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https://universityofexeteruk.sharepoint.com/sites/PATTPathwaysRenalcellcarcinoma/Shared Documents/04-2 ERG Model/FINAL PUBLIC VERSION/"/>
    </mc:Choice>
  </mc:AlternateContent>
  <xr:revisionPtr revIDLastSave="12" documentId="8_{5BC3976C-4B79-41F1-9A1A-B41D97D3AA95}" xr6:coauthVersionLast="47" xr6:coauthVersionMax="47" xr10:uidLastSave="{78B5777F-D6AF-4B92-B02D-EF80E9A6E017}"/>
  <bookViews>
    <workbookView xWindow="-120" yWindow="-120" windowWidth="29040" windowHeight="15840" tabRatio="674" xr2:uid="{00000000-000D-0000-FFFF-FFFF00000000}"/>
  </bookViews>
  <sheets>
    <sheet name="Cover" sheetId="1" r:id="rId1"/>
    <sheet name="Navigation control" sheetId="2" r:id="rId2"/>
    <sheet name="Model settings" sheetId="3" r:id="rId3"/>
    <sheet name="Patient characteristics" sheetId="4" r:id="rId4"/>
    <sheet name="Resource use and costs" sheetId="12" r:id="rId5"/>
    <sheet name="Effectiveness settings" sheetId="9" r:id="rId6"/>
    <sheet name="Time on treatment" sheetId="6" r:id="rId7"/>
    <sheet name="Mortality parameters" sheetId="8" r:id="rId8"/>
    <sheet name="Safety parameters" sheetId="10" r:id="rId9"/>
    <sheet name="Treatment sequence" sheetId="5" r:id="rId10"/>
    <sheet name="Utilities" sheetId="11" r:id="rId11"/>
    <sheet name="Scenario controls" sheetId="14" r:id="rId12"/>
    <sheet name="wastage calcs" sheetId="21" r:id="rId13"/>
    <sheet name="Age sex IPD_CIC" sheetId="20" r:id="rId14"/>
    <sheet name="Lists" sheetId="17" r:id="rId15"/>
    <sheet name="named ranges" sheetId="19" r:id="rId16"/>
    <sheet name="All parameters" sheetId="15" r:id="rId17"/>
  </sheets>
  <definedNames>
    <definedName name="_xlnm._FilterDatabase" localSheetId="15" hidden="1">'named ranges'!$A$1:$B$113</definedName>
    <definedName name="apply_waning_to">Lists!$Y$10:$Y$11</definedName>
    <definedName name="bc_settings_rng">Lists!$B$99:$B$174</definedName>
    <definedName name="cabo_nivo_outcome_from">Lists!$W$10</definedName>
    <definedName name="cabo_nivo_outcomes">Lists!$X$10:$X$12</definedName>
    <definedName name="count_bc_settings">Lists!$B$97</definedName>
    <definedName name="dd_2ndline_NMA">'Model settings'!$G$40</definedName>
    <definedName name="dd_adj_cross_curves">'Model settings'!$G$44</definedName>
    <definedName name="dd_adjforprioradjuvant">'Model settings'!$G$86</definedName>
    <definedName name="dd_AE_impact_axi_equal_tivo">'Model settings'!$G$78</definedName>
    <definedName name="dd_age_sex_source">'Model settings'!$G$63</definedName>
    <definedName name="dd_ageadjuutilities">'Model settings'!$G$65</definedName>
    <definedName name="dd_alt_RDI_nivo_PartSA">'Model settings'!$G$96</definedName>
    <definedName name="dd_alt_RDI_nivo_ST">'Model settings'!$G$94</definedName>
    <definedName name="dd_apply_AE_options">'Safety parameters'!$G$11</definedName>
    <definedName name="dd_apply_allrisk_NMA_to_favrisk">'Model settings'!$V$59</definedName>
    <definedName name="dd_baseline_risk_from">'Model settings'!$G$37</definedName>
    <definedName name="dd_BSC_util_scenarios">Utilities!$Q$10</definedName>
    <definedName name="dd_cabo_nivo_outcome_from">'Model settings'!$G$38</definedName>
    <definedName name="dd_CheckMate214_TTD">'Model settings'!$G$56</definedName>
    <definedName name="dd_double_AE_impact">'Model settings'!$G$76</definedName>
    <definedName name="dd_drug_price_options">'Model settings'!$G$72</definedName>
    <definedName name="dd_eff_inputs_based_on">'Model settings'!$G$82</definedName>
    <definedName name="dd_eq_eff_cabo_suni">'Model settings'!$V$49</definedName>
    <definedName name="dd_eq_eff_evero_axi">'Model settings'!$G$53</definedName>
    <definedName name="dd_eq_eff_pazo_suni">'Model settings'!$G$51</definedName>
    <definedName name="dd_eq_eff_tivo_suni">'Model settings'!$G$52</definedName>
    <definedName name="dd_favriskimpact">'Model settings'!$G$47</definedName>
    <definedName name="dd_impactpriorTKI">'Model settings'!$G$46</definedName>
    <definedName name="dd_incl_ave_plus_axi">'Model settings'!$G$35</definedName>
    <definedName name="dd_incl_NMA_AEs">'Safety parameters'!$G$7</definedName>
    <definedName name="dd_incl_wastage_IV">'Model settings'!$G$74</definedName>
    <definedName name="dd_lenv_dose_source">'Model settings'!$T$38</definedName>
    <definedName name="dd_lenv_RDI_100">'Model settings'!$T$35</definedName>
    <definedName name="dd_lenv_sc_2pills">'Model settings'!$V$57</definedName>
    <definedName name="dd_model_analyses">'Model settings'!$G$30</definedName>
    <definedName name="dd_model_struct">'Model settings'!$G$32</definedName>
    <definedName name="dd_nivoipiPFS">'Model settings'!$G$43</definedName>
    <definedName name="dd_no_of_admin_options">'Model settings'!$G$67</definedName>
    <definedName name="dd_no_TE_waning">'Model settings'!$G$109</definedName>
    <definedName name="dd_PartSA_2_lines">'Model settings'!$T$40</definedName>
    <definedName name="dd_pc">'Patient characteristics'!$K$5</definedName>
    <definedName name="dd_pemlen_equal">'Model settings'!$G$42</definedName>
    <definedName name="dd_pemlen_NMA">'Model settings'!$G$41</definedName>
    <definedName name="dd_pemLen_RDI_eq_nivoCabo">'Model settings'!$G$84</definedName>
    <definedName name="dd_pop_sel">'Model settings'!$G$6</definedName>
    <definedName name="dd_priorTKIimpact">'Model settings'!$G$45</definedName>
    <definedName name="dd_producePASanalysis">'Model settings'!$G$92</definedName>
    <definedName name="dd_prop_deathinPFS">'Model settings'!$G$57</definedName>
    <definedName name="dd_RDI_new_bc">'Model settings'!$T$32</definedName>
    <definedName name="dd_reduceBSC">'Model settings'!$T$29</definedName>
    <definedName name="dd_report_req_surv_reg">'Model settings'!$G$59</definedName>
    <definedName name="dd_run_surv_reg">'Model settings'!$G$60</definedName>
    <definedName name="dd_run_TP_matrices">'Model settings'!$G$61</definedName>
    <definedName name="dd_sc_RDI">'Resource use and costs'!$Y$7</definedName>
    <definedName name="dd_set_HR_pem_len">'Model settings'!$V$52</definedName>
    <definedName name="dd_sub_txt_prop_sources">'Treatment sequence'!$G$9</definedName>
    <definedName name="dd_surv_cur">'Model settings'!$G$80</definedName>
    <definedName name="dd_TE_sc_10y_all_IO">'Model settings'!$G$106</definedName>
    <definedName name="dd_TE_sc_10y_IO_TKI">'Model settings'!$G$105</definedName>
    <definedName name="dd_TE_sc_4and6y_IO_TKI_OS_absSurv">'Model settings'!$G$111</definedName>
    <definedName name="dd_TE_sc_5and20y_all_IO">'Model settings'!$G$108</definedName>
    <definedName name="dd_TE_sc_5and20y_IO_TKI">'Model settings'!$G$107</definedName>
    <definedName name="dd_TE_sc_PartSA_5y_IO_TKI_OS">'Model settings'!$G$110</definedName>
    <definedName name="dd_TTD_same_as_PFS">'Model settings'!$G$55</definedName>
    <definedName name="dd_txt_line_drug_cost">'Resource use and costs'!$Y$5</definedName>
    <definedName name="dd_udadj">'Patient characteristics'!$K$31</definedName>
    <definedName name="dd_updated_fp_nma">'Model settings'!$V$45</definedName>
    <definedName name="dd_updated_sun_eve_price">'Model settings'!$V$47</definedName>
    <definedName name="dd_use_PHnma_for_FPnma">'Model settings'!$G$39</definedName>
    <definedName name="dd_util_scenarios">Utilities!$H$10</definedName>
    <definedName name="default_bc_settings">Lists!$B$98</definedName>
    <definedName name="HR_favvsall">'Model settings'!$G$48</definedName>
    <definedName name="i_4L_PPS_pooled_BSC">'Effectiveness settings'!$DF$36</definedName>
    <definedName name="i_adj_cross_curves">'Model settings'!$N$44</definedName>
    <definedName name="i_admin_based_on_num">'Model settings'!$N$67</definedName>
    <definedName name="i_AE_g3_cutoff">'Safety parameters'!$G$9</definedName>
    <definedName name="i_AE_impact_axi_equal_tivo">'Model settings'!$N$78</definedName>
    <definedName name="i_AE_NMA_option_num">'Safety parameters'!$H$7</definedName>
    <definedName name="i_age_sex_source_num">'Model settings'!$N$63</definedName>
    <definedName name="i_ageadjuutilities">'Model settings'!$N$65</definedName>
    <definedName name="i_alt_RDI_nivo_PartSA_num">'Model settings'!$N$96</definedName>
    <definedName name="i_alt_RDI_nivo_ST_num">'Model settings'!$N$94</definedName>
    <definedName name="i_anal_pers">'Model settings'!$G$14</definedName>
    <definedName name="i_analyses_num">'Model settings'!$N$30</definedName>
    <definedName name="i_apply_AR_to_FR_NMA">'Model settings'!$X$59</definedName>
    <definedName name="i_baseline_risk_from">'Model settings'!$N$37</definedName>
    <definedName name="i_bsc_util_num">Utilities!$Q$11</definedName>
    <definedName name="i_cabo_RWE_2L_PFS_all_sc">'Effectiveness settings'!$DF$29</definedName>
    <definedName name="i_cabo_RWE_2L_TTP_all_sc">'Effectiveness settings'!$DF$30</definedName>
    <definedName name="i_cabo_RWE_3L_PFS_all_sc">'Effectiveness settings'!$DF$33</definedName>
    <definedName name="i_cabo_RWE_3L_TTP_all_sc">'Effectiveness settings'!$DF$34</definedName>
    <definedName name="i_CheckMate214_TTD">'Model settings'!$N$56</definedName>
    <definedName name="i_cycle_length_weeks">'Model settings'!$G$10</definedName>
    <definedName name="i_days_to_weeks">'Model settings'!$G$12</definedName>
    <definedName name="i_double_AE_impact">'Model settings'!$N$76</definedName>
    <definedName name="i_drug_price_options">'Model settings'!$N$72</definedName>
    <definedName name="i_eff_inputs_based_on_num">'Model settings'!$N$82</definedName>
    <definedName name="i_eq_eff_cabo_suni">'Model settings'!$X$49</definedName>
    <definedName name="i_eq_eff_evero_axi_num">'Model settings'!$N$53</definedName>
    <definedName name="i_eq_eff_pazo_suni_num">'Model settings'!$N$51</definedName>
    <definedName name="i_eq_eff_tivo_suni_num">'Model settings'!$N$52</definedName>
    <definedName name="i_incl_wastage_IV_num">'Model settings'!$N$74</definedName>
    <definedName name="i_L1_ref_txt_TE_waning">'Model settings'!$G$100</definedName>
    <definedName name="i_L2_ref_txt_TE_waning">'Model settings'!$G$101</definedName>
    <definedName name="i_L3_ref_txt_TE_waning">'Model settings'!$G$102</definedName>
    <definedName name="i_L4_ref_txt_TE_waning">'Model settings'!$G$103</definedName>
    <definedName name="i_lenv_RDI_100">'Model settings'!$X$35</definedName>
    <definedName name="i_lenv_sc_2pills">'Model settings'!$X$57</definedName>
    <definedName name="i_model_struct_num">'Model settings'!$N$32</definedName>
    <definedName name="i_mon_to_weeks">'Model settings'!$G$11</definedName>
    <definedName name="i_nivo_100mg_vials">'wastage calcs'!$N$32</definedName>
    <definedName name="i_nivo_120mg_vials">'wastage calcs'!$O$32</definedName>
    <definedName name="i_nivo_240mg_vials">'wastage calcs'!$P$32</definedName>
    <definedName name="i_nivo_40mg_vials">'wastage calcs'!$M$32</definedName>
    <definedName name="i_no_TE_waning">'Model settings'!$N$109</definedName>
    <definedName name="i_nr_populations">Lists!$C$44</definedName>
    <definedName name="i_pemLen_RDI_eq_nivoCabo">'Model settings'!$N$84</definedName>
    <definedName name="i_QALY_short_abs_LB">'Model settings'!$J$25</definedName>
    <definedName name="i_QALY_short_abs_UB">'Model settings'!$J$26</definedName>
    <definedName name="i_QALY_short_prop_LB">'Model settings'!$G$25</definedName>
    <definedName name="i_QALY_short_prop_UB">'Model settings'!$G$26</definedName>
    <definedName name="i_qaly_weight_between">'Model settings'!$K$27</definedName>
    <definedName name="i_qaly_weight_LB">'Model settings'!$K$25</definedName>
    <definedName name="i_qaly_weight_UB">'Model settings'!$K$26</definedName>
    <definedName name="i_RDI_new_bc">'Model settings'!$X$32</definedName>
    <definedName name="i_sc_RDI_num">'Resource use and costs'!$AA$7</definedName>
    <definedName name="i_sc_util_num">Utilities!$H$11</definedName>
    <definedName name="i_SE_costs">'Model settings'!$G$70</definedName>
    <definedName name="i_SE_util">'Model settings'!$G$69</definedName>
    <definedName name="i_set_HR_pem_len">'Model settings'!$X$52</definedName>
    <definedName name="i_sub_txt_prop_num">'Treatment sequence'!$H$9</definedName>
    <definedName name="i_sun_RWE_1L_PFS_all_sc">'Effectiveness settings'!$DF$24</definedName>
    <definedName name="i_sun_RWE_1L_TTD_porI_all_sc_1">'Effectiveness settings'!$DF$25</definedName>
    <definedName name="i_sun_RWE_1L_TTD_porI_all_sc_2">'Effectiveness settings'!$DF$20</definedName>
    <definedName name="i_sun_RWE_1L_TTD_porI_all_sc_3">'Effectiveness settings'!$DF$15</definedName>
    <definedName name="i_sun_RWE_1L_TTP_all_sc">'Effectiveness settings'!$DF$26</definedName>
    <definedName name="i_sur_cur_sc_sel_range">'Effectiveness settings'!$DF$13:$DF$70</definedName>
    <definedName name="i_surv_cur">'Model settings'!$N$80</definedName>
    <definedName name="i_table_AE_costs">'Resource use and costs'!$D$154:$N$187</definedName>
    <definedName name="i_table_AE_rate_dur">'Safety parameters'!$D$14:$AV$21</definedName>
    <definedName name="i_table_sub_txt">'Treatment sequence'!$CK$8:$CT$700</definedName>
    <definedName name="i_TE_sc_10y_all_IO">'Model settings'!$N$106</definedName>
    <definedName name="i_TE_sc_10y_IO_TKI">'Model settings'!$N$105</definedName>
    <definedName name="i_TE_sc_4and6y_IO_TKI_OS_absSurv">'Model settings'!$N$111</definedName>
    <definedName name="i_TE_sc_5and20y_all_IO">'Model settings'!$N$108</definedName>
    <definedName name="i_TE_sc_5and20y_IO_TKI">'Model settings'!$N$107</definedName>
    <definedName name="i_TE_sc_PartSA_5y_IO_TKI_OS">'Model settings'!$N$110</definedName>
    <definedName name="i_TTD_same_as_PFS">'Model settings'!$N$55</definedName>
    <definedName name="i_txt_line_drug_cost">'Resource use and costs'!$AA$5</definedName>
    <definedName name="i_ui_prop_prior_IO_RWE">'Patient characteristics'!$K$32</definedName>
    <definedName name="i_updated_fp_nma">'Model settings'!$X$45</definedName>
    <definedName name="i_updated_sun_eve_price">'Model settings'!$X$47</definedName>
    <definedName name="i_use_PHnma_for_FPnma_num">'Model settings'!$N$39</definedName>
    <definedName name="i_util_range">Utilities!$K$15:$X$110</definedName>
    <definedName name="i_util_range_allrisk_1L_PD">Utilities!$K$65:$K$77</definedName>
    <definedName name="i_util_range_allrisk_1L_PFS">Utilities!$K$15:$K$27</definedName>
    <definedName name="InReq_start">'Scenario controls'!$E$10</definedName>
    <definedName name="List_adj_cross_curves">Lists!$U$10:$U$11</definedName>
    <definedName name="List_AEs_all_grade">Lists!$P$10:$P$12</definedName>
    <definedName name="List_AEs_g3">Lists!$AA$10:$AA$31</definedName>
    <definedName name="List_age_sex_source">Lists!$AC$10:$AC$11</definedName>
    <definedName name="List_analyses">Lists!$F$11:$F$14</definedName>
    <definedName name="List_apply_AE_options">Lists!$O$10:$O$11</definedName>
    <definedName name="List_BSC_util_options">Lists!$AG$10:$AG$12</definedName>
    <definedName name="List_comparators">Lists!$J$10:$J$23</definedName>
    <definedName name="List_eff_datasources">Lists!$L$10:$L$15</definedName>
    <definedName name="List_eff_endpoints">Lists!$N$10:$N$14</definedName>
    <definedName name="List_eff_inputs_based_on">Lists!$AO$10:$AO$11</definedName>
    <definedName name="List_incl_anal_1L_all">Lists!$AO$52:$AO$86</definedName>
    <definedName name="List_incl_anal_1L_fav">Lists!$AN$52:$AN$86</definedName>
    <definedName name="List_incl_anal_1L_PorI">Lists!$AM$52:$AM$86</definedName>
    <definedName name="List_incl_anal_2L_all">Lists!$AP$52:$AP$86</definedName>
    <definedName name="List_incl_anal_3L_all">Lists!$AQ$52:$AQ$86</definedName>
    <definedName name="List_incl_anal_4L_all">Lists!$AR$52:$AR$86</definedName>
    <definedName name="List_model_structures">Lists!$V$10:$V$11</definedName>
    <definedName name="List_no_of_admin_option">Lists!$AD$10:$AD$11</definedName>
    <definedName name="List_para_curves">Lists!$T$10:$T$16</definedName>
    <definedName name="List_pop">Lists!$D$11:$D$13</definedName>
    <definedName name="List_pop1_1L">Lists!$BB$11:$BB$22</definedName>
    <definedName name="List_pop1_2L">Lists!$BC$11:$BC$22</definedName>
    <definedName name="List_pop1_3L">Lists!$BD$11:$BD$22</definedName>
    <definedName name="List_pop1_4L">Lists!$BE$11:$BE$22</definedName>
    <definedName name="List_pop1_allowed">Lists!$BA$11:$BA$22</definedName>
    <definedName name="List_pop1_axitinib_only_after">Lists!$BA$26:$BA$37</definedName>
    <definedName name="List_pop1_axitinib_only_one_allowed">Lists!$BB$49:$BB$53</definedName>
    <definedName name="List_pop1_cabozantinib_2L_only_after">Lists!$BA$69:$BA$80</definedName>
    <definedName name="List_pop1_cabozantinib_only_one_allowed">Lists!$BE$49:$BE$53</definedName>
    <definedName name="List_pop1_everolimus_only_after">Lists!$BB$26:$BB$37</definedName>
    <definedName name="List_pop1_everolimus_only_one_allowed">Lists!$BF$49:$BF$53</definedName>
    <definedName name="List_pop1_io_only_one_allowed">Lists!$BA$49:$BA$53</definedName>
    <definedName name="List_pop1_lenvatinib_plus_everolimus_allowed">Lists!$BD$49:$BD$53</definedName>
    <definedName name="List_pop1_lenvatinib_plus_everolimus_not_immediate_after">Lists!$BA$41:$BA$46</definedName>
    <definedName name="List_pop1_lenvatinib_plus_everolimus_only_after_one">Lists!$BA$57:$BA$65</definedName>
    <definedName name="List_pop1_nivolumab_only_one_allowed">Lists!$BC$49:$BC$53</definedName>
    <definedName name="List_pop1_pazopanib_2L_only_immediate_after">Lists!$BB$84:$BB$87</definedName>
    <definedName name="List_pop1_sunitinib_2L_only_immediate_after">Lists!$BA$84:$BA$87</definedName>
    <definedName name="List_pop1_tivozanib_2L_only_immediate_after">Lists!$BC$84:$BC$87</definedName>
    <definedName name="List_pop1_TKIs_only_one_allowed">Lists!$BG$49:$BG$53</definedName>
    <definedName name="List_pop2_1L">Lists!$BM$11:$BM$22</definedName>
    <definedName name="List_pop2_2L">Lists!$BN$11:$BN$22</definedName>
    <definedName name="List_pop2_3L">Lists!$BO$11:$BO$22</definedName>
    <definedName name="List_pop2_4L">Lists!$BP$11:$BP$22</definedName>
    <definedName name="List_pop2_allowed">Lists!$BL$11:$BL$22</definedName>
    <definedName name="List_pop2_axitinib_only_after">Lists!$BL$26:$BL$37</definedName>
    <definedName name="List_pop2_axitinib_only_one_allowed">Lists!$BM$49:$BM$53</definedName>
    <definedName name="List_pop2_cabozantinib_2L_only_after">Lists!$BL$69:$BL$80</definedName>
    <definedName name="List_pop2_cabozantinib_only_one_allowed">Lists!$BP$49:$BP$53</definedName>
    <definedName name="List_pop2_everolimus_only_after">Lists!$BM$26:$BM$37</definedName>
    <definedName name="List_pop2_everolimus_only_one_allowed">Lists!$BQ$49:$BQ$53</definedName>
    <definedName name="List_pop2_io_only_one_allowed">Lists!$BL$49:$BL$53</definedName>
    <definedName name="List_pop2_lenvatinib_plus_everolimus_not_immediate_after">Lists!$BL$41:$BL$46</definedName>
    <definedName name="List_pop2_lenvatinib_plus_everolimus_only_after_one">Lists!$BL$57:$BL$65</definedName>
    <definedName name="List_pop2_lenvatinib_plus_everolimus_only_one_allowed">Lists!$BO$49:$BO$53</definedName>
    <definedName name="List_pop2_nivolumab_only_one_allowed">Lists!$BN$49:$BN$53</definedName>
    <definedName name="List_pop2_pazopanib_2L_only_immediate_after">Lists!$BM$84:$BM$87</definedName>
    <definedName name="List_pop2_sunitinib_2L_only_immediate_after">Lists!$BL$84:$BL$87</definedName>
    <definedName name="List_pop2_tivozanib_2L_only_immediate_after">Lists!$BN$84:$BN$87</definedName>
    <definedName name="List_pop2_TKIs_only_one_allowed">Lists!$BR$49:$BR$53</definedName>
    <definedName name="List_pop3_1L">Lists!$BX$11:$BX$22</definedName>
    <definedName name="List_pop3_2L">Lists!$BY$11:$BY$22</definedName>
    <definedName name="List_pop3_3L">Lists!$BZ$11:$BZ$22</definedName>
    <definedName name="List_pop3_4L">Lists!$CA$11:$CA$22</definedName>
    <definedName name="List_pop3_allowed">Lists!$BW$11:$BW$22</definedName>
    <definedName name="List_pop3_axitinib_only_after">Lists!$BW$26:$BW$37</definedName>
    <definedName name="List_pop3_axitinib_only_one_allowed">Lists!$BX$49:$BX$53</definedName>
    <definedName name="List_pop3_cabozantinib_2L_only_after">Lists!$BW$69:$BW$80</definedName>
    <definedName name="List_pop3_everolimus_only_after">Lists!$BX$26:$BX$37</definedName>
    <definedName name="List_pop3_everolimus_only_one_allowed">Lists!$BY$49:$BY$53</definedName>
    <definedName name="List_pop3_lenvatinib_plus_everolimus_not_immediate_after">Lists!$BW$41:$BW$46</definedName>
    <definedName name="List_pop3_lenvatinib_plus_everolimus_only_after_one">Lists!$BW$57:$BW$65</definedName>
    <definedName name="List_pop3_lenvatinib_plus_everolimus_only_one_allowed">Lists!$BW$49:$BW$53</definedName>
    <definedName name="List_pop3_pazopanib_2L_only_immediate_after">Lists!$BX$84:$BX$87</definedName>
    <definedName name="List_pop3_sunitinib_2L_only_immediate_after">Lists!$BW$84:$BW$87</definedName>
    <definedName name="List_pop3_tivozanib_2L_only_immediate_after">Lists!$BY$84:$BY$87</definedName>
    <definedName name="List_pop3_TKIs_only_one_allowed">Lists!$BZ$49:$BZ$53</definedName>
    <definedName name="List_pop4_1L">Lists!$CI$11:$CI$22</definedName>
    <definedName name="List_pop4_2L">Lists!$CJ$11:$CJ$22</definedName>
    <definedName name="List_pop4_3L">Lists!$CK$11:$CK$22</definedName>
    <definedName name="List_pop4_4L">Lists!$CL$11:$CL$22</definedName>
    <definedName name="List_pop4_allowed">Lists!$CH$11:$CH$22</definedName>
    <definedName name="List_pop4_axitinib_only_after">Lists!$CH$26:$CH$37</definedName>
    <definedName name="List_pop4_axitinib_only_one_allowed">Lists!$CI$49:$CI$53</definedName>
    <definedName name="List_pop4_cabozantinib_2L_only_after">Lists!$CH$69:$CH$80</definedName>
    <definedName name="List_pop4_everolimus_only_after">Lists!$CI$26:$CI$37</definedName>
    <definedName name="List_pop4_everolimus_only_one_allowed">Lists!$CJ$49:$CJ$53</definedName>
    <definedName name="List_pop4_lenvatinib_plus_everolimus_not_immediate_after">Lists!$CH$41:$CH$46</definedName>
    <definedName name="List_pop4_lenvatinib_plus_everolimus_only_after_one">Lists!$CH$57:$CH$65</definedName>
    <definedName name="List_pop4_lenvatinib_plus_everolimus_only_one_allowed">Lists!$CH$49:$CH$53</definedName>
    <definedName name="List_pop4_pazopanib_2L_only_immediate_after">Lists!$CI$84:$CI$87</definedName>
    <definedName name="List_pop4_sunitinib_2L_only_immediate_after">Lists!$CH$84:$CH$87</definedName>
    <definedName name="List_pop4_tivozanib_2L_only_immediate_after">Lists!$CJ$84:$CJ$87</definedName>
    <definedName name="List_pop4_TKIs_only_one_allowed">Lists!$CK$49:$CK$53</definedName>
    <definedName name="List_price_options">Lists!$AF$10:$AF$11</definedName>
    <definedName name="List_RDI_new_bc">Lists!$AQ$10:$AQ$12</definedName>
    <definedName name="List_RDI_scenarios">Lists!$R$10:$R$14</definedName>
    <definedName name="List_sc_util">Lists!$Q$10:$Q$16</definedName>
    <definedName name="List_surv_cur">Lists!$AL$10:$AL$11</definedName>
    <definedName name="List_surv_cur_ext">Lists!$AM$10:$AM$13</definedName>
    <definedName name="List_trials">Lists!$S$10:$S$12</definedName>
    <definedName name="List_txt_lines">Lists!$G$11:$G$15</definedName>
    <definedName name="List_YesorNo">Lists!$H$11:$H$12</definedName>
    <definedName name="R_max_trt_lines">'Model settings'!$G$34</definedName>
    <definedName name="r_overall_lookup_pop">Lists!$B$89:$F$95</definedName>
    <definedName name="r_pld_lookup_dist">Lists!$V$50:$X$85</definedName>
    <definedName name="r_pld_lookup_endpoint">Lists!$R$50:$T$85</definedName>
    <definedName name="r_pld_lookup_line">Lists!$F$50:$H$85</definedName>
    <definedName name="r_pld_lookup_mol">Lists!$J$50:$L$85</definedName>
    <definedName name="r_pld_lookup_pop">Lists!$B$50:$D$85</definedName>
    <definedName name="r_pld_lookup_trial">Lists!$N$50:$P$85</definedName>
    <definedName name="R_s_rate_disc_cost">'All parameters'!$E$17</definedName>
    <definedName name="R_Scenario_name">'Model settings'!$G$88</definedName>
    <definedName name="R_Scenario_num">'Model settings'!$G$90</definedName>
    <definedName name="R_table_AE_costs">'Resource use and costs'!$BA$170:$BI$197</definedName>
    <definedName name="R_table_AE_disutil">Utilities!$D$308:$J$341</definedName>
    <definedName name="R_table_AE_effects_n_dur">'Safety parameters'!$CA$5:$CW$444</definedName>
    <definedName name="R_table_AE_rates">'Safety parameters'!$CZ$5:$DE$458</definedName>
    <definedName name="R_table_AE_util">Utilities!$BA$319:$BC$344</definedName>
    <definedName name="R_table_ageadjust_util_female">Utilities!$E$352:$W$369</definedName>
    <definedName name="R_table_ageadjust_util_male">Utilities!$E$372:$W$389</definedName>
    <definedName name="R_table_drug_admin_costs">'Resource use and costs'!$BA$10:$CE$52</definedName>
    <definedName name="R_table_drugcostperweek">'Resource use and costs'!$CM$10:$CS$52</definedName>
    <definedName name="R_table_duration">Utilities!$BE$319:$BG$344</definedName>
    <definedName name="R_table_eff_data_settings">'Effectiveness settings'!$BR$11:$CJ$1000</definedName>
    <definedName name="R_table_FPNMA_coefficients">'Effectiveness settings'!$HJ$400:$HN$406</definedName>
    <definedName name="R_table_mort_lifeTable">'Mortality parameters'!$D$12:$F$113</definedName>
    <definedName name="R_table_MRU">'Resource use and costs'!$BA$96:$BJ$165</definedName>
    <definedName name="R_table_MRU_oneoff">'Resource use and costs'!$BJ$96:$BO$144</definedName>
    <definedName name="R_table_param">'All parameters'!$C$5:$E$2788</definedName>
    <definedName name="R_table_patientagesex">'Age sex IPD_CIC'!$B$9:$E$2200</definedName>
    <definedName name="R_table_prior_IO_impact_eff">'Effectiveness settings'!$HJ$383:$HL$397</definedName>
    <definedName name="R_table_ptchar">'Patient characteristics'!$BC$6:$BT$101</definedName>
    <definedName name="R_table_scenarios">'Scenario controls'!$B$9:$AT$102</definedName>
    <definedName name="R_table_sub_sur_radio_costs">'Treatment sequence'!$EJ$9:$ER$15</definedName>
    <definedName name="R_table_sub_txt_cum_costs">'Treatment sequence'!$DX$27:$EE$83</definedName>
    <definedName name="R_table_sub_txts_dur">'Treatment sequence'!$DX$9:$ED$23</definedName>
    <definedName name="R_table_sub_txts_prop_n_costs">'Treatment sequence'!$CX$10:$DR$779</definedName>
    <definedName name="R_table_TE_waning_settings">'Model settings'!$BA$117:$BL$556</definedName>
    <definedName name="R_table_util">Utilities!$BA$8:$BM$309</definedName>
    <definedName name="range_start">'Scenario controls'!$G$10</definedName>
    <definedName name="sheet_start">'Scenario controls'!$F$10</definedName>
    <definedName name="source_pc">Lists!$K$10:$K$11</definedName>
    <definedName name="source_pc_num">'Patient characteristics'!$L$5</definedName>
    <definedName name="ui_disc_cost">'Model settings'!$G$17</definedName>
    <definedName name="ui_disc_qaly">'Model settings'!$G$18</definedName>
    <definedName name="ui_time_horizon">'Model settings'!$G$8</definedName>
    <definedName name="value_start">'Scenario controls'!$H$10</definedName>
    <definedName name="wtp_threshold">'Model settings'!$G$21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I195" i="12" l="1"/>
  <c r="BI193" i="12"/>
  <c r="BH195" i="12"/>
  <c r="BH194" i="12"/>
  <c r="BH193" i="12"/>
  <c r="BN100" i="12"/>
  <c r="BN99" i="12"/>
  <c r="BM100" i="12"/>
  <c r="BM99" i="12"/>
  <c r="BC63" i="5" l="1"/>
  <c r="BC62" i="5"/>
  <c r="BC61" i="5"/>
  <c r="BC60" i="5"/>
  <c r="BC59" i="5"/>
  <c r="BC58" i="5"/>
  <c r="BC57" i="5"/>
  <c r="BC56" i="5"/>
  <c r="BC55" i="5"/>
  <c r="BC54" i="5"/>
  <c r="BC53" i="5"/>
  <c r="BC52" i="5"/>
  <c r="BC51" i="5"/>
  <c r="BC50" i="5"/>
  <c r="BA61" i="5"/>
  <c r="AZ61" i="5"/>
  <c r="BA60" i="5"/>
  <c r="AZ60" i="5"/>
  <c r="AY60" i="5"/>
  <c r="AX60" i="5"/>
  <c r="AW60" i="5"/>
  <c r="AV60" i="5"/>
  <c r="AU60" i="5"/>
  <c r="AP60" i="5"/>
  <c r="BA59" i="5"/>
  <c r="AZ59" i="5"/>
  <c r="AY59" i="5"/>
  <c r="AX59" i="5"/>
  <c r="AW59" i="5"/>
  <c r="AV59" i="5"/>
  <c r="AU59" i="5"/>
  <c r="AP59" i="5"/>
  <c r="BA58" i="5"/>
  <c r="AZ58" i="5"/>
  <c r="AY58" i="5"/>
  <c r="AX58" i="5"/>
  <c r="AW58" i="5"/>
  <c r="AV58" i="5"/>
  <c r="AU58" i="5"/>
  <c r="AP58" i="5"/>
  <c r="BA57" i="5"/>
  <c r="AZ57" i="5"/>
  <c r="AY57" i="5"/>
  <c r="AX57" i="5"/>
  <c r="AW57" i="5"/>
  <c r="AW55" i="5" s="1"/>
  <c r="AV57" i="5"/>
  <c r="AU57" i="5"/>
  <c r="AP57" i="5"/>
  <c r="BA56" i="5"/>
  <c r="AZ56" i="5"/>
  <c r="AY56" i="5"/>
  <c r="AX56" i="5"/>
  <c r="AV56" i="5"/>
  <c r="AU56" i="5"/>
  <c r="AP56" i="5"/>
  <c r="BA55" i="5"/>
  <c r="AZ55" i="5"/>
  <c r="AY55" i="5"/>
  <c r="AX55" i="5"/>
  <c r="AV55" i="5"/>
  <c r="AU55" i="5"/>
  <c r="AP55" i="5"/>
  <c r="BA50" i="5"/>
  <c r="AZ50" i="5"/>
  <c r="AY50" i="5"/>
  <c r="AX50" i="5"/>
  <c r="AW50" i="5"/>
  <c r="AV50" i="5"/>
  <c r="AU50" i="5"/>
  <c r="AP50" i="5"/>
  <c r="BA92" i="5"/>
  <c r="AZ92" i="5"/>
  <c r="AY92" i="5"/>
  <c r="AX92" i="5"/>
  <c r="AW92" i="5"/>
  <c r="AV92" i="5"/>
  <c r="AU92" i="5"/>
  <c r="AP92" i="5"/>
  <c r="BA91" i="5"/>
  <c r="AZ91" i="5"/>
  <c r="AY91" i="5"/>
  <c r="AX91" i="5"/>
  <c r="AW91" i="5"/>
  <c r="AV91" i="5"/>
  <c r="AU91" i="5"/>
  <c r="AP91" i="5"/>
  <c r="BA90" i="5"/>
  <c r="AZ90" i="5"/>
  <c r="AY90" i="5"/>
  <c r="AX90" i="5"/>
  <c r="AW90" i="5"/>
  <c r="AV90" i="5"/>
  <c r="AU90" i="5"/>
  <c r="AP90" i="5"/>
  <c r="BA89" i="5"/>
  <c r="AZ89" i="5"/>
  <c r="AY89" i="5"/>
  <c r="AX89" i="5"/>
  <c r="AW89" i="5"/>
  <c r="AV89" i="5"/>
  <c r="AU89" i="5"/>
  <c r="AP89" i="5"/>
  <c r="BA88" i="5"/>
  <c r="AZ88" i="5"/>
  <c r="AY88" i="5"/>
  <c r="AX88" i="5"/>
  <c r="AW88" i="5"/>
  <c r="AV88" i="5"/>
  <c r="AU88" i="5"/>
  <c r="AP88" i="5"/>
  <c r="BA87" i="5"/>
  <c r="AZ87" i="5"/>
  <c r="AY87" i="5"/>
  <c r="AX87" i="5"/>
  <c r="AW87" i="5"/>
  <c r="AV87" i="5"/>
  <c r="AU87" i="5"/>
  <c r="AP87" i="5"/>
  <c r="BA86" i="5"/>
  <c r="AZ86" i="5"/>
  <c r="AY86" i="5"/>
  <c r="AX86" i="5"/>
  <c r="AW86" i="5"/>
  <c r="AV86" i="5"/>
  <c r="AU86" i="5"/>
  <c r="AP86" i="5"/>
  <c r="BA85" i="5"/>
  <c r="AZ85" i="5"/>
  <c r="AY85" i="5"/>
  <c r="AX85" i="5"/>
  <c r="AW85" i="5"/>
  <c r="AV85" i="5"/>
  <c r="AU85" i="5"/>
  <c r="AP85" i="5"/>
  <c r="BA84" i="5"/>
  <c r="AZ84" i="5"/>
  <c r="AY84" i="5"/>
  <c r="AX84" i="5"/>
  <c r="AW84" i="5"/>
  <c r="AV84" i="5"/>
  <c r="AU84" i="5"/>
  <c r="AP84" i="5"/>
  <c r="BA83" i="5"/>
  <c r="AZ83" i="5"/>
  <c r="AY83" i="5"/>
  <c r="AX83" i="5"/>
  <c r="AW83" i="5"/>
  <c r="AV83" i="5"/>
  <c r="AU83" i="5"/>
  <c r="AP83" i="5"/>
  <c r="BA82" i="5"/>
  <c r="AZ82" i="5"/>
  <c r="AY82" i="5"/>
  <c r="AX82" i="5"/>
  <c r="AW82" i="5"/>
  <c r="AV82" i="5"/>
  <c r="AU82" i="5"/>
  <c r="AP82" i="5"/>
  <c r="BA81" i="5"/>
  <c r="AZ81" i="5"/>
  <c r="AY81" i="5"/>
  <c r="AX81" i="5"/>
  <c r="AW81" i="5"/>
  <c r="AV81" i="5"/>
  <c r="AU81" i="5"/>
  <c r="AP81" i="5"/>
  <c r="AK92" i="5"/>
  <c r="AJ92" i="5"/>
  <c r="AI92" i="5"/>
  <c r="AH92" i="5"/>
  <c r="AG92" i="5"/>
  <c r="AE92" i="5" s="1"/>
  <c r="AF92" i="5"/>
  <c r="Z92" i="5"/>
  <c r="AK91" i="5"/>
  <c r="AJ91" i="5"/>
  <c r="AI91" i="5"/>
  <c r="AH91" i="5"/>
  <c r="AG91" i="5"/>
  <c r="AE91" i="5" s="1"/>
  <c r="AF91" i="5"/>
  <c r="Z91" i="5"/>
  <c r="AK90" i="5"/>
  <c r="AJ90" i="5"/>
  <c r="AI90" i="5"/>
  <c r="AH90" i="5"/>
  <c r="AG90" i="5"/>
  <c r="AE90" i="5" s="1"/>
  <c r="AF90" i="5"/>
  <c r="Z90" i="5"/>
  <c r="AK89" i="5"/>
  <c r="AJ89" i="5"/>
  <c r="AI89" i="5"/>
  <c r="AH89" i="5"/>
  <c r="AG89" i="5"/>
  <c r="AE89" i="5" s="1"/>
  <c r="AF89" i="5"/>
  <c r="Z89" i="5"/>
  <c r="AK88" i="5"/>
  <c r="AJ88" i="5"/>
  <c r="AI88" i="5"/>
  <c r="AH88" i="5"/>
  <c r="AG88" i="5"/>
  <c r="AE88" i="5" s="1"/>
  <c r="AF88" i="5"/>
  <c r="Z88" i="5"/>
  <c r="AK87" i="5"/>
  <c r="AJ87" i="5"/>
  <c r="AI87" i="5"/>
  <c r="AH87" i="5"/>
  <c r="AG87" i="5"/>
  <c r="AE87" i="5" s="1"/>
  <c r="AF87" i="5"/>
  <c r="Z87" i="5"/>
  <c r="AK86" i="5"/>
  <c r="AJ86" i="5"/>
  <c r="AI86" i="5"/>
  <c r="AH86" i="5"/>
  <c r="AG86" i="5"/>
  <c r="AE86" i="5" s="1"/>
  <c r="AF86" i="5"/>
  <c r="Z86" i="5"/>
  <c r="AK85" i="5"/>
  <c r="AJ85" i="5"/>
  <c r="AI85" i="5"/>
  <c r="AH85" i="5"/>
  <c r="AG85" i="5"/>
  <c r="AE85" i="5" s="1"/>
  <c r="AF85" i="5"/>
  <c r="Z85" i="5"/>
  <c r="AK84" i="5"/>
  <c r="AJ84" i="5"/>
  <c r="AI84" i="5"/>
  <c r="AH84" i="5"/>
  <c r="AG84" i="5"/>
  <c r="AE84" i="5" s="1"/>
  <c r="AF84" i="5"/>
  <c r="Z84" i="5"/>
  <c r="AK83" i="5"/>
  <c r="AJ83" i="5"/>
  <c r="AI83" i="5"/>
  <c r="AH83" i="5"/>
  <c r="AG83" i="5"/>
  <c r="AE83" i="5" s="1"/>
  <c r="AF83" i="5"/>
  <c r="Z83" i="5"/>
  <c r="AK82" i="5"/>
  <c r="AJ82" i="5"/>
  <c r="AI82" i="5"/>
  <c r="AH82" i="5"/>
  <c r="AG82" i="5"/>
  <c r="AE82" i="5" s="1"/>
  <c r="AF82" i="5"/>
  <c r="Z82" i="5"/>
  <c r="AK81" i="5"/>
  <c r="AJ81" i="5"/>
  <c r="AI81" i="5"/>
  <c r="AH81" i="5"/>
  <c r="AG81" i="5"/>
  <c r="AE81" i="5" s="1"/>
  <c r="AF81" i="5"/>
  <c r="Z81" i="5"/>
  <c r="AM63" i="5"/>
  <c r="AM62" i="5"/>
  <c r="AM61" i="5"/>
  <c r="AM60" i="5"/>
  <c r="AM59" i="5"/>
  <c r="AM58" i="5"/>
  <c r="AM57" i="5"/>
  <c r="AM56" i="5"/>
  <c r="AM55" i="5"/>
  <c r="AM54" i="5"/>
  <c r="AM53" i="5"/>
  <c r="AM52" i="5"/>
  <c r="AM51" i="5"/>
  <c r="AM50" i="5"/>
  <c r="AK50" i="5"/>
  <c r="AJ50" i="5"/>
  <c r="AI50" i="5"/>
  <c r="AH50" i="5"/>
  <c r="AG50" i="5"/>
  <c r="AK61" i="5"/>
  <c r="AJ61" i="5"/>
  <c r="AI61" i="5"/>
  <c r="AH61" i="5"/>
  <c r="AG61" i="5"/>
  <c r="AF61" i="5"/>
  <c r="AE61" i="5"/>
  <c r="AK60" i="5"/>
  <c r="AJ60" i="5"/>
  <c r="AI60" i="5"/>
  <c r="AH60" i="5"/>
  <c r="AG60" i="5"/>
  <c r="AF60" i="5"/>
  <c r="AE60" i="5"/>
  <c r="AK59" i="5"/>
  <c r="AJ59" i="5"/>
  <c r="AI59" i="5"/>
  <c r="AH59" i="5"/>
  <c r="AG59" i="5"/>
  <c r="AF59" i="5"/>
  <c r="AE59" i="5"/>
  <c r="AK58" i="5"/>
  <c r="AJ58" i="5"/>
  <c r="AI58" i="5"/>
  <c r="AH58" i="5"/>
  <c r="AG58" i="5"/>
  <c r="AF58" i="5"/>
  <c r="AE58" i="5"/>
  <c r="AK57" i="5"/>
  <c r="AJ57" i="5"/>
  <c r="AI57" i="5"/>
  <c r="AH57" i="5"/>
  <c r="AG57" i="5"/>
  <c r="AF57" i="5"/>
  <c r="AE57" i="5"/>
  <c r="AK56" i="5"/>
  <c r="AJ56" i="5"/>
  <c r="AI56" i="5"/>
  <c r="AH56" i="5"/>
  <c r="AG56" i="5"/>
  <c r="AF56" i="5"/>
  <c r="AE56" i="5"/>
  <c r="AK55" i="5"/>
  <c r="AJ55" i="5"/>
  <c r="AI55" i="5"/>
  <c r="AH55" i="5"/>
  <c r="AG55" i="5"/>
  <c r="AF55" i="5"/>
  <c r="AE55" i="5"/>
  <c r="Z61" i="5"/>
  <c r="Z60" i="5"/>
  <c r="Z59" i="5"/>
  <c r="Z58" i="5"/>
  <c r="Z57" i="5"/>
  <c r="Z56" i="5"/>
  <c r="W58" i="5"/>
  <c r="W57" i="5"/>
  <c r="W56" i="5"/>
  <c r="W55" i="5"/>
  <c r="W54" i="5"/>
  <c r="W53" i="5"/>
  <c r="W52" i="5"/>
  <c r="W51" i="5"/>
  <c r="U92" i="5"/>
  <c r="U91" i="5"/>
  <c r="U90" i="5"/>
  <c r="U89" i="5"/>
  <c r="U88" i="5"/>
  <c r="U87" i="5"/>
  <c r="U86" i="5"/>
  <c r="U85" i="5"/>
  <c r="U84" i="5"/>
  <c r="U83" i="5"/>
  <c r="U82" i="5"/>
  <c r="U81" i="5"/>
  <c r="S92" i="5"/>
  <c r="R92" i="5"/>
  <c r="Q92" i="5"/>
  <c r="P92" i="5"/>
  <c r="S91" i="5"/>
  <c r="R91" i="5"/>
  <c r="Q91" i="5"/>
  <c r="P91" i="5"/>
  <c r="S90" i="5"/>
  <c r="R90" i="5"/>
  <c r="Q90" i="5"/>
  <c r="P90" i="5"/>
  <c r="S89" i="5"/>
  <c r="R89" i="5"/>
  <c r="Q89" i="5"/>
  <c r="P89" i="5"/>
  <c r="S88" i="5"/>
  <c r="R88" i="5"/>
  <c r="Q88" i="5"/>
  <c r="P88" i="5"/>
  <c r="S87" i="5"/>
  <c r="R87" i="5"/>
  <c r="Q87" i="5"/>
  <c r="P87" i="5"/>
  <c r="S86" i="5"/>
  <c r="R86" i="5"/>
  <c r="Q86" i="5"/>
  <c r="P86" i="5"/>
  <c r="S85" i="5"/>
  <c r="R85" i="5"/>
  <c r="Q85" i="5"/>
  <c r="P85" i="5"/>
  <c r="S84" i="5"/>
  <c r="R84" i="5"/>
  <c r="Q84" i="5"/>
  <c r="P84" i="5"/>
  <c r="S83" i="5"/>
  <c r="R83" i="5"/>
  <c r="Q83" i="5"/>
  <c r="P83" i="5"/>
  <c r="S82" i="5"/>
  <c r="R82" i="5"/>
  <c r="Q82" i="5"/>
  <c r="P82" i="5"/>
  <c r="S81" i="5"/>
  <c r="R81" i="5"/>
  <c r="Q81" i="5"/>
  <c r="P81" i="5"/>
  <c r="O92" i="5"/>
  <c r="O91" i="5"/>
  <c r="O90" i="5"/>
  <c r="O89" i="5"/>
  <c r="O88" i="5"/>
  <c r="O87" i="5"/>
  <c r="O86" i="5"/>
  <c r="O85" i="5"/>
  <c r="O84" i="5"/>
  <c r="O83" i="5"/>
  <c r="O82" i="5"/>
  <c r="O81" i="5"/>
  <c r="W138" i="5"/>
  <c r="W137" i="5"/>
  <c r="W136" i="5"/>
  <c r="W135" i="5"/>
  <c r="W134" i="5"/>
  <c r="W133" i="5"/>
  <c r="W132" i="5"/>
  <c r="W131" i="5"/>
  <c r="W130" i="5"/>
  <c r="W129" i="5"/>
  <c r="W128" i="5"/>
  <c r="W127" i="5"/>
  <c r="W126" i="5"/>
  <c r="U133" i="5"/>
  <c r="U132" i="5"/>
  <c r="U131" i="5"/>
  <c r="U130" i="5"/>
  <c r="U127" i="5"/>
  <c r="S133" i="5"/>
  <c r="S132" i="5"/>
  <c r="S131" i="5"/>
  <c r="S130" i="5"/>
  <c r="S129" i="5"/>
  <c r="R132" i="5"/>
  <c r="R131" i="5"/>
  <c r="R130" i="5"/>
  <c r="R129" i="5"/>
  <c r="R127" i="5"/>
  <c r="Q133" i="5"/>
  <c r="Q130" i="5"/>
  <c r="Q129" i="5"/>
  <c r="Q127" i="5"/>
  <c r="P132" i="5"/>
  <c r="P130" i="5"/>
  <c r="P129" i="5"/>
  <c r="P127" i="5"/>
  <c r="O132" i="5"/>
  <c r="O127" i="5"/>
  <c r="J133" i="5"/>
  <c r="J132" i="5"/>
  <c r="J131" i="5"/>
  <c r="J130" i="5"/>
  <c r="J129" i="5"/>
  <c r="J92" i="5"/>
  <c r="J91" i="5"/>
  <c r="J90" i="5"/>
  <c r="J89" i="5"/>
  <c r="J88" i="5"/>
  <c r="J87" i="5"/>
  <c r="J86" i="5"/>
  <c r="J85" i="5"/>
  <c r="J84" i="5"/>
  <c r="J83" i="5"/>
  <c r="J82" i="5"/>
  <c r="J81" i="5"/>
  <c r="EH57" i="12"/>
  <c r="EH34" i="12"/>
  <c r="EH33" i="12"/>
  <c r="FC42" i="12"/>
  <c r="FD42" i="12" s="1"/>
  <c r="FA42" i="12"/>
  <c r="FB42" i="12" s="1"/>
  <c r="EY42" i="12"/>
  <c r="EZ42" i="12" s="1"/>
  <c r="EW42" i="12"/>
  <c r="FC39" i="12"/>
  <c r="FD39" i="12" s="1"/>
  <c r="FA39" i="12"/>
  <c r="FB39" i="12" s="1"/>
  <c r="EY39" i="12"/>
  <c r="EZ39" i="12" s="1"/>
  <c r="EW39" i="12"/>
  <c r="DC13" i="12" a="1"/>
  <c r="DC13" i="12" s="1"/>
  <c r="DB13" i="12" a="1"/>
  <c r="DB13" i="12" s="1"/>
  <c r="DA13" i="12" a="1"/>
  <c r="DA13" i="12" s="1"/>
  <c r="DB12" i="12" a="1"/>
  <c r="DB12" i="12" s="1"/>
  <c r="DC12" i="12" s="1"/>
  <c r="DA12" i="12" a="1"/>
  <c r="DA12" i="12" s="1"/>
  <c r="CZ12" i="12" s="1"/>
  <c r="DB11" i="12" a="1"/>
  <c r="DB11" i="12" s="1"/>
  <c r="DC11" i="12" s="1"/>
  <c r="DA11" i="12" a="1"/>
  <c r="DA11" i="12" s="1"/>
  <c r="CZ11" i="12" s="1"/>
  <c r="AW56" i="5" l="1"/>
  <c r="EX39" i="12"/>
  <c r="EX42" i="12"/>
  <c r="N37" i="3" l="1"/>
  <c r="N82" i="3"/>
  <c r="EW17" i="9" s="1"/>
  <c r="FW17" i="9" s="1"/>
  <c r="FX17" i="9" s="1"/>
  <c r="FY17" i="9" s="1"/>
  <c r="X52" i="3"/>
  <c r="DY16" i="9" s="1"/>
  <c r="EW25" i="9"/>
  <c r="FW25" i="9" s="1"/>
  <c r="FX25" i="9" s="1"/>
  <c r="FY25" i="9" s="1"/>
  <c r="FW27" i="9"/>
  <c r="FX27" i="9" s="1"/>
  <c r="FY27" i="9" s="1"/>
  <c r="FZ27" i="9" s="1"/>
  <c r="GA27" i="9" s="1"/>
  <c r="GB27" i="9" s="1"/>
  <c r="GC27" i="9" s="1"/>
  <c r="EW31" i="9"/>
  <c r="FW31" i="9" s="1"/>
  <c r="FX31" i="9" s="1"/>
  <c r="FY31" i="9" s="1"/>
  <c r="EW41" i="9"/>
  <c r="FW41" i="9" s="1"/>
  <c r="FX41" i="9" s="1"/>
  <c r="FY41" i="9" s="1"/>
  <c r="FW42" i="9"/>
  <c r="FX42" i="9"/>
  <c r="FY42" i="9" s="1"/>
  <c r="FZ42" i="9" s="1"/>
  <c r="GA42" i="9" s="1"/>
  <c r="GB42" i="9" s="1"/>
  <c r="GC42" i="9" s="1"/>
  <c r="GD42" i="9" s="1"/>
  <c r="GE42" i="9" s="1"/>
  <c r="GF42" i="9" s="1"/>
  <c r="GG42" i="9" s="1"/>
  <c r="EW48" i="9"/>
  <c r="FW48" i="9" s="1"/>
  <c r="FX48" i="9" s="1"/>
  <c r="FY48" i="9" s="1"/>
  <c r="EW51" i="9"/>
  <c r="FW51" i="9" s="1"/>
  <c r="FX51" i="9" s="1"/>
  <c r="FY51" i="9" s="1"/>
  <c r="EW52" i="9"/>
  <c r="FW52" i="9" s="1"/>
  <c r="FX52" i="9" s="1"/>
  <c r="FY52" i="9" s="1"/>
  <c r="EW53" i="9"/>
  <c r="FW53" i="9"/>
  <c r="FX53" i="9" s="1"/>
  <c r="FY53" i="9" s="1"/>
  <c r="EW55" i="9"/>
  <c r="FW55" i="9" s="1"/>
  <c r="FX55" i="9" s="1"/>
  <c r="FY55" i="9" s="1"/>
  <c r="EW56" i="9"/>
  <c r="FW56" i="9" s="1"/>
  <c r="FX56" i="9" s="1"/>
  <c r="FY56" i="9" s="1"/>
  <c r="FW57" i="9"/>
  <c r="FX57" i="9"/>
  <c r="FY57" i="9" s="1"/>
  <c r="FZ57" i="9" s="1"/>
  <c r="GA57" i="9" s="1"/>
  <c r="GB57" i="9" s="1"/>
  <c r="GC57" i="9" s="1"/>
  <c r="GD57" i="9" s="1"/>
  <c r="GE57" i="9" s="1"/>
  <c r="GF57" i="9" s="1"/>
  <c r="GG57" i="9" s="1"/>
  <c r="EW58" i="9"/>
  <c r="FW58" i="9"/>
  <c r="FX58" i="9" s="1"/>
  <c r="FY58" i="9" s="1"/>
  <c r="EW59" i="9"/>
  <c r="FW59" i="9" s="1"/>
  <c r="FX59" i="9" s="1"/>
  <c r="FY59" i="9" s="1"/>
  <c r="EW60" i="9"/>
  <c r="FW60" i="9"/>
  <c r="FX60" i="9" s="1"/>
  <c r="FY60" i="9" s="1"/>
  <c r="EW61" i="9"/>
  <c r="FW61" i="9" s="1"/>
  <c r="FX61" i="9" s="1"/>
  <c r="FY61" i="9" s="1"/>
  <c r="EW62" i="9"/>
  <c r="FW62" i="9" s="1"/>
  <c r="FX62" i="9" s="1"/>
  <c r="FY62" i="9" s="1"/>
  <c r="EW63" i="9"/>
  <c r="FW63" i="9" s="1"/>
  <c r="FX63" i="9" s="1"/>
  <c r="FY63" i="9" s="1"/>
  <c r="EW64" i="9"/>
  <c r="FW64" i="9" s="1"/>
  <c r="FX64" i="9" s="1"/>
  <c r="FY64" i="9" s="1"/>
  <c r="EW65" i="9"/>
  <c r="FW65" i="9" s="1"/>
  <c r="FX65" i="9" s="1"/>
  <c r="FY65" i="9" s="1"/>
  <c r="EW67" i="9"/>
  <c r="FW67" i="9" s="1"/>
  <c r="FX67" i="9" s="1"/>
  <c r="FY67" i="9" s="1"/>
  <c r="EW68" i="9"/>
  <c r="FW68" i="9" s="1"/>
  <c r="FX68" i="9" s="1"/>
  <c r="FY68" i="9" s="1"/>
  <c r="EW69" i="9"/>
  <c r="FW69" i="9" s="1"/>
  <c r="FX69" i="9" s="1"/>
  <c r="FY69" i="9" s="1"/>
  <c r="EW70" i="9"/>
  <c r="FW70" i="9"/>
  <c r="FX70" i="9" s="1"/>
  <c r="FY70" i="9" s="1"/>
  <c r="EW71" i="9"/>
  <c r="FW71" i="9"/>
  <c r="FX71" i="9" s="1"/>
  <c r="FY71" i="9" s="1"/>
  <c r="FW72" i="9"/>
  <c r="FX72" i="9"/>
  <c r="FY72" i="9" s="1"/>
  <c r="EW73" i="9"/>
  <c r="FW73" i="9" s="1"/>
  <c r="FX73" i="9" s="1"/>
  <c r="FY73" i="9" s="1"/>
  <c r="EW74" i="9"/>
  <c r="FW74" i="9" s="1"/>
  <c r="FX74" i="9" s="1"/>
  <c r="FY74" i="9" s="1"/>
  <c r="EW75" i="9"/>
  <c r="FW75" i="9" s="1"/>
  <c r="FX75" i="9" s="1"/>
  <c r="FY75" i="9" s="1"/>
  <c r="EW76" i="9"/>
  <c r="FW76" i="9" s="1"/>
  <c r="FX76" i="9" s="1"/>
  <c r="FY76" i="9" s="1"/>
  <c r="EW77" i="9"/>
  <c r="FW77" i="9"/>
  <c r="FX77" i="9" s="1"/>
  <c r="FY77" i="9" s="1"/>
  <c r="EW78" i="9"/>
  <c r="FW78" i="9" s="1"/>
  <c r="FX78" i="9" s="1"/>
  <c r="FY78" i="9" s="1"/>
  <c r="EW79" i="9"/>
  <c r="FW79" i="9" s="1"/>
  <c r="FX79" i="9" s="1"/>
  <c r="FY79" i="9" s="1"/>
  <c r="EW80" i="9"/>
  <c r="FW80" i="9" s="1"/>
  <c r="FX80" i="9" s="1"/>
  <c r="FY80" i="9" s="1"/>
  <c r="EW81" i="9"/>
  <c r="FW81" i="9"/>
  <c r="FX81" i="9" s="1"/>
  <c r="FY81" i="9" s="1"/>
  <c r="EW82" i="9"/>
  <c r="FW82" i="9" s="1"/>
  <c r="FX82" i="9" s="1"/>
  <c r="FY82" i="9" s="1"/>
  <c r="EW83" i="9"/>
  <c r="FW83" i="9"/>
  <c r="FX83" i="9" s="1"/>
  <c r="FY83" i="9" s="1"/>
  <c r="EW84" i="9"/>
  <c r="FW84" i="9" s="1"/>
  <c r="FX84" i="9" s="1"/>
  <c r="FY84" i="9" s="1"/>
  <c r="FW87" i="9"/>
  <c r="FX87" i="9" s="1"/>
  <c r="FY87" i="9" s="1"/>
  <c r="FZ87" i="9" s="1"/>
  <c r="GA87" i="9" s="1"/>
  <c r="GB87" i="9" s="1"/>
  <c r="GC87" i="9" s="1"/>
  <c r="GD87" i="9" s="1"/>
  <c r="GE87" i="9" s="1"/>
  <c r="GF87" i="9" s="1"/>
  <c r="GG87" i="9" s="1"/>
  <c r="GH87" i="9" s="1"/>
  <c r="GI87" i="9" s="1"/>
  <c r="FW88" i="9"/>
  <c r="FX88" i="9" s="1"/>
  <c r="FY88" i="9" s="1"/>
  <c r="FZ88" i="9" s="1"/>
  <c r="GA88" i="9" s="1"/>
  <c r="GB88" i="9" s="1"/>
  <c r="GC88" i="9" s="1"/>
  <c r="GD88" i="9" s="1"/>
  <c r="GE88" i="9" s="1"/>
  <c r="GF88" i="9" s="1"/>
  <c r="GG88" i="9" s="1"/>
  <c r="GH88" i="9" s="1"/>
  <c r="GI88" i="9" s="1"/>
  <c r="FW89" i="9"/>
  <c r="FX89" i="9"/>
  <c r="FY89" i="9" s="1"/>
  <c r="FZ89" i="9" s="1"/>
  <c r="GA89" i="9" s="1"/>
  <c r="GB89" i="9" s="1"/>
  <c r="GC89" i="9" s="1"/>
  <c r="GD89" i="9" s="1"/>
  <c r="GE89" i="9" s="1"/>
  <c r="GF89" i="9" s="1"/>
  <c r="FW90" i="9"/>
  <c r="FX90" i="9" s="1"/>
  <c r="FY90" i="9" s="1"/>
  <c r="FZ90" i="9" s="1"/>
  <c r="GA90" i="9" s="1"/>
  <c r="GB90" i="9" s="1"/>
  <c r="GC90" i="9" s="1"/>
  <c r="FW91" i="9"/>
  <c r="FX91" i="9" s="1"/>
  <c r="FY91" i="9" s="1"/>
  <c r="FZ91" i="9" s="1"/>
  <c r="GA91" i="9" s="1"/>
  <c r="GB91" i="9" s="1"/>
  <c r="GC91" i="9" s="1"/>
  <c r="FW92" i="9"/>
  <c r="FX92" i="9" s="1"/>
  <c r="FY92" i="9" s="1"/>
  <c r="FZ92" i="9" s="1"/>
  <c r="GA92" i="9" s="1"/>
  <c r="GB92" i="9" s="1"/>
  <c r="GC92" i="9" s="1"/>
  <c r="FW93" i="9"/>
  <c r="FX93" i="9"/>
  <c r="FY93" i="9" s="1"/>
  <c r="FZ93" i="9" s="1"/>
  <c r="GA93" i="9" s="1"/>
  <c r="GB93" i="9" s="1"/>
  <c r="GC93" i="9" s="1"/>
  <c r="GD93" i="9" s="1"/>
  <c r="GE93" i="9" s="1"/>
  <c r="GF93" i="9" s="1"/>
  <c r="GG93" i="9" s="1"/>
  <c r="FW94" i="9"/>
  <c r="FX94" i="9"/>
  <c r="FY94" i="9" s="1"/>
  <c r="FZ94" i="9" s="1"/>
  <c r="GA94" i="9" s="1"/>
  <c r="GB94" i="9" s="1"/>
  <c r="GC94" i="9" s="1"/>
  <c r="FW95" i="9"/>
  <c r="FX95" i="9" s="1"/>
  <c r="FY95" i="9" s="1"/>
  <c r="FZ95" i="9" s="1"/>
  <c r="GA95" i="9" s="1"/>
  <c r="GB95" i="9" s="1"/>
  <c r="GC95" i="9" s="1"/>
  <c r="FW96" i="9"/>
  <c r="FX96" i="9" s="1"/>
  <c r="FY96" i="9" s="1"/>
  <c r="FZ96" i="9" s="1"/>
  <c r="GA96" i="9" s="1"/>
  <c r="GB96" i="9" s="1"/>
  <c r="GC96" i="9" s="1"/>
  <c r="FW97" i="9"/>
  <c r="FX97" i="9" s="1"/>
  <c r="FY97" i="9" s="1"/>
  <c r="FZ97" i="9" s="1"/>
  <c r="GA97" i="9" s="1"/>
  <c r="GB97" i="9" s="1"/>
  <c r="GC97" i="9" s="1"/>
  <c r="GD97" i="9" s="1"/>
  <c r="GE97" i="9" s="1"/>
  <c r="GF97" i="9" s="1"/>
  <c r="GG97" i="9" s="1"/>
  <c r="GH97" i="9" s="1"/>
  <c r="GI97" i="9" s="1"/>
  <c r="FW98" i="9"/>
  <c r="FX98" i="9" s="1"/>
  <c r="FY98" i="9" s="1"/>
  <c r="FZ98" i="9" s="1"/>
  <c r="GA98" i="9" s="1"/>
  <c r="GB98" i="9" s="1"/>
  <c r="GC98" i="9" s="1"/>
  <c r="GD98" i="9" s="1"/>
  <c r="GE98" i="9" s="1"/>
  <c r="GF98" i="9" s="1"/>
  <c r="GG98" i="9" s="1"/>
  <c r="FW99" i="9"/>
  <c r="FX99" i="9"/>
  <c r="FY99" i="9" s="1"/>
  <c r="FZ99" i="9" s="1"/>
  <c r="GA99" i="9" s="1"/>
  <c r="GB99" i="9" s="1"/>
  <c r="GC99" i="9" s="1"/>
  <c r="FW100" i="9"/>
  <c r="FX100" i="9" s="1"/>
  <c r="FY100" i="9" s="1"/>
  <c r="FZ100" i="9" s="1"/>
  <c r="GA100" i="9" s="1"/>
  <c r="GB100" i="9" s="1"/>
  <c r="GC100" i="9" s="1"/>
  <c r="FW101" i="9"/>
  <c r="FX101" i="9" s="1"/>
  <c r="FY101" i="9" s="1"/>
  <c r="FZ101" i="9" s="1"/>
  <c r="GA101" i="9" s="1"/>
  <c r="GB101" i="9" s="1"/>
  <c r="GC101" i="9" s="1"/>
  <c r="GD101" i="9" s="1"/>
  <c r="GE101" i="9" s="1"/>
  <c r="GF101" i="9" s="1"/>
  <c r="GG101" i="9" s="1"/>
  <c r="GH101" i="9" s="1"/>
  <c r="GI101" i="9" s="1"/>
  <c r="FW102" i="9"/>
  <c r="FX102" i="9" s="1"/>
  <c r="FY102" i="9" s="1"/>
  <c r="FZ102" i="9" s="1"/>
  <c r="GA102" i="9" s="1"/>
  <c r="GB102" i="9" s="1"/>
  <c r="GC102" i="9" s="1"/>
  <c r="GD102" i="9" s="1"/>
  <c r="GE102" i="9" s="1"/>
  <c r="GF102" i="9" s="1"/>
  <c r="GG102" i="9" s="1"/>
  <c r="GH102" i="9" s="1"/>
  <c r="GI102" i="9" s="1"/>
  <c r="FW103" i="9"/>
  <c r="FX103" i="9" s="1"/>
  <c r="FY103" i="9" s="1"/>
  <c r="FZ103" i="9" s="1"/>
  <c r="GA103" i="9" s="1"/>
  <c r="GB103" i="9" s="1"/>
  <c r="GC103" i="9" s="1"/>
  <c r="FW104" i="9"/>
  <c r="FX104" i="9" s="1"/>
  <c r="FY104" i="9" s="1"/>
  <c r="FZ104" i="9" s="1"/>
  <c r="GA104" i="9" s="1"/>
  <c r="GB104" i="9" s="1"/>
  <c r="GC104" i="9" s="1"/>
  <c r="FW105" i="9"/>
  <c r="FX105" i="9" s="1"/>
  <c r="FY105" i="9" s="1"/>
  <c r="FZ105" i="9" s="1"/>
  <c r="GA105" i="9" s="1"/>
  <c r="GB105" i="9" s="1"/>
  <c r="GC105" i="9" s="1"/>
  <c r="FW106" i="9"/>
  <c r="FX106" i="9" s="1"/>
  <c r="FY106" i="9" s="1"/>
  <c r="FZ106" i="9" s="1"/>
  <c r="GA106" i="9" s="1"/>
  <c r="GB106" i="9" s="1"/>
  <c r="GC106" i="9" s="1"/>
  <c r="FW107" i="9"/>
  <c r="FX107" i="9" s="1"/>
  <c r="FY107" i="9" s="1"/>
  <c r="FZ107" i="9" s="1"/>
  <c r="GA107" i="9" s="1"/>
  <c r="GB107" i="9" s="1"/>
  <c r="GC107" i="9" s="1"/>
  <c r="GD107" i="9" s="1"/>
  <c r="GE107" i="9" s="1"/>
  <c r="GF107" i="9" s="1"/>
  <c r="GG107" i="9" s="1"/>
  <c r="GH107" i="9" s="1"/>
  <c r="GI107" i="9" s="1"/>
  <c r="FW108" i="9"/>
  <c r="FX108" i="9" s="1"/>
  <c r="FY108" i="9" s="1"/>
  <c r="FZ108" i="9" s="1"/>
  <c r="GA108" i="9" s="1"/>
  <c r="GB108" i="9" s="1"/>
  <c r="GC108" i="9" s="1"/>
  <c r="FW109" i="9"/>
  <c r="FX109" i="9"/>
  <c r="FY109" i="9" s="1"/>
  <c r="FZ109" i="9" s="1"/>
  <c r="GA109" i="9" s="1"/>
  <c r="GB109" i="9" s="1"/>
  <c r="GC109" i="9" s="1"/>
  <c r="FW110" i="9"/>
  <c r="FX110" i="9"/>
  <c r="FY110" i="9" s="1"/>
  <c r="FZ110" i="9" s="1"/>
  <c r="GA110" i="9" s="1"/>
  <c r="GB110" i="9" s="1"/>
  <c r="GC110" i="9" s="1"/>
  <c r="GD110" i="9" s="1"/>
  <c r="GE110" i="9" s="1"/>
  <c r="GF110" i="9" s="1"/>
  <c r="GG110" i="9" s="1"/>
  <c r="GH110" i="9" s="1"/>
  <c r="GI110" i="9" s="1"/>
  <c r="FW111" i="9"/>
  <c r="FX111" i="9" s="1"/>
  <c r="FY111" i="9" s="1"/>
  <c r="FZ111" i="9" s="1"/>
  <c r="GA111" i="9" s="1"/>
  <c r="GB111" i="9" s="1"/>
  <c r="GC111" i="9" s="1"/>
  <c r="GD111" i="9" s="1"/>
  <c r="GE111" i="9" s="1"/>
  <c r="GF111" i="9" s="1"/>
  <c r="GG111" i="9" s="1"/>
  <c r="FW112" i="9"/>
  <c r="FX112" i="9"/>
  <c r="FY112" i="9" s="1"/>
  <c r="FZ112" i="9" s="1"/>
  <c r="GA112" i="9" s="1"/>
  <c r="GB112" i="9" s="1"/>
  <c r="GC112" i="9" s="1"/>
  <c r="GD112" i="9" s="1"/>
  <c r="FW113" i="9"/>
  <c r="FX113" i="9"/>
  <c r="FY113" i="9" s="1"/>
  <c r="FZ113" i="9" s="1"/>
  <c r="GA113" i="9" s="1"/>
  <c r="GB113" i="9" s="1"/>
  <c r="GC113" i="9" s="1"/>
  <c r="FW114" i="9"/>
  <c r="FX114" i="9" s="1"/>
  <c r="FY114" i="9" s="1"/>
  <c r="FZ114" i="9" s="1"/>
  <c r="GA114" i="9" s="1"/>
  <c r="GB114" i="9" s="1"/>
  <c r="GC114" i="9" s="1"/>
  <c r="GD114" i="9" s="1"/>
  <c r="GE114" i="9" s="1"/>
  <c r="GF114" i="9" s="1"/>
  <c r="GG114" i="9" s="1"/>
  <c r="GH114" i="9" s="1"/>
  <c r="GI114" i="9" s="1"/>
  <c r="FW115" i="9"/>
  <c r="FX115" i="9" s="1"/>
  <c r="FY115" i="9" s="1"/>
  <c r="FZ115" i="9" s="1"/>
  <c r="GA115" i="9" s="1"/>
  <c r="GB115" i="9" s="1"/>
  <c r="GC115" i="9" s="1"/>
  <c r="GD115" i="9" s="1"/>
  <c r="GE115" i="9" s="1"/>
  <c r="GF115" i="9" s="1"/>
  <c r="GG115" i="9" s="1"/>
  <c r="FW116" i="9"/>
  <c r="FX116" i="9" s="1"/>
  <c r="FY116" i="9" s="1"/>
  <c r="FZ116" i="9" s="1"/>
  <c r="GA116" i="9" s="1"/>
  <c r="GB116" i="9" s="1"/>
  <c r="GC116" i="9" s="1"/>
  <c r="GD116" i="9" s="1"/>
  <c r="GE116" i="9" s="1"/>
  <c r="GF116" i="9" s="1"/>
  <c r="GG116" i="9" s="1"/>
  <c r="GH116" i="9" s="1"/>
  <c r="GI116" i="9" s="1"/>
  <c r="FW117" i="9"/>
  <c r="FX117" i="9"/>
  <c r="FY117" i="9" s="1"/>
  <c r="FZ117" i="9" s="1"/>
  <c r="GA117" i="9" s="1"/>
  <c r="GB117" i="9" s="1"/>
  <c r="GC117" i="9" s="1"/>
  <c r="FW118" i="9"/>
  <c r="FX118" i="9"/>
  <c r="FY118" i="9" s="1"/>
  <c r="FZ118" i="9" s="1"/>
  <c r="GA118" i="9" s="1"/>
  <c r="GB118" i="9" s="1"/>
  <c r="GC118" i="9" s="1"/>
  <c r="GD118" i="9" s="1"/>
  <c r="GE118" i="9" s="1"/>
  <c r="GF118" i="9" s="1"/>
  <c r="GG118" i="9" s="1"/>
  <c r="FW119" i="9"/>
  <c r="FX119" i="9" s="1"/>
  <c r="FY119" i="9" s="1"/>
  <c r="FZ119" i="9"/>
  <c r="GA119" i="9" s="1"/>
  <c r="GB119" i="9" s="1"/>
  <c r="GC119" i="9" s="1"/>
  <c r="GD119" i="9" s="1"/>
  <c r="GE119" i="9" s="1"/>
  <c r="GF119" i="9" s="1"/>
  <c r="GG119" i="9" s="1"/>
  <c r="GH119" i="9" s="1"/>
  <c r="GI119" i="9" s="1"/>
  <c r="FW120" i="9"/>
  <c r="FX120" i="9"/>
  <c r="FY120" i="9" s="1"/>
  <c r="FZ120" i="9" s="1"/>
  <c r="GA120" i="9" s="1"/>
  <c r="GB120" i="9" s="1"/>
  <c r="GC120" i="9" s="1"/>
  <c r="FW121" i="9"/>
  <c r="FX121" i="9"/>
  <c r="FY121" i="9" s="1"/>
  <c r="FZ121" i="9" s="1"/>
  <c r="GA121" i="9" s="1"/>
  <c r="GB121" i="9" s="1"/>
  <c r="GC121" i="9" s="1"/>
  <c r="FW122" i="9"/>
  <c r="FX122" i="9" s="1"/>
  <c r="FY122" i="9" s="1"/>
  <c r="FZ122" i="9" s="1"/>
  <c r="GA122" i="9" s="1"/>
  <c r="GB122" i="9" s="1"/>
  <c r="GC122" i="9" s="1"/>
  <c r="FW123" i="9"/>
  <c r="FX123" i="9"/>
  <c r="FY123" i="9" s="1"/>
  <c r="FZ123" i="9" s="1"/>
  <c r="GA123" i="9" s="1"/>
  <c r="GB123" i="9" s="1"/>
  <c r="GC123" i="9" s="1"/>
  <c r="GD123" i="9" s="1"/>
  <c r="GE123" i="9" s="1"/>
  <c r="GF123" i="9" s="1"/>
  <c r="GG123" i="9" s="1"/>
  <c r="GH123" i="9" s="1"/>
  <c r="GI123" i="9" s="1"/>
  <c r="FW124" i="9"/>
  <c r="FX124" i="9" s="1"/>
  <c r="FY124" i="9" s="1"/>
  <c r="FZ124" i="9" s="1"/>
  <c r="GA124" i="9" s="1"/>
  <c r="GB124" i="9" s="1"/>
  <c r="GC124" i="9" s="1"/>
  <c r="GD124" i="9" s="1"/>
  <c r="GE124" i="9" s="1"/>
  <c r="GF124" i="9" s="1"/>
  <c r="GG124" i="9" s="1"/>
  <c r="FW125" i="9"/>
  <c r="FX125" i="9" s="1"/>
  <c r="FY125" i="9" s="1"/>
  <c r="FZ125" i="9" s="1"/>
  <c r="GA125" i="9" s="1"/>
  <c r="GB125" i="9" s="1"/>
  <c r="GC125" i="9" s="1"/>
  <c r="GD125" i="9" s="1"/>
  <c r="GE125" i="9" s="1"/>
  <c r="GF125" i="9" s="1"/>
  <c r="GG125" i="9" s="1"/>
  <c r="GH125" i="9" s="1"/>
  <c r="GI125" i="9" s="1"/>
  <c r="FW126" i="9"/>
  <c r="FX126" i="9" s="1"/>
  <c r="FY126" i="9" s="1"/>
  <c r="FZ126" i="9" s="1"/>
  <c r="GA126" i="9" s="1"/>
  <c r="GB126" i="9" s="1"/>
  <c r="GC126" i="9" s="1"/>
  <c r="FW127" i="9"/>
  <c r="FX127" i="9" s="1"/>
  <c r="FY127" i="9" s="1"/>
  <c r="FZ127" i="9" s="1"/>
  <c r="GA127" i="9" s="1"/>
  <c r="GB127" i="9" s="1"/>
  <c r="GC127" i="9" s="1"/>
  <c r="GD127" i="9" s="1"/>
  <c r="GE127" i="9" s="1"/>
  <c r="GF127" i="9" s="1"/>
  <c r="GG127" i="9" s="1"/>
  <c r="GH127" i="9" s="1"/>
  <c r="GI127" i="9" s="1"/>
  <c r="FW128" i="9"/>
  <c r="FX128" i="9" s="1"/>
  <c r="FY128" i="9" s="1"/>
  <c r="FZ128" i="9" s="1"/>
  <c r="GA128" i="9" s="1"/>
  <c r="GB128" i="9" s="1"/>
  <c r="GC128" i="9" s="1"/>
  <c r="GD128" i="9" s="1"/>
  <c r="FW129" i="9"/>
  <c r="FX129" i="9" s="1"/>
  <c r="FY129" i="9" s="1"/>
  <c r="FW130" i="9"/>
  <c r="FX130" i="9" s="1"/>
  <c r="FY130" i="9" s="1"/>
  <c r="FZ130" i="9" s="1"/>
  <c r="GA130" i="9" s="1"/>
  <c r="GB130" i="9" s="1"/>
  <c r="GC130" i="9" s="1"/>
  <c r="FW131" i="9"/>
  <c r="FX131" i="9" s="1"/>
  <c r="FY131" i="9" s="1"/>
  <c r="FZ131" i="9" s="1"/>
  <c r="GA131" i="9" s="1"/>
  <c r="GB131" i="9" s="1"/>
  <c r="GC131" i="9" s="1"/>
  <c r="GD131" i="9" s="1"/>
  <c r="GE131" i="9" s="1"/>
  <c r="GF131" i="9" s="1"/>
  <c r="GG131" i="9" s="1"/>
  <c r="GH131" i="9" s="1"/>
  <c r="GI131" i="9" s="1"/>
  <c r="FW132" i="9"/>
  <c r="FX132" i="9" s="1"/>
  <c r="FY132" i="9" s="1"/>
  <c r="FZ132" i="9" s="1"/>
  <c r="GA132" i="9" s="1"/>
  <c r="GB132" i="9" s="1"/>
  <c r="GC132" i="9" s="1"/>
  <c r="FW133" i="9"/>
  <c r="FX133" i="9"/>
  <c r="FY133" i="9" s="1"/>
  <c r="FZ133" i="9" s="1"/>
  <c r="GA133" i="9" s="1"/>
  <c r="GB133" i="9" s="1"/>
  <c r="GC133" i="9" s="1"/>
  <c r="GD133" i="9" s="1"/>
  <c r="GE133" i="9" s="1"/>
  <c r="GF133" i="9" s="1"/>
  <c r="GG133" i="9" s="1"/>
  <c r="GH133" i="9" s="1"/>
  <c r="GI133" i="9" s="1"/>
  <c r="FW134" i="9"/>
  <c r="FX134" i="9"/>
  <c r="FY134" i="9" s="1"/>
  <c r="FZ134" i="9" s="1"/>
  <c r="GA134" i="9" s="1"/>
  <c r="GB134" i="9" s="1"/>
  <c r="GC134" i="9" s="1"/>
  <c r="GD134" i="9" s="1"/>
  <c r="GE134" i="9" s="1"/>
  <c r="GF134" i="9" s="1"/>
  <c r="GG134" i="9" s="1"/>
  <c r="GH134" i="9" s="1"/>
  <c r="EW136" i="9"/>
  <c r="FW136" i="9" s="1"/>
  <c r="FX136" i="9" s="1"/>
  <c r="FY136" i="9" s="1"/>
  <c r="EW137" i="9"/>
  <c r="FW137" i="9" s="1"/>
  <c r="FX137" i="9" s="1"/>
  <c r="FY137" i="9" s="1"/>
  <c r="EW138" i="9"/>
  <c r="FW138" i="9" s="1"/>
  <c r="FX138" i="9" s="1"/>
  <c r="FY138" i="9" s="1"/>
  <c r="EW139" i="9"/>
  <c r="FW139" i="9" s="1"/>
  <c r="FX139" i="9" s="1"/>
  <c r="FY139" i="9" s="1"/>
  <c r="EW140" i="9"/>
  <c r="FW140" i="9" s="1"/>
  <c r="FX140" i="9" s="1"/>
  <c r="FY140" i="9" s="1"/>
  <c r="EW141" i="9"/>
  <c r="FW141" i="9" s="1"/>
  <c r="FX141" i="9" s="1"/>
  <c r="FY141" i="9" s="1"/>
  <c r="EW142" i="9"/>
  <c r="FW142" i="9" s="1"/>
  <c r="FX142" i="9" s="1"/>
  <c r="FY142" i="9" s="1"/>
  <c r="EW143" i="9"/>
  <c r="FW143" i="9" s="1"/>
  <c r="FX143" i="9" s="1"/>
  <c r="FY143" i="9" s="1"/>
  <c r="EW145" i="9"/>
  <c r="FW145" i="9" s="1"/>
  <c r="FX145" i="9" s="1"/>
  <c r="FY145" i="9" s="1"/>
  <c r="EW146" i="9"/>
  <c r="FW146" i="9" s="1"/>
  <c r="FX146" i="9" s="1"/>
  <c r="FY146" i="9" s="1"/>
  <c r="EW147" i="9"/>
  <c r="FW147" i="9" s="1"/>
  <c r="FX147" i="9" s="1"/>
  <c r="FY147" i="9" s="1"/>
  <c r="EW148" i="9"/>
  <c r="FW148" i="9"/>
  <c r="FX148" i="9" s="1"/>
  <c r="FY148" i="9" s="1"/>
  <c r="FW149" i="9"/>
  <c r="FX149" i="9" s="1"/>
  <c r="FY149" i="9" s="1"/>
  <c r="FZ149" i="9" s="1"/>
  <c r="GA149" i="9" s="1"/>
  <c r="GB149" i="9" s="1"/>
  <c r="GC149" i="9" s="1"/>
  <c r="GD149" i="9" s="1"/>
  <c r="GE149" i="9" s="1"/>
  <c r="GF149" i="9" s="1"/>
  <c r="GG149" i="9" s="1"/>
  <c r="EW150" i="9"/>
  <c r="FW150" i="9" s="1"/>
  <c r="FX150" i="9" s="1"/>
  <c r="FY150" i="9" s="1"/>
  <c r="EW151" i="9"/>
  <c r="FW151" i="9" s="1"/>
  <c r="FX151" i="9" s="1"/>
  <c r="FY151" i="9" s="1"/>
  <c r="EW152" i="9"/>
  <c r="FW152" i="9"/>
  <c r="FX152" i="9" s="1"/>
  <c r="FY152" i="9" s="1"/>
  <c r="EW153" i="9"/>
  <c r="FW153" i="9" s="1"/>
  <c r="FX153" i="9" s="1"/>
  <c r="FY153" i="9" s="1"/>
  <c r="EW154" i="9"/>
  <c r="FW154" i="9" s="1"/>
  <c r="FX154" i="9" s="1"/>
  <c r="FY154" i="9" s="1"/>
  <c r="EW155" i="9"/>
  <c r="FW155" i="9" s="1"/>
  <c r="FX155" i="9" s="1"/>
  <c r="FY155" i="9" s="1"/>
  <c r="EW156" i="9"/>
  <c r="FW156" i="9"/>
  <c r="FX156" i="9" s="1"/>
  <c r="FY156" i="9" s="1"/>
  <c r="EW157" i="9"/>
  <c r="FW157" i="9" s="1"/>
  <c r="FX157" i="9" s="1"/>
  <c r="FY157" i="9" s="1"/>
  <c r="EW158" i="9"/>
  <c r="FW158" i="9" s="1"/>
  <c r="FX158" i="9" s="1"/>
  <c r="FY158" i="9" s="1"/>
  <c r="EW159" i="9"/>
  <c r="FW159" i="9" s="1"/>
  <c r="FX159" i="9" s="1"/>
  <c r="FY159" i="9" s="1"/>
  <c r="EW160" i="9"/>
  <c r="FW160" i="9"/>
  <c r="FX160" i="9" s="1"/>
  <c r="FY160" i="9" s="1"/>
  <c r="EW161" i="9"/>
  <c r="FW161" i="9" s="1"/>
  <c r="FX161" i="9" s="1"/>
  <c r="FY161" i="9" s="1"/>
  <c r="EW162" i="9"/>
  <c r="FW162" i="9" s="1"/>
  <c r="FX162" i="9" s="1"/>
  <c r="FY162" i="9" s="1"/>
  <c r="EW163" i="9"/>
  <c r="FW163" i="9" s="1"/>
  <c r="FX163" i="9" s="1"/>
  <c r="FY163" i="9" s="1"/>
  <c r="FW164" i="9"/>
  <c r="FX164" i="9"/>
  <c r="FY164" i="9" s="1"/>
  <c r="FZ164" i="9" s="1"/>
  <c r="GA164" i="9" s="1"/>
  <c r="GB164" i="9" s="1"/>
  <c r="GC164" i="9" s="1"/>
  <c r="EW165" i="9"/>
  <c r="FW165" i="9" s="1"/>
  <c r="FX165" i="9" s="1"/>
  <c r="FY165" i="9" s="1"/>
  <c r="EW166" i="9"/>
  <c r="FW166" i="9" s="1"/>
  <c r="FX166" i="9" s="1"/>
  <c r="FY166" i="9" s="1"/>
  <c r="EW167" i="9"/>
  <c r="FW167" i="9" s="1"/>
  <c r="FX167" i="9" s="1"/>
  <c r="FY167" i="9" s="1"/>
  <c r="EW168" i="9"/>
  <c r="FW168" i="9" s="1"/>
  <c r="FX168" i="9" s="1"/>
  <c r="FY168" i="9" s="1"/>
  <c r="EW169" i="9"/>
  <c r="FW169" i="9"/>
  <c r="FX169" i="9" s="1"/>
  <c r="FY169" i="9" s="1"/>
  <c r="EW170" i="9"/>
  <c r="FW170" i="9" s="1"/>
  <c r="FX170" i="9" s="1"/>
  <c r="FY170" i="9" s="1"/>
  <c r="EW171" i="9"/>
  <c r="FW171" i="9" s="1"/>
  <c r="FX171" i="9" s="1"/>
  <c r="FY171" i="9" s="1"/>
  <c r="EW172" i="9"/>
  <c r="FW172" i="9" s="1"/>
  <c r="FX172" i="9" s="1"/>
  <c r="FY172" i="9" s="1"/>
  <c r="EW173" i="9"/>
  <c r="FW173" i="9"/>
  <c r="FX173" i="9" s="1"/>
  <c r="FY173" i="9" s="1"/>
  <c r="EW174" i="9"/>
  <c r="FW174" i="9" s="1"/>
  <c r="FX174" i="9" s="1"/>
  <c r="FY174" i="9" s="1"/>
  <c r="EW175" i="9"/>
  <c r="FW175" i="9" s="1"/>
  <c r="FX175" i="9" s="1"/>
  <c r="FY175" i="9" s="1"/>
  <c r="EW176" i="9"/>
  <c r="FW176" i="9" s="1"/>
  <c r="FX176" i="9" s="1"/>
  <c r="FY176" i="9" s="1"/>
  <c r="EW177" i="9"/>
  <c r="FW177" i="9"/>
  <c r="FX177" i="9" s="1"/>
  <c r="FY177" i="9" s="1"/>
  <c r="EW178" i="9"/>
  <c r="FW178" i="9" s="1"/>
  <c r="FX178" i="9" s="1"/>
  <c r="FY178" i="9" s="1"/>
  <c r="FW179" i="9"/>
  <c r="FX179" i="9" s="1"/>
  <c r="FY179" i="9" s="1"/>
  <c r="FZ179" i="9" s="1"/>
  <c r="GA179" i="9" s="1"/>
  <c r="GB179" i="9" s="1"/>
  <c r="GC179" i="9" s="1"/>
  <c r="EW180" i="9"/>
  <c r="FW180" i="9" s="1"/>
  <c r="FX180" i="9" s="1"/>
  <c r="FY180" i="9" s="1"/>
  <c r="EW181" i="9"/>
  <c r="FW181" i="9"/>
  <c r="FX181" i="9" s="1"/>
  <c r="FY181" i="9" s="1"/>
  <c r="EW182" i="9"/>
  <c r="FW182" i="9"/>
  <c r="FX182" i="9" s="1"/>
  <c r="FY182" i="9" s="1"/>
  <c r="EW183" i="9"/>
  <c r="FW183" i="9" s="1"/>
  <c r="FX183" i="9" s="1"/>
  <c r="FY183" i="9" s="1"/>
  <c r="EW184" i="9"/>
  <c r="FW184" i="9" s="1"/>
  <c r="FX184" i="9" s="1"/>
  <c r="FY184" i="9" s="1"/>
  <c r="EW185" i="9"/>
  <c r="FW185" i="9"/>
  <c r="FX185" i="9" s="1"/>
  <c r="FY185" i="9" s="1"/>
  <c r="EW186" i="9"/>
  <c r="FW186" i="9"/>
  <c r="FX186" i="9" s="1"/>
  <c r="FY186" i="9" s="1"/>
  <c r="EW187" i="9"/>
  <c r="FW187" i="9" s="1"/>
  <c r="FX187" i="9" s="1"/>
  <c r="FY187" i="9" s="1"/>
  <c r="EW188" i="9"/>
  <c r="FW188" i="9" s="1"/>
  <c r="FX188" i="9" s="1"/>
  <c r="FY188" i="9" s="1"/>
  <c r="EW189" i="9"/>
  <c r="FW189" i="9" s="1"/>
  <c r="FX189" i="9" s="1"/>
  <c r="FY189" i="9" s="1"/>
  <c r="EW190" i="9"/>
  <c r="FW190" i="9"/>
  <c r="FX190" i="9" s="1"/>
  <c r="FY190" i="9" s="1"/>
  <c r="EW191" i="9"/>
  <c r="FW191" i="9" s="1"/>
  <c r="FX191" i="9" s="1"/>
  <c r="FY191" i="9" s="1"/>
  <c r="EW192" i="9"/>
  <c r="FW192" i="9" s="1"/>
  <c r="FX192" i="9" s="1"/>
  <c r="FY192" i="9" s="1"/>
  <c r="EW193" i="9"/>
  <c r="FW193" i="9" s="1"/>
  <c r="FX193" i="9" s="1"/>
  <c r="FY193" i="9" s="1"/>
  <c r="FW194" i="9"/>
  <c r="FX194" i="9" s="1"/>
  <c r="FY194" i="9" s="1"/>
  <c r="FZ194" i="9" s="1"/>
  <c r="GA194" i="9" s="1"/>
  <c r="GB194" i="9" s="1"/>
  <c r="GC194" i="9" s="1"/>
  <c r="GD194" i="9" s="1"/>
  <c r="GE194" i="9" s="1"/>
  <c r="GF194" i="9" s="1"/>
  <c r="GG194" i="9" s="1"/>
  <c r="GH194" i="9" s="1"/>
  <c r="EW195" i="9"/>
  <c r="FW195" i="9" s="1"/>
  <c r="FX195" i="9" s="1"/>
  <c r="FY195" i="9" s="1"/>
  <c r="EW196" i="9"/>
  <c r="FW196" i="9" s="1"/>
  <c r="FX196" i="9" s="1"/>
  <c r="FY196" i="9" s="1"/>
  <c r="EW197" i="9"/>
  <c r="FW197" i="9"/>
  <c r="FX197" i="9" s="1"/>
  <c r="FY197" i="9" s="1"/>
  <c r="EW198" i="9"/>
  <c r="FW198" i="9" s="1"/>
  <c r="FX198" i="9" s="1"/>
  <c r="FY198" i="9" s="1"/>
  <c r="EW199" i="9"/>
  <c r="FW199" i="9" s="1"/>
  <c r="FX199" i="9" s="1"/>
  <c r="FY199" i="9" s="1"/>
  <c r="EW200" i="9"/>
  <c r="FW200" i="9" s="1"/>
  <c r="FX200" i="9" s="1"/>
  <c r="FY200" i="9" s="1"/>
  <c r="EW201" i="9"/>
  <c r="FW201" i="9"/>
  <c r="FX201" i="9" s="1"/>
  <c r="FY201" i="9" s="1"/>
  <c r="EW202" i="9"/>
  <c r="FW202" i="9" s="1"/>
  <c r="FX202" i="9" s="1"/>
  <c r="FY202" i="9" s="1"/>
  <c r="EW203" i="9"/>
  <c r="FW203" i="9" s="1"/>
  <c r="FX203" i="9" s="1"/>
  <c r="FY203" i="9" s="1"/>
  <c r="EW204" i="9"/>
  <c r="FW204" i="9" s="1"/>
  <c r="FX204" i="9" s="1"/>
  <c r="FY204" i="9" s="1"/>
  <c r="EW205" i="9"/>
  <c r="FW205" i="9" s="1"/>
  <c r="FX205" i="9" s="1"/>
  <c r="FY205" i="9" s="1"/>
  <c r="EW206" i="9"/>
  <c r="FW206" i="9" s="1"/>
  <c r="FX206" i="9" s="1"/>
  <c r="FY206" i="9" s="1"/>
  <c r="EW207" i="9"/>
  <c r="FW207" i="9" s="1"/>
  <c r="FX207" i="9" s="1"/>
  <c r="FY207" i="9" s="1"/>
  <c r="EW208" i="9"/>
  <c r="FW208" i="9"/>
  <c r="FX208" i="9" s="1"/>
  <c r="FY208" i="9" s="1"/>
  <c r="FW209" i="9"/>
  <c r="FX209" i="9"/>
  <c r="FY209" i="9" s="1"/>
  <c r="FZ209" i="9" s="1"/>
  <c r="GA209" i="9" s="1"/>
  <c r="GB209" i="9" s="1"/>
  <c r="GC209" i="9" s="1"/>
  <c r="GD209" i="9" s="1"/>
  <c r="GE209" i="9" s="1"/>
  <c r="GF209" i="9" s="1"/>
  <c r="GG209" i="9" s="1"/>
  <c r="GH209" i="9" s="1"/>
  <c r="GI209" i="9" s="1"/>
  <c r="FW210" i="9"/>
  <c r="FX210" i="9" s="1"/>
  <c r="FY210" i="9" s="1"/>
  <c r="FZ210" i="9" s="1"/>
  <c r="GA210" i="9" s="1"/>
  <c r="GB210" i="9" s="1"/>
  <c r="GC210" i="9" s="1"/>
  <c r="GD210" i="9" s="1"/>
  <c r="GE210" i="9" s="1"/>
  <c r="GF210" i="9" s="1"/>
  <c r="GG210" i="9" s="1"/>
  <c r="FW211" i="9"/>
  <c r="FX211" i="9" s="1"/>
  <c r="FY211" i="9" s="1"/>
  <c r="FZ211" i="9" s="1"/>
  <c r="GA211" i="9" s="1"/>
  <c r="GB211" i="9" s="1"/>
  <c r="GC211" i="9" s="1"/>
  <c r="GD211" i="9" s="1"/>
  <c r="GE211" i="9" s="1"/>
  <c r="GF211" i="9" s="1"/>
  <c r="GG211" i="9" s="1"/>
  <c r="GH211" i="9" s="1"/>
  <c r="FW212" i="9"/>
  <c r="FX212" i="9" s="1"/>
  <c r="FY212" i="9" s="1"/>
  <c r="FZ212" i="9" s="1"/>
  <c r="GA212" i="9" s="1"/>
  <c r="GB212" i="9" s="1"/>
  <c r="GC212" i="9" s="1"/>
  <c r="FW213" i="9"/>
  <c r="FX213" i="9" s="1"/>
  <c r="FY213" i="9" s="1"/>
  <c r="FZ213" i="9" s="1"/>
  <c r="GA213" i="9" s="1"/>
  <c r="GB213" i="9" s="1"/>
  <c r="GC213" i="9" s="1"/>
  <c r="GD213" i="9" s="1"/>
  <c r="GE213" i="9" s="1"/>
  <c r="GF213" i="9" s="1"/>
  <c r="GG213" i="9" s="1"/>
  <c r="GH213" i="9" s="1"/>
  <c r="GI213" i="9" s="1"/>
  <c r="FW214" i="9"/>
  <c r="FX214" i="9" s="1"/>
  <c r="FY214" i="9" s="1"/>
  <c r="FZ214" i="9" s="1"/>
  <c r="GA214" i="9" s="1"/>
  <c r="GB214" i="9" s="1"/>
  <c r="GC214" i="9" s="1"/>
  <c r="GD214" i="9" s="1"/>
  <c r="GE214" i="9" s="1"/>
  <c r="GF214" i="9" s="1"/>
  <c r="GG214" i="9" s="1"/>
  <c r="GH214" i="9" s="1"/>
  <c r="GI214" i="9" s="1"/>
  <c r="FW215" i="9"/>
  <c r="FX215" i="9"/>
  <c r="FY215" i="9" s="1"/>
  <c r="FZ215" i="9" s="1"/>
  <c r="GA215" i="9" s="1"/>
  <c r="GB215" i="9" s="1"/>
  <c r="GC215" i="9" s="1"/>
  <c r="FW216" i="9"/>
  <c r="FX216" i="9" s="1"/>
  <c r="FY216" i="9" s="1"/>
  <c r="FZ216" i="9" s="1"/>
  <c r="GA216" i="9" s="1"/>
  <c r="GB216" i="9" s="1"/>
  <c r="GC216" i="9" s="1"/>
  <c r="GD216" i="9" s="1"/>
  <c r="GE216" i="9" s="1"/>
  <c r="GF216" i="9" s="1"/>
  <c r="GG216" i="9" s="1"/>
  <c r="FW217" i="9"/>
  <c r="FX217" i="9"/>
  <c r="FY217" i="9" s="1"/>
  <c r="FZ217" i="9" s="1"/>
  <c r="GA217" i="9" s="1"/>
  <c r="GB217" i="9" s="1"/>
  <c r="GC217" i="9" s="1"/>
  <c r="GD217" i="9" s="1"/>
  <c r="GE217" i="9" s="1"/>
  <c r="GF217" i="9" s="1"/>
  <c r="GG217" i="9" s="1"/>
  <c r="GH217" i="9" s="1"/>
  <c r="FW218" i="9"/>
  <c r="FX218" i="9" s="1"/>
  <c r="FY218" i="9" s="1"/>
  <c r="FZ218" i="9" s="1"/>
  <c r="GA218" i="9" s="1"/>
  <c r="GB218" i="9" s="1"/>
  <c r="GC218" i="9" s="1"/>
  <c r="GD218" i="9" s="1"/>
  <c r="GE218" i="9" s="1"/>
  <c r="GF218" i="9" s="1"/>
  <c r="GG218" i="9" s="1"/>
  <c r="GH218" i="9" s="1"/>
  <c r="GI218" i="9" s="1"/>
  <c r="FW219" i="9"/>
  <c r="FX219" i="9" s="1"/>
  <c r="FY219" i="9" s="1"/>
  <c r="FZ219" i="9" s="1"/>
  <c r="GA219" i="9" s="1"/>
  <c r="GB219" i="9" s="1"/>
  <c r="GC219" i="9" s="1"/>
  <c r="GD219" i="9" s="1"/>
  <c r="GE219" i="9" s="1"/>
  <c r="GF219" i="9" s="1"/>
  <c r="GG219" i="9" s="1"/>
  <c r="GH219" i="9" s="1"/>
  <c r="FW220" i="9"/>
  <c r="FX220" i="9" s="1"/>
  <c r="FY220" i="9" s="1"/>
  <c r="FZ220" i="9" s="1"/>
  <c r="GA220" i="9" s="1"/>
  <c r="GB220" i="9" s="1"/>
  <c r="GC220" i="9" s="1"/>
  <c r="GD220" i="9" s="1"/>
  <c r="GE220" i="9" s="1"/>
  <c r="GF220" i="9" s="1"/>
  <c r="GG220" i="9" s="1"/>
  <c r="FW221" i="9"/>
  <c r="FX221" i="9"/>
  <c r="FY221" i="9" s="1"/>
  <c r="FZ221" i="9" s="1"/>
  <c r="GA221" i="9" s="1"/>
  <c r="GB221" i="9" s="1"/>
  <c r="GC221" i="9" s="1"/>
  <c r="GD221" i="9" s="1"/>
  <c r="GE221" i="9" s="1"/>
  <c r="GF221" i="9" s="1"/>
  <c r="GG221" i="9" s="1"/>
  <c r="FW222" i="9"/>
  <c r="FX222" i="9" s="1"/>
  <c r="FY222" i="9" s="1"/>
  <c r="FZ222" i="9" s="1"/>
  <c r="GA222" i="9" s="1"/>
  <c r="GB222" i="9" s="1"/>
  <c r="GC222" i="9" s="1"/>
  <c r="FW223" i="9"/>
  <c r="FX223" i="9" s="1"/>
  <c r="FY223" i="9" s="1"/>
  <c r="FZ223" i="9" s="1"/>
  <c r="GA223" i="9" s="1"/>
  <c r="GB223" i="9" s="1"/>
  <c r="GC223" i="9" s="1"/>
  <c r="GD223" i="9" s="1"/>
  <c r="GE223" i="9" s="1"/>
  <c r="GF223" i="9" s="1"/>
  <c r="GG223" i="9" s="1"/>
  <c r="GH223" i="9" s="1"/>
  <c r="GI223" i="9" s="1"/>
  <c r="FW224" i="9"/>
  <c r="FX224" i="9" s="1"/>
  <c r="FY224" i="9" s="1"/>
  <c r="FZ224" i="9" s="1"/>
  <c r="GA224" i="9" s="1"/>
  <c r="GB224" i="9" s="1"/>
  <c r="GC224" i="9" s="1"/>
  <c r="GD224" i="9" s="1"/>
  <c r="GE224" i="9" s="1"/>
  <c r="GF224" i="9" s="1"/>
  <c r="GG224" i="9" s="1"/>
  <c r="GH224" i="9" s="1"/>
  <c r="FW225" i="9"/>
  <c r="FX225" i="9" s="1"/>
  <c r="FY225" i="9" s="1"/>
  <c r="FZ225" i="9" s="1"/>
  <c r="GA225" i="9" s="1"/>
  <c r="GB225" i="9" s="1"/>
  <c r="GC225" i="9" s="1"/>
  <c r="GD225" i="9" s="1"/>
  <c r="GE225" i="9" s="1"/>
  <c r="GF225" i="9" s="1"/>
  <c r="GG225" i="9" s="1"/>
  <c r="FW226" i="9"/>
  <c r="FX226" i="9" s="1"/>
  <c r="FY226" i="9" s="1"/>
  <c r="FZ226" i="9" s="1"/>
  <c r="GA226" i="9" s="1"/>
  <c r="GB226" i="9" s="1"/>
  <c r="GC226" i="9" s="1"/>
  <c r="FW227" i="9"/>
  <c r="FX227" i="9"/>
  <c r="FY227" i="9" s="1"/>
  <c r="FZ227" i="9" s="1"/>
  <c r="GA227" i="9" s="1"/>
  <c r="GB227" i="9" s="1"/>
  <c r="GC227" i="9" s="1"/>
  <c r="GD227" i="9" s="1"/>
  <c r="GE227" i="9" s="1"/>
  <c r="GF227" i="9" s="1"/>
  <c r="GG227" i="9" s="1"/>
  <c r="GH227" i="9" s="1"/>
  <c r="FW228" i="9"/>
  <c r="FX228" i="9" s="1"/>
  <c r="FY228" i="9" s="1"/>
  <c r="FZ228" i="9" s="1"/>
  <c r="GA228" i="9" s="1"/>
  <c r="GB228" i="9" s="1"/>
  <c r="GC228" i="9" s="1"/>
  <c r="GD228" i="9" s="1"/>
  <c r="GE228" i="9" s="1"/>
  <c r="GF228" i="9" s="1"/>
  <c r="GG228" i="9" s="1"/>
  <c r="GH228" i="9" s="1"/>
  <c r="GI228" i="9" s="1"/>
  <c r="FW229" i="9"/>
  <c r="FX229" i="9" s="1"/>
  <c r="FY229" i="9" s="1"/>
  <c r="FZ229" i="9" s="1"/>
  <c r="GA229" i="9" s="1"/>
  <c r="GB229" i="9" s="1"/>
  <c r="GC229" i="9" s="1"/>
  <c r="GD229" i="9" s="1"/>
  <c r="GE229" i="9" s="1"/>
  <c r="GF229" i="9" s="1"/>
  <c r="GG229" i="9" s="1"/>
  <c r="GH229" i="9" s="1"/>
  <c r="FW230" i="9"/>
  <c r="FX230" i="9" s="1"/>
  <c r="FY230" i="9" s="1"/>
  <c r="FZ230" i="9" s="1"/>
  <c r="GA230" i="9" s="1"/>
  <c r="GB230" i="9" s="1"/>
  <c r="GC230" i="9" s="1"/>
  <c r="FW231" i="9"/>
  <c r="FX231" i="9"/>
  <c r="FY231" i="9" s="1"/>
  <c r="FZ231" i="9" s="1"/>
  <c r="GA231" i="9" s="1"/>
  <c r="GB231" i="9" s="1"/>
  <c r="GC231" i="9" s="1"/>
  <c r="FW232" i="9"/>
  <c r="FX232" i="9" s="1"/>
  <c r="FY232" i="9" s="1"/>
  <c r="FZ232" i="9" s="1"/>
  <c r="GA232" i="9" s="1"/>
  <c r="GB232" i="9" s="1"/>
  <c r="GC232" i="9" s="1"/>
  <c r="GD232" i="9" s="1"/>
  <c r="GE232" i="9" s="1"/>
  <c r="GF232" i="9" s="1"/>
  <c r="GG232" i="9" s="1"/>
  <c r="GH232" i="9" s="1"/>
  <c r="FW233" i="9"/>
  <c r="FX233" i="9"/>
  <c r="FY233" i="9" s="1"/>
  <c r="FZ233" i="9" s="1"/>
  <c r="GA233" i="9" s="1"/>
  <c r="GB233" i="9" s="1"/>
  <c r="GC233" i="9" s="1"/>
  <c r="GD233" i="9" s="1"/>
  <c r="GE233" i="9" s="1"/>
  <c r="GF233" i="9" s="1"/>
  <c r="GG233" i="9" s="1"/>
  <c r="GH233" i="9" s="1"/>
  <c r="GI233" i="9" s="1"/>
  <c r="FW234" i="9"/>
  <c r="FX234" i="9" s="1"/>
  <c r="FY234" i="9" s="1"/>
  <c r="FZ234" i="9" s="1"/>
  <c r="GA234" i="9" s="1"/>
  <c r="GB234" i="9" s="1"/>
  <c r="GC234" i="9" s="1"/>
  <c r="GD234" i="9" s="1"/>
  <c r="GE234" i="9" s="1"/>
  <c r="GF234" i="9" s="1"/>
  <c r="GG234" i="9" s="1"/>
  <c r="GH234" i="9" s="1"/>
  <c r="FW235" i="9"/>
  <c r="FX235" i="9" s="1"/>
  <c r="FY235" i="9" s="1"/>
  <c r="FZ235" i="9" s="1"/>
  <c r="GA235" i="9" s="1"/>
  <c r="GB235" i="9" s="1"/>
  <c r="GC235" i="9" s="1"/>
  <c r="GD235" i="9" s="1"/>
  <c r="GE235" i="9" s="1"/>
  <c r="GF235" i="9" s="1"/>
  <c r="GG235" i="9" s="1"/>
  <c r="FW236" i="9"/>
  <c r="FX236" i="9" s="1"/>
  <c r="FY236" i="9" s="1"/>
  <c r="FZ236" i="9" s="1"/>
  <c r="GA236" i="9" s="1"/>
  <c r="GB236" i="9" s="1"/>
  <c r="GC236" i="9" s="1"/>
  <c r="GD236" i="9" s="1"/>
  <c r="GE236" i="9" s="1"/>
  <c r="GF236" i="9" s="1"/>
  <c r="GG236" i="9" s="1"/>
  <c r="FW237" i="9"/>
  <c r="FX237" i="9"/>
  <c r="FY237" i="9" s="1"/>
  <c r="FZ237" i="9" s="1"/>
  <c r="GA237" i="9" s="1"/>
  <c r="GB237" i="9" s="1"/>
  <c r="GC237" i="9" s="1"/>
  <c r="GD237" i="9" s="1"/>
  <c r="GE237" i="9" s="1"/>
  <c r="GF237" i="9" s="1"/>
  <c r="GG237" i="9" s="1"/>
  <c r="GH237" i="9" s="1"/>
  <c r="FW238" i="9"/>
  <c r="FX238" i="9" s="1"/>
  <c r="FY238" i="9" s="1"/>
  <c r="FZ238" i="9" s="1"/>
  <c r="GA238" i="9" s="1"/>
  <c r="GB238" i="9" s="1"/>
  <c r="GC238" i="9" s="1"/>
  <c r="GD238" i="9" s="1"/>
  <c r="GE238" i="9" s="1"/>
  <c r="GF238" i="9" s="1"/>
  <c r="GG238" i="9" s="1"/>
  <c r="GH238" i="9" s="1"/>
  <c r="GI238" i="9" s="1"/>
  <c r="FW239" i="9"/>
  <c r="FX239" i="9" s="1"/>
  <c r="FY239" i="9" s="1"/>
  <c r="FZ239" i="9" s="1"/>
  <c r="GA239" i="9" s="1"/>
  <c r="GB239" i="9" s="1"/>
  <c r="GC239" i="9" s="1"/>
  <c r="FW240" i="9"/>
  <c r="FX240" i="9" s="1"/>
  <c r="FY240" i="9" s="1"/>
  <c r="FZ240" i="9" s="1"/>
  <c r="GA240" i="9" s="1"/>
  <c r="GB240" i="9" s="1"/>
  <c r="GC240" i="9" s="1"/>
  <c r="GD240" i="9" s="1"/>
  <c r="FW241" i="9"/>
  <c r="FX241" i="9" s="1"/>
  <c r="FY241" i="9" s="1"/>
  <c r="FZ241" i="9" s="1"/>
  <c r="GA241" i="9" s="1"/>
  <c r="GB241" i="9" s="1"/>
  <c r="GC241" i="9" s="1"/>
  <c r="FW242" i="9"/>
  <c r="FX242" i="9" s="1"/>
  <c r="FY242" i="9" s="1"/>
  <c r="FZ242" i="9" s="1"/>
  <c r="GA242" i="9" s="1"/>
  <c r="GB242" i="9" s="1"/>
  <c r="GC242" i="9" s="1"/>
  <c r="GD242" i="9" s="1"/>
  <c r="GE242" i="9" s="1"/>
  <c r="GF242" i="9" s="1"/>
  <c r="GG242" i="9" s="1"/>
  <c r="GH242" i="9" s="1"/>
  <c r="FW243" i="9"/>
  <c r="FX243" i="9"/>
  <c r="FY243" i="9" s="1"/>
  <c r="FZ243" i="9" s="1"/>
  <c r="GA243" i="9" s="1"/>
  <c r="GB243" i="9" s="1"/>
  <c r="GC243" i="9" s="1"/>
  <c r="GD243" i="9" s="1"/>
  <c r="GE243" i="9" s="1"/>
  <c r="GF243" i="9" s="1"/>
  <c r="GG243" i="9" s="1"/>
  <c r="GH243" i="9" s="1"/>
  <c r="FW244" i="9"/>
  <c r="FX244" i="9" s="1"/>
  <c r="FY244" i="9" s="1"/>
  <c r="FZ244" i="9" s="1"/>
  <c r="GA244" i="9" s="1"/>
  <c r="GB244" i="9" s="1"/>
  <c r="GC244" i="9" s="1"/>
  <c r="GD244" i="9" s="1"/>
  <c r="GE244" i="9" s="1"/>
  <c r="GF244" i="9" s="1"/>
  <c r="GG244" i="9" s="1"/>
  <c r="FW245" i="9"/>
  <c r="FX245" i="9"/>
  <c r="FY245" i="9" s="1"/>
  <c r="FZ245" i="9" s="1"/>
  <c r="GA245" i="9" s="1"/>
  <c r="GB245" i="9" s="1"/>
  <c r="GC245" i="9" s="1"/>
  <c r="GD245" i="9" s="1"/>
  <c r="GE245" i="9" s="1"/>
  <c r="FW246" i="9"/>
  <c r="FX246" i="9" s="1"/>
  <c r="FY246" i="9" s="1"/>
  <c r="FZ246" i="9" s="1"/>
  <c r="GA246" i="9" s="1"/>
  <c r="GB246" i="9" s="1"/>
  <c r="GC246" i="9" s="1"/>
  <c r="FW247" i="9"/>
  <c r="FX247" i="9" s="1"/>
  <c r="FY247" i="9" s="1"/>
  <c r="FZ247" i="9" s="1"/>
  <c r="GA247" i="9" s="1"/>
  <c r="GB247" i="9" s="1"/>
  <c r="GC247" i="9" s="1"/>
  <c r="FW248" i="9"/>
  <c r="FX248" i="9" s="1"/>
  <c r="FY248" i="9" s="1"/>
  <c r="FZ248" i="9" s="1"/>
  <c r="GA248" i="9" s="1"/>
  <c r="GB248" i="9" s="1"/>
  <c r="GC248" i="9" s="1"/>
  <c r="GD248" i="9" s="1"/>
  <c r="GE248" i="9" s="1"/>
  <c r="GF248" i="9" s="1"/>
  <c r="GG248" i="9" s="1"/>
  <c r="GH248" i="9" s="1"/>
  <c r="FW249" i="9"/>
  <c r="FX249" i="9" s="1"/>
  <c r="FY249" i="9" s="1"/>
  <c r="FZ249" i="9" s="1"/>
  <c r="GA249" i="9" s="1"/>
  <c r="GB249" i="9" s="1"/>
  <c r="GC249" i="9" s="1"/>
  <c r="GD249" i="9" s="1"/>
  <c r="GE249" i="9" s="1"/>
  <c r="GF249" i="9" s="1"/>
  <c r="GG249" i="9" s="1"/>
  <c r="FW250" i="9"/>
  <c r="FX250" i="9" s="1"/>
  <c r="FY250" i="9" s="1"/>
  <c r="FZ250" i="9" s="1"/>
  <c r="GA250" i="9" s="1"/>
  <c r="GB250" i="9" s="1"/>
  <c r="GC250" i="9" s="1"/>
  <c r="GD250" i="9" s="1"/>
  <c r="GE250" i="9" s="1"/>
  <c r="GF250" i="9" s="1"/>
  <c r="GG250" i="9" s="1"/>
  <c r="GH250" i="9" s="1"/>
  <c r="FW251" i="9"/>
  <c r="FX251" i="9"/>
  <c r="FY251" i="9" s="1"/>
  <c r="FZ251" i="9" s="1"/>
  <c r="GA251" i="9" s="1"/>
  <c r="GB251" i="9" s="1"/>
  <c r="GC251" i="9" s="1"/>
  <c r="GD251" i="9" s="1"/>
  <c r="GE251" i="9" s="1"/>
  <c r="GF251" i="9" s="1"/>
  <c r="GG251" i="9" s="1"/>
  <c r="GH251" i="9" s="1"/>
  <c r="FW252" i="9"/>
  <c r="FX252" i="9" s="1"/>
  <c r="FY252" i="9" s="1"/>
  <c r="FZ252" i="9" s="1"/>
  <c r="GA252" i="9" s="1"/>
  <c r="GB252" i="9" s="1"/>
  <c r="GC252" i="9" s="1"/>
  <c r="FW253" i="9"/>
  <c r="FX253" i="9"/>
  <c r="FY253" i="9" s="1"/>
  <c r="FZ253" i="9" s="1"/>
  <c r="GA253" i="9" s="1"/>
  <c r="GB253" i="9" s="1"/>
  <c r="GC253" i="9" s="1"/>
  <c r="GD253" i="9" s="1"/>
  <c r="GE253" i="9" s="1"/>
  <c r="GF253" i="9" s="1"/>
  <c r="GG253" i="9" s="1"/>
  <c r="GH253" i="9" s="1"/>
  <c r="FW254" i="9"/>
  <c r="FX254" i="9" s="1"/>
  <c r="FY254" i="9" s="1"/>
  <c r="FZ254" i="9" s="1"/>
  <c r="GA254" i="9" s="1"/>
  <c r="GB254" i="9" s="1"/>
  <c r="GC254" i="9" s="1"/>
  <c r="GD254" i="9" s="1"/>
  <c r="GE254" i="9" s="1"/>
  <c r="GF254" i="9" s="1"/>
  <c r="GG254" i="9" s="1"/>
  <c r="FW255" i="9"/>
  <c r="FX255" i="9" s="1"/>
  <c r="FY255" i="9" s="1"/>
  <c r="FZ255" i="9" s="1"/>
  <c r="GA255" i="9" s="1"/>
  <c r="GB255" i="9" s="1"/>
  <c r="GC255" i="9" s="1"/>
  <c r="GD255" i="9" s="1"/>
  <c r="GE255" i="9" s="1"/>
  <c r="GF255" i="9" s="1"/>
  <c r="GG255" i="9" s="1"/>
  <c r="GH255" i="9" s="1"/>
  <c r="GI255" i="9" s="1"/>
  <c r="FW256" i="9"/>
  <c r="FX256" i="9" s="1"/>
  <c r="FY256" i="9" s="1"/>
  <c r="FW257" i="9"/>
  <c r="FX257" i="9" s="1"/>
  <c r="FY257" i="9" s="1"/>
  <c r="FZ257" i="9" s="1"/>
  <c r="GA257" i="9" s="1"/>
  <c r="GB257" i="9" s="1"/>
  <c r="GC257" i="9" s="1"/>
  <c r="GD257" i="9" s="1"/>
  <c r="GE257" i="9" s="1"/>
  <c r="GF257" i="9" s="1"/>
  <c r="GG257" i="9" s="1"/>
  <c r="FW258" i="9"/>
  <c r="FX258" i="9" s="1"/>
  <c r="FY258" i="9" s="1"/>
  <c r="FZ258" i="9" s="1"/>
  <c r="GA258" i="9" s="1"/>
  <c r="GB258" i="9" s="1"/>
  <c r="GC258" i="9" s="1"/>
  <c r="GD258" i="9" s="1"/>
  <c r="GE258" i="9" s="1"/>
  <c r="GF258" i="9" s="1"/>
  <c r="GG258" i="9" s="1"/>
  <c r="GH258" i="9" s="1"/>
  <c r="GI258" i="9" s="1"/>
  <c r="EW259" i="9"/>
  <c r="FW259" i="9" s="1"/>
  <c r="FX259" i="9" s="1"/>
  <c r="FY259" i="9" s="1"/>
  <c r="EW260" i="9"/>
  <c r="FW260" i="9" s="1"/>
  <c r="FX260" i="9" s="1"/>
  <c r="FY260" i="9" s="1"/>
  <c r="EW261" i="9"/>
  <c r="FW261" i="9"/>
  <c r="FX261" i="9" s="1"/>
  <c r="FY261" i="9" s="1"/>
  <c r="EW262" i="9"/>
  <c r="FW262" i="9" s="1"/>
  <c r="FX262" i="9" s="1"/>
  <c r="FY262" i="9" s="1"/>
  <c r="EW263" i="9"/>
  <c r="FW263" i="9"/>
  <c r="FX263" i="9" s="1"/>
  <c r="FY263" i="9" s="1"/>
  <c r="EW264" i="9"/>
  <c r="FW264" i="9"/>
  <c r="FX264" i="9" s="1"/>
  <c r="FY264" i="9" s="1"/>
  <c r="EW265" i="9"/>
  <c r="FW265" i="9" s="1"/>
  <c r="FX265" i="9"/>
  <c r="FY265" i="9" s="1"/>
  <c r="EW266" i="9"/>
  <c r="FW266" i="9" s="1"/>
  <c r="FX266" i="9" s="1"/>
  <c r="FY266" i="9" s="1"/>
  <c r="EW267" i="9"/>
  <c r="FW267" i="9" s="1"/>
  <c r="FX267" i="9" s="1"/>
  <c r="FY267" i="9" s="1"/>
  <c r="EW268" i="9"/>
  <c r="FW268" i="9" s="1"/>
  <c r="FX268" i="9" s="1"/>
  <c r="FY268" i="9" s="1"/>
  <c r="EW269" i="9"/>
  <c r="FW269" i="9" s="1"/>
  <c r="FX269" i="9" s="1"/>
  <c r="FY269" i="9" s="1"/>
  <c r="EW270" i="9"/>
  <c r="FW270" i="9" s="1"/>
  <c r="FX270" i="9" s="1"/>
  <c r="FY270" i="9" s="1"/>
  <c r="EW271" i="9"/>
  <c r="FW271" i="9" s="1"/>
  <c r="FX271" i="9" s="1"/>
  <c r="FY271" i="9" s="1"/>
  <c r="EW272" i="9"/>
  <c r="FW272" i="9" s="1"/>
  <c r="FX272" i="9" s="1"/>
  <c r="FY272" i="9" s="1"/>
  <c r="FW273" i="9"/>
  <c r="FX273" i="9"/>
  <c r="FY273" i="9" s="1"/>
  <c r="EW274" i="9"/>
  <c r="FW274" i="9"/>
  <c r="FX274" i="9" s="1"/>
  <c r="FY274" i="9" s="1"/>
  <c r="EW275" i="9"/>
  <c r="FW275" i="9" s="1"/>
  <c r="FX275" i="9" s="1"/>
  <c r="FY275" i="9" s="1"/>
  <c r="EW276" i="9"/>
  <c r="FW276" i="9" s="1"/>
  <c r="FX276" i="9" s="1"/>
  <c r="FY276" i="9" s="1"/>
  <c r="EW277" i="9"/>
  <c r="FW277" i="9" s="1"/>
  <c r="FX277" i="9" s="1"/>
  <c r="FY277" i="9" s="1"/>
  <c r="EW278" i="9"/>
  <c r="FW278" i="9" s="1"/>
  <c r="FX278" i="9" s="1"/>
  <c r="FY278" i="9" s="1"/>
  <c r="EW279" i="9"/>
  <c r="FW279" i="9"/>
  <c r="FX279" i="9" s="1"/>
  <c r="FY279" i="9" s="1"/>
  <c r="EW280" i="9"/>
  <c r="FW280" i="9" s="1"/>
  <c r="FX280" i="9" s="1"/>
  <c r="FY280" i="9" s="1"/>
  <c r="EW281" i="9"/>
  <c r="FW281" i="9" s="1"/>
  <c r="FX281" i="9" s="1"/>
  <c r="FY281" i="9" s="1"/>
  <c r="EW282" i="9"/>
  <c r="FW282" i="9"/>
  <c r="FX282" i="9" s="1"/>
  <c r="FY282" i="9" s="1"/>
  <c r="EW283" i="9"/>
  <c r="FW283" i="9" s="1"/>
  <c r="FX283" i="9" s="1"/>
  <c r="FY283" i="9" s="1"/>
  <c r="EW284" i="9"/>
  <c r="FW284" i="9" s="1"/>
  <c r="FX284" i="9" s="1"/>
  <c r="FY284" i="9" s="1"/>
  <c r="EW285" i="9"/>
  <c r="FW285" i="9" s="1"/>
  <c r="FX285" i="9" s="1"/>
  <c r="FY285" i="9" s="1"/>
  <c r="EW286" i="9"/>
  <c r="FW286" i="9" s="1"/>
  <c r="FX286" i="9" s="1"/>
  <c r="FY286" i="9" s="1"/>
  <c r="EW287" i="9"/>
  <c r="FW287" i="9" s="1"/>
  <c r="FX287" i="9" s="1"/>
  <c r="FY287" i="9" s="1"/>
  <c r="FW288" i="9"/>
  <c r="FX288" i="9" s="1"/>
  <c r="FY288" i="9" s="1"/>
  <c r="FZ288" i="9" s="1"/>
  <c r="GA288" i="9" s="1"/>
  <c r="GB288" i="9" s="1"/>
  <c r="GC288" i="9" s="1"/>
  <c r="EW289" i="9"/>
  <c r="FW289" i="9" s="1"/>
  <c r="FX289" i="9" s="1"/>
  <c r="FY289" i="9" s="1"/>
  <c r="EW290" i="9"/>
  <c r="FW290" i="9" s="1"/>
  <c r="FX290" i="9" s="1"/>
  <c r="FY290" i="9" s="1"/>
  <c r="EW291" i="9"/>
  <c r="FW291" i="9"/>
  <c r="FX291" i="9" s="1"/>
  <c r="FY291" i="9" s="1"/>
  <c r="EW292" i="9"/>
  <c r="FW292" i="9"/>
  <c r="FX292" i="9" s="1"/>
  <c r="FY292" i="9" s="1"/>
  <c r="EW293" i="9"/>
  <c r="FW293" i="9" s="1"/>
  <c r="FX293" i="9" s="1"/>
  <c r="FY293" i="9" s="1"/>
  <c r="EW294" i="9"/>
  <c r="FW294" i="9" s="1"/>
  <c r="FX294" i="9" s="1"/>
  <c r="FY294" i="9" s="1"/>
  <c r="EW295" i="9"/>
  <c r="FW295" i="9" s="1"/>
  <c r="FX295" i="9" s="1"/>
  <c r="FY295" i="9" s="1"/>
  <c r="EW296" i="9"/>
  <c r="FW296" i="9" s="1"/>
  <c r="FX296" i="9" s="1"/>
  <c r="FY296" i="9" s="1"/>
  <c r="EW297" i="9"/>
  <c r="FW297" i="9"/>
  <c r="FX297" i="9" s="1"/>
  <c r="FY297" i="9" s="1"/>
  <c r="EW298" i="9"/>
  <c r="FW298" i="9" s="1"/>
  <c r="FX298" i="9" s="1"/>
  <c r="FY298" i="9" s="1"/>
  <c r="EW299" i="9"/>
  <c r="FW299" i="9" s="1"/>
  <c r="FX299" i="9" s="1"/>
  <c r="FY299" i="9" s="1"/>
  <c r="EW300" i="9"/>
  <c r="FW300" i="9" s="1"/>
  <c r="FX300" i="9" s="1"/>
  <c r="FY300" i="9" s="1"/>
  <c r="EW301" i="9"/>
  <c r="FW301" i="9" s="1"/>
  <c r="FX301" i="9" s="1"/>
  <c r="FY301" i="9" s="1"/>
  <c r="EW302" i="9"/>
  <c r="FW302" i="9"/>
  <c r="FX302" i="9" s="1"/>
  <c r="FY302" i="9" s="1"/>
  <c r="FW303" i="9"/>
  <c r="FX303" i="9" s="1"/>
  <c r="FY303" i="9" s="1"/>
  <c r="FZ303" i="9" s="1"/>
  <c r="GA303" i="9" s="1"/>
  <c r="GB303" i="9" s="1"/>
  <c r="GC303" i="9" s="1"/>
  <c r="EW304" i="9"/>
  <c r="FW304" i="9" s="1"/>
  <c r="FX304" i="9" s="1"/>
  <c r="FY304" i="9" s="1"/>
  <c r="EW305" i="9"/>
  <c r="FW305" i="9"/>
  <c r="FX305" i="9" s="1"/>
  <c r="FY305" i="9" s="1"/>
  <c r="EW306" i="9"/>
  <c r="FW306" i="9" s="1"/>
  <c r="FX306" i="9" s="1"/>
  <c r="FY306" i="9" s="1"/>
  <c r="EW307" i="9"/>
  <c r="FW307" i="9" s="1"/>
  <c r="FX307" i="9" s="1"/>
  <c r="FY307" i="9" s="1"/>
  <c r="EW308" i="9"/>
  <c r="FW308" i="9" s="1"/>
  <c r="FX308" i="9" s="1"/>
  <c r="FY308" i="9" s="1"/>
  <c r="EW309" i="9"/>
  <c r="FW309" i="9" s="1"/>
  <c r="FX309" i="9" s="1"/>
  <c r="FY309" i="9" s="1"/>
  <c r="EW310" i="9"/>
  <c r="FW310" i="9"/>
  <c r="FX310" i="9" s="1"/>
  <c r="FY310" i="9" s="1"/>
  <c r="EW311" i="9"/>
  <c r="FW311" i="9" s="1"/>
  <c r="FX311" i="9" s="1"/>
  <c r="FY311" i="9" s="1"/>
  <c r="EW312" i="9"/>
  <c r="FW312" i="9" s="1"/>
  <c r="FX312" i="9" s="1"/>
  <c r="FY312" i="9" s="1"/>
  <c r="EW313" i="9"/>
  <c r="FW313" i="9" s="1"/>
  <c r="FX313" i="9" s="1"/>
  <c r="FY313" i="9" s="1"/>
  <c r="EW314" i="9"/>
  <c r="FW314" i="9" s="1"/>
  <c r="FX314" i="9" s="1"/>
  <c r="FY314" i="9" s="1"/>
  <c r="EW315" i="9"/>
  <c r="FW315" i="9" s="1"/>
  <c r="FX315" i="9" s="1"/>
  <c r="FY315" i="9" s="1"/>
  <c r="EW316" i="9"/>
  <c r="FW316" i="9" s="1"/>
  <c r="FX316" i="9" s="1"/>
  <c r="FY316" i="9" s="1"/>
  <c r="EW317" i="9"/>
  <c r="FW317" i="9" s="1"/>
  <c r="FX317" i="9" s="1"/>
  <c r="FY317" i="9" s="1"/>
  <c r="FW318" i="9"/>
  <c r="FX318" i="9" s="1"/>
  <c r="FY318" i="9" s="1"/>
  <c r="FZ318" i="9" s="1"/>
  <c r="GA318" i="9" s="1"/>
  <c r="GB318" i="9" s="1"/>
  <c r="GC318" i="9" s="1"/>
  <c r="EW319" i="9"/>
  <c r="FW319" i="9" s="1"/>
  <c r="FX319" i="9" s="1"/>
  <c r="FY319" i="9" s="1"/>
  <c r="EW320" i="9"/>
  <c r="FW320" i="9" s="1"/>
  <c r="FX320" i="9" s="1"/>
  <c r="FY320" i="9" s="1"/>
  <c r="EW321" i="9"/>
  <c r="FW321" i="9" s="1"/>
  <c r="FX321" i="9" s="1"/>
  <c r="FY321" i="9" s="1"/>
  <c r="EW322" i="9"/>
  <c r="FW322" i="9"/>
  <c r="FX322" i="9" s="1"/>
  <c r="FY322" i="9" s="1"/>
  <c r="EW323" i="9"/>
  <c r="FW323" i="9" s="1"/>
  <c r="FX323" i="9" s="1"/>
  <c r="FY323" i="9"/>
  <c r="EW324" i="9"/>
  <c r="FW324" i="9" s="1"/>
  <c r="FX324" i="9" s="1"/>
  <c r="FY324" i="9" s="1"/>
  <c r="EW325" i="9"/>
  <c r="FW325" i="9" s="1"/>
  <c r="FX325" i="9" s="1"/>
  <c r="FY325" i="9" s="1"/>
  <c r="EW326" i="9"/>
  <c r="FW326" i="9" s="1"/>
  <c r="FX326" i="9" s="1"/>
  <c r="FY326" i="9" s="1"/>
  <c r="EW327" i="9"/>
  <c r="FW327" i="9"/>
  <c r="FX327" i="9" s="1"/>
  <c r="FY327" i="9" s="1"/>
  <c r="EW328" i="9"/>
  <c r="FW328" i="9" s="1"/>
  <c r="FX328" i="9" s="1"/>
  <c r="FY328" i="9" s="1"/>
  <c r="EW329" i="9"/>
  <c r="FW329" i="9" s="1"/>
  <c r="FX329" i="9" s="1"/>
  <c r="FY329" i="9" s="1"/>
  <c r="EW330" i="9"/>
  <c r="FW330" i="9" s="1"/>
  <c r="FX330" i="9" s="1"/>
  <c r="FY330" i="9" s="1"/>
  <c r="EW331" i="9"/>
  <c r="FW331" i="9" s="1"/>
  <c r="FX331" i="9" s="1"/>
  <c r="FY331" i="9" s="1"/>
  <c r="EW332" i="9"/>
  <c r="FW332" i="9" s="1"/>
  <c r="FX332" i="9" s="1"/>
  <c r="FY332" i="9" s="1"/>
  <c r="EW333" i="9"/>
  <c r="FW333" i="9" s="1"/>
  <c r="FX333" i="9" s="1"/>
  <c r="FY333" i="9" s="1"/>
  <c r="FZ333" i="9" s="1"/>
  <c r="GA333" i="9" s="1"/>
  <c r="GB333" i="9" s="1"/>
  <c r="GC333" i="9" s="1"/>
  <c r="EW334" i="9"/>
  <c r="FW334" i="9" s="1"/>
  <c r="FX334" i="9" s="1"/>
  <c r="FY334" i="9" s="1"/>
  <c r="FZ334" i="9" s="1"/>
  <c r="GA334" i="9" s="1"/>
  <c r="GB334" i="9" s="1"/>
  <c r="GC334" i="9" s="1"/>
  <c r="GD334" i="9" s="1"/>
  <c r="GE334" i="9" s="1"/>
  <c r="GF334" i="9" s="1"/>
  <c r="GG334" i="9" s="1"/>
  <c r="EW335" i="9"/>
  <c r="FW335" i="9" s="1"/>
  <c r="FX335" i="9" s="1"/>
  <c r="FY335" i="9" s="1"/>
  <c r="FZ335" i="9" s="1"/>
  <c r="GA335" i="9" s="1"/>
  <c r="GB335" i="9" s="1"/>
  <c r="GC335" i="9" s="1"/>
  <c r="EW336" i="9"/>
  <c r="FW336" i="9" s="1"/>
  <c r="FX336" i="9" s="1"/>
  <c r="FY336" i="9" s="1"/>
  <c r="FZ336" i="9" s="1"/>
  <c r="GA336" i="9" s="1"/>
  <c r="GB336" i="9" s="1"/>
  <c r="GC336" i="9" s="1"/>
  <c r="EW337" i="9"/>
  <c r="FW337" i="9"/>
  <c r="FX337" i="9" s="1"/>
  <c r="FY337" i="9" s="1"/>
  <c r="FZ337" i="9" s="1"/>
  <c r="GA337" i="9" s="1"/>
  <c r="GB337" i="9" s="1"/>
  <c r="GC337" i="9" s="1"/>
  <c r="GD337" i="9" s="1"/>
  <c r="GE337" i="9" s="1"/>
  <c r="GF337" i="9" s="1"/>
  <c r="GG337" i="9" s="1"/>
  <c r="EW338" i="9"/>
  <c r="FW338" i="9" s="1"/>
  <c r="FX338" i="9" s="1"/>
  <c r="FY338" i="9" s="1"/>
  <c r="FZ338" i="9" s="1"/>
  <c r="GA338" i="9" s="1"/>
  <c r="GB338" i="9" s="1"/>
  <c r="GC338" i="9" s="1"/>
  <c r="EW339" i="9"/>
  <c r="FW339" i="9" s="1"/>
  <c r="FX339" i="9" s="1"/>
  <c r="FY339" i="9" s="1"/>
  <c r="FZ339" i="9" s="1"/>
  <c r="GA339" i="9" s="1"/>
  <c r="GB339" i="9" s="1"/>
  <c r="GC339" i="9" s="1"/>
  <c r="EW340" i="9"/>
  <c r="FW340" i="9" s="1"/>
  <c r="FX340" i="9" s="1"/>
  <c r="FY340" i="9" s="1"/>
  <c r="FZ340" i="9" s="1"/>
  <c r="GA340" i="9" s="1"/>
  <c r="GB340" i="9" s="1"/>
  <c r="GC340" i="9" s="1"/>
  <c r="EW341" i="9"/>
  <c r="FW341" i="9" s="1"/>
  <c r="FX341" i="9" s="1"/>
  <c r="FY341" i="9" s="1"/>
  <c r="FZ341" i="9" s="1"/>
  <c r="GA341" i="9" s="1"/>
  <c r="GB341" i="9" s="1"/>
  <c r="GC341" i="9" s="1"/>
  <c r="GD341" i="9" s="1"/>
  <c r="GE341" i="9" s="1"/>
  <c r="GF341" i="9" s="1"/>
  <c r="GG341" i="9" s="1"/>
  <c r="GH341" i="9" s="1"/>
  <c r="GI341" i="9" s="1"/>
  <c r="EW342" i="9"/>
  <c r="FW342" i="9"/>
  <c r="FX342" i="9" s="1"/>
  <c r="FY342" i="9" s="1"/>
  <c r="FZ342" i="9" s="1"/>
  <c r="GA342" i="9" s="1"/>
  <c r="GB342" i="9" s="1"/>
  <c r="GC342" i="9" s="1"/>
  <c r="EW343" i="9"/>
  <c r="FW343" i="9" s="1"/>
  <c r="FX343" i="9" s="1"/>
  <c r="FY343" i="9" s="1"/>
  <c r="FZ343" i="9" s="1"/>
  <c r="GA343" i="9" s="1"/>
  <c r="GB343" i="9" s="1"/>
  <c r="GC343" i="9" s="1"/>
  <c r="GD343" i="9" s="1"/>
  <c r="GE343" i="9" s="1"/>
  <c r="GF343" i="9" s="1"/>
  <c r="GG343" i="9" s="1"/>
  <c r="EW344" i="9"/>
  <c r="FW344" i="9" s="1"/>
  <c r="FX344" i="9" s="1"/>
  <c r="FY344" i="9" s="1"/>
  <c r="FZ344" i="9" s="1"/>
  <c r="GA344" i="9" s="1"/>
  <c r="GB344" i="9" s="1"/>
  <c r="GC344" i="9" s="1"/>
  <c r="EW345" i="9"/>
  <c r="FW345" i="9"/>
  <c r="FX345" i="9" s="1"/>
  <c r="FY345" i="9" s="1"/>
  <c r="FZ345" i="9" s="1"/>
  <c r="GA345" i="9" s="1"/>
  <c r="GB345" i="9" s="1"/>
  <c r="GC345" i="9" s="1"/>
  <c r="GD345" i="9" s="1"/>
  <c r="GE345" i="9" s="1"/>
  <c r="GF345" i="9" s="1"/>
  <c r="GG345" i="9" s="1"/>
  <c r="GH345" i="9" s="1"/>
  <c r="GI345" i="9" s="1"/>
  <c r="EW346" i="9"/>
  <c r="FW346" i="9" s="1"/>
  <c r="FX346" i="9" s="1"/>
  <c r="FY346" i="9" s="1"/>
  <c r="FZ346" i="9" s="1"/>
  <c r="GA346" i="9" s="1"/>
  <c r="GB346" i="9" s="1"/>
  <c r="GC346" i="9" s="1"/>
  <c r="EW347" i="9"/>
  <c r="FW347" i="9" s="1"/>
  <c r="FX347" i="9" s="1"/>
  <c r="FY347" i="9" s="1"/>
  <c r="FZ347" i="9" s="1"/>
  <c r="GA347" i="9" s="1"/>
  <c r="GB347" i="9" s="1"/>
  <c r="GC347" i="9" s="1"/>
  <c r="EW348" i="9"/>
  <c r="FW348" i="9"/>
  <c r="FX348" i="9" s="1"/>
  <c r="FY348" i="9" s="1"/>
  <c r="FZ348" i="9" s="1"/>
  <c r="GA348" i="9" s="1"/>
  <c r="GB348" i="9" s="1"/>
  <c r="GC348" i="9" s="1"/>
  <c r="EW349" i="9"/>
  <c r="FW349" i="9"/>
  <c r="FX349" i="9" s="1"/>
  <c r="FY349" i="9" s="1"/>
  <c r="FZ349" i="9" s="1"/>
  <c r="GA349" i="9" s="1"/>
  <c r="GB349" i="9" s="1"/>
  <c r="GC349" i="9" s="1"/>
  <c r="GD349" i="9" s="1"/>
  <c r="GE349" i="9" s="1"/>
  <c r="GF349" i="9" s="1"/>
  <c r="GG349" i="9" s="1"/>
  <c r="GH349" i="9" s="1"/>
  <c r="GI349" i="9" s="1"/>
  <c r="EW350" i="9"/>
  <c r="FW350" i="9"/>
  <c r="FX350" i="9" s="1"/>
  <c r="FY350" i="9" s="1"/>
  <c r="FZ350" i="9" s="1"/>
  <c r="GA350" i="9" s="1"/>
  <c r="GB350" i="9" s="1"/>
  <c r="GC350" i="9" s="1"/>
  <c r="GD350" i="9" s="1"/>
  <c r="GE350" i="9" s="1"/>
  <c r="GF350" i="9" s="1"/>
  <c r="GG350" i="9" s="1"/>
  <c r="GH350" i="9" s="1"/>
  <c r="GI350" i="9" s="1"/>
  <c r="EW351" i="9"/>
  <c r="FW351" i="9" s="1"/>
  <c r="FX351" i="9" s="1"/>
  <c r="FY351" i="9" s="1"/>
  <c r="FZ351" i="9" s="1"/>
  <c r="GA351" i="9" s="1"/>
  <c r="GB351" i="9" s="1"/>
  <c r="GC351" i="9" s="1"/>
  <c r="EW352" i="9"/>
  <c r="FW352" i="9" s="1"/>
  <c r="FX352" i="9" s="1"/>
  <c r="FY352" i="9" s="1"/>
  <c r="FZ352" i="9" s="1"/>
  <c r="GA352" i="9" s="1"/>
  <c r="GB352" i="9" s="1"/>
  <c r="GC352" i="9" s="1"/>
  <c r="GD352" i="9" s="1"/>
  <c r="GE352" i="9" s="1"/>
  <c r="GF352" i="9" s="1"/>
  <c r="GG352" i="9" s="1"/>
  <c r="GH352" i="9" s="1"/>
  <c r="GI352" i="9" s="1"/>
  <c r="EW353" i="9"/>
  <c r="FW353" i="9" s="1"/>
  <c r="FX353" i="9" s="1"/>
  <c r="FY353" i="9" s="1"/>
  <c r="FZ353" i="9" s="1"/>
  <c r="GA353" i="9" s="1"/>
  <c r="GB353" i="9" s="1"/>
  <c r="GC353" i="9" s="1"/>
  <c r="EW354" i="9"/>
  <c r="FW354" i="9" s="1"/>
  <c r="FX354" i="9" s="1"/>
  <c r="FY354" i="9" s="1"/>
  <c r="FZ354" i="9" s="1"/>
  <c r="GA354" i="9" s="1"/>
  <c r="GB354" i="9" s="1"/>
  <c r="GC354" i="9" s="1"/>
  <c r="EW355" i="9"/>
  <c r="FW355" i="9"/>
  <c r="FX355" i="9" s="1"/>
  <c r="FY355" i="9" s="1"/>
  <c r="FZ355" i="9" s="1"/>
  <c r="GA355" i="9" s="1"/>
  <c r="GB355" i="9" s="1"/>
  <c r="GC355" i="9" s="1"/>
  <c r="GD355" i="9" s="1"/>
  <c r="GE355" i="9" s="1"/>
  <c r="GF355" i="9" s="1"/>
  <c r="GG355" i="9" s="1"/>
  <c r="GH355" i="9" s="1"/>
  <c r="GI355" i="9" s="1"/>
  <c r="EW356" i="9"/>
  <c r="FW356" i="9" s="1"/>
  <c r="FX356" i="9"/>
  <c r="FY356" i="9" s="1"/>
  <c r="FZ356" i="9" s="1"/>
  <c r="GA356" i="9" s="1"/>
  <c r="GB356" i="9" s="1"/>
  <c r="GC356" i="9" s="1"/>
  <c r="EW357" i="9"/>
  <c r="FW357" i="9"/>
  <c r="FX357" i="9" s="1"/>
  <c r="FY357" i="9" s="1"/>
  <c r="FZ357" i="9" s="1"/>
  <c r="GA357" i="9" s="1"/>
  <c r="GB357" i="9" s="1"/>
  <c r="GC357" i="9" s="1"/>
  <c r="GD357" i="9" s="1"/>
  <c r="GE357" i="9" s="1"/>
  <c r="GF357" i="9" s="1"/>
  <c r="GG357" i="9" s="1"/>
  <c r="GH357" i="9" s="1"/>
  <c r="GI357" i="9" s="1"/>
  <c r="EW358" i="9"/>
  <c r="FW358" i="9" s="1"/>
  <c r="FX358" i="9" s="1"/>
  <c r="FY358" i="9" s="1"/>
  <c r="FZ358" i="9" s="1"/>
  <c r="GA358" i="9" s="1"/>
  <c r="GB358" i="9" s="1"/>
  <c r="GC358" i="9" s="1"/>
  <c r="EW359" i="9"/>
  <c r="FW359" i="9" s="1"/>
  <c r="FX359" i="9" s="1"/>
  <c r="FY359" i="9" s="1"/>
  <c r="FZ359" i="9" s="1"/>
  <c r="GA359" i="9" s="1"/>
  <c r="GB359" i="9" s="1"/>
  <c r="GC359" i="9" s="1"/>
  <c r="EW360" i="9"/>
  <c r="FW360" i="9" s="1"/>
  <c r="FX360" i="9"/>
  <c r="FY360" i="9" s="1"/>
  <c r="FZ360" i="9" s="1"/>
  <c r="GA360" i="9" s="1"/>
  <c r="GB360" i="9" s="1"/>
  <c r="GC360" i="9" s="1"/>
  <c r="GD360" i="9" s="1"/>
  <c r="GE360" i="9" s="1"/>
  <c r="GF360" i="9" s="1"/>
  <c r="GG360" i="9" s="1"/>
  <c r="EW361" i="9"/>
  <c r="FW361" i="9" s="1"/>
  <c r="FX361" i="9" s="1"/>
  <c r="FY361" i="9" s="1"/>
  <c r="FZ361" i="9" s="1"/>
  <c r="GA361" i="9" s="1"/>
  <c r="GB361" i="9" s="1"/>
  <c r="GC361" i="9" s="1"/>
  <c r="EW362" i="9"/>
  <c r="FW362" i="9" s="1"/>
  <c r="FX362" i="9" s="1"/>
  <c r="FY362" i="9" s="1"/>
  <c r="FZ362" i="9" s="1"/>
  <c r="GA362" i="9" s="1"/>
  <c r="GB362" i="9" s="1"/>
  <c r="GC362" i="9" s="1"/>
  <c r="GD362" i="9" s="1"/>
  <c r="GE362" i="9" s="1"/>
  <c r="GF362" i="9" s="1"/>
  <c r="GG362" i="9" s="1"/>
  <c r="EW363" i="9"/>
  <c r="FW363" i="9" s="1"/>
  <c r="FX363" i="9" s="1"/>
  <c r="FY363" i="9" s="1"/>
  <c r="FZ363" i="9" s="1"/>
  <c r="GA363" i="9" s="1"/>
  <c r="GB363" i="9" s="1"/>
  <c r="GC363" i="9" s="1"/>
  <c r="EW364" i="9"/>
  <c r="FW364" i="9" s="1"/>
  <c r="FX364" i="9" s="1"/>
  <c r="FY364" i="9" s="1"/>
  <c r="FZ364" i="9" s="1"/>
  <c r="GA364" i="9" s="1"/>
  <c r="GB364" i="9" s="1"/>
  <c r="GC364" i="9" s="1"/>
  <c r="EW365" i="9"/>
  <c r="FW365" i="9" s="1"/>
  <c r="FX365" i="9" s="1"/>
  <c r="FY365" i="9" s="1"/>
  <c r="FZ365" i="9" s="1"/>
  <c r="GA365" i="9" s="1"/>
  <c r="GB365" i="9" s="1"/>
  <c r="GC365" i="9" s="1"/>
  <c r="GD365" i="9" s="1"/>
  <c r="GE365" i="9" s="1"/>
  <c r="GF365" i="9" s="1"/>
  <c r="GG365" i="9" s="1"/>
  <c r="GH365" i="9" s="1"/>
  <c r="GI365" i="9" s="1"/>
  <c r="EW366" i="9"/>
  <c r="FW366" i="9" s="1"/>
  <c r="FX366" i="9" s="1"/>
  <c r="FY366" i="9" s="1"/>
  <c r="FZ366" i="9" s="1"/>
  <c r="GA366" i="9" s="1"/>
  <c r="GB366" i="9" s="1"/>
  <c r="GC366" i="9" s="1"/>
  <c r="EW367" i="9"/>
  <c r="FW367" i="9" s="1"/>
  <c r="FX367" i="9" s="1"/>
  <c r="FY367" i="9" s="1"/>
  <c r="FZ367" i="9" s="1"/>
  <c r="GA367" i="9" s="1"/>
  <c r="GB367" i="9" s="1"/>
  <c r="GC367" i="9" s="1"/>
  <c r="GD367" i="9" s="1"/>
  <c r="GE367" i="9" s="1"/>
  <c r="GF367" i="9" s="1"/>
  <c r="GG367" i="9" s="1"/>
  <c r="GH367" i="9" s="1"/>
  <c r="GI367" i="9" s="1"/>
  <c r="EW368" i="9"/>
  <c r="FW368" i="9" s="1"/>
  <c r="FX368" i="9" s="1"/>
  <c r="FY368" i="9" s="1"/>
  <c r="FZ368" i="9" s="1"/>
  <c r="GA368" i="9" s="1"/>
  <c r="GB368" i="9" s="1"/>
  <c r="GC368" i="9" s="1"/>
  <c r="EW369" i="9"/>
  <c r="FW369" i="9"/>
  <c r="FX369" i="9" s="1"/>
  <c r="FY369" i="9" s="1"/>
  <c r="FZ369" i="9" s="1"/>
  <c r="GA369" i="9" s="1"/>
  <c r="GB369" i="9" s="1"/>
  <c r="GC369" i="9" s="1"/>
  <c r="EW370" i="9"/>
  <c r="FW370" i="9" s="1"/>
  <c r="FX370" i="9" s="1"/>
  <c r="FY370" i="9" s="1"/>
  <c r="FZ370" i="9" s="1"/>
  <c r="GA370" i="9" s="1"/>
  <c r="GB370" i="9" s="1"/>
  <c r="GC370" i="9" s="1"/>
  <c r="GD370" i="9" s="1"/>
  <c r="GE370" i="9" s="1"/>
  <c r="GF370" i="9" s="1"/>
  <c r="GG370" i="9" s="1"/>
  <c r="GH370" i="9" s="1"/>
  <c r="GI370" i="9" s="1"/>
  <c r="EW371" i="9"/>
  <c r="FW371" i="9" s="1"/>
  <c r="FX371" i="9" s="1"/>
  <c r="FY371" i="9" s="1"/>
  <c r="FZ371" i="9" s="1"/>
  <c r="GA371" i="9" s="1"/>
  <c r="GB371" i="9" s="1"/>
  <c r="GC371" i="9" s="1"/>
  <c r="EW372" i="9"/>
  <c r="FW372" i="9" s="1"/>
  <c r="FX372" i="9" s="1"/>
  <c r="FY372" i="9" s="1"/>
  <c r="FZ372" i="9" s="1"/>
  <c r="GA372" i="9" s="1"/>
  <c r="GB372" i="9" s="1"/>
  <c r="GC372" i="9" s="1"/>
  <c r="GD372" i="9" s="1"/>
  <c r="GE372" i="9" s="1"/>
  <c r="GF372" i="9" s="1"/>
  <c r="GG372" i="9" s="1"/>
  <c r="GH372" i="9" s="1"/>
  <c r="GI372" i="9" s="1"/>
  <c r="EW373" i="9"/>
  <c r="FW373" i="9" s="1"/>
  <c r="FX373" i="9" s="1"/>
  <c r="FY373" i="9" s="1"/>
  <c r="FZ373" i="9" s="1"/>
  <c r="GA373" i="9" s="1"/>
  <c r="GB373" i="9" s="1"/>
  <c r="GC373" i="9" s="1"/>
  <c r="EW374" i="9"/>
  <c r="FW374" i="9"/>
  <c r="FX374" i="9" s="1"/>
  <c r="FY374" i="9" s="1"/>
  <c r="FZ374" i="9" s="1"/>
  <c r="GA374" i="9" s="1"/>
  <c r="GB374" i="9" s="1"/>
  <c r="GC374" i="9" s="1"/>
  <c r="EW375" i="9"/>
  <c r="FW375" i="9" s="1"/>
  <c r="FX375" i="9" s="1"/>
  <c r="FY375" i="9" s="1"/>
  <c r="FZ375" i="9" s="1"/>
  <c r="GA375" i="9" s="1"/>
  <c r="GB375" i="9" s="1"/>
  <c r="GC375" i="9" s="1"/>
  <c r="GD375" i="9" s="1"/>
  <c r="GE375" i="9" s="1"/>
  <c r="GF375" i="9" s="1"/>
  <c r="GG375" i="9" s="1"/>
  <c r="GH375" i="9" s="1"/>
  <c r="GI375" i="9" s="1"/>
  <c r="EW376" i="9"/>
  <c r="FW376" i="9" s="1"/>
  <c r="FX376" i="9" s="1"/>
  <c r="FY376" i="9" s="1"/>
  <c r="FZ376" i="9" s="1"/>
  <c r="GA376" i="9" s="1"/>
  <c r="GB376" i="9" s="1"/>
  <c r="GC376" i="9" s="1"/>
  <c r="EW377" i="9"/>
  <c r="FW377" i="9"/>
  <c r="FX377" i="9" s="1"/>
  <c r="FY377" i="9" s="1"/>
  <c r="FZ377" i="9" s="1"/>
  <c r="GA377" i="9" s="1"/>
  <c r="GB377" i="9" s="1"/>
  <c r="GC377" i="9" s="1"/>
  <c r="GD377" i="9" s="1"/>
  <c r="GE377" i="9" s="1"/>
  <c r="GF377" i="9" s="1"/>
  <c r="GG377" i="9" s="1"/>
  <c r="GH377" i="9" s="1"/>
  <c r="GI377" i="9" s="1"/>
  <c r="EW378" i="9"/>
  <c r="FW378" i="9" s="1"/>
  <c r="FX378" i="9" s="1"/>
  <c r="FY378" i="9" s="1"/>
  <c r="EW379" i="9"/>
  <c r="FW379" i="9" s="1"/>
  <c r="FX379" i="9" s="1"/>
  <c r="FY379" i="9" s="1"/>
  <c r="EW380" i="9"/>
  <c r="FW380" i="9"/>
  <c r="FX380" i="9" s="1"/>
  <c r="FY380" i="9" s="1"/>
  <c r="EW381" i="9"/>
  <c r="FW381" i="9"/>
  <c r="FX381" i="9" s="1"/>
  <c r="FY381" i="9" s="1"/>
  <c r="EW382" i="9"/>
  <c r="FW382" i="9"/>
  <c r="FX382" i="9" s="1"/>
  <c r="FY382" i="9" s="1"/>
  <c r="EW383" i="9"/>
  <c r="FW383" i="9" s="1"/>
  <c r="FX383" i="9" s="1"/>
  <c r="FY383" i="9" s="1"/>
  <c r="EW384" i="9"/>
  <c r="FW384" i="9" s="1"/>
  <c r="FX384" i="9" s="1"/>
  <c r="FY384" i="9" s="1"/>
  <c r="EW385" i="9"/>
  <c r="FW385" i="9" s="1"/>
  <c r="FX385" i="9" s="1"/>
  <c r="FY385" i="9" s="1"/>
  <c r="EW386" i="9"/>
  <c r="FW386" i="9" s="1"/>
  <c r="FX386" i="9" s="1"/>
  <c r="FY386" i="9" s="1"/>
  <c r="EW387" i="9"/>
  <c r="FW387" i="9" s="1"/>
  <c r="FX387" i="9" s="1"/>
  <c r="FY387" i="9" s="1"/>
  <c r="EW388" i="9"/>
  <c r="FW388" i="9" s="1"/>
  <c r="FX388" i="9" s="1"/>
  <c r="FY388" i="9" s="1"/>
  <c r="EW389" i="9"/>
  <c r="FW389" i="9" s="1"/>
  <c r="FX389" i="9"/>
  <c r="FY389" i="9" s="1"/>
  <c r="EW390" i="9"/>
  <c r="FW390" i="9" s="1"/>
  <c r="FX390" i="9"/>
  <c r="FY390" i="9" s="1"/>
  <c r="EW391" i="9"/>
  <c r="FW391" i="9" s="1"/>
  <c r="FX391" i="9"/>
  <c r="FY391" i="9" s="1"/>
  <c r="FW392" i="9"/>
  <c r="FX392" i="9"/>
  <c r="FY392" i="9" s="1"/>
  <c r="FZ392" i="9" s="1"/>
  <c r="GA392" i="9" s="1"/>
  <c r="GB392" i="9" s="1"/>
  <c r="GC392" i="9" s="1"/>
  <c r="EW393" i="9"/>
  <c r="FW393" i="9" s="1"/>
  <c r="FX393" i="9" s="1"/>
  <c r="FY393" i="9" s="1"/>
  <c r="EW394" i="9"/>
  <c r="FW394" i="9" s="1"/>
  <c r="FX394" i="9" s="1"/>
  <c r="FY394" i="9" s="1"/>
  <c r="EW395" i="9"/>
  <c r="FW395" i="9" s="1"/>
  <c r="FX395" i="9" s="1"/>
  <c r="FY395" i="9" s="1"/>
  <c r="EW396" i="9"/>
  <c r="FW396" i="9"/>
  <c r="FX396" i="9" s="1"/>
  <c r="FY396" i="9" s="1"/>
  <c r="EW397" i="9"/>
  <c r="FW397" i="9" s="1"/>
  <c r="FX397" i="9" s="1"/>
  <c r="FY397" i="9" s="1"/>
  <c r="EW398" i="9"/>
  <c r="FW398" i="9" s="1"/>
  <c r="FX398" i="9" s="1"/>
  <c r="FY398" i="9" s="1"/>
  <c r="EW399" i="9"/>
  <c r="FW399" i="9"/>
  <c r="FX399" i="9" s="1"/>
  <c r="FY399" i="9" s="1"/>
  <c r="EW400" i="9"/>
  <c r="FW400" i="9"/>
  <c r="FX400" i="9" s="1"/>
  <c r="FY400" i="9" s="1"/>
  <c r="EW401" i="9"/>
  <c r="FW401" i="9" s="1"/>
  <c r="FX401" i="9" s="1"/>
  <c r="FY401" i="9" s="1"/>
  <c r="EW402" i="9"/>
  <c r="FW402" i="9" s="1"/>
  <c r="FX402" i="9" s="1"/>
  <c r="FY402" i="9" s="1"/>
  <c r="EW403" i="9"/>
  <c r="FW403" i="9"/>
  <c r="FX403" i="9" s="1"/>
  <c r="FY403" i="9" s="1"/>
  <c r="EW404" i="9"/>
  <c r="FW404" i="9" s="1"/>
  <c r="FX404" i="9" s="1"/>
  <c r="FY404" i="9" s="1"/>
  <c r="EW405" i="9"/>
  <c r="FW405" i="9" s="1"/>
  <c r="FX405" i="9" s="1"/>
  <c r="FY405" i="9" s="1"/>
  <c r="EW406" i="9"/>
  <c r="FW406" i="9" s="1"/>
  <c r="FX406" i="9" s="1"/>
  <c r="FY406" i="9" s="1"/>
  <c r="FW407" i="9"/>
  <c r="FX407" i="9" s="1"/>
  <c r="FY407" i="9" s="1"/>
  <c r="FZ407" i="9" s="1"/>
  <c r="GA407" i="9" s="1"/>
  <c r="GB407" i="9" s="1"/>
  <c r="GC407" i="9" s="1"/>
  <c r="EW408" i="9"/>
  <c r="FW408" i="9" s="1"/>
  <c r="FX408" i="9" s="1"/>
  <c r="FY408" i="9" s="1"/>
  <c r="EW409" i="9"/>
  <c r="FW409" i="9" s="1"/>
  <c r="FX409" i="9" s="1"/>
  <c r="FY409" i="9" s="1"/>
  <c r="EW410" i="9"/>
  <c r="FW410" i="9" s="1"/>
  <c r="FX410" i="9" s="1"/>
  <c r="FY410" i="9" s="1"/>
  <c r="EW411" i="9"/>
  <c r="FW411" i="9" s="1"/>
  <c r="FX411" i="9" s="1"/>
  <c r="FY411" i="9" s="1"/>
  <c r="EW412" i="9"/>
  <c r="FW412" i="9" s="1"/>
  <c r="FX412" i="9" s="1"/>
  <c r="FY412" i="9" s="1"/>
  <c r="EW413" i="9"/>
  <c r="FW413" i="9" s="1"/>
  <c r="FX413" i="9" s="1"/>
  <c r="FY413" i="9" s="1"/>
  <c r="EW414" i="9"/>
  <c r="FW414" i="9" s="1"/>
  <c r="FX414" i="9" s="1"/>
  <c r="FY414" i="9" s="1"/>
  <c r="EW415" i="9"/>
  <c r="FW415" i="9" s="1"/>
  <c r="FX415" i="9" s="1"/>
  <c r="FY415" i="9" s="1"/>
  <c r="EW416" i="9"/>
  <c r="FW416" i="9" s="1"/>
  <c r="FX416" i="9" s="1"/>
  <c r="FY416" i="9" s="1"/>
  <c r="EW417" i="9"/>
  <c r="FW417" i="9" s="1"/>
  <c r="FX417" i="9" s="1"/>
  <c r="FY417" i="9" s="1"/>
  <c r="EW418" i="9"/>
  <c r="FW418" i="9" s="1"/>
  <c r="FX418" i="9" s="1"/>
  <c r="FY418" i="9" s="1"/>
  <c r="EW419" i="9"/>
  <c r="FW419" i="9" s="1"/>
  <c r="FX419" i="9" s="1"/>
  <c r="FY419" i="9" s="1"/>
  <c r="EW420" i="9"/>
  <c r="FW420" i="9" s="1"/>
  <c r="FX420" i="9" s="1"/>
  <c r="FY420" i="9" s="1"/>
  <c r="EW421" i="9"/>
  <c r="FW421" i="9" s="1"/>
  <c r="FX421" i="9" s="1"/>
  <c r="FY421" i="9" s="1"/>
  <c r="FW422" i="9"/>
  <c r="FX422" i="9" s="1"/>
  <c r="FY422" i="9" s="1"/>
  <c r="FZ422" i="9" s="1"/>
  <c r="GA422" i="9" s="1"/>
  <c r="GB422" i="9" s="1"/>
  <c r="GC422" i="9" s="1"/>
  <c r="GD422" i="9" s="1"/>
  <c r="GE422" i="9" s="1"/>
  <c r="GF422" i="9" s="1"/>
  <c r="GG422" i="9" s="1"/>
  <c r="EW423" i="9"/>
  <c r="FW423" i="9" s="1"/>
  <c r="FX423" i="9" s="1"/>
  <c r="FY423" i="9" s="1"/>
  <c r="EW424" i="9"/>
  <c r="FW424" i="9" s="1"/>
  <c r="FX424" i="9" s="1"/>
  <c r="FY424" i="9" s="1"/>
  <c r="EW425" i="9"/>
  <c r="FW425" i="9" s="1"/>
  <c r="FX425" i="9" s="1"/>
  <c r="FY425" i="9" s="1"/>
  <c r="EW426" i="9"/>
  <c r="FW426" i="9" s="1"/>
  <c r="FX426" i="9" s="1"/>
  <c r="FY426" i="9" s="1"/>
  <c r="EW427" i="9"/>
  <c r="FW427" i="9" s="1"/>
  <c r="FX427" i="9" s="1"/>
  <c r="FY427" i="9" s="1"/>
  <c r="EW428" i="9"/>
  <c r="FW428" i="9" s="1"/>
  <c r="FX428" i="9" s="1"/>
  <c r="FY428" i="9" s="1"/>
  <c r="EW429" i="9"/>
  <c r="FW429" i="9" s="1"/>
  <c r="FX429" i="9" s="1"/>
  <c r="FY429" i="9" s="1"/>
  <c r="EW430" i="9"/>
  <c r="FW430" i="9" s="1"/>
  <c r="FX430" i="9" s="1"/>
  <c r="FY430" i="9" s="1"/>
  <c r="EW431" i="9"/>
  <c r="FW431" i="9" s="1"/>
  <c r="FX431" i="9" s="1"/>
  <c r="FY431" i="9" s="1"/>
  <c r="EW432" i="9"/>
  <c r="FW432" i="9"/>
  <c r="FX432" i="9" s="1"/>
  <c r="FY432" i="9" s="1"/>
  <c r="EW433" i="9"/>
  <c r="FW433" i="9"/>
  <c r="FX433" i="9" s="1"/>
  <c r="FY433" i="9" s="1"/>
  <c r="EW434" i="9"/>
  <c r="FW434" i="9" s="1"/>
  <c r="FX434" i="9" s="1"/>
  <c r="FY434" i="9" s="1"/>
  <c r="EW435" i="9"/>
  <c r="FW435" i="9" s="1"/>
  <c r="FX435" i="9" s="1"/>
  <c r="FY435" i="9" s="1"/>
  <c r="EW436" i="9"/>
  <c r="FW436" i="9" s="1"/>
  <c r="FX436" i="9" s="1"/>
  <c r="FY436" i="9" s="1"/>
  <c r="FW437" i="9"/>
  <c r="FX437" i="9" s="1"/>
  <c r="FY437" i="9" s="1"/>
  <c r="FZ437" i="9" s="1"/>
  <c r="GA437" i="9" s="1"/>
  <c r="GB437" i="9" s="1"/>
  <c r="GC437" i="9" s="1"/>
  <c r="GD437" i="9" s="1"/>
  <c r="GE437" i="9" s="1"/>
  <c r="GF437" i="9" s="1"/>
  <c r="GG437" i="9" s="1"/>
  <c r="GH437" i="9" s="1"/>
  <c r="GI437" i="9" s="1"/>
  <c r="EW438" i="9"/>
  <c r="FW438" i="9" s="1"/>
  <c r="FX438" i="9" s="1"/>
  <c r="FY438" i="9" s="1"/>
  <c r="EW439" i="9"/>
  <c r="FW439" i="9" s="1"/>
  <c r="FX439" i="9" s="1"/>
  <c r="FY439" i="9" s="1"/>
  <c r="EW440" i="9"/>
  <c r="FW440" i="9" s="1"/>
  <c r="FX440" i="9" s="1"/>
  <c r="FY440" i="9" s="1"/>
  <c r="EW441" i="9"/>
  <c r="FW441" i="9"/>
  <c r="FX441" i="9" s="1"/>
  <c r="FY441" i="9" s="1"/>
  <c r="EW442" i="9"/>
  <c r="FW442" i="9"/>
  <c r="FX442" i="9" s="1"/>
  <c r="FY442" i="9" s="1"/>
  <c r="EW443" i="9"/>
  <c r="FW443" i="9"/>
  <c r="FX443" i="9" s="1"/>
  <c r="FY443" i="9" s="1"/>
  <c r="EW444" i="9"/>
  <c r="FW444" i="9" s="1"/>
  <c r="FX444" i="9" s="1"/>
  <c r="FY444" i="9" s="1"/>
  <c r="EW445" i="9"/>
  <c r="FW445" i="9" s="1"/>
  <c r="FX445" i="9" s="1"/>
  <c r="FY445" i="9" s="1"/>
  <c r="EW446" i="9"/>
  <c r="FW446" i="9" s="1"/>
  <c r="FX446" i="9" s="1"/>
  <c r="FY446" i="9" s="1"/>
  <c r="EW447" i="9"/>
  <c r="FW447" i="9" s="1"/>
  <c r="FX447" i="9" s="1"/>
  <c r="FY447" i="9" s="1"/>
  <c r="EW448" i="9"/>
  <c r="FW448" i="9" s="1"/>
  <c r="FX448" i="9" s="1"/>
  <c r="FY448" i="9" s="1"/>
  <c r="EW449" i="9"/>
  <c r="FW449" i="9"/>
  <c r="FX449" i="9" s="1"/>
  <c r="FY449" i="9" s="1"/>
  <c r="EW450" i="9"/>
  <c r="FW450" i="9"/>
  <c r="FX450" i="9" s="1"/>
  <c r="FY450" i="9" s="1"/>
  <c r="EW451" i="9"/>
  <c r="FW451" i="9" s="1"/>
  <c r="FX451" i="9" s="1"/>
  <c r="FY451" i="9" s="1"/>
  <c r="FW452" i="9"/>
  <c r="FX452" i="9" s="1"/>
  <c r="FY452" i="9" s="1"/>
  <c r="FZ452" i="9" s="1"/>
  <c r="GA452" i="9" s="1"/>
  <c r="GB452" i="9" s="1"/>
  <c r="GC452" i="9" s="1"/>
  <c r="GD452" i="9" s="1"/>
  <c r="GE452" i="9" s="1"/>
  <c r="GF452" i="9" s="1"/>
  <c r="GG452" i="9" s="1"/>
  <c r="FW453" i="9"/>
  <c r="FX453" i="9" s="1"/>
  <c r="FY453" i="9" s="1"/>
  <c r="FZ453" i="9" s="1"/>
  <c r="GA453" i="9" s="1"/>
  <c r="GB453" i="9" s="1"/>
  <c r="GC453" i="9" s="1"/>
  <c r="GD453" i="9" s="1"/>
  <c r="GE453" i="9" s="1"/>
  <c r="GF453" i="9" s="1"/>
  <c r="GG453" i="9" s="1"/>
  <c r="FW454" i="9"/>
  <c r="FX454" i="9" s="1"/>
  <c r="FY454" i="9" s="1"/>
  <c r="FZ454" i="9" s="1"/>
  <c r="GA454" i="9" s="1"/>
  <c r="GB454" i="9" s="1"/>
  <c r="GC454" i="9" s="1"/>
  <c r="FW455" i="9"/>
  <c r="FX455" i="9"/>
  <c r="FY455" i="9" s="1"/>
  <c r="FZ455" i="9" s="1"/>
  <c r="GA455" i="9" s="1"/>
  <c r="GB455" i="9" s="1"/>
  <c r="GC455" i="9" s="1"/>
  <c r="FW456" i="9"/>
  <c r="FX456" i="9"/>
  <c r="FY456" i="9" s="1"/>
  <c r="FZ456" i="9" s="1"/>
  <c r="GA456" i="9" s="1"/>
  <c r="GB456" i="9" s="1"/>
  <c r="GC456" i="9" s="1"/>
  <c r="GD456" i="9" s="1"/>
  <c r="GE456" i="9" s="1"/>
  <c r="GF456" i="9" s="1"/>
  <c r="GG456" i="9" s="1"/>
  <c r="FW457" i="9"/>
  <c r="FX457" i="9" s="1"/>
  <c r="FY457" i="9" s="1"/>
  <c r="FZ457" i="9" s="1"/>
  <c r="GA457" i="9" s="1"/>
  <c r="GB457" i="9" s="1"/>
  <c r="GC457" i="9" s="1"/>
  <c r="FW458" i="9"/>
  <c r="FX458" i="9" s="1"/>
  <c r="FY458" i="9" s="1"/>
  <c r="FZ458" i="9" s="1"/>
  <c r="GA458" i="9" s="1"/>
  <c r="GB458" i="9" s="1"/>
  <c r="GC458" i="9" s="1"/>
  <c r="GD458" i="9" s="1"/>
  <c r="GE458" i="9" s="1"/>
  <c r="GF458" i="9" s="1"/>
  <c r="GG458" i="9" s="1"/>
  <c r="GH458" i="9" s="1"/>
  <c r="GI458" i="9" s="1"/>
  <c r="FW459" i="9"/>
  <c r="FX459" i="9" s="1"/>
  <c r="FY459" i="9" s="1"/>
  <c r="FZ459" i="9" s="1"/>
  <c r="GA459" i="9" s="1"/>
  <c r="GB459" i="9" s="1"/>
  <c r="GC459" i="9" s="1"/>
  <c r="GD459" i="9" s="1"/>
  <c r="GE459" i="9" s="1"/>
  <c r="GF459" i="9" s="1"/>
  <c r="GG459" i="9" s="1"/>
  <c r="FW460" i="9"/>
  <c r="FX460" i="9" s="1"/>
  <c r="FY460" i="9" s="1"/>
  <c r="FW461" i="9"/>
  <c r="FX461" i="9" s="1"/>
  <c r="FY461" i="9" s="1"/>
  <c r="FZ461" i="9" s="1"/>
  <c r="GA461" i="9" s="1"/>
  <c r="GB461" i="9" s="1"/>
  <c r="GC461" i="9" s="1"/>
  <c r="GD461" i="9" s="1"/>
  <c r="GE461" i="9" s="1"/>
  <c r="GF461" i="9" s="1"/>
  <c r="GG461" i="9" s="1"/>
  <c r="FW462" i="9"/>
  <c r="FX462" i="9" s="1"/>
  <c r="FY462" i="9" s="1"/>
  <c r="FZ462" i="9" s="1"/>
  <c r="GA462" i="9" s="1"/>
  <c r="GB462" i="9" s="1"/>
  <c r="GC462" i="9" s="1"/>
  <c r="GD462" i="9" s="1"/>
  <c r="GE462" i="9" s="1"/>
  <c r="GF462" i="9" s="1"/>
  <c r="GG462" i="9" s="1"/>
  <c r="FW463" i="9"/>
  <c r="FX463" i="9" s="1"/>
  <c r="FY463" i="9" s="1"/>
  <c r="FW464" i="9"/>
  <c r="FX464" i="9" s="1"/>
  <c r="FY464" i="9" s="1"/>
  <c r="FZ464" i="9" s="1"/>
  <c r="GA464" i="9" s="1"/>
  <c r="GB464" i="9" s="1"/>
  <c r="GC464" i="9" s="1"/>
  <c r="GD464" i="9" s="1"/>
  <c r="GE464" i="9" s="1"/>
  <c r="GF464" i="9" s="1"/>
  <c r="GG464" i="9" s="1"/>
  <c r="GH464" i="9" s="1"/>
  <c r="GI464" i="9" s="1"/>
  <c r="FW465" i="9"/>
  <c r="FX465" i="9" s="1"/>
  <c r="FY465" i="9" s="1"/>
  <c r="FZ465" i="9" s="1"/>
  <c r="GA465" i="9" s="1"/>
  <c r="GB465" i="9" s="1"/>
  <c r="GC465" i="9" s="1"/>
  <c r="FW466" i="9"/>
  <c r="FX466" i="9"/>
  <c r="FY466" i="9" s="1"/>
  <c r="FZ466" i="9" s="1"/>
  <c r="GA466" i="9" s="1"/>
  <c r="GB466" i="9" s="1"/>
  <c r="GC466" i="9" s="1"/>
  <c r="FW467" i="9"/>
  <c r="FX467" i="9"/>
  <c r="FY467" i="9" s="1"/>
  <c r="FZ467" i="9" s="1"/>
  <c r="GA467" i="9" s="1"/>
  <c r="GB467" i="9" s="1"/>
  <c r="GC467" i="9" s="1"/>
  <c r="GD467" i="9" s="1"/>
  <c r="GE467" i="9" s="1"/>
  <c r="GF467" i="9" s="1"/>
  <c r="GG467" i="9" s="1"/>
  <c r="GH467" i="9" s="1"/>
  <c r="GI467" i="9" s="1"/>
  <c r="FW468" i="9"/>
  <c r="FX468" i="9" s="1"/>
  <c r="FY468" i="9" s="1"/>
  <c r="FZ468" i="9" s="1"/>
  <c r="GA468" i="9" s="1"/>
  <c r="GB468" i="9" s="1"/>
  <c r="GC468" i="9" s="1"/>
  <c r="GD468" i="9" s="1"/>
  <c r="GE468" i="9" s="1"/>
  <c r="GF468" i="9" s="1"/>
  <c r="GG468" i="9" s="1"/>
  <c r="GH468" i="9" s="1"/>
  <c r="GI468" i="9" s="1"/>
  <c r="FW469" i="9"/>
  <c r="FX469" i="9" s="1"/>
  <c r="FY469" i="9" s="1"/>
  <c r="FZ469" i="9" s="1"/>
  <c r="GA469" i="9" s="1"/>
  <c r="GB469" i="9" s="1"/>
  <c r="GC469" i="9" s="1"/>
  <c r="GD469" i="9" s="1"/>
  <c r="GE469" i="9" s="1"/>
  <c r="GF469" i="9" s="1"/>
  <c r="GG469" i="9" s="1"/>
  <c r="GH469" i="9" s="1"/>
  <c r="GI469" i="9" s="1"/>
  <c r="FW470" i="9"/>
  <c r="FX470" i="9" s="1"/>
  <c r="FY470" i="9" s="1"/>
  <c r="FZ470" i="9" s="1"/>
  <c r="GA470" i="9" s="1"/>
  <c r="GB470" i="9" s="1"/>
  <c r="GC470" i="9" s="1"/>
  <c r="FW471" i="9"/>
  <c r="FX471" i="9" s="1"/>
  <c r="FY471" i="9"/>
  <c r="FZ471" i="9" s="1"/>
  <c r="GA471" i="9" s="1"/>
  <c r="GB471" i="9" s="1"/>
  <c r="GC471" i="9" s="1"/>
  <c r="FW472" i="9"/>
  <c r="FX472" i="9"/>
  <c r="FY472" i="9" s="1"/>
  <c r="FZ472" i="9" s="1"/>
  <c r="GA472" i="9" s="1"/>
  <c r="GB472" i="9" s="1"/>
  <c r="GC472" i="9" s="1"/>
  <c r="GD472" i="9" s="1"/>
  <c r="GE472" i="9" s="1"/>
  <c r="GF472" i="9" s="1"/>
  <c r="GG472" i="9" s="1"/>
  <c r="GH472" i="9" s="1"/>
  <c r="GI472" i="9" s="1"/>
  <c r="FW473" i="9"/>
  <c r="FX473" i="9" s="1"/>
  <c r="FY473" i="9" s="1"/>
  <c r="FZ473" i="9" s="1"/>
  <c r="GA473" i="9" s="1"/>
  <c r="GB473" i="9" s="1"/>
  <c r="GC473" i="9" s="1"/>
  <c r="GD473" i="9" s="1"/>
  <c r="GE473" i="9" s="1"/>
  <c r="GF473" i="9" s="1"/>
  <c r="GG473" i="9" s="1"/>
  <c r="FW474" i="9"/>
  <c r="FX474" i="9" s="1"/>
  <c r="FY474" i="9" s="1"/>
  <c r="FZ474" i="9" s="1"/>
  <c r="GA474" i="9" s="1"/>
  <c r="GB474" i="9" s="1"/>
  <c r="GC474" i="9" s="1"/>
  <c r="GD474" i="9" s="1"/>
  <c r="GE474" i="9" s="1"/>
  <c r="GF474" i="9" s="1"/>
  <c r="GG474" i="9" s="1"/>
  <c r="GH474" i="9" s="1"/>
  <c r="GI474" i="9" s="1"/>
  <c r="FW475" i="9"/>
  <c r="FX475" i="9" s="1"/>
  <c r="FY475" i="9" s="1"/>
  <c r="FZ475" i="9" s="1"/>
  <c r="GA475" i="9" s="1"/>
  <c r="GB475" i="9" s="1"/>
  <c r="GC475" i="9" s="1"/>
  <c r="FW476" i="9"/>
  <c r="FX476" i="9" s="1"/>
  <c r="FY476" i="9" s="1"/>
  <c r="FW477" i="9"/>
  <c r="FX477" i="9" s="1"/>
  <c r="FY477" i="9" s="1"/>
  <c r="FZ477" i="9" s="1"/>
  <c r="GA477" i="9" s="1"/>
  <c r="GB477" i="9" s="1"/>
  <c r="GC477" i="9" s="1"/>
  <c r="GD477" i="9" s="1"/>
  <c r="GE477" i="9" s="1"/>
  <c r="GF477" i="9" s="1"/>
  <c r="GG477" i="9" s="1"/>
  <c r="GH477" i="9" s="1"/>
  <c r="GI477" i="9" s="1"/>
  <c r="FW478" i="9"/>
  <c r="FX478" i="9"/>
  <c r="FY478" i="9" s="1"/>
  <c r="FZ478" i="9" s="1"/>
  <c r="GA478" i="9" s="1"/>
  <c r="GB478" i="9" s="1"/>
  <c r="GC478" i="9" s="1"/>
  <c r="GD478" i="9" s="1"/>
  <c r="GE478" i="9" s="1"/>
  <c r="GF478" i="9" s="1"/>
  <c r="GG478" i="9" s="1"/>
  <c r="GH478" i="9" s="1"/>
  <c r="GI478" i="9" s="1"/>
  <c r="FW479" i="9"/>
  <c r="FX479" i="9" s="1"/>
  <c r="FY479" i="9" s="1"/>
  <c r="FZ479" i="9" s="1"/>
  <c r="GA479" i="9" s="1"/>
  <c r="GB479" i="9" s="1"/>
  <c r="GC479" i="9" s="1"/>
  <c r="GD479" i="9" s="1"/>
  <c r="GE479" i="9" s="1"/>
  <c r="GF479" i="9" s="1"/>
  <c r="GG479" i="9" s="1"/>
  <c r="FW480" i="9"/>
  <c r="FX480" i="9" s="1"/>
  <c r="FY480" i="9" s="1"/>
  <c r="FZ480" i="9" s="1"/>
  <c r="GA480" i="9" s="1"/>
  <c r="GB480" i="9" s="1"/>
  <c r="GC480" i="9" s="1"/>
  <c r="FW481" i="9"/>
  <c r="FX481" i="9" s="1"/>
  <c r="FY481" i="9" s="1"/>
  <c r="FZ481" i="9" s="1"/>
  <c r="GA481" i="9" s="1"/>
  <c r="GB481" i="9" s="1"/>
  <c r="GC481" i="9" s="1"/>
  <c r="GD481" i="9" s="1"/>
  <c r="GE481" i="9" s="1"/>
  <c r="GF481" i="9" s="1"/>
  <c r="GG481" i="9" s="1"/>
  <c r="GH481" i="9" s="1"/>
  <c r="GI481" i="9" s="1"/>
  <c r="FW482" i="9"/>
  <c r="FX482" i="9" s="1"/>
  <c r="FY482" i="9" s="1"/>
  <c r="FZ482" i="9" s="1"/>
  <c r="GA482" i="9" s="1"/>
  <c r="GB482" i="9" s="1"/>
  <c r="GC482" i="9" s="1"/>
  <c r="FW483" i="9"/>
  <c r="FX483" i="9"/>
  <c r="FY483" i="9" s="1"/>
  <c r="FZ483" i="9" s="1"/>
  <c r="GA483" i="9" s="1"/>
  <c r="GB483" i="9" s="1"/>
  <c r="GC483" i="9" s="1"/>
  <c r="GD483" i="9" s="1"/>
  <c r="GE483" i="9" s="1"/>
  <c r="GF483" i="9" s="1"/>
  <c r="GG483" i="9" s="1"/>
  <c r="GH483" i="9" s="1"/>
  <c r="GI483" i="9" s="1"/>
  <c r="FW484" i="9"/>
  <c r="FX484" i="9" s="1"/>
  <c r="FY484" i="9" s="1"/>
  <c r="FZ484" i="9" s="1"/>
  <c r="GA484" i="9" s="1"/>
  <c r="GB484" i="9" s="1"/>
  <c r="GC484" i="9" s="1"/>
  <c r="FW485" i="9"/>
  <c r="FX485" i="9" s="1"/>
  <c r="FY485" i="9" s="1"/>
  <c r="FZ485" i="9" s="1"/>
  <c r="GA485" i="9" s="1"/>
  <c r="GB485" i="9" s="1"/>
  <c r="GC485" i="9" s="1"/>
  <c r="GD485" i="9" s="1"/>
  <c r="GE485" i="9" s="1"/>
  <c r="GF485" i="9" s="1"/>
  <c r="GG485" i="9" s="1"/>
  <c r="GH485" i="9" s="1"/>
  <c r="GI485" i="9" s="1"/>
  <c r="FW486" i="9"/>
  <c r="FX486" i="9" s="1"/>
  <c r="FY486" i="9" s="1"/>
  <c r="FZ486" i="9" s="1"/>
  <c r="GA486" i="9" s="1"/>
  <c r="GB486" i="9" s="1"/>
  <c r="GC486" i="9" s="1"/>
  <c r="GD486" i="9" s="1"/>
  <c r="GE486" i="9" s="1"/>
  <c r="GF486" i="9" s="1"/>
  <c r="GG486" i="9" s="1"/>
  <c r="GH486" i="9" s="1"/>
  <c r="GI486" i="9" s="1"/>
  <c r="FW487" i="9"/>
  <c r="FX487" i="9" s="1"/>
  <c r="FY487" i="9" s="1"/>
  <c r="FZ487" i="9" s="1"/>
  <c r="GA487" i="9" s="1"/>
  <c r="GB487" i="9" s="1"/>
  <c r="GC487" i="9" s="1"/>
  <c r="FW488" i="9"/>
  <c r="FX488" i="9"/>
  <c r="FY488" i="9" s="1"/>
  <c r="FZ488" i="9" s="1"/>
  <c r="GA488" i="9" s="1"/>
  <c r="GB488" i="9" s="1"/>
  <c r="GC488" i="9" s="1"/>
  <c r="GD488" i="9" s="1"/>
  <c r="GE488" i="9" s="1"/>
  <c r="GF488" i="9" s="1"/>
  <c r="GG488" i="9" s="1"/>
  <c r="GH488" i="9" s="1"/>
  <c r="GI488" i="9" s="1"/>
  <c r="FW489" i="9"/>
  <c r="FX489" i="9" s="1"/>
  <c r="FY489" i="9" s="1"/>
  <c r="FZ489" i="9" s="1"/>
  <c r="GA489" i="9" s="1"/>
  <c r="GB489" i="9" s="1"/>
  <c r="GC489" i="9" s="1"/>
  <c r="GD489" i="9" s="1"/>
  <c r="GE489" i="9" s="1"/>
  <c r="GF489" i="9" s="1"/>
  <c r="GG489" i="9" s="1"/>
  <c r="FW490" i="9"/>
  <c r="FX490" i="9" s="1"/>
  <c r="FY490" i="9" s="1"/>
  <c r="FZ490" i="9" s="1"/>
  <c r="GA490" i="9" s="1"/>
  <c r="GB490" i="9" s="1"/>
  <c r="GC490" i="9" s="1"/>
  <c r="GD490" i="9" s="1"/>
  <c r="GE490" i="9" s="1"/>
  <c r="GF490" i="9" s="1"/>
  <c r="GG490" i="9" s="1"/>
  <c r="FW491" i="9"/>
  <c r="FX491" i="9" s="1"/>
  <c r="FY491" i="9" s="1"/>
  <c r="FZ491" i="9" s="1"/>
  <c r="GA491" i="9" s="1"/>
  <c r="GB491" i="9" s="1"/>
  <c r="GC491" i="9" s="1"/>
  <c r="FW492" i="9"/>
  <c r="FX492" i="9" s="1"/>
  <c r="FY492" i="9" s="1"/>
  <c r="FZ492" i="9" s="1"/>
  <c r="GA492" i="9" s="1"/>
  <c r="GB492" i="9" s="1"/>
  <c r="GC492" i="9" s="1"/>
  <c r="GD492" i="9" s="1"/>
  <c r="GE492" i="9" s="1"/>
  <c r="GF492" i="9" s="1"/>
  <c r="GG492" i="9" s="1"/>
  <c r="GH492" i="9" s="1"/>
  <c r="GI492" i="9" s="1"/>
  <c r="FW493" i="9"/>
  <c r="FX493" i="9" s="1"/>
  <c r="FY493" i="9" s="1"/>
  <c r="FZ493" i="9" s="1"/>
  <c r="GA493" i="9" s="1"/>
  <c r="GB493" i="9" s="1"/>
  <c r="GC493" i="9" s="1"/>
  <c r="FW494" i="9"/>
  <c r="FX494" i="9" s="1"/>
  <c r="FY494" i="9"/>
  <c r="FZ494" i="9" s="1"/>
  <c r="GA494" i="9" s="1"/>
  <c r="GB494" i="9" s="1"/>
  <c r="GC494" i="9" s="1"/>
  <c r="FW495" i="9"/>
  <c r="FX495" i="9" s="1"/>
  <c r="FY495" i="9"/>
  <c r="FZ495" i="9" s="1"/>
  <c r="GA495" i="9" s="1"/>
  <c r="GB495" i="9" s="1"/>
  <c r="GC495" i="9" s="1"/>
  <c r="FW496" i="9"/>
  <c r="FX496" i="9"/>
  <c r="FY496" i="9" s="1"/>
  <c r="FZ496" i="9" s="1"/>
  <c r="GA496" i="9" s="1"/>
  <c r="GB496" i="9" s="1"/>
  <c r="GC496" i="9" s="1"/>
  <c r="GD496" i="9" s="1"/>
  <c r="GE496" i="9" s="1"/>
  <c r="GF496" i="9" s="1"/>
  <c r="GG496" i="9" s="1"/>
  <c r="EW497" i="9"/>
  <c r="FW497" i="9"/>
  <c r="FX497" i="9" s="1"/>
  <c r="FY497" i="9" s="1"/>
  <c r="EW498" i="9"/>
  <c r="FW498" i="9" s="1"/>
  <c r="FX498" i="9" s="1"/>
  <c r="FY498" i="9" s="1"/>
  <c r="EW499" i="9"/>
  <c r="FW499" i="9" s="1"/>
  <c r="FX499" i="9" s="1"/>
  <c r="FY499" i="9" s="1"/>
  <c r="EW500" i="9"/>
  <c r="FW500" i="9" s="1"/>
  <c r="FX500" i="9" s="1"/>
  <c r="FY500" i="9" s="1"/>
  <c r="EW501" i="9"/>
  <c r="FW501" i="9" s="1"/>
  <c r="FX501" i="9" s="1"/>
  <c r="FY501" i="9" s="1"/>
  <c r="EW502" i="9"/>
  <c r="FW502" i="9" s="1"/>
  <c r="FX502" i="9" s="1"/>
  <c r="FY502" i="9" s="1"/>
  <c r="EW503" i="9"/>
  <c r="FW503" i="9" s="1"/>
  <c r="FX503" i="9" s="1"/>
  <c r="FY503" i="9" s="1"/>
  <c r="EW504" i="9"/>
  <c r="FW504" i="9" s="1"/>
  <c r="FX504" i="9" s="1"/>
  <c r="FY504" i="9" s="1"/>
  <c r="EW505" i="9"/>
  <c r="FW505" i="9" s="1"/>
  <c r="FX505" i="9" s="1"/>
  <c r="FY505" i="9" s="1"/>
  <c r="EW506" i="9"/>
  <c r="FW506" i="9" s="1"/>
  <c r="FX506" i="9" s="1"/>
  <c r="FY506" i="9" s="1"/>
  <c r="EW507" i="9"/>
  <c r="FW507" i="9" s="1"/>
  <c r="FX507" i="9" s="1"/>
  <c r="FY507" i="9" s="1"/>
  <c r="EW508" i="9"/>
  <c r="FW508" i="9"/>
  <c r="FX508" i="9" s="1"/>
  <c r="FY508" i="9" s="1"/>
  <c r="EW509" i="9"/>
  <c r="FW509" i="9" s="1"/>
  <c r="FX509" i="9" s="1"/>
  <c r="FY509" i="9" s="1"/>
  <c r="EW510" i="9"/>
  <c r="FW510" i="9"/>
  <c r="FX510" i="9" s="1"/>
  <c r="FY510" i="9" s="1"/>
  <c r="FW511" i="9"/>
  <c r="FX511" i="9" s="1"/>
  <c r="FY511" i="9" s="1"/>
  <c r="FZ511" i="9" s="1"/>
  <c r="GA511" i="9" s="1"/>
  <c r="GB511" i="9" s="1"/>
  <c r="GC511" i="9" s="1"/>
  <c r="EW512" i="9"/>
  <c r="FW512" i="9" s="1"/>
  <c r="FX512" i="9" s="1"/>
  <c r="FY512" i="9" s="1"/>
  <c r="EW513" i="9"/>
  <c r="FW513" i="9" s="1"/>
  <c r="FX513" i="9" s="1"/>
  <c r="FY513" i="9"/>
  <c r="EW514" i="9"/>
  <c r="FW514" i="9" s="1"/>
  <c r="FX514" i="9" s="1"/>
  <c r="FY514" i="9" s="1"/>
  <c r="EW515" i="9"/>
  <c r="FW515" i="9" s="1"/>
  <c r="FX515" i="9" s="1"/>
  <c r="FY515" i="9" s="1"/>
  <c r="EW516" i="9"/>
  <c r="FW516" i="9"/>
  <c r="FX516" i="9" s="1"/>
  <c r="FY516" i="9" s="1"/>
  <c r="EW517" i="9"/>
  <c r="FW517" i="9"/>
  <c r="FX517" i="9" s="1"/>
  <c r="FY517" i="9" s="1"/>
  <c r="EW518" i="9"/>
  <c r="FW518" i="9" s="1"/>
  <c r="FX518" i="9" s="1"/>
  <c r="FY518" i="9" s="1"/>
  <c r="EW519" i="9"/>
  <c r="FW519" i="9" s="1"/>
  <c r="FX519" i="9" s="1"/>
  <c r="FY519" i="9" s="1"/>
  <c r="EW520" i="9"/>
  <c r="FW520" i="9" s="1"/>
  <c r="FX520" i="9" s="1"/>
  <c r="FY520" i="9" s="1"/>
  <c r="EW521" i="9"/>
  <c r="FW521" i="9" s="1"/>
  <c r="FX521" i="9" s="1"/>
  <c r="FY521" i="9" s="1"/>
  <c r="EW522" i="9"/>
  <c r="FW522" i="9" s="1"/>
  <c r="FX522" i="9" s="1"/>
  <c r="FY522" i="9" s="1"/>
  <c r="EW523" i="9"/>
  <c r="FW523" i="9" s="1"/>
  <c r="FX523" i="9" s="1"/>
  <c r="FY523" i="9" s="1"/>
  <c r="EW524" i="9"/>
  <c r="FW524" i="9"/>
  <c r="FX524" i="9" s="1"/>
  <c r="FY524" i="9" s="1"/>
  <c r="EW525" i="9"/>
  <c r="FW525" i="9"/>
  <c r="FX525" i="9" s="1"/>
  <c r="FY525" i="9" s="1"/>
  <c r="FW526" i="9"/>
  <c r="FX526" i="9" s="1"/>
  <c r="FY526" i="9" s="1"/>
  <c r="FZ526" i="9" s="1"/>
  <c r="GA526" i="9" s="1"/>
  <c r="GB526" i="9" s="1"/>
  <c r="GC526" i="9" s="1"/>
  <c r="EW527" i="9"/>
  <c r="FW527" i="9"/>
  <c r="FX527" i="9" s="1"/>
  <c r="FY527" i="9" s="1"/>
  <c r="EW528" i="9"/>
  <c r="FW528" i="9" s="1"/>
  <c r="FX528" i="9" s="1"/>
  <c r="FY528" i="9" s="1"/>
  <c r="EW529" i="9"/>
  <c r="FW529" i="9"/>
  <c r="FX529" i="9" s="1"/>
  <c r="FY529" i="9" s="1"/>
  <c r="EW530" i="9"/>
  <c r="FW530" i="9"/>
  <c r="FX530" i="9" s="1"/>
  <c r="FY530" i="9" s="1"/>
  <c r="EW531" i="9"/>
  <c r="FW531" i="9" s="1"/>
  <c r="FX531" i="9" s="1"/>
  <c r="FY531" i="9" s="1"/>
  <c r="EW532" i="9"/>
  <c r="FW532" i="9" s="1"/>
  <c r="FX532" i="9" s="1"/>
  <c r="FY532" i="9" s="1"/>
  <c r="EW533" i="9"/>
  <c r="FW533" i="9" s="1"/>
  <c r="FX533" i="9" s="1"/>
  <c r="FY533" i="9" s="1"/>
  <c r="EW534" i="9"/>
  <c r="FW534" i="9"/>
  <c r="FX534" i="9" s="1"/>
  <c r="FY534" i="9" s="1"/>
  <c r="EW535" i="9"/>
  <c r="FW535" i="9" s="1"/>
  <c r="FX535" i="9" s="1"/>
  <c r="FY535" i="9" s="1"/>
  <c r="EW536" i="9"/>
  <c r="FW536" i="9" s="1"/>
  <c r="FX536" i="9" s="1"/>
  <c r="FY536" i="9" s="1"/>
  <c r="EW537" i="9"/>
  <c r="FW537" i="9" s="1"/>
  <c r="FX537" i="9" s="1"/>
  <c r="FY537" i="9" s="1"/>
  <c r="EW538" i="9"/>
  <c r="FW538" i="9" s="1"/>
  <c r="FX538" i="9" s="1"/>
  <c r="FY538" i="9" s="1"/>
  <c r="EW539" i="9"/>
  <c r="FW539" i="9"/>
  <c r="FX539" i="9" s="1"/>
  <c r="FY539" i="9" s="1"/>
  <c r="EW540" i="9"/>
  <c r="FW540" i="9"/>
  <c r="FX540" i="9" s="1"/>
  <c r="FY540" i="9" s="1"/>
  <c r="FW541" i="9"/>
  <c r="FX541" i="9" s="1"/>
  <c r="FY541" i="9" s="1"/>
  <c r="FZ541" i="9" s="1"/>
  <c r="GA541" i="9" s="1"/>
  <c r="GB541" i="9" s="1"/>
  <c r="GC541" i="9" s="1"/>
  <c r="GD541" i="9" s="1"/>
  <c r="GE541" i="9" s="1"/>
  <c r="GF541" i="9" s="1"/>
  <c r="GG541" i="9" s="1"/>
  <c r="EW542" i="9"/>
  <c r="FW542" i="9" s="1"/>
  <c r="FX542" i="9" s="1"/>
  <c r="FY542" i="9" s="1"/>
  <c r="EW543" i="9"/>
  <c r="FW543" i="9" s="1"/>
  <c r="FX543" i="9" s="1"/>
  <c r="FY543" i="9" s="1"/>
  <c r="EW544" i="9"/>
  <c r="FW544" i="9"/>
  <c r="FX544" i="9" s="1"/>
  <c r="FY544" i="9" s="1"/>
  <c r="EW545" i="9"/>
  <c r="FW545" i="9" s="1"/>
  <c r="FX545" i="9" s="1"/>
  <c r="FY545" i="9" s="1"/>
  <c r="EW546" i="9"/>
  <c r="FW546" i="9" s="1"/>
  <c r="FX546" i="9" s="1"/>
  <c r="FY546" i="9" s="1"/>
  <c r="EW547" i="9"/>
  <c r="FW547" i="9" s="1"/>
  <c r="FX547" i="9" s="1"/>
  <c r="FY547" i="9" s="1"/>
  <c r="EW548" i="9"/>
  <c r="FW548" i="9" s="1"/>
  <c r="FX548" i="9" s="1"/>
  <c r="FY548" i="9" s="1"/>
  <c r="EW549" i="9"/>
  <c r="FW549" i="9"/>
  <c r="FX549" i="9" s="1"/>
  <c r="FY549" i="9" s="1"/>
  <c r="EW550" i="9"/>
  <c r="FW550" i="9" s="1"/>
  <c r="FX550" i="9" s="1"/>
  <c r="FY550" i="9" s="1"/>
  <c r="EW551" i="9"/>
  <c r="FW551" i="9" s="1"/>
  <c r="FX551" i="9" s="1"/>
  <c r="FY551" i="9" s="1"/>
  <c r="EW552" i="9"/>
  <c r="FW552" i="9" s="1"/>
  <c r="FX552" i="9" s="1"/>
  <c r="FY552" i="9" s="1"/>
  <c r="EW553" i="9"/>
  <c r="FW553" i="9" s="1"/>
  <c r="FX553" i="9" s="1"/>
  <c r="FY553" i="9" s="1"/>
  <c r="EW554" i="9"/>
  <c r="FW554" i="9" s="1"/>
  <c r="FX554" i="9"/>
  <c r="FY554" i="9" s="1"/>
  <c r="EW555" i="9"/>
  <c r="FW555" i="9" s="1"/>
  <c r="FX555" i="9" s="1"/>
  <c r="FY555" i="9" s="1"/>
  <c r="FW556" i="9"/>
  <c r="FX556" i="9" s="1"/>
  <c r="FY556" i="9" s="1"/>
  <c r="FZ556" i="9" s="1"/>
  <c r="GA556" i="9" s="1"/>
  <c r="GB556" i="9" s="1"/>
  <c r="GC556" i="9" s="1"/>
  <c r="GD556" i="9" s="1"/>
  <c r="GE556" i="9" s="1"/>
  <c r="GF556" i="9" s="1"/>
  <c r="GG556" i="9" s="1"/>
  <c r="GH556" i="9" s="1"/>
  <c r="GI556" i="9" s="1"/>
  <c r="EW557" i="9"/>
  <c r="FW557" i="9"/>
  <c r="FX557" i="9" s="1"/>
  <c r="FY557" i="9" s="1"/>
  <c r="EW558" i="9"/>
  <c r="FW558" i="9" s="1"/>
  <c r="FX558" i="9" s="1"/>
  <c r="FY558" i="9"/>
  <c r="EW559" i="9"/>
  <c r="FW559" i="9" s="1"/>
  <c r="FX559" i="9" s="1"/>
  <c r="FY559" i="9" s="1"/>
  <c r="EW560" i="9"/>
  <c r="FW560" i="9" s="1"/>
  <c r="FX560" i="9" s="1"/>
  <c r="FY560" i="9"/>
  <c r="EW561" i="9"/>
  <c r="FW561" i="9" s="1"/>
  <c r="FX561" i="9" s="1"/>
  <c r="FY561" i="9"/>
  <c r="EW562" i="9"/>
  <c r="FW562" i="9" s="1"/>
  <c r="FX562" i="9" s="1"/>
  <c r="FY562" i="9" s="1"/>
  <c r="EW563" i="9"/>
  <c r="FW563" i="9" s="1"/>
  <c r="FX563" i="9" s="1"/>
  <c r="FY563" i="9" s="1"/>
  <c r="EW564" i="9"/>
  <c r="FW564" i="9" s="1"/>
  <c r="FX564" i="9" s="1"/>
  <c r="FY564" i="9" s="1"/>
  <c r="EW565" i="9"/>
  <c r="FW565" i="9" s="1"/>
  <c r="FX565" i="9" s="1"/>
  <c r="FY565" i="9" s="1"/>
  <c r="EW566" i="9"/>
  <c r="FW566" i="9" s="1"/>
  <c r="FX566" i="9" s="1"/>
  <c r="FY566" i="9"/>
  <c r="EW567" i="9"/>
  <c r="FW567" i="9" s="1"/>
  <c r="FX567" i="9" s="1"/>
  <c r="FY567" i="9" s="1"/>
  <c r="EW568" i="9"/>
  <c r="FW568" i="9" s="1"/>
  <c r="FX568" i="9" s="1"/>
  <c r="FY568" i="9" s="1"/>
  <c r="EW569" i="9"/>
  <c r="FW569" i="9" s="1"/>
  <c r="FX569" i="9" s="1"/>
  <c r="FY569" i="9" s="1"/>
  <c r="EW570" i="9"/>
  <c r="FW570" i="9" s="1"/>
  <c r="FX570" i="9" s="1"/>
  <c r="FY570" i="9"/>
  <c r="FW571" i="9"/>
  <c r="FX571" i="9" s="1"/>
  <c r="FY571" i="9" s="1"/>
  <c r="FZ571" i="9" s="1"/>
  <c r="GA571" i="9" s="1"/>
  <c r="GB571" i="9" s="1"/>
  <c r="GC571" i="9" s="1"/>
  <c r="GD571" i="9" s="1"/>
  <c r="GE571" i="9" s="1"/>
  <c r="GF571" i="9" s="1"/>
  <c r="GG571" i="9" s="1"/>
  <c r="FW572" i="9"/>
  <c r="FX572" i="9"/>
  <c r="FY572" i="9" s="1"/>
  <c r="FZ572" i="9" s="1"/>
  <c r="GA572" i="9" s="1"/>
  <c r="GB572" i="9" s="1"/>
  <c r="GC572" i="9" s="1"/>
  <c r="GD572" i="9" s="1"/>
  <c r="FW573" i="9"/>
  <c r="FX573" i="9" s="1"/>
  <c r="FY573" i="9"/>
  <c r="FZ573" i="9" s="1"/>
  <c r="GA573" i="9" s="1"/>
  <c r="GB573" i="9" s="1"/>
  <c r="GC573" i="9" s="1"/>
  <c r="GD573" i="9" s="1"/>
  <c r="GE573" i="9" s="1"/>
  <c r="GF573" i="9" s="1"/>
  <c r="GG573" i="9" s="1"/>
  <c r="GH573" i="9" s="1"/>
  <c r="GI573" i="9" s="1"/>
  <c r="FW574" i="9"/>
  <c r="FX574" i="9" s="1"/>
  <c r="FY574" i="9" s="1"/>
  <c r="FZ574" i="9" s="1"/>
  <c r="GA574" i="9" s="1"/>
  <c r="GB574" i="9" s="1"/>
  <c r="GC574" i="9" s="1"/>
  <c r="GD574" i="9" s="1"/>
  <c r="GE574" i="9" s="1"/>
  <c r="GF574" i="9" s="1"/>
  <c r="GG574" i="9" s="1"/>
  <c r="FW575" i="9"/>
  <c r="FX575" i="9"/>
  <c r="FY575" i="9" s="1"/>
  <c r="FZ575" i="9" s="1"/>
  <c r="GA575" i="9" s="1"/>
  <c r="GB575" i="9" s="1"/>
  <c r="GC575" i="9" s="1"/>
  <c r="GD575" i="9" s="1"/>
  <c r="GE575" i="9" s="1"/>
  <c r="GF575" i="9" s="1"/>
  <c r="GG575" i="9" s="1"/>
  <c r="FW576" i="9"/>
  <c r="FX576" i="9" s="1"/>
  <c r="FY576" i="9" s="1"/>
  <c r="FZ576" i="9" s="1"/>
  <c r="GA576" i="9" s="1"/>
  <c r="GB576" i="9" s="1"/>
  <c r="GC576" i="9" s="1"/>
  <c r="GD576" i="9" s="1"/>
  <c r="GE576" i="9" s="1"/>
  <c r="GF576" i="9" s="1"/>
  <c r="GG576" i="9" s="1"/>
  <c r="GH576" i="9" s="1"/>
  <c r="GI576" i="9" s="1"/>
  <c r="FW577" i="9"/>
  <c r="FX577" i="9" s="1"/>
  <c r="FY577" i="9" s="1"/>
  <c r="FZ577" i="9" s="1"/>
  <c r="GA577" i="9" s="1"/>
  <c r="GB577" i="9" s="1"/>
  <c r="GC577" i="9" s="1"/>
  <c r="FW578" i="9"/>
  <c r="FX578" i="9" s="1"/>
  <c r="FY578" i="9" s="1"/>
  <c r="FZ578" i="9" s="1"/>
  <c r="GA578" i="9" s="1"/>
  <c r="GB578" i="9" s="1"/>
  <c r="GC578" i="9" s="1"/>
  <c r="GD578" i="9" s="1"/>
  <c r="GE578" i="9" s="1"/>
  <c r="GF578" i="9" s="1"/>
  <c r="GG578" i="9" s="1"/>
  <c r="FW579" i="9"/>
  <c r="FX579" i="9" s="1"/>
  <c r="FY579" i="9" s="1"/>
  <c r="FZ579" i="9" s="1"/>
  <c r="GA579" i="9" s="1"/>
  <c r="GB579" i="9" s="1"/>
  <c r="GC579" i="9" s="1"/>
  <c r="FW580" i="9"/>
  <c r="FX580" i="9"/>
  <c r="FY580" i="9" s="1"/>
  <c r="FZ580" i="9" s="1"/>
  <c r="GA580" i="9" s="1"/>
  <c r="GB580" i="9" s="1"/>
  <c r="GC580" i="9" s="1"/>
  <c r="GD580" i="9" s="1"/>
  <c r="GE580" i="9" s="1"/>
  <c r="GF580" i="9" s="1"/>
  <c r="GG580" i="9" s="1"/>
  <c r="GH580" i="9" s="1"/>
  <c r="GI580" i="9" s="1"/>
  <c r="FW581" i="9"/>
  <c r="FX581" i="9" s="1"/>
  <c r="FY581" i="9" s="1"/>
  <c r="FZ581" i="9" s="1"/>
  <c r="GA581" i="9" s="1"/>
  <c r="GB581" i="9" s="1"/>
  <c r="GC581" i="9" s="1"/>
  <c r="FW582" i="9"/>
  <c r="FX582" i="9" s="1"/>
  <c r="FY582" i="9" s="1"/>
  <c r="FZ582" i="9" s="1"/>
  <c r="GA582" i="9" s="1"/>
  <c r="GB582" i="9" s="1"/>
  <c r="GC582" i="9" s="1"/>
  <c r="GD582" i="9" s="1"/>
  <c r="GE582" i="9" s="1"/>
  <c r="GF582" i="9" s="1"/>
  <c r="GG582" i="9" s="1"/>
  <c r="GH582" i="9" s="1"/>
  <c r="GI582" i="9" s="1"/>
  <c r="FW583" i="9"/>
  <c r="FX583" i="9"/>
  <c r="FY583" i="9" s="1"/>
  <c r="FZ583" i="9" s="1"/>
  <c r="GA583" i="9" s="1"/>
  <c r="GB583" i="9" s="1"/>
  <c r="GC583" i="9" s="1"/>
  <c r="GD583" i="9" s="1"/>
  <c r="GE583" i="9" s="1"/>
  <c r="GF583" i="9" s="1"/>
  <c r="GG583" i="9" s="1"/>
  <c r="GH583" i="9" s="1"/>
  <c r="GI583" i="9" s="1"/>
  <c r="FW584" i="9"/>
  <c r="FX584" i="9" s="1"/>
  <c r="FY584" i="9" s="1"/>
  <c r="FZ584" i="9" s="1"/>
  <c r="GA584" i="9" s="1"/>
  <c r="GB584" i="9" s="1"/>
  <c r="GC584" i="9" s="1"/>
  <c r="GD584" i="9" s="1"/>
  <c r="GE584" i="9" s="1"/>
  <c r="GF584" i="9" s="1"/>
  <c r="GG584" i="9" s="1"/>
  <c r="GH584" i="9" s="1"/>
  <c r="GI584" i="9" s="1"/>
  <c r="FW585" i="9"/>
  <c r="FX585" i="9"/>
  <c r="FY585" i="9" s="1"/>
  <c r="FZ585" i="9" s="1"/>
  <c r="GA585" i="9" s="1"/>
  <c r="GB585" i="9" s="1"/>
  <c r="GC585" i="9" s="1"/>
  <c r="FW586" i="9"/>
  <c r="FX586" i="9" s="1"/>
  <c r="FY586" i="9" s="1"/>
  <c r="FW587" i="9"/>
  <c r="FX587" i="9" s="1"/>
  <c r="FY587" i="9" s="1"/>
  <c r="FZ587" i="9" s="1"/>
  <c r="GA587" i="9" s="1"/>
  <c r="GB587" i="9" s="1"/>
  <c r="GC587" i="9" s="1"/>
  <c r="FW588" i="9"/>
  <c r="FX588" i="9" s="1"/>
  <c r="FY588" i="9" s="1"/>
  <c r="FZ588" i="9" s="1"/>
  <c r="GA588" i="9" s="1"/>
  <c r="GB588" i="9" s="1"/>
  <c r="GC588" i="9" s="1"/>
  <c r="GD588" i="9" s="1"/>
  <c r="GE588" i="9" s="1"/>
  <c r="GF588" i="9" s="1"/>
  <c r="GG588" i="9" s="1"/>
  <c r="FW589" i="9"/>
  <c r="FX589" i="9" s="1"/>
  <c r="FY589" i="9" s="1"/>
  <c r="FZ589" i="9" s="1"/>
  <c r="GA589" i="9" s="1"/>
  <c r="GB589" i="9" s="1"/>
  <c r="GC589" i="9" s="1"/>
  <c r="FW590" i="9"/>
  <c r="FX590" i="9" s="1"/>
  <c r="FY590" i="9" s="1"/>
  <c r="FZ590" i="9" s="1"/>
  <c r="GA590" i="9" s="1"/>
  <c r="GB590" i="9" s="1"/>
  <c r="GC590" i="9" s="1"/>
  <c r="GD590" i="9" s="1"/>
  <c r="GE590" i="9" s="1"/>
  <c r="GF590" i="9" s="1"/>
  <c r="GG590" i="9" s="1"/>
  <c r="FW591" i="9"/>
  <c r="FX591" i="9" s="1"/>
  <c r="FY591" i="9" s="1"/>
  <c r="FZ591" i="9" s="1"/>
  <c r="GA591" i="9" s="1"/>
  <c r="GB591" i="9" s="1"/>
  <c r="GC591" i="9" s="1"/>
  <c r="FW592" i="9"/>
  <c r="FX592" i="9" s="1"/>
  <c r="FY592" i="9" s="1"/>
  <c r="FZ592" i="9" s="1"/>
  <c r="GA592" i="9" s="1"/>
  <c r="GB592" i="9" s="1"/>
  <c r="GC592" i="9" s="1"/>
  <c r="GD592" i="9" s="1"/>
  <c r="GE592" i="9" s="1"/>
  <c r="GF592" i="9" s="1"/>
  <c r="GG592" i="9" s="1"/>
  <c r="GH592" i="9" s="1"/>
  <c r="GI592" i="9" s="1"/>
  <c r="FW593" i="9"/>
  <c r="FX593" i="9"/>
  <c r="FY593" i="9" s="1"/>
  <c r="FZ593" i="9" s="1"/>
  <c r="GA593" i="9" s="1"/>
  <c r="GB593" i="9" s="1"/>
  <c r="GC593" i="9" s="1"/>
  <c r="GD593" i="9" s="1"/>
  <c r="GE593" i="9" s="1"/>
  <c r="GF593" i="9" s="1"/>
  <c r="GG593" i="9" s="1"/>
  <c r="GH593" i="9" s="1"/>
  <c r="GI593" i="9" s="1"/>
  <c r="FW594" i="9"/>
  <c r="FX594" i="9" s="1"/>
  <c r="FY594" i="9" s="1"/>
  <c r="FZ594" i="9" s="1"/>
  <c r="GA594" i="9" s="1"/>
  <c r="GB594" i="9" s="1"/>
  <c r="GC594" i="9" s="1"/>
  <c r="GD594" i="9" s="1"/>
  <c r="GE594" i="9" s="1"/>
  <c r="GF594" i="9" s="1"/>
  <c r="GG594" i="9" s="1"/>
  <c r="FW595" i="9"/>
  <c r="FX595" i="9" s="1"/>
  <c r="FY595" i="9" s="1"/>
  <c r="FZ595" i="9" s="1"/>
  <c r="GA595" i="9" s="1"/>
  <c r="GB595" i="9" s="1"/>
  <c r="GC595" i="9" s="1"/>
  <c r="FW596" i="9"/>
  <c r="FX596" i="9" s="1"/>
  <c r="FY596" i="9" s="1"/>
  <c r="FZ596" i="9" s="1"/>
  <c r="GA596" i="9" s="1"/>
  <c r="GB596" i="9" s="1"/>
  <c r="GC596" i="9" s="1"/>
  <c r="FW597" i="9"/>
  <c r="FX597" i="9" s="1"/>
  <c r="FY597" i="9" s="1"/>
  <c r="FZ597" i="9" s="1"/>
  <c r="GA597" i="9" s="1"/>
  <c r="GB597" i="9" s="1"/>
  <c r="GC597" i="9" s="1"/>
  <c r="GD597" i="9" s="1"/>
  <c r="GE597" i="9" s="1"/>
  <c r="GF597" i="9" s="1"/>
  <c r="GG597" i="9" s="1"/>
  <c r="FW598" i="9"/>
  <c r="FX598" i="9"/>
  <c r="FY598" i="9" s="1"/>
  <c r="FZ598" i="9" s="1"/>
  <c r="GA598" i="9" s="1"/>
  <c r="GB598" i="9" s="1"/>
  <c r="GC598" i="9" s="1"/>
  <c r="GD598" i="9" s="1"/>
  <c r="GE598" i="9" s="1"/>
  <c r="GF598" i="9" s="1"/>
  <c r="GG598" i="9" s="1"/>
  <c r="GH598" i="9" s="1"/>
  <c r="GI598" i="9" s="1"/>
  <c r="FW599" i="9"/>
  <c r="FX599" i="9" s="1"/>
  <c r="FY599" i="9" s="1"/>
  <c r="FZ599" i="9" s="1"/>
  <c r="GA599" i="9" s="1"/>
  <c r="GB599" i="9" s="1"/>
  <c r="GC599" i="9" s="1"/>
  <c r="FW600" i="9"/>
  <c r="FX600" i="9" s="1"/>
  <c r="FY600" i="9" s="1"/>
  <c r="FZ600" i="9" s="1"/>
  <c r="GA600" i="9" s="1"/>
  <c r="GB600" i="9" s="1"/>
  <c r="GC600" i="9" s="1"/>
  <c r="FW601" i="9"/>
  <c r="FX601" i="9"/>
  <c r="FY601" i="9" s="1"/>
  <c r="FZ601" i="9" s="1"/>
  <c r="GA601" i="9" s="1"/>
  <c r="GB601" i="9" s="1"/>
  <c r="GC601" i="9" s="1"/>
  <c r="FW602" i="9"/>
  <c r="FX602" i="9" s="1"/>
  <c r="FY602" i="9" s="1"/>
  <c r="FZ602" i="9" s="1"/>
  <c r="GA602" i="9" s="1"/>
  <c r="GB602" i="9" s="1"/>
  <c r="GC602" i="9" s="1"/>
  <c r="FW603" i="9"/>
  <c r="FX603" i="9" s="1"/>
  <c r="FY603" i="9" s="1"/>
  <c r="FZ603" i="9" s="1"/>
  <c r="GA603" i="9" s="1"/>
  <c r="GB603" i="9" s="1"/>
  <c r="GC603" i="9" s="1"/>
  <c r="FW604" i="9"/>
  <c r="FX604" i="9" s="1"/>
  <c r="FY604" i="9" s="1"/>
  <c r="FZ604" i="9" s="1"/>
  <c r="GA604" i="9" s="1"/>
  <c r="GB604" i="9" s="1"/>
  <c r="GC604" i="9" s="1"/>
  <c r="GD604" i="9" s="1"/>
  <c r="GE604" i="9" s="1"/>
  <c r="GF604" i="9" s="1"/>
  <c r="GG604" i="9" s="1"/>
  <c r="GH604" i="9" s="1"/>
  <c r="GI604" i="9" s="1"/>
  <c r="FW605" i="9"/>
  <c r="FX605" i="9"/>
  <c r="FY605" i="9" s="1"/>
  <c r="FZ605" i="9" s="1"/>
  <c r="GA605" i="9" s="1"/>
  <c r="GB605" i="9" s="1"/>
  <c r="GC605" i="9" s="1"/>
  <c r="FW606" i="9"/>
  <c r="FX606" i="9"/>
  <c r="FY606" i="9" s="1"/>
  <c r="FZ606" i="9" s="1"/>
  <c r="GA606" i="9" s="1"/>
  <c r="GB606" i="9" s="1"/>
  <c r="GC606" i="9" s="1"/>
  <c r="GD606" i="9" s="1"/>
  <c r="GE606" i="9" s="1"/>
  <c r="GF606" i="9" s="1"/>
  <c r="GG606" i="9" s="1"/>
  <c r="GH606" i="9" s="1"/>
  <c r="GI606" i="9" s="1"/>
  <c r="FW607" i="9"/>
  <c r="FX607" i="9" s="1"/>
  <c r="FY607" i="9" s="1"/>
  <c r="FZ607" i="9" s="1"/>
  <c r="GA607" i="9" s="1"/>
  <c r="GB607" i="9" s="1"/>
  <c r="GC607" i="9" s="1"/>
  <c r="FW608" i="9"/>
  <c r="FX608" i="9" s="1"/>
  <c r="FY608" i="9" s="1"/>
  <c r="FZ608" i="9" s="1"/>
  <c r="GA608" i="9" s="1"/>
  <c r="GB608" i="9" s="1"/>
  <c r="GC608" i="9" s="1"/>
  <c r="GD608" i="9" s="1"/>
  <c r="GE608" i="9" s="1"/>
  <c r="GF608" i="9" s="1"/>
  <c r="GG608" i="9" s="1"/>
  <c r="GH608" i="9" s="1"/>
  <c r="GI608" i="9" s="1"/>
  <c r="FW609" i="9"/>
  <c r="FX609" i="9" s="1"/>
  <c r="FY609" i="9" s="1"/>
  <c r="FZ609" i="9" s="1"/>
  <c r="GA609" i="9" s="1"/>
  <c r="GB609" i="9" s="1"/>
  <c r="GC609" i="9" s="1"/>
  <c r="FW610" i="9"/>
  <c r="FX610" i="9" s="1"/>
  <c r="FY610" i="9" s="1"/>
  <c r="FZ610" i="9" s="1"/>
  <c r="GA610" i="9" s="1"/>
  <c r="GB610" i="9" s="1"/>
  <c r="GC610" i="9" s="1"/>
  <c r="FW611" i="9"/>
  <c r="FX611" i="9" s="1"/>
  <c r="FY611" i="9" s="1"/>
  <c r="FZ611" i="9" s="1"/>
  <c r="GA611" i="9" s="1"/>
  <c r="GB611" i="9" s="1"/>
  <c r="GC611" i="9" s="1"/>
  <c r="FW612" i="9"/>
  <c r="FX612" i="9"/>
  <c r="FY612" i="9" s="1"/>
  <c r="FZ612" i="9" s="1"/>
  <c r="GA612" i="9" s="1"/>
  <c r="GB612" i="9" s="1"/>
  <c r="GC612" i="9" s="1"/>
  <c r="FW613" i="9"/>
  <c r="FX613" i="9"/>
  <c r="FY613" i="9"/>
  <c r="FZ613" i="9" s="1"/>
  <c r="GA613" i="9" s="1"/>
  <c r="GB613" i="9" s="1"/>
  <c r="GC613" i="9" s="1"/>
  <c r="GD613" i="9" s="1"/>
  <c r="GE613" i="9" s="1"/>
  <c r="GF613" i="9" s="1"/>
  <c r="GG613" i="9" s="1"/>
  <c r="FW614" i="9"/>
  <c r="FX614" i="9"/>
  <c r="FY614" i="9" s="1"/>
  <c r="FZ614" i="9" s="1"/>
  <c r="GA614" i="9" s="1"/>
  <c r="GB614" i="9" s="1"/>
  <c r="GC614" i="9" s="1"/>
  <c r="FW615" i="9"/>
  <c r="FX615" i="9" s="1"/>
  <c r="FY615" i="9" s="1"/>
  <c r="FZ615" i="9" s="1"/>
  <c r="GA615" i="9" s="1"/>
  <c r="GB615" i="9" s="1"/>
  <c r="GC615" i="9" s="1"/>
  <c r="EW616" i="9"/>
  <c r="FW616" i="9" s="1"/>
  <c r="FX616" i="9" s="1"/>
  <c r="FY616" i="9" s="1"/>
  <c r="EW617" i="9"/>
  <c r="FW617" i="9" s="1"/>
  <c r="FX617" i="9" s="1"/>
  <c r="FY617" i="9" s="1"/>
  <c r="EW618" i="9"/>
  <c r="FW618" i="9" s="1"/>
  <c r="FX618" i="9" s="1"/>
  <c r="FY618" i="9" s="1"/>
  <c r="EW619" i="9"/>
  <c r="FW619" i="9"/>
  <c r="FX619" i="9" s="1"/>
  <c r="FY619" i="9" s="1"/>
  <c r="EW620" i="9"/>
  <c r="FW620" i="9" s="1"/>
  <c r="FX620" i="9" s="1"/>
  <c r="FY620" i="9" s="1"/>
  <c r="EW621" i="9"/>
  <c r="FW621" i="9" s="1"/>
  <c r="FX621" i="9" s="1"/>
  <c r="FY621" i="9" s="1"/>
  <c r="EW622" i="9"/>
  <c r="FW622" i="9" s="1"/>
  <c r="FX622" i="9" s="1"/>
  <c r="FY622" i="9" s="1"/>
  <c r="EW623" i="9"/>
  <c r="FW623" i="9"/>
  <c r="FX623" i="9" s="1"/>
  <c r="FY623" i="9" s="1"/>
  <c r="EW624" i="9"/>
  <c r="FW624" i="9" s="1"/>
  <c r="FX624" i="9" s="1"/>
  <c r="FY624" i="9" s="1"/>
  <c r="EW625" i="9"/>
  <c r="FW625" i="9" s="1"/>
  <c r="FX625" i="9" s="1"/>
  <c r="FY625" i="9" s="1"/>
  <c r="EW626" i="9"/>
  <c r="FW626" i="9"/>
  <c r="FX626" i="9" s="1"/>
  <c r="FY626" i="9" s="1"/>
  <c r="EW627" i="9"/>
  <c r="FW627" i="9" s="1"/>
  <c r="FX627" i="9" s="1"/>
  <c r="FY627" i="9" s="1"/>
  <c r="EW628" i="9"/>
  <c r="FW628" i="9" s="1"/>
  <c r="FX628" i="9" s="1"/>
  <c r="FY628" i="9" s="1"/>
  <c r="EW629" i="9"/>
  <c r="FW629" i="9" s="1"/>
  <c r="FX629" i="9" s="1"/>
  <c r="FY629" i="9" s="1"/>
  <c r="FW630" i="9"/>
  <c r="FX630" i="9" s="1"/>
  <c r="FY630" i="9" s="1"/>
  <c r="FZ630" i="9" s="1"/>
  <c r="GA630" i="9" s="1"/>
  <c r="GB630" i="9" s="1"/>
  <c r="GC630" i="9" s="1"/>
  <c r="EW631" i="9"/>
  <c r="FW631" i="9" s="1"/>
  <c r="FX631" i="9" s="1"/>
  <c r="FY631" i="9" s="1"/>
  <c r="EW632" i="9"/>
  <c r="FW632" i="9" s="1"/>
  <c r="FX632" i="9" s="1"/>
  <c r="FY632" i="9" s="1"/>
  <c r="EW633" i="9"/>
  <c r="FW633" i="9" s="1"/>
  <c r="FX633" i="9" s="1"/>
  <c r="FY633" i="9" s="1"/>
  <c r="EW634" i="9"/>
  <c r="FW634" i="9" s="1"/>
  <c r="FX634" i="9" s="1"/>
  <c r="FY634" i="9" s="1"/>
  <c r="EW635" i="9"/>
  <c r="FW635" i="9" s="1"/>
  <c r="FX635" i="9" s="1"/>
  <c r="FY635" i="9" s="1"/>
  <c r="EW636" i="9"/>
  <c r="FW636" i="9" s="1"/>
  <c r="FX636" i="9" s="1"/>
  <c r="FY636" i="9" s="1"/>
  <c r="EW637" i="9"/>
  <c r="FW637" i="9"/>
  <c r="FX637" i="9" s="1"/>
  <c r="FY637" i="9" s="1"/>
  <c r="EW638" i="9"/>
  <c r="FW638" i="9" s="1"/>
  <c r="FX638" i="9" s="1"/>
  <c r="FY638" i="9" s="1"/>
  <c r="EW639" i="9"/>
  <c r="FW639" i="9" s="1"/>
  <c r="FX639" i="9" s="1"/>
  <c r="FY639" i="9" s="1"/>
  <c r="EW640" i="9"/>
  <c r="FW640" i="9" s="1"/>
  <c r="FX640" i="9" s="1"/>
  <c r="FY640" i="9" s="1"/>
  <c r="EW641" i="9"/>
  <c r="FW641" i="9"/>
  <c r="FX641" i="9" s="1"/>
  <c r="FY641" i="9" s="1"/>
  <c r="EW642" i="9"/>
  <c r="FW642" i="9" s="1"/>
  <c r="FX642" i="9" s="1"/>
  <c r="FY642" i="9" s="1"/>
  <c r="EW643" i="9"/>
  <c r="FW643" i="9" s="1"/>
  <c r="FX643" i="9" s="1"/>
  <c r="FY643" i="9" s="1"/>
  <c r="EW644" i="9"/>
  <c r="FW644" i="9" s="1"/>
  <c r="FX644" i="9" s="1"/>
  <c r="FY644" i="9" s="1"/>
  <c r="FW645" i="9"/>
  <c r="FX645" i="9"/>
  <c r="FY645" i="9" s="1"/>
  <c r="FZ645" i="9" s="1"/>
  <c r="GA645" i="9" s="1"/>
  <c r="GB645" i="9" s="1"/>
  <c r="GC645" i="9" s="1"/>
  <c r="GD645" i="9" s="1"/>
  <c r="GE645" i="9" s="1"/>
  <c r="GF645" i="9" s="1"/>
  <c r="GG645" i="9" s="1"/>
  <c r="GH645" i="9" s="1"/>
  <c r="GI645" i="9" s="1"/>
  <c r="EW646" i="9"/>
  <c r="FW646" i="9" s="1"/>
  <c r="FX646" i="9" s="1"/>
  <c r="FY646" i="9" s="1"/>
  <c r="EW647" i="9"/>
  <c r="FW647" i="9"/>
  <c r="FX647" i="9" s="1"/>
  <c r="FY647" i="9" s="1"/>
  <c r="EW648" i="9"/>
  <c r="FW648" i="9"/>
  <c r="FX648" i="9" s="1"/>
  <c r="FY648" i="9" s="1"/>
  <c r="EW649" i="9"/>
  <c r="FW649" i="9"/>
  <c r="FX649" i="9" s="1"/>
  <c r="FY649" i="9" s="1"/>
  <c r="EW650" i="9"/>
  <c r="FW650" i="9" s="1"/>
  <c r="FX650" i="9" s="1"/>
  <c r="FY650" i="9" s="1"/>
  <c r="EW651" i="9"/>
  <c r="FW651" i="9" s="1"/>
  <c r="FX651" i="9" s="1"/>
  <c r="FY651" i="9" s="1"/>
  <c r="EW652" i="9"/>
  <c r="FW652" i="9" s="1"/>
  <c r="FX652" i="9"/>
  <c r="FY652" i="9" s="1"/>
  <c r="EW653" i="9"/>
  <c r="FW653" i="9" s="1"/>
  <c r="FX653" i="9"/>
  <c r="FY653" i="9" s="1"/>
  <c r="EW654" i="9"/>
  <c r="FW654" i="9" s="1"/>
  <c r="FX654" i="9" s="1"/>
  <c r="FY654" i="9" s="1"/>
  <c r="EW655" i="9"/>
  <c r="FW655" i="9" s="1"/>
  <c r="FX655" i="9" s="1"/>
  <c r="FY655" i="9" s="1"/>
  <c r="EW656" i="9"/>
  <c r="FW656" i="9" s="1"/>
  <c r="FX656" i="9" s="1"/>
  <c r="FY656" i="9" s="1"/>
  <c r="EW657" i="9"/>
  <c r="FW657" i="9" s="1"/>
  <c r="FX657" i="9" s="1"/>
  <c r="FY657" i="9" s="1"/>
  <c r="EW658" i="9"/>
  <c r="FW658" i="9" s="1"/>
  <c r="FX658" i="9" s="1"/>
  <c r="FY658" i="9" s="1"/>
  <c r="EW659" i="9"/>
  <c r="FW659" i="9" s="1"/>
  <c r="FX659" i="9" s="1"/>
  <c r="FY659" i="9" s="1"/>
  <c r="FW660" i="9"/>
  <c r="FX660" i="9"/>
  <c r="FY660" i="9" s="1"/>
  <c r="EW661" i="9"/>
  <c r="FW661" i="9" s="1"/>
  <c r="FX661" i="9" s="1"/>
  <c r="FY661" i="9" s="1"/>
  <c r="EW662" i="9"/>
  <c r="FW662" i="9" s="1"/>
  <c r="FX662" i="9" s="1"/>
  <c r="FY662" i="9" s="1"/>
  <c r="EW663" i="9"/>
  <c r="FW663" i="9" s="1"/>
  <c r="FX663" i="9" s="1"/>
  <c r="FY663" i="9" s="1"/>
  <c r="EW664" i="9"/>
  <c r="FW664" i="9" s="1"/>
  <c r="FX664" i="9" s="1"/>
  <c r="FY664" i="9" s="1"/>
  <c r="EW665" i="9"/>
  <c r="FW665" i="9" s="1"/>
  <c r="FX665" i="9" s="1"/>
  <c r="FY665" i="9" s="1"/>
  <c r="EW666" i="9"/>
  <c r="FW666" i="9"/>
  <c r="FX666" i="9" s="1"/>
  <c r="FY666" i="9" s="1"/>
  <c r="EW667" i="9"/>
  <c r="FW667" i="9" s="1"/>
  <c r="FX667" i="9" s="1"/>
  <c r="FY667" i="9" s="1"/>
  <c r="EW668" i="9"/>
  <c r="FW668" i="9" s="1"/>
  <c r="FX668" i="9" s="1"/>
  <c r="FY668" i="9" s="1"/>
  <c r="EW669" i="9"/>
  <c r="FW669" i="9" s="1"/>
  <c r="FX669" i="9"/>
  <c r="FY669" i="9" s="1"/>
  <c r="EW670" i="9"/>
  <c r="FW670" i="9" s="1"/>
  <c r="FX670" i="9" s="1"/>
  <c r="FY670" i="9" s="1"/>
  <c r="EW671" i="9"/>
  <c r="FW671" i="9" s="1"/>
  <c r="FX671" i="9" s="1"/>
  <c r="FY671" i="9" s="1"/>
  <c r="EW672" i="9"/>
  <c r="FW672" i="9" s="1"/>
  <c r="FX672" i="9" s="1"/>
  <c r="FY672" i="9" s="1"/>
  <c r="EW673" i="9"/>
  <c r="FW673" i="9" s="1"/>
  <c r="FX673" i="9" s="1"/>
  <c r="FY673" i="9" s="1"/>
  <c r="EW674" i="9"/>
  <c r="FW674" i="9" s="1"/>
  <c r="FX674" i="9" s="1"/>
  <c r="FY674" i="9" s="1"/>
  <c r="FW675" i="9"/>
  <c r="FX675" i="9" s="1"/>
  <c r="FY675" i="9" s="1"/>
  <c r="FZ675" i="9" s="1"/>
  <c r="GA675" i="9" s="1"/>
  <c r="GB675" i="9" s="1"/>
  <c r="GC675" i="9" s="1"/>
  <c r="GD675" i="9" s="1"/>
  <c r="GE675" i="9" s="1"/>
  <c r="GF675" i="9" s="1"/>
  <c r="GG675" i="9" s="1"/>
  <c r="GH675" i="9" s="1"/>
  <c r="GI675" i="9" s="1"/>
  <c r="EW676" i="9"/>
  <c r="FW676" i="9"/>
  <c r="FX676" i="9" s="1"/>
  <c r="FY676" i="9" s="1"/>
  <c r="EW677" i="9"/>
  <c r="FW677" i="9" s="1"/>
  <c r="FX677" i="9" s="1"/>
  <c r="FY677" i="9" s="1"/>
  <c r="EW678" i="9"/>
  <c r="FW678" i="9" s="1"/>
  <c r="FX678" i="9" s="1"/>
  <c r="FY678" i="9" s="1"/>
  <c r="EW679" i="9"/>
  <c r="FW679" i="9" s="1"/>
  <c r="FX679" i="9" s="1"/>
  <c r="FY679" i="9" s="1"/>
  <c r="EW680" i="9"/>
  <c r="FW680" i="9"/>
  <c r="FX680" i="9" s="1"/>
  <c r="FY680" i="9" s="1"/>
  <c r="EW681" i="9"/>
  <c r="FW681" i="9" s="1"/>
  <c r="FX681" i="9" s="1"/>
  <c r="FY681" i="9" s="1"/>
  <c r="EW682" i="9"/>
  <c r="FW682" i="9" s="1"/>
  <c r="FX682" i="9" s="1"/>
  <c r="FY682" i="9" s="1"/>
  <c r="EW683" i="9"/>
  <c r="FW683" i="9" s="1"/>
  <c r="FX683" i="9" s="1"/>
  <c r="FY683" i="9" s="1"/>
  <c r="EW684" i="9"/>
  <c r="FW684" i="9" s="1"/>
  <c r="FX684" i="9" s="1"/>
  <c r="FY684" i="9" s="1"/>
  <c r="EW685" i="9"/>
  <c r="FW685" i="9" s="1"/>
  <c r="FX685" i="9" s="1"/>
  <c r="FY685" i="9" s="1"/>
  <c r="EW686" i="9"/>
  <c r="FW686" i="9" s="1"/>
  <c r="FX686" i="9" s="1"/>
  <c r="FY686" i="9" s="1"/>
  <c r="EW687" i="9"/>
  <c r="FW687" i="9" s="1"/>
  <c r="FX687" i="9" s="1"/>
  <c r="FY687" i="9" s="1"/>
  <c r="EW688" i="9"/>
  <c r="FW688" i="9" s="1"/>
  <c r="FX688" i="9" s="1"/>
  <c r="FY688" i="9" s="1"/>
  <c r="EW689" i="9"/>
  <c r="FW689" i="9" s="1"/>
  <c r="FX689" i="9" s="1"/>
  <c r="FY689" i="9" s="1"/>
  <c r="EW13" i="9"/>
  <c r="FW13" i="9" s="1"/>
  <c r="FX13" i="9" s="1"/>
  <c r="FY13" i="9" s="1"/>
  <c r="AA7" i="12"/>
  <c r="Y79" i="12" s="1"/>
  <c r="BL12" i="12" s="1"/>
  <c r="DP83" i="12"/>
  <c r="DP80" i="12"/>
  <c r="H11" i="11"/>
  <c r="G336" i="11" s="1"/>
  <c r="G317" i="11"/>
  <c r="G331" i="11" s="1"/>
  <c r="J332" i="11"/>
  <c r="I332" i="11"/>
  <c r="H329" i="11"/>
  <c r="G326" i="11"/>
  <c r="H326" i="11"/>
  <c r="G325" i="11"/>
  <c r="H325" i="11"/>
  <c r="G321" i="11"/>
  <c r="H321" i="11"/>
  <c r="G316" i="11"/>
  <c r="H316" i="11"/>
  <c r="G310" i="11"/>
  <c r="H310" i="11"/>
  <c r="H9" i="5"/>
  <c r="CS449" i="5"/>
  <c r="CS251" i="5"/>
  <c r="CS453" i="5"/>
  <c r="CS451" i="5"/>
  <c r="AY70" i="5"/>
  <c r="CR574" i="5" s="1"/>
  <c r="DE226" i="5" a="1"/>
  <c r="DE226" i="5" s="1"/>
  <c r="T92" i="5"/>
  <c r="CS170" i="5"/>
  <c r="T86" i="5"/>
  <c r="T84" i="5"/>
  <c r="T83" i="5"/>
  <c r="CS179" i="5"/>
  <c r="CS129" i="5"/>
  <c r="Q132" i="5"/>
  <c r="T132" i="5"/>
  <c r="V132" i="5"/>
  <c r="O131" i="5"/>
  <c r="X131" i="5" s="1"/>
  <c r="P131" i="5"/>
  <c r="Q131" i="5"/>
  <c r="T131" i="5"/>
  <c r="O130" i="5"/>
  <c r="X130" i="5" s="1"/>
  <c r="T130" i="5"/>
  <c r="O129" i="5"/>
  <c r="X129" i="5"/>
  <c r="S126" i="5"/>
  <c r="T129" i="5"/>
  <c r="U129" i="5"/>
  <c r="U126" i="5" s="1"/>
  <c r="V129" i="5"/>
  <c r="J128" i="5"/>
  <c r="O128" i="5"/>
  <c r="P128" i="5"/>
  <c r="Q128" i="5"/>
  <c r="S128" i="5"/>
  <c r="T128" i="5"/>
  <c r="V128" i="5"/>
  <c r="J127" i="5"/>
  <c r="S127" i="5"/>
  <c r="T127" i="5"/>
  <c r="X127" i="5"/>
  <c r="V127" i="5"/>
  <c r="J126" i="5"/>
  <c r="O126" i="5"/>
  <c r="P126" i="5"/>
  <c r="Q126" i="5"/>
  <c r="R126" i="5"/>
  <c r="T126" i="5"/>
  <c r="V126" i="5"/>
  <c r="AH297" i="9"/>
  <c r="CH416" i="9"/>
  <c r="S57" i="12"/>
  <c r="AH11" i="12"/>
  <c r="HB258" i="9"/>
  <c r="HD258" i="9" s="1"/>
  <c r="GK258" i="9"/>
  <c r="HE258" i="9" s="1"/>
  <c r="GL258" i="9"/>
  <c r="GQ258" i="9" s="1"/>
  <c r="GR258" i="9" s="1"/>
  <c r="GS258" i="9" s="1"/>
  <c r="GT258" i="9" s="1"/>
  <c r="GU258" i="9" s="1"/>
  <c r="GV258" i="9" s="1"/>
  <c r="GM258" i="9"/>
  <c r="HG258" i="9" s="1"/>
  <c r="GN258" i="9"/>
  <c r="GY258" i="9"/>
  <c r="GZ258" i="9" s="1"/>
  <c r="HH258" i="9" s="1"/>
  <c r="EZ135" i="9"/>
  <c r="HB135" i="9" s="1"/>
  <c r="HD135" i="9" s="1"/>
  <c r="FA135" i="9"/>
  <c r="GK135" i="9" s="1"/>
  <c r="HE135" i="9" s="1"/>
  <c r="FB135" i="9"/>
  <c r="GL135" i="9" s="1"/>
  <c r="FC135" i="9"/>
  <c r="GM135" i="9" s="1"/>
  <c r="HG135" i="9" s="1"/>
  <c r="FD135" i="9"/>
  <c r="GN135" i="9" s="1"/>
  <c r="EZ136" i="9"/>
  <c r="HB136" i="9" s="1"/>
  <c r="HD136" i="9" s="1"/>
  <c r="FA136" i="9"/>
  <c r="GK136" i="9" s="1"/>
  <c r="HE136" i="9" s="1"/>
  <c r="FB136" i="9"/>
  <c r="GL136" i="9"/>
  <c r="FC136" i="9"/>
  <c r="GM136" i="9" s="1"/>
  <c r="HG136" i="9" s="1"/>
  <c r="FD136" i="9"/>
  <c r="GN136" i="9" s="1"/>
  <c r="EZ137" i="9"/>
  <c r="HB137" i="9" s="1"/>
  <c r="HD137" i="9" s="1"/>
  <c r="FA137" i="9"/>
  <c r="GK137" i="9" s="1"/>
  <c r="HE137" i="9" s="1"/>
  <c r="FB137" i="9"/>
  <c r="GL137" i="9" s="1"/>
  <c r="FC137" i="9"/>
  <c r="GM137" i="9" s="1"/>
  <c r="HG137" i="9" s="1"/>
  <c r="FD137" i="9"/>
  <c r="GN137" i="9" s="1"/>
  <c r="EZ138" i="9"/>
  <c r="HB138" i="9" s="1"/>
  <c r="HD138" i="9" s="1"/>
  <c r="FA138" i="9"/>
  <c r="GK138" i="9" s="1"/>
  <c r="HE138" i="9" s="1"/>
  <c r="FB138" i="9"/>
  <c r="GL138" i="9" s="1"/>
  <c r="FC138" i="9"/>
  <c r="GM138" i="9" s="1"/>
  <c r="HG138" i="9" s="1"/>
  <c r="FD138" i="9"/>
  <c r="GN138" i="9"/>
  <c r="EZ139" i="9"/>
  <c r="HB139" i="9" s="1"/>
  <c r="HD139" i="9" s="1"/>
  <c r="FA139" i="9"/>
  <c r="GK139" i="9" s="1"/>
  <c r="HE139" i="9" s="1"/>
  <c r="FB139" i="9"/>
  <c r="GL139" i="9" s="1"/>
  <c r="FC139" i="9"/>
  <c r="GM139" i="9" s="1"/>
  <c r="HG139" i="9" s="1"/>
  <c r="FD139" i="9"/>
  <c r="GN139" i="9" s="1"/>
  <c r="EZ140" i="9"/>
  <c r="HB140" i="9" s="1"/>
  <c r="HD140" i="9" s="1"/>
  <c r="FA140" i="9"/>
  <c r="GK140" i="9" s="1"/>
  <c r="HE140" i="9" s="1"/>
  <c r="FC140" i="9"/>
  <c r="GM140" i="9" s="1"/>
  <c r="HG140" i="9" s="1"/>
  <c r="FD140" i="9"/>
  <c r="GN140" i="9" s="1"/>
  <c r="EZ141" i="9"/>
  <c r="HB141" i="9" s="1"/>
  <c r="HD141" i="9" s="1"/>
  <c r="FA141" i="9"/>
  <c r="GK141" i="9"/>
  <c r="HE141" i="9" s="1"/>
  <c r="FC141" i="9"/>
  <c r="GM141" i="9" s="1"/>
  <c r="HG141" i="9" s="1"/>
  <c r="FD141" i="9"/>
  <c r="GN141" i="9" s="1"/>
  <c r="EZ142" i="9"/>
  <c r="HB142" i="9"/>
  <c r="HD142" i="9" s="1"/>
  <c r="FA142" i="9"/>
  <c r="GK142" i="9"/>
  <c r="HE142" i="9" s="1"/>
  <c r="FB142" i="9"/>
  <c r="GL142" i="9" s="1"/>
  <c r="FC142" i="9"/>
  <c r="GM142" i="9" s="1"/>
  <c r="HG142" i="9" s="1"/>
  <c r="FD142" i="9"/>
  <c r="GN142" i="9" s="1"/>
  <c r="EZ143" i="9"/>
  <c r="HB143" i="9"/>
  <c r="HD143" i="9" s="1"/>
  <c r="FA143" i="9"/>
  <c r="GK143" i="9" s="1"/>
  <c r="HE143" i="9"/>
  <c r="FB143" i="9"/>
  <c r="GL143" i="9"/>
  <c r="FC143" i="9"/>
  <c r="GM143" i="9" s="1"/>
  <c r="HG143" i="9" s="1"/>
  <c r="FD143" i="9"/>
  <c r="GN143" i="9"/>
  <c r="EZ144" i="9"/>
  <c r="HB144" i="9" s="1"/>
  <c r="HD144" i="9" s="1"/>
  <c r="FA144" i="9"/>
  <c r="GK144" i="9" s="1"/>
  <c r="HE144" i="9" s="1"/>
  <c r="FB144" i="9"/>
  <c r="GL144" i="9" s="1"/>
  <c r="FC144" i="9"/>
  <c r="GM144" i="9" s="1"/>
  <c r="HG144" i="9" s="1"/>
  <c r="FD144" i="9"/>
  <c r="GN144" i="9" s="1"/>
  <c r="EZ145" i="9"/>
  <c r="HB145" i="9"/>
  <c r="HD145" i="9" s="1"/>
  <c r="FA145" i="9"/>
  <c r="GK145" i="9" s="1"/>
  <c r="HE145" i="9"/>
  <c r="FB145" i="9"/>
  <c r="GL145" i="9" s="1"/>
  <c r="FC145" i="9"/>
  <c r="GM145" i="9" s="1"/>
  <c r="HG145" i="9" s="1"/>
  <c r="FD145" i="9"/>
  <c r="GN145" i="9"/>
  <c r="EZ146" i="9"/>
  <c r="HB146" i="9"/>
  <c r="HD146" i="9"/>
  <c r="FA146" i="9"/>
  <c r="GK146" i="9" s="1"/>
  <c r="HE146" i="9" s="1"/>
  <c r="FB146" i="9"/>
  <c r="GL146" i="9" s="1"/>
  <c r="FC146" i="9"/>
  <c r="GM146" i="9"/>
  <c r="HG146" i="9" s="1"/>
  <c r="FD146" i="9"/>
  <c r="GN146" i="9"/>
  <c r="EZ147" i="9"/>
  <c r="HB147" i="9" s="1"/>
  <c r="HD147" i="9" s="1"/>
  <c r="FA147" i="9"/>
  <c r="GK147" i="9" s="1"/>
  <c r="HE147" i="9" s="1"/>
  <c r="FB147" i="9"/>
  <c r="GL147" i="9"/>
  <c r="FC147" i="9"/>
  <c r="GM147" i="9" s="1"/>
  <c r="HG147" i="9"/>
  <c r="FD147" i="9"/>
  <c r="GN147" i="9" s="1"/>
  <c r="EZ148" i="9"/>
  <c r="HB148" i="9" s="1"/>
  <c r="HD148" i="9" s="1"/>
  <c r="FA148" i="9"/>
  <c r="GK148" i="9" s="1"/>
  <c r="HE148" i="9" s="1"/>
  <c r="FB148" i="9"/>
  <c r="GL148" i="9" s="1"/>
  <c r="FC148" i="9"/>
  <c r="GM148" i="9" s="1"/>
  <c r="HG148" i="9" s="1"/>
  <c r="FD148" i="9"/>
  <c r="GN148" i="9" s="1"/>
  <c r="HB149" i="9"/>
  <c r="HD149" i="9" s="1"/>
  <c r="GK149" i="9"/>
  <c r="HE149" i="9" s="1"/>
  <c r="GL149" i="9"/>
  <c r="GQ149" i="9" s="1"/>
  <c r="GM149" i="9"/>
  <c r="HG149" i="9"/>
  <c r="GN149" i="9"/>
  <c r="GY149" i="9" s="1"/>
  <c r="GZ149" i="9" s="1"/>
  <c r="HH149" i="9" s="1"/>
  <c r="EZ150" i="9"/>
  <c r="HB150" i="9" s="1"/>
  <c r="HD150" i="9" s="1"/>
  <c r="FA150" i="9"/>
  <c r="GK150" i="9" s="1"/>
  <c r="HE150" i="9" s="1"/>
  <c r="FB150" i="9"/>
  <c r="GL150" i="9" s="1"/>
  <c r="FC150" i="9"/>
  <c r="GM150" i="9" s="1"/>
  <c r="HG150" i="9" s="1"/>
  <c r="FD150" i="9"/>
  <c r="GN150" i="9" s="1"/>
  <c r="EZ151" i="9"/>
  <c r="HB151" i="9" s="1"/>
  <c r="HD151" i="9" s="1"/>
  <c r="FA151" i="9"/>
  <c r="GK151" i="9"/>
  <c r="HE151" i="9" s="1"/>
  <c r="FB151" i="9"/>
  <c r="GL151" i="9" s="1"/>
  <c r="FC151" i="9"/>
  <c r="GM151" i="9" s="1"/>
  <c r="HG151" i="9" s="1"/>
  <c r="FD151" i="9"/>
  <c r="GN151" i="9" s="1"/>
  <c r="EZ152" i="9"/>
  <c r="HB152" i="9"/>
  <c r="HD152" i="9" s="1"/>
  <c r="FA152" i="9"/>
  <c r="GK152" i="9"/>
  <c r="HE152" i="9" s="1"/>
  <c r="FB152" i="9"/>
  <c r="GL152" i="9" s="1"/>
  <c r="FC152" i="9"/>
  <c r="GM152" i="9" s="1"/>
  <c r="HG152" i="9" s="1"/>
  <c r="FD152" i="9"/>
  <c r="GN152" i="9" s="1"/>
  <c r="EZ153" i="9"/>
  <c r="HB153" i="9" s="1"/>
  <c r="HD153" i="9" s="1"/>
  <c r="FA153" i="9"/>
  <c r="GK153" i="9" s="1"/>
  <c r="HE153" i="9" s="1"/>
  <c r="FB153" i="9"/>
  <c r="GL153" i="9" s="1"/>
  <c r="FC153" i="9"/>
  <c r="GM153" i="9" s="1"/>
  <c r="HG153" i="9" s="1"/>
  <c r="FD153" i="9"/>
  <c r="GN153" i="9" s="1"/>
  <c r="EZ154" i="9"/>
  <c r="HB154" i="9"/>
  <c r="HD154" i="9" s="1"/>
  <c r="FA154" i="9"/>
  <c r="GK154" i="9" s="1"/>
  <c r="HE154" i="9" s="1"/>
  <c r="FB154" i="9"/>
  <c r="GL154" i="9"/>
  <c r="FC154" i="9"/>
  <c r="GM154" i="9" s="1"/>
  <c r="HG154" i="9" s="1"/>
  <c r="FD154" i="9"/>
  <c r="GN154" i="9" s="1"/>
  <c r="EZ155" i="9"/>
  <c r="HB155" i="9" s="1"/>
  <c r="HD155" i="9" s="1"/>
  <c r="FA155" i="9"/>
  <c r="GK155" i="9" s="1"/>
  <c r="HE155" i="9" s="1"/>
  <c r="FC155" i="9"/>
  <c r="GM155" i="9" s="1"/>
  <c r="HG155" i="9" s="1"/>
  <c r="FD155" i="9"/>
  <c r="GN155" i="9" s="1"/>
  <c r="EZ156" i="9"/>
  <c r="HB156" i="9"/>
  <c r="HD156" i="9" s="1"/>
  <c r="FA156" i="9"/>
  <c r="GK156" i="9" s="1"/>
  <c r="HE156" i="9" s="1"/>
  <c r="FC156" i="9"/>
  <c r="GM156" i="9" s="1"/>
  <c r="HG156" i="9" s="1"/>
  <c r="FD156" i="9"/>
  <c r="GN156" i="9" s="1"/>
  <c r="EZ157" i="9"/>
  <c r="HB157" i="9"/>
  <c r="HD157" i="9" s="1"/>
  <c r="FA157" i="9"/>
  <c r="GK157" i="9" s="1"/>
  <c r="HE157" i="9" s="1"/>
  <c r="FB157" i="9"/>
  <c r="GL157" i="9" s="1"/>
  <c r="FC157" i="9"/>
  <c r="GM157" i="9"/>
  <c r="HG157" i="9" s="1"/>
  <c r="FD157" i="9"/>
  <c r="GN157" i="9"/>
  <c r="EZ158" i="9"/>
  <c r="HB158" i="9" s="1"/>
  <c r="HD158" i="9" s="1"/>
  <c r="FA158" i="9"/>
  <c r="GK158" i="9" s="1"/>
  <c r="HE158" i="9" s="1"/>
  <c r="FB158" i="9"/>
  <c r="GL158" i="9"/>
  <c r="FC158" i="9"/>
  <c r="GM158" i="9" s="1"/>
  <c r="HG158" i="9" s="1"/>
  <c r="FD158" i="9"/>
  <c r="GN158" i="9"/>
  <c r="EZ159" i="9"/>
  <c r="HB159" i="9" s="1"/>
  <c r="HD159" i="9" s="1"/>
  <c r="FA159" i="9"/>
  <c r="GK159" i="9" s="1"/>
  <c r="HE159" i="9" s="1"/>
  <c r="FB159" i="9"/>
  <c r="GL159" i="9" s="1"/>
  <c r="FC159" i="9"/>
  <c r="GM159" i="9"/>
  <c r="HG159" i="9" s="1"/>
  <c r="FD159" i="9"/>
  <c r="GN159" i="9" s="1"/>
  <c r="EZ160" i="9"/>
  <c r="HB160" i="9"/>
  <c r="HD160" i="9" s="1"/>
  <c r="FA160" i="9"/>
  <c r="GK160" i="9" s="1"/>
  <c r="HE160" i="9" s="1"/>
  <c r="FB160" i="9"/>
  <c r="GL160" i="9" s="1"/>
  <c r="FC160" i="9"/>
  <c r="GM160" i="9" s="1"/>
  <c r="HG160" i="9" s="1"/>
  <c r="FD160" i="9"/>
  <c r="GN160" i="9"/>
  <c r="EZ161" i="9"/>
  <c r="HB161" i="9" s="1"/>
  <c r="HD161" i="9" s="1"/>
  <c r="FA161" i="9"/>
  <c r="GK161" i="9" s="1"/>
  <c r="HE161" i="9" s="1"/>
  <c r="FB161" i="9"/>
  <c r="GL161" i="9" s="1"/>
  <c r="FC161" i="9"/>
  <c r="GM161" i="9" s="1"/>
  <c r="HG161" i="9" s="1"/>
  <c r="FD161" i="9"/>
  <c r="GN161" i="9" s="1"/>
  <c r="EZ162" i="9"/>
  <c r="HB162" i="9" s="1"/>
  <c r="HD162" i="9" s="1"/>
  <c r="FA162" i="9"/>
  <c r="GK162" i="9" s="1"/>
  <c r="HE162" i="9" s="1"/>
  <c r="FB162" i="9"/>
  <c r="GL162" i="9" s="1"/>
  <c r="FC162" i="9"/>
  <c r="GM162" i="9"/>
  <c r="HG162" i="9" s="1"/>
  <c r="FD162" i="9"/>
  <c r="GN162" i="9" s="1"/>
  <c r="EZ163" i="9"/>
  <c r="HB163" i="9" s="1"/>
  <c r="HD163" i="9" s="1"/>
  <c r="FA163" i="9"/>
  <c r="GK163" i="9" s="1"/>
  <c r="HE163" i="9" s="1"/>
  <c r="FB163" i="9"/>
  <c r="GL163" i="9" s="1"/>
  <c r="FC163" i="9"/>
  <c r="GM163" i="9" s="1"/>
  <c r="HG163" i="9" s="1"/>
  <c r="FD163" i="9"/>
  <c r="GN163" i="9"/>
  <c r="HB164" i="9"/>
  <c r="HD164" i="9" s="1"/>
  <c r="GK164" i="9"/>
  <c r="HE164" i="9" s="1"/>
  <c r="GD164" i="9"/>
  <c r="GE164" i="9" s="1"/>
  <c r="GF164" i="9" s="1"/>
  <c r="GG164" i="9" s="1"/>
  <c r="GL164" i="9"/>
  <c r="GQ164" i="9" s="1"/>
  <c r="GR164" i="9" s="1"/>
  <c r="GS164" i="9" s="1"/>
  <c r="GT164" i="9" s="1"/>
  <c r="GU164" i="9" s="1"/>
  <c r="GV164" i="9" s="1"/>
  <c r="GM164" i="9"/>
  <c r="HG164" i="9" s="1"/>
  <c r="GN164" i="9"/>
  <c r="GY164" i="9" s="1"/>
  <c r="GZ164" i="9" s="1"/>
  <c r="HH164" i="9" s="1"/>
  <c r="EZ165" i="9"/>
  <c r="HB165" i="9" s="1"/>
  <c r="HD165" i="9" s="1"/>
  <c r="FA165" i="9"/>
  <c r="GK165" i="9" s="1"/>
  <c r="HE165" i="9" s="1"/>
  <c r="FB165" i="9"/>
  <c r="GL165" i="9" s="1"/>
  <c r="FC165" i="9"/>
  <c r="GM165" i="9" s="1"/>
  <c r="HG165" i="9" s="1"/>
  <c r="FD165" i="9"/>
  <c r="GN165" i="9" s="1"/>
  <c r="EZ166" i="9"/>
  <c r="HB166" i="9" s="1"/>
  <c r="HD166" i="9" s="1"/>
  <c r="FA166" i="9"/>
  <c r="GK166" i="9"/>
  <c r="HE166" i="9"/>
  <c r="FB166" i="9"/>
  <c r="GL166" i="9" s="1"/>
  <c r="FC166" i="9"/>
  <c r="GM166" i="9" s="1"/>
  <c r="HG166" i="9" s="1"/>
  <c r="FD166" i="9"/>
  <c r="GN166" i="9"/>
  <c r="EZ167" i="9"/>
  <c r="HB167" i="9" s="1"/>
  <c r="HD167" i="9" s="1"/>
  <c r="FA167" i="9"/>
  <c r="GK167" i="9" s="1"/>
  <c r="HE167" i="9" s="1"/>
  <c r="FB167" i="9"/>
  <c r="GL167" i="9" s="1"/>
  <c r="FC167" i="9"/>
  <c r="GM167" i="9"/>
  <c r="HG167" i="9"/>
  <c r="FD167" i="9"/>
  <c r="GN167" i="9"/>
  <c r="EZ168" i="9"/>
  <c r="HB168" i="9" s="1"/>
  <c r="HD168" i="9" s="1"/>
  <c r="FA168" i="9"/>
  <c r="GK168" i="9" s="1"/>
  <c r="HE168" i="9" s="1"/>
  <c r="FB168" i="9"/>
  <c r="GL168" i="9"/>
  <c r="FC168" i="9"/>
  <c r="GM168" i="9" s="1"/>
  <c r="HG168" i="9" s="1"/>
  <c r="FD168" i="9"/>
  <c r="GN168" i="9"/>
  <c r="EZ169" i="9"/>
  <c r="HB169" i="9" s="1"/>
  <c r="HD169" i="9" s="1"/>
  <c r="FA169" i="9"/>
  <c r="GK169" i="9"/>
  <c r="HE169" i="9" s="1"/>
  <c r="FB169" i="9"/>
  <c r="GL169" i="9" s="1"/>
  <c r="FC169" i="9"/>
  <c r="GM169" i="9"/>
  <c r="HG169" i="9" s="1"/>
  <c r="FD169" i="9"/>
  <c r="GN169" i="9" s="1"/>
  <c r="EZ170" i="9"/>
  <c r="HB170" i="9" s="1"/>
  <c r="HD170" i="9" s="1"/>
  <c r="FA170" i="9"/>
  <c r="GK170" i="9"/>
  <c r="HE170" i="9" s="1"/>
  <c r="FC170" i="9"/>
  <c r="GM170" i="9"/>
  <c r="HG170" i="9" s="1"/>
  <c r="FD170" i="9"/>
  <c r="GN170" i="9" s="1"/>
  <c r="EZ171" i="9"/>
  <c r="HB171" i="9" s="1"/>
  <c r="HD171" i="9" s="1"/>
  <c r="FA171" i="9"/>
  <c r="GK171" i="9"/>
  <c r="HE171" i="9" s="1"/>
  <c r="FC171" i="9"/>
  <c r="GM171" i="9" s="1"/>
  <c r="HG171" i="9" s="1"/>
  <c r="FD171" i="9"/>
  <c r="GN171" i="9" s="1"/>
  <c r="EZ172" i="9"/>
  <c r="HB172" i="9" s="1"/>
  <c r="HD172" i="9" s="1"/>
  <c r="FA172" i="9"/>
  <c r="GK172" i="9"/>
  <c r="HE172" i="9" s="1"/>
  <c r="FB172" i="9"/>
  <c r="GL172" i="9" s="1"/>
  <c r="FC172" i="9"/>
  <c r="GM172" i="9"/>
  <c r="HG172" i="9" s="1"/>
  <c r="FD172" i="9"/>
  <c r="GN172" i="9" s="1"/>
  <c r="EZ173" i="9"/>
  <c r="HB173" i="9"/>
  <c r="HD173" i="9" s="1"/>
  <c r="FA173" i="9"/>
  <c r="GK173" i="9"/>
  <c r="HE173" i="9" s="1"/>
  <c r="FB173" i="9"/>
  <c r="GL173" i="9" s="1"/>
  <c r="FC173" i="9"/>
  <c r="GM173" i="9"/>
  <c r="HG173" i="9" s="1"/>
  <c r="FD173" i="9"/>
  <c r="GN173" i="9" s="1"/>
  <c r="EZ174" i="9"/>
  <c r="HB174" i="9"/>
  <c r="HD174" i="9" s="1"/>
  <c r="FA174" i="9"/>
  <c r="GK174" i="9" s="1"/>
  <c r="HE174" i="9" s="1"/>
  <c r="FB174" i="9"/>
  <c r="GL174" i="9" s="1"/>
  <c r="FC174" i="9"/>
  <c r="GM174" i="9"/>
  <c r="HG174" i="9" s="1"/>
  <c r="FD174" i="9"/>
  <c r="GN174" i="9"/>
  <c r="EZ175" i="9"/>
  <c r="HB175" i="9" s="1"/>
  <c r="HD175" i="9" s="1"/>
  <c r="FA175" i="9"/>
  <c r="GK175" i="9" s="1"/>
  <c r="HE175" i="9" s="1"/>
  <c r="FB175" i="9"/>
  <c r="GL175" i="9"/>
  <c r="FC175" i="9"/>
  <c r="GM175" i="9" s="1"/>
  <c r="HG175" i="9" s="1"/>
  <c r="FD175" i="9"/>
  <c r="GN175" i="9"/>
  <c r="EZ176" i="9"/>
  <c r="HB176" i="9" s="1"/>
  <c r="HD176" i="9" s="1"/>
  <c r="FA176" i="9"/>
  <c r="GK176" i="9"/>
  <c r="HE176" i="9" s="1"/>
  <c r="FB176" i="9"/>
  <c r="GL176" i="9"/>
  <c r="FC176" i="9"/>
  <c r="GM176" i="9" s="1"/>
  <c r="HG176" i="9" s="1"/>
  <c r="FD176" i="9"/>
  <c r="GN176" i="9" s="1"/>
  <c r="EZ177" i="9"/>
  <c r="HB177" i="9" s="1"/>
  <c r="HD177" i="9" s="1"/>
  <c r="FA177" i="9"/>
  <c r="GK177" i="9" s="1"/>
  <c r="HE177" i="9" s="1"/>
  <c r="FB177" i="9"/>
  <c r="GL177" i="9" s="1"/>
  <c r="FC177" i="9"/>
  <c r="GM177" i="9" s="1"/>
  <c r="HG177" i="9" s="1"/>
  <c r="FD177" i="9"/>
  <c r="GN177" i="9" s="1"/>
  <c r="EZ178" i="9"/>
  <c r="HB178" i="9" s="1"/>
  <c r="HD178" i="9" s="1"/>
  <c r="FA178" i="9"/>
  <c r="GK178" i="9" s="1"/>
  <c r="HE178" i="9" s="1"/>
  <c r="FB178" i="9"/>
  <c r="GL178" i="9" s="1"/>
  <c r="FC178" i="9"/>
  <c r="GM178" i="9" s="1"/>
  <c r="HG178" i="9" s="1"/>
  <c r="FD178" i="9"/>
  <c r="GN178" i="9" s="1"/>
  <c r="HB179" i="9"/>
  <c r="HD179" i="9"/>
  <c r="GK179" i="9"/>
  <c r="HE179" i="9" s="1"/>
  <c r="GD179" i="9"/>
  <c r="GE179" i="9" s="1"/>
  <c r="GF179" i="9" s="1"/>
  <c r="GG179" i="9" s="1"/>
  <c r="GH179" i="9" s="1"/>
  <c r="GL179" i="9"/>
  <c r="GQ179" i="9" s="1"/>
  <c r="GR179" i="9" s="1"/>
  <c r="GS179" i="9" s="1"/>
  <c r="GT179" i="9" s="1"/>
  <c r="GU179" i="9" s="1"/>
  <c r="GV179" i="9" s="1"/>
  <c r="GM179" i="9"/>
  <c r="HG179" i="9" s="1"/>
  <c r="GN179" i="9"/>
  <c r="GY179" i="9" s="1"/>
  <c r="GZ179" i="9" s="1"/>
  <c r="HH179" i="9" s="1"/>
  <c r="EZ180" i="9"/>
  <c r="HB180" i="9" s="1"/>
  <c r="HD180" i="9" s="1"/>
  <c r="FA180" i="9"/>
  <c r="GK180" i="9" s="1"/>
  <c r="HE180" i="9" s="1"/>
  <c r="FB180" i="9"/>
  <c r="GL180" i="9" s="1"/>
  <c r="FC180" i="9"/>
  <c r="GM180" i="9" s="1"/>
  <c r="HG180" i="9" s="1"/>
  <c r="FD180" i="9"/>
  <c r="GN180" i="9" s="1"/>
  <c r="EZ181" i="9"/>
  <c r="HB181" i="9" s="1"/>
  <c r="HD181" i="9" s="1"/>
  <c r="FA181" i="9"/>
  <c r="GK181" i="9"/>
  <c r="HE181" i="9" s="1"/>
  <c r="FB181" i="9"/>
  <c r="GL181" i="9" s="1"/>
  <c r="FC181" i="9"/>
  <c r="GM181" i="9"/>
  <c r="HG181" i="9" s="1"/>
  <c r="FD181" i="9"/>
  <c r="GN181" i="9" s="1"/>
  <c r="EZ182" i="9"/>
  <c r="HB182" i="9" s="1"/>
  <c r="HD182" i="9" s="1"/>
  <c r="FA182" i="9"/>
  <c r="GK182" i="9"/>
  <c r="HE182" i="9" s="1"/>
  <c r="FB182" i="9"/>
  <c r="GL182" i="9" s="1"/>
  <c r="FC182" i="9"/>
  <c r="GM182" i="9"/>
  <c r="HG182" i="9" s="1"/>
  <c r="FD182" i="9"/>
  <c r="GN182" i="9" s="1"/>
  <c r="EZ183" i="9"/>
  <c r="HB183" i="9" s="1"/>
  <c r="HD183" i="9" s="1"/>
  <c r="FA183" i="9"/>
  <c r="GK183" i="9" s="1"/>
  <c r="HE183" i="9" s="1"/>
  <c r="FB183" i="9"/>
  <c r="GL183" i="9" s="1"/>
  <c r="FC183" i="9"/>
  <c r="GM183" i="9" s="1"/>
  <c r="HG183" i="9" s="1"/>
  <c r="FD183" i="9"/>
  <c r="GN183" i="9" s="1"/>
  <c r="EZ184" i="9"/>
  <c r="HB184" i="9"/>
  <c r="HD184" i="9" s="1"/>
  <c r="FA184" i="9"/>
  <c r="GK184" i="9" s="1"/>
  <c r="HE184" i="9" s="1"/>
  <c r="FB184" i="9"/>
  <c r="GL184" i="9" s="1"/>
  <c r="FC184" i="9"/>
  <c r="GM184" i="9"/>
  <c r="HG184" i="9" s="1"/>
  <c r="FD184" i="9"/>
  <c r="GN184" i="9" s="1"/>
  <c r="EZ185" i="9"/>
  <c r="HB185" i="9" s="1"/>
  <c r="HD185" i="9" s="1"/>
  <c r="FA185" i="9"/>
  <c r="GK185" i="9" s="1"/>
  <c r="HE185" i="9" s="1"/>
  <c r="FC185" i="9"/>
  <c r="GM185" i="9" s="1"/>
  <c r="HG185" i="9" s="1"/>
  <c r="FD185" i="9"/>
  <c r="GN185" i="9" s="1"/>
  <c r="EZ186" i="9"/>
  <c r="HB186" i="9" s="1"/>
  <c r="HD186" i="9" s="1"/>
  <c r="FA186" i="9"/>
  <c r="GK186" i="9" s="1"/>
  <c r="HE186" i="9" s="1"/>
  <c r="FC186" i="9"/>
  <c r="GM186" i="9" s="1"/>
  <c r="HG186" i="9" s="1"/>
  <c r="FD186" i="9"/>
  <c r="GN186" i="9" s="1"/>
  <c r="EZ187" i="9"/>
  <c r="HB187" i="9" s="1"/>
  <c r="HD187" i="9" s="1"/>
  <c r="FA187" i="9"/>
  <c r="GK187" i="9" s="1"/>
  <c r="HE187" i="9" s="1"/>
  <c r="FB187" i="9"/>
  <c r="GL187" i="9"/>
  <c r="FC187" i="9"/>
  <c r="GM187" i="9"/>
  <c r="HG187" i="9" s="1"/>
  <c r="FD187" i="9"/>
  <c r="GN187" i="9" s="1"/>
  <c r="EZ188" i="9"/>
  <c r="HB188" i="9" s="1"/>
  <c r="HD188" i="9" s="1"/>
  <c r="FA188" i="9"/>
  <c r="GK188" i="9"/>
  <c r="HE188" i="9" s="1"/>
  <c r="FB188" i="9"/>
  <c r="GL188" i="9"/>
  <c r="FC188" i="9"/>
  <c r="GM188" i="9" s="1"/>
  <c r="HG188" i="9" s="1"/>
  <c r="FD188" i="9"/>
  <c r="GN188" i="9" s="1"/>
  <c r="EZ189" i="9"/>
  <c r="HB189" i="9"/>
  <c r="HD189" i="9" s="1"/>
  <c r="FA189" i="9"/>
  <c r="GK189" i="9"/>
  <c r="HE189" i="9"/>
  <c r="FB189" i="9"/>
  <c r="GL189" i="9" s="1"/>
  <c r="FC189" i="9"/>
  <c r="GM189" i="9" s="1"/>
  <c r="HG189" i="9" s="1"/>
  <c r="FD189" i="9"/>
  <c r="GN189" i="9"/>
  <c r="EZ190" i="9"/>
  <c r="HB190" i="9"/>
  <c r="HD190" i="9" s="1"/>
  <c r="FA190" i="9"/>
  <c r="GK190" i="9" s="1"/>
  <c r="HE190" i="9" s="1"/>
  <c r="FB190" i="9"/>
  <c r="GL190" i="9" s="1"/>
  <c r="FC190" i="9"/>
  <c r="GM190" i="9" s="1"/>
  <c r="HG190" i="9" s="1"/>
  <c r="FD190" i="9"/>
  <c r="GN190" i="9"/>
  <c r="EZ191" i="9"/>
  <c r="HB191" i="9" s="1"/>
  <c r="HD191" i="9" s="1"/>
  <c r="FA191" i="9"/>
  <c r="GK191" i="9" s="1"/>
  <c r="HE191" i="9" s="1"/>
  <c r="FB191" i="9"/>
  <c r="GL191" i="9" s="1"/>
  <c r="FC191" i="9"/>
  <c r="GM191" i="9"/>
  <c r="HG191" i="9" s="1"/>
  <c r="FD191" i="9"/>
  <c r="GN191" i="9" s="1"/>
  <c r="EZ192" i="9"/>
  <c r="HB192" i="9" s="1"/>
  <c r="HD192" i="9" s="1"/>
  <c r="FA192" i="9"/>
  <c r="GK192" i="9" s="1"/>
  <c r="HE192" i="9" s="1"/>
  <c r="FB192" i="9"/>
  <c r="GL192" i="9"/>
  <c r="FC192" i="9"/>
  <c r="GM192" i="9" s="1"/>
  <c r="HG192" i="9" s="1"/>
  <c r="FD192" i="9"/>
  <c r="GN192" i="9" s="1"/>
  <c r="EZ193" i="9"/>
  <c r="HB193" i="9" s="1"/>
  <c r="HD193" i="9" s="1"/>
  <c r="FA193" i="9"/>
  <c r="GK193" i="9"/>
  <c r="HE193" i="9" s="1"/>
  <c r="FB193" i="9"/>
  <c r="GL193" i="9"/>
  <c r="FC193" i="9"/>
  <c r="GM193" i="9" s="1"/>
  <c r="HG193" i="9" s="1"/>
  <c r="FD193" i="9"/>
  <c r="GN193" i="9" s="1"/>
  <c r="HB194" i="9"/>
  <c r="HD194" i="9" s="1"/>
  <c r="GK194" i="9"/>
  <c r="HE194" i="9" s="1"/>
  <c r="GL194" i="9"/>
  <c r="GM194" i="9"/>
  <c r="HG194" i="9" s="1"/>
  <c r="GN194" i="9"/>
  <c r="GY194" i="9" s="1"/>
  <c r="GZ194" i="9" s="1"/>
  <c r="HH194" i="9" s="1"/>
  <c r="EZ195" i="9"/>
  <c r="HB195" i="9" s="1"/>
  <c r="HD195" i="9" s="1"/>
  <c r="FA195" i="9"/>
  <c r="GK195" i="9" s="1"/>
  <c r="HE195" i="9" s="1"/>
  <c r="CC195" i="9" s="1"/>
  <c r="FB195" i="9"/>
  <c r="GL195" i="9"/>
  <c r="FC195" i="9"/>
  <c r="GM195" i="9" s="1"/>
  <c r="HG195" i="9" s="1"/>
  <c r="FD195" i="9"/>
  <c r="GN195" i="9" s="1"/>
  <c r="EZ196" i="9"/>
  <c r="HB196" i="9" s="1"/>
  <c r="HD196" i="9" s="1"/>
  <c r="FA196" i="9"/>
  <c r="GK196" i="9" s="1"/>
  <c r="HE196" i="9" s="1"/>
  <c r="FB196" i="9"/>
  <c r="GL196" i="9" s="1"/>
  <c r="FC196" i="9"/>
  <c r="GM196" i="9"/>
  <c r="HG196" i="9" s="1"/>
  <c r="FD196" i="9"/>
  <c r="GN196" i="9"/>
  <c r="EZ197" i="9"/>
  <c r="HB197" i="9" s="1"/>
  <c r="HD197" i="9" s="1"/>
  <c r="FA197" i="9"/>
  <c r="GK197" i="9" s="1"/>
  <c r="HE197" i="9" s="1"/>
  <c r="FB197" i="9"/>
  <c r="GL197" i="9" s="1"/>
  <c r="FC197" i="9"/>
  <c r="GM197" i="9"/>
  <c r="HG197" i="9" s="1"/>
  <c r="FD197" i="9"/>
  <c r="GN197" i="9" s="1"/>
  <c r="EZ198" i="9"/>
  <c r="HB198" i="9" s="1"/>
  <c r="HD198" i="9" s="1"/>
  <c r="FA198" i="9"/>
  <c r="GK198" i="9"/>
  <c r="HE198" i="9" s="1"/>
  <c r="FB198" i="9"/>
  <c r="GL198" i="9"/>
  <c r="FC198" i="9"/>
  <c r="GM198" i="9" s="1"/>
  <c r="HG198" i="9" s="1"/>
  <c r="FD198" i="9"/>
  <c r="GN198" i="9" s="1"/>
  <c r="EZ199" i="9"/>
  <c r="HB199" i="9" s="1"/>
  <c r="HD199" i="9" s="1"/>
  <c r="FA199" i="9"/>
  <c r="GK199" i="9" s="1"/>
  <c r="HE199" i="9" s="1"/>
  <c r="CC199" i="9" s="1"/>
  <c r="FB199" i="9"/>
  <c r="GL199" i="9"/>
  <c r="FC199" i="9"/>
  <c r="GM199" i="9" s="1"/>
  <c r="HG199" i="9" s="1"/>
  <c r="FD199" i="9"/>
  <c r="GN199" i="9" s="1"/>
  <c r="EZ200" i="9"/>
  <c r="HB200" i="9"/>
  <c r="HD200" i="9" s="1"/>
  <c r="FA200" i="9"/>
  <c r="GK200" i="9"/>
  <c r="HE200" i="9" s="1"/>
  <c r="FB200" i="9"/>
  <c r="GL200" i="9" s="1"/>
  <c r="FC200" i="9"/>
  <c r="GM200" i="9" s="1"/>
  <c r="HG200" i="9" s="1"/>
  <c r="FD200" i="9"/>
  <c r="GN200" i="9"/>
  <c r="EZ201" i="9"/>
  <c r="HB201" i="9"/>
  <c r="HD201" i="9" s="1"/>
  <c r="FA201" i="9"/>
  <c r="GK201" i="9" s="1"/>
  <c r="HE201" i="9" s="1"/>
  <c r="FB201" i="9"/>
  <c r="GL201" i="9" s="1"/>
  <c r="FC201" i="9"/>
  <c r="GM201" i="9" s="1"/>
  <c r="HG201" i="9" s="1"/>
  <c r="FD201" i="9"/>
  <c r="GN201" i="9" s="1"/>
  <c r="EZ202" i="9"/>
  <c r="HB202" i="9"/>
  <c r="HD202" i="9" s="1"/>
  <c r="FA202" i="9"/>
  <c r="GK202" i="9" s="1"/>
  <c r="HE202" i="9" s="1"/>
  <c r="FB202" i="9"/>
  <c r="GL202" i="9" s="1"/>
  <c r="FC202" i="9"/>
  <c r="GM202" i="9"/>
  <c r="HG202" i="9" s="1"/>
  <c r="FD202" i="9"/>
  <c r="GN202" i="9" s="1"/>
  <c r="EZ203" i="9"/>
  <c r="HB203" i="9"/>
  <c r="HD203" i="9" s="1"/>
  <c r="FA203" i="9"/>
  <c r="GK203" i="9" s="1"/>
  <c r="HE203" i="9" s="1"/>
  <c r="FB203" i="9"/>
  <c r="GL203" i="9"/>
  <c r="FC203" i="9"/>
  <c r="GM203" i="9"/>
  <c r="HG203" i="9" s="1"/>
  <c r="FD203" i="9"/>
  <c r="GN203" i="9" s="1"/>
  <c r="EZ204" i="9"/>
  <c r="HB204" i="9" s="1"/>
  <c r="HD204" i="9" s="1"/>
  <c r="FA204" i="9"/>
  <c r="GK204" i="9" s="1"/>
  <c r="HE204" i="9" s="1"/>
  <c r="FB204" i="9"/>
  <c r="GL204" i="9" s="1"/>
  <c r="FC204" i="9"/>
  <c r="GM204" i="9" s="1"/>
  <c r="HG204" i="9" s="1"/>
  <c r="FD204" i="9"/>
  <c r="GN204" i="9" s="1"/>
  <c r="EZ205" i="9"/>
  <c r="HB205" i="9" s="1"/>
  <c r="HD205" i="9" s="1"/>
  <c r="FA205" i="9"/>
  <c r="GK205" i="9"/>
  <c r="HE205" i="9"/>
  <c r="FB205" i="9"/>
  <c r="GL205" i="9" s="1"/>
  <c r="FC205" i="9"/>
  <c r="GM205" i="9" s="1"/>
  <c r="HG205" i="9" s="1"/>
  <c r="FD205" i="9"/>
  <c r="GN205" i="9" s="1"/>
  <c r="EZ206" i="9"/>
  <c r="HB206" i="9"/>
  <c r="HD206" i="9" s="1"/>
  <c r="FA206" i="9"/>
  <c r="GK206" i="9"/>
  <c r="HE206" i="9" s="1"/>
  <c r="FB206" i="9"/>
  <c r="GL206" i="9" s="1"/>
  <c r="FC206" i="9"/>
  <c r="GM206" i="9" s="1"/>
  <c r="HG206" i="9" s="1"/>
  <c r="FD206" i="9"/>
  <c r="GN206" i="9"/>
  <c r="EZ207" i="9"/>
  <c r="HB207" i="9"/>
  <c r="HD207" i="9" s="1"/>
  <c r="FA207" i="9"/>
  <c r="GK207" i="9" s="1"/>
  <c r="HE207" i="9" s="1"/>
  <c r="FB207" i="9"/>
  <c r="GL207" i="9"/>
  <c r="FC207" i="9"/>
  <c r="GM207" i="9" s="1"/>
  <c r="HG207" i="9" s="1"/>
  <c r="CE207" i="9" s="1"/>
  <c r="FD207" i="9"/>
  <c r="GN207" i="9"/>
  <c r="EZ208" i="9"/>
  <c r="HB208" i="9" s="1"/>
  <c r="HD208" i="9" s="1"/>
  <c r="FA208" i="9"/>
  <c r="GK208" i="9" s="1"/>
  <c r="HE208" i="9" s="1"/>
  <c r="FB208" i="9"/>
  <c r="GL208" i="9" s="1"/>
  <c r="FC208" i="9"/>
  <c r="GM208" i="9" s="1"/>
  <c r="HG208" i="9" s="1"/>
  <c r="FD208" i="9"/>
  <c r="GN208" i="9"/>
  <c r="HB209" i="9"/>
  <c r="HD209" i="9" s="1"/>
  <c r="GK209" i="9"/>
  <c r="HE209" i="9" s="1"/>
  <c r="GL209" i="9"/>
  <c r="GQ209" i="9"/>
  <c r="GR209" i="9" s="1"/>
  <c r="GS209" i="9" s="1"/>
  <c r="GT209" i="9" s="1"/>
  <c r="GU209" i="9" s="1"/>
  <c r="GV209" i="9" s="1"/>
  <c r="GM209" i="9"/>
  <c r="HG209" i="9" s="1"/>
  <c r="GN209" i="9"/>
  <c r="GY209" i="9"/>
  <c r="GZ209" i="9" s="1"/>
  <c r="HH209" i="9" s="1"/>
  <c r="HB210" i="9"/>
  <c r="HD210" i="9" s="1"/>
  <c r="GK210" i="9"/>
  <c r="HE210" i="9" s="1"/>
  <c r="GL210" i="9"/>
  <c r="GQ210" i="9" s="1"/>
  <c r="GR210" i="9" s="1"/>
  <c r="GS210" i="9" s="1"/>
  <c r="GT210" i="9" s="1"/>
  <c r="GU210" i="9" s="1"/>
  <c r="GV210" i="9" s="1"/>
  <c r="GM210" i="9"/>
  <c r="HG210" i="9" s="1"/>
  <c r="GN210" i="9"/>
  <c r="GY210" i="9" s="1"/>
  <c r="GZ210" i="9" s="1"/>
  <c r="HH210" i="9" s="1"/>
  <c r="HB211" i="9"/>
  <c r="HD211" i="9" s="1"/>
  <c r="GK211" i="9"/>
  <c r="HE211" i="9" s="1"/>
  <c r="GL211" i="9"/>
  <c r="GM211" i="9"/>
  <c r="HG211" i="9" s="1"/>
  <c r="GN211" i="9"/>
  <c r="GY211" i="9"/>
  <c r="GZ211" i="9" s="1"/>
  <c r="HH211" i="9" s="1"/>
  <c r="HB212" i="9"/>
  <c r="HD212" i="9" s="1"/>
  <c r="GK212" i="9"/>
  <c r="HE212" i="9" s="1"/>
  <c r="GD212" i="9"/>
  <c r="GE212" i="9" s="1"/>
  <c r="GF212" i="9" s="1"/>
  <c r="GG212" i="9" s="1"/>
  <c r="GL212" i="9"/>
  <c r="GM212" i="9"/>
  <c r="HG212" i="9" s="1"/>
  <c r="GN212" i="9"/>
  <c r="GY212" i="9"/>
  <c r="GZ212" i="9" s="1"/>
  <c r="HH212" i="9" s="1"/>
  <c r="HB213" i="9"/>
  <c r="HD213" i="9" s="1"/>
  <c r="GK213" i="9"/>
  <c r="HE213" i="9" s="1"/>
  <c r="GL213" i="9"/>
  <c r="GQ213" i="9" s="1"/>
  <c r="GR213" i="9" s="1"/>
  <c r="GS213" i="9" s="1"/>
  <c r="GT213" i="9" s="1"/>
  <c r="GU213" i="9" s="1"/>
  <c r="GV213" i="9" s="1"/>
  <c r="GM213" i="9"/>
  <c r="HG213" i="9"/>
  <c r="GN213" i="9"/>
  <c r="GY213" i="9" s="1"/>
  <c r="GZ213" i="9" s="1"/>
  <c r="HH213" i="9" s="1"/>
  <c r="HB214" i="9"/>
  <c r="HD214" i="9"/>
  <c r="GK214" i="9"/>
  <c r="HE214" i="9" s="1"/>
  <c r="GL214" i="9"/>
  <c r="GQ214" i="9" s="1"/>
  <c r="GR214" i="9" s="1"/>
  <c r="GS214" i="9" s="1"/>
  <c r="GT214" i="9" s="1"/>
  <c r="GU214" i="9" s="1"/>
  <c r="GV214" i="9" s="1"/>
  <c r="GM214" i="9"/>
  <c r="HG214" i="9" s="1"/>
  <c r="GN214" i="9"/>
  <c r="GY214" i="9" s="1"/>
  <c r="GZ214" i="9" s="1"/>
  <c r="HH214" i="9" s="1"/>
  <c r="HB215" i="9"/>
  <c r="HD215" i="9" s="1"/>
  <c r="GK215" i="9"/>
  <c r="HE215" i="9" s="1"/>
  <c r="GD215" i="9"/>
  <c r="GE215" i="9" s="1"/>
  <c r="GF215" i="9" s="1"/>
  <c r="GG215" i="9" s="1"/>
  <c r="GH215" i="9" s="1"/>
  <c r="GI215" i="9" s="1"/>
  <c r="GL215" i="9"/>
  <c r="GQ215" i="9" s="1"/>
  <c r="GR215" i="9" s="1"/>
  <c r="GS215" i="9" s="1"/>
  <c r="GT215" i="9" s="1"/>
  <c r="GU215" i="9" s="1"/>
  <c r="GV215" i="9" s="1"/>
  <c r="GM215" i="9"/>
  <c r="HG215" i="9" s="1"/>
  <c r="GN215" i="9"/>
  <c r="GY215" i="9"/>
  <c r="GZ215" i="9" s="1"/>
  <c r="HH215" i="9" s="1"/>
  <c r="HB216" i="9"/>
  <c r="HD216" i="9"/>
  <c r="GK216" i="9"/>
  <c r="HE216" i="9" s="1"/>
  <c r="GL216" i="9"/>
  <c r="GM216" i="9"/>
  <c r="HG216" i="9" s="1"/>
  <c r="GN216" i="9"/>
  <c r="GY216" i="9" s="1"/>
  <c r="GZ216" i="9" s="1"/>
  <c r="HH216" i="9" s="1"/>
  <c r="HB217" i="9"/>
  <c r="HD217" i="9" s="1"/>
  <c r="GK217" i="9"/>
  <c r="HE217" i="9" s="1"/>
  <c r="GL217" i="9"/>
  <c r="GQ217" i="9" s="1"/>
  <c r="GR217" i="9" s="1"/>
  <c r="GS217" i="9" s="1"/>
  <c r="GT217" i="9" s="1"/>
  <c r="GU217" i="9" s="1"/>
  <c r="GV217" i="9" s="1"/>
  <c r="GM217" i="9"/>
  <c r="HG217" i="9" s="1"/>
  <c r="GN217" i="9"/>
  <c r="GY217" i="9"/>
  <c r="GZ217" i="9" s="1"/>
  <c r="HH217" i="9" s="1"/>
  <c r="HB218" i="9"/>
  <c r="HD218" i="9" s="1"/>
  <c r="GK218" i="9"/>
  <c r="HE218" i="9"/>
  <c r="GL218" i="9"/>
  <c r="GQ218" i="9" s="1"/>
  <c r="GR218" i="9" s="1"/>
  <c r="GS218" i="9" s="1"/>
  <c r="GT218" i="9" s="1"/>
  <c r="GU218" i="9" s="1"/>
  <c r="GV218" i="9" s="1"/>
  <c r="GM218" i="9"/>
  <c r="HG218" i="9" s="1"/>
  <c r="GN218" i="9"/>
  <c r="GY218" i="9" s="1"/>
  <c r="GZ218" i="9" s="1"/>
  <c r="HH218" i="9" s="1"/>
  <c r="HB219" i="9"/>
  <c r="HD219" i="9" s="1"/>
  <c r="GK219" i="9"/>
  <c r="HE219" i="9"/>
  <c r="GL219" i="9"/>
  <c r="GQ219" i="9" s="1"/>
  <c r="GR219" i="9" s="1"/>
  <c r="GS219" i="9" s="1"/>
  <c r="GT219" i="9" s="1"/>
  <c r="GU219" i="9" s="1"/>
  <c r="GV219" i="9" s="1"/>
  <c r="GM219" i="9"/>
  <c r="HG219" i="9" s="1"/>
  <c r="GN219" i="9"/>
  <c r="GY219" i="9" s="1"/>
  <c r="GZ219" i="9" s="1"/>
  <c r="HH219" i="9" s="1"/>
  <c r="HB220" i="9"/>
  <c r="HD220" i="9" s="1"/>
  <c r="GK220" i="9"/>
  <c r="HE220" i="9" s="1"/>
  <c r="GL220" i="9"/>
  <c r="GM220" i="9"/>
  <c r="HG220" i="9" s="1"/>
  <c r="GN220" i="9"/>
  <c r="GY220" i="9" s="1"/>
  <c r="GZ220" i="9" s="1"/>
  <c r="HH220" i="9" s="1"/>
  <c r="HB221" i="9"/>
  <c r="HD221" i="9" s="1"/>
  <c r="GK221" i="9"/>
  <c r="HE221" i="9" s="1"/>
  <c r="GL221" i="9"/>
  <c r="GQ221" i="9" s="1"/>
  <c r="GR221" i="9" s="1"/>
  <c r="GS221" i="9" s="1"/>
  <c r="GT221" i="9" s="1"/>
  <c r="GU221" i="9" s="1"/>
  <c r="GV221" i="9" s="1"/>
  <c r="GM221" i="9"/>
  <c r="HG221" i="9"/>
  <c r="GN221" i="9"/>
  <c r="GY221" i="9" s="1"/>
  <c r="GZ221" i="9" s="1"/>
  <c r="HH221" i="9" s="1"/>
  <c r="HB222" i="9"/>
  <c r="HD222" i="9" s="1"/>
  <c r="GK222" i="9"/>
  <c r="HE222" i="9"/>
  <c r="GD222" i="9"/>
  <c r="GE222" i="9" s="1"/>
  <c r="GF222" i="9" s="1"/>
  <c r="GG222" i="9" s="1"/>
  <c r="GH222" i="9" s="1"/>
  <c r="GL222" i="9"/>
  <c r="GQ222" i="9"/>
  <c r="GR222" i="9" s="1"/>
  <c r="GS222" i="9" s="1"/>
  <c r="GT222" i="9" s="1"/>
  <c r="GU222" i="9" s="1"/>
  <c r="GV222" i="9" s="1"/>
  <c r="GM222" i="9"/>
  <c r="HG222" i="9" s="1"/>
  <c r="GN222" i="9"/>
  <c r="GY222" i="9" s="1"/>
  <c r="GZ222" i="9" s="1"/>
  <c r="HH222" i="9" s="1"/>
  <c r="HB223" i="9"/>
  <c r="HD223" i="9" s="1"/>
  <c r="GK223" i="9"/>
  <c r="HE223" i="9" s="1"/>
  <c r="GL223" i="9"/>
  <c r="GQ223" i="9" s="1"/>
  <c r="GR223" i="9" s="1"/>
  <c r="GS223" i="9" s="1"/>
  <c r="GT223" i="9" s="1"/>
  <c r="GU223" i="9" s="1"/>
  <c r="GV223" i="9" s="1"/>
  <c r="GM223" i="9"/>
  <c r="HG223" i="9" s="1"/>
  <c r="GN223" i="9"/>
  <c r="GY223" i="9"/>
  <c r="GZ223" i="9" s="1"/>
  <c r="HH223" i="9" s="1"/>
  <c r="HB224" i="9"/>
  <c r="HD224" i="9" s="1"/>
  <c r="GK224" i="9"/>
  <c r="HE224" i="9"/>
  <c r="GL224" i="9"/>
  <c r="GM224" i="9"/>
  <c r="HG224" i="9" s="1"/>
  <c r="GN224" i="9"/>
  <c r="GY224" i="9" s="1"/>
  <c r="GZ224" i="9" s="1"/>
  <c r="HH224" i="9" s="1"/>
  <c r="HB225" i="9"/>
  <c r="HD225" i="9" s="1"/>
  <c r="GK225" i="9"/>
  <c r="HE225" i="9" s="1"/>
  <c r="GL225" i="9"/>
  <c r="GQ225" i="9"/>
  <c r="GR225" i="9" s="1"/>
  <c r="GS225" i="9" s="1"/>
  <c r="GT225" i="9" s="1"/>
  <c r="GU225" i="9" s="1"/>
  <c r="GV225" i="9" s="1"/>
  <c r="GM225" i="9"/>
  <c r="HG225" i="9" s="1"/>
  <c r="GN225" i="9"/>
  <c r="GY225" i="9"/>
  <c r="GZ225" i="9" s="1"/>
  <c r="HH225" i="9" s="1"/>
  <c r="HB226" i="9"/>
  <c r="HD226" i="9" s="1"/>
  <c r="GK226" i="9"/>
  <c r="HE226" i="9" s="1"/>
  <c r="GD226" i="9"/>
  <c r="GE226" i="9" s="1"/>
  <c r="GF226" i="9" s="1"/>
  <c r="GG226" i="9" s="1"/>
  <c r="GH226" i="9" s="1"/>
  <c r="GL226" i="9"/>
  <c r="GQ226" i="9" s="1"/>
  <c r="GR226" i="9" s="1"/>
  <c r="GS226" i="9" s="1"/>
  <c r="GT226" i="9" s="1"/>
  <c r="GU226" i="9" s="1"/>
  <c r="GV226" i="9" s="1"/>
  <c r="GM226" i="9"/>
  <c r="HG226" i="9"/>
  <c r="GN226" i="9"/>
  <c r="GY226" i="9" s="1"/>
  <c r="GZ226" i="9" s="1"/>
  <c r="HH226" i="9" s="1"/>
  <c r="HB227" i="9"/>
  <c r="HD227" i="9" s="1"/>
  <c r="GK227" i="9"/>
  <c r="HE227" i="9" s="1"/>
  <c r="GL227" i="9"/>
  <c r="GQ227" i="9" s="1"/>
  <c r="GR227" i="9" s="1"/>
  <c r="GS227" i="9" s="1"/>
  <c r="GT227" i="9" s="1"/>
  <c r="GU227" i="9" s="1"/>
  <c r="GV227" i="9" s="1"/>
  <c r="GM227" i="9"/>
  <c r="HG227" i="9" s="1"/>
  <c r="GN227" i="9"/>
  <c r="GY227" i="9"/>
  <c r="GZ227" i="9" s="1"/>
  <c r="HH227" i="9" s="1"/>
  <c r="HB228" i="9"/>
  <c r="HD228" i="9" s="1"/>
  <c r="GK228" i="9"/>
  <c r="HE228" i="9" s="1"/>
  <c r="GL228" i="9"/>
  <c r="GM228" i="9"/>
  <c r="HG228" i="9" s="1"/>
  <c r="GN228" i="9"/>
  <c r="GY228" i="9" s="1"/>
  <c r="GZ228" i="9" s="1"/>
  <c r="HH228" i="9" s="1"/>
  <c r="HB229" i="9"/>
  <c r="HD229" i="9" s="1"/>
  <c r="GK229" i="9"/>
  <c r="HE229" i="9" s="1"/>
  <c r="GL229" i="9"/>
  <c r="GQ229" i="9" s="1"/>
  <c r="GR229" i="9" s="1"/>
  <c r="GS229" i="9" s="1"/>
  <c r="GT229" i="9" s="1"/>
  <c r="GU229" i="9" s="1"/>
  <c r="GV229" i="9" s="1"/>
  <c r="GM229" i="9"/>
  <c r="HG229" i="9"/>
  <c r="GN229" i="9"/>
  <c r="GY229" i="9" s="1"/>
  <c r="GZ229" i="9" s="1"/>
  <c r="HH229" i="9" s="1"/>
  <c r="HB230" i="9"/>
  <c r="HD230" i="9"/>
  <c r="GK230" i="9"/>
  <c r="HE230" i="9" s="1"/>
  <c r="GD230" i="9"/>
  <c r="GE230" i="9" s="1"/>
  <c r="GF230" i="9" s="1"/>
  <c r="GG230" i="9" s="1"/>
  <c r="GH230" i="9" s="1"/>
  <c r="GL230" i="9"/>
  <c r="GQ230" i="9"/>
  <c r="GR230" i="9" s="1"/>
  <c r="GS230" i="9" s="1"/>
  <c r="GT230" i="9" s="1"/>
  <c r="GU230" i="9" s="1"/>
  <c r="GV230" i="9" s="1"/>
  <c r="GM230" i="9"/>
  <c r="HG230" i="9" s="1"/>
  <c r="GN230" i="9"/>
  <c r="GY230" i="9" s="1"/>
  <c r="GZ230" i="9" s="1"/>
  <c r="HH230" i="9" s="1"/>
  <c r="HB231" i="9"/>
  <c r="HD231" i="9" s="1"/>
  <c r="GK231" i="9"/>
  <c r="HE231" i="9" s="1"/>
  <c r="GD231" i="9"/>
  <c r="GE231" i="9" s="1"/>
  <c r="GF231" i="9" s="1"/>
  <c r="GG231" i="9" s="1"/>
  <c r="GH231" i="9" s="1"/>
  <c r="GI231" i="9" s="1"/>
  <c r="GL231" i="9"/>
  <c r="GQ231" i="9" s="1"/>
  <c r="GR231" i="9" s="1"/>
  <c r="GS231" i="9" s="1"/>
  <c r="GT231" i="9" s="1"/>
  <c r="GU231" i="9" s="1"/>
  <c r="GV231" i="9" s="1"/>
  <c r="GM231" i="9"/>
  <c r="HG231" i="9"/>
  <c r="GN231" i="9"/>
  <c r="GY231" i="9" s="1"/>
  <c r="GZ231" i="9" s="1"/>
  <c r="HH231" i="9" s="1"/>
  <c r="HB232" i="9"/>
  <c r="HD232" i="9"/>
  <c r="GK232" i="9"/>
  <c r="HE232" i="9" s="1"/>
  <c r="GL232" i="9"/>
  <c r="GM232" i="9"/>
  <c r="HG232" i="9" s="1"/>
  <c r="GN232" i="9"/>
  <c r="GY232" i="9" s="1"/>
  <c r="GZ232" i="9" s="1"/>
  <c r="HH232" i="9" s="1"/>
  <c r="HB233" i="9"/>
  <c r="HD233" i="9"/>
  <c r="GK233" i="9"/>
  <c r="HE233" i="9" s="1"/>
  <c r="GL233" i="9"/>
  <c r="GQ233" i="9" s="1"/>
  <c r="GR233" i="9" s="1"/>
  <c r="GS233" i="9" s="1"/>
  <c r="GT233" i="9" s="1"/>
  <c r="GU233" i="9" s="1"/>
  <c r="GV233" i="9" s="1"/>
  <c r="GM233" i="9"/>
  <c r="HG233" i="9"/>
  <c r="GN233" i="9"/>
  <c r="GY233" i="9" s="1"/>
  <c r="GZ233" i="9" s="1"/>
  <c r="HH233" i="9" s="1"/>
  <c r="HB234" i="9"/>
  <c r="HD234" i="9" s="1"/>
  <c r="GK234" i="9"/>
  <c r="HE234" i="9" s="1"/>
  <c r="GL234" i="9"/>
  <c r="GQ234" i="9" s="1"/>
  <c r="GR234" i="9" s="1"/>
  <c r="GS234" i="9" s="1"/>
  <c r="GT234" i="9" s="1"/>
  <c r="GU234" i="9" s="1"/>
  <c r="GV234" i="9" s="1"/>
  <c r="GM234" i="9"/>
  <c r="HG234" i="9"/>
  <c r="GN234" i="9"/>
  <c r="GY234" i="9" s="1"/>
  <c r="GZ234" i="9" s="1"/>
  <c r="HH234" i="9" s="1"/>
  <c r="HB235" i="9"/>
  <c r="HD235" i="9" s="1"/>
  <c r="GK235" i="9"/>
  <c r="HE235" i="9"/>
  <c r="GL235" i="9"/>
  <c r="GQ235" i="9" s="1"/>
  <c r="GR235" i="9" s="1"/>
  <c r="GS235" i="9" s="1"/>
  <c r="GT235" i="9" s="1"/>
  <c r="GU235" i="9" s="1"/>
  <c r="GV235" i="9" s="1"/>
  <c r="GM235" i="9"/>
  <c r="HG235" i="9" s="1"/>
  <c r="GN235" i="9"/>
  <c r="GY235" i="9"/>
  <c r="GZ235" i="9" s="1"/>
  <c r="HH235" i="9" s="1"/>
  <c r="HB236" i="9"/>
  <c r="HD236" i="9" s="1"/>
  <c r="GK236" i="9"/>
  <c r="HE236" i="9" s="1"/>
  <c r="GL236" i="9"/>
  <c r="GM236" i="9"/>
  <c r="HG236" i="9" s="1"/>
  <c r="GN236" i="9"/>
  <c r="GY236" i="9" s="1"/>
  <c r="GZ236" i="9" s="1"/>
  <c r="HH236" i="9" s="1"/>
  <c r="HB237" i="9"/>
  <c r="HD237" i="9" s="1"/>
  <c r="GK237" i="9"/>
  <c r="HE237" i="9" s="1"/>
  <c r="GL237" i="9"/>
  <c r="GQ237" i="9" s="1"/>
  <c r="GR237" i="9" s="1"/>
  <c r="GS237" i="9" s="1"/>
  <c r="GT237" i="9" s="1"/>
  <c r="GU237" i="9" s="1"/>
  <c r="GV237" i="9" s="1"/>
  <c r="GM237" i="9"/>
  <c r="HG237" i="9" s="1"/>
  <c r="GN237" i="9"/>
  <c r="GY237" i="9" s="1"/>
  <c r="GZ237" i="9" s="1"/>
  <c r="HH237" i="9" s="1"/>
  <c r="HB238" i="9"/>
  <c r="HD238" i="9"/>
  <c r="GK238" i="9"/>
  <c r="HE238" i="9" s="1"/>
  <c r="GL238" i="9"/>
  <c r="GQ238" i="9"/>
  <c r="GR238" i="9" s="1"/>
  <c r="GS238" i="9" s="1"/>
  <c r="GT238" i="9" s="1"/>
  <c r="GU238" i="9" s="1"/>
  <c r="GV238" i="9" s="1"/>
  <c r="GM238" i="9"/>
  <c r="HG238" i="9" s="1"/>
  <c r="GN238" i="9"/>
  <c r="GY238" i="9" s="1"/>
  <c r="GZ238" i="9" s="1"/>
  <c r="HH238" i="9" s="1"/>
  <c r="HB239" i="9"/>
  <c r="HD239" i="9" s="1"/>
  <c r="GK239" i="9"/>
  <c r="HE239" i="9" s="1"/>
  <c r="GD239" i="9"/>
  <c r="GE239" i="9" s="1"/>
  <c r="GF239" i="9" s="1"/>
  <c r="GG239" i="9" s="1"/>
  <c r="GH239" i="9" s="1"/>
  <c r="GL239" i="9"/>
  <c r="GQ239" i="9" s="1"/>
  <c r="GR239" i="9" s="1"/>
  <c r="GS239" i="9" s="1"/>
  <c r="GT239" i="9" s="1"/>
  <c r="GU239" i="9" s="1"/>
  <c r="GV239" i="9" s="1"/>
  <c r="GM239" i="9"/>
  <c r="HG239" i="9"/>
  <c r="GN239" i="9"/>
  <c r="GY239" i="9" s="1"/>
  <c r="GZ239" i="9" s="1"/>
  <c r="HH239" i="9" s="1"/>
  <c r="HB240" i="9"/>
  <c r="HD240" i="9"/>
  <c r="GK240" i="9"/>
  <c r="HE240" i="9" s="1"/>
  <c r="GE240" i="9"/>
  <c r="GF240" i="9" s="1"/>
  <c r="GG240" i="9" s="1"/>
  <c r="GH240" i="9" s="1"/>
  <c r="GL240" i="9"/>
  <c r="GM240" i="9"/>
  <c r="HG240" i="9" s="1"/>
  <c r="GN240" i="9"/>
  <c r="GY240" i="9" s="1"/>
  <c r="GZ240" i="9" s="1"/>
  <c r="HH240" i="9" s="1"/>
  <c r="HB241" i="9"/>
  <c r="HD241" i="9"/>
  <c r="GK241" i="9"/>
  <c r="HE241" i="9" s="1"/>
  <c r="GD241" i="9"/>
  <c r="GE241" i="9" s="1"/>
  <c r="GF241" i="9" s="1"/>
  <c r="GG241" i="9" s="1"/>
  <c r="GH241" i="9" s="1"/>
  <c r="GL241" i="9"/>
  <c r="GQ241" i="9"/>
  <c r="GR241" i="9" s="1"/>
  <c r="GS241" i="9" s="1"/>
  <c r="GT241" i="9" s="1"/>
  <c r="GU241" i="9" s="1"/>
  <c r="GV241" i="9" s="1"/>
  <c r="GM241" i="9"/>
  <c r="HG241" i="9" s="1"/>
  <c r="GN241" i="9"/>
  <c r="GY241" i="9"/>
  <c r="GZ241" i="9" s="1"/>
  <c r="HH241" i="9" s="1"/>
  <c r="HB242" i="9"/>
  <c r="HD242" i="9" s="1"/>
  <c r="GK242" i="9"/>
  <c r="HE242" i="9"/>
  <c r="GL242" i="9"/>
  <c r="GQ242" i="9" s="1"/>
  <c r="GR242" i="9" s="1"/>
  <c r="GS242" i="9" s="1"/>
  <c r="GT242" i="9" s="1"/>
  <c r="GU242" i="9" s="1"/>
  <c r="GV242" i="9" s="1"/>
  <c r="GM242" i="9"/>
  <c r="HG242" i="9" s="1"/>
  <c r="GN242" i="9"/>
  <c r="GY242" i="9" s="1"/>
  <c r="GZ242" i="9" s="1"/>
  <c r="HH242" i="9" s="1"/>
  <c r="HB243" i="9"/>
  <c r="HD243" i="9" s="1"/>
  <c r="GK243" i="9"/>
  <c r="HE243" i="9" s="1"/>
  <c r="GL243" i="9"/>
  <c r="GQ243" i="9" s="1"/>
  <c r="GR243" i="9" s="1"/>
  <c r="GS243" i="9" s="1"/>
  <c r="GT243" i="9" s="1"/>
  <c r="GU243" i="9" s="1"/>
  <c r="GV243" i="9" s="1"/>
  <c r="GM243" i="9"/>
  <c r="HG243" i="9" s="1"/>
  <c r="GN243" i="9"/>
  <c r="GY243" i="9" s="1"/>
  <c r="GZ243" i="9" s="1"/>
  <c r="HH243" i="9" s="1"/>
  <c r="HB244" i="9"/>
  <c r="HD244" i="9"/>
  <c r="GK244" i="9"/>
  <c r="HE244" i="9" s="1"/>
  <c r="GL244" i="9"/>
  <c r="GM244" i="9"/>
  <c r="HG244" i="9" s="1"/>
  <c r="GN244" i="9"/>
  <c r="GY244" i="9" s="1"/>
  <c r="GZ244" i="9" s="1"/>
  <c r="HH244" i="9" s="1"/>
  <c r="HB245" i="9"/>
  <c r="HD245" i="9" s="1"/>
  <c r="GK245" i="9"/>
  <c r="HE245" i="9" s="1"/>
  <c r="GF245" i="9"/>
  <c r="GG245" i="9" s="1"/>
  <c r="GL245" i="9"/>
  <c r="GQ245" i="9" s="1"/>
  <c r="GR245" i="9" s="1"/>
  <c r="GS245" i="9" s="1"/>
  <c r="GT245" i="9" s="1"/>
  <c r="GU245" i="9" s="1"/>
  <c r="GV245" i="9" s="1"/>
  <c r="GM245" i="9"/>
  <c r="HG245" i="9"/>
  <c r="GN245" i="9"/>
  <c r="GY245" i="9" s="1"/>
  <c r="GZ245" i="9" s="1"/>
  <c r="HH245" i="9" s="1"/>
  <c r="HB246" i="9"/>
  <c r="HD246" i="9" s="1"/>
  <c r="GK246" i="9"/>
  <c r="HE246" i="9"/>
  <c r="GD246" i="9"/>
  <c r="GE246" i="9" s="1"/>
  <c r="GF246" i="9" s="1"/>
  <c r="GG246" i="9" s="1"/>
  <c r="GH246" i="9" s="1"/>
  <c r="GL246" i="9"/>
  <c r="GQ246" i="9"/>
  <c r="GR246" i="9" s="1"/>
  <c r="GS246" i="9" s="1"/>
  <c r="GT246" i="9" s="1"/>
  <c r="GU246" i="9" s="1"/>
  <c r="GV246" i="9" s="1"/>
  <c r="GM246" i="9"/>
  <c r="HG246" i="9" s="1"/>
  <c r="GN246" i="9"/>
  <c r="GY246" i="9" s="1"/>
  <c r="GZ246" i="9" s="1"/>
  <c r="HH246" i="9" s="1"/>
  <c r="HB247" i="9"/>
  <c r="HD247" i="9" s="1"/>
  <c r="GK247" i="9"/>
  <c r="HE247" i="9" s="1"/>
  <c r="GD247" i="9"/>
  <c r="GE247" i="9" s="1"/>
  <c r="GF247" i="9" s="1"/>
  <c r="GG247" i="9" s="1"/>
  <c r="GL247" i="9"/>
  <c r="GQ247" i="9" s="1"/>
  <c r="GR247" i="9" s="1"/>
  <c r="GS247" i="9" s="1"/>
  <c r="GT247" i="9" s="1"/>
  <c r="GU247" i="9" s="1"/>
  <c r="GV247" i="9" s="1"/>
  <c r="GM247" i="9"/>
  <c r="HG247" i="9"/>
  <c r="GN247" i="9"/>
  <c r="GY247" i="9" s="1"/>
  <c r="GZ247" i="9" s="1"/>
  <c r="HH247" i="9" s="1"/>
  <c r="HB248" i="9"/>
  <c r="HD248" i="9" s="1"/>
  <c r="GK248" i="9"/>
  <c r="HE248" i="9"/>
  <c r="GL248" i="9"/>
  <c r="GM248" i="9"/>
  <c r="HG248" i="9" s="1"/>
  <c r="GN248" i="9"/>
  <c r="GY248" i="9" s="1"/>
  <c r="GZ248" i="9" s="1"/>
  <c r="HH248" i="9" s="1"/>
  <c r="HB249" i="9"/>
  <c r="HD249" i="9" s="1"/>
  <c r="GK249" i="9"/>
  <c r="HE249" i="9" s="1"/>
  <c r="GL249" i="9"/>
  <c r="GQ249" i="9"/>
  <c r="GR249" i="9" s="1"/>
  <c r="GS249" i="9" s="1"/>
  <c r="GT249" i="9" s="1"/>
  <c r="GU249" i="9" s="1"/>
  <c r="GV249" i="9" s="1"/>
  <c r="GM249" i="9"/>
  <c r="HG249" i="9"/>
  <c r="GN249" i="9"/>
  <c r="GY249" i="9" s="1"/>
  <c r="GZ249" i="9" s="1"/>
  <c r="HH249" i="9" s="1"/>
  <c r="HB250" i="9"/>
  <c r="HD250" i="9" s="1"/>
  <c r="GK250" i="9"/>
  <c r="HE250" i="9"/>
  <c r="GL250" i="9"/>
  <c r="GM250" i="9"/>
  <c r="HG250" i="9"/>
  <c r="GN250" i="9"/>
  <c r="GY250" i="9" s="1"/>
  <c r="GZ250" i="9" s="1"/>
  <c r="HH250" i="9" s="1"/>
  <c r="HB251" i="9"/>
  <c r="HD251" i="9" s="1"/>
  <c r="GK251" i="9"/>
  <c r="HE251" i="9"/>
  <c r="GL251" i="9"/>
  <c r="GQ251" i="9" s="1"/>
  <c r="GR251" i="9" s="1"/>
  <c r="GS251" i="9" s="1"/>
  <c r="GT251" i="9" s="1"/>
  <c r="GU251" i="9" s="1"/>
  <c r="GV251" i="9" s="1"/>
  <c r="GM251" i="9"/>
  <c r="HG251" i="9" s="1"/>
  <c r="GN251" i="9"/>
  <c r="GY251" i="9"/>
  <c r="GZ251" i="9" s="1"/>
  <c r="HH251" i="9" s="1"/>
  <c r="HB252" i="9"/>
  <c r="HD252" i="9" s="1"/>
  <c r="GK252" i="9"/>
  <c r="HE252" i="9" s="1"/>
  <c r="GD252" i="9"/>
  <c r="GE252" i="9" s="1"/>
  <c r="GF252" i="9" s="1"/>
  <c r="GG252" i="9" s="1"/>
  <c r="GL252" i="9"/>
  <c r="GQ252" i="9" s="1"/>
  <c r="GR252" i="9" s="1"/>
  <c r="GS252" i="9" s="1"/>
  <c r="GT252" i="9" s="1"/>
  <c r="GU252" i="9" s="1"/>
  <c r="GV252" i="9" s="1"/>
  <c r="GM252" i="9"/>
  <c r="HG252" i="9" s="1"/>
  <c r="GN252" i="9"/>
  <c r="GY252" i="9" s="1"/>
  <c r="GZ252" i="9" s="1"/>
  <c r="HH252" i="9" s="1"/>
  <c r="HB253" i="9"/>
  <c r="HD253" i="9" s="1"/>
  <c r="GK253" i="9"/>
  <c r="HE253" i="9" s="1"/>
  <c r="GL253" i="9"/>
  <c r="GQ253" i="9" s="1"/>
  <c r="GR253" i="9" s="1"/>
  <c r="GS253" i="9" s="1"/>
  <c r="GT253" i="9" s="1"/>
  <c r="GU253" i="9" s="1"/>
  <c r="GV253" i="9" s="1"/>
  <c r="GM253" i="9"/>
  <c r="HG253" i="9" s="1"/>
  <c r="GN253" i="9"/>
  <c r="GY253" i="9" s="1"/>
  <c r="GZ253" i="9" s="1"/>
  <c r="HH253" i="9" s="1"/>
  <c r="HB254" i="9"/>
  <c r="HD254" i="9" s="1"/>
  <c r="GK254" i="9"/>
  <c r="HE254" i="9" s="1"/>
  <c r="GL254" i="9"/>
  <c r="GQ254" i="9"/>
  <c r="GR254" i="9" s="1"/>
  <c r="GS254" i="9" s="1"/>
  <c r="GT254" i="9" s="1"/>
  <c r="GU254" i="9" s="1"/>
  <c r="GV254" i="9" s="1"/>
  <c r="GM254" i="9"/>
  <c r="HG254" i="9" s="1"/>
  <c r="GN254" i="9"/>
  <c r="GY254" i="9" s="1"/>
  <c r="GZ254" i="9" s="1"/>
  <c r="HH254" i="9" s="1"/>
  <c r="HB255" i="9"/>
  <c r="HD255" i="9" s="1"/>
  <c r="GK255" i="9"/>
  <c r="HE255" i="9" s="1"/>
  <c r="GL255" i="9"/>
  <c r="GQ255" i="9" s="1"/>
  <c r="GR255" i="9" s="1"/>
  <c r="GS255" i="9" s="1"/>
  <c r="GT255" i="9" s="1"/>
  <c r="GU255" i="9" s="1"/>
  <c r="GV255" i="9" s="1"/>
  <c r="GM255" i="9"/>
  <c r="HG255" i="9"/>
  <c r="GN255" i="9"/>
  <c r="GY255" i="9" s="1"/>
  <c r="GZ255" i="9" s="1"/>
  <c r="HH255" i="9" s="1"/>
  <c r="HB256" i="9"/>
  <c r="HD256" i="9"/>
  <c r="GK256" i="9"/>
  <c r="HE256" i="9" s="1"/>
  <c r="GL256" i="9"/>
  <c r="GM256" i="9"/>
  <c r="HG256" i="9" s="1"/>
  <c r="GN256" i="9"/>
  <c r="GY256" i="9" s="1"/>
  <c r="GZ256" i="9" s="1"/>
  <c r="HH256" i="9" s="1"/>
  <c r="HB257" i="9"/>
  <c r="HD257" i="9" s="1"/>
  <c r="GK257" i="9"/>
  <c r="HE257" i="9" s="1"/>
  <c r="GL257" i="9"/>
  <c r="GQ257" i="9"/>
  <c r="GM257" i="9"/>
  <c r="HG257" i="9" s="1"/>
  <c r="GN257" i="9"/>
  <c r="GY257" i="9"/>
  <c r="GZ257" i="9" s="1"/>
  <c r="HH257" i="9" s="1"/>
  <c r="HB134" i="9"/>
  <c r="HD134" i="9" s="1"/>
  <c r="GK134" i="9"/>
  <c r="HE134" i="9" s="1"/>
  <c r="GL134" i="9"/>
  <c r="GM134" i="9"/>
  <c r="HG134" i="9" s="1"/>
  <c r="GN134" i="9"/>
  <c r="GY134" i="9" s="1"/>
  <c r="GZ134" i="9" s="1"/>
  <c r="HH134" i="9" s="1"/>
  <c r="CQ578" i="5"/>
  <c r="Z55" i="5"/>
  <c r="AF50" i="5"/>
  <c r="AE50" i="5"/>
  <c r="Z50" i="5"/>
  <c r="O133" i="5"/>
  <c r="X133" i="5" s="1"/>
  <c r="P133" i="5"/>
  <c r="R133" i="5"/>
  <c r="T133" i="5"/>
  <c r="V133" i="5"/>
  <c r="U30" i="9"/>
  <c r="T30" i="9"/>
  <c r="S30" i="9"/>
  <c r="CJ45" i="9"/>
  <c r="CI45" i="9"/>
  <c r="CH45" i="9"/>
  <c r="DC43" i="12" a="1"/>
  <c r="DC43" i="12" s="1"/>
  <c r="DB43" i="12" a="1"/>
  <c r="DB43" i="12" s="1"/>
  <c r="DA43" i="12" a="1"/>
  <c r="DA43" i="12" s="1"/>
  <c r="CZ43" i="12" s="1"/>
  <c r="DC36" i="12" a="1"/>
  <c r="DC36" i="12" s="1"/>
  <c r="DB36" i="12" a="1"/>
  <c r="DB36" i="12" s="1"/>
  <c r="DA36" i="12" a="1"/>
  <c r="DA36" i="12"/>
  <c r="DC35" i="12" a="1"/>
  <c r="DC35" i="12" s="1"/>
  <c r="DB35" i="12" a="1"/>
  <c r="DB35" i="12" s="1"/>
  <c r="DA35" i="12" a="1"/>
  <c r="DA35" i="12" s="1"/>
  <c r="CZ35" i="12" a="1"/>
  <c r="CZ35" i="12" s="1"/>
  <c r="DC34" i="12" a="1"/>
  <c r="DC34" i="12" s="1"/>
  <c r="DB34" i="12" a="1"/>
  <c r="DB34" i="12" s="1"/>
  <c r="DA34" i="12" a="1"/>
  <c r="DA34" i="12" s="1"/>
  <c r="CZ34" i="12" a="1"/>
  <c r="CZ34" i="12" s="1"/>
  <c r="DB33" i="12" a="1"/>
  <c r="DB33" i="12" s="1"/>
  <c r="DC33" i="12" s="1"/>
  <c r="DA33" i="12" a="1"/>
  <c r="DA33" i="12" s="1"/>
  <c r="CZ33" i="12" a="1"/>
  <c r="CZ33" i="12" s="1"/>
  <c r="CZ23" i="12" a="1"/>
  <c r="CZ23" i="12" s="1"/>
  <c r="DA23" i="12" s="1"/>
  <c r="DB23" i="12" s="1"/>
  <c r="DC23" i="12" s="1"/>
  <c r="DP33" i="12"/>
  <c r="DP30" i="12"/>
  <c r="DP31" i="12"/>
  <c r="DP29" i="12"/>
  <c r="EH37" i="12"/>
  <c r="EH44" i="12"/>
  <c r="EH43" i="12"/>
  <c r="EH41" i="12"/>
  <c r="EH40" i="12"/>
  <c r="EH38" i="12"/>
  <c r="EH36" i="12"/>
  <c r="S14" i="12"/>
  <c r="S13" i="12"/>
  <c r="S12" i="12"/>
  <c r="S11" i="12"/>
  <c r="G88" i="3" a="1"/>
  <c r="G88" i="3" s="1"/>
  <c r="E98" i="14"/>
  <c r="E97" i="14"/>
  <c r="E96" i="14"/>
  <c r="AE26" i="12"/>
  <c r="AE25" i="12"/>
  <c r="AG25" i="12"/>
  <c r="X59" i="3"/>
  <c r="X57" i="3"/>
  <c r="BO22" i="12" s="1"/>
  <c r="BO20" i="12"/>
  <c r="X47" i="3"/>
  <c r="K44" i="12" s="1"/>
  <c r="AE44" i="12" s="1"/>
  <c r="X49" i="3"/>
  <c r="X45" i="3"/>
  <c r="B97" i="17"/>
  <c r="E85"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6" i="14"/>
  <c r="E87" i="14"/>
  <c r="E88" i="14"/>
  <c r="E89" i="14"/>
  <c r="E90" i="14"/>
  <c r="E91" i="14"/>
  <c r="E92" i="14"/>
  <c r="E93" i="14"/>
  <c r="E94" i="14"/>
  <c r="E95" i="14"/>
  <c r="E10" i="14"/>
  <c r="CM20" i="12"/>
  <c r="CM21" i="12"/>
  <c r="CM22" i="12"/>
  <c r="CM23" i="12"/>
  <c r="CN20" i="12"/>
  <c r="CN21" i="12"/>
  <c r="CN22" i="12"/>
  <c r="CN23" i="12"/>
  <c r="BK20" i="12"/>
  <c r="BK21" i="12"/>
  <c r="BK22" i="12"/>
  <c r="BK23" i="12"/>
  <c r="BD20" i="12"/>
  <c r="BD21" i="12"/>
  <c r="BD22" i="12"/>
  <c r="BD23" i="12"/>
  <c r="AK70" i="12"/>
  <c r="AK72" i="12"/>
  <c r="AK71" i="12"/>
  <c r="AK69" i="12"/>
  <c r="T70" i="12"/>
  <c r="T71" i="12"/>
  <c r="T72" i="12"/>
  <c r="T73" i="12"/>
  <c r="X35" i="3"/>
  <c r="G12" i="3"/>
  <c r="AD64" i="12"/>
  <c r="AD63" i="12"/>
  <c r="T64" i="12"/>
  <c r="T63" i="12"/>
  <c r="K64" i="12"/>
  <c r="K63" i="12"/>
  <c r="X32" i="3"/>
  <c r="GH10" i="12"/>
  <c r="GG10" i="12"/>
  <c r="GF10" i="12"/>
  <c r="GE10" i="12"/>
  <c r="GD10" i="12"/>
  <c r="GC10" i="12"/>
  <c r="GB10" i="12"/>
  <c r="GA10" i="12"/>
  <c r="FX10" i="12"/>
  <c r="FW10" i="12"/>
  <c r="FV10" i="12"/>
  <c r="FU10" i="12"/>
  <c r="FT10" i="12"/>
  <c r="FS10" i="12"/>
  <c r="FR10" i="12"/>
  <c r="FQ10" i="12"/>
  <c r="FN10" i="12"/>
  <c r="FM10" i="12"/>
  <c r="FL10" i="12"/>
  <c r="FK10" i="12"/>
  <c r="FJ10" i="12"/>
  <c r="FI10" i="12"/>
  <c r="FH10" i="12"/>
  <c r="FG10" i="12"/>
  <c r="DB5" i="5"/>
  <c r="CW315" i="5"/>
  <c r="CW316" i="5"/>
  <c r="CW317" i="5"/>
  <c r="CW318" i="5"/>
  <c r="CW319" i="5"/>
  <c r="CW320" i="5"/>
  <c r="CW321" i="5"/>
  <c r="CW322" i="5"/>
  <c r="CW323" i="5"/>
  <c r="CW324" i="5"/>
  <c r="CW325" i="5"/>
  <c r="CW326" i="5"/>
  <c r="CW327" i="5"/>
  <c r="CW328" i="5"/>
  <c r="CW329" i="5"/>
  <c r="CW330" i="5"/>
  <c r="CW331" i="5"/>
  <c r="CW332" i="5"/>
  <c r="CW333" i="5"/>
  <c r="CW334" i="5"/>
  <c r="CW335" i="5"/>
  <c r="CW336" i="5"/>
  <c r="CW337" i="5"/>
  <c r="CW338" i="5"/>
  <c r="CW339" i="5"/>
  <c r="CW340" i="5"/>
  <c r="CW341" i="5"/>
  <c r="CW342" i="5"/>
  <c r="CW343" i="5"/>
  <c r="CW344" i="5"/>
  <c r="CW345" i="5"/>
  <c r="CW346" i="5"/>
  <c r="CW347" i="5"/>
  <c r="CW348" i="5"/>
  <c r="CW349" i="5"/>
  <c r="CW350" i="5"/>
  <c r="CW351" i="5"/>
  <c r="CW352" i="5"/>
  <c r="CW353" i="5"/>
  <c r="CW354" i="5"/>
  <c r="CW355" i="5"/>
  <c r="CW356" i="5"/>
  <c r="CW357" i="5"/>
  <c r="CW358" i="5"/>
  <c r="CW359" i="5"/>
  <c r="CW360" i="5"/>
  <c r="CW361" i="5"/>
  <c r="CW362" i="5"/>
  <c r="CW363" i="5"/>
  <c r="CW364" i="5"/>
  <c r="CW365" i="5"/>
  <c r="CW366" i="5"/>
  <c r="CW367" i="5"/>
  <c r="CW368" i="5"/>
  <c r="CW369" i="5"/>
  <c r="CW370" i="5"/>
  <c r="CW371" i="5"/>
  <c r="CW372" i="5"/>
  <c r="CW373" i="5"/>
  <c r="CW374" i="5"/>
  <c r="CW375" i="5"/>
  <c r="CW376" i="5"/>
  <c r="CW377" i="5"/>
  <c r="CW378" i="5"/>
  <c r="CW379" i="5"/>
  <c r="CW380" i="5"/>
  <c r="CW381" i="5"/>
  <c r="CW382" i="5"/>
  <c r="CW383" i="5"/>
  <c r="CW384" i="5"/>
  <c r="CW385" i="5"/>
  <c r="CW386" i="5"/>
  <c r="CW387" i="5"/>
  <c r="CW388" i="5"/>
  <c r="CW389" i="5"/>
  <c r="CW390" i="5"/>
  <c r="CW391" i="5"/>
  <c r="CW392" i="5"/>
  <c r="CW393" i="5"/>
  <c r="CW394" i="5"/>
  <c r="CW395" i="5"/>
  <c r="CW396" i="5"/>
  <c r="CW397" i="5"/>
  <c r="CW398" i="5"/>
  <c r="CW399" i="5"/>
  <c r="CW400" i="5"/>
  <c r="CW401" i="5"/>
  <c r="CW402" i="5"/>
  <c r="CW403" i="5"/>
  <c r="CW404" i="5"/>
  <c r="CW405" i="5"/>
  <c r="CW406" i="5"/>
  <c r="CW407" i="5"/>
  <c r="CW408" i="5"/>
  <c r="CW409" i="5"/>
  <c r="CW410" i="5"/>
  <c r="CW411" i="5"/>
  <c r="CW412" i="5"/>
  <c r="CW413" i="5"/>
  <c r="CW414" i="5"/>
  <c r="CW415" i="5"/>
  <c r="CW416" i="5"/>
  <c r="CW417" i="5"/>
  <c r="CW418" i="5"/>
  <c r="CW419" i="5"/>
  <c r="CW420" i="5"/>
  <c r="CW421" i="5"/>
  <c r="CW422" i="5"/>
  <c r="CW423" i="5"/>
  <c r="CW424" i="5"/>
  <c r="CW425" i="5"/>
  <c r="CW426" i="5"/>
  <c r="CW427" i="5"/>
  <c r="CW428" i="5"/>
  <c r="CW429" i="5"/>
  <c r="CW430" i="5"/>
  <c r="CW431" i="5"/>
  <c r="CW432" i="5"/>
  <c r="CW433" i="5"/>
  <c r="CW434" i="5"/>
  <c r="CW435" i="5"/>
  <c r="CW436" i="5"/>
  <c r="CW437" i="5"/>
  <c r="CW438" i="5"/>
  <c r="CW439" i="5"/>
  <c r="CW440" i="5"/>
  <c r="CW441" i="5"/>
  <c r="CW442" i="5"/>
  <c r="CW443" i="5"/>
  <c r="CW444" i="5"/>
  <c r="CW445" i="5"/>
  <c r="CW446" i="5"/>
  <c r="CW447" i="5"/>
  <c r="CW448" i="5"/>
  <c r="CW449" i="5"/>
  <c r="CW450" i="5"/>
  <c r="CW451" i="5"/>
  <c r="CW452" i="5"/>
  <c r="CW453" i="5"/>
  <c r="CW454" i="5"/>
  <c r="CW455" i="5"/>
  <c r="CW456" i="5"/>
  <c r="CW457" i="5"/>
  <c r="CW458" i="5"/>
  <c r="CW459" i="5"/>
  <c r="CW460" i="5"/>
  <c r="CW461" i="5"/>
  <c r="CW462" i="5"/>
  <c r="CW463" i="5"/>
  <c r="CW464" i="5"/>
  <c r="CW465" i="5"/>
  <c r="CW466" i="5"/>
  <c r="CW467" i="5"/>
  <c r="CW468" i="5"/>
  <c r="CW469" i="5"/>
  <c r="CW470" i="5"/>
  <c r="CW471" i="5"/>
  <c r="CW472" i="5"/>
  <c r="CW473" i="5"/>
  <c r="CW474" i="5"/>
  <c r="CW475" i="5"/>
  <c r="CW476" i="5"/>
  <c r="CW477" i="5"/>
  <c r="CW478" i="5"/>
  <c r="CW479" i="5"/>
  <c r="CW480" i="5"/>
  <c r="CW481" i="5"/>
  <c r="CW482" i="5"/>
  <c r="CW483" i="5"/>
  <c r="CW484" i="5"/>
  <c r="CW485" i="5"/>
  <c r="CW486" i="5"/>
  <c r="CW487" i="5"/>
  <c r="CW488" i="5"/>
  <c r="CW489" i="5"/>
  <c r="CW490" i="5"/>
  <c r="CW491" i="5"/>
  <c r="CW492" i="5"/>
  <c r="CW493" i="5"/>
  <c r="CW494" i="5"/>
  <c r="CW495" i="5"/>
  <c r="CW496" i="5"/>
  <c r="CW497" i="5"/>
  <c r="CW498" i="5"/>
  <c r="CW499" i="5"/>
  <c r="CW500" i="5"/>
  <c r="CW501" i="5"/>
  <c r="CW502" i="5"/>
  <c r="CW503" i="5"/>
  <c r="CW504" i="5"/>
  <c r="CW505" i="5"/>
  <c r="CW506" i="5"/>
  <c r="CW507" i="5"/>
  <c r="CW508" i="5"/>
  <c r="CW509" i="5"/>
  <c r="CW510" i="5"/>
  <c r="CW511" i="5"/>
  <c r="CW512" i="5"/>
  <c r="CW513" i="5"/>
  <c r="CW514" i="5"/>
  <c r="CW515" i="5"/>
  <c r="CW516" i="5"/>
  <c r="CW517" i="5"/>
  <c r="CW518" i="5"/>
  <c r="CW519" i="5"/>
  <c r="CW520" i="5"/>
  <c r="CW521" i="5"/>
  <c r="CW522" i="5"/>
  <c r="CW523" i="5"/>
  <c r="CW524" i="5"/>
  <c r="CW525" i="5"/>
  <c r="CW526" i="5"/>
  <c r="CW527" i="5"/>
  <c r="CW528" i="5"/>
  <c r="CW529" i="5"/>
  <c r="CW530" i="5"/>
  <c r="CW531" i="5"/>
  <c r="CW532" i="5"/>
  <c r="CW533" i="5"/>
  <c r="CW534" i="5"/>
  <c r="CW535" i="5"/>
  <c r="CW536" i="5"/>
  <c r="CW537" i="5"/>
  <c r="CW538" i="5"/>
  <c r="CW539" i="5"/>
  <c r="CW540" i="5"/>
  <c r="CW541" i="5"/>
  <c r="CW542" i="5"/>
  <c r="CW543" i="5"/>
  <c r="CW544" i="5"/>
  <c r="CW545" i="5"/>
  <c r="CW546" i="5"/>
  <c r="CW547" i="5"/>
  <c r="CW548" i="5"/>
  <c r="CW549" i="5"/>
  <c r="CW550" i="5"/>
  <c r="CW551" i="5"/>
  <c r="CW552" i="5"/>
  <c r="CW553" i="5"/>
  <c r="CW554" i="5"/>
  <c r="CW555" i="5"/>
  <c r="CW556" i="5"/>
  <c r="CW557" i="5"/>
  <c r="CW558" i="5"/>
  <c r="CW559" i="5"/>
  <c r="CW560" i="5"/>
  <c r="CW561" i="5"/>
  <c r="CW562" i="5"/>
  <c r="CW563" i="5"/>
  <c r="CW564" i="5"/>
  <c r="CW565" i="5"/>
  <c r="CW566" i="5"/>
  <c r="CW567" i="5"/>
  <c r="CW568" i="5"/>
  <c r="CW569" i="5"/>
  <c r="CW570" i="5"/>
  <c r="CW571" i="5"/>
  <c r="CW572" i="5"/>
  <c r="CW573" i="5"/>
  <c r="CW574" i="5"/>
  <c r="CW575" i="5"/>
  <c r="CW576" i="5"/>
  <c r="CW577" i="5"/>
  <c r="CW578" i="5"/>
  <c r="CW579" i="5"/>
  <c r="CW580" i="5"/>
  <c r="CW581" i="5"/>
  <c r="CW582" i="5"/>
  <c r="CW583" i="5"/>
  <c r="CW584" i="5"/>
  <c r="CW585" i="5"/>
  <c r="CW586" i="5"/>
  <c r="CW587" i="5"/>
  <c r="CW588" i="5"/>
  <c r="CW589" i="5"/>
  <c r="CW590" i="5"/>
  <c r="CW591" i="5"/>
  <c r="CW592" i="5"/>
  <c r="CW593" i="5"/>
  <c r="CW594" i="5"/>
  <c r="CW595" i="5"/>
  <c r="CW596" i="5"/>
  <c r="CW597" i="5"/>
  <c r="CW598" i="5"/>
  <c r="CW599" i="5"/>
  <c r="CW600" i="5"/>
  <c r="CW601" i="5"/>
  <c r="CW602" i="5"/>
  <c r="CW603" i="5"/>
  <c r="CW604" i="5"/>
  <c r="CW605" i="5"/>
  <c r="CW606" i="5"/>
  <c r="CW607" i="5"/>
  <c r="CW608" i="5"/>
  <c r="CW609" i="5"/>
  <c r="CW610" i="5"/>
  <c r="CW611" i="5"/>
  <c r="CW612" i="5"/>
  <c r="CW613" i="5"/>
  <c r="CW614" i="5"/>
  <c r="CW615" i="5"/>
  <c r="CW616" i="5"/>
  <c r="CW617" i="5"/>
  <c r="CW618" i="5"/>
  <c r="CW619" i="5"/>
  <c r="CW620" i="5"/>
  <c r="CW621" i="5"/>
  <c r="CW622" i="5"/>
  <c r="CW623" i="5"/>
  <c r="CW624" i="5"/>
  <c r="CW625" i="5"/>
  <c r="CW626" i="5"/>
  <c r="CW627" i="5"/>
  <c r="CW628" i="5"/>
  <c r="CW629" i="5"/>
  <c r="CW630" i="5"/>
  <c r="CW631" i="5"/>
  <c r="CW632" i="5"/>
  <c r="CW633" i="5"/>
  <c r="CW634" i="5"/>
  <c r="CW635" i="5"/>
  <c r="CW636" i="5"/>
  <c r="CW637" i="5"/>
  <c r="CW638" i="5"/>
  <c r="CW639" i="5"/>
  <c r="CW640" i="5"/>
  <c r="CW641" i="5"/>
  <c r="CW642" i="5"/>
  <c r="CW643" i="5"/>
  <c r="CW644" i="5"/>
  <c r="CW645" i="5"/>
  <c r="CW646" i="5"/>
  <c r="CW647" i="5"/>
  <c r="CW648" i="5"/>
  <c r="CW649" i="5"/>
  <c r="CW650" i="5"/>
  <c r="CW651" i="5"/>
  <c r="CW652" i="5"/>
  <c r="CW653" i="5"/>
  <c r="CW654" i="5"/>
  <c r="CW655" i="5"/>
  <c r="CW656" i="5"/>
  <c r="CW657" i="5"/>
  <c r="CW658" i="5"/>
  <c r="CW659" i="5"/>
  <c r="CW660" i="5"/>
  <c r="CW661" i="5"/>
  <c r="CW662" i="5"/>
  <c r="CW663" i="5"/>
  <c r="CW664" i="5"/>
  <c r="CW665" i="5"/>
  <c r="CW666" i="5"/>
  <c r="CW667" i="5"/>
  <c r="CW668" i="5"/>
  <c r="CW669" i="5"/>
  <c r="CW670" i="5"/>
  <c r="CW671" i="5"/>
  <c r="CW672" i="5"/>
  <c r="CW673" i="5"/>
  <c r="CW674" i="5"/>
  <c r="CW675" i="5"/>
  <c r="CW676" i="5"/>
  <c r="CW677" i="5"/>
  <c r="CW678" i="5"/>
  <c r="CW679" i="5"/>
  <c r="CW680" i="5"/>
  <c r="CW681" i="5"/>
  <c r="CW682" i="5"/>
  <c r="CW683" i="5"/>
  <c r="CW684" i="5"/>
  <c r="CW685" i="5"/>
  <c r="CW686" i="5"/>
  <c r="CW687" i="5"/>
  <c r="CW688" i="5"/>
  <c r="CW689" i="5"/>
  <c r="CW690" i="5"/>
  <c r="CW691" i="5"/>
  <c r="CW692" i="5"/>
  <c r="CW693" i="5"/>
  <c r="CW694" i="5"/>
  <c r="CW695" i="5"/>
  <c r="CW696" i="5"/>
  <c r="CW697" i="5"/>
  <c r="CW698" i="5"/>
  <c r="CW699" i="5"/>
  <c r="CW700" i="5"/>
  <c r="CW701" i="5"/>
  <c r="CW702" i="5"/>
  <c r="CW703" i="5"/>
  <c r="CW704" i="5"/>
  <c r="CW705" i="5"/>
  <c r="CW706" i="5"/>
  <c r="CW707" i="5"/>
  <c r="CW708" i="5"/>
  <c r="CW709" i="5"/>
  <c r="CW710" i="5"/>
  <c r="CW711" i="5"/>
  <c r="CW712" i="5"/>
  <c r="CW713" i="5"/>
  <c r="CW714" i="5"/>
  <c r="CW715" i="5"/>
  <c r="CW716" i="5"/>
  <c r="CW717" i="5"/>
  <c r="CW718" i="5"/>
  <c r="CW719" i="5"/>
  <c r="CW720" i="5"/>
  <c r="CW721" i="5"/>
  <c r="CW722" i="5"/>
  <c r="CW723" i="5"/>
  <c r="CW724" i="5"/>
  <c r="CW725" i="5"/>
  <c r="CW726" i="5"/>
  <c r="CW727" i="5"/>
  <c r="CW728" i="5"/>
  <c r="CW729" i="5"/>
  <c r="CW730" i="5"/>
  <c r="CW731" i="5"/>
  <c r="CW732" i="5"/>
  <c r="CW733" i="5"/>
  <c r="CW734" i="5"/>
  <c r="CW735" i="5"/>
  <c r="CW736" i="5"/>
  <c r="CW737" i="5"/>
  <c r="CW738" i="5"/>
  <c r="CW739" i="5"/>
  <c r="CW740" i="5"/>
  <c r="CW741" i="5"/>
  <c r="CW742" i="5"/>
  <c r="CW743" i="5"/>
  <c r="CW744" i="5"/>
  <c r="CW745" i="5"/>
  <c r="CW746" i="5"/>
  <c r="CW747" i="5"/>
  <c r="CW748" i="5"/>
  <c r="CW749" i="5"/>
  <c r="CW750" i="5"/>
  <c r="CW751" i="5"/>
  <c r="CW752" i="5"/>
  <c r="CW753" i="5"/>
  <c r="CW754" i="5"/>
  <c r="CN29" i="12"/>
  <c r="CN30" i="12"/>
  <c r="FD10" i="12"/>
  <c r="FC10" i="12"/>
  <c r="FB10" i="12"/>
  <c r="FA10" i="12"/>
  <c r="EZ10" i="12"/>
  <c r="EY10" i="12"/>
  <c r="EX10" i="12"/>
  <c r="EW10" i="12"/>
  <c r="EV10" i="12"/>
  <c r="EU10" i="12"/>
  <c r="ET10" i="12"/>
  <c r="ES10" i="12"/>
  <c r="ER10" i="12"/>
  <c r="EQ10" i="12"/>
  <c r="EP10" i="12"/>
  <c r="EO10" i="12"/>
  <c r="BN48" i="12"/>
  <c r="CM13" i="12"/>
  <c r="CM14" i="12"/>
  <c r="CM15" i="12"/>
  <c r="DZ24" i="12"/>
  <c r="EA24" i="12"/>
  <c r="DZ25" i="12"/>
  <c r="EA25" i="12"/>
  <c r="DY24" i="12"/>
  <c r="DY25" i="12"/>
  <c r="CW11" i="5"/>
  <c r="CW12" i="5"/>
  <c r="CW13" i="5"/>
  <c r="CW14" i="5"/>
  <c r="CW15" i="5"/>
  <c r="CW16" i="5"/>
  <c r="CW17" i="5"/>
  <c r="CW18" i="5"/>
  <c r="CW19" i="5"/>
  <c r="CW20" i="5"/>
  <c r="CW21" i="5"/>
  <c r="CW22" i="5"/>
  <c r="CW23" i="5"/>
  <c r="CW24" i="5"/>
  <c r="CW25" i="5"/>
  <c r="CW26" i="5"/>
  <c r="CW27" i="5"/>
  <c r="CW28" i="5"/>
  <c r="CW29" i="5"/>
  <c r="CW30" i="5"/>
  <c r="CW31" i="5"/>
  <c r="CW32" i="5"/>
  <c r="CW33" i="5"/>
  <c r="CW34" i="5"/>
  <c r="CW35" i="5"/>
  <c r="CW36" i="5"/>
  <c r="CW37" i="5"/>
  <c r="CW38" i="5"/>
  <c r="CW39" i="5"/>
  <c r="CW40" i="5"/>
  <c r="CW41" i="5"/>
  <c r="CW42" i="5"/>
  <c r="CW43" i="5"/>
  <c r="CW44" i="5"/>
  <c r="CW45" i="5"/>
  <c r="CW46" i="5"/>
  <c r="CW47" i="5"/>
  <c r="CW48" i="5"/>
  <c r="CW49" i="5"/>
  <c r="CW50" i="5"/>
  <c r="CW51" i="5"/>
  <c r="CW52" i="5"/>
  <c r="CW53" i="5"/>
  <c r="CW54" i="5"/>
  <c r="CW55" i="5"/>
  <c r="CW56" i="5"/>
  <c r="CW57" i="5"/>
  <c r="CW58" i="5"/>
  <c r="CW59" i="5"/>
  <c r="CW60" i="5"/>
  <c r="CW61" i="5"/>
  <c r="CW62" i="5"/>
  <c r="CW63" i="5"/>
  <c r="CW64" i="5"/>
  <c r="CW65" i="5"/>
  <c r="CW66" i="5"/>
  <c r="CW67" i="5"/>
  <c r="CW68" i="5"/>
  <c r="CW69" i="5"/>
  <c r="CW70" i="5"/>
  <c r="CW71" i="5"/>
  <c r="CW72" i="5"/>
  <c r="CW73" i="5"/>
  <c r="CW74" i="5"/>
  <c r="CW75" i="5"/>
  <c r="CW76" i="5"/>
  <c r="CW77" i="5"/>
  <c r="CW78" i="5"/>
  <c r="CW79" i="5"/>
  <c r="CW80" i="5"/>
  <c r="CW81" i="5"/>
  <c r="CW82" i="5"/>
  <c r="CW83" i="5"/>
  <c r="CW84" i="5"/>
  <c r="CW85" i="5"/>
  <c r="CW86" i="5"/>
  <c r="CW87" i="5"/>
  <c r="CW88" i="5"/>
  <c r="CW89" i="5"/>
  <c r="CW90" i="5"/>
  <c r="CW91" i="5"/>
  <c r="CW92" i="5"/>
  <c r="CW93" i="5"/>
  <c r="CW94" i="5"/>
  <c r="CW95" i="5"/>
  <c r="CW96" i="5"/>
  <c r="CW97" i="5"/>
  <c r="CW98" i="5"/>
  <c r="CW99" i="5"/>
  <c r="CW100" i="5"/>
  <c r="CW101" i="5"/>
  <c r="CW102" i="5"/>
  <c r="CW103" i="5"/>
  <c r="CW104" i="5"/>
  <c r="CW105" i="5"/>
  <c r="CW106" i="5"/>
  <c r="CW107" i="5"/>
  <c r="CW108" i="5"/>
  <c r="CW109" i="5"/>
  <c r="CW110" i="5"/>
  <c r="CW111" i="5"/>
  <c r="CW112" i="5"/>
  <c r="CW113" i="5"/>
  <c r="CW114" i="5"/>
  <c r="CW115" i="5"/>
  <c r="CW116" i="5"/>
  <c r="CW117" i="5"/>
  <c r="CW118" i="5"/>
  <c r="CW119" i="5"/>
  <c r="CW120" i="5"/>
  <c r="CW121" i="5"/>
  <c r="CW122" i="5"/>
  <c r="CW123" i="5"/>
  <c r="CW124" i="5"/>
  <c r="CW125" i="5"/>
  <c r="CW126" i="5"/>
  <c r="CW127" i="5"/>
  <c r="CW128" i="5"/>
  <c r="CW129" i="5"/>
  <c r="CW130" i="5"/>
  <c r="CW131" i="5"/>
  <c r="CW132" i="5"/>
  <c r="CW133" i="5"/>
  <c r="CW134" i="5"/>
  <c r="CW135" i="5"/>
  <c r="CW136" i="5"/>
  <c r="CW137" i="5"/>
  <c r="CW138" i="5"/>
  <c r="CW139" i="5"/>
  <c r="CW140" i="5"/>
  <c r="CW141" i="5"/>
  <c r="CW142" i="5"/>
  <c r="CW143" i="5"/>
  <c r="CW144" i="5"/>
  <c r="CW145" i="5"/>
  <c r="CW146" i="5"/>
  <c r="CW147" i="5"/>
  <c r="CW148" i="5"/>
  <c r="CW149" i="5"/>
  <c r="CW150" i="5"/>
  <c r="CW151" i="5"/>
  <c r="CW152" i="5"/>
  <c r="CW153" i="5"/>
  <c r="CW154" i="5"/>
  <c r="CW155" i="5"/>
  <c r="CW156" i="5"/>
  <c r="CW157" i="5"/>
  <c r="CW158" i="5"/>
  <c r="CW159" i="5"/>
  <c r="CW160" i="5"/>
  <c r="CW161" i="5"/>
  <c r="CW162" i="5"/>
  <c r="CW163" i="5"/>
  <c r="CW164" i="5"/>
  <c r="CW165" i="5"/>
  <c r="CW166" i="5"/>
  <c r="CW167" i="5"/>
  <c r="CW168" i="5"/>
  <c r="CW169" i="5"/>
  <c r="CW170" i="5"/>
  <c r="CW171" i="5"/>
  <c r="CW172" i="5"/>
  <c r="CW173" i="5"/>
  <c r="CW174" i="5"/>
  <c r="CW175" i="5"/>
  <c r="CW176" i="5"/>
  <c r="CW177" i="5"/>
  <c r="CW178" i="5"/>
  <c r="CW179" i="5"/>
  <c r="CW180" i="5"/>
  <c r="CW181" i="5"/>
  <c r="CW182" i="5"/>
  <c r="CW183" i="5"/>
  <c r="CW184" i="5"/>
  <c r="CW185" i="5"/>
  <c r="CW186" i="5"/>
  <c r="CW187" i="5"/>
  <c r="CW188" i="5"/>
  <c r="CW189" i="5"/>
  <c r="CW190" i="5"/>
  <c r="CW191" i="5"/>
  <c r="CW192" i="5"/>
  <c r="CW193" i="5"/>
  <c r="CW194" i="5"/>
  <c r="CW195" i="5"/>
  <c r="CW196" i="5"/>
  <c r="CW197" i="5"/>
  <c r="CW198" i="5"/>
  <c r="CW199" i="5"/>
  <c r="CW200" i="5"/>
  <c r="CW201" i="5"/>
  <c r="CW202" i="5"/>
  <c r="CW203" i="5"/>
  <c r="CW204" i="5"/>
  <c r="CW205" i="5"/>
  <c r="CW206" i="5"/>
  <c r="CW207" i="5"/>
  <c r="CW208" i="5"/>
  <c r="CW209" i="5"/>
  <c r="CW210" i="5"/>
  <c r="CW211" i="5"/>
  <c r="CW212" i="5"/>
  <c r="CW213" i="5"/>
  <c r="CW214" i="5"/>
  <c r="CW215" i="5"/>
  <c r="CW216" i="5"/>
  <c r="CW217" i="5"/>
  <c r="CW218" i="5"/>
  <c r="CW219" i="5"/>
  <c r="CW220" i="5"/>
  <c r="CW221" i="5"/>
  <c r="CW222" i="5"/>
  <c r="CW223" i="5"/>
  <c r="CW224" i="5"/>
  <c r="CW225" i="5"/>
  <c r="CW226" i="5"/>
  <c r="CW227" i="5"/>
  <c r="CW228" i="5"/>
  <c r="CW229" i="5"/>
  <c r="CW230" i="5"/>
  <c r="CW231" i="5"/>
  <c r="CW232" i="5"/>
  <c r="CW233" i="5"/>
  <c r="CW234" i="5"/>
  <c r="CW235" i="5"/>
  <c r="CW236" i="5"/>
  <c r="CW237" i="5"/>
  <c r="CW238" i="5"/>
  <c r="CW239" i="5"/>
  <c r="CW240" i="5"/>
  <c r="CW241" i="5"/>
  <c r="CW242" i="5"/>
  <c r="CW243" i="5"/>
  <c r="CW244" i="5"/>
  <c r="CW245" i="5"/>
  <c r="CW246" i="5"/>
  <c r="CW247" i="5"/>
  <c r="CW248" i="5"/>
  <c r="CW249" i="5"/>
  <c r="CW250" i="5"/>
  <c r="CW251" i="5"/>
  <c r="CW252" i="5"/>
  <c r="CW253" i="5"/>
  <c r="CW254" i="5"/>
  <c r="CW255" i="5"/>
  <c r="CW256" i="5"/>
  <c r="CW257" i="5"/>
  <c r="CW258" i="5"/>
  <c r="CW259" i="5"/>
  <c r="CW260" i="5"/>
  <c r="CW261" i="5"/>
  <c r="CW262" i="5"/>
  <c r="CW263" i="5"/>
  <c r="CW264" i="5"/>
  <c r="CW265" i="5"/>
  <c r="CW266" i="5"/>
  <c r="CW267" i="5"/>
  <c r="CW268" i="5"/>
  <c r="CW269" i="5"/>
  <c r="CW270" i="5"/>
  <c r="CW271" i="5"/>
  <c r="CW272" i="5"/>
  <c r="CW273" i="5"/>
  <c r="CW274" i="5"/>
  <c r="CW275" i="5"/>
  <c r="CW276" i="5"/>
  <c r="CW277" i="5"/>
  <c r="CW278" i="5"/>
  <c r="CW279" i="5"/>
  <c r="CW280" i="5"/>
  <c r="CW281" i="5"/>
  <c r="CW282" i="5"/>
  <c r="CW283" i="5"/>
  <c r="CW284" i="5"/>
  <c r="CW285" i="5"/>
  <c r="CW286" i="5"/>
  <c r="CW287" i="5"/>
  <c r="CW288" i="5"/>
  <c r="CW289" i="5"/>
  <c r="CW290" i="5"/>
  <c r="CW291" i="5"/>
  <c r="CW292" i="5"/>
  <c r="CW293" i="5"/>
  <c r="CW294" i="5"/>
  <c r="CW295" i="5"/>
  <c r="CW296" i="5"/>
  <c r="CW297" i="5"/>
  <c r="CW298" i="5"/>
  <c r="CW299" i="5"/>
  <c r="CW300" i="5"/>
  <c r="CW301" i="5"/>
  <c r="CW302" i="5"/>
  <c r="CW303" i="5"/>
  <c r="CW304" i="5"/>
  <c r="CW305" i="5"/>
  <c r="CW306" i="5"/>
  <c r="CW307" i="5"/>
  <c r="CW308" i="5"/>
  <c r="CW309" i="5"/>
  <c r="CW310" i="5"/>
  <c r="CW311" i="5"/>
  <c r="CW312" i="5"/>
  <c r="CW313" i="5"/>
  <c r="CW314" i="5"/>
  <c r="DK11" i="12"/>
  <c r="DK12" i="12"/>
  <c r="DK13" i="12"/>
  <c r="DK14" i="12"/>
  <c r="DK15" i="12"/>
  <c r="DK34" i="12"/>
  <c r="DK35" i="12"/>
  <c r="DP35" i="12"/>
  <c r="DP34" i="12"/>
  <c r="DP37" i="12"/>
  <c r="DP38" i="12"/>
  <c r="DP39" i="12"/>
  <c r="DP41" i="12"/>
  <c r="DP42" i="12"/>
  <c r="DP47" i="12"/>
  <c r="DP48" i="12"/>
  <c r="DP49" i="12"/>
  <c r="DP50" i="12"/>
  <c r="DP52" i="12"/>
  <c r="DP56" i="12"/>
  <c r="DP57" i="12"/>
  <c r="DP58" i="12"/>
  <c r="DP60" i="12"/>
  <c r="DP12" i="12"/>
  <c r="DP13" i="12"/>
  <c r="DP14" i="12"/>
  <c r="DP15" i="12"/>
  <c r="DP16" i="12"/>
  <c r="DP17" i="12"/>
  <c r="DP18" i="12"/>
  <c r="DP20" i="12"/>
  <c r="DP11" i="12"/>
  <c r="DP85" i="12"/>
  <c r="DP82" i="12"/>
  <c r="DP84" i="12"/>
  <c r="DP77" i="12"/>
  <c r="DP76" i="12"/>
  <c r="DP68" i="12"/>
  <c r="DP67" i="12"/>
  <c r="DP62" i="12"/>
  <c r="DK41" i="12"/>
  <c r="DK39" i="12"/>
  <c r="DK38" i="12"/>
  <c r="DK37" i="12"/>
  <c r="DK83" i="12"/>
  <c r="DK85" i="12"/>
  <c r="DK80" i="12"/>
  <c r="DP78" i="12"/>
  <c r="DK74" i="12"/>
  <c r="DP74" i="12"/>
  <c r="DK73" i="12"/>
  <c r="DP73" i="12"/>
  <c r="DK65" i="12"/>
  <c r="DP65" i="12"/>
  <c r="DK63" i="12"/>
  <c r="DP63" i="12"/>
  <c r="DK42" i="12"/>
  <c r="DK60" i="12"/>
  <c r="DK58" i="12"/>
  <c r="DK52" i="12"/>
  <c r="DK48" i="12"/>
  <c r="DK49" i="12"/>
  <c r="DK50" i="12"/>
  <c r="DK47" i="12"/>
  <c r="HN406" i="9"/>
  <c r="HM406" i="9"/>
  <c r="HN405" i="9"/>
  <c r="HM405" i="9"/>
  <c r="HN404" i="9"/>
  <c r="HM404" i="9"/>
  <c r="HN403" i="9"/>
  <c r="HM403" i="9"/>
  <c r="HN402" i="9"/>
  <c r="HM402" i="9"/>
  <c r="HN401" i="9"/>
  <c r="HM401" i="9"/>
  <c r="E27" i="15"/>
  <c r="E26" i="15"/>
  <c r="E25" i="15"/>
  <c r="E24" i="15"/>
  <c r="E23" i="15"/>
  <c r="E22" i="15"/>
  <c r="E21" i="15"/>
  <c r="E19" i="15"/>
  <c r="E18" i="15"/>
  <c r="E17" i="15"/>
  <c r="E16" i="15"/>
  <c r="E15" i="15"/>
  <c r="E13" i="15"/>
  <c r="B87" i="17"/>
  <c r="AL86" i="17" a="1"/>
  <c r="AL86" i="17"/>
  <c r="AL64" i="17" a="1"/>
  <c r="AL64" i="17"/>
  <c r="AL63" i="17" a="1"/>
  <c r="AL63" i="17"/>
  <c r="AL62" i="17" a="1"/>
  <c r="AL62" i="17"/>
  <c r="AL61" i="17" a="1"/>
  <c r="AL61" i="17"/>
  <c r="AL60" i="17" a="1"/>
  <c r="AL60" i="17"/>
  <c r="AL59" i="17" a="1"/>
  <c r="AL59" i="17"/>
  <c r="AL58" i="17" a="1"/>
  <c r="AL58" i="17"/>
  <c r="AL57" i="17" a="1"/>
  <c r="AL57" i="17"/>
  <c r="AL56" i="17" a="1"/>
  <c r="AL56" i="17"/>
  <c r="AL55" i="17" a="1"/>
  <c r="AL55" i="17"/>
  <c r="AL54" i="17" a="1"/>
  <c r="AL54" i="17"/>
  <c r="AL53" i="17" a="1"/>
  <c r="AL53" i="17"/>
  <c r="AL52" i="17" a="1"/>
  <c r="AL52" i="17"/>
  <c r="V48" i="17"/>
  <c r="R48" i="17"/>
  <c r="N48" i="17"/>
  <c r="J48" i="17"/>
  <c r="F48" i="17"/>
  <c r="B48" i="17"/>
  <c r="J23" i="17" a="1"/>
  <c r="J23" i="17"/>
  <c r="J22" i="17" a="1"/>
  <c r="J22" i="17"/>
  <c r="J21" i="17" a="1"/>
  <c r="J21" i="17"/>
  <c r="CO410" i="5" a="1"/>
  <c r="CO410" i="5"/>
  <c r="J20" i="17" a="1"/>
  <c r="J20" i="17"/>
  <c r="CO400" i="5" a="1"/>
  <c r="CO400" i="5"/>
  <c r="J19" i="17" a="1"/>
  <c r="J19" i="17"/>
  <c r="CO380" i="5" a="1"/>
  <c r="CO380" i="5"/>
  <c r="J18" i="17" a="1"/>
  <c r="J18" i="17"/>
  <c r="CO368" i="5" a="1"/>
  <c r="CO368" i="5"/>
  <c r="J17" i="17" a="1"/>
  <c r="J17" i="17"/>
  <c r="CO354" i="5" a="1"/>
  <c r="CO354" i="5"/>
  <c r="T16" i="17" a="1"/>
  <c r="T16" i="17"/>
  <c r="J16" i="17" a="1"/>
  <c r="J16" i="17"/>
  <c r="T15" i="17" a="1"/>
  <c r="T15" i="17"/>
  <c r="J15" i="17" a="1"/>
  <c r="J15" i="17"/>
  <c r="CO330" i="5" a="1"/>
  <c r="CO330" i="5"/>
  <c r="G15" i="17" a="1"/>
  <c r="G15" i="17"/>
  <c r="T14" i="17" a="1"/>
  <c r="T14" i="17"/>
  <c r="N14" i="17" a="1"/>
  <c r="N14" i="17"/>
  <c r="J14" i="17" a="1"/>
  <c r="J14" i="17"/>
  <c r="CO499" i="5" a="1"/>
  <c r="CO499" i="5"/>
  <c r="G14" i="17" a="1"/>
  <c r="G14" i="17"/>
  <c r="T13" i="17" a="1"/>
  <c r="T13" i="17"/>
  <c r="N13" i="17" a="1"/>
  <c r="N13" i="17"/>
  <c r="J13" i="17" a="1"/>
  <c r="J13" i="17"/>
  <c r="CO491" i="5" a="1"/>
  <c r="CO491" i="5"/>
  <c r="G13" i="17" a="1"/>
  <c r="G13" i="17"/>
  <c r="D13" i="17" a="1"/>
  <c r="D13" i="17"/>
  <c r="T12" i="17" a="1"/>
  <c r="T12" i="17"/>
  <c r="S12" i="17" a="1"/>
  <c r="S12" i="17"/>
  <c r="N12" i="17" a="1"/>
  <c r="N12" i="17"/>
  <c r="J12" i="17" a="1"/>
  <c r="J12" i="17"/>
  <c r="G12" i="17" a="1"/>
  <c r="G12" i="17"/>
  <c r="D12" i="17" a="1"/>
  <c r="D12" i="17"/>
  <c r="T11" i="17" a="1"/>
  <c r="T11" i="17"/>
  <c r="S11" i="17" a="1"/>
  <c r="S11" i="17"/>
  <c r="N11" i="17" a="1"/>
  <c r="N11" i="17"/>
  <c r="J11" i="17" a="1"/>
  <c r="J11" i="17"/>
  <c r="E43" i="3"/>
  <c r="G11" i="17" a="1"/>
  <c r="G11" i="17"/>
  <c r="D11" i="17" a="1"/>
  <c r="D11" i="17"/>
  <c r="D9" i="17"/>
  <c r="E14" i="15"/>
  <c r="W10" i="17" a="1"/>
  <c r="W10" i="17" s="1"/>
  <c r="T10" i="17" a="1"/>
  <c r="T10" i="17"/>
  <c r="S10" i="17" a="1"/>
  <c r="S10" i="17"/>
  <c r="N10" i="17" a="1"/>
  <c r="N10" i="17"/>
  <c r="J10" i="17" a="1"/>
  <c r="J10" i="17"/>
  <c r="CI9" i="17"/>
  <c r="BX9" i="17"/>
  <c r="BM9" i="17"/>
  <c r="BB9" i="17"/>
  <c r="H9" i="17"/>
  <c r="F9" i="17"/>
  <c r="E20" i="15"/>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Q31" i="21"/>
  <c r="F31" i="21"/>
  <c r="Q30" i="21"/>
  <c r="F30" i="21"/>
  <c r="Q29" i="21"/>
  <c r="F29" i="21"/>
  <c r="Q28" i="21"/>
  <c r="F28" i="21"/>
  <c r="W27" i="21"/>
  <c r="Q27" i="21"/>
  <c r="F27" i="21"/>
  <c r="W26" i="21"/>
  <c r="Q26" i="21"/>
  <c r="F26" i="21"/>
  <c r="W25" i="21"/>
  <c r="Q25" i="21"/>
  <c r="F25" i="21"/>
  <c r="W24" i="21"/>
  <c r="Q24" i="21"/>
  <c r="F24" i="21"/>
  <c r="W23" i="21"/>
  <c r="Q23" i="21"/>
  <c r="F23" i="21"/>
  <c r="W22" i="21"/>
  <c r="Q22" i="21"/>
  <c r="F22" i="21"/>
  <c r="W21" i="21"/>
  <c r="Q21" i="21"/>
  <c r="F21" i="21"/>
  <c r="W20" i="21"/>
  <c r="Q20" i="21"/>
  <c r="F20" i="21"/>
  <c r="W19" i="21"/>
  <c r="Q19" i="21"/>
  <c r="F19" i="21"/>
  <c r="W18" i="21"/>
  <c r="Q18" i="21"/>
  <c r="F18" i="21"/>
  <c r="W17" i="21"/>
  <c r="Q17" i="21"/>
  <c r="F17" i="21"/>
  <c r="W16" i="21"/>
  <c r="Q16" i="21"/>
  <c r="F16" i="21"/>
  <c r="W15" i="21"/>
  <c r="Q15" i="21"/>
  <c r="F15" i="21"/>
  <c r="W14" i="21"/>
  <c r="Q14" i="21"/>
  <c r="F14" i="21"/>
  <c r="W13" i="21"/>
  <c r="Q13" i="21"/>
  <c r="F13" i="21"/>
  <c r="I17" i="21" s="1"/>
  <c r="J17" i="21" s="1"/>
  <c r="J20" i="21" s="1"/>
  <c r="K20" i="21" s="1"/>
  <c r="W12" i="21"/>
  <c r="Q12" i="21"/>
  <c r="F12" i="21"/>
  <c r="W11" i="21"/>
  <c r="Q11" i="21"/>
  <c r="I11" i="21"/>
  <c r="F11" i="21"/>
  <c r="W10" i="21"/>
  <c r="Q10" i="21"/>
  <c r="I10" i="21"/>
  <c r="I16" i="21" s="1"/>
  <c r="J16" i="21" s="1"/>
  <c r="F10" i="21"/>
  <c r="V8" i="21"/>
  <c r="U8" i="21"/>
  <c r="P8" i="21"/>
  <c r="O8" i="21"/>
  <c r="N8" i="21"/>
  <c r="M8" i="21"/>
  <c r="V7" i="21"/>
  <c r="U7" i="21"/>
  <c r="P7" i="21"/>
  <c r="O7" i="21"/>
  <c r="N7" i="21"/>
  <c r="M7" i="21"/>
  <c r="D14" i="14"/>
  <c r="D13" i="14"/>
  <c r="DR779" i="5"/>
  <c r="DR778" i="5"/>
  <c r="DR777" i="5"/>
  <c r="DR776" i="5"/>
  <c r="DR775" i="5"/>
  <c r="DR774" i="5"/>
  <c r="DR773" i="5"/>
  <c r="DR772" i="5"/>
  <c r="DR771" i="5"/>
  <c r="DR770" i="5"/>
  <c r="DR769" i="5"/>
  <c r="DR768" i="5"/>
  <c r="DR767" i="5"/>
  <c r="DR766" i="5"/>
  <c r="DR765" i="5"/>
  <c r="DR764" i="5"/>
  <c r="DR763" i="5"/>
  <c r="DR762" i="5"/>
  <c r="DR761" i="5"/>
  <c r="DR760" i="5"/>
  <c r="DR759" i="5"/>
  <c r="DR758" i="5"/>
  <c r="DR757" i="5"/>
  <c r="DR756" i="5"/>
  <c r="DR755" i="5"/>
  <c r="CM658" i="5"/>
  <c r="CM657" i="5"/>
  <c r="EL14" i="5"/>
  <c r="CM656" i="5"/>
  <c r="EL13" i="5"/>
  <c r="CM655" i="5"/>
  <c r="EL12" i="5"/>
  <c r="CM654" i="5"/>
  <c r="CM653" i="5"/>
  <c r="EL10" i="5"/>
  <c r="CT652" i="5"/>
  <c r="CS652" i="5"/>
  <c r="CR652" i="5"/>
  <c r="CQ652" i="5"/>
  <c r="CT651" i="5"/>
  <c r="CS651" i="5"/>
  <c r="CR651" i="5"/>
  <c r="CQ651" i="5"/>
  <c r="CT650" i="5"/>
  <c r="CS650" i="5"/>
  <c r="CR650" i="5"/>
  <c r="CQ650" i="5"/>
  <c r="CT649" i="5"/>
  <c r="CS649" i="5"/>
  <c r="CR649" i="5"/>
  <c r="CQ649" i="5"/>
  <c r="CT648" i="5"/>
  <c r="CS648" i="5"/>
  <c r="CR648" i="5"/>
  <c r="CQ648" i="5"/>
  <c r="CT647" i="5"/>
  <c r="CS647" i="5"/>
  <c r="CR647" i="5"/>
  <c r="CQ647" i="5"/>
  <c r="CT646" i="5"/>
  <c r="CS646" i="5"/>
  <c r="CR646" i="5"/>
  <c r="CQ646" i="5"/>
  <c r="CT645" i="5"/>
  <c r="CS645" i="5"/>
  <c r="CR645" i="5"/>
  <c r="CQ645" i="5"/>
  <c r="CT644" i="5"/>
  <c r="CS644" i="5"/>
  <c r="CR644" i="5"/>
  <c r="CQ644" i="5"/>
  <c r="CT643" i="5"/>
  <c r="CS643" i="5"/>
  <c r="CR643" i="5"/>
  <c r="CQ643" i="5"/>
  <c r="CT642" i="5"/>
  <c r="CS642" i="5"/>
  <c r="CR642" i="5"/>
  <c r="CQ642" i="5"/>
  <c r="CT641" i="5"/>
  <c r="CS641" i="5"/>
  <c r="CR641" i="5"/>
  <c r="CQ641" i="5"/>
  <c r="CT640" i="5"/>
  <c r="CS640" i="5"/>
  <c r="CR640" i="5"/>
  <c r="CQ640" i="5"/>
  <c r="CT639" i="5"/>
  <c r="CS639" i="5"/>
  <c r="CR639" i="5"/>
  <c r="CQ639" i="5"/>
  <c r="CT638" i="5"/>
  <c r="CS638" i="5"/>
  <c r="CR638" i="5"/>
  <c r="CQ638" i="5"/>
  <c r="CT637" i="5"/>
  <c r="CS637" i="5"/>
  <c r="CR637" i="5"/>
  <c r="CQ637" i="5"/>
  <c r="CT636" i="5"/>
  <c r="CS636" i="5"/>
  <c r="CR636" i="5"/>
  <c r="CQ636" i="5"/>
  <c r="CT635" i="5"/>
  <c r="CS635" i="5"/>
  <c r="CR635" i="5"/>
  <c r="CQ635" i="5"/>
  <c r="CT634" i="5"/>
  <c r="CS634" i="5"/>
  <c r="CR634" i="5"/>
  <c r="CQ634" i="5"/>
  <c r="CT633" i="5"/>
  <c r="CS633" i="5"/>
  <c r="CR633" i="5"/>
  <c r="CQ633" i="5"/>
  <c r="CT632" i="5"/>
  <c r="CS632" i="5"/>
  <c r="CR632" i="5"/>
  <c r="CQ632" i="5"/>
  <c r="CT631" i="5"/>
  <c r="CS631" i="5"/>
  <c r="CR631" i="5"/>
  <c r="CQ631" i="5"/>
  <c r="CT630" i="5"/>
  <c r="CS630" i="5"/>
  <c r="CR630" i="5"/>
  <c r="CQ630" i="5"/>
  <c r="CT629" i="5"/>
  <c r="CS629" i="5"/>
  <c r="CR629" i="5"/>
  <c r="CQ629" i="5"/>
  <c r="CT628" i="5"/>
  <c r="CS628" i="5"/>
  <c r="CR628" i="5"/>
  <c r="CQ628" i="5"/>
  <c r="CT627" i="5"/>
  <c r="CS627" i="5"/>
  <c r="CR627" i="5"/>
  <c r="CQ627" i="5"/>
  <c r="CT626" i="5"/>
  <c r="CS626" i="5"/>
  <c r="CR626" i="5"/>
  <c r="CQ626" i="5"/>
  <c r="CT625" i="5"/>
  <c r="CS625" i="5"/>
  <c r="CR625" i="5"/>
  <c r="CQ625" i="5"/>
  <c r="CT624" i="5"/>
  <c r="CS624" i="5"/>
  <c r="CQ624" i="5"/>
  <c r="CT623" i="5"/>
  <c r="CS623" i="5"/>
  <c r="CQ623" i="5"/>
  <c r="CT622" i="5"/>
  <c r="CS622" i="5"/>
  <c r="CQ622" i="5"/>
  <c r="CT621" i="5"/>
  <c r="CS621" i="5"/>
  <c r="CQ621" i="5"/>
  <c r="CT620" i="5"/>
  <c r="CS620" i="5"/>
  <c r="CQ620" i="5"/>
  <c r="CT619" i="5"/>
  <c r="CS619" i="5"/>
  <c r="CQ619" i="5"/>
  <c r="CT618" i="5"/>
  <c r="CS618" i="5"/>
  <c r="CQ618" i="5"/>
  <c r="CT617" i="5"/>
  <c r="CS617" i="5"/>
  <c r="CQ617" i="5"/>
  <c r="CT616" i="5"/>
  <c r="CS616" i="5"/>
  <c r="CQ616" i="5"/>
  <c r="CT615" i="5"/>
  <c r="CS615" i="5"/>
  <c r="CQ615" i="5"/>
  <c r="CT614" i="5"/>
  <c r="CS614" i="5"/>
  <c r="CQ614" i="5"/>
  <c r="CT613" i="5"/>
  <c r="CS613" i="5"/>
  <c r="CQ613" i="5"/>
  <c r="CT612" i="5"/>
  <c r="CS612" i="5"/>
  <c r="CQ612" i="5"/>
  <c r="CT611" i="5"/>
  <c r="CS611" i="5"/>
  <c r="CQ611" i="5"/>
  <c r="CT610" i="5"/>
  <c r="CS610" i="5"/>
  <c r="CQ610" i="5"/>
  <c r="CT609" i="5"/>
  <c r="CS609" i="5"/>
  <c r="CQ609" i="5"/>
  <c r="CQ601" i="5"/>
  <c r="CQ600" i="5"/>
  <c r="CQ599" i="5"/>
  <c r="CQ598" i="5"/>
  <c r="CT596" i="5"/>
  <c r="CS596" i="5"/>
  <c r="CQ596" i="5"/>
  <c r="CT595" i="5"/>
  <c r="CS595" i="5"/>
  <c r="CQ595" i="5"/>
  <c r="CQ587" i="5"/>
  <c r="CQ586" i="5"/>
  <c r="CQ585" i="5"/>
  <c r="CQ584" i="5"/>
  <c r="CT582" i="5"/>
  <c r="CS582" i="5"/>
  <c r="CQ582" i="5"/>
  <c r="CT581" i="5"/>
  <c r="CS581" i="5"/>
  <c r="CQ581" i="5"/>
  <c r="CQ580" i="5"/>
  <c r="CQ573" i="5"/>
  <c r="CQ572" i="5"/>
  <c r="CQ571" i="5"/>
  <c r="CQ570" i="5"/>
  <c r="CT568" i="5"/>
  <c r="CS568" i="5"/>
  <c r="CQ568" i="5"/>
  <c r="CT567" i="5"/>
  <c r="CS567" i="5"/>
  <c r="CQ567" i="5"/>
  <c r="CQ566" i="5"/>
  <c r="CQ559" i="5"/>
  <c r="CQ558" i="5"/>
  <c r="CQ557" i="5"/>
  <c r="CQ556" i="5"/>
  <c r="CT554" i="5"/>
  <c r="CS554" i="5"/>
  <c r="CQ554" i="5"/>
  <c r="CT553" i="5"/>
  <c r="CS553" i="5"/>
  <c r="CQ553" i="5"/>
  <c r="CQ552" i="5"/>
  <c r="CQ545" i="5"/>
  <c r="CQ544" i="5"/>
  <c r="CQ543" i="5"/>
  <c r="CQ542" i="5"/>
  <c r="CT540" i="5"/>
  <c r="CS540" i="5"/>
  <c r="CQ540" i="5"/>
  <c r="CT539" i="5"/>
  <c r="CS539" i="5"/>
  <c r="CQ539" i="5"/>
  <c r="CQ538" i="5"/>
  <c r="CQ531" i="5"/>
  <c r="CQ530" i="5"/>
  <c r="CQ529" i="5"/>
  <c r="CQ528" i="5"/>
  <c r="CT526" i="5"/>
  <c r="CS526" i="5"/>
  <c r="CQ526" i="5"/>
  <c r="CT525" i="5"/>
  <c r="CS525" i="5"/>
  <c r="CQ525" i="5"/>
  <c r="CQ524" i="5"/>
  <c r="CQ517" i="5"/>
  <c r="CQ516" i="5"/>
  <c r="CQ515" i="5"/>
  <c r="CQ514" i="5"/>
  <c r="CT512" i="5"/>
  <c r="CS512" i="5"/>
  <c r="CR512" i="5"/>
  <c r="CQ512" i="5"/>
  <c r="CT511" i="5"/>
  <c r="CS511" i="5"/>
  <c r="CR511" i="5"/>
  <c r="CQ511" i="5"/>
  <c r="CT510" i="5"/>
  <c r="CS510" i="5"/>
  <c r="CR510" i="5"/>
  <c r="CQ510" i="5"/>
  <c r="CT509" i="5"/>
  <c r="CS509" i="5"/>
  <c r="CR509" i="5"/>
  <c r="CQ509" i="5"/>
  <c r="CT508" i="5"/>
  <c r="CS508" i="5"/>
  <c r="CR508" i="5"/>
  <c r="CQ508" i="5"/>
  <c r="CT507" i="5"/>
  <c r="CS507" i="5"/>
  <c r="CR507" i="5"/>
  <c r="CQ507" i="5"/>
  <c r="CT506" i="5"/>
  <c r="CS506" i="5"/>
  <c r="CR506" i="5"/>
  <c r="CQ506" i="5"/>
  <c r="CT505" i="5"/>
  <c r="CS505" i="5"/>
  <c r="CR505" i="5"/>
  <c r="CQ505" i="5"/>
  <c r="CT504" i="5"/>
  <c r="CS504" i="5"/>
  <c r="CR504" i="5"/>
  <c r="CQ504" i="5"/>
  <c r="CT503" i="5"/>
  <c r="CS503" i="5"/>
  <c r="CR503" i="5"/>
  <c r="CQ503" i="5"/>
  <c r="CT502" i="5"/>
  <c r="CS502" i="5"/>
  <c r="CR502" i="5"/>
  <c r="CQ502" i="5"/>
  <c r="CO502" i="5" a="1"/>
  <c r="CO502" i="5"/>
  <c r="CT501" i="5"/>
  <c r="CS501" i="5"/>
  <c r="CR501" i="5"/>
  <c r="CQ501" i="5"/>
  <c r="CO501" i="5" a="1"/>
  <c r="CO501" i="5"/>
  <c r="CT500" i="5"/>
  <c r="CS500" i="5"/>
  <c r="CR500" i="5"/>
  <c r="CQ500" i="5"/>
  <c r="CT499" i="5"/>
  <c r="CS499" i="5"/>
  <c r="CR499" i="5"/>
  <c r="CQ499" i="5"/>
  <c r="CT498" i="5"/>
  <c r="CS498" i="5"/>
  <c r="CR498" i="5"/>
  <c r="CQ498" i="5"/>
  <c r="CO498" i="5" a="1"/>
  <c r="CO498" i="5"/>
  <c r="CT497" i="5"/>
  <c r="CS497" i="5"/>
  <c r="CR497" i="5"/>
  <c r="CQ497" i="5"/>
  <c r="CO497" i="5" a="1"/>
  <c r="CO497" i="5"/>
  <c r="CT496" i="5"/>
  <c r="CS496" i="5"/>
  <c r="CR496" i="5"/>
  <c r="CQ496" i="5"/>
  <c r="CO496" i="5" a="1"/>
  <c r="CO496" i="5"/>
  <c r="CT495" i="5"/>
  <c r="CS495" i="5"/>
  <c r="CR495" i="5"/>
  <c r="CQ495" i="5"/>
  <c r="CO495" i="5" a="1"/>
  <c r="CO495" i="5"/>
  <c r="CT494" i="5"/>
  <c r="CS494" i="5"/>
  <c r="CR494" i="5"/>
  <c r="CQ494" i="5"/>
  <c r="CT493" i="5"/>
  <c r="CS493" i="5"/>
  <c r="CR493" i="5"/>
  <c r="CQ493" i="5"/>
  <c r="CO493" i="5" a="1"/>
  <c r="CO493" i="5"/>
  <c r="CT492" i="5"/>
  <c r="CS492" i="5"/>
  <c r="CR492" i="5"/>
  <c r="CQ492" i="5"/>
  <c r="CO492" i="5" a="1"/>
  <c r="CO492" i="5"/>
  <c r="CT491" i="5"/>
  <c r="CS491" i="5"/>
  <c r="CR491" i="5"/>
  <c r="CQ491" i="5"/>
  <c r="CT490" i="5"/>
  <c r="CS490" i="5"/>
  <c r="CR490" i="5"/>
  <c r="CQ490" i="5"/>
  <c r="CO490" i="5" a="1"/>
  <c r="CO490" i="5"/>
  <c r="CT489" i="5"/>
  <c r="CS489" i="5"/>
  <c r="CR489" i="5"/>
  <c r="CQ489" i="5"/>
  <c r="CO489" i="5" a="1"/>
  <c r="CO489" i="5"/>
  <c r="CT488" i="5"/>
  <c r="CS488" i="5"/>
  <c r="CR488" i="5"/>
  <c r="CQ488" i="5"/>
  <c r="CO488" i="5" a="1"/>
  <c r="CO488" i="5"/>
  <c r="CT487" i="5"/>
  <c r="CS487" i="5"/>
  <c r="CR487" i="5"/>
  <c r="CQ487" i="5"/>
  <c r="CO487" i="5" a="1"/>
  <c r="CO487" i="5"/>
  <c r="CT486" i="5"/>
  <c r="CS486" i="5"/>
  <c r="CR486" i="5"/>
  <c r="CQ486" i="5"/>
  <c r="CT485" i="5"/>
  <c r="CS485" i="5"/>
  <c r="CR485" i="5"/>
  <c r="CQ485" i="5"/>
  <c r="CO485" i="5" a="1"/>
  <c r="CO485" i="5"/>
  <c r="CT484" i="5"/>
  <c r="CS484" i="5"/>
  <c r="CR484" i="5"/>
  <c r="CQ484" i="5"/>
  <c r="CO484" i="5" a="1"/>
  <c r="CO484" i="5"/>
  <c r="CT483" i="5"/>
  <c r="CS483" i="5"/>
  <c r="CR483" i="5"/>
  <c r="CQ483" i="5"/>
  <c r="CO483" i="5" a="1"/>
  <c r="CO483" i="5"/>
  <c r="CT482" i="5"/>
  <c r="CS482" i="5"/>
  <c r="CR482" i="5"/>
  <c r="CQ482" i="5"/>
  <c r="CO482" i="5" a="1"/>
  <c r="CO482" i="5"/>
  <c r="CT481" i="5"/>
  <c r="CS481" i="5"/>
  <c r="CR481" i="5"/>
  <c r="CQ481" i="5"/>
  <c r="CO481" i="5" a="1"/>
  <c r="CO481" i="5"/>
  <c r="CT480" i="5"/>
  <c r="CS480" i="5"/>
  <c r="CR480" i="5"/>
  <c r="CQ480" i="5"/>
  <c r="CO480" i="5" a="1"/>
  <c r="CO480" i="5"/>
  <c r="CT479" i="5"/>
  <c r="CS479" i="5"/>
  <c r="CR479" i="5"/>
  <c r="CQ479" i="5"/>
  <c r="CO479" i="5" a="1"/>
  <c r="CO479" i="5"/>
  <c r="CT478" i="5"/>
  <c r="CS478" i="5"/>
  <c r="CR478" i="5"/>
  <c r="CQ478" i="5"/>
  <c r="CO478" i="5" a="1"/>
  <c r="CO478" i="5"/>
  <c r="CT477" i="5"/>
  <c r="CS477" i="5"/>
  <c r="CR477" i="5"/>
  <c r="CQ477" i="5"/>
  <c r="CO477" i="5" a="1"/>
  <c r="CO477" i="5"/>
  <c r="CT476" i="5"/>
  <c r="CS476" i="5"/>
  <c r="CR476" i="5"/>
  <c r="CQ476" i="5"/>
  <c r="CO476" i="5" a="1"/>
  <c r="CO476" i="5"/>
  <c r="CT475" i="5"/>
  <c r="CS475" i="5"/>
  <c r="CR475" i="5"/>
  <c r="CQ475" i="5"/>
  <c r="CO475" i="5" a="1"/>
  <c r="CO475" i="5"/>
  <c r="CT474" i="5"/>
  <c r="CS474" i="5"/>
  <c r="CR474" i="5"/>
  <c r="CQ474" i="5"/>
  <c r="CO474" i="5" a="1"/>
  <c r="CO474" i="5"/>
  <c r="CT473" i="5"/>
  <c r="CS473" i="5"/>
  <c r="CR473" i="5"/>
  <c r="CQ473" i="5"/>
  <c r="CO473" i="5" a="1"/>
  <c r="CO473" i="5"/>
  <c r="CT472" i="5"/>
  <c r="CS472" i="5"/>
  <c r="CR472" i="5"/>
  <c r="CQ472" i="5"/>
  <c r="CO472" i="5" a="1"/>
  <c r="CO472" i="5"/>
  <c r="CT471" i="5"/>
  <c r="CS471" i="5"/>
  <c r="CR471" i="5"/>
  <c r="CQ471" i="5"/>
  <c r="CO471" i="5" a="1"/>
  <c r="CO471" i="5"/>
  <c r="CT470" i="5"/>
  <c r="CS470" i="5"/>
  <c r="CR470" i="5"/>
  <c r="CQ470" i="5"/>
  <c r="CT469" i="5"/>
  <c r="CS469" i="5"/>
  <c r="CR469" i="5"/>
  <c r="CQ469" i="5"/>
  <c r="CO469" i="5" a="1"/>
  <c r="CO469" i="5"/>
  <c r="CT468" i="5"/>
  <c r="CS468" i="5"/>
  <c r="CR468" i="5"/>
  <c r="CQ468" i="5"/>
  <c r="CO468" i="5" a="1"/>
  <c r="CO468" i="5"/>
  <c r="CT467" i="5"/>
  <c r="CS467" i="5"/>
  <c r="CR467" i="5"/>
  <c r="CQ467" i="5"/>
  <c r="CT466" i="5"/>
  <c r="CS466" i="5"/>
  <c r="CR466" i="5"/>
  <c r="CQ466" i="5"/>
  <c r="CO466" i="5" a="1"/>
  <c r="CO466" i="5"/>
  <c r="CT465" i="5"/>
  <c r="CS465" i="5"/>
  <c r="CR465" i="5"/>
  <c r="CQ465" i="5"/>
  <c r="CO465" i="5" a="1"/>
  <c r="CO465" i="5"/>
  <c r="CT464" i="5"/>
  <c r="CS464" i="5"/>
  <c r="CR464" i="5"/>
  <c r="CQ464" i="5"/>
  <c r="CO464" i="5" a="1"/>
  <c r="CO464" i="5"/>
  <c r="CT463" i="5"/>
  <c r="CS463" i="5"/>
  <c r="CR463" i="5"/>
  <c r="CQ463" i="5"/>
  <c r="CO463" i="5" a="1"/>
  <c r="CO463" i="5"/>
  <c r="CT462" i="5"/>
  <c r="CS462" i="5"/>
  <c r="CR462" i="5"/>
  <c r="CQ462" i="5"/>
  <c r="CT461" i="5"/>
  <c r="CS461" i="5"/>
  <c r="CR461" i="5"/>
  <c r="CQ461" i="5"/>
  <c r="CO461" i="5" a="1"/>
  <c r="CO461" i="5"/>
  <c r="CT460" i="5"/>
  <c r="CS460" i="5"/>
  <c r="CR460" i="5"/>
  <c r="CQ460" i="5"/>
  <c r="CO460" i="5" a="1"/>
  <c r="CO460" i="5"/>
  <c r="CT459" i="5"/>
  <c r="CS459" i="5"/>
  <c r="CR459" i="5"/>
  <c r="CQ459" i="5"/>
  <c r="CT458" i="5"/>
  <c r="CS458" i="5"/>
  <c r="CR458" i="5"/>
  <c r="CQ458" i="5"/>
  <c r="CO458" i="5" a="1"/>
  <c r="CO458" i="5"/>
  <c r="CT457" i="5"/>
  <c r="CS457" i="5"/>
  <c r="CR457" i="5"/>
  <c r="CQ457" i="5"/>
  <c r="CO457" i="5" a="1"/>
  <c r="CO457" i="5"/>
  <c r="CT456" i="5"/>
  <c r="CS456" i="5"/>
  <c r="CQ456" i="5"/>
  <c r="CT455" i="5"/>
  <c r="CS455" i="5"/>
  <c r="CQ455" i="5"/>
  <c r="CQ454" i="5"/>
  <c r="CQ447" i="5"/>
  <c r="CQ446" i="5"/>
  <c r="CQ445" i="5"/>
  <c r="CQ444" i="5"/>
  <c r="CO443" i="5" a="1"/>
  <c r="CO443" i="5"/>
  <c r="CT442" i="5"/>
  <c r="CR442" i="5"/>
  <c r="CQ442" i="5"/>
  <c r="CO442" i="5" a="1"/>
  <c r="CO442" i="5"/>
  <c r="CT441" i="5"/>
  <c r="CS441" i="5"/>
  <c r="CR441" i="5"/>
  <c r="CQ441" i="5"/>
  <c r="CO441" i="5" a="1"/>
  <c r="CO441" i="5"/>
  <c r="CT440" i="5"/>
  <c r="CS440" i="5"/>
  <c r="CR440" i="5"/>
  <c r="CQ440" i="5"/>
  <c r="CO440" i="5" a="1"/>
  <c r="CO440" i="5"/>
  <c r="CT439" i="5"/>
  <c r="CS439" i="5"/>
  <c r="CR439" i="5"/>
  <c r="CQ439" i="5"/>
  <c r="CO439" i="5" a="1"/>
  <c r="CO439" i="5"/>
  <c r="CT438" i="5"/>
  <c r="CS438" i="5"/>
  <c r="CR438" i="5"/>
  <c r="CQ438" i="5"/>
  <c r="CO438" i="5" a="1"/>
  <c r="CO438" i="5"/>
  <c r="CT437" i="5"/>
  <c r="CS437" i="5"/>
  <c r="CR437" i="5"/>
  <c r="CQ437" i="5"/>
  <c r="CO437" i="5" a="1"/>
  <c r="CO437" i="5"/>
  <c r="CT436" i="5"/>
  <c r="CS436" i="5"/>
  <c r="CR436" i="5"/>
  <c r="CQ436" i="5"/>
  <c r="CO436" i="5" a="1"/>
  <c r="CO436" i="5"/>
  <c r="CT435" i="5"/>
  <c r="CS435" i="5"/>
  <c r="CR435" i="5"/>
  <c r="CQ435" i="5"/>
  <c r="CO435" i="5" a="1"/>
  <c r="CO435" i="5"/>
  <c r="CT434" i="5"/>
  <c r="CS434" i="5"/>
  <c r="CR434" i="5"/>
  <c r="CQ434" i="5"/>
  <c r="CO434" i="5" a="1"/>
  <c r="CO434" i="5"/>
  <c r="CT433" i="5"/>
  <c r="CS433" i="5"/>
  <c r="CR433" i="5"/>
  <c r="CQ433" i="5"/>
  <c r="CO433" i="5" a="1"/>
  <c r="CO433" i="5"/>
  <c r="CT432" i="5"/>
  <c r="CS432" i="5"/>
  <c r="CR432" i="5"/>
  <c r="CQ432" i="5"/>
  <c r="CO432" i="5" a="1"/>
  <c r="CO432" i="5"/>
  <c r="CT431" i="5"/>
  <c r="CS431" i="5"/>
  <c r="CR431" i="5"/>
  <c r="CQ431" i="5"/>
  <c r="CO431" i="5" a="1"/>
  <c r="CO431" i="5"/>
  <c r="CT430" i="5"/>
  <c r="CS430" i="5"/>
  <c r="CR430" i="5"/>
  <c r="CQ430" i="5"/>
  <c r="CO430" i="5" a="1"/>
  <c r="CO430" i="5"/>
  <c r="CT429" i="5"/>
  <c r="CS429" i="5"/>
  <c r="CR429" i="5"/>
  <c r="CQ429" i="5"/>
  <c r="CO429" i="5" a="1"/>
  <c r="CO429" i="5"/>
  <c r="CT428" i="5"/>
  <c r="CQ428" i="5"/>
  <c r="CT427" i="5"/>
  <c r="CS427" i="5"/>
  <c r="CQ427" i="5"/>
  <c r="CT426" i="5"/>
  <c r="CS426" i="5"/>
  <c r="CQ426" i="5"/>
  <c r="CT425" i="5"/>
  <c r="CS425" i="5"/>
  <c r="CQ425" i="5"/>
  <c r="CT424" i="5"/>
  <c r="CS424" i="5"/>
  <c r="CQ424" i="5"/>
  <c r="CT423" i="5"/>
  <c r="CS423" i="5"/>
  <c r="CQ423" i="5"/>
  <c r="CO423" i="5" a="1"/>
  <c r="CO423" i="5"/>
  <c r="CT422" i="5"/>
  <c r="CS422" i="5"/>
  <c r="CQ422" i="5"/>
  <c r="CT421" i="5"/>
  <c r="CS421" i="5"/>
  <c r="CQ421" i="5"/>
  <c r="CT420" i="5"/>
  <c r="CS420" i="5"/>
  <c r="CQ420" i="5"/>
  <c r="CT419" i="5"/>
  <c r="CS419" i="5"/>
  <c r="CQ419" i="5"/>
  <c r="CT418" i="5"/>
  <c r="CS418" i="5"/>
  <c r="CQ418" i="5"/>
  <c r="CT417" i="5"/>
  <c r="CS417" i="5"/>
  <c r="CQ417" i="5"/>
  <c r="CT416" i="5"/>
  <c r="CS416" i="5"/>
  <c r="CQ416" i="5"/>
  <c r="CT415" i="5"/>
  <c r="CS415" i="5"/>
  <c r="CQ415" i="5"/>
  <c r="CO415" i="5" a="1"/>
  <c r="CO415" i="5"/>
  <c r="CT414" i="5"/>
  <c r="CQ414" i="5"/>
  <c r="CT413" i="5"/>
  <c r="CS413" i="5"/>
  <c r="CQ413" i="5"/>
  <c r="CO413" i="5" a="1"/>
  <c r="CO413" i="5"/>
  <c r="CO412" i="5" a="1"/>
  <c r="CO412" i="5"/>
  <c r="CO411" i="5" a="1"/>
  <c r="CO411" i="5"/>
  <c r="CO408" i="5" a="1"/>
  <c r="CO408" i="5"/>
  <c r="CO407" i="5" a="1"/>
  <c r="CO407" i="5"/>
  <c r="CO406" i="5" a="1"/>
  <c r="CO406" i="5"/>
  <c r="CQ405" i="5"/>
  <c r="CO405" i="5" a="1"/>
  <c r="CO405" i="5"/>
  <c r="CQ404" i="5"/>
  <c r="CQ403" i="5"/>
  <c r="CO403" i="5" a="1"/>
  <c r="CO403" i="5"/>
  <c r="CQ402" i="5"/>
  <c r="CO402" i="5" a="1"/>
  <c r="CO402" i="5"/>
  <c r="CO401" i="5" a="1"/>
  <c r="CO401" i="5"/>
  <c r="CT400" i="5"/>
  <c r="CQ400" i="5"/>
  <c r="CT399" i="5"/>
  <c r="CS399" i="5"/>
  <c r="CQ399" i="5"/>
  <c r="CO392" i="5" a="1"/>
  <c r="CO392" i="5"/>
  <c r="CQ391" i="5"/>
  <c r="CQ390" i="5"/>
  <c r="CQ389" i="5"/>
  <c r="CQ388" i="5"/>
  <c r="CO388" i="5" a="1"/>
  <c r="CO388" i="5"/>
  <c r="CT386" i="5"/>
  <c r="CQ386" i="5"/>
  <c r="CO386" i="5" a="1"/>
  <c r="CO386" i="5"/>
  <c r="CT385" i="5"/>
  <c r="CS385" i="5"/>
  <c r="CQ385" i="5"/>
  <c r="CO385" i="5" a="1"/>
  <c r="CO385" i="5"/>
  <c r="CO384" i="5" a="1"/>
  <c r="CO384" i="5"/>
  <c r="CO383" i="5" a="1"/>
  <c r="CO383" i="5"/>
  <c r="CO382" i="5" a="1"/>
  <c r="CO382" i="5"/>
  <c r="CO381" i="5" a="1"/>
  <c r="CO381" i="5"/>
  <c r="CO378" i="5" a="1"/>
  <c r="CO378" i="5"/>
  <c r="CQ377" i="5"/>
  <c r="CO377" i="5" a="1"/>
  <c r="CO377" i="5"/>
  <c r="CQ376" i="5"/>
  <c r="CO376" i="5" a="1"/>
  <c r="CO376" i="5"/>
  <c r="CQ375" i="5"/>
  <c r="CQ374" i="5"/>
  <c r="CO374" i="5" a="1"/>
  <c r="CO374" i="5"/>
  <c r="CO373" i="5" a="1"/>
  <c r="CO373" i="5"/>
  <c r="CT372" i="5"/>
  <c r="CQ372" i="5"/>
  <c r="CT371" i="5"/>
  <c r="CS371" i="5"/>
  <c r="CQ371" i="5"/>
  <c r="CQ363" i="5"/>
  <c r="CQ362" i="5"/>
  <c r="CO362" i="5" a="1"/>
  <c r="CO362" i="5"/>
  <c r="CQ361" i="5"/>
  <c r="CQ360" i="5"/>
  <c r="CT358" i="5"/>
  <c r="CQ358" i="5"/>
  <c r="CT357" i="5"/>
  <c r="CS357" i="5"/>
  <c r="CQ357" i="5"/>
  <c r="CO357" i="5" a="1"/>
  <c r="CO357" i="5"/>
  <c r="CO356" i="5" a="1"/>
  <c r="CO356" i="5"/>
  <c r="CO355" i="5" a="1"/>
  <c r="CO355" i="5"/>
  <c r="CO352" i="5" a="1"/>
  <c r="CO352" i="5"/>
  <c r="CO351" i="5" a="1"/>
  <c r="CO351" i="5"/>
  <c r="CO350" i="5" a="1"/>
  <c r="CO350" i="5"/>
  <c r="CQ349" i="5"/>
  <c r="CO349" i="5" a="1"/>
  <c r="CO349" i="5"/>
  <c r="CQ348" i="5"/>
  <c r="CQ347" i="5"/>
  <c r="CO347" i="5" a="1"/>
  <c r="CO347" i="5"/>
  <c r="CQ346" i="5"/>
  <c r="CO346" i="5" a="1"/>
  <c r="CO346" i="5"/>
  <c r="CO345" i="5" a="1"/>
  <c r="CO345" i="5"/>
  <c r="CT344" i="5"/>
  <c r="CQ344" i="5"/>
  <c r="CO344" i="5" a="1"/>
  <c r="CO344" i="5"/>
  <c r="CT343" i="5"/>
  <c r="CS343" i="5"/>
  <c r="CQ343" i="5"/>
  <c r="CO343" i="5" a="1"/>
  <c r="CO343" i="5"/>
  <c r="CO342" i="5" a="1"/>
  <c r="CO342" i="5"/>
  <c r="CO341" i="5" a="1"/>
  <c r="CO341" i="5"/>
  <c r="CO340" i="5" a="1"/>
  <c r="CO340" i="5"/>
  <c r="CO339" i="5" a="1"/>
  <c r="CO339" i="5"/>
  <c r="CO338" i="5" a="1"/>
  <c r="CO338" i="5"/>
  <c r="CO337" i="5" a="1"/>
  <c r="CO337" i="5"/>
  <c r="CO336" i="5" a="1"/>
  <c r="CO336" i="5"/>
  <c r="CQ335" i="5"/>
  <c r="CO335" i="5" a="1"/>
  <c r="CO335" i="5"/>
  <c r="CQ334" i="5"/>
  <c r="CO334" i="5" a="1"/>
  <c r="CO334" i="5"/>
  <c r="CQ333" i="5"/>
  <c r="CO333" i="5" a="1"/>
  <c r="CO333" i="5"/>
  <c r="CQ332" i="5"/>
  <c r="CO332" i="5" a="1"/>
  <c r="CO332" i="5"/>
  <c r="CO331" i="5" a="1"/>
  <c r="CO331" i="5"/>
  <c r="CT330" i="5"/>
  <c r="CQ330" i="5"/>
  <c r="CT329" i="5"/>
  <c r="CS329" i="5"/>
  <c r="CQ329" i="5"/>
  <c r="CO329" i="5" a="1"/>
  <c r="CO329" i="5"/>
  <c r="CO328" i="5" a="1"/>
  <c r="CO328" i="5"/>
  <c r="CO327" i="5" a="1"/>
  <c r="CO327" i="5"/>
  <c r="CO326" i="5" a="1"/>
  <c r="CO326" i="5"/>
  <c r="CO323" i="5" a="1"/>
  <c r="CO323" i="5"/>
  <c r="CO322" i="5" a="1"/>
  <c r="CO322" i="5"/>
  <c r="CQ321" i="5"/>
  <c r="CO321" i="5" a="1"/>
  <c r="CO321" i="5"/>
  <c r="CQ320" i="5"/>
  <c r="CO320" i="5" a="1"/>
  <c r="CO320" i="5"/>
  <c r="CQ319" i="5"/>
  <c r="CQ318" i="5"/>
  <c r="CO318" i="5" a="1"/>
  <c r="CO318" i="5"/>
  <c r="CO317" i="5" a="1"/>
  <c r="CO317" i="5"/>
  <c r="CT316" i="5"/>
  <c r="CQ316" i="5"/>
  <c r="CO316" i="5" a="1"/>
  <c r="CO316" i="5"/>
  <c r="CT315" i="5"/>
  <c r="CS315" i="5"/>
  <c r="CQ315" i="5"/>
  <c r="CO315" i="5" a="1"/>
  <c r="CO315" i="5"/>
  <c r="CT314" i="5"/>
  <c r="CS314" i="5"/>
  <c r="CQ314" i="5"/>
  <c r="CO314" i="5" a="1"/>
  <c r="CO314" i="5"/>
  <c r="CT313" i="5"/>
  <c r="CS313" i="5"/>
  <c r="CQ313" i="5"/>
  <c r="CO313" i="5" a="1"/>
  <c r="CO313" i="5"/>
  <c r="CT312" i="5"/>
  <c r="CS312" i="5"/>
  <c r="CQ312" i="5"/>
  <c r="CO312" i="5" a="1"/>
  <c r="CO312" i="5"/>
  <c r="CT311" i="5"/>
  <c r="CS311" i="5"/>
  <c r="CQ311" i="5"/>
  <c r="CO311" i="5" a="1"/>
  <c r="CO311" i="5"/>
  <c r="CT310" i="5"/>
  <c r="CS310" i="5"/>
  <c r="CQ310" i="5"/>
  <c r="CO310" i="5" a="1"/>
  <c r="CO310" i="5"/>
  <c r="CT309" i="5"/>
  <c r="CS309" i="5"/>
  <c r="CQ309" i="5"/>
  <c r="CO309" i="5" a="1"/>
  <c r="CO309" i="5"/>
  <c r="CT308" i="5"/>
  <c r="CS308" i="5"/>
  <c r="CQ308" i="5"/>
  <c r="CO308" i="5" a="1"/>
  <c r="CO308" i="5"/>
  <c r="CT307" i="5"/>
  <c r="CS307" i="5"/>
  <c r="CQ307" i="5"/>
  <c r="CO307" i="5" a="1"/>
  <c r="CO307" i="5"/>
  <c r="CT306" i="5"/>
  <c r="CS306" i="5"/>
  <c r="CQ306" i="5"/>
  <c r="CO306" i="5" a="1"/>
  <c r="CO306" i="5"/>
  <c r="CT305" i="5"/>
  <c r="CS305" i="5"/>
  <c r="CQ305" i="5"/>
  <c r="CO305" i="5" a="1"/>
  <c r="CO305" i="5"/>
  <c r="CT304" i="5"/>
  <c r="CS304" i="5"/>
  <c r="CQ304" i="5"/>
  <c r="CO304" i="5" a="1"/>
  <c r="CO304" i="5"/>
  <c r="CT303" i="5"/>
  <c r="CS303" i="5"/>
  <c r="CQ303" i="5"/>
  <c r="CO303" i="5" a="1"/>
  <c r="CO303" i="5"/>
  <c r="CT302" i="5"/>
  <c r="CQ302" i="5"/>
  <c r="CO302" i="5" a="1"/>
  <c r="CO302" i="5"/>
  <c r="CT301" i="5"/>
  <c r="CS301" i="5"/>
  <c r="CQ301" i="5"/>
  <c r="CO301" i="5" a="1"/>
  <c r="CO301" i="5"/>
  <c r="CT300" i="5"/>
  <c r="CS300" i="5"/>
  <c r="CQ300" i="5"/>
  <c r="CO300" i="5" a="1"/>
  <c r="CO300" i="5"/>
  <c r="CT299" i="5"/>
  <c r="CS299" i="5"/>
  <c r="CQ299" i="5"/>
  <c r="CO299" i="5" a="1"/>
  <c r="CO299" i="5"/>
  <c r="CT298" i="5"/>
  <c r="CS298" i="5"/>
  <c r="CQ298" i="5"/>
  <c r="CO298" i="5" a="1"/>
  <c r="CO298" i="5"/>
  <c r="CT297" i="5"/>
  <c r="CS297" i="5"/>
  <c r="CQ297" i="5"/>
  <c r="CO297" i="5" a="1"/>
  <c r="CO297" i="5"/>
  <c r="CT296" i="5"/>
  <c r="CS296" i="5"/>
  <c r="CQ296" i="5"/>
  <c r="CO296" i="5" a="1"/>
  <c r="CO296" i="5"/>
  <c r="CT295" i="5"/>
  <c r="CS295" i="5"/>
  <c r="CQ295" i="5"/>
  <c r="CO295" i="5" a="1"/>
  <c r="CO295" i="5"/>
  <c r="CT294" i="5"/>
  <c r="CS294" i="5"/>
  <c r="CQ294" i="5"/>
  <c r="CO294" i="5" a="1"/>
  <c r="CO294" i="5"/>
  <c r="CT293" i="5"/>
  <c r="CS293" i="5"/>
  <c r="CQ293" i="5"/>
  <c r="CO293" i="5" a="1"/>
  <c r="CO293" i="5"/>
  <c r="CT292" i="5"/>
  <c r="CS292" i="5"/>
  <c r="CQ292" i="5"/>
  <c r="CO292" i="5" a="1"/>
  <c r="CO292" i="5"/>
  <c r="CT291" i="5"/>
  <c r="CS291" i="5"/>
  <c r="CQ291" i="5"/>
  <c r="CO291" i="5" a="1"/>
  <c r="CO291" i="5"/>
  <c r="CT290" i="5"/>
  <c r="CS290" i="5"/>
  <c r="CQ290" i="5"/>
  <c r="CO290" i="5" a="1"/>
  <c r="CO290" i="5"/>
  <c r="CT289" i="5"/>
  <c r="CS289" i="5"/>
  <c r="CQ289" i="5"/>
  <c r="CO289" i="5" a="1"/>
  <c r="CO289" i="5"/>
  <c r="CT288" i="5"/>
  <c r="CQ288" i="5"/>
  <c r="CO288" i="5" a="1"/>
  <c r="CO288" i="5"/>
  <c r="CT287" i="5"/>
  <c r="CS287" i="5"/>
  <c r="CQ287" i="5"/>
  <c r="CO287" i="5" a="1"/>
  <c r="CO287" i="5"/>
  <c r="CT286" i="5"/>
  <c r="CS286" i="5"/>
  <c r="CQ286" i="5"/>
  <c r="CO286" i="5" a="1"/>
  <c r="CO286" i="5"/>
  <c r="CT285" i="5"/>
  <c r="CS285" i="5"/>
  <c r="CQ285" i="5"/>
  <c r="CO285" i="5" a="1"/>
  <c r="CO285" i="5"/>
  <c r="CT284" i="5"/>
  <c r="CS284" i="5"/>
  <c r="CQ284" i="5"/>
  <c r="CO284" i="5" a="1"/>
  <c r="CO284" i="5"/>
  <c r="CT283" i="5"/>
  <c r="CS283" i="5"/>
  <c r="CQ283" i="5"/>
  <c r="CO283" i="5" a="1"/>
  <c r="CO283" i="5"/>
  <c r="CT282" i="5"/>
  <c r="CS282" i="5"/>
  <c r="CQ282" i="5"/>
  <c r="CO282" i="5" a="1"/>
  <c r="CO282" i="5"/>
  <c r="CT281" i="5"/>
  <c r="CS281" i="5"/>
  <c r="CQ281" i="5"/>
  <c r="CO281" i="5" a="1"/>
  <c r="CO281" i="5"/>
  <c r="CT280" i="5"/>
  <c r="CS280" i="5"/>
  <c r="CQ280" i="5"/>
  <c r="CO280" i="5" a="1"/>
  <c r="CO280" i="5"/>
  <c r="CT279" i="5"/>
  <c r="CS279" i="5"/>
  <c r="CQ279" i="5"/>
  <c r="CO279" i="5" a="1"/>
  <c r="CO279" i="5"/>
  <c r="CT278" i="5"/>
  <c r="CS278" i="5"/>
  <c r="CQ278" i="5"/>
  <c r="CO278" i="5" a="1"/>
  <c r="CO278" i="5"/>
  <c r="CT277" i="5"/>
  <c r="CS277" i="5"/>
  <c r="CQ277" i="5"/>
  <c r="CO277" i="5" a="1"/>
  <c r="CO277" i="5"/>
  <c r="CT276" i="5"/>
  <c r="CS276" i="5"/>
  <c r="CQ276" i="5"/>
  <c r="CO276" i="5" a="1"/>
  <c r="CO276" i="5"/>
  <c r="CT275" i="5"/>
  <c r="CS275" i="5"/>
  <c r="CQ275" i="5"/>
  <c r="CO275" i="5" a="1"/>
  <c r="CO275" i="5"/>
  <c r="CT274" i="5"/>
  <c r="CQ274" i="5"/>
  <c r="CO274" i="5" a="1"/>
  <c r="CO274" i="5"/>
  <c r="CT273" i="5"/>
  <c r="CS273" i="5"/>
  <c r="CQ273" i="5"/>
  <c r="CT272" i="5"/>
  <c r="CS272" i="5"/>
  <c r="CQ272" i="5"/>
  <c r="CO272" i="5" a="1"/>
  <c r="CO272" i="5"/>
  <c r="CT271" i="5"/>
  <c r="CS271" i="5"/>
  <c r="CQ271" i="5"/>
  <c r="CT270" i="5"/>
  <c r="CS270" i="5"/>
  <c r="CQ270" i="5"/>
  <c r="CO270" i="5" a="1"/>
  <c r="CO270" i="5"/>
  <c r="CT269" i="5"/>
  <c r="CS269" i="5"/>
  <c r="CQ269" i="5"/>
  <c r="CT268" i="5"/>
  <c r="CS268" i="5"/>
  <c r="CQ268" i="5"/>
  <c r="CO268" i="5" a="1"/>
  <c r="CO268" i="5"/>
  <c r="CT267" i="5"/>
  <c r="CS267" i="5"/>
  <c r="CQ267" i="5"/>
  <c r="CT266" i="5"/>
  <c r="CS266" i="5"/>
  <c r="CQ266" i="5"/>
  <c r="CO266" i="5" a="1"/>
  <c r="CO266" i="5"/>
  <c r="CT265" i="5"/>
  <c r="CS265" i="5"/>
  <c r="CQ265" i="5"/>
  <c r="CT264" i="5"/>
  <c r="CS264" i="5"/>
  <c r="CQ264" i="5"/>
  <c r="CO264" i="5" a="1"/>
  <c r="CO264" i="5"/>
  <c r="CT263" i="5"/>
  <c r="CS263" i="5"/>
  <c r="CQ263" i="5"/>
  <c r="CT262" i="5"/>
  <c r="CS262" i="5"/>
  <c r="CQ262" i="5"/>
  <c r="CO262" i="5" a="1"/>
  <c r="CO262" i="5"/>
  <c r="CT261" i="5"/>
  <c r="CS261" i="5"/>
  <c r="CQ261" i="5"/>
  <c r="CT260" i="5"/>
  <c r="CQ260" i="5"/>
  <c r="CT259" i="5"/>
  <c r="CS259" i="5"/>
  <c r="CQ259" i="5"/>
  <c r="CO252" i="5" a="1"/>
  <c r="CO252" i="5"/>
  <c r="CQ251" i="5"/>
  <c r="CQ250" i="5"/>
  <c r="CQ249" i="5"/>
  <c r="CQ248" i="5"/>
  <c r="CO248" i="5" a="1"/>
  <c r="CO248" i="5"/>
  <c r="CT246" i="5"/>
  <c r="CR246" i="5"/>
  <c r="CQ246" i="5"/>
  <c r="CO246" i="5" a="1"/>
  <c r="CO246" i="5"/>
  <c r="CT245" i="5"/>
  <c r="CS245" i="5"/>
  <c r="CR245" i="5"/>
  <c r="CQ245" i="5"/>
  <c r="CO245" i="5" a="1"/>
  <c r="CO245" i="5"/>
  <c r="CT244" i="5"/>
  <c r="CS244" i="5"/>
  <c r="CR244" i="5"/>
  <c r="CQ244" i="5"/>
  <c r="CO244" i="5" a="1"/>
  <c r="CO244" i="5"/>
  <c r="CT243" i="5"/>
  <c r="CS243" i="5"/>
  <c r="CR243" i="5"/>
  <c r="CQ243" i="5"/>
  <c r="CO243" i="5" a="1"/>
  <c r="CO243" i="5"/>
  <c r="CT242" i="5"/>
  <c r="CS242" i="5"/>
  <c r="CR242" i="5"/>
  <c r="CQ242" i="5"/>
  <c r="CO242" i="5" a="1"/>
  <c r="CO242" i="5"/>
  <c r="CT241" i="5"/>
  <c r="CS241" i="5"/>
  <c r="CR241" i="5"/>
  <c r="CQ241" i="5"/>
  <c r="CO241" i="5" a="1"/>
  <c r="CO241" i="5"/>
  <c r="CT240" i="5"/>
  <c r="CS240" i="5"/>
  <c r="CR240" i="5"/>
  <c r="CQ240" i="5"/>
  <c r="CO240" i="5" a="1"/>
  <c r="CO240" i="5"/>
  <c r="CT239" i="5"/>
  <c r="CS239" i="5"/>
  <c r="CR239" i="5"/>
  <c r="CQ239" i="5"/>
  <c r="CO239" i="5" a="1"/>
  <c r="CO239" i="5"/>
  <c r="CT238" i="5"/>
  <c r="CS238" i="5"/>
  <c r="CR238" i="5"/>
  <c r="CQ238" i="5"/>
  <c r="CO238" i="5" a="1"/>
  <c r="CO238" i="5"/>
  <c r="CT237" i="5"/>
  <c r="CS237" i="5"/>
  <c r="CR237" i="5"/>
  <c r="CQ237" i="5"/>
  <c r="CO237" i="5" a="1"/>
  <c r="CO237" i="5"/>
  <c r="CT236" i="5"/>
  <c r="CS236" i="5"/>
  <c r="CR236" i="5"/>
  <c r="CQ236" i="5"/>
  <c r="CO236" i="5" a="1"/>
  <c r="CO236" i="5"/>
  <c r="CT235" i="5"/>
  <c r="CS235" i="5"/>
  <c r="CR235" i="5"/>
  <c r="CQ235" i="5"/>
  <c r="CO235" i="5" a="1"/>
  <c r="CO235" i="5"/>
  <c r="CT234" i="5"/>
  <c r="CS234" i="5"/>
  <c r="CR234" i="5"/>
  <c r="CQ234" i="5"/>
  <c r="CO234" i="5" a="1"/>
  <c r="CO234" i="5"/>
  <c r="CT233" i="5"/>
  <c r="CS233" i="5"/>
  <c r="CR233" i="5"/>
  <c r="CQ233" i="5"/>
  <c r="CO233" i="5" a="1"/>
  <c r="CO233" i="5"/>
  <c r="CT232" i="5"/>
  <c r="CQ232" i="5"/>
  <c r="CT231" i="5"/>
  <c r="CS231" i="5"/>
  <c r="CQ231" i="5"/>
  <c r="CT230" i="5"/>
  <c r="CS230" i="5"/>
  <c r="CQ230" i="5"/>
  <c r="CT229" i="5"/>
  <c r="CS229" i="5"/>
  <c r="CQ229" i="5"/>
  <c r="CT228" i="5"/>
  <c r="CS228" i="5"/>
  <c r="CQ228" i="5"/>
  <c r="CT227" i="5"/>
  <c r="CS227" i="5"/>
  <c r="CQ227" i="5"/>
  <c r="CO227" i="5" a="1"/>
  <c r="CO227" i="5"/>
  <c r="CT226" i="5"/>
  <c r="CS226" i="5"/>
  <c r="CQ226" i="5"/>
  <c r="CT225" i="5"/>
  <c r="CS225" i="5"/>
  <c r="CQ225" i="5"/>
  <c r="CT224" i="5"/>
  <c r="CS224" i="5"/>
  <c r="CQ224" i="5"/>
  <c r="CT223" i="5"/>
  <c r="CS223" i="5"/>
  <c r="CQ223" i="5"/>
  <c r="CT222" i="5"/>
  <c r="CS222" i="5"/>
  <c r="CQ222" i="5"/>
  <c r="CT221" i="5"/>
  <c r="CS221" i="5"/>
  <c r="CQ221" i="5"/>
  <c r="CT220" i="5"/>
  <c r="CS220" i="5"/>
  <c r="CQ220" i="5"/>
  <c r="CT219" i="5"/>
  <c r="CS219" i="5"/>
  <c r="CQ219" i="5"/>
  <c r="CO219" i="5" a="1"/>
  <c r="CO219" i="5"/>
  <c r="CT218" i="5"/>
  <c r="CQ218" i="5"/>
  <c r="CO218" i="5" a="1"/>
  <c r="CO218" i="5"/>
  <c r="CT217" i="5"/>
  <c r="CS217" i="5"/>
  <c r="CQ217" i="5"/>
  <c r="CO217" i="5" a="1"/>
  <c r="CO217" i="5"/>
  <c r="CQ216" i="5"/>
  <c r="CO216" i="5" a="1"/>
  <c r="CO216" i="5"/>
  <c r="CQ215" i="5"/>
  <c r="CO215" i="5" a="1"/>
  <c r="CO215" i="5"/>
  <c r="CQ214" i="5"/>
  <c r="CO213" i="5" a="1"/>
  <c r="CO213" i="5"/>
  <c r="CO212" i="5" a="1"/>
  <c r="CO212" i="5"/>
  <c r="CO211" i="5" a="1"/>
  <c r="CO211" i="5"/>
  <c r="CO210" i="5" a="1"/>
  <c r="CO210" i="5"/>
  <c r="CO209" i="5" a="1"/>
  <c r="CO209" i="5"/>
  <c r="CO208" i="5" a="1"/>
  <c r="CO208" i="5"/>
  <c r="CQ205" i="5"/>
  <c r="CO205" i="5" a="1"/>
  <c r="CO205" i="5"/>
  <c r="CT204" i="5"/>
  <c r="CQ204" i="5"/>
  <c r="CT203" i="5"/>
  <c r="CS203" i="5"/>
  <c r="CQ203" i="5"/>
  <c r="CQ202" i="5"/>
  <c r="CQ201" i="5"/>
  <c r="CQ200" i="5"/>
  <c r="CO197" i="5" a="1"/>
  <c r="CO197" i="5"/>
  <c r="CQ191" i="5"/>
  <c r="CM191" i="5" a="1"/>
  <c r="CM191" i="5"/>
  <c r="CT190" i="5"/>
  <c r="CQ190" i="5"/>
  <c r="CO190" i="5" a="1"/>
  <c r="CO190" i="5"/>
  <c r="CT189" i="5"/>
  <c r="CS189" i="5"/>
  <c r="CQ189" i="5"/>
  <c r="CO189" i="5" a="1"/>
  <c r="CO189" i="5"/>
  <c r="CQ188" i="5"/>
  <c r="CO188" i="5" a="1"/>
  <c r="CO188" i="5"/>
  <c r="CQ187" i="5"/>
  <c r="CO187" i="5" a="1"/>
  <c r="CO187" i="5"/>
  <c r="CQ186" i="5"/>
  <c r="CO184" i="5" a="1"/>
  <c r="CO184" i="5"/>
  <c r="CO183" i="5" a="1"/>
  <c r="CO183" i="5"/>
  <c r="CO182" i="5" a="1"/>
  <c r="CO182" i="5"/>
  <c r="CO181" i="5" a="1"/>
  <c r="CO181" i="5"/>
  <c r="CO180" i="5" a="1"/>
  <c r="CO180" i="5"/>
  <c r="CO179" i="5" a="1"/>
  <c r="CO179" i="5"/>
  <c r="CQ177" i="5"/>
  <c r="CO177" i="5" a="1"/>
  <c r="CO177" i="5"/>
  <c r="CT176" i="5"/>
  <c r="CQ176" i="5"/>
  <c r="CT175" i="5"/>
  <c r="CS175" i="5"/>
  <c r="CQ175" i="5"/>
  <c r="CQ174" i="5"/>
  <c r="CQ173" i="5"/>
  <c r="CQ172" i="5"/>
  <c r="CO168" i="5" a="1"/>
  <c r="CO168" i="5"/>
  <c r="CQ163" i="5"/>
  <c r="CT162" i="5"/>
  <c r="CQ162" i="5"/>
  <c r="CT161" i="5"/>
  <c r="CS161" i="5"/>
  <c r="CQ161" i="5"/>
  <c r="CO161" i="5" a="1"/>
  <c r="CO161" i="5"/>
  <c r="CQ160" i="5"/>
  <c r="CO160" i="5" a="1"/>
  <c r="CO160" i="5"/>
  <c r="CQ159" i="5"/>
  <c r="CQ158" i="5"/>
  <c r="CO158" i="5" a="1"/>
  <c r="CO158" i="5"/>
  <c r="CO157" i="5" a="1"/>
  <c r="CO157" i="5"/>
  <c r="CO156" i="5" a="1"/>
  <c r="CO156" i="5"/>
  <c r="CO155" i="5" a="1"/>
  <c r="CO155" i="5"/>
  <c r="CO154" i="5" a="1"/>
  <c r="CO154" i="5"/>
  <c r="CO153" i="5" a="1"/>
  <c r="CO153" i="5"/>
  <c r="CO150" i="5" a="1"/>
  <c r="CO150" i="5"/>
  <c r="CQ149" i="5"/>
  <c r="CO149" i="5" a="1"/>
  <c r="CO149" i="5"/>
  <c r="CT148" i="5"/>
  <c r="CQ148" i="5"/>
  <c r="CO148" i="5" a="1"/>
  <c r="CO148" i="5"/>
  <c r="CT147" i="5"/>
  <c r="CS147" i="5"/>
  <c r="CQ147" i="5"/>
  <c r="CO147" i="5" a="1"/>
  <c r="CO147" i="5"/>
  <c r="CQ146" i="5"/>
  <c r="CO146" i="5" a="1"/>
  <c r="CO146" i="5"/>
  <c r="CQ145" i="5"/>
  <c r="CO145" i="5" a="1"/>
  <c r="CO145" i="5"/>
  <c r="CQ144" i="5"/>
  <c r="CO144" i="5" a="1"/>
  <c r="CO144" i="5"/>
  <c r="CO143" i="5" a="1"/>
  <c r="CO143" i="5"/>
  <c r="CO142" i="5" a="1"/>
  <c r="CO142" i="5"/>
  <c r="CO141" i="5" a="1"/>
  <c r="CO141" i="5"/>
  <c r="CO140" i="5" a="1"/>
  <c r="CO140" i="5"/>
  <c r="CO139" i="5" a="1"/>
  <c r="CO139" i="5"/>
  <c r="CO138" i="5" a="1"/>
  <c r="CO138" i="5"/>
  <c r="X138" i="5"/>
  <c r="CO137" i="5" a="1"/>
  <c r="CO137" i="5"/>
  <c r="CO136" i="5" a="1"/>
  <c r="CO136" i="5"/>
  <c r="X136" i="5"/>
  <c r="CQ135" i="5"/>
  <c r="CO135" i="5" a="1"/>
  <c r="CO135" i="5"/>
  <c r="CT134" i="5"/>
  <c r="CQ134" i="5"/>
  <c r="CO134" i="5" a="1"/>
  <c r="CO134" i="5"/>
  <c r="CT133" i="5"/>
  <c r="CS133" i="5"/>
  <c r="CQ133" i="5"/>
  <c r="CO133" i="5" a="1"/>
  <c r="CO133" i="5"/>
  <c r="CQ132" i="5"/>
  <c r="CQ131" i="5"/>
  <c r="CO131" i="5" a="1"/>
  <c r="CO131" i="5"/>
  <c r="CQ130" i="5"/>
  <c r="CO130" i="5" a="1"/>
  <c r="CO130" i="5"/>
  <c r="CO129" i="5" a="1"/>
  <c r="CO129" i="5"/>
  <c r="CO128" i="5" a="1"/>
  <c r="CO128" i="5"/>
  <c r="CO127" i="5" a="1"/>
  <c r="CO127" i="5"/>
  <c r="CO124" i="5" a="1"/>
  <c r="CO124" i="5"/>
  <c r="CO123" i="5" a="1"/>
  <c r="CO123" i="5"/>
  <c r="CO122" i="5" a="1"/>
  <c r="CO122" i="5"/>
  <c r="CQ121" i="5"/>
  <c r="CO121" i="5" a="1"/>
  <c r="CO121" i="5"/>
  <c r="CT120" i="5"/>
  <c r="CR120" i="5"/>
  <c r="CQ120" i="5"/>
  <c r="CO120" i="5" a="1"/>
  <c r="CO120" i="5"/>
  <c r="CT119" i="5"/>
  <c r="CS119" i="5"/>
  <c r="CR119" i="5"/>
  <c r="CQ119" i="5"/>
  <c r="CO119" i="5" a="1"/>
  <c r="CO119" i="5"/>
  <c r="CQ658" i="5"/>
  <c r="EM15" i="5"/>
  <c r="CQ656" i="5"/>
  <c r="EM13" i="5"/>
  <c r="CQ654" i="5"/>
  <c r="EM11" i="5"/>
  <c r="CT118" i="5"/>
  <c r="CS118" i="5"/>
  <c r="CR118" i="5"/>
  <c r="CQ118" i="5"/>
  <c r="CO118" i="5" a="1"/>
  <c r="CO118" i="5"/>
  <c r="CT117" i="5"/>
  <c r="CS117" i="5"/>
  <c r="CR117" i="5"/>
  <c r="CQ117" i="5"/>
  <c r="CO117" i="5" a="1"/>
  <c r="CO117" i="5"/>
  <c r="CT116" i="5"/>
  <c r="CS116" i="5"/>
  <c r="CR116" i="5"/>
  <c r="CQ116" i="5"/>
  <c r="CO116" i="5" a="1"/>
  <c r="CO116" i="5"/>
  <c r="CT115" i="5"/>
  <c r="CS115" i="5"/>
  <c r="CR115" i="5"/>
  <c r="CQ115" i="5"/>
  <c r="CO115" i="5" a="1"/>
  <c r="CO115" i="5"/>
  <c r="CT114" i="5"/>
  <c r="CS114" i="5"/>
  <c r="CR114" i="5"/>
  <c r="CQ114" i="5"/>
  <c r="CQ657" i="5"/>
  <c r="EM14" i="5"/>
  <c r="CQ655" i="5"/>
  <c r="EM12" i="5"/>
  <c r="CQ653" i="5"/>
  <c r="EM10" i="5"/>
  <c r="CT113" i="5"/>
  <c r="CS113" i="5"/>
  <c r="CR113" i="5"/>
  <c r="CQ113" i="5"/>
  <c r="CO113" i="5" a="1"/>
  <c r="CO113" i="5"/>
  <c r="CT112" i="5"/>
  <c r="CS112" i="5"/>
  <c r="CR112" i="5"/>
  <c r="CQ112" i="5"/>
  <c r="CO112" i="5" a="1"/>
  <c r="CO112" i="5"/>
  <c r="CT111" i="5"/>
  <c r="CS111" i="5"/>
  <c r="CR111" i="5"/>
  <c r="CQ111" i="5"/>
  <c r="CT110" i="5"/>
  <c r="CS110" i="5"/>
  <c r="CR110" i="5"/>
  <c r="CQ110" i="5"/>
  <c r="CO110" i="5" a="1"/>
  <c r="CO110" i="5"/>
  <c r="CT109" i="5"/>
  <c r="CS109" i="5"/>
  <c r="CR109" i="5"/>
  <c r="CQ109" i="5"/>
  <c r="CO109" i="5" a="1"/>
  <c r="CO109" i="5"/>
  <c r="CT108" i="5"/>
  <c r="CS108" i="5"/>
  <c r="CR108" i="5"/>
  <c r="CQ108" i="5"/>
  <c r="CT107" i="5"/>
  <c r="CS107" i="5"/>
  <c r="CR107" i="5"/>
  <c r="CQ107" i="5"/>
  <c r="CO107" i="5" a="1"/>
  <c r="CO107" i="5"/>
  <c r="CT106" i="5"/>
  <c r="CR106" i="5"/>
  <c r="CQ106" i="5"/>
  <c r="CT105" i="5"/>
  <c r="CS105" i="5"/>
  <c r="CR105" i="5"/>
  <c r="CQ105" i="5"/>
  <c r="CO105" i="5" a="1"/>
  <c r="CO105" i="5"/>
  <c r="CT104" i="5"/>
  <c r="CS104" i="5"/>
  <c r="CR104" i="5"/>
  <c r="CQ104" i="5"/>
  <c r="CO104" i="5" a="1"/>
  <c r="CO104" i="5"/>
  <c r="CT103" i="5"/>
  <c r="CS103" i="5"/>
  <c r="CR103" i="5"/>
  <c r="CQ103" i="5"/>
  <c r="CT102" i="5"/>
  <c r="CS102" i="5"/>
  <c r="CR102" i="5"/>
  <c r="CQ102" i="5"/>
  <c r="CO102" i="5" a="1"/>
  <c r="CO102" i="5"/>
  <c r="CT101" i="5"/>
  <c r="CS101" i="5"/>
  <c r="CR101" i="5"/>
  <c r="CQ101" i="5"/>
  <c r="CO101" i="5" a="1"/>
  <c r="CO101" i="5"/>
  <c r="CT100" i="5"/>
  <c r="CS100" i="5"/>
  <c r="CR100" i="5"/>
  <c r="CQ100" i="5"/>
  <c r="CO100" i="5" a="1"/>
  <c r="CO100" i="5"/>
  <c r="CT99" i="5"/>
  <c r="CS99" i="5"/>
  <c r="CR99" i="5"/>
  <c r="CQ99" i="5"/>
  <c r="CO99" i="5" a="1"/>
  <c r="CO99" i="5"/>
  <c r="CT98" i="5"/>
  <c r="CS98" i="5"/>
  <c r="CR98" i="5"/>
  <c r="CQ98" i="5"/>
  <c r="CT97" i="5"/>
  <c r="CS97" i="5"/>
  <c r="CR97" i="5"/>
  <c r="CQ97" i="5"/>
  <c r="CO97" i="5" a="1"/>
  <c r="CO97" i="5"/>
  <c r="CT96" i="5"/>
  <c r="CS96" i="5"/>
  <c r="CR96" i="5"/>
  <c r="CQ96" i="5"/>
  <c r="CO96" i="5" a="1"/>
  <c r="CO96" i="5"/>
  <c r="CT95" i="5"/>
  <c r="CS95" i="5"/>
  <c r="CR95" i="5"/>
  <c r="CQ95" i="5"/>
  <c r="CT94" i="5"/>
  <c r="CS94" i="5"/>
  <c r="CR94" i="5"/>
  <c r="CQ94" i="5"/>
  <c r="CO94" i="5" a="1"/>
  <c r="CO94" i="5"/>
  <c r="CT93" i="5"/>
  <c r="CS93" i="5"/>
  <c r="CR93" i="5"/>
  <c r="CQ93" i="5"/>
  <c r="CO93" i="5" a="1"/>
  <c r="CO93" i="5"/>
  <c r="CT92" i="5"/>
  <c r="CR92" i="5"/>
  <c r="CQ92" i="5"/>
  <c r="CO92" i="5" a="1"/>
  <c r="CO92" i="5"/>
  <c r="CT91" i="5"/>
  <c r="CS91" i="5"/>
  <c r="CR91" i="5"/>
  <c r="CQ91" i="5"/>
  <c r="CO91" i="5" a="1"/>
  <c r="CO91" i="5"/>
  <c r="CT90" i="5"/>
  <c r="CS90" i="5"/>
  <c r="CR90" i="5"/>
  <c r="CQ90" i="5"/>
  <c r="CO90" i="5" a="1"/>
  <c r="CO90" i="5"/>
  <c r="CT89" i="5"/>
  <c r="CS89" i="5"/>
  <c r="CR89" i="5"/>
  <c r="CQ89" i="5"/>
  <c r="CO89" i="5" a="1"/>
  <c r="CO89" i="5"/>
  <c r="CT88" i="5"/>
  <c r="CS88" i="5"/>
  <c r="CR88" i="5"/>
  <c r="CQ88" i="5"/>
  <c r="CO88" i="5" a="1"/>
  <c r="CO88" i="5"/>
  <c r="CT87" i="5"/>
  <c r="CS87" i="5"/>
  <c r="CR87" i="5"/>
  <c r="CQ87" i="5"/>
  <c r="CO87" i="5" a="1"/>
  <c r="CO87" i="5"/>
  <c r="CT86" i="5"/>
  <c r="CS86" i="5"/>
  <c r="CR86" i="5"/>
  <c r="CQ86" i="5"/>
  <c r="CO86" i="5" a="1"/>
  <c r="CO86" i="5"/>
  <c r="CT85" i="5"/>
  <c r="CS85" i="5"/>
  <c r="CR85" i="5"/>
  <c r="CQ85" i="5"/>
  <c r="CO85" i="5" a="1"/>
  <c r="CO85" i="5"/>
  <c r="CT84" i="5"/>
  <c r="CS84" i="5"/>
  <c r="CR84" i="5"/>
  <c r="CQ84" i="5"/>
  <c r="CO84" i="5" a="1"/>
  <c r="CO84" i="5"/>
  <c r="CT83" i="5"/>
  <c r="CS83" i="5"/>
  <c r="CR83" i="5"/>
  <c r="CQ83" i="5"/>
  <c r="CO83" i="5" a="1"/>
  <c r="CO83" i="5"/>
  <c r="CT82" i="5"/>
  <c r="CS82" i="5"/>
  <c r="CR82" i="5"/>
  <c r="CQ82" i="5"/>
  <c r="CO82" i="5" a="1"/>
  <c r="CO82" i="5"/>
  <c r="CT81" i="5"/>
  <c r="CS81" i="5"/>
  <c r="CR81" i="5"/>
  <c r="CQ81" i="5"/>
  <c r="CO81" i="5" a="1"/>
  <c r="CO81" i="5"/>
  <c r="CT80" i="5"/>
  <c r="CS80" i="5"/>
  <c r="CR80" i="5"/>
  <c r="CQ80" i="5"/>
  <c r="CO80" i="5" a="1"/>
  <c r="CO80" i="5"/>
  <c r="CT79" i="5"/>
  <c r="CS79" i="5"/>
  <c r="CR79" i="5"/>
  <c r="CQ79" i="5"/>
  <c r="CO79" i="5" a="1"/>
  <c r="CO79" i="5"/>
  <c r="CT78" i="5"/>
  <c r="CR78" i="5"/>
  <c r="CQ78" i="5"/>
  <c r="CO78" i="5" a="1"/>
  <c r="CO78" i="5"/>
  <c r="BB78" i="5"/>
  <c r="CR624" i="5" s="1"/>
  <c r="BA78" i="5"/>
  <c r="CR610" i="5" s="1"/>
  <c r="AZ78" i="5"/>
  <c r="CR596" i="5" s="1"/>
  <c r="AY78" i="5"/>
  <c r="CR582" i="5" s="1"/>
  <c r="AX78" i="5"/>
  <c r="CR568" i="5"/>
  <c r="AW78" i="5"/>
  <c r="CR554" i="5"/>
  <c r="AV78" i="5"/>
  <c r="CR540" i="5"/>
  <c r="AU78" i="5"/>
  <c r="CR526" i="5" s="1"/>
  <c r="AP78" i="5"/>
  <c r="CR456" i="5"/>
  <c r="AL78" i="5"/>
  <c r="CR428" i="5" s="1"/>
  <c r="AK78" i="5"/>
  <c r="CR414" i="5" s="1"/>
  <c r="AJ78" i="5"/>
  <c r="CR400" i="5"/>
  <c r="AI78" i="5"/>
  <c r="CR386" i="5" s="1"/>
  <c r="AH78" i="5"/>
  <c r="CR372" i="5" s="1"/>
  <c r="AG78" i="5"/>
  <c r="CR358" i="5" s="1"/>
  <c r="AF78" i="5"/>
  <c r="CR344" i="5"/>
  <c r="AE78" i="5"/>
  <c r="CR330" i="5" s="1"/>
  <c r="AD78" i="5"/>
  <c r="CR316" i="5"/>
  <c r="AC78" i="5"/>
  <c r="CR302" i="5"/>
  <c r="AB78" i="5"/>
  <c r="CR288" i="5"/>
  <c r="AA78" i="5"/>
  <c r="CR274" i="5"/>
  <c r="Z78" i="5"/>
  <c r="CR260" i="5"/>
  <c r="V78" i="5"/>
  <c r="CR232" i="5"/>
  <c r="U78" i="5"/>
  <c r="CR218" i="5"/>
  <c r="T78" i="5"/>
  <c r="CR204" i="5"/>
  <c r="S78" i="5"/>
  <c r="CR190" i="5"/>
  <c r="R78" i="5"/>
  <c r="CR176" i="5"/>
  <c r="Q78" i="5"/>
  <c r="CR162" i="5"/>
  <c r="P78" i="5"/>
  <c r="CR148" i="5"/>
  <c r="O78" i="5"/>
  <c r="CR134" i="5"/>
  <c r="J78" i="5"/>
  <c r="CR64" i="5"/>
  <c r="CT77" i="5"/>
  <c r="CS77" i="5"/>
  <c r="CR77" i="5"/>
  <c r="CQ77" i="5"/>
  <c r="CO77" i="5" a="1"/>
  <c r="CO77" i="5"/>
  <c r="BB77" i="5"/>
  <c r="CR623" i="5" s="1"/>
  <c r="BA77" i="5"/>
  <c r="CR609" i="5" s="1"/>
  <c r="AZ77" i="5"/>
  <c r="CR595" i="5"/>
  <c r="AY77" i="5"/>
  <c r="CR581" i="5"/>
  <c r="AX77" i="5"/>
  <c r="CR567" i="5" s="1"/>
  <c r="AW77" i="5"/>
  <c r="CR553" i="5" s="1"/>
  <c r="AV77" i="5"/>
  <c r="CR539" i="5"/>
  <c r="AU77" i="5"/>
  <c r="CR525" i="5"/>
  <c r="AP77" i="5"/>
  <c r="CR455" i="5" s="1"/>
  <c r="AL77" i="5"/>
  <c r="CR427" i="5" s="1"/>
  <c r="AK77" i="5"/>
  <c r="CR413" i="5" s="1"/>
  <c r="AJ77" i="5"/>
  <c r="CR399" i="5" s="1"/>
  <c r="AI77" i="5"/>
  <c r="CR385" i="5"/>
  <c r="AH77" i="5"/>
  <c r="CR371" i="5" s="1"/>
  <c r="AG77" i="5"/>
  <c r="CR357" i="5" s="1"/>
  <c r="AF77" i="5"/>
  <c r="CR343" i="5" s="1"/>
  <c r="AE77" i="5"/>
  <c r="CR329" i="5"/>
  <c r="AD77" i="5"/>
  <c r="CR315" i="5"/>
  <c r="AC77" i="5"/>
  <c r="CR301" i="5"/>
  <c r="AB77" i="5"/>
  <c r="CR287" i="5"/>
  <c r="AA77" i="5"/>
  <c r="CR273" i="5"/>
  <c r="Z77" i="5"/>
  <c r="CR259" i="5"/>
  <c r="V77" i="5"/>
  <c r="CR231" i="5"/>
  <c r="U77" i="5"/>
  <c r="CR217" i="5"/>
  <c r="T77" i="5"/>
  <c r="CR203" i="5"/>
  <c r="S77" i="5"/>
  <c r="CR189" i="5"/>
  <c r="R77" i="5"/>
  <c r="CR175" i="5"/>
  <c r="Q77" i="5"/>
  <c r="CR161" i="5"/>
  <c r="P77" i="5"/>
  <c r="CR147" i="5"/>
  <c r="O77" i="5"/>
  <c r="CR133" i="5"/>
  <c r="J77" i="5"/>
  <c r="CR63" i="5"/>
  <c r="CT76" i="5"/>
  <c r="CS76" i="5"/>
  <c r="CR76" i="5"/>
  <c r="CQ76" i="5"/>
  <c r="CO76" i="5" a="1"/>
  <c r="CO76" i="5"/>
  <c r="BB76" i="5"/>
  <c r="CR622" i="5"/>
  <c r="AY76" i="5"/>
  <c r="CR580" i="5" s="1"/>
  <c r="AX76" i="5"/>
  <c r="CR566" i="5" s="1"/>
  <c r="AW76" i="5"/>
  <c r="CR552" i="5" s="1"/>
  <c r="AV76" i="5"/>
  <c r="CR538" i="5"/>
  <c r="AU76" i="5"/>
  <c r="CR524" i="5" s="1"/>
  <c r="AP76" i="5"/>
  <c r="CR454" i="5" s="1"/>
  <c r="AL76" i="5"/>
  <c r="CR426" i="5"/>
  <c r="AD76" i="5"/>
  <c r="CR314" i="5"/>
  <c r="AC76" i="5"/>
  <c r="CR300" i="5"/>
  <c r="AB76" i="5"/>
  <c r="CR286" i="5"/>
  <c r="AA76" i="5"/>
  <c r="CR272" i="5"/>
  <c r="V76" i="5"/>
  <c r="CR230" i="5"/>
  <c r="U76" i="5"/>
  <c r="CR216" i="5"/>
  <c r="T76" i="5"/>
  <c r="CR202" i="5"/>
  <c r="S76" i="5"/>
  <c r="CR188" i="5"/>
  <c r="R76" i="5"/>
  <c r="CR174" i="5"/>
  <c r="Q76" i="5"/>
  <c r="CR160" i="5"/>
  <c r="P76" i="5"/>
  <c r="CR146" i="5"/>
  <c r="O76" i="5"/>
  <c r="CR132" i="5"/>
  <c r="J76" i="5"/>
  <c r="CR62" i="5"/>
  <c r="CT75" i="5"/>
  <c r="CS75" i="5"/>
  <c r="CR75" i="5"/>
  <c r="CQ75" i="5"/>
  <c r="CO75" i="5" a="1"/>
  <c r="CO75" i="5"/>
  <c r="BB75" i="5"/>
  <c r="CR621" i="5"/>
  <c r="AL75" i="5"/>
  <c r="CR425" i="5"/>
  <c r="AD75" i="5"/>
  <c r="CR313" i="5"/>
  <c r="AC75" i="5"/>
  <c r="CR299" i="5"/>
  <c r="AB75" i="5"/>
  <c r="CR285" i="5"/>
  <c r="AA75" i="5"/>
  <c r="CR271" i="5"/>
  <c r="V75" i="5"/>
  <c r="CR229" i="5"/>
  <c r="U75" i="5"/>
  <c r="CR215" i="5"/>
  <c r="T75" i="5"/>
  <c r="CR201" i="5"/>
  <c r="S75" i="5"/>
  <c r="CR187" i="5"/>
  <c r="R75" i="5"/>
  <c r="CR173" i="5"/>
  <c r="Q75" i="5"/>
  <c r="CR159" i="5"/>
  <c r="P75" i="5"/>
  <c r="CR145" i="5"/>
  <c r="O75" i="5"/>
  <c r="CR131" i="5"/>
  <c r="J75" i="5"/>
  <c r="CR61" i="5"/>
  <c r="CT74" i="5"/>
  <c r="CS74" i="5"/>
  <c r="CR74" i="5"/>
  <c r="CQ74" i="5"/>
  <c r="CO74" i="5" a="1"/>
  <c r="CO74" i="5"/>
  <c r="BB74" i="5"/>
  <c r="CR620" i="5"/>
  <c r="AL74" i="5"/>
  <c r="CR424" i="5"/>
  <c r="AD74" i="5"/>
  <c r="CR312" i="5"/>
  <c r="AC74" i="5"/>
  <c r="CR298" i="5"/>
  <c r="AB74" i="5"/>
  <c r="CR284" i="5"/>
  <c r="AA74" i="5"/>
  <c r="CR270" i="5"/>
  <c r="V74" i="5"/>
  <c r="CR228" i="5"/>
  <c r="U74" i="5"/>
  <c r="CR214" i="5"/>
  <c r="T74" i="5"/>
  <c r="CR200" i="5"/>
  <c r="S74" i="5"/>
  <c r="CR186" i="5"/>
  <c r="R74" i="5"/>
  <c r="CR172" i="5"/>
  <c r="Q74" i="5"/>
  <c r="CR158" i="5"/>
  <c r="P74" i="5"/>
  <c r="CR144" i="5"/>
  <c r="O74" i="5"/>
  <c r="CR130" i="5"/>
  <c r="J74" i="5"/>
  <c r="CR60" i="5"/>
  <c r="CT73" i="5"/>
  <c r="CS73" i="5"/>
  <c r="CR73" i="5"/>
  <c r="CQ73" i="5"/>
  <c r="CO73" i="5" a="1"/>
  <c r="CO73" i="5"/>
  <c r="BB73" i="5"/>
  <c r="CR619" i="5"/>
  <c r="AL73" i="5"/>
  <c r="CR423" i="5" s="1"/>
  <c r="AD73" i="5"/>
  <c r="CR311" i="5"/>
  <c r="AC73" i="5"/>
  <c r="CR297" i="5"/>
  <c r="AB73" i="5"/>
  <c r="CR283" i="5"/>
  <c r="AA73" i="5"/>
  <c r="CR269" i="5"/>
  <c r="V73" i="5"/>
  <c r="CR227" i="5"/>
  <c r="CT72" i="5"/>
  <c r="CS72" i="5"/>
  <c r="CR72" i="5"/>
  <c r="CQ72" i="5"/>
  <c r="CO72" i="5" a="1"/>
  <c r="CO72" i="5"/>
  <c r="BB72" i="5"/>
  <c r="CR618" i="5"/>
  <c r="AL72" i="5"/>
  <c r="CR422" i="5"/>
  <c r="AD72" i="5"/>
  <c r="CR310" i="5" s="1"/>
  <c r="AC72" i="5"/>
  <c r="CR296" i="5" s="1"/>
  <c r="AB72" i="5"/>
  <c r="CR282" i="5"/>
  <c r="AA72" i="5"/>
  <c r="CR268" i="5"/>
  <c r="V72" i="5"/>
  <c r="CR226" i="5"/>
  <c r="CT71" i="5"/>
  <c r="CS71" i="5"/>
  <c r="CR71" i="5"/>
  <c r="CQ71" i="5"/>
  <c r="CO71" i="5" a="1"/>
  <c r="CO71" i="5"/>
  <c r="BB71" i="5"/>
  <c r="CR617" i="5"/>
  <c r="AL71" i="5"/>
  <c r="CR421" i="5" s="1"/>
  <c r="AD71" i="5"/>
  <c r="CR309" i="5"/>
  <c r="AC71" i="5"/>
  <c r="CR295" i="5"/>
  <c r="AB71" i="5"/>
  <c r="CR281" i="5"/>
  <c r="AA71" i="5"/>
  <c r="CR267" i="5"/>
  <c r="V71" i="5"/>
  <c r="CR225" i="5" s="1"/>
  <c r="CT70" i="5"/>
  <c r="CS70" i="5"/>
  <c r="CR70" i="5"/>
  <c r="CQ70" i="5"/>
  <c r="CO70" i="5" a="1"/>
  <c r="CO70" i="5"/>
  <c r="BB70" i="5"/>
  <c r="CR616" i="5"/>
  <c r="AL70" i="5"/>
  <c r="CR420" i="5"/>
  <c r="AD70" i="5"/>
  <c r="CR308" i="5" s="1"/>
  <c r="AC70" i="5"/>
  <c r="CR294" i="5" s="1"/>
  <c r="AB70" i="5"/>
  <c r="CR280" i="5"/>
  <c r="AA70" i="5"/>
  <c r="CR266" i="5"/>
  <c r="V70" i="5"/>
  <c r="CR224" i="5" s="1"/>
  <c r="CT69" i="5"/>
  <c r="CS69" i="5"/>
  <c r="CR69" i="5"/>
  <c r="CQ69" i="5"/>
  <c r="CO69" i="5" a="1"/>
  <c r="CO69" i="5"/>
  <c r="BB69" i="5"/>
  <c r="CR615" i="5"/>
  <c r="BA69" i="5"/>
  <c r="CR601" i="5" s="1"/>
  <c r="AZ69" i="5"/>
  <c r="CR587" i="5"/>
  <c r="AY69" i="5"/>
  <c r="CR573" i="5" s="1"/>
  <c r="AX69" i="5"/>
  <c r="CR559" i="5"/>
  <c r="AW69" i="5"/>
  <c r="CR545" i="5" s="1"/>
  <c r="AV69" i="5"/>
  <c r="CR531" i="5"/>
  <c r="AU69" i="5"/>
  <c r="CR517" i="5" s="1"/>
  <c r="AP69" i="5"/>
  <c r="CR447" i="5"/>
  <c r="AL69" i="5"/>
  <c r="CR419" i="5" s="1"/>
  <c r="AK69" i="5"/>
  <c r="CR405" i="5"/>
  <c r="AJ69" i="5"/>
  <c r="CR391" i="5" s="1"/>
  <c r="AI69" i="5"/>
  <c r="CR377" i="5"/>
  <c r="AH69" i="5"/>
  <c r="CR363" i="5" s="1"/>
  <c r="AG69" i="5"/>
  <c r="CR349" i="5"/>
  <c r="AF69" i="5"/>
  <c r="CR335" i="5" s="1"/>
  <c r="AE69" i="5"/>
  <c r="CR321" i="5"/>
  <c r="AD69" i="5"/>
  <c r="CR307" i="5"/>
  <c r="AC69" i="5"/>
  <c r="CR293" i="5"/>
  <c r="AB69" i="5"/>
  <c r="CR279" i="5"/>
  <c r="AA69" i="5"/>
  <c r="CR265" i="5"/>
  <c r="Z69" i="5"/>
  <c r="CR251" i="5"/>
  <c r="V69" i="5"/>
  <c r="CR223" i="5"/>
  <c r="J69" i="5"/>
  <c r="CR55" i="5"/>
  <c r="CT68" i="5"/>
  <c r="CS68" i="5"/>
  <c r="CR68" i="5"/>
  <c r="CQ68" i="5"/>
  <c r="CO68" i="5" a="1"/>
  <c r="CO68" i="5"/>
  <c r="BB68" i="5"/>
  <c r="CR614" i="5" s="1"/>
  <c r="BA68" i="5"/>
  <c r="CR600" i="5" s="1"/>
  <c r="AZ68" i="5"/>
  <c r="CR586" i="5" s="1"/>
  <c r="AY68" i="5"/>
  <c r="CR572" i="5" s="1"/>
  <c r="AX68" i="5"/>
  <c r="CR558" i="5"/>
  <c r="AW68" i="5"/>
  <c r="CR544" i="5" s="1"/>
  <c r="AV68" i="5"/>
  <c r="CR530" i="5"/>
  <c r="AU68" i="5"/>
  <c r="CR516" i="5"/>
  <c r="AP68" i="5"/>
  <c r="CR446" i="5"/>
  <c r="AL68" i="5"/>
  <c r="CR418" i="5" s="1"/>
  <c r="AK68" i="5"/>
  <c r="CR404" i="5" s="1"/>
  <c r="AJ68" i="5"/>
  <c r="CR390" i="5" s="1"/>
  <c r="AI68" i="5"/>
  <c r="CR376" i="5" s="1"/>
  <c r="AH68" i="5"/>
  <c r="CR362" i="5"/>
  <c r="AG68" i="5"/>
  <c r="CR348" i="5"/>
  <c r="AF68" i="5"/>
  <c r="CR334" i="5"/>
  <c r="AE68" i="5"/>
  <c r="CR320" i="5"/>
  <c r="AD68" i="5"/>
  <c r="CR306" i="5"/>
  <c r="AC68" i="5"/>
  <c r="CR292" i="5"/>
  <c r="AB68" i="5"/>
  <c r="CR278" i="5" s="1"/>
  <c r="AA68" i="5"/>
  <c r="CR264" i="5"/>
  <c r="Z68" i="5"/>
  <c r="CR250" i="5"/>
  <c r="V68" i="5"/>
  <c r="CR222" i="5" s="1"/>
  <c r="J68" i="5"/>
  <c r="CR54" i="5" s="1"/>
  <c r="CT67" i="5"/>
  <c r="CS67" i="5"/>
  <c r="CR67" i="5"/>
  <c r="CQ67" i="5"/>
  <c r="CO67" i="5" a="1"/>
  <c r="CO67" i="5"/>
  <c r="BB67" i="5"/>
  <c r="CR613" i="5" s="1"/>
  <c r="BA67" i="5"/>
  <c r="CR599" i="5" s="1"/>
  <c r="AZ67" i="5"/>
  <c r="CR585" i="5"/>
  <c r="AY67" i="5"/>
  <c r="CR571" i="5" s="1"/>
  <c r="AX67" i="5"/>
  <c r="CR557" i="5" s="1"/>
  <c r="AW67" i="5"/>
  <c r="CR543" i="5" s="1"/>
  <c r="AV67" i="5"/>
  <c r="CR529" i="5"/>
  <c r="AU67" i="5"/>
  <c r="CR515" i="5" s="1"/>
  <c r="AP67" i="5"/>
  <c r="CR445" i="5"/>
  <c r="AL67" i="5"/>
  <c r="CR417" i="5"/>
  <c r="AK67" i="5"/>
  <c r="CR403" i="5" s="1"/>
  <c r="AJ67" i="5"/>
  <c r="CR389" i="5" s="1"/>
  <c r="AI67" i="5"/>
  <c r="CR375" i="5" s="1"/>
  <c r="AH67" i="5"/>
  <c r="CR361" i="5"/>
  <c r="AG67" i="5"/>
  <c r="CR347" i="5" s="1"/>
  <c r="AF67" i="5"/>
  <c r="CR333" i="5"/>
  <c r="AE67" i="5"/>
  <c r="CR319" i="5" s="1"/>
  <c r="AD67" i="5"/>
  <c r="CR305" i="5"/>
  <c r="AC67" i="5"/>
  <c r="CR291" i="5"/>
  <c r="AB67" i="5"/>
  <c r="CR277" i="5"/>
  <c r="AA67" i="5"/>
  <c r="CR263" i="5"/>
  <c r="Z67" i="5"/>
  <c r="CR249" i="5"/>
  <c r="V67" i="5"/>
  <c r="CR221" i="5"/>
  <c r="J67" i="5"/>
  <c r="CR53" i="5" s="1"/>
  <c r="CT66" i="5"/>
  <c r="CS66" i="5"/>
  <c r="CR66" i="5"/>
  <c r="CQ66" i="5"/>
  <c r="CO66" i="5" a="1"/>
  <c r="CO66" i="5"/>
  <c r="BB66" i="5"/>
  <c r="CR612" i="5" s="1"/>
  <c r="BA66" i="5"/>
  <c r="CR598" i="5" s="1"/>
  <c r="AZ66" i="5"/>
  <c r="CR584" i="5"/>
  <c r="AY66" i="5"/>
  <c r="CR570" i="5" s="1"/>
  <c r="AX66" i="5"/>
  <c r="CR556" i="5" s="1"/>
  <c r="AW66" i="5"/>
  <c r="CR542" i="5"/>
  <c r="AV66" i="5"/>
  <c r="CR528" i="5"/>
  <c r="AU66" i="5"/>
  <c r="CR514" i="5"/>
  <c r="AP66" i="5"/>
  <c r="CR444" i="5" s="1"/>
  <c r="AL66" i="5"/>
  <c r="CR416" i="5"/>
  <c r="AK66" i="5"/>
  <c r="CR402" i="5"/>
  <c r="AJ66" i="5"/>
  <c r="CR388" i="5"/>
  <c r="AI66" i="5"/>
  <c r="CR374" i="5"/>
  <c r="AH66" i="5"/>
  <c r="CR360" i="5"/>
  <c r="AG66" i="5"/>
  <c r="CR346" i="5"/>
  <c r="AF66" i="5"/>
  <c r="CR332" i="5"/>
  <c r="AE66" i="5"/>
  <c r="CR318" i="5"/>
  <c r="AD66" i="5"/>
  <c r="CR304" i="5"/>
  <c r="AC66" i="5"/>
  <c r="CR290" i="5"/>
  <c r="AB66" i="5"/>
  <c r="CR276" i="5"/>
  <c r="AA66" i="5"/>
  <c r="CR262" i="5"/>
  <c r="Z66" i="5"/>
  <c r="CR248" i="5"/>
  <c r="V66" i="5"/>
  <c r="CR220" i="5"/>
  <c r="J66" i="5"/>
  <c r="CR52" i="5" s="1"/>
  <c r="CT65" i="5"/>
  <c r="CS65" i="5"/>
  <c r="CR65" i="5"/>
  <c r="CQ65" i="5"/>
  <c r="CO65" i="5" a="1"/>
  <c r="CO65" i="5"/>
  <c r="BB65" i="5"/>
  <c r="CR611" i="5" s="1"/>
  <c r="AL65" i="5"/>
  <c r="CR415" i="5"/>
  <c r="AD65" i="5"/>
  <c r="CR303" i="5"/>
  <c r="AC65" i="5"/>
  <c r="CR289" i="5"/>
  <c r="AB65" i="5"/>
  <c r="CR275" i="5" s="1"/>
  <c r="AA65" i="5"/>
  <c r="CR261" i="5"/>
  <c r="V65" i="5"/>
  <c r="CR219" i="5"/>
  <c r="U65" i="5"/>
  <c r="CR205" i="5"/>
  <c r="T65" i="5"/>
  <c r="CR191" i="5"/>
  <c r="S65" i="5"/>
  <c r="CR177" i="5"/>
  <c r="R65" i="5"/>
  <c r="CR163" i="5"/>
  <c r="Q65" i="5"/>
  <c r="CR149" i="5"/>
  <c r="P65" i="5"/>
  <c r="CR135" i="5"/>
  <c r="O65" i="5"/>
  <c r="CR121" i="5"/>
  <c r="J65" i="5"/>
  <c r="CR51" i="5"/>
  <c r="CT64" i="5"/>
  <c r="CQ64" i="5"/>
  <c r="CT63" i="5"/>
  <c r="CS63" i="5"/>
  <c r="CQ63" i="5"/>
  <c r="BD63" i="5"/>
  <c r="BW63" i="5"/>
  <c r="BC78" i="5"/>
  <c r="AN63" i="5"/>
  <c r="X63" i="5"/>
  <c r="W63" i="5"/>
  <c r="CQ62" i="5"/>
  <c r="BD62" i="5"/>
  <c r="BC77" i="5"/>
  <c r="AN62" i="5"/>
  <c r="X62" i="5"/>
  <c r="W62" i="5"/>
  <c r="W77" i="5"/>
  <c r="CQ61" i="5"/>
  <c r="X61" i="5"/>
  <c r="W61" i="5"/>
  <c r="CQ60" i="5"/>
  <c r="X60" i="5"/>
  <c r="W60" i="5"/>
  <c r="W75" i="5"/>
  <c r="X59" i="5"/>
  <c r="W59" i="5"/>
  <c r="W74" i="5"/>
  <c r="CO56" i="5" a="1"/>
  <c r="CO56" i="5"/>
  <c r="CQ55" i="5"/>
  <c r="CQ54" i="5"/>
  <c r="BD54" i="5"/>
  <c r="AN54" i="5"/>
  <c r="CQ53" i="5"/>
  <c r="BD53" i="5"/>
  <c r="AN53" i="5"/>
  <c r="AM68" i="5"/>
  <c r="CQ52" i="5"/>
  <c r="BD52" i="5"/>
  <c r="BC67" i="5"/>
  <c r="AN52" i="5"/>
  <c r="CQ51" i="5"/>
  <c r="BD51" i="5"/>
  <c r="AN51" i="5"/>
  <c r="CR50" i="5"/>
  <c r="CQ50" i="5"/>
  <c r="X50" i="5"/>
  <c r="W50" i="5"/>
  <c r="BU50" i="5" s="1"/>
  <c r="CR49" i="5"/>
  <c r="CQ49" i="5"/>
  <c r="G49" i="5"/>
  <c r="CR48" i="5"/>
  <c r="CQ48" i="5"/>
  <c r="BS48" i="5"/>
  <c r="CR47" i="5"/>
  <c r="CQ47" i="5"/>
  <c r="CR46" i="5"/>
  <c r="CQ46" i="5"/>
  <c r="CR45" i="5"/>
  <c r="CQ45" i="5"/>
  <c r="CR44" i="5"/>
  <c r="CQ44" i="5"/>
  <c r="CR43" i="5"/>
  <c r="CQ43" i="5"/>
  <c r="CR42" i="5"/>
  <c r="CQ42" i="5"/>
  <c r="DY41" i="5"/>
  <c r="CR41" i="5"/>
  <c r="CQ41" i="5"/>
  <c r="DY40" i="5"/>
  <c r="CR40" i="5"/>
  <c r="CQ40" i="5"/>
  <c r="DY39" i="5"/>
  <c r="CR39" i="5"/>
  <c r="CQ39" i="5"/>
  <c r="DY38" i="5"/>
  <c r="CR38" i="5"/>
  <c r="CQ38" i="5"/>
  <c r="DY37" i="5"/>
  <c r="CR37" i="5"/>
  <c r="CQ37" i="5"/>
  <c r="DY36" i="5"/>
  <c r="CR36" i="5"/>
  <c r="CQ36" i="5"/>
  <c r="CK36" i="5"/>
  <c r="DY35" i="5"/>
  <c r="CR35" i="5"/>
  <c r="CQ35" i="5"/>
  <c r="CK35" i="5"/>
  <c r="DY34" i="5"/>
  <c r="CR34" i="5"/>
  <c r="CQ34" i="5"/>
  <c r="CK34" i="5"/>
  <c r="DY33" i="5"/>
  <c r="CR33" i="5"/>
  <c r="CQ33" i="5"/>
  <c r="CK33" i="5"/>
  <c r="DY32" i="5"/>
  <c r="CR32" i="5"/>
  <c r="CQ32" i="5"/>
  <c r="CK32" i="5"/>
  <c r="DY31" i="5"/>
  <c r="CR31" i="5"/>
  <c r="CQ31" i="5"/>
  <c r="CK31" i="5"/>
  <c r="DY30" i="5"/>
  <c r="CR30" i="5"/>
  <c r="CQ30" i="5"/>
  <c r="CK30" i="5"/>
  <c r="G30" i="5"/>
  <c r="DY29" i="5"/>
  <c r="CR29" i="5"/>
  <c r="CQ29" i="5"/>
  <c r="CK29" i="5"/>
  <c r="DY28" i="5"/>
  <c r="CR28" i="5"/>
  <c r="CQ28" i="5"/>
  <c r="CK28" i="5"/>
  <c r="CR27" i="5"/>
  <c r="CQ27" i="5"/>
  <c r="CK27" i="5"/>
  <c r="CR26" i="5"/>
  <c r="CQ26" i="5"/>
  <c r="CK26" i="5"/>
  <c r="CR25" i="5"/>
  <c r="CQ25" i="5"/>
  <c r="CK25" i="5"/>
  <c r="CR24" i="5"/>
  <c r="CQ24" i="5"/>
  <c r="CK24" i="5"/>
  <c r="CR23" i="5"/>
  <c r="CQ23" i="5"/>
  <c r="CK23" i="5"/>
  <c r="CR22" i="5"/>
  <c r="CQ22" i="5"/>
  <c r="CK22" i="5"/>
  <c r="CR21" i="5"/>
  <c r="CQ21" i="5"/>
  <c r="CK21" i="5"/>
  <c r="CR20" i="5"/>
  <c r="CQ20" i="5"/>
  <c r="CK20" i="5"/>
  <c r="CR19" i="5"/>
  <c r="CQ19" i="5"/>
  <c r="CK19" i="5"/>
  <c r="CR18" i="5"/>
  <c r="CQ18" i="5"/>
  <c r="CK18" i="5"/>
  <c r="CR17" i="5"/>
  <c r="CQ17" i="5"/>
  <c r="CK17" i="5"/>
  <c r="CR16" i="5"/>
  <c r="CQ16" i="5"/>
  <c r="CK16" i="5"/>
  <c r="EL15" i="5"/>
  <c r="EJ15" i="5"/>
  <c r="CR15" i="5"/>
  <c r="CQ15" i="5"/>
  <c r="CK15" i="5"/>
  <c r="EJ14" i="5"/>
  <c r="CR14" i="5"/>
  <c r="CQ14" i="5"/>
  <c r="CK14" i="5"/>
  <c r="CR13" i="5"/>
  <c r="CQ13" i="5"/>
  <c r="CK13" i="5"/>
  <c r="CR12" i="5"/>
  <c r="CQ12" i="5"/>
  <c r="CK12" i="5"/>
  <c r="G12" i="5"/>
  <c r="EL11" i="5"/>
  <c r="EJ11" i="5"/>
  <c r="CR11" i="5"/>
  <c r="CQ11" i="5"/>
  <c r="CK11" i="5"/>
  <c r="EJ10" i="5"/>
  <c r="CR10" i="5"/>
  <c r="CQ10" i="5"/>
  <c r="CK10" i="5"/>
  <c r="CR9" i="5"/>
  <c r="CQ9" i="5"/>
  <c r="CK9" i="5"/>
  <c r="D187" i="12"/>
  <c r="M182" i="12"/>
  <c r="D182" i="12" a="1"/>
  <c r="D182" i="12"/>
  <c r="BA195" i="12"/>
  <c r="M181" i="12"/>
  <c r="D181" i="12" a="1"/>
  <c r="D181" i="12"/>
  <c r="BA194" i="12"/>
  <c r="D180" i="12" a="1"/>
  <c r="D180" i="12"/>
  <c r="BA193" i="12"/>
  <c r="M177" i="12"/>
  <c r="M176" i="12"/>
  <c r="M171" i="12"/>
  <c r="AR166" i="12"/>
  <c r="AP166" i="12"/>
  <c r="AR165" i="12"/>
  <c r="AP165" i="12"/>
  <c r="Q33" i="10"/>
  <c r="CO337" i="10" s="1"/>
  <c r="AR164" i="12"/>
  <c r="AP164" i="12"/>
  <c r="AR163" i="12"/>
  <c r="AP163" i="12"/>
  <c r="O33" i="10"/>
  <c r="AQ33" i="10" s="1"/>
  <c r="AR162" i="12"/>
  <c r="AP162" i="12"/>
  <c r="N33" i="10"/>
  <c r="AP33" i="10" s="1"/>
  <c r="AR161" i="12"/>
  <c r="AP161" i="12"/>
  <c r="AR160" i="12"/>
  <c r="AP160" i="12"/>
  <c r="L33" i="10"/>
  <c r="AN33" i="10" s="1"/>
  <c r="M163" i="12"/>
  <c r="AR159" i="12"/>
  <c r="AP159" i="12"/>
  <c r="K33" i="10"/>
  <c r="M162" i="12"/>
  <c r="AR158" i="12"/>
  <c r="AP158" i="12"/>
  <c r="J33" i="10"/>
  <c r="CO137" i="10" s="1"/>
  <c r="AR157" i="12"/>
  <c r="AR156" i="12"/>
  <c r="AR155" i="12"/>
  <c r="AP155" i="12"/>
  <c r="G33" i="10"/>
  <c r="AI33" i="10" s="1"/>
  <c r="CS62" i="10" s="1"/>
  <c r="M158" i="12"/>
  <c r="M173" i="12"/>
  <c r="AR154" i="12"/>
  <c r="F34" i="10"/>
  <c r="D157" i="12" a="1"/>
  <c r="D177" i="12"/>
  <c r="BA191" i="12"/>
  <c r="C154" i="12" a="1"/>
  <c r="C154" i="12"/>
  <c r="AR153" i="12"/>
  <c r="AP153" i="12"/>
  <c r="E33" i="10"/>
  <c r="AX147" i="12"/>
  <c r="AR147" i="12"/>
  <c r="BG146" i="12"/>
  <c r="BC146" i="12"/>
  <c r="BA146" i="12"/>
  <c r="S145" i="12"/>
  <c r="EO14" i="5"/>
  <c r="P145" i="12"/>
  <c r="S142" i="12"/>
  <c r="T142" i="12"/>
  <c r="P142" i="12"/>
  <c r="S141" i="12"/>
  <c r="T141" i="12"/>
  <c r="P141" i="12"/>
  <c r="S140" i="12"/>
  <c r="T140" i="12"/>
  <c r="P140" i="12"/>
  <c r="S139" i="12"/>
  <c r="P139" i="12"/>
  <c r="S136" i="12"/>
  <c r="T136" i="12"/>
  <c r="P136" i="12"/>
  <c r="S135" i="12"/>
  <c r="T135" i="12"/>
  <c r="P135" i="12"/>
  <c r="S134" i="12"/>
  <c r="P134" i="12"/>
  <c r="AT130" i="12"/>
  <c r="S131" i="12"/>
  <c r="T131" i="12"/>
  <c r="P131" i="12"/>
  <c r="S130" i="12"/>
  <c r="T130" i="12"/>
  <c r="P130" i="12"/>
  <c r="S129" i="12"/>
  <c r="T129" i="12"/>
  <c r="P129" i="12"/>
  <c r="S128" i="12"/>
  <c r="T128" i="12"/>
  <c r="P128" i="12"/>
  <c r="S127" i="12"/>
  <c r="P127" i="12"/>
  <c r="AT123" i="12"/>
  <c r="AT132" i="12"/>
  <c r="AT134" i="12"/>
  <c r="AT135" i="12"/>
  <c r="AT136" i="12"/>
  <c r="AT137" i="12"/>
  <c r="AT138" i="12"/>
  <c r="S124" i="12"/>
  <c r="T124" i="12"/>
  <c r="P124" i="12"/>
  <c r="S123" i="12"/>
  <c r="T123" i="12"/>
  <c r="P123" i="12"/>
  <c r="S122" i="12"/>
  <c r="T122" i="12"/>
  <c r="P122" i="12"/>
  <c r="S121" i="12"/>
  <c r="T121" i="12"/>
  <c r="P121" i="12"/>
  <c r="S120" i="12"/>
  <c r="P120" i="12"/>
  <c r="S117" i="12"/>
  <c r="T117" i="12"/>
  <c r="P117" i="12"/>
  <c r="S116" i="12"/>
  <c r="T116" i="12"/>
  <c r="P116" i="12"/>
  <c r="S115" i="12"/>
  <c r="T115" i="12"/>
  <c r="P115" i="12"/>
  <c r="S114" i="12"/>
  <c r="T114" i="12"/>
  <c r="P114" i="12"/>
  <c r="S113" i="12"/>
  <c r="P113" i="12"/>
  <c r="BD113" i="12"/>
  <c r="BD117" i="12"/>
  <c r="BD121" i="12"/>
  <c r="BD125" i="12"/>
  <c r="BD129" i="12"/>
  <c r="BD133" i="12"/>
  <c r="BD137" i="12"/>
  <c r="BD141" i="12"/>
  <c r="BD145" i="12"/>
  <c r="BD112" i="12"/>
  <c r="BD116" i="12"/>
  <c r="BD120" i="12"/>
  <c r="BD124" i="12"/>
  <c r="BD128" i="12"/>
  <c r="BD132" i="12"/>
  <c r="BD136" i="12"/>
  <c r="BD140" i="12"/>
  <c r="BD144" i="12"/>
  <c r="BD111" i="12"/>
  <c r="BD115" i="12"/>
  <c r="BD119" i="12"/>
  <c r="BD123" i="12"/>
  <c r="BD127" i="12"/>
  <c r="BD131" i="12"/>
  <c r="BD135" i="12"/>
  <c r="BD139" i="12"/>
  <c r="BD143" i="12"/>
  <c r="S110" i="12"/>
  <c r="T110" i="12"/>
  <c r="P110" i="12"/>
  <c r="BD110" i="12"/>
  <c r="BD114" i="12"/>
  <c r="BD118" i="12"/>
  <c r="BD122" i="12"/>
  <c r="BD126" i="12"/>
  <c r="BD130" i="12"/>
  <c r="BD134" i="12"/>
  <c r="BD138" i="12"/>
  <c r="BD142" i="12"/>
  <c r="S109" i="12"/>
  <c r="T109" i="12"/>
  <c r="P109" i="12"/>
  <c r="S108" i="12"/>
  <c r="T108" i="12"/>
  <c r="P108" i="12"/>
  <c r="S107" i="12"/>
  <c r="T107" i="12"/>
  <c r="P107" i="12"/>
  <c r="S106" i="12"/>
  <c r="T106" i="12"/>
  <c r="Q106" i="12"/>
  <c r="BG102" i="12"/>
  <c r="BG98" i="12"/>
  <c r="P106" i="12"/>
  <c r="BG105" i="12"/>
  <c r="BG101" i="12"/>
  <c r="BC105" i="12"/>
  <c r="BC109" i="12"/>
  <c r="BC113" i="12"/>
  <c r="BC117" i="12"/>
  <c r="BC121" i="12"/>
  <c r="BC125" i="12"/>
  <c r="BC129" i="12"/>
  <c r="BC133" i="12"/>
  <c r="BC137" i="12"/>
  <c r="BC141" i="12"/>
  <c r="BC145" i="12"/>
  <c r="BA105" i="12"/>
  <c r="BA109" i="12"/>
  <c r="BA113" i="12"/>
  <c r="BA117" i="12"/>
  <c r="BA121" i="12"/>
  <c r="BA125" i="12"/>
  <c r="BA129" i="12"/>
  <c r="BA133" i="12"/>
  <c r="BA137" i="12"/>
  <c r="BA141" i="12"/>
  <c r="BA145" i="12"/>
  <c r="BG104" i="12"/>
  <c r="BG100" i="12"/>
  <c r="BC104" i="12"/>
  <c r="BC108" i="12"/>
  <c r="BC112" i="12"/>
  <c r="BC116" i="12"/>
  <c r="BC120" i="12"/>
  <c r="BC124" i="12"/>
  <c r="BC128" i="12"/>
  <c r="BC132" i="12"/>
  <c r="BC136" i="12"/>
  <c r="BC140" i="12"/>
  <c r="BC144" i="12"/>
  <c r="BA104" i="12"/>
  <c r="BA100" i="12"/>
  <c r="S103" i="12"/>
  <c r="T103" i="12"/>
  <c r="P103" i="12"/>
  <c r="BH103" i="12"/>
  <c r="BG103" i="12"/>
  <c r="BG107" i="12"/>
  <c r="BG111" i="12"/>
  <c r="BG115" i="12"/>
  <c r="BG119" i="12"/>
  <c r="BG123" i="12"/>
  <c r="BG127" i="12"/>
  <c r="BG131" i="12"/>
  <c r="BG135" i="12"/>
  <c r="BG139" i="12"/>
  <c r="BG143" i="12"/>
  <c r="BC103" i="12"/>
  <c r="BC107" i="12"/>
  <c r="BC111" i="12"/>
  <c r="BC115" i="12"/>
  <c r="BC119" i="12"/>
  <c r="BC123" i="12"/>
  <c r="BC127" i="12"/>
  <c r="BC131" i="12"/>
  <c r="BC135" i="12"/>
  <c r="BC139" i="12"/>
  <c r="BC143" i="12"/>
  <c r="BA103" i="12"/>
  <c r="BA107" i="12"/>
  <c r="BA111" i="12"/>
  <c r="BA115" i="12"/>
  <c r="BA119" i="12"/>
  <c r="BA123" i="12"/>
  <c r="BA127" i="12"/>
  <c r="BA131" i="12"/>
  <c r="BA135" i="12"/>
  <c r="BA139" i="12"/>
  <c r="BA143" i="12"/>
  <c r="S102" i="12"/>
  <c r="T102" i="12"/>
  <c r="P102" i="12"/>
  <c r="BH102" i="12"/>
  <c r="BC102" i="12"/>
  <c r="BC106" i="12"/>
  <c r="BC110" i="12"/>
  <c r="BC114" i="12"/>
  <c r="BC118" i="12"/>
  <c r="BC122" i="12"/>
  <c r="BC126" i="12"/>
  <c r="BC130" i="12"/>
  <c r="BC134" i="12"/>
  <c r="BC138" i="12"/>
  <c r="BC142" i="12"/>
  <c r="BA102" i="12"/>
  <c r="BA106" i="12"/>
  <c r="BA110" i="12"/>
  <c r="BA114" i="12"/>
  <c r="BA118" i="12"/>
  <c r="BA122" i="12"/>
  <c r="BA126" i="12"/>
  <c r="BA130" i="12"/>
  <c r="BA134" i="12"/>
  <c r="BA138" i="12"/>
  <c r="BA142" i="12"/>
  <c r="S101" i="12"/>
  <c r="T101" i="12"/>
  <c r="P101" i="12"/>
  <c r="BK101" i="12"/>
  <c r="BJ101" i="12"/>
  <c r="BC101" i="12"/>
  <c r="S100" i="12"/>
  <c r="T100" i="12"/>
  <c r="P100" i="12"/>
  <c r="BK100" i="12"/>
  <c r="BJ100" i="12"/>
  <c r="BC100" i="12"/>
  <c r="BK99" i="12"/>
  <c r="BJ99" i="12"/>
  <c r="BC99" i="12"/>
  <c r="BK98" i="12"/>
  <c r="BJ98" i="12"/>
  <c r="BC98" i="12"/>
  <c r="W88" i="12"/>
  <c r="X88" i="12"/>
  <c r="BI17" i="12" s="1"/>
  <c r="AD87" i="12"/>
  <c r="BO18" i="12"/>
  <c r="X87" i="12"/>
  <c r="BI18" i="12" s="1"/>
  <c r="T87" i="12"/>
  <c r="K87" i="12"/>
  <c r="AE87" i="12"/>
  <c r="B84" i="12"/>
  <c r="AC86" i="12"/>
  <c r="BN17" i="12"/>
  <c r="K86" i="12"/>
  <c r="AE86" i="12"/>
  <c r="AG86" i="12"/>
  <c r="BF17" i="12"/>
  <c r="B83" i="12"/>
  <c r="K85" i="12"/>
  <c r="AE85" i="12"/>
  <c r="B82" i="12"/>
  <c r="D84" i="12" a="1"/>
  <c r="D84" i="12"/>
  <c r="W83" i="12"/>
  <c r="BH15" i="12"/>
  <c r="W82" i="12"/>
  <c r="BH14" i="12"/>
  <c r="DU13" i="12"/>
  <c r="W81" i="12"/>
  <c r="X81" i="12"/>
  <c r="BI12" i="12" s="1"/>
  <c r="T80" i="12"/>
  <c r="K80" i="12"/>
  <c r="AE80" i="12"/>
  <c r="AG80" i="12"/>
  <c r="BF13" i="12"/>
  <c r="B77" i="12"/>
  <c r="AA79" i="12"/>
  <c r="AA86" i="12"/>
  <c r="BJ17" i="12"/>
  <c r="T79" i="12"/>
  <c r="K79" i="12"/>
  <c r="AE79" i="12"/>
  <c r="AG79" i="12"/>
  <c r="B76" i="12"/>
  <c r="D78" i="12" a="1"/>
  <c r="D78" i="12"/>
  <c r="W77" i="12"/>
  <c r="X77" i="12"/>
  <c r="W76" i="12"/>
  <c r="X76" i="12"/>
  <c r="BI26" i="12" s="1"/>
  <c r="ED69" i="12" a="1"/>
  <c r="ED69" i="12"/>
  <c r="W75" i="12"/>
  <c r="X75" i="12"/>
  <c r="BI25" i="12"/>
  <c r="ED68" i="12" a="1"/>
  <c r="ED68" i="12"/>
  <c r="AD74" i="12"/>
  <c r="AC74" i="12"/>
  <c r="BN24" i="12"/>
  <c r="AA74" i="12"/>
  <c r="BJ24" i="12"/>
  <c r="T74" i="12"/>
  <c r="K74" i="12"/>
  <c r="AE74" i="12"/>
  <c r="AG74" i="12"/>
  <c r="B68" i="12"/>
  <c r="ED67" i="12" a="1"/>
  <c r="ED67" i="12"/>
  <c r="T69" i="12"/>
  <c r="K69" i="12"/>
  <c r="B67" i="12"/>
  <c r="D68" i="12" a="1"/>
  <c r="D68" i="12"/>
  <c r="ED65" i="12" a="1"/>
  <c r="ED65" i="12"/>
  <c r="W67" i="12"/>
  <c r="W66" i="12"/>
  <c r="X66" i="12"/>
  <c r="BI45" i="12" s="1"/>
  <c r="T65" i="12"/>
  <c r="S65" i="12"/>
  <c r="B63" i="12"/>
  <c r="T62" i="12"/>
  <c r="K62" i="12"/>
  <c r="B62" i="12"/>
  <c r="ED61" i="12" a="1"/>
  <c r="ED61" i="12"/>
  <c r="D61" i="12" a="1"/>
  <c r="D61" i="12"/>
  <c r="W60" i="12"/>
  <c r="BH30" i="12"/>
  <c r="W59" i="12"/>
  <c r="BH29" i="12"/>
  <c r="DU16" i="12"/>
  <c r="ED58" i="12" a="1"/>
  <c r="ED58" i="12"/>
  <c r="W58" i="12"/>
  <c r="X58" i="12"/>
  <c r="BI27" i="12" s="1"/>
  <c r="K57" i="12"/>
  <c r="AE57" i="12"/>
  <c r="AG57" i="12"/>
  <c r="BF28" i="12"/>
  <c r="B57" i="12"/>
  <c r="ED56" i="12" a="1"/>
  <c r="ED56" i="12"/>
  <c r="K56" i="12"/>
  <c r="AE56" i="12"/>
  <c r="AG56" i="12"/>
  <c r="BF27" i="12"/>
  <c r="B56" i="12"/>
  <c r="D55" i="12" a="1"/>
  <c r="D55" i="12"/>
  <c r="ED54" i="12" a="1"/>
  <c r="ED54" i="12"/>
  <c r="X54" i="12"/>
  <c r="ED53" i="12" a="1"/>
  <c r="ED53" i="12"/>
  <c r="AE53" i="12"/>
  <c r="AG53" i="12"/>
  <c r="S53" i="12"/>
  <c r="S56" i="12"/>
  <c r="AF56" i="12"/>
  <c r="AH56" i="12"/>
  <c r="ED52" i="12" a="1"/>
  <c r="ED52" i="12"/>
  <c r="X52" i="12"/>
  <c r="BI52" i="12"/>
  <c r="ED51" i="12" a="1"/>
  <c r="ED51" i="12"/>
  <c r="X51" i="12"/>
  <c r="BI51" i="12"/>
  <c r="ED50" i="12" a="1"/>
  <c r="ED50" i="12"/>
  <c r="AE50" i="12"/>
  <c r="S50" i="12"/>
  <c r="AF50" i="12"/>
  <c r="ED49" i="12" a="1"/>
  <c r="ED49" i="12"/>
  <c r="AE49" i="12"/>
  <c r="S49" i="12"/>
  <c r="AF49" i="12"/>
  <c r="ED48" i="12" a="1"/>
  <c r="ED48" i="12"/>
  <c r="BH52" i="12"/>
  <c r="DT23" i="12"/>
  <c r="BD52" i="12"/>
  <c r="BA52" i="12"/>
  <c r="AE48" i="12"/>
  <c r="S48" i="12"/>
  <c r="ED47" i="12" a="1"/>
  <c r="ED47" i="12"/>
  <c r="BL51" i="12"/>
  <c r="BM51" i="12"/>
  <c r="BH51" i="12"/>
  <c r="BD51" i="12"/>
  <c r="BA51" i="12"/>
  <c r="AE47" i="12"/>
  <c r="AG47" i="12"/>
  <c r="BF50" i="12"/>
  <c r="S47" i="12"/>
  <c r="AF47" i="12"/>
  <c r="AH47" i="12"/>
  <c r="D47" i="12" a="1"/>
  <c r="D47" i="12"/>
  <c r="B47" i="12"/>
  <c r="ED46" i="12" a="1"/>
  <c r="ED46" i="12"/>
  <c r="BN50" i="12"/>
  <c r="BK50" i="12"/>
  <c r="BK52" i="12"/>
  <c r="BK51" i="12"/>
  <c r="BJ50" i="12"/>
  <c r="BD50" i="12"/>
  <c r="BC50" i="12"/>
  <c r="X46" i="12"/>
  <c r="BI49" i="12" s="1"/>
  <c r="ED45" i="12" a="1"/>
  <c r="ED45" i="12"/>
  <c r="BH49" i="12"/>
  <c r="DT22" i="12"/>
  <c r="BD49" i="12"/>
  <c r="BA49" i="12"/>
  <c r="X45" i="12"/>
  <c r="BI48" i="12" s="1"/>
  <c r="BH48" i="12"/>
  <c r="DU22" i="12"/>
  <c r="BD48" i="12"/>
  <c r="BA48" i="12"/>
  <c r="AA44" i="12"/>
  <c r="BN47" i="12"/>
  <c r="BK47" i="12"/>
  <c r="BK49" i="12"/>
  <c r="BK48" i="12"/>
  <c r="BD47" i="12"/>
  <c r="BC47" i="12"/>
  <c r="AA43" i="12"/>
  <c r="ED42" i="12" a="1"/>
  <c r="ED42" i="12"/>
  <c r="BD46" i="12"/>
  <c r="BA46" i="12"/>
  <c r="AA42" i="12"/>
  <c r="AA65" i="12"/>
  <c r="BJ44" i="12"/>
  <c r="BJ46" i="12"/>
  <c r="B42" i="12"/>
  <c r="BL45" i="12"/>
  <c r="BM45" i="12"/>
  <c r="BD45" i="12"/>
  <c r="BA45" i="12"/>
  <c r="X41" i="12"/>
  <c r="BI36" i="12"/>
  <c r="BN44" i="12"/>
  <c r="BK44" i="12"/>
  <c r="BK46" i="12"/>
  <c r="BK45" i="12"/>
  <c r="BD44" i="12"/>
  <c r="X40" i="12"/>
  <c r="BI35" i="12"/>
  <c r="ED39" i="12" a="1"/>
  <c r="ED39" i="12"/>
  <c r="BN43" i="12"/>
  <c r="BK43" i="12"/>
  <c r="BD43" i="12"/>
  <c r="BC43" i="12"/>
  <c r="CN43" i="12"/>
  <c r="CN45" i="12"/>
  <c r="CN46" i="12"/>
  <c r="AE39" i="12"/>
  <c r="S39" i="12"/>
  <c r="AF39" i="12"/>
  <c r="D39" i="12"/>
  <c r="BH42" i="12"/>
  <c r="DT20" i="12"/>
  <c r="BD42" i="12"/>
  <c r="BA42" i="12"/>
  <c r="AE38" i="12"/>
  <c r="S38" i="12"/>
  <c r="AF38" i="12"/>
  <c r="B38" i="12"/>
  <c r="BL41" i="12"/>
  <c r="BM41" i="12"/>
  <c r="BH41" i="12"/>
  <c r="BD41" i="12"/>
  <c r="BA41" i="12"/>
  <c r="X37" i="12"/>
  <c r="BI33" i="12" s="1"/>
  <c r="BN40" i="12"/>
  <c r="BK40" i="12"/>
  <c r="BK42" i="12"/>
  <c r="BK41" i="12"/>
  <c r="BD40" i="12"/>
  <c r="BC40" i="12"/>
  <c r="X36" i="12"/>
  <c r="BI32" i="12" s="1"/>
  <c r="ED35" i="12" a="1"/>
  <c r="ED35" i="12"/>
  <c r="BH39" i="12"/>
  <c r="DT19" i="12"/>
  <c r="BD39" i="12"/>
  <c r="BA39" i="12"/>
  <c r="AE35" i="12"/>
  <c r="AG35" i="12"/>
  <c r="BF31" i="12"/>
  <c r="AA35" i="12"/>
  <c r="BJ31" i="12"/>
  <c r="BJ33" i="12"/>
  <c r="S35" i="12"/>
  <c r="AF35" i="12"/>
  <c r="AH35" i="12"/>
  <c r="N72" i="3"/>
  <c r="BE31" i="12"/>
  <c r="BG31" i="12"/>
  <c r="BL38" i="12"/>
  <c r="BM38" i="12"/>
  <c r="BH38" i="12"/>
  <c r="BD38" i="12"/>
  <c r="BA38" i="12"/>
  <c r="AE34" i="12"/>
  <c r="AG34" i="12"/>
  <c r="AA34" i="12"/>
  <c r="S34" i="12"/>
  <c r="AF34" i="12"/>
  <c r="AH34" i="12"/>
  <c r="AJ34" i="12"/>
  <c r="AJ35" i="12"/>
  <c r="CO31" i="12"/>
  <c r="D34" i="12" a="1"/>
  <c r="D34" i="12"/>
  <c r="D35" i="12"/>
  <c r="BA31" i="12"/>
  <c r="CN31" i="12"/>
  <c r="CN32" i="12"/>
  <c r="CN33" i="12"/>
  <c r="B34" i="12"/>
  <c r="EI33" i="12"/>
  <c r="BN37" i="12"/>
  <c r="BK37" i="12"/>
  <c r="BK39" i="12"/>
  <c r="BK38" i="12"/>
  <c r="BJ37" i="12"/>
  <c r="BJ39" i="12"/>
  <c r="BD37" i="12"/>
  <c r="BC37" i="12"/>
  <c r="X33" i="12"/>
  <c r="BI39" i="12"/>
  <c r="ED32" i="12" a="1"/>
  <c r="ED32" i="12"/>
  <c r="BH36" i="12"/>
  <c r="BD36" i="12"/>
  <c r="BA36" i="12"/>
  <c r="X32" i="12"/>
  <c r="BI38" i="12" s="1"/>
  <c r="BL35" i="12"/>
  <c r="BM35" i="12"/>
  <c r="BH35" i="12"/>
  <c r="DU18" i="12"/>
  <c r="BD35" i="12"/>
  <c r="BA35" i="12"/>
  <c r="DC30" i="12"/>
  <c r="DB30" i="12"/>
  <c r="DA30" i="12"/>
  <c r="CZ30" i="12"/>
  <c r="BN34" i="12"/>
  <c r="BK34" i="12"/>
  <c r="BK36" i="12"/>
  <c r="BK35" i="12"/>
  <c r="BJ34" i="12"/>
  <c r="BJ36" i="12"/>
  <c r="BD34" i="12"/>
  <c r="BC34" i="12"/>
  <c r="BA34" i="12"/>
  <c r="CN34" i="12"/>
  <c r="CN35" i="12"/>
  <c r="CN36" i="12"/>
  <c r="BH33" i="12"/>
  <c r="BD33" i="12"/>
  <c r="BA33" i="12"/>
  <c r="D29" i="12" a="1"/>
  <c r="D29" i="12"/>
  <c r="B29" i="12"/>
  <c r="BL32" i="12"/>
  <c r="BM32" i="12"/>
  <c r="BH32" i="12"/>
  <c r="BD32" i="12"/>
  <c r="BA32" i="12"/>
  <c r="X28" i="12"/>
  <c r="BN31" i="12"/>
  <c r="BK31" i="12"/>
  <c r="BK33" i="12"/>
  <c r="BK32" i="12"/>
  <c r="BD31" i="12"/>
  <c r="BC31" i="12"/>
  <c r="X27" i="12"/>
  <c r="BD30" i="12"/>
  <c r="BA30" i="12"/>
  <c r="AA26" i="12"/>
  <c r="S26" i="12"/>
  <c r="AF26" i="12"/>
  <c r="BL29" i="12"/>
  <c r="BM29" i="12"/>
  <c r="BD29" i="12"/>
  <c r="BA29" i="12"/>
  <c r="AA25" i="12"/>
  <c r="S25" i="12"/>
  <c r="AF25" i="12"/>
  <c r="AH25" i="12"/>
  <c r="BN28" i="12"/>
  <c r="BK28" i="12"/>
  <c r="BK30" i="12"/>
  <c r="BK29" i="12"/>
  <c r="BJ28" i="12"/>
  <c r="BJ30" i="12"/>
  <c r="BD28" i="12"/>
  <c r="X24" i="12"/>
  <c r="BN27" i="12"/>
  <c r="BK27" i="12"/>
  <c r="BJ27" i="12"/>
  <c r="BD27" i="12"/>
  <c r="BC27" i="12"/>
  <c r="BA27" i="12"/>
  <c r="CN27" i="12"/>
  <c r="AE23" i="12"/>
  <c r="AG23" i="12"/>
  <c r="S23" i="12"/>
  <c r="S74" i="12"/>
  <c r="AF74" i="12"/>
  <c r="AH74" i="12"/>
  <c r="AJ74" i="12"/>
  <c r="N67" i="3"/>
  <c r="CO24" i="12" s="1"/>
  <c r="BD26" i="12"/>
  <c r="BA26" i="12"/>
  <c r="AE22" i="12"/>
  <c r="S22" i="12"/>
  <c r="V6" i="21"/>
  <c r="BL25" i="12"/>
  <c r="BM25" i="12"/>
  <c r="BD25" i="12"/>
  <c r="BA25" i="12"/>
  <c r="AE21" i="12"/>
  <c r="S21" i="12"/>
  <c r="U6" i="21"/>
  <c r="BK24" i="12"/>
  <c r="BA24" i="12"/>
  <c r="CN24" i="12"/>
  <c r="X20" i="12"/>
  <c r="BI42" i="12" s="1"/>
  <c r="BK19" i="12"/>
  <c r="BK26" i="12"/>
  <c r="BK25" i="12"/>
  <c r="BD19" i="12"/>
  <c r="BC19" i="12"/>
  <c r="BA19" i="12"/>
  <c r="CN19" i="12"/>
  <c r="CN25" i="12"/>
  <c r="CN26" i="12"/>
  <c r="X19" i="12"/>
  <c r="BI41" i="12"/>
  <c r="BN18" i="12"/>
  <c r="BK18" i="12"/>
  <c r="BJ18" i="12"/>
  <c r="BH18" i="12"/>
  <c r="BD18" i="12"/>
  <c r="BA18" i="12"/>
  <c r="CN18" i="12"/>
  <c r="AE18" i="12"/>
  <c r="AG18" i="12"/>
  <c r="AA18" i="12"/>
  <c r="S18" i="12"/>
  <c r="AF18" i="12"/>
  <c r="AH18" i="12"/>
  <c r="BK17" i="12"/>
  <c r="BD17" i="12"/>
  <c r="BA17" i="12"/>
  <c r="AE17" i="12"/>
  <c r="AG17" i="12"/>
  <c r="AA17" i="12"/>
  <c r="AA80" i="12"/>
  <c r="BJ13" i="12"/>
  <c r="BJ15" i="12"/>
  <c r="S17" i="12"/>
  <c r="S80" i="12"/>
  <c r="AF80" i="12"/>
  <c r="AH80" i="12"/>
  <c r="BO16" i="12"/>
  <c r="BN16" i="12"/>
  <c r="BK16" i="12"/>
  <c r="BJ16" i="12"/>
  <c r="BD16" i="12"/>
  <c r="BC16" i="12"/>
  <c r="BA16" i="12"/>
  <c r="AE16" i="12"/>
  <c r="AG16" i="12"/>
  <c r="AA16" i="12"/>
  <c r="BJ40" i="12"/>
  <c r="BJ42" i="12"/>
  <c r="S16" i="12"/>
  <c r="AF16" i="12"/>
  <c r="AH16" i="12"/>
  <c r="B16" i="12"/>
  <c r="BD15" i="12"/>
  <c r="BA15" i="12"/>
  <c r="X15" i="12"/>
  <c r="BI11" i="12"/>
  <c r="BL14" i="12"/>
  <c r="BM14" i="12"/>
  <c r="BD14" i="12"/>
  <c r="BA14" i="12"/>
  <c r="AE14" i="12"/>
  <c r="AG11" i="12"/>
  <c r="BF11" i="12"/>
  <c r="P6" i="21"/>
  <c r="D14" i="12" a="1"/>
  <c r="D14" i="12"/>
  <c r="BN13" i="12"/>
  <c r="BK13" i="12"/>
  <c r="BK15" i="12"/>
  <c r="BK14" i="12"/>
  <c r="BD13" i="12"/>
  <c r="AE13" i="12"/>
  <c r="O6" i="21"/>
  <c r="BN12" i="12"/>
  <c r="BK12" i="12"/>
  <c r="BC12" i="12"/>
  <c r="CM12" i="12"/>
  <c r="AE12" i="12"/>
  <c r="N6" i="21"/>
  <c r="BN11" i="12"/>
  <c r="BK11" i="12"/>
  <c r="BJ11" i="12"/>
  <c r="BH11" i="12"/>
  <c r="DT12" i="12"/>
  <c r="BD11" i="12"/>
  <c r="BC11" i="12"/>
  <c r="CM11" i="12"/>
  <c r="AE11" i="12"/>
  <c r="M6" i="21"/>
  <c r="B11" i="12"/>
  <c r="CE10" i="12"/>
  <c r="CD10" i="12"/>
  <c r="CC10" i="12"/>
  <c r="CB10" i="12"/>
  <c r="CA10" i="12"/>
  <c r="BZ10" i="12"/>
  <c r="BY10" i="12"/>
  <c r="BX10" i="12"/>
  <c r="BW10" i="12"/>
  <c r="BV10" i="12"/>
  <c r="BU10" i="12"/>
  <c r="BT10" i="12"/>
  <c r="BS10" i="12"/>
  <c r="BR10" i="12"/>
  <c r="BQ10" i="12"/>
  <c r="BP10" i="12"/>
  <c r="AA5" i="12"/>
  <c r="D335" i="11" a="1"/>
  <c r="D335" i="11"/>
  <c r="BA342" i="11"/>
  <c r="BE342" i="11"/>
  <c r="BF324" i="11"/>
  <c r="BG324" i="11"/>
  <c r="D312" i="11" a="1"/>
  <c r="D328" i="11"/>
  <c r="BA336" i="11"/>
  <c r="BE336" i="11"/>
  <c r="D196" i="11" a="1"/>
  <c r="D196" i="11"/>
  <c r="D180" i="11" a="1"/>
  <c r="D180" i="11"/>
  <c r="D164" i="11" a="1"/>
  <c r="D164" i="11"/>
  <c r="D146" i="11" a="1"/>
  <c r="D146" i="11"/>
  <c r="D130" i="11" a="1"/>
  <c r="D130" i="11"/>
  <c r="D114" i="11" a="1"/>
  <c r="D114" i="11"/>
  <c r="D96" i="11" a="1"/>
  <c r="D96" i="11"/>
  <c r="D80" i="11" a="1"/>
  <c r="D80" i="11"/>
  <c r="D64" i="11" a="1"/>
  <c r="D64" i="11"/>
  <c r="D46" i="11" a="1"/>
  <c r="D46" i="11"/>
  <c r="D30" i="11" a="1"/>
  <c r="D30" i="11"/>
  <c r="BO24" i="11"/>
  <c r="AT24" i="11"/>
  <c r="AS24" i="11"/>
  <c r="BO23" i="11"/>
  <c r="AT23" i="11"/>
  <c r="AS23" i="11"/>
  <c r="BO22" i="11"/>
  <c r="BO21" i="11"/>
  <c r="AT21" i="11"/>
  <c r="AS21" i="11"/>
  <c r="AR21" i="11"/>
  <c r="BO20" i="11"/>
  <c r="AW20" i="11"/>
  <c r="AT20" i="11"/>
  <c r="AS20" i="11"/>
  <c r="BO19" i="11"/>
  <c r="BO17" i="11"/>
  <c r="BO16" i="11"/>
  <c r="BO15" i="11"/>
  <c r="BO14" i="11"/>
  <c r="D14" i="11" a="1"/>
  <c r="D14" i="11"/>
  <c r="BO13" i="11"/>
  <c r="BO12" i="11"/>
  <c r="Q11" i="11"/>
  <c r="DA430" i="10"/>
  <c r="DA429" i="10"/>
  <c r="DA428" i="10"/>
  <c r="DA427" i="10"/>
  <c r="DA426" i="10"/>
  <c r="DA425" i="10"/>
  <c r="DA424" i="10"/>
  <c r="DA423" i="10"/>
  <c r="DA422" i="10"/>
  <c r="DA421" i="10"/>
  <c r="DA420" i="10"/>
  <c r="DA419" i="10"/>
  <c r="DA418" i="10"/>
  <c r="DA417" i="10"/>
  <c r="DA416" i="10"/>
  <c r="DA415" i="10"/>
  <c r="DA414" i="10"/>
  <c r="DA413" i="10"/>
  <c r="DA412" i="10"/>
  <c r="DA411" i="10"/>
  <c r="DI10" i="10"/>
  <c r="DI35" i="10"/>
  <c r="DI60" i="10"/>
  <c r="DI85" i="10"/>
  <c r="DI110" i="10"/>
  <c r="DI135" i="10"/>
  <c r="DI160" i="10"/>
  <c r="DI185" i="10"/>
  <c r="DI210" i="10"/>
  <c r="DI235" i="10"/>
  <c r="DI260" i="10"/>
  <c r="DI285" i="10"/>
  <c r="DI310" i="10"/>
  <c r="DI335" i="10"/>
  <c r="DI360" i="10"/>
  <c r="DI385" i="10"/>
  <c r="DI410" i="10"/>
  <c r="DA410" i="10"/>
  <c r="DA409" i="10"/>
  <c r="DA408" i="10"/>
  <c r="DA407" i="10"/>
  <c r="DA406" i="10"/>
  <c r="DA405" i="10"/>
  <c r="DA404" i="10"/>
  <c r="DA403" i="10"/>
  <c r="DA402" i="10"/>
  <c r="DA401" i="10"/>
  <c r="DA400" i="10"/>
  <c r="DA399" i="10"/>
  <c r="DA398" i="10"/>
  <c r="DA397" i="10"/>
  <c r="DA396" i="10"/>
  <c r="DA395" i="10"/>
  <c r="DA394" i="10"/>
  <c r="DA393" i="10"/>
  <c r="DA392" i="10"/>
  <c r="DA391" i="10"/>
  <c r="DA390" i="10"/>
  <c r="DA389" i="10"/>
  <c r="DA388" i="10"/>
  <c r="DA387" i="10"/>
  <c r="DA386" i="10"/>
  <c r="DA385" i="10"/>
  <c r="DA384" i="10"/>
  <c r="DA383" i="10"/>
  <c r="DA382" i="10"/>
  <c r="DA381" i="10"/>
  <c r="DA380" i="10"/>
  <c r="DA379" i="10"/>
  <c r="DA378" i="10"/>
  <c r="DA377" i="10"/>
  <c r="DA376" i="10"/>
  <c r="DA375" i="10"/>
  <c r="DA374" i="10"/>
  <c r="DA373" i="10"/>
  <c r="DA372" i="10"/>
  <c r="DA371" i="10"/>
  <c r="DA370" i="10"/>
  <c r="DA369" i="10"/>
  <c r="DA368" i="10"/>
  <c r="DA367" i="10"/>
  <c r="DA366" i="10"/>
  <c r="DA365" i="10"/>
  <c r="DA364" i="10"/>
  <c r="DA363" i="10"/>
  <c r="DA362" i="10"/>
  <c r="DA361" i="10"/>
  <c r="DA360" i="10"/>
  <c r="DA359" i="10"/>
  <c r="DA358" i="10"/>
  <c r="DA357" i="10"/>
  <c r="DA356" i="10"/>
  <c r="DE355" i="10"/>
  <c r="DB355" i="10"/>
  <c r="DA355" i="10"/>
  <c r="DE354" i="10"/>
  <c r="DB354" i="10"/>
  <c r="DA354" i="10"/>
  <c r="CS354" i="10"/>
  <c r="CQ354" i="10"/>
  <c r="CO354" i="10"/>
  <c r="CA354" i="10" a="1"/>
  <c r="CA354" i="10"/>
  <c r="CZ355" i="10"/>
  <c r="DE353" i="10"/>
  <c r="DB353" i="10"/>
  <c r="DA353" i="10"/>
  <c r="CS353" i="10"/>
  <c r="CQ353" i="10"/>
  <c r="CO353" i="10"/>
  <c r="DE352" i="10"/>
  <c r="DB352" i="10"/>
  <c r="DA352" i="10"/>
  <c r="CS352" i="10"/>
  <c r="CQ352" i="10"/>
  <c r="CO352" i="10"/>
  <c r="DE351" i="10"/>
  <c r="DB351" i="10"/>
  <c r="DA351" i="10"/>
  <c r="CS351" i="10"/>
  <c r="CQ351" i="10"/>
  <c r="CO351" i="10"/>
  <c r="DE350" i="10"/>
  <c r="DB350" i="10"/>
  <c r="DA350" i="10"/>
  <c r="CS350" i="10"/>
  <c r="CQ350" i="10"/>
  <c r="CO350" i="10"/>
  <c r="CA350" i="10" a="1"/>
  <c r="CA350" i="10"/>
  <c r="CZ350" i="10"/>
  <c r="DE349" i="10"/>
  <c r="DB349" i="10"/>
  <c r="DA349" i="10"/>
  <c r="CS349" i="10"/>
  <c r="CQ349" i="10"/>
  <c r="CO349" i="10"/>
  <c r="DE348" i="10"/>
  <c r="DB348" i="10"/>
  <c r="DA348" i="10"/>
  <c r="CS348" i="10"/>
  <c r="CQ348" i="10"/>
  <c r="CO348" i="10"/>
  <c r="DE347" i="10"/>
  <c r="DB347" i="10"/>
  <c r="DA347" i="10"/>
  <c r="CS347" i="10"/>
  <c r="CQ347" i="10"/>
  <c r="CO347" i="10"/>
  <c r="DE346" i="10"/>
  <c r="DB346" i="10"/>
  <c r="DA346" i="10"/>
  <c r="CS346" i="10"/>
  <c r="CQ346" i="10"/>
  <c r="CO346" i="10"/>
  <c r="CA346" i="10" a="1"/>
  <c r="CA346" i="10"/>
  <c r="CZ346" i="10"/>
  <c r="DE345" i="10"/>
  <c r="DB345" i="10"/>
  <c r="DA345" i="10"/>
  <c r="CS345" i="10"/>
  <c r="CQ345" i="10"/>
  <c r="CO345" i="10"/>
  <c r="DE344" i="10"/>
  <c r="DB344" i="10"/>
  <c r="DA344" i="10"/>
  <c r="CS344" i="10"/>
  <c r="CQ344" i="10"/>
  <c r="CO344" i="10"/>
  <c r="DE343" i="10"/>
  <c r="DB343" i="10"/>
  <c r="DA343" i="10"/>
  <c r="CS343" i="10"/>
  <c r="CQ343" i="10"/>
  <c r="CO343" i="10"/>
  <c r="DE342" i="10"/>
  <c r="DB342" i="10"/>
  <c r="DA342" i="10"/>
  <c r="CS342" i="10"/>
  <c r="CQ342" i="10"/>
  <c r="CO342" i="10"/>
  <c r="CA342" i="10" a="1"/>
  <c r="CA342" i="10"/>
  <c r="CZ342" i="10"/>
  <c r="DE341" i="10"/>
  <c r="DB341" i="10"/>
  <c r="DA341" i="10"/>
  <c r="CS341" i="10"/>
  <c r="CQ341" i="10"/>
  <c r="CO341" i="10"/>
  <c r="DE340" i="10"/>
  <c r="DB340" i="10"/>
  <c r="DA340" i="10"/>
  <c r="CS340" i="10"/>
  <c r="CQ340" i="10"/>
  <c r="CO340" i="10"/>
  <c r="DE339" i="10"/>
  <c r="DB339" i="10"/>
  <c r="DA339" i="10"/>
  <c r="CS339" i="10"/>
  <c r="CQ339" i="10"/>
  <c r="CO339" i="10"/>
  <c r="DE338" i="10"/>
  <c r="DB338" i="10"/>
  <c r="DA338" i="10"/>
  <c r="CQ338" i="10"/>
  <c r="DE337" i="10"/>
  <c r="DB337" i="10"/>
  <c r="DA337" i="10"/>
  <c r="CQ337" i="10"/>
  <c r="DE336" i="10"/>
  <c r="DB336" i="10"/>
  <c r="DA336" i="10"/>
  <c r="CS336" i="10"/>
  <c r="CQ336" i="10"/>
  <c r="CO336" i="10"/>
  <c r="CA336" i="10" a="1"/>
  <c r="CA336" i="10"/>
  <c r="CZ336" i="10"/>
  <c r="DE335" i="10"/>
  <c r="DB335" i="10"/>
  <c r="DA335" i="10"/>
  <c r="CS335" i="10"/>
  <c r="CQ335" i="10"/>
  <c r="CO335" i="10"/>
  <c r="CA335" i="10" a="1"/>
  <c r="CA335" i="10"/>
  <c r="CZ335" i="10"/>
  <c r="DE334" i="10"/>
  <c r="DB334" i="10"/>
  <c r="DA334" i="10"/>
  <c r="CS334" i="10"/>
  <c r="CQ334" i="10"/>
  <c r="CO334" i="10"/>
  <c r="CL334" i="10" a="1"/>
  <c r="CL334" i="10"/>
  <c r="CA334" i="10" a="1"/>
  <c r="CA334" i="10"/>
  <c r="CZ334" i="10"/>
  <c r="DE333" i="10"/>
  <c r="DB333" i="10"/>
  <c r="DA333" i="10"/>
  <c r="CR333" i="10"/>
  <c r="CP333" i="10"/>
  <c r="CO333" i="10"/>
  <c r="CN333" i="10"/>
  <c r="DE332" i="10"/>
  <c r="DB332" i="10"/>
  <c r="DA332" i="10"/>
  <c r="CR332" i="10"/>
  <c r="CP332" i="10"/>
  <c r="CO332" i="10"/>
  <c r="CN332" i="10"/>
  <c r="DE331" i="10"/>
  <c r="DB331" i="10"/>
  <c r="DA331" i="10"/>
  <c r="CT331" i="10"/>
  <c r="CP331" i="10"/>
  <c r="CO331" i="10"/>
  <c r="CN331" i="10"/>
  <c r="CL331" i="10" a="1"/>
  <c r="CL331" i="10"/>
  <c r="CI331" i="10"/>
  <c r="CH331" i="10"/>
  <c r="CG331" i="10"/>
  <c r="CF331" i="10"/>
  <c r="CE331" i="10"/>
  <c r="CD331" i="10"/>
  <c r="CA331" i="10" a="1"/>
  <c r="CA331" i="10"/>
  <c r="CZ331" i="10"/>
  <c r="DB330" i="10"/>
  <c r="DA330" i="10"/>
  <c r="DB329" i="10"/>
  <c r="DA329" i="10"/>
  <c r="CO329" i="10"/>
  <c r="CA329" i="10" a="1"/>
  <c r="CA329" i="10"/>
  <c r="CZ330" i="10"/>
  <c r="DB328" i="10"/>
  <c r="DA328" i="10"/>
  <c r="CO328" i="10"/>
  <c r="CA328" i="10" a="1"/>
  <c r="CA328" i="10"/>
  <c r="CZ329" i="10"/>
  <c r="DB327" i="10"/>
  <c r="DA327" i="10"/>
  <c r="CO327" i="10"/>
  <c r="CA327" i="10" a="1"/>
  <c r="CA327" i="10"/>
  <c r="DB326" i="10"/>
  <c r="DA326" i="10"/>
  <c r="CO326" i="10"/>
  <c r="CA326" i="10" a="1"/>
  <c r="CA326" i="10"/>
  <c r="CZ326" i="10"/>
  <c r="DB325" i="10"/>
  <c r="DA325" i="10"/>
  <c r="CO325" i="10"/>
  <c r="CA325" i="10" a="1"/>
  <c r="CA325" i="10"/>
  <c r="CZ325" i="10"/>
  <c r="DB324" i="10"/>
  <c r="DA324" i="10"/>
  <c r="CO324" i="10"/>
  <c r="CA324" i="10" a="1"/>
  <c r="CA324" i="10"/>
  <c r="CZ324" i="10"/>
  <c r="DB323" i="10"/>
  <c r="DA323" i="10"/>
  <c r="CO323" i="10"/>
  <c r="CA323" i="10" a="1"/>
  <c r="CA323" i="10"/>
  <c r="CZ323" i="10"/>
  <c r="DB322" i="10"/>
  <c r="DA322" i="10"/>
  <c r="CO322" i="10"/>
  <c r="CA322" i="10" a="1"/>
  <c r="CA322" i="10"/>
  <c r="CZ322" i="10"/>
  <c r="DB321" i="10"/>
  <c r="DA321" i="10"/>
  <c r="CO321" i="10"/>
  <c r="CA321" i="10" a="1"/>
  <c r="CA321" i="10"/>
  <c r="CZ321" i="10"/>
  <c r="DB320" i="10"/>
  <c r="DA320" i="10"/>
  <c r="CO320" i="10"/>
  <c r="CA320" i="10" a="1"/>
  <c r="CA320" i="10"/>
  <c r="CZ320" i="10"/>
  <c r="DB319" i="10"/>
  <c r="DA319" i="10"/>
  <c r="CO319" i="10"/>
  <c r="CA319" i="10" a="1"/>
  <c r="CA319" i="10"/>
  <c r="CZ319" i="10"/>
  <c r="DB318" i="10"/>
  <c r="DA318" i="10"/>
  <c r="CO318" i="10"/>
  <c r="CA318" i="10" a="1"/>
  <c r="CA318" i="10"/>
  <c r="CZ318" i="10"/>
  <c r="DB317" i="10"/>
  <c r="DA317" i="10"/>
  <c r="CO317" i="10"/>
  <c r="CA317" i="10" a="1"/>
  <c r="CA317" i="10"/>
  <c r="CZ317" i="10"/>
  <c r="DB316" i="10"/>
  <c r="DA316" i="10"/>
  <c r="CO316" i="10"/>
  <c r="CA316" i="10" a="1"/>
  <c r="CA316" i="10"/>
  <c r="CZ316" i="10"/>
  <c r="DB315" i="10"/>
  <c r="DA315" i="10"/>
  <c r="CO315" i="10"/>
  <c r="CA315" i="10" a="1"/>
  <c r="CA315" i="10"/>
  <c r="CZ315" i="10"/>
  <c r="DB314" i="10"/>
  <c r="DA314" i="10"/>
  <c r="CO314" i="10"/>
  <c r="CA314" i="10" a="1"/>
  <c r="CA314" i="10"/>
  <c r="CZ314" i="10"/>
  <c r="DB313" i="10"/>
  <c r="DA313" i="10"/>
  <c r="CA313" i="10" a="1"/>
  <c r="CA313" i="10"/>
  <c r="CZ313" i="10"/>
  <c r="DB312" i="10"/>
  <c r="DA312" i="10"/>
  <c r="CA312" i="10" a="1"/>
  <c r="CA312" i="10"/>
  <c r="CZ312" i="10"/>
  <c r="DB311" i="10"/>
  <c r="DA311" i="10"/>
  <c r="CO311" i="10"/>
  <c r="CA311" i="10" a="1"/>
  <c r="CA311" i="10"/>
  <c r="CZ311" i="10"/>
  <c r="DB310" i="10"/>
  <c r="DA310" i="10"/>
  <c r="CO310" i="10"/>
  <c r="CA310" i="10" a="1"/>
  <c r="CA310" i="10"/>
  <c r="CZ310" i="10"/>
  <c r="DB309" i="10"/>
  <c r="DA309" i="10"/>
  <c r="CO309" i="10"/>
  <c r="CL309" i="10" a="1"/>
  <c r="CL309" i="10"/>
  <c r="CA309" i="10" a="1"/>
  <c r="CA309" i="10"/>
  <c r="CZ309" i="10"/>
  <c r="DB308" i="10"/>
  <c r="DA308" i="10"/>
  <c r="CO308" i="10"/>
  <c r="CN308" i="10"/>
  <c r="CA308" i="10" a="1"/>
  <c r="CA308" i="10"/>
  <c r="CZ308" i="10"/>
  <c r="DB307" i="10"/>
  <c r="DA307" i="10"/>
  <c r="CO307" i="10"/>
  <c r="CN307" i="10"/>
  <c r="CA307" i="10" a="1"/>
  <c r="CA307" i="10"/>
  <c r="CZ307" i="10"/>
  <c r="DB306" i="10"/>
  <c r="DA306" i="10"/>
  <c r="CT306" i="10"/>
  <c r="CO306" i="10"/>
  <c r="CN306" i="10"/>
  <c r="CL306" i="10" a="1"/>
  <c r="CL306" i="10"/>
  <c r="CE306" i="10"/>
  <c r="CD306" i="10"/>
  <c r="CA306" i="10" a="1"/>
  <c r="CA306" i="10"/>
  <c r="CZ306" i="10"/>
  <c r="DB305" i="10"/>
  <c r="DA305" i="10"/>
  <c r="DB304" i="10"/>
  <c r="DA304" i="10"/>
  <c r="CO304" i="10"/>
  <c r="CA304" i="10" a="1"/>
  <c r="CA304" i="10"/>
  <c r="CZ305" i="10"/>
  <c r="DB303" i="10"/>
  <c r="DA303" i="10"/>
  <c r="CO303" i="10"/>
  <c r="DB302" i="10"/>
  <c r="DA302" i="10"/>
  <c r="CO302" i="10"/>
  <c r="CA302" i="10" a="1"/>
  <c r="CA302" i="10"/>
  <c r="DB301" i="10"/>
  <c r="DA301" i="10"/>
  <c r="CO301" i="10"/>
  <c r="DB300" i="10"/>
  <c r="DA300" i="10"/>
  <c r="CO300" i="10"/>
  <c r="CA300" i="10" a="1"/>
  <c r="CA300" i="10"/>
  <c r="CZ300" i="10"/>
  <c r="DB299" i="10"/>
  <c r="DA299" i="10"/>
  <c r="CO299" i="10"/>
  <c r="DB298" i="10"/>
  <c r="DA298" i="10"/>
  <c r="CO298" i="10"/>
  <c r="CA298" i="10" a="1"/>
  <c r="CA298" i="10"/>
  <c r="CZ298" i="10"/>
  <c r="DB297" i="10"/>
  <c r="DA297" i="10"/>
  <c r="CO297" i="10"/>
  <c r="DB296" i="10"/>
  <c r="DA296" i="10"/>
  <c r="CO296" i="10"/>
  <c r="CA296" i="10" a="1"/>
  <c r="CA296" i="10"/>
  <c r="CZ296" i="10"/>
  <c r="DB295" i="10"/>
  <c r="DA295" i="10"/>
  <c r="CO295" i="10"/>
  <c r="DB294" i="10"/>
  <c r="DA294" i="10"/>
  <c r="CO294" i="10"/>
  <c r="CA294" i="10" a="1"/>
  <c r="CA294" i="10"/>
  <c r="CZ294" i="10"/>
  <c r="DB293" i="10"/>
  <c r="DA293" i="10"/>
  <c r="CO293" i="10"/>
  <c r="DB292" i="10"/>
  <c r="DA292" i="10"/>
  <c r="CO292" i="10"/>
  <c r="CA292" i="10" a="1"/>
  <c r="CA292" i="10"/>
  <c r="CZ292" i="10"/>
  <c r="DB291" i="10"/>
  <c r="DA291" i="10"/>
  <c r="CO291" i="10"/>
  <c r="DB290" i="10"/>
  <c r="DA290" i="10"/>
  <c r="CO290" i="10"/>
  <c r="CA290" i="10" a="1"/>
  <c r="CA290" i="10"/>
  <c r="CZ290" i="10"/>
  <c r="DB289" i="10"/>
  <c r="DA289" i="10"/>
  <c r="CO289" i="10"/>
  <c r="DB288" i="10"/>
  <c r="DA288" i="10"/>
  <c r="CA288" i="10" a="1"/>
  <c r="CA288" i="10"/>
  <c r="CZ288" i="10"/>
  <c r="DB287" i="10"/>
  <c r="DA287" i="10"/>
  <c r="CA287" i="10" a="1"/>
  <c r="CA287" i="10"/>
  <c r="CZ287" i="10"/>
  <c r="DB286" i="10"/>
  <c r="DA286" i="10"/>
  <c r="CO286" i="10"/>
  <c r="CA286" i="10" a="1"/>
  <c r="CA286" i="10"/>
  <c r="CZ286" i="10"/>
  <c r="DB285" i="10"/>
  <c r="DA285" i="10"/>
  <c r="CO285" i="10"/>
  <c r="DB284" i="10"/>
  <c r="DA284" i="10"/>
  <c r="CO284" i="10"/>
  <c r="CL284" i="10" a="1"/>
  <c r="CL284" i="10"/>
  <c r="CA284" i="10" a="1"/>
  <c r="CA284" i="10"/>
  <c r="CZ284" i="10"/>
  <c r="DB283" i="10"/>
  <c r="DA283" i="10"/>
  <c r="CO283" i="10"/>
  <c r="CN283" i="10"/>
  <c r="CA283" i="10" a="1"/>
  <c r="CA283" i="10"/>
  <c r="CZ283" i="10"/>
  <c r="DB282" i="10"/>
  <c r="DA282" i="10"/>
  <c r="CO282" i="10"/>
  <c r="CN282" i="10"/>
  <c r="CA282" i="10" a="1"/>
  <c r="CA282" i="10"/>
  <c r="CZ282" i="10"/>
  <c r="DB281" i="10"/>
  <c r="DA281" i="10"/>
  <c r="CT281" i="10"/>
  <c r="CO281" i="10"/>
  <c r="CN281" i="10"/>
  <c r="CL281" i="10" a="1"/>
  <c r="CL281" i="10"/>
  <c r="CE281" i="10"/>
  <c r="CD281" i="10"/>
  <c r="DB280" i="10"/>
  <c r="DA280" i="10"/>
  <c r="DB279" i="10"/>
  <c r="DA279" i="10"/>
  <c r="CO279" i="10"/>
  <c r="CA279" i="10" a="1"/>
  <c r="CA279" i="10"/>
  <c r="CZ280" i="10"/>
  <c r="DB278" i="10"/>
  <c r="DA278" i="10"/>
  <c r="CO278" i="10"/>
  <c r="CA278" i="10" a="1"/>
  <c r="CA278" i="10"/>
  <c r="CZ279" i="10"/>
  <c r="DB277" i="10"/>
  <c r="DA277" i="10"/>
  <c r="CO277" i="10"/>
  <c r="CA277" i="10" a="1"/>
  <c r="CA277" i="10"/>
  <c r="CZ278" i="10"/>
  <c r="DB276" i="10"/>
  <c r="DA276" i="10"/>
  <c r="CO276" i="10"/>
  <c r="CA276" i="10" a="1"/>
  <c r="CA276" i="10"/>
  <c r="CZ276" i="10"/>
  <c r="DB275" i="10"/>
  <c r="DA275" i="10"/>
  <c r="CO275" i="10"/>
  <c r="CA275" i="10"/>
  <c r="CZ275" i="10"/>
  <c r="CA275" i="10" a="1"/>
  <c r="DB274" i="10"/>
  <c r="DA274" i="10"/>
  <c r="CO274" i="10"/>
  <c r="CA274" i="10" a="1"/>
  <c r="CA274" i="10"/>
  <c r="CZ274" i="10"/>
  <c r="DB273" i="10"/>
  <c r="DA273" i="10"/>
  <c r="CO273" i="10"/>
  <c r="CA273" i="10" a="1"/>
  <c r="CA273" i="10"/>
  <c r="CZ273" i="10"/>
  <c r="DB272" i="10"/>
  <c r="DA272" i="10"/>
  <c r="CO272" i="10"/>
  <c r="CA272" i="10" a="1"/>
  <c r="CA272" i="10"/>
  <c r="CZ272" i="10"/>
  <c r="DB271" i="10"/>
  <c r="DA271" i="10"/>
  <c r="CO271" i="10"/>
  <c r="CA271" i="10" a="1"/>
  <c r="CA271" i="10"/>
  <c r="CZ271" i="10"/>
  <c r="DB270" i="10"/>
  <c r="DA270" i="10"/>
  <c r="CO270" i="10"/>
  <c r="CA270" i="10" a="1"/>
  <c r="CA270" i="10"/>
  <c r="CZ270" i="10"/>
  <c r="DB269" i="10"/>
  <c r="DA269" i="10"/>
  <c r="CZ269" i="10"/>
  <c r="CO269" i="10"/>
  <c r="CA269" i="10" a="1"/>
  <c r="CA269" i="10"/>
  <c r="DB268" i="10"/>
  <c r="DA268" i="10"/>
  <c r="CO268" i="10"/>
  <c r="CA268" i="10" a="1"/>
  <c r="CA268" i="10"/>
  <c r="CZ268" i="10"/>
  <c r="DB267" i="10"/>
  <c r="DA267" i="10"/>
  <c r="CO267" i="10"/>
  <c r="CA267" i="10" a="1"/>
  <c r="CA267" i="10"/>
  <c r="CZ267" i="10"/>
  <c r="DB266" i="10"/>
  <c r="DA266" i="10"/>
  <c r="CO266" i="10"/>
  <c r="CA266" i="10" a="1"/>
  <c r="CA266" i="10"/>
  <c r="CZ266" i="10"/>
  <c r="DB265" i="10"/>
  <c r="DA265" i="10"/>
  <c r="CO265" i="10"/>
  <c r="CA265" i="10" a="1"/>
  <c r="CA265" i="10"/>
  <c r="CZ265" i="10"/>
  <c r="DB264" i="10"/>
  <c r="DA264" i="10"/>
  <c r="CO264" i="10"/>
  <c r="CA264" i="10" a="1"/>
  <c r="CA264" i="10"/>
  <c r="CZ264" i="10"/>
  <c r="DB263" i="10"/>
  <c r="DA263" i="10"/>
  <c r="CA263" i="10" a="1"/>
  <c r="CA263" i="10"/>
  <c r="CZ263" i="10"/>
  <c r="DB262" i="10"/>
  <c r="DA262" i="10"/>
  <c r="CA262" i="10" a="1"/>
  <c r="CA262" i="10"/>
  <c r="CZ262" i="10"/>
  <c r="DB261" i="10"/>
  <c r="DA261" i="10"/>
  <c r="CO261" i="10"/>
  <c r="CA261" i="10" a="1"/>
  <c r="CA261" i="10"/>
  <c r="CZ261" i="10"/>
  <c r="DB260" i="10"/>
  <c r="DA260" i="10"/>
  <c r="CO260" i="10"/>
  <c r="CA260" i="10" a="1"/>
  <c r="CA260" i="10"/>
  <c r="CZ260" i="10"/>
  <c r="DB259" i="10"/>
  <c r="DA259" i="10"/>
  <c r="CO259" i="10"/>
  <c r="CL259" i="10" a="1"/>
  <c r="CL259" i="10"/>
  <c r="CA259" i="10" a="1"/>
  <c r="CA259" i="10"/>
  <c r="CZ259" i="10"/>
  <c r="DB258" i="10"/>
  <c r="DA258" i="10"/>
  <c r="CO258" i="10"/>
  <c r="CN258" i="10"/>
  <c r="CA258" i="10" a="1"/>
  <c r="CA258" i="10"/>
  <c r="CZ258" i="10"/>
  <c r="DB257" i="10"/>
  <c r="DA257" i="10"/>
  <c r="CO257" i="10"/>
  <c r="CN257" i="10"/>
  <c r="CA257" i="10" a="1"/>
  <c r="CA257" i="10"/>
  <c r="CZ257" i="10"/>
  <c r="DB256" i="10"/>
  <c r="DA256" i="10"/>
  <c r="CT256" i="10"/>
  <c r="CO256" i="10"/>
  <c r="CN256" i="10"/>
  <c r="CL256" i="10" a="1"/>
  <c r="CL256" i="10"/>
  <c r="CE256" i="10"/>
  <c r="CD256" i="10"/>
  <c r="CA256" i="10" a="1"/>
  <c r="CA256" i="10"/>
  <c r="CZ256" i="10"/>
  <c r="DB255" i="10"/>
  <c r="DA255" i="10"/>
  <c r="DB254" i="10"/>
  <c r="DA254" i="10"/>
  <c r="CO254" i="10"/>
  <c r="DB253" i="10"/>
  <c r="DA253" i="10"/>
  <c r="CO253" i="10"/>
  <c r="DB252" i="10"/>
  <c r="DA252" i="10"/>
  <c r="CO252" i="10"/>
  <c r="DB251" i="10"/>
  <c r="DA251" i="10"/>
  <c r="CO251" i="10"/>
  <c r="DB250" i="10"/>
  <c r="DA250" i="10"/>
  <c r="CO250" i="10"/>
  <c r="DB249" i="10"/>
  <c r="DA249" i="10"/>
  <c r="CO249" i="10"/>
  <c r="DB248" i="10"/>
  <c r="DA248" i="10"/>
  <c r="CO248" i="10"/>
  <c r="DB247" i="10"/>
  <c r="DA247" i="10"/>
  <c r="CO247" i="10"/>
  <c r="DB246" i="10"/>
  <c r="DA246" i="10"/>
  <c r="CO246" i="10"/>
  <c r="DB245" i="10"/>
  <c r="DA245" i="10"/>
  <c r="CO245" i="10"/>
  <c r="DB244" i="10"/>
  <c r="DA244" i="10"/>
  <c r="CO244" i="10"/>
  <c r="DB243" i="10"/>
  <c r="DA243" i="10"/>
  <c r="CO243" i="10"/>
  <c r="DB242" i="10"/>
  <c r="DA242" i="10"/>
  <c r="CO242" i="10"/>
  <c r="DB241" i="10"/>
  <c r="DA241" i="10"/>
  <c r="CO241" i="10"/>
  <c r="DB240" i="10"/>
  <c r="DA240" i="10"/>
  <c r="CO240" i="10"/>
  <c r="DB239" i="10"/>
  <c r="DA239" i="10"/>
  <c r="CO239" i="10"/>
  <c r="DB238" i="10"/>
  <c r="DA238" i="10"/>
  <c r="DB237" i="10"/>
  <c r="DA237" i="10"/>
  <c r="DB236" i="10"/>
  <c r="DA236" i="10"/>
  <c r="CO236" i="10"/>
  <c r="DB235" i="10"/>
  <c r="DA235" i="10"/>
  <c r="CO235" i="10"/>
  <c r="DB234" i="10"/>
  <c r="DA234" i="10"/>
  <c r="CO234" i="10"/>
  <c r="CL234" i="10" a="1"/>
  <c r="CL234" i="10"/>
  <c r="DB233" i="10"/>
  <c r="DA233" i="10"/>
  <c r="CO233" i="10"/>
  <c r="CN233" i="10"/>
  <c r="DB232" i="10"/>
  <c r="DA232" i="10"/>
  <c r="CO232" i="10"/>
  <c r="CN232" i="10"/>
  <c r="DB231" i="10"/>
  <c r="DA231" i="10"/>
  <c r="CT231" i="10"/>
  <c r="CO231" i="10"/>
  <c r="CN231" i="10"/>
  <c r="CL231" i="10" a="1"/>
  <c r="CL231" i="10"/>
  <c r="CE231" i="10"/>
  <c r="CD231" i="10"/>
  <c r="DB230" i="10"/>
  <c r="DA230" i="10"/>
  <c r="DB229" i="10"/>
  <c r="DA229" i="10"/>
  <c r="CO229" i="10"/>
  <c r="CA229" i="10" a="1"/>
  <c r="CA229" i="10"/>
  <c r="CZ230" i="10"/>
  <c r="DB228" i="10"/>
  <c r="DA228" i="10"/>
  <c r="CO228" i="10"/>
  <c r="DB227" i="10"/>
  <c r="DA227" i="10"/>
  <c r="CO227" i="10"/>
  <c r="CA227" i="10" a="1"/>
  <c r="CA227" i="10"/>
  <c r="DB226" i="10"/>
  <c r="DA226" i="10"/>
  <c r="CO226" i="10"/>
  <c r="DB225" i="10"/>
  <c r="DA225" i="10"/>
  <c r="CO225" i="10"/>
  <c r="CA225" i="10" a="1"/>
  <c r="CA225" i="10"/>
  <c r="CZ225" i="10"/>
  <c r="DB224" i="10"/>
  <c r="DA224" i="10"/>
  <c r="CO224" i="10"/>
  <c r="DB223" i="10"/>
  <c r="DA223" i="10"/>
  <c r="CO223" i="10"/>
  <c r="CA223" i="10" a="1"/>
  <c r="CA223" i="10"/>
  <c r="CZ223" i="10"/>
  <c r="DB222" i="10"/>
  <c r="DA222" i="10"/>
  <c r="CO222" i="10"/>
  <c r="DB221" i="10"/>
  <c r="DA221" i="10"/>
  <c r="CO221" i="10"/>
  <c r="CA221" i="10" a="1"/>
  <c r="CA221" i="10"/>
  <c r="CZ221" i="10"/>
  <c r="DB220" i="10"/>
  <c r="DA220" i="10"/>
  <c r="CO220" i="10"/>
  <c r="DB219" i="10"/>
  <c r="DA219" i="10"/>
  <c r="CO219" i="10"/>
  <c r="CA219" i="10" a="1"/>
  <c r="CA219" i="10"/>
  <c r="CZ219" i="10"/>
  <c r="DB218" i="10"/>
  <c r="DA218" i="10"/>
  <c r="CO218" i="10"/>
  <c r="DB217" i="10"/>
  <c r="DA217" i="10"/>
  <c r="CO217" i="10"/>
  <c r="CA217" i="10" a="1"/>
  <c r="CA217" i="10"/>
  <c r="CZ217" i="10"/>
  <c r="DB216" i="10"/>
  <c r="DA216" i="10"/>
  <c r="CO216" i="10"/>
  <c r="DB215" i="10"/>
  <c r="DA215" i="10"/>
  <c r="CO215" i="10"/>
  <c r="CA215" i="10" a="1"/>
  <c r="CA215" i="10"/>
  <c r="CZ215" i="10"/>
  <c r="DB214" i="10"/>
  <c r="DA214" i="10"/>
  <c r="CO214" i="10"/>
  <c r="DB213" i="10"/>
  <c r="DA213" i="10"/>
  <c r="DB212" i="10"/>
  <c r="DA212" i="10"/>
  <c r="DB211" i="10"/>
  <c r="DA211" i="10"/>
  <c r="CO211" i="10"/>
  <c r="DB210" i="10"/>
  <c r="DA210" i="10"/>
  <c r="CO210" i="10"/>
  <c r="DB209" i="10"/>
  <c r="DA209" i="10"/>
  <c r="CO209" i="10"/>
  <c r="CL209" i="10" a="1"/>
  <c r="CL209" i="10"/>
  <c r="CA209" i="10" a="1"/>
  <c r="CA209" i="10"/>
  <c r="CZ209" i="10"/>
  <c r="DB208" i="10"/>
  <c r="DA208" i="10"/>
  <c r="CO208" i="10"/>
  <c r="CN208" i="10"/>
  <c r="DB207" i="10"/>
  <c r="DA207" i="10"/>
  <c r="CO207" i="10"/>
  <c r="CN207" i="10"/>
  <c r="DB206" i="10"/>
  <c r="DA206" i="10"/>
  <c r="CT206" i="10"/>
  <c r="CO206" i="10"/>
  <c r="CN206" i="10"/>
  <c r="CL206" i="10" a="1"/>
  <c r="CL206" i="10"/>
  <c r="CE206" i="10"/>
  <c r="CD206" i="10"/>
  <c r="DB205" i="10"/>
  <c r="DA205" i="10"/>
  <c r="DB204" i="10"/>
  <c r="DA204" i="10"/>
  <c r="CO204" i="10"/>
  <c r="CA204" i="10" a="1"/>
  <c r="CA204" i="10"/>
  <c r="CZ205" i="10"/>
  <c r="CZ430" i="10"/>
  <c r="DB203" i="10"/>
  <c r="DA203" i="10"/>
  <c r="CO203" i="10"/>
  <c r="CA203" i="10" a="1"/>
  <c r="CA203" i="10"/>
  <c r="CZ204" i="10"/>
  <c r="CZ429" i="10"/>
  <c r="DB202" i="10"/>
  <c r="DA202" i="10"/>
  <c r="CO202" i="10"/>
  <c r="CA202" i="10" a="1"/>
  <c r="CA202" i="10"/>
  <c r="DB201" i="10"/>
  <c r="DA201" i="10"/>
  <c r="CO201" i="10"/>
  <c r="CA201" i="10" a="1"/>
  <c r="CA201" i="10"/>
  <c r="CZ201" i="10"/>
  <c r="CZ426" i="10"/>
  <c r="DB200" i="10"/>
  <c r="DA200" i="10"/>
  <c r="CO200" i="10"/>
  <c r="CA200" i="10" a="1"/>
  <c r="CA200" i="10"/>
  <c r="CZ200" i="10"/>
  <c r="CZ425" i="10"/>
  <c r="DB199" i="10"/>
  <c r="DA199" i="10"/>
  <c r="CO199" i="10"/>
  <c r="CA199" i="10" a="1"/>
  <c r="CA199" i="10"/>
  <c r="CZ199" i="10"/>
  <c r="CZ424" i="10"/>
  <c r="DB198" i="10"/>
  <c r="DA198" i="10"/>
  <c r="CO198" i="10"/>
  <c r="CA198" i="10" a="1"/>
  <c r="CA198" i="10"/>
  <c r="CZ198" i="10"/>
  <c r="CZ423" i="10"/>
  <c r="DB197" i="10"/>
  <c r="DA197" i="10"/>
  <c r="CO197" i="10"/>
  <c r="CA197" i="10" a="1"/>
  <c r="CA197" i="10"/>
  <c r="CZ197" i="10"/>
  <c r="CZ422" i="10"/>
  <c r="DB196" i="10"/>
  <c r="DA196" i="10"/>
  <c r="CO196" i="10"/>
  <c r="CA196" i="10" a="1"/>
  <c r="CA196" i="10"/>
  <c r="CZ196" i="10"/>
  <c r="CZ421" i="10"/>
  <c r="DB195" i="10"/>
  <c r="DA195" i="10"/>
  <c r="CO195" i="10"/>
  <c r="CA195" i="10" a="1"/>
  <c r="CA195" i="10"/>
  <c r="CZ195" i="10"/>
  <c r="CZ420" i="10"/>
  <c r="DB194" i="10"/>
  <c r="DA194" i="10"/>
  <c r="CO194" i="10"/>
  <c r="CA194" i="10" a="1"/>
  <c r="CA194" i="10"/>
  <c r="CZ194" i="10"/>
  <c r="CZ419" i="10"/>
  <c r="DB193" i="10"/>
  <c r="DA193" i="10"/>
  <c r="CO193" i="10"/>
  <c r="CA193" i="10" a="1"/>
  <c r="CA193" i="10"/>
  <c r="CZ193" i="10"/>
  <c r="CZ418" i="10"/>
  <c r="DB192" i="10"/>
  <c r="DA192" i="10"/>
  <c r="CO192" i="10"/>
  <c r="CA192" i="10" a="1"/>
  <c r="CA192" i="10"/>
  <c r="CZ192" i="10"/>
  <c r="CZ417" i="10"/>
  <c r="DB191" i="10"/>
  <c r="DA191" i="10"/>
  <c r="CO191" i="10"/>
  <c r="CA191" i="10" a="1"/>
  <c r="CA191" i="10"/>
  <c r="CZ191" i="10"/>
  <c r="CZ416" i="10"/>
  <c r="DB190" i="10"/>
  <c r="DA190" i="10"/>
  <c r="CO190" i="10"/>
  <c r="CA190" i="10"/>
  <c r="CZ190" i="10"/>
  <c r="CZ415" i="10"/>
  <c r="CA190" i="10" a="1"/>
  <c r="DB189" i="10"/>
  <c r="DA189" i="10"/>
  <c r="CO189" i="10"/>
  <c r="CA189" i="10" a="1"/>
  <c r="CA189" i="10"/>
  <c r="CZ189" i="10"/>
  <c r="CZ414" i="10"/>
  <c r="DB188" i="10"/>
  <c r="DA188" i="10"/>
  <c r="CA188" i="10" a="1"/>
  <c r="CA188" i="10"/>
  <c r="CZ188" i="10"/>
  <c r="CZ413" i="10"/>
  <c r="DB187" i="10"/>
  <c r="DA187" i="10"/>
  <c r="CA187" i="10" a="1"/>
  <c r="CA187" i="10"/>
  <c r="CZ187" i="10"/>
  <c r="CZ412" i="10"/>
  <c r="DB186" i="10"/>
  <c r="DA186" i="10"/>
  <c r="CO186" i="10"/>
  <c r="CA186" i="10" a="1"/>
  <c r="CA186" i="10"/>
  <c r="CZ186" i="10"/>
  <c r="CZ411" i="10"/>
  <c r="DB185" i="10"/>
  <c r="DA185" i="10"/>
  <c r="CO185" i="10"/>
  <c r="CA185" i="10" a="1"/>
  <c r="CA185" i="10"/>
  <c r="CZ185" i="10"/>
  <c r="CZ410" i="10"/>
  <c r="DB184" i="10"/>
  <c r="DA184" i="10"/>
  <c r="CO184" i="10"/>
  <c r="CL184" i="10" a="1"/>
  <c r="CL184" i="10"/>
  <c r="CA184" i="10" a="1"/>
  <c r="CA184" i="10"/>
  <c r="CZ184" i="10"/>
  <c r="CZ409" i="10"/>
  <c r="DB183" i="10"/>
  <c r="DA183" i="10"/>
  <c r="CO183" i="10"/>
  <c r="CN183" i="10"/>
  <c r="CA183" i="10" a="1"/>
  <c r="CA183" i="10"/>
  <c r="CZ183" i="10"/>
  <c r="CZ408" i="10"/>
  <c r="DB182" i="10"/>
  <c r="DA182" i="10"/>
  <c r="CO182" i="10"/>
  <c r="CN182" i="10"/>
  <c r="CA182" i="10" a="1"/>
  <c r="CA182" i="10"/>
  <c r="CZ182" i="10"/>
  <c r="CZ407" i="10"/>
  <c r="DB181" i="10"/>
  <c r="DA181" i="10"/>
  <c r="CT181" i="10"/>
  <c r="CO181" i="10"/>
  <c r="CN181" i="10"/>
  <c r="CL181" i="10" a="1"/>
  <c r="CL181" i="10"/>
  <c r="CE181" i="10"/>
  <c r="CD181" i="10"/>
  <c r="CA181" i="10" a="1"/>
  <c r="CA181" i="10"/>
  <c r="CZ181" i="10"/>
  <c r="CZ406" i="10"/>
  <c r="DB180" i="10"/>
  <c r="DA180" i="10"/>
  <c r="DB179" i="10"/>
  <c r="DA179" i="10"/>
  <c r="CO179" i="10"/>
  <c r="CA179" i="10" a="1"/>
  <c r="CA179" i="10"/>
  <c r="CZ180" i="10"/>
  <c r="CZ405" i="10"/>
  <c r="DB178" i="10"/>
  <c r="DA178" i="10"/>
  <c r="CO178" i="10"/>
  <c r="CA178" i="10"/>
  <c r="CZ179" i="10"/>
  <c r="CZ404" i="10"/>
  <c r="CA178" i="10" a="1"/>
  <c r="DB177" i="10"/>
  <c r="DA177" i="10"/>
  <c r="CO177" i="10"/>
  <c r="CA177" i="10" a="1"/>
  <c r="CA177" i="10"/>
  <c r="DB176" i="10"/>
  <c r="DA176" i="10"/>
  <c r="CO176" i="10"/>
  <c r="CA176" i="10" a="1"/>
  <c r="CA176" i="10"/>
  <c r="CZ176" i="10"/>
  <c r="CZ401" i="10"/>
  <c r="DB175" i="10"/>
  <c r="DA175" i="10"/>
  <c r="CO175" i="10"/>
  <c r="CA175" i="10" a="1"/>
  <c r="CA175" i="10"/>
  <c r="CZ175" i="10"/>
  <c r="CZ400" i="10"/>
  <c r="DB174" i="10"/>
  <c r="DA174" i="10"/>
  <c r="CO174" i="10"/>
  <c r="CA174" i="10" a="1"/>
  <c r="CA174" i="10"/>
  <c r="CZ174" i="10"/>
  <c r="CZ399" i="10"/>
  <c r="DB173" i="10"/>
  <c r="DA173" i="10"/>
  <c r="CO173" i="10"/>
  <c r="CA173" i="10" a="1"/>
  <c r="CA173" i="10"/>
  <c r="CZ173" i="10"/>
  <c r="CZ398" i="10"/>
  <c r="DB172" i="10"/>
  <c r="DA172" i="10"/>
  <c r="CO172" i="10"/>
  <c r="CA172" i="10" a="1"/>
  <c r="CA172" i="10"/>
  <c r="CZ172" i="10"/>
  <c r="CZ397" i="10"/>
  <c r="DB171" i="10"/>
  <c r="DA171" i="10"/>
  <c r="CO171" i="10"/>
  <c r="CA171" i="10" a="1"/>
  <c r="CA171" i="10"/>
  <c r="CZ171" i="10"/>
  <c r="CZ396" i="10"/>
  <c r="DB170" i="10"/>
  <c r="DA170" i="10"/>
  <c r="CO170" i="10"/>
  <c r="CA170" i="10" a="1"/>
  <c r="CA170" i="10"/>
  <c r="CZ170" i="10"/>
  <c r="CZ395" i="10"/>
  <c r="DB169" i="10"/>
  <c r="DA169" i="10"/>
  <c r="CO169" i="10"/>
  <c r="CA169" i="10" a="1"/>
  <c r="CA169" i="10"/>
  <c r="CZ169" i="10"/>
  <c r="CZ394" i="10"/>
  <c r="DB168" i="10"/>
  <c r="DA168" i="10"/>
  <c r="CO168" i="10"/>
  <c r="CA168" i="10" a="1"/>
  <c r="CA168" i="10"/>
  <c r="CZ168" i="10"/>
  <c r="CZ393" i="10"/>
  <c r="DB167" i="10"/>
  <c r="DA167" i="10"/>
  <c r="CO167" i="10"/>
  <c r="CA167" i="10" a="1"/>
  <c r="CA167" i="10"/>
  <c r="CZ167" i="10"/>
  <c r="CZ392" i="10"/>
  <c r="DB166" i="10"/>
  <c r="DA166" i="10"/>
  <c r="CO166" i="10"/>
  <c r="CA166" i="10" a="1"/>
  <c r="CA166" i="10"/>
  <c r="CZ166" i="10"/>
  <c r="CZ391" i="10"/>
  <c r="DB165" i="10"/>
  <c r="DA165" i="10"/>
  <c r="CO165" i="10"/>
  <c r="CA165" i="10" a="1"/>
  <c r="CA165" i="10"/>
  <c r="CZ165" i="10"/>
  <c r="CZ390" i="10"/>
  <c r="DB164" i="10"/>
  <c r="DA164" i="10"/>
  <c r="CO164" i="10"/>
  <c r="CA164" i="10" a="1"/>
  <c r="CA164" i="10"/>
  <c r="CZ164" i="10"/>
  <c r="CZ389" i="10"/>
  <c r="DB163" i="10"/>
  <c r="DA163" i="10"/>
  <c r="CA163" i="10" a="1"/>
  <c r="CA163" i="10"/>
  <c r="CZ163" i="10"/>
  <c r="CZ388" i="10"/>
  <c r="DB162" i="10"/>
  <c r="DA162" i="10"/>
  <c r="CA162" i="10" a="1"/>
  <c r="CA162" i="10"/>
  <c r="CZ162" i="10"/>
  <c r="CZ387" i="10"/>
  <c r="DB161" i="10"/>
  <c r="DA161" i="10"/>
  <c r="CO161" i="10"/>
  <c r="CA161" i="10" a="1"/>
  <c r="CA161" i="10"/>
  <c r="CZ161" i="10"/>
  <c r="CZ386" i="10"/>
  <c r="DB160" i="10"/>
  <c r="DA160" i="10"/>
  <c r="CO160" i="10"/>
  <c r="CA160" i="10" a="1"/>
  <c r="CA160" i="10"/>
  <c r="CZ160" i="10"/>
  <c r="CZ385" i="10"/>
  <c r="DB159" i="10"/>
  <c r="DA159" i="10"/>
  <c r="CO159" i="10"/>
  <c r="CL159" i="10" a="1"/>
  <c r="CL159" i="10"/>
  <c r="CA159" i="10" a="1"/>
  <c r="CA159" i="10"/>
  <c r="CZ159" i="10"/>
  <c r="CZ384" i="10"/>
  <c r="DB158" i="10"/>
  <c r="DA158" i="10"/>
  <c r="CO158" i="10"/>
  <c r="CN158" i="10"/>
  <c r="CA158" i="10" a="1"/>
  <c r="CA158" i="10"/>
  <c r="CZ158" i="10"/>
  <c r="CZ383" i="10"/>
  <c r="DB157" i="10"/>
  <c r="DA157" i="10"/>
  <c r="CO157" i="10"/>
  <c r="CN157" i="10"/>
  <c r="CA157" i="10" a="1"/>
  <c r="CA157" i="10"/>
  <c r="CZ157" i="10"/>
  <c r="CZ382" i="10"/>
  <c r="DB156" i="10"/>
  <c r="DA156" i="10"/>
  <c r="CT156" i="10"/>
  <c r="CO156" i="10"/>
  <c r="CN156" i="10"/>
  <c r="CL156" i="10" a="1"/>
  <c r="CL156" i="10"/>
  <c r="CE156" i="10"/>
  <c r="CD156" i="10"/>
  <c r="CA156" i="10" a="1"/>
  <c r="CA156" i="10"/>
  <c r="CZ156" i="10"/>
  <c r="CZ381" i="10"/>
  <c r="DB155" i="10"/>
  <c r="DA155" i="10"/>
  <c r="DB154" i="10"/>
  <c r="DA154" i="10"/>
  <c r="CO154" i="10"/>
  <c r="CA154" i="10" a="1"/>
  <c r="CA154" i="10"/>
  <c r="CZ155" i="10"/>
  <c r="CZ380" i="10"/>
  <c r="DB153" i="10"/>
  <c r="DA153" i="10"/>
  <c r="CO153" i="10"/>
  <c r="CA153" i="10" a="1"/>
  <c r="CA153" i="10"/>
  <c r="CZ154" i="10"/>
  <c r="CZ379" i="10"/>
  <c r="DB152" i="10"/>
  <c r="DA152" i="10"/>
  <c r="CO152" i="10"/>
  <c r="CA152" i="10" a="1"/>
  <c r="CA152" i="10"/>
  <c r="CZ153" i="10"/>
  <c r="CZ378" i="10"/>
  <c r="DB151" i="10"/>
  <c r="DA151" i="10"/>
  <c r="CO151" i="10"/>
  <c r="CA151" i="10" a="1"/>
  <c r="CA151" i="10"/>
  <c r="CZ151" i="10"/>
  <c r="CZ376" i="10"/>
  <c r="DB150" i="10"/>
  <c r="DA150" i="10"/>
  <c r="CO150" i="10"/>
  <c r="CA150" i="10" a="1"/>
  <c r="CA150" i="10"/>
  <c r="CZ150" i="10"/>
  <c r="CZ375" i="10"/>
  <c r="DB149" i="10"/>
  <c r="DA149" i="10"/>
  <c r="CO149" i="10"/>
  <c r="CA149" i="10" a="1"/>
  <c r="CA149" i="10"/>
  <c r="CZ149" i="10"/>
  <c r="CZ374" i="10"/>
  <c r="DB148" i="10"/>
  <c r="DA148" i="10"/>
  <c r="CO148" i="10"/>
  <c r="CA148" i="10" a="1"/>
  <c r="CA148" i="10"/>
  <c r="CZ148" i="10"/>
  <c r="CZ373" i="10"/>
  <c r="DB147" i="10"/>
  <c r="DA147" i="10"/>
  <c r="CO147" i="10"/>
  <c r="CA147" i="10" a="1"/>
  <c r="CA147" i="10"/>
  <c r="CZ147" i="10"/>
  <c r="CZ372" i="10"/>
  <c r="DB146" i="10"/>
  <c r="DA146" i="10"/>
  <c r="CO146" i="10"/>
  <c r="CA146" i="10" a="1"/>
  <c r="CA146" i="10"/>
  <c r="CZ146" i="10"/>
  <c r="CZ371" i="10"/>
  <c r="DB145" i="10"/>
  <c r="DA145" i="10"/>
  <c r="CO145" i="10"/>
  <c r="CA145" i="10" a="1"/>
  <c r="CA145" i="10"/>
  <c r="CZ145" i="10"/>
  <c r="CZ370" i="10"/>
  <c r="DB144" i="10"/>
  <c r="DA144" i="10"/>
  <c r="CO144" i="10"/>
  <c r="CA144" i="10" a="1"/>
  <c r="CA144" i="10"/>
  <c r="CZ144" i="10"/>
  <c r="CZ369" i="10"/>
  <c r="DB143" i="10"/>
  <c r="DA143" i="10"/>
  <c r="CO143" i="10"/>
  <c r="CA143" i="10" a="1"/>
  <c r="CA143" i="10"/>
  <c r="CZ143" i="10"/>
  <c r="CZ368" i="10"/>
  <c r="DB142" i="10"/>
  <c r="DA142" i="10"/>
  <c r="CO142" i="10"/>
  <c r="CA142" i="10" a="1"/>
  <c r="CA142" i="10"/>
  <c r="CZ142" i="10"/>
  <c r="CZ367" i="10"/>
  <c r="DB141" i="10"/>
  <c r="DA141" i="10"/>
  <c r="CO141" i="10"/>
  <c r="CA141" i="10" a="1"/>
  <c r="CA141" i="10"/>
  <c r="CZ141" i="10"/>
  <c r="CZ366" i="10"/>
  <c r="DB140" i="10"/>
  <c r="DA140" i="10"/>
  <c r="CO140" i="10"/>
  <c r="CA140" i="10" a="1"/>
  <c r="CA140" i="10"/>
  <c r="CZ140" i="10"/>
  <c r="CZ365" i="10"/>
  <c r="DB139" i="10"/>
  <c r="DA139" i="10"/>
  <c r="CO139" i="10"/>
  <c r="CA139" i="10" a="1"/>
  <c r="CA139" i="10"/>
  <c r="CZ139" i="10"/>
  <c r="CZ364" i="10"/>
  <c r="DB138" i="10"/>
  <c r="DA138" i="10"/>
  <c r="CA138" i="10" a="1"/>
  <c r="CA138" i="10"/>
  <c r="CZ138" i="10"/>
  <c r="CZ363" i="10"/>
  <c r="DB137" i="10"/>
  <c r="DA137" i="10"/>
  <c r="CA137" i="10" a="1"/>
  <c r="CA137" i="10"/>
  <c r="CZ137" i="10"/>
  <c r="CZ362" i="10"/>
  <c r="DB136" i="10"/>
  <c r="DA136" i="10"/>
  <c r="CO136" i="10"/>
  <c r="CA136" i="10" a="1"/>
  <c r="CA136" i="10"/>
  <c r="CZ136" i="10"/>
  <c r="CZ361" i="10"/>
  <c r="DB135" i="10"/>
  <c r="DA135" i="10"/>
  <c r="CO135" i="10"/>
  <c r="CA135" i="10"/>
  <c r="CZ135" i="10"/>
  <c r="CZ360" i="10"/>
  <c r="CA135" i="10" a="1"/>
  <c r="DB134" i="10"/>
  <c r="DA134" i="10"/>
  <c r="CO134" i="10"/>
  <c r="CL134" i="10" a="1"/>
  <c r="CL134" i="10"/>
  <c r="CA134" i="10" a="1"/>
  <c r="CA134" i="10"/>
  <c r="CZ134" i="10"/>
  <c r="CZ359" i="10"/>
  <c r="DB133" i="10"/>
  <c r="DA133" i="10"/>
  <c r="CO133" i="10"/>
  <c r="CN133" i="10"/>
  <c r="CA133" i="10" a="1"/>
  <c r="CA133" i="10"/>
  <c r="CZ133" i="10"/>
  <c r="CZ358" i="10"/>
  <c r="DB132" i="10"/>
  <c r="DA132" i="10"/>
  <c r="CO132" i="10"/>
  <c r="CN132" i="10"/>
  <c r="CA132" i="10" a="1"/>
  <c r="CA132" i="10"/>
  <c r="CZ132" i="10"/>
  <c r="CZ357" i="10"/>
  <c r="DB131" i="10"/>
  <c r="DA131" i="10"/>
  <c r="CT131" i="10"/>
  <c r="CO131" i="10"/>
  <c r="CN131" i="10"/>
  <c r="CL131" i="10" a="1"/>
  <c r="CL131" i="10"/>
  <c r="CE131" i="10"/>
  <c r="CD131" i="10"/>
  <c r="CA131" i="10" a="1"/>
  <c r="CA131" i="10"/>
  <c r="CZ131" i="10"/>
  <c r="CZ356" i="10"/>
  <c r="DB130" i="10"/>
  <c r="DA130" i="10"/>
  <c r="DB129" i="10"/>
  <c r="DA129" i="10"/>
  <c r="CO129" i="10"/>
  <c r="CA129" i="10" a="1"/>
  <c r="CA129" i="10"/>
  <c r="CZ130" i="10"/>
  <c r="DB128" i="10"/>
  <c r="DA128" i="10"/>
  <c r="CO128" i="10"/>
  <c r="CA128" i="10" a="1"/>
  <c r="CA128" i="10"/>
  <c r="CZ129" i="10"/>
  <c r="DB127" i="10"/>
  <c r="DA127" i="10"/>
  <c r="CO127" i="10"/>
  <c r="CA127" i="10" a="1"/>
  <c r="CA127" i="10"/>
  <c r="DB126" i="10"/>
  <c r="DA126" i="10"/>
  <c r="CO126" i="10"/>
  <c r="CA126" i="10" a="1"/>
  <c r="CA126" i="10"/>
  <c r="CZ126" i="10"/>
  <c r="DB125" i="10"/>
  <c r="DA125" i="10"/>
  <c r="CO125" i="10"/>
  <c r="CA125" i="10" a="1"/>
  <c r="CA125" i="10"/>
  <c r="CZ125" i="10"/>
  <c r="DB124" i="10"/>
  <c r="DA124" i="10"/>
  <c r="CO124" i="10"/>
  <c r="CA124" i="10" a="1"/>
  <c r="CA124" i="10"/>
  <c r="CZ124" i="10"/>
  <c r="DB123" i="10"/>
  <c r="DA123" i="10"/>
  <c r="CO123" i="10"/>
  <c r="CA123" i="10" a="1"/>
  <c r="CA123" i="10"/>
  <c r="CZ123" i="10"/>
  <c r="DB122" i="10"/>
  <c r="DA122" i="10"/>
  <c r="CO122" i="10"/>
  <c r="CA122" i="10" a="1"/>
  <c r="CA122" i="10"/>
  <c r="CZ122" i="10"/>
  <c r="DB121" i="10"/>
  <c r="DA121" i="10"/>
  <c r="CO121" i="10"/>
  <c r="CA121" i="10" a="1"/>
  <c r="CA121" i="10"/>
  <c r="CZ121" i="10"/>
  <c r="DB120" i="10"/>
  <c r="DA120" i="10"/>
  <c r="CO120" i="10"/>
  <c r="CA120" i="10" a="1"/>
  <c r="CA120" i="10"/>
  <c r="CZ120" i="10"/>
  <c r="DB119" i="10"/>
  <c r="DA119" i="10"/>
  <c r="CO119" i="10"/>
  <c r="CA119" i="10" a="1"/>
  <c r="CA119" i="10"/>
  <c r="CZ119" i="10"/>
  <c r="DB118" i="10"/>
  <c r="DA118" i="10"/>
  <c r="CO118" i="10"/>
  <c r="CA118" i="10" a="1"/>
  <c r="CA118" i="10"/>
  <c r="CZ118" i="10"/>
  <c r="DB117" i="10"/>
  <c r="DA117" i="10"/>
  <c r="CO117" i="10"/>
  <c r="CA117" i="10" a="1"/>
  <c r="CA117" i="10"/>
  <c r="CZ117" i="10"/>
  <c r="DB116" i="10"/>
  <c r="DA116" i="10"/>
  <c r="CO116" i="10"/>
  <c r="CA116" i="10" a="1"/>
  <c r="CA116" i="10"/>
  <c r="CZ116" i="10"/>
  <c r="DB115" i="10"/>
  <c r="DA115" i="10"/>
  <c r="CO115" i="10"/>
  <c r="CA115" i="10" a="1"/>
  <c r="CA115" i="10"/>
  <c r="CZ115" i="10"/>
  <c r="DB114" i="10"/>
  <c r="DA114" i="10"/>
  <c r="CO114" i="10"/>
  <c r="CA114" i="10" a="1"/>
  <c r="CA114" i="10"/>
  <c r="CZ114" i="10"/>
  <c r="DB113" i="10"/>
  <c r="DA113" i="10"/>
  <c r="CA113" i="10" a="1"/>
  <c r="CA113" i="10"/>
  <c r="CZ113" i="10"/>
  <c r="DB112" i="10"/>
  <c r="DA112" i="10"/>
  <c r="CA112" i="10" a="1"/>
  <c r="CA112" i="10"/>
  <c r="CZ112" i="10"/>
  <c r="DB111" i="10"/>
  <c r="DA111" i="10"/>
  <c r="CO111" i="10"/>
  <c r="CA111" i="10" a="1"/>
  <c r="CA111" i="10"/>
  <c r="CZ111" i="10"/>
  <c r="DB110" i="10"/>
  <c r="DA110" i="10"/>
  <c r="CO110" i="10"/>
  <c r="CA110" i="10" a="1"/>
  <c r="CA110" i="10"/>
  <c r="CZ110" i="10"/>
  <c r="DB109" i="10"/>
  <c r="DA109" i="10"/>
  <c r="CO109" i="10"/>
  <c r="CL109" i="10" a="1"/>
  <c r="CL109" i="10"/>
  <c r="CA109" i="10" a="1"/>
  <c r="CA109" i="10"/>
  <c r="CZ109" i="10"/>
  <c r="DB108" i="10"/>
  <c r="DA108" i="10"/>
  <c r="CO108" i="10"/>
  <c r="CN108" i="10"/>
  <c r="CA108" i="10" a="1"/>
  <c r="CA108" i="10"/>
  <c r="CZ108" i="10"/>
  <c r="DB107" i="10"/>
  <c r="DA107" i="10"/>
  <c r="CO107" i="10"/>
  <c r="CN107" i="10"/>
  <c r="CA107" i="10" a="1"/>
  <c r="CA107" i="10"/>
  <c r="CZ107" i="10"/>
  <c r="DB106" i="10"/>
  <c r="DA106" i="10"/>
  <c r="CT106" i="10"/>
  <c r="CO106" i="10"/>
  <c r="CN106" i="10"/>
  <c r="CL106" i="10" a="1"/>
  <c r="CL106" i="10"/>
  <c r="CE106" i="10"/>
  <c r="CD106" i="10"/>
  <c r="CA106" i="10" a="1"/>
  <c r="CA106" i="10"/>
  <c r="CZ106" i="10"/>
  <c r="DB105" i="10"/>
  <c r="DA105" i="10"/>
  <c r="DB104" i="10"/>
  <c r="DA104" i="10"/>
  <c r="CO104" i="10"/>
  <c r="CA104" i="10" a="1"/>
  <c r="CA104" i="10"/>
  <c r="CZ105" i="10"/>
  <c r="DB103" i="10"/>
  <c r="DA103" i="10"/>
  <c r="CO103" i="10"/>
  <c r="CA103" i="10" a="1"/>
  <c r="CA103" i="10"/>
  <c r="CZ104" i="10"/>
  <c r="DB102" i="10"/>
  <c r="DA102" i="10"/>
  <c r="CO102" i="10"/>
  <c r="CA102" i="10" a="1"/>
  <c r="CA102" i="10"/>
  <c r="DB101" i="10"/>
  <c r="DA101" i="10"/>
  <c r="CO101" i="10"/>
  <c r="CA101" i="10" a="1"/>
  <c r="CA101" i="10"/>
  <c r="CZ101" i="10"/>
  <c r="DB100" i="10"/>
  <c r="DA100" i="10"/>
  <c r="CO100" i="10"/>
  <c r="CA100" i="10" a="1"/>
  <c r="CA100" i="10"/>
  <c r="CZ100" i="10"/>
  <c r="DB99" i="10"/>
  <c r="DA99" i="10"/>
  <c r="CO99" i="10"/>
  <c r="CA99" i="10" a="1"/>
  <c r="CA99" i="10"/>
  <c r="CZ99" i="10"/>
  <c r="DB98" i="10"/>
  <c r="DA98" i="10"/>
  <c r="CO98" i="10"/>
  <c r="CA98" i="10" a="1"/>
  <c r="CA98" i="10"/>
  <c r="CZ98" i="10"/>
  <c r="DB97" i="10"/>
  <c r="DA97" i="10"/>
  <c r="CO97" i="10"/>
  <c r="CA97" i="10" a="1"/>
  <c r="CA97" i="10"/>
  <c r="CZ97" i="10"/>
  <c r="DB96" i="10"/>
  <c r="DA96" i="10"/>
  <c r="CO96" i="10"/>
  <c r="CA96" i="10" a="1"/>
  <c r="CA96" i="10"/>
  <c r="CZ96" i="10"/>
  <c r="DB95" i="10"/>
  <c r="DA95" i="10"/>
  <c r="CO95" i="10"/>
  <c r="CA95" i="10" a="1"/>
  <c r="CA95" i="10"/>
  <c r="CZ95" i="10"/>
  <c r="DB94" i="10"/>
  <c r="DA94" i="10"/>
  <c r="CO94" i="10"/>
  <c r="CA94" i="10" a="1"/>
  <c r="CA94" i="10"/>
  <c r="CZ94" i="10"/>
  <c r="DB93" i="10"/>
  <c r="DA93" i="10"/>
  <c r="CO93" i="10"/>
  <c r="CA93" i="10" a="1"/>
  <c r="CA93" i="10"/>
  <c r="CZ93" i="10"/>
  <c r="DB92" i="10"/>
  <c r="DA92" i="10"/>
  <c r="CZ92" i="10"/>
  <c r="CO92" i="10"/>
  <c r="CA92" i="10" a="1"/>
  <c r="CA92" i="10"/>
  <c r="DB91" i="10"/>
  <c r="DA91" i="10"/>
  <c r="CO91" i="10"/>
  <c r="CA91" i="10" a="1"/>
  <c r="CA91" i="10"/>
  <c r="CZ91" i="10"/>
  <c r="DB90" i="10"/>
  <c r="DA90" i="10"/>
  <c r="CO90" i="10"/>
  <c r="CA90" i="10" a="1"/>
  <c r="CA90" i="10"/>
  <c r="CZ90" i="10"/>
  <c r="DB89" i="10"/>
  <c r="DA89" i="10"/>
  <c r="CO89" i="10"/>
  <c r="CA89" i="10" a="1"/>
  <c r="CA89" i="10"/>
  <c r="CZ89" i="10"/>
  <c r="DB88" i="10"/>
  <c r="DA88" i="10"/>
  <c r="CA88" i="10" a="1"/>
  <c r="CA88" i="10"/>
  <c r="CZ88" i="10"/>
  <c r="G88" i="10"/>
  <c r="DB87" i="10"/>
  <c r="DA87" i="10"/>
  <c r="CA87" i="10" a="1"/>
  <c r="CA87" i="10"/>
  <c r="CZ87" i="10"/>
  <c r="G87" i="10"/>
  <c r="DB86" i="10"/>
  <c r="DA86" i="10"/>
  <c r="CO86" i="10"/>
  <c r="CA86" i="10" a="1"/>
  <c r="CA86" i="10"/>
  <c r="CZ86" i="10"/>
  <c r="G86" i="10"/>
  <c r="D86" i="10" a="1"/>
  <c r="D86" i="10"/>
  <c r="DB85" i="10"/>
  <c r="DA85" i="10"/>
  <c r="CO85" i="10"/>
  <c r="CA85" i="10" a="1"/>
  <c r="CA85" i="10"/>
  <c r="CZ85" i="10"/>
  <c r="DB84" i="10"/>
  <c r="DA84" i="10"/>
  <c r="CO84" i="10"/>
  <c r="CL84" i="10" a="1"/>
  <c r="CL84" i="10"/>
  <c r="CA84" i="10" a="1"/>
  <c r="CA84" i="10"/>
  <c r="CZ84" i="10"/>
  <c r="DB83" i="10"/>
  <c r="DA83" i="10"/>
  <c r="CO83" i="10"/>
  <c r="CN83" i="10"/>
  <c r="CA83" i="10" a="1"/>
  <c r="CA83" i="10"/>
  <c r="CZ83" i="10"/>
  <c r="DB82" i="10"/>
  <c r="DA82" i="10"/>
  <c r="CO82" i="10"/>
  <c r="CN82" i="10"/>
  <c r="CA82" i="10" a="1"/>
  <c r="CA82" i="10"/>
  <c r="CZ82" i="10"/>
  <c r="DB81" i="10"/>
  <c r="DA81" i="10"/>
  <c r="CT81" i="10"/>
  <c r="CO81" i="10"/>
  <c r="CN81" i="10"/>
  <c r="CL81" i="10" a="1"/>
  <c r="CL81" i="10"/>
  <c r="CE81" i="10"/>
  <c r="CD81" i="10"/>
  <c r="CA81" i="10" a="1"/>
  <c r="CA81" i="10"/>
  <c r="CZ81" i="10"/>
  <c r="DB80" i="10"/>
  <c r="DA80" i="10"/>
  <c r="DB79" i="10"/>
  <c r="DA79" i="10"/>
  <c r="CO79" i="10"/>
  <c r="CA79" i="10" a="1"/>
  <c r="CA79" i="10"/>
  <c r="CZ80" i="10"/>
  <c r="DB78" i="10"/>
  <c r="DA78" i="10"/>
  <c r="CO78" i="10"/>
  <c r="CA78" i="10" a="1"/>
  <c r="CA78" i="10"/>
  <c r="CZ79" i="10"/>
  <c r="DB77" i="10"/>
  <c r="DA77" i="10"/>
  <c r="CO77" i="10"/>
  <c r="CA77" i="10" a="1"/>
  <c r="CA77" i="10"/>
  <c r="DB76" i="10"/>
  <c r="DA76" i="10"/>
  <c r="CO76" i="10"/>
  <c r="CA76" i="10" a="1"/>
  <c r="CA76" i="10"/>
  <c r="CZ76" i="10"/>
  <c r="DB75" i="10"/>
  <c r="DA75" i="10"/>
  <c r="CO75" i="10"/>
  <c r="CA75" i="10" a="1"/>
  <c r="CA75" i="10"/>
  <c r="CZ75" i="10"/>
  <c r="DB74" i="10"/>
  <c r="DA74" i="10"/>
  <c r="CO74" i="10"/>
  <c r="CA74" i="10" a="1"/>
  <c r="CA74" i="10"/>
  <c r="CZ74" i="10"/>
  <c r="DB73" i="10"/>
  <c r="DA73" i="10"/>
  <c r="CO73" i="10"/>
  <c r="CA73" i="10" a="1"/>
  <c r="CA73" i="10"/>
  <c r="CZ73" i="10"/>
  <c r="DB72" i="10"/>
  <c r="DA72" i="10"/>
  <c r="CO72" i="10"/>
  <c r="CA72" i="10" a="1"/>
  <c r="CA72" i="10"/>
  <c r="CZ72" i="10"/>
  <c r="DB71" i="10"/>
  <c r="DA71" i="10"/>
  <c r="CO71" i="10"/>
  <c r="CA71" i="10" a="1"/>
  <c r="CA71" i="10"/>
  <c r="CZ71" i="10"/>
  <c r="DB70" i="10"/>
  <c r="DA70" i="10"/>
  <c r="CO70" i="10"/>
  <c r="CA70" i="10" a="1"/>
  <c r="CA70" i="10"/>
  <c r="CZ70" i="10"/>
  <c r="DB69" i="10"/>
  <c r="DA69" i="10"/>
  <c r="CO69" i="10"/>
  <c r="CA69" i="10" a="1"/>
  <c r="CA69" i="10"/>
  <c r="CZ69" i="10"/>
  <c r="DB68" i="10"/>
  <c r="DA68" i="10"/>
  <c r="CO68" i="10"/>
  <c r="CA68" i="10" a="1"/>
  <c r="CA68" i="10"/>
  <c r="CZ68" i="10"/>
  <c r="DB67" i="10"/>
  <c r="DA67" i="10"/>
  <c r="CO67" i="10"/>
  <c r="CA67" i="10" a="1"/>
  <c r="CA67" i="10"/>
  <c r="CZ67" i="10"/>
  <c r="DB66" i="10"/>
  <c r="DA66" i="10"/>
  <c r="CO66" i="10"/>
  <c r="CA66" i="10" a="1"/>
  <c r="CA66" i="10"/>
  <c r="CZ66" i="10"/>
  <c r="DB65" i="10"/>
  <c r="DA65" i="10"/>
  <c r="CO65" i="10"/>
  <c r="CA65" i="10" a="1"/>
  <c r="CA65" i="10"/>
  <c r="CZ65" i="10"/>
  <c r="DB64" i="10"/>
  <c r="DA64" i="10"/>
  <c r="CO64" i="10"/>
  <c r="CA64" i="10" a="1"/>
  <c r="CA64" i="10"/>
  <c r="CZ64" i="10"/>
  <c r="DB63" i="10"/>
  <c r="DA63" i="10"/>
  <c r="CA63" i="10" a="1"/>
  <c r="CA63" i="10"/>
  <c r="CZ63" i="10"/>
  <c r="D63" i="10" a="1"/>
  <c r="D63" i="10"/>
  <c r="DB62" i="10"/>
  <c r="DA62" i="10"/>
  <c r="CA62" i="10" a="1"/>
  <c r="CA62" i="10"/>
  <c r="CZ62" i="10"/>
  <c r="DB61" i="10"/>
  <c r="DA61" i="10"/>
  <c r="CO61" i="10"/>
  <c r="CA61" i="10" a="1"/>
  <c r="CA61" i="10"/>
  <c r="CZ61" i="10"/>
  <c r="DB60" i="10"/>
  <c r="DA60" i="10"/>
  <c r="CO60" i="10"/>
  <c r="CA60" i="10" a="1"/>
  <c r="CA60" i="10"/>
  <c r="CZ60" i="10"/>
  <c r="AE60" i="10" a="1"/>
  <c r="AE60" i="10"/>
  <c r="AD60" i="10" a="1"/>
  <c r="AD60" i="10"/>
  <c r="AC60" i="10" a="1"/>
  <c r="AC60" i="10"/>
  <c r="AB60" i="10" a="1"/>
  <c r="AB60" i="10"/>
  <c r="Z60" i="10" a="1"/>
  <c r="Z60" i="10"/>
  <c r="Y60" i="10" a="1"/>
  <c r="Y60" i="10"/>
  <c r="X60" i="10" a="1"/>
  <c r="X60" i="10"/>
  <c r="W60" i="10" a="1"/>
  <c r="W60" i="10"/>
  <c r="V60" i="10" a="1"/>
  <c r="V60" i="10"/>
  <c r="U60" i="10" a="1"/>
  <c r="U60" i="10"/>
  <c r="T60" i="10" a="1"/>
  <c r="T60" i="10"/>
  <c r="Q60" i="10" a="1"/>
  <c r="Q60" i="10"/>
  <c r="P60" i="10" a="1"/>
  <c r="P60" i="10"/>
  <c r="O60" i="10" a="1"/>
  <c r="O60" i="10"/>
  <c r="N60" i="10" a="1"/>
  <c r="N60" i="10"/>
  <c r="L60" i="10" a="1"/>
  <c r="L60" i="10"/>
  <c r="K60" i="10" a="1"/>
  <c r="K60" i="10"/>
  <c r="J60" i="10" a="1"/>
  <c r="J60" i="10"/>
  <c r="I60" i="10" a="1"/>
  <c r="I60" i="10"/>
  <c r="H60" i="10" a="1"/>
  <c r="H60" i="10"/>
  <c r="G60" i="10" a="1"/>
  <c r="G60" i="10"/>
  <c r="F60" i="10" a="1"/>
  <c r="F60" i="10"/>
  <c r="DB59" i="10"/>
  <c r="DA59" i="10"/>
  <c r="CO59" i="10"/>
  <c r="CL59" i="10" a="1"/>
  <c r="CL59" i="10"/>
  <c r="CA59" i="10" a="1"/>
  <c r="CA59" i="10"/>
  <c r="CZ59" i="10"/>
  <c r="DB58" i="10"/>
  <c r="DA58" i="10"/>
  <c r="CV58" i="10"/>
  <c r="CO58" i="10"/>
  <c r="CN58" i="10"/>
  <c r="CA58" i="10" a="1"/>
  <c r="CA58" i="10"/>
  <c r="CZ58" i="10"/>
  <c r="DB57" i="10"/>
  <c r="DA57" i="10"/>
  <c r="CV57" i="10"/>
  <c r="CO57" i="10"/>
  <c r="CN57" i="10"/>
  <c r="CA57" i="10" a="1"/>
  <c r="CA57" i="10"/>
  <c r="CZ57" i="10"/>
  <c r="DB56" i="10"/>
  <c r="DA56" i="10"/>
  <c r="CV56" i="10"/>
  <c r="CT56" i="10"/>
  <c r="CO56" i="10"/>
  <c r="CN56" i="10"/>
  <c r="CL56" i="10" a="1"/>
  <c r="CL56" i="10"/>
  <c r="CE56" i="10"/>
  <c r="CD56" i="10"/>
  <c r="CA56" i="10" a="1"/>
  <c r="CA56" i="10"/>
  <c r="CZ56" i="10"/>
  <c r="DB55" i="10"/>
  <c r="DA55" i="10"/>
  <c r="DB54" i="10"/>
  <c r="DA54" i="10"/>
  <c r="CO54" i="10"/>
  <c r="CA54" i="10" a="1"/>
  <c r="CA54" i="10"/>
  <c r="CZ55" i="10"/>
  <c r="DB53" i="10"/>
  <c r="DA53" i="10"/>
  <c r="CO53" i="10"/>
  <c r="CA53" i="10" a="1"/>
  <c r="CA53" i="10"/>
  <c r="CZ54" i="10"/>
  <c r="DB52" i="10"/>
  <c r="DA52" i="10"/>
  <c r="CO52" i="10"/>
  <c r="CA52" i="10" a="1"/>
  <c r="CA52" i="10"/>
  <c r="DB51" i="10"/>
  <c r="DA51" i="10"/>
  <c r="CO51" i="10"/>
  <c r="CA51" i="10" a="1"/>
  <c r="CA51" i="10"/>
  <c r="CZ51" i="10"/>
  <c r="AT51" i="10"/>
  <c r="AS51" i="10"/>
  <c r="AE51" i="10"/>
  <c r="DB50" i="10"/>
  <c r="DA50" i="10"/>
  <c r="CO50" i="10"/>
  <c r="CA50" i="10" a="1"/>
  <c r="CA50" i="10"/>
  <c r="CZ50" i="10"/>
  <c r="AT50" i="10"/>
  <c r="AS50" i="10"/>
  <c r="AE50" i="10"/>
  <c r="DB49" i="10"/>
  <c r="DA49" i="10"/>
  <c r="CO49" i="10"/>
  <c r="CA49" i="10" a="1"/>
  <c r="CA49" i="10"/>
  <c r="CZ49" i="10"/>
  <c r="AT49" i="10"/>
  <c r="AS49" i="10"/>
  <c r="AE49" i="10"/>
  <c r="DB48" i="10"/>
  <c r="DA48" i="10"/>
  <c r="CO48" i="10"/>
  <c r="CA48" i="10" a="1"/>
  <c r="CA48" i="10"/>
  <c r="CZ48" i="10"/>
  <c r="AT48" i="10"/>
  <c r="AS48" i="10"/>
  <c r="AE48" i="10"/>
  <c r="DB47" i="10"/>
  <c r="DA47" i="10"/>
  <c r="CO47" i="10"/>
  <c r="CA47" i="10" a="1"/>
  <c r="CA47" i="10"/>
  <c r="CZ47" i="10"/>
  <c r="AT47" i="10"/>
  <c r="AS47" i="10"/>
  <c r="AE47" i="10"/>
  <c r="DB46" i="10"/>
  <c r="DA46" i="10"/>
  <c r="CO46" i="10"/>
  <c r="CA46" i="10" a="1"/>
  <c r="CA46" i="10"/>
  <c r="CZ46" i="10"/>
  <c r="AT46" i="10"/>
  <c r="AS46" i="10"/>
  <c r="AE46" i="10"/>
  <c r="DB45" i="10"/>
  <c r="DA45" i="10"/>
  <c r="CO45" i="10"/>
  <c r="CA45" i="10" a="1"/>
  <c r="CA45" i="10"/>
  <c r="CZ45" i="10"/>
  <c r="AT45" i="10"/>
  <c r="AS45" i="10"/>
  <c r="AE45" i="10"/>
  <c r="DB44" i="10"/>
  <c r="DA44" i="10"/>
  <c r="CO44" i="10"/>
  <c r="CA44" i="10" a="1"/>
  <c r="CA44" i="10"/>
  <c r="CZ44" i="10"/>
  <c r="AT44" i="10"/>
  <c r="AS44" i="10"/>
  <c r="AE44" i="10"/>
  <c r="DB43" i="10"/>
  <c r="DA43" i="10"/>
  <c r="CO43" i="10"/>
  <c r="CA43" i="10" a="1"/>
  <c r="CA43" i="10"/>
  <c r="CZ43" i="10"/>
  <c r="AT43" i="10"/>
  <c r="AS43" i="10"/>
  <c r="AE43" i="10"/>
  <c r="DB42" i="10"/>
  <c r="DA42" i="10"/>
  <c r="CO42" i="10"/>
  <c r="CA42" i="10" a="1"/>
  <c r="CA42" i="10"/>
  <c r="CZ42" i="10"/>
  <c r="AT42" i="10"/>
  <c r="AS42" i="10"/>
  <c r="AE42" i="10"/>
  <c r="DB41" i="10"/>
  <c r="DA41" i="10"/>
  <c r="CO41" i="10"/>
  <c r="CA41" i="10" a="1"/>
  <c r="CA41" i="10"/>
  <c r="CZ41" i="10"/>
  <c r="AT41" i="10"/>
  <c r="AS41" i="10"/>
  <c r="AE41" i="10"/>
  <c r="DB40" i="10"/>
  <c r="DA40" i="10"/>
  <c r="CO40" i="10"/>
  <c r="CA40" i="10" a="1"/>
  <c r="CA40" i="10"/>
  <c r="CZ40" i="10"/>
  <c r="AT40" i="10"/>
  <c r="AS40" i="10"/>
  <c r="AE40" i="10"/>
  <c r="DB39" i="10"/>
  <c r="DA39" i="10"/>
  <c r="CO39" i="10"/>
  <c r="CA39" i="10" a="1"/>
  <c r="CA39" i="10"/>
  <c r="CZ39" i="10"/>
  <c r="AT39" i="10"/>
  <c r="AS39" i="10"/>
  <c r="AE39" i="10"/>
  <c r="DB38" i="10"/>
  <c r="DA38" i="10"/>
  <c r="CA38" i="10" a="1"/>
  <c r="CA38" i="10"/>
  <c r="CZ38" i="10"/>
  <c r="AT38" i="10"/>
  <c r="AS38" i="10"/>
  <c r="AE38" i="10"/>
  <c r="DB37" i="10"/>
  <c r="DA37" i="10"/>
  <c r="CA37" i="10" a="1"/>
  <c r="CA37" i="10"/>
  <c r="CZ37" i="10"/>
  <c r="AT37" i="10"/>
  <c r="AS37" i="10"/>
  <c r="AE37" i="10"/>
  <c r="DB36" i="10"/>
  <c r="DA36" i="10"/>
  <c r="CO36" i="10"/>
  <c r="CA36" i="10" a="1"/>
  <c r="CA36" i="10"/>
  <c r="CZ36" i="10"/>
  <c r="AT36" i="10"/>
  <c r="AS36" i="10"/>
  <c r="AE36" i="10"/>
  <c r="DB35" i="10"/>
  <c r="DA35" i="10"/>
  <c r="CO35" i="10"/>
  <c r="CA35" i="10" a="1"/>
  <c r="CA35" i="10"/>
  <c r="CZ35" i="10"/>
  <c r="AT35" i="10"/>
  <c r="AS35" i="10"/>
  <c r="AE35" i="10"/>
  <c r="DB34" i="10"/>
  <c r="DA34" i="10"/>
  <c r="CO34" i="10"/>
  <c r="CL34" i="10" a="1"/>
  <c r="CL34" i="10"/>
  <c r="CA34" i="10" a="1"/>
  <c r="CA34" i="10"/>
  <c r="CZ34" i="10"/>
  <c r="AT34" i="10"/>
  <c r="AE34" i="10"/>
  <c r="Q34" i="10"/>
  <c r="CO338" i="10" s="1"/>
  <c r="P34" i="10"/>
  <c r="CO313" i="10" s="1"/>
  <c r="O34" i="10"/>
  <c r="N34" i="10"/>
  <c r="AP34" i="10" s="1"/>
  <c r="CS263" i="10" s="1"/>
  <c r="M34" i="10"/>
  <c r="CO213" i="10" s="1"/>
  <c r="L34" i="10"/>
  <c r="CO188" i="10" s="1"/>
  <c r="K34" i="10"/>
  <c r="AM34" i="10" s="1"/>
  <c r="CS163" i="10" s="1"/>
  <c r="J34" i="10"/>
  <c r="CO138" i="10" s="1"/>
  <c r="G34" i="10"/>
  <c r="CO63" i="10" s="1"/>
  <c r="E34" i="10"/>
  <c r="DB33" i="10"/>
  <c r="DA33" i="10"/>
  <c r="CV33" i="10"/>
  <c r="CO33" i="10"/>
  <c r="CN33" i="10"/>
  <c r="CA33" i="10" a="1"/>
  <c r="CA33" i="10"/>
  <c r="CZ33" i="10"/>
  <c r="AT33" i="10"/>
  <c r="AE33" i="10"/>
  <c r="P33" i="10"/>
  <c r="AR33" i="10" s="1"/>
  <c r="AD33" i="10"/>
  <c r="M33" i="10"/>
  <c r="CO212" i="10" s="1"/>
  <c r="DB32" i="10"/>
  <c r="DA32" i="10"/>
  <c r="CO32" i="10"/>
  <c r="CN32" i="10"/>
  <c r="CA32" i="10" a="1"/>
  <c r="CA32" i="10"/>
  <c r="CZ32" i="10"/>
  <c r="AT32" i="10"/>
  <c r="AS32" i="10"/>
  <c r="AE32" i="10"/>
  <c r="DB31" i="10"/>
  <c r="DA31" i="10"/>
  <c r="CT31" i="10"/>
  <c r="CO31" i="10"/>
  <c r="CN31" i="10"/>
  <c r="CL31" i="10" a="1"/>
  <c r="CL31" i="10"/>
  <c r="CE31" i="10"/>
  <c r="CD31" i="10"/>
  <c r="CA31" i="10" a="1"/>
  <c r="CA31" i="10"/>
  <c r="CZ31" i="10"/>
  <c r="AT31" i="10"/>
  <c r="AS31" i="10"/>
  <c r="AE31" i="10"/>
  <c r="DB30" i="10"/>
  <c r="DA30" i="10"/>
  <c r="AT30" i="10"/>
  <c r="AS30" i="10"/>
  <c r="AE30" i="10"/>
  <c r="D30" i="10" a="1"/>
  <c r="DC68" i="10"/>
  <c r="DB29" i="10"/>
  <c r="DA29" i="10"/>
  <c r="CO29" i="10"/>
  <c r="DB28" i="10"/>
  <c r="DA28" i="10"/>
  <c r="CO28" i="10"/>
  <c r="AS28" i="10"/>
  <c r="AE28" i="10"/>
  <c r="Q28" i="10"/>
  <c r="P28" i="10"/>
  <c r="N28" i="10"/>
  <c r="M28" i="10"/>
  <c r="L28" i="10"/>
  <c r="I28" i="10"/>
  <c r="DB27" i="10"/>
  <c r="DA27" i="10"/>
  <c r="CO27" i="10"/>
  <c r="AG27" i="10" a="1"/>
  <c r="AG27" i="10"/>
  <c r="DB26" i="10"/>
  <c r="DA26" i="10"/>
  <c r="CO26" i="10"/>
  <c r="DB25" i="10"/>
  <c r="DA25" i="10"/>
  <c r="CO25" i="10"/>
  <c r="DB24" i="10"/>
  <c r="DA24" i="10"/>
  <c r="CO24" i="10"/>
  <c r="DB23" i="10"/>
  <c r="DA23" i="10"/>
  <c r="CO23" i="10"/>
  <c r="DB22" i="10"/>
  <c r="DA22" i="10"/>
  <c r="CO22" i="10"/>
  <c r="DB21" i="10"/>
  <c r="DA21" i="10"/>
  <c r="CO21" i="10"/>
  <c r="DB20" i="10"/>
  <c r="DA20" i="10"/>
  <c r="CO20" i="10"/>
  <c r="CA20" i="10" a="1"/>
  <c r="CA20" i="10"/>
  <c r="CZ20" i="10"/>
  <c r="AS20" i="10"/>
  <c r="AE20" i="10"/>
  <c r="DZ19" i="10"/>
  <c r="DY19" i="10"/>
  <c r="DX19" i="10"/>
  <c r="DB19" i="10"/>
  <c r="DA19" i="10"/>
  <c r="CO19" i="10"/>
  <c r="AS19" i="10"/>
  <c r="AE19" i="10"/>
  <c r="DB18" i="10"/>
  <c r="DA18" i="10"/>
  <c r="CO18" i="10"/>
  <c r="AE18" i="10"/>
  <c r="D18" i="10" a="1"/>
  <c r="DC355" i="10"/>
  <c r="DZ17" i="10"/>
  <c r="DY17" i="10"/>
  <c r="DX17" i="10"/>
  <c r="DK17" i="10" a="1"/>
  <c r="DK17" i="10"/>
  <c r="DC17" i="10"/>
  <c r="DB17" i="10"/>
  <c r="DA17" i="10"/>
  <c r="CO17" i="10"/>
  <c r="DZ16" i="10"/>
  <c r="DY16" i="10"/>
  <c r="DX16" i="10"/>
  <c r="DK16" i="10" a="1"/>
  <c r="DK16" i="10"/>
  <c r="DB16" i="10"/>
  <c r="DA16" i="10"/>
  <c r="CO16" i="10"/>
  <c r="AS16" i="10"/>
  <c r="AE16" i="10"/>
  <c r="DK15" i="10" a="1"/>
  <c r="DK15" i="10"/>
  <c r="DB15" i="10"/>
  <c r="DA15" i="10"/>
  <c r="CO15" i="10"/>
  <c r="E15" i="10" a="1"/>
  <c r="E15" i="10"/>
  <c r="DC14" i="10"/>
  <c r="DB14" i="10"/>
  <c r="DA14" i="10"/>
  <c r="CO14" i="10"/>
  <c r="DK13" i="10" a="1"/>
  <c r="DK13" i="10"/>
  <c r="DB13" i="10"/>
  <c r="DA13" i="10"/>
  <c r="DK12" i="10" a="1"/>
  <c r="DK12" i="10"/>
  <c r="DB12" i="10"/>
  <c r="DA12" i="10"/>
  <c r="DK11" i="10" a="1"/>
  <c r="DK11" i="10"/>
  <c r="DB11" i="10"/>
  <c r="DA11" i="10"/>
  <c r="CO11" i="10"/>
  <c r="CA11" i="10" a="1"/>
  <c r="CA11" i="10"/>
  <c r="CZ11" i="10"/>
  <c r="DK10" i="10" a="1"/>
  <c r="DK10" i="10"/>
  <c r="DC10" i="10"/>
  <c r="DB10" i="10"/>
  <c r="DA10" i="10"/>
  <c r="CO10" i="10"/>
  <c r="DK9" i="10" a="1"/>
  <c r="DK9" i="10"/>
  <c r="DB9" i="10"/>
  <c r="DA9" i="10"/>
  <c r="CO9" i="10"/>
  <c r="CL9" i="10" a="1"/>
  <c r="CL9" i="10"/>
  <c r="DK8" i="10" a="1"/>
  <c r="DK8" i="10"/>
  <c r="DC8" i="10"/>
  <c r="DB8" i="10"/>
  <c r="DA8" i="10"/>
  <c r="CV8" i="10"/>
  <c r="CO8" i="10"/>
  <c r="CN8" i="10"/>
  <c r="DK7" i="10" a="1"/>
  <c r="DK7" i="10"/>
  <c r="DC7" i="10"/>
  <c r="DB7" i="10"/>
  <c r="DA7" i="10"/>
  <c r="CO7" i="10"/>
  <c r="CN7" i="10"/>
  <c r="H7" i="10"/>
  <c r="DB6" i="10"/>
  <c r="DA6" i="10"/>
  <c r="CU6" i="10"/>
  <c r="CU57" i="10" s="1"/>
  <c r="CT6" i="10"/>
  <c r="CT352" i="10" s="1"/>
  <c r="CO6" i="10"/>
  <c r="CN6" i="10"/>
  <c r="CL6" i="10" a="1"/>
  <c r="CL6" i="10"/>
  <c r="CE6" i="10"/>
  <c r="CD6" i="10"/>
  <c r="D28" i="6" a="1"/>
  <c r="D28" i="6"/>
  <c r="D27" i="6" a="1"/>
  <c r="D27" i="6"/>
  <c r="D26" i="6" a="1"/>
  <c r="D26" i="6"/>
  <c r="D25" i="6" a="1"/>
  <c r="D25" i="6"/>
  <c r="D24" i="6" a="1"/>
  <c r="D24" i="6"/>
  <c r="D22" i="6" a="1"/>
  <c r="D22" i="6"/>
  <c r="D21" i="6" a="1"/>
  <c r="D21" i="6"/>
  <c r="D20" i="6" a="1"/>
  <c r="D20" i="6"/>
  <c r="D19" i="6" a="1"/>
  <c r="D19" i="6"/>
  <c r="K18" i="6"/>
  <c r="D16" i="6" a="1"/>
  <c r="D16" i="6"/>
  <c r="D13" i="6" a="1"/>
  <c r="D13" i="6"/>
  <c r="D10" i="6" a="1"/>
  <c r="D10" i="6"/>
  <c r="CJ689" i="9"/>
  <c r="CI689" i="9"/>
  <c r="CH689" i="9"/>
  <c r="BY689" i="9"/>
  <c r="BW689" i="9" a="1"/>
  <c r="BW689" i="9" s="1"/>
  <c r="CJ688" i="9"/>
  <c r="CI688" i="9"/>
  <c r="CH688" i="9"/>
  <c r="BY688" i="9"/>
  <c r="BW688" i="9" a="1"/>
  <c r="BW688" i="9" s="1"/>
  <c r="CJ687" i="9"/>
  <c r="CI687" i="9"/>
  <c r="CH687" i="9"/>
  <c r="BY687" i="9"/>
  <c r="BW687" i="9" a="1"/>
  <c r="BW687" i="9"/>
  <c r="CJ686" i="9"/>
  <c r="CI686" i="9"/>
  <c r="CH686" i="9"/>
  <c r="BY686" i="9"/>
  <c r="BX686" i="9" s="1"/>
  <c r="BW686" i="9" a="1"/>
  <c r="BW686" i="9"/>
  <c r="CJ685" i="9"/>
  <c r="CI685" i="9"/>
  <c r="CH685" i="9"/>
  <c r="BY685" i="9"/>
  <c r="BW685" i="9" a="1"/>
  <c r="BW685" i="9" s="1"/>
  <c r="CJ684" i="9"/>
  <c r="CI684" i="9"/>
  <c r="CH684" i="9"/>
  <c r="BY684" i="9"/>
  <c r="BW684" i="9" a="1"/>
  <c r="BW684" i="9"/>
  <c r="CJ683" i="9"/>
  <c r="CI683" i="9"/>
  <c r="CH683" i="9"/>
  <c r="BY683" i="9"/>
  <c r="BX683" i="9" s="1"/>
  <c r="BW683" i="9" a="1"/>
  <c r="BW683" i="9" s="1"/>
  <c r="CJ682" i="9"/>
  <c r="CI682" i="9"/>
  <c r="CH682" i="9"/>
  <c r="BY682" i="9"/>
  <c r="BW682" i="9" a="1"/>
  <c r="BW682" i="9" s="1"/>
  <c r="CJ681" i="9"/>
  <c r="CI681" i="9"/>
  <c r="CH681" i="9"/>
  <c r="BY681" i="9"/>
  <c r="BW681" i="9" a="1"/>
  <c r="BW681" i="9" s="1"/>
  <c r="CJ680" i="9"/>
  <c r="CI680" i="9"/>
  <c r="CH680" i="9"/>
  <c r="BY680" i="9"/>
  <c r="BX680" i="9"/>
  <c r="BW680" i="9" a="1"/>
  <c r="BW680" i="9" s="1"/>
  <c r="CJ679" i="9"/>
  <c r="CI679" i="9"/>
  <c r="CH679" i="9"/>
  <c r="BY679" i="9"/>
  <c r="BW679" i="9" a="1"/>
  <c r="BW679" i="9"/>
  <c r="CJ678" i="9"/>
  <c r="CI678" i="9"/>
  <c r="CH678" i="9"/>
  <c r="BY678" i="9"/>
  <c r="BW678" i="9" a="1"/>
  <c r="BW678" i="9" s="1"/>
  <c r="CJ677" i="9"/>
  <c r="CI677" i="9"/>
  <c r="CH677" i="9"/>
  <c r="BY677" i="9"/>
  <c r="BX677" i="9"/>
  <c r="BW677" i="9" a="1"/>
  <c r="BW677" i="9"/>
  <c r="CJ676" i="9"/>
  <c r="CI676" i="9"/>
  <c r="CH676" i="9"/>
  <c r="BY676" i="9"/>
  <c r="BW676" i="9" a="1"/>
  <c r="BW676" i="9"/>
  <c r="FT675" i="9"/>
  <c r="CJ674" i="9"/>
  <c r="CI674" i="9"/>
  <c r="CH674" i="9"/>
  <c r="BY674" i="9"/>
  <c r="CJ673" i="9"/>
  <c r="CI673" i="9"/>
  <c r="CH673" i="9"/>
  <c r="BY673" i="9"/>
  <c r="BY672" i="9"/>
  <c r="BY671" i="9"/>
  <c r="BY670" i="9"/>
  <c r="BY669" i="9"/>
  <c r="BY668" i="9"/>
  <c r="BY667" i="9"/>
  <c r="BY666" i="9"/>
  <c r="BX666" i="9" s="1"/>
  <c r="CJ665" i="9"/>
  <c r="CI665" i="9"/>
  <c r="CH665" i="9"/>
  <c r="BY665" i="9"/>
  <c r="BW665" i="9" a="1"/>
  <c r="BW665" i="9" s="1"/>
  <c r="CJ664" i="9"/>
  <c r="CI664" i="9"/>
  <c r="CH664" i="9"/>
  <c r="BY664" i="9"/>
  <c r="CJ663" i="9"/>
  <c r="CI663" i="9"/>
  <c r="CH663" i="9"/>
  <c r="BY663" i="9"/>
  <c r="CJ662" i="9"/>
  <c r="CI662" i="9"/>
  <c r="CH662" i="9"/>
  <c r="BY662" i="9"/>
  <c r="BY661" i="9"/>
  <c r="FT660" i="9"/>
  <c r="CJ659" i="9"/>
  <c r="CI659" i="9"/>
  <c r="CH659" i="9"/>
  <c r="BY659" i="9"/>
  <c r="CJ658" i="9"/>
  <c r="CI658" i="9"/>
  <c r="CH658" i="9"/>
  <c r="BY658" i="9"/>
  <c r="CJ657" i="9"/>
  <c r="CI657" i="9"/>
  <c r="CH657" i="9"/>
  <c r="BY657" i="9"/>
  <c r="CJ656" i="9"/>
  <c r="CI656" i="9"/>
  <c r="CH656" i="9"/>
  <c r="BY656" i="9"/>
  <c r="CJ655" i="9"/>
  <c r="CI655" i="9"/>
  <c r="CH655" i="9"/>
  <c r="BY655" i="9"/>
  <c r="CJ654" i="9"/>
  <c r="CI654" i="9"/>
  <c r="CH654" i="9"/>
  <c r="BY654" i="9"/>
  <c r="CJ653" i="9"/>
  <c r="CI653" i="9"/>
  <c r="CH653" i="9"/>
  <c r="BY653" i="9"/>
  <c r="CJ652" i="9"/>
  <c r="CI652" i="9"/>
  <c r="CH652" i="9"/>
  <c r="BY652" i="9"/>
  <c r="CJ651" i="9"/>
  <c r="CI651" i="9"/>
  <c r="CH651" i="9"/>
  <c r="BY651" i="9"/>
  <c r="BX651" i="9"/>
  <c r="CJ650" i="9"/>
  <c r="CI650" i="9"/>
  <c r="CH650" i="9"/>
  <c r="BY650" i="9"/>
  <c r="BW650" i="9" a="1"/>
  <c r="BW650" i="9"/>
  <c r="CJ649" i="9"/>
  <c r="CI649" i="9"/>
  <c r="CH649" i="9"/>
  <c r="BY649" i="9"/>
  <c r="CJ648" i="9"/>
  <c r="CI648" i="9"/>
  <c r="CH648" i="9"/>
  <c r="BY648" i="9"/>
  <c r="CJ647" i="9"/>
  <c r="CI647" i="9"/>
  <c r="CH647" i="9"/>
  <c r="BY647" i="9"/>
  <c r="CJ646" i="9"/>
  <c r="CI646" i="9"/>
  <c r="CH646" i="9"/>
  <c r="BY646" i="9"/>
  <c r="BX646" i="9" s="1"/>
  <c r="FT645" i="9"/>
  <c r="CJ644" i="9"/>
  <c r="CI644" i="9"/>
  <c r="CH644" i="9"/>
  <c r="BY644" i="9"/>
  <c r="CJ643" i="9"/>
  <c r="CI643" i="9"/>
  <c r="CH643" i="9"/>
  <c r="BY643" i="9"/>
  <c r="CJ642" i="9"/>
  <c r="CI642" i="9"/>
  <c r="CH642" i="9"/>
  <c r="BY642" i="9"/>
  <c r="CJ641" i="9"/>
  <c r="CI641" i="9"/>
  <c r="CH641" i="9"/>
  <c r="BY641" i="9"/>
  <c r="CJ640" i="9"/>
  <c r="CI640" i="9"/>
  <c r="CH640" i="9"/>
  <c r="BY640" i="9"/>
  <c r="CJ639" i="9"/>
  <c r="CI639" i="9"/>
  <c r="CH639" i="9"/>
  <c r="BY639" i="9"/>
  <c r="CJ638" i="9"/>
  <c r="CI638" i="9"/>
  <c r="CH638" i="9"/>
  <c r="BY638" i="9"/>
  <c r="CJ637" i="9"/>
  <c r="CI637" i="9"/>
  <c r="CH637" i="9"/>
  <c r="BY637" i="9"/>
  <c r="CJ636" i="9"/>
  <c r="CI636" i="9"/>
  <c r="CH636" i="9"/>
  <c r="BY636" i="9"/>
  <c r="CJ635" i="9"/>
  <c r="CI635" i="9"/>
  <c r="CH635" i="9"/>
  <c r="BY635" i="9"/>
  <c r="BW635" i="9" a="1"/>
  <c r="BW635" i="9" s="1"/>
  <c r="CJ634" i="9"/>
  <c r="CI634" i="9"/>
  <c r="CH634" i="9"/>
  <c r="BY634" i="9"/>
  <c r="BX634" i="9" s="1"/>
  <c r="CJ633" i="9"/>
  <c r="CI633" i="9"/>
  <c r="CH633" i="9"/>
  <c r="BY633" i="9"/>
  <c r="CJ632" i="9"/>
  <c r="CI632" i="9"/>
  <c r="CH632" i="9"/>
  <c r="BY632" i="9"/>
  <c r="BX632" i="9"/>
  <c r="CJ631" i="9"/>
  <c r="CI631" i="9"/>
  <c r="CH631" i="9"/>
  <c r="BY631" i="9"/>
  <c r="FT630" i="9"/>
  <c r="CJ629" i="9"/>
  <c r="CI629" i="9"/>
  <c r="CH629" i="9"/>
  <c r="BY629" i="9"/>
  <c r="BX629" i="9" s="1"/>
  <c r="CJ628" i="9"/>
  <c r="CI628" i="9"/>
  <c r="CH628" i="9"/>
  <c r="BY628" i="9"/>
  <c r="BX628" i="9" s="1"/>
  <c r="CJ627" i="9"/>
  <c r="CI627" i="9"/>
  <c r="CH627" i="9"/>
  <c r="BY627" i="9"/>
  <c r="BX627" i="9"/>
  <c r="CJ626" i="9"/>
  <c r="CI626" i="9"/>
  <c r="CH626" i="9"/>
  <c r="BY626" i="9"/>
  <c r="BX626" i="9" s="1"/>
  <c r="CJ625" i="9"/>
  <c r="CI625" i="9"/>
  <c r="CH625" i="9"/>
  <c r="BY625" i="9"/>
  <c r="BX625" i="9"/>
  <c r="CJ624" i="9"/>
  <c r="CI624" i="9"/>
  <c r="CH624" i="9"/>
  <c r="BY624" i="9"/>
  <c r="BX624" i="9"/>
  <c r="CJ623" i="9"/>
  <c r="CI623" i="9"/>
  <c r="CH623" i="9"/>
  <c r="BY623" i="9"/>
  <c r="BX623" i="9"/>
  <c r="CJ622" i="9"/>
  <c r="CI622" i="9"/>
  <c r="CH622" i="9"/>
  <c r="BY622" i="9"/>
  <c r="BX622" i="9" s="1"/>
  <c r="CJ621" i="9"/>
  <c r="CI621" i="9"/>
  <c r="CH621" i="9"/>
  <c r="BY621" i="9"/>
  <c r="BX621" i="9" s="1"/>
  <c r="CJ620" i="9"/>
  <c r="CI620" i="9"/>
  <c r="CH620" i="9"/>
  <c r="BY620" i="9"/>
  <c r="BX620" i="9" s="1"/>
  <c r="BW620" i="9" a="1"/>
  <c r="BW620" i="9" s="1"/>
  <c r="CJ619" i="9"/>
  <c r="CI619" i="9"/>
  <c r="CH619" i="9"/>
  <c r="BY619" i="9"/>
  <c r="BX619" i="9"/>
  <c r="CJ618" i="9"/>
  <c r="CI618" i="9"/>
  <c r="CH618" i="9"/>
  <c r="BY618" i="9"/>
  <c r="BX618" i="9"/>
  <c r="CJ617" i="9"/>
  <c r="CI617" i="9"/>
  <c r="CH617" i="9"/>
  <c r="BY617" i="9"/>
  <c r="BX617" i="9"/>
  <c r="CJ616" i="9"/>
  <c r="CI616" i="9"/>
  <c r="CH616" i="9"/>
  <c r="BY616" i="9"/>
  <c r="BX616" i="9" s="1"/>
  <c r="FT615" i="9"/>
  <c r="FT614" i="9"/>
  <c r="FT613" i="9"/>
  <c r="FT612" i="9"/>
  <c r="FT611" i="9"/>
  <c r="FT610" i="9"/>
  <c r="FT609" i="9"/>
  <c r="FT608" i="9"/>
  <c r="FT607" i="9"/>
  <c r="FT606" i="9"/>
  <c r="FT605" i="9"/>
  <c r="FT604" i="9"/>
  <c r="FT603" i="9"/>
  <c r="FT602" i="9"/>
  <c r="FT601" i="9"/>
  <c r="FT600" i="9"/>
  <c r="FT599" i="9"/>
  <c r="FT598" i="9"/>
  <c r="FT597" i="9"/>
  <c r="FT596" i="9"/>
  <c r="FT595" i="9"/>
  <c r="FT594" i="9"/>
  <c r="FT593" i="9"/>
  <c r="FT592" i="9"/>
  <c r="FT591" i="9"/>
  <c r="FT590" i="9"/>
  <c r="FT589" i="9"/>
  <c r="FT588" i="9"/>
  <c r="FT587" i="9"/>
  <c r="FT586" i="9"/>
  <c r="FT585" i="9"/>
  <c r="FT584" i="9"/>
  <c r="FT583" i="9"/>
  <c r="FT582" i="9"/>
  <c r="FT581" i="9"/>
  <c r="FT580" i="9"/>
  <c r="FT579" i="9"/>
  <c r="FT578" i="9"/>
  <c r="FT577" i="9"/>
  <c r="FT576" i="9"/>
  <c r="FT575" i="9"/>
  <c r="FT574" i="9"/>
  <c r="FT573" i="9"/>
  <c r="FT572" i="9"/>
  <c r="FT571" i="9"/>
  <c r="CJ570" i="9"/>
  <c r="CI570" i="9"/>
  <c r="CH570" i="9"/>
  <c r="BY570" i="9"/>
  <c r="BW570" i="9" a="1"/>
  <c r="BW570" i="9"/>
  <c r="CJ569" i="9"/>
  <c r="CI569" i="9"/>
  <c r="CH569" i="9"/>
  <c r="BY569" i="9"/>
  <c r="BW569" i="9" a="1"/>
  <c r="BW569" i="9"/>
  <c r="CJ568" i="9"/>
  <c r="CI568" i="9"/>
  <c r="CH568" i="9"/>
  <c r="BY568" i="9"/>
  <c r="BX568" i="9" s="1"/>
  <c r="BW568" i="9" a="1"/>
  <c r="BW568" i="9" s="1"/>
  <c r="CJ567" i="9"/>
  <c r="CI567" i="9"/>
  <c r="CH567" i="9"/>
  <c r="BY567" i="9"/>
  <c r="BW567" i="9" a="1"/>
  <c r="BW567" i="9" s="1"/>
  <c r="CJ566" i="9"/>
  <c r="CI566" i="9"/>
  <c r="CH566" i="9"/>
  <c r="BY566" i="9"/>
  <c r="BW566" i="9" a="1"/>
  <c r="BW566" i="9" s="1"/>
  <c r="CJ565" i="9"/>
  <c r="CI565" i="9"/>
  <c r="CH565" i="9"/>
  <c r="BY565" i="9"/>
  <c r="BX565" i="9"/>
  <c r="BW565" i="9" a="1"/>
  <c r="BW565" i="9"/>
  <c r="CJ564" i="9"/>
  <c r="CI564" i="9"/>
  <c r="CH564" i="9"/>
  <c r="BY564" i="9"/>
  <c r="BW564" i="9" a="1"/>
  <c r="BW564" i="9"/>
  <c r="CJ563" i="9"/>
  <c r="CI563" i="9"/>
  <c r="CH563" i="9"/>
  <c r="BY563" i="9"/>
  <c r="BW563" i="9" a="1"/>
  <c r="BW563" i="9"/>
  <c r="CJ562" i="9"/>
  <c r="CI562" i="9"/>
  <c r="CH562" i="9"/>
  <c r="BY562" i="9"/>
  <c r="BX562" i="9" s="1"/>
  <c r="BW562" i="9" a="1"/>
  <c r="BW562" i="9" s="1"/>
  <c r="CJ561" i="9"/>
  <c r="CI561" i="9"/>
  <c r="CH561" i="9"/>
  <c r="BY561" i="9"/>
  <c r="BW561" i="9" a="1"/>
  <c r="BW561" i="9" s="1"/>
  <c r="CJ560" i="9"/>
  <c r="CI560" i="9"/>
  <c r="CH560" i="9"/>
  <c r="BY560" i="9"/>
  <c r="BW560" i="9" a="1"/>
  <c r="BW560" i="9" s="1"/>
  <c r="CJ559" i="9"/>
  <c r="CI559" i="9"/>
  <c r="CH559" i="9"/>
  <c r="BY559" i="9"/>
  <c r="BX559" i="9"/>
  <c r="BW559" i="9" a="1"/>
  <c r="BW559" i="9"/>
  <c r="CJ558" i="9"/>
  <c r="CI558" i="9"/>
  <c r="CH558" i="9"/>
  <c r="BY558" i="9"/>
  <c r="BW558" i="9" a="1"/>
  <c r="BW558" i="9"/>
  <c r="CJ557" i="9"/>
  <c r="CI557" i="9"/>
  <c r="CH557" i="9"/>
  <c r="BY557" i="9"/>
  <c r="BW557" i="9" a="1"/>
  <c r="BW557" i="9" s="1"/>
  <c r="FT556" i="9"/>
  <c r="CJ555" i="9"/>
  <c r="CI555" i="9"/>
  <c r="CH555" i="9"/>
  <c r="BY555" i="9"/>
  <c r="CJ554" i="9"/>
  <c r="CI554" i="9"/>
  <c r="CH554" i="9"/>
  <c r="BY554" i="9"/>
  <c r="BY553" i="9"/>
  <c r="BX553" i="9" s="1"/>
  <c r="BY552" i="9"/>
  <c r="BY551" i="9"/>
  <c r="BY550" i="9"/>
  <c r="BY549" i="9"/>
  <c r="BY548" i="9"/>
  <c r="BX548" i="9"/>
  <c r="BY547" i="9"/>
  <c r="CJ546" i="9"/>
  <c r="CI546" i="9"/>
  <c r="CH546" i="9"/>
  <c r="BY546" i="9"/>
  <c r="BW546" i="9" a="1"/>
  <c r="BW546" i="9" s="1"/>
  <c r="CJ545" i="9"/>
  <c r="CI545" i="9"/>
  <c r="CH545" i="9"/>
  <c r="BY545" i="9"/>
  <c r="CJ544" i="9"/>
  <c r="CI544" i="9"/>
  <c r="CH544" i="9"/>
  <c r="BY544" i="9"/>
  <c r="CJ543" i="9"/>
  <c r="CI543" i="9"/>
  <c r="CH543" i="9"/>
  <c r="BY543" i="9"/>
  <c r="BY542" i="9"/>
  <c r="FT541" i="9"/>
  <c r="CJ540" i="9"/>
  <c r="CI540" i="9"/>
  <c r="CH540" i="9"/>
  <c r="BY540" i="9"/>
  <c r="CJ539" i="9"/>
  <c r="CI539" i="9"/>
  <c r="CH539" i="9"/>
  <c r="BY539" i="9"/>
  <c r="CJ538" i="9"/>
  <c r="CI538" i="9"/>
  <c r="CH538" i="9"/>
  <c r="BY538" i="9"/>
  <c r="CJ537" i="9"/>
  <c r="CI537" i="9"/>
  <c r="CH537" i="9"/>
  <c r="BY537" i="9"/>
  <c r="CJ536" i="9"/>
  <c r="CI536" i="9"/>
  <c r="CH536" i="9"/>
  <c r="BY536" i="9"/>
  <c r="CJ535" i="9"/>
  <c r="CI535" i="9"/>
  <c r="CH535" i="9"/>
  <c r="BY535" i="9"/>
  <c r="CJ534" i="9"/>
  <c r="CI534" i="9"/>
  <c r="CH534" i="9"/>
  <c r="BY534" i="9"/>
  <c r="CJ533" i="9"/>
  <c r="CI533" i="9"/>
  <c r="CH533" i="9"/>
  <c r="BY533" i="9"/>
  <c r="CJ532" i="9"/>
  <c r="CI532" i="9"/>
  <c r="CH532" i="9"/>
  <c r="BY532" i="9"/>
  <c r="CJ531" i="9"/>
  <c r="CI531" i="9"/>
  <c r="CH531" i="9"/>
  <c r="BY531" i="9"/>
  <c r="BW531" i="9" a="1"/>
  <c r="BW531" i="9" s="1"/>
  <c r="CJ530" i="9"/>
  <c r="CI530" i="9"/>
  <c r="CH530" i="9"/>
  <c r="BY530" i="9"/>
  <c r="CJ529" i="9"/>
  <c r="CI529" i="9"/>
  <c r="CH529" i="9"/>
  <c r="BY529" i="9"/>
  <c r="CJ528" i="9"/>
  <c r="CI528" i="9"/>
  <c r="CH528" i="9"/>
  <c r="BY528" i="9"/>
  <c r="CJ527" i="9"/>
  <c r="CI527" i="9"/>
  <c r="CH527" i="9"/>
  <c r="BY527" i="9"/>
  <c r="FT526" i="9"/>
  <c r="CJ525" i="9"/>
  <c r="CI525" i="9"/>
  <c r="CH525" i="9"/>
  <c r="BY525" i="9"/>
  <c r="CJ524" i="9"/>
  <c r="CI524" i="9"/>
  <c r="CH524" i="9"/>
  <c r="BY524" i="9"/>
  <c r="BX524" i="9"/>
  <c r="CJ523" i="9"/>
  <c r="CI523" i="9"/>
  <c r="CH523" i="9"/>
  <c r="BY523" i="9"/>
  <c r="CJ522" i="9"/>
  <c r="CI522" i="9"/>
  <c r="CH522" i="9"/>
  <c r="BY522" i="9"/>
  <c r="CJ521" i="9"/>
  <c r="CI521" i="9"/>
  <c r="CH521" i="9"/>
  <c r="BY521" i="9"/>
  <c r="CJ520" i="9"/>
  <c r="CI520" i="9"/>
  <c r="CH520" i="9"/>
  <c r="BY520" i="9"/>
  <c r="CJ519" i="9"/>
  <c r="CI519" i="9"/>
  <c r="CH519" i="9"/>
  <c r="BY519" i="9"/>
  <c r="CJ518" i="9"/>
  <c r="CI518" i="9"/>
  <c r="CH518" i="9"/>
  <c r="BY518" i="9"/>
  <c r="CJ517" i="9"/>
  <c r="CI517" i="9"/>
  <c r="CH517" i="9"/>
  <c r="BY517" i="9"/>
  <c r="BX517" i="9" s="1"/>
  <c r="CJ516" i="9"/>
  <c r="CI516" i="9"/>
  <c r="CH516" i="9"/>
  <c r="BY516" i="9"/>
  <c r="BW516" i="9" a="1"/>
  <c r="BW516" i="9" s="1"/>
  <c r="CJ515" i="9"/>
  <c r="CI515" i="9"/>
  <c r="CH515" i="9"/>
  <c r="BY515" i="9"/>
  <c r="CJ514" i="9"/>
  <c r="CI514" i="9"/>
  <c r="CH514" i="9"/>
  <c r="BY514" i="9"/>
  <c r="CJ513" i="9"/>
  <c r="CI513" i="9"/>
  <c r="CH513" i="9"/>
  <c r="BY513" i="9"/>
  <c r="CJ512" i="9"/>
  <c r="CI512" i="9"/>
  <c r="CH512" i="9"/>
  <c r="BY512" i="9"/>
  <c r="FT511" i="9"/>
  <c r="CJ510" i="9"/>
  <c r="CI510" i="9"/>
  <c r="CH510" i="9"/>
  <c r="BY510" i="9"/>
  <c r="BX510" i="9" s="1"/>
  <c r="CJ509" i="9"/>
  <c r="CI509" i="9"/>
  <c r="CH509" i="9"/>
  <c r="BY509" i="9"/>
  <c r="BX509" i="9" s="1"/>
  <c r="FZ509" i="9" s="1"/>
  <c r="GA509" i="9" s="1"/>
  <c r="GB509" i="9" s="1"/>
  <c r="GC509" i="9" s="1"/>
  <c r="GD509" i="9" s="1"/>
  <c r="GE509" i="9" s="1"/>
  <c r="GF509" i="9" s="1"/>
  <c r="GG509" i="9" s="1"/>
  <c r="GH509" i="9" s="1"/>
  <c r="GI509" i="9" s="1"/>
  <c r="BZ509" i="9" s="1"/>
  <c r="CJ508" i="9"/>
  <c r="CI508" i="9"/>
  <c r="CH508" i="9"/>
  <c r="BY508" i="9"/>
  <c r="BX508" i="9" s="1"/>
  <c r="CJ507" i="9"/>
  <c r="CI507" i="9"/>
  <c r="CH507" i="9"/>
  <c r="BY507" i="9"/>
  <c r="BX507" i="9"/>
  <c r="FZ507" i="9" s="1"/>
  <c r="GA507" i="9" s="1"/>
  <c r="GB507" i="9" s="1"/>
  <c r="GC507" i="9" s="1"/>
  <c r="CJ506" i="9"/>
  <c r="CI506" i="9"/>
  <c r="CH506" i="9"/>
  <c r="BY506" i="9"/>
  <c r="BX506" i="9" s="1"/>
  <c r="CJ505" i="9"/>
  <c r="CI505" i="9"/>
  <c r="CH505" i="9"/>
  <c r="BY505" i="9"/>
  <c r="BX505" i="9"/>
  <c r="CJ504" i="9"/>
  <c r="CI504" i="9"/>
  <c r="CH504" i="9"/>
  <c r="BY504" i="9"/>
  <c r="BX504" i="9" s="1"/>
  <c r="CJ503" i="9"/>
  <c r="CI503" i="9"/>
  <c r="CH503" i="9"/>
  <c r="BY503" i="9"/>
  <c r="BX503" i="9"/>
  <c r="CJ502" i="9"/>
  <c r="CI502" i="9"/>
  <c r="CH502" i="9"/>
  <c r="BY502" i="9"/>
  <c r="BX502" i="9" s="1"/>
  <c r="CJ501" i="9"/>
  <c r="CI501" i="9"/>
  <c r="CH501" i="9"/>
  <c r="BY501" i="9"/>
  <c r="BX501" i="9" s="1"/>
  <c r="BW501" i="9" a="1"/>
  <c r="BW501" i="9"/>
  <c r="CJ500" i="9"/>
  <c r="CI500" i="9"/>
  <c r="CH500" i="9"/>
  <c r="BY500" i="9"/>
  <c r="BX500" i="9" s="1"/>
  <c r="CJ499" i="9"/>
  <c r="CI499" i="9"/>
  <c r="CH499" i="9"/>
  <c r="BY499" i="9"/>
  <c r="BX499" i="9"/>
  <c r="CJ498" i="9"/>
  <c r="CI498" i="9"/>
  <c r="CH498" i="9"/>
  <c r="BY498" i="9"/>
  <c r="BX498" i="9"/>
  <c r="CJ497" i="9"/>
  <c r="CI497" i="9"/>
  <c r="CH497" i="9"/>
  <c r="BY497" i="9"/>
  <c r="BX497" i="9"/>
  <c r="FT496" i="9"/>
  <c r="FT495" i="9"/>
  <c r="FT494" i="9"/>
  <c r="FT493" i="9"/>
  <c r="FT492" i="9"/>
  <c r="FT491" i="9"/>
  <c r="FT490" i="9"/>
  <c r="FT489" i="9"/>
  <c r="FT488" i="9"/>
  <c r="FT487" i="9"/>
  <c r="FT486" i="9"/>
  <c r="FT485" i="9"/>
  <c r="FT484" i="9"/>
  <c r="FT483" i="9"/>
  <c r="FT482" i="9"/>
  <c r="FT481" i="9"/>
  <c r="FT480" i="9"/>
  <c r="FT479" i="9"/>
  <c r="FT478" i="9"/>
  <c r="FT477" i="9"/>
  <c r="FT476" i="9"/>
  <c r="FT475" i="9"/>
  <c r="FT474" i="9"/>
  <c r="FT473" i="9"/>
  <c r="FT472" i="9"/>
  <c r="FT471" i="9"/>
  <c r="FT470" i="9"/>
  <c r="FT469" i="9"/>
  <c r="FT468" i="9"/>
  <c r="FT467" i="9"/>
  <c r="FT466" i="9"/>
  <c r="FT465" i="9"/>
  <c r="FT464" i="9"/>
  <c r="FT463" i="9"/>
  <c r="FT462" i="9"/>
  <c r="FT461" i="9"/>
  <c r="FT460" i="9"/>
  <c r="FT459" i="9"/>
  <c r="FT458" i="9"/>
  <c r="FT457" i="9"/>
  <c r="FT456" i="9"/>
  <c r="FT455" i="9"/>
  <c r="FT454" i="9"/>
  <c r="FT453" i="9"/>
  <c r="FT452" i="9"/>
  <c r="CJ451" i="9"/>
  <c r="CI451" i="9"/>
  <c r="CH451" i="9"/>
  <c r="BY451" i="9"/>
  <c r="BW451" i="9" a="1"/>
  <c r="BW451" i="9" s="1"/>
  <c r="CJ450" i="9"/>
  <c r="CI450" i="9"/>
  <c r="CH450" i="9"/>
  <c r="BY450" i="9"/>
  <c r="BW450" i="9" a="1"/>
  <c r="BW450" i="9" s="1"/>
  <c r="CJ449" i="9"/>
  <c r="CI449" i="9"/>
  <c r="CH449" i="9"/>
  <c r="BY449" i="9"/>
  <c r="BW449" i="9" a="1"/>
  <c r="BW449" i="9" s="1"/>
  <c r="CJ448" i="9"/>
  <c r="CI448" i="9"/>
  <c r="CH448" i="9"/>
  <c r="BY448" i="9"/>
  <c r="BW448" i="9" a="1"/>
  <c r="BW448" i="9" s="1"/>
  <c r="CJ447" i="9"/>
  <c r="CI447" i="9"/>
  <c r="CH447" i="9"/>
  <c r="BY447" i="9"/>
  <c r="BW447" i="9" a="1"/>
  <c r="BW447" i="9" s="1"/>
  <c r="CJ446" i="9"/>
  <c r="CI446" i="9"/>
  <c r="CH446" i="9"/>
  <c r="BY446" i="9"/>
  <c r="BW446" i="9" a="1"/>
  <c r="BW446" i="9" s="1"/>
  <c r="CJ445" i="9"/>
  <c r="CI445" i="9"/>
  <c r="CH445" i="9"/>
  <c r="BY445" i="9"/>
  <c r="BW445" i="9" a="1"/>
  <c r="BW445" i="9" s="1"/>
  <c r="CJ444" i="9"/>
  <c r="CI444" i="9"/>
  <c r="CH444" i="9"/>
  <c r="BY444" i="9"/>
  <c r="BW444" i="9" a="1"/>
  <c r="BW444" i="9" s="1"/>
  <c r="CJ443" i="9"/>
  <c r="CI443" i="9"/>
  <c r="CH443" i="9"/>
  <c r="BY443" i="9"/>
  <c r="BW443" i="9" a="1"/>
  <c r="BW443" i="9" s="1"/>
  <c r="CJ442" i="9"/>
  <c r="CI442" i="9"/>
  <c r="CH442" i="9"/>
  <c r="BY442" i="9"/>
  <c r="BW442" i="9" a="1"/>
  <c r="BW442" i="9" s="1"/>
  <c r="CJ441" i="9"/>
  <c r="CI441" i="9"/>
  <c r="CH441" i="9"/>
  <c r="BY441" i="9"/>
  <c r="BW441" i="9" a="1"/>
  <c r="BW441" i="9" s="1"/>
  <c r="CJ440" i="9"/>
  <c r="CI440" i="9"/>
  <c r="CH440" i="9"/>
  <c r="BY440" i="9"/>
  <c r="BW440" i="9" a="1"/>
  <c r="BW440" i="9" s="1"/>
  <c r="CJ439" i="9"/>
  <c r="CI439" i="9"/>
  <c r="CH439" i="9"/>
  <c r="BY439" i="9"/>
  <c r="BW439" i="9" a="1"/>
  <c r="BW439" i="9" s="1"/>
  <c r="CJ438" i="9"/>
  <c r="CI438" i="9"/>
  <c r="CH438" i="9"/>
  <c r="BY438" i="9"/>
  <c r="BW438" i="9" a="1"/>
  <c r="BW438" i="9" s="1"/>
  <c r="FT437" i="9"/>
  <c r="CJ436" i="9"/>
  <c r="CI436" i="9"/>
  <c r="CH436" i="9"/>
  <c r="BY436" i="9"/>
  <c r="BW436" i="9" a="1"/>
  <c r="BW436" i="9"/>
  <c r="CJ435" i="9"/>
  <c r="CI435" i="9"/>
  <c r="CH435" i="9"/>
  <c r="BY435" i="9"/>
  <c r="BX435" i="9" s="1"/>
  <c r="BW435" i="9" a="1"/>
  <c r="BW435" i="9" s="1"/>
  <c r="BY434" i="9"/>
  <c r="BW434" i="9" a="1"/>
  <c r="BW434" i="9" s="1"/>
  <c r="BY433" i="9"/>
  <c r="BW433" i="9" a="1"/>
  <c r="BW433" i="9" s="1"/>
  <c r="BY432" i="9"/>
  <c r="BX432" i="9" s="1"/>
  <c r="BW432" i="9" a="1"/>
  <c r="BW432" i="9" s="1"/>
  <c r="BY431" i="9"/>
  <c r="BW431" i="9" a="1"/>
  <c r="BW431" i="9"/>
  <c r="BY430" i="9"/>
  <c r="BW430" i="9" a="1"/>
  <c r="BW430" i="9" s="1"/>
  <c r="BY429" i="9"/>
  <c r="BW429" i="9" a="1"/>
  <c r="BW429" i="9" s="1"/>
  <c r="BY428" i="9"/>
  <c r="BW428" i="9" a="1"/>
  <c r="BW428" i="9" s="1"/>
  <c r="CJ427" i="9"/>
  <c r="CI427" i="9"/>
  <c r="CH427" i="9"/>
  <c r="BY427" i="9"/>
  <c r="BX427" i="9" s="1"/>
  <c r="BW427" i="9" a="1"/>
  <c r="BW427" i="9"/>
  <c r="CJ426" i="9"/>
  <c r="CI426" i="9"/>
  <c r="CH426" i="9"/>
  <c r="BY426" i="9"/>
  <c r="BW426" i="9" a="1"/>
  <c r="BW426" i="9" s="1"/>
  <c r="CJ425" i="9"/>
  <c r="CI425" i="9"/>
  <c r="CH425" i="9"/>
  <c r="BY425" i="9"/>
  <c r="BW425" i="9" a="1"/>
  <c r="BW425" i="9"/>
  <c r="CJ424" i="9"/>
  <c r="CI424" i="9"/>
  <c r="CH424" i="9"/>
  <c r="BY424" i="9"/>
  <c r="BW424" i="9" a="1"/>
  <c r="BW424" i="9"/>
  <c r="BY423" i="9"/>
  <c r="BW423" i="9" a="1"/>
  <c r="BW423" i="9"/>
  <c r="FT422" i="9"/>
  <c r="CJ421" i="9"/>
  <c r="CI421" i="9"/>
  <c r="CH421" i="9"/>
  <c r="BY421" i="9"/>
  <c r="BW421" i="9" a="1"/>
  <c r="BW421" i="9"/>
  <c r="CJ420" i="9"/>
  <c r="CI420" i="9"/>
  <c r="CH420" i="9"/>
  <c r="BY420" i="9"/>
  <c r="BW420" i="9" a="1"/>
  <c r="BW420" i="9"/>
  <c r="BY419" i="9"/>
  <c r="BX419" i="9"/>
  <c r="BW419" i="9" a="1"/>
  <c r="BW419" i="9" s="1"/>
  <c r="BY418" i="9"/>
  <c r="BW418" i="9" a="1"/>
  <c r="BW418" i="9" s="1"/>
  <c r="BY417" i="9"/>
  <c r="BW417" i="9" a="1"/>
  <c r="BW417" i="9"/>
  <c r="BY416" i="9"/>
  <c r="BX416" i="9" s="1"/>
  <c r="BW416" i="9" a="1"/>
  <c r="BW416" i="9"/>
  <c r="BY415" i="9"/>
  <c r="BW415" i="9" a="1"/>
  <c r="BW415" i="9" s="1"/>
  <c r="BY414" i="9"/>
  <c r="BW414" i="9" a="1"/>
  <c r="BW414" i="9" s="1"/>
  <c r="BY413" i="9"/>
  <c r="BW413" i="9" a="1"/>
  <c r="BW413" i="9" s="1"/>
  <c r="CJ412" i="9"/>
  <c r="CI412" i="9"/>
  <c r="CH412" i="9"/>
  <c r="BY412" i="9"/>
  <c r="BW412" i="9" a="1"/>
  <c r="BW412" i="9" s="1"/>
  <c r="CJ411" i="9"/>
  <c r="CI411" i="9"/>
  <c r="CH411" i="9"/>
  <c r="BY411" i="9"/>
  <c r="BX411" i="9"/>
  <c r="BW411" i="9" a="1"/>
  <c r="BW411" i="9" s="1"/>
  <c r="CJ410" i="9"/>
  <c r="CI410" i="9"/>
  <c r="CH410" i="9"/>
  <c r="BY410" i="9"/>
  <c r="BW410" i="9" a="1"/>
  <c r="BW410" i="9" s="1"/>
  <c r="CJ409" i="9"/>
  <c r="CI409" i="9"/>
  <c r="CH409" i="9"/>
  <c r="BY409" i="9"/>
  <c r="BW409" i="9" a="1"/>
  <c r="BW409" i="9"/>
  <c r="BY408" i="9"/>
  <c r="BW408" i="9" a="1"/>
  <c r="BW408" i="9"/>
  <c r="FT407" i="9"/>
  <c r="CJ406" i="9"/>
  <c r="CI406" i="9"/>
  <c r="CH406" i="9"/>
  <c r="BY406" i="9"/>
  <c r="BX406" i="9" s="1"/>
  <c r="BW406" i="9" a="1"/>
  <c r="BW406" i="9" s="1"/>
  <c r="CJ405" i="9"/>
  <c r="CI405" i="9"/>
  <c r="CH405" i="9"/>
  <c r="BY405" i="9"/>
  <c r="BX405" i="9"/>
  <c r="BW405" i="9" a="1"/>
  <c r="BW405" i="9"/>
  <c r="CJ404" i="9"/>
  <c r="CI404" i="9"/>
  <c r="CH404" i="9"/>
  <c r="BY404" i="9"/>
  <c r="BW404" i="9" a="1"/>
  <c r="BW404" i="9"/>
  <c r="CJ403" i="9"/>
  <c r="CI403" i="9"/>
  <c r="CH403" i="9"/>
  <c r="BY403" i="9"/>
  <c r="BX403" i="9" s="1"/>
  <c r="BW403" i="9" a="1"/>
  <c r="BW403" i="9" s="1"/>
  <c r="CJ402" i="9"/>
  <c r="CI402" i="9"/>
  <c r="CH402" i="9"/>
  <c r="BY402" i="9"/>
  <c r="BX402" i="9" s="1"/>
  <c r="BW402" i="9" a="1"/>
  <c r="BW402" i="9"/>
  <c r="CJ401" i="9"/>
  <c r="CI401" i="9"/>
  <c r="CH401" i="9"/>
  <c r="BY401" i="9"/>
  <c r="BX401" i="9" s="1"/>
  <c r="BW401" i="9" a="1"/>
  <c r="BW401" i="9" s="1"/>
  <c r="CJ400" i="9"/>
  <c r="CI400" i="9"/>
  <c r="CH400" i="9"/>
  <c r="BY400" i="9"/>
  <c r="BX400" i="9"/>
  <c r="BW400" i="9" a="1"/>
  <c r="BW400" i="9"/>
  <c r="CJ399" i="9"/>
  <c r="CI399" i="9"/>
  <c r="CH399" i="9"/>
  <c r="BY399" i="9"/>
  <c r="BX399" i="9" s="1"/>
  <c r="BW399" i="9" a="1"/>
  <c r="BW399" i="9" s="1"/>
  <c r="CJ398" i="9"/>
  <c r="CI398" i="9"/>
  <c r="CH398" i="9"/>
  <c r="BY398" i="9"/>
  <c r="BX398" i="9"/>
  <c r="BW398" i="9" a="1"/>
  <c r="BW398" i="9"/>
  <c r="HL397" i="9"/>
  <c r="HK397" i="9"/>
  <c r="CJ397" i="9"/>
  <c r="CI397" i="9"/>
  <c r="CH397" i="9"/>
  <c r="BY397" i="9"/>
  <c r="BX397" i="9" s="1"/>
  <c r="BW397" i="9" a="1"/>
  <c r="BW397" i="9" s="1"/>
  <c r="HL396" i="9"/>
  <c r="HK396" i="9"/>
  <c r="CJ396" i="9"/>
  <c r="CI396" i="9"/>
  <c r="CH396" i="9"/>
  <c r="BY396" i="9"/>
  <c r="BX396" i="9"/>
  <c r="BW396" i="9" a="1"/>
  <c r="BW396" i="9"/>
  <c r="HL395" i="9"/>
  <c r="HK395" i="9"/>
  <c r="CJ395" i="9"/>
  <c r="CI395" i="9"/>
  <c r="CH395" i="9"/>
  <c r="BY395" i="9"/>
  <c r="BX395" i="9" s="1"/>
  <c r="BW395" i="9" a="1"/>
  <c r="BW395" i="9" s="1"/>
  <c r="HL394" i="9"/>
  <c r="HK394" i="9"/>
  <c r="CJ394" i="9"/>
  <c r="CI394" i="9"/>
  <c r="CH394" i="9"/>
  <c r="BY394" i="9"/>
  <c r="BX394" i="9"/>
  <c r="BW394" i="9" a="1"/>
  <c r="BW394" i="9"/>
  <c r="HL393" i="9"/>
  <c r="HK393" i="9"/>
  <c r="CJ393" i="9"/>
  <c r="CI393" i="9"/>
  <c r="CH393" i="9"/>
  <c r="BY393" i="9"/>
  <c r="BX393" i="9" s="1"/>
  <c r="BW393" i="9" a="1"/>
  <c r="BW393" i="9" s="1"/>
  <c r="FT392" i="9"/>
  <c r="CJ391" i="9"/>
  <c r="CI391" i="9"/>
  <c r="CH391" i="9"/>
  <c r="BY391" i="9"/>
  <c r="BX391" i="9" s="1"/>
  <c r="BW391" i="9" a="1"/>
  <c r="BW391" i="9" s="1"/>
  <c r="J391" i="9"/>
  <c r="J390" i="9" s="1"/>
  <c r="HL390" i="9" s="1"/>
  <c r="I391" i="9"/>
  <c r="HK391" i="9"/>
  <c r="CJ390" i="9"/>
  <c r="CI390" i="9"/>
  <c r="CH390" i="9"/>
  <c r="BY390" i="9"/>
  <c r="BX390" i="9" s="1"/>
  <c r="BW390" i="9" a="1"/>
  <c r="BW390" i="9" s="1"/>
  <c r="CJ389" i="9"/>
  <c r="CI389" i="9"/>
  <c r="CH389" i="9"/>
  <c r="BY389" i="9"/>
  <c r="BX389" i="9"/>
  <c r="BW389" i="9" a="1"/>
  <c r="BW389" i="9"/>
  <c r="CJ388" i="9"/>
  <c r="CI388" i="9"/>
  <c r="CH388" i="9"/>
  <c r="BY388" i="9"/>
  <c r="BX388" i="9" s="1"/>
  <c r="BW388" i="9" a="1"/>
  <c r="BW388" i="9" s="1"/>
  <c r="CJ387" i="9"/>
  <c r="CI387" i="9"/>
  <c r="CH387" i="9"/>
  <c r="BY387" i="9"/>
  <c r="BX387" i="9"/>
  <c r="BW387" i="9" a="1"/>
  <c r="BW387" i="9"/>
  <c r="CJ386" i="9"/>
  <c r="CI386" i="9"/>
  <c r="CH386" i="9"/>
  <c r="BY386" i="9"/>
  <c r="BX386" i="9" s="1"/>
  <c r="BW386" i="9" a="1"/>
  <c r="BW386" i="9" s="1"/>
  <c r="CJ385" i="9"/>
  <c r="CI385" i="9"/>
  <c r="CH385" i="9"/>
  <c r="BY385" i="9"/>
  <c r="BX385" i="9"/>
  <c r="BW385" i="9" a="1"/>
  <c r="BW385" i="9"/>
  <c r="J385" i="9"/>
  <c r="I385" i="9"/>
  <c r="HL384" i="9"/>
  <c r="HK384" i="9"/>
  <c r="HJ384" i="9" a="1"/>
  <c r="HJ384" i="9" s="1"/>
  <c r="CJ384" i="9"/>
  <c r="CI384" i="9"/>
  <c r="CH384" i="9"/>
  <c r="BY384" i="9"/>
  <c r="BX384" i="9" s="1"/>
  <c r="BW384" i="9" a="1"/>
  <c r="BW384" i="9"/>
  <c r="D384" i="9" a="1"/>
  <c r="D384" i="9" s="1"/>
  <c r="CJ383" i="9"/>
  <c r="CI383" i="9"/>
  <c r="CH383" i="9"/>
  <c r="BY383" i="9"/>
  <c r="BX383" i="9"/>
  <c r="BW383" i="9" a="1"/>
  <c r="BW383" i="9" s="1"/>
  <c r="CJ382" i="9"/>
  <c r="CI382" i="9"/>
  <c r="CH382" i="9"/>
  <c r="BY382" i="9"/>
  <c r="BX382" i="9" s="1"/>
  <c r="BW382" i="9" a="1"/>
  <c r="BW382" i="9"/>
  <c r="CJ381" i="9"/>
  <c r="CI381" i="9"/>
  <c r="CH381" i="9"/>
  <c r="BY381" i="9"/>
  <c r="BX381" i="9"/>
  <c r="BW381" i="9" a="1"/>
  <c r="BW381" i="9"/>
  <c r="CJ380" i="9"/>
  <c r="CI380" i="9"/>
  <c r="CH380" i="9"/>
  <c r="BY380" i="9"/>
  <c r="BX380" i="9" s="1"/>
  <c r="BW380" i="9" a="1"/>
  <c r="BW380" i="9" s="1"/>
  <c r="CJ379" i="9"/>
  <c r="CI379" i="9"/>
  <c r="CH379" i="9"/>
  <c r="BY379" i="9"/>
  <c r="BX379" i="9"/>
  <c r="BW379" i="9" a="1"/>
  <c r="BW379" i="9"/>
  <c r="CJ378" i="9"/>
  <c r="CI378" i="9"/>
  <c r="CH378" i="9"/>
  <c r="BY378" i="9"/>
  <c r="BX378" i="9" s="1"/>
  <c r="BW378" i="9" a="1"/>
  <c r="BW378" i="9" s="1"/>
  <c r="FT377" i="9"/>
  <c r="FT376" i="9"/>
  <c r="FT375" i="9"/>
  <c r="FT374" i="9"/>
  <c r="FT373" i="9"/>
  <c r="FT372" i="9"/>
  <c r="FT371" i="9"/>
  <c r="FT370" i="9"/>
  <c r="FT369" i="9"/>
  <c r="FT368" i="9"/>
  <c r="FT367" i="9"/>
  <c r="FT366" i="9"/>
  <c r="FT365" i="9"/>
  <c r="FT364" i="9"/>
  <c r="FT363" i="9"/>
  <c r="FT362" i="9"/>
  <c r="FT361" i="9"/>
  <c r="FT360" i="9"/>
  <c r="FT359" i="9"/>
  <c r="FT358" i="9"/>
  <c r="FT357" i="9"/>
  <c r="FT356" i="9"/>
  <c r="FT355" i="9"/>
  <c r="FT354" i="9"/>
  <c r="FT353" i="9"/>
  <c r="FT352" i="9"/>
  <c r="FT351" i="9"/>
  <c r="FT350" i="9"/>
  <c r="FT349" i="9"/>
  <c r="FT348" i="9"/>
  <c r="FT347" i="9"/>
  <c r="FT346" i="9"/>
  <c r="FT345" i="9"/>
  <c r="FT344" i="9"/>
  <c r="FT343" i="9"/>
  <c r="FT342" i="9"/>
  <c r="FT341" i="9"/>
  <c r="FT340" i="9"/>
  <c r="FT339" i="9"/>
  <c r="FT338" i="9"/>
  <c r="FT337" i="9"/>
  <c r="FT336" i="9"/>
  <c r="FT335" i="9"/>
  <c r="FT334" i="9"/>
  <c r="FT333" i="9"/>
  <c r="CJ332" i="9"/>
  <c r="CI332" i="9"/>
  <c r="CH332" i="9"/>
  <c r="BY332" i="9"/>
  <c r="BX332" i="9" s="1"/>
  <c r="BW332" i="9" a="1"/>
  <c r="BW332" i="9"/>
  <c r="CJ331" i="9"/>
  <c r="CI331" i="9"/>
  <c r="CH331" i="9"/>
  <c r="BY331" i="9"/>
  <c r="BX331" i="9"/>
  <c r="BW331" i="9" a="1"/>
  <c r="BW331" i="9" s="1"/>
  <c r="CJ330" i="9"/>
  <c r="CI330" i="9"/>
  <c r="CH330" i="9"/>
  <c r="BY330" i="9"/>
  <c r="BX330" i="9" s="1"/>
  <c r="BW330" i="9" a="1"/>
  <c r="BW330" i="9" s="1"/>
  <c r="CJ329" i="9"/>
  <c r="CI329" i="9"/>
  <c r="CH329" i="9"/>
  <c r="BY329" i="9"/>
  <c r="BX329" i="9"/>
  <c r="BW329" i="9" a="1"/>
  <c r="BW329" i="9"/>
  <c r="CJ328" i="9"/>
  <c r="CI328" i="9"/>
  <c r="CH328" i="9"/>
  <c r="BY328" i="9"/>
  <c r="BX328" i="9" s="1"/>
  <c r="BW328" i="9" a="1"/>
  <c r="BW328" i="9" s="1"/>
  <c r="CJ327" i="9"/>
  <c r="CI327" i="9"/>
  <c r="CH327" i="9"/>
  <c r="BY327" i="9"/>
  <c r="BX327" i="9"/>
  <c r="BW327" i="9" a="1"/>
  <c r="BW327" i="9"/>
  <c r="CJ326" i="9"/>
  <c r="CI326" i="9"/>
  <c r="CH326" i="9"/>
  <c r="BY326" i="9"/>
  <c r="BX326" i="9"/>
  <c r="BW326" i="9" a="1"/>
  <c r="BW326" i="9" s="1"/>
  <c r="CJ325" i="9"/>
  <c r="CI325" i="9"/>
  <c r="CH325" i="9"/>
  <c r="BY325" i="9"/>
  <c r="BX325" i="9" s="1"/>
  <c r="BW325" i="9" a="1"/>
  <c r="BW325" i="9" s="1"/>
  <c r="CJ324" i="9"/>
  <c r="CI324" i="9"/>
  <c r="CH324" i="9"/>
  <c r="BY324" i="9"/>
  <c r="BX324" i="9" s="1"/>
  <c r="BW324" i="9" a="1"/>
  <c r="BW324" i="9"/>
  <c r="CJ323" i="9"/>
  <c r="CI323" i="9"/>
  <c r="CH323" i="9"/>
  <c r="BY323" i="9"/>
  <c r="BX323" i="9"/>
  <c r="BW323" i="9" a="1"/>
  <c r="BW323" i="9" s="1"/>
  <c r="CJ322" i="9"/>
  <c r="CI322" i="9"/>
  <c r="CH322" i="9"/>
  <c r="BY322" i="9"/>
  <c r="BX322" i="9" s="1"/>
  <c r="BW322" i="9" a="1"/>
  <c r="BW322" i="9" s="1"/>
  <c r="CJ321" i="9"/>
  <c r="CI321" i="9"/>
  <c r="CH321" i="9"/>
  <c r="BY321" i="9"/>
  <c r="BX321" i="9"/>
  <c r="BW321" i="9" a="1"/>
  <c r="BW321" i="9"/>
  <c r="CJ320" i="9"/>
  <c r="CI320" i="9"/>
  <c r="CH320" i="9"/>
  <c r="BY320" i="9"/>
  <c r="BX320" i="9" s="1"/>
  <c r="BW320" i="9" a="1"/>
  <c r="BW320" i="9" s="1"/>
  <c r="C320" i="9"/>
  <c r="C321" i="9" s="1"/>
  <c r="C322" i="9" s="1"/>
  <c r="C323" i="9" s="1"/>
  <c r="C324" i="9" s="1"/>
  <c r="C325" i="9" s="1"/>
  <c r="C326" i="9" s="1"/>
  <c r="C327" i="9" s="1"/>
  <c r="C328" i="9" s="1"/>
  <c r="C329" i="9" s="1"/>
  <c r="C330" i="9" s="1"/>
  <c r="C331" i="9" s="1"/>
  <c r="C332" i="9" s="1"/>
  <c r="CJ319" i="9"/>
  <c r="CI319" i="9"/>
  <c r="CH319" i="9"/>
  <c r="BY319" i="9"/>
  <c r="BX319" i="9" s="1"/>
  <c r="BW319" i="9" a="1"/>
  <c r="BW319" i="9"/>
  <c r="W319" i="9" a="1"/>
  <c r="W319" i="9" s="1"/>
  <c r="D319" i="9" a="1"/>
  <c r="BV332" i="9" s="1"/>
  <c r="FT318" i="9"/>
  <c r="CJ317" i="9"/>
  <c r="CI317" i="9"/>
  <c r="CH317" i="9"/>
  <c r="BY317" i="9"/>
  <c r="BX317" i="9" s="1"/>
  <c r="BW317" i="9" a="1"/>
  <c r="BW317" i="9" s="1"/>
  <c r="AL317" i="9"/>
  <c r="CJ316" i="9"/>
  <c r="CI316" i="9"/>
  <c r="CH316" i="9"/>
  <c r="BY316" i="9"/>
  <c r="BX316" i="9" s="1"/>
  <c r="FZ316" i="9" s="1"/>
  <c r="GA316" i="9" s="1"/>
  <c r="GB316" i="9" s="1"/>
  <c r="GC316" i="9" s="1"/>
  <c r="GD316" i="9" s="1"/>
  <c r="GE316" i="9" s="1"/>
  <c r="GF316" i="9" s="1"/>
  <c r="GG316" i="9" s="1"/>
  <c r="GH316" i="9" s="1"/>
  <c r="GI316" i="9" s="1"/>
  <c r="BZ316" i="9" s="1"/>
  <c r="BW316" i="9" a="1"/>
  <c r="BW316" i="9" s="1"/>
  <c r="AL316" i="9"/>
  <c r="CJ315" i="9"/>
  <c r="CI315" i="9"/>
  <c r="CH315" i="9"/>
  <c r="BY315" i="9"/>
  <c r="BX315" i="9" s="1"/>
  <c r="BW315" i="9" a="1"/>
  <c r="BW315" i="9" s="1"/>
  <c r="AL315" i="9"/>
  <c r="BW553" i="9" s="1" a="1"/>
  <c r="BW553" i="9" s="1"/>
  <c r="CJ314" i="9"/>
  <c r="CI314" i="9"/>
  <c r="CH314" i="9"/>
  <c r="BY314" i="9"/>
  <c r="BX314" i="9" s="1"/>
  <c r="BW314" i="9" a="1"/>
  <c r="BW314" i="9" s="1"/>
  <c r="AL314" i="9"/>
  <c r="CJ313" i="9"/>
  <c r="CI313" i="9"/>
  <c r="CH313" i="9"/>
  <c r="BY313" i="9"/>
  <c r="BX313" i="9" s="1"/>
  <c r="BW313" i="9" a="1"/>
  <c r="BW313" i="9" s="1"/>
  <c r="AL313" i="9"/>
  <c r="CJ312" i="9"/>
  <c r="CI312" i="9"/>
  <c r="CH312" i="9"/>
  <c r="BY312" i="9"/>
  <c r="BX312" i="9" s="1"/>
  <c r="BW312" i="9" a="1"/>
  <c r="BW312" i="9" s="1"/>
  <c r="AL312" i="9"/>
  <c r="BW550" i="9" a="1"/>
  <c r="BW550" i="9"/>
  <c r="CJ311" i="9"/>
  <c r="CI311" i="9"/>
  <c r="CH311" i="9"/>
  <c r="BY311" i="9"/>
  <c r="BX311" i="9" s="1"/>
  <c r="BW311" i="9" a="1"/>
  <c r="BW311" i="9"/>
  <c r="AL311" i="9"/>
  <c r="BW549" i="9" s="1" a="1"/>
  <c r="BW549" i="9" s="1"/>
  <c r="CJ310" i="9"/>
  <c r="CI310" i="9"/>
  <c r="CH310" i="9"/>
  <c r="BY310" i="9"/>
  <c r="BX310" i="9"/>
  <c r="BW310" i="9" a="1"/>
  <c r="BW310" i="9" s="1"/>
  <c r="AL310" i="9"/>
  <c r="CJ309" i="9"/>
  <c r="CI309" i="9"/>
  <c r="CH309" i="9"/>
  <c r="BY309" i="9"/>
  <c r="BX309" i="9"/>
  <c r="BW309" i="9" a="1"/>
  <c r="BW309" i="9" s="1"/>
  <c r="AL309" i="9"/>
  <c r="CJ308" i="9"/>
  <c r="CI308" i="9"/>
  <c r="CH308" i="9"/>
  <c r="BY308" i="9"/>
  <c r="BX308" i="9"/>
  <c r="I308" i="9"/>
  <c r="BW308" i="9" s="1" a="1"/>
  <c r="BW308" i="9" s="1"/>
  <c r="CJ307" i="9"/>
  <c r="CI307" i="9"/>
  <c r="CH307" i="9"/>
  <c r="BY307" i="9"/>
  <c r="BX307" i="9" s="1"/>
  <c r="BW307" i="9" a="1"/>
  <c r="BW307" i="9"/>
  <c r="AL307" i="9"/>
  <c r="CJ306" i="9"/>
  <c r="CI306" i="9"/>
  <c r="CH306" i="9"/>
  <c r="BY306" i="9"/>
  <c r="BX306" i="9" s="1"/>
  <c r="BW306" i="9" a="1"/>
  <c r="BW306" i="9"/>
  <c r="AL306" i="9"/>
  <c r="BW544" i="9" s="1" a="1"/>
  <c r="BW544" i="9" s="1"/>
  <c r="CJ305" i="9"/>
  <c r="CI305" i="9"/>
  <c r="CH305" i="9"/>
  <c r="BY305" i="9"/>
  <c r="BX305" i="9"/>
  <c r="BW305" i="9" a="1"/>
  <c r="BW305" i="9" s="1"/>
  <c r="AL305" i="9"/>
  <c r="CJ304" i="9"/>
  <c r="CI304" i="9"/>
  <c r="CH304" i="9"/>
  <c r="BY304" i="9"/>
  <c r="BX304" i="9"/>
  <c r="BW304" i="9" a="1"/>
  <c r="BW304" i="9" s="1"/>
  <c r="AL304" i="9"/>
  <c r="BW542" i="9" s="1" a="1"/>
  <c r="BW542" i="9" s="1"/>
  <c r="W304" i="9" a="1"/>
  <c r="W304" i="9" s="1"/>
  <c r="D304" i="9" a="1"/>
  <c r="FT303" i="9"/>
  <c r="CJ302" i="9"/>
  <c r="CI302" i="9"/>
  <c r="CH302" i="9"/>
  <c r="BY302" i="9"/>
  <c r="BX302" i="9" s="1"/>
  <c r="BW302" i="9" a="1"/>
  <c r="BW302" i="9"/>
  <c r="AL302" i="9"/>
  <c r="CJ301" i="9"/>
  <c r="CI301" i="9"/>
  <c r="CH301" i="9"/>
  <c r="BY301" i="9"/>
  <c r="BX301" i="9" s="1"/>
  <c r="BW301" i="9" a="1"/>
  <c r="BW301" i="9"/>
  <c r="AL301" i="9"/>
  <c r="BW539" i="9" s="1" a="1"/>
  <c r="BW539" i="9" s="1"/>
  <c r="CJ300" i="9"/>
  <c r="CI300" i="9"/>
  <c r="CH300" i="9"/>
  <c r="BY300" i="9"/>
  <c r="BX300" i="9"/>
  <c r="BW300" i="9" a="1"/>
  <c r="BW300" i="9" s="1"/>
  <c r="AL300" i="9"/>
  <c r="BW538" i="9" s="1" a="1"/>
  <c r="BW538" i="9" s="1"/>
  <c r="CJ299" i="9"/>
  <c r="CI299" i="9"/>
  <c r="CH299" i="9"/>
  <c r="BY299" i="9"/>
  <c r="BX299" i="9" s="1"/>
  <c r="BW299" i="9" a="1"/>
  <c r="BW299" i="9" s="1"/>
  <c r="AL299" i="9"/>
  <c r="BW537" i="9" s="1" a="1"/>
  <c r="BW537" i="9" s="1"/>
  <c r="CJ298" i="9"/>
  <c r="CI298" i="9"/>
  <c r="CH298" i="9"/>
  <c r="BY298" i="9"/>
  <c r="BX298" i="9" s="1"/>
  <c r="BW298" i="9" a="1"/>
  <c r="BW298" i="9" s="1"/>
  <c r="AL298" i="9"/>
  <c r="CJ297" i="9"/>
  <c r="CI297" i="9"/>
  <c r="CH297" i="9"/>
  <c r="BY297" i="9"/>
  <c r="BX297" i="9" s="1"/>
  <c r="BW297" i="9" a="1"/>
  <c r="BW297" i="9" s="1"/>
  <c r="AL297" i="9"/>
  <c r="CJ296" i="9"/>
  <c r="CI296" i="9"/>
  <c r="CH296" i="9"/>
  <c r="BY296" i="9"/>
  <c r="BX296" i="9" s="1"/>
  <c r="BW296" i="9" a="1"/>
  <c r="BW296" i="9" s="1"/>
  <c r="AL296" i="9"/>
  <c r="BW534" i="9" a="1"/>
  <c r="BW534" i="9"/>
  <c r="CJ295" i="9"/>
  <c r="CI295" i="9"/>
  <c r="CH295" i="9"/>
  <c r="BY295" i="9"/>
  <c r="BX295" i="9" s="1"/>
  <c r="BW295" i="9" a="1"/>
  <c r="BW295" i="9"/>
  <c r="AL295" i="9"/>
  <c r="BW533" i="9" s="1" a="1"/>
  <c r="BW533" i="9" s="1"/>
  <c r="CJ294" i="9"/>
  <c r="CI294" i="9"/>
  <c r="CH294" i="9"/>
  <c r="BY294" i="9"/>
  <c r="BX294" i="9"/>
  <c r="BW294" i="9" a="1"/>
  <c r="BW294" i="9" s="1"/>
  <c r="AL294" i="9"/>
  <c r="BW532" i="9" s="1" a="1"/>
  <c r="BW532" i="9" s="1"/>
  <c r="CJ293" i="9"/>
  <c r="CI293" i="9"/>
  <c r="CH293" i="9"/>
  <c r="BY293" i="9"/>
  <c r="BX293" i="9" s="1"/>
  <c r="I293" i="9"/>
  <c r="BW293" i="9" s="1" a="1"/>
  <c r="BW293" i="9" s="1"/>
  <c r="CJ292" i="9"/>
  <c r="CI292" i="9"/>
  <c r="CH292" i="9"/>
  <c r="BY292" i="9"/>
  <c r="BX292" i="9"/>
  <c r="BW292" i="9" a="1"/>
  <c r="BW292" i="9" s="1"/>
  <c r="AL292" i="9"/>
  <c r="BW530" i="9" s="1" a="1"/>
  <c r="BW530" i="9" s="1"/>
  <c r="CJ291" i="9"/>
  <c r="CI291" i="9"/>
  <c r="CH291" i="9"/>
  <c r="BY291" i="9"/>
  <c r="BX291" i="9" s="1"/>
  <c r="BW291" i="9" a="1"/>
  <c r="BW291" i="9" s="1"/>
  <c r="AL291" i="9"/>
  <c r="BW529" i="9" s="1" a="1"/>
  <c r="BW529" i="9" s="1"/>
  <c r="CJ290" i="9"/>
  <c r="CI290" i="9"/>
  <c r="CH290" i="9"/>
  <c r="BY290" i="9"/>
  <c r="BX290" i="9" s="1"/>
  <c r="BW290" i="9" a="1"/>
  <c r="BW290" i="9" s="1"/>
  <c r="AL290" i="9"/>
  <c r="BW528" i="9" a="1"/>
  <c r="BW528" i="9"/>
  <c r="CJ289" i="9"/>
  <c r="CI289" i="9"/>
  <c r="CH289" i="9"/>
  <c r="BY289" i="9"/>
  <c r="BX289" i="9" s="1"/>
  <c r="BW289" i="9" a="1"/>
  <c r="BW289" i="9"/>
  <c r="AL289" i="9"/>
  <c r="W289" i="9" a="1"/>
  <c r="W289" i="9"/>
  <c r="D289" i="9" a="1"/>
  <c r="BV298" i="9"/>
  <c r="FT288" i="9"/>
  <c r="CJ287" i="9"/>
  <c r="CI287" i="9"/>
  <c r="CH287" i="9"/>
  <c r="BY287" i="9"/>
  <c r="BX287" i="9"/>
  <c r="BW287" i="9" a="1"/>
  <c r="BW287" i="9"/>
  <c r="AL287" i="9"/>
  <c r="CJ286" i="9"/>
  <c r="CI286" i="9"/>
  <c r="CH286" i="9"/>
  <c r="BY286" i="9"/>
  <c r="BX286" i="9"/>
  <c r="BW286" i="9" a="1"/>
  <c r="BW286" i="9"/>
  <c r="AL286" i="9"/>
  <c r="CJ285" i="9"/>
  <c r="CI285" i="9"/>
  <c r="CH285" i="9"/>
  <c r="BY285" i="9"/>
  <c r="BX285" i="9"/>
  <c r="BW285" i="9" a="1"/>
  <c r="BW285" i="9"/>
  <c r="AL285" i="9"/>
  <c r="CJ284" i="9"/>
  <c r="CI284" i="9"/>
  <c r="CH284" i="9"/>
  <c r="BY284" i="9"/>
  <c r="BX284" i="9"/>
  <c r="BW284" i="9" a="1"/>
  <c r="BW284" i="9"/>
  <c r="AL284" i="9"/>
  <c r="BW522" i="9" a="1"/>
  <c r="BW522" i="9"/>
  <c r="CJ283" i="9"/>
  <c r="CI283" i="9"/>
  <c r="CH283" i="9"/>
  <c r="BY283" i="9"/>
  <c r="BX283" i="9"/>
  <c r="BW283" i="9" a="1"/>
  <c r="BW283" i="9"/>
  <c r="AL283" i="9"/>
  <c r="BW521" i="9" a="1"/>
  <c r="BW521" i="9" s="1"/>
  <c r="CJ282" i="9"/>
  <c r="CI282" i="9"/>
  <c r="CH282" i="9"/>
  <c r="BY282" i="9"/>
  <c r="BX282" i="9"/>
  <c r="BW282" i="9" a="1"/>
  <c r="BW282" i="9"/>
  <c r="AL282" i="9"/>
  <c r="BW520" i="9" a="1"/>
  <c r="BW520" i="9" s="1"/>
  <c r="CJ281" i="9"/>
  <c r="CI281" i="9"/>
  <c r="CH281" i="9"/>
  <c r="BY281" i="9"/>
  <c r="BX281" i="9"/>
  <c r="BW281" i="9" a="1"/>
  <c r="BW281" i="9"/>
  <c r="AL281" i="9"/>
  <c r="BW519" i="9" a="1"/>
  <c r="BW519" i="9" s="1"/>
  <c r="CJ280" i="9"/>
  <c r="CI280" i="9"/>
  <c r="CH280" i="9"/>
  <c r="BY280" i="9"/>
  <c r="BX280" i="9"/>
  <c r="BW280" i="9" a="1"/>
  <c r="BW280" i="9"/>
  <c r="AL280" i="9"/>
  <c r="CJ279" i="9"/>
  <c r="CI279" i="9"/>
  <c r="CH279" i="9"/>
  <c r="BY279" i="9"/>
  <c r="BX279" i="9"/>
  <c r="BW279" i="9" a="1"/>
  <c r="BW279" i="9"/>
  <c r="AL279" i="9"/>
  <c r="CJ278" i="9"/>
  <c r="CI278" i="9"/>
  <c r="CH278" i="9"/>
  <c r="BY278" i="9"/>
  <c r="BX278" i="9"/>
  <c r="I278" i="9"/>
  <c r="BW278" i="9" a="1"/>
  <c r="BW278" i="9" s="1"/>
  <c r="CJ277" i="9"/>
  <c r="CI277" i="9"/>
  <c r="CH277" i="9"/>
  <c r="BY277" i="9"/>
  <c r="BX277" i="9" s="1"/>
  <c r="BW277" i="9" a="1"/>
  <c r="BW277" i="9" s="1"/>
  <c r="AL277" i="9"/>
  <c r="CJ276" i="9"/>
  <c r="CI276" i="9"/>
  <c r="CH276" i="9"/>
  <c r="BY276" i="9"/>
  <c r="BX276" i="9" s="1"/>
  <c r="BW276" i="9" a="1"/>
  <c r="BW276" i="9" s="1"/>
  <c r="AL276" i="9"/>
  <c r="CJ275" i="9"/>
  <c r="CI275" i="9"/>
  <c r="CH275" i="9"/>
  <c r="BY275" i="9"/>
  <c r="BX275" i="9" s="1"/>
  <c r="BW275" i="9" a="1"/>
  <c r="BW275" i="9" s="1"/>
  <c r="AL275" i="9"/>
  <c r="CJ274" i="9"/>
  <c r="CI274" i="9"/>
  <c r="CH274" i="9"/>
  <c r="BY274" i="9"/>
  <c r="BX274" i="9" s="1"/>
  <c r="BW274" i="9" a="1"/>
  <c r="BW274" i="9" s="1"/>
  <c r="AL274" i="9"/>
  <c r="W274" i="9" a="1"/>
  <c r="W274" i="9" s="1"/>
  <c r="D274" i="9" a="1"/>
  <c r="BV286" i="9"/>
  <c r="FT273" i="9"/>
  <c r="CJ272" i="9"/>
  <c r="CI272" i="9"/>
  <c r="CH272" i="9"/>
  <c r="BY272" i="9"/>
  <c r="BX272" i="9" s="1"/>
  <c r="BW272" i="9" a="1"/>
  <c r="BW272" i="9"/>
  <c r="AL272" i="9"/>
  <c r="BW510" i="9" s="1" a="1"/>
  <c r="BW510" i="9" s="1"/>
  <c r="CJ271" i="9"/>
  <c r="CI271" i="9"/>
  <c r="CH271" i="9"/>
  <c r="BY271" i="9"/>
  <c r="BX271" i="9" s="1"/>
  <c r="BW271" i="9" a="1"/>
  <c r="BW271" i="9" s="1"/>
  <c r="AL271" i="9"/>
  <c r="BW509" i="9" a="1"/>
  <c r="BW509" i="9"/>
  <c r="CJ270" i="9"/>
  <c r="CI270" i="9"/>
  <c r="CH270" i="9"/>
  <c r="BY270" i="9"/>
  <c r="BX270" i="9" s="1"/>
  <c r="BW270" i="9" a="1"/>
  <c r="BW270" i="9"/>
  <c r="AL270" i="9"/>
  <c r="BW508" i="9" s="1" a="1"/>
  <c r="BW508" i="9" s="1"/>
  <c r="CJ269" i="9"/>
  <c r="CI269" i="9"/>
  <c r="CH269" i="9"/>
  <c r="BY269" i="9"/>
  <c r="BX269" i="9"/>
  <c r="BW269" i="9" a="1"/>
  <c r="BW269" i="9" s="1"/>
  <c r="AL269" i="9"/>
  <c r="BW507" i="9" s="1" a="1"/>
  <c r="BW507" i="9" s="1"/>
  <c r="CJ268" i="9"/>
  <c r="CI268" i="9"/>
  <c r="CH268" i="9"/>
  <c r="BY268" i="9"/>
  <c r="BX268" i="9" s="1"/>
  <c r="BW268" i="9" a="1"/>
  <c r="BW268" i="9" s="1"/>
  <c r="AL268" i="9"/>
  <c r="CJ267" i="9"/>
  <c r="CI267" i="9"/>
  <c r="CH267" i="9"/>
  <c r="BY267" i="9"/>
  <c r="BX267" i="9" s="1"/>
  <c r="BW267" i="9" a="1"/>
  <c r="BW267" i="9" s="1"/>
  <c r="AL267" i="9"/>
  <c r="CJ266" i="9"/>
  <c r="CI266" i="9"/>
  <c r="CH266" i="9"/>
  <c r="BY266" i="9"/>
  <c r="BX266" i="9" s="1"/>
  <c r="BW266" i="9" a="1"/>
  <c r="BW266" i="9" s="1"/>
  <c r="AL266" i="9"/>
  <c r="CJ265" i="9"/>
  <c r="CI265" i="9"/>
  <c r="CH265" i="9"/>
  <c r="BY265" i="9"/>
  <c r="BX265" i="9" s="1"/>
  <c r="BW265" i="9" a="1"/>
  <c r="BW265" i="9" s="1"/>
  <c r="AL265" i="9"/>
  <c r="BW503" i="9" s="1" a="1"/>
  <c r="BW503" i="9" s="1"/>
  <c r="CJ264" i="9"/>
  <c r="CI264" i="9"/>
  <c r="CH264" i="9"/>
  <c r="BY264" i="9"/>
  <c r="BX264" i="9" s="1"/>
  <c r="BW264" i="9" a="1"/>
  <c r="BW264" i="9" s="1"/>
  <c r="AL264" i="9"/>
  <c r="BW502" i="9" a="1"/>
  <c r="BW502" i="9"/>
  <c r="CJ263" i="9"/>
  <c r="CI263" i="9"/>
  <c r="CH263" i="9"/>
  <c r="BY263" i="9"/>
  <c r="BX263" i="9" s="1"/>
  <c r="I263" i="9"/>
  <c r="BW263" i="9" s="1" a="1"/>
  <c r="BW263" i="9" s="1"/>
  <c r="CJ262" i="9"/>
  <c r="CI262" i="9"/>
  <c r="CH262" i="9"/>
  <c r="BY262" i="9"/>
  <c r="BX262" i="9" s="1"/>
  <c r="BW262" i="9" a="1"/>
  <c r="BW262" i="9" s="1"/>
  <c r="AL262" i="9"/>
  <c r="CJ261" i="9"/>
  <c r="CI261" i="9"/>
  <c r="CH261" i="9"/>
  <c r="BY261" i="9"/>
  <c r="BX261" i="9" s="1"/>
  <c r="BW261" i="9" a="1"/>
  <c r="BW261" i="9" s="1"/>
  <c r="AL261" i="9"/>
  <c r="BW499" i="9" a="1"/>
  <c r="BW499" i="9"/>
  <c r="CJ260" i="9"/>
  <c r="CI260" i="9"/>
  <c r="CH260" i="9"/>
  <c r="BY260" i="9"/>
  <c r="BX260" i="9" s="1"/>
  <c r="BW260" i="9" a="1"/>
  <c r="BW260" i="9" s="1"/>
  <c r="AL260" i="9"/>
  <c r="BW498" i="9" s="1" a="1"/>
  <c r="BW498" i="9" s="1"/>
  <c r="CJ259" i="9"/>
  <c r="CI259" i="9"/>
  <c r="CH259" i="9"/>
  <c r="BY259" i="9"/>
  <c r="BX259" i="9" s="1"/>
  <c r="BW259" i="9" a="1"/>
  <c r="BW259" i="9" s="1"/>
  <c r="AL259" i="9"/>
  <c r="W259" i="9" a="1"/>
  <c r="W259" i="9"/>
  <c r="D259" i="9" a="1"/>
  <c r="BV267" i="9"/>
  <c r="FT258" i="9"/>
  <c r="FT257" i="9"/>
  <c r="FT256" i="9"/>
  <c r="FT255" i="9"/>
  <c r="FT254" i="9"/>
  <c r="FT253" i="9"/>
  <c r="FT252" i="9"/>
  <c r="FT251" i="9"/>
  <c r="FT250" i="9"/>
  <c r="FT249" i="9"/>
  <c r="FT248" i="9"/>
  <c r="FT247" i="9"/>
  <c r="FT246" i="9"/>
  <c r="FT245" i="9"/>
  <c r="DH245" i="9"/>
  <c r="CZ245" i="9" a="1"/>
  <c r="CZ245" i="9" s="1"/>
  <c r="FT244" i="9"/>
  <c r="DH244" i="9"/>
  <c r="CZ244" i="9" a="1"/>
  <c r="CZ244" i="9" s="1"/>
  <c r="FT243" i="9"/>
  <c r="DH243" i="9"/>
  <c r="FT242" i="9"/>
  <c r="DH242" i="9"/>
  <c r="FT241" i="9"/>
  <c r="DH241" i="9"/>
  <c r="FT240" i="9"/>
  <c r="DH240" i="9"/>
  <c r="FT239" i="9"/>
  <c r="DH239" i="9"/>
  <c r="FT238" i="9"/>
  <c r="DH238" i="9"/>
  <c r="FT237" i="9"/>
  <c r="DH237" i="9"/>
  <c r="FT236" i="9"/>
  <c r="DH236" i="9"/>
  <c r="FT235" i="9"/>
  <c r="DH235" i="9"/>
  <c r="FT234" i="9"/>
  <c r="DH234" i="9"/>
  <c r="FT233" i="9"/>
  <c r="DH233" i="9"/>
  <c r="FT232" i="9"/>
  <c r="DH232" i="9"/>
  <c r="FT231" i="9"/>
  <c r="DH231" i="9"/>
  <c r="FT230" i="9"/>
  <c r="DH230" i="9"/>
  <c r="FT229" i="9"/>
  <c r="DH229" i="9"/>
  <c r="FT228" i="9"/>
  <c r="DH228" i="9"/>
  <c r="FT227" i="9"/>
  <c r="DH227" i="9"/>
  <c r="FT226" i="9"/>
  <c r="DH226" i="9"/>
  <c r="FT225" i="9"/>
  <c r="DH225" i="9"/>
  <c r="FT224" i="9"/>
  <c r="DH224" i="9"/>
  <c r="FT223" i="9"/>
  <c r="DH223" i="9"/>
  <c r="FT222" i="9"/>
  <c r="DH222" i="9"/>
  <c r="FT221" i="9"/>
  <c r="DH221" i="9"/>
  <c r="FT220" i="9"/>
  <c r="DH220" i="9"/>
  <c r="FT219" i="9"/>
  <c r="DH219" i="9"/>
  <c r="FT218" i="9"/>
  <c r="DH218" i="9"/>
  <c r="FT217" i="9"/>
  <c r="DH217" i="9"/>
  <c r="FT216" i="9"/>
  <c r="DH216" i="9"/>
  <c r="FT215" i="9"/>
  <c r="DH215" i="9"/>
  <c r="CZ215" i="9" a="1"/>
  <c r="CZ215" i="9" s="1"/>
  <c r="FT214" i="9"/>
  <c r="DH214" i="9"/>
  <c r="CZ214" i="9" a="1"/>
  <c r="CZ214" i="9" s="1"/>
  <c r="FT213" i="9"/>
  <c r="DH213" i="9"/>
  <c r="CZ213" i="9" a="1"/>
  <c r="CZ213" i="9" s="1"/>
  <c r="FT212" i="9"/>
  <c r="DH212" i="9"/>
  <c r="CZ212" i="9" a="1"/>
  <c r="CZ212" i="9" s="1"/>
  <c r="FT211" i="9"/>
  <c r="DH211" i="9"/>
  <c r="CZ211" i="9" a="1"/>
  <c r="CZ211" i="9" s="1"/>
  <c r="FT210" i="9"/>
  <c r="DH210" i="9"/>
  <c r="CZ210" i="9" a="1"/>
  <c r="CZ210" i="9" s="1"/>
  <c r="FT209" i="9"/>
  <c r="CJ208" i="9"/>
  <c r="CI208" i="9"/>
  <c r="CH208" i="9"/>
  <c r="BY208" i="9"/>
  <c r="BX208" i="9"/>
  <c r="BW208" i="9" a="1"/>
  <c r="BW208" i="9" s="1"/>
  <c r="CJ207" i="9"/>
  <c r="CI207" i="9"/>
  <c r="CH207" i="9"/>
  <c r="BY207" i="9"/>
  <c r="BX207" i="9"/>
  <c r="BW207" i="9" a="1"/>
  <c r="BW207" i="9"/>
  <c r="CJ206" i="9"/>
  <c r="CI206" i="9"/>
  <c r="CH206" i="9"/>
  <c r="BY206" i="9"/>
  <c r="BX206" i="9" s="1"/>
  <c r="BW206" i="9" a="1"/>
  <c r="BW206" i="9"/>
  <c r="CJ205" i="9"/>
  <c r="CI205" i="9"/>
  <c r="CH205" i="9"/>
  <c r="BY205" i="9"/>
  <c r="BX205" i="9" s="1"/>
  <c r="BW205" i="9" a="1"/>
  <c r="BW205" i="9"/>
  <c r="CJ204" i="9"/>
  <c r="CI204" i="9"/>
  <c r="CH204" i="9"/>
  <c r="BY204" i="9"/>
  <c r="BX204" i="9"/>
  <c r="BW204" i="9" a="1"/>
  <c r="BW204" i="9" s="1"/>
  <c r="CJ203" i="9"/>
  <c r="CI203" i="9"/>
  <c r="CH203" i="9"/>
  <c r="BY203" i="9"/>
  <c r="BX203" i="9"/>
  <c r="GQ203" i="9" s="1"/>
  <c r="GR203" i="9" s="1"/>
  <c r="GS203" i="9" s="1"/>
  <c r="GT203" i="9" s="1"/>
  <c r="GU203" i="9" s="1"/>
  <c r="GV203" i="9" s="1"/>
  <c r="BW203" i="9" a="1"/>
  <c r="BW203" i="9" s="1"/>
  <c r="CJ202" i="9"/>
  <c r="CI202" i="9"/>
  <c r="CH202" i="9"/>
  <c r="BY202" i="9"/>
  <c r="BX202" i="9" s="1"/>
  <c r="BW202" i="9" a="1"/>
  <c r="BW202" i="9" s="1"/>
  <c r="CJ201" i="9"/>
  <c r="CI201" i="9"/>
  <c r="CH201" i="9"/>
  <c r="BY201" i="9"/>
  <c r="BX201" i="9"/>
  <c r="BW201" i="9" a="1"/>
  <c r="BW201" i="9"/>
  <c r="CJ200" i="9"/>
  <c r="CI200" i="9"/>
  <c r="CH200" i="9"/>
  <c r="BY200" i="9"/>
  <c r="BX200" i="9"/>
  <c r="BW200" i="9" a="1"/>
  <c r="BW200" i="9" s="1"/>
  <c r="CJ199" i="9"/>
  <c r="CI199" i="9"/>
  <c r="CH199" i="9"/>
  <c r="BY199" i="9"/>
  <c r="BX199" i="9"/>
  <c r="BW199" i="9" a="1"/>
  <c r="BW199" i="9"/>
  <c r="CJ198" i="9"/>
  <c r="CI198" i="9"/>
  <c r="CH198" i="9"/>
  <c r="BY198" i="9"/>
  <c r="BX198" i="9" s="1"/>
  <c r="BW198" i="9" a="1"/>
  <c r="BW198" i="9"/>
  <c r="CJ197" i="9"/>
  <c r="CI197" i="9"/>
  <c r="CH197" i="9"/>
  <c r="BY197" i="9"/>
  <c r="BX197" i="9" s="1"/>
  <c r="BW197" i="9" a="1"/>
  <c r="BW197" i="9"/>
  <c r="CJ196" i="9"/>
  <c r="CI196" i="9"/>
  <c r="CH196" i="9"/>
  <c r="BY196" i="9"/>
  <c r="BX196" i="9" s="1"/>
  <c r="BW196" i="9" a="1"/>
  <c r="BW196" i="9" s="1"/>
  <c r="CJ195" i="9"/>
  <c r="CI195" i="9"/>
  <c r="CH195" i="9"/>
  <c r="BY195" i="9"/>
  <c r="BX195" i="9"/>
  <c r="GQ195" i="9" s="1"/>
  <c r="GR195" i="9" s="1"/>
  <c r="GS195" i="9" s="1"/>
  <c r="GT195" i="9" s="1"/>
  <c r="GU195" i="9" s="1"/>
  <c r="GV195" i="9" s="1"/>
  <c r="BW195" i="9" a="1"/>
  <c r="BW195" i="9" s="1"/>
  <c r="D195" i="9" a="1"/>
  <c r="FT194" i="9"/>
  <c r="CJ193" i="9"/>
  <c r="CI193" i="9"/>
  <c r="CH193" i="9"/>
  <c r="BY193" i="9"/>
  <c r="BX193" i="9" s="1"/>
  <c r="BW193" i="9" a="1"/>
  <c r="BW193" i="9" s="1"/>
  <c r="CJ192" i="9"/>
  <c r="CI192" i="9"/>
  <c r="CH192" i="9"/>
  <c r="BY192" i="9"/>
  <c r="BX192" i="9"/>
  <c r="BW192" i="9" a="1"/>
  <c r="BW192" i="9" s="1"/>
  <c r="CJ191" i="9"/>
  <c r="CI191" i="9"/>
  <c r="CH191" i="9"/>
  <c r="BY191" i="9"/>
  <c r="BX191" i="9" s="1"/>
  <c r="BW191" i="9" a="1"/>
  <c r="BW191" i="9" s="1"/>
  <c r="CJ190" i="9"/>
  <c r="CI190" i="9"/>
  <c r="CH190" i="9"/>
  <c r="BY190" i="9"/>
  <c r="BX190" i="9"/>
  <c r="GY190" i="9" s="1"/>
  <c r="GZ190" i="9" s="1"/>
  <c r="HH190" i="9" s="1"/>
  <c r="CF190" i="9" s="1"/>
  <c r="BW190" i="9" a="1"/>
  <c r="BW190" i="9"/>
  <c r="CJ189" i="9"/>
  <c r="CI189" i="9"/>
  <c r="CH189" i="9"/>
  <c r="BY189" i="9"/>
  <c r="BX189" i="9"/>
  <c r="BW189" i="9" a="1"/>
  <c r="BW189" i="9" s="1"/>
  <c r="CJ188" i="9"/>
  <c r="CI188" i="9"/>
  <c r="CH188" i="9"/>
  <c r="BY188" i="9"/>
  <c r="BX188" i="9"/>
  <c r="BW188" i="9" a="1"/>
  <c r="BW188" i="9"/>
  <c r="CJ187" i="9"/>
  <c r="CI187" i="9"/>
  <c r="CH187" i="9"/>
  <c r="BY187" i="9"/>
  <c r="BX187" i="9" s="1"/>
  <c r="BW187" i="9" a="1"/>
  <c r="BW187" i="9"/>
  <c r="CJ186" i="9"/>
  <c r="CI186" i="9"/>
  <c r="CH186" i="9"/>
  <c r="BY186" i="9"/>
  <c r="BW186" i="9" a="1"/>
  <c r="BW186" i="9" s="1"/>
  <c r="CJ185" i="9"/>
  <c r="CI185" i="9"/>
  <c r="CH185" i="9"/>
  <c r="BY185" i="9"/>
  <c r="BX185" i="9"/>
  <c r="GQ185" i="9" s="1"/>
  <c r="GR185" i="9" s="1"/>
  <c r="GS185" i="9" s="1"/>
  <c r="GT185" i="9" s="1"/>
  <c r="GU185" i="9" s="1"/>
  <c r="GV185" i="9" s="1"/>
  <c r="BW185" i="9" a="1"/>
  <c r="BW185" i="9" s="1"/>
  <c r="CJ184" i="9"/>
  <c r="CI184" i="9"/>
  <c r="CH184" i="9"/>
  <c r="BY184" i="9"/>
  <c r="BX184" i="9" s="1"/>
  <c r="I184" i="9"/>
  <c r="BW184" i="9" s="1" a="1"/>
  <c r="BW184" i="9" s="1"/>
  <c r="CJ183" i="9"/>
  <c r="CI183" i="9"/>
  <c r="CH183" i="9"/>
  <c r="BY183" i="9"/>
  <c r="BX183" i="9" s="1"/>
  <c r="BW183" i="9" a="1"/>
  <c r="BW183" i="9" s="1"/>
  <c r="CJ182" i="9"/>
  <c r="CI182" i="9"/>
  <c r="CH182" i="9"/>
  <c r="BY182" i="9"/>
  <c r="BX182" i="9"/>
  <c r="GQ182" i="9" s="1"/>
  <c r="GR182" i="9" s="1"/>
  <c r="GS182" i="9" s="1"/>
  <c r="GT182" i="9" s="1"/>
  <c r="GU182" i="9" s="1"/>
  <c r="GV182" i="9" s="1"/>
  <c r="BW182" i="9" a="1"/>
  <c r="BW182" i="9"/>
  <c r="CJ181" i="9"/>
  <c r="CI181" i="9"/>
  <c r="CH181" i="9"/>
  <c r="BY181" i="9"/>
  <c r="BX181" i="9" s="1"/>
  <c r="BW181" i="9" a="1"/>
  <c r="BW181" i="9" s="1"/>
  <c r="CJ180" i="9"/>
  <c r="CI180" i="9"/>
  <c r="CH180" i="9"/>
  <c r="BY180" i="9"/>
  <c r="BX180" i="9" s="1"/>
  <c r="BW180" i="9" a="1"/>
  <c r="BW180" i="9"/>
  <c r="D180" i="9" a="1"/>
  <c r="BV185" i="9"/>
  <c r="FT179" i="9"/>
  <c r="CJ178" i="9"/>
  <c r="CI178" i="9"/>
  <c r="CH178" i="9"/>
  <c r="BY178" i="9"/>
  <c r="BX178" i="9"/>
  <c r="BW178" i="9" a="1"/>
  <c r="BW178" i="9"/>
  <c r="CJ177" i="9"/>
  <c r="CI177" i="9"/>
  <c r="CH177" i="9"/>
  <c r="BY177" i="9"/>
  <c r="BX177" i="9" s="1"/>
  <c r="BW177" i="9" a="1"/>
  <c r="BW177" i="9" s="1"/>
  <c r="CJ176" i="9"/>
  <c r="CI176" i="9"/>
  <c r="CH176" i="9"/>
  <c r="BY176" i="9"/>
  <c r="BX176" i="9" s="1"/>
  <c r="GQ176" i="9" s="1"/>
  <c r="GR176" i="9" s="1"/>
  <c r="GS176" i="9" s="1"/>
  <c r="GT176" i="9" s="1"/>
  <c r="GU176" i="9" s="1"/>
  <c r="GV176" i="9" s="1"/>
  <c r="BW176" i="9" a="1"/>
  <c r="BW176" i="9"/>
  <c r="CJ175" i="9"/>
  <c r="CI175" i="9"/>
  <c r="CH175" i="9"/>
  <c r="BY175" i="9"/>
  <c r="BX175" i="9" s="1"/>
  <c r="GY175" i="9" s="1"/>
  <c r="GZ175" i="9" s="1"/>
  <c r="HH175" i="9" s="1"/>
  <c r="BW175" i="9" a="1"/>
  <c r="BW175" i="9" s="1"/>
  <c r="CJ174" i="9"/>
  <c r="CI174" i="9"/>
  <c r="CH174" i="9"/>
  <c r="BY174" i="9"/>
  <c r="BX174" i="9"/>
  <c r="BW174" i="9" a="1"/>
  <c r="BW174" i="9" s="1"/>
  <c r="CJ173" i="9"/>
  <c r="CI173" i="9"/>
  <c r="CH173" i="9"/>
  <c r="BY173" i="9"/>
  <c r="BX173" i="9" s="1"/>
  <c r="GQ173" i="9" s="1"/>
  <c r="GR173" i="9" s="1"/>
  <c r="GS173" i="9" s="1"/>
  <c r="GT173" i="9" s="1"/>
  <c r="GU173" i="9" s="1"/>
  <c r="GV173" i="9" s="1"/>
  <c r="BW173" i="9" a="1"/>
  <c r="BW173" i="9" s="1"/>
  <c r="CJ172" i="9"/>
  <c r="CI172" i="9"/>
  <c r="CH172" i="9"/>
  <c r="BY172" i="9"/>
  <c r="BX172" i="9"/>
  <c r="GY172" i="9" s="1"/>
  <c r="GZ172" i="9" s="1"/>
  <c r="HH172" i="9" s="1"/>
  <c r="BW172" i="9" a="1"/>
  <c r="BW172" i="9"/>
  <c r="CJ171" i="9"/>
  <c r="CI171" i="9"/>
  <c r="CH171" i="9"/>
  <c r="BY171" i="9"/>
  <c r="BX171" i="9" s="1"/>
  <c r="GR171" i="9" s="1"/>
  <c r="GS171" i="9" s="1"/>
  <c r="GT171" i="9" s="1"/>
  <c r="GU171" i="9" s="1"/>
  <c r="GV171" i="9" s="1"/>
  <c r="BW171" i="9" a="1"/>
  <c r="BW171" i="9" s="1"/>
  <c r="CJ170" i="9"/>
  <c r="CI170" i="9"/>
  <c r="CH170" i="9"/>
  <c r="BY170" i="9"/>
  <c r="BX170" i="9"/>
  <c r="BW170" i="9" a="1"/>
  <c r="BW170" i="9"/>
  <c r="CJ169" i="9"/>
  <c r="CI169" i="9"/>
  <c r="CH169" i="9"/>
  <c r="BY169" i="9"/>
  <c r="BX169" i="9" s="1"/>
  <c r="I169" i="9"/>
  <c r="BW169" i="9" s="1" a="1"/>
  <c r="BW169" i="9" s="1"/>
  <c r="CJ168" i="9"/>
  <c r="CI168" i="9"/>
  <c r="CH168" i="9"/>
  <c r="BY168" i="9"/>
  <c r="BX168" i="9" s="1"/>
  <c r="BW168" i="9" a="1"/>
  <c r="BW168" i="9"/>
  <c r="CJ167" i="9"/>
  <c r="CI167" i="9"/>
  <c r="CH167" i="9"/>
  <c r="BY167" i="9"/>
  <c r="BX167" i="9" s="1"/>
  <c r="BW167" i="9" a="1"/>
  <c r="BW167" i="9" s="1"/>
  <c r="CJ166" i="9"/>
  <c r="CI166" i="9"/>
  <c r="CH166" i="9"/>
  <c r="BY166" i="9"/>
  <c r="BX166" i="9"/>
  <c r="GY166" i="9" s="1"/>
  <c r="GZ166" i="9" s="1"/>
  <c r="HH166" i="9" s="1"/>
  <c r="BW166" i="9" a="1"/>
  <c r="BW166" i="9" s="1"/>
  <c r="CJ165" i="9"/>
  <c r="CI165" i="9"/>
  <c r="CH165" i="9"/>
  <c r="BY165" i="9"/>
  <c r="BX165" i="9" s="1"/>
  <c r="BW165" i="9" a="1"/>
  <c r="BW165" i="9" s="1"/>
  <c r="D165" i="9" a="1"/>
  <c r="FT164" i="9"/>
  <c r="CJ163" i="9"/>
  <c r="CI163" i="9"/>
  <c r="CH163" i="9"/>
  <c r="BY163" i="9"/>
  <c r="BX163" i="9"/>
  <c r="BW163" i="9" a="1"/>
  <c r="BW163" i="9"/>
  <c r="CJ162" i="9"/>
  <c r="CI162" i="9"/>
  <c r="CH162" i="9"/>
  <c r="BY162" i="9"/>
  <c r="BX162" i="9" s="1"/>
  <c r="BW162" i="9" a="1"/>
  <c r="BW162" i="9" s="1"/>
  <c r="CJ161" i="9"/>
  <c r="CI161" i="9"/>
  <c r="CH161" i="9"/>
  <c r="BY161" i="9"/>
  <c r="BX161" i="9"/>
  <c r="BW161" i="9" a="1"/>
  <c r="BW161" i="9"/>
  <c r="CJ160" i="9"/>
  <c r="CI160" i="9"/>
  <c r="CH160" i="9"/>
  <c r="BY160" i="9"/>
  <c r="BX160" i="9" s="1"/>
  <c r="BW160" i="9" a="1"/>
  <c r="BW160" i="9" s="1"/>
  <c r="CJ159" i="9"/>
  <c r="CI159" i="9"/>
  <c r="CH159" i="9"/>
  <c r="BY159" i="9"/>
  <c r="BX159" i="9"/>
  <c r="BW159" i="9" a="1"/>
  <c r="BW159" i="9"/>
  <c r="CJ158" i="9"/>
  <c r="CI158" i="9"/>
  <c r="CH158" i="9"/>
  <c r="BY158" i="9"/>
  <c r="BX158" i="9" s="1"/>
  <c r="BW158" i="9" a="1"/>
  <c r="BW158" i="9" s="1"/>
  <c r="CJ157" i="9"/>
  <c r="CI157" i="9"/>
  <c r="CH157" i="9"/>
  <c r="BY157" i="9"/>
  <c r="BX157" i="9"/>
  <c r="BW157" i="9" a="1"/>
  <c r="BW157" i="9"/>
  <c r="CJ156" i="9"/>
  <c r="CI156" i="9"/>
  <c r="CH156" i="9"/>
  <c r="BY156" i="9"/>
  <c r="BX156" i="9" s="1"/>
  <c r="BW156" i="9" a="1"/>
  <c r="BW156" i="9" s="1"/>
  <c r="CJ155" i="9"/>
  <c r="CI155" i="9"/>
  <c r="CH155" i="9"/>
  <c r="BY155" i="9"/>
  <c r="BX155" i="9"/>
  <c r="BW155" i="9" a="1"/>
  <c r="BW155" i="9"/>
  <c r="CJ154" i="9"/>
  <c r="CI154" i="9"/>
  <c r="CH154" i="9"/>
  <c r="BY154" i="9"/>
  <c r="BX154" i="9" s="1"/>
  <c r="GQ154" i="9" s="1"/>
  <c r="GR154" i="9" s="1"/>
  <c r="GS154" i="9" s="1"/>
  <c r="GT154" i="9" s="1"/>
  <c r="GU154" i="9" s="1"/>
  <c r="GV154" i="9" s="1"/>
  <c r="I154" i="9"/>
  <c r="BW154" i="9" s="1" a="1"/>
  <c r="BW154" i="9" s="1"/>
  <c r="CJ153" i="9"/>
  <c r="CI153" i="9"/>
  <c r="CH153" i="9"/>
  <c r="BY153" i="9"/>
  <c r="BX153" i="9" s="1"/>
  <c r="BW153" i="9" a="1"/>
  <c r="BW153" i="9" s="1"/>
  <c r="CJ152" i="9"/>
  <c r="CI152" i="9"/>
  <c r="CH152" i="9"/>
  <c r="BY152" i="9"/>
  <c r="BX152" i="9"/>
  <c r="BW152" i="9" a="1"/>
  <c r="BW152" i="9"/>
  <c r="CJ151" i="9"/>
  <c r="CI151" i="9"/>
  <c r="CH151" i="9"/>
  <c r="BY151" i="9"/>
  <c r="BX151" i="9" s="1"/>
  <c r="BW151" i="9" a="1"/>
  <c r="BW151" i="9" s="1"/>
  <c r="CJ150" i="9"/>
  <c r="CI150" i="9"/>
  <c r="CH150" i="9"/>
  <c r="BY150" i="9"/>
  <c r="BX150" i="9"/>
  <c r="BW150" i="9" a="1"/>
  <c r="BW150" i="9"/>
  <c r="D150" i="9" a="1"/>
  <c r="FT149" i="9"/>
  <c r="CJ148" i="9"/>
  <c r="CI148" i="9"/>
  <c r="CH148" i="9"/>
  <c r="BY148" i="9"/>
  <c r="BX148" i="9" s="1"/>
  <c r="GY148" i="9" s="1"/>
  <c r="GZ148" i="9" s="1"/>
  <c r="HH148" i="9" s="1"/>
  <c r="CF148" i="9" s="1"/>
  <c r="BW148" i="9" a="1"/>
  <c r="BW148" i="9" s="1"/>
  <c r="CJ147" i="9"/>
  <c r="CI147" i="9"/>
  <c r="CH147" i="9"/>
  <c r="BY147" i="9"/>
  <c r="BX147" i="9"/>
  <c r="BW147" i="9" a="1"/>
  <c r="BW147" i="9"/>
  <c r="CJ146" i="9"/>
  <c r="CI146" i="9"/>
  <c r="CH146" i="9"/>
  <c r="BY146" i="9"/>
  <c r="BX146" i="9" s="1"/>
  <c r="BW146" i="9" a="1"/>
  <c r="BW146" i="9" s="1"/>
  <c r="CJ145" i="9"/>
  <c r="CI145" i="9"/>
  <c r="CH145" i="9"/>
  <c r="BY145" i="9"/>
  <c r="BX145" i="9"/>
  <c r="BW145" i="9" a="1"/>
  <c r="BW145" i="9"/>
  <c r="CJ144" i="9"/>
  <c r="CI144" i="9"/>
  <c r="CH144" i="9"/>
  <c r="BY144" i="9"/>
  <c r="BX144" i="9" s="1"/>
  <c r="BW144" i="9" a="1"/>
  <c r="BW144" i="9" s="1"/>
  <c r="CJ143" i="9"/>
  <c r="CI143" i="9"/>
  <c r="CH143" i="9"/>
  <c r="BY143" i="9"/>
  <c r="BX143" i="9"/>
  <c r="GY143" i="9" s="1"/>
  <c r="GZ143" i="9" s="1"/>
  <c r="HH143" i="9" s="1"/>
  <c r="CF143" i="9" s="1"/>
  <c r="BW143" i="9" a="1"/>
  <c r="BW143" i="9"/>
  <c r="CJ142" i="9"/>
  <c r="CI142" i="9"/>
  <c r="CH142" i="9"/>
  <c r="BY142" i="9"/>
  <c r="BX142" i="9" s="1"/>
  <c r="BW142" i="9" a="1"/>
  <c r="BW142" i="9" s="1"/>
  <c r="CJ141" i="9"/>
  <c r="CI141" i="9"/>
  <c r="CH141" i="9"/>
  <c r="BY141" i="9"/>
  <c r="BX141" i="9"/>
  <c r="GR141" i="9" s="1"/>
  <c r="GS141" i="9" s="1"/>
  <c r="GT141" i="9" s="1"/>
  <c r="GU141" i="9" s="1"/>
  <c r="GV141" i="9" s="1"/>
  <c r="BW141" i="9" a="1"/>
  <c r="BW141" i="9"/>
  <c r="CJ140" i="9"/>
  <c r="CI140" i="9"/>
  <c r="CH140" i="9"/>
  <c r="BY140" i="9"/>
  <c r="BX140" i="9" s="1"/>
  <c r="BW140" i="9" a="1"/>
  <c r="BW140" i="9" s="1"/>
  <c r="CJ139" i="9"/>
  <c r="CI139" i="9"/>
  <c r="CH139" i="9"/>
  <c r="BY139" i="9"/>
  <c r="BX139" i="9"/>
  <c r="I139" i="9"/>
  <c r="BW139" i="9" s="1" a="1"/>
  <c r="BW139" i="9" s="1"/>
  <c r="CJ138" i="9"/>
  <c r="CI138" i="9"/>
  <c r="CH138" i="9"/>
  <c r="BY138" i="9"/>
  <c r="BX138" i="9"/>
  <c r="BW138" i="9" a="1"/>
  <c r="BW138" i="9"/>
  <c r="CJ137" i="9"/>
  <c r="CI137" i="9"/>
  <c r="CH137" i="9"/>
  <c r="BY137" i="9"/>
  <c r="BX137" i="9" s="1"/>
  <c r="BW137" i="9" a="1"/>
  <c r="BW137" i="9" s="1"/>
  <c r="CJ136" i="9"/>
  <c r="CI136" i="9"/>
  <c r="CH136" i="9"/>
  <c r="BY136" i="9"/>
  <c r="BX136" i="9"/>
  <c r="GY136" i="9" s="1"/>
  <c r="GZ136" i="9" s="1"/>
  <c r="HH136" i="9" s="1"/>
  <c r="CF136" i="9" s="1"/>
  <c r="BW136" i="9" a="1"/>
  <c r="BW136" i="9"/>
  <c r="CJ135" i="9"/>
  <c r="CI135" i="9"/>
  <c r="CH135" i="9"/>
  <c r="BY135" i="9"/>
  <c r="BX135" i="9" s="1"/>
  <c r="BW135" i="9" a="1"/>
  <c r="BW135" i="9" s="1"/>
  <c r="D135" i="9" a="1"/>
  <c r="BV145" i="9" s="1"/>
  <c r="FT134" i="9"/>
  <c r="FT133" i="9"/>
  <c r="FT132" i="9"/>
  <c r="FT131" i="9"/>
  <c r="FT130" i="9"/>
  <c r="FT129" i="9"/>
  <c r="FT128" i="9"/>
  <c r="FT127" i="9"/>
  <c r="FT126" i="9"/>
  <c r="FT125" i="9"/>
  <c r="FT124" i="9"/>
  <c r="FT123" i="9"/>
  <c r="FT122" i="9"/>
  <c r="FT121" i="9"/>
  <c r="FT120" i="9"/>
  <c r="FT119" i="9"/>
  <c r="FT118" i="9"/>
  <c r="FT117" i="9"/>
  <c r="FT116" i="9"/>
  <c r="FT115" i="9"/>
  <c r="FT114" i="9"/>
  <c r="FT113" i="9"/>
  <c r="FT112" i="9"/>
  <c r="FT111" i="9"/>
  <c r="FT110" i="9"/>
  <c r="FT109" i="9"/>
  <c r="FT108" i="9"/>
  <c r="FT107" i="9"/>
  <c r="FT106" i="9"/>
  <c r="FT105" i="9"/>
  <c r="FT104" i="9"/>
  <c r="FT103" i="9"/>
  <c r="FT102" i="9"/>
  <c r="FT101" i="9"/>
  <c r="FT100" i="9"/>
  <c r="FT99" i="9"/>
  <c r="FT98" i="9"/>
  <c r="FT97" i="9"/>
  <c r="FT96" i="9"/>
  <c r="FT95" i="9"/>
  <c r="FT94" i="9"/>
  <c r="FT93" i="9"/>
  <c r="FT92" i="9"/>
  <c r="FT91" i="9"/>
  <c r="FT90" i="9"/>
  <c r="FT89" i="9"/>
  <c r="FT88" i="9"/>
  <c r="FT87" i="9"/>
  <c r="CJ86" i="9"/>
  <c r="CI86" i="9"/>
  <c r="CH86" i="9"/>
  <c r="BY86" i="9"/>
  <c r="BX86" i="9"/>
  <c r="BW86" i="9" a="1"/>
  <c r="BW86" i="9"/>
  <c r="CJ85" i="9"/>
  <c r="CI85" i="9"/>
  <c r="CH85" i="9"/>
  <c r="BY85" i="9"/>
  <c r="BX85" i="9" s="1"/>
  <c r="BW85" i="9" a="1"/>
  <c r="BW85" i="9" s="1"/>
  <c r="CJ84" i="9"/>
  <c r="CI84" i="9"/>
  <c r="CH84" i="9"/>
  <c r="BY84" i="9"/>
  <c r="BX84" i="9"/>
  <c r="BW84" i="9" a="1"/>
  <c r="BW84" i="9"/>
  <c r="CJ83" i="9"/>
  <c r="CI83" i="9"/>
  <c r="CH83" i="9"/>
  <c r="BY83" i="9"/>
  <c r="BX83" i="9" s="1"/>
  <c r="BW83" i="9" a="1"/>
  <c r="BW83" i="9" s="1"/>
  <c r="CJ82" i="9"/>
  <c r="CI82" i="9"/>
  <c r="CH82" i="9"/>
  <c r="BY82" i="9"/>
  <c r="BX82" i="9"/>
  <c r="BW82" i="9" a="1"/>
  <c r="BW82" i="9"/>
  <c r="CJ81" i="9"/>
  <c r="CI81" i="9"/>
  <c r="CH81" i="9"/>
  <c r="BY81" i="9"/>
  <c r="BX81" i="9" s="1"/>
  <c r="BW81" i="9" a="1"/>
  <c r="BW81" i="9" s="1"/>
  <c r="CJ80" i="9"/>
  <c r="CI80" i="9"/>
  <c r="CH80" i="9"/>
  <c r="BY80" i="9"/>
  <c r="BX80" i="9"/>
  <c r="BW80" i="9" a="1"/>
  <c r="BW80" i="9"/>
  <c r="CJ79" i="9"/>
  <c r="CI79" i="9"/>
  <c r="CH79" i="9"/>
  <c r="BY79" i="9"/>
  <c r="BX79" i="9" s="1"/>
  <c r="BW79" i="9" a="1"/>
  <c r="BW79" i="9" s="1"/>
  <c r="CJ78" i="9"/>
  <c r="CI78" i="9"/>
  <c r="CH78" i="9"/>
  <c r="BY78" i="9"/>
  <c r="BX78" i="9"/>
  <c r="BW78" i="9" a="1"/>
  <c r="BW78" i="9"/>
  <c r="CJ77" i="9"/>
  <c r="CI77" i="9"/>
  <c r="CH77" i="9"/>
  <c r="BY77" i="9"/>
  <c r="BX77" i="9" s="1"/>
  <c r="BW77" i="9" a="1"/>
  <c r="BW77" i="9" s="1"/>
  <c r="CJ76" i="9"/>
  <c r="CI76" i="9"/>
  <c r="CH76" i="9"/>
  <c r="BY76" i="9"/>
  <c r="BX76" i="9"/>
  <c r="BW76" i="9" a="1"/>
  <c r="BW76" i="9"/>
  <c r="CJ75" i="9"/>
  <c r="CI75" i="9"/>
  <c r="CH75" i="9"/>
  <c r="BY75" i="9"/>
  <c r="BX75" i="9" s="1"/>
  <c r="BW75" i="9" a="1"/>
  <c r="BW75" i="9" s="1"/>
  <c r="CJ74" i="9"/>
  <c r="CI74" i="9"/>
  <c r="CH74" i="9"/>
  <c r="BY74" i="9"/>
  <c r="BX74" i="9"/>
  <c r="BW74" i="9" a="1"/>
  <c r="BW74" i="9"/>
  <c r="CJ73" i="9"/>
  <c r="CI73" i="9"/>
  <c r="CH73" i="9"/>
  <c r="BY73" i="9"/>
  <c r="BX73" i="9" s="1"/>
  <c r="BW73" i="9" a="1"/>
  <c r="BW73" i="9" s="1"/>
  <c r="D73" i="9" a="1"/>
  <c r="FT72" i="9"/>
  <c r="CJ71" i="9"/>
  <c r="CI71" i="9"/>
  <c r="CH71" i="9"/>
  <c r="BY71" i="9"/>
  <c r="BX71" i="9"/>
  <c r="BW71" i="9" a="1"/>
  <c r="BW71" i="9"/>
  <c r="DH70" i="9"/>
  <c r="CZ70" i="9" a="1"/>
  <c r="CZ70" i="9" s="1"/>
  <c r="CJ70" i="9"/>
  <c r="CI70" i="9"/>
  <c r="CH70" i="9"/>
  <c r="BY70" i="9"/>
  <c r="BX70" i="9"/>
  <c r="BW70" i="9" a="1"/>
  <c r="BW70" i="9"/>
  <c r="DH69" i="9"/>
  <c r="CZ69" i="9" a="1"/>
  <c r="CZ69" i="9" s="1"/>
  <c r="CJ69" i="9"/>
  <c r="CI69" i="9"/>
  <c r="CH69" i="9"/>
  <c r="BY69" i="9"/>
  <c r="BX69" i="9"/>
  <c r="BW69" i="9" a="1"/>
  <c r="BW69" i="9"/>
  <c r="DH68" i="9"/>
  <c r="CZ68" i="9" a="1"/>
  <c r="CZ68" i="9" s="1"/>
  <c r="CJ68" i="9"/>
  <c r="CI68" i="9"/>
  <c r="CH68" i="9"/>
  <c r="BY68" i="9"/>
  <c r="BX68" i="9"/>
  <c r="BW68" i="9" a="1"/>
  <c r="BW68" i="9"/>
  <c r="DH67" i="9"/>
  <c r="CZ67" i="9" a="1"/>
  <c r="CZ67" i="9" s="1"/>
  <c r="CJ67" i="9"/>
  <c r="CI67" i="9"/>
  <c r="CH67" i="9"/>
  <c r="BY67" i="9"/>
  <c r="BX67" i="9"/>
  <c r="BW67" i="9" a="1"/>
  <c r="BW67" i="9"/>
  <c r="DH66" i="9"/>
  <c r="CZ66" i="9" a="1"/>
  <c r="CZ66" i="9" s="1"/>
  <c r="CJ66" i="9"/>
  <c r="CI66" i="9"/>
  <c r="CH66" i="9"/>
  <c r="BY66" i="9"/>
  <c r="BX66" i="9"/>
  <c r="BW66" i="9" a="1"/>
  <c r="BW66" i="9"/>
  <c r="DH65" i="9"/>
  <c r="CZ65" i="9" a="1"/>
  <c r="CZ65" i="9" s="1"/>
  <c r="CJ65" i="9"/>
  <c r="CI65" i="9"/>
  <c r="CH65" i="9"/>
  <c r="BY65" i="9"/>
  <c r="BX65" i="9"/>
  <c r="BW65" i="9" a="1"/>
  <c r="BW65" i="9"/>
  <c r="DH64" i="9"/>
  <c r="CZ64" i="9" a="1"/>
  <c r="CZ64" i="9" s="1"/>
  <c r="CJ64" i="9"/>
  <c r="CI64" i="9"/>
  <c r="CH64" i="9"/>
  <c r="BY64" i="9"/>
  <c r="BX64" i="9"/>
  <c r="BW64" i="9" a="1"/>
  <c r="BW64" i="9"/>
  <c r="DH63" i="9"/>
  <c r="CZ63" i="9" a="1"/>
  <c r="CZ63" i="9" s="1"/>
  <c r="CJ63" i="9"/>
  <c r="CI63" i="9"/>
  <c r="CH63" i="9"/>
  <c r="BY63" i="9"/>
  <c r="BX63" i="9"/>
  <c r="BW63" i="9" a="1"/>
  <c r="BW63" i="9"/>
  <c r="DH62" i="9"/>
  <c r="CZ62" i="9" a="1"/>
  <c r="CZ62" i="9" s="1"/>
  <c r="CJ62" i="9"/>
  <c r="CI62" i="9"/>
  <c r="CH62" i="9"/>
  <c r="BY62" i="9"/>
  <c r="BX62" i="9"/>
  <c r="I62" i="9"/>
  <c r="BW62" i="9" a="1"/>
  <c r="BW62" i="9" s="1"/>
  <c r="DH61" i="9"/>
  <c r="CZ61" i="9" a="1"/>
  <c r="CZ61" i="9" s="1"/>
  <c r="CJ61" i="9"/>
  <c r="CI61" i="9"/>
  <c r="CH61" i="9"/>
  <c r="BY61" i="9"/>
  <c r="BX61" i="9"/>
  <c r="BW61" i="9" a="1"/>
  <c r="BW61" i="9"/>
  <c r="DH60" i="9"/>
  <c r="CZ60" i="9" a="1"/>
  <c r="CZ60" i="9" s="1"/>
  <c r="CJ60" i="9"/>
  <c r="CI60" i="9"/>
  <c r="CH60" i="9"/>
  <c r="BY60" i="9"/>
  <c r="BX60" i="9"/>
  <c r="BW60" i="9" a="1"/>
  <c r="BW60" i="9" s="1"/>
  <c r="DH59" i="9"/>
  <c r="CZ59" i="9" a="1"/>
  <c r="CZ59" i="9" s="1"/>
  <c r="CJ59" i="9"/>
  <c r="CI59" i="9"/>
  <c r="CH59" i="9"/>
  <c r="BY59" i="9"/>
  <c r="BX59" i="9" s="1"/>
  <c r="BW59" i="9" a="1"/>
  <c r="BW59" i="9"/>
  <c r="DH58" i="9"/>
  <c r="CZ58" i="9" a="1"/>
  <c r="CZ58" i="9" s="1"/>
  <c r="CJ58" i="9"/>
  <c r="CI58" i="9"/>
  <c r="CH58" i="9"/>
  <c r="BY58" i="9"/>
  <c r="BX58" i="9"/>
  <c r="BW58" i="9" a="1"/>
  <c r="BW58" i="9"/>
  <c r="D58" i="9" a="1"/>
  <c r="BV61" i="9"/>
  <c r="FT57" i="9"/>
  <c r="DH57" i="9"/>
  <c r="CZ57" i="9" a="1"/>
  <c r="CZ57" i="9"/>
  <c r="DH56" i="9"/>
  <c r="CZ56" i="9" a="1"/>
  <c r="CZ56" i="9" s="1"/>
  <c r="CJ56" i="9"/>
  <c r="CI56" i="9"/>
  <c r="CH56" i="9"/>
  <c r="BY56" i="9"/>
  <c r="BX56" i="9"/>
  <c r="BW56" i="9" a="1"/>
  <c r="BW56" i="9"/>
  <c r="DH55" i="9"/>
  <c r="CZ55" i="9" a="1"/>
  <c r="CZ55" i="9" s="1"/>
  <c r="CJ55" i="9"/>
  <c r="CI55" i="9"/>
  <c r="CH55" i="9"/>
  <c r="BY55" i="9"/>
  <c r="BX55" i="9"/>
  <c r="BW55" i="9" a="1"/>
  <c r="BW55" i="9"/>
  <c r="DH54" i="9"/>
  <c r="CZ54" i="9" a="1"/>
  <c r="CZ54" i="9" s="1"/>
  <c r="CJ54" i="9"/>
  <c r="CI54" i="9"/>
  <c r="CH54" i="9"/>
  <c r="BY54" i="9"/>
  <c r="BX54" i="9"/>
  <c r="BW54" i="9" a="1"/>
  <c r="BW54" i="9" s="1"/>
  <c r="DH53" i="9"/>
  <c r="CZ53" i="9" a="1"/>
  <c r="CZ53" i="9" s="1"/>
  <c r="CJ53" i="9"/>
  <c r="CI53" i="9"/>
  <c r="CH53" i="9"/>
  <c r="BY53" i="9"/>
  <c r="BX53" i="9" s="1"/>
  <c r="BW53" i="9" a="1"/>
  <c r="BW53" i="9"/>
  <c r="DH52" i="9"/>
  <c r="CZ52" i="9" a="1"/>
  <c r="CZ52" i="9" s="1"/>
  <c r="CJ52" i="9"/>
  <c r="CI52" i="9"/>
  <c r="CH52" i="9"/>
  <c r="BY52" i="9"/>
  <c r="BX52" i="9"/>
  <c r="BW52" i="9" a="1"/>
  <c r="BW52" i="9"/>
  <c r="DH51" i="9"/>
  <c r="CZ51" i="9" a="1"/>
  <c r="CZ51" i="9" s="1"/>
  <c r="CJ51" i="9"/>
  <c r="CI51" i="9"/>
  <c r="CH51" i="9"/>
  <c r="BY51" i="9"/>
  <c r="BX51" i="9"/>
  <c r="BW51" i="9" a="1"/>
  <c r="BW51" i="9"/>
  <c r="DH50" i="9"/>
  <c r="CZ50" i="9" a="1"/>
  <c r="CZ50" i="9" s="1"/>
  <c r="CJ50" i="9"/>
  <c r="CI50" i="9"/>
  <c r="CH50" i="9"/>
  <c r="BY50" i="9"/>
  <c r="BX50" i="9"/>
  <c r="BW50" i="9" a="1"/>
  <c r="BW50" i="9" s="1"/>
  <c r="DH49" i="9"/>
  <c r="CZ49" i="9" a="1"/>
  <c r="CZ49" i="9" s="1"/>
  <c r="CJ49" i="9"/>
  <c r="CI49" i="9"/>
  <c r="CH49" i="9"/>
  <c r="BY49" i="9"/>
  <c r="BW49" i="9" a="1"/>
  <c r="BW49" i="9" s="1"/>
  <c r="DH48" i="9"/>
  <c r="CZ48" i="9" a="1"/>
  <c r="CZ48" i="9"/>
  <c r="CJ48" i="9"/>
  <c r="CI48" i="9"/>
  <c r="CH48" i="9"/>
  <c r="BY48" i="9"/>
  <c r="BX48" i="9" s="1"/>
  <c r="BW48" i="9" a="1"/>
  <c r="BW48" i="9" s="1"/>
  <c r="DH47" i="9"/>
  <c r="CZ47" i="9" a="1"/>
  <c r="CZ47" i="9"/>
  <c r="CJ47" i="9"/>
  <c r="CI47" i="9"/>
  <c r="CH47" i="9"/>
  <c r="BY47" i="9"/>
  <c r="BX47" i="9" s="1"/>
  <c r="I47" i="9"/>
  <c r="BW47" i="9" s="1" a="1"/>
  <c r="BW47" i="9" s="1"/>
  <c r="DH46" i="9"/>
  <c r="CZ46" i="9" a="1"/>
  <c r="CZ46" i="9" s="1"/>
  <c r="CJ46" i="9"/>
  <c r="CI46" i="9"/>
  <c r="CH46" i="9"/>
  <c r="BY46" i="9"/>
  <c r="BX46" i="9"/>
  <c r="BW46" i="9" a="1"/>
  <c r="BW46" i="9" s="1"/>
  <c r="DH45" i="9"/>
  <c r="CZ45" i="9" a="1"/>
  <c r="CZ45" i="9" s="1"/>
  <c r="BY45" i="9"/>
  <c r="BX45" i="9"/>
  <c r="BW45" i="9" a="1"/>
  <c r="BW45" i="9" s="1"/>
  <c r="DH44" i="9"/>
  <c r="CZ44" i="9" a="1"/>
  <c r="CZ44" i="9"/>
  <c r="CJ44" i="9"/>
  <c r="CI44" i="9"/>
  <c r="CH44" i="9"/>
  <c r="BY44" i="9"/>
  <c r="BX44" i="9" s="1"/>
  <c r="BW44" i="9" a="1"/>
  <c r="BW44" i="9"/>
  <c r="DH43" i="9"/>
  <c r="CZ43" i="9" a="1"/>
  <c r="CZ43" i="9" s="1"/>
  <c r="CJ43" i="9"/>
  <c r="CI43" i="9"/>
  <c r="CH43" i="9"/>
  <c r="BY43" i="9"/>
  <c r="BX43" i="9"/>
  <c r="BW43" i="9" a="1"/>
  <c r="BW43" i="9" s="1"/>
  <c r="D43" i="9" a="1"/>
  <c r="BV46" i="9"/>
  <c r="FT42" i="9"/>
  <c r="DH42" i="9"/>
  <c r="CZ42" i="9" a="1"/>
  <c r="CZ42" i="9"/>
  <c r="DH41" i="9"/>
  <c r="CZ41" i="9" a="1"/>
  <c r="CZ41" i="9" s="1"/>
  <c r="CJ41" i="9"/>
  <c r="CI41" i="9"/>
  <c r="CH41" i="9"/>
  <c r="BY41" i="9"/>
  <c r="BX41" i="9"/>
  <c r="BW41" i="9" a="1"/>
  <c r="BW41" i="9" s="1"/>
  <c r="DH40" i="9"/>
  <c r="CZ40" i="9" a="1"/>
  <c r="CZ40" i="9"/>
  <c r="CJ40" i="9"/>
  <c r="CI40" i="9"/>
  <c r="CH40" i="9"/>
  <c r="BY40" i="9"/>
  <c r="BX40" i="9" s="1"/>
  <c r="BW40" i="9" a="1"/>
  <c r="BW40" i="9"/>
  <c r="DH39" i="9"/>
  <c r="CZ39" i="9" a="1"/>
  <c r="CZ39" i="9" s="1"/>
  <c r="CJ39" i="9"/>
  <c r="CI39" i="9"/>
  <c r="CH39" i="9"/>
  <c r="BY39" i="9"/>
  <c r="BX39" i="9"/>
  <c r="BW39" i="9" a="1"/>
  <c r="BW39" i="9" s="1"/>
  <c r="DH38" i="9"/>
  <c r="CZ38" i="9" a="1"/>
  <c r="CZ38" i="9"/>
  <c r="CJ38" i="9"/>
  <c r="CI38" i="9"/>
  <c r="CH38" i="9"/>
  <c r="BY38" i="9"/>
  <c r="BX38" i="9" s="1"/>
  <c r="BW38" i="9" a="1"/>
  <c r="BW38" i="9"/>
  <c r="DH37" i="9"/>
  <c r="CZ37" i="9" a="1"/>
  <c r="CZ37" i="9" s="1"/>
  <c r="CJ37" i="9"/>
  <c r="CI37" i="9"/>
  <c r="CH37" i="9"/>
  <c r="BY37" i="9"/>
  <c r="BX37" i="9"/>
  <c r="BW37" i="9" a="1"/>
  <c r="BW37" i="9" s="1"/>
  <c r="DH36" i="9"/>
  <c r="DA36" i="9"/>
  <c r="CZ36" i="9" a="1"/>
  <c r="CZ36" i="9" s="1"/>
  <c r="CJ36" i="9"/>
  <c r="CI36" i="9"/>
  <c r="CH36" i="9"/>
  <c r="BY36" i="9"/>
  <c r="BX36" i="9" s="1"/>
  <c r="BW36" i="9" a="1"/>
  <c r="BW36" i="9"/>
  <c r="DH35" i="9"/>
  <c r="CZ35" i="9" a="1"/>
  <c r="CZ35" i="9"/>
  <c r="CJ35" i="9"/>
  <c r="CI35" i="9"/>
  <c r="CH35" i="9"/>
  <c r="BY35" i="9"/>
  <c r="BX35" i="9"/>
  <c r="BW35" i="9" a="1"/>
  <c r="BW35" i="9" s="1"/>
  <c r="DH34" i="9"/>
  <c r="CZ34" i="9" a="1"/>
  <c r="CZ34" i="9" s="1"/>
  <c r="CJ34" i="9"/>
  <c r="CI34" i="9"/>
  <c r="CH34" i="9"/>
  <c r="BY34" i="9"/>
  <c r="BX34" i="9" s="1"/>
  <c r="BW34" i="9" a="1"/>
  <c r="BW34" i="9"/>
  <c r="DH33" i="9"/>
  <c r="CZ33" i="9" a="1"/>
  <c r="CZ33" i="9"/>
  <c r="CJ33" i="9"/>
  <c r="CI33" i="9"/>
  <c r="CH33" i="9"/>
  <c r="BY33" i="9"/>
  <c r="BX33" i="9"/>
  <c r="BW33" i="9" a="1"/>
  <c r="BW33" i="9" s="1"/>
  <c r="DH32" i="9"/>
  <c r="CZ32" i="9" a="1"/>
  <c r="CZ32" i="9" s="1"/>
  <c r="CJ32" i="9"/>
  <c r="CI32" i="9"/>
  <c r="CH32" i="9"/>
  <c r="BY32" i="9"/>
  <c r="BX32" i="9" s="1"/>
  <c r="I32" i="9"/>
  <c r="BW32" i="9" s="1" a="1"/>
  <c r="BW32" i="9" s="1"/>
  <c r="DH31" i="9"/>
  <c r="CZ31" i="9" a="1"/>
  <c r="CZ31" i="9" s="1"/>
  <c r="CJ31" i="9"/>
  <c r="CI31" i="9"/>
  <c r="CH31" i="9"/>
  <c r="BY31" i="9"/>
  <c r="BX31" i="9"/>
  <c r="BW31" i="9" a="1"/>
  <c r="BW31" i="9" s="1"/>
  <c r="DH30" i="9"/>
  <c r="CZ30" i="9" a="1"/>
  <c r="CZ30" i="9"/>
  <c r="CJ30" i="9"/>
  <c r="CI30" i="9"/>
  <c r="CH30" i="9"/>
  <c r="BY30" i="9"/>
  <c r="BX30" i="9" s="1"/>
  <c r="BW30" i="9" a="1"/>
  <c r="BW30" i="9"/>
  <c r="DH29" i="9"/>
  <c r="CZ29" i="9" a="1"/>
  <c r="CZ29" i="9" s="1"/>
  <c r="CJ29" i="9"/>
  <c r="CI29" i="9"/>
  <c r="CH29" i="9"/>
  <c r="BY29" i="9"/>
  <c r="BX29" i="9"/>
  <c r="BW29" i="9" a="1"/>
  <c r="BW29" i="9" s="1"/>
  <c r="DH28" i="9"/>
  <c r="CZ28" i="9" a="1"/>
  <c r="CZ28" i="9"/>
  <c r="CJ28" i="9"/>
  <c r="CI28" i="9"/>
  <c r="CH28" i="9"/>
  <c r="BY28" i="9"/>
  <c r="BX28" i="9" s="1"/>
  <c r="BW28" i="9" a="1"/>
  <c r="BW28" i="9"/>
  <c r="D28" i="9" a="1"/>
  <c r="FT27" i="9"/>
  <c r="DH27" i="9"/>
  <c r="CZ27" i="9" a="1"/>
  <c r="CZ27" i="9"/>
  <c r="DH26" i="9"/>
  <c r="CZ26" i="9" a="1"/>
  <c r="CZ26" i="9"/>
  <c r="CJ26" i="9"/>
  <c r="CI26" i="9"/>
  <c r="CH26" i="9"/>
  <c r="BY26" i="9"/>
  <c r="BX26" i="9"/>
  <c r="BW26" i="9" a="1"/>
  <c r="BW26" i="9" s="1"/>
  <c r="DH25" i="9"/>
  <c r="CZ25" i="9" a="1"/>
  <c r="CZ25" i="9" s="1"/>
  <c r="CJ25" i="9"/>
  <c r="CI25" i="9"/>
  <c r="CH25" i="9"/>
  <c r="BY25" i="9"/>
  <c r="BX25" i="9" s="1"/>
  <c r="BW25" i="9" a="1"/>
  <c r="BW25" i="9"/>
  <c r="DH24" i="9"/>
  <c r="CZ24" i="9" a="1"/>
  <c r="CZ24" i="9"/>
  <c r="CJ24" i="9"/>
  <c r="CI24" i="9"/>
  <c r="CH24" i="9"/>
  <c r="BY24" i="9"/>
  <c r="BX24" i="9"/>
  <c r="BW24" i="9" a="1"/>
  <c r="BW24" i="9" s="1"/>
  <c r="DH23" i="9"/>
  <c r="CZ23" i="9" a="1"/>
  <c r="CZ23" i="9" s="1"/>
  <c r="CJ23" i="9"/>
  <c r="CI23" i="9"/>
  <c r="CH23" i="9"/>
  <c r="BY23" i="9"/>
  <c r="BX23" i="9" s="1"/>
  <c r="BW23" i="9" a="1"/>
  <c r="BW23" i="9"/>
  <c r="DH22" i="9"/>
  <c r="CZ22" i="9" a="1"/>
  <c r="CZ22" i="9"/>
  <c r="CJ22" i="9"/>
  <c r="CI22" i="9"/>
  <c r="CH22" i="9"/>
  <c r="BY22" i="9"/>
  <c r="BX22" i="9"/>
  <c r="BW22" i="9" a="1"/>
  <c r="BW22" i="9" s="1"/>
  <c r="DH21" i="9"/>
  <c r="CZ21" i="9" a="1"/>
  <c r="CZ21" i="9" s="1"/>
  <c r="CJ21" i="9"/>
  <c r="CI21" i="9"/>
  <c r="CH21" i="9"/>
  <c r="BY21" i="9"/>
  <c r="BX21" i="9" s="1"/>
  <c r="BW21" i="9" a="1"/>
  <c r="BW21" i="9"/>
  <c r="DH20" i="9"/>
  <c r="CZ20" i="9" a="1"/>
  <c r="CZ20" i="9"/>
  <c r="CJ20" i="9"/>
  <c r="CI20" i="9"/>
  <c r="CH20" i="9"/>
  <c r="BY20" i="9"/>
  <c r="BX20" i="9"/>
  <c r="BW20" i="9" a="1"/>
  <c r="BW20" i="9" s="1"/>
  <c r="DH19" i="9"/>
  <c r="CZ19" i="9" a="1"/>
  <c r="CZ19" i="9" s="1"/>
  <c r="CJ19" i="9"/>
  <c r="CI19" i="9"/>
  <c r="CH19" i="9"/>
  <c r="BY19" i="9"/>
  <c r="BX19" i="9" s="1"/>
  <c r="BW19" i="9" a="1"/>
  <c r="BW19" i="9"/>
  <c r="DH18" i="9"/>
  <c r="CZ18" i="9" a="1"/>
  <c r="CZ18" i="9"/>
  <c r="CJ18" i="9"/>
  <c r="CI18" i="9"/>
  <c r="CH18" i="9"/>
  <c r="BY18" i="9"/>
  <c r="BX18" i="9"/>
  <c r="BW18" i="9" a="1"/>
  <c r="BW18" i="9" s="1"/>
  <c r="DH17" i="9"/>
  <c r="CZ17" i="9" a="1"/>
  <c r="CZ17" i="9" s="1"/>
  <c r="CJ17" i="9"/>
  <c r="CI17" i="9"/>
  <c r="CH17" i="9"/>
  <c r="BY17" i="9"/>
  <c r="BX17" i="9" s="1"/>
  <c r="I17" i="9"/>
  <c r="BW17" i="9" s="1" a="1"/>
  <c r="BW17" i="9" s="1"/>
  <c r="DH16" i="9"/>
  <c r="CZ16" i="9" a="1"/>
  <c r="CZ16" i="9" s="1"/>
  <c r="CJ16" i="9"/>
  <c r="CI16" i="9"/>
  <c r="CH16" i="9"/>
  <c r="BY16" i="9"/>
  <c r="BX16" i="9"/>
  <c r="BW16" i="9" a="1"/>
  <c r="BW16" i="9" s="1"/>
  <c r="DH15" i="9"/>
  <c r="CZ15" i="9" a="1"/>
  <c r="CZ15" i="9"/>
  <c r="CJ15" i="9"/>
  <c r="CI15" i="9"/>
  <c r="CH15" i="9"/>
  <c r="BY15" i="9"/>
  <c r="BX15" i="9" s="1"/>
  <c r="BW15" i="9" a="1"/>
  <c r="BW15" i="9"/>
  <c r="DH14" i="9"/>
  <c r="CZ14" i="9" a="1"/>
  <c r="CZ14" i="9" s="1"/>
  <c r="CJ14" i="9"/>
  <c r="CI14" i="9"/>
  <c r="CH14" i="9"/>
  <c r="BY14" i="9"/>
  <c r="BX14" i="9"/>
  <c r="BW14" i="9" a="1"/>
  <c r="BW14" i="9" s="1"/>
  <c r="DH13" i="9"/>
  <c r="CZ13" i="9" a="1"/>
  <c r="CZ13" i="9"/>
  <c r="CJ13" i="9"/>
  <c r="CI13" i="9"/>
  <c r="CH13" i="9"/>
  <c r="BY13" i="9"/>
  <c r="BW13" i="9" a="1"/>
  <c r="BW13" i="9" s="1"/>
  <c r="BQ13" i="9"/>
  <c r="BQ14" i="9"/>
  <c r="BQ15" i="9" s="1"/>
  <c r="BQ16" i="9" s="1"/>
  <c r="BQ17" i="9" s="1"/>
  <c r="BQ18" i="9" s="1"/>
  <c r="BQ19" i="9" s="1"/>
  <c r="BQ20" i="9" s="1"/>
  <c r="BQ21" i="9" s="1"/>
  <c r="BQ22" i="9" s="1"/>
  <c r="BQ23" i="9" s="1"/>
  <c r="BQ24" i="9" s="1"/>
  <c r="BQ25" i="9" s="1"/>
  <c r="BQ26" i="9" s="1"/>
  <c r="BQ27" i="9" s="1"/>
  <c r="BQ28" i="9" s="1"/>
  <c r="BQ29" i="9" s="1"/>
  <c r="BQ30" i="9" s="1"/>
  <c r="BQ31" i="9" s="1"/>
  <c r="BQ32" i="9" s="1"/>
  <c r="BQ33" i="9" s="1"/>
  <c r="BQ34" i="9" s="1"/>
  <c r="BQ35" i="9" s="1"/>
  <c r="BQ36" i="9" s="1"/>
  <c r="BQ37" i="9" s="1"/>
  <c r="BQ38" i="9" s="1"/>
  <c r="BQ39" i="9" s="1"/>
  <c r="BQ40" i="9" s="1"/>
  <c r="BQ41" i="9" s="1"/>
  <c r="BQ42" i="9" s="1"/>
  <c r="BQ43" i="9" s="1"/>
  <c r="BQ44" i="9" s="1"/>
  <c r="BQ45" i="9" s="1"/>
  <c r="BQ46" i="9" s="1"/>
  <c r="BQ47" i="9" s="1"/>
  <c r="BQ48" i="9" s="1"/>
  <c r="BQ49" i="9" s="1"/>
  <c r="BQ50" i="9" s="1"/>
  <c r="BQ51" i="9" s="1"/>
  <c r="BQ52" i="9" s="1"/>
  <c r="BQ53" i="9" s="1"/>
  <c r="BQ54" i="9" s="1"/>
  <c r="BQ55" i="9" s="1"/>
  <c r="BQ56" i="9" s="1"/>
  <c r="BQ57" i="9" s="1"/>
  <c r="BQ58" i="9" s="1"/>
  <c r="BQ59" i="9" s="1"/>
  <c r="BQ60" i="9" s="1"/>
  <c r="BQ61" i="9" s="1"/>
  <c r="BQ62" i="9" s="1"/>
  <c r="BQ63" i="9" s="1"/>
  <c r="BQ64" i="9" s="1"/>
  <c r="BQ65" i="9" s="1"/>
  <c r="BQ66" i="9" s="1"/>
  <c r="BQ67" i="9" s="1"/>
  <c r="BQ68" i="9" s="1"/>
  <c r="BQ69" i="9" s="1"/>
  <c r="BQ70" i="9" s="1"/>
  <c r="BQ71" i="9" s="1"/>
  <c r="BQ72" i="9" s="1"/>
  <c r="BQ73" i="9" s="1"/>
  <c r="BQ74" i="9" s="1"/>
  <c r="BQ75" i="9" s="1"/>
  <c r="BQ76" i="9" s="1"/>
  <c r="BQ77" i="9" s="1"/>
  <c r="BQ78" i="9" s="1"/>
  <c r="BQ79" i="9" s="1"/>
  <c r="BQ80" i="9" s="1"/>
  <c r="BQ81" i="9" s="1"/>
  <c r="BQ82" i="9" s="1"/>
  <c r="BQ83" i="9" s="1"/>
  <c r="BQ84" i="9" s="1"/>
  <c r="BQ85" i="9" s="1"/>
  <c r="BQ86" i="9" s="1"/>
  <c r="BQ87" i="9" s="1"/>
  <c r="BQ88" i="9" s="1"/>
  <c r="BQ89" i="9" s="1"/>
  <c r="BQ90" i="9" s="1"/>
  <c r="BQ91" i="9" s="1"/>
  <c r="BQ92" i="9" s="1"/>
  <c r="BQ93" i="9" s="1"/>
  <c r="BQ94" i="9" s="1"/>
  <c r="BQ95" i="9" s="1"/>
  <c r="BQ96" i="9" s="1"/>
  <c r="BQ97" i="9" s="1"/>
  <c r="BQ98" i="9" s="1"/>
  <c r="BQ99" i="9" s="1"/>
  <c r="BQ100" i="9" s="1"/>
  <c r="BQ101" i="9" s="1"/>
  <c r="BQ102" i="9" s="1"/>
  <c r="BQ103" i="9" s="1"/>
  <c r="BQ104" i="9" s="1"/>
  <c r="BQ105" i="9" s="1"/>
  <c r="BQ106" i="9" s="1"/>
  <c r="BQ107" i="9" s="1"/>
  <c r="BQ108" i="9" s="1"/>
  <c r="BQ109" i="9" s="1"/>
  <c r="BQ110" i="9" s="1"/>
  <c r="BQ111" i="9" s="1"/>
  <c r="BQ112" i="9" s="1"/>
  <c r="BQ113" i="9" s="1"/>
  <c r="BQ114" i="9" s="1"/>
  <c r="BQ115" i="9" s="1"/>
  <c r="BQ116" i="9" s="1"/>
  <c r="BQ117" i="9" s="1"/>
  <c r="BQ118" i="9" s="1"/>
  <c r="BQ119" i="9" s="1"/>
  <c r="BQ120" i="9" s="1"/>
  <c r="BQ121" i="9" s="1"/>
  <c r="BQ122" i="9" s="1"/>
  <c r="BQ123" i="9" s="1"/>
  <c r="BQ124" i="9" s="1"/>
  <c r="BQ125" i="9" s="1"/>
  <c r="BQ126" i="9" s="1"/>
  <c r="BQ127" i="9" s="1"/>
  <c r="BQ128" i="9" s="1"/>
  <c r="BQ129" i="9" s="1"/>
  <c r="BQ130" i="9" s="1"/>
  <c r="BQ131" i="9" s="1"/>
  <c r="BQ132" i="9" s="1"/>
  <c r="BQ133" i="9" s="1"/>
  <c r="BQ134" i="9" s="1"/>
  <c r="BQ135" i="9" s="1"/>
  <c r="BQ136" i="9" s="1"/>
  <c r="BQ137" i="9" s="1"/>
  <c r="BQ138" i="9" s="1"/>
  <c r="BQ139" i="9" s="1"/>
  <c r="BQ140" i="9" s="1"/>
  <c r="BQ141" i="9" s="1"/>
  <c r="BQ142" i="9" s="1"/>
  <c r="BQ143" i="9" s="1"/>
  <c r="BQ144" i="9" s="1"/>
  <c r="BQ145" i="9" s="1"/>
  <c r="BQ146" i="9" s="1"/>
  <c r="BQ147" i="9" s="1"/>
  <c r="BQ148" i="9" s="1"/>
  <c r="BQ149" i="9" s="1"/>
  <c r="BQ150" i="9" s="1"/>
  <c r="BQ151" i="9" s="1"/>
  <c r="BQ152" i="9" s="1"/>
  <c r="BQ153" i="9" s="1"/>
  <c r="BQ154" i="9" s="1"/>
  <c r="BQ155" i="9" s="1"/>
  <c r="BQ156" i="9" s="1"/>
  <c r="BQ157" i="9" s="1"/>
  <c r="BQ158" i="9" s="1"/>
  <c r="BQ159" i="9" s="1"/>
  <c r="BQ160" i="9" s="1"/>
  <c r="BQ161" i="9" s="1"/>
  <c r="BQ162" i="9" s="1"/>
  <c r="BQ163" i="9" s="1"/>
  <c r="BQ164" i="9" s="1"/>
  <c r="BQ165" i="9" s="1"/>
  <c r="BQ166" i="9" s="1"/>
  <c r="BQ167" i="9" s="1"/>
  <c r="BQ168" i="9" s="1"/>
  <c r="BQ169" i="9" s="1"/>
  <c r="BQ170" i="9" s="1"/>
  <c r="BQ171" i="9" s="1"/>
  <c r="BQ172" i="9" s="1"/>
  <c r="BQ173" i="9" s="1"/>
  <c r="BQ174" i="9" s="1"/>
  <c r="BQ175" i="9" s="1"/>
  <c r="BQ176" i="9" s="1"/>
  <c r="BQ177" i="9" s="1"/>
  <c r="BQ178" i="9" s="1"/>
  <c r="BQ179" i="9" s="1"/>
  <c r="BQ180" i="9" s="1"/>
  <c r="BQ181" i="9" s="1"/>
  <c r="BQ182" i="9" s="1"/>
  <c r="BQ183" i="9" s="1"/>
  <c r="BQ184" i="9" s="1"/>
  <c r="BQ185" i="9" s="1"/>
  <c r="BQ186" i="9" s="1"/>
  <c r="BQ187" i="9" s="1"/>
  <c r="BQ188" i="9" s="1"/>
  <c r="BQ189" i="9" s="1"/>
  <c r="BQ190" i="9" s="1"/>
  <c r="BQ191" i="9" s="1"/>
  <c r="BQ192" i="9" s="1"/>
  <c r="BQ193" i="9" s="1"/>
  <c r="BQ194" i="9" s="1"/>
  <c r="BQ195" i="9" s="1"/>
  <c r="BQ196" i="9" s="1"/>
  <c r="BQ197" i="9" s="1"/>
  <c r="BQ198" i="9" s="1"/>
  <c r="BQ199" i="9" s="1"/>
  <c r="BQ200" i="9" s="1"/>
  <c r="BQ201" i="9" s="1"/>
  <c r="BQ202" i="9" s="1"/>
  <c r="BQ203" i="9" s="1"/>
  <c r="BQ204" i="9" s="1"/>
  <c r="BQ205" i="9" s="1"/>
  <c r="BQ206" i="9" s="1"/>
  <c r="BQ207" i="9" s="1"/>
  <c r="BQ208" i="9" s="1"/>
  <c r="BQ209" i="9" s="1"/>
  <c r="BQ210" i="9" s="1"/>
  <c r="BQ211" i="9" s="1"/>
  <c r="BQ212" i="9" s="1"/>
  <c r="BQ213" i="9" s="1"/>
  <c r="BQ214" i="9" s="1"/>
  <c r="BQ215" i="9" s="1"/>
  <c r="BQ216" i="9" s="1"/>
  <c r="BQ217" i="9" s="1"/>
  <c r="BQ218" i="9" s="1"/>
  <c r="BQ219" i="9" s="1"/>
  <c r="BQ220" i="9" s="1"/>
  <c r="BQ221" i="9" s="1"/>
  <c r="BQ222" i="9" s="1"/>
  <c r="BQ223" i="9" s="1"/>
  <c r="BQ224" i="9" s="1"/>
  <c r="BQ225" i="9" s="1"/>
  <c r="BQ226" i="9" s="1"/>
  <c r="BQ227" i="9" s="1"/>
  <c r="BQ228" i="9" s="1"/>
  <c r="BQ229" i="9" s="1"/>
  <c r="BQ230" i="9" s="1"/>
  <c r="BQ231" i="9" s="1"/>
  <c r="BQ232" i="9" s="1"/>
  <c r="BQ233" i="9" s="1"/>
  <c r="BQ234" i="9" s="1"/>
  <c r="BQ235" i="9" s="1"/>
  <c r="BQ236" i="9" s="1"/>
  <c r="BQ237" i="9" s="1"/>
  <c r="BQ238" i="9" s="1"/>
  <c r="BQ239" i="9" s="1"/>
  <c r="BQ240" i="9" s="1"/>
  <c r="BQ241" i="9" s="1"/>
  <c r="BQ242" i="9" s="1"/>
  <c r="BQ243" i="9" s="1"/>
  <c r="BQ244" i="9" s="1"/>
  <c r="BQ245" i="9" s="1"/>
  <c r="BQ246" i="9" s="1"/>
  <c r="BQ247" i="9" s="1"/>
  <c r="BQ248" i="9" s="1"/>
  <c r="BQ249" i="9" s="1"/>
  <c r="BQ250" i="9" s="1"/>
  <c r="BQ251" i="9" s="1"/>
  <c r="BQ252" i="9" s="1"/>
  <c r="BQ253" i="9" s="1"/>
  <c r="BQ254" i="9" s="1"/>
  <c r="BQ255" i="9" s="1"/>
  <c r="BQ256" i="9" s="1"/>
  <c r="BQ257" i="9" s="1"/>
  <c r="BQ258" i="9" s="1"/>
  <c r="BQ259" i="9" s="1"/>
  <c r="BQ260" i="9" s="1"/>
  <c r="BQ261" i="9" s="1"/>
  <c r="BQ262" i="9" s="1"/>
  <c r="BQ263" i="9" s="1"/>
  <c r="BQ264" i="9" s="1"/>
  <c r="BQ265" i="9" s="1"/>
  <c r="BQ266" i="9" s="1"/>
  <c r="BQ267" i="9" s="1"/>
  <c r="BQ268" i="9" s="1"/>
  <c r="BQ269" i="9" s="1"/>
  <c r="BQ270" i="9" s="1"/>
  <c r="BQ271" i="9" s="1"/>
  <c r="BQ272" i="9" s="1"/>
  <c r="BQ273" i="9" s="1"/>
  <c r="BQ274" i="9" s="1"/>
  <c r="BQ275" i="9" s="1"/>
  <c r="BQ276" i="9" s="1"/>
  <c r="BQ277" i="9" s="1"/>
  <c r="BQ278" i="9" s="1"/>
  <c r="BQ279" i="9" s="1"/>
  <c r="BQ280" i="9" s="1"/>
  <c r="BQ281" i="9" s="1"/>
  <c r="BQ282" i="9" s="1"/>
  <c r="BQ283" i="9" s="1"/>
  <c r="BQ284" i="9" s="1"/>
  <c r="BQ285" i="9" s="1"/>
  <c r="BQ286" i="9" s="1"/>
  <c r="BQ287" i="9" s="1"/>
  <c r="BQ288" i="9" s="1"/>
  <c r="BQ289" i="9" s="1"/>
  <c r="BQ290" i="9" s="1"/>
  <c r="BQ291" i="9" s="1"/>
  <c r="BQ292" i="9" s="1"/>
  <c r="BQ293" i="9" s="1"/>
  <c r="BQ294" i="9" s="1"/>
  <c r="BQ295" i="9" s="1"/>
  <c r="BQ296" i="9" s="1"/>
  <c r="BQ297" i="9" s="1"/>
  <c r="BQ298" i="9" s="1"/>
  <c r="BQ299" i="9" s="1"/>
  <c r="BQ300" i="9" s="1"/>
  <c r="BQ301" i="9" s="1"/>
  <c r="BQ302" i="9" s="1"/>
  <c r="BQ303" i="9" s="1"/>
  <c r="BQ304" i="9" s="1"/>
  <c r="BQ305" i="9" s="1"/>
  <c r="BQ306" i="9" s="1"/>
  <c r="BQ307" i="9" s="1"/>
  <c r="BQ308" i="9" s="1"/>
  <c r="BQ309" i="9" s="1"/>
  <c r="BQ310" i="9" s="1"/>
  <c r="BQ311" i="9" s="1"/>
  <c r="BQ312" i="9" s="1"/>
  <c r="BQ313" i="9" s="1"/>
  <c r="BQ314" i="9" s="1"/>
  <c r="BQ315" i="9" s="1"/>
  <c r="BQ316" i="9" s="1"/>
  <c r="BQ317" i="9" s="1"/>
  <c r="BQ318" i="9" s="1"/>
  <c r="BQ319" i="9" s="1"/>
  <c r="BQ320" i="9" s="1"/>
  <c r="BQ321" i="9" s="1"/>
  <c r="BQ322" i="9" s="1"/>
  <c r="BQ323" i="9" s="1"/>
  <c r="BQ324" i="9" s="1"/>
  <c r="BQ325" i="9" s="1"/>
  <c r="BQ326" i="9" s="1"/>
  <c r="BQ327" i="9" s="1"/>
  <c r="BQ328" i="9" s="1"/>
  <c r="BQ329" i="9" s="1"/>
  <c r="BQ330" i="9" s="1"/>
  <c r="BQ331" i="9" s="1"/>
  <c r="BQ332" i="9" s="1"/>
  <c r="BQ333" i="9" s="1"/>
  <c r="BQ334" i="9" s="1"/>
  <c r="BQ335" i="9" s="1"/>
  <c r="BQ336" i="9" s="1"/>
  <c r="BQ337" i="9" s="1"/>
  <c r="BQ338" i="9" s="1"/>
  <c r="BQ339" i="9" s="1"/>
  <c r="BQ340" i="9" s="1"/>
  <c r="BQ341" i="9" s="1"/>
  <c r="BQ342" i="9" s="1"/>
  <c r="BQ343" i="9" s="1"/>
  <c r="BQ344" i="9" s="1"/>
  <c r="BQ345" i="9" s="1"/>
  <c r="BQ346" i="9" s="1"/>
  <c r="BQ347" i="9" s="1"/>
  <c r="BQ348" i="9" s="1"/>
  <c r="BQ349" i="9" s="1"/>
  <c r="BQ350" i="9" s="1"/>
  <c r="BQ351" i="9" s="1"/>
  <c r="BQ352" i="9" s="1"/>
  <c r="BQ353" i="9" s="1"/>
  <c r="BQ354" i="9" s="1"/>
  <c r="BQ355" i="9" s="1"/>
  <c r="BQ356" i="9" s="1"/>
  <c r="BQ357" i="9" s="1"/>
  <c r="BQ358" i="9" s="1"/>
  <c r="BQ359" i="9" s="1"/>
  <c r="BQ360" i="9" s="1"/>
  <c r="BQ361" i="9" s="1"/>
  <c r="BQ362" i="9" s="1"/>
  <c r="BQ363" i="9" s="1"/>
  <c r="BQ364" i="9" s="1"/>
  <c r="BQ365" i="9" s="1"/>
  <c r="BQ366" i="9" s="1"/>
  <c r="BQ367" i="9" s="1"/>
  <c r="BQ368" i="9" s="1"/>
  <c r="BQ369" i="9" s="1"/>
  <c r="BQ370" i="9" s="1"/>
  <c r="BQ371" i="9" s="1"/>
  <c r="BQ372" i="9" s="1"/>
  <c r="BQ373" i="9" s="1"/>
  <c r="BQ374" i="9" s="1"/>
  <c r="BQ375" i="9" s="1"/>
  <c r="BQ376" i="9" s="1"/>
  <c r="BQ377" i="9" s="1"/>
  <c r="BQ378" i="9" s="1"/>
  <c r="BQ379" i="9" s="1"/>
  <c r="BQ380" i="9" s="1"/>
  <c r="BQ381" i="9" s="1"/>
  <c r="BQ382" i="9" s="1"/>
  <c r="BQ383" i="9" s="1"/>
  <c r="BQ384" i="9" s="1"/>
  <c r="BQ385" i="9" s="1"/>
  <c r="BQ386" i="9" s="1"/>
  <c r="BQ387" i="9" s="1"/>
  <c r="BQ388" i="9" s="1"/>
  <c r="BQ389" i="9" s="1"/>
  <c r="BQ390" i="9" s="1"/>
  <c r="BQ391" i="9" s="1"/>
  <c r="BQ392" i="9" s="1"/>
  <c r="BQ393" i="9" s="1"/>
  <c r="BQ394" i="9" s="1"/>
  <c r="BQ395" i="9" s="1"/>
  <c r="BQ396" i="9" s="1"/>
  <c r="BQ397" i="9" s="1"/>
  <c r="BQ398" i="9" s="1"/>
  <c r="BQ399" i="9" s="1"/>
  <c r="BQ400" i="9" s="1"/>
  <c r="BQ401" i="9" s="1"/>
  <c r="BQ402" i="9" s="1"/>
  <c r="BQ403" i="9" s="1"/>
  <c r="BQ404" i="9" s="1"/>
  <c r="BQ405" i="9" s="1"/>
  <c r="BQ406" i="9" s="1"/>
  <c r="BQ407" i="9" s="1"/>
  <c r="BQ408" i="9" s="1"/>
  <c r="BQ409" i="9" s="1"/>
  <c r="BQ410" i="9" s="1"/>
  <c r="BQ411" i="9" s="1"/>
  <c r="BQ412" i="9" s="1"/>
  <c r="BQ413" i="9" s="1"/>
  <c r="BQ414" i="9" s="1"/>
  <c r="BQ415" i="9" s="1"/>
  <c r="BQ416" i="9" s="1"/>
  <c r="BQ417" i="9" s="1"/>
  <c r="BQ418" i="9" s="1"/>
  <c r="BQ419" i="9" s="1"/>
  <c r="BQ420" i="9" s="1"/>
  <c r="BQ421" i="9" s="1"/>
  <c r="BQ422" i="9" s="1"/>
  <c r="BQ423" i="9" s="1"/>
  <c r="BQ424" i="9" s="1"/>
  <c r="BQ425" i="9" s="1"/>
  <c r="BQ426" i="9" s="1"/>
  <c r="BQ427" i="9" s="1"/>
  <c r="BQ428" i="9" s="1"/>
  <c r="BQ429" i="9" s="1"/>
  <c r="BQ430" i="9" s="1"/>
  <c r="BQ431" i="9" s="1"/>
  <c r="BQ432" i="9" s="1"/>
  <c r="BQ433" i="9" s="1"/>
  <c r="BQ434" i="9" s="1"/>
  <c r="BQ435" i="9" s="1"/>
  <c r="BQ436" i="9" s="1"/>
  <c r="BQ437" i="9" s="1"/>
  <c r="BQ438" i="9" s="1"/>
  <c r="BQ439" i="9" s="1"/>
  <c r="BQ440" i="9" s="1"/>
  <c r="BQ441" i="9" s="1"/>
  <c r="BQ442" i="9" s="1"/>
  <c r="BQ443" i="9" s="1"/>
  <c r="BQ444" i="9" s="1"/>
  <c r="BQ445" i="9" s="1"/>
  <c r="BQ446" i="9" s="1"/>
  <c r="BQ447" i="9" s="1"/>
  <c r="BQ448" i="9" s="1"/>
  <c r="BQ449" i="9" s="1"/>
  <c r="BQ450" i="9" s="1"/>
  <c r="BQ451" i="9" s="1"/>
  <c r="BQ452" i="9" s="1"/>
  <c r="BQ453" i="9" s="1"/>
  <c r="BQ454" i="9" s="1"/>
  <c r="BQ455" i="9" s="1"/>
  <c r="BQ456" i="9" s="1"/>
  <c r="BQ457" i="9" s="1"/>
  <c r="BQ458" i="9" s="1"/>
  <c r="BQ459" i="9" s="1"/>
  <c r="BQ460" i="9" s="1"/>
  <c r="BQ461" i="9" s="1"/>
  <c r="BQ462" i="9" s="1"/>
  <c r="BQ463" i="9" s="1"/>
  <c r="BQ464" i="9" s="1"/>
  <c r="BQ465" i="9" s="1"/>
  <c r="BQ466" i="9" s="1"/>
  <c r="BQ467" i="9" s="1"/>
  <c r="BQ468" i="9" s="1"/>
  <c r="BQ469" i="9" s="1"/>
  <c r="BQ470" i="9" s="1"/>
  <c r="BQ471" i="9" s="1"/>
  <c r="BQ472" i="9" s="1"/>
  <c r="BQ473" i="9" s="1"/>
  <c r="BQ474" i="9" s="1"/>
  <c r="BQ475" i="9" s="1"/>
  <c r="BQ476" i="9" s="1"/>
  <c r="BQ477" i="9" s="1"/>
  <c r="BQ478" i="9" s="1"/>
  <c r="BQ479" i="9" s="1"/>
  <c r="BQ480" i="9" s="1"/>
  <c r="BQ481" i="9" s="1"/>
  <c r="BQ482" i="9" s="1"/>
  <c r="BQ483" i="9" s="1"/>
  <c r="BQ484" i="9" s="1"/>
  <c r="BQ485" i="9" s="1"/>
  <c r="BQ486" i="9" s="1"/>
  <c r="BQ487" i="9" s="1"/>
  <c r="BQ488" i="9" s="1"/>
  <c r="BQ489" i="9" s="1"/>
  <c r="BQ490" i="9" s="1"/>
  <c r="BQ491" i="9" s="1"/>
  <c r="BQ492" i="9" s="1"/>
  <c r="BQ493" i="9" s="1"/>
  <c r="BQ494" i="9" s="1"/>
  <c r="BQ495" i="9" s="1"/>
  <c r="BQ496" i="9" s="1"/>
  <c r="BQ497" i="9" s="1"/>
  <c r="BQ498" i="9" s="1"/>
  <c r="BQ499" i="9" s="1"/>
  <c r="BQ500" i="9" s="1"/>
  <c r="BQ501" i="9" s="1"/>
  <c r="BQ502" i="9" s="1"/>
  <c r="BQ503" i="9" s="1"/>
  <c r="BQ504" i="9" s="1"/>
  <c r="BQ505" i="9" s="1"/>
  <c r="BQ506" i="9" s="1"/>
  <c r="BQ507" i="9" s="1"/>
  <c r="BQ508" i="9" s="1"/>
  <c r="BQ509" i="9" s="1"/>
  <c r="BQ510" i="9" s="1"/>
  <c r="BQ511" i="9" s="1"/>
  <c r="BQ512" i="9" s="1"/>
  <c r="BQ513" i="9" s="1"/>
  <c r="BQ514" i="9" s="1"/>
  <c r="BQ515" i="9" s="1"/>
  <c r="BQ516" i="9" s="1"/>
  <c r="BQ517" i="9" s="1"/>
  <c r="BQ518" i="9" s="1"/>
  <c r="BQ519" i="9" s="1"/>
  <c r="BQ520" i="9" s="1"/>
  <c r="BQ521" i="9" s="1"/>
  <c r="BQ522" i="9" s="1"/>
  <c r="BQ523" i="9" s="1"/>
  <c r="BQ524" i="9" s="1"/>
  <c r="BQ525" i="9" s="1"/>
  <c r="BQ526" i="9" s="1"/>
  <c r="BQ527" i="9" s="1"/>
  <c r="BQ528" i="9" s="1"/>
  <c r="BQ529" i="9" s="1"/>
  <c r="BQ530" i="9" s="1"/>
  <c r="BQ531" i="9" s="1"/>
  <c r="BQ532" i="9" s="1"/>
  <c r="BQ533" i="9" s="1"/>
  <c r="BQ534" i="9" s="1"/>
  <c r="BQ535" i="9" s="1"/>
  <c r="BQ536" i="9" s="1"/>
  <c r="BQ537" i="9" s="1"/>
  <c r="BQ538" i="9" s="1"/>
  <c r="BQ539" i="9" s="1"/>
  <c r="BQ540" i="9" s="1"/>
  <c r="BQ541" i="9" s="1"/>
  <c r="BQ542" i="9" s="1"/>
  <c r="BQ543" i="9" s="1"/>
  <c r="BQ544" i="9" s="1"/>
  <c r="BQ545" i="9" s="1"/>
  <c r="BQ546" i="9" s="1"/>
  <c r="BQ547" i="9" s="1"/>
  <c r="BQ548" i="9" s="1"/>
  <c r="BQ549" i="9" s="1"/>
  <c r="BQ550" i="9" s="1"/>
  <c r="BQ551" i="9" s="1"/>
  <c r="BQ552" i="9" s="1"/>
  <c r="BQ553" i="9" s="1"/>
  <c r="BQ554" i="9" s="1"/>
  <c r="BQ555" i="9" s="1"/>
  <c r="BQ556" i="9" s="1"/>
  <c r="BQ557" i="9" s="1"/>
  <c r="BQ558" i="9" s="1"/>
  <c r="BQ559" i="9" s="1"/>
  <c r="BQ560" i="9" s="1"/>
  <c r="BQ561" i="9" s="1"/>
  <c r="BQ562" i="9" s="1"/>
  <c r="BQ563" i="9" s="1"/>
  <c r="BQ564" i="9" s="1"/>
  <c r="BQ565" i="9" s="1"/>
  <c r="BQ566" i="9" s="1"/>
  <c r="BQ567" i="9" s="1"/>
  <c r="BQ568" i="9" s="1"/>
  <c r="BQ569" i="9" s="1"/>
  <c r="BQ570" i="9" s="1"/>
  <c r="BQ571" i="9" s="1"/>
  <c r="BQ572" i="9" s="1"/>
  <c r="BQ573" i="9" s="1"/>
  <c r="BQ574" i="9" s="1"/>
  <c r="BQ575" i="9" s="1"/>
  <c r="BQ576" i="9" s="1"/>
  <c r="BQ577" i="9" s="1"/>
  <c r="BQ578" i="9" s="1"/>
  <c r="BQ579" i="9" s="1"/>
  <c r="BQ580" i="9" s="1"/>
  <c r="BQ581" i="9" s="1"/>
  <c r="BQ582" i="9" s="1"/>
  <c r="BQ583" i="9" s="1"/>
  <c r="BQ584" i="9" s="1"/>
  <c r="BQ585" i="9" s="1"/>
  <c r="BQ586" i="9" s="1"/>
  <c r="BQ587" i="9" s="1"/>
  <c r="BQ588" i="9" s="1"/>
  <c r="BQ589" i="9" s="1"/>
  <c r="BQ590" i="9" s="1"/>
  <c r="BQ591" i="9" s="1"/>
  <c r="BQ592" i="9" s="1"/>
  <c r="BQ593" i="9" s="1"/>
  <c r="BQ594" i="9" s="1"/>
  <c r="BQ595" i="9" s="1"/>
  <c r="BQ596" i="9" s="1"/>
  <c r="BQ597" i="9" s="1"/>
  <c r="BQ598" i="9" s="1"/>
  <c r="BQ599" i="9" s="1"/>
  <c r="BQ600" i="9" s="1"/>
  <c r="BQ601" i="9" s="1"/>
  <c r="BQ602" i="9" s="1"/>
  <c r="BQ603" i="9" s="1"/>
  <c r="BQ604" i="9" s="1"/>
  <c r="BQ605" i="9" s="1"/>
  <c r="BQ606" i="9" s="1"/>
  <c r="BQ607" i="9" s="1"/>
  <c r="BQ608" i="9" s="1"/>
  <c r="BQ609" i="9" s="1"/>
  <c r="BQ610" i="9" s="1"/>
  <c r="BQ611" i="9" s="1"/>
  <c r="BQ612" i="9" s="1"/>
  <c r="BQ613" i="9" s="1"/>
  <c r="BQ614" i="9" s="1"/>
  <c r="BQ615" i="9" s="1"/>
  <c r="BQ616" i="9" s="1"/>
  <c r="BQ617" i="9" s="1"/>
  <c r="BQ618" i="9" s="1"/>
  <c r="BQ619" i="9" s="1"/>
  <c r="BQ620" i="9" s="1"/>
  <c r="BQ621" i="9" s="1"/>
  <c r="BQ622" i="9" s="1"/>
  <c r="BQ623" i="9" s="1"/>
  <c r="BQ624" i="9" s="1"/>
  <c r="BQ625" i="9" s="1"/>
  <c r="BQ626" i="9" s="1"/>
  <c r="BQ627" i="9" s="1"/>
  <c r="BQ628" i="9" s="1"/>
  <c r="BQ629" i="9" s="1"/>
  <c r="BQ630" i="9" s="1"/>
  <c r="BQ631" i="9" s="1"/>
  <c r="BQ632" i="9" s="1"/>
  <c r="BQ633" i="9" s="1"/>
  <c r="BQ634" i="9" s="1"/>
  <c r="BQ635" i="9" s="1"/>
  <c r="BQ636" i="9" s="1"/>
  <c r="BQ637" i="9" s="1"/>
  <c r="BQ638" i="9" s="1"/>
  <c r="BQ639" i="9" s="1"/>
  <c r="BQ640" i="9" s="1"/>
  <c r="BQ641" i="9" s="1"/>
  <c r="BQ642" i="9" s="1"/>
  <c r="BQ643" i="9" s="1"/>
  <c r="BQ644" i="9" s="1"/>
  <c r="BQ645" i="9" s="1"/>
  <c r="BQ646" i="9" s="1"/>
  <c r="BQ647" i="9" s="1"/>
  <c r="BQ648" i="9" s="1"/>
  <c r="BQ649" i="9" s="1"/>
  <c r="BQ650" i="9" s="1"/>
  <c r="BQ651" i="9" s="1"/>
  <c r="BQ652" i="9" s="1"/>
  <c r="BQ653" i="9" s="1"/>
  <c r="BQ654" i="9" s="1"/>
  <c r="BQ655" i="9" s="1"/>
  <c r="BQ656" i="9" s="1"/>
  <c r="BQ657" i="9" s="1"/>
  <c r="BQ658" i="9" s="1"/>
  <c r="BQ659" i="9" s="1"/>
  <c r="BQ660" i="9" s="1"/>
  <c r="BQ661" i="9" s="1"/>
  <c r="BQ662" i="9" s="1"/>
  <c r="BQ663" i="9" s="1"/>
  <c r="BQ664" i="9" s="1"/>
  <c r="BQ665" i="9" s="1"/>
  <c r="BQ666" i="9" s="1"/>
  <c r="BQ667" i="9" s="1"/>
  <c r="BQ668" i="9" s="1"/>
  <c r="BQ669" i="9" s="1"/>
  <c r="BQ670" i="9" s="1"/>
  <c r="BQ671" i="9" s="1"/>
  <c r="BQ672" i="9" s="1"/>
  <c r="BQ673" i="9" s="1"/>
  <c r="BQ674" i="9" s="1"/>
  <c r="BQ675" i="9" s="1"/>
  <c r="BQ676" i="9" s="1"/>
  <c r="BQ677" i="9" s="1"/>
  <c r="BQ678" i="9" s="1"/>
  <c r="BQ679" i="9" s="1"/>
  <c r="BQ680" i="9" s="1"/>
  <c r="BQ681" i="9" s="1"/>
  <c r="BQ682" i="9" s="1"/>
  <c r="BQ683" i="9" s="1"/>
  <c r="BQ684" i="9" s="1"/>
  <c r="BQ685" i="9" s="1"/>
  <c r="BQ686" i="9" s="1"/>
  <c r="BQ687" i="9" s="1"/>
  <c r="BQ688" i="9" s="1"/>
  <c r="BQ689" i="9" s="1"/>
  <c r="D13" i="9" a="1"/>
  <c r="D29" i="4" a="1"/>
  <c r="D29" i="4"/>
  <c r="D28" i="4" a="1"/>
  <c r="D28" i="4"/>
  <c r="D27" i="4" a="1"/>
  <c r="D27" i="4"/>
  <c r="D24" i="4" a="1"/>
  <c r="D24" i="4"/>
  <c r="D23" i="4" a="1"/>
  <c r="D23" i="4"/>
  <c r="D22" i="4" a="1"/>
  <c r="D22" i="4"/>
  <c r="D19" i="4" a="1"/>
  <c r="D19" i="4"/>
  <c r="D18" i="4" a="1"/>
  <c r="D18" i="4"/>
  <c r="D17" i="4" a="1"/>
  <c r="D17" i="4"/>
  <c r="D14" i="4" a="1"/>
  <c r="D14" i="4"/>
  <c r="D13" i="4" a="1"/>
  <c r="D13" i="4"/>
  <c r="BR12" i="4"/>
  <c r="BG12" i="4"/>
  <c r="D12" i="4" a="1"/>
  <c r="D12" i="4"/>
  <c r="BR11" i="4"/>
  <c r="BG11" i="4"/>
  <c r="BR10" i="4"/>
  <c r="BG10" i="4"/>
  <c r="BR9" i="4"/>
  <c r="BN9" i="4"/>
  <c r="BL9" i="4"/>
  <c r="BG9" i="4"/>
  <c r="D9" i="4" a="1"/>
  <c r="D9" i="4"/>
  <c r="BR8" i="4"/>
  <c r="BN8" i="4"/>
  <c r="BL8" i="4"/>
  <c r="BG8" i="4"/>
  <c r="D8" i="4" a="1"/>
  <c r="D8" i="4"/>
  <c r="BC7" i="4" a="1"/>
  <c r="BC7" i="4"/>
  <c r="D7" i="4" a="1"/>
  <c r="D7" i="4"/>
  <c r="L5" i="4"/>
  <c r="K17" i="4" s="1"/>
  <c r="BH341" i="3"/>
  <c r="BF341" i="3"/>
  <c r="BG341" i="3"/>
  <c r="BD341" i="3" a="1"/>
  <c r="BD341" i="3"/>
  <c r="BH340" i="3"/>
  <c r="BF340" i="3"/>
  <c r="BG340" i="3"/>
  <c r="BD340" i="3" a="1"/>
  <c r="BD340" i="3"/>
  <c r="BH339" i="3"/>
  <c r="BF339" i="3"/>
  <c r="BG339" i="3"/>
  <c r="BD339" i="3" a="1"/>
  <c r="BD339" i="3"/>
  <c r="BH338" i="3"/>
  <c r="BF338" i="3"/>
  <c r="BG338" i="3"/>
  <c r="BD338" i="3" a="1"/>
  <c r="BD338" i="3"/>
  <c r="BE338" i="3"/>
  <c r="BH337" i="3"/>
  <c r="BF337" i="3"/>
  <c r="BG337" i="3"/>
  <c r="BD337" i="3" a="1"/>
  <c r="BD337" i="3"/>
  <c r="BE337" i="3"/>
  <c r="BH336" i="3"/>
  <c r="BF336" i="3"/>
  <c r="BG336" i="3"/>
  <c r="BD336" i="3" a="1"/>
  <c r="BD336" i="3"/>
  <c r="BH335" i="3"/>
  <c r="BF335" i="3"/>
  <c r="BG335" i="3"/>
  <c r="BD335" i="3" a="1"/>
  <c r="BD335" i="3"/>
  <c r="BE335" i="3"/>
  <c r="BH334" i="3"/>
  <c r="BF334" i="3"/>
  <c r="BG334" i="3"/>
  <c r="BD334" i="3" a="1"/>
  <c r="BD334" i="3"/>
  <c r="BH333" i="3"/>
  <c r="BF333" i="3"/>
  <c r="BG333" i="3"/>
  <c r="BD333" i="3" a="1"/>
  <c r="BD333" i="3"/>
  <c r="BH332" i="3"/>
  <c r="BF332" i="3"/>
  <c r="BG332" i="3"/>
  <c r="BD332" i="3" a="1"/>
  <c r="BD332" i="3"/>
  <c r="BE332" i="3"/>
  <c r="BH331" i="3"/>
  <c r="BF331" i="3"/>
  <c r="BG331" i="3"/>
  <c r="BD331" i="3" a="1"/>
  <c r="BD331" i="3"/>
  <c r="BE331" i="3"/>
  <c r="BH330" i="3"/>
  <c r="BF330" i="3"/>
  <c r="BG330" i="3"/>
  <c r="BD330" i="3" a="1"/>
  <c r="BD330" i="3"/>
  <c r="BE330" i="3"/>
  <c r="BH329" i="3"/>
  <c r="BF329" i="3"/>
  <c r="BG329" i="3"/>
  <c r="BD329" i="3" a="1"/>
  <c r="BD329" i="3"/>
  <c r="BH328" i="3"/>
  <c r="BF328" i="3"/>
  <c r="BG328" i="3"/>
  <c r="BD328" i="3" a="1"/>
  <c r="BD328" i="3"/>
  <c r="BE328" i="3"/>
  <c r="BH327" i="3"/>
  <c r="BF327" i="3"/>
  <c r="BG327" i="3"/>
  <c r="BD327" i="3" a="1"/>
  <c r="BD327" i="3"/>
  <c r="BH326" i="3"/>
  <c r="BF326" i="3"/>
  <c r="BG326" i="3"/>
  <c r="BD326" i="3" a="1"/>
  <c r="BD326" i="3"/>
  <c r="BH325" i="3"/>
  <c r="BF325" i="3"/>
  <c r="BG325" i="3"/>
  <c r="BD325" i="3" a="1"/>
  <c r="BD325" i="3"/>
  <c r="BH324" i="3"/>
  <c r="BF324" i="3"/>
  <c r="BG324" i="3"/>
  <c r="BD324" i="3" a="1"/>
  <c r="BD324" i="3"/>
  <c r="BE324" i="3"/>
  <c r="BH323" i="3"/>
  <c r="BF323" i="3"/>
  <c r="BG323" i="3"/>
  <c r="BD323" i="3" a="1"/>
  <c r="BD323" i="3"/>
  <c r="BE323" i="3"/>
  <c r="BH322" i="3"/>
  <c r="BF322" i="3"/>
  <c r="BG322" i="3"/>
  <c r="BD322" i="3" a="1"/>
  <c r="BD322" i="3"/>
  <c r="BE322" i="3"/>
  <c r="BH321" i="3"/>
  <c r="BF321" i="3"/>
  <c r="BG321" i="3"/>
  <c r="BD321" i="3" a="1"/>
  <c r="BD321" i="3"/>
  <c r="BE321" i="3"/>
  <c r="BH320" i="3"/>
  <c r="BF320" i="3"/>
  <c r="BG320" i="3"/>
  <c r="BD320" i="3" a="1"/>
  <c r="BD320" i="3"/>
  <c r="BH319" i="3"/>
  <c r="BF319" i="3"/>
  <c r="BG319" i="3"/>
  <c r="BD319" i="3" a="1"/>
  <c r="BD319" i="3"/>
  <c r="BE319" i="3"/>
  <c r="BH318" i="3"/>
  <c r="BF318" i="3"/>
  <c r="BG318" i="3"/>
  <c r="BD318" i="3" a="1"/>
  <c r="BD318" i="3"/>
  <c r="BH317" i="3"/>
  <c r="BF317" i="3"/>
  <c r="BG317" i="3"/>
  <c r="BD317" i="3" a="1"/>
  <c r="BD317" i="3"/>
  <c r="BH316" i="3"/>
  <c r="BF316" i="3"/>
  <c r="BG316" i="3"/>
  <c r="BD316" i="3" a="1"/>
  <c r="BD316" i="3"/>
  <c r="BE316" i="3"/>
  <c r="BH315" i="3"/>
  <c r="BF315" i="3"/>
  <c r="BG315" i="3"/>
  <c r="BD315" i="3" a="1"/>
  <c r="BD315" i="3"/>
  <c r="BE315" i="3"/>
  <c r="BH314" i="3"/>
  <c r="BF314" i="3"/>
  <c r="BG314" i="3"/>
  <c r="BD314" i="3" a="1"/>
  <c r="BD314" i="3"/>
  <c r="BE314" i="3"/>
  <c r="BH313" i="3"/>
  <c r="BF313" i="3"/>
  <c r="BG313" i="3"/>
  <c r="BD313" i="3" a="1"/>
  <c r="BD313" i="3"/>
  <c r="BH312" i="3"/>
  <c r="BF312" i="3"/>
  <c r="BG312" i="3"/>
  <c r="BD312" i="3" a="1"/>
  <c r="BD312" i="3"/>
  <c r="BE312" i="3"/>
  <c r="BH311" i="3"/>
  <c r="BF311" i="3"/>
  <c r="BG311" i="3"/>
  <c r="BD311" i="3" a="1"/>
  <c r="BD311" i="3"/>
  <c r="BH310" i="3"/>
  <c r="BF310" i="3"/>
  <c r="BG310" i="3"/>
  <c r="BD310" i="3" a="1"/>
  <c r="BD310" i="3"/>
  <c r="BH309" i="3"/>
  <c r="BF309" i="3"/>
  <c r="BG309" i="3"/>
  <c r="BD309" i="3" a="1"/>
  <c r="BD309" i="3"/>
  <c r="BH308" i="3"/>
  <c r="BF308" i="3"/>
  <c r="BG308" i="3"/>
  <c r="BD308" i="3" a="1"/>
  <c r="BD308" i="3"/>
  <c r="BE308" i="3"/>
  <c r="BH307" i="3"/>
  <c r="BF307" i="3"/>
  <c r="BG307" i="3"/>
  <c r="BD307" i="3" a="1"/>
  <c r="BD307" i="3"/>
  <c r="BE307" i="3"/>
  <c r="BH306" i="3"/>
  <c r="BF306" i="3"/>
  <c r="BG306" i="3"/>
  <c r="BD306" i="3" a="1"/>
  <c r="BD306" i="3"/>
  <c r="BE306" i="3"/>
  <c r="BH305" i="3"/>
  <c r="BF305" i="3"/>
  <c r="BG305" i="3"/>
  <c r="BD305" i="3" a="1"/>
  <c r="BD305" i="3"/>
  <c r="BE305" i="3"/>
  <c r="BH304" i="3"/>
  <c r="BF304" i="3"/>
  <c r="BG304" i="3"/>
  <c r="BD304" i="3" a="1"/>
  <c r="BD304" i="3"/>
  <c r="BH303" i="3"/>
  <c r="BF303" i="3"/>
  <c r="BG303" i="3"/>
  <c r="BD303" i="3" a="1"/>
  <c r="BD303" i="3"/>
  <c r="BH302" i="3"/>
  <c r="BF302" i="3"/>
  <c r="BG302" i="3"/>
  <c r="BD302" i="3" a="1"/>
  <c r="BD302" i="3"/>
  <c r="BH301" i="3"/>
  <c r="BF301" i="3"/>
  <c r="BG301" i="3"/>
  <c r="BD301" i="3" a="1"/>
  <c r="BD301" i="3"/>
  <c r="BH300" i="3"/>
  <c r="BF300" i="3"/>
  <c r="BG300" i="3"/>
  <c r="BD300" i="3" a="1"/>
  <c r="BD300" i="3"/>
  <c r="BE300" i="3"/>
  <c r="BH299" i="3"/>
  <c r="BF299" i="3"/>
  <c r="BG299" i="3"/>
  <c r="BD299" i="3" a="1"/>
  <c r="BD299" i="3"/>
  <c r="BE299" i="3"/>
  <c r="BH298" i="3"/>
  <c r="BF298" i="3"/>
  <c r="BG298" i="3"/>
  <c r="BD298" i="3" a="1"/>
  <c r="BD298" i="3"/>
  <c r="BE298" i="3"/>
  <c r="BH297" i="3"/>
  <c r="BF297" i="3"/>
  <c r="BG297" i="3"/>
  <c r="BD297" i="3" a="1"/>
  <c r="BD297" i="3"/>
  <c r="BH296" i="3"/>
  <c r="BF296" i="3"/>
  <c r="BG296" i="3"/>
  <c r="BD296" i="3" a="1"/>
  <c r="BD296" i="3"/>
  <c r="BE296" i="3"/>
  <c r="BH295" i="3"/>
  <c r="BF295" i="3"/>
  <c r="BG295" i="3"/>
  <c r="BD295" i="3" a="1"/>
  <c r="BD295" i="3"/>
  <c r="BH294" i="3"/>
  <c r="BF294" i="3"/>
  <c r="BG294" i="3"/>
  <c r="BD294" i="3" a="1"/>
  <c r="BD294" i="3"/>
  <c r="BH293" i="3"/>
  <c r="BF293" i="3"/>
  <c r="BG293" i="3"/>
  <c r="BD293" i="3" a="1"/>
  <c r="BD293" i="3"/>
  <c r="BH292" i="3"/>
  <c r="BF292" i="3"/>
  <c r="BG292" i="3"/>
  <c r="BD292" i="3" a="1"/>
  <c r="BD292" i="3"/>
  <c r="BE292" i="3"/>
  <c r="BH291" i="3"/>
  <c r="BF291" i="3"/>
  <c r="BG291" i="3"/>
  <c r="BD291" i="3" a="1"/>
  <c r="BD291" i="3"/>
  <c r="BE291" i="3"/>
  <c r="BH290" i="3"/>
  <c r="BF290" i="3"/>
  <c r="BG290" i="3"/>
  <c r="BD290" i="3" a="1"/>
  <c r="BD290" i="3"/>
  <c r="BE290" i="3"/>
  <c r="BH289" i="3"/>
  <c r="BF289" i="3"/>
  <c r="BG289" i="3"/>
  <c r="BD289" i="3" a="1"/>
  <c r="BD289" i="3"/>
  <c r="BE289" i="3"/>
  <c r="BH288" i="3"/>
  <c r="BF288" i="3"/>
  <c r="BG288" i="3"/>
  <c r="BD288" i="3" a="1"/>
  <c r="BD288" i="3"/>
  <c r="BH287" i="3"/>
  <c r="BF287" i="3"/>
  <c r="BG287" i="3"/>
  <c r="BD287" i="3" a="1"/>
  <c r="BD287" i="3"/>
  <c r="BH286" i="3"/>
  <c r="BF286" i="3"/>
  <c r="BG286" i="3"/>
  <c r="BD286" i="3" a="1"/>
  <c r="BD286" i="3"/>
  <c r="BH285" i="3"/>
  <c r="BF285" i="3"/>
  <c r="BG285" i="3"/>
  <c r="BD285" i="3" a="1"/>
  <c r="BD285" i="3"/>
  <c r="BH284" i="3"/>
  <c r="BF284" i="3"/>
  <c r="BG284" i="3"/>
  <c r="BD284" i="3" a="1"/>
  <c r="BD284" i="3"/>
  <c r="BE284" i="3"/>
  <c r="BH283" i="3"/>
  <c r="BF283" i="3"/>
  <c r="BG283" i="3"/>
  <c r="BD283" i="3" a="1"/>
  <c r="BD283" i="3"/>
  <c r="BH282" i="3"/>
  <c r="BF282" i="3"/>
  <c r="BG282" i="3"/>
  <c r="BD282" i="3" a="1"/>
  <c r="BD282" i="3"/>
  <c r="BE282" i="3"/>
  <c r="BH281" i="3"/>
  <c r="BF281" i="3"/>
  <c r="BG281" i="3"/>
  <c r="BD281" i="3" a="1"/>
  <c r="BD281" i="3"/>
  <c r="BH280" i="3"/>
  <c r="BF280" i="3"/>
  <c r="BG280" i="3"/>
  <c r="BD280" i="3" a="1"/>
  <c r="BD280" i="3"/>
  <c r="BE280" i="3"/>
  <c r="BH279" i="3"/>
  <c r="BF279" i="3"/>
  <c r="BG279" i="3"/>
  <c r="BD279" i="3" a="1"/>
  <c r="BD279" i="3"/>
  <c r="BH278" i="3"/>
  <c r="BF278" i="3"/>
  <c r="BG278" i="3"/>
  <c r="BD278" i="3" a="1"/>
  <c r="BD278" i="3"/>
  <c r="BH277" i="3"/>
  <c r="BF277" i="3"/>
  <c r="BG277" i="3"/>
  <c r="BD277" i="3" a="1"/>
  <c r="BD277" i="3"/>
  <c r="BH276" i="3"/>
  <c r="BF276" i="3"/>
  <c r="BG276" i="3"/>
  <c r="BD276" i="3" a="1"/>
  <c r="BD276" i="3"/>
  <c r="BE276" i="3"/>
  <c r="BH275" i="3"/>
  <c r="BF275" i="3"/>
  <c r="BG275" i="3"/>
  <c r="BD275" i="3" a="1"/>
  <c r="BD275" i="3"/>
  <c r="BH274" i="3"/>
  <c r="BF274" i="3"/>
  <c r="BG274" i="3"/>
  <c r="BD274" i="3" a="1"/>
  <c r="BD274" i="3"/>
  <c r="BE274" i="3"/>
  <c r="BH273" i="3"/>
  <c r="BF273" i="3"/>
  <c r="BG273" i="3"/>
  <c r="BD273" i="3" a="1"/>
  <c r="BD273" i="3"/>
  <c r="BE273" i="3"/>
  <c r="BH272" i="3"/>
  <c r="BF272" i="3"/>
  <c r="BG272" i="3"/>
  <c r="BD272" i="3" a="1"/>
  <c r="BD272" i="3"/>
  <c r="BH271" i="3"/>
  <c r="BF271" i="3"/>
  <c r="BG271" i="3"/>
  <c r="BD271" i="3" a="1"/>
  <c r="BD271" i="3"/>
  <c r="BH270" i="3"/>
  <c r="BF270" i="3"/>
  <c r="BG270" i="3"/>
  <c r="BD270" i="3" a="1"/>
  <c r="BD270" i="3"/>
  <c r="BH269" i="3"/>
  <c r="BF269" i="3"/>
  <c r="BG269" i="3"/>
  <c r="BD269" i="3" a="1"/>
  <c r="BD269" i="3"/>
  <c r="BH268" i="3"/>
  <c r="BF268" i="3"/>
  <c r="BG268" i="3"/>
  <c r="BD268" i="3" a="1"/>
  <c r="BD268" i="3"/>
  <c r="BE268" i="3"/>
  <c r="BH267" i="3"/>
  <c r="BF267" i="3"/>
  <c r="BG267" i="3"/>
  <c r="BD267" i="3" a="1"/>
  <c r="BD267" i="3"/>
  <c r="BH266" i="3"/>
  <c r="BF266" i="3"/>
  <c r="BG266" i="3"/>
  <c r="BD266" i="3" a="1"/>
  <c r="BD266" i="3"/>
  <c r="BE266" i="3"/>
  <c r="BH265" i="3"/>
  <c r="BF265" i="3"/>
  <c r="BG265" i="3"/>
  <c r="BD265" i="3" a="1"/>
  <c r="BD265" i="3"/>
  <c r="BH264" i="3"/>
  <c r="BF264" i="3"/>
  <c r="BG264" i="3"/>
  <c r="BD264" i="3" a="1"/>
  <c r="BD264" i="3"/>
  <c r="BE264" i="3"/>
  <c r="BH263" i="3"/>
  <c r="BF263" i="3"/>
  <c r="BG263" i="3"/>
  <c r="BD263" i="3" a="1"/>
  <c r="BD263" i="3"/>
  <c r="BH262" i="3"/>
  <c r="BF262" i="3"/>
  <c r="BG262" i="3"/>
  <c r="BD262" i="3" a="1"/>
  <c r="BD262" i="3"/>
  <c r="BE262" i="3"/>
  <c r="BH261" i="3"/>
  <c r="BF261" i="3"/>
  <c r="BG261" i="3"/>
  <c r="BD261" i="3" a="1"/>
  <c r="BD261" i="3"/>
  <c r="BH260" i="3"/>
  <c r="BF260" i="3"/>
  <c r="BG260" i="3"/>
  <c r="BD260" i="3" a="1"/>
  <c r="BD260" i="3"/>
  <c r="BE260" i="3"/>
  <c r="BH259" i="3"/>
  <c r="BF259" i="3"/>
  <c r="BG259" i="3"/>
  <c r="BD259" i="3" a="1"/>
  <c r="BD259" i="3"/>
  <c r="BH258" i="3"/>
  <c r="BF258" i="3"/>
  <c r="BG258" i="3"/>
  <c r="BD258" i="3" a="1"/>
  <c r="BD258" i="3"/>
  <c r="BE258" i="3"/>
  <c r="BH257" i="3"/>
  <c r="BF257" i="3"/>
  <c r="BG257" i="3"/>
  <c r="BD257" i="3" a="1"/>
  <c r="BD257" i="3"/>
  <c r="BH256" i="3"/>
  <c r="BF256" i="3"/>
  <c r="BG256" i="3"/>
  <c r="BD256" i="3" a="1"/>
  <c r="BD256" i="3"/>
  <c r="BH255" i="3"/>
  <c r="BF255" i="3"/>
  <c r="BG255" i="3"/>
  <c r="BD255" i="3" a="1"/>
  <c r="BD255" i="3"/>
  <c r="BH254" i="3"/>
  <c r="BF254" i="3"/>
  <c r="BG254" i="3"/>
  <c r="BD254" i="3" a="1"/>
  <c r="BD254" i="3"/>
  <c r="BE254" i="3"/>
  <c r="BH253" i="3"/>
  <c r="BF253" i="3"/>
  <c r="BG253" i="3"/>
  <c r="BD253" i="3" a="1"/>
  <c r="BD253" i="3"/>
  <c r="BH252" i="3"/>
  <c r="BF252" i="3"/>
  <c r="BG252" i="3"/>
  <c r="BD252" i="3" a="1"/>
  <c r="BD252" i="3"/>
  <c r="BE252" i="3"/>
  <c r="BH251" i="3"/>
  <c r="BF251" i="3"/>
  <c r="BG251" i="3"/>
  <c r="BD251" i="3" a="1"/>
  <c r="BD251" i="3"/>
  <c r="BH250" i="3"/>
  <c r="BF250" i="3"/>
  <c r="BG250" i="3"/>
  <c r="BD250" i="3" a="1"/>
  <c r="BD250" i="3"/>
  <c r="BE250" i="3"/>
  <c r="BH249" i="3"/>
  <c r="BF249" i="3"/>
  <c r="BG249" i="3"/>
  <c r="BD249" i="3" a="1"/>
  <c r="BD249" i="3"/>
  <c r="BH248" i="3"/>
  <c r="BF248" i="3"/>
  <c r="BG248" i="3"/>
  <c r="BD248" i="3" a="1"/>
  <c r="BD248" i="3"/>
  <c r="BE248" i="3"/>
  <c r="BH247" i="3"/>
  <c r="BF247" i="3"/>
  <c r="BG247" i="3"/>
  <c r="BD247" i="3" a="1"/>
  <c r="BD247" i="3"/>
  <c r="BH246" i="3"/>
  <c r="BF246" i="3"/>
  <c r="BG246" i="3"/>
  <c r="BD246" i="3" a="1"/>
  <c r="BD246" i="3"/>
  <c r="BE246" i="3"/>
  <c r="BH245" i="3"/>
  <c r="BF245" i="3"/>
  <c r="BG245" i="3"/>
  <c r="BD245" i="3" a="1"/>
  <c r="BD245" i="3"/>
  <c r="BH244" i="3"/>
  <c r="BF244" i="3"/>
  <c r="BG244" i="3"/>
  <c r="BD244" i="3" a="1"/>
  <c r="BD244" i="3"/>
  <c r="BE244" i="3"/>
  <c r="BH243" i="3"/>
  <c r="BF243" i="3"/>
  <c r="BG243" i="3"/>
  <c r="BD243" i="3" a="1"/>
  <c r="BD243" i="3"/>
  <c r="BH242" i="3"/>
  <c r="BF242" i="3"/>
  <c r="BG242" i="3"/>
  <c r="BD242" i="3" a="1"/>
  <c r="BD242" i="3"/>
  <c r="BE242" i="3"/>
  <c r="BH241" i="3"/>
  <c r="BF241" i="3"/>
  <c r="BG241" i="3"/>
  <c r="BD241" i="3" a="1"/>
  <c r="BD241" i="3"/>
  <c r="BH240" i="3"/>
  <c r="BF240" i="3"/>
  <c r="BG240" i="3"/>
  <c r="BD240" i="3" a="1"/>
  <c r="BD240" i="3"/>
  <c r="BH239" i="3"/>
  <c r="BF239" i="3"/>
  <c r="BG239" i="3"/>
  <c r="BD239" i="3" a="1"/>
  <c r="BD239" i="3"/>
  <c r="BH238" i="3"/>
  <c r="BF238" i="3"/>
  <c r="BG238" i="3"/>
  <c r="BD238" i="3" a="1"/>
  <c r="BD238" i="3"/>
  <c r="BE238" i="3"/>
  <c r="BH237" i="3"/>
  <c r="BF237" i="3"/>
  <c r="BG237" i="3"/>
  <c r="BD237" i="3" a="1"/>
  <c r="BD237" i="3"/>
  <c r="BH236" i="3"/>
  <c r="BF236" i="3"/>
  <c r="BG236" i="3"/>
  <c r="BD236" i="3" a="1"/>
  <c r="BD236" i="3"/>
  <c r="BE236" i="3"/>
  <c r="BH235" i="3"/>
  <c r="BF235" i="3"/>
  <c r="BG235" i="3"/>
  <c r="BD235" i="3" a="1"/>
  <c r="BD235" i="3"/>
  <c r="BH234" i="3"/>
  <c r="BF234" i="3"/>
  <c r="BG234" i="3"/>
  <c r="BD234" i="3" a="1"/>
  <c r="BD234" i="3"/>
  <c r="BE234" i="3"/>
  <c r="BH233" i="3"/>
  <c r="BF233" i="3"/>
  <c r="BG233" i="3"/>
  <c r="BD233" i="3" a="1"/>
  <c r="BD233" i="3"/>
  <c r="BH232" i="3"/>
  <c r="BF232" i="3"/>
  <c r="BG232" i="3"/>
  <c r="BD232" i="3" a="1"/>
  <c r="BD232" i="3"/>
  <c r="BE232" i="3"/>
  <c r="BH231" i="3"/>
  <c r="BF231" i="3"/>
  <c r="BG231" i="3"/>
  <c r="BD231" i="3" a="1"/>
  <c r="BD231" i="3"/>
  <c r="BH230" i="3"/>
  <c r="BF230" i="3"/>
  <c r="BG230" i="3"/>
  <c r="BD230" i="3" a="1"/>
  <c r="BD230" i="3"/>
  <c r="BE230" i="3"/>
  <c r="BH229" i="3"/>
  <c r="BF229" i="3"/>
  <c r="BG229" i="3"/>
  <c r="BD229" i="3" a="1"/>
  <c r="BD229" i="3"/>
  <c r="BH228" i="3"/>
  <c r="BF228" i="3"/>
  <c r="BG228" i="3"/>
  <c r="BD228" i="3" a="1"/>
  <c r="BD228" i="3"/>
  <c r="BH227" i="3"/>
  <c r="BF227" i="3"/>
  <c r="BG227" i="3"/>
  <c r="BD227" i="3" a="1"/>
  <c r="BD227" i="3"/>
  <c r="BH226" i="3"/>
  <c r="BF226" i="3"/>
  <c r="BG226" i="3"/>
  <c r="BD226" i="3" a="1"/>
  <c r="BD226" i="3"/>
  <c r="BE226" i="3"/>
  <c r="BH225" i="3"/>
  <c r="BF225" i="3"/>
  <c r="BG225" i="3"/>
  <c r="BD225" i="3" a="1"/>
  <c r="BD225" i="3"/>
  <c r="BE225" i="3"/>
  <c r="BH224" i="3"/>
  <c r="BF224" i="3"/>
  <c r="BG224" i="3"/>
  <c r="BD224" i="3" a="1"/>
  <c r="BD224" i="3"/>
  <c r="BH223" i="3"/>
  <c r="BF223" i="3"/>
  <c r="BG223" i="3"/>
  <c r="BD223" i="3" a="1"/>
  <c r="BD223" i="3"/>
  <c r="BH222" i="3"/>
  <c r="BF222" i="3"/>
  <c r="BG222" i="3"/>
  <c r="BD222" i="3" a="1"/>
  <c r="BD222" i="3"/>
  <c r="BE222" i="3"/>
  <c r="BH221" i="3"/>
  <c r="BF221" i="3"/>
  <c r="BG221" i="3"/>
  <c r="BD221" i="3" a="1"/>
  <c r="BD221" i="3"/>
  <c r="BH220" i="3"/>
  <c r="BF220" i="3"/>
  <c r="BG220" i="3"/>
  <c r="BD220" i="3" a="1"/>
  <c r="BD220" i="3"/>
  <c r="BH219" i="3"/>
  <c r="BF219" i="3"/>
  <c r="BG219" i="3"/>
  <c r="BD219" i="3" a="1"/>
  <c r="BD219" i="3"/>
  <c r="BH218" i="3"/>
  <c r="BF218" i="3"/>
  <c r="BG218" i="3"/>
  <c r="BD218" i="3" a="1"/>
  <c r="BD218" i="3"/>
  <c r="BE218" i="3"/>
  <c r="BH217" i="3"/>
  <c r="BF217" i="3"/>
  <c r="BG217" i="3"/>
  <c r="BD217" i="3" a="1"/>
  <c r="BD217" i="3"/>
  <c r="BH216" i="3"/>
  <c r="BF216" i="3"/>
  <c r="BG216" i="3"/>
  <c r="BD216" i="3" a="1"/>
  <c r="BD216" i="3"/>
  <c r="BE216" i="3"/>
  <c r="BH215" i="3"/>
  <c r="BF215" i="3"/>
  <c r="BG215" i="3"/>
  <c r="BD215" i="3" a="1"/>
  <c r="BD215" i="3"/>
  <c r="BH214" i="3"/>
  <c r="BF214" i="3"/>
  <c r="BG214" i="3"/>
  <c r="BD214" i="3" a="1"/>
  <c r="BD214" i="3"/>
  <c r="BE214" i="3"/>
  <c r="BH213" i="3"/>
  <c r="BF213" i="3"/>
  <c r="BG213" i="3"/>
  <c r="BD213" i="3" a="1"/>
  <c r="BD213" i="3"/>
  <c r="BH212" i="3"/>
  <c r="BF212" i="3"/>
  <c r="BG212" i="3"/>
  <c r="BD212" i="3" a="1"/>
  <c r="BD212" i="3"/>
  <c r="BH211" i="3"/>
  <c r="BF211" i="3"/>
  <c r="BG211" i="3"/>
  <c r="BD211" i="3" a="1"/>
  <c r="BD211" i="3"/>
  <c r="BH210" i="3"/>
  <c r="BF210" i="3"/>
  <c r="BG210" i="3"/>
  <c r="BD210" i="3" a="1"/>
  <c r="BD210" i="3"/>
  <c r="BE210" i="3"/>
  <c r="BH209" i="3"/>
  <c r="BF209" i="3"/>
  <c r="BG209" i="3"/>
  <c r="BD209" i="3" a="1"/>
  <c r="BD209" i="3"/>
  <c r="BE209" i="3"/>
  <c r="BH208" i="3"/>
  <c r="BF208" i="3"/>
  <c r="BG208" i="3"/>
  <c r="BD208" i="3" a="1"/>
  <c r="BD208" i="3"/>
  <c r="BH207" i="3"/>
  <c r="BF207" i="3"/>
  <c r="BG207" i="3"/>
  <c r="BD207" i="3" a="1"/>
  <c r="BD207" i="3"/>
  <c r="BH206" i="3"/>
  <c r="BF206" i="3"/>
  <c r="BG206" i="3"/>
  <c r="BD206" i="3" a="1"/>
  <c r="BD206" i="3"/>
  <c r="BE206" i="3"/>
  <c r="BH205" i="3"/>
  <c r="BF205" i="3"/>
  <c r="BG205" i="3"/>
  <c r="BD205" i="3" a="1"/>
  <c r="BD205" i="3"/>
  <c r="BH204" i="3"/>
  <c r="BF204" i="3"/>
  <c r="BG204" i="3"/>
  <c r="BD204" i="3" a="1"/>
  <c r="BD204" i="3"/>
  <c r="BH203" i="3"/>
  <c r="BF203" i="3"/>
  <c r="BG203" i="3"/>
  <c r="BD203" i="3" a="1"/>
  <c r="BD203" i="3"/>
  <c r="BE203" i="3"/>
  <c r="BH202" i="3"/>
  <c r="BF202" i="3"/>
  <c r="BG202" i="3"/>
  <c r="BD202" i="3" a="1"/>
  <c r="BD202" i="3"/>
  <c r="BE202" i="3"/>
  <c r="BH201" i="3"/>
  <c r="BF201" i="3"/>
  <c r="BG201" i="3"/>
  <c r="BD201" i="3" a="1"/>
  <c r="BD201" i="3"/>
  <c r="BH200" i="3"/>
  <c r="BF200" i="3"/>
  <c r="BG200" i="3"/>
  <c r="BD200" i="3" a="1"/>
  <c r="BD200" i="3"/>
  <c r="BH199" i="3"/>
  <c r="BF199" i="3"/>
  <c r="BG199" i="3"/>
  <c r="BD199" i="3" a="1"/>
  <c r="BD199" i="3"/>
  <c r="BH198" i="3"/>
  <c r="BF198" i="3"/>
  <c r="BG198" i="3"/>
  <c r="BD198" i="3" a="1"/>
  <c r="BD198" i="3"/>
  <c r="BE198" i="3"/>
  <c r="BH197" i="3"/>
  <c r="BF197" i="3"/>
  <c r="BG197" i="3"/>
  <c r="BD197" i="3" a="1"/>
  <c r="BD197" i="3"/>
  <c r="BE197" i="3"/>
  <c r="BH196" i="3"/>
  <c r="BF196" i="3"/>
  <c r="BG196" i="3"/>
  <c r="BD196" i="3" a="1"/>
  <c r="BD196" i="3"/>
  <c r="BE196" i="3"/>
  <c r="BH195" i="3"/>
  <c r="BF195" i="3"/>
  <c r="BG195" i="3"/>
  <c r="BD195" i="3" a="1"/>
  <c r="BD195" i="3"/>
  <c r="BH194" i="3"/>
  <c r="BF194" i="3"/>
  <c r="BG194" i="3"/>
  <c r="BD194" i="3" a="1"/>
  <c r="BD194" i="3"/>
  <c r="BE194" i="3"/>
  <c r="BH193" i="3"/>
  <c r="BF193" i="3"/>
  <c r="BG193" i="3"/>
  <c r="BD193" i="3" a="1"/>
  <c r="BD193" i="3"/>
  <c r="BE193" i="3"/>
  <c r="BH192" i="3"/>
  <c r="BF192" i="3"/>
  <c r="BG192" i="3"/>
  <c r="BD192" i="3" a="1"/>
  <c r="BD192" i="3"/>
  <c r="BH191" i="3"/>
  <c r="BF191" i="3"/>
  <c r="BG191" i="3"/>
  <c r="BD191" i="3" a="1"/>
  <c r="BD191" i="3"/>
  <c r="BH190" i="3"/>
  <c r="BF190" i="3"/>
  <c r="BG190" i="3"/>
  <c r="BD190" i="3" a="1"/>
  <c r="BD190" i="3"/>
  <c r="BE190" i="3"/>
  <c r="BH189" i="3"/>
  <c r="BF189" i="3"/>
  <c r="BG189" i="3"/>
  <c r="BD189" i="3" a="1"/>
  <c r="BD189" i="3"/>
  <c r="BE189" i="3"/>
  <c r="BH188" i="3"/>
  <c r="BF188" i="3"/>
  <c r="BG188" i="3"/>
  <c r="BD188" i="3" a="1"/>
  <c r="BD188" i="3"/>
  <c r="BE188" i="3"/>
  <c r="BH187" i="3"/>
  <c r="BF187" i="3"/>
  <c r="BG187" i="3"/>
  <c r="BD187" i="3" a="1"/>
  <c r="BD187" i="3"/>
  <c r="BH186" i="3"/>
  <c r="BF186" i="3"/>
  <c r="BG186" i="3"/>
  <c r="BD186" i="3" a="1"/>
  <c r="BD186" i="3"/>
  <c r="BE186" i="3"/>
  <c r="BH185" i="3"/>
  <c r="BF185" i="3"/>
  <c r="BG185" i="3"/>
  <c r="BD185" i="3" a="1"/>
  <c r="BD185" i="3"/>
  <c r="BH184" i="3"/>
  <c r="BF184" i="3"/>
  <c r="BG184" i="3"/>
  <c r="BD184" i="3" a="1"/>
  <c r="BD184" i="3"/>
  <c r="BH183" i="3"/>
  <c r="BF183" i="3"/>
  <c r="BG183" i="3"/>
  <c r="BD183" i="3" a="1"/>
  <c r="BD183" i="3"/>
  <c r="BH182" i="3"/>
  <c r="BF182" i="3"/>
  <c r="BG182" i="3"/>
  <c r="BD182" i="3" a="1"/>
  <c r="BD182" i="3"/>
  <c r="BE182" i="3"/>
  <c r="BH181" i="3"/>
  <c r="BF181" i="3"/>
  <c r="BG181" i="3"/>
  <c r="BD181" i="3" a="1"/>
  <c r="BD181" i="3"/>
  <c r="BE181" i="3"/>
  <c r="BH180" i="3"/>
  <c r="BF180" i="3"/>
  <c r="BG180" i="3"/>
  <c r="BD180" i="3" a="1"/>
  <c r="BD180" i="3"/>
  <c r="BE180" i="3"/>
  <c r="BH179" i="3"/>
  <c r="BF179" i="3"/>
  <c r="BG179" i="3"/>
  <c r="BD179" i="3" a="1"/>
  <c r="BD179" i="3"/>
  <c r="BH178" i="3"/>
  <c r="BF178" i="3"/>
  <c r="BG178" i="3"/>
  <c r="BD178" i="3" a="1"/>
  <c r="BD178" i="3"/>
  <c r="BE178" i="3"/>
  <c r="BH177" i="3"/>
  <c r="BF177" i="3"/>
  <c r="BG177" i="3"/>
  <c r="BD177" i="3" a="1"/>
  <c r="BD177" i="3"/>
  <c r="BH176" i="3"/>
  <c r="BF176" i="3"/>
  <c r="BG176" i="3"/>
  <c r="BD176" i="3" a="1"/>
  <c r="BD176" i="3"/>
  <c r="BE176" i="3"/>
  <c r="BH175" i="3"/>
  <c r="BF175" i="3"/>
  <c r="BG175" i="3"/>
  <c r="BD175" i="3" a="1"/>
  <c r="BD175" i="3"/>
  <c r="BH174" i="3"/>
  <c r="BF174" i="3"/>
  <c r="BG174" i="3"/>
  <c r="BD174" i="3" a="1"/>
  <c r="BD174" i="3"/>
  <c r="BH173" i="3"/>
  <c r="BF173" i="3"/>
  <c r="BG173" i="3"/>
  <c r="BD173" i="3" a="1"/>
  <c r="BD173" i="3"/>
  <c r="BO173" i="3" a="1"/>
  <c r="BO173" i="3" s="1"/>
  <c r="BL173" i="3" s="1"/>
  <c r="BH172" i="3"/>
  <c r="BF172" i="3"/>
  <c r="BG172" i="3"/>
  <c r="BD172" i="3" a="1"/>
  <c r="BD172" i="3"/>
  <c r="BH171" i="3"/>
  <c r="BF171" i="3"/>
  <c r="BG171" i="3"/>
  <c r="BD171" i="3" a="1"/>
  <c r="BD171" i="3"/>
  <c r="BH170" i="3"/>
  <c r="BF170" i="3"/>
  <c r="BG170" i="3"/>
  <c r="BD170" i="3" a="1"/>
  <c r="BD170" i="3"/>
  <c r="BH169" i="3"/>
  <c r="BF169" i="3"/>
  <c r="BG169" i="3"/>
  <c r="BD169" i="3" a="1"/>
  <c r="BD169" i="3"/>
  <c r="BH168" i="3"/>
  <c r="BF168" i="3"/>
  <c r="BG168" i="3"/>
  <c r="BD168" i="3" a="1"/>
  <c r="BD168" i="3"/>
  <c r="BH167" i="3"/>
  <c r="BF167" i="3"/>
  <c r="BG167" i="3"/>
  <c r="BD167" i="3" a="1"/>
  <c r="BD167" i="3"/>
  <c r="BE167" i="3"/>
  <c r="F167" i="3" a="1"/>
  <c r="F167" i="3"/>
  <c r="BH166" i="3"/>
  <c r="BF166" i="3"/>
  <c r="BG166" i="3"/>
  <c r="BD166" i="3" a="1"/>
  <c r="BD166" i="3"/>
  <c r="BH165" i="3"/>
  <c r="BF165" i="3"/>
  <c r="BG165" i="3"/>
  <c r="BD165" i="3" a="1"/>
  <c r="BD165" i="3"/>
  <c r="BH164" i="3"/>
  <c r="BF164" i="3"/>
  <c r="BG164" i="3"/>
  <c r="BD164" i="3" a="1"/>
  <c r="BD164" i="3"/>
  <c r="BE164" i="3"/>
  <c r="BH163" i="3"/>
  <c r="BF163" i="3"/>
  <c r="BG163" i="3"/>
  <c r="BD163" i="3" a="1"/>
  <c r="BD163" i="3"/>
  <c r="BE163" i="3"/>
  <c r="BH162" i="3"/>
  <c r="BF162" i="3"/>
  <c r="BG162" i="3"/>
  <c r="BD162" i="3" a="1"/>
  <c r="BD162" i="3"/>
  <c r="BE162" i="3"/>
  <c r="BH161" i="3"/>
  <c r="BF161" i="3"/>
  <c r="BG161" i="3"/>
  <c r="BD161" i="3" a="1"/>
  <c r="BD161" i="3"/>
  <c r="BH160" i="3"/>
  <c r="BF160" i="3"/>
  <c r="BG160" i="3"/>
  <c r="BD160" i="3" a="1"/>
  <c r="BD160" i="3"/>
  <c r="BH159" i="3"/>
  <c r="BF159" i="3"/>
  <c r="BG159" i="3"/>
  <c r="BD159" i="3" a="1"/>
  <c r="BD159" i="3"/>
  <c r="BH158" i="3"/>
  <c r="BF158" i="3"/>
  <c r="BG158" i="3"/>
  <c r="BD158" i="3" a="1"/>
  <c r="BD158" i="3"/>
  <c r="BH157" i="3"/>
  <c r="BF157" i="3"/>
  <c r="BG157" i="3"/>
  <c r="BD157" i="3" a="1"/>
  <c r="BD157" i="3"/>
  <c r="BH156" i="3"/>
  <c r="BF156" i="3"/>
  <c r="BG156" i="3"/>
  <c r="BD156" i="3" a="1"/>
  <c r="BD156" i="3"/>
  <c r="BH155" i="3"/>
  <c r="BF155" i="3"/>
  <c r="BG155" i="3"/>
  <c r="BD155" i="3" a="1"/>
  <c r="BD155" i="3"/>
  <c r="BE155" i="3"/>
  <c r="BH154" i="3"/>
  <c r="BF154" i="3"/>
  <c r="BG154" i="3"/>
  <c r="BD154" i="3" a="1"/>
  <c r="BD154" i="3"/>
  <c r="BE154" i="3"/>
  <c r="BH153" i="3"/>
  <c r="BF153" i="3"/>
  <c r="BG153" i="3"/>
  <c r="BD153" i="3" a="1"/>
  <c r="BD153" i="3"/>
  <c r="BH152" i="3"/>
  <c r="BF152" i="3"/>
  <c r="BG152" i="3"/>
  <c r="BD152" i="3" a="1"/>
  <c r="BD152" i="3"/>
  <c r="BE152" i="3"/>
  <c r="BH151" i="3"/>
  <c r="BF151" i="3"/>
  <c r="BG151" i="3"/>
  <c r="BD151" i="3" a="1"/>
  <c r="BD151" i="3"/>
  <c r="BE151" i="3"/>
  <c r="F151" i="3" a="1"/>
  <c r="F151" i="3"/>
  <c r="BH150" i="3"/>
  <c r="BF150" i="3"/>
  <c r="BG150" i="3"/>
  <c r="BD150" i="3" a="1"/>
  <c r="BD150" i="3"/>
  <c r="BH149" i="3"/>
  <c r="BF149" i="3"/>
  <c r="BG149" i="3"/>
  <c r="BD149" i="3" a="1"/>
  <c r="BD149" i="3"/>
  <c r="BE149" i="3"/>
  <c r="BH148" i="3"/>
  <c r="BF148" i="3"/>
  <c r="BG148" i="3"/>
  <c r="BD148" i="3" a="1"/>
  <c r="BD148" i="3"/>
  <c r="BH147" i="3"/>
  <c r="BF147" i="3"/>
  <c r="BG147" i="3"/>
  <c r="BD147" i="3" a="1"/>
  <c r="BD147" i="3"/>
  <c r="BE147" i="3"/>
  <c r="BH146" i="3"/>
  <c r="BF146" i="3"/>
  <c r="BG146" i="3"/>
  <c r="BD146" i="3" a="1"/>
  <c r="BD146" i="3"/>
  <c r="BH145" i="3"/>
  <c r="BF145" i="3"/>
  <c r="BG145" i="3"/>
  <c r="BD145" i="3" a="1"/>
  <c r="BD145" i="3"/>
  <c r="BH144" i="3"/>
  <c r="BF144" i="3"/>
  <c r="BG144" i="3"/>
  <c r="BD144" i="3" a="1"/>
  <c r="BD144" i="3"/>
  <c r="BH143" i="3"/>
  <c r="BF143" i="3"/>
  <c r="BG143" i="3"/>
  <c r="BD143" i="3" a="1"/>
  <c r="BD143" i="3"/>
  <c r="BH142" i="3"/>
  <c r="BF142" i="3"/>
  <c r="BG142" i="3"/>
  <c r="BD142" i="3" a="1"/>
  <c r="BD142" i="3"/>
  <c r="BE142" i="3"/>
  <c r="BH141" i="3"/>
  <c r="BF141" i="3"/>
  <c r="BG141" i="3"/>
  <c r="BD141" i="3" a="1"/>
  <c r="BD141" i="3"/>
  <c r="BE141" i="3"/>
  <c r="BH140" i="3"/>
  <c r="BF140" i="3"/>
  <c r="BG140" i="3"/>
  <c r="BD140" i="3" a="1"/>
  <c r="BD140" i="3"/>
  <c r="BH139" i="3"/>
  <c r="BF139" i="3"/>
  <c r="BG139" i="3"/>
  <c r="BD139" i="3" a="1"/>
  <c r="BD139" i="3"/>
  <c r="BE139" i="3"/>
  <c r="BH138" i="3"/>
  <c r="BF138" i="3"/>
  <c r="BG138" i="3"/>
  <c r="BD138" i="3" a="1"/>
  <c r="BD138" i="3"/>
  <c r="BH137" i="3"/>
  <c r="BF137" i="3"/>
  <c r="BG137" i="3"/>
  <c r="BD137" i="3" a="1"/>
  <c r="BD137" i="3"/>
  <c r="BE137" i="3"/>
  <c r="BH136" i="3"/>
  <c r="BF136" i="3"/>
  <c r="BG136" i="3"/>
  <c r="BD136" i="3" a="1"/>
  <c r="BD136" i="3"/>
  <c r="BE136" i="3"/>
  <c r="BH135" i="3"/>
  <c r="BF135" i="3"/>
  <c r="BG135" i="3"/>
  <c r="BD135" i="3" a="1"/>
  <c r="BD135" i="3"/>
  <c r="F135" i="3" a="1"/>
  <c r="F135" i="3"/>
  <c r="BO268" i="3" a="1"/>
  <c r="BO268" i="3" s="1"/>
  <c r="BL268" i="3" s="1"/>
  <c r="BH134" i="3"/>
  <c r="BF134" i="3"/>
  <c r="BG134" i="3"/>
  <c r="BD134" i="3" a="1"/>
  <c r="BD134" i="3"/>
  <c r="BE134" i="3"/>
  <c r="BH133" i="3"/>
  <c r="BF133" i="3"/>
  <c r="BG133" i="3"/>
  <c r="BD133" i="3" a="1"/>
  <c r="BD133" i="3"/>
  <c r="BE133" i="3"/>
  <c r="BH132" i="3"/>
  <c r="BF132" i="3"/>
  <c r="BG132" i="3"/>
  <c r="BD132" i="3" a="1"/>
  <c r="BD132" i="3"/>
  <c r="BH131" i="3"/>
  <c r="BF131" i="3"/>
  <c r="BG131" i="3"/>
  <c r="BD131" i="3" a="1"/>
  <c r="BD131" i="3"/>
  <c r="BH130" i="3"/>
  <c r="BF130" i="3"/>
  <c r="BG130" i="3"/>
  <c r="BD130" i="3" a="1"/>
  <c r="BD130" i="3"/>
  <c r="BH129" i="3"/>
  <c r="BF129" i="3"/>
  <c r="BG129" i="3"/>
  <c r="BD129" i="3" a="1"/>
  <c r="BD129" i="3"/>
  <c r="BH128" i="3"/>
  <c r="BF128" i="3"/>
  <c r="BG128" i="3"/>
  <c r="BD128" i="3" a="1"/>
  <c r="BD128" i="3"/>
  <c r="BH127" i="3"/>
  <c r="BF127" i="3"/>
  <c r="BG127" i="3"/>
  <c r="BD127" i="3" a="1"/>
  <c r="BD127" i="3"/>
  <c r="BN127" i="3" a="1"/>
  <c r="BN127" i="3" s="1"/>
  <c r="BK127" i="3" s="1"/>
  <c r="BH126" i="3"/>
  <c r="BF126" i="3"/>
  <c r="BG126" i="3"/>
  <c r="BD126" i="3" a="1"/>
  <c r="BD126" i="3"/>
  <c r="BE126" i="3"/>
  <c r="BH125" i="3"/>
  <c r="BF125" i="3"/>
  <c r="BG125" i="3"/>
  <c r="BD125" i="3" a="1"/>
  <c r="BD125" i="3"/>
  <c r="BE125" i="3"/>
  <c r="BH124" i="3"/>
  <c r="BF124" i="3"/>
  <c r="BG124" i="3"/>
  <c r="BD124" i="3" a="1"/>
  <c r="BD124" i="3"/>
  <c r="BE124" i="3"/>
  <c r="BH123" i="3"/>
  <c r="BF123" i="3"/>
  <c r="BG123" i="3"/>
  <c r="BD123" i="3" a="1"/>
  <c r="BD123" i="3"/>
  <c r="BE123" i="3"/>
  <c r="BH122" i="3"/>
  <c r="BF122" i="3"/>
  <c r="BG122" i="3"/>
  <c r="BD122" i="3" a="1"/>
  <c r="BD122" i="3"/>
  <c r="BH121" i="3"/>
  <c r="BF121" i="3"/>
  <c r="BG121" i="3"/>
  <c r="BD121" i="3" a="1"/>
  <c r="BD121" i="3"/>
  <c r="BE121" i="3"/>
  <c r="BH120" i="3"/>
  <c r="BF120" i="3"/>
  <c r="BG120" i="3"/>
  <c r="BD120" i="3" a="1"/>
  <c r="BD120" i="3"/>
  <c r="BE120" i="3"/>
  <c r="BH119" i="3"/>
  <c r="BF119" i="3"/>
  <c r="BG119" i="3"/>
  <c r="BD119" i="3" a="1"/>
  <c r="BD119" i="3"/>
  <c r="BH118" i="3"/>
  <c r="BF118" i="3"/>
  <c r="BG118" i="3"/>
  <c r="BD118" i="3" a="1"/>
  <c r="BD118" i="3"/>
  <c r="F118" i="3" a="1"/>
  <c r="F118" i="3"/>
  <c r="Y116" i="3"/>
  <c r="T116" i="3"/>
  <c r="O116" i="3"/>
  <c r="J116" i="3"/>
  <c r="B115" i="3"/>
  <c r="N111" i="3"/>
  <c r="N110" i="3"/>
  <c r="N109" i="3"/>
  <c r="N108" i="3"/>
  <c r="N107" i="3"/>
  <c r="N106" i="3"/>
  <c r="N105" i="3"/>
  <c r="N96" i="3"/>
  <c r="N94" i="3"/>
  <c r="N92" i="3"/>
  <c r="N86" i="3"/>
  <c r="N84" i="3"/>
  <c r="N80" i="3"/>
  <c r="N78" i="3"/>
  <c r="AD36" i="10"/>
  <c r="DE312" i="10"/>
  <c r="N76" i="3"/>
  <c r="BB333" i="11" s="1"/>
  <c r="N74" i="3"/>
  <c r="BF12" i="12"/>
  <c r="N65" i="3"/>
  <c r="N63" i="3"/>
  <c r="N61" i="3"/>
  <c r="N60" i="3"/>
  <c r="N59" i="3"/>
  <c r="N56" i="3"/>
  <c r="N55" i="3"/>
  <c r="N53" i="3"/>
  <c r="N52" i="3"/>
  <c r="N51" i="3"/>
  <c r="N44" i="3"/>
  <c r="E28" i="15"/>
  <c r="E41" i="3"/>
  <c r="N39" i="3"/>
  <c r="E38" i="3"/>
  <c r="E35" i="3"/>
  <c r="N32" i="3"/>
  <c r="N30" i="3"/>
  <c r="G11" i="3"/>
  <c r="V39" i="10"/>
  <c r="K6" i="3"/>
  <c r="K70" i="12"/>
  <c r="AG62" i="12"/>
  <c r="AG63" i="12"/>
  <c r="AG64" i="12"/>
  <c r="AA64" i="12"/>
  <c r="AA63" i="12"/>
  <c r="S69" i="12"/>
  <c r="AH69" i="12"/>
  <c r="S63" i="12"/>
  <c r="D135" i="9"/>
  <c r="BV135" i="9"/>
  <c r="D58" i="9"/>
  <c r="BV58" i="9"/>
  <c r="D165" i="9"/>
  <c r="BV165" i="9"/>
  <c r="AZ295" i="9"/>
  <c r="BW652" i="9" s="1" a="1"/>
  <c r="BW652" i="9" s="1"/>
  <c r="BV62" i="9"/>
  <c r="AZ282" i="9"/>
  <c r="BW639" i="9" a="1"/>
  <c r="BW639" i="9" s="1"/>
  <c r="AZ294" i="9"/>
  <c r="BW651" i="9" a="1"/>
  <c r="BW651" i="9" s="1"/>
  <c r="BV17" i="9"/>
  <c r="AZ312" i="9"/>
  <c r="BW669" i="9" s="1" a="1"/>
  <c r="BW669" i="9" s="1"/>
  <c r="BV329" i="9"/>
  <c r="BV170" i="9"/>
  <c r="BV77" i="9"/>
  <c r="BV193" i="9"/>
  <c r="AD45" i="10"/>
  <c r="BE128" i="3"/>
  <c r="BE132" i="3"/>
  <c r="BN33" i="12"/>
  <c r="CP14" i="12"/>
  <c r="CD47" i="12"/>
  <c r="CB25" i="12"/>
  <c r="CC25" i="12" s="1"/>
  <c r="CB41" i="12"/>
  <c r="CC41" i="12" s="1"/>
  <c r="BZ35" i="12"/>
  <c r="CA35" i="12" s="1"/>
  <c r="CD17" i="12"/>
  <c r="CP15" i="12"/>
  <c r="CD32" i="12"/>
  <c r="CE32" i="12" s="1"/>
  <c r="CD48" i="12"/>
  <c r="CB34" i="12"/>
  <c r="BZ16" i="12"/>
  <c r="CA16" i="12" s="1"/>
  <c r="BZ36" i="12"/>
  <c r="BZ52" i="12"/>
  <c r="DV23" i="12" s="1"/>
  <c r="DY23" i="12" s="1"/>
  <c r="CQ41" i="12"/>
  <c r="CD13" i="12"/>
  <c r="CE13" i="12" s="1"/>
  <c r="CD33" i="12"/>
  <c r="DX17" i="12" s="1"/>
  <c r="EA17" i="12" s="1"/>
  <c r="CB27" i="12"/>
  <c r="CB51" i="12"/>
  <c r="BZ29" i="12"/>
  <c r="CD29" i="12"/>
  <c r="CE29" i="12" s="1"/>
  <c r="CS15" i="12"/>
  <c r="CD14" i="12"/>
  <c r="CE14" i="12" s="1"/>
  <c r="CB16" i="12"/>
  <c r="CB36" i="12"/>
  <c r="DW18" i="12" s="1"/>
  <c r="DZ18" i="12" s="1"/>
  <c r="BZ38" i="12"/>
  <c r="BZ49" i="12"/>
  <c r="DV22" i="12" s="1"/>
  <c r="DY22" i="12" s="1"/>
  <c r="CR29" i="12"/>
  <c r="CD35" i="12"/>
  <c r="CE35" i="12" s="1"/>
  <c r="CB29" i="12"/>
  <c r="CC29" i="12" s="1"/>
  <c r="BZ31" i="12"/>
  <c r="CD45" i="12"/>
  <c r="CE45" i="12" s="1"/>
  <c r="CD16" i="12"/>
  <c r="CD36" i="12"/>
  <c r="DX18" i="12" s="1"/>
  <c r="EA18" i="12" s="1"/>
  <c r="CD52" i="12"/>
  <c r="CE52" i="12" s="1"/>
  <c r="CB38" i="12"/>
  <c r="BZ24" i="12"/>
  <c r="BZ40" i="12"/>
  <c r="CS42" i="12"/>
  <c r="CD18" i="12"/>
  <c r="CD30" i="12"/>
  <c r="CB32" i="12"/>
  <c r="CC32" i="12" s="1"/>
  <c r="CB48" i="12"/>
  <c r="BZ14" i="12"/>
  <c r="BZ33" i="12"/>
  <c r="DV17" i="12" s="1"/>
  <c r="DY17" i="12" s="1"/>
  <c r="CE16" i="12"/>
  <c r="CC51" i="12"/>
  <c r="CA24" i="12"/>
  <c r="CC27" i="12"/>
  <c r="BV47" i="9"/>
  <c r="BV49" i="9"/>
  <c r="BV50" i="9"/>
  <c r="BV136" i="9"/>
  <c r="BV163" i="9"/>
  <c r="BV192" i="9"/>
  <c r="BV265" i="9"/>
  <c r="BV276" i="9"/>
  <c r="BV277" i="9"/>
  <c r="AZ301" i="9"/>
  <c r="BW658" i="9" s="1" a="1"/>
  <c r="BW658" i="9" s="1"/>
  <c r="BV157" i="9"/>
  <c r="BV53" i="9"/>
  <c r="BV54" i="9"/>
  <c r="BV183" i="9"/>
  <c r="BV190" i="9"/>
  <c r="AZ283" i="9"/>
  <c r="BW640" i="9" s="1" a="1"/>
  <c r="BW640" i="9" s="1"/>
  <c r="AZ284" i="9"/>
  <c r="BW641" i="9" s="1" a="1"/>
  <c r="BW641" i="9" s="1"/>
  <c r="BV296" i="9"/>
  <c r="BV297" i="9"/>
  <c r="AZ299" i="9"/>
  <c r="BW656" i="9" s="1" a="1"/>
  <c r="BW656" i="9" s="1"/>
  <c r="AZ304" i="9"/>
  <c r="BW661" i="9" s="1" a="1"/>
  <c r="BW661" i="9" s="1"/>
  <c r="D43" i="9"/>
  <c r="BV43" i="9" s="1"/>
  <c r="AZ265" i="9"/>
  <c r="BW622" i="9" s="1" a="1"/>
  <c r="BW622" i="9" s="1"/>
  <c r="AZ269" i="9"/>
  <c r="BW626" i="9" s="1" a="1"/>
  <c r="BW626" i="9" s="1"/>
  <c r="BV52" i="9"/>
  <c r="BV45" i="9"/>
  <c r="BV55" i="9"/>
  <c r="BV56" i="9"/>
  <c r="BV83" i="9"/>
  <c r="BV159" i="9"/>
  <c r="BV182" i="9"/>
  <c r="BV189" i="9"/>
  <c r="BV285" i="9"/>
  <c r="D319" i="9"/>
  <c r="BV438" i="9"/>
  <c r="BV321" i="9"/>
  <c r="J389" i="9"/>
  <c r="HL389" i="9"/>
  <c r="BV51" i="9"/>
  <c r="BV162" i="9"/>
  <c r="BV207" i="9"/>
  <c r="BV178" i="9"/>
  <c r="BV181" i="9"/>
  <c r="BV187" i="9"/>
  <c r="D289" i="9"/>
  <c r="BV646" i="9"/>
  <c r="HL391" i="9"/>
  <c r="J392" i="9"/>
  <c r="HL392" i="9"/>
  <c r="BV48" i="9"/>
  <c r="AZ290" i="9"/>
  <c r="BW647" i="9" s="1" a="1"/>
  <c r="BW647" i="9" s="1"/>
  <c r="BV44" i="9"/>
  <c r="D13" i="9"/>
  <c r="BV13" i="9" s="1"/>
  <c r="D73" i="9"/>
  <c r="BV73" i="9" s="1"/>
  <c r="BV74" i="9"/>
  <c r="D180" i="9"/>
  <c r="BV180" i="9" s="1"/>
  <c r="AZ260" i="9"/>
  <c r="BW617" i="9" s="1" a="1"/>
  <c r="BW617" i="9" s="1"/>
  <c r="AZ271" i="9"/>
  <c r="BW628" i="9" s="1" a="1"/>
  <c r="BW628" i="9" s="1"/>
  <c r="AZ292" i="9"/>
  <c r="BW649" i="9" s="1" a="1"/>
  <c r="BW649" i="9" s="1"/>
  <c r="BV325" i="9"/>
  <c r="I392" i="9"/>
  <c r="HK392" i="9"/>
  <c r="BV64" i="9"/>
  <c r="BV66" i="9"/>
  <c r="BV68" i="9"/>
  <c r="BV70" i="9"/>
  <c r="BV35" i="9"/>
  <c r="BV60" i="9"/>
  <c r="BV18" i="9"/>
  <c r="BV22" i="9"/>
  <c r="D28" i="9"/>
  <c r="BV28" i="9"/>
  <c r="BV63" i="9"/>
  <c r="BV65" i="9"/>
  <c r="BV69" i="9"/>
  <c r="BV20" i="9"/>
  <c r="BV24" i="9"/>
  <c r="BV26" i="9"/>
  <c r="BV67" i="9"/>
  <c r="BV71" i="9"/>
  <c r="BV14" i="9"/>
  <c r="BV34" i="9"/>
  <c r="BV59" i="9"/>
  <c r="BW515" i="9" a="1"/>
  <c r="BW515" i="9" s="1"/>
  <c r="AZ277" i="9"/>
  <c r="BW634" i="9" s="1" a="1"/>
  <c r="BW634" i="9" s="1"/>
  <c r="BV137" i="9"/>
  <c r="BV138" i="9"/>
  <c r="BV142" i="9"/>
  <c r="BV144" i="9"/>
  <c r="BV140" i="9"/>
  <c r="BV143" i="9"/>
  <c r="BV141" i="9"/>
  <c r="BV139" i="9"/>
  <c r="BV146" i="9"/>
  <c r="BV147" i="9"/>
  <c r="BV148" i="9"/>
  <c r="BW505" i="9" a="1"/>
  <c r="BW505" i="9" s="1"/>
  <c r="AZ267" i="9"/>
  <c r="BW624" i="9" s="1" a="1"/>
  <c r="BW624" i="9" s="1"/>
  <c r="BW506" i="9" a="1"/>
  <c r="BW506" i="9" s="1"/>
  <c r="AZ268" i="9"/>
  <c r="BW625" i="9" s="1" a="1"/>
  <c r="BW625" i="9" s="1"/>
  <c r="BW536" i="9" a="1"/>
  <c r="BW536" i="9" s="1"/>
  <c r="AZ298" i="9"/>
  <c r="BW655" i="9" a="1"/>
  <c r="BW655" i="9" s="1"/>
  <c r="BV262" i="9"/>
  <c r="BV266" i="9"/>
  <c r="BV154" i="9"/>
  <c r="BV156" i="9"/>
  <c r="BV169" i="9"/>
  <c r="BV171" i="9"/>
  <c r="BV184" i="9"/>
  <c r="BV186" i="9"/>
  <c r="BV628" i="9"/>
  <c r="BV620" i="9"/>
  <c r="BV627" i="9"/>
  <c r="BV619" i="9"/>
  <c r="BV626" i="9"/>
  <c r="BV618" i="9"/>
  <c r="BV625" i="9"/>
  <c r="BV617" i="9"/>
  <c r="BV624" i="9"/>
  <c r="BV623" i="9"/>
  <c r="BV622" i="9"/>
  <c r="BV507" i="9"/>
  <c r="BV499" i="9"/>
  <c r="BV506" i="9"/>
  <c r="BV498" i="9"/>
  <c r="BV505" i="9"/>
  <c r="BV504" i="9"/>
  <c r="BV503" i="9"/>
  <c r="BV629" i="9"/>
  <c r="BV508" i="9"/>
  <c r="BV501" i="9"/>
  <c r="BV502" i="9"/>
  <c r="BV500" i="9"/>
  <c r="BV391" i="9"/>
  <c r="BV509" i="9"/>
  <c r="BV621" i="9"/>
  <c r="BV510" i="9"/>
  <c r="BV386" i="9"/>
  <c r="BV382" i="9"/>
  <c r="BV389" i="9"/>
  <c r="BV381" i="9"/>
  <c r="BV380" i="9"/>
  <c r="BV387" i="9"/>
  <c r="BV379" i="9"/>
  <c r="BV390" i="9"/>
  <c r="BV384" i="9"/>
  <c r="BV385" i="9"/>
  <c r="BV388" i="9"/>
  <c r="BV268" i="9"/>
  <c r="BV270" i="9"/>
  <c r="BV261" i="9"/>
  <c r="BV272" i="9"/>
  <c r="BV264" i="9"/>
  <c r="BV269" i="9"/>
  <c r="BV263" i="9"/>
  <c r="BV260" i="9"/>
  <c r="BV663" i="9"/>
  <c r="BV672" i="9"/>
  <c r="BV668" i="9"/>
  <c r="BV662" i="9"/>
  <c r="BV674" i="9"/>
  <c r="BV673" i="9"/>
  <c r="BV669" i="9"/>
  <c r="BV670" i="9"/>
  <c r="BV666" i="9"/>
  <c r="BV665" i="9"/>
  <c r="BV555" i="9"/>
  <c r="BV554" i="9"/>
  <c r="BV550" i="9"/>
  <c r="BV664" i="9"/>
  <c r="BV551" i="9"/>
  <c r="BV547" i="9"/>
  <c r="BV667" i="9"/>
  <c r="BV546" i="9"/>
  <c r="BV671" i="9"/>
  <c r="BV553" i="9"/>
  <c r="BV549" i="9"/>
  <c r="BV543" i="9"/>
  <c r="BV427" i="9"/>
  <c r="BV552" i="9"/>
  <c r="BV433" i="9"/>
  <c r="BV429" i="9"/>
  <c r="BV426" i="9"/>
  <c r="BV545" i="9"/>
  <c r="BV434" i="9"/>
  <c r="BV430" i="9"/>
  <c r="BV424" i="9"/>
  <c r="BV548" i="9"/>
  <c r="BV544" i="9"/>
  <c r="BV432" i="9"/>
  <c r="BV425" i="9"/>
  <c r="BV436" i="9"/>
  <c r="BV435" i="9"/>
  <c r="BV428" i="9"/>
  <c r="BV431" i="9"/>
  <c r="BV312" i="9"/>
  <c r="BV317" i="9"/>
  <c r="BV309" i="9"/>
  <c r="BV314" i="9"/>
  <c r="BV308" i="9"/>
  <c r="BV305" i="9"/>
  <c r="BV311" i="9"/>
  <c r="D304" i="9"/>
  <c r="BV313" i="9"/>
  <c r="BV310" i="9"/>
  <c r="BW554" i="9" a="1"/>
  <c r="BW554" i="9"/>
  <c r="AZ316" i="9"/>
  <c r="BW673" i="9" s="1" a="1"/>
  <c r="BW673" i="9" s="1"/>
  <c r="BW555" i="9" a="1"/>
  <c r="BW555" i="9" s="1"/>
  <c r="AZ317" i="9"/>
  <c r="BW674" i="9" s="1" a="1"/>
  <c r="BW674" i="9" s="1"/>
  <c r="D259" i="9"/>
  <c r="BV271" i="9"/>
  <c r="BV315" i="9"/>
  <c r="BV316" i="9"/>
  <c r="BV644" i="9"/>
  <c r="BV636" i="9"/>
  <c r="BV643" i="9"/>
  <c r="BV635" i="9"/>
  <c r="BV642" i="9"/>
  <c r="BV634" i="9"/>
  <c r="BV641" i="9"/>
  <c r="BV633" i="9"/>
  <c r="BV640" i="9"/>
  <c r="BV632" i="9"/>
  <c r="BV639" i="9"/>
  <c r="BV638" i="9"/>
  <c r="BV523" i="9"/>
  <c r="BV515" i="9"/>
  <c r="BV522" i="9"/>
  <c r="BV514" i="9"/>
  <c r="BV637" i="9"/>
  <c r="BV521" i="9"/>
  <c r="BV513" i="9"/>
  <c r="BV520" i="9"/>
  <c r="BV519" i="9"/>
  <c r="BV524" i="9"/>
  <c r="BV516" i="9"/>
  <c r="BV400" i="9"/>
  <c r="BV396" i="9"/>
  <c r="BV517" i="9"/>
  <c r="BV399" i="9"/>
  <c r="BV405" i="9"/>
  <c r="BV395" i="9"/>
  <c r="BV404" i="9"/>
  <c r="BV403" i="9"/>
  <c r="BV402" i="9"/>
  <c r="BV397" i="9"/>
  <c r="BV401" i="9"/>
  <c r="BV525" i="9"/>
  <c r="BV518" i="9"/>
  <c r="BV406" i="9"/>
  <c r="BV394" i="9"/>
  <c r="BV282" i="9"/>
  <c r="BV287" i="9"/>
  <c r="BV279" i="9"/>
  <c r="BV284" i="9"/>
  <c r="BV278" i="9"/>
  <c r="BV275" i="9"/>
  <c r="BV281" i="9"/>
  <c r="D274" i="9"/>
  <c r="BV398" i="9"/>
  <c r="BV283" i="9"/>
  <c r="BV280" i="9"/>
  <c r="BW517" i="9" a="1"/>
  <c r="BW517" i="9" s="1"/>
  <c r="AZ279" i="9"/>
  <c r="BW636" i="9" s="1" a="1"/>
  <c r="BW636" i="9" s="1"/>
  <c r="BW525" i="9" a="1"/>
  <c r="BW525" i="9" s="1"/>
  <c r="AZ287" i="9"/>
  <c r="BW644" i="9" a="1"/>
  <c r="BW644" i="9" s="1"/>
  <c r="BV383" i="9"/>
  <c r="BW497" i="9" a="1"/>
  <c r="BW497" i="9" s="1"/>
  <c r="AZ259" i="9"/>
  <c r="BW616" i="9" s="1" a="1"/>
  <c r="BW616" i="9" s="1"/>
  <c r="BW545" i="9" a="1"/>
  <c r="BW545" i="9" s="1"/>
  <c r="AZ307" i="9"/>
  <c r="BW664" i="9" s="1" a="1"/>
  <c r="BW664" i="9" s="1"/>
  <c r="AZ264" i="9"/>
  <c r="BW621" i="9" s="1" a="1"/>
  <c r="BW621" i="9" s="1"/>
  <c r="BV306" i="9"/>
  <c r="BV307" i="9"/>
  <c r="BV290" i="9"/>
  <c r="BV293" i="9"/>
  <c r="BV299" i="9"/>
  <c r="AZ261" i="9"/>
  <c r="BW618" i="9" s="1" a="1"/>
  <c r="BW618" i="9" s="1"/>
  <c r="AZ270" i="9"/>
  <c r="BW627" i="9" s="1" a="1"/>
  <c r="BW627" i="9" s="1"/>
  <c r="AZ281" i="9"/>
  <c r="BW638" i="9" s="1" a="1"/>
  <c r="BW638" i="9" s="1"/>
  <c r="AZ291" i="9"/>
  <c r="BW648" i="9" s="1" a="1"/>
  <c r="BW648" i="9" s="1"/>
  <c r="BV294" i="9"/>
  <c r="AZ300" i="9"/>
  <c r="BW657" i="9" s="1" a="1"/>
  <c r="BW657" i="9" s="1"/>
  <c r="BV302" i="9"/>
  <c r="AZ311" i="9"/>
  <c r="BW668" i="9" s="1" a="1"/>
  <c r="BW668" i="9" s="1"/>
  <c r="BV322" i="9"/>
  <c r="BV326" i="9"/>
  <c r="BV330" i="9"/>
  <c r="BV291" i="9"/>
  <c r="BV300" i="9"/>
  <c r="BV323" i="9"/>
  <c r="BV327" i="9"/>
  <c r="BV331" i="9"/>
  <c r="BV441" i="9"/>
  <c r="BV295" i="9"/>
  <c r="J386" i="9"/>
  <c r="HL385" i="9"/>
  <c r="BV558" i="9"/>
  <c r="AZ296" i="9"/>
  <c r="BW653" i="9" s="1" a="1"/>
  <c r="BW653" i="9" s="1"/>
  <c r="AZ306" i="9"/>
  <c r="BW663" i="9" a="1"/>
  <c r="BW663" i="9" s="1"/>
  <c r="AZ315" i="9"/>
  <c r="BW672" i="9" a="1"/>
  <c r="BW672" i="9" s="1"/>
  <c r="BV320" i="9"/>
  <c r="BV324" i="9"/>
  <c r="BV328" i="9"/>
  <c r="BV652" i="9"/>
  <c r="BV659" i="9"/>
  <c r="BV651" i="9"/>
  <c r="BV658" i="9"/>
  <c r="BV650" i="9"/>
  <c r="BV657" i="9"/>
  <c r="BV649" i="9"/>
  <c r="BV656" i="9"/>
  <c r="BV648" i="9"/>
  <c r="BV655" i="9"/>
  <c r="BV647" i="9"/>
  <c r="BV654" i="9"/>
  <c r="BV539" i="9"/>
  <c r="BV531" i="9"/>
  <c r="BV538" i="9"/>
  <c r="BV530" i="9"/>
  <c r="BV537" i="9"/>
  <c r="BV529" i="9"/>
  <c r="BV536" i="9"/>
  <c r="BV528" i="9"/>
  <c r="BV535" i="9"/>
  <c r="BV653" i="9"/>
  <c r="BV540" i="9"/>
  <c r="BV532" i="9"/>
  <c r="BV418" i="9"/>
  <c r="BV414" i="9"/>
  <c r="BV411" i="9"/>
  <c r="BV410" i="9"/>
  <c r="BV421" i="9"/>
  <c r="BV533" i="9"/>
  <c r="BV420" i="9"/>
  <c r="BV415" i="9"/>
  <c r="BV413" i="9"/>
  <c r="BV409" i="9"/>
  <c r="BV412" i="9"/>
  <c r="BV534" i="9"/>
  <c r="BV416" i="9"/>
  <c r="BV419" i="9"/>
  <c r="BV417" i="9"/>
  <c r="BV292" i="9"/>
  <c r="BV301" i="9"/>
  <c r="BV684" i="9"/>
  <c r="BV683" i="9"/>
  <c r="BV682" i="9"/>
  <c r="BV689" i="9"/>
  <c r="BV681" i="9"/>
  <c r="BV688" i="9"/>
  <c r="BV680" i="9"/>
  <c r="BV687" i="9"/>
  <c r="BV679" i="9"/>
  <c r="BV686" i="9"/>
  <c r="BV678" i="9"/>
  <c r="BV677" i="9"/>
  <c r="BV563" i="9"/>
  <c r="BV570" i="9"/>
  <c r="BV562" i="9"/>
  <c r="BV569" i="9"/>
  <c r="BV561" i="9"/>
  <c r="BV568" i="9"/>
  <c r="BV560" i="9"/>
  <c r="BV567" i="9"/>
  <c r="BV559" i="9"/>
  <c r="BV685" i="9"/>
  <c r="BV564" i="9"/>
  <c r="BV450" i="9"/>
  <c r="BV565" i="9"/>
  <c r="BV566" i="9"/>
  <c r="BV448" i="9"/>
  <c r="BV440" i="9"/>
  <c r="BV447" i="9"/>
  <c r="BV439" i="9"/>
  <c r="BV445" i="9"/>
  <c r="BV446" i="9"/>
  <c r="BV449" i="9"/>
  <c r="BV451" i="9"/>
  <c r="BV444" i="9"/>
  <c r="BV443" i="9"/>
  <c r="BV442" i="9"/>
  <c r="BN169" i="3" a="1"/>
  <c r="BN169" i="3" s="1"/>
  <c r="BK169" i="3" s="1"/>
  <c r="BE169" i="3"/>
  <c r="BO169" i="3" a="1"/>
  <c r="BO169" i="3" s="1"/>
  <c r="BL169" i="3" s="1"/>
  <c r="BN171" i="3" a="1"/>
  <c r="BN171" i="3" s="1"/>
  <c r="BK171" i="3" s="1"/>
  <c r="BE171" i="3"/>
  <c r="BO171" i="3" a="1"/>
  <c r="BO171" i="3" s="1"/>
  <c r="BL171" i="3" s="1"/>
  <c r="BO177" i="3" a="1"/>
  <c r="BO177" i="3" s="1"/>
  <c r="BL177" i="3" s="1"/>
  <c r="BE177" i="3"/>
  <c r="DE90" i="10"/>
  <c r="CQ93" i="10"/>
  <c r="AJ39" i="10"/>
  <c r="CS93" i="10"/>
  <c r="BE174" i="3"/>
  <c r="BO174" i="3" a="1"/>
  <c r="BO174" i="3" s="1"/>
  <c r="BL174" i="3" s="1"/>
  <c r="BN321" i="3" a="1"/>
  <c r="BN321" i="3" s="1"/>
  <c r="BK321" i="3" s="1"/>
  <c r="BN335" i="3" a="1"/>
  <c r="BN335" i="3" s="1"/>
  <c r="BK335" i="3" s="1"/>
  <c r="BN128" i="3" a="1"/>
  <c r="BN128" i="3" s="1"/>
  <c r="BK128" i="3" s="1"/>
  <c r="BN132" i="3" a="1"/>
  <c r="BN132" i="3" s="1"/>
  <c r="BK132" i="3" s="1"/>
  <c r="BE156" i="3"/>
  <c r="BE157" i="3"/>
  <c r="BE159" i="3"/>
  <c r="BE160" i="3"/>
  <c r="BO209" i="3" a="1"/>
  <c r="BO209" i="3" s="1"/>
  <c r="BL209" i="3" s="1"/>
  <c r="BN214" i="3" a="1"/>
  <c r="BN214" i="3" s="1"/>
  <c r="BK214" i="3" s="1"/>
  <c r="BN254" i="3" a="1"/>
  <c r="BN254" i="3" s="1"/>
  <c r="BK254" i="3" s="1"/>
  <c r="BN262" i="3" a="1"/>
  <c r="BN262" i="3" s="1"/>
  <c r="BK262" i="3" s="1"/>
  <c r="BE341" i="3"/>
  <c r="BO212" i="3" a="1"/>
  <c r="BO212" i="3" s="1"/>
  <c r="BL212" i="3" s="1"/>
  <c r="BO332" i="3" a="1"/>
  <c r="BO332" i="3" s="1"/>
  <c r="BL332" i="3" s="1"/>
  <c r="CQ324" i="10"/>
  <c r="AR45" i="10"/>
  <c r="CS324" i="10"/>
  <c r="BO337" i="3" a="1"/>
  <c r="BO337" i="3" s="1"/>
  <c r="BL337" i="3" s="1"/>
  <c r="BO182" i="3" a="1"/>
  <c r="BO182" i="3" s="1"/>
  <c r="BL182" i="3" s="1"/>
  <c r="BO198" i="3" a="1"/>
  <c r="BO198" i="3" s="1"/>
  <c r="BL198" i="3" s="1"/>
  <c r="BN203" i="3" a="1"/>
  <c r="BN203" i="3" s="1"/>
  <c r="BK203" i="3" s="1"/>
  <c r="BO214" i="3" a="1"/>
  <c r="BO214" i="3" s="1"/>
  <c r="BL214" i="3" s="1"/>
  <c r="BO222" i="3" a="1"/>
  <c r="BO222" i="3" s="1"/>
  <c r="BL222" i="3" s="1"/>
  <c r="BO230" i="3" a="1"/>
  <c r="BO230" i="3" s="1"/>
  <c r="BL230" i="3" s="1"/>
  <c r="BO238" i="3" a="1"/>
  <c r="BO238" i="3" s="1"/>
  <c r="BL238" i="3" s="1"/>
  <c r="BO246" i="3" a="1"/>
  <c r="BO246" i="3" s="1"/>
  <c r="BL246" i="3" s="1"/>
  <c r="BO254" i="3" a="1"/>
  <c r="BO254" i="3" s="1"/>
  <c r="BL254" i="3" s="1"/>
  <c r="BO262" i="3" a="1"/>
  <c r="BO262" i="3" s="1"/>
  <c r="BL262" i="3" s="1"/>
  <c r="BN299" i="3" a="1"/>
  <c r="BN299" i="3" s="1"/>
  <c r="BK299" i="3" s="1"/>
  <c r="BN307" i="3" a="1"/>
  <c r="BN307" i="3" s="1"/>
  <c r="BK307" i="3" s="1"/>
  <c r="BN315" i="3" a="1"/>
  <c r="BN315" i="3" s="1"/>
  <c r="BK315" i="3" s="1"/>
  <c r="BN323" i="3" a="1"/>
  <c r="BN323" i="3" s="1"/>
  <c r="BK323" i="3" s="1"/>
  <c r="BN331" i="3" a="1"/>
  <c r="BN331" i="3" s="1"/>
  <c r="BK331" i="3" s="1"/>
  <c r="BN337" i="3" a="1"/>
  <c r="BN337" i="3" s="1"/>
  <c r="BK337" i="3" s="1"/>
  <c r="S28" i="10"/>
  <c r="CQ312" i="10"/>
  <c r="BN217" i="3" a="1"/>
  <c r="BN217" i="3" s="1"/>
  <c r="BK217" i="3" s="1"/>
  <c r="BO236" i="3" a="1"/>
  <c r="BO236" i="3" s="1"/>
  <c r="BL236" i="3" s="1"/>
  <c r="BN141" i="3" a="1"/>
  <c r="BN141" i="3" s="1"/>
  <c r="BK141" i="3" s="1"/>
  <c r="BN142" i="3" a="1"/>
  <c r="BN142" i="3" s="1"/>
  <c r="BK142" i="3" s="1"/>
  <c r="BN146" i="3" a="1"/>
  <c r="BN146" i="3"/>
  <c r="BK146" i="3" s="1"/>
  <c r="BN200" i="3" a="1"/>
  <c r="BN200" i="3"/>
  <c r="BK200" i="3" s="1"/>
  <c r="BO203" i="3" a="1"/>
  <c r="BO203" i="3" s="1"/>
  <c r="BL203" i="3" s="1"/>
  <c r="BN216" i="3" a="1"/>
  <c r="BN216" i="3" s="1"/>
  <c r="BK216" i="3" s="1"/>
  <c r="BN232" i="3" a="1"/>
  <c r="BN232" i="3" s="1"/>
  <c r="BK232" i="3" s="1"/>
  <c r="BO235" i="3" a="1"/>
  <c r="BO235" i="3" s="1"/>
  <c r="BL235" i="3" s="1"/>
  <c r="BN248" i="3" a="1"/>
  <c r="BN248" i="3" s="1"/>
  <c r="BK248" i="3" s="1"/>
  <c r="BN264" i="3" a="1"/>
  <c r="BN264" i="3" s="1"/>
  <c r="BK264" i="3" s="1"/>
  <c r="BN280" i="3" a="1"/>
  <c r="BN280" i="3"/>
  <c r="BK280" i="3" s="1"/>
  <c r="BO291" i="3" a="1"/>
  <c r="BO291" i="3" s="1"/>
  <c r="BL291" i="3" s="1"/>
  <c r="BN296" i="3" a="1"/>
  <c r="BN296" i="3" s="1"/>
  <c r="BK296" i="3" s="1"/>
  <c r="BO299" i="3" a="1"/>
  <c r="BO299" i="3" s="1"/>
  <c r="BL299" i="3" s="1"/>
  <c r="BO307" i="3" a="1"/>
  <c r="BO307" i="3" s="1"/>
  <c r="BL307" i="3" s="1"/>
  <c r="BN312" i="3" a="1"/>
  <c r="BN312" i="3" s="1"/>
  <c r="BK312" i="3" s="1"/>
  <c r="BO315" i="3" a="1"/>
  <c r="BO315" i="3" s="1"/>
  <c r="BL315" i="3" s="1"/>
  <c r="BO323" i="3" a="1"/>
  <c r="BO323" i="3" s="1"/>
  <c r="BL323" i="3" s="1"/>
  <c r="BN328" i="3" a="1"/>
  <c r="BN328" i="3" s="1"/>
  <c r="BK328" i="3" s="1"/>
  <c r="BO331" i="3" a="1"/>
  <c r="BO331" i="3" s="1"/>
  <c r="BL331" i="3" s="1"/>
  <c r="BO188" i="3" a="1"/>
  <c r="BO188" i="3" s="1"/>
  <c r="BL188" i="3" s="1"/>
  <c r="BN209" i="3" a="1"/>
  <c r="BN209" i="3" s="1"/>
  <c r="BK209" i="3" s="1"/>
  <c r="BO244" i="3" a="1"/>
  <c r="BO244" i="3" s="1"/>
  <c r="BL244" i="3" s="1"/>
  <c r="BO260" i="3" a="1"/>
  <c r="BO260" i="3" s="1"/>
  <c r="BL260" i="3" s="1"/>
  <c r="BO276" i="3" a="1"/>
  <c r="BO276" i="3" s="1"/>
  <c r="BL276" i="3" s="1"/>
  <c r="BO300" i="3" a="1"/>
  <c r="BO300" i="3" s="1"/>
  <c r="BL300" i="3" s="1"/>
  <c r="BO324" i="3" a="1"/>
  <c r="BO324" i="3" s="1"/>
  <c r="BL324" i="3" s="1"/>
  <c r="BN181" i="3" a="1"/>
  <c r="BN181" i="3"/>
  <c r="BK181" i="3" s="1"/>
  <c r="BN189" i="3" a="1"/>
  <c r="BN189" i="3" s="1"/>
  <c r="BK189" i="3" s="1"/>
  <c r="BN197" i="3" a="1"/>
  <c r="BN197" i="3" s="1"/>
  <c r="BK197" i="3" s="1"/>
  <c r="BO216" i="3" a="1"/>
  <c r="BO216" i="3" s="1"/>
  <c r="BL216" i="3" s="1"/>
  <c r="BO232" i="3" a="1"/>
  <c r="BO232" i="3" s="1"/>
  <c r="BL232" i="3" s="1"/>
  <c r="BO248" i="3" a="1"/>
  <c r="BO248" i="3" s="1"/>
  <c r="BL248" i="3" s="1"/>
  <c r="BN253" i="3" a="1"/>
  <c r="BN253" i="3" s="1"/>
  <c r="BK253" i="3" s="1"/>
  <c r="BO264" i="3" a="1"/>
  <c r="BO264" i="3" s="1"/>
  <c r="BL264" i="3" s="1"/>
  <c r="BO280" i="3" a="1"/>
  <c r="BO280" i="3" s="1"/>
  <c r="BL280" i="3" s="1"/>
  <c r="BO296" i="3" a="1"/>
  <c r="BO296" i="3" s="1"/>
  <c r="BL296" i="3" s="1"/>
  <c r="BO312" i="3" a="1"/>
  <c r="BO312" i="3" s="1"/>
  <c r="BL312" i="3" s="1"/>
  <c r="BO328" i="3" a="1"/>
  <c r="BO328" i="3" s="1"/>
  <c r="BL328" i="3" s="1"/>
  <c r="BO339" i="3" a="1"/>
  <c r="BO339" i="3" s="1"/>
  <c r="BL339" i="3" s="1"/>
  <c r="BO308" i="3" a="1"/>
  <c r="BO308" i="3" s="1"/>
  <c r="BL308" i="3" s="1"/>
  <c r="Z51" i="10"/>
  <c r="Z50" i="10"/>
  <c r="Z49" i="10"/>
  <c r="Z48" i="10"/>
  <c r="Z47" i="10"/>
  <c r="Z46" i="10"/>
  <c r="Z45" i="10"/>
  <c r="Z44" i="10"/>
  <c r="Z43" i="10"/>
  <c r="Z42" i="10"/>
  <c r="X51" i="10"/>
  <c r="X50" i="10"/>
  <c r="X49" i="10"/>
  <c r="X48" i="10"/>
  <c r="X47" i="10"/>
  <c r="X46" i="10"/>
  <c r="X45" i="10"/>
  <c r="X44" i="10"/>
  <c r="X43" i="10"/>
  <c r="X42" i="10"/>
  <c r="X41" i="10"/>
  <c r="X40" i="10"/>
  <c r="X39" i="10"/>
  <c r="AD38" i="10"/>
  <c r="V38" i="10"/>
  <c r="AB37" i="10"/>
  <c r="W51" i="10"/>
  <c r="W50" i="10"/>
  <c r="W49" i="10"/>
  <c r="W48" i="10"/>
  <c r="W47" i="10"/>
  <c r="W46" i="10"/>
  <c r="W45" i="10"/>
  <c r="W44" i="10"/>
  <c r="W43" i="10"/>
  <c r="W42" i="10"/>
  <c r="W41" i="10"/>
  <c r="W40" i="10"/>
  <c r="W39" i="10"/>
  <c r="AC38" i="10"/>
  <c r="U38" i="10"/>
  <c r="AD51" i="10"/>
  <c r="AR51" i="10"/>
  <c r="V51" i="10"/>
  <c r="AD50" i="10"/>
  <c r="V50" i="10"/>
  <c r="AD49" i="10"/>
  <c r="V49" i="10"/>
  <c r="AD48" i="10"/>
  <c r="V48" i="10"/>
  <c r="AD47" i="10"/>
  <c r="DE323" i="10"/>
  <c r="V47" i="10"/>
  <c r="AD46" i="10"/>
  <c r="AC51" i="10"/>
  <c r="U51" i="10"/>
  <c r="AC50" i="10"/>
  <c r="U50" i="10"/>
  <c r="AC49" i="10"/>
  <c r="U49" i="10"/>
  <c r="AC48" i="10"/>
  <c r="U48" i="10"/>
  <c r="AC47" i="10"/>
  <c r="U47" i="10"/>
  <c r="AC46" i="10"/>
  <c r="U46" i="10"/>
  <c r="AC45" i="10"/>
  <c r="U45" i="10"/>
  <c r="AC44" i="10"/>
  <c r="U44" i="10"/>
  <c r="AC43" i="10"/>
  <c r="U43" i="10"/>
  <c r="AC42" i="10"/>
  <c r="U42" i="10"/>
  <c r="AC41" i="10"/>
  <c r="U41" i="10"/>
  <c r="AC40" i="10"/>
  <c r="U40" i="10"/>
  <c r="AC39" i="10"/>
  <c r="U39" i="10"/>
  <c r="AA38" i="10"/>
  <c r="S38" i="10"/>
  <c r="AB51" i="10"/>
  <c r="T51" i="10"/>
  <c r="AB50" i="10"/>
  <c r="T50" i="10"/>
  <c r="AB49" i="10"/>
  <c r="T49" i="10"/>
  <c r="AB48" i="10"/>
  <c r="T48" i="10"/>
  <c r="AB47" i="10"/>
  <c r="T47" i="10"/>
  <c r="AB46" i="10"/>
  <c r="T46" i="10"/>
  <c r="AB45" i="10"/>
  <c r="T45" i="10"/>
  <c r="AB44" i="10"/>
  <c r="T44" i="10"/>
  <c r="AB43" i="10"/>
  <c r="T43" i="10"/>
  <c r="AB42" i="10"/>
  <c r="T42" i="10"/>
  <c r="AB41" i="10"/>
  <c r="T41" i="10"/>
  <c r="AB40" i="10"/>
  <c r="T40" i="10"/>
  <c r="AA49" i="10"/>
  <c r="S48" i="10"/>
  <c r="AA45" i="10"/>
  <c r="S43" i="10"/>
  <c r="V41" i="10"/>
  <c r="AA40" i="10"/>
  <c r="T39" i="10"/>
  <c r="Z38" i="10"/>
  <c r="X37" i="10"/>
  <c r="X36" i="10"/>
  <c r="X35" i="10"/>
  <c r="AC34" i="10"/>
  <c r="U34" i="10"/>
  <c r="AC33" i="10"/>
  <c r="U33" i="10"/>
  <c r="X32" i="10"/>
  <c r="AA31" i="10"/>
  <c r="S31" i="10"/>
  <c r="AD30" i="10"/>
  <c r="V30" i="10"/>
  <c r="Z28" i="10"/>
  <c r="Z20" i="10"/>
  <c r="AB19" i="10"/>
  <c r="T19" i="10"/>
  <c r="X18" i="10"/>
  <c r="AD16" i="10"/>
  <c r="V16" i="10"/>
  <c r="AA50" i="10"/>
  <c r="S49" i="10"/>
  <c r="V45" i="10"/>
  <c r="S41" i="10"/>
  <c r="Z40" i="10"/>
  <c r="S39" i="10"/>
  <c r="W37" i="10"/>
  <c r="W36" i="10"/>
  <c r="W35" i="10"/>
  <c r="AB34" i="10"/>
  <c r="T34" i="10"/>
  <c r="AB33" i="10"/>
  <c r="T33" i="10"/>
  <c r="W32" i="10"/>
  <c r="Z31" i="10"/>
  <c r="AC30" i="10"/>
  <c r="U30" i="10"/>
  <c r="AA19" i="10"/>
  <c r="S19" i="10"/>
  <c r="W18" i="10"/>
  <c r="AC16" i="10"/>
  <c r="U16" i="10"/>
  <c r="AA51" i="10"/>
  <c r="S50" i="10"/>
  <c r="S45" i="10"/>
  <c r="AD44" i="10"/>
  <c r="AD39" i="10"/>
  <c r="X38" i="10"/>
  <c r="V37" i="10"/>
  <c r="V36" i="10"/>
  <c r="AD35" i="10"/>
  <c r="V35" i="10"/>
  <c r="AA34" i="10"/>
  <c r="S34" i="10"/>
  <c r="AA33" i="10"/>
  <c r="S33" i="10"/>
  <c r="AD32" i="10"/>
  <c r="V32" i="10"/>
  <c r="AB30" i="10"/>
  <c r="T30" i="10"/>
  <c r="X28" i="10"/>
  <c r="X20" i="10"/>
  <c r="Z19" i="10"/>
  <c r="AD18" i="10"/>
  <c r="CP306" i="10"/>
  <c r="V18" i="10"/>
  <c r="AB16" i="10"/>
  <c r="T16" i="10"/>
  <c r="S51" i="10"/>
  <c r="AA44" i="10"/>
  <c r="AD42" i="10"/>
  <c r="V40" i="10"/>
  <c r="AB39" i="10"/>
  <c r="W38" i="10"/>
  <c r="AD37" i="10"/>
  <c r="U37" i="10"/>
  <c r="AC36" i="10"/>
  <c r="U36" i="10"/>
  <c r="AC35" i="10"/>
  <c r="U35" i="10"/>
  <c r="Z34" i="10"/>
  <c r="Z33" i="10"/>
  <c r="AC32" i="10"/>
  <c r="U32" i="10"/>
  <c r="X31" i="10"/>
  <c r="AA30" i="10"/>
  <c r="S30" i="10"/>
  <c r="W28" i="10"/>
  <c r="W20" i="10"/>
  <c r="AC18" i="10"/>
  <c r="U18" i="10"/>
  <c r="AA16" i="10"/>
  <c r="S16" i="10"/>
  <c r="V44" i="10"/>
  <c r="AA42" i="10"/>
  <c r="AD41" i="10"/>
  <c r="S40" i="10"/>
  <c r="AA39" i="10"/>
  <c r="T38" i="10"/>
  <c r="AC37" i="10"/>
  <c r="T37" i="10"/>
  <c r="AB36" i="10"/>
  <c r="T36" i="10"/>
  <c r="AB35" i="10"/>
  <c r="T35" i="10"/>
  <c r="AB32" i="10"/>
  <c r="T32" i="10"/>
  <c r="W31" i="10"/>
  <c r="Z30" i="10"/>
  <c r="AD28" i="10"/>
  <c r="V28" i="10"/>
  <c r="AD20" i="10"/>
  <c r="V20" i="10"/>
  <c r="X19" i="10"/>
  <c r="AB18" i="10"/>
  <c r="T18" i="10"/>
  <c r="Z16" i="10"/>
  <c r="K12" i="6"/>
  <c r="AD79" i="12"/>
  <c r="AA46" i="10"/>
  <c r="S44" i="10"/>
  <c r="AD43" i="10"/>
  <c r="AA41" i="10"/>
  <c r="Z39" i="10"/>
  <c r="AA37" i="10"/>
  <c r="S37" i="10"/>
  <c r="AA36" i="10"/>
  <c r="S36" i="10"/>
  <c r="AA35" i="10"/>
  <c r="S35" i="10"/>
  <c r="X34" i="10"/>
  <c r="X33" i="10"/>
  <c r="AA32" i="10"/>
  <c r="S32" i="10"/>
  <c r="AD31" i="10"/>
  <c r="V31" i="10"/>
  <c r="AC28" i="10"/>
  <c r="U28" i="10"/>
  <c r="AC20" i="10"/>
  <c r="U20" i="10"/>
  <c r="W19" i="10"/>
  <c r="AA18" i="10"/>
  <c r="S18" i="10"/>
  <c r="AA47" i="10"/>
  <c r="V46" i="10"/>
  <c r="AA43" i="10"/>
  <c r="V42" i="10"/>
  <c r="Z41" i="10"/>
  <c r="Z37" i="10"/>
  <c r="Z36" i="10"/>
  <c r="Z35" i="10"/>
  <c r="W34" i="10"/>
  <c r="W33" i="10"/>
  <c r="Z32" i="10"/>
  <c r="AC31" i="10"/>
  <c r="U31" i="10"/>
  <c r="X30" i="10"/>
  <c r="AB28" i="10"/>
  <c r="T28" i="10"/>
  <c r="AB20" i="10"/>
  <c r="T20" i="10"/>
  <c r="AD19" i="10"/>
  <c r="DE329" i="10"/>
  <c r="V19" i="10"/>
  <c r="Z18" i="10"/>
  <c r="X16" i="10"/>
  <c r="L18" i="6"/>
  <c r="M18" i="6"/>
  <c r="AD34" i="10"/>
  <c r="CQ313" i="10"/>
  <c r="V33" i="10"/>
  <c r="W16" i="10"/>
  <c r="S47" i="10"/>
  <c r="V34" i="10"/>
  <c r="S42" i="10"/>
  <c r="AD40" i="10"/>
  <c r="AB38" i="10"/>
  <c r="S46" i="10"/>
  <c r="AB31" i="10"/>
  <c r="T31" i="10"/>
  <c r="AA20" i="10"/>
  <c r="AC19" i="10"/>
  <c r="AA48" i="10"/>
  <c r="V43" i="10"/>
  <c r="AA28" i="10"/>
  <c r="S20" i="10"/>
  <c r="U19" i="10"/>
  <c r="BN155" i="3" a="1"/>
  <c r="BN155" i="3" s="1"/>
  <c r="BK155" i="3" s="1"/>
  <c r="BN156" i="3" a="1"/>
  <c r="BN156" i="3" s="1"/>
  <c r="BK156" i="3" s="1"/>
  <c r="BN157" i="3" a="1"/>
  <c r="BN157" i="3" s="1"/>
  <c r="BK157" i="3" s="1"/>
  <c r="BN159" i="3" a="1"/>
  <c r="BN159" i="3" s="1"/>
  <c r="BK159" i="3" s="1"/>
  <c r="BN160" i="3" a="1"/>
  <c r="BN160" i="3" s="1"/>
  <c r="BK160" i="3" s="1"/>
  <c r="BN178" i="3" a="1"/>
  <c r="BN178" i="3" s="1"/>
  <c r="BK178" i="3" s="1"/>
  <c r="BO181" i="3" a="1"/>
  <c r="BO181" i="3"/>
  <c r="BL181" i="3" s="1"/>
  <c r="BN186" i="3" a="1"/>
  <c r="BN186" i="3" s="1"/>
  <c r="BK186" i="3" s="1"/>
  <c r="BO189" i="3" a="1"/>
  <c r="BO189" i="3" s="1"/>
  <c r="BL189" i="3" s="1"/>
  <c r="BN194" i="3" a="1"/>
  <c r="BN194" i="3" s="1"/>
  <c r="BK194" i="3" s="1"/>
  <c r="BO197" i="3" a="1"/>
  <c r="BO197" i="3" s="1"/>
  <c r="BL197" i="3" s="1"/>
  <c r="BN202" i="3" a="1"/>
  <c r="BN202" i="3" s="1"/>
  <c r="BK202" i="3" s="1"/>
  <c r="BN210" i="3" a="1"/>
  <c r="BN210" i="3" s="1"/>
  <c r="BK210" i="3" s="1"/>
  <c r="BN218" i="3" a="1"/>
  <c r="BN218" i="3" s="1"/>
  <c r="BK218" i="3" s="1"/>
  <c r="BO221" i="3" a="1"/>
  <c r="BO221" i="3" s="1"/>
  <c r="BL221" i="3" s="1"/>
  <c r="BN226" i="3" a="1"/>
  <c r="BN226" i="3" s="1"/>
  <c r="BK226" i="3" s="1"/>
  <c r="BN234" i="3" a="1"/>
  <c r="BN234" i="3" s="1"/>
  <c r="BK234" i="3" s="1"/>
  <c r="BN242" i="3" a="1"/>
  <c r="BN242" i="3" s="1"/>
  <c r="BK242" i="3" s="1"/>
  <c r="BN250" i="3" a="1"/>
  <c r="BN250" i="3" s="1"/>
  <c r="BK250" i="3" s="1"/>
  <c r="BO253" i="3" a="1"/>
  <c r="BO253" i="3" s="1"/>
  <c r="BL253" i="3" s="1"/>
  <c r="BN258" i="3" a="1"/>
  <c r="BN258" i="3" s="1"/>
  <c r="BK258" i="3" s="1"/>
  <c r="BN266" i="3" a="1"/>
  <c r="BN266" i="3"/>
  <c r="BK266" i="3" s="1"/>
  <c r="BN274" i="3" a="1"/>
  <c r="BN274" i="3"/>
  <c r="BK274" i="3" s="1"/>
  <c r="BN282" i="3" a="1"/>
  <c r="BN282" i="3" s="1"/>
  <c r="BK282" i="3" s="1"/>
  <c r="BO285" i="3" a="1"/>
  <c r="BO285" i="3" s="1"/>
  <c r="BL285" i="3" s="1"/>
  <c r="BN290" i="3" a="1"/>
  <c r="BN290" i="3" s="1"/>
  <c r="BK290" i="3" s="1"/>
  <c r="BN298" i="3" a="1"/>
  <c r="BN298" i="3" s="1"/>
  <c r="BK298" i="3" s="1"/>
  <c r="BN306" i="3" a="1"/>
  <c r="BN306" i="3" s="1"/>
  <c r="BK306" i="3" s="1"/>
  <c r="BN314" i="3" a="1"/>
  <c r="BN314" i="3" s="1"/>
  <c r="BK314" i="3" s="1"/>
  <c r="BO317" i="3" a="1"/>
  <c r="BO317" i="3" s="1"/>
  <c r="BL317" i="3" s="1"/>
  <c r="BN322" i="3" a="1"/>
  <c r="BN322" i="3" s="1"/>
  <c r="BK322" i="3" s="1"/>
  <c r="BN330" i="3" a="1"/>
  <c r="BN330" i="3" s="1"/>
  <c r="BK330" i="3" s="1"/>
  <c r="BE340" i="3"/>
  <c r="BO340" i="3" a="1"/>
  <c r="BO340" i="3" s="1"/>
  <c r="BL340" i="3" s="1"/>
  <c r="BN340" i="3" a="1"/>
  <c r="BN340" i="3" s="1"/>
  <c r="BK340" i="3" s="1"/>
  <c r="W30" i="10"/>
  <c r="BO178" i="3" a="1"/>
  <c r="BO178" i="3" s="1"/>
  <c r="BL178" i="3" s="1"/>
  <c r="BO186" i="3" a="1"/>
  <c r="BO186" i="3" s="1"/>
  <c r="BL186" i="3" s="1"/>
  <c r="BO194" i="3" a="1"/>
  <c r="BO194" i="3" s="1"/>
  <c r="BL194" i="3" s="1"/>
  <c r="BO202" i="3" a="1"/>
  <c r="BO202" i="3" s="1"/>
  <c r="BL202" i="3" s="1"/>
  <c r="BO210" i="3" a="1"/>
  <c r="BO210" i="3"/>
  <c r="BL210" i="3" s="1"/>
  <c r="BO218" i="3" a="1"/>
  <c r="BO218" i="3" s="1"/>
  <c r="BL218" i="3" s="1"/>
  <c r="BO226" i="3" a="1"/>
  <c r="BO226" i="3" s="1"/>
  <c r="BL226" i="3" s="1"/>
  <c r="BO234" i="3" a="1"/>
  <c r="BO234" i="3" s="1"/>
  <c r="BL234" i="3" s="1"/>
  <c r="BO242" i="3" a="1"/>
  <c r="BO242" i="3" s="1"/>
  <c r="BL242" i="3" s="1"/>
  <c r="BO250" i="3" a="1"/>
  <c r="BO250" i="3" s="1"/>
  <c r="BL250" i="3" s="1"/>
  <c r="BO258" i="3" a="1"/>
  <c r="BO258" i="3" s="1"/>
  <c r="BL258" i="3" s="1"/>
  <c r="BO266" i="3" a="1"/>
  <c r="BO266" i="3" s="1"/>
  <c r="BL266" i="3" s="1"/>
  <c r="BO274" i="3" a="1"/>
  <c r="BO274" i="3" s="1"/>
  <c r="BL274" i="3" s="1"/>
  <c r="BO282" i="3" a="1"/>
  <c r="BO282" i="3" s="1"/>
  <c r="BL282" i="3" s="1"/>
  <c r="BO290" i="3" a="1"/>
  <c r="BO290" i="3" s="1"/>
  <c r="BL290" i="3" s="1"/>
  <c r="BO298" i="3" a="1"/>
  <c r="BO298" i="3" s="1"/>
  <c r="BL298" i="3" s="1"/>
  <c r="BO306" i="3" a="1"/>
  <c r="BO306" i="3" s="1"/>
  <c r="BL306" i="3" s="1"/>
  <c r="BO314" i="3" a="1"/>
  <c r="BO314" i="3" s="1"/>
  <c r="BL314" i="3" s="1"/>
  <c r="BN319" i="3" a="1"/>
  <c r="BN319" i="3" s="1"/>
  <c r="BK319" i="3" s="1"/>
  <c r="BO322" i="3" a="1"/>
  <c r="BO322" i="3" s="1"/>
  <c r="BL322" i="3" s="1"/>
  <c r="BO330" i="3" a="1"/>
  <c r="BO330" i="3" s="1"/>
  <c r="BL330" i="3" s="1"/>
  <c r="BO252" i="3" a="1"/>
  <c r="BO252" i="3" s="1"/>
  <c r="BL252" i="3" s="1"/>
  <c r="BN273" i="3" a="1"/>
  <c r="BN273" i="3"/>
  <c r="BK273" i="3" s="1"/>
  <c r="BO292" i="3" a="1"/>
  <c r="BO292" i="3" s="1"/>
  <c r="BL292" i="3" s="1"/>
  <c r="BO316" i="3" a="1"/>
  <c r="BO316" i="3" s="1"/>
  <c r="BL316" i="3" s="1"/>
  <c r="AD47" i="12"/>
  <c r="BO50" i="12" s="1"/>
  <c r="BO52" i="12" s="1"/>
  <c r="AD35" i="12"/>
  <c r="BO31" i="12" s="1"/>
  <c r="BO33" i="12" s="1"/>
  <c r="AD16" i="12"/>
  <c r="BO40" i="12" s="1"/>
  <c r="BO42" i="12" s="1"/>
  <c r="AD86" i="12"/>
  <c r="BO17" i="12" s="1"/>
  <c r="AD53" i="12"/>
  <c r="AD50" i="12"/>
  <c r="AD42" i="12"/>
  <c r="BO47" i="12" s="1"/>
  <c r="BO49" i="12" s="1"/>
  <c r="AD34" i="12"/>
  <c r="R127" i="12"/>
  <c r="BH105" i="12" s="1"/>
  <c r="AD80" i="12"/>
  <c r="BO13" i="12" s="1"/>
  <c r="BO15" i="12" s="1"/>
  <c r="AD65" i="12"/>
  <c r="BO44" i="12" s="1"/>
  <c r="AD44" i="12"/>
  <c r="AD43" i="12"/>
  <c r="BO48" i="12" s="1"/>
  <c r="AD31" i="12"/>
  <c r="AD17" i="12"/>
  <c r="AD13" i="12"/>
  <c r="AD12" i="12"/>
  <c r="AD57" i="12"/>
  <c r="BO28" i="12"/>
  <c r="BO30" i="12"/>
  <c r="AD48" i="12"/>
  <c r="AD18" i="12"/>
  <c r="AD14" i="12"/>
  <c r="AD49" i="12"/>
  <c r="AD29" i="12"/>
  <c r="BO37" i="12" s="1"/>
  <c r="BO39" i="12" s="1"/>
  <c r="AD11" i="12"/>
  <c r="BO11" i="12" s="1"/>
  <c r="AD56" i="12"/>
  <c r="BO27" i="12" s="1"/>
  <c r="AD39" i="12"/>
  <c r="AD38" i="12"/>
  <c r="BO34" i="12" s="1"/>
  <c r="BO36" i="12" s="1"/>
  <c r="AD26" i="12"/>
  <c r="AD23" i="12"/>
  <c r="R120" i="12"/>
  <c r="BH104" i="12" s="1"/>
  <c r="AD25" i="12"/>
  <c r="R134" i="12"/>
  <c r="BH146" i="12"/>
  <c r="AD30" i="12"/>
  <c r="AD62" i="12"/>
  <c r="BO43" i="12" s="1"/>
  <c r="BO46" i="12" s="1"/>
  <c r="Y51" i="10"/>
  <c r="Y50" i="10"/>
  <c r="Y49" i="10"/>
  <c r="Y48" i="10"/>
  <c r="Y47" i="10"/>
  <c r="Y46" i="10"/>
  <c r="Y45" i="10"/>
  <c r="Y44" i="10"/>
  <c r="Y43" i="10"/>
  <c r="BG330" i="11"/>
  <c r="BG329" i="11"/>
  <c r="Y38" i="10"/>
  <c r="BG326" i="11"/>
  <c r="BG325" i="11"/>
  <c r="Y28" i="10"/>
  <c r="Y20" i="10"/>
  <c r="Y40" i="10"/>
  <c r="Y31" i="10"/>
  <c r="BG328" i="11"/>
  <c r="Y19" i="10"/>
  <c r="Y34" i="10"/>
  <c r="Y33" i="10"/>
  <c r="BG321" i="11"/>
  <c r="Y42" i="10"/>
  <c r="Y30" i="10"/>
  <c r="Y16" i="10"/>
  <c r="Y39" i="10"/>
  <c r="BG327" i="11"/>
  <c r="Y32" i="10"/>
  <c r="Y18" i="10"/>
  <c r="Y35" i="10"/>
  <c r="Y36" i="10"/>
  <c r="Y41" i="10"/>
  <c r="Y37" i="10"/>
  <c r="BN180" i="3" a="1"/>
  <c r="BN180" i="3" s="1"/>
  <c r="BK180" i="3" s="1"/>
  <c r="BN188" i="3" a="1"/>
  <c r="BN188" i="3" s="1"/>
  <c r="BK188" i="3" s="1"/>
  <c r="BN196" i="3" a="1"/>
  <c r="BN196" i="3" s="1"/>
  <c r="BK196" i="3" s="1"/>
  <c r="BN236" i="3" a="1"/>
  <c r="BN236" i="3" s="1"/>
  <c r="BK236" i="3" s="1"/>
  <c r="BN244" i="3" a="1"/>
  <c r="BN244" i="3" s="1"/>
  <c r="BK244" i="3" s="1"/>
  <c r="BN252" i="3" a="1"/>
  <c r="BN252" i="3" s="1"/>
  <c r="BK252" i="3" s="1"/>
  <c r="BN260" i="3" a="1"/>
  <c r="BN260" i="3" s="1"/>
  <c r="BK260" i="3" s="1"/>
  <c r="BN268" i="3" a="1"/>
  <c r="BN268" i="3" s="1"/>
  <c r="BK268" i="3" s="1"/>
  <c r="BN276" i="3" a="1"/>
  <c r="BN276" i="3" s="1"/>
  <c r="BK276" i="3" s="1"/>
  <c r="BN284" i="3" a="1"/>
  <c r="BN284" i="3" s="1"/>
  <c r="BK284" i="3" s="1"/>
  <c r="BN292" i="3" a="1"/>
  <c r="BN292" i="3" s="1"/>
  <c r="BK292" i="3" s="1"/>
  <c r="BN300" i="3" a="1"/>
  <c r="BN300" i="3" s="1"/>
  <c r="BK300" i="3" s="1"/>
  <c r="BN308" i="3" a="1"/>
  <c r="BN308" i="3" s="1"/>
  <c r="BK308" i="3" s="1"/>
  <c r="BN316" i="3" a="1"/>
  <c r="BN316" i="3" s="1"/>
  <c r="BK316" i="3" s="1"/>
  <c r="BO319" i="3" a="1"/>
  <c r="BO319" i="3" s="1"/>
  <c r="BL319" i="3" s="1"/>
  <c r="BN324" i="3" a="1"/>
  <c r="BN324" i="3" s="1"/>
  <c r="BK324" i="3" s="1"/>
  <c r="BN332" i="3" a="1"/>
  <c r="BN332" i="3" s="1"/>
  <c r="BK332" i="3" s="1"/>
  <c r="BN338" i="3" a="1"/>
  <c r="BN338" i="3" s="1"/>
  <c r="BK338" i="3" s="1"/>
  <c r="BO338" i="3" a="1"/>
  <c r="BO338" i="3" s="1"/>
  <c r="BL338" i="3" s="1"/>
  <c r="BE339" i="3"/>
  <c r="EQ14" i="5"/>
  <c r="ER14" i="5"/>
  <c r="DK16" i="12"/>
  <c r="DK30" i="12"/>
  <c r="DK17" i="12"/>
  <c r="DK31" i="12"/>
  <c r="DK33" i="12"/>
  <c r="DK29" i="12"/>
  <c r="DK20" i="12"/>
  <c r="DK18" i="12"/>
  <c r="BC24" i="12"/>
  <c r="CM19" i="12"/>
  <c r="BC32" i="12"/>
  <c r="CM31" i="12"/>
  <c r="BC18" i="12"/>
  <c r="CM18" i="12"/>
  <c r="CM16" i="12"/>
  <c r="BC48" i="12"/>
  <c r="CM47" i="12"/>
  <c r="BC41" i="12"/>
  <c r="CM41" i="12"/>
  <c r="CM40" i="12"/>
  <c r="BC51" i="12"/>
  <c r="CM51" i="12"/>
  <c r="CM50" i="12"/>
  <c r="BC35" i="12"/>
  <c r="CM35" i="12"/>
  <c r="CM34" i="12"/>
  <c r="BC44" i="12"/>
  <c r="CM43" i="12"/>
  <c r="BC29" i="12"/>
  <c r="CM29" i="12"/>
  <c r="CM27" i="12"/>
  <c r="BC38" i="12"/>
  <c r="CM38" i="12"/>
  <c r="CM37" i="12"/>
  <c r="BH25" i="12"/>
  <c r="DU15" i="12"/>
  <c r="BH26" i="12"/>
  <c r="AF11" i="12"/>
  <c r="BC45" i="12"/>
  <c r="CM45" i="12"/>
  <c r="AF23" i="12"/>
  <c r="AH23" i="12"/>
  <c r="AJ23" i="12"/>
  <c r="BH45" i="12"/>
  <c r="DU21" i="12"/>
  <c r="BH27" i="12"/>
  <c r="DT16" i="12"/>
  <c r="X82" i="12"/>
  <c r="BI14" i="12" s="1"/>
  <c r="BN39" i="12"/>
  <c r="O146" i="12"/>
  <c r="S146" i="12"/>
  <c r="EO15" i="5"/>
  <c r="EQ15" i="5"/>
  <c r="ER15" i="5"/>
  <c r="BG109" i="12"/>
  <c r="BG113" i="12"/>
  <c r="BG117" i="12"/>
  <c r="BG121" i="12"/>
  <c r="BG125" i="12"/>
  <c r="BG129" i="12"/>
  <c r="BG133" i="12"/>
  <c r="BG137" i="12"/>
  <c r="BG141" i="12"/>
  <c r="BG145" i="12"/>
  <c r="D157" i="12"/>
  <c r="BA171" i="12"/>
  <c r="BG99" i="12"/>
  <c r="EO10" i="5"/>
  <c r="EQ10" i="5"/>
  <c r="ER10" i="5"/>
  <c r="AF53" i="12"/>
  <c r="AH53" i="12"/>
  <c r="AJ53" i="12"/>
  <c r="AI53" i="12"/>
  <c r="BC17" i="12"/>
  <c r="CM17" i="12"/>
  <c r="BA98" i="12"/>
  <c r="BC39" i="12"/>
  <c r="CM39" i="12"/>
  <c r="D162" i="12"/>
  <c r="BA176" i="12"/>
  <c r="AF14" i="12"/>
  <c r="D165" i="12"/>
  <c r="BA179" i="12"/>
  <c r="BJ12" i="12"/>
  <c r="BC46" i="12"/>
  <c r="CM46" i="12"/>
  <c r="M168" i="12"/>
  <c r="S62" i="12"/>
  <c r="AH63" i="12"/>
  <c r="AJ63" i="12"/>
  <c r="BH17" i="12"/>
  <c r="DT14" i="12"/>
  <c r="BC42" i="12"/>
  <c r="CM42" i="12"/>
  <c r="D170" i="12"/>
  <c r="BA184" i="12"/>
  <c r="AF13" i="12"/>
  <c r="BA101" i="12"/>
  <c r="BA108" i="12"/>
  <c r="BA112" i="12"/>
  <c r="BA116" i="12"/>
  <c r="BA120" i="12"/>
  <c r="BA124" i="12"/>
  <c r="BA128" i="12"/>
  <c r="BA132" i="12"/>
  <c r="BA136" i="12"/>
  <c r="BA140" i="12"/>
  <c r="BA144" i="12"/>
  <c r="D173" i="12"/>
  <c r="BA187" i="12"/>
  <c r="BC52" i="12"/>
  <c r="CM52" i="12"/>
  <c r="AF22" i="12"/>
  <c r="S87" i="12"/>
  <c r="AF87" i="12"/>
  <c r="BG108" i="12"/>
  <c r="BG112" i="12"/>
  <c r="BG116" i="12"/>
  <c r="BG120" i="12"/>
  <c r="BG124" i="12"/>
  <c r="BG128" i="12"/>
  <c r="BG132" i="12"/>
  <c r="BG136" i="12"/>
  <c r="BG140" i="12"/>
  <c r="BG144" i="12"/>
  <c r="S132" i="12"/>
  <c r="T132" i="12"/>
  <c r="BF105" i="12" s="1"/>
  <c r="T145" i="12"/>
  <c r="EP12" i="5" s="1"/>
  <c r="D178" i="12"/>
  <c r="BA192" i="12"/>
  <c r="X59" i="12"/>
  <c r="BI29" i="12"/>
  <c r="BN42" i="12"/>
  <c r="BA99" i="12"/>
  <c r="S125" i="12"/>
  <c r="BE104" i="12"/>
  <c r="BJ47" i="12"/>
  <c r="BJ49" i="12"/>
  <c r="BJ52" i="12"/>
  <c r="BN52" i="12"/>
  <c r="BN46" i="12"/>
  <c r="Y48" i="12"/>
  <c r="Z48" i="12" s="1"/>
  <c r="Y65" i="12"/>
  <c r="Z65" i="12" s="1"/>
  <c r="BM44" i="12" s="1"/>
  <c r="BM46" i="12" s="1"/>
  <c r="Y35" i="12"/>
  <c r="BL31" i="12" s="1"/>
  <c r="BL33" i="12" s="1"/>
  <c r="Y34" i="12"/>
  <c r="Z34" i="12" s="1"/>
  <c r="AA62" i="12"/>
  <c r="BJ43" i="12"/>
  <c r="AA69" i="12"/>
  <c r="S104" i="12"/>
  <c r="S143" i="12"/>
  <c r="T139" i="12"/>
  <c r="BH46" i="12"/>
  <c r="X67" i="12"/>
  <c r="BI46" i="12"/>
  <c r="BA37" i="12"/>
  <c r="CN37" i="12"/>
  <c r="CN38" i="12"/>
  <c r="CN39" i="12"/>
  <c r="D31" i="12"/>
  <c r="D30" i="12"/>
  <c r="AF57" i="12"/>
  <c r="AH57" i="12"/>
  <c r="AF48" i="12"/>
  <c r="D48" i="12"/>
  <c r="D49" i="12"/>
  <c r="D50" i="12"/>
  <c r="BA50" i="12"/>
  <c r="CN50" i="12"/>
  <c r="CN51" i="12"/>
  <c r="CN52" i="12"/>
  <c r="BH107" i="12"/>
  <c r="BH111" i="12"/>
  <c r="BH115" i="12"/>
  <c r="BH119" i="12"/>
  <c r="BH123" i="12"/>
  <c r="BH127" i="12"/>
  <c r="BH131" i="12"/>
  <c r="BH135" i="12"/>
  <c r="BH139" i="12"/>
  <c r="BH143" i="12"/>
  <c r="BH99" i="12"/>
  <c r="BN15" i="12"/>
  <c r="DU19" i="12"/>
  <c r="AJ56" i="12"/>
  <c r="CO27" i="12"/>
  <c r="BE27" i="12"/>
  <c r="BG27" i="12"/>
  <c r="BN36" i="12"/>
  <c r="DU20" i="12"/>
  <c r="BH98" i="12"/>
  <c r="BH106" i="12"/>
  <c r="BH110" i="12"/>
  <c r="BH114" i="12"/>
  <c r="BH118" i="12"/>
  <c r="BH122" i="12"/>
  <c r="BH126" i="12"/>
  <c r="BH130" i="12"/>
  <c r="BH134" i="12"/>
  <c r="BH138" i="12"/>
  <c r="BH142" i="12"/>
  <c r="BG106" i="12"/>
  <c r="BG110" i="12"/>
  <c r="BG114" i="12"/>
  <c r="BG118" i="12"/>
  <c r="BG122" i="12"/>
  <c r="BG126" i="12"/>
  <c r="BG130" i="12"/>
  <c r="BG134" i="12"/>
  <c r="BG138" i="12"/>
  <c r="BG142" i="12"/>
  <c r="S118" i="12"/>
  <c r="T113" i="12"/>
  <c r="DU23" i="12"/>
  <c r="AJ80" i="12"/>
  <c r="CO13" i="12"/>
  <c r="BE13" i="12"/>
  <c r="BG13" i="12"/>
  <c r="BN30" i="12"/>
  <c r="AG38" i="12"/>
  <c r="S137" i="12"/>
  <c r="BC36" i="12"/>
  <c r="CM36" i="12"/>
  <c r="S85" i="12"/>
  <c r="AF85" i="12"/>
  <c r="D163" i="12"/>
  <c r="BA177" i="12"/>
  <c r="D171" i="12"/>
  <c r="BA185" i="12"/>
  <c r="EO12" i="5"/>
  <c r="EQ12" i="5"/>
  <c r="ER12" i="5"/>
  <c r="D164" i="12"/>
  <c r="BA178" i="12"/>
  <c r="D172" i="12"/>
  <c r="BA186" i="12"/>
  <c r="BO24" i="12"/>
  <c r="DT18" i="12"/>
  <c r="BC30" i="12"/>
  <c r="CM30" i="12"/>
  <c r="X60" i="12"/>
  <c r="BI30" i="12"/>
  <c r="X83" i="12"/>
  <c r="BI15" i="12" s="1"/>
  <c r="T120" i="12"/>
  <c r="D158" i="12"/>
  <c r="BA172" i="12"/>
  <c r="D166" i="12"/>
  <c r="BA180" i="12"/>
  <c r="D174" i="12"/>
  <c r="BA188" i="12"/>
  <c r="AP154" i="12"/>
  <c r="F33" i="10"/>
  <c r="CO37" i="10" s="1"/>
  <c r="AO157" i="12"/>
  <c r="BC28" i="12"/>
  <c r="S79" i="12"/>
  <c r="AF79" i="12"/>
  <c r="AH79" i="12"/>
  <c r="AJ79" i="12"/>
  <c r="CO12" i="12"/>
  <c r="S111" i="12"/>
  <c r="D159" i="12"/>
  <c r="BA173" i="12"/>
  <c r="D167" i="12"/>
  <c r="BA181" i="12"/>
  <c r="D175" i="12"/>
  <c r="BA189" i="12"/>
  <c r="AF12" i="12"/>
  <c r="DT17" i="12"/>
  <c r="AF21" i="12"/>
  <c r="S86" i="12"/>
  <c r="AF86" i="12"/>
  <c r="AH86" i="12"/>
  <c r="T127" i="12"/>
  <c r="D160" i="12"/>
  <c r="BA174" i="12"/>
  <c r="D168" i="12"/>
  <c r="BA182" i="12"/>
  <c r="D176" i="12"/>
  <c r="BA190" i="12"/>
  <c r="AO156" i="12"/>
  <c r="AF17" i="12"/>
  <c r="AH17" i="12"/>
  <c r="DU17" i="12"/>
  <c r="T134" i="12"/>
  <c r="D161" i="12"/>
  <c r="BA175" i="12"/>
  <c r="D169" i="12"/>
  <c r="BA183" i="12"/>
  <c r="DE321" i="10"/>
  <c r="DE307" i="10"/>
  <c r="BD182" i="12"/>
  <c r="BE182" i="12"/>
  <c r="BD186" i="12"/>
  <c r="BE186" i="12" s="1"/>
  <c r="BJ154" i="3" a="1"/>
  <c r="BJ154" i="3" s="1"/>
  <c r="CT8" i="10"/>
  <c r="CT27" i="10"/>
  <c r="CU27" i="10"/>
  <c r="BJ142" i="3" a="1"/>
  <c r="BJ142" i="3" s="1"/>
  <c r="CT232" i="10"/>
  <c r="CT52" i="10"/>
  <c r="BJ159" i="3" a="1"/>
  <c r="BJ159" i="3" s="1"/>
  <c r="BW62" i="5"/>
  <c r="CT20" i="10"/>
  <c r="CT36" i="10"/>
  <c r="CT45" i="10"/>
  <c r="CT72" i="10"/>
  <c r="CT22" i="10"/>
  <c r="CT40" i="10"/>
  <c r="CT67" i="10"/>
  <c r="CT332" i="10"/>
  <c r="CT15" i="10"/>
  <c r="CT85" i="10"/>
  <c r="CT132" i="10"/>
  <c r="CT16" i="10"/>
  <c r="CU22" i="10"/>
  <c r="CU14" i="10"/>
  <c r="CU40" i="10"/>
  <c r="CU26" i="10"/>
  <c r="M29" i="4"/>
  <c r="BO9" i="4" s="1"/>
  <c r="M27" i="4"/>
  <c r="BO7" i="4" s="1"/>
  <c r="L7" i="4"/>
  <c r="BJ155" i="3" a="1"/>
  <c r="BJ155" i="3" s="1"/>
  <c r="BJ225" i="3" a="1"/>
  <c r="BJ225" i="3" s="1"/>
  <c r="BJ257" i="3" a="1"/>
  <c r="BJ257" i="3" s="1"/>
  <c r="BJ328" i="3" a="1"/>
  <c r="BJ328" i="3" s="1"/>
  <c r="BJ272" i="3" a="1"/>
  <c r="BJ272" i="3" s="1"/>
  <c r="BJ331" i="3" a="1"/>
  <c r="BJ331" i="3" s="1"/>
  <c r="BJ152" i="3" a="1"/>
  <c r="BJ152" i="3" s="1"/>
  <c r="BJ228" i="3" a="1"/>
  <c r="BJ228" i="3" s="1"/>
  <c r="BJ276" i="3" a="1"/>
  <c r="BJ276" i="3" s="1"/>
  <c r="BJ173" i="3" a="1"/>
  <c r="BJ173" i="3" s="1"/>
  <c r="BJ232" i="3" a="1"/>
  <c r="BJ232" i="3" s="1"/>
  <c r="BJ188" i="3" a="1"/>
  <c r="BJ188" i="3" s="1"/>
  <c r="BJ291" i="3" a="1"/>
  <c r="BJ291" i="3" s="1"/>
  <c r="BJ302" i="3" a="1"/>
  <c r="BJ302" i="3" s="1"/>
  <c r="BJ132" i="3" a="1"/>
  <c r="BJ132" i="3" s="1"/>
  <c r="BJ203" i="3" a="1"/>
  <c r="BJ203" i="3" s="1"/>
  <c r="BJ250" i="3" a="1"/>
  <c r="BJ250" i="3" s="1"/>
  <c r="BJ306" i="3" a="1"/>
  <c r="BJ306" i="3" s="1"/>
  <c r="FO19" i="9"/>
  <c r="CQ401" i="5"/>
  <c r="CQ383" i="5"/>
  <c r="U104" i="5"/>
  <c r="CT212" i="5" s="1"/>
  <c r="Z65" i="5"/>
  <c r="CR247" i="5" s="1"/>
  <c r="U101" i="5"/>
  <c r="CT209" i="5"/>
  <c r="CQ339" i="5"/>
  <c r="J100" i="5"/>
  <c r="CT54" i="5"/>
  <c r="Q107" i="5"/>
  <c r="CT159" i="5" s="1"/>
  <c r="CQ521" i="5"/>
  <c r="AE74" i="5"/>
  <c r="CR326" i="5" s="1"/>
  <c r="CS167" i="5"/>
  <c r="J103" i="5"/>
  <c r="CT57" i="5"/>
  <c r="CQ535" i="5"/>
  <c r="CQ337" i="5"/>
  <c r="BU62" i="5"/>
  <c r="BU59" i="5"/>
  <c r="CQ523" i="5"/>
  <c r="T125" i="5"/>
  <c r="U137" i="5"/>
  <c r="CR656" i="5"/>
  <c r="EN13" i="5"/>
  <c r="U103" i="5"/>
  <c r="CT211" i="5"/>
  <c r="U102" i="5"/>
  <c r="CT210" i="5"/>
  <c r="CS145" i="5"/>
  <c r="T103" i="5"/>
  <c r="CT197" i="5"/>
  <c r="T102" i="5"/>
  <c r="CT196" i="5"/>
  <c r="J107" i="5"/>
  <c r="CT61" i="5"/>
  <c r="J106" i="5"/>
  <c r="CT60" i="5"/>
  <c r="S99" i="5"/>
  <c r="CT179" i="5"/>
  <c r="T98" i="5"/>
  <c r="CT192" i="5" s="1"/>
  <c r="CS211" i="5"/>
  <c r="CS56" i="5"/>
  <c r="O125" i="5"/>
  <c r="R108" i="5"/>
  <c r="CT174" i="5" s="1"/>
  <c r="Q101" i="5"/>
  <c r="CT153" i="5"/>
  <c r="R100" i="5"/>
  <c r="CT166" i="5" s="1"/>
  <c r="Q103" i="5"/>
  <c r="CT155" i="5"/>
  <c r="Q102" i="5"/>
  <c r="CT154" i="5" s="1"/>
  <c r="CS130" i="5"/>
  <c r="CS123" i="5"/>
  <c r="CS122" i="5"/>
  <c r="P108" i="5"/>
  <c r="CT146" i="5"/>
  <c r="O101" i="5"/>
  <c r="CT125" i="5" s="1"/>
  <c r="P100" i="5"/>
  <c r="CT138" i="5"/>
  <c r="CS142" i="5"/>
  <c r="CS163" i="5"/>
  <c r="P137" i="5"/>
  <c r="O108" i="5"/>
  <c r="CT132" i="5"/>
  <c r="R107" i="5"/>
  <c r="CT173" i="5"/>
  <c r="O100" i="5"/>
  <c r="CT124" i="5"/>
  <c r="O99" i="5"/>
  <c r="CT123" i="5"/>
  <c r="CS128" i="5"/>
  <c r="CQ527" i="5"/>
  <c r="AH75" i="5"/>
  <c r="CR369" i="5" s="1"/>
  <c r="CT13" i="10"/>
  <c r="CT14" i="10"/>
  <c r="CT17" i="10"/>
  <c r="CT19" i="10"/>
  <c r="CT23" i="10"/>
  <c r="CT28" i="10"/>
  <c r="CT37" i="10"/>
  <c r="CT48" i="10"/>
  <c r="CT66" i="10"/>
  <c r="CT71" i="10"/>
  <c r="CT76" i="10"/>
  <c r="CT86" i="10"/>
  <c r="CT91" i="10"/>
  <c r="CT95" i="10"/>
  <c r="CT99" i="10"/>
  <c r="CT103" i="10"/>
  <c r="CT111" i="10"/>
  <c r="CT113" i="10"/>
  <c r="CT117" i="10"/>
  <c r="CT121" i="10"/>
  <c r="CT125" i="10"/>
  <c r="CT129" i="10"/>
  <c r="CT139" i="10"/>
  <c r="CT143" i="10"/>
  <c r="CT147" i="10"/>
  <c r="CT151" i="10"/>
  <c r="CT158" i="10"/>
  <c r="CT159" i="10"/>
  <c r="CT162" i="10"/>
  <c r="CT165" i="10"/>
  <c r="CT169" i="10"/>
  <c r="CT173" i="10"/>
  <c r="CT177" i="10"/>
  <c r="CT185" i="10"/>
  <c r="CT191" i="10"/>
  <c r="CT195" i="10"/>
  <c r="CT199" i="10"/>
  <c r="CT203" i="10"/>
  <c r="CT211" i="10"/>
  <c r="CT213" i="10"/>
  <c r="CT217" i="10"/>
  <c r="CT221" i="10"/>
  <c r="CT225" i="10"/>
  <c r="CT229" i="10"/>
  <c r="CT239" i="10"/>
  <c r="CT243" i="10"/>
  <c r="CT247" i="10"/>
  <c r="CT251" i="10"/>
  <c r="CT258" i="10"/>
  <c r="CT259" i="10"/>
  <c r="CT262" i="10"/>
  <c r="CT265" i="10"/>
  <c r="CT269" i="10"/>
  <c r="CT273" i="10"/>
  <c r="CT277" i="10"/>
  <c r="CT285" i="10"/>
  <c r="CT291" i="10"/>
  <c r="CT295" i="10"/>
  <c r="CT299" i="10"/>
  <c r="CT303" i="10"/>
  <c r="CT311" i="10"/>
  <c r="CT313" i="10"/>
  <c r="CT317" i="10"/>
  <c r="CT321" i="10"/>
  <c r="CT325" i="10"/>
  <c r="CT329" i="10"/>
  <c r="CT339" i="10"/>
  <c r="CT343" i="10"/>
  <c r="CT347" i="10"/>
  <c r="CT351" i="10"/>
  <c r="CT34" i="10"/>
  <c r="CT38" i="10"/>
  <c r="CT43" i="10"/>
  <c r="CT51" i="10"/>
  <c r="CT61" i="10"/>
  <c r="CT65" i="10"/>
  <c r="CT75" i="10"/>
  <c r="CT83" i="10"/>
  <c r="CT84" i="10"/>
  <c r="CT157" i="10"/>
  <c r="CT257" i="10"/>
  <c r="CT12" i="10"/>
  <c r="CT26" i="10"/>
  <c r="CT33" i="10"/>
  <c r="CT46" i="10"/>
  <c r="CT70" i="10"/>
  <c r="CT79" i="10"/>
  <c r="CT82" i="10"/>
  <c r="CT90" i="10"/>
  <c r="CT94" i="10"/>
  <c r="CT98" i="10"/>
  <c r="CT102" i="10"/>
  <c r="CT110" i="10"/>
  <c r="CT116" i="10"/>
  <c r="CT120" i="10"/>
  <c r="CT124" i="10"/>
  <c r="CT128" i="10"/>
  <c r="CT136" i="10"/>
  <c r="CT138" i="10"/>
  <c r="CT142" i="10"/>
  <c r="CT146" i="10"/>
  <c r="CT150" i="10"/>
  <c r="CT154" i="10"/>
  <c r="CT164" i="10"/>
  <c r="CT168" i="10"/>
  <c r="CT172" i="10"/>
  <c r="CT176" i="10"/>
  <c r="CT183" i="10"/>
  <c r="CT184" i="10"/>
  <c r="CT187" i="10"/>
  <c r="CT190" i="10"/>
  <c r="CT194" i="10"/>
  <c r="CT198" i="10"/>
  <c r="CT202" i="10"/>
  <c r="CT210" i="10"/>
  <c r="CT216" i="10"/>
  <c r="CT220" i="10"/>
  <c r="CT224" i="10"/>
  <c r="CT228" i="10"/>
  <c r="CT236" i="10"/>
  <c r="CT238" i="10"/>
  <c r="CT242" i="10"/>
  <c r="CT246" i="10"/>
  <c r="CT250" i="10"/>
  <c r="CT254" i="10"/>
  <c r="CT264" i="10"/>
  <c r="CT268" i="10"/>
  <c r="CT272" i="10"/>
  <c r="CT276" i="10"/>
  <c r="CT283" i="10"/>
  <c r="CT284" i="10"/>
  <c r="CT287" i="10"/>
  <c r="CT290" i="10"/>
  <c r="CT294" i="10"/>
  <c r="CT298" i="10"/>
  <c r="CT302" i="10"/>
  <c r="CT310" i="10"/>
  <c r="CT316" i="10"/>
  <c r="CT320" i="10"/>
  <c r="CT324" i="10"/>
  <c r="CT328" i="10"/>
  <c r="CT336" i="10"/>
  <c r="CT338" i="10"/>
  <c r="CT342" i="10"/>
  <c r="CT346" i="10"/>
  <c r="CT350" i="10"/>
  <c r="CT354" i="10"/>
  <c r="CT9" i="10"/>
  <c r="CT10" i="10"/>
  <c r="CT21" i="10"/>
  <c r="CT41" i="10"/>
  <c r="CT49" i="10"/>
  <c r="CT54" i="10"/>
  <c r="CT57" i="10"/>
  <c r="CT60" i="10"/>
  <c r="CT64" i="10"/>
  <c r="CT74" i="10"/>
  <c r="CT182" i="10"/>
  <c r="CT282" i="10"/>
  <c r="CT11" i="10"/>
  <c r="CT18" i="10"/>
  <c r="CT25" i="10"/>
  <c r="CT35" i="10"/>
  <c r="CT39" i="10"/>
  <c r="CT44" i="10"/>
  <c r="CT58" i="10"/>
  <c r="CT63" i="10"/>
  <c r="CT69" i="10"/>
  <c r="CT78" i="10"/>
  <c r="CT89" i="10"/>
  <c r="CT93" i="10"/>
  <c r="CT97" i="10"/>
  <c r="CT101" i="10"/>
  <c r="CT108" i="10"/>
  <c r="CT109" i="10"/>
  <c r="CT112" i="10"/>
  <c r="CT115" i="10"/>
  <c r="CT119" i="10"/>
  <c r="CT123" i="10"/>
  <c r="CT127" i="10"/>
  <c r="CT135" i="10"/>
  <c r="CT141" i="10"/>
  <c r="CT145" i="10"/>
  <c r="CT149" i="10"/>
  <c r="CT153" i="10"/>
  <c r="CT161" i="10"/>
  <c r="CT163" i="10"/>
  <c r="CT167" i="10"/>
  <c r="CT171" i="10"/>
  <c r="CT175" i="10"/>
  <c r="CT179" i="10"/>
  <c r="CT189" i="10"/>
  <c r="CT193" i="10"/>
  <c r="CT197" i="10"/>
  <c r="CT201" i="10"/>
  <c r="CT208" i="10"/>
  <c r="CT209" i="10"/>
  <c r="CT212" i="10"/>
  <c r="CT215" i="10"/>
  <c r="CT219" i="10"/>
  <c r="CT223" i="10"/>
  <c r="CT227" i="10"/>
  <c r="CT235" i="10"/>
  <c r="CT241" i="10"/>
  <c r="CT245" i="10"/>
  <c r="CT249" i="10"/>
  <c r="CT253" i="10"/>
  <c r="CT261" i="10"/>
  <c r="CT263" i="10"/>
  <c r="CT267" i="10"/>
  <c r="CT271" i="10"/>
  <c r="CT275" i="10"/>
  <c r="CT279" i="10"/>
  <c r="CT289" i="10"/>
  <c r="CT293" i="10"/>
  <c r="CT297" i="10"/>
  <c r="CT301" i="10"/>
  <c r="CT308" i="10"/>
  <c r="CT309" i="10"/>
  <c r="CT312" i="10"/>
  <c r="CT315" i="10"/>
  <c r="CT319" i="10"/>
  <c r="CT323" i="10"/>
  <c r="CT327" i="10"/>
  <c r="CT335" i="10"/>
  <c r="CT341" i="10"/>
  <c r="CT345" i="10"/>
  <c r="CT349" i="10"/>
  <c r="CT353" i="10"/>
  <c r="CT47" i="10"/>
  <c r="CT53" i="10"/>
  <c r="CT62" i="10"/>
  <c r="CT73" i="10"/>
  <c r="CT107" i="10"/>
  <c r="CT207" i="10"/>
  <c r="CT307" i="10"/>
  <c r="CT7" i="10"/>
  <c r="CT24" i="10"/>
  <c r="CT29" i="10"/>
  <c r="CT32" i="10"/>
  <c r="CT42" i="10"/>
  <c r="CT50" i="10"/>
  <c r="CT59" i="10"/>
  <c r="CT68" i="10"/>
  <c r="CT77" i="10"/>
  <c r="CT87" i="10"/>
  <c r="CT88" i="10"/>
  <c r="CT92" i="10"/>
  <c r="CT96" i="10"/>
  <c r="CT100" i="10"/>
  <c r="CT104" i="10"/>
  <c r="CT114" i="10"/>
  <c r="CT118" i="10"/>
  <c r="CT122" i="10"/>
  <c r="CT126" i="10"/>
  <c r="CT133" i="10"/>
  <c r="CT134" i="10"/>
  <c r="CT137" i="10"/>
  <c r="CT140" i="10"/>
  <c r="CT144" i="10"/>
  <c r="CT148" i="10"/>
  <c r="CT152" i="10"/>
  <c r="CT160" i="10"/>
  <c r="CT166" i="10"/>
  <c r="CT170" i="10"/>
  <c r="CT174" i="10"/>
  <c r="CT178" i="10"/>
  <c r="CT186" i="10"/>
  <c r="CT188" i="10"/>
  <c r="CT192" i="10"/>
  <c r="CT196" i="10"/>
  <c r="CT200" i="10"/>
  <c r="CT204" i="10"/>
  <c r="CT214" i="10"/>
  <c r="CT218" i="10"/>
  <c r="CT222" i="10"/>
  <c r="CT226" i="10"/>
  <c r="CT233" i="10"/>
  <c r="CT234" i="10"/>
  <c r="CT237" i="10"/>
  <c r="CT240" i="10"/>
  <c r="CT244" i="10"/>
  <c r="CT248" i="10"/>
  <c r="CT252" i="10"/>
  <c r="CT260" i="10"/>
  <c r="CT266" i="10"/>
  <c r="CT270" i="10"/>
  <c r="CT274" i="10"/>
  <c r="CT278" i="10"/>
  <c r="CT286" i="10"/>
  <c r="CT288" i="10"/>
  <c r="CT292" i="10"/>
  <c r="CT296" i="10"/>
  <c r="CT300" i="10"/>
  <c r="CT304" i="10"/>
  <c r="CT314" i="10"/>
  <c r="CT318" i="10"/>
  <c r="CT322" i="10"/>
  <c r="CT326" i="10"/>
  <c r="CT333" i="10"/>
  <c r="CT334" i="10"/>
  <c r="CT337" i="10"/>
  <c r="CT340" i="10"/>
  <c r="CT344" i="10"/>
  <c r="CT348" i="10"/>
  <c r="CU10" i="10"/>
  <c r="CU37" i="10"/>
  <c r="CU41" i="10"/>
  <c r="CU63" i="10"/>
  <c r="F76" i="10"/>
  <c r="CV47" i="10"/>
  <c r="R84" i="10"/>
  <c r="AF84" i="10" s="1"/>
  <c r="DD252" i="10" s="1"/>
  <c r="AQ51" i="10"/>
  <c r="L80" i="10"/>
  <c r="CV201" i="10"/>
  <c r="M88" i="10"/>
  <c r="AO36" i="10"/>
  <c r="AO20" i="10"/>
  <c r="AA88" i="10"/>
  <c r="G83" i="10"/>
  <c r="CV79" i="10"/>
  <c r="N83" i="10"/>
  <c r="CV279" i="10"/>
  <c r="F84" i="10"/>
  <c r="AN51" i="10"/>
  <c r="T84" i="10"/>
  <c r="DD52" i="10" s="1"/>
  <c r="H88" i="10"/>
  <c r="CV83" i="10"/>
  <c r="Q82" i="10"/>
  <c r="CV353" i="10"/>
  <c r="H78" i="10"/>
  <c r="CV99" i="10" s="1"/>
  <c r="N73" i="10"/>
  <c r="CV269" i="10"/>
  <c r="F69" i="10"/>
  <c r="CV40" i="10"/>
  <c r="K63" i="10"/>
  <c r="CV159" i="10"/>
  <c r="O78" i="10"/>
  <c r="CV299" i="10"/>
  <c r="M69" i="10"/>
  <c r="CV215" i="10"/>
  <c r="N81" i="10"/>
  <c r="CV277" i="10"/>
  <c r="P75" i="10"/>
  <c r="H71" i="10"/>
  <c r="CV92" i="10" s="1"/>
  <c r="R66" i="10"/>
  <c r="CV237" i="10"/>
  <c r="P61" i="10"/>
  <c r="K77" i="10"/>
  <c r="CV173" i="10"/>
  <c r="I68" i="10"/>
  <c r="CV114" i="10"/>
  <c r="J77" i="10"/>
  <c r="CV148" i="10"/>
  <c r="P72" i="10"/>
  <c r="CV318" i="10"/>
  <c r="H68" i="10"/>
  <c r="CV89" i="10"/>
  <c r="O63" i="10"/>
  <c r="G80" i="10"/>
  <c r="CV76" i="10" s="1"/>
  <c r="E71" i="10"/>
  <c r="CV17" i="10"/>
  <c r="O66" i="10"/>
  <c r="CV287" i="10" s="1"/>
  <c r="E61" i="10"/>
  <c r="E79" i="10"/>
  <c r="CV25" i="10"/>
  <c r="Q74" i="10"/>
  <c r="CV345" i="10" s="1"/>
  <c r="I70" i="10"/>
  <c r="CV116" i="10"/>
  <c r="E66" i="10"/>
  <c r="CV12" i="10"/>
  <c r="CU7" i="10"/>
  <c r="CU39" i="10"/>
  <c r="CU47" i="10"/>
  <c r="CU56" i="10"/>
  <c r="G64" i="10"/>
  <c r="CV60" i="10"/>
  <c r="CU170" i="10"/>
  <c r="CU336" i="10"/>
  <c r="CU11" i="10"/>
  <c r="CU23" i="10"/>
  <c r="CU36" i="10"/>
  <c r="CU46" i="10"/>
  <c r="CU51" i="10"/>
  <c r="CU62" i="10"/>
  <c r="H77" i="10"/>
  <c r="CV98" i="10"/>
  <c r="CU17" i="10"/>
  <c r="CU18" i="10"/>
  <c r="CU19" i="10"/>
  <c r="CU38" i="10"/>
  <c r="CU45" i="10"/>
  <c r="J64" i="10"/>
  <c r="CV135" i="10" s="1"/>
  <c r="CU350" i="10"/>
  <c r="CU346" i="10"/>
  <c r="CU342" i="10"/>
  <c r="CU334" i="10"/>
  <c r="CU301" i="10"/>
  <c r="CU297" i="10"/>
  <c r="CU293" i="10"/>
  <c r="CU289" i="10"/>
  <c r="CU287" i="10"/>
  <c r="CU286" i="10"/>
  <c r="CU279" i="10"/>
  <c r="CU256" i="10"/>
  <c r="CU252" i="10"/>
  <c r="CU248" i="10"/>
  <c r="CU244" i="10"/>
  <c r="CU240" i="10"/>
  <c r="CU233" i="10"/>
  <c r="CU213" i="10"/>
  <c r="CU210" i="10"/>
  <c r="CU207" i="10"/>
  <c r="CU203" i="10"/>
  <c r="CU199" i="10"/>
  <c r="CU195" i="10"/>
  <c r="CU191" i="10"/>
  <c r="CU354" i="10"/>
  <c r="CU331" i="10"/>
  <c r="CU327" i="10"/>
  <c r="CU323" i="10"/>
  <c r="CU319" i="10"/>
  <c r="CU315" i="10"/>
  <c r="CU308" i="10"/>
  <c r="CU288" i="10"/>
  <c r="CU285" i="10"/>
  <c r="CU282" i="10"/>
  <c r="CU278" i="10"/>
  <c r="CU274" i="10"/>
  <c r="CU270" i="10"/>
  <c r="CU266" i="10"/>
  <c r="CU225" i="10"/>
  <c r="CU221" i="10"/>
  <c r="CU217" i="10"/>
  <c r="CU209" i="10"/>
  <c r="CU176" i="10"/>
  <c r="CU353" i="10"/>
  <c r="CU349" i="10"/>
  <c r="CU345" i="10"/>
  <c r="CU341" i="10"/>
  <c r="CU300" i="10"/>
  <c r="CU296" i="10"/>
  <c r="CU292" i="10"/>
  <c r="CU284" i="10"/>
  <c r="CU251" i="10"/>
  <c r="CU247" i="10"/>
  <c r="CU243" i="10"/>
  <c r="CU239" i="10"/>
  <c r="CU237" i="10"/>
  <c r="CU236" i="10"/>
  <c r="CU229" i="10"/>
  <c r="CU206" i="10"/>
  <c r="CU202" i="10"/>
  <c r="CU198" i="10"/>
  <c r="CU194" i="10"/>
  <c r="CU190" i="10"/>
  <c r="CU326" i="10"/>
  <c r="CU322" i="10"/>
  <c r="CU318" i="10"/>
  <c r="CU314" i="10"/>
  <c r="CU312" i="10"/>
  <c r="CU311" i="10"/>
  <c r="CU304" i="10"/>
  <c r="CU281" i="10"/>
  <c r="CU277" i="10"/>
  <c r="CU273" i="10"/>
  <c r="CU269" i="10"/>
  <c r="CU265" i="10"/>
  <c r="CU258" i="10"/>
  <c r="CU238" i="10"/>
  <c r="CU235" i="10"/>
  <c r="CU232" i="10"/>
  <c r="CU228" i="10"/>
  <c r="CU224" i="10"/>
  <c r="CU220" i="10"/>
  <c r="CU216" i="10"/>
  <c r="CU352" i="10"/>
  <c r="CU348" i="10"/>
  <c r="CU344" i="10"/>
  <c r="CU340" i="10"/>
  <c r="CU333" i="10"/>
  <c r="CU313" i="10"/>
  <c r="CU310" i="10"/>
  <c r="CU307" i="10"/>
  <c r="CU303" i="10"/>
  <c r="CU299" i="10"/>
  <c r="CU295" i="10"/>
  <c r="CU291" i="10"/>
  <c r="CU250" i="10"/>
  <c r="CU246" i="10"/>
  <c r="CU242" i="10"/>
  <c r="CU234" i="10"/>
  <c r="CU201" i="10"/>
  <c r="CU197" i="10"/>
  <c r="CU193" i="10"/>
  <c r="CU189" i="10"/>
  <c r="CU187" i="10"/>
  <c r="CU186" i="10"/>
  <c r="CU325" i="10"/>
  <c r="CU321" i="10"/>
  <c r="CU317" i="10"/>
  <c r="CU309" i="10"/>
  <c r="CU276" i="10"/>
  <c r="CU272" i="10"/>
  <c r="CU268" i="10"/>
  <c r="CU264" i="10"/>
  <c r="CU262" i="10"/>
  <c r="CU261" i="10"/>
  <c r="CU254" i="10"/>
  <c r="CU231" i="10"/>
  <c r="CU227" i="10"/>
  <c r="CU223" i="10"/>
  <c r="CU219" i="10"/>
  <c r="CU215" i="10"/>
  <c r="CU208" i="10"/>
  <c r="CU188" i="10"/>
  <c r="CU185" i="10"/>
  <c r="CU182" i="10"/>
  <c r="CU178" i="10"/>
  <c r="CU174" i="10"/>
  <c r="CU338" i="10"/>
  <c r="CU335" i="10"/>
  <c r="CU332" i="10"/>
  <c r="CU328" i="10"/>
  <c r="CU324" i="10"/>
  <c r="CU320" i="10"/>
  <c r="CU316" i="10"/>
  <c r="CU275" i="10"/>
  <c r="CU271" i="10"/>
  <c r="CU267" i="10"/>
  <c r="CU259" i="10"/>
  <c r="CU226" i="10"/>
  <c r="CU222" i="10"/>
  <c r="CU218" i="10"/>
  <c r="CU214" i="10"/>
  <c r="CU212" i="10"/>
  <c r="CU211" i="10"/>
  <c r="CU204" i="10"/>
  <c r="CU181" i="10"/>
  <c r="CU177" i="10"/>
  <c r="CU306" i="10"/>
  <c r="CU173" i="10"/>
  <c r="CU169" i="10"/>
  <c r="CU165" i="10"/>
  <c r="CU158" i="10"/>
  <c r="CU138" i="10"/>
  <c r="CU135" i="10"/>
  <c r="CU132" i="10"/>
  <c r="CU128" i="10"/>
  <c r="CU124" i="10"/>
  <c r="CU120" i="10"/>
  <c r="CU116" i="10"/>
  <c r="CU85" i="10"/>
  <c r="CU82" i="10"/>
  <c r="CU347" i="10"/>
  <c r="CU337" i="10"/>
  <c r="CU294" i="10"/>
  <c r="CU241" i="10"/>
  <c r="CU200" i="10"/>
  <c r="CU150" i="10"/>
  <c r="CU146" i="10"/>
  <c r="CU142" i="10"/>
  <c r="CU134" i="10"/>
  <c r="CU101" i="10"/>
  <c r="CU97" i="10"/>
  <c r="CU93" i="10"/>
  <c r="CU89" i="10"/>
  <c r="CU84" i="10"/>
  <c r="CU83" i="10"/>
  <c r="CU172" i="10"/>
  <c r="CU168" i="10"/>
  <c r="CU164" i="10"/>
  <c r="CU162" i="10"/>
  <c r="CU161" i="10"/>
  <c r="CU154" i="10"/>
  <c r="CU131" i="10"/>
  <c r="CU127" i="10"/>
  <c r="CU123" i="10"/>
  <c r="CU119" i="10"/>
  <c r="CU115" i="10"/>
  <c r="CU108" i="10"/>
  <c r="CU88" i="10"/>
  <c r="CU343" i="10"/>
  <c r="CU290" i="10"/>
  <c r="CU253" i="10"/>
  <c r="CU196" i="10"/>
  <c r="CU163" i="10"/>
  <c r="CU160" i="10"/>
  <c r="CU157" i="10"/>
  <c r="CU153" i="10"/>
  <c r="CU149" i="10"/>
  <c r="CU145" i="10"/>
  <c r="CU141" i="10"/>
  <c r="CU100" i="10"/>
  <c r="CU96" i="10"/>
  <c r="CU92" i="10"/>
  <c r="CU87" i="10"/>
  <c r="CU257" i="10"/>
  <c r="CU184" i="10"/>
  <c r="CU171" i="10"/>
  <c r="CU167" i="10"/>
  <c r="CU159" i="10"/>
  <c r="CU126" i="10"/>
  <c r="CU122" i="10"/>
  <c r="CU118" i="10"/>
  <c r="CU114" i="10"/>
  <c r="CU112" i="10"/>
  <c r="CU111" i="10"/>
  <c r="CU104" i="10"/>
  <c r="CU339" i="10"/>
  <c r="CU329" i="10"/>
  <c r="CU302" i="10"/>
  <c r="CU263" i="10"/>
  <c r="CU260" i="10"/>
  <c r="CU249" i="10"/>
  <c r="CU192" i="10"/>
  <c r="CU183" i="10"/>
  <c r="CU175" i="10"/>
  <c r="CU156" i="10"/>
  <c r="CU152" i="10"/>
  <c r="CU148" i="10"/>
  <c r="CU144" i="10"/>
  <c r="CU140" i="10"/>
  <c r="CU133" i="10"/>
  <c r="CU113" i="10"/>
  <c r="CU110" i="10"/>
  <c r="CU107" i="10"/>
  <c r="CU103" i="10"/>
  <c r="CU99" i="10"/>
  <c r="CU95" i="10"/>
  <c r="CU91" i="10"/>
  <c r="CU351" i="10"/>
  <c r="CU298" i="10"/>
  <c r="CU245" i="10"/>
  <c r="CU179" i="10"/>
  <c r="CU151" i="10"/>
  <c r="CU147" i="10"/>
  <c r="CU143" i="10"/>
  <c r="CU139" i="10"/>
  <c r="CU137" i="10"/>
  <c r="CU136" i="10"/>
  <c r="CU129" i="10"/>
  <c r="CU106" i="10"/>
  <c r="CU102" i="10"/>
  <c r="CU98" i="10"/>
  <c r="CU94" i="10"/>
  <c r="CU90" i="10"/>
  <c r="CU86" i="10"/>
  <c r="CU166" i="10"/>
  <c r="CU125" i="10"/>
  <c r="CU60" i="10"/>
  <c r="CU59" i="10"/>
  <c r="CU48" i="10"/>
  <c r="CU283" i="10"/>
  <c r="CU74" i="10"/>
  <c r="CU70" i="10"/>
  <c r="CU64" i="10"/>
  <c r="CU121" i="10"/>
  <c r="CU79" i="10"/>
  <c r="CU78" i="10"/>
  <c r="CU109" i="10"/>
  <c r="CU75" i="10"/>
  <c r="CU71" i="10"/>
  <c r="CU67" i="10"/>
  <c r="CU66" i="10"/>
  <c r="CU117" i="10"/>
  <c r="CU81" i="10"/>
  <c r="CU76" i="10"/>
  <c r="CU72" i="10"/>
  <c r="CU68" i="10"/>
  <c r="CU77" i="10"/>
  <c r="CU73" i="10"/>
  <c r="CU69" i="10"/>
  <c r="CU9" i="10"/>
  <c r="CU12" i="10"/>
  <c r="CU15" i="10"/>
  <c r="CU16" i="10"/>
  <c r="CU20" i="10"/>
  <c r="CU24" i="10"/>
  <c r="CU28" i="10"/>
  <c r="CU35" i="10"/>
  <c r="CU44" i="10"/>
  <c r="CU50" i="10"/>
  <c r="CU52" i="10"/>
  <c r="CU61" i="10"/>
  <c r="CU13" i="10"/>
  <c r="CU29" i="10"/>
  <c r="CU32" i="10"/>
  <c r="CU33" i="10"/>
  <c r="CU43" i="10"/>
  <c r="CU53" i="10"/>
  <c r="CU54" i="10"/>
  <c r="CU58" i="10"/>
  <c r="CU8" i="10"/>
  <c r="CU21" i="10"/>
  <c r="CU25" i="10"/>
  <c r="CU31" i="10"/>
  <c r="CU34" i="10"/>
  <c r="CU42" i="10"/>
  <c r="CU49" i="10"/>
  <c r="CU65" i="10"/>
  <c r="L75" i="10"/>
  <c r="CV196" i="10"/>
  <c r="K7" i="4"/>
  <c r="BE7" i="4" s="1"/>
  <c r="M23" i="4"/>
  <c r="BM8" i="4" s="1"/>
  <c r="K22" i="4"/>
  <c r="V22" i="4" s="1"/>
  <c r="BH12" i="4" s="1"/>
  <c r="K27" i="4"/>
  <c r="S27" i="4" s="1"/>
  <c r="K29" i="4"/>
  <c r="M12" i="4"/>
  <c r="BK7" i="4" s="1"/>
  <c r="L9" i="4"/>
  <c r="M14" i="4"/>
  <c r="BK9" i="4" s="1"/>
  <c r="K28" i="4"/>
  <c r="BI8" i="4" s="1"/>
  <c r="M9" i="4"/>
  <c r="BJ9" i="4"/>
  <c r="M28" i="4"/>
  <c r="BO8" i="4"/>
  <c r="L8" i="4"/>
  <c r="K13" i="4"/>
  <c r="BJ177" i="3" a="1"/>
  <c r="BJ177" i="3" s="1"/>
  <c r="BJ181" i="3" a="1"/>
  <c r="BJ181" i="3" s="1"/>
  <c r="BJ196" i="3" a="1"/>
  <c r="BJ196" i="3" s="1"/>
  <c r="BJ214" i="3" a="1"/>
  <c r="BJ214" i="3" s="1"/>
  <c r="BJ218" i="3" a="1"/>
  <c r="BJ218" i="3" s="1"/>
  <c r="BJ236" i="3" a="1"/>
  <c r="BJ236" i="3" s="1"/>
  <c r="BJ240" i="3" a="1"/>
  <c r="BJ240" i="3" s="1"/>
  <c r="BJ265" i="3" a="1"/>
  <c r="BJ265" i="3" s="1"/>
  <c r="BJ280" i="3" a="1"/>
  <c r="BJ280" i="3" s="1"/>
  <c r="BJ284" i="3" a="1"/>
  <c r="BJ284" i="3" s="1"/>
  <c r="BJ299" i="3" a="1"/>
  <c r="BJ299" i="3" s="1"/>
  <c r="BJ310" i="3" a="1"/>
  <c r="BJ310" i="3" s="1"/>
  <c r="BJ321" i="3" a="1"/>
  <c r="BJ321" i="3" s="1"/>
  <c r="BJ335" i="3" a="1"/>
  <c r="BJ335" i="3" s="1"/>
  <c r="BJ338" i="3" a="1"/>
  <c r="BJ338" i="3" s="1"/>
  <c r="BJ133" i="3" a="1"/>
  <c r="BJ133" i="3" s="1"/>
  <c r="BJ134" i="3" a="1"/>
  <c r="BJ134" i="3" s="1"/>
  <c r="BJ156" i="3" a="1"/>
  <c r="BJ156" i="3" s="1"/>
  <c r="BJ160" i="3" a="1"/>
  <c r="BJ160" i="3" s="1"/>
  <c r="BJ174" i="3" a="1"/>
  <c r="BJ174" i="3" s="1"/>
  <c r="BJ185" i="3" a="1"/>
  <c r="BJ185" i="3" s="1"/>
  <c r="BJ189" i="3" a="1"/>
  <c r="BJ189" i="3" s="1"/>
  <c r="BJ204" i="3" a="1"/>
  <c r="BJ204" i="3" s="1"/>
  <c r="BJ208" i="3" a="1"/>
  <c r="BJ208" i="3" s="1"/>
  <c r="BT213" i="3"/>
  <c r="BJ222" i="3" a="1"/>
  <c r="BJ222" i="3"/>
  <c r="BJ233" i="3" a="1"/>
  <c r="BJ233" i="3"/>
  <c r="BJ244" i="3" a="1"/>
  <c r="BJ244" i="3"/>
  <c r="BJ254" i="3" a="1"/>
  <c r="BJ254" i="3"/>
  <c r="BJ258" i="3" a="1"/>
  <c r="BJ258" i="3"/>
  <c r="BJ273" i="3" a="1"/>
  <c r="BJ273" i="3"/>
  <c r="BJ288" i="3" a="1"/>
  <c r="BJ288" i="3"/>
  <c r="BJ292" i="3" a="1"/>
  <c r="BJ292" i="3"/>
  <c r="BJ307" i="3" a="1"/>
  <c r="BJ307" i="3"/>
  <c r="BJ314" i="3" a="1"/>
  <c r="BJ314" i="3"/>
  <c r="BJ318" i="3" a="1"/>
  <c r="BJ318" i="3"/>
  <c r="BJ332" i="3" a="1"/>
  <c r="BJ332" i="3"/>
  <c r="BJ120" i="3" a="1"/>
  <c r="BJ120" i="3"/>
  <c r="BJ146" i="3" a="1"/>
  <c r="BJ146" i="3"/>
  <c r="BJ178" i="3" a="1"/>
  <c r="BJ178" i="3"/>
  <c r="BJ182" i="3" a="1"/>
  <c r="BJ182" i="3"/>
  <c r="BJ193" i="3" a="1"/>
  <c r="BJ193" i="3"/>
  <c r="BJ197" i="3" a="1"/>
  <c r="BJ197" i="3"/>
  <c r="BJ226" i="3" a="1"/>
  <c r="BJ226" i="3"/>
  <c r="BJ241" i="3" a="1"/>
  <c r="BJ241" i="3"/>
  <c r="BJ262" i="3" a="1"/>
  <c r="BJ262" i="3"/>
  <c r="BJ266" i="3" a="1"/>
  <c r="BJ266" i="3"/>
  <c r="BJ277" i="3" a="1"/>
  <c r="BJ277" i="3"/>
  <c r="BJ281" i="3" a="1"/>
  <c r="BJ281" i="3"/>
  <c r="BJ296" i="3" a="1"/>
  <c r="BJ296" i="3"/>
  <c r="BJ300" i="3" a="1"/>
  <c r="BJ300" i="3"/>
  <c r="BJ322" i="3" a="1"/>
  <c r="BJ322" i="3"/>
  <c r="BJ326" i="3" a="1"/>
  <c r="BJ326" i="3"/>
  <c r="BJ339" i="3" a="1"/>
  <c r="BJ339" i="3"/>
  <c r="BJ121" i="3" a="1"/>
  <c r="BJ121" i="3"/>
  <c r="BJ123" i="3" a="1"/>
  <c r="BJ123" i="3"/>
  <c r="BJ124" i="3" a="1"/>
  <c r="BJ124" i="3"/>
  <c r="BJ125" i="3" a="1"/>
  <c r="BJ125" i="3"/>
  <c r="BJ126" i="3" a="1"/>
  <c r="BJ126" i="3"/>
  <c r="BJ127" i="3" a="1"/>
  <c r="BJ127" i="3"/>
  <c r="BJ130" i="3" a="1"/>
  <c r="BJ130" i="3"/>
  <c r="BJ157" i="3" a="1"/>
  <c r="BJ157" i="3"/>
  <c r="BJ162" i="3" a="1"/>
  <c r="BJ162" i="3" s="1"/>
  <c r="BJ163" i="3" a="1"/>
  <c r="BJ163" i="3"/>
  <c r="BJ171" i="3" a="1"/>
  <c r="BJ171" i="3" s="1"/>
  <c r="BJ175" i="3" a="1"/>
  <c r="BJ175" i="3" s="1"/>
  <c r="BJ186" i="3" a="1"/>
  <c r="BJ186" i="3" s="1"/>
  <c r="BJ190" i="3" a="1"/>
  <c r="BJ190" i="3"/>
  <c r="BT192" i="3"/>
  <c r="BJ201" i="3" a="1"/>
  <c r="BJ201" i="3"/>
  <c r="BJ212" i="3" a="1"/>
  <c r="BJ212" i="3" s="1"/>
  <c r="BJ230" i="3" a="1"/>
  <c r="BJ230" i="3" s="1"/>
  <c r="BJ234" i="3" a="1"/>
  <c r="BJ234" i="3" s="1"/>
  <c r="BJ248" i="3" a="1"/>
  <c r="BJ248" i="3" s="1"/>
  <c r="BJ270" i="3" a="1"/>
  <c r="BJ270" i="3" s="1"/>
  <c r="BJ274" i="3" a="1"/>
  <c r="BJ274" i="3" s="1"/>
  <c r="BT276" i="3"/>
  <c r="BJ289" i="3" a="1"/>
  <c r="BJ289" i="3" s="1"/>
  <c r="BJ304" i="3" a="1"/>
  <c r="BJ304" i="3"/>
  <c r="BJ308" i="3" a="1"/>
  <c r="BJ308" i="3" s="1"/>
  <c r="BJ315" i="3" a="1"/>
  <c r="BJ315" i="3"/>
  <c r="BJ319" i="3" a="1"/>
  <c r="BJ319" i="3" s="1"/>
  <c r="BJ329" i="3" a="1"/>
  <c r="BJ329" i="3" s="1"/>
  <c r="BJ336" i="3" a="1"/>
  <c r="BJ336" i="3" s="1"/>
  <c r="BJ118" i="3" a="1"/>
  <c r="BJ118" i="3"/>
  <c r="BJ136" i="3" a="1"/>
  <c r="BJ136" i="3" s="1"/>
  <c r="BJ147" i="3" a="1"/>
  <c r="BJ147" i="3" s="1"/>
  <c r="BJ149" i="3" a="1"/>
  <c r="BJ149" i="3" s="1"/>
  <c r="BJ164" i="3" a="1"/>
  <c r="BJ164" i="3"/>
  <c r="BJ194" i="3" a="1"/>
  <c r="BJ194" i="3" s="1"/>
  <c r="BJ198" i="3" a="1"/>
  <c r="BJ198" i="3" s="1"/>
  <c r="BT200" i="3"/>
  <c r="BJ209" i="3" a="1"/>
  <c r="BJ209" i="3" s="1"/>
  <c r="BJ216" i="3" a="1"/>
  <c r="BJ216" i="3"/>
  <c r="BJ220" i="3" a="1"/>
  <c r="BJ220" i="3"/>
  <c r="BJ238" i="3" a="1"/>
  <c r="BJ238" i="3"/>
  <c r="BJ242" i="3" a="1"/>
  <c r="BJ242" i="3" s="1"/>
  <c r="BJ252" i="3" a="1"/>
  <c r="BJ252" i="3" s="1"/>
  <c r="BJ267" i="3" a="1"/>
  <c r="BJ267" i="3"/>
  <c r="BJ278" i="3" a="1"/>
  <c r="BJ278" i="3" s="1"/>
  <c r="BJ282" i="3" a="1"/>
  <c r="BJ282" i="3" s="1"/>
  <c r="BJ297" i="3" a="1"/>
  <c r="BJ297" i="3" s="1"/>
  <c r="BJ312" i="3" a="1"/>
  <c r="BJ312" i="3"/>
  <c r="BJ323" i="3" a="1"/>
  <c r="BJ323" i="3" s="1"/>
  <c r="BJ340" i="3" a="1"/>
  <c r="BJ340" i="3" s="1"/>
  <c r="BT340" i="3"/>
  <c r="BJ128" i="3" a="1"/>
  <c r="BJ128" i="3" s="1"/>
  <c r="BJ137" i="3" a="1"/>
  <c r="BJ137" i="3" s="1"/>
  <c r="BJ139" i="3" a="1"/>
  <c r="BJ139" i="3"/>
  <c r="BJ141" i="3" a="1"/>
  <c r="BJ141" i="3"/>
  <c r="BJ172" i="3" a="1"/>
  <c r="BJ172" i="3" s="1"/>
  <c r="BJ176" i="3" a="1"/>
  <c r="BJ176" i="3" s="1"/>
  <c r="BJ202" i="3" a="1"/>
  <c r="BJ202" i="3" s="1"/>
  <c r="BJ206" i="3" a="1"/>
  <c r="BJ206" i="3"/>
  <c r="BJ224" i="3" a="1"/>
  <c r="BJ224" i="3" s="1"/>
  <c r="BJ246" i="3" a="1"/>
  <c r="BJ246" i="3" s="1"/>
  <c r="BJ249" i="3" a="1"/>
  <c r="BJ249" i="3" s="1"/>
  <c r="BJ256" i="3" a="1"/>
  <c r="BJ256" i="3"/>
  <c r="BJ260" i="3" a="1"/>
  <c r="BJ260" i="3" s="1"/>
  <c r="BJ286" i="3" a="1"/>
  <c r="BJ286" i="3" s="1"/>
  <c r="BJ290" i="3" a="1"/>
  <c r="BJ290" i="3" s="1"/>
  <c r="BJ305" i="3" a="1"/>
  <c r="BJ305" i="3"/>
  <c r="BJ316" i="3" a="1"/>
  <c r="BJ316" i="3" s="1"/>
  <c r="BJ320" i="3" a="1"/>
  <c r="BJ320" i="3" s="1"/>
  <c r="BJ330" i="3" a="1"/>
  <c r="BJ330" i="3" s="1"/>
  <c r="BJ334" i="3" a="1"/>
  <c r="BJ334" i="3"/>
  <c r="BJ151" i="3" a="1"/>
  <c r="BJ151" i="3" s="1"/>
  <c r="BJ167" i="3" a="1"/>
  <c r="BJ167" i="3" s="1"/>
  <c r="BJ169" i="3" a="1"/>
  <c r="BJ169" i="3" s="1"/>
  <c r="BJ180" i="3" a="1"/>
  <c r="BJ180" i="3" s="1"/>
  <c r="BJ210" i="3" a="1"/>
  <c r="BJ210" i="3" s="1"/>
  <c r="BJ217" i="3" a="1"/>
  <c r="BJ217" i="3" s="1"/>
  <c r="BJ235" i="3" a="1"/>
  <c r="BJ235" i="3" s="1"/>
  <c r="BJ264" i="3" a="1"/>
  <c r="BJ264" i="3" s="1"/>
  <c r="BJ268" i="3" a="1"/>
  <c r="BJ268" i="3" s="1"/>
  <c r="BJ279" i="3" a="1"/>
  <c r="BJ279" i="3" s="1"/>
  <c r="BJ294" i="3" a="1"/>
  <c r="BJ294" i="3" s="1"/>
  <c r="BJ298" i="3" a="1"/>
  <c r="BJ298" i="3" s="1"/>
  <c r="BJ313" i="3" a="1"/>
  <c r="BJ313" i="3" s="1"/>
  <c r="BJ324" i="3" a="1"/>
  <c r="BJ324" i="3" s="1"/>
  <c r="BJ337" i="3" a="1"/>
  <c r="BJ337" i="3" s="1"/>
  <c r="BT132" i="3"/>
  <c r="BT195" i="3"/>
  <c r="BT271" i="3"/>
  <c r="BT118" i="3"/>
  <c r="BT174" i="3"/>
  <c r="BT240" i="3"/>
  <c r="BT148" i="3"/>
  <c r="BT222" i="3"/>
  <c r="BT285" i="3"/>
  <c r="BT140" i="3"/>
  <c r="BT217" i="3"/>
  <c r="BT296" i="3"/>
  <c r="BT175" i="3"/>
  <c r="BT233" i="3"/>
  <c r="BT299" i="3"/>
  <c r="BT170" i="3"/>
  <c r="BT236" i="3"/>
  <c r="BT294" i="3"/>
  <c r="BT162" i="3"/>
  <c r="BT273" i="3"/>
  <c r="BT333" i="3"/>
  <c r="AA120" i="3"/>
  <c r="Q124" i="3"/>
  <c r="V126" i="3"/>
  <c r="AA126" i="3"/>
  <c r="V119" i="3"/>
  <c r="AA119" i="3"/>
  <c r="L121" i="3"/>
  <c r="Q121" i="3"/>
  <c r="BN135" i="3" s="1" a="1"/>
  <c r="BN135" i="3" s="1"/>
  <c r="BK135" i="3" s="1"/>
  <c r="V123" i="3"/>
  <c r="BN151" i="3" a="1"/>
  <c r="BN151" i="3" s="1"/>
  <c r="BK151" i="3" s="1"/>
  <c r="FP665" i="9"/>
  <c r="FO672" i="9"/>
  <c r="FA680" i="9"/>
  <c r="EU684" i="9"/>
  <c r="FB687" i="9"/>
  <c r="FC656" i="9"/>
  <c r="FA659" i="9"/>
  <c r="FG680" i="9"/>
  <c r="FL674" i="9"/>
  <c r="FI669" i="9"/>
  <c r="FB664" i="9"/>
  <c r="EZ659" i="9"/>
  <c r="FO689" i="9"/>
  <c r="FM686" i="9"/>
  <c r="FC683" i="9"/>
  <c r="FI679" i="9"/>
  <c r="EZ676" i="9"/>
  <c r="FD663" i="9"/>
  <c r="FM658" i="9"/>
  <c r="FC655" i="9"/>
  <c r="EV651" i="9"/>
  <c r="FA647" i="9"/>
  <c r="EX643" i="9"/>
  <c r="FN639" i="9"/>
  <c r="EU636" i="9"/>
  <c r="FJ632" i="9"/>
  <c r="FL627" i="9"/>
  <c r="FB624" i="9"/>
  <c r="FH620" i="9"/>
  <c r="EX617" i="9"/>
  <c r="FP652" i="9"/>
  <c r="FB649" i="9"/>
  <c r="FN644" i="9"/>
  <c r="EU641" i="9"/>
  <c r="FJ637" i="9"/>
  <c r="FO633" i="9"/>
  <c r="FB629" i="9"/>
  <c r="FH625" i="9"/>
  <c r="EX622" i="9"/>
  <c r="FN618" i="9"/>
  <c r="EU655" i="9"/>
  <c r="FH650" i="9"/>
  <c r="EX647" i="9"/>
  <c r="FJ642" i="9"/>
  <c r="FO638" i="9"/>
  <c r="FG635" i="9"/>
  <c r="FL631" i="9"/>
  <c r="EX627" i="9"/>
  <c r="FN623" i="9"/>
  <c r="EU620" i="9"/>
  <c r="FJ616" i="9"/>
  <c r="FM651" i="9"/>
  <c r="FC648" i="9"/>
  <c r="FD643" i="9"/>
  <c r="EV640" i="9"/>
  <c r="FA636" i="9"/>
  <c r="FP632" i="9"/>
  <c r="FC628" i="9"/>
  <c r="FI624" i="9"/>
  <c r="EZ621" i="9"/>
  <c r="FD617" i="9"/>
  <c r="FM653" i="9"/>
  <c r="FA651" i="9"/>
  <c r="GK651" i="9" s="1"/>
  <c r="HE651" i="9" s="1"/>
  <c r="FD650" i="9"/>
  <c r="EU650" i="9"/>
  <c r="EX649" i="9"/>
  <c r="FM648" i="9"/>
  <c r="FP647" i="9"/>
  <c r="FG647" i="9"/>
  <c r="EV647" i="9"/>
  <c r="FJ646" i="9"/>
  <c r="FJ644" i="9"/>
  <c r="EZ644" i="9"/>
  <c r="FC643" i="9"/>
  <c r="FH642" i="9"/>
  <c r="FL641" i="9"/>
  <c r="FO640" i="9"/>
  <c r="FD640" i="9"/>
  <c r="FI639" i="9"/>
  <c r="EX639" i="9"/>
  <c r="FM638" i="9"/>
  <c r="FB638" i="9"/>
  <c r="FG637" i="9"/>
  <c r="EV637" i="9"/>
  <c r="EZ636" i="9"/>
  <c r="FN635" i="9"/>
  <c r="FC635" i="9"/>
  <c r="FH634" i="9"/>
  <c r="FL633" i="9"/>
  <c r="FA633" i="9"/>
  <c r="FD632" i="9"/>
  <c r="EU632" i="9"/>
  <c r="FI631" i="9"/>
  <c r="EX631" i="9"/>
  <c r="EX629" i="9"/>
  <c r="FM628" i="9"/>
  <c r="FP627" i="9"/>
  <c r="FG627" i="9"/>
  <c r="EV627" i="9"/>
  <c r="FJ626" i="9"/>
  <c r="FN625" i="9"/>
  <c r="FC625" i="9"/>
  <c r="FL623" i="9"/>
  <c r="FA623" i="9"/>
  <c r="FO622" i="9"/>
  <c r="EU622" i="9"/>
  <c r="FI621" i="9"/>
  <c r="FM620" i="9"/>
  <c r="FB620" i="9"/>
  <c r="FP619" i="9"/>
  <c r="FG619" i="9"/>
  <c r="FJ618" i="9"/>
  <c r="EZ618" i="9"/>
  <c r="FC617" i="9"/>
  <c r="FH616" i="9"/>
  <c r="FM570" i="9"/>
  <c r="FD655" i="9"/>
  <c r="FN654" i="9"/>
  <c r="FL653" i="9"/>
  <c r="FJ652" i="9"/>
  <c r="EV652" i="9"/>
  <c r="EZ651" i="9"/>
  <c r="FN650" i="9"/>
  <c r="FH649" i="9"/>
  <c r="FL648" i="9"/>
  <c r="FA648" i="9"/>
  <c r="FD647" i="9"/>
  <c r="EU647" i="9"/>
  <c r="EX646" i="9"/>
  <c r="FI644" i="9"/>
  <c r="EX644" i="9"/>
  <c r="FM643" i="9"/>
  <c r="FB643" i="9"/>
  <c r="FP642" i="9"/>
  <c r="FG642" i="9"/>
  <c r="FJ641" i="9"/>
  <c r="EZ641" i="9"/>
  <c r="FN640" i="9"/>
  <c r="FC640" i="9"/>
  <c r="FH639" i="9"/>
  <c r="FL638" i="9"/>
  <c r="FO637" i="9"/>
  <c r="FD637" i="9"/>
  <c r="EU637" i="9"/>
  <c r="FI636" i="9"/>
  <c r="EX636" i="9"/>
  <c r="FM635" i="9"/>
  <c r="FB635" i="9"/>
  <c r="FG634" i="9"/>
  <c r="EV634" i="9"/>
  <c r="FJ633" i="9"/>
  <c r="EZ633" i="9"/>
  <c r="FN632" i="9"/>
  <c r="FC632" i="9"/>
  <c r="FH631" i="9"/>
  <c r="FH629" i="9"/>
  <c r="FL628" i="9"/>
  <c r="FA628" i="9"/>
  <c r="FO627" i="9"/>
  <c r="FD627" i="9"/>
  <c r="EU627" i="9"/>
  <c r="EX626" i="9"/>
  <c r="FM625" i="9"/>
  <c r="FB625" i="9"/>
  <c r="FP624" i="9"/>
  <c r="FG624" i="9"/>
  <c r="EV624" i="9"/>
  <c r="FJ623" i="9"/>
  <c r="FN622" i="9"/>
  <c r="FC622" i="9"/>
  <c r="GM622" i="9" s="1"/>
  <c r="HG622" i="9" s="1"/>
  <c r="FH621" i="9"/>
  <c r="FL620" i="9"/>
  <c r="FA620" i="9"/>
  <c r="FO619" i="9"/>
  <c r="FD619" i="9"/>
  <c r="EU619" i="9"/>
  <c r="FI618" i="9"/>
  <c r="EX618" i="9"/>
  <c r="FM617" i="9"/>
  <c r="FB617" i="9"/>
  <c r="FP616" i="9"/>
  <c r="FG616" i="9"/>
  <c r="EV616" i="9"/>
  <c r="FL570" i="9"/>
  <c r="FA655" i="9"/>
  <c r="FM654" i="9"/>
  <c r="EX654" i="9"/>
  <c r="FI653" i="9"/>
  <c r="EV653" i="9"/>
  <c r="FI652" i="9"/>
  <c r="EU652" i="9"/>
  <c r="FI651" i="9"/>
  <c r="EX651" i="9"/>
  <c r="FM650" i="9"/>
  <c r="FB650" i="9"/>
  <c r="FP649" i="9"/>
  <c r="FG649" i="9"/>
  <c r="EV649" i="9"/>
  <c r="FJ648" i="9"/>
  <c r="EZ648" i="9"/>
  <c r="FN647" i="9"/>
  <c r="FC647" i="9"/>
  <c r="FH646" i="9"/>
  <c r="FH644" i="9"/>
  <c r="FL643" i="9"/>
  <c r="FA643" i="9"/>
  <c r="FO642" i="9"/>
  <c r="FD642" i="9"/>
  <c r="EU642" i="9"/>
  <c r="FI641" i="9"/>
  <c r="EX641" i="9"/>
  <c r="FM640" i="9"/>
  <c r="FB640" i="9"/>
  <c r="FP639" i="9"/>
  <c r="FG639" i="9"/>
  <c r="EV639" i="9"/>
  <c r="FJ638" i="9"/>
  <c r="EZ638" i="9"/>
  <c r="FN637" i="9"/>
  <c r="FC637" i="9"/>
  <c r="FH636" i="9"/>
  <c r="FL635" i="9"/>
  <c r="FA635" i="9"/>
  <c r="FO634" i="9"/>
  <c r="FD634" i="9"/>
  <c r="EU634" i="9"/>
  <c r="FI633" i="9"/>
  <c r="EX633" i="9"/>
  <c r="FM632" i="9"/>
  <c r="FB632" i="9"/>
  <c r="FP631" i="9"/>
  <c r="FG631" i="9"/>
  <c r="EV631" i="9"/>
  <c r="FP629" i="9"/>
  <c r="FG629" i="9"/>
  <c r="EV629" i="9"/>
  <c r="FJ628" i="9"/>
  <c r="EZ628" i="9"/>
  <c r="FN627" i="9"/>
  <c r="FC627" i="9"/>
  <c r="FH626" i="9"/>
  <c r="FL625" i="9"/>
  <c r="FA625" i="9"/>
  <c r="FO624" i="9"/>
  <c r="FD624" i="9"/>
  <c r="EU624" i="9"/>
  <c r="FI623" i="9"/>
  <c r="EX623" i="9"/>
  <c r="FM622" i="9"/>
  <c r="FB622" i="9"/>
  <c r="FP621" i="9"/>
  <c r="FG621" i="9"/>
  <c r="EV621" i="9"/>
  <c r="FJ620" i="9"/>
  <c r="EZ620" i="9"/>
  <c r="FN619" i="9"/>
  <c r="FC619" i="9"/>
  <c r="FH618" i="9"/>
  <c r="FL617" i="9"/>
  <c r="FA617" i="9"/>
  <c r="GK617" i="9" s="1"/>
  <c r="HE617" i="9" s="1"/>
  <c r="FO616" i="9"/>
  <c r="FD616" i="9"/>
  <c r="EU616" i="9"/>
  <c r="FJ570" i="9"/>
  <c r="EZ655" i="9"/>
  <c r="FL654" i="9"/>
  <c r="FH653" i="9"/>
  <c r="EU653" i="9"/>
  <c r="FG652" i="9"/>
  <c r="FH651" i="9"/>
  <c r="FL650" i="9"/>
  <c r="FA650" i="9"/>
  <c r="FO649" i="9"/>
  <c r="FD649" i="9"/>
  <c r="EU649" i="9"/>
  <c r="FI648" i="9"/>
  <c r="EX648" i="9"/>
  <c r="FM647" i="9"/>
  <c r="FB647" i="9"/>
  <c r="FP646" i="9"/>
  <c r="FG646" i="9"/>
  <c r="EV646" i="9"/>
  <c r="FP644" i="9"/>
  <c r="FG644" i="9"/>
  <c r="EV644" i="9"/>
  <c r="FJ643" i="9"/>
  <c r="EZ643" i="9"/>
  <c r="FN642" i="9"/>
  <c r="FC642" i="9"/>
  <c r="FH641" i="9"/>
  <c r="FL640" i="9"/>
  <c r="FA640" i="9"/>
  <c r="FO639" i="9"/>
  <c r="FD639" i="9"/>
  <c r="EU639" i="9"/>
  <c r="FI638" i="9"/>
  <c r="EX638" i="9"/>
  <c r="FM637" i="9"/>
  <c r="FB637" i="9"/>
  <c r="FP636" i="9"/>
  <c r="FG636" i="9"/>
  <c r="EV636" i="9"/>
  <c r="FJ635" i="9"/>
  <c r="EZ635" i="9"/>
  <c r="FN634" i="9"/>
  <c r="FC634" i="9"/>
  <c r="FH633" i="9"/>
  <c r="FL632" i="9"/>
  <c r="FA632" i="9"/>
  <c r="FO631" i="9"/>
  <c r="FD631" i="9"/>
  <c r="EU631" i="9"/>
  <c r="FO629" i="9"/>
  <c r="FD629" i="9"/>
  <c r="EU629" i="9"/>
  <c r="FI628" i="9"/>
  <c r="EX628" i="9"/>
  <c r="FM627" i="9"/>
  <c r="FB627" i="9"/>
  <c r="FP626" i="9"/>
  <c r="FG626" i="9"/>
  <c r="EV626" i="9"/>
  <c r="FJ625" i="9"/>
  <c r="EZ625" i="9"/>
  <c r="FN624" i="9"/>
  <c r="FC624" i="9"/>
  <c r="FH623" i="9"/>
  <c r="FL622" i="9"/>
  <c r="FA622" i="9"/>
  <c r="FO621" i="9"/>
  <c r="FD621" i="9"/>
  <c r="EU621" i="9"/>
  <c r="FI620" i="9"/>
  <c r="EX620" i="9"/>
  <c r="FM619" i="9"/>
  <c r="FB619" i="9"/>
  <c r="FP618" i="9"/>
  <c r="FG618" i="9"/>
  <c r="EV618" i="9"/>
  <c r="FJ617" i="9"/>
  <c r="EZ617" i="9"/>
  <c r="FN616" i="9"/>
  <c r="FC616" i="9"/>
  <c r="FI570" i="9"/>
  <c r="EZ570" i="9"/>
  <c r="FM569" i="9"/>
  <c r="FB569" i="9"/>
  <c r="FP568" i="9"/>
  <c r="FG568" i="9"/>
  <c r="EV568" i="9"/>
  <c r="FJ567" i="9"/>
  <c r="EZ567" i="9"/>
  <c r="FN566" i="9"/>
  <c r="FC566" i="9"/>
  <c r="FH565" i="9"/>
  <c r="FL564" i="9"/>
  <c r="FA564" i="9"/>
  <c r="FO563" i="9"/>
  <c r="FD563" i="9"/>
  <c r="EU563" i="9"/>
  <c r="FI562" i="9"/>
  <c r="EX562" i="9"/>
  <c r="FM561" i="9"/>
  <c r="FB561" i="9"/>
  <c r="FP560" i="9"/>
  <c r="FG560" i="9"/>
  <c r="EV560" i="9"/>
  <c r="FJ559" i="9"/>
  <c r="EZ559" i="9"/>
  <c r="FN558" i="9"/>
  <c r="FC558" i="9"/>
  <c r="FH557" i="9"/>
  <c r="FH555" i="9"/>
  <c r="FL554" i="9"/>
  <c r="FA554" i="9"/>
  <c r="FO553" i="9"/>
  <c r="FD553" i="9"/>
  <c r="EU553" i="9"/>
  <c r="FO552" i="9"/>
  <c r="FD552" i="9"/>
  <c r="EU552" i="9"/>
  <c r="FO551" i="9"/>
  <c r="FD551" i="9"/>
  <c r="EU551" i="9"/>
  <c r="FO550" i="9"/>
  <c r="FD550" i="9"/>
  <c r="EU550" i="9"/>
  <c r="FO549" i="9"/>
  <c r="FD549" i="9"/>
  <c r="EU549" i="9"/>
  <c r="FO548" i="9"/>
  <c r="FD548" i="9"/>
  <c r="EU548" i="9"/>
  <c r="FO547" i="9"/>
  <c r="FD547" i="9"/>
  <c r="EU547" i="9"/>
  <c r="FO546" i="9"/>
  <c r="FD546" i="9"/>
  <c r="EU546" i="9"/>
  <c r="FI545" i="9"/>
  <c r="EX545" i="9"/>
  <c r="FM544" i="9"/>
  <c r="FB544" i="9"/>
  <c r="FP543" i="9"/>
  <c r="FG543" i="9"/>
  <c r="EV543" i="9"/>
  <c r="FJ542" i="9"/>
  <c r="EZ542" i="9"/>
  <c r="FP540" i="9"/>
  <c r="FG540" i="9"/>
  <c r="EV540" i="9"/>
  <c r="FJ539" i="9"/>
  <c r="EZ539" i="9"/>
  <c r="FN538" i="9"/>
  <c r="FC538" i="9"/>
  <c r="FH537" i="9"/>
  <c r="FL536" i="9"/>
  <c r="FA536" i="9"/>
  <c r="FO535" i="9"/>
  <c r="FD535" i="9"/>
  <c r="EU535" i="9"/>
  <c r="FI534" i="9"/>
  <c r="EX570" i="9"/>
  <c r="FL569" i="9"/>
  <c r="FA569" i="9"/>
  <c r="FO568" i="9"/>
  <c r="FD568" i="9"/>
  <c r="EU568" i="9"/>
  <c r="FI567" i="9"/>
  <c r="EX567" i="9"/>
  <c r="FM566" i="9"/>
  <c r="FB566" i="9"/>
  <c r="FP565" i="9"/>
  <c r="FG565" i="9"/>
  <c r="EV565" i="9"/>
  <c r="FJ564" i="9"/>
  <c r="EZ564" i="9"/>
  <c r="FN563" i="9"/>
  <c r="FC563" i="9"/>
  <c r="FH562" i="9"/>
  <c r="FL561" i="9"/>
  <c r="FA561" i="9"/>
  <c r="FO560" i="9"/>
  <c r="FD560" i="9"/>
  <c r="EU560" i="9"/>
  <c r="FI559" i="9"/>
  <c r="EX559" i="9"/>
  <c r="FM558" i="9"/>
  <c r="FB558" i="9"/>
  <c r="FP557" i="9"/>
  <c r="FG557" i="9"/>
  <c r="EV557" i="9"/>
  <c r="FP555" i="9"/>
  <c r="FG555" i="9"/>
  <c r="EV555" i="9"/>
  <c r="FJ554" i="9"/>
  <c r="EZ554" i="9"/>
  <c r="FN553" i="9"/>
  <c r="FC553" i="9"/>
  <c r="FN552" i="9"/>
  <c r="FC552" i="9"/>
  <c r="FN551" i="9"/>
  <c r="FC551" i="9"/>
  <c r="FN550" i="9"/>
  <c r="FC550" i="9"/>
  <c r="FN549" i="9"/>
  <c r="FC549" i="9"/>
  <c r="FN548" i="9"/>
  <c r="FC548" i="9"/>
  <c r="FN547" i="9"/>
  <c r="FC547" i="9"/>
  <c r="FN546" i="9"/>
  <c r="FC546" i="9"/>
  <c r="FH545" i="9"/>
  <c r="FL544" i="9"/>
  <c r="FA544" i="9"/>
  <c r="FO543" i="9"/>
  <c r="FD543" i="9"/>
  <c r="EU543" i="9"/>
  <c r="FI542" i="9"/>
  <c r="EX542" i="9"/>
  <c r="FO540" i="9"/>
  <c r="FD540" i="9"/>
  <c r="EU540" i="9"/>
  <c r="FI539" i="9"/>
  <c r="EX539" i="9"/>
  <c r="FM538" i="9"/>
  <c r="FB538" i="9"/>
  <c r="FP537" i="9"/>
  <c r="FG537" i="9"/>
  <c r="EV537" i="9"/>
  <c r="FJ536" i="9"/>
  <c r="EZ536" i="9"/>
  <c r="FN535" i="9"/>
  <c r="FC535" i="9"/>
  <c r="FH534" i="9"/>
  <c r="EV570" i="9"/>
  <c r="FJ569" i="9"/>
  <c r="EZ569" i="9"/>
  <c r="FN568" i="9"/>
  <c r="FC568" i="9"/>
  <c r="FH567" i="9"/>
  <c r="FL566" i="9"/>
  <c r="FA566" i="9"/>
  <c r="FO565" i="9"/>
  <c r="FD565" i="9"/>
  <c r="EU565" i="9"/>
  <c r="FI564" i="9"/>
  <c r="EX564" i="9"/>
  <c r="FM563" i="9"/>
  <c r="FB563" i="9"/>
  <c r="FP562" i="9"/>
  <c r="FG562" i="9"/>
  <c r="EV562" i="9"/>
  <c r="FJ561" i="9"/>
  <c r="EZ561" i="9"/>
  <c r="FN560" i="9"/>
  <c r="FC560" i="9"/>
  <c r="FH559" i="9"/>
  <c r="FL558" i="9"/>
  <c r="FA558" i="9"/>
  <c r="FO557" i="9"/>
  <c r="FD557" i="9"/>
  <c r="EU557" i="9"/>
  <c r="FO555" i="9"/>
  <c r="FD555" i="9"/>
  <c r="EU555" i="9"/>
  <c r="FI554" i="9"/>
  <c r="EX554" i="9"/>
  <c r="FM553" i="9"/>
  <c r="FB553" i="9"/>
  <c r="FM552" i="9"/>
  <c r="FB552" i="9"/>
  <c r="FM551" i="9"/>
  <c r="FB551" i="9"/>
  <c r="FM550" i="9"/>
  <c r="FB550" i="9"/>
  <c r="FM549" i="9"/>
  <c r="FB549" i="9"/>
  <c r="FM548" i="9"/>
  <c r="FB548" i="9"/>
  <c r="FM547" i="9"/>
  <c r="FB547" i="9"/>
  <c r="FM546" i="9"/>
  <c r="FB546" i="9"/>
  <c r="FP545" i="9"/>
  <c r="FG545" i="9"/>
  <c r="EV545" i="9"/>
  <c r="FJ544" i="9"/>
  <c r="EZ544" i="9"/>
  <c r="FN543" i="9"/>
  <c r="FC543" i="9"/>
  <c r="FH542" i="9"/>
  <c r="FN540" i="9"/>
  <c r="FC540" i="9"/>
  <c r="FH539" i="9"/>
  <c r="FL538" i="9"/>
  <c r="FA538" i="9"/>
  <c r="FO537" i="9"/>
  <c r="FD537" i="9"/>
  <c r="EU537" i="9"/>
  <c r="FI536" i="9"/>
  <c r="EX536" i="9"/>
  <c r="FM535" i="9"/>
  <c r="FB535" i="9"/>
  <c r="FP534" i="9"/>
  <c r="FG534" i="9"/>
  <c r="EV534" i="9"/>
  <c r="FJ533" i="9"/>
  <c r="EZ533" i="9"/>
  <c r="FN532" i="9"/>
  <c r="FC532" i="9"/>
  <c r="FH531" i="9"/>
  <c r="FL530" i="9"/>
  <c r="FA530" i="9"/>
  <c r="FO529" i="9"/>
  <c r="EU570" i="9"/>
  <c r="FI569" i="9"/>
  <c r="EX569" i="9"/>
  <c r="FM568" i="9"/>
  <c r="FB568" i="9"/>
  <c r="FP567" i="9"/>
  <c r="FG567" i="9"/>
  <c r="EV567" i="9"/>
  <c r="FJ566" i="9"/>
  <c r="EZ566" i="9"/>
  <c r="FN565" i="9"/>
  <c r="FC565" i="9"/>
  <c r="FH564" i="9"/>
  <c r="FL563" i="9"/>
  <c r="FA563" i="9"/>
  <c r="FO562" i="9"/>
  <c r="FD562" i="9"/>
  <c r="EU562" i="9"/>
  <c r="FI561" i="9"/>
  <c r="EX561" i="9"/>
  <c r="FM560" i="9"/>
  <c r="FB560" i="9"/>
  <c r="FP559" i="9"/>
  <c r="FG559" i="9"/>
  <c r="EV559" i="9"/>
  <c r="FJ558" i="9"/>
  <c r="EZ558" i="9"/>
  <c r="FN557" i="9"/>
  <c r="FC557" i="9"/>
  <c r="FN555" i="9"/>
  <c r="FC555" i="9"/>
  <c r="FH554" i="9"/>
  <c r="FL553" i="9"/>
  <c r="FA553" i="9"/>
  <c r="GK553" i="9"/>
  <c r="HE553" i="9" s="1"/>
  <c r="CC553" i="9" s="1"/>
  <c r="FL552" i="9"/>
  <c r="FA552" i="9"/>
  <c r="FL551" i="9"/>
  <c r="FA551" i="9"/>
  <c r="FL550" i="9"/>
  <c r="FA550" i="9"/>
  <c r="FL549" i="9"/>
  <c r="FA549" i="9"/>
  <c r="GK549" i="9" s="1"/>
  <c r="HE549" i="9" s="1"/>
  <c r="CC549" i="9" s="1"/>
  <c r="FL548" i="9"/>
  <c r="FA548" i="9"/>
  <c r="FL547" i="9"/>
  <c r="FA547" i="9"/>
  <c r="FL546" i="9"/>
  <c r="FA546" i="9"/>
  <c r="FO545" i="9"/>
  <c r="FD545" i="9"/>
  <c r="EU545" i="9"/>
  <c r="FI544" i="9"/>
  <c r="EX544" i="9"/>
  <c r="FM543" i="9"/>
  <c r="FB543" i="9"/>
  <c r="FP542" i="9"/>
  <c r="FG542" i="9"/>
  <c r="EV542" i="9"/>
  <c r="FM540" i="9"/>
  <c r="FB540" i="9"/>
  <c r="FP539" i="9"/>
  <c r="FG539" i="9"/>
  <c r="EV539" i="9"/>
  <c r="FJ538" i="9"/>
  <c r="EZ538" i="9"/>
  <c r="FN537" i="9"/>
  <c r="FC537" i="9"/>
  <c r="FH536" i="9"/>
  <c r="FL535" i="9"/>
  <c r="FA535" i="9"/>
  <c r="FO534" i="9"/>
  <c r="FD534" i="9"/>
  <c r="FH569" i="9"/>
  <c r="FL568" i="9"/>
  <c r="FA568" i="9"/>
  <c r="FO567" i="9"/>
  <c r="FD567" i="9"/>
  <c r="EU567" i="9"/>
  <c r="FI566" i="9"/>
  <c r="EX566" i="9"/>
  <c r="FM565" i="9"/>
  <c r="FB565" i="9"/>
  <c r="FP564" i="9"/>
  <c r="FG564" i="9"/>
  <c r="EV564" i="9"/>
  <c r="FJ563" i="9"/>
  <c r="EZ563" i="9"/>
  <c r="FN562" i="9"/>
  <c r="FC562" i="9"/>
  <c r="FH561" i="9"/>
  <c r="FL560" i="9"/>
  <c r="FA560" i="9"/>
  <c r="FO559" i="9"/>
  <c r="FD559" i="9"/>
  <c r="EU559" i="9"/>
  <c r="FI558" i="9"/>
  <c r="EX558" i="9"/>
  <c r="FM557" i="9"/>
  <c r="FB557" i="9"/>
  <c r="FM555" i="9"/>
  <c r="FB555" i="9"/>
  <c r="FP554" i="9"/>
  <c r="FG554" i="9"/>
  <c r="EV554" i="9"/>
  <c r="FJ553" i="9"/>
  <c r="EZ553" i="9"/>
  <c r="FJ552" i="9"/>
  <c r="EZ552" i="9"/>
  <c r="FJ551" i="9"/>
  <c r="EZ551" i="9"/>
  <c r="FJ550" i="9"/>
  <c r="EZ550" i="9"/>
  <c r="FJ549" i="9"/>
  <c r="EZ549" i="9"/>
  <c r="FJ548" i="9"/>
  <c r="EZ548" i="9"/>
  <c r="FJ547" i="9"/>
  <c r="EZ547" i="9"/>
  <c r="FJ546" i="9"/>
  <c r="EZ546" i="9"/>
  <c r="FN545" i="9"/>
  <c r="FC545" i="9"/>
  <c r="FH544" i="9"/>
  <c r="FL543" i="9"/>
  <c r="FA543" i="9"/>
  <c r="FO542" i="9"/>
  <c r="FD542" i="9"/>
  <c r="EU542" i="9"/>
  <c r="FL540" i="9"/>
  <c r="FA540" i="9"/>
  <c r="FO539" i="9"/>
  <c r="FD539" i="9"/>
  <c r="EU539" i="9"/>
  <c r="FI538" i="9"/>
  <c r="EX538" i="9"/>
  <c r="FM537" i="9"/>
  <c r="FB537" i="9"/>
  <c r="FP536" i="9"/>
  <c r="FG536" i="9"/>
  <c r="EV536" i="9"/>
  <c r="FJ535" i="9"/>
  <c r="EZ535" i="9"/>
  <c r="FN534" i="9"/>
  <c r="FC534" i="9"/>
  <c r="FP569" i="9"/>
  <c r="FG569" i="9"/>
  <c r="EV569" i="9"/>
  <c r="FJ568" i="9"/>
  <c r="EZ568" i="9"/>
  <c r="FN567" i="9"/>
  <c r="FC567" i="9"/>
  <c r="FH566" i="9"/>
  <c r="FL565" i="9"/>
  <c r="FA565" i="9"/>
  <c r="FO564" i="9"/>
  <c r="FD564" i="9"/>
  <c r="EU564" i="9"/>
  <c r="FI563" i="9"/>
  <c r="EX563" i="9"/>
  <c r="FM562" i="9"/>
  <c r="FB562" i="9"/>
  <c r="FP561" i="9"/>
  <c r="FG561" i="9"/>
  <c r="EV561" i="9"/>
  <c r="FJ560" i="9"/>
  <c r="EZ560" i="9"/>
  <c r="FN559" i="9"/>
  <c r="FC559" i="9"/>
  <c r="FH558" i="9"/>
  <c r="FL557" i="9"/>
  <c r="FA557" i="9"/>
  <c r="FL555" i="9"/>
  <c r="FA555" i="9"/>
  <c r="FO554" i="9"/>
  <c r="FD554" i="9"/>
  <c r="EU554" i="9"/>
  <c r="FI553" i="9"/>
  <c r="EX553" i="9"/>
  <c r="FI552" i="9"/>
  <c r="EX552" i="9"/>
  <c r="FI551" i="9"/>
  <c r="EX551" i="9"/>
  <c r="FI550" i="9"/>
  <c r="EX550" i="9"/>
  <c r="FI549" i="9"/>
  <c r="EX549" i="9"/>
  <c r="FI548" i="9"/>
  <c r="EX548" i="9"/>
  <c r="FI547" i="9"/>
  <c r="EX547" i="9"/>
  <c r="FI546" i="9"/>
  <c r="EX546" i="9"/>
  <c r="FM545" i="9"/>
  <c r="FB545" i="9"/>
  <c r="FP544" i="9"/>
  <c r="FG544" i="9"/>
  <c r="EV544" i="9"/>
  <c r="FJ543" i="9"/>
  <c r="EZ543" i="9"/>
  <c r="FN542" i="9"/>
  <c r="FC542" i="9"/>
  <c r="FJ540" i="9"/>
  <c r="EZ540" i="9"/>
  <c r="FN539" i="9"/>
  <c r="FC539" i="9"/>
  <c r="FH538" i="9"/>
  <c r="FL537" i="9"/>
  <c r="FA537" i="9"/>
  <c r="FO536" i="9"/>
  <c r="FD536" i="9"/>
  <c r="EU536" i="9"/>
  <c r="FI535" i="9"/>
  <c r="EX535" i="9"/>
  <c r="FM534" i="9"/>
  <c r="FD570" i="9"/>
  <c r="FO569" i="9"/>
  <c r="FD569" i="9"/>
  <c r="EU569" i="9"/>
  <c r="FI568" i="9"/>
  <c r="EX568" i="9"/>
  <c r="FM567" i="9"/>
  <c r="FB567" i="9"/>
  <c r="FP566" i="9"/>
  <c r="FG566" i="9"/>
  <c r="EV566" i="9"/>
  <c r="FJ565" i="9"/>
  <c r="EZ565" i="9"/>
  <c r="FN564" i="9"/>
  <c r="FC564" i="9"/>
  <c r="FH563" i="9"/>
  <c r="FL562" i="9"/>
  <c r="FA562" i="9"/>
  <c r="GK562" i="9"/>
  <c r="HE562" i="9" s="1"/>
  <c r="CC562" i="9" s="1"/>
  <c r="FO561" i="9"/>
  <c r="FD561" i="9"/>
  <c r="EU561" i="9"/>
  <c r="FI560" i="9"/>
  <c r="EX560" i="9"/>
  <c r="FM559" i="9"/>
  <c r="FB559" i="9"/>
  <c r="FP558" i="9"/>
  <c r="FG558" i="9"/>
  <c r="EV558" i="9"/>
  <c r="FJ557" i="9"/>
  <c r="EZ557" i="9"/>
  <c r="FJ555" i="9"/>
  <c r="EZ555" i="9"/>
  <c r="FN554" i="9"/>
  <c r="FC554" i="9"/>
  <c r="FH553" i="9"/>
  <c r="FH552" i="9"/>
  <c r="FH551" i="9"/>
  <c r="FH550" i="9"/>
  <c r="FH549" i="9"/>
  <c r="FH548" i="9"/>
  <c r="FH547" i="9"/>
  <c r="FH546" i="9"/>
  <c r="FL545" i="9"/>
  <c r="FA545" i="9"/>
  <c r="GK545" i="9" s="1"/>
  <c r="HE545" i="9" s="1"/>
  <c r="CC545" i="9" s="1"/>
  <c r="FO544" i="9"/>
  <c r="FD544" i="9"/>
  <c r="EU544" i="9"/>
  <c r="FI543" i="9"/>
  <c r="EX543" i="9"/>
  <c r="FM542" i="9"/>
  <c r="FB542" i="9"/>
  <c r="GL542" i="9" s="1"/>
  <c r="FI540" i="9"/>
  <c r="EX540" i="9"/>
  <c r="FM539" i="9"/>
  <c r="FB539" i="9"/>
  <c r="FP538" i="9"/>
  <c r="FG538" i="9"/>
  <c r="EV538" i="9"/>
  <c r="FJ537" i="9"/>
  <c r="EZ537" i="9"/>
  <c r="FN536" i="9"/>
  <c r="FC536" i="9"/>
  <c r="FH535" i="9"/>
  <c r="FL534" i="9"/>
  <c r="FA534" i="9"/>
  <c r="FO533" i="9"/>
  <c r="FD533" i="9"/>
  <c r="EU533" i="9"/>
  <c r="FI532" i="9"/>
  <c r="EX532" i="9"/>
  <c r="FM531" i="9"/>
  <c r="FB531" i="9"/>
  <c r="FP530" i="9"/>
  <c r="FG530" i="9"/>
  <c r="EV530" i="9"/>
  <c r="FJ529" i="9"/>
  <c r="EZ529" i="9"/>
  <c r="FA570" i="9"/>
  <c r="FN569" i="9"/>
  <c r="FC569" i="9"/>
  <c r="FH568" i="9"/>
  <c r="FL567" i="9"/>
  <c r="FA567" i="9"/>
  <c r="FO566" i="9"/>
  <c r="FD566" i="9"/>
  <c r="EU566" i="9"/>
  <c r="FI565" i="9"/>
  <c r="EX565" i="9"/>
  <c r="FM564" i="9"/>
  <c r="FB564" i="9"/>
  <c r="FP563" i="9"/>
  <c r="FG563" i="9"/>
  <c r="EV563" i="9"/>
  <c r="FJ562" i="9"/>
  <c r="EZ562" i="9"/>
  <c r="FN561" i="9"/>
  <c r="FC561" i="9"/>
  <c r="FH560" i="9"/>
  <c r="FL559" i="9"/>
  <c r="FA559" i="9"/>
  <c r="FO558" i="9"/>
  <c r="FD558" i="9"/>
  <c r="EU558" i="9"/>
  <c r="FI557" i="9"/>
  <c r="EX557" i="9"/>
  <c r="FI555" i="9"/>
  <c r="EX555" i="9"/>
  <c r="FM554" i="9"/>
  <c r="FB554" i="9"/>
  <c r="FP553" i="9"/>
  <c r="FG553" i="9"/>
  <c r="EV553" i="9"/>
  <c r="FP552" i="9"/>
  <c r="FG552" i="9"/>
  <c r="EV552" i="9"/>
  <c r="FP551" i="9"/>
  <c r="FG551" i="9"/>
  <c r="EV551" i="9"/>
  <c r="FP550" i="9"/>
  <c r="FG550" i="9"/>
  <c r="EV550" i="9"/>
  <c r="FP549" i="9"/>
  <c r="FG549" i="9"/>
  <c r="EV549" i="9"/>
  <c r="FP548" i="9"/>
  <c r="FG548" i="9"/>
  <c r="EV548" i="9"/>
  <c r="FP547" i="9"/>
  <c r="FG547" i="9"/>
  <c r="EV547" i="9"/>
  <c r="FP546" i="9"/>
  <c r="FG546" i="9"/>
  <c r="EV546" i="9"/>
  <c r="FJ545" i="9"/>
  <c r="EZ545" i="9"/>
  <c r="FN544" i="9"/>
  <c r="FC544" i="9"/>
  <c r="GM544" i="9" s="1"/>
  <c r="HG544" i="9" s="1"/>
  <c r="CE544" i="9" s="1"/>
  <c r="FH543" i="9"/>
  <c r="FL542" i="9"/>
  <c r="FA542" i="9"/>
  <c r="FH540" i="9"/>
  <c r="FL539" i="9"/>
  <c r="FA539" i="9"/>
  <c r="FO538" i="9"/>
  <c r="FD538" i="9"/>
  <c r="EU538" i="9"/>
  <c r="FI537" i="9"/>
  <c r="EX537" i="9"/>
  <c r="FM536" i="9"/>
  <c r="FB536" i="9"/>
  <c r="GL536" i="9"/>
  <c r="FP535" i="9"/>
  <c r="FG535" i="9"/>
  <c r="EV535" i="9"/>
  <c r="FJ534" i="9"/>
  <c r="EZ534" i="9"/>
  <c r="FN533" i="9"/>
  <c r="FA533" i="9"/>
  <c r="FL532" i="9"/>
  <c r="FJ531" i="9"/>
  <c r="EV531" i="9"/>
  <c r="FH530" i="9"/>
  <c r="FD529" i="9"/>
  <c r="FH528" i="9"/>
  <c r="FL527" i="9"/>
  <c r="FA527" i="9"/>
  <c r="GK527" i="9"/>
  <c r="HE527" i="9" s="1"/>
  <c r="CC527" i="9" s="1"/>
  <c r="FL525" i="9"/>
  <c r="FA525" i="9"/>
  <c r="FO524" i="9"/>
  <c r="FD524" i="9"/>
  <c r="EU524" i="9"/>
  <c r="FI523" i="9"/>
  <c r="EX523" i="9"/>
  <c r="FM522" i="9"/>
  <c r="FB522" i="9"/>
  <c r="FP521" i="9"/>
  <c r="FG521" i="9"/>
  <c r="EV521" i="9"/>
  <c r="FJ520" i="9"/>
  <c r="EZ520" i="9"/>
  <c r="FN519" i="9"/>
  <c r="FC519" i="9"/>
  <c r="GM519" i="9" s="1"/>
  <c r="HG519" i="9" s="1"/>
  <c r="CE519" i="9" s="1"/>
  <c r="FH518" i="9"/>
  <c r="FL517" i="9"/>
  <c r="FA517" i="9"/>
  <c r="FO516" i="9"/>
  <c r="FD516" i="9"/>
  <c r="EU516" i="9"/>
  <c r="FI515" i="9"/>
  <c r="EX515" i="9"/>
  <c r="FM514" i="9"/>
  <c r="FB514" i="9"/>
  <c r="FP513" i="9"/>
  <c r="FG513" i="9"/>
  <c r="EV513" i="9"/>
  <c r="FJ512" i="9"/>
  <c r="EZ512" i="9"/>
  <c r="FJ510" i="9"/>
  <c r="EZ510" i="9"/>
  <c r="FN509" i="9"/>
  <c r="FC509" i="9"/>
  <c r="FH508" i="9"/>
  <c r="FL507" i="9"/>
  <c r="FA507" i="9"/>
  <c r="FO506" i="9"/>
  <c r="FD506" i="9"/>
  <c r="EU506" i="9"/>
  <c r="FI505" i="9"/>
  <c r="EX505" i="9"/>
  <c r="FM504" i="9"/>
  <c r="FB504" i="9"/>
  <c r="GL504" i="9" s="1"/>
  <c r="FP503" i="9"/>
  <c r="FG503" i="9"/>
  <c r="EV503" i="9"/>
  <c r="FJ502" i="9"/>
  <c r="EZ502" i="9"/>
  <c r="FN501" i="9"/>
  <c r="FC501" i="9"/>
  <c r="FH500" i="9"/>
  <c r="FL499" i="9"/>
  <c r="FA499" i="9"/>
  <c r="FO498" i="9"/>
  <c r="FD498" i="9"/>
  <c r="EU498" i="9"/>
  <c r="FI497" i="9"/>
  <c r="EX497" i="9"/>
  <c r="FN451" i="9"/>
  <c r="FC451" i="9"/>
  <c r="FH450" i="9"/>
  <c r="FL449" i="9"/>
  <c r="FA449" i="9"/>
  <c r="FO448" i="9"/>
  <c r="FD448" i="9"/>
  <c r="GN448" i="9" s="1"/>
  <c r="EU448" i="9"/>
  <c r="FM533" i="9"/>
  <c r="EX533" i="9"/>
  <c r="FJ532" i="9"/>
  <c r="EV532" i="9"/>
  <c r="FI531" i="9"/>
  <c r="EU531" i="9"/>
  <c r="FD530" i="9"/>
  <c r="GN530" i="9" s="1"/>
  <c r="FP529" i="9"/>
  <c r="FC529" i="9"/>
  <c r="FP528" i="9"/>
  <c r="FG528" i="9"/>
  <c r="EV528" i="9"/>
  <c r="FJ527" i="9"/>
  <c r="EZ527" i="9"/>
  <c r="FJ525" i="9"/>
  <c r="EZ525" i="9"/>
  <c r="FN524" i="9"/>
  <c r="FC524" i="9"/>
  <c r="FH523" i="9"/>
  <c r="FL522" i="9"/>
  <c r="FA522" i="9"/>
  <c r="FO521" i="9"/>
  <c r="FD521" i="9"/>
  <c r="EU521" i="9"/>
  <c r="FI520" i="9"/>
  <c r="EX520" i="9"/>
  <c r="FM519" i="9"/>
  <c r="FB519" i="9"/>
  <c r="FP518" i="9"/>
  <c r="FG518" i="9"/>
  <c r="EV518" i="9"/>
  <c r="FJ517" i="9"/>
  <c r="EZ517" i="9"/>
  <c r="FN516" i="9"/>
  <c r="FC516" i="9"/>
  <c r="FH515" i="9"/>
  <c r="FL514" i="9"/>
  <c r="FA514" i="9"/>
  <c r="FO513" i="9"/>
  <c r="FD513" i="9"/>
  <c r="EU513" i="9"/>
  <c r="FI512" i="9"/>
  <c r="EX512" i="9"/>
  <c r="FI510" i="9"/>
  <c r="EX510" i="9"/>
  <c r="FM509" i="9"/>
  <c r="FB509" i="9"/>
  <c r="FP508" i="9"/>
  <c r="FG508" i="9"/>
  <c r="EV508" i="9"/>
  <c r="FJ507" i="9"/>
  <c r="EZ507" i="9"/>
  <c r="FN506" i="9"/>
  <c r="FC506" i="9"/>
  <c r="GM506" i="9" s="1"/>
  <c r="HG506" i="9" s="1"/>
  <c r="CE506" i="9" s="1"/>
  <c r="FH505" i="9"/>
  <c r="FL504" i="9"/>
  <c r="FA504" i="9"/>
  <c r="FO503" i="9"/>
  <c r="FD503" i="9"/>
  <c r="EU503" i="9"/>
  <c r="FI502" i="9"/>
  <c r="EX502" i="9"/>
  <c r="FM501" i="9"/>
  <c r="FB501" i="9"/>
  <c r="FP500" i="9"/>
  <c r="FG500" i="9"/>
  <c r="EV500" i="9"/>
  <c r="FJ499" i="9"/>
  <c r="EZ499" i="9"/>
  <c r="FN498" i="9"/>
  <c r="FC498" i="9"/>
  <c r="FH497" i="9"/>
  <c r="FM451" i="9"/>
  <c r="FB451" i="9"/>
  <c r="FP450" i="9"/>
  <c r="FG450" i="9"/>
  <c r="EV450" i="9"/>
  <c r="FJ449" i="9"/>
  <c r="EZ449" i="9"/>
  <c r="FN448" i="9"/>
  <c r="FC448" i="9"/>
  <c r="FB534" i="9"/>
  <c r="FL533" i="9"/>
  <c r="FH532" i="9"/>
  <c r="EU532" i="9"/>
  <c r="FG531" i="9"/>
  <c r="FC530" i="9"/>
  <c r="FN529" i="9"/>
  <c r="FB529" i="9"/>
  <c r="FO528" i="9"/>
  <c r="FD528" i="9"/>
  <c r="EU528" i="9"/>
  <c r="FI527" i="9"/>
  <c r="EX527" i="9"/>
  <c r="FI525" i="9"/>
  <c r="EX525" i="9"/>
  <c r="FM524" i="9"/>
  <c r="FB524" i="9"/>
  <c r="GL524" i="9"/>
  <c r="FP523" i="9"/>
  <c r="FG523" i="9"/>
  <c r="EV523" i="9"/>
  <c r="FJ522" i="9"/>
  <c r="EZ522" i="9"/>
  <c r="FN521" i="9"/>
  <c r="FC521" i="9"/>
  <c r="FH520" i="9"/>
  <c r="FL519" i="9"/>
  <c r="FA519" i="9"/>
  <c r="FO518" i="9"/>
  <c r="FD518" i="9"/>
  <c r="EU518" i="9"/>
  <c r="FI517" i="9"/>
  <c r="EX517" i="9"/>
  <c r="FM516" i="9"/>
  <c r="FB516" i="9"/>
  <c r="FP515" i="9"/>
  <c r="FG515" i="9"/>
  <c r="EV515" i="9"/>
  <c r="FJ514" i="9"/>
  <c r="EZ514" i="9"/>
  <c r="FN513" i="9"/>
  <c r="FC513" i="9"/>
  <c r="FH512" i="9"/>
  <c r="FH510" i="9"/>
  <c r="FL509" i="9"/>
  <c r="FA509" i="9"/>
  <c r="FO508" i="9"/>
  <c r="FD508" i="9"/>
  <c r="EU508" i="9"/>
  <c r="FI507" i="9"/>
  <c r="EX507" i="9"/>
  <c r="FM506" i="9"/>
  <c r="FB506" i="9"/>
  <c r="FP505" i="9"/>
  <c r="FG505" i="9"/>
  <c r="EV505" i="9"/>
  <c r="FJ504" i="9"/>
  <c r="EZ504" i="9"/>
  <c r="FN503" i="9"/>
  <c r="FC503" i="9"/>
  <c r="FH502" i="9"/>
  <c r="FL501" i="9"/>
  <c r="FA501" i="9"/>
  <c r="FO500" i="9"/>
  <c r="FD500" i="9"/>
  <c r="EU500" i="9"/>
  <c r="FI499" i="9"/>
  <c r="EX499" i="9"/>
  <c r="FM498" i="9"/>
  <c r="FB498" i="9"/>
  <c r="GL498" i="9" s="1"/>
  <c r="FP497" i="9"/>
  <c r="FG497" i="9"/>
  <c r="EV497" i="9"/>
  <c r="FL451" i="9"/>
  <c r="FA451" i="9"/>
  <c r="FO450" i="9"/>
  <c r="FD450" i="9"/>
  <c r="EU450" i="9"/>
  <c r="FI449" i="9"/>
  <c r="EX449" i="9"/>
  <c r="FM448" i="9"/>
  <c r="EX534" i="9"/>
  <c r="FI533" i="9"/>
  <c r="EV533" i="9"/>
  <c r="FG532" i="9"/>
  <c r="FD531" i="9"/>
  <c r="GN531" i="9" s="1"/>
  <c r="FO530" i="9"/>
  <c r="FB530" i="9"/>
  <c r="FM529" i="9"/>
  <c r="FA529" i="9"/>
  <c r="FN528" i="9"/>
  <c r="FC528" i="9"/>
  <c r="FH527" i="9"/>
  <c r="FH525" i="9"/>
  <c r="FL524" i="9"/>
  <c r="FA524" i="9"/>
  <c r="FO523" i="9"/>
  <c r="FD523" i="9"/>
  <c r="EU523" i="9"/>
  <c r="FI522" i="9"/>
  <c r="EX522" i="9"/>
  <c r="FM521" i="9"/>
  <c r="FB521" i="9"/>
  <c r="FP520" i="9"/>
  <c r="FG520" i="9"/>
  <c r="EV520" i="9"/>
  <c r="FJ519" i="9"/>
  <c r="EZ519" i="9"/>
  <c r="FN518" i="9"/>
  <c r="FC518" i="9"/>
  <c r="FH517" i="9"/>
  <c r="FL516" i="9"/>
  <c r="FA516" i="9"/>
  <c r="FO515" i="9"/>
  <c r="FD515" i="9"/>
  <c r="GN515" i="9" s="1"/>
  <c r="EU515" i="9"/>
  <c r="FI514" i="9"/>
  <c r="EX514" i="9"/>
  <c r="FM513" i="9"/>
  <c r="FB513" i="9"/>
  <c r="FP512" i="9"/>
  <c r="FG512" i="9"/>
  <c r="EV512" i="9"/>
  <c r="FP510" i="9"/>
  <c r="FG510" i="9"/>
  <c r="EV510" i="9"/>
  <c r="FJ509" i="9"/>
  <c r="EZ509" i="9"/>
  <c r="FN508" i="9"/>
  <c r="FC508" i="9"/>
  <c r="GM508" i="9" s="1"/>
  <c r="HG508" i="9" s="1"/>
  <c r="CE508" i="9" s="1"/>
  <c r="FH507" i="9"/>
  <c r="FL506" i="9"/>
  <c r="FA506" i="9"/>
  <c r="FO505" i="9"/>
  <c r="FD505" i="9"/>
  <c r="EU505" i="9"/>
  <c r="FI504" i="9"/>
  <c r="EX504" i="9"/>
  <c r="FM503" i="9"/>
  <c r="FB503" i="9"/>
  <c r="FP502" i="9"/>
  <c r="FG502" i="9"/>
  <c r="EV502" i="9"/>
  <c r="FJ501" i="9"/>
  <c r="EZ501" i="9"/>
  <c r="FN500" i="9"/>
  <c r="FC500" i="9"/>
  <c r="FH499" i="9"/>
  <c r="FL498" i="9"/>
  <c r="FA498" i="9"/>
  <c r="FO497" i="9"/>
  <c r="FD497" i="9"/>
  <c r="EU497" i="9"/>
  <c r="FJ451" i="9"/>
  <c r="EZ451" i="9"/>
  <c r="FN450" i="9"/>
  <c r="FC450" i="9"/>
  <c r="FH449" i="9"/>
  <c r="FL448" i="9"/>
  <c r="FH533" i="9"/>
  <c r="FD532" i="9"/>
  <c r="FP531" i="9"/>
  <c r="FC531" i="9"/>
  <c r="FN530" i="9"/>
  <c r="EZ530" i="9"/>
  <c r="FL529" i="9"/>
  <c r="EX529" i="9"/>
  <c r="FM528" i="9"/>
  <c r="FB528" i="9"/>
  <c r="FP527" i="9"/>
  <c r="FG527" i="9"/>
  <c r="EV527" i="9"/>
  <c r="FP525" i="9"/>
  <c r="FG525" i="9"/>
  <c r="EV525" i="9"/>
  <c r="FJ524" i="9"/>
  <c r="EZ524" i="9"/>
  <c r="FN523" i="9"/>
  <c r="FC523" i="9"/>
  <c r="FH522" i="9"/>
  <c r="FL521" i="9"/>
  <c r="FA521" i="9"/>
  <c r="FO520" i="9"/>
  <c r="FD520" i="9"/>
  <c r="EU520" i="9"/>
  <c r="FI519" i="9"/>
  <c r="EX519" i="9"/>
  <c r="FM518" i="9"/>
  <c r="FB518" i="9"/>
  <c r="FP517" i="9"/>
  <c r="FG517" i="9"/>
  <c r="EV517" i="9"/>
  <c r="FJ516" i="9"/>
  <c r="EZ516" i="9"/>
  <c r="FN515" i="9"/>
  <c r="FC515" i="9"/>
  <c r="FH514" i="9"/>
  <c r="FL513" i="9"/>
  <c r="FA513" i="9"/>
  <c r="FO512" i="9"/>
  <c r="FD512" i="9"/>
  <c r="EU512" i="9"/>
  <c r="FO510" i="9"/>
  <c r="FD510" i="9"/>
  <c r="EU510" i="9"/>
  <c r="FI509" i="9"/>
  <c r="EX509" i="9"/>
  <c r="FM508" i="9"/>
  <c r="FB508" i="9"/>
  <c r="FP507" i="9"/>
  <c r="FG507" i="9"/>
  <c r="EV507" i="9"/>
  <c r="FJ506" i="9"/>
  <c r="EZ506" i="9"/>
  <c r="FN505" i="9"/>
  <c r="FC505" i="9"/>
  <c r="FH504" i="9"/>
  <c r="FL503" i="9"/>
  <c r="FA503" i="9"/>
  <c r="GK503" i="9" s="1"/>
  <c r="HE503" i="9" s="1"/>
  <c r="CC503" i="9" s="1"/>
  <c r="FO502" i="9"/>
  <c r="FD502" i="9"/>
  <c r="EU502" i="9"/>
  <c r="FI501" i="9"/>
  <c r="EX501" i="9"/>
  <c r="FM500" i="9"/>
  <c r="FB500" i="9"/>
  <c r="FP499" i="9"/>
  <c r="FG499" i="9"/>
  <c r="EV499" i="9"/>
  <c r="FJ498" i="9"/>
  <c r="EZ498" i="9"/>
  <c r="FN497" i="9"/>
  <c r="FC497" i="9"/>
  <c r="FI451" i="9"/>
  <c r="EX451" i="9"/>
  <c r="FM450" i="9"/>
  <c r="FB450" i="9"/>
  <c r="FP449" i="9"/>
  <c r="FG449" i="9"/>
  <c r="EV449" i="9"/>
  <c r="EU534" i="9"/>
  <c r="FG533" i="9"/>
  <c r="FP532" i="9"/>
  <c r="FB532" i="9"/>
  <c r="GL532" i="9"/>
  <c r="FO531" i="9"/>
  <c r="FA531" i="9"/>
  <c r="FM530" i="9"/>
  <c r="EX530" i="9"/>
  <c r="FI529" i="9"/>
  <c r="FL528" i="9"/>
  <c r="FA528" i="9"/>
  <c r="FO527" i="9"/>
  <c r="FD527" i="9"/>
  <c r="EU527" i="9"/>
  <c r="FO525" i="9"/>
  <c r="FD525" i="9"/>
  <c r="EU525" i="9"/>
  <c r="FI524" i="9"/>
  <c r="EX524" i="9"/>
  <c r="FM523" i="9"/>
  <c r="FB523" i="9"/>
  <c r="FP522" i="9"/>
  <c r="FG522" i="9"/>
  <c r="EV522" i="9"/>
  <c r="FJ521" i="9"/>
  <c r="EZ521" i="9"/>
  <c r="FN520" i="9"/>
  <c r="FC520" i="9"/>
  <c r="FH519" i="9"/>
  <c r="FL518" i="9"/>
  <c r="FA518" i="9"/>
  <c r="FO517" i="9"/>
  <c r="FD517" i="9"/>
  <c r="EU517" i="9"/>
  <c r="FI516" i="9"/>
  <c r="EX516" i="9"/>
  <c r="FM515" i="9"/>
  <c r="FB515" i="9"/>
  <c r="FP514" i="9"/>
  <c r="FG514" i="9"/>
  <c r="EV514" i="9"/>
  <c r="FJ513" i="9"/>
  <c r="EZ513" i="9"/>
  <c r="FN512" i="9"/>
  <c r="FC512" i="9"/>
  <c r="FN510" i="9"/>
  <c r="FC510" i="9"/>
  <c r="FH509" i="9"/>
  <c r="FL508" i="9"/>
  <c r="FA508" i="9"/>
  <c r="FO507" i="9"/>
  <c r="FD507" i="9"/>
  <c r="EU507" i="9"/>
  <c r="FI506" i="9"/>
  <c r="EX506" i="9"/>
  <c r="FM505" i="9"/>
  <c r="FB505" i="9"/>
  <c r="GL505" i="9" s="1"/>
  <c r="FP504" i="9"/>
  <c r="FG504" i="9"/>
  <c r="EV504" i="9"/>
  <c r="FJ503" i="9"/>
  <c r="EZ503" i="9"/>
  <c r="FN502" i="9"/>
  <c r="FC502" i="9"/>
  <c r="FH501" i="9"/>
  <c r="FL500" i="9"/>
  <c r="FA500" i="9"/>
  <c r="FO499" i="9"/>
  <c r="FD499" i="9"/>
  <c r="EU499" i="9"/>
  <c r="FI498" i="9"/>
  <c r="EX498" i="9"/>
  <c r="FM497" i="9"/>
  <c r="FB497" i="9"/>
  <c r="FH451" i="9"/>
  <c r="FL450" i="9"/>
  <c r="FA450" i="9"/>
  <c r="FO449" i="9"/>
  <c r="FD449" i="9"/>
  <c r="GN449" i="9" s="1"/>
  <c r="EU449" i="9"/>
  <c r="FC533" i="9"/>
  <c r="FO532" i="9"/>
  <c r="FA532" i="9"/>
  <c r="FN531" i="9"/>
  <c r="EZ531" i="9"/>
  <c r="FJ530" i="9"/>
  <c r="FH529" i="9"/>
  <c r="EV529" i="9"/>
  <c r="FJ528" i="9"/>
  <c r="EZ528" i="9"/>
  <c r="FN527" i="9"/>
  <c r="FC527" i="9"/>
  <c r="FN525" i="9"/>
  <c r="FC525" i="9"/>
  <c r="FH524" i="9"/>
  <c r="FL523" i="9"/>
  <c r="FA523" i="9"/>
  <c r="FO522" i="9"/>
  <c r="FD522" i="9"/>
  <c r="EU522" i="9"/>
  <c r="FI521" i="9"/>
  <c r="EX521" i="9"/>
  <c r="FM520" i="9"/>
  <c r="FB520" i="9"/>
  <c r="FP519" i="9"/>
  <c r="FG519" i="9"/>
  <c r="EV519" i="9"/>
  <c r="FJ518" i="9"/>
  <c r="EZ518" i="9"/>
  <c r="FN517" i="9"/>
  <c r="FC517" i="9"/>
  <c r="FH516" i="9"/>
  <c r="FL515" i="9"/>
  <c r="FA515" i="9"/>
  <c r="FO514" i="9"/>
  <c r="FD514" i="9"/>
  <c r="GN514" i="9" s="1"/>
  <c r="EU514" i="9"/>
  <c r="FI513" i="9"/>
  <c r="EX513" i="9"/>
  <c r="FM512" i="9"/>
  <c r="FB512" i="9"/>
  <c r="FM510" i="9"/>
  <c r="FB510" i="9"/>
  <c r="FP509" i="9"/>
  <c r="FG509" i="9"/>
  <c r="EV509" i="9"/>
  <c r="FJ508" i="9"/>
  <c r="EZ508" i="9"/>
  <c r="FN507" i="9"/>
  <c r="FC507" i="9"/>
  <c r="FH506" i="9"/>
  <c r="FL505" i="9"/>
  <c r="FA505" i="9"/>
  <c r="FO504" i="9"/>
  <c r="FD504" i="9"/>
  <c r="EU504" i="9"/>
  <c r="FI503" i="9"/>
  <c r="EX503" i="9"/>
  <c r="FM502" i="9"/>
  <c r="FB502" i="9"/>
  <c r="FP501" i="9"/>
  <c r="FG501" i="9"/>
  <c r="EV501" i="9"/>
  <c r="FJ500" i="9"/>
  <c r="EZ500" i="9"/>
  <c r="FN499" i="9"/>
  <c r="FC499" i="9"/>
  <c r="FH498" i="9"/>
  <c r="FL497" i="9"/>
  <c r="FA497" i="9"/>
  <c r="FP451" i="9"/>
  <c r="FG451" i="9"/>
  <c r="EV451" i="9"/>
  <c r="FJ450" i="9"/>
  <c r="EZ450" i="9"/>
  <c r="FN449" i="9"/>
  <c r="FC449" i="9"/>
  <c r="FP533" i="9"/>
  <c r="FB533" i="9"/>
  <c r="FM532" i="9"/>
  <c r="EZ532" i="9"/>
  <c r="FL531" i="9"/>
  <c r="EX531" i="9"/>
  <c r="FI530" i="9"/>
  <c r="EU530" i="9"/>
  <c r="FG529" i="9"/>
  <c r="EU529" i="9"/>
  <c r="FI528" i="9"/>
  <c r="EX528" i="9"/>
  <c r="FM527" i="9"/>
  <c r="FB527" i="9"/>
  <c r="FM525" i="9"/>
  <c r="FB525" i="9"/>
  <c r="FP524" i="9"/>
  <c r="FG524" i="9"/>
  <c r="EV524" i="9"/>
  <c r="FJ523" i="9"/>
  <c r="EZ523" i="9"/>
  <c r="FN522" i="9"/>
  <c r="FC522" i="9"/>
  <c r="FH521" i="9"/>
  <c r="FL520" i="9"/>
  <c r="FA520" i="9"/>
  <c r="FO519" i="9"/>
  <c r="FD519" i="9"/>
  <c r="GN519" i="9" s="1"/>
  <c r="EU519" i="9"/>
  <c r="FI518" i="9"/>
  <c r="EX518" i="9"/>
  <c r="FM517" i="9"/>
  <c r="FB517" i="9"/>
  <c r="FP516" i="9"/>
  <c r="FG516" i="9"/>
  <c r="EV516" i="9"/>
  <c r="FJ515" i="9"/>
  <c r="EZ515" i="9"/>
  <c r="FN514" i="9"/>
  <c r="FC514" i="9"/>
  <c r="FH513" i="9"/>
  <c r="FL512" i="9"/>
  <c r="FA512" i="9"/>
  <c r="FL510" i="9"/>
  <c r="FA510" i="9"/>
  <c r="FO509" i="9"/>
  <c r="FD509" i="9"/>
  <c r="EU509" i="9"/>
  <c r="FI508" i="9"/>
  <c r="EX508" i="9"/>
  <c r="FM507" i="9"/>
  <c r="FB507" i="9"/>
  <c r="FP506" i="9"/>
  <c r="FG506" i="9"/>
  <c r="EV506" i="9"/>
  <c r="FJ505" i="9"/>
  <c r="EZ505" i="9"/>
  <c r="FN504" i="9"/>
  <c r="FC504" i="9"/>
  <c r="GM504" i="9" s="1"/>
  <c r="HG504" i="9" s="1"/>
  <c r="CE504" i="9" s="1"/>
  <c r="FH503" i="9"/>
  <c r="FL502" i="9"/>
  <c r="FA502" i="9"/>
  <c r="FO501" i="9"/>
  <c r="FD501" i="9"/>
  <c r="EU501" i="9"/>
  <c r="FI500" i="9"/>
  <c r="EX500" i="9"/>
  <c r="FM499" i="9"/>
  <c r="FB499" i="9"/>
  <c r="FP498" i="9"/>
  <c r="FG498" i="9"/>
  <c r="EV498" i="9"/>
  <c r="FJ497" i="9"/>
  <c r="EZ497" i="9"/>
  <c r="FO451" i="9"/>
  <c r="FD451" i="9"/>
  <c r="EU451" i="9"/>
  <c r="FI450" i="9"/>
  <c r="EX450" i="9"/>
  <c r="FM449" i="9"/>
  <c r="FB449" i="9"/>
  <c r="FP448" i="9"/>
  <c r="FB448" i="9"/>
  <c r="FO447" i="9"/>
  <c r="FD447" i="9"/>
  <c r="EU447" i="9"/>
  <c r="FI446" i="9"/>
  <c r="EX446" i="9"/>
  <c r="FM445" i="9"/>
  <c r="FB445" i="9"/>
  <c r="GL445" i="9" s="1"/>
  <c r="FP444" i="9"/>
  <c r="FG444" i="9"/>
  <c r="EV444" i="9"/>
  <c r="FJ443" i="9"/>
  <c r="EZ443" i="9"/>
  <c r="FN442" i="9"/>
  <c r="FC442" i="9"/>
  <c r="FH441" i="9"/>
  <c r="FL440" i="9"/>
  <c r="FA440" i="9"/>
  <c r="FO439" i="9"/>
  <c r="FD439" i="9"/>
  <c r="EU439" i="9"/>
  <c r="FI438" i="9"/>
  <c r="EX438" i="9"/>
  <c r="FI436" i="9"/>
  <c r="EX436" i="9"/>
  <c r="FM435" i="9"/>
  <c r="FB435" i="9"/>
  <c r="FP434" i="9"/>
  <c r="FG434" i="9"/>
  <c r="EV434" i="9"/>
  <c r="FP433" i="9"/>
  <c r="FG433" i="9"/>
  <c r="EV433" i="9"/>
  <c r="FP432" i="9"/>
  <c r="FG432" i="9"/>
  <c r="EV432" i="9"/>
  <c r="FP431" i="9"/>
  <c r="FG431" i="9"/>
  <c r="EV431" i="9"/>
  <c r="FP430" i="9"/>
  <c r="FG430" i="9"/>
  <c r="EV430" i="9"/>
  <c r="FP429" i="9"/>
  <c r="FG429" i="9"/>
  <c r="EV429" i="9"/>
  <c r="FP428" i="9"/>
  <c r="FG428" i="9"/>
  <c r="EV428" i="9"/>
  <c r="FP427" i="9"/>
  <c r="FG427" i="9"/>
  <c r="EV427" i="9"/>
  <c r="FJ426" i="9"/>
  <c r="EZ426" i="9"/>
  <c r="FN425" i="9"/>
  <c r="FC425" i="9"/>
  <c r="GM425" i="9" s="1"/>
  <c r="HG425" i="9" s="1"/>
  <c r="CE425" i="9" s="1"/>
  <c r="FH424" i="9"/>
  <c r="FL423" i="9"/>
  <c r="FA423" i="9"/>
  <c r="FH421" i="9"/>
  <c r="FL420" i="9"/>
  <c r="FA420" i="9"/>
  <c r="GK420" i="9" s="1"/>
  <c r="HE420" i="9" s="1"/>
  <c r="CC420" i="9" s="1"/>
  <c r="FO419" i="9"/>
  <c r="FD419" i="9"/>
  <c r="EU419" i="9"/>
  <c r="FO418" i="9"/>
  <c r="FD418" i="9"/>
  <c r="EU418" i="9"/>
  <c r="FO417" i="9"/>
  <c r="FD417" i="9"/>
  <c r="GN417" i="9" s="1"/>
  <c r="EU417" i="9"/>
  <c r="FO416" i="9"/>
  <c r="FD416" i="9"/>
  <c r="EU416" i="9"/>
  <c r="FO415" i="9"/>
  <c r="FD415" i="9"/>
  <c r="EU415" i="9"/>
  <c r="FO414" i="9"/>
  <c r="FD414" i="9"/>
  <c r="EU414" i="9"/>
  <c r="FO413" i="9"/>
  <c r="FD413" i="9"/>
  <c r="EU413" i="9"/>
  <c r="FO412" i="9"/>
  <c r="FD412" i="9"/>
  <c r="EU412" i="9"/>
  <c r="FI411" i="9"/>
  <c r="EX411" i="9"/>
  <c r="FM410" i="9"/>
  <c r="FB410" i="9"/>
  <c r="FP409" i="9"/>
  <c r="FG409" i="9"/>
  <c r="EV409" i="9"/>
  <c r="FJ408" i="9"/>
  <c r="EZ408" i="9"/>
  <c r="FP406" i="9"/>
  <c r="FG406" i="9"/>
  <c r="FA448" i="9"/>
  <c r="FN447" i="9"/>
  <c r="FC447" i="9"/>
  <c r="FH446" i="9"/>
  <c r="FL445" i="9"/>
  <c r="FA445" i="9"/>
  <c r="FO444" i="9"/>
  <c r="FD444" i="9"/>
  <c r="EU444" i="9"/>
  <c r="FI443" i="9"/>
  <c r="EX443" i="9"/>
  <c r="FM442" i="9"/>
  <c r="FB442" i="9"/>
  <c r="FP441" i="9"/>
  <c r="FG441" i="9"/>
  <c r="EV441" i="9"/>
  <c r="FJ440" i="9"/>
  <c r="EZ440" i="9"/>
  <c r="FN439" i="9"/>
  <c r="FC439" i="9"/>
  <c r="GM439" i="9" s="1"/>
  <c r="HG439" i="9" s="1"/>
  <c r="CE439" i="9" s="1"/>
  <c r="FH438" i="9"/>
  <c r="FH436" i="9"/>
  <c r="FL435" i="9"/>
  <c r="FA435" i="9"/>
  <c r="FO434" i="9"/>
  <c r="FD434" i="9"/>
  <c r="GN434" i="9" s="1"/>
  <c r="EU434" i="9"/>
  <c r="FO433" i="9"/>
  <c r="FD433" i="9"/>
  <c r="EU433" i="9"/>
  <c r="FO432" i="9"/>
  <c r="FD432" i="9"/>
  <c r="EU432" i="9"/>
  <c r="FO431" i="9"/>
  <c r="FD431" i="9"/>
  <c r="EU431" i="9"/>
  <c r="FO430" i="9"/>
  <c r="FD430" i="9"/>
  <c r="EU430" i="9"/>
  <c r="FO429" i="9"/>
  <c r="FD429" i="9"/>
  <c r="EU429" i="9"/>
  <c r="FO428" i="9"/>
  <c r="FD428" i="9"/>
  <c r="EU428" i="9"/>
  <c r="FO427" i="9"/>
  <c r="FD427" i="9"/>
  <c r="EU427" i="9"/>
  <c r="FI426" i="9"/>
  <c r="EX426" i="9"/>
  <c r="FM425" i="9"/>
  <c r="FB425" i="9"/>
  <c r="FP424" i="9"/>
  <c r="FG424" i="9"/>
  <c r="EV424" i="9"/>
  <c r="FJ423" i="9"/>
  <c r="EZ423" i="9"/>
  <c r="FP421" i="9"/>
  <c r="FG421" i="9"/>
  <c r="EV421" i="9"/>
  <c r="FJ420" i="9"/>
  <c r="EZ420" i="9"/>
  <c r="FN419" i="9"/>
  <c r="FC419" i="9"/>
  <c r="FN418" i="9"/>
  <c r="FC418" i="9"/>
  <c r="GM418" i="9" s="1"/>
  <c r="HG418" i="9" s="1"/>
  <c r="CE418" i="9" s="1"/>
  <c r="FN417" i="9"/>
  <c r="FC417" i="9"/>
  <c r="FN416" i="9"/>
  <c r="FC416" i="9"/>
  <c r="FN415" i="9"/>
  <c r="FC415" i="9"/>
  <c r="FN414" i="9"/>
  <c r="FC414" i="9"/>
  <c r="GM414" i="9" s="1"/>
  <c r="HG414" i="9" s="1"/>
  <c r="CE414" i="9" s="1"/>
  <c r="FN413" i="9"/>
  <c r="FC413" i="9"/>
  <c r="FN412" i="9"/>
  <c r="FC412" i="9"/>
  <c r="FH411" i="9"/>
  <c r="FL410" i="9"/>
  <c r="FA410" i="9"/>
  <c r="GK410" i="9" s="1"/>
  <c r="HE410" i="9" s="1"/>
  <c r="CC410" i="9" s="1"/>
  <c r="FO409" i="9"/>
  <c r="FD409" i="9"/>
  <c r="EU409" i="9"/>
  <c r="FI408" i="9"/>
  <c r="EX408" i="9"/>
  <c r="FO406" i="9"/>
  <c r="FD406" i="9"/>
  <c r="EZ448" i="9"/>
  <c r="FM447" i="9"/>
  <c r="FB447" i="9"/>
  <c r="FP446" i="9"/>
  <c r="FG446" i="9"/>
  <c r="EV446" i="9"/>
  <c r="FJ445" i="9"/>
  <c r="EZ445" i="9"/>
  <c r="FN444" i="9"/>
  <c r="FC444" i="9"/>
  <c r="FH443" i="9"/>
  <c r="FL442" i="9"/>
  <c r="FA442" i="9"/>
  <c r="FO441" i="9"/>
  <c r="FD441" i="9"/>
  <c r="EU441" i="9"/>
  <c r="FI440" i="9"/>
  <c r="EX440" i="9"/>
  <c r="FM439" i="9"/>
  <c r="FB439" i="9"/>
  <c r="FP438" i="9"/>
  <c r="FG438" i="9"/>
  <c r="EV438" i="9"/>
  <c r="FP436" i="9"/>
  <c r="FG436" i="9"/>
  <c r="EV436" i="9"/>
  <c r="FJ435" i="9"/>
  <c r="EZ435" i="9"/>
  <c r="FN434" i="9"/>
  <c r="FC434" i="9"/>
  <c r="FN433" i="9"/>
  <c r="FC433" i="9"/>
  <c r="FN432" i="9"/>
  <c r="FC432" i="9"/>
  <c r="FN431" i="9"/>
  <c r="FC431" i="9"/>
  <c r="FN430" i="9"/>
  <c r="FC430" i="9"/>
  <c r="FN429" i="9"/>
  <c r="FC429" i="9"/>
  <c r="FN428" i="9"/>
  <c r="FC428" i="9"/>
  <c r="FN427" i="9"/>
  <c r="FC427" i="9"/>
  <c r="FH426" i="9"/>
  <c r="FL425" i="9"/>
  <c r="FA425" i="9"/>
  <c r="FO424" i="9"/>
  <c r="FD424" i="9"/>
  <c r="EU424" i="9"/>
  <c r="FI423" i="9"/>
  <c r="EX423" i="9"/>
  <c r="FO421" i="9"/>
  <c r="FD421" i="9"/>
  <c r="EU421" i="9"/>
  <c r="FI420" i="9"/>
  <c r="EX420" i="9"/>
  <c r="FM419" i="9"/>
  <c r="FB419" i="9"/>
  <c r="FM418" i="9"/>
  <c r="FB418" i="9"/>
  <c r="FM417" i="9"/>
  <c r="FB417" i="9"/>
  <c r="GL417" i="9"/>
  <c r="FM416" i="9"/>
  <c r="FB416" i="9"/>
  <c r="FM415" i="9"/>
  <c r="FB415" i="9"/>
  <c r="FM414" i="9"/>
  <c r="FB414" i="9"/>
  <c r="FM413" i="9"/>
  <c r="FB413" i="9"/>
  <c r="GL413" i="9" s="1"/>
  <c r="FM412" i="9"/>
  <c r="FB412" i="9"/>
  <c r="FP411" i="9"/>
  <c r="FG411" i="9"/>
  <c r="EV411" i="9"/>
  <c r="FJ410" i="9"/>
  <c r="EZ410" i="9"/>
  <c r="FN409" i="9"/>
  <c r="FC409" i="9"/>
  <c r="GM409" i="9"/>
  <c r="HG409" i="9" s="1"/>
  <c r="CE409" i="9" s="1"/>
  <c r="FH408" i="9"/>
  <c r="FN406" i="9"/>
  <c r="FC406" i="9"/>
  <c r="EX448" i="9"/>
  <c r="FL447" i="9"/>
  <c r="FA447" i="9"/>
  <c r="GK447" i="9" s="1"/>
  <c r="HE447" i="9" s="1"/>
  <c r="CC447" i="9" s="1"/>
  <c r="FO446" i="9"/>
  <c r="FD446" i="9"/>
  <c r="EU446" i="9"/>
  <c r="FI445" i="9"/>
  <c r="EX445" i="9"/>
  <c r="FM444" i="9"/>
  <c r="FB444" i="9"/>
  <c r="FP443" i="9"/>
  <c r="FG443" i="9"/>
  <c r="EV443" i="9"/>
  <c r="FJ442" i="9"/>
  <c r="EZ442" i="9"/>
  <c r="FN441" i="9"/>
  <c r="FC441" i="9"/>
  <c r="FH440" i="9"/>
  <c r="FL439" i="9"/>
  <c r="FA439" i="9"/>
  <c r="FO438" i="9"/>
  <c r="FD438" i="9"/>
  <c r="EU438" i="9"/>
  <c r="FO436" i="9"/>
  <c r="FD436" i="9"/>
  <c r="EU436" i="9"/>
  <c r="FI435" i="9"/>
  <c r="EX435" i="9"/>
  <c r="FM434" i="9"/>
  <c r="FB434" i="9"/>
  <c r="FM433" i="9"/>
  <c r="FB433" i="9"/>
  <c r="FM432" i="9"/>
  <c r="FB432" i="9"/>
  <c r="GL432" i="9" s="1"/>
  <c r="FM431" i="9"/>
  <c r="FB431" i="9"/>
  <c r="FM430" i="9"/>
  <c r="FB430" i="9"/>
  <c r="FM429" i="9"/>
  <c r="FB429" i="9"/>
  <c r="FM428" i="9"/>
  <c r="FB428" i="9"/>
  <c r="GL428" i="9" s="1"/>
  <c r="FM427" i="9"/>
  <c r="FB427" i="9"/>
  <c r="FP426" i="9"/>
  <c r="FG426" i="9"/>
  <c r="EV426" i="9"/>
  <c r="FJ425" i="9"/>
  <c r="EZ425" i="9"/>
  <c r="FN424" i="9"/>
  <c r="FC424" i="9"/>
  <c r="FH423" i="9"/>
  <c r="FN421" i="9"/>
  <c r="FC421" i="9"/>
  <c r="FH420" i="9"/>
  <c r="FL419" i="9"/>
  <c r="FA419" i="9"/>
  <c r="FL418" i="9"/>
  <c r="FA418" i="9"/>
  <c r="FL417" i="9"/>
  <c r="FA417" i="9"/>
  <c r="FL416" i="9"/>
  <c r="FA416" i="9"/>
  <c r="FL415" i="9"/>
  <c r="FA415" i="9"/>
  <c r="FL414" i="9"/>
  <c r="FA414" i="9"/>
  <c r="FL413" i="9"/>
  <c r="FA413" i="9"/>
  <c r="FL412" i="9"/>
  <c r="FA412" i="9"/>
  <c r="FO411" i="9"/>
  <c r="FD411" i="9"/>
  <c r="EU411" i="9"/>
  <c r="FI410" i="9"/>
  <c r="EX410" i="9"/>
  <c r="FM409" i="9"/>
  <c r="FB409" i="9"/>
  <c r="FP408" i="9"/>
  <c r="FG408" i="9"/>
  <c r="EV408" i="9"/>
  <c r="FM406" i="9"/>
  <c r="FJ448" i="9"/>
  <c r="FJ447" i="9"/>
  <c r="EZ447" i="9"/>
  <c r="FN446" i="9"/>
  <c r="FC446" i="9"/>
  <c r="FH445" i="9"/>
  <c r="FL444" i="9"/>
  <c r="FA444" i="9"/>
  <c r="FO443" i="9"/>
  <c r="FD443" i="9"/>
  <c r="EU443" i="9"/>
  <c r="FI442" i="9"/>
  <c r="EX442" i="9"/>
  <c r="FM441" i="9"/>
  <c r="FB441" i="9"/>
  <c r="FP440" i="9"/>
  <c r="FG440" i="9"/>
  <c r="EV440" i="9"/>
  <c r="FJ439" i="9"/>
  <c r="EZ439" i="9"/>
  <c r="FN438" i="9"/>
  <c r="FC438" i="9"/>
  <c r="FN436" i="9"/>
  <c r="FC436" i="9"/>
  <c r="FH435" i="9"/>
  <c r="FL434" i="9"/>
  <c r="FA434" i="9"/>
  <c r="GK434" i="9" s="1"/>
  <c r="HE434" i="9" s="1"/>
  <c r="CC434" i="9" s="1"/>
  <c r="FL433" i="9"/>
  <c r="FA433" i="9"/>
  <c r="FL432" i="9"/>
  <c r="FA432" i="9"/>
  <c r="FL431" i="9"/>
  <c r="FA431" i="9"/>
  <c r="FL430" i="9"/>
  <c r="FA430" i="9"/>
  <c r="FL429" i="9"/>
  <c r="FA429" i="9"/>
  <c r="FL428" i="9"/>
  <c r="FA428" i="9"/>
  <c r="FL427" i="9"/>
  <c r="FA427" i="9"/>
  <c r="FO426" i="9"/>
  <c r="FD426" i="9"/>
  <c r="GN426" i="9" s="1"/>
  <c r="EU426" i="9"/>
  <c r="FI425" i="9"/>
  <c r="EX425" i="9"/>
  <c r="FM424" i="9"/>
  <c r="FB424" i="9"/>
  <c r="FP423" i="9"/>
  <c r="FG423" i="9"/>
  <c r="EV423" i="9"/>
  <c r="FM421" i="9"/>
  <c r="FB421" i="9"/>
  <c r="FP420" i="9"/>
  <c r="FG420" i="9"/>
  <c r="EV420" i="9"/>
  <c r="FJ419" i="9"/>
  <c r="EZ419" i="9"/>
  <c r="FJ418" i="9"/>
  <c r="EZ418" i="9"/>
  <c r="FJ417" i="9"/>
  <c r="EZ417" i="9"/>
  <c r="FJ416" i="9"/>
  <c r="EZ416" i="9"/>
  <c r="FJ415" i="9"/>
  <c r="EZ415" i="9"/>
  <c r="FJ414" i="9"/>
  <c r="EZ414" i="9"/>
  <c r="FJ413" i="9"/>
  <c r="EZ413" i="9"/>
  <c r="FJ412" i="9"/>
  <c r="EZ412" i="9"/>
  <c r="FN411" i="9"/>
  <c r="FC411" i="9"/>
  <c r="FH410" i="9"/>
  <c r="FL409" i="9"/>
  <c r="FA409" i="9"/>
  <c r="FO408" i="9"/>
  <c r="FD408" i="9"/>
  <c r="EU408" i="9"/>
  <c r="FL406" i="9"/>
  <c r="FA406" i="9"/>
  <c r="FI448" i="9"/>
  <c r="EV448" i="9"/>
  <c r="FI447" i="9"/>
  <c r="EX447" i="9"/>
  <c r="FM446" i="9"/>
  <c r="FB446" i="9"/>
  <c r="FP445" i="9"/>
  <c r="FG445" i="9"/>
  <c r="EV445" i="9"/>
  <c r="FJ444" i="9"/>
  <c r="EZ444" i="9"/>
  <c r="FN443" i="9"/>
  <c r="FC443" i="9"/>
  <c r="FH442" i="9"/>
  <c r="FL441" i="9"/>
  <c r="FA441" i="9"/>
  <c r="FO440" i="9"/>
  <c r="FD440" i="9"/>
  <c r="EU440" i="9"/>
  <c r="FI439" i="9"/>
  <c r="EX439" i="9"/>
  <c r="FM438" i="9"/>
  <c r="FB438" i="9"/>
  <c r="GL438" i="9" s="1"/>
  <c r="FM436" i="9"/>
  <c r="FB436" i="9"/>
  <c r="FP435" i="9"/>
  <c r="FG435" i="9"/>
  <c r="EV435" i="9"/>
  <c r="FJ434" i="9"/>
  <c r="EZ434" i="9"/>
  <c r="FJ433" i="9"/>
  <c r="EZ433" i="9"/>
  <c r="FJ432" i="9"/>
  <c r="EZ432" i="9"/>
  <c r="FJ431" i="9"/>
  <c r="EZ431" i="9"/>
  <c r="FJ430" i="9"/>
  <c r="EZ430" i="9"/>
  <c r="FJ429" i="9"/>
  <c r="EZ429" i="9"/>
  <c r="FJ428" i="9"/>
  <c r="EZ428" i="9"/>
  <c r="FJ427" i="9"/>
  <c r="EZ427" i="9"/>
  <c r="FN426" i="9"/>
  <c r="FC426" i="9"/>
  <c r="FH425" i="9"/>
  <c r="FL424" i="9"/>
  <c r="FA424" i="9"/>
  <c r="FO423" i="9"/>
  <c r="FD423" i="9"/>
  <c r="EU423" i="9"/>
  <c r="FL421" i="9"/>
  <c r="FA421" i="9"/>
  <c r="FO420" i="9"/>
  <c r="FD420" i="9"/>
  <c r="EU420" i="9"/>
  <c r="FI419" i="9"/>
  <c r="EX419" i="9"/>
  <c r="FI418" i="9"/>
  <c r="EX418" i="9"/>
  <c r="FI417" i="9"/>
  <c r="EX417" i="9"/>
  <c r="FI416" i="9"/>
  <c r="EX416" i="9"/>
  <c r="FI415" i="9"/>
  <c r="EX415" i="9"/>
  <c r="FI414" i="9"/>
  <c r="EX414" i="9"/>
  <c r="FI413" i="9"/>
  <c r="EX413" i="9"/>
  <c r="FI412" i="9"/>
  <c r="EX412" i="9"/>
  <c r="FM411" i="9"/>
  <c r="FB411" i="9"/>
  <c r="FP410" i="9"/>
  <c r="FG410" i="9"/>
  <c r="EV410" i="9"/>
  <c r="FJ409" i="9"/>
  <c r="EZ409" i="9"/>
  <c r="FN408" i="9"/>
  <c r="FC408" i="9"/>
  <c r="FJ406" i="9"/>
  <c r="EZ406" i="9"/>
  <c r="FN405" i="9"/>
  <c r="FC405" i="9"/>
  <c r="FH404" i="9"/>
  <c r="FL403" i="9"/>
  <c r="FA403" i="9"/>
  <c r="FO402" i="9"/>
  <c r="FD402" i="9"/>
  <c r="EU402" i="9"/>
  <c r="FI401" i="9"/>
  <c r="FH448" i="9"/>
  <c r="FH447" i="9"/>
  <c r="FL446" i="9"/>
  <c r="FA446" i="9"/>
  <c r="FO445" i="9"/>
  <c r="FD445" i="9"/>
  <c r="EU445" i="9"/>
  <c r="FI444" i="9"/>
  <c r="EX444" i="9"/>
  <c r="FM443" i="9"/>
  <c r="FB443" i="9"/>
  <c r="FP442" i="9"/>
  <c r="FG442" i="9"/>
  <c r="EV442" i="9"/>
  <c r="FJ441" i="9"/>
  <c r="EZ441" i="9"/>
  <c r="FN440" i="9"/>
  <c r="FC440" i="9"/>
  <c r="FH439" i="9"/>
  <c r="FL438" i="9"/>
  <c r="FA438" i="9"/>
  <c r="FL436" i="9"/>
  <c r="FA436" i="9"/>
  <c r="FO435" i="9"/>
  <c r="FD435" i="9"/>
  <c r="EU435" i="9"/>
  <c r="FI434" i="9"/>
  <c r="EX434" i="9"/>
  <c r="FI433" i="9"/>
  <c r="EX433" i="9"/>
  <c r="FI432" i="9"/>
  <c r="EX432" i="9"/>
  <c r="FI431" i="9"/>
  <c r="EX431" i="9"/>
  <c r="FI430" i="9"/>
  <c r="EX430" i="9"/>
  <c r="FI429" i="9"/>
  <c r="EX429" i="9"/>
  <c r="FI428" i="9"/>
  <c r="EX428" i="9"/>
  <c r="FI427" i="9"/>
  <c r="EX427" i="9"/>
  <c r="FM426" i="9"/>
  <c r="FB426" i="9"/>
  <c r="FP425" i="9"/>
  <c r="FG425" i="9"/>
  <c r="EV425" i="9"/>
  <c r="FJ424" i="9"/>
  <c r="EZ424" i="9"/>
  <c r="FN423" i="9"/>
  <c r="FC423" i="9"/>
  <c r="FJ421" i="9"/>
  <c r="EZ421" i="9"/>
  <c r="FN420" i="9"/>
  <c r="FC420" i="9"/>
  <c r="GM420" i="9" s="1"/>
  <c r="HG420" i="9" s="1"/>
  <c r="CE420" i="9" s="1"/>
  <c r="FH419" i="9"/>
  <c r="FH418" i="9"/>
  <c r="FH417" i="9"/>
  <c r="FH416" i="9"/>
  <c r="FH415" i="9"/>
  <c r="FH414" i="9"/>
  <c r="FH413" i="9"/>
  <c r="FH412" i="9"/>
  <c r="FL411" i="9"/>
  <c r="FA411" i="9"/>
  <c r="FO410" i="9"/>
  <c r="FD410" i="9"/>
  <c r="EU410" i="9"/>
  <c r="FI409" i="9"/>
  <c r="EX409" i="9"/>
  <c r="FM408" i="9"/>
  <c r="FB408" i="9"/>
  <c r="FI406" i="9"/>
  <c r="EX406" i="9"/>
  <c r="FM405" i="9"/>
  <c r="FB405" i="9"/>
  <c r="FP404" i="9"/>
  <c r="FG404" i="9"/>
  <c r="EV404" i="9"/>
  <c r="FJ403" i="9"/>
  <c r="EZ403" i="9"/>
  <c r="FN402" i="9"/>
  <c r="FC402" i="9"/>
  <c r="FH401" i="9"/>
  <c r="EV447" i="9"/>
  <c r="FH444" i="9"/>
  <c r="EU442" i="9"/>
  <c r="FP439" i="9"/>
  <c r="FC435" i="9"/>
  <c r="FO425" i="9"/>
  <c r="FB423" i="9"/>
  <c r="FB420" i="9"/>
  <c r="EV415" i="9"/>
  <c r="FG414" i="9"/>
  <c r="FP413" i="9"/>
  <c r="FN410" i="9"/>
  <c r="FD405" i="9"/>
  <c r="FO404" i="9"/>
  <c r="FB404" i="9"/>
  <c r="FN403" i="9"/>
  <c r="EX403" i="9"/>
  <c r="FJ402" i="9"/>
  <c r="FJ401" i="9"/>
  <c r="FL400" i="9"/>
  <c r="FA400" i="9"/>
  <c r="FO399" i="9"/>
  <c r="FD399" i="9"/>
  <c r="EU399" i="9"/>
  <c r="FI398" i="9"/>
  <c r="EX398" i="9"/>
  <c r="FO397" i="9"/>
  <c r="FD397" i="9"/>
  <c r="EU397" i="9"/>
  <c r="FL396" i="9"/>
  <c r="FA396" i="9"/>
  <c r="FH395" i="9"/>
  <c r="FN394" i="9"/>
  <c r="FC394" i="9"/>
  <c r="FJ393" i="9"/>
  <c r="EZ393" i="9"/>
  <c r="FH391" i="9"/>
  <c r="FP390" i="9"/>
  <c r="FG390" i="9"/>
  <c r="EV390" i="9"/>
  <c r="FO389" i="9"/>
  <c r="FD389" i="9"/>
  <c r="EU389" i="9"/>
  <c r="FN388" i="9"/>
  <c r="FC388" i="9"/>
  <c r="FM387" i="9"/>
  <c r="FB387" i="9"/>
  <c r="FL386" i="9"/>
  <c r="FA386" i="9"/>
  <c r="FJ385" i="9"/>
  <c r="EZ385" i="9"/>
  <c r="FL384" i="9"/>
  <c r="FA384" i="9"/>
  <c r="FH383" i="9"/>
  <c r="FL382" i="9"/>
  <c r="FA382" i="9"/>
  <c r="FO381" i="9"/>
  <c r="FD381" i="9"/>
  <c r="EU381" i="9"/>
  <c r="FI380" i="9"/>
  <c r="EX380" i="9"/>
  <c r="FM379" i="9"/>
  <c r="FB379" i="9"/>
  <c r="FP378" i="9"/>
  <c r="FG378" i="9"/>
  <c r="EV378" i="9"/>
  <c r="FL377" i="9"/>
  <c r="FA377" i="9"/>
  <c r="FJ376" i="9"/>
  <c r="EZ376" i="9"/>
  <c r="FI375" i="9"/>
  <c r="EX375" i="9"/>
  <c r="FH374" i="9"/>
  <c r="FP373" i="9"/>
  <c r="FG373" i="9"/>
  <c r="EV373" i="9"/>
  <c r="FO372" i="9"/>
  <c r="FD372" i="9"/>
  <c r="EU372" i="9"/>
  <c r="FN371" i="9"/>
  <c r="FC371" i="9"/>
  <c r="FM370" i="9"/>
  <c r="FB370" i="9"/>
  <c r="FL369" i="9"/>
  <c r="FA369" i="9"/>
  <c r="FJ368" i="9"/>
  <c r="EZ368" i="9"/>
  <c r="FI367" i="9"/>
  <c r="EX367" i="9"/>
  <c r="FH366" i="9"/>
  <c r="FP365" i="9"/>
  <c r="FG365" i="9"/>
  <c r="EV365" i="9"/>
  <c r="FO364" i="9"/>
  <c r="FD364" i="9"/>
  <c r="EU364" i="9"/>
  <c r="FN363" i="9"/>
  <c r="FC363" i="9"/>
  <c r="FM362" i="9"/>
  <c r="FB362" i="9"/>
  <c r="FL361" i="9"/>
  <c r="FA361" i="9"/>
  <c r="FJ360" i="9"/>
  <c r="EZ360" i="9"/>
  <c r="FI359" i="9"/>
  <c r="EX359" i="9"/>
  <c r="FH358" i="9"/>
  <c r="FP357" i="9"/>
  <c r="FG357" i="9"/>
  <c r="EV357" i="9"/>
  <c r="FO356" i="9"/>
  <c r="FD356" i="9"/>
  <c r="EU356" i="9"/>
  <c r="FN355" i="9"/>
  <c r="FC355" i="9"/>
  <c r="FM354" i="9"/>
  <c r="FB354" i="9"/>
  <c r="FL353" i="9"/>
  <c r="FA353" i="9"/>
  <c r="FJ352" i="9"/>
  <c r="EZ352" i="9"/>
  <c r="FI351" i="9"/>
  <c r="EX351" i="9"/>
  <c r="FH350" i="9"/>
  <c r="FP349" i="9"/>
  <c r="FG349" i="9"/>
  <c r="EV349" i="9"/>
  <c r="FO348" i="9"/>
  <c r="FD348" i="9"/>
  <c r="GN348" i="9"/>
  <c r="GY348" i="9" s="1"/>
  <c r="GZ348" i="9" s="1"/>
  <c r="HH348" i="9" s="1"/>
  <c r="EU348" i="9"/>
  <c r="FN347" i="9"/>
  <c r="FC347" i="9"/>
  <c r="FM346" i="9"/>
  <c r="FB346" i="9"/>
  <c r="FL345" i="9"/>
  <c r="FA345" i="9"/>
  <c r="FJ344" i="9"/>
  <c r="EZ344" i="9"/>
  <c r="FI343" i="9"/>
  <c r="EX343" i="9"/>
  <c r="FH342" i="9"/>
  <c r="FP341" i="9"/>
  <c r="FG341" i="9"/>
  <c r="EV341" i="9"/>
  <c r="FO340" i="9"/>
  <c r="FD340" i="9"/>
  <c r="EU340" i="9"/>
  <c r="FN339" i="9"/>
  <c r="FC339" i="9"/>
  <c r="FM338" i="9"/>
  <c r="FB338" i="9"/>
  <c r="FL337" i="9"/>
  <c r="FA337" i="9"/>
  <c r="FJ336" i="9"/>
  <c r="EZ336" i="9"/>
  <c r="FI335" i="9"/>
  <c r="EX335" i="9"/>
  <c r="FH334" i="9"/>
  <c r="FG439" i="9"/>
  <c r="FD425" i="9"/>
  <c r="EV414" i="9"/>
  <c r="FG413" i="9"/>
  <c r="FP412" i="9"/>
  <c r="FC410" i="9"/>
  <c r="FP405" i="9"/>
  <c r="FA405" i="9"/>
  <c r="FN404" i="9"/>
  <c r="FA404" i="9"/>
  <c r="FM403" i="9"/>
  <c r="FI402" i="9"/>
  <c r="EV402" i="9"/>
  <c r="FG401" i="9"/>
  <c r="EV401" i="9"/>
  <c r="FJ400" i="9"/>
  <c r="EZ400" i="9"/>
  <c r="FN399" i="9"/>
  <c r="FC399" i="9"/>
  <c r="FH398" i="9"/>
  <c r="FN397" i="9"/>
  <c r="FC397" i="9"/>
  <c r="FJ396" i="9"/>
  <c r="EZ396" i="9"/>
  <c r="FP395" i="9"/>
  <c r="FG395" i="9"/>
  <c r="EV395" i="9"/>
  <c r="FM394" i="9"/>
  <c r="FB394" i="9"/>
  <c r="FI393" i="9"/>
  <c r="EX393" i="9"/>
  <c r="FP391" i="9"/>
  <c r="FG391" i="9"/>
  <c r="EV391" i="9"/>
  <c r="FO390" i="9"/>
  <c r="FD390" i="9"/>
  <c r="EU390" i="9"/>
  <c r="FN389" i="9"/>
  <c r="FC389" i="9"/>
  <c r="FM388" i="9"/>
  <c r="FB388" i="9"/>
  <c r="FL387" i="9"/>
  <c r="FA387" i="9"/>
  <c r="FJ386" i="9"/>
  <c r="EZ386" i="9"/>
  <c r="FI385" i="9"/>
  <c r="EX385" i="9"/>
  <c r="FJ384" i="9"/>
  <c r="EZ384" i="9"/>
  <c r="FP383" i="9"/>
  <c r="FG383" i="9"/>
  <c r="EV383" i="9"/>
  <c r="FJ382" i="9"/>
  <c r="EZ382" i="9"/>
  <c r="FN381" i="9"/>
  <c r="FC381" i="9"/>
  <c r="GM381" i="9" s="1"/>
  <c r="HG381" i="9" s="1"/>
  <c r="CE381" i="9" s="1"/>
  <c r="FH380" i="9"/>
  <c r="FL379" i="9"/>
  <c r="FA379" i="9"/>
  <c r="FO378" i="9"/>
  <c r="FD378" i="9"/>
  <c r="EU378" i="9"/>
  <c r="FJ377" i="9"/>
  <c r="EZ377" i="9"/>
  <c r="FI376" i="9"/>
  <c r="EX376" i="9"/>
  <c r="FH375" i="9"/>
  <c r="FP374" i="9"/>
  <c r="FG374" i="9"/>
  <c r="EV374" i="9"/>
  <c r="FO373" i="9"/>
  <c r="FD373" i="9"/>
  <c r="EU373" i="9"/>
  <c r="FN372" i="9"/>
  <c r="FC372" i="9"/>
  <c r="FM371" i="9"/>
  <c r="FB371" i="9"/>
  <c r="GL371" i="9" s="1"/>
  <c r="FL370" i="9"/>
  <c r="FA370" i="9"/>
  <c r="FJ369" i="9"/>
  <c r="EZ369" i="9"/>
  <c r="FI368" i="9"/>
  <c r="EX368" i="9"/>
  <c r="FH367" i="9"/>
  <c r="FP366" i="9"/>
  <c r="FG366" i="9"/>
  <c r="EV366" i="9"/>
  <c r="FO365" i="9"/>
  <c r="FD365" i="9"/>
  <c r="EU365" i="9"/>
  <c r="FN364" i="9"/>
  <c r="FC364" i="9"/>
  <c r="GM364" i="9" s="1"/>
  <c r="HG364" i="9" s="1"/>
  <c r="FM363" i="9"/>
  <c r="FB363" i="9"/>
  <c r="FL362" i="9"/>
  <c r="FA362" i="9"/>
  <c r="FJ361" i="9"/>
  <c r="EZ361" i="9"/>
  <c r="FI360" i="9"/>
  <c r="EX360" i="9"/>
  <c r="FH359" i="9"/>
  <c r="FP358" i="9"/>
  <c r="FG358" i="9"/>
  <c r="EV358" i="9"/>
  <c r="FO357" i="9"/>
  <c r="FD357" i="9"/>
  <c r="EU357" i="9"/>
  <c r="FN356" i="9"/>
  <c r="FC356" i="9"/>
  <c r="FM355" i="9"/>
  <c r="FB355" i="9"/>
  <c r="FL354" i="9"/>
  <c r="FA354" i="9"/>
  <c r="FJ353" i="9"/>
  <c r="EZ353" i="9"/>
  <c r="FI352" i="9"/>
  <c r="EX352" i="9"/>
  <c r="FH351" i="9"/>
  <c r="FP350" i="9"/>
  <c r="FG350" i="9"/>
  <c r="EV350" i="9"/>
  <c r="FO349" i="9"/>
  <c r="FD349" i="9"/>
  <c r="EU349" i="9"/>
  <c r="FN348" i="9"/>
  <c r="FC348" i="9"/>
  <c r="FM347" i="9"/>
  <c r="FB347" i="9"/>
  <c r="FL346" i="9"/>
  <c r="FA346" i="9"/>
  <c r="FJ345" i="9"/>
  <c r="EZ345" i="9"/>
  <c r="FI344" i="9"/>
  <c r="EX344" i="9"/>
  <c r="FH343" i="9"/>
  <c r="FP342" i="9"/>
  <c r="FG342" i="9"/>
  <c r="EV342" i="9"/>
  <c r="FO341" i="9"/>
  <c r="FD341" i="9"/>
  <c r="EU341" i="9"/>
  <c r="FN340" i="9"/>
  <c r="FC340" i="9"/>
  <c r="FM339" i="9"/>
  <c r="FB339" i="9"/>
  <c r="FL338" i="9"/>
  <c r="FA338" i="9"/>
  <c r="FJ337" i="9"/>
  <c r="EZ337" i="9"/>
  <c r="FI336" i="9"/>
  <c r="EX336" i="9"/>
  <c r="FH335" i="9"/>
  <c r="FJ446" i="9"/>
  <c r="FI441" i="9"/>
  <c r="EV439" i="9"/>
  <c r="FH434" i="9"/>
  <c r="FH433" i="9"/>
  <c r="FH432" i="9"/>
  <c r="FH431" i="9"/>
  <c r="FH430" i="9"/>
  <c r="FH429" i="9"/>
  <c r="FH428" i="9"/>
  <c r="FH427" i="9"/>
  <c r="EU425" i="9"/>
  <c r="FP419" i="9"/>
  <c r="EV413" i="9"/>
  <c r="FG412" i="9"/>
  <c r="FO405" i="9"/>
  <c r="EZ405" i="9"/>
  <c r="FM404" i="9"/>
  <c r="EZ404" i="9"/>
  <c r="FI403" i="9"/>
  <c r="EV403" i="9"/>
  <c r="FH402" i="9"/>
  <c r="FD401" i="9"/>
  <c r="EU401" i="9"/>
  <c r="FI400" i="9"/>
  <c r="EX400" i="9"/>
  <c r="FM399" i="9"/>
  <c r="FB399" i="9"/>
  <c r="FP398" i="9"/>
  <c r="FG398" i="9"/>
  <c r="EV398" i="9"/>
  <c r="FM397" i="9"/>
  <c r="FB397" i="9"/>
  <c r="FI396" i="9"/>
  <c r="EX396" i="9"/>
  <c r="FO395" i="9"/>
  <c r="FD395" i="9"/>
  <c r="EU395" i="9"/>
  <c r="FL394" i="9"/>
  <c r="FA394" i="9"/>
  <c r="FH393" i="9"/>
  <c r="FO391" i="9"/>
  <c r="FD391" i="9"/>
  <c r="EU391" i="9"/>
  <c r="FN390" i="9"/>
  <c r="FC390" i="9"/>
  <c r="FM389" i="9"/>
  <c r="FB389" i="9"/>
  <c r="FL388" i="9"/>
  <c r="FA388" i="9"/>
  <c r="FJ387" i="9"/>
  <c r="EZ387" i="9"/>
  <c r="FI386" i="9"/>
  <c r="EX386" i="9"/>
  <c r="FH385" i="9"/>
  <c r="FI384" i="9"/>
  <c r="EX384" i="9"/>
  <c r="FO383" i="9"/>
  <c r="FD383" i="9"/>
  <c r="EU383" i="9"/>
  <c r="FI382" i="9"/>
  <c r="EX382" i="9"/>
  <c r="FM381" i="9"/>
  <c r="FB381" i="9"/>
  <c r="FP380" i="9"/>
  <c r="FG380" i="9"/>
  <c r="EV380" i="9"/>
  <c r="FJ379" i="9"/>
  <c r="EZ379" i="9"/>
  <c r="FN378" i="9"/>
  <c r="FC378" i="9"/>
  <c r="FI377" i="9"/>
  <c r="EX377" i="9"/>
  <c r="FH376" i="9"/>
  <c r="FP375" i="9"/>
  <c r="FG375" i="9"/>
  <c r="EV375" i="9"/>
  <c r="FO374" i="9"/>
  <c r="FD374" i="9"/>
  <c r="EU374" i="9"/>
  <c r="FN373" i="9"/>
  <c r="FC373" i="9"/>
  <c r="FM372" i="9"/>
  <c r="FB372" i="9"/>
  <c r="FL371" i="9"/>
  <c r="FA371" i="9"/>
  <c r="FJ370" i="9"/>
  <c r="EZ370" i="9"/>
  <c r="FI369" i="9"/>
  <c r="EX369" i="9"/>
  <c r="FH368" i="9"/>
  <c r="FP367" i="9"/>
  <c r="FG367" i="9"/>
  <c r="EV367" i="9"/>
  <c r="FO366" i="9"/>
  <c r="FD366" i="9"/>
  <c r="EU366" i="9"/>
  <c r="FN365" i="9"/>
  <c r="FC365" i="9"/>
  <c r="FM364" i="9"/>
  <c r="FB364" i="9"/>
  <c r="FL363" i="9"/>
  <c r="FA363" i="9"/>
  <c r="FJ362" i="9"/>
  <c r="EZ362" i="9"/>
  <c r="FI361" i="9"/>
  <c r="EX361" i="9"/>
  <c r="FH360" i="9"/>
  <c r="FP359" i="9"/>
  <c r="FG359" i="9"/>
  <c r="EV359" i="9"/>
  <c r="FO358" i="9"/>
  <c r="FD358" i="9"/>
  <c r="EU358" i="9"/>
  <c r="FN357" i="9"/>
  <c r="FC357" i="9"/>
  <c r="FM356" i="9"/>
  <c r="FB356" i="9"/>
  <c r="FL355" i="9"/>
  <c r="FA355" i="9"/>
  <c r="FJ354" i="9"/>
  <c r="EZ354" i="9"/>
  <c r="FI353" i="9"/>
  <c r="EX353" i="9"/>
  <c r="FH352" i="9"/>
  <c r="FP351" i="9"/>
  <c r="FG351" i="9"/>
  <c r="EV351" i="9"/>
  <c r="FO350" i="9"/>
  <c r="FD350" i="9"/>
  <c r="EU350" i="9"/>
  <c r="FN349" i="9"/>
  <c r="FC349" i="9"/>
  <c r="FM348" i="9"/>
  <c r="FB348" i="9"/>
  <c r="FL347" i="9"/>
  <c r="FA347" i="9"/>
  <c r="FJ346" i="9"/>
  <c r="EZ346" i="9"/>
  <c r="FI345" i="9"/>
  <c r="EX345" i="9"/>
  <c r="FH344" i="9"/>
  <c r="FP343" i="9"/>
  <c r="FG343" i="9"/>
  <c r="EV343" i="9"/>
  <c r="FO342" i="9"/>
  <c r="FD342" i="9"/>
  <c r="EU342" i="9"/>
  <c r="FN341" i="9"/>
  <c r="FC341" i="9"/>
  <c r="FM340" i="9"/>
  <c r="FB340" i="9"/>
  <c r="FL339" i="9"/>
  <c r="FA339" i="9"/>
  <c r="FJ338" i="9"/>
  <c r="EZ338" i="9"/>
  <c r="FI337" i="9"/>
  <c r="EX337" i="9"/>
  <c r="FH336" i="9"/>
  <c r="FP335" i="9"/>
  <c r="FG335" i="9"/>
  <c r="EV335" i="9"/>
  <c r="EZ446" i="9"/>
  <c r="FL443" i="9"/>
  <c r="EX441" i="9"/>
  <c r="FG419" i="9"/>
  <c r="FP418" i="9"/>
  <c r="EV412" i="9"/>
  <c r="FH409" i="9"/>
  <c r="FH406" i="9"/>
  <c r="FL405" i="9"/>
  <c r="EX405" i="9"/>
  <c r="FL404" i="9"/>
  <c r="EX404" i="9"/>
  <c r="FH403" i="9"/>
  <c r="EU403" i="9"/>
  <c r="FG402" i="9"/>
  <c r="FP401" i="9"/>
  <c r="FC401" i="9"/>
  <c r="FH400" i="9"/>
  <c r="FL399" i="9"/>
  <c r="FA399" i="9"/>
  <c r="FO398" i="9"/>
  <c r="FD398" i="9"/>
  <c r="EU398" i="9"/>
  <c r="FL397" i="9"/>
  <c r="FA397" i="9"/>
  <c r="FH396" i="9"/>
  <c r="FN395" i="9"/>
  <c r="FC395" i="9"/>
  <c r="FJ394" i="9"/>
  <c r="EZ394" i="9"/>
  <c r="FP393" i="9"/>
  <c r="FG393" i="9"/>
  <c r="EV393" i="9"/>
  <c r="FN391" i="9"/>
  <c r="FC391" i="9"/>
  <c r="GM391" i="9" s="1"/>
  <c r="HG391" i="9" s="1"/>
  <c r="CE391" i="9" s="1"/>
  <c r="FM390" i="9"/>
  <c r="FB390" i="9"/>
  <c r="FL389" i="9"/>
  <c r="FA389" i="9"/>
  <c r="FJ388" i="9"/>
  <c r="EZ388" i="9"/>
  <c r="FI387" i="9"/>
  <c r="EX387" i="9"/>
  <c r="FH386" i="9"/>
  <c r="FP385" i="9"/>
  <c r="FG385" i="9"/>
  <c r="EV385" i="9"/>
  <c r="FH384" i="9"/>
  <c r="FN383" i="9"/>
  <c r="FC383" i="9"/>
  <c r="FH382" i="9"/>
  <c r="FL381" i="9"/>
  <c r="FA381" i="9"/>
  <c r="FO380" i="9"/>
  <c r="FD380" i="9"/>
  <c r="EU380" i="9"/>
  <c r="FI379" i="9"/>
  <c r="EX379" i="9"/>
  <c r="FM378" i="9"/>
  <c r="FB378" i="9"/>
  <c r="FH377" i="9"/>
  <c r="FP376" i="9"/>
  <c r="FG376" i="9"/>
  <c r="EV376" i="9"/>
  <c r="FO375" i="9"/>
  <c r="FD375" i="9"/>
  <c r="EU375" i="9"/>
  <c r="FN374" i="9"/>
  <c r="FC374" i="9"/>
  <c r="FM373" i="9"/>
  <c r="FB373" i="9"/>
  <c r="FL372" i="9"/>
  <c r="FA372" i="9"/>
  <c r="FJ371" i="9"/>
  <c r="EZ371" i="9"/>
  <c r="FI370" i="9"/>
  <c r="EX370" i="9"/>
  <c r="FH369" i="9"/>
  <c r="FP368" i="9"/>
  <c r="FG368" i="9"/>
  <c r="EV368" i="9"/>
  <c r="FO367" i="9"/>
  <c r="FD367" i="9"/>
  <c r="EU367" i="9"/>
  <c r="FN366" i="9"/>
  <c r="FC366" i="9"/>
  <c r="FM365" i="9"/>
  <c r="FB365" i="9"/>
  <c r="FL364" i="9"/>
  <c r="FA364" i="9"/>
  <c r="FJ363" i="9"/>
  <c r="EZ363" i="9"/>
  <c r="FI362" i="9"/>
  <c r="EX362" i="9"/>
  <c r="FH361" i="9"/>
  <c r="FP360" i="9"/>
  <c r="FG360" i="9"/>
  <c r="EV360" i="9"/>
  <c r="FO359" i="9"/>
  <c r="FD359" i="9"/>
  <c r="EU359" i="9"/>
  <c r="FN358" i="9"/>
  <c r="FC358" i="9"/>
  <c r="FM357" i="9"/>
  <c r="FB357" i="9"/>
  <c r="FL356" i="9"/>
  <c r="FA356" i="9"/>
  <c r="FJ355" i="9"/>
  <c r="EZ355" i="9"/>
  <c r="FI354" i="9"/>
  <c r="EX354" i="9"/>
  <c r="FH353" i="9"/>
  <c r="FP352" i="9"/>
  <c r="FG352" i="9"/>
  <c r="EV352" i="9"/>
  <c r="FO351" i="9"/>
  <c r="FD351" i="9"/>
  <c r="EU351" i="9"/>
  <c r="FN350" i="9"/>
  <c r="FC350" i="9"/>
  <c r="FM349" i="9"/>
  <c r="FB349" i="9"/>
  <c r="FL348" i="9"/>
  <c r="FA348" i="9"/>
  <c r="FJ347" i="9"/>
  <c r="EZ347" i="9"/>
  <c r="FI346" i="9"/>
  <c r="EX346" i="9"/>
  <c r="FH345" i="9"/>
  <c r="FP344" i="9"/>
  <c r="FG344" i="9"/>
  <c r="EV344" i="9"/>
  <c r="FO343" i="9"/>
  <c r="FD343" i="9"/>
  <c r="EU343" i="9"/>
  <c r="FN342" i="9"/>
  <c r="FC342" i="9"/>
  <c r="FM341" i="9"/>
  <c r="FB341" i="9"/>
  <c r="FL340" i="9"/>
  <c r="FA340" i="9"/>
  <c r="FJ339" i="9"/>
  <c r="EZ339" i="9"/>
  <c r="FI338" i="9"/>
  <c r="EX338" i="9"/>
  <c r="FH337" i="9"/>
  <c r="FP336" i="9"/>
  <c r="FG336" i="9"/>
  <c r="EV336" i="9"/>
  <c r="FO335" i="9"/>
  <c r="FD335" i="9"/>
  <c r="FG448" i="9"/>
  <c r="FA443" i="9"/>
  <c r="FJ438" i="9"/>
  <c r="FJ436" i="9"/>
  <c r="FI424" i="9"/>
  <c r="FI421" i="9"/>
  <c r="EV419" i="9"/>
  <c r="FG418" i="9"/>
  <c r="FP417" i="9"/>
  <c r="FB406" i="9"/>
  <c r="FJ405" i="9"/>
  <c r="FJ404" i="9"/>
  <c r="EU404" i="9"/>
  <c r="FG403" i="9"/>
  <c r="FB402" i="9"/>
  <c r="FO401" i="9"/>
  <c r="FB401" i="9"/>
  <c r="FP400" i="9"/>
  <c r="FG400" i="9"/>
  <c r="EV400" i="9"/>
  <c r="FJ399" i="9"/>
  <c r="EZ399" i="9"/>
  <c r="FN398" i="9"/>
  <c r="FC398" i="9"/>
  <c r="FJ397" i="9"/>
  <c r="EZ397" i="9"/>
  <c r="FP396" i="9"/>
  <c r="FG396" i="9"/>
  <c r="EV396" i="9"/>
  <c r="FM395" i="9"/>
  <c r="FB395" i="9"/>
  <c r="FI394" i="9"/>
  <c r="EX394" i="9"/>
  <c r="FO393" i="9"/>
  <c r="FD393" i="9"/>
  <c r="EU393" i="9"/>
  <c r="FM391" i="9"/>
  <c r="FB391" i="9"/>
  <c r="FL390" i="9"/>
  <c r="FA390" i="9"/>
  <c r="FJ389" i="9"/>
  <c r="EZ389" i="9"/>
  <c r="FI388" i="9"/>
  <c r="EX388" i="9"/>
  <c r="FH387" i="9"/>
  <c r="FP386" i="9"/>
  <c r="FG386" i="9"/>
  <c r="EV386" i="9"/>
  <c r="FO385" i="9"/>
  <c r="FD385" i="9"/>
  <c r="EU385" i="9"/>
  <c r="FP384" i="9"/>
  <c r="FG384" i="9"/>
  <c r="EV384" i="9"/>
  <c r="FM383" i="9"/>
  <c r="FB383" i="9"/>
  <c r="FP382" i="9"/>
  <c r="FG382" i="9"/>
  <c r="EV382" i="9"/>
  <c r="FJ381" i="9"/>
  <c r="EZ381" i="9"/>
  <c r="FN380" i="9"/>
  <c r="FC380" i="9"/>
  <c r="FH379" i="9"/>
  <c r="FL378" i="9"/>
  <c r="FA378" i="9"/>
  <c r="FP377" i="9"/>
  <c r="FG377" i="9"/>
  <c r="EV377" i="9"/>
  <c r="FO376" i="9"/>
  <c r="FD376" i="9"/>
  <c r="EU376" i="9"/>
  <c r="FN375" i="9"/>
  <c r="FC375" i="9"/>
  <c r="FM374" i="9"/>
  <c r="FB374" i="9"/>
  <c r="FL373" i="9"/>
  <c r="FA373" i="9"/>
  <c r="FJ372" i="9"/>
  <c r="EZ372" i="9"/>
  <c r="FI371" i="9"/>
  <c r="EX371" i="9"/>
  <c r="FH370" i="9"/>
  <c r="FP369" i="9"/>
  <c r="FG369" i="9"/>
  <c r="EV369" i="9"/>
  <c r="FO368" i="9"/>
  <c r="FD368" i="9"/>
  <c r="EU368" i="9"/>
  <c r="FN367" i="9"/>
  <c r="FC367" i="9"/>
  <c r="FM366" i="9"/>
  <c r="FB366" i="9"/>
  <c r="FL365" i="9"/>
  <c r="FA365" i="9"/>
  <c r="FJ364" i="9"/>
  <c r="EZ364" i="9"/>
  <c r="FI363" i="9"/>
  <c r="EX363" i="9"/>
  <c r="FH362" i="9"/>
  <c r="FP361" i="9"/>
  <c r="FG361" i="9"/>
  <c r="EV361" i="9"/>
  <c r="FO360" i="9"/>
  <c r="FD360" i="9"/>
  <c r="EU360" i="9"/>
  <c r="FN359" i="9"/>
  <c r="FC359" i="9"/>
  <c r="FM358" i="9"/>
  <c r="FB358" i="9"/>
  <c r="FL357" i="9"/>
  <c r="FA357" i="9"/>
  <c r="FJ356" i="9"/>
  <c r="EZ356" i="9"/>
  <c r="FI355" i="9"/>
  <c r="EX355" i="9"/>
  <c r="FH354" i="9"/>
  <c r="FP353" i="9"/>
  <c r="FG353" i="9"/>
  <c r="EV353" i="9"/>
  <c r="FO352" i="9"/>
  <c r="FD352" i="9"/>
  <c r="EU352" i="9"/>
  <c r="FN351" i="9"/>
  <c r="FC351" i="9"/>
  <c r="FM350" i="9"/>
  <c r="FB350" i="9"/>
  <c r="FL349" i="9"/>
  <c r="FA349" i="9"/>
  <c r="FJ348" i="9"/>
  <c r="EZ348" i="9"/>
  <c r="FI347" i="9"/>
  <c r="EX347" i="9"/>
  <c r="FH346" i="9"/>
  <c r="FP345" i="9"/>
  <c r="FG345" i="9"/>
  <c r="EV345" i="9"/>
  <c r="FO344" i="9"/>
  <c r="FD344" i="9"/>
  <c r="EU344" i="9"/>
  <c r="FN343" i="9"/>
  <c r="FC343" i="9"/>
  <c r="FM342" i="9"/>
  <c r="FB342" i="9"/>
  <c r="FL341" i="9"/>
  <c r="FA341" i="9"/>
  <c r="FJ340" i="9"/>
  <c r="EZ340" i="9"/>
  <c r="FI339" i="9"/>
  <c r="EX339" i="9"/>
  <c r="FH338" i="9"/>
  <c r="FP337" i="9"/>
  <c r="FG337" i="9"/>
  <c r="EV337" i="9"/>
  <c r="FO336" i="9"/>
  <c r="FD336" i="9"/>
  <c r="EU336" i="9"/>
  <c r="FN335" i="9"/>
  <c r="FC335" i="9"/>
  <c r="FN445" i="9"/>
  <c r="FM440" i="9"/>
  <c r="EZ438" i="9"/>
  <c r="EZ436" i="9"/>
  <c r="FL426" i="9"/>
  <c r="EX424" i="9"/>
  <c r="EX421" i="9"/>
  <c r="EV418" i="9"/>
  <c r="FG417" i="9"/>
  <c r="FP416" i="9"/>
  <c r="FJ411" i="9"/>
  <c r="FI405" i="9"/>
  <c r="EV405" i="9"/>
  <c r="FI404" i="9"/>
  <c r="FD403" i="9"/>
  <c r="FP402" i="9"/>
  <c r="FA402" i="9"/>
  <c r="FN401" i="9"/>
  <c r="FA401" i="9"/>
  <c r="FO400" i="9"/>
  <c r="FD400" i="9"/>
  <c r="EU400" i="9"/>
  <c r="FI399" i="9"/>
  <c r="EX399" i="9"/>
  <c r="FM398" i="9"/>
  <c r="FB398" i="9"/>
  <c r="FI397" i="9"/>
  <c r="EX397" i="9"/>
  <c r="FO396" i="9"/>
  <c r="FD396" i="9"/>
  <c r="EU396" i="9"/>
  <c r="FL395" i="9"/>
  <c r="FA395" i="9"/>
  <c r="FH394" i="9"/>
  <c r="FN393" i="9"/>
  <c r="FC393" i="9"/>
  <c r="FL391" i="9"/>
  <c r="FA391" i="9"/>
  <c r="FJ390" i="9"/>
  <c r="EZ390" i="9"/>
  <c r="FI389" i="9"/>
  <c r="EX389" i="9"/>
  <c r="FH388" i="9"/>
  <c r="FP387" i="9"/>
  <c r="FG387" i="9"/>
  <c r="EV387" i="9"/>
  <c r="FO386" i="9"/>
  <c r="FD386" i="9"/>
  <c r="EU386" i="9"/>
  <c r="FN385" i="9"/>
  <c r="FC385" i="9"/>
  <c r="FO384" i="9"/>
  <c r="FD384" i="9"/>
  <c r="EU384" i="9"/>
  <c r="FL383" i="9"/>
  <c r="FA383" i="9"/>
  <c r="FO382" i="9"/>
  <c r="FD382" i="9"/>
  <c r="EU382" i="9"/>
  <c r="FI381" i="9"/>
  <c r="EX381" i="9"/>
  <c r="FM380" i="9"/>
  <c r="FB380" i="9"/>
  <c r="FP379" i="9"/>
  <c r="FG379" i="9"/>
  <c r="EV379" i="9"/>
  <c r="FJ378" i="9"/>
  <c r="EZ378" i="9"/>
  <c r="FO377" i="9"/>
  <c r="FD377" i="9"/>
  <c r="EU377" i="9"/>
  <c r="FN376" i="9"/>
  <c r="FC376" i="9"/>
  <c r="FM375" i="9"/>
  <c r="FB375" i="9"/>
  <c r="FL374" i="9"/>
  <c r="FA374" i="9"/>
  <c r="FJ373" i="9"/>
  <c r="EZ373" i="9"/>
  <c r="FI372" i="9"/>
  <c r="EX372" i="9"/>
  <c r="FH371" i="9"/>
  <c r="FP370" i="9"/>
  <c r="FG370" i="9"/>
  <c r="EV370" i="9"/>
  <c r="FO369" i="9"/>
  <c r="FD369" i="9"/>
  <c r="EU369" i="9"/>
  <c r="FN368" i="9"/>
  <c r="FC368" i="9"/>
  <c r="FM367" i="9"/>
  <c r="FB367" i="9"/>
  <c r="FL366" i="9"/>
  <c r="FA366" i="9"/>
  <c r="FJ365" i="9"/>
  <c r="EZ365" i="9"/>
  <c r="FI364" i="9"/>
  <c r="EX364" i="9"/>
  <c r="FH363" i="9"/>
  <c r="FP362" i="9"/>
  <c r="FG362" i="9"/>
  <c r="EV362" i="9"/>
  <c r="FO361" i="9"/>
  <c r="FD361" i="9"/>
  <c r="EU361" i="9"/>
  <c r="FN360" i="9"/>
  <c r="FC360" i="9"/>
  <c r="FM359" i="9"/>
  <c r="FB359" i="9"/>
  <c r="FL358" i="9"/>
  <c r="FA358" i="9"/>
  <c r="FJ357" i="9"/>
  <c r="EZ357" i="9"/>
  <c r="FI356" i="9"/>
  <c r="EX356" i="9"/>
  <c r="FH355" i="9"/>
  <c r="FP354" i="9"/>
  <c r="FG354" i="9"/>
  <c r="EV354" i="9"/>
  <c r="FO353" i="9"/>
  <c r="FD353" i="9"/>
  <c r="EU353" i="9"/>
  <c r="FN352" i="9"/>
  <c r="FC352" i="9"/>
  <c r="FM351" i="9"/>
  <c r="FB351" i="9"/>
  <c r="FL350" i="9"/>
  <c r="FA350" i="9"/>
  <c r="FJ349" i="9"/>
  <c r="EZ349" i="9"/>
  <c r="FI348" i="9"/>
  <c r="EX348" i="9"/>
  <c r="FH347" i="9"/>
  <c r="FP346" i="9"/>
  <c r="FG346" i="9"/>
  <c r="EV346" i="9"/>
  <c r="FO345" i="9"/>
  <c r="FD345" i="9"/>
  <c r="EU345" i="9"/>
  <c r="FN344" i="9"/>
  <c r="FC344" i="9"/>
  <c r="FM343" i="9"/>
  <c r="FB343" i="9"/>
  <c r="FL342" i="9"/>
  <c r="FA342" i="9"/>
  <c r="FJ341" i="9"/>
  <c r="EZ341" i="9"/>
  <c r="FI340" i="9"/>
  <c r="EX340" i="9"/>
  <c r="FH339" i="9"/>
  <c r="FP338" i="9"/>
  <c r="FG338" i="9"/>
  <c r="EV338" i="9"/>
  <c r="FO337" i="9"/>
  <c r="FD337" i="9"/>
  <c r="EU337" i="9"/>
  <c r="FN336" i="9"/>
  <c r="FC336" i="9"/>
  <c r="FM335" i="9"/>
  <c r="FB335" i="9"/>
  <c r="FL334" i="9"/>
  <c r="FP447" i="9"/>
  <c r="FC445" i="9"/>
  <c r="FO442" i="9"/>
  <c r="FB440" i="9"/>
  <c r="FA426" i="9"/>
  <c r="EV417" i="9"/>
  <c r="FG416" i="9"/>
  <c r="FP415" i="9"/>
  <c r="EZ411" i="9"/>
  <c r="FL408" i="9"/>
  <c r="EV406" i="9"/>
  <c r="FH405" i="9"/>
  <c r="EU405" i="9"/>
  <c r="FD404" i="9"/>
  <c r="FP403" i="9"/>
  <c r="FC403" i="9"/>
  <c r="FM402" i="9"/>
  <c r="EZ402" i="9"/>
  <c r="FM401" i="9"/>
  <c r="EZ401" i="9"/>
  <c r="FN400" i="9"/>
  <c r="FC400" i="9"/>
  <c r="FH399" i="9"/>
  <c r="FL398" i="9"/>
  <c r="FA398" i="9"/>
  <c r="FH397" i="9"/>
  <c r="FN396" i="9"/>
  <c r="FC396" i="9"/>
  <c r="FJ395" i="9"/>
  <c r="EZ395" i="9"/>
  <c r="FP394" i="9"/>
  <c r="FG394" i="9"/>
  <c r="EV394" i="9"/>
  <c r="FM393" i="9"/>
  <c r="FB393" i="9"/>
  <c r="FJ391" i="9"/>
  <c r="EZ391" i="9"/>
  <c r="FI390" i="9"/>
  <c r="EX390" i="9"/>
  <c r="FH389" i="9"/>
  <c r="FP388" i="9"/>
  <c r="FG388" i="9"/>
  <c r="EV388" i="9"/>
  <c r="FO387" i="9"/>
  <c r="FD387" i="9"/>
  <c r="EU387" i="9"/>
  <c r="FN386" i="9"/>
  <c r="FC386" i="9"/>
  <c r="GM386" i="9" s="1"/>
  <c r="HG386" i="9" s="1"/>
  <c r="CE386" i="9" s="1"/>
  <c r="FM385" i="9"/>
  <c r="FB385" i="9"/>
  <c r="FN384" i="9"/>
  <c r="FC384" i="9"/>
  <c r="FJ383" i="9"/>
  <c r="EZ383" i="9"/>
  <c r="FN382" i="9"/>
  <c r="FC382" i="9"/>
  <c r="FH381" i="9"/>
  <c r="FL380" i="9"/>
  <c r="FA380" i="9"/>
  <c r="FO379" i="9"/>
  <c r="FD379" i="9"/>
  <c r="EU379" i="9"/>
  <c r="FI378" i="9"/>
  <c r="EX378" i="9"/>
  <c r="FN377" i="9"/>
  <c r="FC377" i="9"/>
  <c r="FM376" i="9"/>
  <c r="FB376" i="9"/>
  <c r="FL375" i="9"/>
  <c r="FA375" i="9"/>
  <c r="FJ374" i="9"/>
  <c r="EZ374" i="9"/>
  <c r="FI373" i="9"/>
  <c r="EX373" i="9"/>
  <c r="FH372" i="9"/>
  <c r="FP371" i="9"/>
  <c r="FG371" i="9"/>
  <c r="EV371" i="9"/>
  <c r="FO370" i="9"/>
  <c r="FD370" i="9"/>
  <c r="EU370" i="9"/>
  <c r="FN369" i="9"/>
  <c r="FC369" i="9"/>
  <c r="FM368" i="9"/>
  <c r="FB368" i="9"/>
  <c r="FL367" i="9"/>
  <c r="FA367" i="9"/>
  <c r="GK367" i="9" s="1"/>
  <c r="HE367" i="9" s="1"/>
  <c r="FJ366" i="9"/>
  <c r="EZ366" i="9"/>
  <c r="FI365" i="9"/>
  <c r="EX365" i="9"/>
  <c r="FH364" i="9"/>
  <c r="FP363" i="9"/>
  <c r="FG363" i="9"/>
  <c r="EV363" i="9"/>
  <c r="FO362" i="9"/>
  <c r="FD362" i="9"/>
  <c r="EU362" i="9"/>
  <c r="FN361" i="9"/>
  <c r="FC361" i="9"/>
  <c r="FM360" i="9"/>
  <c r="FB360" i="9"/>
  <c r="GL360" i="9" s="1"/>
  <c r="FL359" i="9"/>
  <c r="FA359" i="9"/>
  <c r="FJ358" i="9"/>
  <c r="EZ358" i="9"/>
  <c r="FI357" i="9"/>
  <c r="EX357" i="9"/>
  <c r="FH356" i="9"/>
  <c r="FP355" i="9"/>
  <c r="FG355" i="9"/>
  <c r="EV355" i="9"/>
  <c r="FO354" i="9"/>
  <c r="FD354" i="9"/>
  <c r="EU354" i="9"/>
  <c r="FN353" i="9"/>
  <c r="FC353" i="9"/>
  <c r="FM352" i="9"/>
  <c r="FB352" i="9"/>
  <c r="FL351" i="9"/>
  <c r="FA351" i="9"/>
  <c r="FJ350" i="9"/>
  <c r="EZ350" i="9"/>
  <c r="FI349" i="9"/>
  <c r="EX349" i="9"/>
  <c r="FH348" i="9"/>
  <c r="FP347" i="9"/>
  <c r="FG347" i="9"/>
  <c r="EV347" i="9"/>
  <c r="FO346" i="9"/>
  <c r="FD346" i="9"/>
  <c r="GN346" i="9" s="1"/>
  <c r="GY346" i="9" s="1"/>
  <c r="GZ346" i="9" s="1"/>
  <c r="HH346" i="9" s="1"/>
  <c r="EU346" i="9"/>
  <c r="FN345" i="9"/>
  <c r="FC345" i="9"/>
  <c r="FM344" i="9"/>
  <c r="FB344" i="9"/>
  <c r="FL343" i="9"/>
  <c r="FA343" i="9"/>
  <c r="FJ342" i="9"/>
  <c r="EZ342" i="9"/>
  <c r="FI341" i="9"/>
  <c r="EX341" i="9"/>
  <c r="FH340" i="9"/>
  <c r="FP339" i="9"/>
  <c r="FG339" i="9"/>
  <c r="EV339" i="9"/>
  <c r="FO338" i="9"/>
  <c r="FD338" i="9"/>
  <c r="EU338" i="9"/>
  <c r="FN337" i="9"/>
  <c r="FC337" i="9"/>
  <c r="FM336" i="9"/>
  <c r="FB336" i="9"/>
  <c r="FL335" i="9"/>
  <c r="FA335" i="9"/>
  <c r="FG447" i="9"/>
  <c r="FD442" i="9"/>
  <c r="FN435" i="9"/>
  <c r="FM423" i="9"/>
  <c r="FM420" i="9"/>
  <c r="EV416" i="9"/>
  <c r="FG415" i="9"/>
  <c r="FP414" i="9"/>
  <c r="FA408" i="9"/>
  <c r="EU406" i="9"/>
  <c r="FG405" i="9"/>
  <c r="FC404" i="9"/>
  <c r="FO403" i="9"/>
  <c r="FB403" i="9"/>
  <c r="FL402" i="9"/>
  <c r="EX402" i="9"/>
  <c r="FL401" i="9"/>
  <c r="EX401" i="9"/>
  <c r="FM400" i="9"/>
  <c r="FB400" i="9"/>
  <c r="FP399" i="9"/>
  <c r="FG399" i="9"/>
  <c r="EV399" i="9"/>
  <c r="FJ398" i="9"/>
  <c r="EZ398" i="9"/>
  <c r="FP397" i="9"/>
  <c r="FG397" i="9"/>
  <c r="EV397" i="9"/>
  <c r="FM396" i="9"/>
  <c r="FB396" i="9"/>
  <c r="FI395" i="9"/>
  <c r="EX395" i="9"/>
  <c r="FO394" i="9"/>
  <c r="FD394" i="9"/>
  <c r="EU394" i="9"/>
  <c r="FL393" i="9"/>
  <c r="FA393" i="9"/>
  <c r="FI391" i="9"/>
  <c r="EX391" i="9"/>
  <c r="FH390" i="9"/>
  <c r="FP389" i="9"/>
  <c r="FG389" i="9"/>
  <c r="EV389" i="9"/>
  <c r="FO388" i="9"/>
  <c r="FD388" i="9"/>
  <c r="EU388" i="9"/>
  <c r="FN387" i="9"/>
  <c r="FC387" i="9"/>
  <c r="FM386" i="9"/>
  <c r="FB386" i="9"/>
  <c r="FL385" i="9"/>
  <c r="FA385" i="9"/>
  <c r="FM384" i="9"/>
  <c r="FB384" i="9"/>
  <c r="GL384" i="9" s="1"/>
  <c r="FI383" i="9"/>
  <c r="EX383" i="9"/>
  <c r="FM382" i="9"/>
  <c r="FB382" i="9"/>
  <c r="FP381" i="9"/>
  <c r="FG381" i="9"/>
  <c r="EV381" i="9"/>
  <c r="FJ380" i="9"/>
  <c r="EZ380" i="9"/>
  <c r="FN379" i="9"/>
  <c r="FC379" i="9"/>
  <c r="FH378" i="9"/>
  <c r="FM377" i="9"/>
  <c r="FB377" i="9"/>
  <c r="FL376" i="9"/>
  <c r="FA376" i="9"/>
  <c r="FJ375" i="9"/>
  <c r="EZ375" i="9"/>
  <c r="FI374" i="9"/>
  <c r="EX374" i="9"/>
  <c r="FH373" i="9"/>
  <c r="FP372" i="9"/>
  <c r="FG372" i="9"/>
  <c r="EV372" i="9"/>
  <c r="FO371" i="9"/>
  <c r="FD371" i="9"/>
  <c r="EU371" i="9"/>
  <c r="FN370" i="9"/>
  <c r="FC370" i="9"/>
  <c r="FM369" i="9"/>
  <c r="FB369" i="9"/>
  <c r="FL368" i="9"/>
  <c r="FA368" i="9"/>
  <c r="FJ367" i="9"/>
  <c r="EZ367" i="9"/>
  <c r="FI366" i="9"/>
  <c r="EX366" i="9"/>
  <c r="FH365" i="9"/>
  <c r="FP364" i="9"/>
  <c r="FG364" i="9"/>
  <c r="EV364" i="9"/>
  <c r="FO363" i="9"/>
  <c r="FD363" i="9"/>
  <c r="EU363" i="9"/>
  <c r="FN362" i="9"/>
  <c r="FC362" i="9"/>
  <c r="FM361" i="9"/>
  <c r="FB361" i="9"/>
  <c r="FL360" i="9"/>
  <c r="FA360" i="9"/>
  <c r="FJ359" i="9"/>
  <c r="EZ359" i="9"/>
  <c r="FI358" i="9"/>
  <c r="EX358" i="9"/>
  <c r="FH357" i="9"/>
  <c r="FP356" i="9"/>
  <c r="FG356" i="9"/>
  <c r="EV356" i="9"/>
  <c r="FO355" i="9"/>
  <c r="FD355" i="9"/>
  <c r="GN355" i="9"/>
  <c r="GY355" i="9" s="1"/>
  <c r="GZ355" i="9" s="1"/>
  <c r="HH355" i="9" s="1"/>
  <c r="EU355" i="9"/>
  <c r="FN354" i="9"/>
  <c r="FC354" i="9"/>
  <c r="FM353" i="9"/>
  <c r="FB353" i="9"/>
  <c r="FL352" i="9"/>
  <c r="FA352" i="9"/>
  <c r="FJ351" i="9"/>
  <c r="EZ351" i="9"/>
  <c r="FI350" i="9"/>
  <c r="EX350" i="9"/>
  <c r="FH349" i="9"/>
  <c r="FP348" i="9"/>
  <c r="FG348" i="9"/>
  <c r="EV348" i="9"/>
  <c r="FO347" i="9"/>
  <c r="FD347" i="9"/>
  <c r="EU347" i="9"/>
  <c r="FN346" i="9"/>
  <c r="FC346" i="9"/>
  <c r="FM345" i="9"/>
  <c r="FB345" i="9"/>
  <c r="FL344" i="9"/>
  <c r="FA344" i="9"/>
  <c r="FJ343" i="9"/>
  <c r="EZ343" i="9"/>
  <c r="FI342" i="9"/>
  <c r="EX342" i="9"/>
  <c r="FH341" i="9"/>
  <c r="FP340" i="9"/>
  <c r="FG340" i="9"/>
  <c r="EV340" i="9"/>
  <c r="FO339" i="9"/>
  <c r="FD339" i="9"/>
  <c r="EU339" i="9"/>
  <c r="FN338" i="9"/>
  <c r="FC338" i="9"/>
  <c r="FM337" i="9"/>
  <c r="FB337" i="9"/>
  <c r="FL336" i="9"/>
  <c r="FA336" i="9"/>
  <c r="FJ335" i="9"/>
  <c r="EZ335" i="9"/>
  <c r="FJ334" i="9"/>
  <c r="EX334" i="9"/>
  <c r="FH333" i="9"/>
  <c r="FO332" i="9"/>
  <c r="FD332" i="9"/>
  <c r="EU332" i="9"/>
  <c r="FJ331" i="9"/>
  <c r="EZ331" i="9"/>
  <c r="FO330" i="9"/>
  <c r="FD330" i="9"/>
  <c r="GN330" i="9"/>
  <c r="EU330" i="9"/>
  <c r="FJ329" i="9"/>
  <c r="EZ329" i="9"/>
  <c r="FO328" i="9"/>
  <c r="FD328" i="9"/>
  <c r="EU328" i="9"/>
  <c r="FJ327" i="9"/>
  <c r="EZ327" i="9"/>
  <c r="FO326" i="9"/>
  <c r="FD326" i="9"/>
  <c r="EU326" i="9"/>
  <c r="FJ325" i="9"/>
  <c r="EZ325" i="9"/>
  <c r="FO324" i="9"/>
  <c r="FD324" i="9"/>
  <c r="EU324" i="9"/>
  <c r="FJ323" i="9"/>
  <c r="EZ323" i="9"/>
  <c r="FO322" i="9"/>
  <c r="FD322" i="9"/>
  <c r="EU322" i="9"/>
  <c r="FJ321" i="9"/>
  <c r="EZ321" i="9"/>
  <c r="FO320" i="9"/>
  <c r="FD320" i="9"/>
  <c r="EU320" i="9"/>
  <c r="FJ319" i="9"/>
  <c r="EZ319" i="9"/>
  <c r="FO317" i="9"/>
  <c r="FD317" i="9"/>
  <c r="EU317" i="9"/>
  <c r="FL316" i="9"/>
  <c r="FA316" i="9"/>
  <c r="GK316" i="9" s="1"/>
  <c r="HE316" i="9" s="1"/>
  <c r="CC316" i="9" s="1"/>
  <c r="FH315" i="9"/>
  <c r="FN314" i="9"/>
  <c r="FC314" i="9"/>
  <c r="FJ313" i="9"/>
  <c r="EZ313" i="9"/>
  <c r="FP312" i="9"/>
  <c r="FG312" i="9"/>
  <c r="EV312" i="9"/>
  <c r="FM311" i="9"/>
  <c r="FB311" i="9"/>
  <c r="FI310" i="9"/>
  <c r="EX310" i="9"/>
  <c r="FO309" i="9"/>
  <c r="FD309" i="9"/>
  <c r="GN309" i="9"/>
  <c r="GY309" i="9" s="1"/>
  <c r="GZ309" i="9" s="1"/>
  <c r="HH309" i="9" s="1"/>
  <c r="CF309" i="9" s="1"/>
  <c r="EU309" i="9"/>
  <c r="FL308" i="9"/>
  <c r="FA308" i="9"/>
  <c r="FN307" i="9"/>
  <c r="FC307" i="9"/>
  <c r="FJ306" i="9"/>
  <c r="EZ306" i="9"/>
  <c r="FP305" i="9"/>
  <c r="FG305" i="9"/>
  <c r="EV305" i="9"/>
  <c r="FM304" i="9"/>
  <c r="FB304" i="9"/>
  <c r="FJ302" i="9"/>
  <c r="EZ302" i="9"/>
  <c r="FP301" i="9"/>
  <c r="FG301" i="9"/>
  <c r="EV301" i="9"/>
  <c r="FM300" i="9"/>
  <c r="FB300" i="9"/>
  <c r="FI299" i="9"/>
  <c r="EX299" i="9"/>
  <c r="FO298" i="9"/>
  <c r="FD298" i="9"/>
  <c r="EU298" i="9"/>
  <c r="FL297" i="9"/>
  <c r="FA297" i="9"/>
  <c r="FH296" i="9"/>
  <c r="FN295" i="9"/>
  <c r="FC295" i="9"/>
  <c r="FJ294" i="9"/>
  <c r="EZ294" i="9"/>
  <c r="FP293" i="9"/>
  <c r="FG293" i="9"/>
  <c r="EV293" i="9"/>
  <c r="FI292" i="9"/>
  <c r="EX292" i="9"/>
  <c r="FO291" i="9"/>
  <c r="FD291" i="9"/>
  <c r="EU291" i="9"/>
  <c r="FL290" i="9"/>
  <c r="FA290" i="9"/>
  <c r="FH289" i="9"/>
  <c r="FO287" i="9"/>
  <c r="FD287" i="9"/>
  <c r="EU287" i="9"/>
  <c r="FL286" i="9"/>
  <c r="FA286" i="9"/>
  <c r="GK286" i="9" s="1"/>
  <c r="HE286" i="9" s="1"/>
  <c r="CC286" i="9" s="1"/>
  <c r="FH285" i="9"/>
  <c r="FN284" i="9"/>
  <c r="FC284" i="9"/>
  <c r="FJ283" i="9"/>
  <c r="EZ283" i="9"/>
  <c r="FP282" i="9"/>
  <c r="FG282" i="9"/>
  <c r="EV282" i="9"/>
  <c r="FM281" i="9"/>
  <c r="FB281" i="9"/>
  <c r="FI280" i="9"/>
  <c r="EX280" i="9"/>
  <c r="FO279" i="9"/>
  <c r="FD279" i="9"/>
  <c r="GN279" i="9"/>
  <c r="EU279" i="9"/>
  <c r="FL278" i="9"/>
  <c r="FA278" i="9"/>
  <c r="FN277" i="9"/>
  <c r="FC277" i="9"/>
  <c r="FJ276" i="9"/>
  <c r="EZ276" i="9"/>
  <c r="FP275" i="9"/>
  <c r="FG275" i="9"/>
  <c r="EV275" i="9"/>
  <c r="FM274" i="9"/>
  <c r="FB274" i="9"/>
  <c r="FJ272" i="9"/>
  <c r="EZ272" i="9"/>
  <c r="FP271" i="9"/>
  <c r="FG271" i="9"/>
  <c r="EV271" i="9"/>
  <c r="FM270" i="9"/>
  <c r="FB270" i="9"/>
  <c r="FI269" i="9"/>
  <c r="EX269" i="9"/>
  <c r="FO268" i="9"/>
  <c r="FD268" i="9"/>
  <c r="EU268" i="9"/>
  <c r="FL267" i="9"/>
  <c r="FA267" i="9"/>
  <c r="FH266" i="9"/>
  <c r="FN265" i="9"/>
  <c r="FC265" i="9"/>
  <c r="FJ264" i="9"/>
  <c r="EZ264" i="9"/>
  <c r="FP263" i="9"/>
  <c r="FG263" i="9"/>
  <c r="EV263" i="9"/>
  <c r="FI262" i="9"/>
  <c r="EX262" i="9"/>
  <c r="FO261" i="9"/>
  <c r="FD261" i="9"/>
  <c r="EU261" i="9"/>
  <c r="FL260" i="9"/>
  <c r="FA260" i="9"/>
  <c r="FH259" i="9"/>
  <c r="FP208" i="9"/>
  <c r="FG208" i="9"/>
  <c r="EV208" i="9"/>
  <c r="FI334" i="9"/>
  <c r="FP333" i="9"/>
  <c r="FG333" i="9"/>
  <c r="EV333" i="9"/>
  <c r="FN332" i="9"/>
  <c r="FC332" i="9"/>
  <c r="FI331" i="9"/>
  <c r="EX331" i="9"/>
  <c r="FN330" i="9"/>
  <c r="FC330" i="9"/>
  <c r="FI329" i="9"/>
  <c r="EX329" i="9"/>
  <c r="FN328" i="9"/>
  <c r="FC328" i="9"/>
  <c r="FI327" i="9"/>
  <c r="EX327" i="9"/>
  <c r="FN326" i="9"/>
  <c r="FC326" i="9"/>
  <c r="FI325" i="9"/>
  <c r="EX325" i="9"/>
  <c r="FN324" i="9"/>
  <c r="FC324" i="9"/>
  <c r="FI323" i="9"/>
  <c r="EX323" i="9"/>
  <c r="FN322" i="9"/>
  <c r="FC322" i="9"/>
  <c r="FI321" i="9"/>
  <c r="EX321" i="9"/>
  <c r="FN320" i="9"/>
  <c r="FC320" i="9"/>
  <c r="FI319" i="9"/>
  <c r="EX319" i="9"/>
  <c r="FN317" i="9"/>
  <c r="FC317" i="9"/>
  <c r="FJ316" i="9"/>
  <c r="EZ316" i="9"/>
  <c r="FP315" i="9"/>
  <c r="FG315" i="9"/>
  <c r="EV315" i="9"/>
  <c r="FM314" i="9"/>
  <c r="FB314" i="9"/>
  <c r="FI313" i="9"/>
  <c r="EX313" i="9"/>
  <c r="FO312" i="9"/>
  <c r="FD312" i="9"/>
  <c r="EU312" i="9"/>
  <c r="FL311" i="9"/>
  <c r="FA311" i="9"/>
  <c r="FH310" i="9"/>
  <c r="FN309" i="9"/>
  <c r="FC309" i="9"/>
  <c r="FJ308" i="9"/>
  <c r="EZ308" i="9"/>
  <c r="FM307" i="9"/>
  <c r="FB307" i="9"/>
  <c r="GL307" i="9" s="1"/>
  <c r="FI306" i="9"/>
  <c r="EX306" i="9"/>
  <c r="FO305" i="9"/>
  <c r="FD305" i="9"/>
  <c r="EU305" i="9"/>
  <c r="FL304" i="9"/>
  <c r="FA304" i="9"/>
  <c r="FI302" i="9"/>
  <c r="EX302" i="9"/>
  <c r="FO301" i="9"/>
  <c r="FD301" i="9"/>
  <c r="EU301" i="9"/>
  <c r="FL300" i="9"/>
  <c r="FA300" i="9"/>
  <c r="FH299" i="9"/>
  <c r="FN298" i="9"/>
  <c r="FC298" i="9"/>
  <c r="FJ297" i="9"/>
  <c r="EZ297" i="9"/>
  <c r="FP296" i="9"/>
  <c r="FG296" i="9"/>
  <c r="EV296" i="9"/>
  <c r="FM295" i="9"/>
  <c r="FB295" i="9"/>
  <c r="FI294" i="9"/>
  <c r="EX294" i="9"/>
  <c r="FO293" i="9"/>
  <c r="FD293" i="9"/>
  <c r="EU293" i="9"/>
  <c r="FH292" i="9"/>
  <c r="FN291" i="9"/>
  <c r="FC291" i="9"/>
  <c r="FJ290" i="9"/>
  <c r="EZ290" i="9"/>
  <c r="FP289" i="9"/>
  <c r="FG289" i="9"/>
  <c r="EV289" i="9"/>
  <c r="FN287" i="9"/>
  <c r="FC287" i="9"/>
  <c r="FJ286" i="9"/>
  <c r="EZ286" i="9"/>
  <c r="FP285" i="9"/>
  <c r="FG285" i="9"/>
  <c r="EV285" i="9"/>
  <c r="FM284" i="9"/>
  <c r="FB284" i="9"/>
  <c r="GL284" i="9" s="1"/>
  <c r="FI283" i="9"/>
  <c r="EX283" i="9"/>
  <c r="FO282" i="9"/>
  <c r="FD282" i="9"/>
  <c r="EU282" i="9"/>
  <c r="FL281" i="9"/>
  <c r="FA281" i="9"/>
  <c r="FH280" i="9"/>
  <c r="FN279" i="9"/>
  <c r="FC279" i="9"/>
  <c r="FJ278" i="9"/>
  <c r="EZ278" i="9"/>
  <c r="FM277" i="9"/>
  <c r="FB277" i="9"/>
  <c r="GL277" i="9"/>
  <c r="FI276" i="9"/>
  <c r="EX276" i="9"/>
  <c r="FO275" i="9"/>
  <c r="FD275" i="9"/>
  <c r="EU275" i="9"/>
  <c r="FL274" i="9"/>
  <c r="FA274" i="9"/>
  <c r="FI272" i="9"/>
  <c r="EX272" i="9"/>
  <c r="FO271" i="9"/>
  <c r="FD271" i="9"/>
  <c r="EU271" i="9"/>
  <c r="FL270" i="9"/>
  <c r="FA270" i="9"/>
  <c r="FH269" i="9"/>
  <c r="FN268" i="9"/>
  <c r="FC268" i="9"/>
  <c r="FJ267" i="9"/>
  <c r="EZ267" i="9"/>
  <c r="FP266" i="9"/>
  <c r="FG266" i="9"/>
  <c r="EV266" i="9"/>
  <c r="FM265" i="9"/>
  <c r="FB265" i="9"/>
  <c r="GL265" i="9"/>
  <c r="FI264" i="9"/>
  <c r="EX264" i="9"/>
  <c r="FO263" i="9"/>
  <c r="FD263" i="9"/>
  <c r="EU263" i="9"/>
  <c r="FH262" i="9"/>
  <c r="FN261" i="9"/>
  <c r="FC261" i="9"/>
  <c r="FJ260" i="9"/>
  <c r="EZ260" i="9"/>
  <c r="FP259" i="9"/>
  <c r="FG259" i="9"/>
  <c r="EV259" i="9"/>
  <c r="FO208" i="9"/>
  <c r="EU208" i="9"/>
  <c r="FG334" i="9"/>
  <c r="EV334" i="9"/>
  <c r="FO333" i="9"/>
  <c r="FD333" i="9"/>
  <c r="EU333" i="9"/>
  <c r="FM332" i="9"/>
  <c r="FB332" i="9"/>
  <c r="GL332" i="9"/>
  <c r="FH331" i="9"/>
  <c r="FM330" i="9"/>
  <c r="FB330" i="9"/>
  <c r="FH329" i="9"/>
  <c r="FM328" i="9"/>
  <c r="FB328" i="9"/>
  <c r="GL328" i="9"/>
  <c r="FH327" i="9"/>
  <c r="FM326" i="9"/>
  <c r="FB326" i="9"/>
  <c r="FH325" i="9"/>
  <c r="FM324" i="9"/>
  <c r="FB324" i="9"/>
  <c r="GL324" i="9" s="1"/>
  <c r="FH323" i="9"/>
  <c r="FM322" i="9"/>
  <c r="FB322" i="9"/>
  <c r="FH321" i="9"/>
  <c r="FM320" i="9"/>
  <c r="FB320" i="9"/>
  <c r="GL320" i="9" s="1"/>
  <c r="FH319" i="9"/>
  <c r="FM317" i="9"/>
  <c r="FB317" i="9"/>
  <c r="FI316" i="9"/>
  <c r="EX316" i="9"/>
  <c r="FO315" i="9"/>
  <c r="FD315" i="9"/>
  <c r="GN315" i="9" s="1"/>
  <c r="EU315" i="9"/>
  <c r="FL314" i="9"/>
  <c r="FA314" i="9"/>
  <c r="FH313" i="9"/>
  <c r="FN312" i="9"/>
  <c r="FC312" i="9"/>
  <c r="GM312" i="9"/>
  <c r="HG312" i="9" s="1"/>
  <c r="CE312" i="9" s="1"/>
  <c r="FJ311" i="9"/>
  <c r="EZ311" i="9"/>
  <c r="FP310" i="9"/>
  <c r="FG310" i="9"/>
  <c r="EV310" i="9"/>
  <c r="FM309" i="9"/>
  <c r="FB309" i="9"/>
  <c r="FI308" i="9"/>
  <c r="EX308" i="9"/>
  <c r="FL307" i="9"/>
  <c r="FA307" i="9"/>
  <c r="FH306" i="9"/>
  <c r="FN305" i="9"/>
  <c r="FC305" i="9"/>
  <c r="FJ304" i="9"/>
  <c r="EZ304" i="9"/>
  <c r="FH302" i="9"/>
  <c r="FN301" i="9"/>
  <c r="FC301" i="9"/>
  <c r="FJ300" i="9"/>
  <c r="EZ300" i="9"/>
  <c r="FP299" i="9"/>
  <c r="FG299" i="9"/>
  <c r="EV299" i="9"/>
  <c r="FM298" i="9"/>
  <c r="FB298" i="9"/>
  <c r="FI297" i="9"/>
  <c r="EX297" i="9"/>
  <c r="FO296" i="9"/>
  <c r="FD296" i="9"/>
  <c r="GN296" i="9"/>
  <c r="GY296" i="9" s="1"/>
  <c r="GZ296" i="9" s="1"/>
  <c r="HH296" i="9" s="1"/>
  <c r="CF296" i="9" s="1"/>
  <c r="EU296" i="9"/>
  <c r="FL295" i="9"/>
  <c r="FA295" i="9"/>
  <c r="FH294" i="9"/>
  <c r="FN293" i="9"/>
  <c r="FC293" i="9"/>
  <c r="FP292" i="9"/>
  <c r="FG292" i="9"/>
  <c r="EV292" i="9"/>
  <c r="FM291" i="9"/>
  <c r="FB291" i="9"/>
  <c r="FI290" i="9"/>
  <c r="EX290" i="9"/>
  <c r="FO289" i="9"/>
  <c r="FD289" i="9"/>
  <c r="GN289" i="9" s="1"/>
  <c r="EU289" i="9"/>
  <c r="FM287" i="9"/>
  <c r="FB287" i="9"/>
  <c r="FI286" i="9"/>
  <c r="EX286" i="9"/>
  <c r="FO285" i="9"/>
  <c r="FD285" i="9"/>
  <c r="EU285" i="9"/>
  <c r="FL284" i="9"/>
  <c r="FA284" i="9"/>
  <c r="FH283" i="9"/>
  <c r="FN282" i="9"/>
  <c r="FC282" i="9"/>
  <c r="FJ281" i="9"/>
  <c r="EZ281" i="9"/>
  <c r="FP280" i="9"/>
  <c r="FG280" i="9"/>
  <c r="EV280" i="9"/>
  <c r="FM279" i="9"/>
  <c r="FB279" i="9"/>
  <c r="FI278" i="9"/>
  <c r="EX278" i="9"/>
  <c r="FL277" i="9"/>
  <c r="FA277" i="9"/>
  <c r="FH276" i="9"/>
  <c r="FN275" i="9"/>
  <c r="FC275" i="9"/>
  <c r="FJ274" i="9"/>
  <c r="EZ274" i="9"/>
  <c r="FH272" i="9"/>
  <c r="FN271" i="9"/>
  <c r="FC271" i="9"/>
  <c r="FJ270" i="9"/>
  <c r="EZ270" i="9"/>
  <c r="FP269" i="9"/>
  <c r="FG269" i="9"/>
  <c r="EV269" i="9"/>
  <c r="FM268" i="9"/>
  <c r="FB268" i="9"/>
  <c r="FI267" i="9"/>
  <c r="EX267" i="9"/>
  <c r="FO266" i="9"/>
  <c r="FD266" i="9"/>
  <c r="EU266" i="9"/>
  <c r="FL265" i="9"/>
  <c r="FA265" i="9"/>
  <c r="FH264" i="9"/>
  <c r="FN263" i="9"/>
  <c r="FC263" i="9"/>
  <c r="FP262" i="9"/>
  <c r="FG262" i="9"/>
  <c r="EV262" i="9"/>
  <c r="FM261" i="9"/>
  <c r="FB261" i="9"/>
  <c r="FI260" i="9"/>
  <c r="EX260" i="9"/>
  <c r="FO259" i="9"/>
  <c r="FD259" i="9"/>
  <c r="EU259" i="9"/>
  <c r="FN208" i="9"/>
  <c r="FD334" i="9"/>
  <c r="EU334" i="9"/>
  <c r="FN333" i="9"/>
  <c r="FC333" i="9"/>
  <c r="FL332" i="9"/>
  <c r="FA332" i="9"/>
  <c r="FP331" i="9"/>
  <c r="FG331" i="9"/>
  <c r="EV331" i="9"/>
  <c r="FL330" i="9"/>
  <c r="FA330" i="9"/>
  <c r="FP329" i="9"/>
  <c r="FG329" i="9"/>
  <c r="EV329" i="9"/>
  <c r="FL328" i="9"/>
  <c r="FA328" i="9"/>
  <c r="FP327" i="9"/>
  <c r="FG327" i="9"/>
  <c r="EV327" i="9"/>
  <c r="FL326" i="9"/>
  <c r="FA326" i="9"/>
  <c r="FP325" i="9"/>
  <c r="FG325" i="9"/>
  <c r="EV325" i="9"/>
  <c r="FL324" i="9"/>
  <c r="FA324" i="9"/>
  <c r="FP323" i="9"/>
  <c r="FG323" i="9"/>
  <c r="EV323" i="9"/>
  <c r="FL322" i="9"/>
  <c r="FA322" i="9"/>
  <c r="GK322" i="9"/>
  <c r="HE322" i="9" s="1"/>
  <c r="CC322" i="9" s="1"/>
  <c r="FP321" i="9"/>
  <c r="FG321" i="9"/>
  <c r="EV321" i="9"/>
  <c r="FL320" i="9"/>
  <c r="FA320" i="9"/>
  <c r="FP319" i="9"/>
  <c r="FG319" i="9"/>
  <c r="EV319" i="9"/>
  <c r="FL317" i="9"/>
  <c r="FA317" i="9"/>
  <c r="FH316" i="9"/>
  <c r="FN315" i="9"/>
  <c r="FC315" i="9"/>
  <c r="FJ314" i="9"/>
  <c r="EZ314" i="9"/>
  <c r="FP313" i="9"/>
  <c r="FG313" i="9"/>
  <c r="EV313" i="9"/>
  <c r="FM312" i="9"/>
  <c r="FB312" i="9"/>
  <c r="FI311" i="9"/>
  <c r="EX311" i="9"/>
  <c r="FO310" i="9"/>
  <c r="FD310" i="9"/>
  <c r="EU310" i="9"/>
  <c r="FL309" i="9"/>
  <c r="FA309" i="9"/>
  <c r="FH308" i="9"/>
  <c r="FJ307" i="9"/>
  <c r="EZ307" i="9"/>
  <c r="FP306" i="9"/>
  <c r="FG306" i="9"/>
  <c r="EV306" i="9"/>
  <c r="FM305" i="9"/>
  <c r="FB305" i="9"/>
  <c r="FI304" i="9"/>
  <c r="EX304" i="9"/>
  <c r="FP302" i="9"/>
  <c r="FG302" i="9"/>
  <c r="EV302" i="9"/>
  <c r="FM301" i="9"/>
  <c r="FB301" i="9"/>
  <c r="FI300" i="9"/>
  <c r="EX300" i="9"/>
  <c r="FO299" i="9"/>
  <c r="FD299" i="9"/>
  <c r="GN299" i="9" s="1"/>
  <c r="EU299" i="9"/>
  <c r="FL298" i="9"/>
  <c r="FA298" i="9"/>
  <c r="FH297" i="9"/>
  <c r="FN296" i="9"/>
  <c r="FC296" i="9"/>
  <c r="FJ295" i="9"/>
  <c r="EZ295" i="9"/>
  <c r="FP294" i="9"/>
  <c r="FG294" i="9"/>
  <c r="EV294" i="9"/>
  <c r="FM293" i="9"/>
  <c r="FB293" i="9"/>
  <c r="FO292" i="9"/>
  <c r="FD292" i="9"/>
  <c r="GN292" i="9" s="1"/>
  <c r="EU292" i="9"/>
  <c r="FL291" i="9"/>
  <c r="FA291" i="9"/>
  <c r="FH290" i="9"/>
  <c r="FN289" i="9"/>
  <c r="FC289" i="9"/>
  <c r="GM289" i="9"/>
  <c r="HG289" i="9" s="1"/>
  <c r="CE289" i="9" s="1"/>
  <c r="FL287" i="9"/>
  <c r="FA287" i="9"/>
  <c r="FH286" i="9"/>
  <c r="FN285" i="9"/>
  <c r="FC285" i="9"/>
  <c r="FJ284" i="9"/>
  <c r="EZ284" i="9"/>
  <c r="FP283" i="9"/>
  <c r="FG283" i="9"/>
  <c r="EV283" i="9"/>
  <c r="FM282" i="9"/>
  <c r="FB282" i="9"/>
  <c r="FI281" i="9"/>
  <c r="EX281" i="9"/>
  <c r="FO280" i="9"/>
  <c r="FD280" i="9"/>
  <c r="GN280" i="9" s="1"/>
  <c r="EU280" i="9"/>
  <c r="FL279" i="9"/>
  <c r="FA279" i="9"/>
  <c r="FH278" i="9"/>
  <c r="FJ277" i="9"/>
  <c r="EZ277" i="9"/>
  <c r="FP276" i="9"/>
  <c r="FG276" i="9"/>
  <c r="EV276" i="9"/>
  <c r="FM275" i="9"/>
  <c r="FB275" i="9"/>
  <c r="FI274" i="9"/>
  <c r="EX274" i="9"/>
  <c r="FP272" i="9"/>
  <c r="FG272" i="9"/>
  <c r="EV272" i="9"/>
  <c r="FM271" i="9"/>
  <c r="FB271" i="9"/>
  <c r="FI270" i="9"/>
  <c r="EX270" i="9"/>
  <c r="FO269" i="9"/>
  <c r="FD269" i="9"/>
  <c r="EU269" i="9"/>
  <c r="FL268" i="9"/>
  <c r="FA268" i="9"/>
  <c r="FH267" i="9"/>
  <c r="FN266" i="9"/>
  <c r="FC266" i="9"/>
  <c r="FJ265" i="9"/>
  <c r="EZ265" i="9"/>
  <c r="FP264" i="9"/>
  <c r="FG264" i="9"/>
  <c r="EV264" i="9"/>
  <c r="FM263" i="9"/>
  <c r="FB263" i="9"/>
  <c r="GL263" i="9"/>
  <c r="FO262" i="9"/>
  <c r="FD262" i="9"/>
  <c r="EU262" i="9"/>
  <c r="FL261" i="9"/>
  <c r="FA261" i="9"/>
  <c r="GK261" i="9" s="1"/>
  <c r="HE261" i="9" s="1"/>
  <c r="CC261" i="9" s="1"/>
  <c r="FH260" i="9"/>
  <c r="FN259" i="9"/>
  <c r="FC259" i="9"/>
  <c r="FM208" i="9"/>
  <c r="FP207" i="9"/>
  <c r="FP334" i="9"/>
  <c r="FC334" i="9"/>
  <c r="FM333" i="9"/>
  <c r="FB333" i="9"/>
  <c r="GL333" i="9"/>
  <c r="FJ332" i="9"/>
  <c r="EZ332" i="9"/>
  <c r="FO331" i="9"/>
  <c r="FD331" i="9"/>
  <c r="EU331" i="9"/>
  <c r="FJ330" i="9"/>
  <c r="EZ330" i="9"/>
  <c r="FO329" i="9"/>
  <c r="FD329" i="9"/>
  <c r="GN329" i="9"/>
  <c r="GY329" i="9" s="1"/>
  <c r="GZ329" i="9" s="1"/>
  <c r="HH329" i="9" s="1"/>
  <c r="CF329" i="9" s="1"/>
  <c r="EU329" i="9"/>
  <c r="FJ328" i="9"/>
  <c r="EZ328" i="9"/>
  <c r="FO327" i="9"/>
  <c r="FD327" i="9"/>
  <c r="EU327" i="9"/>
  <c r="FJ326" i="9"/>
  <c r="EZ326" i="9"/>
  <c r="FO325" i="9"/>
  <c r="FD325" i="9"/>
  <c r="EU325" i="9"/>
  <c r="FJ324" i="9"/>
  <c r="EZ324" i="9"/>
  <c r="FO323" i="9"/>
  <c r="FD323" i="9"/>
  <c r="GN323" i="9" s="1"/>
  <c r="GY323" i="9" s="1"/>
  <c r="GZ323" i="9" s="1"/>
  <c r="HH323" i="9" s="1"/>
  <c r="CF323" i="9" s="1"/>
  <c r="EU323" i="9"/>
  <c r="FJ322" i="9"/>
  <c r="EZ322" i="9"/>
  <c r="FO321" i="9"/>
  <c r="FD321" i="9"/>
  <c r="EU321" i="9"/>
  <c r="FJ320" i="9"/>
  <c r="EZ320" i="9"/>
  <c r="FO319" i="9"/>
  <c r="FD319" i="9"/>
  <c r="EU319" i="9"/>
  <c r="FJ317" i="9"/>
  <c r="EZ317" i="9"/>
  <c r="FP316" i="9"/>
  <c r="FG316" i="9"/>
  <c r="EV316" i="9"/>
  <c r="FM315" i="9"/>
  <c r="FB315" i="9"/>
  <c r="FI314" i="9"/>
  <c r="EX314" i="9"/>
  <c r="FO313" i="9"/>
  <c r="FD313" i="9"/>
  <c r="EU313" i="9"/>
  <c r="FL312" i="9"/>
  <c r="FA312" i="9"/>
  <c r="GK312" i="9"/>
  <c r="HE312" i="9" s="1"/>
  <c r="CC312" i="9" s="1"/>
  <c r="FH311" i="9"/>
  <c r="FN310" i="9"/>
  <c r="FC310" i="9"/>
  <c r="FJ309" i="9"/>
  <c r="EZ309" i="9"/>
  <c r="FP308" i="9"/>
  <c r="FG308" i="9"/>
  <c r="EV308" i="9"/>
  <c r="FI307" i="9"/>
  <c r="EX307" i="9"/>
  <c r="FO306" i="9"/>
  <c r="FD306" i="9"/>
  <c r="EU306" i="9"/>
  <c r="FL305" i="9"/>
  <c r="FA305" i="9"/>
  <c r="GK305" i="9"/>
  <c r="HE305" i="9" s="1"/>
  <c r="CC305" i="9" s="1"/>
  <c r="FH304" i="9"/>
  <c r="FO302" i="9"/>
  <c r="FD302" i="9"/>
  <c r="EU302" i="9"/>
  <c r="FL301" i="9"/>
  <c r="FA301" i="9"/>
  <c r="FH300" i="9"/>
  <c r="FN299" i="9"/>
  <c r="FC299" i="9"/>
  <c r="FJ298" i="9"/>
  <c r="EZ298" i="9"/>
  <c r="FP297" i="9"/>
  <c r="FG297" i="9"/>
  <c r="EV297" i="9"/>
  <c r="FM296" i="9"/>
  <c r="FB296" i="9"/>
  <c r="FI295" i="9"/>
  <c r="EX295" i="9"/>
  <c r="FO294" i="9"/>
  <c r="FD294" i="9"/>
  <c r="EU294" i="9"/>
  <c r="FL293" i="9"/>
  <c r="FA293" i="9"/>
  <c r="FN292" i="9"/>
  <c r="FC292" i="9"/>
  <c r="FJ291" i="9"/>
  <c r="EZ291" i="9"/>
  <c r="FP290" i="9"/>
  <c r="FG290" i="9"/>
  <c r="EV290" i="9"/>
  <c r="FM289" i="9"/>
  <c r="FB289" i="9"/>
  <c r="FJ287" i="9"/>
  <c r="EZ287" i="9"/>
  <c r="FP286" i="9"/>
  <c r="FG286" i="9"/>
  <c r="EV286" i="9"/>
  <c r="FM285" i="9"/>
  <c r="FB285" i="9"/>
  <c r="FI284" i="9"/>
  <c r="EX284" i="9"/>
  <c r="FO283" i="9"/>
  <c r="FD283" i="9"/>
  <c r="EU283" i="9"/>
  <c r="FL282" i="9"/>
  <c r="FA282" i="9"/>
  <c r="GK282" i="9"/>
  <c r="HE282" i="9" s="1"/>
  <c r="CC282" i="9" s="1"/>
  <c r="FH281" i="9"/>
  <c r="FN280" i="9"/>
  <c r="FC280" i="9"/>
  <c r="FJ279" i="9"/>
  <c r="EZ279" i="9"/>
  <c r="FP278" i="9"/>
  <c r="FG278" i="9"/>
  <c r="EV278" i="9"/>
  <c r="FI277" i="9"/>
  <c r="EX277" i="9"/>
  <c r="FO276" i="9"/>
  <c r="FD276" i="9"/>
  <c r="EU276" i="9"/>
  <c r="FL275" i="9"/>
  <c r="FA275" i="9"/>
  <c r="FH274" i="9"/>
  <c r="FO272" i="9"/>
  <c r="FD272" i="9"/>
  <c r="EU272" i="9"/>
  <c r="FL271" i="9"/>
  <c r="FA271" i="9"/>
  <c r="FH270" i="9"/>
  <c r="FN269" i="9"/>
  <c r="FC269" i="9"/>
  <c r="FJ268" i="9"/>
  <c r="EZ268" i="9"/>
  <c r="FP267" i="9"/>
  <c r="FG267" i="9"/>
  <c r="EV267" i="9"/>
  <c r="FM266" i="9"/>
  <c r="FB266" i="9"/>
  <c r="FI265" i="9"/>
  <c r="EX265" i="9"/>
  <c r="FO264" i="9"/>
  <c r="FD264" i="9"/>
  <c r="EU264" i="9"/>
  <c r="FL263" i="9"/>
  <c r="FA263" i="9"/>
  <c r="FN262" i="9"/>
  <c r="FC262" i="9"/>
  <c r="FJ261" i="9"/>
  <c r="EZ261" i="9"/>
  <c r="FP260" i="9"/>
  <c r="FG260" i="9"/>
  <c r="EV260" i="9"/>
  <c r="FM259" i="9"/>
  <c r="FB259" i="9"/>
  <c r="FL208" i="9"/>
  <c r="CC208" i="9"/>
  <c r="FO207" i="9"/>
  <c r="FO334" i="9"/>
  <c r="FB334" i="9"/>
  <c r="GL334" i="9"/>
  <c r="FL333" i="9"/>
  <c r="FA333" i="9"/>
  <c r="FI332" i="9"/>
  <c r="EX332" i="9"/>
  <c r="FN331" i="9"/>
  <c r="FC331" i="9"/>
  <c r="FI330" i="9"/>
  <c r="EX330" i="9"/>
  <c r="FN329" i="9"/>
  <c r="FC329" i="9"/>
  <c r="FI328" i="9"/>
  <c r="EX328" i="9"/>
  <c r="FN327" i="9"/>
  <c r="FC327" i="9"/>
  <c r="FI326" i="9"/>
  <c r="EX326" i="9"/>
  <c r="FN325" i="9"/>
  <c r="FC325" i="9"/>
  <c r="FI324" i="9"/>
  <c r="EX324" i="9"/>
  <c r="FN323" i="9"/>
  <c r="FC323" i="9"/>
  <c r="FI322" i="9"/>
  <c r="EX322" i="9"/>
  <c r="FN321" i="9"/>
  <c r="FC321" i="9"/>
  <c r="FI320" i="9"/>
  <c r="EX320" i="9"/>
  <c r="FN319" i="9"/>
  <c r="FC319" i="9"/>
  <c r="FI317" i="9"/>
  <c r="EX317" i="9"/>
  <c r="FO316" i="9"/>
  <c r="FD316" i="9"/>
  <c r="EU316" i="9"/>
  <c r="FL315" i="9"/>
  <c r="FA315" i="9"/>
  <c r="GK315" i="9"/>
  <c r="HE315" i="9" s="1"/>
  <c r="CC315" i="9" s="1"/>
  <c r="FH314" i="9"/>
  <c r="FN313" i="9"/>
  <c r="FC313" i="9"/>
  <c r="FJ312" i="9"/>
  <c r="EZ312" i="9"/>
  <c r="FP311" i="9"/>
  <c r="FG311" i="9"/>
  <c r="EV311" i="9"/>
  <c r="FM310" i="9"/>
  <c r="FB310" i="9"/>
  <c r="GL310" i="9" s="1"/>
  <c r="FI309" i="9"/>
  <c r="EX309" i="9"/>
  <c r="FO308" i="9"/>
  <c r="FD308" i="9"/>
  <c r="EU308" i="9"/>
  <c r="FH307" i="9"/>
  <c r="FN306" i="9"/>
  <c r="FC306" i="9"/>
  <c r="GM306" i="9" s="1"/>
  <c r="HG306" i="9" s="1"/>
  <c r="CE306" i="9" s="1"/>
  <c r="FJ305" i="9"/>
  <c r="EZ305" i="9"/>
  <c r="FP304" i="9"/>
  <c r="FG304" i="9"/>
  <c r="EV304" i="9"/>
  <c r="FN302" i="9"/>
  <c r="FC302" i="9"/>
  <c r="GM302" i="9"/>
  <c r="HG302" i="9" s="1"/>
  <c r="CE302" i="9" s="1"/>
  <c r="FJ301" i="9"/>
  <c r="EZ301" i="9"/>
  <c r="FP300" i="9"/>
  <c r="FG300" i="9"/>
  <c r="EV300" i="9"/>
  <c r="FM299" i="9"/>
  <c r="FB299" i="9"/>
  <c r="FI298" i="9"/>
  <c r="EX298" i="9"/>
  <c r="FO297" i="9"/>
  <c r="FD297" i="9"/>
  <c r="EU297" i="9"/>
  <c r="FL296" i="9"/>
  <c r="FA296" i="9"/>
  <c r="FH295" i="9"/>
  <c r="FN294" i="9"/>
  <c r="FC294" i="9"/>
  <c r="FJ293" i="9"/>
  <c r="EZ293" i="9"/>
  <c r="FM292" i="9"/>
  <c r="FB292" i="9"/>
  <c r="FI291" i="9"/>
  <c r="EX291" i="9"/>
  <c r="FO290" i="9"/>
  <c r="FD290" i="9"/>
  <c r="EU290" i="9"/>
  <c r="FL289" i="9"/>
  <c r="FA289" i="9"/>
  <c r="FI287" i="9"/>
  <c r="EX287" i="9"/>
  <c r="FO286" i="9"/>
  <c r="FD286" i="9"/>
  <c r="GN286" i="9"/>
  <c r="EU286" i="9"/>
  <c r="FL285" i="9"/>
  <c r="FA285" i="9"/>
  <c r="FH284" i="9"/>
  <c r="FN283" i="9"/>
  <c r="FC283" i="9"/>
  <c r="FJ282" i="9"/>
  <c r="EZ282" i="9"/>
  <c r="FP281" i="9"/>
  <c r="FG281" i="9"/>
  <c r="EV281" i="9"/>
  <c r="FM280" i="9"/>
  <c r="FB280" i="9"/>
  <c r="FI279" i="9"/>
  <c r="EX279" i="9"/>
  <c r="FO278" i="9"/>
  <c r="FD278" i="9"/>
  <c r="EU278" i="9"/>
  <c r="FH277" i="9"/>
  <c r="FN276" i="9"/>
  <c r="FC276" i="9"/>
  <c r="FJ275" i="9"/>
  <c r="EZ275" i="9"/>
  <c r="FP274" i="9"/>
  <c r="FG274" i="9"/>
  <c r="EV274" i="9"/>
  <c r="FN272" i="9"/>
  <c r="FC272" i="9"/>
  <c r="FJ271" i="9"/>
  <c r="EZ271" i="9"/>
  <c r="FP270" i="9"/>
  <c r="FG270" i="9"/>
  <c r="EV270" i="9"/>
  <c r="FM269" i="9"/>
  <c r="FB269" i="9"/>
  <c r="FI268" i="9"/>
  <c r="EX268" i="9"/>
  <c r="FO267" i="9"/>
  <c r="FD267" i="9"/>
  <c r="EU267" i="9"/>
  <c r="FL266" i="9"/>
  <c r="FA266" i="9"/>
  <c r="FH265" i="9"/>
  <c r="FN264" i="9"/>
  <c r="FC264" i="9"/>
  <c r="GM264" i="9" s="1"/>
  <c r="HG264" i="9" s="1"/>
  <c r="CE264" i="9" s="1"/>
  <c r="FJ263" i="9"/>
  <c r="EZ263" i="9"/>
  <c r="FM262" i="9"/>
  <c r="FB262" i="9"/>
  <c r="FI261" i="9"/>
  <c r="EX261" i="9"/>
  <c r="FO260" i="9"/>
  <c r="FD260" i="9"/>
  <c r="GN260" i="9" s="1"/>
  <c r="GY260" i="9" s="1"/>
  <c r="GZ260" i="9" s="1"/>
  <c r="HH260" i="9" s="1"/>
  <c r="CF260" i="9" s="1"/>
  <c r="EU260" i="9"/>
  <c r="FL259" i="9"/>
  <c r="FA259" i="9"/>
  <c r="FJ208" i="9"/>
  <c r="FN207" i="9"/>
  <c r="EU335" i="9"/>
  <c r="FN334" i="9"/>
  <c r="FA334" i="9"/>
  <c r="FJ333" i="9"/>
  <c r="EZ333" i="9"/>
  <c r="FH332" i="9"/>
  <c r="FM331" i="9"/>
  <c r="FB331" i="9"/>
  <c r="GL331" i="9" s="1"/>
  <c r="FH330" i="9"/>
  <c r="FM329" i="9"/>
  <c r="FB329" i="9"/>
  <c r="FH328" i="9"/>
  <c r="FM327" i="9"/>
  <c r="FB327" i="9"/>
  <c r="GL327" i="9" s="1"/>
  <c r="FH326" i="9"/>
  <c r="FM325" i="9"/>
  <c r="FB325" i="9"/>
  <c r="FH324" i="9"/>
  <c r="FM323" i="9"/>
  <c r="FB323" i="9"/>
  <c r="GL323" i="9" s="1"/>
  <c r="FH322" i="9"/>
  <c r="FM321" i="9"/>
  <c r="FB321" i="9"/>
  <c r="FH320" i="9"/>
  <c r="FM319" i="9"/>
  <c r="FB319" i="9"/>
  <c r="GL319" i="9" s="1"/>
  <c r="FH317" i="9"/>
  <c r="FN316" i="9"/>
  <c r="FC316" i="9"/>
  <c r="FJ315" i="9"/>
  <c r="EZ315" i="9"/>
  <c r="FP314" i="9"/>
  <c r="FG314" i="9"/>
  <c r="EV314" i="9"/>
  <c r="FM313" i="9"/>
  <c r="FB313" i="9"/>
  <c r="GL313" i="9" s="1"/>
  <c r="GQ313" i="9" s="1"/>
  <c r="GR313" i="9" s="1"/>
  <c r="GS313" i="9" s="1"/>
  <c r="GT313" i="9" s="1"/>
  <c r="GU313" i="9" s="1"/>
  <c r="GV313" i="9" s="1"/>
  <c r="FI312" i="9"/>
  <c r="EX312" i="9"/>
  <c r="FO311" i="9"/>
  <c r="FD311" i="9"/>
  <c r="EU311" i="9"/>
  <c r="FL310" i="9"/>
  <c r="FA310" i="9"/>
  <c r="FH309" i="9"/>
  <c r="FN308" i="9"/>
  <c r="FC308" i="9"/>
  <c r="FP307" i="9"/>
  <c r="FG307" i="9"/>
  <c r="EV307" i="9"/>
  <c r="FM306" i="9"/>
  <c r="FB306" i="9"/>
  <c r="FI305" i="9"/>
  <c r="EX305" i="9"/>
  <c r="FO304" i="9"/>
  <c r="FD304" i="9"/>
  <c r="EU304" i="9"/>
  <c r="FM302" i="9"/>
  <c r="FB302" i="9"/>
  <c r="FI301" i="9"/>
  <c r="EX301" i="9"/>
  <c r="FO300" i="9"/>
  <c r="FD300" i="9"/>
  <c r="EU300" i="9"/>
  <c r="FL299" i="9"/>
  <c r="FA299" i="9"/>
  <c r="GK299" i="9"/>
  <c r="HE299" i="9" s="1"/>
  <c r="CC299" i="9" s="1"/>
  <c r="FH298" i="9"/>
  <c r="FN297" i="9"/>
  <c r="FC297" i="9"/>
  <c r="FJ296" i="9"/>
  <c r="EZ296" i="9"/>
  <c r="FP295" i="9"/>
  <c r="FG295" i="9"/>
  <c r="EV295" i="9"/>
  <c r="FM294" i="9"/>
  <c r="FB294" i="9"/>
  <c r="GL294" i="9" s="1"/>
  <c r="FI293" i="9"/>
  <c r="EX293" i="9"/>
  <c r="FL292" i="9"/>
  <c r="FA292" i="9"/>
  <c r="FH291" i="9"/>
  <c r="FN290" i="9"/>
  <c r="FC290" i="9"/>
  <c r="FJ289" i="9"/>
  <c r="EZ289" i="9"/>
  <c r="FH287" i="9"/>
  <c r="FN286" i="9"/>
  <c r="FC286" i="9"/>
  <c r="FJ285" i="9"/>
  <c r="EZ285" i="9"/>
  <c r="FP284" i="9"/>
  <c r="FG284" i="9"/>
  <c r="EV284" i="9"/>
  <c r="FM283" i="9"/>
  <c r="FB283" i="9"/>
  <c r="GL283" i="9"/>
  <c r="FI282" i="9"/>
  <c r="EX282" i="9"/>
  <c r="FO281" i="9"/>
  <c r="FD281" i="9"/>
  <c r="GN281" i="9" s="1"/>
  <c r="GY281" i="9" s="1"/>
  <c r="GZ281" i="9" s="1"/>
  <c r="HH281" i="9" s="1"/>
  <c r="CF281" i="9" s="1"/>
  <c r="EU281" i="9"/>
  <c r="FL280" i="9"/>
  <c r="FA280" i="9"/>
  <c r="FH279" i="9"/>
  <c r="FN278" i="9"/>
  <c r="FC278" i="9"/>
  <c r="FP277" i="9"/>
  <c r="FG277" i="9"/>
  <c r="EV277" i="9"/>
  <c r="FM276" i="9"/>
  <c r="FB276" i="9"/>
  <c r="GL276" i="9"/>
  <c r="FI275" i="9"/>
  <c r="EX275" i="9"/>
  <c r="FO274" i="9"/>
  <c r="FD274" i="9"/>
  <c r="GN274" i="9" s="1"/>
  <c r="GY274" i="9" s="1"/>
  <c r="GZ274" i="9" s="1"/>
  <c r="HH274" i="9" s="1"/>
  <c r="CF274" i="9" s="1"/>
  <c r="EU274" i="9"/>
  <c r="FM272" i="9"/>
  <c r="FB272" i="9"/>
  <c r="GL272" i="9"/>
  <c r="FI271" i="9"/>
  <c r="EX271" i="9"/>
  <c r="FO270" i="9"/>
  <c r="FD270" i="9"/>
  <c r="GN270" i="9" s="1"/>
  <c r="GY270" i="9" s="1"/>
  <c r="GZ270" i="9" s="1"/>
  <c r="HH270" i="9" s="1"/>
  <c r="CF270" i="9" s="1"/>
  <c r="EU270" i="9"/>
  <c r="FL269" i="9"/>
  <c r="FA269" i="9"/>
  <c r="FH268" i="9"/>
  <c r="FN267" i="9"/>
  <c r="FC267" i="9"/>
  <c r="FJ266" i="9"/>
  <c r="EZ266" i="9"/>
  <c r="HB266" i="9" s="1"/>
  <c r="HD266" i="9" s="1"/>
  <c r="CB266" i="9" s="1"/>
  <c r="FP265" i="9"/>
  <c r="FG265" i="9"/>
  <c r="EV265" i="9"/>
  <c r="FM264" i="9"/>
  <c r="FB264" i="9"/>
  <c r="FI263" i="9"/>
  <c r="EX263" i="9"/>
  <c r="FL262" i="9"/>
  <c r="FA262" i="9"/>
  <c r="FH261" i="9"/>
  <c r="FN260" i="9"/>
  <c r="FC260" i="9"/>
  <c r="FJ259" i="9"/>
  <c r="EZ259" i="9"/>
  <c r="FI208" i="9"/>
  <c r="EX208" i="9"/>
  <c r="FM207" i="9"/>
  <c r="FM334" i="9"/>
  <c r="EZ334" i="9"/>
  <c r="FI333" i="9"/>
  <c r="EX333" i="9"/>
  <c r="FP332" i="9"/>
  <c r="FG332" i="9"/>
  <c r="EV332" i="9"/>
  <c r="FL331" i="9"/>
  <c r="FA331" i="9"/>
  <c r="FP330" i="9"/>
  <c r="FG330" i="9"/>
  <c r="EV330" i="9"/>
  <c r="FL329" i="9"/>
  <c r="FA329" i="9"/>
  <c r="FP328" i="9"/>
  <c r="FG328" i="9"/>
  <c r="EV328" i="9"/>
  <c r="FL327" i="9"/>
  <c r="FA327" i="9"/>
  <c r="FP326" i="9"/>
  <c r="FG326" i="9"/>
  <c r="EV326" i="9"/>
  <c r="FL325" i="9"/>
  <c r="FA325" i="9"/>
  <c r="FP324" i="9"/>
  <c r="FG324" i="9"/>
  <c r="EV324" i="9"/>
  <c r="FL323" i="9"/>
  <c r="FA323" i="9"/>
  <c r="FP322" i="9"/>
  <c r="FG322" i="9"/>
  <c r="EV322" i="9"/>
  <c r="FL321" i="9"/>
  <c r="FA321" i="9"/>
  <c r="GK321" i="9"/>
  <c r="HE321" i="9" s="1"/>
  <c r="CC321" i="9" s="1"/>
  <c r="FP320" i="9"/>
  <c r="FG320" i="9"/>
  <c r="EV320" i="9"/>
  <c r="FL319" i="9"/>
  <c r="FA319" i="9"/>
  <c r="FP317" i="9"/>
  <c r="FG317" i="9"/>
  <c r="EV317" i="9"/>
  <c r="FM316" i="9"/>
  <c r="FB316" i="9"/>
  <c r="FI315" i="9"/>
  <c r="EX315" i="9"/>
  <c r="FO314" i="9"/>
  <c r="FD314" i="9"/>
  <c r="EU314" i="9"/>
  <c r="FL313" i="9"/>
  <c r="FA313" i="9"/>
  <c r="FH312" i="9"/>
  <c r="FN311" i="9"/>
  <c r="FC311" i="9"/>
  <c r="GM311" i="9" s="1"/>
  <c r="HG311" i="9" s="1"/>
  <c r="CE311" i="9" s="1"/>
  <c r="FJ310" i="9"/>
  <c r="EZ310" i="9"/>
  <c r="FP309" i="9"/>
  <c r="FG309" i="9"/>
  <c r="EV309" i="9"/>
  <c r="FM308" i="9"/>
  <c r="FB308" i="9"/>
  <c r="FO307" i="9"/>
  <c r="FD307" i="9"/>
  <c r="EU307" i="9"/>
  <c r="FL306" i="9"/>
  <c r="FA306" i="9"/>
  <c r="FH305" i="9"/>
  <c r="FN304" i="9"/>
  <c r="FC304" i="9"/>
  <c r="FL302" i="9"/>
  <c r="FA302" i="9"/>
  <c r="FH301" i="9"/>
  <c r="FN300" i="9"/>
  <c r="FC300" i="9"/>
  <c r="FJ299" i="9"/>
  <c r="EZ299" i="9"/>
  <c r="FP298" i="9"/>
  <c r="FG298" i="9"/>
  <c r="EV298" i="9"/>
  <c r="FM297" i="9"/>
  <c r="FB297" i="9"/>
  <c r="FI296" i="9"/>
  <c r="EX296" i="9"/>
  <c r="FO295" i="9"/>
  <c r="FD295" i="9"/>
  <c r="EU295" i="9"/>
  <c r="FL294" i="9"/>
  <c r="FA294" i="9"/>
  <c r="FH293" i="9"/>
  <c r="FJ292" i="9"/>
  <c r="EZ292" i="9"/>
  <c r="FP291" i="9"/>
  <c r="FG291" i="9"/>
  <c r="EV291" i="9"/>
  <c r="FM290" i="9"/>
  <c r="FB290" i="9"/>
  <c r="FI289" i="9"/>
  <c r="EX289" i="9"/>
  <c r="FP287" i="9"/>
  <c r="FG287" i="9"/>
  <c r="EV287" i="9"/>
  <c r="FM286" i="9"/>
  <c r="FB286" i="9"/>
  <c r="FI285" i="9"/>
  <c r="EX285" i="9"/>
  <c r="FO284" i="9"/>
  <c r="FD284" i="9"/>
  <c r="EU284" i="9"/>
  <c r="FL283" i="9"/>
  <c r="FA283" i="9"/>
  <c r="GK283" i="9" s="1"/>
  <c r="HE283" i="9" s="1"/>
  <c r="CC283" i="9" s="1"/>
  <c r="FH282" i="9"/>
  <c r="FN281" i="9"/>
  <c r="FC281" i="9"/>
  <c r="FJ280" i="9"/>
  <c r="EZ280" i="9"/>
  <c r="FP279" i="9"/>
  <c r="FG279" i="9"/>
  <c r="EV279" i="9"/>
  <c r="FM278" i="9"/>
  <c r="FB278" i="9"/>
  <c r="FO277" i="9"/>
  <c r="FD277" i="9"/>
  <c r="EU277" i="9"/>
  <c r="FL276" i="9"/>
  <c r="FA276" i="9"/>
  <c r="FH275" i="9"/>
  <c r="FN274" i="9"/>
  <c r="FC274" i="9"/>
  <c r="FL272" i="9"/>
  <c r="FA272" i="9"/>
  <c r="FH271" i="9"/>
  <c r="FN270" i="9"/>
  <c r="FC270" i="9"/>
  <c r="FJ269" i="9"/>
  <c r="EZ269" i="9"/>
  <c r="FP268" i="9"/>
  <c r="FG268" i="9"/>
  <c r="EV268" i="9"/>
  <c r="FM267" i="9"/>
  <c r="FB267" i="9"/>
  <c r="FI266" i="9"/>
  <c r="EX266" i="9"/>
  <c r="FO265" i="9"/>
  <c r="FD265" i="9"/>
  <c r="EU265" i="9"/>
  <c r="FL264" i="9"/>
  <c r="FA264" i="9"/>
  <c r="FH263" i="9"/>
  <c r="FJ262" i="9"/>
  <c r="EZ262" i="9"/>
  <c r="FP261" i="9"/>
  <c r="FG261" i="9"/>
  <c r="EV261" i="9"/>
  <c r="FM260" i="9"/>
  <c r="FB260" i="9"/>
  <c r="FI259" i="9"/>
  <c r="EX259" i="9"/>
  <c r="FH208" i="9"/>
  <c r="FL207" i="9"/>
  <c r="FP206" i="9"/>
  <c r="FG206" i="9"/>
  <c r="EV206" i="9"/>
  <c r="FJ205" i="9"/>
  <c r="FN204" i="9"/>
  <c r="FH203" i="9"/>
  <c r="FL202" i="9"/>
  <c r="FO201" i="9"/>
  <c r="EU201" i="9"/>
  <c r="FI200" i="9"/>
  <c r="EX200" i="9"/>
  <c r="FM199" i="9"/>
  <c r="FP198" i="9"/>
  <c r="FG198" i="9"/>
  <c r="EV198" i="9"/>
  <c r="FJ197" i="9"/>
  <c r="FN196" i="9"/>
  <c r="FH195" i="9"/>
  <c r="FJ193" i="9"/>
  <c r="FN192" i="9"/>
  <c r="FH191" i="9"/>
  <c r="FL190" i="9"/>
  <c r="FO189" i="9"/>
  <c r="EU189" i="9"/>
  <c r="FI188" i="9"/>
  <c r="EX188" i="9"/>
  <c r="FM187" i="9"/>
  <c r="FP186" i="9"/>
  <c r="FG186" i="9"/>
  <c r="EV186" i="9"/>
  <c r="FJ185" i="9"/>
  <c r="FN184" i="9"/>
  <c r="FP183" i="9"/>
  <c r="FG183" i="9"/>
  <c r="EV183" i="9"/>
  <c r="FJ182" i="9"/>
  <c r="FN181" i="9"/>
  <c r="FH180" i="9"/>
  <c r="FJ178" i="9"/>
  <c r="FN177" i="9"/>
  <c r="FH176" i="9"/>
  <c r="FL175" i="9"/>
  <c r="FO174" i="9"/>
  <c r="EU174" i="9"/>
  <c r="FI173" i="9"/>
  <c r="EX173" i="9"/>
  <c r="FM172" i="9"/>
  <c r="FP171" i="9"/>
  <c r="FG171" i="9"/>
  <c r="EV171" i="9"/>
  <c r="FJ170" i="9"/>
  <c r="FN169" i="9"/>
  <c r="FP168" i="9"/>
  <c r="FG168" i="9"/>
  <c r="EV168" i="9"/>
  <c r="FJ167" i="9"/>
  <c r="FN166" i="9"/>
  <c r="FH165" i="9"/>
  <c r="FJ163" i="9"/>
  <c r="FN162" i="9"/>
  <c r="FH161" i="9"/>
  <c r="FL160" i="9"/>
  <c r="FO159" i="9"/>
  <c r="EU159" i="9"/>
  <c r="FI158" i="9"/>
  <c r="EX158" i="9"/>
  <c r="FM157" i="9"/>
  <c r="FP156" i="9"/>
  <c r="FG156" i="9"/>
  <c r="EV156" i="9"/>
  <c r="FJ155" i="9"/>
  <c r="FN154" i="9"/>
  <c r="FP153" i="9"/>
  <c r="FG153" i="9"/>
  <c r="EV153" i="9"/>
  <c r="FJ152" i="9"/>
  <c r="FN151" i="9"/>
  <c r="FH150" i="9"/>
  <c r="FJ148" i="9"/>
  <c r="FN147" i="9"/>
  <c r="FH146" i="9"/>
  <c r="FL145" i="9"/>
  <c r="FO144" i="9"/>
  <c r="EU144" i="9"/>
  <c r="FI143" i="9"/>
  <c r="EX143" i="9"/>
  <c r="FM142" i="9"/>
  <c r="FP141" i="9"/>
  <c r="FG141" i="9"/>
  <c r="EV141" i="9"/>
  <c r="FJ140" i="9"/>
  <c r="FN139" i="9"/>
  <c r="FP138" i="9"/>
  <c r="FG138" i="9"/>
  <c r="EV138" i="9"/>
  <c r="FJ137" i="9"/>
  <c r="FN136" i="9"/>
  <c r="FH135" i="9"/>
  <c r="FN86" i="9"/>
  <c r="FC86" i="9"/>
  <c r="FH85" i="9"/>
  <c r="FL84" i="9"/>
  <c r="FA84" i="9"/>
  <c r="FO83" i="9"/>
  <c r="FD83" i="9"/>
  <c r="EU83" i="9"/>
  <c r="FI82" i="9"/>
  <c r="EX82" i="9"/>
  <c r="FM81" i="9"/>
  <c r="FB81" i="9"/>
  <c r="FP80" i="9"/>
  <c r="FJ207" i="9"/>
  <c r="FN206" i="9"/>
  <c r="CE206" i="9"/>
  <c r="FH205" i="9"/>
  <c r="FL204" i="9"/>
  <c r="FO203" i="9"/>
  <c r="EU203" i="9"/>
  <c r="FI202" i="9"/>
  <c r="EX202" i="9"/>
  <c r="FM201" i="9"/>
  <c r="FP200" i="9"/>
  <c r="FG200" i="9"/>
  <c r="EV200" i="9"/>
  <c r="FJ199" i="9"/>
  <c r="FN198" i="9"/>
  <c r="FH197" i="9"/>
  <c r="FL196" i="9"/>
  <c r="FO195" i="9"/>
  <c r="EU195" i="9"/>
  <c r="FH193" i="9"/>
  <c r="FL192" i="9"/>
  <c r="FO191" i="9"/>
  <c r="EU191" i="9"/>
  <c r="FI190" i="9"/>
  <c r="EX190" i="9"/>
  <c r="FM189" i="9"/>
  <c r="FP188" i="9"/>
  <c r="FG188" i="9"/>
  <c r="EV188" i="9"/>
  <c r="FJ187" i="9"/>
  <c r="FN186" i="9"/>
  <c r="FH185" i="9"/>
  <c r="FL184" i="9"/>
  <c r="FN183" i="9"/>
  <c r="FH182" i="9"/>
  <c r="FL181" i="9"/>
  <c r="FO180" i="9"/>
  <c r="EU180" i="9"/>
  <c r="FH178" i="9"/>
  <c r="FL177" i="9"/>
  <c r="FO176" i="9"/>
  <c r="EU176" i="9"/>
  <c r="FI175" i="9"/>
  <c r="EX175" i="9"/>
  <c r="FM174" i="9"/>
  <c r="FP173" i="9"/>
  <c r="FG173" i="9"/>
  <c r="EV173" i="9"/>
  <c r="FJ172" i="9"/>
  <c r="FN171" i="9"/>
  <c r="FH170" i="9"/>
  <c r="FL169" i="9"/>
  <c r="FN168" i="9"/>
  <c r="FH167" i="9"/>
  <c r="FL166" i="9"/>
  <c r="FO165" i="9"/>
  <c r="EU165" i="9"/>
  <c r="FH163" i="9"/>
  <c r="FL162" i="9"/>
  <c r="FO161" i="9"/>
  <c r="EU161" i="9"/>
  <c r="FI160" i="9"/>
  <c r="EX160" i="9"/>
  <c r="FM159" i="9"/>
  <c r="FP158" i="9"/>
  <c r="FG158" i="9"/>
  <c r="EV158" i="9"/>
  <c r="FJ157" i="9"/>
  <c r="FN156" i="9"/>
  <c r="FH155" i="9"/>
  <c r="FL154" i="9"/>
  <c r="FN153" i="9"/>
  <c r="FH152" i="9"/>
  <c r="FL151" i="9"/>
  <c r="FO150" i="9"/>
  <c r="EU150" i="9"/>
  <c r="FH148" i="9"/>
  <c r="FL147" i="9"/>
  <c r="FO146" i="9"/>
  <c r="EU146" i="9"/>
  <c r="FI145" i="9"/>
  <c r="EX145" i="9"/>
  <c r="FM144" i="9"/>
  <c r="FP143" i="9"/>
  <c r="FG143" i="9"/>
  <c r="EV143" i="9"/>
  <c r="FJ142" i="9"/>
  <c r="FN141" i="9"/>
  <c r="FH140" i="9"/>
  <c r="FL139" i="9"/>
  <c r="FN138" i="9"/>
  <c r="FH137" i="9"/>
  <c r="FL136" i="9"/>
  <c r="FO135" i="9"/>
  <c r="EU135" i="9"/>
  <c r="FL86" i="9"/>
  <c r="FA86" i="9"/>
  <c r="FO85" i="9"/>
  <c r="FD85" i="9"/>
  <c r="EU85" i="9"/>
  <c r="FI84" i="9"/>
  <c r="EX84" i="9"/>
  <c r="FM83" i="9"/>
  <c r="FB83" i="9"/>
  <c r="GL83" i="9" s="1"/>
  <c r="GQ83" i="9" s="1"/>
  <c r="GR83" i="9" s="1"/>
  <c r="GS83" i="9" s="1"/>
  <c r="GT83" i="9" s="1"/>
  <c r="GU83" i="9" s="1"/>
  <c r="GV83" i="9" s="1"/>
  <c r="FP82" i="9"/>
  <c r="FG82" i="9"/>
  <c r="EV82" i="9"/>
  <c r="FJ81" i="9"/>
  <c r="EZ81" i="9"/>
  <c r="FI207" i="9"/>
  <c r="EX207" i="9"/>
  <c r="FM206" i="9"/>
  <c r="FP205" i="9"/>
  <c r="FG205" i="9"/>
  <c r="EV205" i="9"/>
  <c r="FJ204" i="9"/>
  <c r="FN203" i="9"/>
  <c r="FH202" i="9"/>
  <c r="FL201" i="9"/>
  <c r="FO200" i="9"/>
  <c r="EU200" i="9"/>
  <c r="FI199" i="9"/>
  <c r="EX199" i="9"/>
  <c r="FM198" i="9"/>
  <c r="FP197" i="9"/>
  <c r="FG197" i="9"/>
  <c r="EV197" i="9"/>
  <c r="FJ196" i="9"/>
  <c r="FN195" i="9"/>
  <c r="FP193" i="9"/>
  <c r="FG193" i="9"/>
  <c r="EV193" i="9"/>
  <c r="FJ192" i="9"/>
  <c r="FN191" i="9"/>
  <c r="FH190" i="9"/>
  <c r="FL189" i="9"/>
  <c r="FO188" i="9"/>
  <c r="EU188" i="9"/>
  <c r="FI187" i="9"/>
  <c r="EX187" i="9"/>
  <c r="FM186" i="9"/>
  <c r="FB186" i="9"/>
  <c r="FP185" i="9"/>
  <c r="FG185" i="9"/>
  <c r="EV185" i="9"/>
  <c r="FJ184" i="9"/>
  <c r="FM183" i="9"/>
  <c r="FP182" i="9"/>
  <c r="FG182" i="9"/>
  <c r="EV182" i="9"/>
  <c r="FJ181" i="9"/>
  <c r="FN180" i="9"/>
  <c r="FP178" i="9"/>
  <c r="FG178" i="9"/>
  <c r="EV178" i="9"/>
  <c r="FJ177" i="9"/>
  <c r="FN176" i="9"/>
  <c r="FH175" i="9"/>
  <c r="FL174" i="9"/>
  <c r="FO173" i="9"/>
  <c r="EU173" i="9"/>
  <c r="FI172" i="9"/>
  <c r="EX172" i="9"/>
  <c r="FM171" i="9"/>
  <c r="FB171" i="9"/>
  <c r="FP170" i="9"/>
  <c r="FG170" i="9"/>
  <c r="EV170" i="9"/>
  <c r="FJ169" i="9"/>
  <c r="FM168" i="9"/>
  <c r="FP167" i="9"/>
  <c r="FG167" i="9"/>
  <c r="EV167" i="9"/>
  <c r="FJ166" i="9"/>
  <c r="FN165" i="9"/>
  <c r="FP163" i="9"/>
  <c r="FG163" i="9"/>
  <c r="EV163" i="9"/>
  <c r="FJ162" i="9"/>
  <c r="FN161" i="9"/>
  <c r="FH160" i="9"/>
  <c r="FL159" i="9"/>
  <c r="FO158" i="9"/>
  <c r="EU158" i="9"/>
  <c r="FI157" i="9"/>
  <c r="EX157" i="9"/>
  <c r="FM156" i="9"/>
  <c r="FB156" i="9"/>
  <c r="FP155" i="9"/>
  <c r="FG155" i="9"/>
  <c r="EV155" i="9"/>
  <c r="FJ154" i="9"/>
  <c r="FM153" i="9"/>
  <c r="FP152" i="9"/>
  <c r="FG152" i="9"/>
  <c r="EV152" i="9"/>
  <c r="FJ151" i="9"/>
  <c r="FN150" i="9"/>
  <c r="FP148" i="9"/>
  <c r="FG148" i="9"/>
  <c r="EV148" i="9"/>
  <c r="FJ147" i="9"/>
  <c r="FN146" i="9"/>
  <c r="FH145" i="9"/>
  <c r="FL144" i="9"/>
  <c r="FO143" i="9"/>
  <c r="EU143" i="9"/>
  <c r="FI142" i="9"/>
  <c r="EX142" i="9"/>
  <c r="FM141" i="9"/>
  <c r="FB141" i="9"/>
  <c r="FP140" i="9"/>
  <c r="FG140" i="9"/>
  <c r="EV140" i="9"/>
  <c r="FJ139" i="9"/>
  <c r="FM138" i="9"/>
  <c r="FP137" i="9"/>
  <c r="FG137" i="9"/>
  <c r="EV137" i="9"/>
  <c r="FJ136" i="9"/>
  <c r="FN135" i="9"/>
  <c r="FJ86" i="9"/>
  <c r="EZ86" i="9"/>
  <c r="FN85" i="9"/>
  <c r="FC85" i="9"/>
  <c r="FH84" i="9"/>
  <c r="FL83" i="9"/>
  <c r="FA83" i="9"/>
  <c r="FO82" i="9"/>
  <c r="FD82" i="9"/>
  <c r="EU82" i="9"/>
  <c r="FI81" i="9"/>
  <c r="EX81" i="9"/>
  <c r="FH207" i="9"/>
  <c r="FL206" i="9"/>
  <c r="FO205" i="9"/>
  <c r="EU205" i="9"/>
  <c r="FI204" i="9"/>
  <c r="EX204" i="9"/>
  <c r="FM203" i="9"/>
  <c r="FP202" i="9"/>
  <c r="FG202" i="9"/>
  <c r="EV202" i="9"/>
  <c r="FJ201" i="9"/>
  <c r="FN200" i="9"/>
  <c r="CE200" i="9"/>
  <c r="FH199" i="9"/>
  <c r="FL198" i="9"/>
  <c r="FO197" i="9"/>
  <c r="EU197" i="9"/>
  <c r="FI196" i="9"/>
  <c r="EX196" i="9"/>
  <c r="FM195" i="9"/>
  <c r="FO193" i="9"/>
  <c r="EU193" i="9"/>
  <c r="FI192" i="9"/>
  <c r="EX192" i="9"/>
  <c r="FM191" i="9"/>
  <c r="FP190" i="9"/>
  <c r="FG190" i="9"/>
  <c r="EV190" i="9"/>
  <c r="FJ189" i="9"/>
  <c r="FN188" i="9"/>
  <c r="FH187" i="9"/>
  <c r="FL186" i="9"/>
  <c r="FO185" i="9"/>
  <c r="EU185" i="9"/>
  <c r="FI184" i="9"/>
  <c r="EX184" i="9"/>
  <c r="FL183" i="9"/>
  <c r="FO182" i="9"/>
  <c r="EU182" i="9"/>
  <c r="FI181" i="9"/>
  <c r="EX181" i="9"/>
  <c r="FM180" i="9"/>
  <c r="FO178" i="9"/>
  <c r="EU178" i="9"/>
  <c r="FI177" i="9"/>
  <c r="EX177" i="9"/>
  <c r="FM176" i="9"/>
  <c r="FP175" i="9"/>
  <c r="FG175" i="9"/>
  <c r="EV175" i="9"/>
  <c r="FJ174" i="9"/>
  <c r="FN173" i="9"/>
  <c r="FH172" i="9"/>
  <c r="FL171" i="9"/>
  <c r="FO170" i="9"/>
  <c r="EU170" i="9"/>
  <c r="FI169" i="9"/>
  <c r="EX169" i="9"/>
  <c r="FL168" i="9"/>
  <c r="FO167" i="9"/>
  <c r="EU167" i="9"/>
  <c r="FI166" i="9"/>
  <c r="EX166" i="9"/>
  <c r="FM165" i="9"/>
  <c r="FO163" i="9"/>
  <c r="EU163" i="9"/>
  <c r="FI162" i="9"/>
  <c r="EX162" i="9"/>
  <c r="FM161" i="9"/>
  <c r="FP160" i="9"/>
  <c r="FG160" i="9"/>
  <c r="EV160" i="9"/>
  <c r="FJ159" i="9"/>
  <c r="FN158" i="9"/>
  <c r="FH157" i="9"/>
  <c r="FL156" i="9"/>
  <c r="FO155" i="9"/>
  <c r="EU155" i="9"/>
  <c r="FI154" i="9"/>
  <c r="EX154" i="9"/>
  <c r="FL153" i="9"/>
  <c r="FO152" i="9"/>
  <c r="EU152" i="9"/>
  <c r="FI151" i="9"/>
  <c r="EX151" i="9"/>
  <c r="FM150" i="9"/>
  <c r="FO148" i="9"/>
  <c r="EU148" i="9"/>
  <c r="FI147" i="9"/>
  <c r="EX147" i="9"/>
  <c r="FM146" i="9"/>
  <c r="FP145" i="9"/>
  <c r="FG145" i="9"/>
  <c r="EV145" i="9"/>
  <c r="FJ144" i="9"/>
  <c r="FN143" i="9"/>
  <c r="FH142" i="9"/>
  <c r="FL141" i="9"/>
  <c r="FO140" i="9"/>
  <c r="EU140" i="9"/>
  <c r="FI139" i="9"/>
  <c r="EX139" i="9"/>
  <c r="FL138" i="9"/>
  <c r="FO137" i="9"/>
  <c r="EU137" i="9"/>
  <c r="FI136" i="9"/>
  <c r="EX136" i="9"/>
  <c r="FM135" i="9"/>
  <c r="FI86" i="9"/>
  <c r="EX86" i="9"/>
  <c r="FM85" i="9"/>
  <c r="FB85" i="9"/>
  <c r="GL85" i="9" s="1"/>
  <c r="FP84" i="9"/>
  <c r="FG84" i="9"/>
  <c r="EV84" i="9"/>
  <c r="FJ83" i="9"/>
  <c r="EZ83" i="9"/>
  <c r="FN82" i="9"/>
  <c r="FC82" i="9"/>
  <c r="FH81" i="9"/>
  <c r="FG207" i="9"/>
  <c r="EV207" i="9"/>
  <c r="FJ206" i="9"/>
  <c r="FN205" i="9"/>
  <c r="FH204" i="9"/>
  <c r="FL203" i="9"/>
  <c r="FO202" i="9"/>
  <c r="EU202" i="9"/>
  <c r="FI201" i="9"/>
  <c r="EX201" i="9"/>
  <c r="FM200" i="9"/>
  <c r="FP199" i="9"/>
  <c r="FG199" i="9"/>
  <c r="EV199" i="9"/>
  <c r="FJ198" i="9"/>
  <c r="FN197" i="9"/>
  <c r="FH196" i="9"/>
  <c r="FL195" i="9"/>
  <c r="FN193" i="9"/>
  <c r="FH192" i="9"/>
  <c r="FL191" i="9"/>
  <c r="FO190" i="9"/>
  <c r="EU190" i="9"/>
  <c r="FI189" i="9"/>
  <c r="EX189" i="9"/>
  <c r="FM188" i="9"/>
  <c r="FP187" i="9"/>
  <c r="FG187" i="9"/>
  <c r="EV187" i="9"/>
  <c r="FJ186" i="9"/>
  <c r="FN185" i="9"/>
  <c r="FH184" i="9"/>
  <c r="FJ183" i="9"/>
  <c r="FN182" i="9"/>
  <c r="FH181" i="9"/>
  <c r="FL180" i="9"/>
  <c r="FN178" i="9"/>
  <c r="FH177" i="9"/>
  <c r="FL176" i="9"/>
  <c r="FO175" i="9"/>
  <c r="EU175" i="9"/>
  <c r="FI174" i="9"/>
  <c r="EX174" i="9"/>
  <c r="FM173" i="9"/>
  <c r="FP172" i="9"/>
  <c r="FG172" i="9"/>
  <c r="EV172" i="9"/>
  <c r="FJ171" i="9"/>
  <c r="FN170" i="9"/>
  <c r="FH169" i="9"/>
  <c r="FJ168" i="9"/>
  <c r="FN167" i="9"/>
  <c r="FH166" i="9"/>
  <c r="FL165" i="9"/>
  <c r="FN163" i="9"/>
  <c r="FH162" i="9"/>
  <c r="FL161" i="9"/>
  <c r="FO160" i="9"/>
  <c r="EU160" i="9"/>
  <c r="FI159" i="9"/>
  <c r="EX159" i="9"/>
  <c r="FM158" i="9"/>
  <c r="FP157" i="9"/>
  <c r="FG157" i="9"/>
  <c r="EV157" i="9"/>
  <c r="FJ156" i="9"/>
  <c r="FN155" i="9"/>
  <c r="FH154" i="9"/>
  <c r="FJ153" i="9"/>
  <c r="FN152" i="9"/>
  <c r="FH151" i="9"/>
  <c r="FL150" i="9"/>
  <c r="FN148" i="9"/>
  <c r="FH147" i="9"/>
  <c r="FL146" i="9"/>
  <c r="FO145" i="9"/>
  <c r="EU145" i="9"/>
  <c r="FI144" i="9"/>
  <c r="EX144" i="9"/>
  <c r="FM143" i="9"/>
  <c r="FP142" i="9"/>
  <c r="FG142" i="9"/>
  <c r="EV142" i="9"/>
  <c r="FJ141" i="9"/>
  <c r="FN140" i="9"/>
  <c r="FH139" i="9"/>
  <c r="FJ138" i="9"/>
  <c r="FN137" i="9"/>
  <c r="FH136" i="9"/>
  <c r="FL135" i="9"/>
  <c r="FH86" i="9"/>
  <c r="FL85" i="9"/>
  <c r="FA85" i="9"/>
  <c r="FO84" i="9"/>
  <c r="FD84" i="9"/>
  <c r="GN84" i="9"/>
  <c r="EU84" i="9"/>
  <c r="FI83" i="9"/>
  <c r="EX83" i="9"/>
  <c r="FM82" i="9"/>
  <c r="FB82" i="9"/>
  <c r="GL82" i="9"/>
  <c r="FP81" i="9"/>
  <c r="FG81" i="9"/>
  <c r="EV81" i="9"/>
  <c r="FJ80" i="9"/>
  <c r="EU207" i="9"/>
  <c r="FI206" i="9"/>
  <c r="EX206" i="9"/>
  <c r="FM205" i="9"/>
  <c r="FP204" i="9"/>
  <c r="FG204" i="9"/>
  <c r="EV204" i="9"/>
  <c r="FJ203" i="9"/>
  <c r="FN202" i="9"/>
  <c r="FH201" i="9"/>
  <c r="FL200" i="9"/>
  <c r="FO199" i="9"/>
  <c r="EU199" i="9"/>
  <c r="FI198" i="9"/>
  <c r="EX198" i="9"/>
  <c r="FM197" i="9"/>
  <c r="FP196" i="9"/>
  <c r="FG196" i="9"/>
  <c r="EV196" i="9"/>
  <c r="FJ195" i="9"/>
  <c r="FM193" i="9"/>
  <c r="FP192" i="9"/>
  <c r="FG192" i="9"/>
  <c r="EV192" i="9"/>
  <c r="FJ191" i="9"/>
  <c r="FN190" i="9"/>
  <c r="FH189" i="9"/>
  <c r="FL188" i="9"/>
  <c r="FO187" i="9"/>
  <c r="EU187" i="9"/>
  <c r="FI186" i="9"/>
  <c r="EX186" i="9"/>
  <c r="FM185" i="9"/>
  <c r="FB185" i="9"/>
  <c r="GL185" i="9"/>
  <c r="FP184" i="9"/>
  <c r="FG184" i="9"/>
  <c r="EV184" i="9"/>
  <c r="FI183" i="9"/>
  <c r="EX183" i="9"/>
  <c r="FM182" i="9"/>
  <c r="FP181" i="9"/>
  <c r="FG181" i="9"/>
  <c r="EV181" i="9"/>
  <c r="FJ180" i="9"/>
  <c r="FM178" i="9"/>
  <c r="FP177" i="9"/>
  <c r="FG177" i="9"/>
  <c r="EV177" i="9"/>
  <c r="FJ176" i="9"/>
  <c r="FN175" i="9"/>
  <c r="FH174" i="9"/>
  <c r="FL173" i="9"/>
  <c r="FO172" i="9"/>
  <c r="EU172" i="9"/>
  <c r="FI171" i="9"/>
  <c r="EX171" i="9"/>
  <c r="FM170" i="9"/>
  <c r="FB170" i="9"/>
  <c r="GL170" i="9" s="1"/>
  <c r="FP169" i="9"/>
  <c r="FG169" i="9"/>
  <c r="EV169" i="9"/>
  <c r="FI168" i="9"/>
  <c r="EX168" i="9"/>
  <c r="FM167" i="9"/>
  <c r="FP166" i="9"/>
  <c r="FG166" i="9"/>
  <c r="EV166" i="9"/>
  <c r="FJ165" i="9"/>
  <c r="FM163" i="9"/>
  <c r="FP162" i="9"/>
  <c r="FG162" i="9"/>
  <c r="EV162" i="9"/>
  <c r="FJ161" i="9"/>
  <c r="FN160" i="9"/>
  <c r="FH159" i="9"/>
  <c r="FL158" i="9"/>
  <c r="FO157" i="9"/>
  <c r="EU157" i="9"/>
  <c r="FI156" i="9"/>
  <c r="EX156" i="9"/>
  <c r="FM155" i="9"/>
  <c r="FB155" i="9"/>
  <c r="GL155" i="9" s="1"/>
  <c r="FP154" i="9"/>
  <c r="FG154" i="9"/>
  <c r="EV154" i="9"/>
  <c r="FI153" i="9"/>
  <c r="EX153" i="9"/>
  <c r="FM152" i="9"/>
  <c r="FP151" i="9"/>
  <c r="FG151" i="9"/>
  <c r="EV151" i="9"/>
  <c r="FJ150" i="9"/>
  <c r="FM148" i="9"/>
  <c r="FP147" i="9"/>
  <c r="FG147" i="9"/>
  <c r="EV147" i="9"/>
  <c r="FJ146" i="9"/>
  <c r="FN145" i="9"/>
  <c r="FH144" i="9"/>
  <c r="FL143" i="9"/>
  <c r="FO142" i="9"/>
  <c r="EU142" i="9"/>
  <c r="FI141" i="9"/>
  <c r="EX141" i="9"/>
  <c r="FM140" i="9"/>
  <c r="FB140" i="9"/>
  <c r="GL140" i="9" s="1"/>
  <c r="FP139" i="9"/>
  <c r="FG139" i="9"/>
  <c r="EV139" i="9"/>
  <c r="FI138" i="9"/>
  <c r="EX138" i="9"/>
  <c r="FM137" i="9"/>
  <c r="FP136" i="9"/>
  <c r="FG136" i="9"/>
  <c r="EV136" i="9"/>
  <c r="FJ135" i="9"/>
  <c r="FP86" i="9"/>
  <c r="FG86" i="9"/>
  <c r="EV86" i="9"/>
  <c r="FJ85" i="9"/>
  <c r="EZ85" i="9"/>
  <c r="FN84" i="9"/>
  <c r="FC84" i="9"/>
  <c r="FH83" i="9"/>
  <c r="FL82" i="9"/>
  <c r="FA82" i="9"/>
  <c r="GK82" i="9"/>
  <c r="HE82" i="9" s="1"/>
  <c r="CC82" i="9" s="1"/>
  <c r="FO81" i="9"/>
  <c r="FD81" i="9"/>
  <c r="GN81" i="9" s="1"/>
  <c r="FH206" i="9"/>
  <c r="FL205" i="9"/>
  <c r="FO204" i="9"/>
  <c r="EU204" i="9"/>
  <c r="FI203" i="9"/>
  <c r="EX203" i="9"/>
  <c r="FM202" i="9"/>
  <c r="FP201" i="9"/>
  <c r="FG201" i="9"/>
  <c r="EV201" i="9"/>
  <c r="FJ200" i="9"/>
  <c r="FN199" i="9"/>
  <c r="FH198" i="9"/>
  <c r="FL197" i="9"/>
  <c r="CC197" i="9"/>
  <c r="FO196" i="9"/>
  <c r="EU196" i="9"/>
  <c r="FI195" i="9"/>
  <c r="EX195" i="9"/>
  <c r="FL193" i="9"/>
  <c r="FO192" i="9"/>
  <c r="EU192" i="9"/>
  <c r="FI191" i="9"/>
  <c r="EX191" i="9"/>
  <c r="FM190" i="9"/>
  <c r="FP189" i="9"/>
  <c r="FG189" i="9"/>
  <c r="EV189" i="9"/>
  <c r="FJ188" i="9"/>
  <c r="FN187" i="9"/>
  <c r="FH186" i="9"/>
  <c r="FL185" i="9"/>
  <c r="FO184" i="9"/>
  <c r="EU184" i="9"/>
  <c r="FH183" i="9"/>
  <c r="FL182" i="9"/>
  <c r="FO181" i="9"/>
  <c r="EU181" i="9"/>
  <c r="FI180" i="9"/>
  <c r="EX180" i="9"/>
  <c r="FL178" i="9"/>
  <c r="FO177" i="9"/>
  <c r="EU177" i="9"/>
  <c r="FI176" i="9"/>
  <c r="EX176" i="9"/>
  <c r="FM175" i="9"/>
  <c r="FP174" i="9"/>
  <c r="FG174" i="9"/>
  <c r="EV174" i="9"/>
  <c r="FJ173" i="9"/>
  <c r="FN172" i="9"/>
  <c r="FH171" i="9"/>
  <c r="FL170" i="9"/>
  <c r="FO169" i="9"/>
  <c r="EU169" i="9"/>
  <c r="FH168" i="9"/>
  <c r="FL167" i="9"/>
  <c r="FO166" i="9"/>
  <c r="EU166" i="9"/>
  <c r="FI165" i="9"/>
  <c r="EX165" i="9"/>
  <c r="FL163" i="9"/>
  <c r="FO162" i="9"/>
  <c r="EU162" i="9"/>
  <c r="FI161" i="9"/>
  <c r="EX161" i="9"/>
  <c r="FM160" i="9"/>
  <c r="FP159" i="9"/>
  <c r="FG159" i="9"/>
  <c r="EV159" i="9"/>
  <c r="FJ158" i="9"/>
  <c r="FN157" i="9"/>
  <c r="FH156" i="9"/>
  <c r="FL155" i="9"/>
  <c r="FO154" i="9"/>
  <c r="EU154" i="9"/>
  <c r="FH153" i="9"/>
  <c r="FL152" i="9"/>
  <c r="FO151" i="9"/>
  <c r="EU151" i="9"/>
  <c r="FI150" i="9"/>
  <c r="EX150" i="9"/>
  <c r="FL148" i="9"/>
  <c r="FO147" i="9"/>
  <c r="EU147" i="9"/>
  <c r="FI146" i="9"/>
  <c r="EX146" i="9"/>
  <c r="FM145" i="9"/>
  <c r="FP144" i="9"/>
  <c r="FG144" i="9"/>
  <c r="EV144" i="9"/>
  <c r="FJ143" i="9"/>
  <c r="FN142" i="9"/>
  <c r="FH141" i="9"/>
  <c r="FL140" i="9"/>
  <c r="FO139" i="9"/>
  <c r="EU139" i="9"/>
  <c r="FH138" i="9"/>
  <c r="FL137" i="9"/>
  <c r="FO136" i="9"/>
  <c r="EU136" i="9"/>
  <c r="FI135" i="9"/>
  <c r="EX135" i="9"/>
  <c r="FO86" i="9"/>
  <c r="FD86" i="9"/>
  <c r="GN86" i="9"/>
  <c r="GY86" i="9"/>
  <c r="GZ86" i="9" s="1"/>
  <c r="HH86" i="9" s="1"/>
  <c r="CF86" i="9" s="1"/>
  <c r="EU86" i="9"/>
  <c r="FI85" i="9"/>
  <c r="EX85" i="9"/>
  <c r="FM84" i="9"/>
  <c r="FB84" i="9"/>
  <c r="GL84" i="9" s="1"/>
  <c r="FP83" i="9"/>
  <c r="FG83" i="9"/>
  <c r="EV83" i="9"/>
  <c r="FJ82" i="9"/>
  <c r="EZ82" i="9"/>
  <c r="FN81" i="9"/>
  <c r="FC81" i="9"/>
  <c r="FC13" i="9"/>
  <c r="FN13" i="9"/>
  <c r="EU14" i="9"/>
  <c r="FD14" i="9"/>
  <c r="GN14" i="9" s="1"/>
  <c r="GY14" i="9" s="1"/>
  <c r="GZ14" i="9" s="1"/>
  <c r="HH14" i="9" s="1"/>
  <c r="CF14" i="9" s="1"/>
  <c r="FO14" i="9"/>
  <c r="EU15" i="9"/>
  <c r="FD15" i="9"/>
  <c r="GN15" i="9" s="1"/>
  <c r="FO15" i="9"/>
  <c r="FH16" i="9"/>
  <c r="FA17" i="9"/>
  <c r="FL17" i="9"/>
  <c r="FC18" i="9"/>
  <c r="FN18" i="9"/>
  <c r="EV19" i="9"/>
  <c r="FG19" i="9"/>
  <c r="FP19" i="9"/>
  <c r="EX20" i="9"/>
  <c r="FI20" i="9"/>
  <c r="FA21" i="9"/>
  <c r="FL21" i="9"/>
  <c r="FC22" i="9"/>
  <c r="FN22" i="9"/>
  <c r="EV23" i="9"/>
  <c r="FG23" i="9"/>
  <c r="FP23" i="9"/>
  <c r="EX24" i="9"/>
  <c r="FI24" i="9"/>
  <c r="FA25" i="9"/>
  <c r="FL25" i="9"/>
  <c r="FC26" i="9"/>
  <c r="FN26" i="9"/>
  <c r="FC28" i="9"/>
  <c r="GM28" i="9" s="1"/>
  <c r="HG28" i="9" s="1"/>
  <c r="CE28" i="9" s="1"/>
  <c r="FN28" i="9"/>
  <c r="EV29" i="9"/>
  <c r="FG29" i="9"/>
  <c r="FP29" i="9"/>
  <c r="EX30" i="9"/>
  <c r="FI30" i="9"/>
  <c r="FA31" i="9"/>
  <c r="FL31" i="9"/>
  <c r="EU32" i="9"/>
  <c r="FD32" i="9"/>
  <c r="GN32" i="9" s="1"/>
  <c r="FO32" i="9"/>
  <c r="FH33" i="9"/>
  <c r="EZ34" i="9"/>
  <c r="FJ34" i="9"/>
  <c r="FB35" i="9"/>
  <c r="GL35" i="9" s="1"/>
  <c r="FM35" i="9"/>
  <c r="FC36" i="9"/>
  <c r="FN36" i="9"/>
  <c r="EV37" i="9"/>
  <c r="FG37" i="9"/>
  <c r="FP37" i="9"/>
  <c r="EX38" i="9"/>
  <c r="FI38" i="9"/>
  <c r="FA39" i="9"/>
  <c r="FL39" i="9"/>
  <c r="FC40" i="9"/>
  <c r="FN40" i="9"/>
  <c r="EV41" i="9"/>
  <c r="FG41" i="9"/>
  <c r="FP41" i="9"/>
  <c r="EV43" i="9"/>
  <c r="FG43" i="9"/>
  <c r="FP43" i="9"/>
  <c r="EX44" i="9"/>
  <c r="FI44" i="9"/>
  <c r="FA45" i="9"/>
  <c r="FL45" i="9"/>
  <c r="FC46" i="9"/>
  <c r="GM46" i="9" s="1"/>
  <c r="HG46" i="9" s="1"/>
  <c r="CE46" i="9" s="1"/>
  <c r="FN46" i="9"/>
  <c r="FH47" i="9"/>
  <c r="EZ48" i="9"/>
  <c r="FJ48" i="9"/>
  <c r="FB49" i="9"/>
  <c r="GL49" i="9"/>
  <c r="FM49" i="9"/>
  <c r="EU50" i="9"/>
  <c r="FD50" i="9"/>
  <c r="GN50" i="9" s="1"/>
  <c r="GY50" i="9" s="1"/>
  <c r="GZ50" i="9" s="1"/>
  <c r="HH50" i="9" s="1"/>
  <c r="CF50" i="9" s="1"/>
  <c r="FO50" i="9"/>
  <c r="FH51" i="9"/>
  <c r="EZ52" i="9"/>
  <c r="FJ52" i="9"/>
  <c r="FB53" i="9"/>
  <c r="GL53" i="9" s="1"/>
  <c r="GQ53" i="9" s="1"/>
  <c r="GR53" i="9" s="1"/>
  <c r="GS53" i="9" s="1"/>
  <c r="GT53" i="9" s="1"/>
  <c r="GU53" i="9" s="1"/>
  <c r="GV53" i="9" s="1"/>
  <c r="FM53" i="9"/>
  <c r="EU54" i="9"/>
  <c r="FD54" i="9"/>
  <c r="GN54" i="9" s="1"/>
  <c r="GY54" i="9" s="1"/>
  <c r="GZ54" i="9" s="1"/>
  <c r="HH54" i="9" s="1"/>
  <c r="CF54" i="9" s="1"/>
  <c r="FO54" i="9"/>
  <c r="FH55" i="9"/>
  <c r="EZ56" i="9"/>
  <c r="FJ56" i="9"/>
  <c r="EZ58" i="9"/>
  <c r="FJ58" i="9"/>
  <c r="FB59" i="9"/>
  <c r="GL59" i="9" s="1"/>
  <c r="FM59" i="9"/>
  <c r="EU60" i="9"/>
  <c r="FD60" i="9"/>
  <c r="GN60" i="9" s="1"/>
  <c r="GY60" i="9" s="1"/>
  <c r="GZ60" i="9" s="1"/>
  <c r="HH60" i="9" s="1"/>
  <c r="CF60" i="9" s="1"/>
  <c r="FO60" i="9"/>
  <c r="FH61" i="9"/>
  <c r="FA62" i="9"/>
  <c r="FL62" i="9"/>
  <c r="FC63" i="9"/>
  <c r="FN63" i="9"/>
  <c r="EV64" i="9"/>
  <c r="FG64" i="9"/>
  <c r="FP64" i="9"/>
  <c r="EX65" i="9"/>
  <c r="FI65" i="9"/>
  <c r="FA66" i="9"/>
  <c r="FL66" i="9"/>
  <c r="FC67" i="9"/>
  <c r="FN67" i="9"/>
  <c r="EV68" i="9"/>
  <c r="FG68" i="9"/>
  <c r="FP68" i="9"/>
  <c r="EX69" i="9"/>
  <c r="FI69" i="9"/>
  <c r="FA70" i="9"/>
  <c r="FL70" i="9"/>
  <c r="FH71" i="9"/>
  <c r="EU73" i="9"/>
  <c r="FD73" i="9"/>
  <c r="GN73" i="9"/>
  <c r="GY73" i="9" s="1"/>
  <c r="GZ73" i="9" s="1"/>
  <c r="HH73" i="9" s="1"/>
  <c r="CF73" i="9" s="1"/>
  <c r="FO73" i="9"/>
  <c r="FA74" i="9"/>
  <c r="GK74" i="9"/>
  <c r="HE74" i="9" s="1"/>
  <c r="CC74" i="9" s="1"/>
  <c r="FL74" i="9"/>
  <c r="FH75" i="9"/>
  <c r="FC76" i="9"/>
  <c r="FN76" i="9"/>
  <c r="EZ77" i="9"/>
  <c r="FJ77" i="9"/>
  <c r="EV78" i="9"/>
  <c r="FG78" i="9"/>
  <c r="FP78" i="9"/>
  <c r="FB79" i="9"/>
  <c r="GL79" i="9" s="1"/>
  <c r="FM79" i="9"/>
  <c r="EX80" i="9"/>
  <c r="FI80" i="9"/>
  <c r="FL81" i="9"/>
  <c r="EZ84" i="9"/>
  <c r="FM86" i="9"/>
  <c r="FO138" i="9"/>
  <c r="FG146" i="9"/>
  <c r="EV150" i="9"/>
  <c r="FI152" i="9"/>
  <c r="EX155" i="9"/>
  <c r="FL157" i="9"/>
  <c r="FM162" i="9"/>
  <c r="FO168" i="9"/>
  <c r="FG176" i="9"/>
  <c r="EV180" i="9"/>
  <c r="FI182" i="9"/>
  <c r="EX185" i="9"/>
  <c r="FL187" i="9"/>
  <c r="FM192" i="9"/>
  <c r="FO198" i="9"/>
  <c r="FP203" i="9"/>
  <c r="EU206" i="9"/>
  <c r="EU13" i="9"/>
  <c r="FD13" i="9"/>
  <c r="GN13" i="9" s="1"/>
  <c r="FO13" i="9"/>
  <c r="EV14" i="9"/>
  <c r="FG14" i="9"/>
  <c r="FP14" i="9"/>
  <c r="EV15" i="9"/>
  <c r="FG15" i="9"/>
  <c r="FP15" i="9"/>
  <c r="EX16" i="9"/>
  <c r="FI16" i="9"/>
  <c r="FB17" i="9"/>
  <c r="GL17" i="9" s="1"/>
  <c r="GQ17" i="9" s="1"/>
  <c r="GR17" i="9" s="1"/>
  <c r="GS17" i="9" s="1"/>
  <c r="GT17" i="9" s="1"/>
  <c r="GU17" i="9" s="1"/>
  <c r="GV17" i="9" s="1"/>
  <c r="FM17" i="9"/>
  <c r="EU18" i="9"/>
  <c r="FD18" i="9"/>
  <c r="GN18" i="9" s="1"/>
  <c r="FO18" i="9"/>
  <c r="FH19" i="9"/>
  <c r="EZ20" i="9"/>
  <c r="FJ20" i="9"/>
  <c r="FB21" i="9"/>
  <c r="GL21" i="9" s="1"/>
  <c r="FM21" i="9"/>
  <c r="EU22" i="9"/>
  <c r="FD22" i="9"/>
  <c r="GN22" i="9" s="1"/>
  <c r="GY22" i="9" s="1"/>
  <c r="GZ22" i="9" s="1"/>
  <c r="HH22" i="9" s="1"/>
  <c r="CF22" i="9" s="1"/>
  <c r="FO22" i="9"/>
  <c r="FH23" i="9"/>
  <c r="EZ24" i="9"/>
  <c r="FJ24" i="9"/>
  <c r="FB25" i="9"/>
  <c r="GL25" i="9" s="1"/>
  <c r="GQ25" i="9" s="1"/>
  <c r="GR25" i="9" s="1"/>
  <c r="GS25" i="9" s="1"/>
  <c r="GT25" i="9" s="1"/>
  <c r="GU25" i="9" s="1"/>
  <c r="GV25" i="9" s="1"/>
  <c r="FM25" i="9"/>
  <c r="EU26" i="9"/>
  <c r="FD26" i="9"/>
  <c r="GN26" i="9"/>
  <c r="FO26" i="9"/>
  <c r="EU28" i="9"/>
  <c r="FD28" i="9"/>
  <c r="GN28" i="9" s="1"/>
  <c r="GY28" i="9" s="1"/>
  <c r="GZ28" i="9" s="1"/>
  <c r="HH28" i="9" s="1"/>
  <c r="CF28" i="9" s="1"/>
  <c r="FO28" i="9"/>
  <c r="FH29" i="9"/>
  <c r="EZ30" i="9"/>
  <c r="FJ30" i="9"/>
  <c r="FB31" i="9"/>
  <c r="GL31" i="9" s="1"/>
  <c r="FM31" i="9"/>
  <c r="EV32" i="9"/>
  <c r="FG32" i="9"/>
  <c r="FP32" i="9"/>
  <c r="EX33" i="9"/>
  <c r="FI33" i="9"/>
  <c r="FA34" i="9"/>
  <c r="FL34" i="9"/>
  <c r="FC35" i="9"/>
  <c r="FN35" i="9"/>
  <c r="EU36" i="9"/>
  <c r="FD36" i="9"/>
  <c r="GN36" i="9" s="1"/>
  <c r="FO36" i="9"/>
  <c r="FH37" i="9"/>
  <c r="EZ38" i="9"/>
  <c r="FJ38" i="9"/>
  <c r="FB39" i="9"/>
  <c r="GL39" i="9" s="1"/>
  <c r="FM39" i="9"/>
  <c r="EU40" i="9"/>
  <c r="FD40" i="9"/>
  <c r="GN40" i="9" s="1"/>
  <c r="GY40" i="9" s="1"/>
  <c r="GZ40" i="9" s="1"/>
  <c r="HH40" i="9" s="1"/>
  <c r="CF40" i="9" s="1"/>
  <c r="FO40" i="9"/>
  <c r="FH41" i="9"/>
  <c r="FH43" i="9"/>
  <c r="EZ44" i="9"/>
  <c r="FJ44" i="9"/>
  <c r="FB45" i="9"/>
  <c r="GL45" i="9" s="1"/>
  <c r="FM45" i="9"/>
  <c r="EU46" i="9"/>
  <c r="FD46" i="9"/>
  <c r="GN46" i="9" s="1"/>
  <c r="GY46" i="9" s="1"/>
  <c r="GZ46" i="9" s="1"/>
  <c r="HH46" i="9" s="1"/>
  <c r="CF46" i="9" s="1"/>
  <c r="FO46" i="9"/>
  <c r="EX47" i="9"/>
  <c r="FI47" i="9"/>
  <c r="FA48" i="9"/>
  <c r="GK48" i="9" s="1"/>
  <c r="HE48" i="9" s="1"/>
  <c r="CC48" i="9" s="1"/>
  <c r="FL48" i="9"/>
  <c r="FC49" i="9"/>
  <c r="GM49" i="9" s="1"/>
  <c r="HG49" i="9" s="1"/>
  <c r="CE49" i="9" s="1"/>
  <c r="FN49" i="9"/>
  <c r="EV50" i="9"/>
  <c r="FG50" i="9"/>
  <c r="FP50" i="9"/>
  <c r="EX51" i="9"/>
  <c r="FI51" i="9"/>
  <c r="FA52" i="9"/>
  <c r="GK52" i="9" s="1"/>
  <c r="HE52" i="9" s="1"/>
  <c r="CC52" i="9" s="1"/>
  <c r="FL52" i="9"/>
  <c r="FC53" i="9"/>
  <c r="GM53" i="9" s="1"/>
  <c r="HG53" i="9" s="1"/>
  <c r="CE53" i="9" s="1"/>
  <c r="FN53" i="9"/>
  <c r="EV54" i="9"/>
  <c r="FG54" i="9"/>
  <c r="FP54" i="9"/>
  <c r="EX55" i="9"/>
  <c r="FI55" i="9"/>
  <c r="FA56" i="9"/>
  <c r="FL56" i="9"/>
  <c r="FA58" i="9"/>
  <c r="FL58" i="9"/>
  <c r="FC59" i="9"/>
  <c r="FN59" i="9"/>
  <c r="EV60" i="9"/>
  <c r="FG60" i="9"/>
  <c r="FP60" i="9"/>
  <c r="EX61" i="9"/>
  <c r="FI61" i="9"/>
  <c r="FB62" i="9"/>
  <c r="GL62" i="9" s="1"/>
  <c r="GQ62" i="9" s="1"/>
  <c r="GR62" i="9" s="1"/>
  <c r="GS62" i="9" s="1"/>
  <c r="GT62" i="9" s="1"/>
  <c r="GU62" i="9" s="1"/>
  <c r="GV62" i="9" s="1"/>
  <c r="FM62" i="9"/>
  <c r="EU63" i="9"/>
  <c r="FD63" i="9"/>
  <c r="GN63" i="9" s="1"/>
  <c r="FO63" i="9"/>
  <c r="FH64" i="9"/>
  <c r="EZ65" i="9"/>
  <c r="FJ65" i="9"/>
  <c r="FB66" i="9"/>
  <c r="GL66" i="9"/>
  <c r="FM66" i="9"/>
  <c r="EU67" i="9"/>
  <c r="FD67" i="9"/>
  <c r="GN67" i="9" s="1"/>
  <c r="GY67" i="9" s="1"/>
  <c r="GZ67" i="9" s="1"/>
  <c r="HH67" i="9" s="1"/>
  <c r="CF67" i="9" s="1"/>
  <c r="FO67" i="9"/>
  <c r="FH68" i="9"/>
  <c r="EZ69" i="9"/>
  <c r="FJ69" i="9"/>
  <c r="FB70" i="9"/>
  <c r="GL70" i="9" s="1"/>
  <c r="FM70" i="9"/>
  <c r="EX71" i="9"/>
  <c r="FI71" i="9"/>
  <c r="EV73" i="9"/>
  <c r="FG73" i="9"/>
  <c r="FP73" i="9"/>
  <c r="FB74" i="9"/>
  <c r="GL74" i="9" s="1"/>
  <c r="FM74" i="9"/>
  <c r="EX75" i="9"/>
  <c r="FI75" i="9"/>
  <c r="EU76" i="9"/>
  <c r="FD76" i="9"/>
  <c r="GN76" i="9"/>
  <c r="FO76" i="9"/>
  <c r="FA77" i="9"/>
  <c r="FL77" i="9"/>
  <c r="FH78" i="9"/>
  <c r="FC79" i="9"/>
  <c r="GM79" i="9" s="1"/>
  <c r="HG79" i="9" s="1"/>
  <c r="CE79" i="9" s="1"/>
  <c r="FN79" i="9"/>
  <c r="EZ80" i="9"/>
  <c r="FL80" i="9"/>
  <c r="FJ84" i="9"/>
  <c r="FM136" i="9"/>
  <c r="FO141" i="9"/>
  <c r="FP146" i="9"/>
  <c r="FG150" i="9"/>
  <c r="FI155" i="9"/>
  <c r="FJ160" i="9"/>
  <c r="FM166" i="9"/>
  <c r="FO171" i="9"/>
  <c r="FP176" i="9"/>
  <c r="FG180" i="9"/>
  <c r="FI185" i="9"/>
  <c r="FJ190" i="9"/>
  <c r="FM196" i="9"/>
  <c r="FN201" i="9"/>
  <c r="EV13" i="9"/>
  <c r="FG13" i="9"/>
  <c r="FP13" i="9"/>
  <c r="FH14" i="9"/>
  <c r="FH15" i="9"/>
  <c r="EZ16" i="9"/>
  <c r="FJ16" i="9"/>
  <c r="FC17" i="9"/>
  <c r="GM17" i="9" s="1"/>
  <c r="HG17" i="9" s="1"/>
  <c r="CE17" i="9" s="1"/>
  <c r="FN17" i="9"/>
  <c r="EV18" i="9"/>
  <c r="FG18" i="9"/>
  <c r="FP18" i="9"/>
  <c r="EX19" i="9"/>
  <c r="FI19" i="9"/>
  <c r="FA20" i="9"/>
  <c r="GK20" i="9" s="1"/>
  <c r="HE20" i="9" s="1"/>
  <c r="CC20" i="9" s="1"/>
  <c r="FL20" i="9"/>
  <c r="FC21" i="9"/>
  <c r="FN21" i="9"/>
  <c r="EV22" i="9"/>
  <c r="FG22" i="9"/>
  <c r="FP22" i="9"/>
  <c r="EX23" i="9"/>
  <c r="FI23" i="9"/>
  <c r="FA24" i="9"/>
  <c r="GK24" i="9" s="1"/>
  <c r="HE24" i="9" s="1"/>
  <c r="CC24" i="9" s="1"/>
  <c r="FL24" i="9"/>
  <c r="FC25" i="9"/>
  <c r="FN25" i="9"/>
  <c r="EV26" i="9"/>
  <c r="FG26" i="9"/>
  <c r="FP26" i="9"/>
  <c r="EV28" i="9"/>
  <c r="FG28" i="9"/>
  <c r="FP28" i="9"/>
  <c r="EX29" i="9"/>
  <c r="FI29" i="9"/>
  <c r="FA30" i="9"/>
  <c r="FL30" i="9"/>
  <c r="FC31" i="9"/>
  <c r="GM31" i="9" s="1"/>
  <c r="HG31" i="9" s="1"/>
  <c r="CE31" i="9" s="1"/>
  <c r="FN31" i="9"/>
  <c r="FH32" i="9"/>
  <c r="EZ33" i="9"/>
  <c r="FJ33" i="9"/>
  <c r="FB34" i="9"/>
  <c r="GL34" i="9" s="1"/>
  <c r="FM34" i="9"/>
  <c r="EU35" i="9"/>
  <c r="FD35" i="9"/>
  <c r="GN35" i="9" s="1"/>
  <c r="GY35" i="9" s="1"/>
  <c r="GZ35" i="9" s="1"/>
  <c r="HH35" i="9" s="1"/>
  <c r="CF35" i="9" s="1"/>
  <c r="FO35" i="9"/>
  <c r="EV36" i="9"/>
  <c r="FG36" i="9"/>
  <c r="FP36" i="9"/>
  <c r="EX37" i="9"/>
  <c r="FI37" i="9"/>
  <c r="FA38" i="9"/>
  <c r="FL38" i="9"/>
  <c r="FC39" i="9"/>
  <c r="FN39" i="9"/>
  <c r="EV40" i="9"/>
  <c r="FG40" i="9"/>
  <c r="FP40" i="9"/>
  <c r="EX41" i="9"/>
  <c r="FI41" i="9"/>
  <c r="EX43" i="9"/>
  <c r="FI43" i="9"/>
  <c r="FA44" i="9"/>
  <c r="FL44" i="9"/>
  <c r="FC45" i="9"/>
  <c r="FN45" i="9"/>
  <c r="EV46" i="9"/>
  <c r="FG46" i="9"/>
  <c r="FP46" i="9"/>
  <c r="EZ47" i="9"/>
  <c r="FJ47" i="9"/>
  <c r="FB48" i="9"/>
  <c r="GL48" i="9" s="1"/>
  <c r="FM48" i="9"/>
  <c r="EU49" i="9"/>
  <c r="FD49" i="9"/>
  <c r="GN49" i="9" s="1"/>
  <c r="FO49" i="9"/>
  <c r="FH50" i="9"/>
  <c r="EZ51" i="9"/>
  <c r="FJ51" i="9"/>
  <c r="FB52" i="9"/>
  <c r="GL52" i="9" s="1"/>
  <c r="GQ52" i="9" s="1"/>
  <c r="GR52" i="9" s="1"/>
  <c r="GS52" i="9" s="1"/>
  <c r="GT52" i="9" s="1"/>
  <c r="GU52" i="9" s="1"/>
  <c r="GV52" i="9" s="1"/>
  <c r="FM52" i="9"/>
  <c r="EU53" i="9"/>
  <c r="FD53" i="9"/>
  <c r="GN53" i="9"/>
  <c r="GY53" i="9" s="1"/>
  <c r="GZ53" i="9" s="1"/>
  <c r="HH53" i="9" s="1"/>
  <c r="CF53" i="9" s="1"/>
  <c r="FO53" i="9"/>
  <c r="FH54" i="9"/>
  <c r="EZ55" i="9"/>
  <c r="FJ55" i="9"/>
  <c r="FB56" i="9"/>
  <c r="GL56" i="9" s="1"/>
  <c r="FM56" i="9"/>
  <c r="FB58" i="9"/>
  <c r="GL58" i="9"/>
  <c r="FM58" i="9"/>
  <c r="EU59" i="9"/>
  <c r="FD59" i="9"/>
  <c r="GN59" i="9" s="1"/>
  <c r="GY59" i="9" s="1"/>
  <c r="GZ59" i="9" s="1"/>
  <c r="HH59" i="9" s="1"/>
  <c r="CF59" i="9" s="1"/>
  <c r="FO59" i="9"/>
  <c r="FH60" i="9"/>
  <c r="EZ61" i="9"/>
  <c r="FJ61" i="9"/>
  <c r="FC62" i="9"/>
  <c r="GM62" i="9" s="1"/>
  <c r="HG62" i="9" s="1"/>
  <c r="CE62" i="9" s="1"/>
  <c r="FN62" i="9"/>
  <c r="EV63" i="9"/>
  <c r="FG63" i="9"/>
  <c r="FP63" i="9"/>
  <c r="EX64" i="9"/>
  <c r="FI64" i="9"/>
  <c r="FA65" i="9"/>
  <c r="FL65" i="9"/>
  <c r="FC66" i="9"/>
  <c r="GM66" i="9" s="1"/>
  <c r="HG66" i="9" s="1"/>
  <c r="CE66" i="9" s="1"/>
  <c r="FN66" i="9"/>
  <c r="EV67" i="9"/>
  <c r="FG67" i="9"/>
  <c r="FP67" i="9"/>
  <c r="EX68" i="9"/>
  <c r="FI68" i="9"/>
  <c r="FA69" i="9"/>
  <c r="FL69" i="9"/>
  <c r="FC70" i="9"/>
  <c r="GM70" i="9" s="1"/>
  <c r="HG70" i="9" s="1"/>
  <c r="CE70" i="9" s="1"/>
  <c r="FN70" i="9"/>
  <c r="EZ71" i="9"/>
  <c r="FJ71" i="9"/>
  <c r="FH73" i="9"/>
  <c r="FC74" i="9"/>
  <c r="FN74" i="9"/>
  <c r="EZ75" i="9"/>
  <c r="FJ75" i="9"/>
  <c r="EV76" i="9"/>
  <c r="FG76" i="9"/>
  <c r="FP76" i="9"/>
  <c r="FB77" i="9"/>
  <c r="GL77" i="9" s="1"/>
  <c r="FM77" i="9"/>
  <c r="EX78" i="9"/>
  <c r="FI78" i="9"/>
  <c r="EU79" i="9"/>
  <c r="FD79" i="9"/>
  <c r="GN79" i="9" s="1"/>
  <c r="GY79" i="9" s="1"/>
  <c r="GZ79" i="9" s="1"/>
  <c r="HH79" i="9" s="1"/>
  <c r="CF79" i="9" s="1"/>
  <c r="FO79" i="9"/>
  <c r="FA80" i="9"/>
  <c r="FM80" i="9"/>
  <c r="FM139" i="9"/>
  <c r="FN144" i="9"/>
  <c r="FP150" i="9"/>
  <c r="EU153" i="9"/>
  <c r="EX163" i="9"/>
  <c r="FM169" i="9"/>
  <c r="FN174" i="9"/>
  <c r="FP180" i="9"/>
  <c r="EU183" i="9"/>
  <c r="EX193" i="9"/>
  <c r="FO206" i="9"/>
  <c r="FH13" i="9"/>
  <c r="EX14" i="9"/>
  <c r="FI14" i="9"/>
  <c r="EX15" i="9"/>
  <c r="FI15" i="9"/>
  <c r="FA16" i="9"/>
  <c r="FL16" i="9"/>
  <c r="EU17" i="9"/>
  <c r="FD17" i="9"/>
  <c r="GN17" i="9" s="1"/>
  <c r="GY17" i="9" s="1"/>
  <c r="GZ17" i="9" s="1"/>
  <c r="HH17" i="9" s="1"/>
  <c r="CF17" i="9" s="1"/>
  <c r="FO17" i="9"/>
  <c r="FH18" i="9"/>
  <c r="EZ19" i="9"/>
  <c r="FJ19" i="9"/>
  <c r="FB20" i="9"/>
  <c r="GL20" i="9" s="1"/>
  <c r="FM20" i="9"/>
  <c r="EU21" i="9"/>
  <c r="FD21" i="9"/>
  <c r="GN21" i="9" s="1"/>
  <c r="GY21" i="9" s="1"/>
  <c r="GZ21" i="9" s="1"/>
  <c r="HH21" i="9" s="1"/>
  <c r="CF21" i="9" s="1"/>
  <c r="FO21" i="9"/>
  <c r="FH22" i="9"/>
  <c r="EZ23" i="9"/>
  <c r="FJ23" i="9"/>
  <c r="FB24" i="9"/>
  <c r="GL24" i="9" s="1"/>
  <c r="FM24" i="9"/>
  <c r="EU25" i="9"/>
  <c r="FD25" i="9"/>
  <c r="GN25" i="9" s="1"/>
  <c r="GY25" i="9" s="1"/>
  <c r="GZ25" i="9" s="1"/>
  <c r="HH25" i="9" s="1"/>
  <c r="CF25" i="9" s="1"/>
  <c r="FO25" i="9"/>
  <c r="FH26" i="9"/>
  <c r="FH28" i="9"/>
  <c r="EZ29" i="9"/>
  <c r="FJ29" i="9"/>
  <c r="FB30" i="9"/>
  <c r="GL30" i="9" s="1"/>
  <c r="FM30" i="9"/>
  <c r="EU31" i="9"/>
  <c r="FD31" i="9"/>
  <c r="GN31" i="9" s="1"/>
  <c r="FO31" i="9"/>
  <c r="EX32" i="9"/>
  <c r="FI32" i="9"/>
  <c r="FA33" i="9"/>
  <c r="GK33" i="9" s="1"/>
  <c r="HE33" i="9" s="1"/>
  <c r="CC33" i="9" s="1"/>
  <c r="FL33" i="9"/>
  <c r="FC34" i="9"/>
  <c r="FN34" i="9"/>
  <c r="EV35" i="9"/>
  <c r="FG35" i="9"/>
  <c r="FP35" i="9"/>
  <c r="FH36" i="9"/>
  <c r="EZ37" i="9"/>
  <c r="FJ37" i="9"/>
  <c r="FB38" i="9"/>
  <c r="GL38" i="9" s="1"/>
  <c r="FM38" i="9"/>
  <c r="EU39" i="9"/>
  <c r="FD39" i="9"/>
  <c r="GN39" i="9" s="1"/>
  <c r="GY39" i="9" s="1"/>
  <c r="GZ39" i="9" s="1"/>
  <c r="HH39" i="9" s="1"/>
  <c r="CF39" i="9" s="1"/>
  <c r="FO39" i="9"/>
  <c r="FH40" i="9"/>
  <c r="EZ41" i="9"/>
  <c r="FJ41" i="9"/>
  <c r="EZ43" i="9"/>
  <c r="FJ43" i="9"/>
  <c r="FB44" i="9"/>
  <c r="GL44" i="9" s="1"/>
  <c r="FM44" i="9"/>
  <c r="EU45" i="9"/>
  <c r="FD45" i="9"/>
  <c r="GN45" i="9" s="1"/>
  <c r="GY45" i="9" s="1"/>
  <c r="GZ45" i="9" s="1"/>
  <c r="HH45" i="9" s="1"/>
  <c r="CF45" i="9" s="1"/>
  <c r="FO45" i="9"/>
  <c r="FH46" i="9"/>
  <c r="FA47" i="9"/>
  <c r="FL47" i="9"/>
  <c r="FC48" i="9"/>
  <c r="FN48" i="9"/>
  <c r="EV49" i="9"/>
  <c r="FG49" i="9"/>
  <c r="FP49" i="9"/>
  <c r="EX50" i="9"/>
  <c r="FI50" i="9"/>
  <c r="FA51" i="9"/>
  <c r="FL51" i="9"/>
  <c r="FC52" i="9"/>
  <c r="FN52" i="9"/>
  <c r="EV53" i="9"/>
  <c r="FG53" i="9"/>
  <c r="FP53" i="9"/>
  <c r="EX54" i="9"/>
  <c r="FI54" i="9"/>
  <c r="FA55" i="9"/>
  <c r="GK55" i="9" s="1"/>
  <c r="HE55" i="9" s="1"/>
  <c r="CC55" i="9" s="1"/>
  <c r="FL55" i="9"/>
  <c r="FC56" i="9"/>
  <c r="FN56" i="9"/>
  <c r="FC58" i="9"/>
  <c r="FN58" i="9"/>
  <c r="EV59" i="9"/>
  <c r="FG59" i="9"/>
  <c r="FP59" i="9"/>
  <c r="EX60" i="9"/>
  <c r="FI60" i="9"/>
  <c r="FA61" i="9"/>
  <c r="GK61" i="9"/>
  <c r="HE61" i="9" s="1"/>
  <c r="CC61" i="9" s="1"/>
  <c r="FL61" i="9"/>
  <c r="EU62" i="9"/>
  <c r="FD62" i="9"/>
  <c r="GN62" i="9" s="1"/>
  <c r="GY62" i="9" s="1"/>
  <c r="GZ62" i="9" s="1"/>
  <c r="HH62" i="9" s="1"/>
  <c r="CF62" i="9" s="1"/>
  <c r="FO62" i="9"/>
  <c r="FH63" i="9"/>
  <c r="EZ64" i="9"/>
  <c r="FJ64" i="9"/>
  <c r="FB65" i="9"/>
  <c r="GL65" i="9"/>
  <c r="FM65" i="9"/>
  <c r="EU66" i="9"/>
  <c r="FD66" i="9"/>
  <c r="GN66" i="9"/>
  <c r="GY66" i="9" s="1"/>
  <c r="GZ66" i="9" s="1"/>
  <c r="HH66" i="9" s="1"/>
  <c r="CF66" i="9" s="1"/>
  <c r="FO66" i="9"/>
  <c r="FH67" i="9"/>
  <c r="EZ68" i="9"/>
  <c r="FJ68" i="9"/>
  <c r="FB69" i="9"/>
  <c r="GL69" i="9" s="1"/>
  <c r="FM69" i="9"/>
  <c r="EU70" i="9"/>
  <c r="FD70" i="9"/>
  <c r="GN70" i="9" s="1"/>
  <c r="GY70" i="9" s="1"/>
  <c r="GZ70" i="9" s="1"/>
  <c r="HH70" i="9" s="1"/>
  <c r="CF70" i="9" s="1"/>
  <c r="FO70" i="9"/>
  <c r="FA71" i="9"/>
  <c r="FL71" i="9"/>
  <c r="EX73" i="9"/>
  <c r="FI73" i="9"/>
  <c r="EU74" i="9"/>
  <c r="FD74" i="9"/>
  <c r="GN74" i="9"/>
  <c r="GY74" i="9" s="1"/>
  <c r="GZ74" i="9" s="1"/>
  <c r="HH74" i="9" s="1"/>
  <c r="CF74" i="9" s="1"/>
  <c r="FO74" i="9"/>
  <c r="FA75" i="9"/>
  <c r="FL75" i="9"/>
  <c r="FH76" i="9"/>
  <c r="FC77" i="9"/>
  <c r="FN77" i="9"/>
  <c r="EZ78" i="9"/>
  <c r="FJ78" i="9"/>
  <c r="EV79" i="9"/>
  <c r="FG79" i="9"/>
  <c r="FP79" i="9"/>
  <c r="FB80" i="9"/>
  <c r="GL80" i="9" s="1"/>
  <c r="FN80" i="9"/>
  <c r="FH82" i="9"/>
  <c r="EV85" i="9"/>
  <c r="EX137" i="9"/>
  <c r="EU156" i="9"/>
  <c r="FH158" i="9"/>
  <c r="EV161" i="9"/>
  <c r="FI163" i="9"/>
  <c r="EX167" i="9"/>
  <c r="EU186" i="9"/>
  <c r="FH188" i="9"/>
  <c r="EV191" i="9"/>
  <c r="FI193" i="9"/>
  <c r="EX197" i="9"/>
  <c r="FL199" i="9"/>
  <c r="FM204" i="9"/>
  <c r="EX13" i="9"/>
  <c r="FI13" i="9"/>
  <c r="EZ14" i="9"/>
  <c r="FJ14" i="9"/>
  <c r="EZ15" i="9"/>
  <c r="FJ15" i="9"/>
  <c r="FM16" i="9"/>
  <c r="EV17" i="9"/>
  <c r="FG17" i="9"/>
  <c r="FP17" i="9"/>
  <c r="EX18" i="9"/>
  <c r="FI18" i="9"/>
  <c r="FA19" i="9"/>
  <c r="FL19" i="9"/>
  <c r="FC20" i="9"/>
  <c r="GM20" i="9" s="1"/>
  <c r="HG20" i="9" s="1"/>
  <c r="CE20" i="9" s="1"/>
  <c r="FN20" i="9"/>
  <c r="EV21" i="9"/>
  <c r="FG21" i="9"/>
  <c r="FP21" i="9"/>
  <c r="EX22" i="9"/>
  <c r="FI22" i="9"/>
  <c r="FA23" i="9"/>
  <c r="FL23" i="9"/>
  <c r="FC24" i="9"/>
  <c r="GM24" i="9" s="1"/>
  <c r="HG24" i="9" s="1"/>
  <c r="CE24" i="9" s="1"/>
  <c r="FN24" i="9"/>
  <c r="EV25" i="9"/>
  <c r="FG25" i="9"/>
  <c r="FP25" i="9"/>
  <c r="EX26" i="9"/>
  <c r="FI26" i="9"/>
  <c r="EX28" i="9"/>
  <c r="FI28" i="9"/>
  <c r="FA29" i="9"/>
  <c r="FL29" i="9"/>
  <c r="FC30" i="9"/>
  <c r="FN30" i="9"/>
  <c r="EV31" i="9"/>
  <c r="FG31" i="9"/>
  <c r="FP31" i="9"/>
  <c r="EZ32" i="9"/>
  <c r="FJ32" i="9"/>
  <c r="FB33" i="9"/>
  <c r="GL33" i="9"/>
  <c r="FM33" i="9"/>
  <c r="EU34" i="9"/>
  <c r="FD34" i="9"/>
  <c r="GN34" i="9" s="1"/>
  <c r="GY34" i="9" s="1"/>
  <c r="GZ34" i="9" s="1"/>
  <c r="HH34" i="9" s="1"/>
  <c r="CF34" i="9" s="1"/>
  <c r="FO34" i="9"/>
  <c r="FH35" i="9"/>
  <c r="EX36" i="9"/>
  <c r="FI36" i="9"/>
  <c r="FA37" i="9"/>
  <c r="FL37" i="9"/>
  <c r="FC38" i="9"/>
  <c r="FN38" i="9"/>
  <c r="EV39" i="9"/>
  <c r="FG39" i="9"/>
  <c r="FP39" i="9"/>
  <c r="EX40" i="9"/>
  <c r="FI40" i="9"/>
  <c r="FA41" i="9"/>
  <c r="GK41" i="9" s="1"/>
  <c r="HE41" i="9" s="1"/>
  <c r="CC41" i="9" s="1"/>
  <c r="FL41" i="9"/>
  <c r="FA43" i="9"/>
  <c r="FL43" i="9"/>
  <c r="FC44" i="9"/>
  <c r="FN44" i="9"/>
  <c r="EV45" i="9"/>
  <c r="FG45" i="9"/>
  <c r="FP45" i="9"/>
  <c r="EX46" i="9"/>
  <c r="FI46" i="9"/>
  <c r="FB47" i="9"/>
  <c r="GL47" i="9" s="1"/>
  <c r="FM47" i="9"/>
  <c r="EU48" i="9"/>
  <c r="FD48" i="9"/>
  <c r="GN48" i="9" s="1"/>
  <c r="FO48" i="9"/>
  <c r="FH49" i="9"/>
  <c r="EZ50" i="9"/>
  <c r="FJ50" i="9"/>
  <c r="FB51" i="9"/>
  <c r="GL51" i="9" s="1"/>
  <c r="FM51" i="9"/>
  <c r="EU52" i="9"/>
  <c r="FD52" i="9"/>
  <c r="GN52" i="9" s="1"/>
  <c r="FO52" i="9"/>
  <c r="FH53" i="9"/>
  <c r="EZ54" i="9"/>
  <c r="FJ54" i="9"/>
  <c r="FB55" i="9"/>
  <c r="GL55" i="9" s="1"/>
  <c r="FM55" i="9"/>
  <c r="EU56" i="9"/>
  <c r="FD56" i="9"/>
  <c r="GN56" i="9" s="1"/>
  <c r="FO56" i="9"/>
  <c r="EU58" i="9"/>
  <c r="FD58" i="9"/>
  <c r="GN58" i="9" s="1"/>
  <c r="FO58" i="9"/>
  <c r="FH59" i="9"/>
  <c r="EZ60" i="9"/>
  <c r="FJ60" i="9"/>
  <c r="FB61" i="9"/>
  <c r="GL61" i="9" s="1"/>
  <c r="FM61" i="9"/>
  <c r="EV62" i="9"/>
  <c r="FG62" i="9"/>
  <c r="FP62" i="9"/>
  <c r="EX63" i="9"/>
  <c r="FI63" i="9"/>
  <c r="FA64" i="9"/>
  <c r="FL64" i="9"/>
  <c r="FC65" i="9"/>
  <c r="GM65" i="9" s="1"/>
  <c r="HG65" i="9" s="1"/>
  <c r="CE65" i="9" s="1"/>
  <c r="FN65" i="9"/>
  <c r="EV66" i="9"/>
  <c r="FG66" i="9"/>
  <c r="FP66" i="9"/>
  <c r="EX67" i="9"/>
  <c r="FI67" i="9"/>
  <c r="FA68" i="9"/>
  <c r="GK68" i="9" s="1"/>
  <c r="HE68" i="9" s="1"/>
  <c r="CC68" i="9" s="1"/>
  <c r="FL68" i="9"/>
  <c r="FC69" i="9"/>
  <c r="GM69" i="9" s="1"/>
  <c r="HG69" i="9" s="1"/>
  <c r="CE69" i="9" s="1"/>
  <c r="FN69" i="9"/>
  <c r="EV70" i="9"/>
  <c r="FG70" i="9"/>
  <c r="FP70" i="9"/>
  <c r="FB71" i="9"/>
  <c r="GL71" i="9" s="1"/>
  <c r="FM71" i="9"/>
  <c r="EZ73" i="9"/>
  <c r="FJ73" i="9"/>
  <c r="EV74" i="9"/>
  <c r="FG74" i="9"/>
  <c r="FP74" i="9"/>
  <c r="FB75" i="9"/>
  <c r="GL75" i="9" s="1"/>
  <c r="FM75" i="9"/>
  <c r="EX76" i="9"/>
  <c r="FI76" i="9"/>
  <c r="EU77" i="9"/>
  <c r="FD77" i="9"/>
  <c r="GN77" i="9" s="1"/>
  <c r="GY77" i="9" s="1"/>
  <c r="GZ77" i="9" s="1"/>
  <c r="HH77" i="9" s="1"/>
  <c r="CF77" i="9" s="1"/>
  <c r="FO77" i="9"/>
  <c r="FA78" i="9"/>
  <c r="FL78" i="9"/>
  <c r="FH79" i="9"/>
  <c r="FC80" i="9"/>
  <c r="FO80" i="9"/>
  <c r="FG85" i="9"/>
  <c r="EV135" i="9"/>
  <c r="FI137" i="9"/>
  <c r="EX140" i="9"/>
  <c r="FL142" i="9"/>
  <c r="FM147" i="9"/>
  <c r="FO153" i="9"/>
  <c r="FG161" i="9"/>
  <c r="EV165" i="9"/>
  <c r="FI167" i="9"/>
  <c r="EX170" i="9"/>
  <c r="FL172" i="9"/>
  <c r="FM177" i="9"/>
  <c r="FO183" i="9"/>
  <c r="FG191" i="9"/>
  <c r="EV195" i="9"/>
  <c r="FI197" i="9"/>
  <c r="FJ202" i="9"/>
  <c r="EZ13" i="9"/>
  <c r="FJ13" i="9"/>
  <c r="FA14" i="9"/>
  <c r="FL14" i="9"/>
  <c r="FA15" i="9"/>
  <c r="GK15" i="9"/>
  <c r="HE15" i="9" s="1"/>
  <c r="CC15" i="9" s="1"/>
  <c r="FL15" i="9"/>
  <c r="FC16" i="9"/>
  <c r="FN16" i="9"/>
  <c r="FH17" i="9"/>
  <c r="EZ18" i="9"/>
  <c r="FJ18" i="9"/>
  <c r="FB19" i="9"/>
  <c r="GL19" i="9" s="1"/>
  <c r="FM19" i="9"/>
  <c r="EU20" i="9"/>
  <c r="FD20" i="9"/>
  <c r="GN20" i="9" s="1"/>
  <c r="GY20" i="9" s="1"/>
  <c r="GZ20" i="9" s="1"/>
  <c r="HH20" i="9" s="1"/>
  <c r="CF20" i="9" s="1"/>
  <c r="FO20" i="9"/>
  <c r="FH21" i="9"/>
  <c r="EZ22" i="9"/>
  <c r="FJ22" i="9"/>
  <c r="FB23" i="9"/>
  <c r="GL23" i="9" s="1"/>
  <c r="FM23" i="9"/>
  <c r="EU24" i="9"/>
  <c r="FD24" i="9"/>
  <c r="GN24" i="9" s="1"/>
  <c r="GY24" i="9" s="1"/>
  <c r="GZ24" i="9" s="1"/>
  <c r="HH24" i="9" s="1"/>
  <c r="CF24" i="9" s="1"/>
  <c r="FO24" i="9"/>
  <c r="FH25" i="9"/>
  <c r="EZ26" i="9"/>
  <c r="FJ26" i="9"/>
  <c r="EZ28" i="9"/>
  <c r="FJ28" i="9"/>
  <c r="FB29" i="9"/>
  <c r="GL29" i="9" s="1"/>
  <c r="FM29" i="9"/>
  <c r="EU30" i="9"/>
  <c r="FD30" i="9"/>
  <c r="GN30" i="9" s="1"/>
  <c r="GY30" i="9" s="1"/>
  <c r="GZ30" i="9" s="1"/>
  <c r="HH30" i="9" s="1"/>
  <c r="CF30" i="9" s="1"/>
  <c r="FO30" i="9"/>
  <c r="FH31" i="9"/>
  <c r="FA32" i="9"/>
  <c r="FL32" i="9"/>
  <c r="FC33" i="9"/>
  <c r="FN33" i="9"/>
  <c r="EV34" i="9"/>
  <c r="FG34" i="9"/>
  <c r="FP34" i="9"/>
  <c r="EX35" i="9"/>
  <c r="FI35" i="9"/>
  <c r="EZ36" i="9"/>
  <c r="FJ36" i="9"/>
  <c r="FB37" i="9"/>
  <c r="GL37" i="9" s="1"/>
  <c r="FM37" i="9"/>
  <c r="EU38" i="9"/>
  <c r="FD38" i="9"/>
  <c r="GN38" i="9" s="1"/>
  <c r="GY38" i="9" s="1"/>
  <c r="GZ38" i="9" s="1"/>
  <c r="HH38" i="9" s="1"/>
  <c r="CF38" i="9" s="1"/>
  <c r="FO38" i="9"/>
  <c r="FH39" i="9"/>
  <c r="EZ40" i="9"/>
  <c r="FJ40" i="9"/>
  <c r="FB41" i="9"/>
  <c r="GL41" i="9" s="1"/>
  <c r="FM41" i="9"/>
  <c r="FB43" i="9"/>
  <c r="GL43" i="9" s="1"/>
  <c r="FM43" i="9"/>
  <c r="EU44" i="9"/>
  <c r="FD44" i="9"/>
  <c r="GN44" i="9" s="1"/>
  <c r="GY44" i="9" s="1"/>
  <c r="GZ44" i="9" s="1"/>
  <c r="HH44" i="9" s="1"/>
  <c r="CF44" i="9" s="1"/>
  <c r="FO44" i="9"/>
  <c r="FH45" i="9"/>
  <c r="EZ46" i="9"/>
  <c r="FJ46" i="9"/>
  <c r="FC47" i="9"/>
  <c r="GM47" i="9"/>
  <c r="HG47" i="9" s="1"/>
  <c r="CE47" i="9" s="1"/>
  <c r="FN47" i="9"/>
  <c r="EV48" i="9"/>
  <c r="FG48" i="9"/>
  <c r="FP48" i="9"/>
  <c r="EX49" i="9"/>
  <c r="FI49" i="9"/>
  <c r="FA50" i="9"/>
  <c r="GK50" i="9" s="1"/>
  <c r="HE50" i="9" s="1"/>
  <c r="CC50" i="9" s="1"/>
  <c r="FL50" i="9"/>
  <c r="FC51" i="9"/>
  <c r="FN51" i="9"/>
  <c r="EV52" i="9"/>
  <c r="FG52" i="9"/>
  <c r="FP52" i="9"/>
  <c r="EX53" i="9"/>
  <c r="FI53" i="9"/>
  <c r="FA54" i="9"/>
  <c r="GK54" i="9" s="1"/>
  <c r="HE54" i="9" s="1"/>
  <c r="CC54" i="9" s="1"/>
  <c r="FL54" i="9"/>
  <c r="FC55" i="9"/>
  <c r="FN55" i="9"/>
  <c r="EV56" i="9"/>
  <c r="FG56" i="9"/>
  <c r="FP56" i="9"/>
  <c r="EV58" i="9"/>
  <c r="FG58" i="9"/>
  <c r="FP58" i="9"/>
  <c r="EX59" i="9"/>
  <c r="FI59" i="9"/>
  <c r="FA60" i="9"/>
  <c r="FL60" i="9"/>
  <c r="FC61" i="9"/>
  <c r="GM61" i="9" s="1"/>
  <c r="HG61" i="9" s="1"/>
  <c r="CE61" i="9" s="1"/>
  <c r="FN61" i="9"/>
  <c r="FH62" i="9"/>
  <c r="EZ63" i="9"/>
  <c r="FJ63" i="9"/>
  <c r="FB64" i="9"/>
  <c r="GL64" i="9" s="1"/>
  <c r="FM64" i="9"/>
  <c r="EU65" i="9"/>
  <c r="FD65" i="9"/>
  <c r="GN65" i="9" s="1"/>
  <c r="FO65" i="9"/>
  <c r="FH66" i="9"/>
  <c r="EZ67" i="9"/>
  <c r="FJ67" i="9"/>
  <c r="FB68" i="9"/>
  <c r="GL68" i="9" s="1"/>
  <c r="FM68" i="9"/>
  <c r="EU69" i="9"/>
  <c r="FD69" i="9"/>
  <c r="GN69" i="9" s="1"/>
  <c r="GY69" i="9" s="1"/>
  <c r="GZ69" i="9" s="1"/>
  <c r="HH69" i="9" s="1"/>
  <c r="CF69" i="9" s="1"/>
  <c r="FO69" i="9"/>
  <c r="FH70" i="9"/>
  <c r="FC71" i="9"/>
  <c r="FN71" i="9"/>
  <c r="FA73" i="9"/>
  <c r="FL73" i="9"/>
  <c r="FH74" i="9"/>
  <c r="FC75" i="9"/>
  <c r="FN75" i="9"/>
  <c r="EZ76" i="9"/>
  <c r="FJ76" i="9"/>
  <c r="EV77" i="9"/>
  <c r="FG77" i="9"/>
  <c r="FP77" i="9"/>
  <c r="FB78" i="9"/>
  <c r="GL78" i="9" s="1"/>
  <c r="FM78" i="9"/>
  <c r="EX79" i="9"/>
  <c r="FI79" i="9"/>
  <c r="EU80" i="9"/>
  <c r="FD80" i="9"/>
  <c r="GN80" i="9" s="1"/>
  <c r="FC83" i="9"/>
  <c r="GM83" i="9" s="1"/>
  <c r="HG83" i="9" s="1"/>
  <c r="CE83" i="9" s="1"/>
  <c r="FP85" i="9"/>
  <c r="FG135" i="9"/>
  <c r="FI140" i="9"/>
  <c r="FJ145" i="9"/>
  <c r="FM151" i="9"/>
  <c r="FO156" i="9"/>
  <c r="FP161" i="9"/>
  <c r="FG165" i="9"/>
  <c r="FI170" i="9"/>
  <c r="FJ175" i="9"/>
  <c r="FM181" i="9"/>
  <c r="FO186" i="9"/>
  <c r="FP191" i="9"/>
  <c r="FG195" i="9"/>
  <c r="EX205" i="9"/>
  <c r="FA13" i="9"/>
  <c r="FL13" i="9"/>
  <c r="FB14" i="9"/>
  <c r="GL14" i="9" s="1"/>
  <c r="FM14" i="9"/>
  <c r="FB15" i="9"/>
  <c r="GL15" i="9" s="1"/>
  <c r="FM15" i="9"/>
  <c r="EU16" i="9"/>
  <c r="FD16" i="9"/>
  <c r="GN16" i="9" s="1"/>
  <c r="GY16" i="9" s="1"/>
  <c r="GZ16" i="9" s="1"/>
  <c r="HH16" i="9" s="1"/>
  <c r="CF16" i="9" s="1"/>
  <c r="FO16" i="9"/>
  <c r="EX17" i="9"/>
  <c r="FI17" i="9"/>
  <c r="FA18" i="9"/>
  <c r="FL18" i="9"/>
  <c r="FC19" i="9"/>
  <c r="FN19" i="9"/>
  <c r="EV20" i="9"/>
  <c r="FG20" i="9"/>
  <c r="FP20" i="9"/>
  <c r="EX21" i="9"/>
  <c r="FI21" i="9"/>
  <c r="FA22" i="9"/>
  <c r="FL22" i="9"/>
  <c r="FC23" i="9"/>
  <c r="GM23" i="9" s="1"/>
  <c r="HG23" i="9" s="1"/>
  <c r="CE23" i="9" s="1"/>
  <c r="FN23" i="9"/>
  <c r="EV24" i="9"/>
  <c r="FG24" i="9"/>
  <c r="FP24" i="9"/>
  <c r="EX25" i="9"/>
  <c r="FI25" i="9"/>
  <c r="FA26" i="9"/>
  <c r="GK26" i="9" s="1"/>
  <c r="HE26" i="9" s="1"/>
  <c r="CC26" i="9" s="1"/>
  <c r="FL26" i="9"/>
  <c r="FA28" i="9"/>
  <c r="FL28" i="9"/>
  <c r="FC29" i="9"/>
  <c r="FN29" i="9"/>
  <c r="EV30" i="9"/>
  <c r="FG30" i="9"/>
  <c r="FP30" i="9"/>
  <c r="EX31" i="9"/>
  <c r="FI31" i="9"/>
  <c r="FB32" i="9"/>
  <c r="GL32" i="9"/>
  <c r="FM32" i="9"/>
  <c r="EU33" i="9"/>
  <c r="FD33" i="9"/>
  <c r="GN33" i="9" s="1"/>
  <c r="GY33" i="9" s="1"/>
  <c r="GZ33" i="9" s="1"/>
  <c r="HH33" i="9" s="1"/>
  <c r="CF33" i="9" s="1"/>
  <c r="FO33" i="9"/>
  <c r="FH34" i="9"/>
  <c r="EZ35" i="9"/>
  <c r="FJ35" i="9"/>
  <c r="FA36" i="9"/>
  <c r="FL36" i="9"/>
  <c r="FC37" i="9"/>
  <c r="FN37" i="9"/>
  <c r="EV38" i="9"/>
  <c r="FG38" i="9"/>
  <c r="FP38" i="9"/>
  <c r="EX39" i="9"/>
  <c r="FI39" i="9"/>
  <c r="FA40" i="9"/>
  <c r="FL40" i="9"/>
  <c r="FC41" i="9"/>
  <c r="GM41" i="9" s="1"/>
  <c r="HG41" i="9" s="1"/>
  <c r="CE41" i="9" s="1"/>
  <c r="FN41" i="9"/>
  <c r="FC43" i="9"/>
  <c r="FN43" i="9"/>
  <c r="EV44" i="9"/>
  <c r="FG44" i="9"/>
  <c r="FP44" i="9"/>
  <c r="EX45" i="9"/>
  <c r="FI45" i="9"/>
  <c r="FA46" i="9"/>
  <c r="GK46" i="9" s="1"/>
  <c r="HE46" i="9" s="1"/>
  <c r="CC46" i="9" s="1"/>
  <c r="FL46" i="9"/>
  <c r="EU47" i="9"/>
  <c r="FD47" i="9"/>
  <c r="GN47" i="9"/>
  <c r="GY47" i="9" s="1"/>
  <c r="GZ47" i="9" s="1"/>
  <c r="HH47" i="9" s="1"/>
  <c r="CF47" i="9" s="1"/>
  <c r="FO47" i="9"/>
  <c r="FH48" i="9"/>
  <c r="EZ49" i="9"/>
  <c r="FJ49" i="9"/>
  <c r="FB50" i="9"/>
  <c r="GL50" i="9" s="1"/>
  <c r="FM50" i="9"/>
  <c r="EU51" i="9"/>
  <c r="FD51" i="9"/>
  <c r="GN51" i="9" s="1"/>
  <c r="GY51" i="9" s="1"/>
  <c r="GZ51" i="9" s="1"/>
  <c r="HH51" i="9" s="1"/>
  <c r="CF51" i="9" s="1"/>
  <c r="FO51" i="9"/>
  <c r="FH52" i="9"/>
  <c r="EZ53" i="9"/>
  <c r="FJ53" i="9"/>
  <c r="FB54" i="9"/>
  <c r="GL54" i="9" s="1"/>
  <c r="FM54" i="9"/>
  <c r="EU55" i="9"/>
  <c r="FD55" i="9"/>
  <c r="GN55" i="9" s="1"/>
  <c r="GY55" i="9" s="1"/>
  <c r="GZ55" i="9" s="1"/>
  <c r="HH55" i="9" s="1"/>
  <c r="CF55" i="9" s="1"/>
  <c r="FO55" i="9"/>
  <c r="FH56" i="9"/>
  <c r="FH58" i="9"/>
  <c r="EZ59" i="9"/>
  <c r="FJ59" i="9"/>
  <c r="FB60" i="9"/>
  <c r="GL60" i="9" s="1"/>
  <c r="FM60" i="9"/>
  <c r="EU61" i="9"/>
  <c r="FD61" i="9"/>
  <c r="GN61" i="9" s="1"/>
  <c r="GY61" i="9" s="1"/>
  <c r="GZ61" i="9" s="1"/>
  <c r="HH61" i="9" s="1"/>
  <c r="CF61" i="9" s="1"/>
  <c r="FO61" i="9"/>
  <c r="EX62" i="9"/>
  <c r="FI62" i="9"/>
  <c r="FA63" i="9"/>
  <c r="FL63" i="9"/>
  <c r="FC64" i="9"/>
  <c r="FN64" i="9"/>
  <c r="EV65" i="9"/>
  <c r="FG65" i="9"/>
  <c r="FP65" i="9"/>
  <c r="EX66" i="9"/>
  <c r="FI66" i="9"/>
  <c r="FA67" i="9"/>
  <c r="GK67" i="9" s="1"/>
  <c r="HE67" i="9" s="1"/>
  <c r="CC67" i="9" s="1"/>
  <c r="FL67" i="9"/>
  <c r="FC68" i="9"/>
  <c r="FN68" i="9"/>
  <c r="EV69" i="9"/>
  <c r="FG69" i="9"/>
  <c r="FP69" i="9"/>
  <c r="EX70" i="9"/>
  <c r="FI70" i="9"/>
  <c r="EU71" i="9"/>
  <c r="FD71" i="9"/>
  <c r="GN71" i="9" s="1"/>
  <c r="GY71" i="9" s="1"/>
  <c r="GZ71" i="9" s="1"/>
  <c r="HH71" i="9" s="1"/>
  <c r="CF71" i="9" s="1"/>
  <c r="FO71" i="9"/>
  <c r="FB73" i="9"/>
  <c r="GL73" i="9" s="1"/>
  <c r="FM73" i="9"/>
  <c r="EX74" i="9"/>
  <c r="FI74" i="9"/>
  <c r="EU75" i="9"/>
  <c r="FD75" i="9"/>
  <c r="GN75" i="9" s="1"/>
  <c r="GY75" i="9" s="1"/>
  <c r="GZ75" i="9" s="1"/>
  <c r="HH75" i="9" s="1"/>
  <c r="CF75" i="9" s="1"/>
  <c r="FO75" i="9"/>
  <c r="FA76" i="9"/>
  <c r="FL76" i="9"/>
  <c r="FH77" i="9"/>
  <c r="FC78" i="9"/>
  <c r="GM78" i="9" s="1"/>
  <c r="HG78" i="9" s="1"/>
  <c r="CE78" i="9" s="1"/>
  <c r="FN78" i="9"/>
  <c r="EZ79" i="9"/>
  <c r="FJ79" i="9"/>
  <c r="EV80" i="9"/>
  <c r="FG80" i="9"/>
  <c r="EU81" i="9"/>
  <c r="FN83" i="9"/>
  <c r="FP135" i="9"/>
  <c r="EU138" i="9"/>
  <c r="EX148" i="9"/>
  <c r="FM154" i="9"/>
  <c r="FN159" i="9"/>
  <c r="FP165" i="9"/>
  <c r="EU168" i="9"/>
  <c r="EX178" i="9"/>
  <c r="FM184" i="9"/>
  <c r="FN189" i="9"/>
  <c r="FP195" i="9"/>
  <c r="EU198" i="9"/>
  <c r="FH200" i="9"/>
  <c r="EV203" i="9"/>
  <c r="FI205" i="9"/>
  <c r="BD24" i="12"/>
  <c r="BH24" i="12"/>
  <c r="DT15" i="12"/>
  <c r="BH12" i="12"/>
  <c r="BD12" i="12"/>
  <c r="BO12" i="12"/>
  <c r="BI24" i="12"/>
  <c r="GM27" i="9"/>
  <c r="HG27" i="9"/>
  <c r="GL57" i="9"/>
  <c r="GN27" i="9"/>
  <c r="GY27" i="9" s="1"/>
  <c r="GZ27" i="9" s="1"/>
  <c r="HH27" i="9" s="1"/>
  <c r="GK42" i="9"/>
  <c r="HE42" i="9" s="1"/>
  <c r="GM57" i="9"/>
  <c r="HG57" i="9"/>
  <c r="GM675" i="9"/>
  <c r="HG675" i="9"/>
  <c r="GN675" i="9"/>
  <c r="GY675" i="9" s="1"/>
  <c r="GZ675" i="9" s="1"/>
  <c r="HH675" i="9" s="1"/>
  <c r="GN660" i="9"/>
  <c r="GY660" i="9" s="1"/>
  <c r="GZ660" i="9" s="1"/>
  <c r="HH660" i="9" s="1"/>
  <c r="GM660" i="9"/>
  <c r="HG660" i="9" s="1"/>
  <c r="GL675" i="9"/>
  <c r="GL660" i="9"/>
  <c r="GK675" i="9"/>
  <c r="HE675" i="9"/>
  <c r="GM645" i="9"/>
  <c r="HG645" i="9" s="1"/>
  <c r="GN645" i="9"/>
  <c r="GY645" i="9" s="1"/>
  <c r="GZ645" i="9" s="1"/>
  <c r="HH645" i="9" s="1"/>
  <c r="GL645" i="9"/>
  <c r="GK660" i="9"/>
  <c r="HE660" i="9"/>
  <c r="GK645" i="9"/>
  <c r="HE645" i="9"/>
  <c r="GM630" i="9"/>
  <c r="HG630" i="9"/>
  <c r="GK630" i="9"/>
  <c r="HE630" i="9" s="1"/>
  <c r="GN630" i="9"/>
  <c r="GY630" i="9" s="1"/>
  <c r="GZ630" i="9" s="1"/>
  <c r="HH630" i="9" s="1"/>
  <c r="GL630" i="9"/>
  <c r="GQ630" i="9" s="1"/>
  <c r="GR630" i="9" s="1"/>
  <c r="GS630" i="9" s="1"/>
  <c r="GT630" i="9" s="1"/>
  <c r="GU630" i="9" s="1"/>
  <c r="GV630" i="9" s="1"/>
  <c r="GM615" i="9"/>
  <c r="HG615" i="9" s="1"/>
  <c r="GM614" i="9"/>
  <c r="HG614" i="9" s="1"/>
  <c r="GM613" i="9"/>
  <c r="HG613" i="9" s="1"/>
  <c r="GM612" i="9"/>
  <c r="HG612" i="9" s="1"/>
  <c r="GK615" i="9"/>
  <c r="HE615" i="9" s="1"/>
  <c r="GN614" i="9"/>
  <c r="GY614" i="9" s="1"/>
  <c r="GZ614" i="9" s="1"/>
  <c r="HH614" i="9" s="1"/>
  <c r="GL614" i="9"/>
  <c r="GQ614" i="9" s="1"/>
  <c r="GR614" i="9" s="1"/>
  <c r="GS614" i="9" s="1"/>
  <c r="GT614" i="9" s="1"/>
  <c r="GU614" i="9" s="1"/>
  <c r="GV614" i="9" s="1"/>
  <c r="GN612" i="9"/>
  <c r="GY612" i="9" s="1"/>
  <c r="GZ612" i="9" s="1"/>
  <c r="HH612" i="9" s="1"/>
  <c r="GL611" i="9"/>
  <c r="GL610" i="9"/>
  <c r="GL609" i="9"/>
  <c r="GL608" i="9"/>
  <c r="GL607" i="9"/>
  <c r="GL606" i="9"/>
  <c r="GL605" i="9"/>
  <c r="GL604" i="9"/>
  <c r="GL603" i="9"/>
  <c r="GL602" i="9"/>
  <c r="GL601" i="9"/>
  <c r="GL600" i="9"/>
  <c r="GL599" i="9"/>
  <c r="GL598" i="9"/>
  <c r="GL597" i="9"/>
  <c r="GL596" i="9"/>
  <c r="GL595" i="9"/>
  <c r="GL594" i="9"/>
  <c r="GL593" i="9"/>
  <c r="GL592" i="9"/>
  <c r="GL591" i="9"/>
  <c r="GL590" i="9"/>
  <c r="GL589" i="9"/>
  <c r="GL588" i="9"/>
  <c r="GL587" i="9"/>
  <c r="GL586" i="9"/>
  <c r="GL585" i="9"/>
  <c r="GL584" i="9"/>
  <c r="GL583" i="9"/>
  <c r="GL582" i="9"/>
  <c r="GL581" i="9"/>
  <c r="GL580" i="9"/>
  <c r="GL579" i="9"/>
  <c r="GL578" i="9"/>
  <c r="GL577" i="9"/>
  <c r="GL576" i="9"/>
  <c r="GL575" i="9"/>
  <c r="GL574" i="9"/>
  <c r="GL573" i="9"/>
  <c r="GL572" i="9"/>
  <c r="GL571" i="9"/>
  <c r="GL612" i="9"/>
  <c r="GK611" i="9"/>
  <c r="HE611" i="9"/>
  <c r="GK610" i="9"/>
  <c r="HE610" i="9" s="1"/>
  <c r="GK609" i="9"/>
  <c r="HE609" i="9" s="1"/>
  <c r="GK608" i="9"/>
  <c r="HE608" i="9" s="1"/>
  <c r="GK607" i="9"/>
  <c r="HE607" i="9" s="1"/>
  <c r="GK606" i="9"/>
  <c r="HE606" i="9" s="1"/>
  <c r="GK605" i="9"/>
  <c r="HE605" i="9"/>
  <c r="GK604" i="9"/>
  <c r="HE604" i="9"/>
  <c r="GK603" i="9"/>
  <c r="HE603" i="9" s="1"/>
  <c r="GK602" i="9"/>
  <c r="HE602" i="9" s="1"/>
  <c r="GK601" i="9"/>
  <c r="HE601" i="9" s="1"/>
  <c r="GK600" i="9"/>
  <c r="HE600" i="9" s="1"/>
  <c r="GK599" i="9"/>
  <c r="HE599" i="9" s="1"/>
  <c r="GK598" i="9"/>
  <c r="HE598" i="9" s="1"/>
  <c r="GK597" i="9"/>
  <c r="HE597" i="9"/>
  <c r="GK596" i="9"/>
  <c r="HE596" i="9"/>
  <c r="GK595" i="9"/>
  <c r="HE595" i="9" s="1"/>
  <c r="GK594" i="9"/>
  <c r="HE594" i="9" s="1"/>
  <c r="GK593" i="9"/>
  <c r="HE593" i="9" s="1"/>
  <c r="GK592" i="9"/>
  <c r="HE592" i="9"/>
  <c r="GK591" i="9"/>
  <c r="HE591" i="9" s="1"/>
  <c r="GK590" i="9"/>
  <c r="HE590" i="9" s="1"/>
  <c r="GK589" i="9"/>
  <c r="HE589" i="9"/>
  <c r="GK588" i="9"/>
  <c r="HE588" i="9" s="1"/>
  <c r="GK587" i="9"/>
  <c r="HE587" i="9" s="1"/>
  <c r="GK586" i="9"/>
  <c r="HE586" i="9" s="1"/>
  <c r="GK585" i="9"/>
  <c r="HE585" i="9"/>
  <c r="GK584" i="9"/>
  <c r="HE584" i="9"/>
  <c r="GK583" i="9"/>
  <c r="HE583" i="9" s="1"/>
  <c r="GK582" i="9"/>
  <c r="HE582" i="9" s="1"/>
  <c r="GK581" i="9"/>
  <c r="HE581" i="9"/>
  <c r="GK580" i="9"/>
  <c r="HE580" i="9"/>
  <c r="GK579" i="9"/>
  <c r="HE579" i="9" s="1"/>
  <c r="GK578" i="9"/>
  <c r="HE578" i="9" s="1"/>
  <c r="GK577" i="9"/>
  <c r="HE577" i="9" s="1"/>
  <c r="GK576" i="9"/>
  <c r="HE576" i="9"/>
  <c r="GK575" i="9"/>
  <c r="HE575" i="9" s="1"/>
  <c r="GK574" i="9"/>
  <c r="HE574" i="9" s="1"/>
  <c r="GK573" i="9"/>
  <c r="HE573" i="9"/>
  <c r="GK572" i="9"/>
  <c r="HE572" i="9" s="1"/>
  <c r="GK571" i="9"/>
  <c r="HE571" i="9" s="1"/>
  <c r="GK614" i="9"/>
  <c r="HE614" i="9" s="1"/>
  <c r="GN613" i="9"/>
  <c r="GY613" i="9"/>
  <c r="GZ613" i="9" s="1"/>
  <c r="HH613" i="9" s="1"/>
  <c r="GK612" i="9"/>
  <c r="HE612" i="9" s="1"/>
  <c r="GD612" i="9"/>
  <c r="GE612" i="9" s="1"/>
  <c r="GF612" i="9" s="1"/>
  <c r="GG612" i="9" s="1"/>
  <c r="GH612" i="9" s="1"/>
  <c r="GI612" i="9" s="1"/>
  <c r="GD611" i="9"/>
  <c r="GE611" i="9" s="1"/>
  <c r="GF611" i="9" s="1"/>
  <c r="GG611" i="9" s="1"/>
  <c r="GH611" i="9" s="1"/>
  <c r="GI611" i="9" s="1"/>
  <c r="GD610" i="9"/>
  <c r="GE610" i="9" s="1"/>
  <c r="GF610" i="9" s="1"/>
  <c r="GG610" i="9" s="1"/>
  <c r="GQ609" i="9"/>
  <c r="GR609" i="9" s="1"/>
  <c r="GS609" i="9" s="1"/>
  <c r="GT609" i="9" s="1"/>
  <c r="GU609" i="9" s="1"/>
  <c r="GV609" i="9" s="1"/>
  <c r="GQ607" i="9"/>
  <c r="GR607" i="9" s="1"/>
  <c r="GS607" i="9" s="1"/>
  <c r="GT607" i="9" s="1"/>
  <c r="GU607" i="9" s="1"/>
  <c r="GV607" i="9" s="1"/>
  <c r="GD605" i="9"/>
  <c r="GE605" i="9" s="1"/>
  <c r="GF605" i="9" s="1"/>
  <c r="GG605" i="9" s="1"/>
  <c r="GQ603" i="9"/>
  <c r="GR603" i="9" s="1"/>
  <c r="GS603" i="9" s="1"/>
  <c r="GT603" i="9" s="1"/>
  <c r="GU603" i="9" s="1"/>
  <c r="GV603" i="9" s="1"/>
  <c r="GQ602" i="9"/>
  <c r="GR602" i="9" s="1"/>
  <c r="GS602" i="9" s="1"/>
  <c r="GT602" i="9" s="1"/>
  <c r="GU602" i="9" s="1"/>
  <c r="GV602" i="9" s="1"/>
  <c r="GD601" i="9"/>
  <c r="GE601" i="9" s="1"/>
  <c r="GF601" i="9" s="1"/>
  <c r="GG601" i="9" s="1"/>
  <c r="GD600" i="9"/>
  <c r="GE600" i="9" s="1"/>
  <c r="GF600" i="9" s="1"/>
  <c r="GG600" i="9" s="1"/>
  <c r="GD599" i="9"/>
  <c r="GE599" i="9" s="1"/>
  <c r="GF599" i="9" s="1"/>
  <c r="GG599" i="9" s="1"/>
  <c r="GQ597" i="9"/>
  <c r="GR597" i="9" s="1"/>
  <c r="GS597" i="9" s="1"/>
  <c r="GT597" i="9" s="1"/>
  <c r="GU597" i="9" s="1"/>
  <c r="GV597" i="9" s="1"/>
  <c r="GQ595" i="9"/>
  <c r="GR595" i="9" s="1"/>
  <c r="GS595" i="9" s="1"/>
  <c r="GT595" i="9" s="1"/>
  <c r="GU595" i="9" s="1"/>
  <c r="GV595" i="9" s="1"/>
  <c r="GQ594" i="9"/>
  <c r="GR594" i="9" s="1"/>
  <c r="GS594" i="9" s="1"/>
  <c r="GT594" i="9" s="1"/>
  <c r="GU594" i="9" s="1"/>
  <c r="GV594" i="9" s="1"/>
  <c r="GD591" i="9"/>
  <c r="GE591" i="9" s="1"/>
  <c r="GF591" i="9" s="1"/>
  <c r="GG591" i="9" s="1"/>
  <c r="GD589" i="9"/>
  <c r="GE589" i="9" s="1"/>
  <c r="GF589" i="9" s="1"/>
  <c r="GG589" i="9" s="1"/>
  <c r="GH589" i="9" s="1"/>
  <c r="GI589" i="9" s="1"/>
  <c r="GQ585" i="9"/>
  <c r="GR585" i="9" s="1"/>
  <c r="GS585" i="9" s="1"/>
  <c r="GT585" i="9" s="1"/>
  <c r="GU585" i="9" s="1"/>
  <c r="GV585" i="9" s="1"/>
  <c r="GD581" i="9"/>
  <c r="GE581" i="9" s="1"/>
  <c r="GF581" i="9" s="1"/>
  <c r="GG581" i="9" s="1"/>
  <c r="GD579" i="9"/>
  <c r="GE579" i="9" s="1"/>
  <c r="GF579" i="9" s="1"/>
  <c r="GG579" i="9" s="1"/>
  <c r="GL613" i="9"/>
  <c r="GK613" i="9"/>
  <c r="HE613" i="9" s="1"/>
  <c r="GN615" i="9"/>
  <c r="GY615" i="9" s="1"/>
  <c r="GZ615" i="9" s="1"/>
  <c r="HH615" i="9" s="1"/>
  <c r="GD615" i="9"/>
  <c r="GE615" i="9" s="1"/>
  <c r="GF615" i="9" s="1"/>
  <c r="GG615" i="9" s="1"/>
  <c r="GN611" i="9"/>
  <c r="GY611" i="9" s="1"/>
  <c r="GZ611" i="9" s="1"/>
  <c r="HH611" i="9" s="1"/>
  <c r="GN610" i="9"/>
  <c r="GY610" i="9" s="1"/>
  <c r="GZ610" i="9" s="1"/>
  <c r="HH610" i="9" s="1"/>
  <c r="GN609" i="9"/>
  <c r="GY609" i="9" s="1"/>
  <c r="GZ609" i="9" s="1"/>
  <c r="HH609" i="9" s="1"/>
  <c r="GN608" i="9"/>
  <c r="GY608" i="9"/>
  <c r="GZ608" i="9" s="1"/>
  <c r="HH608" i="9" s="1"/>
  <c r="GN607" i="9"/>
  <c r="GY607" i="9" s="1"/>
  <c r="GZ607" i="9" s="1"/>
  <c r="HH607" i="9" s="1"/>
  <c r="GN606" i="9"/>
  <c r="GY606" i="9" s="1"/>
  <c r="GZ606" i="9" s="1"/>
  <c r="HH606" i="9" s="1"/>
  <c r="GN605" i="9"/>
  <c r="GY605" i="9" s="1"/>
  <c r="GZ605" i="9" s="1"/>
  <c r="HH605" i="9" s="1"/>
  <c r="GN604" i="9"/>
  <c r="GY604" i="9" s="1"/>
  <c r="GZ604" i="9" s="1"/>
  <c r="HH604" i="9" s="1"/>
  <c r="GN603" i="9"/>
  <c r="GY603" i="9" s="1"/>
  <c r="GZ603" i="9" s="1"/>
  <c r="HH603" i="9" s="1"/>
  <c r="GN602" i="9"/>
  <c r="GY602" i="9" s="1"/>
  <c r="GZ602" i="9" s="1"/>
  <c r="HH602" i="9" s="1"/>
  <c r="GN601" i="9"/>
  <c r="GY601" i="9" s="1"/>
  <c r="GZ601" i="9" s="1"/>
  <c r="HH601" i="9" s="1"/>
  <c r="GN600" i="9"/>
  <c r="GY600" i="9"/>
  <c r="GZ600" i="9" s="1"/>
  <c r="HH600" i="9" s="1"/>
  <c r="GN599" i="9"/>
  <c r="GY599" i="9" s="1"/>
  <c r="GZ599" i="9" s="1"/>
  <c r="HH599" i="9" s="1"/>
  <c r="GN598" i="9"/>
  <c r="GY598" i="9"/>
  <c r="GZ598" i="9" s="1"/>
  <c r="HH598" i="9" s="1"/>
  <c r="GN597" i="9"/>
  <c r="GY597" i="9" s="1"/>
  <c r="GZ597" i="9" s="1"/>
  <c r="HH597" i="9" s="1"/>
  <c r="GN596" i="9"/>
  <c r="GY596" i="9" s="1"/>
  <c r="GZ596" i="9"/>
  <c r="HH596" i="9" s="1"/>
  <c r="GN595" i="9"/>
  <c r="GY595" i="9" s="1"/>
  <c r="GZ595" i="9" s="1"/>
  <c r="HH595" i="9" s="1"/>
  <c r="GN594" i="9"/>
  <c r="GY594" i="9" s="1"/>
  <c r="GZ594" i="9" s="1"/>
  <c r="HH594" i="9" s="1"/>
  <c r="GN593" i="9"/>
  <c r="GY593" i="9" s="1"/>
  <c r="GZ593" i="9" s="1"/>
  <c r="HH593" i="9" s="1"/>
  <c r="GN592" i="9"/>
  <c r="GY592" i="9" s="1"/>
  <c r="GZ592" i="9" s="1"/>
  <c r="HH592" i="9" s="1"/>
  <c r="GN591" i="9"/>
  <c r="GY591" i="9" s="1"/>
  <c r="GZ591" i="9" s="1"/>
  <c r="HH591" i="9" s="1"/>
  <c r="GN590" i="9"/>
  <c r="GY590" i="9"/>
  <c r="GZ590" i="9" s="1"/>
  <c r="HH590" i="9" s="1"/>
  <c r="GN589" i="9"/>
  <c r="GY589" i="9" s="1"/>
  <c r="GZ589" i="9" s="1"/>
  <c r="HH589" i="9" s="1"/>
  <c r="GN588" i="9"/>
  <c r="GY588" i="9" s="1"/>
  <c r="GZ588" i="9" s="1"/>
  <c r="HH588" i="9" s="1"/>
  <c r="GN587" i="9"/>
  <c r="GY587" i="9" s="1"/>
  <c r="GZ587" i="9" s="1"/>
  <c r="HH587" i="9" s="1"/>
  <c r="GN586" i="9"/>
  <c r="GY586" i="9"/>
  <c r="GZ586" i="9" s="1"/>
  <c r="HH586" i="9" s="1"/>
  <c r="GN585" i="9"/>
  <c r="GY585" i="9" s="1"/>
  <c r="GZ585" i="9" s="1"/>
  <c r="HH585" i="9" s="1"/>
  <c r="GN584" i="9"/>
  <c r="GY584" i="9"/>
  <c r="GZ584" i="9" s="1"/>
  <c r="HH584" i="9" s="1"/>
  <c r="GN583" i="9"/>
  <c r="GY583" i="9" s="1"/>
  <c r="GZ583" i="9" s="1"/>
  <c r="HH583" i="9" s="1"/>
  <c r="GN582" i="9"/>
  <c r="GY582" i="9" s="1"/>
  <c r="GZ582" i="9" s="1"/>
  <c r="HH582" i="9" s="1"/>
  <c r="GN581" i="9"/>
  <c r="GY581" i="9" s="1"/>
  <c r="GZ581" i="9" s="1"/>
  <c r="HH581" i="9" s="1"/>
  <c r="GN580" i="9"/>
  <c r="GY580" i="9"/>
  <c r="GZ580" i="9" s="1"/>
  <c r="HH580" i="9" s="1"/>
  <c r="GN579" i="9"/>
  <c r="GY579" i="9" s="1"/>
  <c r="GZ579" i="9" s="1"/>
  <c r="HH579" i="9" s="1"/>
  <c r="GN578" i="9"/>
  <c r="GY578" i="9" s="1"/>
  <c r="GZ578" i="9" s="1"/>
  <c r="HH578" i="9" s="1"/>
  <c r="GN577" i="9"/>
  <c r="GY577" i="9" s="1"/>
  <c r="GZ577" i="9" s="1"/>
  <c r="HH577" i="9" s="1"/>
  <c r="GN576" i="9"/>
  <c r="GY576" i="9"/>
  <c r="GZ576" i="9" s="1"/>
  <c r="HH576" i="9" s="1"/>
  <c r="GN575" i="9"/>
  <c r="GY575" i="9" s="1"/>
  <c r="GZ575" i="9" s="1"/>
  <c r="HH575" i="9" s="1"/>
  <c r="GN574" i="9"/>
  <c r="GY574" i="9" s="1"/>
  <c r="GZ574" i="9" s="1"/>
  <c r="HH574" i="9" s="1"/>
  <c r="GN573" i="9"/>
  <c r="GY573" i="9" s="1"/>
  <c r="GZ573" i="9" s="1"/>
  <c r="HH573" i="9" s="1"/>
  <c r="GN572" i="9"/>
  <c r="GY572" i="9"/>
  <c r="GZ572" i="9" s="1"/>
  <c r="HH572" i="9" s="1"/>
  <c r="GN571" i="9"/>
  <c r="GY571" i="9" s="1"/>
  <c r="GZ571" i="9" s="1"/>
  <c r="HH571" i="9" s="1"/>
  <c r="GL615" i="9"/>
  <c r="GM611" i="9"/>
  <c r="HG611" i="9" s="1"/>
  <c r="GM610" i="9"/>
  <c r="HG610" i="9"/>
  <c r="GM609" i="9"/>
  <c r="HG609" i="9" s="1"/>
  <c r="GM608" i="9"/>
  <c r="HG608" i="9" s="1"/>
  <c r="GM607" i="9"/>
  <c r="HG607" i="9" s="1"/>
  <c r="GM606" i="9"/>
  <c r="HG606" i="9"/>
  <c r="GM605" i="9"/>
  <c r="HG605" i="9" s="1"/>
  <c r="GM604" i="9"/>
  <c r="HG604" i="9" s="1"/>
  <c r="GM603" i="9"/>
  <c r="HG603" i="9" s="1"/>
  <c r="GM602" i="9"/>
  <c r="HG602" i="9"/>
  <c r="GM601" i="9"/>
  <c r="HG601" i="9" s="1"/>
  <c r="GM600" i="9"/>
  <c r="HG600" i="9" s="1"/>
  <c r="GM599" i="9"/>
  <c r="HG599" i="9" s="1"/>
  <c r="GM598" i="9"/>
  <c r="HG598" i="9"/>
  <c r="GM597" i="9"/>
  <c r="HG597" i="9" s="1"/>
  <c r="GM596" i="9"/>
  <c r="HG596" i="9" s="1"/>
  <c r="GM595" i="9"/>
  <c r="HG595" i="9" s="1"/>
  <c r="GM594" i="9"/>
  <c r="HG594" i="9"/>
  <c r="GM593" i="9"/>
  <c r="HG593" i="9" s="1"/>
  <c r="GM592" i="9"/>
  <c r="HG592" i="9" s="1"/>
  <c r="GM591" i="9"/>
  <c r="HG591" i="9" s="1"/>
  <c r="GM590" i="9"/>
  <c r="HG590" i="9"/>
  <c r="GM589" i="9"/>
  <c r="HG589" i="9" s="1"/>
  <c r="GM588" i="9"/>
  <c r="HG588" i="9" s="1"/>
  <c r="GM587" i="9"/>
  <c r="HG587" i="9" s="1"/>
  <c r="GM586" i="9"/>
  <c r="HG586" i="9"/>
  <c r="GM585" i="9"/>
  <c r="HG585" i="9" s="1"/>
  <c r="GM584" i="9"/>
  <c r="HG584" i="9" s="1"/>
  <c r="GM583" i="9"/>
  <c r="HG583" i="9" s="1"/>
  <c r="GM582" i="9"/>
  <c r="HG582" i="9"/>
  <c r="GM581" i="9"/>
  <c r="HG581" i="9" s="1"/>
  <c r="GM580" i="9"/>
  <c r="HG580" i="9" s="1"/>
  <c r="GM579" i="9"/>
  <c r="HG579" i="9" s="1"/>
  <c r="GM578" i="9"/>
  <c r="HG578" i="9"/>
  <c r="GM577" i="9"/>
  <c r="HG577" i="9" s="1"/>
  <c r="GM576" i="9"/>
  <c r="HG576" i="9" s="1"/>
  <c r="GM575" i="9"/>
  <c r="HG575" i="9" s="1"/>
  <c r="GM574" i="9"/>
  <c r="HG574" i="9"/>
  <c r="GM573" i="9"/>
  <c r="HG573" i="9" s="1"/>
  <c r="GM572" i="9"/>
  <c r="HG572" i="9" s="1"/>
  <c r="GM571" i="9"/>
  <c r="HG571" i="9" s="1"/>
  <c r="GQ575" i="9"/>
  <c r="GR575" i="9" s="1"/>
  <c r="GS575" i="9" s="1"/>
  <c r="GT575" i="9" s="1"/>
  <c r="GU575" i="9" s="1"/>
  <c r="GV575" i="9" s="1"/>
  <c r="GM556" i="9"/>
  <c r="HG556" i="9" s="1"/>
  <c r="GK556" i="9"/>
  <c r="HE556" i="9"/>
  <c r="GM541" i="9"/>
  <c r="HG541" i="9" s="1"/>
  <c r="GK541" i="9"/>
  <c r="HE541" i="9" s="1"/>
  <c r="GN541" i="9"/>
  <c r="GY541" i="9" s="1"/>
  <c r="GZ541" i="9" s="1"/>
  <c r="HH541" i="9" s="1"/>
  <c r="GL541" i="9"/>
  <c r="GN556" i="9"/>
  <c r="GY556" i="9" s="1"/>
  <c r="GZ556" i="9" s="1"/>
  <c r="HH556" i="9" s="1"/>
  <c r="GL556" i="9"/>
  <c r="GK511" i="9"/>
  <c r="HE511" i="9"/>
  <c r="GM526" i="9"/>
  <c r="HG526" i="9" s="1"/>
  <c r="GK526" i="9"/>
  <c r="HE526" i="9" s="1"/>
  <c r="GM496" i="9"/>
  <c r="HG496" i="9" s="1"/>
  <c r="GM495" i="9"/>
  <c r="HG495" i="9"/>
  <c r="GM494" i="9"/>
  <c r="HG494" i="9" s="1"/>
  <c r="GM493" i="9"/>
  <c r="HG493" i="9" s="1"/>
  <c r="GM492" i="9"/>
  <c r="HG492" i="9" s="1"/>
  <c r="GM491" i="9"/>
  <c r="HG491" i="9"/>
  <c r="GM490" i="9"/>
  <c r="HG490" i="9" s="1"/>
  <c r="GM489" i="9"/>
  <c r="HG489" i="9" s="1"/>
  <c r="GM488" i="9"/>
  <c r="HG488" i="9" s="1"/>
  <c r="GM487" i="9"/>
  <c r="HG487" i="9" s="1"/>
  <c r="GM486" i="9"/>
  <c r="HG486" i="9" s="1"/>
  <c r="GM485" i="9"/>
  <c r="HG485" i="9"/>
  <c r="GM484" i="9"/>
  <c r="HG484" i="9" s="1"/>
  <c r="GM483" i="9"/>
  <c r="HG483" i="9" s="1"/>
  <c r="GM482" i="9"/>
  <c r="HG482" i="9" s="1"/>
  <c r="GM481" i="9"/>
  <c r="HG481" i="9" s="1"/>
  <c r="GM480" i="9"/>
  <c r="HG480" i="9" s="1"/>
  <c r="GM479" i="9"/>
  <c r="HG479" i="9" s="1"/>
  <c r="GM478" i="9"/>
  <c r="HG478" i="9" s="1"/>
  <c r="GM477" i="9"/>
  <c r="HG477" i="9"/>
  <c r="GM476" i="9"/>
  <c r="HG476" i="9" s="1"/>
  <c r="GM475" i="9"/>
  <c r="HG475" i="9" s="1"/>
  <c r="GM474" i="9"/>
  <c r="HG474" i="9" s="1"/>
  <c r="GN511" i="9"/>
  <c r="GY511" i="9" s="1"/>
  <c r="GZ511" i="9" s="1"/>
  <c r="HH511" i="9" s="1"/>
  <c r="GK496" i="9"/>
  <c r="HE496" i="9" s="1"/>
  <c r="GK495" i="9"/>
  <c r="HE495" i="9" s="1"/>
  <c r="GK494" i="9"/>
  <c r="HE494" i="9" s="1"/>
  <c r="GK493" i="9"/>
  <c r="HE493" i="9" s="1"/>
  <c r="GK492" i="9"/>
  <c r="HE492" i="9" s="1"/>
  <c r="GK491" i="9"/>
  <c r="HE491" i="9" s="1"/>
  <c r="GK490" i="9"/>
  <c r="HE490" i="9"/>
  <c r="GK489" i="9"/>
  <c r="HE489" i="9" s="1"/>
  <c r="GK488" i="9"/>
  <c r="HE488" i="9" s="1"/>
  <c r="GK487" i="9"/>
  <c r="HE487" i="9" s="1"/>
  <c r="GK486" i="9"/>
  <c r="HE486" i="9" s="1"/>
  <c r="GK485" i="9"/>
  <c r="HE485" i="9" s="1"/>
  <c r="GK484" i="9"/>
  <c r="HE484" i="9" s="1"/>
  <c r="GN526" i="9"/>
  <c r="GY526" i="9" s="1"/>
  <c r="GZ526" i="9" s="1"/>
  <c r="HH526" i="9" s="1"/>
  <c r="GD526" i="9"/>
  <c r="GE526" i="9" s="1"/>
  <c r="GF526" i="9" s="1"/>
  <c r="GG526" i="9" s="1"/>
  <c r="GH526" i="9" s="1"/>
  <c r="GI526" i="9" s="1"/>
  <c r="GM511" i="9"/>
  <c r="HG511" i="9" s="1"/>
  <c r="GD511" i="9"/>
  <c r="GE511" i="9" s="1"/>
  <c r="GF511" i="9" s="1"/>
  <c r="GG511" i="9" s="1"/>
  <c r="GL526" i="9"/>
  <c r="GL511" i="9"/>
  <c r="GL490" i="9"/>
  <c r="GN489" i="9"/>
  <c r="GY489" i="9"/>
  <c r="GZ489" i="9" s="1"/>
  <c r="HH489" i="9" s="1"/>
  <c r="GL483" i="9"/>
  <c r="GL481" i="9"/>
  <c r="GL479" i="9"/>
  <c r="GL477" i="9"/>
  <c r="GQ477" i="9" s="1"/>
  <c r="GR477" i="9" s="1"/>
  <c r="GS477" i="9" s="1"/>
  <c r="GT477" i="9" s="1"/>
  <c r="GU477" i="9" s="1"/>
  <c r="GV477" i="9" s="1"/>
  <c r="GL475" i="9"/>
  <c r="GN496" i="9"/>
  <c r="GY496" i="9" s="1"/>
  <c r="GZ496" i="9" s="1"/>
  <c r="HH496" i="9" s="1"/>
  <c r="GL495" i="9"/>
  <c r="GQ495" i="9" s="1"/>
  <c r="GR495" i="9" s="1"/>
  <c r="GS495" i="9" s="1"/>
  <c r="GT495" i="9" s="1"/>
  <c r="GU495" i="9" s="1"/>
  <c r="GV495" i="9" s="1"/>
  <c r="GL489" i="9"/>
  <c r="GN488" i="9"/>
  <c r="GY488" i="9"/>
  <c r="GZ488" i="9" s="1"/>
  <c r="HH488" i="9" s="1"/>
  <c r="GK483" i="9"/>
  <c r="HE483" i="9" s="1"/>
  <c r="GK481" i="9"/>
  <c r="HE481" i="9" s="1"/>
  <c r="GK479" i="9"/>
  <c r="HE479" i="9"/>
  <c r="GK477" i="9"/>
  <c r="HE477" i="9" s="1"/>
  <c r="GK475" i="9"/>
  <c r="HE475" i="9" s="1"/>
  <c r="GN473" i="9"/>
  <c r="GY473" i="9" s="1"/>
  <c r="GZ473" i="9" s="1"/>
  <c r="HH473" i="9" s="1"/>
  <c r="GN472" i="9"/>
  <c r="GY472" i="9" s="1"/>
  <c r="GZ472" i="9" s="1"/>
  <c r="HH472" i="9" s="1"/>
  <c r="GN471" i="9"/>
  <c r="GY471" i="9" s="1"/>
  <c r="GZ471" i="9" s="1"/>
  <c r="HH471" i="9" s="1"/>
  <c r="GN470" i="9"/>
  <c r="GY470" i="9" s="1"/>
  <c r="GZ470" i="9" s="1"/>
  <c r="HH470" i="9" s="1"/>
  <c r="GN469" i="9"/>
  <c r="GY469" i="9" s="1"/>
  <c r="GZ469" i="9" s="1"/>
  <c r="HH469" i="9" s="1"/>
  <c r="GN468" i="9"/>
  <c r="GY468" i="9" s="1"/>
  <c r="GZ468" i="9" s="1"/>
  <c r="HH468" i="9" s="1"/>
  <c r="GN467" i="9"/>
  <c r="GY467" i="9" s="1"/>
  <c r="GZ467" i="9" s="1"/>
  <c r="HH467" i="9" s="1"/>
  <c r="GN466" i="9"/>
  <c r="GY466" i="9" s="1"/>
  <c r="GZ466" i="9" s="1"/>
  <c r="HH466" i="9" s="1"/>
  <c r="GN465" i="9"/>
  <c r="GY465" i="9" s="1"/>
  <c r="GZ465" i="9" s="1"/>
  <c r="HH465" i="9" s="1"/>
  <c r="GN464" i="9"/>
  <c r="GY464" i="9" s="1"/>
  <c r="GZ464" i="9" s="1"/>
  <c r="HH464" i="9" s="1"/>
  <c r="GN463" i="9"/>
  <c r="GY463" i="9" s="1"/>
  <c r="GZ463" i="9" s="1"/>
  <c r="HH463" i="9" s="1"/>
  <c r="GN462" i="9"/>
  <c r="GY462" i="9" s="1"/>
  <c r="GZ462" i="9" s="1"/>
  <c r="HH462" i="9" s="1"/>
  <c r="GN461" i="9"/>
  <c r="GY461" i="9" s="1"/>
  <c r="GZ461" i="9" s="1"/>
  <c r="HH461" i="9" s="1"/>
  <c r="GN460" i="9"/>
  <c r="GY460" i="9" s="1"/>
  <c r="GZ460" i="9" s="1"/>
  <c r="HH460" i="9" s="1"/>
  <c r="GN459" i="9"/>
  <c r="GY459" i="9" s="1"/>
  <c r="GZ459" i="9" s="1"/>
  <c r="HH459" i="9" s="1"/>
  <c r="GN458" i="9"/>
  <c r="GY458" i="9" s="1"/>
  <c r="GZ458" i="9" s="1"/>
  <c r="HH458" i="9" s="1"/>
  <c r="GN457" i="9"/>
  <c r="GY457" i="9" s="1"/>
  <c r="GZ457" i="9" s="1"/>
  <c r="HH457" i="9" s="1"/>
  <c r="GN456" i="9"/>
  <c r="GY456" i="9" s="1"/>
  <c r="GZ456" i="9" s="1"/>
  <c r="HH456" i="9" s="1"/>
  <c r="GN455" i="9"/>
  <c r="GY455" i="9" s="1"/>
  <c r="GZ455" i="9" s="1"/>
  <c r="HH455" i="9" s="1"/>
  <c r="GN454" i="9"/>
  <c r="GY454" i="9" s="1"/>
  <c r="GZ454" i="9" s="1"/>
  <c r="HH454" i="9" s="1"/>
  <c r="GN453" i="9"/>
  <c r="GY453" i="9" s="1"/>
  <c r="GZ453" i="9" s="1"/>
  <c r="HH453" i="9" s="1"/>
  <c r="GN452" i="9"/>
  <c r="GY452" i="9" s="1"/>
  <c r="GZ452" i="9" s="1"/>
  <c r="HH452" i="9" s="1"/>
  <c r="GL496" i="9"/>
  <c r="GN495" i="9"/>
  <c r="GY495" i="9" s="1"/>
  <c r="GZ495" i="9" s="1"/>
  <c r="HH495" i="9" s="1"/>
  <c r="GL488" i="9"/>
  <c r="GN487" i="9"/>
  <c r="GY487" i="9" s="1"/>
  <c r="GZ487" i="9" s="1"/>
  <c r="HH487" i="9" s="1"/>
  <c r="GM473" i="9"/>
  <c r="HG473" i="9"/>
  <c r="GM472" i="9"/>
  <c r="HG472" i="9" s="1"/>
  <c r="GM471" i="9"/>
  <c r="HG471" i="9" s="1"/>
  <c r="GM470" i="9"/>
  <c r="HG470" i="9" s="1"/>
  <c r="GM469" i="9"/>
  <c r="HG469" i="9" s="1"/>
  <c r="GM468" i="9"/>
  <c r="HG468" i="9" s="1"/>
  <c r="GM467" i="9"/>
  <c r="HG467" i="9" s="1"/>
  <c r="GM466" i="9"/>
  <c r="HG466" i="9" s="1"/>
  <c r="GM465" i="9"/>
  <c r="HG465" i="9"/>
  <c r="GM464" i="9"/>
  <c r="HG464" i="9" s="1"/>
  <c r="GM463" i="9"/>
  <c r="HG463" i="9" s="1"/>
  <c r="GM462" i="9"/>
  <c r="HG462" i="9" s="1"/>
  <c r="GM461" i="9"/>
  <c r="HG461" i="9" s="1"/>
  <c r="GM460" i="9"/>
  <c r="HG460" i="9" s="1"/>
  <c r="GM459" i="9"/>
  <c r="HG459" i="9" s="1"/>
  <c r="GM458" i="9"/>
  <c r="HG458" i="9" s="1"/>
  <c r="GM457" i="9"/>
  <c r="HG457" i="9"/>
  <c r="GM456" i="9"/>
  <c r="HG456" i="9" s="1"/>
  <c r="GM455" i="9"/>
  <c r="HG455" i="9" s="1"/>
  <c r="GM454" i="9"/>
  <c r="HG454" i="9" s="1"/>
  <c r="GM453" i="9"/>
  <c r="HG453" i="9" s="1"/>
  <c r="GM452" i="9"/>
  <c r="HG452" i="9" s="1"/>
  <c r="GN494" i="9"/>
  <c r="GY494" i="9" s="1"/>
  <c r="GZ494" i="9" s="1"/>
  <c r="HH494" i="9" s="1"/>
  <c r="GL487" i="9"/>
  <c r="GQ487" i="9" s="1"/>
  <c r="GR487" i="9" s="1"/>
  <c r="GS487" i="9" s="1"/>
  <c r="GT487" i="9" s="1"/>
  <c r="GU487" i="9" s="1"/>
  <c r="GV487" i="9" s="1"/>
  <c r="GN486" i="9"/>
  <c r="GY486" i="9" s="1"/>
  <c r="GZ486" i="9" s="1"/>
  <c r="HH486" i="9" s="1"/>
  <c r="GN482" i="9"/>
  <c r="GY482" i="9" s="1"/>
  <c r="GZ482" i="9" s="1"/>
  <c r="HH482" i="9" s="1"/>
  <c r="GN480" i="9"/>
  <c r="GY480" i="9" s="1"/>
  <c r="GZ480" i="9" s="1"/>
  <c r="HH480" i="9" s="1"/>
  <c r="GN478" i="9"/>
  <c r="GY478" i="9" s="1"/>
  <c r="GZ478" i="9" s="1"/>
  <c r="HH478" i="9" s="1"/>
  <c r="GN476" i="9"/>
  <c r="GY476" i="9"/>
  <c r="GZ476" i="9" s="1"/>
  <c r="HH476" i="9" s="1"/>
  <c r="GN474" i="9"/>
  <c r="GY474" i="9" s="1"/>
  <c r="GZ474" i="9" s="1"/>
  <c r="HH474" i="9" s="1"/>
  <c r="GL473" i="9"/>
  <c r="GL472" i="9"/>
  <c r="GL471" i="9"/>
  <c r="GL470" i="9"/>
  <c r="GL469" i="9"/>
  <c r="GQ469" i="9" s="1"/>
  <c r="GR469" i="9" s="1"/>
  <c r="GS469" i="9" s="1"/>
  <c r="GT469" i="9" s="1"/>
  <c r="GU469" i="9" s="1"/>
  <c r="GV469" i="9" s="1"/>
  <c r="GW469" i="9" s="1"/>
  <c r="HF469" i="9" s="1"/>
  <c r="GL468" i="9"/>
  <c r="GL467" i="9"/>
  <c r="GL466" i="9"/>
  <c r="GL465" i="9"/>
  <c r="GL464" i="9"/>
  <c r="GL463" i="9"/>
  <c r="GL462" i="9"/>
  <c r="GL461" i="9"/>
  <c r="GL460" i="9"/>
  <c r="GL459" i="9"/>
  <c r="GL458" i="9"/>
  <c r="GL494" i="9"/>
  <c r="GN493" i="9"/>
  <c r="GY493" i="9" s="1"/>
  <c r="GZ493" i="9" s="1"/>
  <c r="HH493" i="9" s="1"/>
  <c r="GL486" i="9"/>
  <c r="GN485" i="9"/>
  <c r="GY485" i="9"/>
  <c r="GZ485" i="9" s="1"/>
  <c r="HH485" i="9" s="1"/>
  <c r="GD484" i="9"/>
  <c r="GE484" i="9" s="1"/>
  <c r="GF484" i="9" s="1"/>
  <c r="GG484" i="9" s="1"/>
  <c r="GH484" i="9" s="1"/>
  <c r="GI484" i="9" s="1"/>
  <c r="GL482" i="9"/>
  <c r="GL480" i="9"/>
  <c r="GD480" i="9"/>
  <c r="GE480" i="9" s="1"/>
  <c r="GF480" i="9" s="1"/>
  <c r="GG480" i="9" s="1"/>
  <c r="GL478" i="9"/>
  <c r="GL476" i="9"/>
  <c r="GL474" i="9"/>
  <c r="GK473" i="9"/>
  <c r="HE473" i="9" s="1"/>
  <c r="GK472" i="9"/>
  <c r="HE472" i="9" s="1"/>
  <c r="GK471" i="9"/>
  <c r="HE471" i="9" s="1"/>
  <c r="GK470" i="9"/>
  <c r="HE470" i="9"/>
  <c r="GK469" i="9"/>
  <c r="HE469" i="9" s="1"/>
  <c r="GK468" i="9"/>
  <c r="HE468" i="9" s="1"/>
  <c r="GK467" i="9"/>
  <c r="HE467" i="9" s="1"/>
  <c r="GK466" i="9"/>
  <c r="HE466" i="9" s="1"/>
  <c r="GK465" i="9"/>
  <c r="HE465" i="9" s="1"/>
  <c r="GK464" i="9"/>
  <c r="HE464" i="9" s="1"/>
  <c r="GK463" i="9"/>
  <c r="HE463" i="9" s="1"/>
  <c r="GK462" i="9"/>
  <c r="HE462" i="9" s="1"/>
  <c r="GK461" i="9"/>
  <c r="HE461" i="9" s="1"/>
  <c r="GK460" i="9"/>
  <c r="HE460" i="9" s="1"/>
  <c r="GK459" i="9"/>
  <c r="HE459" i="9" s="1"/>
  <c r="GK458" i="9"/>
  <c r="HE458" i="9" s="1"/>
  <c r="GK457" i="9"/>
  <c r="HE457" i="9" s="1"/>
  <c r="GK456" i="9"/>
  <c r="HE456" i="9" s="1"/>
  <c r="GK455" i="9"/>
  <c r="HE455" i="9" s="1"/>
  <c r="GK454" i="9"/>
  <c r="HE454" i="9"/>
  <c r="GK453" i="9"/>
  <c r="HE453" i="9" s="1"/>
  <c r="GK452" i="9"/>
  <c r="HE452" i="9" s="1"/>
  <c r="GL493" i="9"/>
  <c r="GN492" i="9"/>
  <c r="GY492" i="9" s="1"/>
  <c r="GZ492" i="9" s="1"/>
  <c r="HH492" i="9" s="1"/>
  <c r="GD491" i="9"/>
  <c r="GE491" i="9" s="1"/>
  <c r="GF491" i="9" s="1"/>
  <c r="GG491" i="9" s="1"/>
  <c r="GL485" i="9"/>
  <c r="GN484" i="9"/>
  <c r="GY484" i="9"/>
  <c r="GZ484" i="9" s="1"/>
  <c r="HH484" i="9" s="1"/>
  <c r="GK482" i="9"/>
  <c r="HE482" i="9" s="1"/>
  <c r="GK480" i="9"/>
  <c r="HE480" i="9" s="1"/>
  <c r="GK478" i="9"/>
  <c r="HE478" i="9"/>
  <c r="GK476" i="9"/>
  <c r="HE476" i="9" s="1"/>
  <c r="GK474" i="9"/>
  <c r="HE474" i="9" s="1"/>
  <c r="GQ471" i="9"/>
  <c r="GR471" i="9" s="1"/>
  <c r="GS471" i="9" s="1"/>
  <c r="GT471" i="9" s="1"/>
  <c r="GU471" i="9" s="1"/>
  <c r="GV471" i="9" s="1"/>
  <c r="GQ470" i="9"/>
  <c r="GR470" i="9" s="1"/>
  <c r="GS470" i="9" s="1"/>
  <c r="GT470" i="9" s="1"/>
  <c r="GU470" i="9" s="1"/>
  <c r="GV470" i="9" s="1"/>
  <c r="GQ461" i="9"/>
  <c r="GR461" i="9" s="1"/>
  <c r="GS461" i="9" s="1"/>
  <c r="GT461" i="9" s="1"/>
  <c r="GU461" i="9" s="1"/>
  <c r="GV461" i="9" s="1"/>
  <c r="GL492" i="9"/>
  <c r="GN491" i="9"/>
  <c r="GY491" i="9" s="1"/>
  <c r="GZ491" i="9" s="1"/>
  <c r="HH491" i="9" s="1"/>
  <c r="GL484" i="9"/>
  <c r="GQ484" i="9" s="1"/>
  <c r="GR484" i="9" s="1"/>
  <c r="GS484" i="9" s="1"/>
  <c r="GT484" i="9" s="1"/>
  <c r="GU484" i="9" s="1"/>
  <c r="GV484" i="9" s="1"/>
  <c r="GL491" i="9"/>
  <c r="GN490" i="9"/>
  <c r="GY490" i="9" s="1"/>
  <c r="GZ490" i="9" s="1"/>
  <c r="HH490" i="9" s="1"/>
  <c r="GN483" i="9"/>
  <c r="GY483" i="9"/>
  <c r="GZ483" i="9" s="1"/>
  <c r="HH483" i="9" s="1"/>
  <c r="GN481" i="9"/>
  <c r="GY481" i="9" s="1"/>
  <c r="GZ481" i="9" s="1"/>
  <c r="HH481" i="9" s="1"/>
  <c r="GN479" i="9"/>
  <c r="GY479" i="9" s="1"/>
  <c r="GZ479" i="9" s="1"/>
  <c r="HH479" i="9" s="1"/>
  <c r="GN477" i="9"/>
  <c r="GY477" i="9" s="1"/>
  <c r="GZ477" i="9" s="1"/>
  <c r="HH477" i="9" s="1"/>
  <c r="GN475" i="9"/>
  <c r="GY475" i="9"/>
  <c r="GZ475" i="9" s="1"/>
  <c r="HH475" i="9" s="1"/>
  <c r="GL457" i="9"/>
  <c r="GL456" i="9"/>
  <c r="GL455" i="9"/>
  <c r="GL454" i="9"/>
  <c r="GL453" i="9"/>
  <c r="GL437" i="9"/>
  <c r="GL452" i="9"/>
  <c r="GK437" i="9"/>
  <c r="HE437" i="9" s="1"/>
  <c r="GK407" i="9"/>
  <c r="HE407" i="9" s="1"/>
  <c r="GK392" i="9"/>
  <c r="HE392" i="9" s="1"/>
  <c r="GM422" i="9"/>
  <c r="HG422" i="9" s="1"/>
  <c r="GK422" i="9"/>
  <c r="HE422" i="9" s="1"/>
  <c r="GN437" i="9"/>
  <c r="GY437" i="9" s="1"/>
  <c r="GZ437" i="9" s="1"/>
  <c r="HH437" i="9" s="1"/>
  <c r="GM407" i="9"/>
  <c r="HG407" i="9" s="1"/>
  <c r="GL407" i="9"/>
  <c r="GN392" i="9"/>
  <c r="GY392" i="9"/>
  <c r="GZ392" i="9" s="1"/>
  <c r="HH392" i="9" s="1"/>
  <c r="GD392" i="9"/>
  <c r="GE392" i="9" s="1"/>
  <c r="GF392" i="9" s="1"/>
  <c r="GG392" i="9" s="1"/>
  <c r="GH392" i="9" s="1"/>
  <c r="GI392" i="9" s="1"/>
  <c r="GM392" i="9"/>
  <c r="HG392" i="9" s="1"/>
  <c r="GL392" i="9"/>
  <c r="GM437" i="9"/>
  <c r="HG437" i="9"/>
  <c r="GN422" i="9"/>
  <c r="GY422" i="9" s="1"/>
  <c r="GZ422" i="9" s="1"/>
  <c r="HH422" i="9" s="1"/>
  <c r="GL422" i="9"/>
  <c r="GN407" i="9"/>
  <c r="GY407" i="9" s="1"/>
  <c r="GZ407" i="9" s="1"/>
  <c r="HH407" i="9" s="1"/>
  <c r="GN318" i="9"/>
  <c r="GY318" i="9" s="1"/>
  <c r="GZ318" i="9" s="1"/>
  <c r="HH318" i="9" s="1"/>
  <c r="AX315" i="9"/>
  <c r="CJ553" i="9" s="1"/>
  <c r="BJ313" i="9"/>
  <c r="CH670" i="9" s="1"/>
  <c r="AH313" i="9"/>
  <c r="CH432" i="9" s="1"/>
  <c r="AW312" i="9"/>
  <c r="CI550" i="9" s="1"/>
  <c r="BL311" i="9"/>
  <c r="CJ668" i="9" s="1"/>
  <c r="AJ311" i="9"/>
  <c r="CJ430" i="9" s="1"/>
  <c r="AV309" i="9"/>
  <c r="CH547" i="9" s="1"/>
  <c r="AX304" i="9"/>
  <c r="CJ542" i="9" s="1"/>
  <c r="AI300" i="9"/>
  <c r="CI419" i="9" s="1"/>
  <c r="AH299" i="9"/>
  <c r="CH418" i="9" s="1"/>
  <c r="GM318" i="9"/>
  <c r="HG318" i="9" s="1"/>
  <c r="AW315" i="9"/>
  <c r="CI553" i="9" s="1"/>
  <c r="BL314" i="9"/>
  <c r="CJ671" i="9" s="1"/>
  <c r="AJ314" i="9"/>
  <c r="CJ433" i="9" s="1"/>
  <c r="AV312" i="9"/>
  <c r="CH550" i="9" s="1"/>
  <c r="BK311" i="9"/>
  <c r="CI668" i="9" s="1"/>
  <c r="AI311" i="9"/>
  <c r="CI430" i="9" s="1"/>
  <c r="AX310" i="9"/>
  <c r="CJ548" i="9" s="1"/>
  <c r="AW304" i="9"/>
  <c r="CI542" i="9" s="1"/>
  <c r="GN303" i="9"/>
  <c r="GY303" i="9" s="1"/>
  <c r="GZ303" i="9" s="1"/>
  <c r="HH303" i="9" s="1"/>
  <c r="AH300" i="9"/>
  <c r="CH419" i="9" s="1"/>
  <c r="AJ294" i="9"/>
  <c r="CJ413" i="9"/>
  <c r="GL318" i="9"/>
  <c r="AV315" i="9"/>
  <c r="CH553" i="9" s="1"/>
  <c r="BK314" i="9"/>
  <c r="CI671" i="9"/>
  <c r="AI314" i="9"/>
  <c r="CI433" i="9" s="1"/>
  <c r="AX313" i="9"/>
  <c r="CJ551" i="9" s="1"/>
  <c r="BJ311" i="9"/>
  <c r="CH668" i="9" s="1"/>
  <c r="AH311" i="9"/>
  <c r="CH430" i="9" s="1"/>
  <c r="AW310" i="9"/>
  <c r="CI548" i="9" s="1"/>
  <c r="BL309" i="9"/>
  <c r="CJ666" i="9" s="1"/>
  <c r="AJ309" i="9"/>
  <c r="CJ428" i="9" s="1"/>
  <c r="AV304" i="9"/>
  <c r="CH542" i="9" s="1"/>
  <c r="GM303" i="9"/>
  <c r="HG303" i="9" s="1"/>
  <c r="AJ295" i="9"/>
  <c r="CJ414" i="9" s="1"/>
  <c r="AI294" i="9"/>
  <c r="CI413" i="9" s="1"/>
  <c r="GN288" i="9"/>
  <c r="GY288" i="9" s="1"/>
  <c r="GZ288" i="9" s="1"/>
  <c r="HH288" i="9" s="1"/>
  <c r="GK318" i="9"/>
  <c r="HE318" i="9" s="1"/>
  <c r="BJ314" i="9"/>
  <c r="CH671" i="9" s="1"/>
  <c r="AH314" i="9"/>
  <c r="CH433" i="9" s="1"/>
  <c r="AW313" i="9"/>
  <c r="CI551" i="9" s="1"/>
  <c r="BL312" i="9"/>
  <c r="CJ669" i="9" s="1"/>
  <c r="AJ312" i="9"/>
  <c r="CJ431" i="9" s="1"/>
  <c r="AV310" i="9"/>
  <c r="CH548" i="9"/>
  <c r="BK309" i="9"/>
  <c r="CI666" i="9" s="1"/>
  <c r="AI309" i="9"/>
  <c r="CI428" i="9" s="1"/>
  <c r="GL303" i="9"/>
  <c r="AJ296" i="9"/>
  <c r="CJ415" i="9" s="1"/>
  <c r="AI295" i="9"/>
  <c r="CI414" i="9" s="1"/>
  <c r="AH294" i="9"/>
  <c r="CH413" i="9"/>
  <c r="GM288" i="9"/>
  <c r="HG288" i="9"/>
  <c r="BL315" i="9"/>
  <c r="CJ672" i="9" s="1"/>
  <c r="AJ315" i="9"/>
  <c r="CJ434" i="9" s="1"/>
  <c r="AV313" i="9"/>
  <c r="CH551" i="9" s="1"/>
  <c r="BK312" i="9"/>
  <c r="CI669" i="9"/>
  <c r="AI312" i="9"/>
  <c r="CI431" i="9" s="1"/>
  <c r="AX311" i="9"/>
  <c r="CJ549" i="9" s="1"/>
  <c r="BJ309" i="9"/>
  <c r="CH666" i="9" s="1"/>
  <c r="AH309" i="9"/>
  <c r="CH428" i="9" s="1"/>
  <c r="BL304" i="9"/>
  <c r="CJ661" i="9" s="1"/>
  <c r="AJ304" i="9"/>
  <c r="CJ423" i="9" s="1"/>
  <c r="GK303" i="9"/>
  <c r="HE303" i="9"/>
  <c r="AJ297" i="9"/>
  <c r="CJ416" i="9" s="1"/>
  <c r="AI296" i="9"/>
  <c r="CI415" i="9" s="1"/>
  <c r="AH295" i="9"/>
  <c r="CH414" i="9" s="1"/>
  <c r="GL288" i="9"/>
  <c r="BK315" i="9"/>
  <c r="CI672" i="9" s="1"/>
  <c r="AI315" i="9"/>
  <c r="CI434" i="9" s="1"/>
  <c r="AX314" i="9"/>
  <c r="CJ552" i="9" s="1"/>
  <c r="BJ312" i="9"/>
  <c r="CH669" i="9" s="1"/>
  <c r="AH312" i="9"/>
  <c r="CH431" i="9" s="1"/>
  <c r="AW311" i="9"/>
  <c r="CI549" i="9" s="1"/>
  <c r="BL310" i="9"/>
  <c r="CJ667" i="9"/>
  <c r="AJ310" i="9"/>
  <c r="CJ429" i="9" s="1"/>
  <c r="BK304" i="9"/>
  <c r="CI661" i="9" s="1"/>
  <c r="AI304" i="9"/>
  <c r="CI423" i="9" s="1"/>
  <c r="AJ298" i="9"/>
  <c r="CJ417" i="9" s="1"/>
  <c r="AI297" i="9"/>
  <c r="CI416" i="9" s="1"/>
  <c r="AH296" i="9"/>
  <c r="CH415" i="9" s="1"/>
  <c r="BJ315" i="9"/>
  <c r="CH672" i="9" s="1"/>
  <c r="AH315" i="9"/>
  <c r="CH434" i="9"/>
  <c r="AW314" i="9"/>
  <c r="CI552" i="9" s="1"/>
  <c r="BL313" i="9"/>
  <c r="CJ670" i="9" s="1"/>
  <c r="AJ313" i="9"/>
  <c r="CJ432" i="9" s="1"/>
  <c r="AV311" i="9"/>
  <c r="CH549" i="9"/>
  <c r="BK310" i="9"/>
  <c r="CI667" i="9" s="1"/>
  <c r="AI310" i="9"/>
  <c r="CI429" i="9" s="1"/>
  <c r="AX309" i="9"/>
  <c r="CJ547" i="9" s="1"/>
  <c r="BJ304" i="9"/>
  <c r="CH661" i="9" s="1"/>
  <c r="AH304" i="9"/>
  <c r="CH423" i="9" s="1"/>
  <c r="AJ299" i="9"/>
  <c r="CJ418" i="9" s="1"/>
  <c r="AI298" i="9"/>
  <c r="CI417" i="9" s="1"/>
  <c r="AV314" i="9"/>
  <c r="CH552" i="9" s="1"/>
  <c r="BK313" i="9"/>
  <c r="CI670" i="9" s="1"/>
  <c r="AI313" i="9"/>
  <c r="CI432" i="9" s="1"/>
  <c r="AX312" i="9"/>
  <c r="CJ550" i="9" s="1"/>
  <c r="BJ310" i="9"/>
  <c r="CH667" i="9" s="1"/>
  <c r="AH310" i="9"/>
  <c r="CH429" i="9" s="1"/>
  <c r="AW309" i="9"/>
  <c r="CI547" i="9" s="1"/>
  <c r="AJ300" i="9"/>
  <c r="CJ419" i="9" s="1"/>
  <c r="AI299" i="9"/>
  <c r="CI418" i="9" s="1"/>
  <c r="AH298" i="9"/>
  <c r="CH417" i="9" s="1"/>
  <c r="AH289" i="9"/>
  <c r="CH408" i="9" s="1"/>
  <c r="AI289" i="9"/>
  <c r="CI408" i="9" s="1"/>
  <c r="GK288" i="9"/>
  <c r="HE288" i="9"/>
  <c r="GK273" i="9"/>
  <c r="HE273" i="9" s="1"/>
  <c r="GD288" i="9"/>
  <c r="GE288" i="9" s="1"/>
  <c r="GF288" i="9" s="1"/>
  <c r="GG288" i="9" s="1"/>
  <c r="GH288" i="9" s="1"/>
  <c r="GI288" i="9" s="1"/>
  <c r="GN273" i="9"/>
  <c r="GY273" i="9" s="1"/>
  <c r="GZ273" i="9" s="1"/>
  <c r="HH273" i="9" s="1"/>
  <c r="GM273" i="9"/>
  <c r="HG273" i="9" s="1"/>
  <c r="AJ289" i="9"/>
  <c r="CJ408" i="9" s="1"/>
  <c r="GL273" i="9"/>
  <c r="GM72" i="9"/>
  <c r="HG72" i="9" s="1"/>
  <c r="GN133" i="9"/>
  <c r="GY133" i="9"/>
  <c r="GZ133" i="9" s="1"/>
  <c r="HH133" i="9" s="1"/>
  <c r="GN132" i="9"/>
  <c r="GN131" i="9"/>
  <c r="GN130" i="9"/>
  <c r="GN129" i="9"/>
  <c r="GN128" i="9"/>
  <c r="GN127" i="9"/>
  <c r="GN126" i="9"/>
  <c r="GN125" i="9"/>
  <c r="GY125" i="9" s="1"/>
  <c r="GZ125" i="9" s="1"/>
  <c r="GN124" i="9"/>
  <c r="GN123" i="9"/>
  <c r="GN122" i="9"/>
  <c r="GN121" i="9"/>
  <c r="GN120" i="9"/>
  <c r="GN119" i="9"/>
  <c r="GN118" i="9"/>
  <c r="GN117" i="9"/>
  <c r="GN116" i="9"/>
  <c r="GN115" i="9"/>
  <c r="GN114" i="9"/>
  <c r="GN113" i="9"/>
  <c r="GN112" i="9"/>
  <c r="GN111" i="9"/>
  <c r="GN110" i="9"/>
  <c r="GN109" i="9"/>
  <c r="GY109" i="9" s="1"/>
  <c r="GZ109" i="9" s="1"/>
  <c r="GN108" i="9"/>
  <c r="GN107" i="9"/>
  <c r="HH107" i="9" s="1"/>
  <c r="GN106" i="9"/>
  <c r="GN105" i="9"/>
  <c r="GN104" i="9"/>
  <c r="GN103" i="9"/>
  <c r="GN102" i="9"/>
  <c r="GN101" i="9"/>
  <c r="GN100" i="9"/>
  <c r="GN99" i="9"/>
  <c r="HH99" i="9" s="1"/>
  <c r="GN98" i="9"/>
  <c r="GN97" i="9"/>
  <c r="GN96" i="9"/>
  <c r="GN95" i="9"/>
  <c r="GN94" i="9"/>
  <c r="GN93" i="9"/>
  <c r="GN92" i="9"/>
  <c r="GN91" i="9"/>
  <c r="GN90" i="9"/>
  <c r="GN89" i="9"/>
  <c r="GN88" i="9"/>
  <c r="GN87" i="9"/>
  <c r="GY87" i="9" s="1"/>
  <c r="GZ87" i="9" s="1"/>
  <c r="HH87" i="9" s="1"/>
  <c r="GM133" i="9"/>
  <c r="HG133" i="9"/>
  <c r="GM132" i="9"/>
  <c r="HG132" i="9" s="1"/>
  <c r="GM131" i="9"/>
  <c r="HG131" i="9" s="1"/>
  <c r="GM130" i="9"/>
  <c r="HG130" i="9" s="1"/>
  <c r="GM129" i="9"/>
  <c r="HG129" i="9"/>
  <c r="GM128" i="9"/>
  <c r="HG128" i="9"/>
  <c r="GM127" i="9"/>
  <c r="HG127" i="9" s="1"/>
  <c r="GM126" i="9"/>
  <c r="HG126" i="9" s="1"/>
  <c r="GM125" i="9"/>
  <c r="HG125" i="9" s="1"/>
  <c r="GM124" i="9"/>
  <c r="HG124" i="9"/>
  <c r="GM123" i="9"/>
  <c r="HG123" i="9" s="1"/>
  <c r="GM122" i="9"/>
  <c r="HG122" i="9" s="1"/>
  <c r="GM121" i="9"/>
  <c r="HG121" i="9" s="1"/>
  <c r="GM120" i="9"/>
  <c r="HG120" i="9" s="1"/>
  <c r="GM119" i="9"/>
  <c r="HG119" i="9" s="1"/>
  <c r="GM118" i="9"/>
  <c r="HG118" i="9" s="1"/>
  <c r="GM117" i="9"/>
  <c r="HG117" i="9"/>
  <c r="GM116" i="9"/>
  <c r="HG116" i="9" s="1"/>
  <c r="GM115" i="9"/>
  <c r="HG115" i="9" s="1"/>
  <c r="GM114" i="9"/>
  <c r="HG114" i="9" s="1"/>
  <c r="GM113" i="9"/>
  <c r="HG113" i="9"/>
  <c r="GM112" i="9"/>
  <c r="HG112" i="9"/>
  <c r="GM111" i="9"/>
  <c r="HG111" i="9" s="1"/>
  <c r="GM110" i="9"/>
  <c r="HG110" i="9" s="1"/>
  <c r="GM109" i="9"/>
  <c r="HG109" i="9" s="1"/>
  <c r="GM108" i="9"/>
  <c r="HG108" i="9"/>
  <c r="GM107" i="9"/>
  <c r="HG107" i="9" s="1"/>
  <c r="GM106" i="9"/>
  <c r="HG106" i="9" s="1"/>
  <c r="GM105" i="9"/>
  <c r="HG105" i="9" s="1"/>
  <c r="GM104" i="9"/>
  <c r="HG104" i="9" s="1"/>
  <c r="GM103" i="9"/>
  <c r="HG103" i="9" s="1"/>
  <c r="GM102" i="9"/>
  <c r="HG102" i="9" s="1"/>
  <c r="GM101" i="9"/>
  <c r="HG101" i="9"/>
  <c r="GM100" i="9"/>
  <c r="HG100" i="9" s="1"/>
  <c r="GM99" i="9"/>
  <c r="HG99" i="9" s="1"/>
  <c r="GM98" i="9"/>
  <c r="HG98" i="9" s="1"/>
  <c r="GM97" i="9"/>
  <c r="HG97" i="9"/>
  <c r="GM96" i="9"/>
  <c r="HG96" i="9"/>
  <c r="GM95" i="9"/>
  <c r="HG95" i="9" s="1"/>
  <c r="GM94" i="9"/>
  <c r="HG94" i="9" s="1"/>
  <c r="GM93" i="9"/>
  <c r="HG93" i="9" s="1"/>
  <c r="GM92" i="9"/>
  <c r="HG92" i="9"/>
  <c r="GM91" i="9"/>
  <c r="HG91" i="9" s="1"/>
  <c r="GM90" i="9"/>
  <c r="HG90" i="9" s="1"/>
  <c r="GM89" i="9"/>
  <c r="HG89" i="9" s="1"/>
  <c r="GM88" i="9"/>
  <c r="HG88" i="9" s="1"/>
  <c r="GM87" i="9"/>
  <c r="HG87" i="9" s="1"/>
  <c r="GK72" i="9"/>
  <c r="HE72" i="9" s="1"/>
  <c r="GL133" i="9"/>
  <c r="GL132" i="9"/>
  <c r="HF132" i="9" s="1"/>
  <c r="GL131" i="9"/>
  <c r="HF131" i="9" s="1"/>
  <c r="GL130" i="9"/>
  <c r="HF130" i="9" s="1"/>
  <c r="GL129" i="9"/>
  <c r="HF129" i="9" s="1"/>
  <c r="GL128" i="9"/>
  <c r="HF128" i="9" s="1"/>
  <c r="GL127" i="9"/>
  <c r="GL126" i="9"/>
  <c r="HF126" i="9" s="1"/>
  <c r="GL125" i="9"/>
  <c r="HF125" i="9" s="1"/>
  <c r="GL124" i="9"/>
  <c r="HF124" i="9" s="1"/>
  <c r="GL123" i="9"/>
  <c r="HF123" i="9"/>
  <c r="GL122" i="9"/>
  <c r="HF122" i="9" s="1"/>
  <c r="GL121" i="9"/>
  <c r="GL120" i="9"/>
  <c r="HF120" i="9" s="1"/>
  <c r="GL119" i="9"/>
  <c r="HF119" i="9" s="1"/>
  <c r="GL118" i="9"/>
  <c r="HF118" i="9" s="1"/>
  <c r="GL117" i="9"/>
  <c r="HF117" i="9" s="1"/>
  <c r="GL116" i="9"/>
  <c r="HF116" i="9"/>
  <c r="GL115" i="9"/>
  <c r="HF115" i="9" s="1"/>
  <c r="GL114" i="9"/>
  <c r="HF114" i="9" s="1"/>
  <c r="GL113" i="9"/>
  <c r="HF113" i="9" s="1"/>
  <c r="GL112" i="9"/>
  <c r="HF112" i="9"/>
  <c r="GL111" i="9"/>
  <c r="HF111" i="9"/>
  <c r="GL110" i="9"/>
  <c r="HF110" i="9" s="1"/>
  <c r="GL109" i="9"/>
  <c r="GQ109" i="9" s="1"/>
  <c r="GL108" i="9"/>
  <c r="HF108" i="9" s="1"/>
  <c r="GL107" i="9"/>
  <c r="HF107" i="9"/>
  <c r="GL106" i="9"/>
  <c r="HF106" i="9" s="1"/>
  <c r="GL105" i="9"/>
  <c r="HF105" i="9" s="1"/>
  <c r="GL104" i="9"/>
  <c r="HF104" i="9" s="1"/>
  <c r="GL103" i="9"/>
  <c r="GL102" i="9"/>
  <c r="HF102" i="9" s="1"/>
  <c r="GL101" i="9"/>
  <c r="HF101" i="9"/>
  <c r="GL100" i="9"/>
  <c r="HF100" i="9" s="1"/>
  <c r="GL99" i="9"/>
  <c r="HF99" i="9" s="1"/>
  <c r="GL98" i="9"/>
  <c r="HF98" i="9" s="1"/>
  <c r="GL97" i="9"/>
  <c r="HF97" i="9" s="1"/>
  <c r="GL96" i="9"/>
  <c r="HF96" i="9" s="1"/>
  <c r="GL95" i="9"/>
  <c r="GL94" i="9"/>
  <c r="HF94" i="9"/>
  <c r="GL93" i="9"/>
  <c r="HF93" i="9" s="1"/>
  <c r="GL92" i="9"/>
  <c r="HF92" i="9" s="1"/>
  <c r="GL91" i="9"/>
  <c r="HF91" i="9" s="1"/>
  <c r="GL90" i="9"/>
  <c r="HF90" i="9"/>
  <c r="GL89" i="9"/>
  <c r="HF89" i="9" s="1"/>
  <c r="GL88" i="9"/>
  <c r="GL87" i="9"/>
  <c r="GK133" i="9"/>
  <c r="HE133" i="9" s="1"/>
  <c r="GK132" i="9"/>
  <c r="HE132" i="9" s="1"/>
  <c r="GK131" i="9"/>
  <c r="HE131" i="9"/>
  <c r="GK130" i="9"/>
  <c r="HE130" i="9" s="1"/>
  <c r="GK129" i="9"/>
  <c r="HE129" i="9" s="1"/>
  <c r="GK128" i="9"/>
  <c r="HE128" i="9" s="1"/>
  <c r="GK127" i="9"/>
  <c r="HE127" i="9" s="1"/>
  <c r="GK126" i="9"/>
  <c r="HE126" i="9" s="1"/>
  <c r="GK125" i="9"/>
  <c r="HE125" i="9" s="1"/>
  <c r="GK124" i="9"/>
  <c r="HE124" i="9" s="1"/>
  <c r="GK123" i="9"/>
  <c r="HE123" i="9" s="1"/>
  <c r="GK122" i="9"/>
  <c r="HE122" i="9" s="1"/>
  <c r="GK121" i="9"/>
  <c r="HE121" i="9"/>
  <c r="GK120" i="9"/>
  <c r="HE120" i="9" s="1"/>
  <c r="GK119" i="9"/>
  <c r="HE119" i="9"/>
  <c r="GK118" i="9"/>
  <c r="HE118" i="9" s="1"/>
  <c r="GK117" i="9"/>
  <c r="HE117" i="9" s="1"/>
  <c r="GK116" i="9"/>
  <c r="HE116" i="9" s="1"/>
  <c r="GK115" i="9"/>
  <c r="HE115" i="9"/>
  <c r="GK114" i="9"/>
  <c r="HE114" i="9" s="1"/>
  <c r="GK113" i="9"/>
  <c r="HE113" i="9" s="1"/>
  <c r="GK112" i="9"/>
  <c r="HE112" i="9" s="1"/>
  <c r="GK111" i="9"/>
  <c r="HE111" i="9"/>
  <c r="GK110" i="9"/>
  <c r="HE110" i="9" s="1"/>
  <c r="GK109" i="9"/>
  <c r="HE109" i="9" s="1"/>
  <c r="GK108" i="9"/>
  <c r="HE108" i="9" s="1"/>
  <c r="GK107" i="9"/>
  <c r="HE107" i="9" s="1"/>
  <c r="GK106" i="9"/>
  <c r="HE106" i="9" s="1"/>
  <c r="GK105" i="9"/>
  <c r="HE105" i="9"/>
  <c r="GK104" i="9"/>
  <c r="HE104" i="9" s="1"/>
  <c r="GK103" i="9"/>
  <c r="HE103" i="9"/>
  <c r="GK102" i="9"/>
  <c r="HE102" i="9" s="1"/>
  <c r="GK101" i="9"/>
  <c r="HE101" i="9" s="1"/>
  <c r="GK100" i="9"/>
  <c r="HE100" i="9" s="1"/>
  <c r="GK99" i="9"/>
  <c r="HE99" i="9"/>
  <c r="GK98" i="9"/>
  <c r="HE98" i="9" s="1"/>
  <c r="GK97" i="9"/>
  <c r="HE97" i="9" s="1"/>
  <c r="GK96" i="9"/>
  <c r="HE96" i="9" s="1"/>
  <c r="GK95" i="9"/>
  <c r="HE95" i="9"/>
  <c r="GK94" i="9"/>
  <c r="HE94" i="9" s="1"/>
  <c r="GK93" i="9"/>
  <c r="HE93" i="9" s="1"/>
  <c r="GK92" i="9"/>
  <c r="HE92" i="9" s="1"/>
  <c r="GK91" i="9"/>
  <c r="HE91" i="9" s="1"/>
  <c r="GK90" i="9"/>
  <c r="HE90" i="9" s="1"/>
  <c r="GK89" i="9"/>
  <c r="HE89" i="9"/>
  <c r="GK88" i="9"/>
  <c r="HE88" i="9" s="1"/>
  <c r="GK87" i="9"/>
  <c r="HE87" i="9"/>
  <c r="GL42" i="9"/>
  <c r="GN57" i="9"/>
  <c r="GY57" i="9" s="1"/>
  <c r="GZ57" i="9" s="1"/>
  <c r="HH57" i="9" s="1"/>
  <c r="GM42" i="9"/>
  <c r="HG42" i="9" s="1"/>
  <c r="GL72" i="9"/>
  <c r="GN42" i="9"/>
  <c r="GY42" i="9" s="1"/>
  <c r="GZ42" i="9" s="1"/>
  <c r="HH42" i="9" s="1"/>
  <c r="GN72" i="9"/>
  <c r="GY72" i="9" s="1"/>
  <c r="GZ72" i="9" s="1"/>
  <c r="HH72" i="9" s="1"/>
  <c r="GD27" i="9"/>
  <c r="GE27" i="9" s="1"/>
  <c r="GF27" i="9" s="1"/>
  <c r="GG27" i="9" s="1"/>
  <c r="GH27" i="9" s="1"/>
  <c r="GI27" i="9" s="1"/>
  <c r="GK27" i="9"/>
  <c r="HE27" i="9" s="1"/>
  <c r="GL27" i="9"/>
  <c r="GK57" i="9"/>
  <c r="HE57" i="9" s="1"/>
  <c r="GD90" i="9"/>
  <c r="GE90" i="9" s="1"/>
  <c r="GF90" i="9" s="1"/>
  <c r="GG90" i="9" s="1"/>
  <c r="GD94" i="9"/>
  <c r="GE94" i="9" s="1"/>
  <c r="GF94" i="9" s="1"/>
  <c r="GG94" i="9" s="1"/>
  <c r="GH94" i="9" s="1"/>
  <c r="GI94" i="9" s="1"/>
  <c r="GD95" i="9"/>
  <c r="GE95" i="9" s="1"/>
  <c r="GF95" i="9" s="1"/>
  <c r="GG95" i="9" s="1"/>
  <c r="GH95" i="9" s="1"/>
  <c r="GI95" i="9" s="1"/>
  <c r="GD96" i="9"/>
  <c r="GE96" i="9" s="1"/>
  <c r="GF96" i="9" s="1"/>
  <c r="GG96" i="9" s="1"/>
  <c r="GH96" i="9" s="1"/>
  <c r="GI96" i="9" s="1"/>
  <c r="GD103" i="9"/>
  <c r="GE103" i="9" s="1"/>
  <c r="GF103" i="9" s="1"/>
  <c r="GG103" i="9" s="1"/>
  <c r="GQ111" i="9"/>
  <c r="GR111" i="9" s="1"/>
  <c r="GS111" i="9" s="1"/>
  <c r="GT111" i="9" s="1"/>
  <c r="GU111" i="9" s="1"/>
  <c r="GV111" i="9" s="1"/>
  <c r="GD120" i="9"/>
  <c r="GE120" i="9" s="1"/>
  <c r="GF120" i="9" s="1"/>
  <c r="GG120" i="9" s="1"/>
  <c r="GH120" i="9" s="1"/>
  <c r="GI120" i="9" s="1"/>
  <c r="GD126" i="9"/>
  <c r="GE126" i="9" s="1"/>
  <c r="GF126" i="9" s="1"/>
  <c r="GG126" i="9" s="1"/>
  <c r="GD130" i="9"/>
  <c r="GE130" i="9" s="1"/>
  <c r="GF130" i="9" s="1"/>
  <c r="GG130" i="9" s="1"/>
  <c r="GH130" i="9" s="1"/>
  <c r="GI130" i="9" s="1"/>
  <c r="GK440" i="9"/>
  <c r="HE440" i="9" s="1"/>
  <c r="CC440" i="9" s="1"/>
  <c r="N7" i="4"/>
  <c r="BP7" i="4"/>
  <c r="BF43" i="12"/>
  <c r="S72" i="12"/>
  <c r="AH72" i="12"/>
  <c r="AJ72" i="12"/>
  <c r="S71" i="12"/>
  <c r="AH71" i="12"/>
  <c r="AJ71" i="12" s="1"/>
  <c r="CO19" i="12" s="1"/>
  <c r="S73" i="12"/>
  <c r="K71" i="12"/>
  <c r="BJ26" i="12"/>
  <c r="BN26" i="12"/>
  <c r="AA70" i="12"/>
  <c r="AA71" i="12"/>
  <c r="AA72" i="12"/>
  <c r="AA73" i="12"/>
  <c r="BJ23" i="12"/>
  <c r="S70" i="12"/>
  <c r="AH73" i="12"/>
  <c r="AJ73" i="12"/>
  <c r="BF34" i="12"/>
  <c r="BE40" i="12"/>
  <c r="BG40" i="12"/>
  <c r="BF40" i="12"/>
  <c r="AJ16" i="12"/>
  <c r="AJ18" i="12"/>
  <c r="R101" i="5"/>
  <c r="AH101" i="5"/>
  <c r="CT363" i="5"/>
  <c r="AK101" i="5"/>
  <c r="CT405" i="5"/>
  <c r="CS256" i="5"/>
  <c r="AH107" i="5"/>
  <c r="CT369" i="5" s="1"/>
  <c r="AG102" i="5"/>
  <c r="CT350" i="5"/>
  <c r="Q98" i="5"/>
  <c r="AG98" i="5"/>
  <c r="CT346" i="5"/>
  <c r="U105" i="5"/>
  <c r="AK105" i="5"/>
  <c r="CT409" i="5"/>
  <c r="Q97" i="5"/>
  <c r="AG97" i="5"/>
  <c r="S100" i="5"/>
  <c r="AI100" i="5"/>
  <c r="CT376" i="5"/>
  <c r="CR13" i="12"/>
  <c r="CA49" i="12"/>
  <c r="BV289" i="9"/>
  <c r="BV408" i="9"/>
  <c r="BV527" i="9"/>
  <c r="BV631" i="9"/>
  <c r="BV512" i="9"/>
  <c r="GK62" i="9"/>
  <c r="HE62" i="9" s="1"/>
  <c r="CC62" i="9" s="1"/>
  <c r="GM530" i="9"/>
  <c r="HG530" i="9" s="1"/>
  <c r="CE530" i="9" s="1"/>
  <c r="BV378" i="9"/>
  <c r="GM509" i="9"/>
  <c r="HG509" i="9" s="1"/>
  <c r="CE509" i="9" s="1"/>
  <c r="J387" i="9"/>
  <c r="HL386" i="9"/>
  <c r="BV661" i="9"/>
  <c r="BV423" i="9"/>
  <c r="BV542" i="9"/>
  <c r="BV304" i="9"/>
  <c r="GM516" i="9"/>
  <c r="HG516" i="9" s="1"/>
  <c r="CE516" i="9" s="1"/>
  <c r="GK523" i="9"/>
  <c r="HE523" i="9" s="1"/>
  <c r="CC523" i="9" s="1"/>
  <c r="CQ165" i="10"/>
  <c r="DE162" i="10"/>
  <c r="DE387" i="10" s="1"/>
  <c r="AM36" i="10"/>
  <c r="CS165" i="10"/>
  <c r="BG343" i="11"/>
  <c r="L181" i="12"/>
  <c r="DE168" i="10"/>
  <c r="DE393" i="10" s="1"/>
  <c r="CQ171" i="10"/>
  <c r="AM42" i="10"/>
  <c r="CS171" i="10"/>
  <c r="K167" i="12"/>
  <c r="CQ169" i="10"/>
  <c r="DE166" i="10"/>
  <c r="DE391" i="10" s="1"/>
  <c r="AM40" i="10"/>
  <c r="CS169" i="10"/>
  <c r="CK6" i="10"/>
  <c r="CK131" i="10"/>
  <c r="CQ172" i="10"/>
  <c r="DE169" i="10"/>
  <c r="DE394" i="10" s="1"/>
  <c r="AM43" i="10"/>
  <c r="CS172" i="10"/>
  <c r="DE177" i="10"/>
  <c r="DE402" i="10" s="1"/>
  <c r="AM51" i="10"/>
  <c r="CQ97" i="10"/>
  <c r="DE94" i="10"/>
  <c r="AJ43" i="10"/>
  <c r="CS97" i="10"/>
  <c r="CQ319" i="10"/>
  <c r="AR40" i="10"/>
  <c r="CS319" i="10"/>
  <c r="CF131" i="10"/>
  <c r="AL16" i="10"/>
  <c r="CH131" i="10"/>
  <c r="DE131" i="10"/>
  <c r="DE356" i="10" s="1"/>
  <c r="CQ134" i="10"/>
  <c r="AL30" i="10"/>
  <c r="CS134" i="10"/>
  <c r="CQ191" i="10"/>
  <c r="DE188" i="10"/>
  <c r="DE413" i="10" s="1"/>
  <c r="AN37" i="10"/>
  <c r="DE130" i="10"/>
  <c r="CP107" i="10"/>
  <c r="DE208" i="10"/>
  <c r="CQ236" i="10"/>
  <c r="DE233" i="10"/>
  <c r="CQ211" i="10"/>
  <c r="AO32" i="10"/>
  <c r="CQ216" i="10"/>
  <c r="DE238" i="10"/>
  <c r="CQ241" i="10"/>
  <c r="DE213" i="10"/>
  <c r="AO37" i="10"/>
  <c r="DE54" i="10"/>
  <c r="DE53" i="10"/>
  <c r="CP31" i="10"/>
  <c r="DE107" i="10"/>
  <c r="CQ110" i="10"/>
  <c r="AK31" i="10"/>
  <c r="CS110" i="10"/>
  <c r="CQ291" i="10"/>
  <c r="DE288" i="10"/>
  <c r="AQ37" i="10"/>
  <c r="CS291" i="10"/>
  <c r="CF206" i="10"/>
  <c r="CF231" i="10"/>
  <c r="AO16" i="10"/>
  <c r="CQ61" i="10"/>
  <c r="DE58" i="10"/>
  <c r="AI32" i="10"/>
  <c r="CS61" i="10"/>
  <c r="DE63" i="10"/>
  <c r="CQ66" i="10"/>
  <c r="AI37" i="10"/>
  <c r="CS66" i="10"/>
  <c r="AH16" i="10"/>
  <c r="CH31" i="10"/>
  <c r="CF31" i="10"/>
  <c r="DE256" i="10"/>
  <c r="CQ259" i="10"/>
  <c r="AP30" i="10"/>
  <c r="CS259" i="10"/>
  <c r="CQ314" i="10"/>
  <c r="AR35" i="10"/>
  <c r="CS314" i="10"/>
  <c r="AG50" i="10"/>
  <c r="CS29" i="10"/>
  <c r="DE26" i="10"/>
  <c r="CQ29" i="10"/>
  <c r="DE281" i="10"/>
  <c r="CQ284" i="10"/>
  <c r="AQ30" i="10"/>
  <c r="CS284" i="10"/>
  <c r="CQ115" i="10"/>
  <c r="DE112" i="10"/>
  <c r="AK36" i="10"/>
  <c r="CS115" i="10"/>
  <c r="CF81" i="10"/>
  <c r="AJ16" i="10"/>
  <c r="CH81" i="10"/>
  <c r="CQ309" i="10"/>
  <c r="AR30" i="10"/>
  <c r="CS309" i="10"/>
  <c r="DE136" i="10"/>
  <c r="DE361" i="10" s="1"/>
  <c r="CQ139" i="10"/>
  <c r="AL35" i="10"/>
  <c r="CS139" i="10"/>
  <c r="CQ224" i="10"/>
  <c r="DE246" i="10"/>
  <c r="CQ249" i="10"/>
  <c r="DE221" i="10"/>
  <c r="AO45" i="10"/>
  <c r="CQ271" i="10"/>
  <c r="DE268" i="10"/>
  <c r="AP42" i="10"/>
  <c r="CS271" i="10"/>
  <c r="CQ275" i="10"/>
  <c r="DE272" i="10"/>
  <c r="AP46" i="10"/>
  <c r="CS275" i="10"/>
  <c r="CQ279" i="10"/>
  <c r="DE276" i="10"/>
  <c r="AP50" i="10"/>
  <c r="CS279" i="10"/>
  <c r="CQ294" i="10"/>
  <c r="DE291" i="10"/>
  <c r="AQ40" i="10"/>
  <c r="CS294" i="10"/>
  <c r="CQ298" i="10"/>
  <c r="DE295" i="10"/>
  <c r="AQ44" i="10"/>
  <c r="CS298" i="10"/>
  <c r="CQ302" i="10"/>
  <c r="DE299" i="10"/>
  <c r="AQ48" i="10"/>
  <c r="CS302" i="10"/>
  <c r="CQ101" i="10"/>
  <c r="DE98" i="10"/>
  <c r="AJ47" i="10"/>
  <c r="CS101" i="10"/>
  <c r="DE102" i="10"/>
  <c r="AJ51" i="10"/>
  <c r="CQ122" i="10"/>
  <c r="DE119" i="10"/>
  <c r="AK43" i="10"/>
  <c r="CS122" i="10"/>
  <c r="DE127" i="10"/>
  <c r="AK51" i="10"/>
  <c r="CQ147" i="10"/>
  <c r="AL43" i="10"/>
  <c r="CS147" i="10"/>
  <c r="DE144" i="10"/>
  <c r="DE369" i="10" s="1"/>
  <c r="AL51" i="10"/>
  <c r="DE152" i="10"/>
  <c r="DE377" i="10" s="1"/>
  <c r="DE200" i="10"/>
  <c r="DE425" i="10" s="1"/>
  <c r="CQ203" i="10"/>
  <c r="AN49" i="10"/>
  <c r="CS203" i="10"/>
  <c r="DE161" i="10"/>
  <c r="DE386" i="10" s="1"/>
  <c r="CQ164" i="10"/>
  <c r="AM35" i="10"/>
  <c r="CS164" i="10"/>
  <c r="L182" i="12"/>
  <c r="BG344" i="11"/>
  <c r="DE180" i="10"/>
  <c r="DE405" i="10" s="1"/>
  <c r="CP157" i="10"/>
  <c r="CJ6" i="10"/>
  <c r="K180" i="12"/>
  <c r="CQ173" i="10"/>
  <c r="DE170" i="10"/>
  <c r="DE395" i="10" s="1"/>
  <c r="AM44" i="10"/>
  <c r="CS173" i="10"/>
  <c r="DE249" i="10"/>
  <c r="CQ252" i="10"/>
  <c r="DE224" i="10"/>
  <c r="CQ227" i="10"/>
  <c r="AO48" i="10"/>
  <c r="AG42" i="10"/>
  <c r="CS21" i="10"/>
  <c r="CQ21" i="10"/>
  <c r="DE18" i="10"/>
  <c r="DE204" i="10"/>
  <c r="DE429" i="10" s="1"/>
  <c r="DE203" i="10"/>
  <c r="DE428" i="10" s="1"/>
  <c r="CP181" i="10"/>
  <c r="DE57" i="10"/>
  <c r="CQ60" i="10"/>
  <c r="AI31" i="10"/>
  <c r="CS60" i="10"/>
  <c r="CQ195" i="10"/>
  <c r="DE192" i="10"/>
  <c r="DE417" i="10" s="1"/>
  <c r="AN41" i="10"/>
  <c r="CS195" i="10"/>
  <c r="CP58" i="10"/>
  <c r="DE134" i="10"/>
  <c r="DE359" i="10" s="1"/>
  <c r="CQ137" i="10"/>
  <c r="DE190" i="10"/>
  <c r="DE415" i="10" s="1"/>
  <c r="CQ193" i="10"/>
  <c r="AN39" i="10"/>
  <c r="CS193" i="10"/>
  <c r="DE279" i="10"/>
  <c r="DE278" i="10"/>
  <c r="CP256" i="10"/>
  <c r="CQ36" i="10"/>
  <c r="DE33" i="10"/>
  <c r="AH32" i="10"/>
  <c r="CS36" i="10"/>
  <c r="AH38" i="10"/>
  <c r="CS42" i="10"/>
  <c r="CQ42" i="10"/>
  <c r="DE39" i="10"/>
  <c r="DE79" i="10"/>
  <c r="CP56" i="10"/>
  <c r="DE78" i="10"/>
  <c r="DE283" i="10"/>
  <c r="CQ286" i="10"/>
  <c r="AQ32" i="10"/>
  <c r="CS286" i="10"/>
  <c r="CQ316" i="10"/>
  <c r="AR37" i="10"/>
  <c r="CS316" i="10"/>
  <c r="CF256" i="10"/>
  <c r="AP16" i="10"/>
  <c r="CH256" i="10"/>
  <c r="CQ86" i="10"/>
  <c r="DE83" i="10"/>
  <c r="AJ32" i="10"/>
  <c r="CS86" i="10"/>
  <c r="DE87" i="10"/>
  <c r="CQ90" i="10"/>
  <c r="AJ36" i="10"/>
  <c r="CS90" i="10"/>
  <c r="DE252" i="10"/>
  <c r="DE227" i="10"/>
  <c r="AO51" i="10"/>
  <c r="CQ185" i="10"/>
  <c r="DE182" i="10"/>
  <c r="DE407" i="10" s="1"/>
  <c r="AN31" i="10"/>
  <c r="CS185" i="10"/>
  <c r="DE113" i="10"/>
  <c r="CQ116" i="10"/>
  <c r="AK37" i="10"/>
  <c r="CS116" i="10"/>
  <c r="CF306" i="10"/>
  <c r="AR16" i="10"/>
  <c r="CH306" i="10"/>
  <c r="CQ10" i="10"/>
  <c r="AG31" i="10"/>
  <c r="CS10" i="10"/>
  <c r="DE7" i="10"/>
  <c r="CQ140" i="10"/>
  <c r="DE137" i="10"/>
  <c r="DE362" i="10" s="1"/>
  <c r="AL36" i="10"/>
  <c r="CS140" i="10"/>
  <c r="AG48" i="10"/>
  <c r="CS27" i="10"/>
  <c r="CQ27" i="10"/>
  <c r="DE24" i="10"/>
  <c r="DE44" i="10"/>
  <c r="AH43" i="10"/>
  <c r="CS47" i="10"/>
  <c r="CQ47" i="10"/>
  <c r="DE48" i="10"/>
  <c r="AH47" i="10"/>
  <c r="CS51" i="10"/>
  <c r="CQ51" i="10"/>
  <c r="AH51" i="10"/>
  <c r="DE52" i="10"/>
  <c r="CQ70" i="10"/>
  <c r="DE67" i="10"/>
  <c r="AI41" i="10"/>
  <c r="CS70" i="10"/>
  <c r="AI45" i="10"/>
  <c r="CS74" i="10"/>
  <c r="DE71" i="10"/>
  <c r="CQ74" i="10"/>
  <c r="AI49" i="10"/>
  <c r="CS78" i="10"/>
  <c r="CQ78" i="10"/>
  <c r="DE75" i="10"/>
  <c r="CQ326" i="10"/>
  <c r="AR47" i="10"/>
  <c r="CS326" i="10"/>
  <c r="CQ123" i="10"/>
  <c r="DE120" i="10"/>
  <c r="AK44" i="10"/>
  <c r="CS123" i="10"/>
  <c r="DE263" i="10"/>
  <c r="CQ266" i="10"/>
  <c r="AP37" i="10"/>
  <c r="CS266" i="10"/>
  <c r="CQ148" i="10"/>
  <c r="DE145" i="10"/>
  <c r="DE370" i="10" s="1"/>
  <c r="AL44" i="10"/>
  <c r="CS148" i="10"/>
  <c r="CQ196" i="10"/>
  <c r="DE193" i="10"/>
  <c r="DE418" i="10" s="1"/>
  <c r="AN42" i="10"/>
  <c r="CS196" i="10"/>
  <c r="DE201" i="10"/>
  <c r="DE426" i="10" s="1"/>
  <c r="CQ204" i="10"/>
  <c r="AN50" i="10"/>
  <c r="CS204" i="10"/>
  <c r="DE106" i="10"/>
  <c r="CQ109" i="10"/>
  <c r="AK30" i="10"/>
  <c r="CS109" i="10"/>
  <c r="DE305" i="10"/>
  <c r="CP282" i="10"/>
  <c r="CQ88" i="10"/>
  <c r="DE85" i="10"/>
  <c r="DE105" i="10"/>
  <c r="CP82" i="10"/>
  <c r="DE282" i="10"/>
  <c r="CQ285" i="10"/>
  <c r="AQ31" i="10"/>
  <c r="CS285" i="10"/>
  <c r="DE93" i="10"/>
  <c r="CQ96" i="10"/>
  <c r="AJ42" i="10"/>
  <c r="CS96" i="10"/>
  <c r="CP283" i="10"/>
  <c r="CQ138" i="10"/>
  <c r="DE135" i="10"/>
  <c r="DE360" i="10" s="1"/>
  <c r="DE242" i="10"/>
  <c r="DE217" i="10"/>
  <c r="CQ245" i="10"/>
  <c r="CQ220" i="10"/>
  <c r="AO41" i="10"/>
  <c r="DE155" i="10"/>
  <c r="DE380" i="10" s="1"/>
  <c r="CP132" i="10"/>
  <c r="AL19" i="10"/>
  <c r="CR132" i="10"/>
  <c r="CQ261" i="10"/>
  <c r="DE258" i="10"/>
  <c r="AP32" i="10"/>
  <c r="CS261" i="10"/>
  <c r="CQ243" i="10"/>
  <c r="DE215" i="10"/>
  <c r="DE240" i="10"/>
  <c r="CQ218" i="10"/>
  <c r="AO39" i="10"/>
  <c r="CP281" i="10"/>
  <c r="DE303" i="10"/>
  <c r="DE304" i="10"/>
  <c r="DE184" i="10"/>
  <c r="DE409" i="10" s="1"/>
  <c r="CQ187" i="10"/>
  <c r="CQ117" i="10"/>
  <c r="DE114" i="10"/>
  <c r="AK38" i="10"/>
  <c r="CS117" i="10"/>
  <c r="DE104" i="10"/>
  <c r="CP81" i="10"/>
  <c r="DE103" i="10"/>
  <c r="CQ311" i="10"/>
  <c r="AR32" i="10"/>
  <c r="CS311" i="10"/>
  <c r="CQ315" i="10"/>
  <c r="AR36" i="10"/>
  <c r="CS315" i="10"/>
  <c r="CF56" i="10"/>
  <c r="AI16" i="10"/>
  <c r="CH56" i="10"/>
  <c r="CQ111" i="10"/>
  <c r="DE108" i="10"/>
  <c r="AK32" i="10"/>
  <c r="CS111" i="10"/>
  <c r="AG39" i="10"/>
  <c r="CS18" i="10"/>
  <c r="CQ18" i="10"/>
  <c r="DE15" i="10"/>
  <c r="DE154" i="10"/>
  <c r="DE379" i="10" s="1"/>
  <c r="DE153" i="10"/>
  <c r="DE378" i="10" s="1"/>
  <c r="CP131" i="10"/>
  <c r="CQ235" i="10"/>
  <c r="CQ210" i="10"/>
  <c r="DE207" i="10"/>
  <c r="DE232" i="10"/>
  <c r="AO31" i="10"/>
  <c r="DE138" i="10"/>
  <c r="DE363" i="10" s="1"/>
  <c r="CQ141" i="10"/>
  <c r="AL37" i="10"/>
  <c r="CS141" i="10"/>
  <c r="DE250" i="10"/>
  <c r="DE225" i="10"/>
  <c r="CQ253" i="10"/>
  <c r="CQ228" i="10"/>
  <c r="AO49" i="10"/>
  <c r="CQ272" i="10"/>
  <c r="DE269" i="10"/>
  <c r="AP43" i="10"/>
  <c r="CS272" i="10"/>
  <c r="CQ276" i="10"/>
  <c r="DE273" i="10"/>
  <c r="AP47" i="10"/>
  <c r="CS276" i="10"/>
  <c r="DE277" i="10"/>
  <c r="AP51" i="10"/>
  <c r="CQ295" i="10"/>
  <c r="DE292" i="10"/>
  <c r="AQ41" i="10"/>
  <c r="CS295" i="10"/>
  <c r="CQ299" i="10"/>
  <c r="DE296" i="10"/>
  <c r="AQ45" i="10"/>
  <c r="CS299" i="10"/>
  <c r="CQ303" i="10"/>
  <c r="DE300" i="10"/>
  <c r="AQ49" i="10"/>
  <c r="CS303" i="10"/>
  <c r="DE99" i="10"/>
  <c r="CQ102" i="10"/>
  <c r="AJ48" i="10"/>
  <c r="CS102" i="10"/>
  <c r="CQ67" i="10"/>
  <c r="DE64" i="10"/>
  <c r="AI38" i="10"/>
  <c r="CS67" i="10"/>
  <c r="DE121" i="10"/>
  <c r="CQ124" i="10"/>
  <c r="AK45" i="10"/>
  <c r="CS124" i="10"/>
  <c r="CQ92" i="10"/>
  <c r="DE89" i="10"/>
  <c r="AJ38" i="10"/>
  <c r="CS92" i="10"/>
  <c r="DE146" i="10"/>
  <c r="DE371" i="10" s="1"/>
  <c r="CQ149" i="10"/>
  <c r="AL45" i="10"/>
  <c r="CS149" i="10"/>
  <c r="DE194" i="10"/>
  <c r="DE419" i="10" s="1"/>
  <c r="CQ197" i="10"/>
  <c r="AN43" i="10"/>
  <c r="CS197" i="10"/>
  <c r="DE202" i="10"/>
  <c r="DE427" i="10" s="1"/>
  <c r="K166" i="12"/>
  <c r="CF156" i="10"/>
  <c r="AM16" i="10"/>
  <c r="CH156" i="10"/>
  <c r="CG156" i="10"/>
  <c r="AM28" i="10"/>
  <c r="CI156" i="10"/>
  <c r="CQ175" i="10"/>
  <c r="DE172" i="10"/>
  <c r="DE397" i="10" s="1"/>
  <c r="AM46" i="10"/>
  <c r="CS175" i="10"/>
  <c r="CP233" i="10"/>
  <c r="CP208" i="10"/>
  <c r="AG47" i="10"/>
  <c r="CS26" i="10"/>
  <c r="DE23" i="10"/>
  <c r="CQ26" i="10"/>
  <c r="CP307" i="10"/>
  <c r="AR19" i="10"/>
  <c r="CR307" i="10"/>
  <c r="DE183" i="10"/>
  <c r="DE408" i="10" s="1"/>
  <c r="CQ186" i="10"/>
  <c r="AN32" i="10"/>
  <c r="CS186" i="10"/>
  <c r="DE244" i="10"/>
  <c r="DE219" i="10"/>
  <c r="CQ247" i="10"/>
  <c r="CQ222" i="10"/>
  <c r="AO43" i="10"/>
  <c r="CG56" i="10"/>
  <c r="AI28" i="10"/>
  <c r="CI56" i="10"/>
  <c r="AG35" i="10"/>
  <c r="CS14" i="10"/>
  <c r="CQ14" i="10"/>
  <c r="DE11" i="10"/>
  <c r="CQ322" i="10"/>
  <c r="AR43" i="10"/>
  <c r="CS322" i="10"/>
  <c r="CP83" i="10"/>
  <c r="CQ39" i="10"/>
  <c r="AH35" i="10"/>
  <c r="CS39" i="10"/>
  <c r="DE36" i="10"/>
  <c r="AG40" i="10"/>
  <c r="CS19" i="10"/>
  <c r="CQ19" i="10"/>
  <c r="DE16" i="10"/>
  <c r="CP108" i="10"/>
  <c r="CQ188" i="10"/>
  <c r="DE185" i="10"/>
  <c r="DE410" i="10" s="1"/>
  <c r="CQ268" i="10"/>
  <c r="DE265" i="10"/>
  <c r="AP39" i="10"/>
  <c r="CS268" i="10"/>
  <c r="CQ12" i="10"/>
  <c r="DE9" i="10"/>
  <c r="AJ37" i="10"/>
  <c r="CS91" i="10"/>
  <c r="CQ91" i="10"/>
  <c r="DE88" i="10"/>
  <c r="CF281" i="10"/>
  <c r="AQ16" i="10"/>
  <c r="CH281" i="10"/>
  <c r="CQ37" i="10"/>
  <c r="DE34" i="10"/>
  <c r="CQ194" i="10"/>
  <c r="DE191" i="10"/>
  <c r="DE416" i="10" s="1"/>
  <c r="AN40" i="10"/>
  <c r="CS194" i="10"/>
  <c r="DE55" i="10"/>
  <c r="CP32" i="10"/>
  <c r="CQ136" i="10"/>
  <c r="DE133" i="10"/>
  <c r="DE358" i="10" s="1"/>
  <c r="AL32" i="10"/>
  <c r="CS136" i="10"/>
  <c r="DE189" i="10"/>
  <c r="DE414" i="10" s="1"/>
  <c r="CQ192" i="10"/>
  <c r="AN38" i="10"/>
  <c r="CS192" i="10"/>
  <c r="DE41" i="10"/>
  <c r="AH40" i="10"/>
  <c r="CS44" i="10"/>
  <c r="CQ44" i="10"/>
  <c r="DE45" i="10"/>
  <c r="AH44" i="10"/>
  <c r="CS48" i="10"/>
  <c r="CQ48" i="10"/>
  <c r="DE49" i="10"/>
  <c r="AH48" i="10"/>
  <c r="CS52" i="10"/>
  <c r="CQ52" i="10"/>
  <c r="CQ17" i="10"/>
  <c r="DE14" i="10"/>
  <c r="AG38" i="10"/>
  <c r="CS17" i="10"/>
  <c r="AI42" i="10"/>
  <c r="CS71" i="10"/>
  <c r="DE68" i="10"/>
  <c r="CQ71" i="10"/>
  <c r="AI46" i="10"/>
  <c r="CS75" i="10"/>
  <c r="CQ75" i="10"/>
  <c r="DE72" i="10"/>
  <c r="AI50" i="10"/>
  <c r="CS79" i="10"/>
  <c r="DE76" i="10"/>
  <c r="CQ79" i="10"/>
  <c r="CQ327" i="10"/>
  <c r="AR48" i="10"/>
  <c r="CS327" i="10"/>
  <c r="DE289" i="10"/>
  <c r="CQ292" i="10"/>
  <c r="AQ38" i="10"/>
  <c r="CS292" i="10"/>
  <c r="CQ125" i="10"/>
  <c r="DE122" i="10"/>
  <c r="AK46" i="10"/>
  <c r="CS125" i="10"/>
  <c r="CQ317" i="10"/>
  <c r="AR38" i="10"/>
  <c r="CS317" i="10"/>
  <c r="CQ150" i="10"/>
  <c r="DE147" i="10"/>
  <c r="DE372" i="10" s="1"/>
  <c r="AL46" i="10"/>
  <c r="CS150" i="10"/>
  <c r="DE195" i="10"/>
  <c r="DE420" i="10" s="1"/>
  <c r="CQ198" i="10"/>
  <c r="AN44" i="10"/>
  <c r="CS198" i="10"/>
  <c r="AG28" i="10"/>
  <c r="CI6" i="10"/>
  <c r="CG6" i="10"/>
  <c r="DE171" i="10"/>
  <c r="DE396" i="10" s="1"/>
  <c r="CQ174" i="10"/>
  <c r="AM45" i="10"/>
  <c r="CS174" i="10"/>
  <c r="K181" i="12"/>
  <c r="K182" i="12"/>
  <c r="DE159" i="10"/>
  <c r="DE384" i="10" s="1"/>
  <c r="CQ162" i="10"/>
  <c r="DE173" i="10"/>
  <c r="DE398" i="10" s="1"/>
  <c r="CQ176" i="10"/>
  <c r="AM47" i="10"/>
  <c r="CS176" i="10"/>
  <c r="AH31" i="10"/>
  <c r="CS35" i="10"/>
  <c r="CQ35" i="10"/>
  <c r="DE32" i="10"/>
  <c r="CF106" i="10"/>
  <c r="AK16" i="10"/>
  <c r="CH106" i="10"/>
  <c r="CP33" i="10"/>
  <c r="DE109" i="10"/>
  <c r="CQ112" i="10"/>
  <c r="CQ100" i="10"/>
  <c r="DE97" i="10"/>
  <c r="AJ46" i="10"/>
  <c r="CS100" i="10"/>
  <c r="CG281" i="10"/>
  <c r="AQ28" i="10"/>
  <c r="CI281" i="10"/>
  <c r="CQ239" i="10"/>
  <c r="DE211" i="10"/>
  <c r="CQ214" i="10"/>
  <c r="DE236" i="10"/>
  <c r="AO35" i="10"/>
  <c r="AO19" i="10"/>
  <c r="AG44" i="10"/>
  <c r="CS23" i="10"/>
  <c r="DE20" i="10"/>
  <c r="CQ23" i="10"/>
  <c r="CP308" i="10"/>
  <c r="DE261" i="10"/>
  <c r="CQ264" i="10"/>
  <c r="AP35" i="10"/>
  <c r="CS264" i="10"/>
  <c r="CQ320" i="10"/>
  <c r="AR41" i="10"/>
  <c r="CS320" i="10"/>
  <c r="CG106" i="10"/>
  <c r="AK28" i="10"/>
  <c r="CI106" i="10"/>
  <c r="CQ64" i="10"/>
  <c r="DE61" i="10"/>
  <c r="AI35" i="10"/>
  <c r="CS64" i="10"/>
  <c r="CQ94" i="10"/>
  <c r="DE91" i="10"/>
  <c r="AJ40" i="10"/>
  <c r="CS94" i="10"/>
  <c r="DE205" i="10"/>
  <c r="DE430" i="10" s="1"/>
  <c r="CP182" i="10"/>
  <c r="CQ237" i="10"/>
  <c r="CQ212" i="10"/>
  <c r="DE234" i="10"/>
  <c r="DE209" i="10"/>
  <c r="CQ142" i="10"/>
  <c r="DE139" i="10"/>
  <c r="DE364" i="10" s="1"/>
  <c r="AL38" i="10"/>
  <c r="CS142" i="10"/>
  <c r="DE129" i="10"/>
  <c r="DE128" i="10"/>
  <c r="CP106" i="10"/>
  <c r="DE259" i="10"/>
  <c r="CQ262" i="10"/>
  <c r="AG41" i="10"/>
  <c r="CS20" i="10"/>
  <c r="CQ20" i="10"/>
  <c r="DE17" i="10"/>
  <c r="CP257" i="10"/>
  <c r="DE280" i="10"/>
  <c r="CQ62" i="10"/>
  <c r="DE59" i="10"/>
  <c r="AH39" i="10"/>
  <c r="CS43" i="10"/>
  <c r="CQ43" i="10"/>
  <c r="DE40" i="10"/>
  <c r="DE266" i="10"/>
  <c r="CQ269" i="10"/>
  <c r="AP40" i="10"/>
  <c r="CS269" i="10"/>
  <c r="CQ273" i="10"/>
  <c r="DE270" i="10"/>
  <c r="AP44" i="10"/>
  <c r="CS273" i="10"/>
  <c r="DE274" i="10"/>
  <c r="CQ277" i="10"/>
  <c r="AP48" i="10"/>
  <c r="CS277" i="10"/>
  <c r="DE214" i="10"/>
  <c r="CQ217" i="10"/>
  <c r="DE239" i="10"/>
  <c r="CQ242" i="10"/>
  <c r="AO38" i="10"/>
  <c r="DE293" i="10"/>
  <c r="CQ296" i="10"/>
  <c r="AQ42" i="10"/>
  <c r="CS296" i="10"/>
  <c r="DE297" i="10"/>
  <c r="CQ300" i="10"/>
  <c r="AQ46" i="10"/>
  <c r="CS300" i="10"/>
  <c r="DE301" i="10"/>
  <c r="CQ304" i="10"/>
  <c r="AQ50" i="10"/>
  <c r="CS304" i="10"/>
  <c r="CQ103" i="10"/>
  <c r="DE100" i="10"/>
  <c r="AJ49" i="10"/>
  <c r="CS103" i="10"/>
  <c r="CQ118" i="10"/>
  <c r="DE115" i="10"/>
  <c r="AK39" i="10"/>
  <c r="CS118" i="10"/>
  <c r="CQ126" i="10"/>
  <c r="DE123" i="10"/>
  <c r="AK47" i="10"/>
  <c r="CS126" i="10"/>
  <c r="DE140" i="10"/>
  <c r="DE365" i="10" s="1"/>
  <c r="CQ143" i="10"/>
  <c r="AL39" i="10"/>
  <c r="CS143" i="10"/>
  <c r="DE148" i="10"/>
  <c r="DE373" i="10" s="1"/>
  <c r="CQ151" i="10"/>
  <c r="AL47" i="10"/>
  <c r="CS151" i="10"/>
  <c r="CQ199" i="10"/>
  <c r="DE196" i="10"/>
  <c r="DE421" i="10" s="1"/>
  <c r="AN45" i="10"/>
  <c r="CS199" i="10"/>
  <c r="K164" i="12"/>
  <c r="L164" i="12"/>
  <c r="BI178" i="12"/>
  <c r="K160" i="12"/>
  <c r="K161" i="12"/>
  <c r="DE157" i="10"/>
  <c r="DE382" i="10" s="1"/>
  <c r="CQ160" i="10"/>
  <c r="AM31" i="10"/>
  <c r="CS160" i="10"/>
  <c r="BG331" i="11"/>
  <c r="BG332" i="11"/>
  <c r="BG320" i="11"/>
  <c r="CQ177" i="10"/>
  <c r="DE174" i="10"/>
  <c r="DE399" i="10" s="1"/>
  <c r="AM48" i="10"/>
  <c r="CS177" i="10"/>
  <c r="DE80" i="10"/>
  <c r="CP57" i="10"/>
  <c r="DE257" i="10"/>
  <c r="CQ260" i="10"/>
  <c r="AP31" i="10"/>
  <c r="CS260" i="10"/>
  <c r="DE84" i="10"/>
  <c r="CQ87" i="10"/>
  <c r="CP258" i="10"/>
  <c r="DE110" i="10"/>
  <c r="CQ113" i="10"/>
  <c r="CQ251" i="10"/>
  <c r="DE223" i="10"/>
  <c r="DE248" i="10"/>
  <c r="CQ226" i="10"/>
  <c r="AO47" i="10"/>
  <c r="DE82" i="10"/>
  <c r="CQ85" i="10"/>
  <c r="AJ31" i="10"/>
  <c r="CS85" i="10"/>
  <c r="AG36" i="10"/>
  <c r="CS15" i="10"/>
  <c r="DE12" i="10"/>
  <c r="CQ15" i="10"/>
  <c r="DE222" i="10"/>
  <c r="CQ225" i="10"/>
  <c r="DE247" i="10"/>
  <c r="CQ250" i="10"/>
  <c r="AO46" i="10"/>
  <c r="CG81" i="10"/>
  <c r="AJ28" i="10"/>
  <c r="CI81" i="10"/>
  <c r="CQ40" i="10"/>
  <c r="DE37" i="10"/>
  <c r="AH36" i="10"/>
  <c r="CS40" i="10"/>
  <c r="CQ246" i="10"/>
  <c r="CQ221" i="10"/>
  <c r="DE243" i="10"/>
  <c r="DE218" i="10"/>
  <c r="AO42" i="10"/>
  <c r="DE6" i="10"/>
  <c r="AG30" i="10"/>
  <c r="CS9" i="10"/>
  <c r="CQ9" i="10"/>
  <c r="DE286" i="10"/>
  <c r="CQ289" i="10"/>
  <c r="AQ35" i="10"/>
  <c r="CS289" i="10"/>
  <c r="CQ321" i="10"/>
  <c r="AR42" i="10"/>
  <c r="CS321" i="10"/>
  <c r="CP133" i="10"/>
  <c r="AL20" i="10"/>
  <c r="CR133" i="10"/>
  <c r="DE10" i="10"/>
  <c r="CQ13" i="10"/>
  <c r="CQ318" i="10"/>
  <c r="AR39" i="10"/>
  <c r="CS318" i="10"/>
  <c r="DE30" i="10"/>
  <c r="CP7" i="10"/>
  <c r="CQ38" i="10"/>
  <c r="DE35" i="10"/>
  <c r="CQ99" i="10"/>
  <c r="AJ45" i="10"/>
  <c r="CS99" i="10"/>
  <c r="DE96" i="10"/>
  <c r="CP183" i="10"/>
  <c r="CQ287" i="10"/>
  <c r="DE284" i="10"/>
  <c r="DE241" i="10"/>
  <c r="CQ244" i="10"/>
  <c r="DE216" i="10"/>
  <c r="CQ219" i="10"/>
  <c r="AO40" i="10"/>
  <c r="DE42" i="10"/>
  <c r="AH41" i="10"/>
  <c r="CS45" i="10"/>
  <c r="CQ45" i="10"/>
  <c r="DE46" i="10"/>
  <c r="AH45" i="10"/>
  <c r="CS49" i="10"/>
  <c r="CQ49" i="10"/>
  <c r="CQ53" i="10"/>
  <c r="DE50" i="10"/>
  <c r="AH49" i="10"/>
  <c r="CS53" i="10"/>
  <c r="CQ68" i="10"/>
  <c r="DE65" i="10"/>
  <c r="AI39" i="10"/>
  <c r="CS68" i="10"/>
  <c r="AI43" i="10"/>
  <c r="CS72" i="10"/>
  <c r="CQ72" i="10"/>
  <c r="DE69" i="10"/>
  <c r="CQ76" i="10"/>
  <c r="AI47" i="10"/>
  <c r="CS76" i="10"/>
  <c r="DE73" i="10"/>
  <c r="AI51" i="10"/>
  <c r="DE77" i="10"/>
  <c r="CQ328" i="10"/>
  <c r="AR49" i="10"/>
  <c r="CS328" i="10"/>
  <c r="DE116" i="10"/>
  <c r="CQ119" i="10"/>
  <c r="AK40" i="10"/>
  <c r="CS119" i="10"/>
  <c r="DE124" i="10"/>
  <c r="CQ127" i="10"/>
  <c r="AK48" i="10"/>
  <c r="CS127" i="10"/>
  <c r="CQ144" i="10"/>
  <c r="DE141" i="10"/>
  <c r="DE366" i="10" s="1"/>
  <c r="AL40" i="10"/>
  <c r="CS144" i="10"/>
  <c r="CQ152" i="10"/>
  <c r="DE149" i="10"/>
  <c r="DE374" i="10" s="1"/>
  <c r="AL48" i="10"/>
  <c r="CS152" i="10"/>
  <c r="DE197" i="10"/>
  <c r="DE422" i="10" s="1"/>
  <c r="CQ200" i="10"/>
  <c r="AN46" i="10"/>
  <c r="CS200" i="10"/>
  <c r="DE179" i="10"/>
  <c r="DE404" i="10" s="1"/>
  <c r="DE178" i="10"/>
  <c r="DE403" i="10" s="1"/>
  <c r="CP156" i="10"/>
  <c r="DE165" i="10"/>
  <c r="DE390" i="10" s="1"/>
  <c r="CQ168" i="10"/>
  <c r="AM39" i="10"/>
  <c r="CS168" i="10"/>
  <c r="BG340" i="11"/>
  <c r="CP158" i="10"/>
  <c r="K173" i="12"/>
  <c r="DE163" i="10"/>
  <c r="DE388" i="10" s="1"/>
  <c r="CQ166" i="10"/>
  <c r="AM37" i="10"/>
  <c r="CS166" i="10"/>
  <c r="L180" i="12"/>
  <c r="BI194" i="12"/>
  <c r="BG342" i="11"/>
  <c r="DE156" i="10"/>
  <c r="DE381" i="10" s="1"/>
  <c r="CQ159" i="10"/>
  <c r="AM30" i="10"/>
  <c r="CS159" i="10"/>
  <c r="CQ163" i="10"/>
  <c r="DE160" i="10"/>
  <c r="DE385" i="10" s="1"/>
  <c r="K162" i="12"/>
  <c r="CQ167" i="10"/>
  <c r="DE164" i="10"/>
  <c r="DE389" i="10" s="1"/>
  <c r="AM38" i="10"/>
  <c r="CS167" i="10"/>
  <c r="BG336" i="11"/>
  <c r="BG334" i="11"/>
  <c r="BG333" i="11"/>
  <c r="DE175" i="10"/>
  <c r="DE400" i="10" s="1"/>
  <c r="CQ178" i="10"/>
  <c r="AM49" i="10"/>
  <c r="CS178" i="10"/>
  <c r="CP8" i="10"/>
  <c r="AG46" i="10"/>
  <c r="CS25" i="10"/>
  <c r="CQ25" i="10"/>
  <c r="DE22" i="10"/>
  <c r="AH28" i="10"/>
  <c r="CI31" i="10"/>
  <c r="CG31" i="10"/>
  <c r="DE186" i="10"/>
  <c r="DE411" i="10" s="1"/>
  <c r="CQ189" i="10"/>
  <c r="AN35" i="10"/>
  <c r="CS189" i="10"/>
  <c r="DE28" i="10"/>
  <c r="CP6" i="10"/>
  <c r="DE29" i="10"/>
  <c r="CQ310" i="10"/>
  <c r="AR31" i="10"/>
  <c r="CS310" i="10"/>
  <c r="CQ215" i="10"/>
  <c r="DE237" i="10"/>
  <c r="CQ240" i="10"/>
  <c r="DE212" i="10"/>
  <c r="CG306" i="10"/>
  <c r="AR28" i="10"/>
  <c r="CI306" i="10"/>
  <c r="CQ265" i="10"/>
  <c r="DE262" i="10"/>
  <c r="AP36" i="10"/>
  <c r="CS265" i="10"/>
  <c r="CQ98" i="10"/>
  <c r="DE95" i="10"/>
  <c r="AJ44" i="10"/>
  <c r="CS98" i="10"/>
  <c r="CQ234" i="10"/>
  <c r="DE206" i="10"/>
  <c r="CQ209" i="10"/>
  <c r="DE231" i="10"/>
  <c r="AO30" i="10"/>
  <c r="CQ65" i="10"/>
  <c r="DE62" i="10"/>
  <c r="AI36" i="10"/>
  <c r="CS65" i="10"/>
  <c r="DE245" i="10"/>
  <c r="DE220" i="10"/>
  <c r="CQ223" i="10"/>
  <c r="CQ248" i="10"/>
  <c r="AO44" i="10"/>
  <c r="CG131" i="10"/>
  <c r="AL28" i="10"/>
  <c r="CI131" i="10"/>
  <c r="CQ213" i="10"/>
  <c r="DE210" i="10"/>
  <c r="DE235" i="10"/>
  <c r="CQ238" i="10"/>
  <c r="CQ323" i="10"/>
  <c r="AR44" i="10"/>
  <c r="CS323" i="10"/>
  <c r="CP232" i="10"/>
  <c r="DE230" i="10"/>
  <c r="CP207" i="10"/>
  <c r="DE255" i="10"/>
  <c r="CQ263" i="10"/>
  <c r="DE260" i="10"/>
  <c r="AG49" i="10"/>
  <c r="CS28" i="10"/>
  <c r="CQ28" i="10"/>
  <c r="DE25" i="10"/>
  <c r="CG181" i="10"/>
  <c r="AN28" i="10"/>
  <c r="CI181" i="10"/>
  <c r="DE60" i="10"/>
  <c r="CQ63" i="10"/>
  <c r="CQ95" i="10"/>
  <c r="DE92" i="10"/>
  <c r="AJ41" i="10"/>
  <c r="CS95" i="10"/>
  <c r="DE267" i="10"/>
  <c r="CQ270" i="10"/>
  <c r="AP41" i="10"/>
  <c r="CS270" i="10"/>
  <c r="DE271" i="10"/>
  <c r="CQ274" i="10"/>
  <c r="AP45" i="10"/>
  <c r="CS274" i="10"/>
  <c r="DE275" i="10"/>
  <c r="CQ278" i="10"/>
  <c r="AP49" i="10"/>
  <c r="CS278" i="10"/>
  <c r="DE290" i="10"/>
  <c r="CQ293" i="10"/>
  <c r="AQ39" i="10"/>
  <c r="CS293" i="10"/>
  <c r="CQ297" i="10"/>
  <c r="DE294" i="10"/>
  <c r="AQ43" i="10"/>
  <c r="CS297" i="10"/>
  <c r="CQ301" i="10"/>
  <c r="DE298" i="10"/>
  <c r="AQ47" i="10"/>
  <c r="CS301" i="10"/>
  <c r="DE302" i="10"/>
  <c r="DE101" i="10"/>
  <c r="CQ104" i="10"/>
  <c r="AJ50" i="10"/>
  <c r="CS104" i="10"/>
  <c r="CQ120" i="10"/>
  <c r="DE117" i="10"/>
  <c r="AK41" i="10"/>
  <c r="CS120" i="10"/>
  <c r="CQ128" i="10"/>
  <c r="DE125" i="10"/>
  <c r="AK49" i="10"/>
  <c r="CS128" i="10"/>
  <c r="CQ145" i="10"/>
  <c r="DE142" i="10"/>
  <c r="DE367" i="10" s="1"/>
  <c r="AL41" i="10"/>
  <c r="CS145" i="10"/>
  <c r="CQ153" i="10"/>
  <c r="DE150" i="10"/>
  <c r="DE375" i="10" s="1"/>
  <c r="AL49" i="10"/>
  <c r="CS153" i="10"/>
  <c r="DE198" i="10"/>
  <c r="DE423" i="10" s="1"/>
  <c r="CQ201" i="10"/>
  <c r="AN47" i="10"/>
  <c r="CQ170" i="10"/>
  <c r="DE167" i="10"/>
  <c r="DE392" i="10" s="1"/>
  <c r="AM41" i="10"/>
  <c r="CS170" i="10"/>
  <c r="CQ161" i="10"/>
  <c r="DE158" i="10"/>
  <c r="DE383" i="10" s="1"/>
  <c r="AM32" i="10"/>
  <c r="CS161" i="10"/>
  <c r="K158" i="12"/>
  <c r="K163" i="12"/>
  <c r="L163" i="12"/>
  <c r="BI177" i="12" s="1"/>
  <c r="BF326" i="11"/>
  <c r="K168" i="12"/>
  <c r="K165" i="12"/>
  <c r="DE176" i="10"/>
  <c r="DE401" i="10" s="1"/>
  <c r="CQ179" i="10"/>
  <c r="AM50" i="10"/>
  <c r="CS179" i="10"/>
  <c r="CG231" i="10"/>
  <c r="CG206" i="10"/>
  <c r="AO28" i="10"/>
  <c r="CQ267" i="10"/>
  <c r="DE264" i="10"/>
  <c r="AP38" i="10"/>
  <c r="CS267" i="10"/>
  <c r="CG256" i="10"/>
  <c r="AP28" i="10"/>
  <c r="CI256" i="10"/>
  <c r="DE187" i="10"/>
  <c r="DE412" i="10" s="1"/>
  <c r="CQ190" i="10"/>
  <c r="AN36" i="10"/>
  <c r="CS190" i="10"/>
  <c r="DE253" i="10"/>
  <c r="CP231" i="10"/>
  <c r="DE228" i="10"/>
  <c r="CP206" i="10"/>
  <c r="DE254" i="10"/>
  <c r="DE229" i="10"/>
  <c r="AG32" i="10"/>
  <c r="CS11" i="10"/>
  <c r="CQ11" i="10"/>
  <c r="DE8" i="10"/>
  <c r="AG37" i="10"/>
  <c r="CS16" i="10"/>
  <c r="DE13" i="10"/>
  <c r="CQ16" i="10"/>
  <c r="CF181" i="10"/>
  <c r="AN16" i="10"/>
  <c r="CH181" i="10"/>
  <c r="DE181" i="10"/>
  <c r="DE406" i="10" s="1"/>
  <c r="CQ184" i="10"/>
  <c r="AN30" i="10"/>
  <c r="AH37" i="10"/>
  <c r="CS41" i="10"/>
  <c r="DE38" i="10"/>
  <c r="CQ41" i="10"/>
  <c r="CF6" i="10"/>
  <c r="AG16" i="10"/>
  <c r="CH6" i="10"/>
  <c r="DE132" i="10"/>
  <c r="DE357" i="10" s="1"/>
  <c r="CQ135" i="10"/>
  <c r="AL31" i="10"/>
  <c r="CS135" i="10"/>
  <c r="DE287" i="10"/>
  <c r="CQ290" i="10"/>
  <c r="AQ36" i="10"/>
  <c r="CS290" i="10"/>
  <c r="AG51" i="10"/>
  <c r="DE27" i="10"/>
  <c r="CQ34" i="10"/>
  <c r="AH30" i="10"/>
  <c r="CS34" i="10"/>
  <c r="DE31" i="10"/>
  <c r="CQ89" i="10"/>
  <c r="DE86" i="10"/>
  <c r="AJ35" i="10"/>
  <c r="CS89" i="10"/>
  <c r="AG45" i="10"/>
  <c r="CS24" i="10"/>
  <c r="CQ24" i="10"/>
  <c r="DE21" i="10"/>
  <c r="CQ59" i="10"/>
  <c r="DE56" i="10"/>
  <c r="AI30" i="10"/>
  <c r="CS59" i="10"/>
  <c r="DE111" i="10"/>
  <c r="CQ114" i="10"/>
  <c r="AK35" i="10"/>
  <c r="CS114" i="10"/>
  <c r="CQ254" i="10"/>
  <c r="CQ229" i="10"/>
  <c r="DE251" i="10"/>
  <c r="AO50" i="10"/>
  <c r="DE226" i="10"/>
  <c r="DE81" i="10"/>
  <c r="CQ84" i="10"/>
  <c r="AJ30" i="10"/>
  <c r="CS84" i="10"/>
  <c r="CQ288" i="10"/>
  <c r="DE285" i="10"/>
  <c r="AG43" i="10"/>
  <c r="CS22" i="10"/>
  <c r="CQ22" i="10"/>
  <c r="DE19" i="10"/>
  <c r="DE43" i="10"/>
  <c r="AH42" i="10"/>
  <c r="CS46" i="10"/>
  <c r="CQ46" i="10"/>
  <c r="DE47" i="10"/>
  <c r="AH46" i="10"/>
  <c r="CS50" i="10"/>
  <c r="CQ50" i="10"/>
  <c r="DE51" i="10"/>
  <c r="AH50" i="10"/>
  <c r="CS54" i="10"/>
  <c r="CQ54" i="10"/>
  <c r="DE66" i="10"/>
  <c r="CQ69" i="10"/>
  <c r="AI40" i="10"/>
  <c r="CS69" i="10"/>
  <c r="AI44" i="10"/>
  <c r="CS73" i="10"/>
  <c r="CQ73" i="10"/>
  <c r="DE70" i="10"/>
  <c r="DE74" i="10"/>
  <c r="AI48" i="10"/>
  <c r="CS77" i="10"/>
  <c r="CQ77" i="10"/>
  <c r="CQ325" i="10"/>
  <c r="AR46" i="10"/>
  <c r="CS325" i="10"/>
  <c r="CQ329" i="10"/>
  <c r="AR50" i="10"/>
  <c r="CS329" i="10"/>
  <c r="DE118" i="10"/>
  <c r="CQ121" i="10"/>
  <c r="AK42" i="10"/>
  <c r="CS121" i="10"/>
  <c r="DE126" i="10"/>
  <c r="CQ129" i="10"/>
  <c r="AK50" i="10"/>
  <c r="CS129" i="10"/>
  <c r="DE143" i="10"/>
  <c r="DE368" i="10" s="1"/>
  <c r="CQ146" i="10"/>
  <c r="AL42" i="10"/>
  <c r="CS146" i="10"/>
  <c r="DE151" i="10"/>
  <c r="DE376" i="10" s="1"/>
  <c r="CQ154" i="10"/>
  <c r="AL50" i="10"/>
  <c r="CS154" i="10"/>
  <c r="CQ202" i="10"/>
  <c r="DE199" i="10"/>
  <c r="DE424" i="10" s="1"/>
  <c r="AN48" i="10"/>
  <c r="CS202" i="10"/>
  <c r="GM627" i="9"/>
  <c r="HG627" i="9" s="1"/>
  <c r="GK500" i="9"/>
  <c r="HE500" i="9" s="1"/>
  <c r="CC500" i="9" s="1"/>
  <c r="U100" i="5"/>
  <c r="AK100" i="5"/>
  <c r="CS255" i="5"/>
  <c r="Q108" i="5"/>
  <c r="AG108" i="5"/>
  <c r="CT356" i="5" s="1"/>
  <c r="CS250" i="5"/>
  <c r="S104" i="5"/>
  <c r="AI104" i="5"/>
  <c r="CT380" i="5"/>
  <c r="J104" i="5"/>
  <c r="Z104" i="5"/>
  <c r="CT254" i="5" s="1"/>
  <c r="R97" i="5"/>
  <c r="AH97" i="5"/>
  <c r="CT359" i="5"/>
  <c r="R99" i="5"/>
  <c r="CT165" i="5" s="1"/>
  <c r="AH99" i="5"/>
  <c r="CT361" i="5"/>
  <c r="Q105" i="5"/>
  <c r="AG105" i="5"/>
  <c r="CT353" i="5" s="1"/>
  <c r="S105" i="5"/>
  <c r="CT185" i="5" s="1"/>
  <c r="AI105" i="5"/>
  <c r="CT381" i="5"/>
  <c r="T107" i="5"/>
  <c r="AJ107" i="5"/>
  <c r="CT397" i="5" s="1"/>
  <c r="T100" i="5"/>
  <c r="AJ100" i="5"/>
  <c r="CT390" i="5" s="1"/>
  <c r="AJ103" i="5"/>
  <c r="T7" i="4"/>
  <c r="BP11" i="4" s="1"/>
  <c r="S12" i="4"/>
  <c r="BF11" i="4"/>
  <c r="Q7" i="4"/>
  <c r="BP10" i="4" s="1"/>
  <c r="V7" i="4"/>
  <c r="BE12" i="4" s="1"/>
  <c r="V12" i="4"/>
  <c r="BF12" i="4" s="1"/>
  <c r="GK647" i="9"/>
  <c r="HE647" i="9" s="1"/>
  <c r="GM648" i="9"/>
  <c r="HG648" i="9" s="1"/>
  <c r="GM656" i="9"/>
  <c r="HG656" i="9" s="1"/>
  <c r="GM396" i="9"/>
  <c r="HG396" i="9" s="1"/>
  <c r="CE396" i="9" s="1"/>
  <c r="GK558" i="9"/>
  <c r="HE558" i="9" s="1"/>
  <c r="CC558" i="9" s="1"/>
  <c r="GK628" i="9"/>
  <c r="HE628" i="9" s="1"/>
  <c r="GM394" i="9"/>
  <c r="HG394" i="9"/>
  <c r="CE394" i="9" s="1"/>
  <c r="EO11" i="5"/>
  <c r="EQ11" i="5"/>
  <c r="ER11" i="5"/>
  <c r="P146" i="12"/>
  <c r="T146" i="12"/>
  <c r="EO13" i="5"/>
  <c r="EQ13" i="5"/>
  <c r="ER13" i="5"/>
  <c r="BA44" i="12"/>
  <c r="CM44" i="12"/>
  <c r="BC49" i="12"/>
  <c r="CM49" i="12"/>
  <c r="CM48" i="12"/>
  <c r="BA28" i="12"/>
  <c r="CM28" i="12"/>
  <c r="BE105" i="12"/>
  <c r="BE101" i="12"/>
  <c r="BC33" i="12"/>
  <c r="CM33" i="12"/>
  <c r="CM32" i="12"/>
  <c r="BC25" i="12"/>
  <c r="CM24" i="12"/>
  <c r="GM514" i="9"/>
  <c r="HG514" i="9" s="1"/>
  <c r="CE514" i="9" s="1"/>
  <c r="GM446" i="9"/>
  <c r="HG446" i="9" s="1"/>
  <c r="CE446" i="9" s="1"/>
  <c r="GK408" i="9"/>
  <c r="HE408" i="9" s="1"/>
  <c r="CC408" i="9" s="1"/>
  <c r="GM432" i="9"/>
  <c r="HG432" i="9" s="1"/>
  <c r="CE432" i="9" s="1"/>
  <c r="GK439" i="9"/>
  <c r="HE439" i="9" s="1"/>
  <c r="CC439" i="9" s="1"/>
  <c r="GK260" i="9"/>
  <c r="HE260" i="9" s="1"/>
  <c r="CC260" i="9" s="1"/>
  <c r="GK307" i="9"/>
  <c r="HE307" i="9" s="1"/>
  <c r="CC307" i="9" s="1"/>
  <c r="GM319" i="9"/>
  <c r="HG319" i="9" s="1"/>
  <c r="CE319" i="9" s="1"/>
  <c r="GM522" i="9"/>
  <c r="HG522" i="9" s="1"/>
  <c r="CE522" i="9" s="1"/>
  <c r="GK23" i="9"/>
  <c r="HE23" i="9" s="1"/>
  <c r="CC23" i="9" s="1"/>
  <c r="GK290" i="9"/>
  <c r="HE290" i="9" s="1"/>
  <c r="CC290" i="9" s="1"/>
  <c r="GM271" i="9"/>
  <c r="HG271" i="9" s="1"/>
  <c r="CE271" i="9" s="1"/>
  <c r="GM549" i="9"/>
  <c r="HG549" i="9"/>
  <c r="CE549" i="9" s="1"/>
  <c r="GM537" i="9"/>
  <c r="HG537" i="9" s="1"/>
  <c r="CE537" i="9" s="1"/>
  <c r="GM543" i="9"/>
  <c r="HG543" i="9" s="1"/>
  <c r="CE543" i="9" s="1"/>
  <c r="GM82" i="9"/>
  <c r="HG82" i="9"/>
  <c r="CE82" i="9" s="1"/>
  <c r="GM80" i="9"/>
  <c r="HG80" i="9" s="1"/>
  <c r="CE80" i="9" s="1"/>
  <c r="GK623" i="9"/>
  <c r="HE623" i="9" s="1"/>
  <c r="GK531" i="9"/>
  <c r="HE531" i="9" s="1"/>
  <c r="CC531" i="9" s="1"/>
  <c r="GM413" i="9"/>
  <c r="HG413" i="9" s="1"/>
  <c r="CE413" i="9" s="1"/>
  <c r="GK635" i="9"/>
  <c r="HE635" i="9" s="1"/>
  <c r="GM517" i="9"/>
  <c r="HG517" i="9" s="1"/>
  <c r="CE517" i="9" s="1"/>
  <c r="GK71" i="9"/>
  <c r="HE71" i="9" s="1"/>
  <c r="CC71" i="9" s="1"/>
  <c r="EP10" i="5"/>
  <c r="GM561" i="9"/>
  <c r="HG561" i="9" s="1"/>
  <c r="CE561" i="9" s="1"/>
  <c r="GK34" i="9"/>
  <c r="HE34" i="9"/>
  <c r="CC34" i="9" s="1"/>
  <c r="BN49" i="12"/>
  <c r="EA16" i="12"/>
  <c r="DZ16" i="12"/>
  <c r="DY16" i="12"/>
  <c r="EP14" i="5"/>
  <c r="BE12" i="12"/>
  <c r="AJ11" i="12"/>
  <c r="CO11" i="12"/>
  <c r="BE11" i="12"/>
  <c r="BG11" i="12"/>
  <c r="T125" i="12"/>
  <c r="BF104" i="12"/>
  <c r="BF108" i="12" s="1"/>
  <c r="BF112" i="12" s="1"/>
  <c r="BF116" i="12" s="1"/>
  <c r="BF120" i="12" s="1"/>
  <c r="BF124" i="12" s="1"/>
  <c r="BF128" i="12" s="1"/>
  <c r="BF132" i="12" s="1"/>
  <c r="BF136" i="12" s="1"/>
  <c r="BF140" i="12" s="1"/>
  <c r="BF144" i="12" s="1"/>
  <c r="BE103" i="12"/>
  <c r="T118" i="12"/>
  <c r="BF103" i="12" s="1"/>
  <c r="T111" i="12"/>
  <c r="BF102" i="12"/>
  <c r="BE102" i="12"/>
  <c r="AP156" i="12"/>
  <c r="H33" i="10"/>
  <c r="CO87" i="10" s="1"/>
  <c r="H34" i="10"/>
  <c r="DT21" i="12"/>
  <c r="DT13" i="12"/>
  <c r="DZ13" i="12" s="1"/>
  <c r="AP157" i="12"/>
  <c r="I33" i="10"/>
  <c r="AK33" i="10" s="1"/>
  <c r="CS112" i="10" s="1"/>
  <c r="I34" i="10"/>
  <c r="CO113" i="10" s="1"/>
  <c r="BE100" i="12"/>
  <c r="BE108" i="12"/>
  <c r="BE112" i="12"/>
  <c r="BE116" i="12"/>
  <c r="BE120" i="12"/>
  <c r="BE124" i="12"/>
  <c r="BE128" i="12"/>
  <c r="BE132" i="12"/>
  <c r="BE136" i="12"/>
  <c r="BE140" i="12"/>
  <c r="BE144" i="12"/>
  <c r="BM98" i="12"/>
  <c r="T143" i="12"/>
  <c r="BN98" i="12"/>
  <c r="BE146" i="12"/>
  <c r="T137" i="12"/>
  <c r="BF146" i="12" s="1"/>
  <c r="T104" i="12"/>
  <c r="BN101" i="12" s="1"/>
  <c r="BM101" i="12"/>
  <c r="GK28" i="9"/>
  <c r="HE28" i="9" s="1"/>
  <c r="CC28" i="9" s="1"/>
  <c r="CE201" i="9"/>
  <c r="GK540" i="9"/>
  <c r="HE540" i="9" s="1"/>
  <c r="CC540" i="9" s="1"/>
  <c r="GK65" i="9"/>
  <c r="HE65" i="9" s="1"/>
  <c r="CC65" i="9" s="1"/>
  <c r="GK563" i="9"/>
  <c r="HE563" i="9" s="1"/>
  <c r="CC563" i="9" s="1"/>
  <c r="GK542" i="9"/>
  <c r="HE542" i="9" s="1"/>
  <c r="CC542" i="9" s="1"/>
  <c r="GM75" i="9"/>
  <c r="HG75" i="9" s="1"/>
  <c r="CE75" i="9" s="1"/>
  <c r="GM18" i="9"/>
  <c r="HG18" i="9" s="1"/>
  <c r="CE18" i="9" s="1"/>
  <c r="GM382" i="9"/>
  <c r="HG382" i="9" s="1"/>
  <c r="CE382" i="9" s="1"/>
  <c r="GM499" i="9"/>
  <c r="HG499" i="9" s="1"/>
  <c r="CE499" i="9" s="1"/>
  <c r="GK521" i="9"/>
  <c r="HE521" i="9" s="1"/>
  <c r="CC521" i="9" s="1"/>
  <c r="GM429" i="9"/>
  <c r="HG429" i="9" s="1"/>
  <c r="CE429" i="9" s="1"/>
  <c r="GK25" i="9"/>
  <c r="HE25" i="9" s="1"/>
  <c r="CC25" i="9" s="1"/>
  <c r="GM395" i="9"/>
  <c r="HG395" i="9" s="1"/>
  <c r="CE395" i="9" s="1"/>
  <c r="GM389" i="9"/>
  <c r="HG389" i="9" s="1"/>
  <c r="CE389" i="9" s="1"/>
  <c r="GK430" i="9"/>
  <c r="HE430" i="9" s="1"/>
  <c r="CC430" i="9" s="1"/>
  <c r="GK512" i="9"/>
  <c r="HE512" i="9" s="1"/>
  <c r="CC512" i="9" s="1"/>
  <c r="GM532" i="9"/>
  <c r="HG532" i="9" s="1"/>
  <c r="CE532" i="9" s="1"/>
  <c r="GK265" i="9"/>
  <c r="HE265" i="9" s="1"/>
  <c r="CC265" i="9" s="1"/>
  <c r="GM29" i="9"/>
  <c r="HG29" i="9" s="1"/>
  <c r="CE29" i="9" s="1"/>
  <c r="GM433" i="9"/>
  <c r="HG433" i="9" s="1"/>
  <c r="CE433" i="9" s="1"/>
  <c r="GM383" i="9"/>
  <c r="HG383" i="9" s="1"/>
  <c r="CE383" i="9" s="1"/>
  <c r="GK390" i="9"/>
  <c r="HE390" i="9" s="1"/>
  <c r="CC390" i="9" s="1"/>
  <c r="GK385" i="9"/>
  <c r="HE385" i="9" s="1"/>
  <c r="CC385" i="9" s="1"/>
  <c r="GK443" i="9"/>
  <c r="HE443" i="9" s="1"/>
  <c r="CC443" i="9" s="1"/>
  <c r="GK274" i="9"/>
  <c r="HE274" i="9" s="1"/>
  <c r="CC274" i="9" s="1"/>
  <c r="GM542" i="9"/>
  <c r="HG542" i="9" s="1"/>
  <c r="CE542" i="9" s="1"/>
  <c r="GM328" i="9"/>
  <c r="HG328" i="9" s="1"/>
  <c r="CE328" i="9" s="1"/>
  <c r="GK332" i="9"/>
  <c r="HE332" i="9" s="1"/>
  <c r="CC332" i="9" s="1"/>
  <c r="GK427" i="9"/>
  <c r="HE427" i="9" s="1"/>
  <c r="CC427" i="9" s="1"/>
  <c r="GM558" i="9"/>
  <c r="HG558" i="9" s="1"/>
  <c r="CE558" i="9" s="1"/>
  <c r="GK535" i="9"/>
  <c r="HE535" i="9"/>
  <c r="CC535" i="9" s="1"/>
  <c r="GK75" i="9"/>
  <c r="HE75" i="9" s="1"/>
  <c r="CC75" i="9" s="1"/>
  <c r="GK436" i="9"/>
  <c r="HE436" i="9" s="1"/>
  <c r="CC436" i="9" s="1"/>
  <c r="GM52" i="9"/>
  <c r="HG52" i="9" s="1"/>
  <c r="CE52" i="9" s="1"/>
  <c r="GK302" i="9"/>
  <c r="HE302" i="9" s="1"/>
  <c r="CC302" i="9" s="1"/>
  <c r="GK544" i="9"/>
  <c r="HE544" i="9" s="1"/>
  <c r="CC544" i="9" s="1"/>
  <c r="GM276" i="9"/>
  <c r="HG276" i="9" s="1"/>
  <c r="CE276" i="9" s="1"/>
  <c r="GK331" i="9"/>
  <c r="HE331" i="9" s="1"/>
  <c r="CC331" i="9" s="1"/>
  <c r="GM450" i="9"/>
  <c r="HG450" i="9"/>
  <c r="CE450" i="9" s="1"/>
  <c r="GK529" i="9"/>
  <c r="HE529" i="9" s="1"/>
  <c r="CC529" i="9" s="1"/>
  <c r="GK32" i="9"/>
  <c r="HE32" i="9" s="1"/>
  <c r="CC32" i="9" s="1"/>
  <c r="GM44" i="9"/>
  <c r="HG44" i="9" s="1"/>
  <c r="CE44" i="9" s="1"/>
  <c r="GM427" i="9"/>
  <c r="HG427" i="9" s="1"/>
  <c r="CE427" i="9" s="1"/>
  <c r="GM285" i="9"/>
  <c r="HG285" i="9" s="1"/>
  <c r="CE285" i="9" s="1"/>
  <c r="GM412" i="9"/>
  <c r="HG412" i="9" s="1"/>
  <c r="CE412" i="9" s="1"/>
  <c r="GK570" i="9"/>
  <c r="HE570" i="9" s="1"/>
  <c r="CC570" i="9" s="1"/>
  <c r="GK271" i="9"/>
  <c r="HE271" i="9" s="1"/>
  <c r="CC271" i="9" s="1"/>
  <c r="GK292" i="9"/>
  <c r="HE292" i="9" s="1"/>
  <c r="CC292" i="9" s="1"/>
  <c r="GK423" i="9"/>
  <c r="HE423" i="9" s="1"/>
  <c r="CC423" i="9" s="1"/>
  <c r="GK80" i="9"/>
  <c r="HE80" i="9" s="1"/>
  <c r="CC80" i="9" s="1"/>
  <c r="P22" i="4"/>
  <c r="BH10" i="4"/>
  <c r="AU75" i="5"/>
  <c r="CR523" i="5" s="1"/>
  <c r="CQ392" i="5"/>
  <c r="AJ70" i="5"/>
  <c r="CR392" i="5" s="1"/>
  <c r="CQ369" i="5"/>
  <c r="CQ513" i="5"/>
  <c r="AU65" i="5"/>
  <c r="CR513" i="5" s="1"/>
  <c r="CQ397" i="5"/>
  <c r="AJ75" i="5"/>
  <c r="CR397" i="5" s="1"/>
  <c r="CQ551" i="5"/>
  <c r="AW75" i="5"/>
  <c r="CR551" i="5"/>
  <c r="CQ387" i="5"/>
  <c r="AJ65" i="5"/>
  <c r="CR387" i="5" s="1"/>
  <c r="CQ326" i="5"/>
  <c r="CQ541" i="5"/>
  <c r="AW65" i="5"/>
  <c r="CR541" i="5"/>
  <c r="CQ258" i="5"/>
  <c r="Z76" i="5"/>
  <c r="CR258" i="5" s="1"/>
  <c r="AF71" i="5"/>
  <c r="CR337" i="5" s="1"/>
  <c r="CQ340" i="5"/>
  <c r="AF74" i="5"/>
  <c r="CR340" i="5"/>
  <c r="CQ451" i="5"/>
  <c r="AP73" i="5"/>
  <c r="CR451" i="5" s="1"/>
  <c r="U64" i="10"/>
  <c r="DD57" i="10" s="1"/>
  <c r="BH7" i="4"/>
  <c r="BF8" i="4"/>
  <c r="BI9" i="4"/>
  <c r="BN162" i="3" a="1"/>
  <c r="BN162" i="3" s="1"/>
  <c r="BK162" i="3" s="1"/>
  <c r="BN121" i="3" a="1"/>
  <c r="BN121" i="3" s="1"/>
  <c r="BK121" i="3" s="1"/>
  <c r="BN147" i="3" a="1"/>
  <c r="BN147" i="3" s="1"/>
  <c r="BK147" i="3" s="1"/>
  <c r="BN168" i="3" a="1"/>
  <c r="BN168" i="3" s="1"/>
  <c r="BK168" i="3" s="1"/>
  <c r="AB126" i="3"/>
  <c r="BO168" i="3" s="1" a="1"/>
  <c r="BO168" i="3" s="1"/>
  <c r="BL168" i="3" s="1"/>
  <c r="GK13" i="9"/>
  <c r="HE13" i="9" s="1"/>
  <c r="CC13" i="9" s="1"/>
  <c r="GQ73" i="9"/>
  <c r="GR73" i="9"/>
  <c r="GS73" i="9" s="1"/>
  <c r="GT73" i="9" s="1"/>
  <c r="GU73" i="9" s="1"/>
  <c r="GV73" i="9" s="1"/>
  <c r="GQ591" i="9"/>
  <c r="GR591" i="9" s="1"/>
  <c r="GS591" i="9" s="1"/>
  <c r="GT591" i="9" s="1"/>
  <c r="GU591" i="9" s="1"/>
  <c r="GV591" i="9" s="1"/>
  <c r="GQ600" i="9"/>
  <c r="GR600" i="9" s="1"/>
  <c r="GS600" i="9" s="1"/>
  <c r="GT600" i="9" s="1"/>
  <c r="GU600" i="9" s="1"/>
  <c r="GV600" i="9" s="1"/>
  <c r="GW600" i="9" s="1"/>
  <c r="HF600" i="9" s="1"/>
  <c r="GD630" i="9"/>
  <c r="GE630" i="9" s="1"/>
  <c r="GF630" i="9" s="1"/>
  <c r="GG630" i="9" s="1"/>
  <c r="GD121" i="9"/>
  <c r="GE121" i="9" s="1"/>
  <c r="GF121" i="9" s="1"/>
  <c r="GG121" i="9" s="1"/>
  <c r="GQ97" i="9"/>
  <c r="GR97" i="9"/>
  <c r="GS97" i="9" s="1"/>
  <c r="GT97" i="9" s="1"/>
  <c r="GU97" i="9" s="1"/>
  <c r="GV97" i="9" s="1"/>
  <c r="GQ89" i="9"/>
  <c r="GR89" i="9" s="1"/>
  <c r="GS89" i="9" s="1"/>
  <c r="GT89" i="9" s="1"/>
  <c r="GU89" i="9" s="1"/>
  <c r="GV89" i="9" s="1"/>
  <c r="GG89" i="9"/>
  <c r="GH89" i="9" s="1"/>
  <c r="GI89" i="9" s="1"/>
  <c r="GQ452" i="9"/>
  <c r="GR452" i="9" s="1"/>
  <c r="GS452" i="9" s="1"/>
  <c r="GT452" i="9" s="1"/>
  <c r="GU452" i="9" s="1"/>
  <c r="GV452" i="9" s="1"/>
  <c r="GQ468" i="9"/>
  <c r="GR468" i="9" s="1"/>
  <c r="GS468" i="9" s="1"/>
  <c r="GT468" i="9" s="1"/>
  <c r="GU468" i="9" s="1"/>
  <c r="GV468" i="9" s="1"/>
  <c r="GQ601" i="9"/>
  <c r="GR601" i="9" s="1"/>
  <c r="GS601" i="9" s="1"/>
  <c r="GT601" i="9" s="1"/>
  <c r="GU601" i="9" s="1"/>
  <c r="GV601" i="9" s="1"/>
  <c r="GE112" i="9"/>
  <c r="GF112" i="9" s="1"/>
  <c r="GG112" i="9" s="1"/>
  <c r="GR295" i="9"/>
  <c r="GS295" i="9" s="1"/>
  <c r="GT295" i="9" s="1"/>
  <c r="GU295" i="9" s="1"/>
  <c r="GV295" i="9" s="1"/>
  <c r="GQ578" i="9"/>
  <c r="GR578" i="9" s="1"/>
  <c r="GS578" i="9" s="1"/>
  <c r="GT578" i="9" s="1"/>
  <c r="GU578" i="9" s="1"/>
  <c r="GV578" i="9" s="1"/>
  <c r="GQ610" i="9"/>
  <c r="GR610" i="9" s="1"/>
  <c r="GS610" i="9" s="1"/>
  <c r="GT610" i="9" s="1"/>
  <c r="GU610" i="9" s="1"/>
  <c r="GV610" i="9" s="1"/>
  <c r="GQ87" i="9"/>
  <c r="GR87" i="9" s="1"/>
  <c r="GS87" i="9" s="1"/>
  <c r="GT87" i="9" s="1"/>
  <c r="GU87" i="9" s="1"/>
  <c r="GV87" i="9" s="1"/>
  <c r="GD454" i="9"/>
  <c r="GE454" i="9" s="1"/>
  <c r="GF454" i="9" s="1"/>
  <c r="GG454" i="9" s="1"/>
  <c r="GH454" i="9" s="1"/>
  <c r="GI454" i="9" s="1"/>
  <c r="GQ576" i="9"/>
  <c r="GR576" i="9" s="1"/>
  <c r="GS576" i="9" s="1"/>
  <c r="GT576" i="9" s="1"/>
  <c r="GU576" i="9" s="1"/>
  <c r="GV576" i="9" s="1"/>
  <c r="GD487" i="9"/>
  <c r="GE487" i="9" s="1"/>
  <c r="GF487" i="9" s="1"/>
  <c r="GG487" i="9" s="1"/>
  <c r="GH487" i="9" s="1"/>
  <c r="GI487" i="9" s="1"/>
  <c r="AF108" i="5"/>
  <c r="CT342" i="5" s="1"/>
  <c r="K72" i="12"/>
  <c r="AK20" i="10"/>
  <c r="CR108" i="10"/>
  <c r="O102" i="5"/>
  <c r="AE102" i="5"/>
  <c r="CT322" i="5"/>
  <c r="AI19" i="10"/>
  <c r="U99" i="5"/>
  <c r="AK99" i="5"/>
  <c r="BA99" i="5"/>
  <c r="CT599" i="5" s="1"/>
  <c r="T105" i="5"/>
  <c r="AJ105" i="5"/>
  <c r="AZ105" i="5"/>
  <c r="CT591" i="5"/>
  <c r="CS452" i="5"/>
  <c r="AX99" i="5"/>
  <c r="CT557" i="5" s="1"/>
  <c r="P102" i="5"/>
  <c r="AF102" i="5"/>
  <c r="CT336" i="5"/>
  <c r="O97" i="5"/>
  <c r="CT121" i="5" s="1"/>
  <c r="AW102" i="5"/>
  <c r="CT546" i="5" s="1"/>
  <c r="BA101" i="5"/>
  <c r="CT601" i="5" s="1"/>
  <c r="AP19" i="10"/>
  <c r="AM20" i="10"/>
  <c r="AK104" i="5"/>
  <c r="BA104" i="5"/>
  <c r="CT604" i="5" s="1"/>
  <c r="T108" i="5"/>
  <c r="AJ108" i="5"/>
  <c r="CT398" i="5" s="1"/>
  <c r="AZ108" i="5"/>
  <c r="CT594" i="5"/>
  <c r="AG20" i="10"/>
  <c r="CR8" i="10"/>
  <c r="AM19" i="10"/>
  <c r="AJ20" i="10"/>
  <c r="AY104" i="5"/>
  <c r="CT576" i="5"/>
  <c r="Z80" i="10"/>
  <c r="CW201" i="10"/>
  <c r="AP20" i="10"/>
  <c r="CR258" i="10"/>
  <c r="AK19" i="10"/>
  <c r="CR107" i="10"/>
  <c r="T104" i="5"/>
  <c r="AJ104" i="5"/>
  <c r="AZ104" i="5"/>
  <c r="CT590" i="5" s="1"/>
  <c r="CP11" i="12"/>
  <c r="CS11" i="12"/>
  <c r="CR11" i="12"/>
  <c r="DK145" i="5" s="1"/>
  <c r="CQ11" i="12"/>
  <c r="O105" i="5"/>
  <c r="AE105" i="5"/>
  <c r="CT325" i="5"/>
  <c r="J388" i="9"/>
  <c r="HL388" i="9"/>
  <c r="HL387" i="9"/>
  <c r="CR232" i="10"/>
  <c r="CR207" i="10"/>
  <c r="K170" i="12"/>
  <c r="CS249" i="10"/>
  <c r="CS224" i="10"/>
  <c r="BF328" i="11"/>
  <c r="DI14" i="10"/>
  <c r="DI39" i="10"/>
  <c r="DI64" i="10"/>
  <c r="DI89" i="10"/>
  <c r="DI114" i="10"/>
  <c r="DI139" i="10"/>
  <c r="DI164" i="10"/>
  <c r="DI189" i="10"/>
  <c r="DI214" i="10"/>
  <c r="DI239" i="10"/>
  <c r="DI264" i="10"/>
  <c r="DI289" i="10"/>
  <c r="DI314" i="10"/>
  <c r="DI339" i="10"/>
  <c r="DI364" i="10"/>
  <c r="DI389" i="10"/>
  <c r="DI414" i="10"/>
  <c r="BH172" i="12"/>
  <c r="L158" i="12"/>
  <c r="BI172" i="12"/>
  <c r="BF325" i="11"/>
  <c r="DI11" i="10"/>
  <c r="DI36" i="10"/>
  <c r="DI61" i="10"/>
  <c r="DI86" i="10"/>
  <c r="DI111" i="10"/>
  <c r="DI136" i="10"/>
  <c r="DI161" i="10"/>
  <c r="DI186" i="10"/>
  <c r="DI211" i="10"/>
  <c r="DI236" i="10"/>
  <c r="DI261" i="10"/>
  <c r="DI286" i="10"/>
  <c r="DI311" i="10"/>
  <c r="DI336" i="10"/>
  <c r="DI361" i="10"/>
  <c r="DI386" i="10"/>
  <c r="DI411" i="10"/>
  <c r="K171" i="12"/>
  <c r="BH185" i="12"/>
  <c r="BF334" i="11"/>
  <c r="CS251" i="10"/>
  <c r="CS226" i="10"/>
  <c r="CS214" i="10"/>
  <c r="CS239" i="10"/>
  <c r="AQ19" i="10"/>
  <c r="CS252" i="10"/>
  <c r="CS227" i="10"/>
  <c r="BF342" i="11"/>
  <c r="DI28" i="10"/>
  <c r="DI53" i="10"/>
  <c r="DI78" i="10"/>
  <c r="DI103" i="10"/>
  <c r="DI128" i="10"/>
  <c r="DI153" i="10"/>
  <c r="DI178" i="10"/>
  <c r="DI203" i="10"/>
  <c r="DI228" i="10"/>
  <c r="DI253" i="10"/>
  <c r="DI278" i="10"/>
  <c r="DI303" i="10"/>
  <c r="DI328" i="10"/>
  <c r="DI353" i="10"/>
  <c r="DI378" i="10"/>
  <c r="DI403" i="10"/>
  <c r="DI428" i="10"/>
  <c r="CS229" i="10"/>
  <c r="CS254" i="10"/>
  <c r="CS184" i="10"/>
  <c r="BH179" i="12"/>
  <c r="L165" i="12"/>
  <c r="BI179" i="12"/>
  <c r="BF321" i="11"/>
  <c r="DI7" i="10"/>
  <c r="DI32" i="10"/>
  <c r="DI57" i="10"/>
  <c r="DI82" i="10"/>
  <c r="DI107" i="10"/>
  <c r="DI132" i="10"/>
  <c r="DI157" i="10"/>
  <c r="DI182" i="10"/>
  <c r="DI207" i="10"/>
  <c r="DI232" i="10"/>
  <c r="DI257" i="10"/>
  <c r="DI282" i="10"/>
  <c r="DI307" i="10"/>
  <c r="DI332" i="10"/>
  <c r="DI357" i="10"/>
  <c r="DI382" i="10"/>
  <c r="DI407" i="10"/>
  <c r="CS240" i="10"/>
  <c r="CS215" i="10"/>
  <c r="K174" i="12"/>
  <c r="BF344" i="11"/>
  <c r="DI30" i="10"/>
  <c r="DI55" i="10"/>
  <c r="DI80" i="10"/>
  <c r="DI105" i="10"/>
  <c r="DI130" i="10"/>
  <c r="DI155" i="10"/>
  <c r="DI180" i="10"/>
  <c r="DI205" i="10"/>
  <c r="DI230" i="10"/>
  <c r="DI255" i="10"/>
  <c r="DI280" i="10"/>
  <c r="DI305" i="10"/>
  <c r="DI330" i="10"/>
  <c r="DI355" i="10"/>
  <c r="DI380" i="10"/>
  <c r="DI405" i="10"/>
  <c r="DI430" i="10"/>
  <c r="AH19" i="10"/>
  <c r="CS243" i="10"/>
  <c r="CS218" i="10"/>
  <c r="AD61" i="10"/>
  <c r="CH231" i="10"/>
  <c r="CH206" i="10"/>
  <c r="BF330" i="11"/>
  <c r="DI16" i="10"/>
  <c r="DI41" i="10"/>
  <c r="DI66" i="10"/>
  <c r="DI91" i="10"/>
  <c r="DI116" i="10"/>
  <c r="DI141" i="10"/>
  <c r="DI166" i="10"/>
  <c r="DI191" i="10"/>
  <c r="DI216" i="10"/>
  <c r="DI241" i="10"/>
  <c r="DI266" i="10"/>
  <c r="DI291" i="10"/>
  <c r="DI316" i="10"/>
  <c r="DI341" i="10"/>
  <c r="DI366" i="10"/>
  <c r="DI391" i="10"/>
  <c r="DI416" i="10"/>
  <c r="L162" i="12"/>
  <c r="BI176" i="12"/>
  <c r="BH176" i="12"/>
  <c r="CI206" i="10"/>
  <c r="CI231" i="10"/>
  <c r="K169" i="12"/>
  <c r="L169" i="12"/>
  <c r="BI183" i="12"/>
  <c r="BG337" i="11"/>
  <c r="BG338" i="11"/>
  <c r="BF336" i="11"/>
  <c r="DI22" i="10"/>
  <c r="DI47" i="10"/>
  <c r="DI72" i="10"/>
  <c r="DI97" i="10"/>
  <c r="DI122" i="10"/>
  <c r="DI147" i="10"/>
  <c r="DI172" i="10"/>
  <c r="DI197" i="10"/>
  <c r="DI222" i="10"/>
  <c r="DI247" i="10"/>
  <c r="DI272" i="10"/>
  <c r="DI297" i="10"/>
  <c r="DI322" i="10"/>
  <c r="DI347" i="10"/>
  <c r="DI372" i="10"/>
  <c r="DI397" i="10"/>
  <c r="DI422" i="10"/>
  <c r="K172" i="12"/>
  <c r="K177" i="12"/>
  <c r="BF343" i="11"/>
  <c r="DI29" i="10"/>
  <c r="DI54" i="10"/>
  <c r="DI79" i="10"/>
  <c r="DI104" i="10"/>
  <c r="DI129" i="10"/>
  <c r="DI154" i="10"/>
  <c r="DI179" i="10"/>
  <c r="DI204" i="10"/>
  <c r="DI229" i="10"/>
  <c r="DI254" i="10"/>
  <c r="DI279" i="10"/>
  <c r="DI304" i="10"/>
  <c r="DI329" i="10"/>
  <c r="DI354" i="10"/>
  <c r="DI379" i="10"/>
  <c r="DI404" i="10"/>
  <c r="DI429" i="10"/>
  <c r="CR208" i="10"/>
  <c r="CR233" i="10"/>
  <c r="CS253" i="10"/>
  <c r="CS228" i="10"/>
  <c r="CS210" i="10"/>
  <c r="CS235" i="10"/>
  <c r="CJ281" i="10"/>
  <c r="CJ331" i="10"/>
  <c r="CJ231" i="10"/>
  <c r="CJ206" i="10"/>
  <c r="CJ156" i="10"/>
  <c r="CJ131" i="10"/>
  <c r="CJ181" i="10"/>
  <c r="CJ106" i="10"/>
  <c r="CJ306" i="10"/>
  <c r="CJ56" i="10"/>
  <c r="CJ81" i="10"/>
  <c r="CJ256" i="10"/>
  <c r="CJ31" i="10"/>
  <c r="CS236" i="10"/>
  <c r="CS211" i="10"/>
  <c r="CS191" i="10"/>
  <c r="BH181" i="12"/>
  <c r="L167" i="12"/>
  <c r="BI181" i="12"/>
  <c r="K157" i="12"/>
  <c r="L173" i="12"/>
  <c r="BI187" i="12"/>
  <c r="BH187" i="12"/>
  <c r="AN20" i="10"/>
  <c r="AG19" i="10"/>
  <c r="CS221" i="10"/>
  <c r="CS246" i="10"/>
  <c r="BF323" i="11"/>
  <c r="DI9" i="10"/>
  <c r="DI34" i="10"/>
  <c r="DI59" i="10"/>
  <c r="DI84" i="10"/>
  <c r="DI109" i="10"/>
  <c r="DI134" i="10"/>
  <c r="DI159" i="10"/>
  <c r="DI184" i="10"/>
  <c r="DI209" i="10"/>
  <c r="DI234" i="10"/>
  <c r="DI259" i="10"/>
  <c r="DI284" i="10"/>
  <c r="DI309" i="10"/>
  <c r="DI334" i="10"/>
  <c r="DI359" i="10"/>
  <c r="DI384" i="10"/>
  <c r="DI409" i="10"/>
  <c r="AN19" i="10"/>
  <c r="AR20" i="10"/>
  <c r="AQ20" i="10"/>
  <c r="AI20" i="10"/>
  <c r="BF331" i="11"/>
  <c r="DI17" i="10"/>
  <c r="DI42" i="10"/>
  <c r="DI67" i="10"/>
  <c r="DI92" i="10"/>
  <c r="DI117" i="10"/>
  <c r="DI142" i="10"/>
  <c r="DI167" i="10"/>
  <c r="DI192" i="10"/>
  <c r="DI217" i="10"/>
  <c r="DI242" i="10"/>
  <c r="DI267" i="10"/>
  <c r="DI292" i="10"/>
  <c r="DI317" i="10"/>
  <c r="DI342" i="10"/>
  <c r="DI367" i="10"/>
  <c r="DI392" i="10"/>
  <c r="DI417" i="10"/>
  <c r="CS248" i="10"/>
  <c r="CS223" i="10"/>
  <c r="CS209" i="10"/>
  <c r="CS234" i="10"/>
  <c r="S88" i="10"/>
  <c r="CS244" i="10"/>
  <c r="CS219" i="10"/>
  <c r="L166" i="12"/>
  <c r="BI180" i="12"/>
  <c r="BH180" i="12"/>
  <c r="CS245" i="10"/>
  <c r="CS220" i="10"/>
  <c r="AJ19" i="10"/>
  <c r="CK306" i="10"/>
  <c r="CK331" i="10"/>
  <c r="CK81" i="10"/>
  <c r="CK31" i="10"/>
  <c r="L168" i="12"/>
  <c r="BI182" i="12"/>
  <c r="BH182" i="12"/>
  <c r="CS201" i="10"/>
  <c r="CS250" i="10"/>
  <c r="CS225" i="10"/>
  <c r="AH20" i="10"/>
  <c r="CS222" i="10"/>
  <c r="CS247" i="10"/>
  <c r="BF329" i="11"/>
  <c r="DI15" i="10"/>
  <c r="DI40" i="10"/>
  <c r="DI65" i="10"/>
  <c r="DI90" i="10"/>
  <c r="DI115" i="10"/>
  <c r="DI140" i="10"/>
  <c r="DI165" i="10"/>
  <c r="DI190" i="10"/>
  <c r="DI215" i="10"/>
  <c r="DI240" i="10"/>
  <c r="DI265" i="10"/>
  <c r="DI290" i="10"/>
  <c r="DI315" i="10"/>
  <c r="DI340" i="10"/>
  <c r="DI365" i="10"/>
  <c r="DI390" i="10"/>
  <c r="DI415" i="10"/>
  <c r="CS241" i="10"/>
  <c r="CS216" i="10"/>
  <c r="BG341" i="11"/>
  <c r="U87" i="10"/>
  <c r="CR57" i="10"/>
  <c r="BF327" i="11"/>
  <c r="DI13" i="10"/>
  <c r="DI38" i="10"/>
  <c r="DI63" i="10"/>
  <c r="DI88" i="10"/>
  <c r="DI113" i="10"/>
  <c r="DI138" i="10"/>
  <c r="DI163" i="10"/>
  <c r="DI188" i="10"/>
  <c r="DI213" i="10"/>
  <c r="DI238" i="10"/>
  <c r="DI263" i="10"/>
  <c r="DI288" i="10"/>
  <c r="DI313" i="10"/>
  <c r="DI338" i="10"/>
  <c r="DI363" i="10"/>
  <c r="DI388" i="10"/>
  <c r="DI413" i="10"/>
  <c r="CS242" i="10"/>
  <c r="CS217" i="10"/>
  <c r="W12" i="4"/>
  <c r="BQ12" i="4"/>
  <c r="AP104" i="5"/>
  <c r="CT450" i="5" s="1"/>
  <c r="AY105" i="5"/>
  <c r="CT577" i="5"/>
  <c r="U98" i="5"/>
  <c r="CT206" i="5" s="1"/>
  <c r="AK98" i="5"/>
  <c r="BA98" i="5"/>
  <c r="CT598" i="5"/>
  <c r="U107" i="5"/>
  <c r="AK107" i="5"/>
  <c r="BA107" i="5"/>
  <c r="CT607" i="5"/>
  <c r="AK102" i="5"/>
  <c r="BA102" i="5"/>
  <c r="CT602" i="5" s="1"/>
  <c r="AK103" i="5"/>
  <c r="BA103" i="5"/>
  <c r="CT603" i="5" s="1"/>
  <c r="AJ102" i="5"/>
  <c r="AZ102" i="5"/>
  <c r="CT588" i="5" s="1"/>
  <c r="T97" i="5"/>
  <c r="AJ97" i="5"/>
  <c r="AZ97" i="5"/>
  <c r="CT583" i="5" s="1"/>
  <c r="U108" i="5"/>
  <c r="AK108" i="5"/>
  <c r="BA108" i="5"/>
  <c r="CT608" i="5" s="1"/>
  <c r="T99" i="5"/>
  <c r="AJ99" i="5"/>
  <c r="CT389" i="5" s="1"/>
  <c r="AZ99" i="5"/>
  <c r="CT585" i="5"/>
  <c r="CT404" i="5"/>
  <c r="BA100" i="5"/>
  <c r="CT600" i="5" s="1"/>
  <c r="CT393" i="5"/>
  <c r="AZ103" i="5"/>
  <c r="CT589" i="5"/>
  <c r="T101" i="5"/>
  <c r="AJ101" i="5"/>
  <c r="AZ101" i="5"/>
  <c r="CT587" i="5"/>
  <c r="T106" i="5"/>
  <c r="AJ106" i="5"/>
  <c r="AZ106" i="5"/>
  <c r="CT592" i="5"/>
  <c r="AZ100" i="5"/>
  <c r="CT586" i="5" s="1"/>
  <c r="AZ107" i="5"/>
  <c r="CT593" i="5"/>
  <c r="U106" i="5"/>
  <c r="CT214" i="5" s="1"/>
  <c r="AK106" i="5"/>
  <c r="BA106" i="5"/>
  <c r="CT606" i="5" s="1"/>
  <c r="W7" i="4"/>
  <c r="BP12" i="4" s="1"/>
  <c r="BE109" i="12"/>
  <c r="BE113" i="12"/>
  <c r="BE117" i="12"/>
  <c r="BE121" i="12"/>
  <c r="BE125" i="12"/>
  <c r="BE129" i="12"/>
  <c r="BE133" i="12"/>
  <c r="BE137" i="12"/>
  <c r="BE141" i="12"/>
  <c r="BE145" i="12"/>
  <c r="BC26" i="12"/>
  <c r="CM26" i="12"/>
  <c r="CM25" i="12"/>
  <c r="AV108" i="5"/>
  <c r="CT538" i="5"/>
  <c r="DY15" i="12"/>
  <c r="DZ15" i="12"/>
  <c r="EA15" i="12"/>
  <c r="AJ14" i="12"/>
  <c r="AJ12" i="12"/>
  <c r="AJ13" i="12"/>
  <c r="BE106" i="12"/>
  <c r="BE110" i="12"/>
  <c r="BE114" i="12"/>
  <c r="BE118" i="12"/>
  <c r="BE122" i="12"/>
  <c r="BE126" i="12"/>
  <c r="BE130" i="12"/>
  <c r="BE134" i="12"/>
  <c r="BE138" i="12"/>
  <c r="BE142" i="12"/>
  <c r="BE98" i="12"/>
  <c r="BE99" i="12"/>
  <c r="BE107" i="12"/>
  <c r="BE111" i="12"/>
  <c r="BE115" i="12"/>
  <c r="BE119" i="12"/>
  <c r="BE123" i="12"/>
  <c r="BE127" i="12"/>
  <c r="BE131" i="12"/>
  <c r="BE135" i="12"/>
  <c r="BE139" i="12"/>
  <c r="BE143" i="12"/>
  <c r="AU102" i="5"/>
  <c r="CT518" i="5" s="1"/>
  <c r="K73" i="12"/>
  <c r="CR257" i="10"/>
  <c r="CR158" i="10"/>
  <c r="CR83" i="10"/>
  <c r="CR157" i="10"/>
  <c r="CW8" i="10"/>
  <c r="DD30" i="10"/>
  <c r="CR58" i="10"/>
  <c r="U88" i="10"/>
  <c r="BH186" i="12"/>
  <c r="L172" i="12"/>
  <c r="BI186" i="12" s="1"/>
  <c r="BH188" i="12"/>
  <c r="L174" i="12"/>
  <c r="BI188" i="12"/>
  <c r="CR283" i="10"/>
  <c r="CW57" i="10"/>
  <c r="DD79" i="10"/>
  <c r="CR7" i="10"/>
  <c r="BF333" i="11"/>
  <c r="DI19" i="10"/>
  <c r="DI44" i="10"/>
  <c r="DI69" i="10"/>
  <c r="DI94" i="10"/>
  <c r="DI119" i="10"/>
  <c r="DI144" i="10"/>
  <c r="DI169" i="10"/>
  <c r="DI194" i="10"/>
  <c r="DI219" i="10"/>
  <c r="DI244" i="10"/>
  <c r="DI269" i="10"/>
  <c r="DI294" i="10"/>
  <c r="DI319" i="10"/>
  <c r="DI344" i="10"/>
  <c r="DI369" i="10"/>
  <c r="DI394" i="10"/>
  <c r="DI419" i="10"/>
  <c r="CR82" i="10"/>
  <c r="CR308" i="10"/>
  <c r="CR183" i="10"/>
  <c r="CR32" i="10"/>
  <c r="BH184" i="12"/>
  <c r="L170" i="12"/>
  <c r="BI184" i="12" s="1"/>
  <c r="CR182" i="10"/>
  <c r="K159" i="12"/>
  <c r="L159" i="12"/>
  <c r="BI173" i="12" s="1"/>
  <c r="BF322" i="11"/>
  <c r="BF332" i="11"/>
  <c r="DI18" i="10"/>
  <c r="DI43" i="10"/>
  <c r="DI68" i="10"/>
  <c r="DI93" i="10"/>
  <c r="DI118" i="10"/>
  <c r="DI143" i="10"/>
  <c r="DI168" i="10"/>
  <c r="DI193" i="10"/>
  <c r="DI218" i="10"/>
  <c r="DI243" i="10"/>
  <c r="DI268" i="10"/>
  <c r="DI293" i="10"/>
  <c r="DI318" i="10"/>
  <c r="DI343" i="10"/>
  <c r="DI368" i="10"/>
  <c r="DI393" i="10"/>
  <c r="DI418" i="10"/>
  <c r="L171" i="12"/>
  <c r="BI185" i="12" s="1"/>
  <c r="BF340" i="11"/>
  <c r="DI26" i="10"/>
  <c r="DI51" i="10"/>
  <c r="DI76" i="10"/>
  <c r="DI101" i="10"/>
  <c r="DI126" i="10"/>
  <c r="DI151" i="10"/>
  <c r="DI176" i="10"/>
  <c r="DI201" i="10"/>
  <c r="DI226" i="10"/>
  <c r="DI251" i="10"/>
  <c r="DI276" i="10"/>
  <c r="DI301" i="10"/>
  <c r="DI326" i="10"/>
  <c r="DI351" i="10"/>
  <c r="DI376" i="10"/>
  <c r="DI401" i="10"/>
  <c r="DI426" i="10"/>
  <c r="BH171" i="12"/>
  <c r="L157" i="12"/>
  <c r="BI171" i="12"/>
  <c r="K178" i="12"/>
  <c r="BH192" i="12"/>
  <c r="BH183" i="12"/>
  <c r="K175" i="12"/>
  <c r="CR282" i="10"/>
  <c r="T88" i="10"/>
  <c r="CR33" i="10"/>
  <c r="BF320" i="11"/>
  <c r="DI6" i="10"/>
  <c r="DI31" i="10"/>
  <c r="DI56" i="10"/>
  <c r="DI81" i="10"/>
  <c r="DI106" i="10"/>
  <c r="DI131" i="10"/>
  <c r="DI156" i="10"/>
  <c r="DI181" i="10"/>
  <c r="DI206" i="10"/>
  <c r="DI231" i="10"/>
  <c r="DI256" i="10"/>
  <c r="DI281" i="10"/>
  <c r="DI306" i="10"/>
  <c r="DI331" i="10"/>
  <c r="DI356" i="10"/>
  <c r="DI381" i="10"/>
  <c r="DI406" i="10"/>
  <c r="BF335" i="11"/>
  <c r="DI21" i="10"/>
  <c r="DI46" i="10"/>
  <c r="DI71" i="10"/>
  <c r="DI96" i="10"/>
  <c r="DI121" i="10"/>
  <c r="DI146" i="10"/>
  <c r="DI171" i="10"/>
  <c r="DI196" i="10"/>
  <c r="DI221" i="10"/>
  <c r="DI246" i="10"/>
  <c r="DI271" i="10"/>
  <c r="DI296" i="10"/>
  <c r="DI321" i="10"/>
  <c r="DI346" i="10"/>
  <c r="DI371" i="10"/>
  <c r="DI396" i="10"/>
  <c r="DI421" i="10"/>
  <c r="BF337" i="11"/>
  <c r="DI23" i="10"/>
  <c r="DI48" i="10"/>
  <c r="DI73" i="10"/>
  <c r="DI98" i="10"/>
  <c r="DI123" i="10"/>
  <c r="DI148" i="10"/>
  <c r="DI173" i="10"/>
  <c r="DI198" i="10"/>
  <c r="DI223" i="10"/>
  <c r="DI248" i="10"/>
  <c r="DI273" i="10"/>
  <c r="DI298" i="10"/>
  <c r="DI323" i="10"/>
  <c r="DI348" i="10"/>
  <c r="DI373" i="10"/>
  <c r="DI398" i="10"/>
  <c r="DI423" i="10"/>
  <c r="AG72" i="5"/>
  <c r="CR352" i="5" s="1"/>
  <c r="CQ324" i="5"/>
  <c r="CW58" i="10"/>
  <c r="DD80" i="10"/>
  <c r="BF338" i="11"/>
  <c r="DI24" i="10"/>
  <c r="DI49" i="10"/>
  <c r="DI74" i="10"/>
  <c r="DI99" i="10"/>
  <c r="DI124" i="10"/>
  <c r="DI149" i="10"/>
  <c r="DI174" i="10"/>
  <c r="DI199" i="10"/>
  <c r="DI224" i="10"/>
  <c r="DI249" i="10"/>
  <c r="DI274" i="10"/>
  <c r="DI299" i="10"/>
  <c r="DI324" i="10"/>
  <c r="DI349" i="10"/>
  <c r="DI374" i="10"/>
  <c r="DI399" i="10"/>
  <c r="DI424" i="10"/>
  <c r="BF341" i="11"/>
  <c r="DI27" i="10"/>
  <c r="DI52" i="10"/>
  <c r="DI77" i="10"/>
  <c r="DI102" i="10"/>
  <c r="DI127" i="10"/>
  <c r="DI152" i="10"/>
  <c r="DI177" i="10"/>
  <c r="DI202" i="10"/>
  <c r="DI227" i="10"/>
  <c r="DI252" i="10"/>
  <c r="DI277" i="10"/>
  <c r="DI302" i="10"/>
  <c r="DI327" i="10"/>
  <c r="DI352" i="10"/>
  <c r="DI377" i="10"/>
  <c r="DI402" i="10"/>
  <c r="DI427" i="10"/>
  <c r="CW33" i="10"/>
  <c r="DD55" i="10"/>
  <c r="BH189" i="12"/>
  <c r="L175" i="12"/>
  <c r="BI189" i="12"/>
  <c r="L177" i="12"/>
  <c r="BI191" i="12" s="1"/>
  <c r="BH191" i="12"/>
  <c r="K176" i="12"/>
  <c r="BH175" i="12"/>
  <c r="L161" i="12"/>
  <c r="BI175" i="12"/>
  <c r="BH177" i="12"/>
  <c r="BH173" i="12"/>
  <c r="BG335" i="11"/>
  <c r="DI12" i="10"/>
  <c r="DI37" i="10"/>
  <c r="DI62" i="10"/>
  <c r="DI87" i="10"/>
  <c r="DI112" i="10"/>
  <c r="DI137" i="10"/>
  <c r="DI162" i="10"/>
  <c r="DI187" i="10"/>
  <c r="DI212" i="10"/>
  <c r="DI237" i="10"/>
  <c r="DI262" i="10"/>
  <c r="DI287" i="10"/>
  <c r="DI312" i="10"/>
  <c r="DI337" i="10"/>
  <c r="DI362" i="10"/>
  <c r="DI387" i="10"/>
  <c r="DI412" i="10"/>
  <c r="BG323" i="11"/>
  <c r="L178" i="12"/>
  <c r="BI192" i="12" s="1"/>
  <c r="DI8" i="10"/>
  <c r="DI33" i="10"/>
  <c r="DI58" i="10"/>
  <c r="DI83" i="10"/>
  <c r="DI108" i="10"/>
  <c r="DI133" i="10"/>
  <c r="DI158" i="10"/>
  <c r="DI183" i="10"/>
  <c r="DI208" i="10"/>
  <c r="DI233" i="10"/>
  <c r="DI258" i="10"/>
  <c r="DI283" i="10"/>
  <c r="DI308" i="10"/>
  <c r="DI333" i="10"/>
  <c r="DI358" i="10"/>
  <c r="DI383" i="10"/>
  <c r="DI408" i="10"/>
  <c r="BH178" i="12"/>
  <c r="BH174" i="12"/>
  <c r="DI20" i="10"/>
  <c r="DI45" i="10"/>
  <c r="DI70" i="10"/>
  <c r="DI95" i="10"/>
  <c r="DI120" i="10"/>
  <c r="DI145" i="10"/>
  <c r="DI170" i="10"/>
  <c r="DI195" i="10"/>
  <c r="DI220" i="10"/>
  <c r="DI245" i="10"/>
  <c r="DI270" i="10"/>
  <c r="DI295" i="10"/>
  <c r="DI320" i="10"/>
  <c r="DI345" i="10"/>
  <c r="DI370" i="10"/>
  <c r="DI395" i="10"/>
  <c r="DI420" i="10"/>
  <c r="L160" i="12"/>
  <c r="BI174" i="12"/>
  <c r="CK156" i="10"/>
  <c r="CK281" i="10"/>
  <c r="CK206" i="10"/>
  <c r="CK256" i="10"/>
  <c r="CK231" i="10"/>
  <c r="CK106" i="10"/>
  <c r="CK181" i="10"/>
  <c r="CK56" i="10"/>
  <c r="AJ17" i="12"/>
  <c r="CO40" i="12"/>
  <c r="BE28" i="12"/>
  <c r="BG28" i="12"/>
  <c r="AJ57" i="12"/>
  <c r="CO28" i="12"/>
  <c r="BE50" i="12"/>
  <c r="BG50" i="12"/>
  <c r="AJ47" i="12"/>
  <c r="AJ48" i="12"/>
  <c r="AH38" i="12"/>
  <c r="BE34" i="12"/>
  <c r="BG34" i="12"/>
  <c r="AJ38" i="12"/>
  <c r="CQ31" i="12"/>
  <c r="CS31" i="12"/>
  <c r="BE19" i="12"/>
  <c r="AJ69" i="12"/>
  <c r="AH62" i="12"/>
  <c r="S64" i="12"/>
  <c r="AH64" i="12"/>
  <c r="AJ64" i="12"/>
  <c r="AH70" i="12"/>
  <c r="AJ86" i="12"/>
  <c r="CO17" i="12"/>
  <c r="BE17" i="12"/>
  <c r="BG17" i="12"/>
  <c r="GQ613" i="9"/>
  <c r="GR613" i="9" s="1"/>
  <c r="GS613" i="9" s="1"/>
  <c r="GT613" i="9" s="1"/>
  <c r="GU613" i="9" s="1"/>
  <c r="GV613" i="9" s="1"/>
  <c r="GQ491" i="9"/>
  <c r="GR491" i="9" s="1"/>
  <c r="GS491" i="9" s="1"/>
  <c r="GT491" i="9" s="1"/>
  <c r="GU491" i="9" s="1"/>
  <c r="GV491" i="9" s="1"/>
  <c r="GQ479" i="9"/>
  <c r="GR479" i="9" s="1"/>
  <c r="GS479" i="9" s="1"/>
  <c r="GT479" i="9" s="1"/>
  <c r="GU479" i="9" s="1"/>
  <c r="GV479" i="9" s="1"/>
  <c r="CQ537" i="5"/>
  <c r="AV75" i="5"/>
  <c r="CR537" i="5" s="1"/>
  <c r="CQ378" i="5"/>
  <c r="AI70" i="5"/>
  <c r="CR378" i="5" s="1"/>
  <c r="AG75" i="5"/>
  <c r="CR355" i="5" s="1"/>
  <c r="CQ355" i="5"/>
  <c r="CR25" i="12"/>
  <c r="CS36" i="12"/>
  <c r="CS45" i="12"/>
  <c r="CS38" i="12"/>
  <c r="CQ35" i="12"/>
  <c r="CR30" i="12"/>
  <c r="CS25" i="12"/>
  <c r="CQ15" i="12"/>
  <c r="CS159" i="5"/>
  <c r="CQ395" i="5"/>
  <c r="CT216" i="5"/>
  <c r="CT208" i="5"/>
  <c r="CT202" i="5"/>
  <c r="CT194" i="5"/>
  <c r="R104" i="5"/>
  <c r="CT170" i="5" s="1"/>
  <c r="CS124" i="5"/>
  <c r="S98" i="5"/>
  <c r="CT178" i="5" s="1"/>
  <c r="CS210" i="5"/>
  <c r="CT160" i="5"/>
  <c r="Q100" i="5"/>
  <c r="CT152" i="5"/>
  <c r="T137" i="5"/>
  <c r="S106" i="5"/>
  <c r="CT186" i="5" s="1"/>
  <c r="CT150" i="5"/>
  <c r="CT199" i="5"/>
  <c r="CT149" i="5"/>
  <c r="CQ365" i="5"/>
  <c r="J99" i="5"/>
  <c r="CT53" i="5" s="1"/>
  <c r="Z99" i="5"/>
  <c r="CT249" i="5"/>
  <c r="AH100" i="5"/>
  <c r="CT362" i="5"/>
  <c r="AJ98" i="5"/>
  <c r="CT388" i="5"/>
  <c r="U97" i="5"/>
  <c r="AK97" i="5"/>
  <c r="CT401" i="5"/>
  <c r="Q106" i="5"/>
  <c r="AG106" i="5"/>
  <c r="CP13" i="12"/>
  <c r="R102" i="5"/>
  <c r="AH102" i="5"/>
  <c r="Z100" i="5"/>
  <c r="CT411" i="5"/>
  <c r="J98" i="5"/>
  <c r="CT52" i="5" s="1"/>
  <c r="Z98" i="5"/>
  <c r="AH108" i="5"/>
  <c r="CT406" i="5"/>
  <c r="AX101" i="5"/>
  <c r="CT559" i="5"/>
  <c r="CR33" i="12"/>
  <c r="CS52" i="12"/>
  <c r="CR35" i="12"/>
  <c r="CR36" i="12"/>
  <c r="CS33" i="12"/>
  <c r="CQ51" i="12"/>
  <c r="CS41" i="12"/>
  <c r="CR38" i="12"/>
  <c r="CQ14" i="12"/>
  <c r="CQ30" i="12"/>
  <c r="CQ29" i="12"/>
  <c r="CQ607" i="5"/>
  <c r="CQ354" i="5"/>
  <c r="O98" i="5"/>
  <c r="CT122" i="5" s="1"/>
  <c r="CQ563" i="5"/>
  <c r="P107" i="5"/>
  <c r="CT145" i="5"/>
  <c r="CT207" i="5"/>
  <c r="CS127" i="5"/>
  <c r="O107" i="5"/>
  <c r="CT131" i="5" s="1"/>
  <c r="CT193" i="5"/>
  <c r="CS57" i="5"/>
  <c r="U125" i="5"/>
  <c r="X125" i="5"/>
  <c r="W125" i="5" s="1"/>
  <c r="S103" i="5"/>
  <c r="CT183" i="5"/>
  <c r="CS61" i="5"/>
  <c r="CS151" i="5"/>
  <c r="CT129" i="5"/>
  <c r="CT191" i="5"/>
  <c r="CS55" i="5"/>
  <c r="CT201" i="5"/>
  <c r="Q99" i="5"/>
  <c r="CT151" i="5"/>
  <c r="V135" i="5"/>
  <c r="CT213" i="5"/>
  <c r="CT163" i="5"/>
  <c r="CT58" i="5"/>
  <c r="CS180" i="5"/>
  <c r="CS154" i="5"/>
  <c r="S107" i="5"/>
  <c r="AI107" i="5"/>
  <c r="R105" i="5"/>
  <c r="AH105" i="5"/>
  <c r="AH104" i="5"/>
  <c r="Z107" i="5"/>
  <c r="R98" i="5"/>
  <c r="AH98" i="5"/>
  <c r="CP27" i="12"/>
  <c r="AI99" i="5"/>
  <c r="CT375" i="5"/>
  <c r="S97" i="5"/>
  <c r="AI97" i="5"/>
  <c r="CT391" i="5"/>
  <c r="AG107" i="5"/>
  <c r="CR41" i="12"/>
  <c r="CR42" i="12"/>
  <c r="CR51" i="12"/>
  <c r="CR52" i="12"/>
  <c r="CP25" i="12"/>
  <c r="CQ36" i="12"/>
  <c r="CP35" i="12"/>
  <c r="CQ38" i="12"/>
  <c r="CP51" i="12"/>
  <c r="CS58" i="5"/>
  <c r="J102" i="5"/>
  <c r="CT56" i="5" s="1"/>
  <c r="AH74" i="5"/>
  <c r="CR368" i="5"/>
  <c r="S137" i="5"/>
  <c r="Q137" i="5"/>
  <c r="O137" i="5"/>
  <c r="V137" i="5"/>
  <c r="P106" i="5"/>
  <c r="CT144" i="5" s="1"/>
  <c r="CS140" i="5"/>
  <c r="O106" i="5"/>
  <c r="CT130" i="5" s="1"/>
  <c r="CS126" i="5"/>
  <c r="CR654" i="5"/>
  <c r="EN11" i="5"/>
  <c r="S102" i="5"/>
  <c r="CT182" i="5"/>
  <c r="CS150" i="5"/>
  <c r="Q104" i="5"/>
  <c r="CT156" i="5"/>
  <c r="CS202" i="5"/>
  <c r="CS54" i="5"/>
  <c r="CT200" i="5"/>
  <c r="CT164" i="5"/>
  <c r="CS196" i="5"/>
  <c r="O104" i="5"/>
  <c r="CT128" i="5"/>
  <c r="CS194" i="5"/>
  <c r="O103" i="5"/>
  <c r="CT127" i="5" s="1"/>
  <c r="CQ577" i="5"/>
  <c r="CS213" i="5"/>
  <c r="CS249" i="5"/>
  <c r="Z106" i="5"/>
  <c r="CR31" i="12"/>
  <c r="CQ13" i="12"/>
  <c r="R106" i="5"/>
  <c r="AH106" i="5"/>
  <c r="CT368" i="5"/>
  <c r="CT402" i="5"/>
  <c r="S108" i="5"/>
  <c r="AI108" i="5"/>
  <c r="CT384" i="5"/>
  <c r="CT396" i="5"/>
  <c r="BA97" i="5"/>
  <c r="CT597" i="5"/>
  <c r="CT412" i="5"/>
  <c r="BA105" i="5"/>
  <c r="CT605" i="5"/>
  <c r="AZ98" i="5"/>
  <c r="CT584" i="5"/>
  <c r="CR49" i="12"/>
  <c r="CR39" i="12"/>
  <c r="CQ32" i="12"/>
  <c r="CS49" i="12"/>
  <c r="CQ25" i="12"/>
  <c r="CQ42" i="12"/>
  <c r="CP33" i="12"/>
  <c r="CQ52" i="12"/>
  <c r="CP36" i="12"/>
  <c r="CQ396" i="5"/>
  <c r="CQ605" i="5"/>
  <c r="CS146" i="5"/>
  <c r="CQ336" i="5"/>
  <c r="AI76" i="5"/>
  <c r="CR384" i="5" s="1"/>
  <c r="CQ253" i="5"/>
  <c r="CQ323" i="5"/>
  <c r="CQ341" i="5"/>
  <c r="CQ536" i="5"/>
  <c r="R137" i="5"/>
  <c r="V134" i="5"/>
  <c r="U135" i="5"/>
  <c r="O135" i="5"/>
  <c r="CT171" i="5"/>
  <c r="CS153" i="5"/>
  <c r="CT157" i="5"/>
  <c r="J97" i="5"/>
  <c r="CT51" i="5" s="1"/>
  <c r="CS139" i="5"/>
  <c r="CR653" i="5"/>
  <c r="EN10" i="5"/>
  <c r="CT167" i="5"/>
  <c r="CS205" i="5"/>
  <c r="R103" i="5"/>
  <c r="CT169" i="5" s="1"/>
  <c r="CS137" i="5"/>
  <c r="J105" i="5"/>
  <c r="CT59" i="5"/>
  <c r="CT177" i="5"/>
  <c r="P103" i="5"/>
  <c r="CT141" i="5" s="1"/>
  <c r="CS187" i="5"/>
  <c r="CS53" i="5"/>
  <c r="CR658" i="5"/>
  <c r="EN15" i="5"/>
  <c r="CT126" i="5"/>
  <c r="CS206" i="5"/>
  <c r="CQ382" i="5"/>
  <c r="CT408" i="5"/>
  <c r="AG104" i="5"/>
  <c r="CT352" i="5"/>
  <c r="CP31" i="12"/>
  <c r="AI106" i="5"/>
  <c r="AG100" i="5"/>
  <c r="CT348" i="5"/>
  <c r="Z103" i="5"/>
  <c r="CT253" i="5" s="1"/>
  <c r="Z102" i="5"/>
  <c r="AI102" i="5"/>
  <c r="CQ39" i="12"/>
  <c r="CQ45" i="12"/>
  <c r="CQ48" i="12"/>
  <c r="CQ33" i="12"/>
  <c r="CP32" i="12"/>
  <c r="CS39" i="12"/>
  <c r="CP41" i="12"/>
  <c r="CP42" i="12"/>
  <c r="CP52" i="12"/>
  <c r="CQ564" i="5"/>
  <c r="CQ410" i="5"/>
  <c r="P97" i="5"/>
  <c r="CT135" i="5"/>
  <c r="CQ407" i="5"/>
  <c r="CS193" i="5"/>
  <c r="CQ353" i="5"/>
  <c r="CS135" i="5"/>
  <c r="CQ443" i="5"/>
  <c r="CQ453" i="5"/>
  <c r="CQ373" i="5"/>
  <c r="T134" i="5"/>
  <c r="O134" i="5"/>
  <c r="CT198" i="5"/>
  <c r="CT184" i="5"/>
  <c r="CS62" i="5"/>
  <c r="CS138" i="5"/>
  <c r="CT188" i="5"/>
  <c r="CT180" i="5"/>
  <c r="CS184" i="5"/>
  <c r="CT168" i="5"/>
  <c r="CS144" i="5"/>
  <c r="CS136" i="5"/>
  <c r="P104" i="5"/>
  <c r="CT142" i="5"/>
  <c r="CT140" i="5"/>
  <c r="CS60" i="5"/>
  <c r="CS52" i="5"/>
  <c r="CR657" i="5"/>
  <c r="EN14" i="5"/>
  <c r="J101" i="5"/>
  <c r="CT55" i="5"/>
  <c r="CS59" i="5"/>
  <c r="CT158" i="5"/>
  <c r="AG99" i="5"/>
  <c r="Z101" i="5"/>
  <c r="CT251" i="5"/>
  <c r="CT403" i="5"/>
  <c r="CT394" i="5"/>
  <c r="CQ27" i="12"/>
  <c r="AI103" i="5"/>
  <c r="Z105" i="5"/>
  <c r="S101" i="5"/>
  <c r="CT181" i="5" s="1"/>
  <c r="AI101" i="5"/>
  <c r="CT392" i="5"/>
  <c r="AG103" i="5"/>
  <c r="CT351" i="5"/>
  <c r="Z97" i="5"/>
  <c r="CT247" i="5" s="1"/>
  <c r="CS51" i="12"/>
  <c r="CP45" i="12"/>
  <c r="CP38" i="12"/>
  <c r="CS29" i="12"/>
  <c r="CP39" i="12"/>
  <c r="CS30" i="12"/>
  <c r="CR45" i="12"/>
  <c r="CR15" i="12"/>
  <c r="CR48" i="12"/>
  <c r="U134" i="5"/>
  <c r="J108" i="5"/>
  <c r="CT62" i="5" s="1"/>
  <c r="CS141" i="5"/>
  <c r="CR655" i="5"/>
  <c r="EN12" i="5"/>
  <c r="CT195" i="5"/>
  <c r="CS121" i="5"/>
  <c r="CS185" i="5"/>
  <c r="CS51" i="5"/>
  <c r="P105" i="5"/>
  <c r="CT143" i="5"/>
  <c r="CT205" i="5"/>
  <c r="CS125" i="5"/>
  <c r="CT215" i="5"/>
  <c r="P101" i="5"/>
  <c r="CT139" i="5" s="1"/>
  <c r="CS143" i="5"/>
  <c r="CS177" i="5"/>
  <c r="CT187" i="5"/>
  <c r="P99" i="5"/>
  <c r="CT137" i="5" s="1"/>
  <c r="CT172" i="5"/>
  <c r="P98" i="5"/>
  <c r="CT136" i="5"/>
  <c r="CS168" i="5"/>
  <c r="CT395" i="5"/>
  <c r="CS252" i="5"/>
  <c r="AG101" i="5"/>
  <c r="AW101" i="5" s="1"/>
  <c r="CT545" i="5"/>
  <c r="Z108" i="5"/>
  <c r="CT258" i="5" s="1"/>
  <c r="CR27" i="12"/>
  <c r="CT410" i="5"/>
  <c r="AI98" i="5"/>
  <c r="CT374" i="5" s="1"/>
  <c r="CT407" i="5"/>
  <c r="AH103" i="5"/>
  <c r="CT365" i="5" s="1"/>
  <c r="CT387" i="5"/>
  <c r="W78" i="5"/>
  <c r="BU63" i="5"/>
  <c r="AW108" i="5"/>
  <c r="CT552" i="5"/>
  <c r="AE72" i="5"/>
  <c r="CR324" i="5" s="1"/>
  <c r="AU105" i="5"/>
  <c r="CT521" i="5"/>
  <c r="AF105" i="5"/>
  <c r="AV105" i="5"/>
  <c r="CT535" i="5" s="1"/>
  <c r="CQ247" i="5"/>
  <c r="AV65" i="5"/>
  <c r="CR527" i="5" s="1"/>
  <c r="AW105" i="5"/>
  <c r="CT549" i="5"/>
  <c r="AW97" i="5"/>
  <c r="CT541" i="5"/>
  <c r="AV73" i="5"/>
  <c r="CR535" i="5" s="1"/>
  <c r="AF97" i="5"/>
  <c r="CT331" i="5"/>
  <c r="AE108" i="5"/>
  <c r="DV18" i="12"/>
  <c r="DY18" i="12" s="1"/>
  <c r="DO250" i="5" s="1"/>
  <c r="CS27" i="12"/>
  <c r="Q80" i="10"/>
  <c r="CV351" i="10"/>
  <c r="E64" i="10"/>
  <c r="CV10" i="10" s="1"/>
  <c r="J63" i="10"/>
  <c r="CV134" i="10" s="1"/>
  <c r="P79" i="10"/>
  <c r="J84" i="10"/>
  <c r="N88" i="10"/>
  <c r="N87" i="10"/>
  <c r="CV257" i="10" s="1"/>
  <c r="L88" i="10"/>
  <c r="F83" i="10"/>
  <c r="CV54" i="10"/>
  <c r="M83" i="10"/>
  <c r="CV229" i="10" s="1"/>
  <c r="J88" i="10"/>
  <c r="Q87" i="10"/>
  <c r="I82" i="10"/>
  <c r="CV128" i="10" s="1"/>
  <c r="N77" i="10"/>
  <c r="F73" i="10"/>
  <c r="CV44" i="10" s="1"/>
  <c r="L68" i="10"/>
  <c r="R61" i="10"/>
  <c r="G78" i="10"/>
  <c r="M73" i="10"/>
  <c r="CV219" i="10" s="1"/>
  <c r="E69" i="10"/>
  <c r="K80" i="10"/>
  <c r="CV176" i="10" s="1"/>
  <c r="H75" i="10"/>
  <c r="N70" i="10"/>
  <c r="J66" i="10"/>
  <c r="CV137" i="10"/>
  <c r="H61" i="10"/>
  <c r="Q76" i="10"/>
  <c r="CV347" i="10"/>
  <c r="I72" i="10"/>
  <c r="CV118" i="10" s="1"/>
  <c r="Q67" i="10"/>
  <c r="CV338" i="10" s="1"/>
  <c r="L81" i="10"/>
  <c r="CV202" i="10" s="1"/>
  <c r="P76" i="10"/>
  <c r="AD76" i="10"/>
  <c r="H72" i="10"/>
  <c r="CV93" i="10"/>
  <c r="P67" i="10"/>
  <c r="CV313" i="10" s="1"/>
  <c r="G63" i="10"/>
  <c r="CV59" i="10" s="1"/>
  <c r="Q79" i="10"/>
  <c r="CV350" i="10"/>
  <c r="E75" i="10"/>
  <c r="CV21" i="10"/>
  <c r="K70" i="10"/>
  <c r="CV166" i="10" s="1"/>
  <c r="G66" i="10"/>
  <c r="CV62" i="10" s="1"/>
  <c r="J86" i="10"/>
  <c r="CV131" i="10"/>
  <c r="Q78" i="10"/>
  <c r="CV349" i="10"/>
  <c r="I74" i="10"/>
  <c r="CV120" i="10" s="1"/>
  <c r="O69" i="10"/>
  <c r="CV290" i="10" s="1"/>
  <c r="K65" i="10"/>
  <c r="CV161" i="10"/>
  <c r="G65" i="10"/>
  <c r="CV61" i="10"/>
  <c r="I61" i="10"/>
  <c r="O65" i="10"/>
  <c r="L61" i="10"/>
  <c r="Z61" i="10" s="1"/>
  <c r="J78" i="10"/>
  <c r="CV149" i="10" s="1"/>
  <c r="Q61" i="10"/>
  <c r="AE61" i="10" s="1"/>
  <c r="R78" i="10"/>
  <c r="CV249" i="10"/>
  <c r="T83" i="10"/>
  <c r="CW54" i="10"/>
  <c r="AE76" i="10"/>
  <c r="Y65" i="10"/>
  <c r="T73" i="10"/>
  <c r="AF61" i="10"/>
  <c r="F80" i="10"/>
  <c r="CV51" i="10"/>
  <c r="Q83" i="10"/>
  <c r="CV354" i="10"/>
  <c r="O87" i="10"/>
  <c r="F87" i="10"/>
  <c r="M87" i="10"/>
  <c r="M82" i="10"/>
  <c r="CV228" i="10" s="1"/>
  <c r="E83" i="10"/>
  <c r="CV29" i="10" s="1"/>
  <c r="K87" i="10"/>
  <c r="Y87" i="10" s="1"/>
  <c r="I87" i="10"/>
  <c r="J82" i="10"/>
  <c r="CV153" i="10"/>
  <c r="F77" i="10"/>
  <c r="L72" i="10"/>
  <c r="CV193" i="10"/>
  <c r="L67" i="10"/>
  <c r="CV188" i="10"/>
  <c r="J61" i="10"/>
  <c r="M77" i="10"/>
  <c r="CV223" i="10"/>
  <c r="E73" i="10"/>
  <c r="CV19" i="10"/>
  <c r="K68" i="10"/>
  <c r="CV164" i="10" s="1"/>
  <c r="K79" i="10"/>
  <c r="CV175" i="10" s="1"/>
  <c r="N74" i="10"/>
  <c r="F70" i="10"/>
  <c r="CV41" i="10"/>
  <c r="P65" i="10"/>
  <c r="Q88" i="10"/>
  <c r="I76" i="10"/>
  <c r="CV122" i="10" s="1"/>
  <c r="O71" i="10"/>
  <c r="CV292" i="10" s="1"/>
  <c r="I67" i="10"/>
  <c r="CV113" i="10" s="1"/>
  <c r="I80" i="10"/>
  <c r="CV126" i="10"/>
  <c r="H76" i="10"/>
  <c r="N71" i="10"/>
  <c r="CV267" i="10" s="1"/>
  <c r="H67" i="10"/>
  <c r="CV88" i="10" s="1"/>
  <c r="N61" i="10"/>
  <c r="H79" i="10"/>
  <c r="K74" i="10"/>
  <c r="Q69" i="10"/>
  <c r="CV340" i="10"/>
  <c r="M65" i="10"/>
  <c r="CV211" i="10"/>
  <c r="K82" i="10"/>
  <c r="CV178" i="10" s="1"/>
  <c r="I78" i="10"/>
  <c r="CV124" i="10"/>
  <c r="O73" i="10"/>
  <c r="CV294" i="10"/>
  <c r="G69" i="10"/>
  <c r="CV65" i="10"/>
  <c r="P69" i="10"/>
  <c r="H63" i="10"/>
  <c r="G79" i="10"/>
  <c r="Y80" i="10"/>
  <c r="CW176" i="10" s="1"/>
  <c r="X77" i="10"/>
  <c r="CW148" i="10" s="1"/>
  <c r="W82" i="10"/>
  <c r="CW128" i="10" s="1"/>
  <c r="S73" i="10"/>
  <c r="CW19" i="10" s="1"/>
  <c r="U69" i="10"/>
  <c r="S79" i="10"/>
  <c r="U65" i="10"/>
  <c r="S71" i="10"/>
  <c r="S61" i="10"/>
  <c r="N67" i="10"/>
  <c r="CV263" i="10" s="1"/>
  <c r="N66" i="10"/>
  <c r="CV262" i="10"/>
  <c r="R64" i="10"/>
  <c r="CV235" i="10"/>
  <c r="O88" i="10"/>
  <c r="I83" i="10"/>
  <c r="CV129" i="10"/>
  <c r="O86" i="10"/>
  <c r="CV281" i="10" s="1"/>
  <c r="N86" i="10"/>
  <c r="CV256" i="10"/>
  <c r="E87" i="10"/>
  <c r="E82" i="10"/>
  <c r="CV28" i="10" s="1"/>
  <c r="L82" i="10"/>
  <c r="CV203" i="10" s="1"/>
  <c r="K86" i="10"/>
  <c r="CV156" i="10"/>
  <c r="Q86" i="10"/>
  <c r="CV331" i="10"/>
  <c r="Q81" i="10"/>
  <c r="CV352" i="10" s="1"/>
  <c r="L76" i="10"/>
  <c r="CV197" i="10" s="1"/>
  <c r="R71" i="10"/>
  <c r="CV242" i="10"/>
  <c r="L66" i="10"/>
  <c r="CV187" i="10"/>
  <c r="G82" i="10"/>
  <c r="CV78" i="10" s="1"/>
  <c r="E77" i="10"/>
  <c r="CV23" i="10" s="1"/>
  <c r="K72" i="10"/>
  <c r="CV168" i="10"/>
  <c r="K67" i="10"/>
  <c r="CV163" i="10"/>
  <c r="N78" i="10"/>
  <c r="CV274" i="10" s="1"/>
  <c r="F74" i="10"/>
  <c r="CV45" i="10" s="1"/>
  <c r="L69" i="10"/>
  <c r="CV190" i="10"/>
  <c r="H65" i="10"/>
  <c r="CV86" i="10"/>
  <c r="M81" i="10"/>
  <c r="CV227" i="10" s="1"/>
  <c r="O75" i="10"/>
  <c r="CV296" i="10" s="1"/>
  <c r="G71" i="10"/>
  <c r="CV67" i="10"/>
  <c r="Q66" i="10"/>
  <c r="CV337" i="10"/>
  <c r="N75" i="10"/>
  <c r="F71" i="10"/>
  <c r="CV42" i="10"/>
  <c r="P66" i="10"/>
  <c r="CV312" i="10" s="1"/>
  <c r="F61" i="10"/>
  <c r="T61" i="10" s="1"/>
  <c r="K78" i="10"/>
  <c r="CV174" i="10" s="1"/>
  <c r="Q73" i="10"/>
  <c r="CV344" i="10"/>
  <c r="I69" i="10"/>
  <c r="CV115" i="10" s="1"/>
  <c r="E65" i="10"/>
  <c r="CV11" i="10"/>
  <c r="R81" i="10"/>
  <c r="CV252" i="10" s="1"/>
  <c r="O77" i="10"/>
  <c r="CV298" i="10"/>
  <c r="G73" i="10"/>
  <c r="M68" i="10"/>
  <c r="CV214" i="10"/>
  <c r="P63" i="10"/>
  <c r="CV309" i="10"/>
  <c r="P73" i="10"/>
  <c r="M64" i="10"/>
  <c r="Q64" i="10"/>
  <c r="CV335" i="10" s="1"/>
  <c r="N82" i="10"/>
  <c r="CV278" i="10"/>
  <c r="AB61" i="10"/>
  <c r="Y82" i="10"/>
  <c r="DD175" i="10"/>
  <c r="DD400" i="10" s="1"/>
  <c r="X82" i="10"/>
  <c r="T74" i="10"/>
  <c r="CW45" i="10" s="1"/>
  <c r="AA65" i="10"/>
  <c r="CW211" i="10" s="1"/>
  <c r="X78" i="10"/>
  <c r="W80" i="10"/>
  <c r="S83" i="10"/>
  <c r="CW29" i="10"/>
  <c r="T70" i="10"/>
  <c r="CW41" i="10"/>
  <c r="V61" i="10"/>
  <c r="F66" i="10"/>
  <c r="CV37" i="10" s="1"/>
  <c r="P87" i="10"/>
  <c r="CV307" i="10" s="1"/>
  <c r="P82" i="10"/>
  <c r="Q84" i="10"/>
  <c r="F86" i="10"/>
  <c r="CV31" i="10"/>
  <c r="M86" i="10"/>
  <c r="K88" i="10"/>
  <c r="K81" i="10"/>
  <c r="CV177" i="10"/>
  <c r="M84" i="10"/>
  <c r="AA84" i="10" s="1"/>
  <c r="DD227" i="10" s="1"/>
  <c r="I86" i="10"/>
  <c r="CV106" i="10"/>
  <c r="F81" i="10"/>
  <c r="CV52" i="10" s="1"/>
  <c r="R75" i="10"/>
  <c r="CV246" i="10" s="1"/>
  <c r="J71" i="10"/>
  <c r="CV142" i="10"/>
  <c r="R65" i="10"/>
  <c r="CV236" i="10"/>
  <c r="P81" i="10"/>
  <c r="K76" i="10"/>
  <c r="CV172" i="10"/>
  <c r="Q71" i="10"/>
  <c r="CV342" i="10" s="1"/>
  <c r="K66" i="10"/>
  <c r="CV162" i="10" s="1"/>
  <c r="F78" i="10"/>
  <c r="CV49" i="10"/>
  <c r="L73" i="10"/>
  <c r="CV194" i="10"/>
  <c r="R68" i="10"/>
  <c r="N64" i="10"/>
  <c r="CV260" i="10"/>
  <c r="J80" i="10"/>
  <c r="CV151" i="10" s="1"/>
  <c r="G75" i="10"/>
  <c r="CV71" i="10" s="1"/>
  <c r="M70" i="10"/>
  <c r="CV216" i="10" s="1"/>
  <c r="I66" i="10"/>
  <c r="CV112" i="10"/>
  <c r="R79" i="10"/>
  <c r="CV250" i="10"/>
  <c r="F75" i="10"/>
  <c r="CV46" i="10" s="1"/>
  <c r="L70" i="10"/>
  <c r="CV191" i="10" s="1"/>
  <c r="H66" i="10"/>
  <c r="CV87" i="10"/>
  <c r="J87" i="10"/>
  <c r="X87" i="10"/>
  <c r="Q77" i="10"/>
  <c r="CV348" i="10" s="1"/>
  <c r="I73" i="10"/>
  <c r="CV119" i="10" s="1"/>
  <c r="O68" i="10"/>
  <c r="CV289" i="10"/>
  <c r="K64" i="10"/>
  <c r="CV160" i="10"/>
  <c r="H81" i="10"/>
  <c r="CV102" i="10" s="1"/>
  <c r="G77" i="10"/>
  <c r="CV73" i="10" s="1"/>
  <c r="M72" i="10"/>
  <c r="CV218" i="10"/>
  <c r="E68" i="10"/>
  <c r="CV14" i="10"/>
  <c r="I64" i="10"/>
  <c r="CV110" i="10" s="1"/>
  <c r="P77" i="10"/>
  <c r="CV323" i="10" s="1"/>
  <c r="O61" i="10"/>
  <c r="AC61" i="10"/>
  <c r="K83" i="10"/>
  <c r="CV179" i="10"/>
  <c r="X84" i="10"/>
  <c r="DD152" i="10"/>
  <c r="DD377" i="10" s="1"/>
  <c r="AB78" i="10"/>
  <c r="CW274" i="10" s="1"/>
  <c r="AE73" i="10"/>
  <c r="CW344" i="10"/>
  <c r="U82" i="10"/>
  <c r="Y77" i="10"/>
  <c r="AA82" i="10"/>
  <c r="CW228" i="10"/>
  <c r="Z75" i="10"/>
  <c r="CW196" i="10" s="1"/>
  <c r="W78" i="10"/>
  <c r="CW124" i="10" s="1"/>
  <c r="S82" i="10"/>
  <c r="CW28" i="10" s="1"/>
  <c r="L63" i="10"/>
  <c r="CV184" i="10" s="1"/>
  <c r="N76" i="10"/>
  <c r="CV272" i="10"/>
  <c r="F67" i="10"/>
  <c r="CV38" i="10" s="1"/>
  <c r="H87" i="10"/>
  <c r="H82" i="10"/>
  <c r="CV103" i="10"/>
  <c r="I84" i="10"/>
  <c r="W84" i="10"/>
  <c r="DD127" i="10"/>
  <c r="P84" i="10"/>
  <c r="AD84" i="10" s="1"/>
  <c r="DD327" i="10" s="1"/>
  <c r="E86" i="10"/>
  <c r="CV6" i="10" s="1"/>
  <c r="L87" i="10"/>
  <c r="CV182" i="10"/>
  <c r="P80" i="10"/>
  <c r="CV326" i="10"/>
  <c r="E84" i="10"/>
  <c r="S84" i="10" s="1"/>
  <c r="DD27" i="10" s="1"/>
  <c r="K84" i="10"/>
  <c r="Y84" i="10" s="1"/>
  <c r="DD177" i="10" s="1"/>
  <c r="N80" i="10"/>
  <c r="CV276" i="10"/>
  <c r="J75" i="10"/>
  <c r="CV146" i="10" s="1"/>
  <c r="P70" i="10"/>
  <c r="AD70" i="10" s="1"/>
  <c r="J65" i="10"/>
  <c r="CV136" i="10"/>
  <c r="E81" i="10"/>
  <c r="CV27" i="10"/>
  <c r="Q75" i="10"/>
  <c r="CV346" i="10" s="1"/>
  <c r="I71" i="10"/>
  <c r="CV117" i="10" s="1"/>
  <c r="Q65" i="10"/>
  <c r="CV336" i="10"/>
  <c r="L77" i="10"/>
  <c r="CV198" i="10"/>
  <c r="R72" i="10"/>
  <c r="CV243" i="10" s="1"/>
  <c r="J68" i="10"/>
  <c r="CV139" i="10" s="1"/>
  <c r="F64" i="10"/>
  <c r="CV35" i="10"/>
  <c r="J79" i="10"/>
  <c r="CV150" i="10"/>
  <c r="M74" i="10"/>
  <c r="CV220" i="10" s="1"/>
  <c r="E70" i="10"/>
  <c r="CV16" i="10"/>
  <c r="I88" i="10"/>
  <c r="I79" i="10"/>
  <c r="CV125" i="10" s="1"/>
  <c r="L74" i="10"/>
  <c r="CV195" i="10" s="1"/>
  <c r="R69" i="10"/>
  <c r="CV240" i="10"/>
  <c r="N65" i="10"/>
  <c r="CV261" i="10" s="1"/>
  <c r="O82" i="10"/>
  <c r="I77" i="10"/>
  <c r="CV123" i="10"/>
  <c r="O72" i="10"/>
  <c r="CV293" i="10" s="1"/>
  <c r="G68" i="10"/>
  <c r="CV64" i="10"/>
  <c r="N63" i="10"/>
  <c r="CV259" i="10"/>
  <c r="O80" i="10"/>
  <c r="CV301" i="10"/>
  <c r="M76" i="10"/>
  <c r="CV222" i="10" s="1"/>
  <c r="E72" i="10"/>
  <c r="M67" i="10"/>
  <c r="CV213" i="10" s="1"/>
  <c r="L65" i="10"/>
  <c r="I81" i="10"/>
  <c r="CV127" i="10"/>
  <c r="E63" i="10"/>
  <c r="CV9" i="10" s="1"/>
  <c r="R70" i="10"/>
  <c r="CV241" i="10"/>
  <c r="AF65" i="10"/>
  <c r="CW236" i="10" s="1"/>
  <c r="W83" i="10"/>
  <c r="CW129" i="10"/>
  <c r="AF78" i="10"/>
  <c r="W77" i="10"/>
  <c r="CW123" i="10"/>
  <c r="S64" i="10"/>
  <c r="AE74" i="10"/>
  <c r="CW345" i="10"/>
  <c r="V82" i="10"/>
  <c r="AF71" i="10"/>
  <c r="CW242" i="10" s="1"/>
  <c r="AE81" i="10"/>
  <c r="U75" i="10"/>
  <c r="AE71" i="10"/>
  <c r="X63" i="10"/>
  <c r="N68" i="10"/>
  <c r="F68" i="10"/>
  <c r="T68" i="10" s="1"/>
  <c r="P86" i="10"/>
  <c r="CV306" i="10" s="1"/>
  <c r="O81" i="10"/>
  <c r="CV302" i="10"/>
  <c r="P83" i="10"/>
  <c r="CV329" i="10"/>
  <c r="H84" i="10"/>
  <c r="V84" i="10"/>
  <c r="DD102" i="10" s="1"/>
  <c r="O84" i="10"/>
  <c r="AC84" i="10"/>
  <c r="DD302" i="10"/>
  <c r="L86" i="10"/>
  <c r="CV181" i="10"/>
  <c r="H80" i="10"/>
  <c r="CV101" i="10"/>
  <c r="L83" i="10"/>
  <c r="CV204" i="10" s="1"/>
  <c r="R83" i="10"/>
  <c r="CV254" i="10"/>
  <c r="M79" i="10"/>
  <c r="CV225" i="10"/>
  <c r="P74" i="10"/>
  <c r="CV320" i="10"/>
  <c r="H70" i="10"/>
  <c r="CV91" i="10" s="1"/>
  <c r="P64" i="10"/>
  <c r="CV310" i="10"/>
  <c r="M80" i="10"/>
  <c r="CV226" i="10"/>
  <c r="I75" i="10"/>
  <c r="CV121" i="10"/>
  <c r="O70" i="10"/>
  <c r="CV291" i="10" s="1"/>
  <c r="I65" i="10"/>
  <c r="CV111" i="10"/>
  <c r="R76" i="10"/>
  <c r="CV247" i="10"/>
  <c r="J72" i="10"/>
  <c r="CV143" i="10"/>
  <c r="R67" i="10"/>
  <c r="CV238" i="10" s="1"/>
  <c r="Q63" i="10"/>
  <c r="CV334" i="10"/>
  <c r="M78" i="10"/>
  <c r="CV224" i="10"/>
  <c r="E74" i="10"/>
  <c r="CV20" i="10"/>
  <c r="K69" i="10"/>
  <c r="CV165" i="10" s="1"/>
  <c r="L84" i="10"/>
  <c r="Z84" i="10"/>
  <c r="DD202" i="10" s="1"/>
  <c r="DD427" i="10" s="1"/>
  <c r="L78" i="10"/>
  <c r="CV199" i="10" s="1"/>
  <c r="R73" i="10"/>
  <c r="CV244" i="10" s="1"/>
  <c r="J69" i="10"/>
  <c r="CV140" i="10"/>
  <c r="F65" i="10"/>
  <c r="CV36" i="10" s="1"/>
  <c r="J81" i="10"/>
  <c r="CV152" i="10" s="1"/>
  <c r="O76" i="10"/>
  <c r="CV297" i="10" s="1"/>
  <c r="G72" i="10"/>
  <c r="CV68" i="10"/>
  <c r="O67" i="10"/>
  <c r="CV288" i="10" s="1"/>
  <c r="F63" i="10"/>
  <c r="CV34" i="10" s="1"/>
  <c r="E80" i="10"/>
  <c r="CV26" i="10" s="1"/>
  <c r="E76" i="10"/>
  <c r="CV22" i="10"/>
  <c r="K71" i="10"/>
  <c r="CV167" i="10"/>
  <c r="E67" i="10"/>
  <c r="CV13" i="10" s="1"/>
  <c r="G61" i="10"/>
  <c r="U61" i="10" s="1"/>
  <c r="H69" i="10"/>
  <c r="CV90" i="10"/>
  <c r="K61" i="10"/>
  <c r="Y61" i="10"/>
  <c r="O64" i="10"/>
  <c r="CV285" i="10" s="1"/>
  <c r="L71" i="10"/>
  <c r="CV192" i="10" s="1"/>
  <c r="AA83" i="10"/>
  <c r="CW229" i="10"/>
  <c r="V68" i="10"/>
  <c r="X64" i="10"/>
  <c r="CW135" i="10" s="1"/>
  <c r="S65" i="10"/>
  <c r="AF70" i="10"/>
  <c r="CW241" i="10" s="1"/>
  <c r="V77" i="10"/>
  <c r="CW98" i="10" s="1"/>
  <c r="AB71" i="10"/>
  <c r="CW267" i="10" s="1"/>
  <c r="AB81" i="10"/>
  <c r="CW277" i="10" s="1"/>
  <c r="Y81" i="10"/>
  <c r="CW177" i="10" s="1"/>
  <c r="AA78" i="10"/>
  <c r="CW224" i="10"/>
  <c r="AE80" i="10"/>
  <c r="DD348" i="10" s="1"/>
  <c r="W61" i="10"/>
  <c r="DD341" i="10"/>
  <c r="N72" i="10"/>
  <c r="CV268" i="10"/>
  <c r="F72" i="10"/>
  <c r="CV43" i="10" s="1"/>
  <c r="H86" i="10"/>
  <c r="CV81" i="10"/>
  <c r="G81" i="10"/>
  <c r="CV77" i="10" s="1"/>
  <c r="H83" i="10"/>
  <c r="CV104" i="10"/>
  <c r="O83" i="10"/>
  <c r="CV304" i="10"/>
  <c r="G84" i="10"/>
  <c r="U84" i="10"/>
  <c r="DD77" i="10" s="1"/>
  <c r="N84" i="10"/>
  <c r="AB84" i="10"/>
  <c r="DD277" i="10"/>
  <c r="N79" i="10"/>
  <c r="CV275" i="10"/>
  <c r="P88" i="10"/>
  <c r="J83" i="10"/>
  <c r="CV154" i="10" s="1"/>
  <c r="P78" i="10"/>
  <c r="H74" i="10"/>
  <c r="CV95" i="10"/>
  <c r="N69" i="10"/>
  <c r="CV265" i="10"/>
  <c r="H64" i="10"/>
  <c r="CV85" i="10"/>
  <c r="L79" i="10"/>
  <c r="CV200" i="10" s="1"/>
  <c r="O74" i="10"/>
  <c r="CV295" i="10"/>
  <c r="G70" i="10"/>
  <c r="CV66" i="10"/>
  <c r="F82" i="10"/>
  <c r="CV53" i="10"/>
  <c r="J76" i="10"/>
  <c r="CV147" i="10" s="1"/>
  <c r="P71" i="10"/>
  <c r="J67" i="10"/>
  <c r="CV138" i="10" s="1"/>
  <c r="I63" i="10"/>
  <c r="E78" i="10"/>
  <c r="CV24" i="10"/>
  <c r="K73" i="10"/>
  <c r="CV169" i="10" s="1"/>
  <c r="Q68" i="10"/>
  <c r="CV339" i="10"/>
  <c r="R82" i="10"/>
  <c r="CV253" i="10" s="1"/>
  <c r="R77" i="10"/>
  <c r="CV248" i="10"/>
  <c r="J73" i="10"/>
  <c r="CV144" i="10" s="1"/>
  <c r="P68" i="10"/>
  <c r="L64" i="10"/>
  <c r="CV185" i="10"/>
  <c r="R80" i="10"/>
  <c r="CV251" i="10" s="1"/>
  <c r="G76" i="10"/>
  <c r="CV72" i="10" s="1"/>
  <c r="M71" i="10"/>
  <c r="CV217" i="10"/>
  <c r="G67" i="10"/>
  <c r="CV63" i="10"/>
  <c r="M61" i="10"/>
  <c r="AA61" i="10" s="1"/>
  <c r="O79" i="10"/>
  <c r="CV300" i="10" s="1"/>
  <c r="K75" i="10"/>
  <c r="CV171" i="10"/>
  <c r="Q70" i="10"/>
  <c r="CV341" i="10"/>
  <c r="M66" i="10"/>
  <c r="CV212" i="10" s="1"/>
  <c r="M63" i="10"/>
  <c r="CV209" i="10" s="1"/>
  <c r="H73" i="10"/>
  <c r="CV94" i="10"/>
  <c r="R63" i="10"/>
  <c r="CV234" i="10"/>
  <c r="J70" i="10"/>
  <c r="CV141" i="10" s="1"/>
  <c r="R74" i="10"/>
  <c r="CV245" i="10" s="1"/>
  <c r="Y68" i="10"/>
  <c r="CW164" i="10"/>
  <c r="W68" i="10"/>
  <c r="CW114" i="10"/>
  <c r="W70" i="10"/>
  <c r="CW116" i="10" s="1"/>
  <c r="AB65" i="10"/>
  <c r="DD258" i="10" s="1"/>
  <c r="U68" i="10"/>
  <c r="CW64" i="10" s="1"/>
  <c r="AB64" i="10"/>
  <c r="CW260" i="10" s="1"/>
  <c r="AA69" i="10"/>
  <c r="AC73" i="10"/>
  <c r="CW294" i="10" s="1"/>
  <c r="X61" i="10"/>
  <c r="V72" i="10"/>
  <c r="CW93" i="10" s="1"/>
  <c r="Z72" i="10"/>
  <c r="T75" i="10"/>
  <c r="T81" i="10"/>
  <c r="AE84" i="10"/>
  <c r="DD352" i="10" s="1"/>
  <c r="Y73" i="10"/>
  <c r="X80" i="10"/>
  <c r="AF82" i="10"/>
  <c r="AA76" i="10"/>
  <c r="Y76" i="10"/>
  <c r="CW172" i="10" s="1"/>
  <c r="DD51" i="10"/>
  <c r="DD225" i="10"/>
  <c r="AD75" i="10"/>
  <c r="CW321" i="10"/>
  <c r="CV321" i="10"/>
  <c r="J74" i="10"/>
  <c r="CV145" i="10" s="1"/>
  <c r="M75" i="10"/>
  <c r="CV221" i="10"/>
  <c r="Q72" i="10"/>
  <c r="G74" i="10"/>
  <c r="CV70" i="10"/>
  <c r="F79" i="10"/>
  <c r="CV50" i="10"/>
  <c r="T12" i="4"/>
  <c r="BQ11" i="4"/>
  <c r="GQ581" i="9"/>
  <c r="GR581" i="9" s="1"/>
  <c r="GS581" i="9" s="1"/>
  <c r="GT581" i="9" s="1"/>
  <c r="GU581" i="9" s="1"/>
  <c r="GV581" i="9" s="1"/>
  <c r="GW581" i="9" s="1"/>
  <c r="HF581" i="9" s="1"/>
  <c r="GQ122" i="9"/>
  <c r="GR122" i="9" s="1"/>
  <c r="GS122" i="9" s="1"/>
  <c r="GT122" i="9" s="1"/>
  <c r="GU122" i="9" s="1"/>
  <c r="GV122" i="9" s="1"/>
  <c r="GQ488" i="9"/>
  <c r="GR488" i="9" s="1"/>
  <c r="GS488" i="9" s="1"/>
  <c r="GT488" i="9" s="1"/>
  <c r="GU488" i="9" s="1"/>
  <c r="GV488" i="9" s="1"/>
  <c r="GQ303" i="9"/>
  <c r="GR303" i="9" s="1"/>
  <c r="GS303" i="9" s="1"/>
  <c r="GT303" i="9" s="1"/>
  <c r="GU303" i="9" s="1"/>
  <c r="GV303" i="9" s="1"/>
  <c r="DD226" i="10"/>
  <c r="AD64" i="10"/>
  <c r="CW310" i="10" s="1"/>
  <c r="X69" i="10"/>
  <c r="CW140" i="10"/>
  <c r="Y71" i="10"/>
  <c r="CW167" i="10" s="1"/>
  <c r="AD74" i="10"/>
  <c r="V70" i="10"/>
  <c r="W75" i="10"/>
  <c r="CW121" i="10" s="1"/>
  <c r="V80" i="10"/>
  <c r="CW101" i="10"/>
  <c r="T65" i="10"/>
  <c r="CW36" i="10"/>
  <c r="W65" i="10"/>
  <c r="CW111" i="10" s="1"/>
  <c r="AF73" i="10"/>
  <c r="CW244" i="10" s="1"/>
  <c r="X72" i="10"/>
  <c r="CW143" i="10" s="1"/>
  <c r="AE63" i="10"/>
  <c r="CW334" i="10"/>
  <c r="V69" i="10"/>
  <c r="CW90" i="10" s="1"/>
  <c r="AC70" i="10"/>
  <c r="CW291" i="10"/>
  <c r="DD25" i="10"/>
  <c r="AA80" i="10"/>
  <c r="DD223" i="10"/>
  <c r="AD83" i="10"/>
  <c r="Y69" i="10"/>
  <c r="S76" i="10"/>
  <c r="CW22" i="10" s="1"/>
  <c r="Z83" i="10"/>
  <c r="CW204" i="10" s="1"/>
  <c r="GQ583" i="9"/>
  <c r="GR583" i="9" s="1"/>
  <c r="GS583" i="9" s="1"/>
  <c r="GT583" i="9" s="1"/>
  <c r="GU583" i="9" s="1"/>
  <c r="GV583" i="9" s="1"/>
  <c r="GQ128" i="9"/>
  <c r="GR128" i="9" s="1"/>
  <c r="GS128" i="9" s="1"/>
  <c r="GT128" i="9" s="1"/>
  <c r="GU128" i="9" s="1"/>
  <c r="GV128" i="9" s="1"/>
  <c r="GQ453" i="9"/>
  <c r="GR453" i="9" s="1"/>
  <c r="GS453" i="9" s="1"/>
  <c r="GT453" i="9" s="1"/>
  <c r="GU453" i="9" s="1"/>
  <c r="GV453" i="9" s="1"/>
  <c r="GD122" i="9"/>
  <c r="GE122" i="9" s="1"/>
  <c r="GF122" i="9" s="1"/>
  <c r="GG122" i="9" s="1"/>
  <c r="GH122" i="9" s="1"/>
  <c r="GI122" i="9" s="1"/>
  <c r="GD607" i="9"/>
  <c r="GE607" i="9" s="1"/>
  <c r="GF607" i="9" s="1"/>
  <c r="GG607" i="9" s="1"/>
  <c r="GH607" i="9" s="1"/>
  <c r="GI607" i="9" s="1"/>
  <c r="GQ599" i="9"/>
  <c r="GR599" i="9" s="1"/>
  <c r="GS599" i="9" s="1"/>
  <c r="GT599" i="9" s="1"/>
  <c r="GU599" i="9" s="1"/>
  <c r="GV599" i="9" s="1"/>
  <c r="GW599" i="9" s="1"/>
  <c r="HF599" i="9" s="1"/>
  <c r="BN154" i="3" a="1"/>
  <c r="BN154" i="3" s="1"/>
  <c r="BK154" i="3" s="1"/>
  <c r="GQ114" i="9"/>
  <c r="GR114" i="9" s="1"/>
  <c r="GS114" i="9" s="1"/>
  <c r="GT114" i="9" s="1"/>
  <c r="GU114" i="9" s="1"/>
  <c r="GV114" i="9" s="1"/>
  <c r="GQ106" i="9"/>
  <c r="GR106" i="9" s="1"/>
  <c r="GS106" i="9" s="1"/>
  <c r="GT106" i="9" s="1"/>
  <c r="GU106" i="9" s="1"/>
  <c r="GV106" i="9" s="1"/>
  <c r="M24" i="4"/>
  <c r="BM9" i="4"/>
  <c r="M22" i="4"/>
  <c r="BM7" i="4"/>
  <c r="M17" i="4"/>
  <c r="P12" i="4"/>
  <c r="BF10" i="4" s="1"/>
  <c r="K14" i="4"/>
  <c r="M7" i="4"/>
  <c r="BJ7" i="4" s="1"/>
  <c r="K8" i="4"/>
  <c r="BE8" i="4" s="1"/>
  <c r="K9" i="4"/>
  <c r="BE9" i="4"/>
  <c r="M13" i="4"/>
  <c r="BK8" i="4" s="1"/>
  <c r="L22" i="4"/>
  <c r="L24" i="4" s="1"/>
  <c r="N24" i="4" s="1"/>
  <c r="BS9" i="4" s="1"/>
  <c r="S7" i="4"/>
  <c r="BE11" i="4" s="1"/>
  <c r="P7" i="4"/>
  <c r="BE10" i="4"/>
  <c r="M8" i="4"/>
  <c r="BJ8" i="4" s="1"/>
  <c r="K12" i="4"/>
  <c r="FO23" i="9"/>
  <c r="FN54" i="9"/>
  <c r="FB13" i="9"/>
  <c r="GL13" i="9" s="1"/>
  <c r="FL49" i="9"/>
  <c r="EU171" i="9"/>
  <c r="FI148" i="9"/>
  <c r="FI34" i="9"/>
  <c r="FJ25" i="9"/>
  <c r="EX56" i="9"/>
  <c r="EU78" i="9"/>
  <c r="FH20" i="9"/>
  <c r="FO43" i="9"/>
  <c r="FH69" i="9"/>
  <c r="FD19" i="9"/>
  <c r="FC50" i="9"/>
  <c r="FB76" i="9"/>
  <c r="FD23" i="9"/>
  <c r="GN23" i="9" s="1"/>
  <c r="GY23" i="9" s="1"/>
  <c r="GZ23" i="9" s="1"/>
  <c r="HH23" i="9" s="1"/>
  <c r="CF23" i="9" s="1"/>
  <c r="FL59" i="9"/>
  <c r="FC689" i="9"/>
  <c r="CE689" i="9"/>
  <c r="FD685" i="9"/>
  <c r="EV682" i="9"/>
  <c r="FA678" i="9"/>
  <c r="FM673" i="9"/>
  <c r="FP670" i="9"/>
  <c r="EV668" i="9"/>
  <c r="FG665" i="9"/>
  <c r="FL661" i="9"/>
  <c r="EU657" i="9"/>
  <c r="FJ653" i="9"/>
  <c r="FP687" i="9"/>
  <c r="FM680" i="9"/>
  <c r="FC677" i="9"/>
  <c r="GM677" i="9"/>
  <c r="HG677" i="9" s="1"/>
  <c r="FD672" i="9"/>
  <c r="FO669" i="9"/>
  <c r="EU667" i="9"/>
  <c r="EX664" i="9"/>
  <c r="FP659" i="9"/>
  <c r="EU687" i="9"/>
  <c r="FJ683" i="9"/>
  <c r="FO679" i="9"/>
  <c r="FG676" i="9"/>
  <c r="FC672" i="9"/>
  <c r="FC668" i="9"/>
  <c r="FO659" i="9"/>
  <c r="FG656" i="9"/>
  <c r="FC687" i="9"/>
  <c r="FI683" i="9"/>
  <c r="EZ680" i="9"/>
  <c r="HB680" i="9" s="1"/>
  <c r="HD680" i="9" s="1"/>
  <c r="FD676" i="9"/>
  <c r="FB672" i="9"/>
  <c r="CD672" i="9" s="1"/>
  <c r="FB668" i="9"/>
  <c r="FG664" i="9"/>
  <c r="FN659" i="9"/>
  <c r="EU656" i="9"/>
  <c r="FP686" i="9"/>
  <c r="FM679" i="9"/>
  <c r="FC676" i="9"/>
  <c r="FA671" i="9"/>
  <c r="CC671" i="9" s="1"/>
  <c r="FA667" i="9"/>
  <c r="FI663" i="9"/>
  <c r="FB659" i="9"/>
  <c r="FH655" i="9"/>
  <c r="FD686" i="9"/>
  <c r="GN686" i="9"/>
  <c r="GY686" i="9" s="1"/>
  <c r="GZ686" i="9" s="1"/>
  <c r="HH686" i="9" s="1"/>
  <c r="EV683" i="9"/>
  <c r="FA679" i="9"/>
  <c r="FM674" i="9"/>
  <c r="EZ671" i="9"/>
  <c r="EZ667" i="9"/>
  <c r="HB667" i="9" s="1"/>
  <c r="HD667" i="9" s="1"/>
  <c r="FO658" i="9"/>
  <c r="FG655" i="9"/>
  <c r="FP689" i="9"/>
  <c r="FN686" i="9"/>
  <c r="EU683" i="9"/>
  <c r="EZ31" i="9"/>
  <c r="EX58" i="9"/>
  <c r="EZ17" i="9"/>
  <c r="FA53" i="9"/>
  <c r="FM13" i="9"/>
  <c r="EX48" i="9"/>
  <c r="EX182" i="9"/>
  <c r="FJ39" i="9"/>
  <c r="FJ70" i="9"/>
  <c r="FD29" i="9"/>
  <c r="GN29" i="9" s="1"/>
  <c r="GY29" i="9" s="1"/>
  <c r="GZ29" i="9" s="1"/>
  <c r="HH29" i="9" s="1"/>
  <c r="CF29" i="9" s="1"/>
  <c r="FC60" i="9"/>
  <c r="FH80" i="9"/>
  <c r="FP47" i="9"/>
  <c r="EV71" i="9"/>
  <c r="EU23" i="9"/>
  <c r="FP51" i="9"/>
  <c r="FO78" i="9"/>
  <c r="FB36" i="9"/>
  <c r="FM63" i="9"/>
  <c r="FN688" i="9"/>
  <c r="EU685" i="9"/>
  <c r="FJ681" i="9"/>
  <c r="FO677" i="9"/>
  <c r="FB673" i="9"/>
  <c r="FG670" i="9"/>
  <c r="FP667" i="9"/>
  <c r="EV665" i="9"/>
  <c r="FA661" i="9"/>
  <c r="CC661" i="9" s="1"/>
  <c r="FI656" i="9"/>
  <c r="EZ653" i="9"/>
  <c r="FG687" i="9"/>
  <c r="FL683" i="9"/>
  <c r="FB680" i="9"/>
  <c r="GL680" i="9" s="1"/>
  <c r="FH676" i="9"/>
  <c r="EU672" i="9"/>
  <c r="FD669" i="9"/>
  <c r="GN669" i="9"/>
  <c r="FO666" i="9"/>
  <c r="FM663" i="9"/>
  <c r="FG659" i="9"/>
  <c r="FL655" i="9"/>
  <c r="FI686" i="9"/>
  <c r="EZ683" i="9"/>
  <c r="FD679" i="9"/>
  <c r="EV676" i="9"/>
  <c r="FN671" i="9"/>
  <c r="FN667" i="9"/>
  <c r="FL663" i="9"/>
  <c r="FD659" i="9"/>
  <c r="EV656" i="9"/>
  <c r="FH686" i="9"/>
  <c r="EX683" i="9"/>
  <c r="FN679" i="9"/>
  <c r="EU676" i="9"/>
  <c r="FM671" i="9"/>
  <c r="FM667" i="9"/>
  <c r="EV664" i="9"/>
  <c r="FC659" i="9"/>
  <c r="CE659" i="9"/>
  <c r="FI655" i="9"/>
  <c r="FG686" i="9"/>
  <c r="FL682" i="9"/>
  <c r="FB679" i="9"/>
  <c r="FN674" i="9"/>
  <c r="FL670" i="9"/>
  <c r="FL666" i="9"/>
  <c r="EX663" i="9"/>
  <c r="FP658" i="9"/>
  <c r="FH689" i="9"/>
  <c r="EU686" i="9"/>
  <c r="FJ682" i="9"/>
  <c r="FO678" i="9"/>
  <c r="FB674" i="9"/>
  <c r="FJ670" i="9"/>
  <c r="FJ666" i="9"/>
  <c r="FL662" i="9"/>
  <c r="FD658" i="9"/>
  <c r="EV655" i="9"/>
  <c r="FG689" i="9"/>
  <c r="FC686" i="9"/>
  <c r="FI682" i="9"/>
  <c r="EZ679" i="9"/>
  <c r="FA674" i="9"/>
  <c r="GK674" i="9" s="1"/>
  <c r="HE674" i="9" s="1"/>
  <c r="FI670" i="9"/>
  <c r="FI666" i="9"/>
  <c r="EV663" i="9"/>
  <c r="FA35" i="9"/>
  <c r="EZ62" i="9"/>
  <c r="FM22" i="9"/>
  <c r="FI58" i="9"/>
  <c r="FJ17" i="9"/>
  <c r="FL53" i="9"/>
  <c r="EV16" i="9"/>
  <c r="EU43" i="9"/>
  <c r="FG75" i="9"/>
  <c r="FG33" i="9"/>
  <c r="FP61" i="9"/>
  <c r="FB86" i="9"/>
  <c r="FB28" i="9"/>
  <c r="GL28" i="9" s="1"/>
  <c r="FG51" i="9"/>
  <c r="FN73" i="9"/>
  <c r="FH24" i="9"/>
  <c r="FG55" i="9"/>
  <c r="FA81" i="9"/>
  <c r="FO37" i="9"/>
  <c r="FB67" i="9"/>
  <c r="FC688" i="9"/>
  <c r="GM688" i="9" s="1"/>
  <c r="HG688" i="9" s="1"/>
  <c r="FI684" i="9"/>
  <c r="EZ681" i="9"/>
  <c r="FD677" i="9"/>
  <c r="GN677" i="9" s="1"/>
  <c r="GY677" i="9" s="1"/>
  <c r="GZ677" i="9" s="1"/>
  <c r="HH677" i="9" s="1"/>
  <c r="FP672" i="9"/>
  <c r="EV670" i="9"/>
  <c r="FG667" i="9"/>
  <c r="FJ664" i="9"/>
  <c r="FH659" i="9"/>
  <c r="EX656" i="9"/>
  <c r="FN652" i="9"/>
  <c r="EV687" i="9"/>
  <c r="FA683" i="9"/>
  <c r="FP679" i="9"/>
  <c r="FO671" i="9"/>
  <c r="EU669" i="9"/>
  <c r="FD666" i="9"/>
  <c r="FB663" i="9"/>
  <c r="EV659" i="9"/>
  <c r="FL689" i="9"/>
  <c r="EX686" i="9"/>
  <c r="FN682" i="9"/>
  <c r="EU679" i="9"/>
  <c r="FP674" i="9"/>
  <c r="FC671" i="9"/>
  <c r="FC667" i="9"/>
  <c r="FA663" i="9"/>
  <c r="CC663" i="9" s="1"/>
  <c r="EU659" i="9"/>
  <c r="FJ655" i="9"/>
  <c r="FM682" i="9"/>
  <c r="FC679" i="9"/>
  <c r="GM679" i="9" s="1"/>
  <c r="HG679" i="9" s="1"/>
  <c r="FO674" i="9"/>
  <c r="FB671" i="9"/>
  <c r="FB667" i="9"/>
  <c r="GL667" i="9" s="1"/>
  <c r="FJ663" i="9"/>
  <c r="FH658" i="9"/>
  <c r="FI689" i="9"/>
  <c r="EV686" i="9"/>
  <c r="FA682" i="9"/>
  <c r="GK682" i="9" s="1"/>
  <c r="HE682" i="9" s="1"/>
  <c r="FP678" i="9"/>
  <c r="FC674" i="9"/>
  <c r="FA670" i="9"/>
  <c r="CC670" i="9" s="1"/>
  <c r="FA666" i="9"/>
  <c r="FM662" i="9"/>
  <c r="FG658" i="9"/>
  <c r="FI685" i="9"/>
  <c r="EZ682" i="9"/>
  <c r="FD678" i="9"/>
  <c r="FP673" i="9"/>
  <c r="EZ670" i="9"/>
  <c r="EZ666" i="9"/>
  <c r="FA662" i="9"/>
  <c r="EU658" i="9"/>
  <c r="FJ654" i="9"/>
  <c r="EV689" i="9"/>
  <c r="FH685" i="9"/>
  <c r="FM36" i="9"/>
  <c r="FM67" i="9"/>
  <c r="FB26" i="9"/>
  <c r="FJ62" i="9"/>
  <c r="EZ21" i="9"/>
  <c r="EV61" i="9"/>
  <c r="FJ21" i="9"/>
  <c r="FH44" i="9"/>
  <c r="EU64" i="9"/>
  <c r="FO29" i="9"/>
  <c r="EV55" i="9"/>
  <c r="FD78" i="9"/>
  <c r="FM28" i="9"/>
  <c r="FA59" i="9"/>
  <c r="GK59" i="9"/>
  <c r="HE59" i="9" s="1"/>
  <c r="CC59" i="9" s="1"/>
  <c r="FD41" i="9"/>
  <c r="FO68" i="9"/>
  <c r="FH687" i="9"/>
  <c r="EX684" i="9"/>
  <c r="FN680" i="9"/>
  <c r="EU677" i="9"/>
  <c r="FG672" i="9"/>
  <c r="FP669" i="9"/>
  <c r="EV667" i="9"/>
  <c r="EZ664" i="9"/>
  <c r="FM655" i="9"/>
  <c r="FC652" i="9"/>
  <c r="FJ686" i="9"/>
  <c r="FO682" i="9"/>
  <c r="FG679" i="9"/>
  <c r="FH674" i="9"/>
  <c r="FD671" i="9"/>
  <c r="FO668" i="9"/>
  <c r="EU666" i="9"/>
  <c r="FP662" i="9"/>
  <c r="FJ658" i="9"/>
  <c r="FA689" i="9"/>
  <c r="CC689" i="9" s="1"/>
  <c r="FM685" i="9"/>
  <c r="FC682" i="9"/>
  <c r="FI678" i="9"/>
  <c r="FG674" i="9"/>
  <c r="FN670" i="9"/>
  <c r="FN666" i="9"/>
  <c r="FO662" i="9"/>
  <c r="FI658" i="9"/>
  <c r="FJ689" i="9"/>
  <c r="FL685" i="9"/>
  <c r="FB682" i="9"/>
  <c r="FH678" i="9"/>
  <c r="FD674" i="9"/>
  <c r="FM670" i="9"/>
  <c r="FM666" i="9"/>
  <c r="EZ663" i="9"/>
  <c r="CB663" i="9" s="1"/>
  <c r="EX689" i="9"/>
  <c r="FJ685" i="9"/>
  <c r="FO681" i="9"/>
  <c r="FG678" i="9"/>
  <c r="FH673" i="9"/>
  <c r="FL669" i="9"/>
  <c r="FL665" i="9"/>
  <c r="FB662" i="9"/>
  <c r="EV658" i="9"/>
  <c r="FH688" i="9"/>
  <c r="EX685" i="9"/>
  <c r="FN681" i="9"/>
  <c r="EU678" i="9"/>
  <c r="FG673" i="9"/>
  <c r="FJ669" i="9"/>
  <c r="FJ665" i="9"/>
  <c r="FO661" i="9"/>
  <c r="FI657" i="9"/>
  <c r="EZ654" i="9"/>
  <c r="FP688" i="9"/>
  <c r="FB40" i="9"/>
  <c r="FJ74" i="9"/>
  <c r="FJ31" i="9"/>
  <c r="EZ66" i="9"/>
  <c r="FM26" i="9"/>
  <c r="FJ66" i="9"/>
  <c r="EZ25" i="9"/>
  <c r="HB25" i="9" s="1"/>
  <c r="HD25" i="9" s="1"/>
  <c r="CB25" i="9" s="1"/>
  <c r="EV47" i="9"/>
  <c r="FH143" i="9"/>
  <c r="FD43" i="9"/>
  <c r="GN43" i="9" s="1"/>
  <c r="GY43" i="9" s="1"/>
  <c r="GZ43" i="9" s="1"/>
  <c r="HH43" i="9" s="1"/>
  <c r="CF43" i="9" s="1"/>
  <c r="FH65" i="9"/>
  <c r="FH173" i="9"/>
  <c r="FC32" i="9"/>
  <c r="FI56" i="9"/>
  <c r="FN32" i="9"/>
  <c r="FB63" i="9"/>
  <c r="FM46" i="9"/>
  <c r="FP71" i="9"/>
  <c r="FM683" i="9"/>
  <c r="FC680" i="9"/>
  <c r="CE680" i="9" s="1"/>
  <c r="FI676" i="9"/>
  <c r="EV672" i="9"/>
  <c r="FG669" i="9"/>
  <c r="FP666" i="9"/>
  <c r="FN663" i="9"/>
  <c r="FL658" i="9"/>
  <c r="FB655" i="9"/>
  <c r="FM689" i="9"/>
  <c r="EZ686" i="9"/>
  <c r="FD682" i="9"/>
  <c r="EV679" i="9"/>
  <c r="EU671" i="9"/>
  <c r="FD668" i="9"/>
  <c r="FO665" i="9"/>
  <c r="FG662" i="9"/>
  <c r="EZ658" i="9"/>
  <c r="FL688" i="9"/>
  <c r="FB685" i="9"/>
  <c r="CD685" i="9" s="1"/>
  <c r="FH681" i="9"/>
  <c r="EX678" i="9"/>
  <c r="EV674" i="9"/>
  <c r="FC670" i="9"/>
  <c r="FC666" i="9"/>
  <c r="FD662" i="9"/>
  <c r="EX658" i="9"/>
  <c r="EZ689" i="9"/>
  <c r="HB689" i="9" s="1"/>
  <c r="HD689" i="9" s="1"/>
  <c r="FA685" i="9"/>
  <c r="GK685" i="9" s="1"/>
  <c r="HE685" i="9" s="1"/>
  <c r="FP681" i="9"/>
  <c r="EU674" i="9"/>
  <c r="FB670" i="9"/>
  <c r="CD670" i="9" s="1"/>
  <c r="FB666" i="9"/>
  <c r="FN662" i="9"/>
  <c r="FL657" i="9"/>
  <c r="FI688" i="9"/>
  <c r="EZ685" i="9"/>
  <c r="FD681" i="9"/>
  <c r="EV678" i="9"/>
  <c r="FA669" i="9"/>
  <c r="FA665" i="9"/>
  <c r="FP661" i="9"/>
  <c r="FJ657" i="9"/>
  <c r="FM684" i="9"/>
  <c r="FC681" i="9"/>
  <c r="FI677" i="9"/>
  <c r="EV673" i="9"/>
  <c r="EZ669" i="9"/>
  <c r="EZ665" i="9"/>
  <c r="HB665" i="9"/>
  <c r="HD665" i="9" s="1"/>
  <c r="FD661" i="9"/>
  <c r="EX657" i="9"/>
  <c r="FN653" i="9"/>
  <c r="FG688" i="9"/>
  <c r="FL684" i="9"/>
  <c r="FN14" i="9"/>
  <c r="FO41" i="9"/>
  <c r="FA79" i="9"/>
  <c r="GK79" i="9" s="1"/>
  <c r="HE79" i="9" s="1"/>
  <c r="CC79" i="9" s="1"/>
  <c r="FL35" i="9"/>
  <c r="EX77" i="9"/>
  <c r="EZ70" i="9"/>
  <c r="EU29" i="9"/>
  <c r="FI48" i="9"/>
  <c r="FI178" i="9"/>
  <c r="FG47" i="9"/>
  <c r="FC15" i="9"/>
  <c r="GM15" i="9" s="1"/>
  <c r="HG15" i="9" s="1"/>
  <c r="CE15" i="9" s="1"/>
  <c r="FP33" i="9"/>
  <c r="FN60" i="9"/>
  <c r="FD37" i="9"/>
  <c r="FO64" i="9"/>
  <c r="FC14" i="9"/>
  <c r="GM14" i="9" s="1"/>
  <c r="HG14" i="9" s="1"/>
  <c r="CE14" i="9" s="1"/>
  <c r="FN50" i="9"/>
  <c r="EZ74" i="9"/>
  <c r="FL686" i="9"/>
  <c r="FB683" i="9"/>
  <c r="FH679" i="9"/>
  <c r="EX676" i="9"/>
  <c r="FP671" i="9"/>
  <c r="EV669" i="9"/>
  <c r="FG666" i="9"/>
  <c r="FC663" i="9"/>
  <c r="FA658" i="9"/>
  <c r="FP654" i="9"/>
  <c r="FB689" i="9"/>
  <c r="CD689" i="9"/>
  <c r="FN685" i="9"/>
  <c r="EU682" i="9"/>
  <c r="FJ678" i="9"/>
  <c r="FL673" i="9"/>
  <c r="FO670" i="9"/>
  <c r="EU668" i="9"/>
  <c r="FD665" i="9"/>
  <c r="EV662" i="9"/>
  <c r="FN657" i="9"/>
  <c r="FA688" i="9"/>
  <c r="FP684" i="9"/>
  <c r="FM677" i="9"/>
  <c r="FJ673" i="9"/>
  <c r="FN669" i="9"/>
  <c r="FN665" i="9"/>
  <c r="EU662" i="9"/>
  <c r="FM657" i="9"/>
  <c r="FJ688" i="9"/>
  <c r="FO684" i="9"/>
  <c r="FG681" i="9"/>
  <c r="FL677" i="9"/>
  <c r="FI673" i="9"/>
  <c r="FM669" i="9"/>
  <c r="FM665" i="9"/>
  <c r="FC662" i="9"/>
  <c r="FA657" i="9"/>
  <c r="GK657" i="9" s="1"/>
  <c r="HE657" i="9" s="1"/>
  <c r="EX688" i="9"/>
  <c r="FN684" i="9"/>
  <c r="EU681" i="9"/>
  <c r="FJ677" i="9"/>
  <c r="FL672" i="9"/>
  <c r="FL668" i="9"/>
  <c r="FO664" i="9"/>
  <c r="FG661" i="9"/>
  <c r="EZ657" i="9"/>
  <c r="FL687" i="9"/>
  <c r="FB684" i="9"/>
  <c r="FH680" i="9"/>
  <c r="EX677" i="9"/>
  <c r="FJ672" i="9"/>
  <c r="FJ668" i="9"/>
  <c r="FN664" i="9"/>
  <c r="EU661" i="9"/>
  <c r="FM656" i="9"/>
  <c r="FC653" i="9"/>
  <c r="GM653" i="9" s="1"/>
  <c r="HG653" i="9" s="1"/>
  <c r="EV688" i="9"/>
  <c r="FA684" i="9"/>
  <c r="CC684" i="9"/>
  <c r="FP680" i="9"/>
  <c r="FI672" i="9"/>
  <c r="FI668" i="9"/>
  <c r="FM664" i="9"/>
  <c r="FM18" i="9"/>
  <c r="EZ45" i="9"/>
  <c r="EU141" i="9"/>
  <c r="FM40" i="9"/>
  <c r="FL79" i="9"/>
  <c r="EX34" i="9"/>
  <c r="EV75" i="9"/>
  <c r="FH30" i="9"/>
  <c r="EX52" i="9"/>
  <c r="FG16" i="9"/>
  <c r="EV51" i="9"/>
  <c r="FC73" i="9"/>
  <c r="GM73" i="9" s="1"/>
  <c r="HG73" i="9" s="1"/>
  <c r="CE73" i="9" s="1"/>
  <c r="FP16" i="9"/>
  <c r="EU37" i="9"/>
  <c r="FD64" i="9"/>
  <c r="FG203" i="9"/>
  <c r="EU41" i="9"/>
  <c r="FD68" i="9"/>
  <c r="FB18" i="9"/>
  <c r="FC54" i="9"/>
  <c r="GM54" i="9" s="1"/>
  <c r="HG54" i="9" s="1"/>
  <c r="CE54" i="9" s="1"/>
  <c r="FM76" i="9"/>
  <c r="FA686" i="9"/>
  <c r="CC686" i="9" s="1"/>
  <c r="FP682" i="9"/>
  <c r="FI674" i="9"/>
  <c r="FG671" i="9"/>
  <c r="FP668" i="9"/>
  <c r="EV666" i="9"/>
  <c r="FH662" i="9"/>
  <c r="FO657" i="9"/>
  <c r="FG654" i="9"/>
  <c r="FM688" i="9"/>
  <c r="FC685" i="9"/>
  <c r="FI681" i="9"/>
  <c r="EZ678" i="9"/>
  <c r="CB678" i="9"/>
  <c r="FA673" i="9"/>
  <c r="FD670" i="9"/>
  <c r="FO667" i="9"/>
  <c r="EU665" i="9"/>
  <c r="FJ661" i="9"/>
  <c r="FC657" i="9"/>
  <c r="FO687" i="9"/>
  <c r="FG684" i="9"/>
  <c r="FL680" i="9"/>
  <c r="FB677" i="9"/>
  <c r="EZ673" i="9"/>
  <c r="CB673" i="9"/>
  <c r="FC669" i="9"/>
  <c r="FC665" i="9"/>
  <c r="FI661" i="9"/>
  <c r="FB657" i="9"/>
  <c r="EZ688" i="9"/>
  <c r="HB688" i="9" s="1"/>
  <c r="HD688" i="9" s="1"/>
  <c r="FD684" i="9"/>
  <c r="EV681" i="9"/>
  <c r="FA677" i="9"/>
  <c r="CC677" i="9" s="1"/>
  <c r="EX673" i="9"/>
  <c r="FB669" i="9"/>
  <c r="FB665" i="9"/>
  <c r="FH661" i="9"/>
  <c r="FO656" i="9"/>
  <c r="FM687" i="9"/>
  <c r="FC684" i="9"/>
  <c r="FI680" i="9"/>
  <c r="EZ677" i="9"/>
  <c r="FA672" i="9"/>
  <c r="FA668" i="9"/>
  <c r="FD664" i="9"/>
  <c r="EV661" i="9"/>
  <c r="FN656" i="9"/>
  <c r="FA687" i="9"/>
  <c r="FP683" i="9"/>
  <c r="FM676" i="9"/>
  <c r="EZ672" i="9"/>
  <c r="EZ668" i="9"/>
  <c r="FC664" i="9"/>
  <c r="CE664" i="9" s="1"/>
  <c r="FL659" i="9"/>
  <c r="FB656" i="9"/>
  <c r="FH652" i="9"/>
  <c r="FJ687" i="9"/>
  <c r="FO683" i="9"/>
  <c r="FJ45" i="9"/>
  <c r="FP75" i="9"/>
  <c r="FP55" i="9"/>
  <c r="FN689" i="9"/>
  <c r="EU670" i="9"/>
  <c r="FP676" i="9"/>
  <c r="FJ680" i="9"/>
  <c r="FH683" i="9"/>
  <c r="FO686" i="9"/>
  <c r="FP655" i="9"/>
  <c r="EV680" i="9"/>
  <c r="FO673" i="9"/>
  <c r="EX669" i="9"/>
  <c r="FP663" i="9"/>
  <c r="FN658" i="9"/>
  <c r="FD689" i="9"/>
  <c r="FB686" i="9"/>
  <c r="CD686" i="9" s="1"/>
  <c r="FH682" i="9"/>
  <c r="EX679" i="9"/>
  <c r="FJ674" i="9"/>
  <c r="FH670" i="9"/>
  <c r="FH666" i="9"/>
  <c r="EU663" i="9"/>
  <c r="FB658" i="9"/>
  <c r="EX655" i="9"/>
  <c r="FJ650" i="9"/>
  <c r="FO646" i="9"/>
  <c r="FM642" i="9"/>
  <c r="FC639" i="9"/>
  <c r="CE639" i="9" s="1"/>
  <c r="FI635" i="9"/>
  <c r="EZ632" i="9"/>
  <c r="FA627" i="9"/>
  <c r="GK627" i="9" s="1"/>
  <c r="HE627" i="9" s="1"/>
  <c r="FP623" i="9"/>
  <c r="FM616" i="9"/>
  <c r="FB652" i="9"/>
  <c r="FP648" i="9"/>
  <c r="FC644" i="9"/>
  <c r="GM644" i="9" s="1"/>
  <c r="HG644" i="9" s="1"/>
  <c r="FI640" i="9"/>
  <c r="EZ637" i="9"/>
  <c r="FD633" i="9"/>
  <c r="GN633" i="9" s="1"/>
  <c r="FP628" i="9"/>
  <c r="FM621" i="9"/>
  <c r="FC618" i="9"/>
  <c r="GM618" i="9"/>
  <c r="HG618" i="9" s="1"/>
  <c r="FD654" i="9"/>
  <c r="FM646" i="9"/>
  <c r="EZ642" i="9"/>
  <c r="FD638" i="9"/>
  <c r="GN638" i="9" s="1"/>
  <c r="EV635" i="9"/>
  <c r="FA631" i="9"/>
  <c r="FM626" i="9"/>
  <c r="FC623" i="9"/>
  <c r="GM623" i="9"/>
  <c r="HG623" i="9" s="1"/>
  <c r="FI619" i="9"/>
  <c r="EZ616" i="9"/>
  <c r="FB651" i="9"/>
  <c r="FH647" i="9"/>
  <c r="EU643" i="9"/>
  <c r="FJ639" i="9"/>
  <c r="FO635" i="9"/>
  <c r="FG632" i="9"/>
  <c r="FH627" i="9"/>
  <c r="EX624" i="9"/>
  <c r="FN620" i="9"/>
  <c r="EU617" i="9"/>
  <c r="EX653" i="9"/>
  <c r="FI649" i="9"/>
  <c r="EZ646" i="9"/>
  <c r="CB646" i="9"/>
  <c r="FA641" i="9"/>
  <c r="GK641" i="9" s="1"/>
  <c r="HE641" i="9" s="1"/>
  <c r="FP637" i="9"/>
  <c r="FI629" i="9"/>
  <c r="EZ626" i="9"/>
  <c r="CB626" i="9" s="1"/>
  <c r="FD622" i="9"/>
  <c r="EV619" i="9"/>
  <c r="FB570" i="9"/>
  <c r="FJ651" i="9"/>
  <c r="FO647" i="9"/>
  <c r="EX152" i="9"/>
  <c r="EU19" i="9"/>
  <c r="EV146" i="9"/>
  <c r="FO685" i="9"/>
  <c r="FD657" i="9"/>
  <c r="FD667" i="9"/>
  <c r="GN667" i="9" s="1"/>
  <c r="FN672" i="9"/>
  <c r="FO676" i="9"/>
  <c r="EX680" i="9"/>
  <c r="FG683" i="9"/>
  <c r="FJ679" i="9"/>
  <c r="FD673" i="9"/>
  <c r="EX668" i="9"/>
  <c r="FG663" i="9"/>
  <c r="FC658" i="9"/>
  <c r="GM658" i="9" s="1"/>
  <c r="HG658" i="9" s="1"/>
  <c r="EU689" i="9"/>
  <c r="FP685" i="9"/>
  <c r="FM678" i="9"/>
  <c r="EZ674" i="9"/>
  <c r="FI662" i="9"/>
  <c r="FP657" i="9"/>
  <c r="FI654" i="9"/>
  <c r="EZ650" i="9"/>
  <c r="CB650" i="9" s="1"/>
  <c r="FD646" i="9"/>
  <c r="FB642" i="9"/>
  <c r="FH638" i="9"/>
  <c r="EX635" i="9"/>
  <c r="FN631" i="9"/>
  <c r="FO626" i="9"/>
  <c r="FG623" i="9"/>
  <c r="FL619" i="9"/>
  <c r="FB616" i="9"/>
  <c r="CD616" i="9" s="1"/>
  <c r="FO651" i="9"/>
  <c r="FG648" i="9"/>
  <c r="FH643" i="9"/>
  <c r="EX640" i="9"/>
  <c r="FN636" i="9"/>
  <c r="EU633" i="9"/>
  <c r="FG628" i="9"/>
  <c r="FL624" i="9"/>
  <c r="FB621" i="9"/>
  <c r="FH617" i="9"/>
  <c r="FP653" i="9"/>
  <c r="FL649" i="9"/>
  <c r="FB646" i="9"/>
  <c r="FN641" i="9"/>
  <c r="EU638" i="9"/>
  <c r="FJ634" i="9"/>
  <c r="FL629" i="9"/>
  <c r="FB626" i="9"/>
  <c r="CD626" i="9" s="1"/>
  <c r="FH622" i="9"/>
  <c r="EX619" i="9"/>
  <c r="FO570" i="9"/>
  <c r="FP650" i="9"/>
  <c r="FI642" i="9"/>
  <c r="EZ639" i="9"/>
  <c r="FD635" i="9"/>
  <c r="GN635" i="9" s="1"/>
  <c r="EV632" i="9"/>
  <c r="FM623" i="9"/>
  <c r="FC620" i="9"/>
  <c r="FI616" i="9"/>
  <c r="FL652" i="9"/>
  <c r="EZ39" i="9"/>
  <c r="FH38" i="9"/>
  <c r="FG682" i="9"/>
  <c r="EV654" i="9"/>
  <c r="FI664" i="9"/>
  <c r="FN668" i="9"/>
  <c r="FM672" i="9"/>
  <c r="FN676" i="9"/>
  <c r="FL679" i="9"/>
  <c r="EZ687" i="9"/>
  <c r="CB687" i="9" s="1"/>
  <c r="FN678" i="9"/>
  <c r="EU673" i="9"/>
  <c r="FI667" i="9"/>
  <c r="FJ662" i="9"/>
  <c r="FH657" i="9"/>
  <c r="FO688" i="9"/>
  <c r="FG685" i="9"/>
  <c r="FL681" i="9"/>
  <c r="FB678" i="9"/>
  <c r="FN673" i="9"/>
  <c r="FH669" i="9"/>
  <c r="FH665" i="9"/>
  <c r="EX662" i="9"/>
  <c r="FG657" i="9"/>
  <c r="EU654" i="9"/>
  <c r="FN649" i="9"/>
  <c r="EU646" i="9"/>
  <c r="FP641" i="9"/>
  <c r="FM634" i="9"/>
  <c r="FC631" i="9"/>
  <c r="GM631" i="9"/>
  <c r="HG631" i="9" s="1"/>
  <c r="FD626" i="9"/>
  <c r="EV623" i="9"/>
  <c r="FA619" i="9"/>
  <c r="GK619" i="9" s="1"/>
  <c r="HE619" i="9" s="1"/>
  <c r="FH570" i="9"/>
  <c r="FD651" i="9"/>
  <c r="EV648" i="9"/>
  <c r="FM639" i="9"/>
  <c r="FC636" i="9"/>
  <c r="FI632" i="9"/>
  <c r="EV628" i="9"/>
  <c r="FA624" i="9"/>
  <c r="FP620" i="9"/>
  <c r="FB653" i="9"/>
  <c r="FA649" i="9"/>
  <c r="GK649" i="9"/>
  <c r="HE649" i="9" s="1"/>
  <c r="FM644" i="9"/>
  <c r="FC641" i="9"/>
  <c r="GM641" i="9" s="1"/>
  <c r="HG641" i="9" s="1"/>
  <c r="FI637" i="9"/>
  <c r="EZ634" i="9"/>
  <c r="FA629" i="9"/>
  <c r="FP625" i="9"/>
  <c r="FM618" i="9"/>
  <c r="FC654" i="9"/>
  <c r="FG650" i="9"/>
  <c r="FL646" i="9"/>
  <c r="EX642" i="9"/>
  <c r="FN638" i="9"/>
  <c r="EU635" i="9"/>
  <c r="FJ631" i="9"/>
  <c r="FL626" i="9"/>
  <c r="FB623" i="9"/>
  <c r="FH619" i="9"/>
  <c r="EX616" i="9"/>
  <c r="EX652" i="9"/>
  <c r="FI77" i="9"/>
  <c r="EU68" i="9"/>
  <c r="FL678" i="9"/>
  <c r="FB688" i="9"/>
  <c r="CD688" i="9" s="1"/>
  <c r="EZ661" i="9"/>
  <c r="FH664" i="9"/>
  <c r="FM668" i="9"/>
  <c r="FL671" i="9"/>
  <c r="FB676" i="9"/>
  <c r="FD683" i="9"/>
  <c r="FC678" i="9"/>
  <c r="EX672" i="9"/>
  <c r="EX667" i="9"/>
  <c r="EZ662" i="9"/>
  <c r="FD688" i="9"/>
  <c r="EV685" i="9"/>
  <c r="FA681" i="9"/>
  <c r="FP677" i="9"/>
  <c r="FC673" i="9"/>
  <c r="GM673" i="9" s="1"/>
  <c r="HG673" i="9" s="1"/>
  <c r="FM661" i="9"/>
  <c r="EV657" i="9"/>
  <c r="FG653" i="9"/>
  <c r="FC649" i="9"/>
  <c r="GM649" i="9" s="1"/>
  <c r="HG649" i="9" s="1"/>
  <c r="FO644" i="9"/>
  <c r="FG641" i="9"/>
  <c r="FL637" i="9"/>
  <c r="FB634" i="9"/>
  <c r="FN629" i="9"/>
  <c r="EU626" i="9"/>
  <c r="FJ622" i="9"/>
  <c r="FO618" i="9"/>
  <c r="EU651" i="9"/>
  <c r="FJ647" i="9"/>
  <c r="FL642" i="9"/>
  <c r="FB639" i="9"/>
  <c r="CD639" i="9" s="1"/>
  <c r="FH635" i="9"/>
  <c r="EX632" i="9"/>
  <c r="FJ627" i="9"/>
  <c r="FO623" i="9"/>
  <c r="FG620" i="9"/>
  <c r="FL616" i="9"/>
  <c r="FO652" i="9"/>
  <c r="FO648" i="9"/>
  <c r="FB644" i="9"/>
  <c r="FH640" i="9"/>
  <c r="EX637" i="9"/>
  <c r="FN633" i="9"/>
  <c r="FO628" i="9"/>
  <c r="FG625" i="9"/>
  <c r="FL621" i="9"/>
  <c r="FB618" i="9"/>
  <c r="GL618" i="9" s="1"/>
  <c r="FO653" i="9"/>
  <c r="EV650" i="9"/>
  <c r="FA646" i="9"/>
  <c r="FM641" i="9"/>
  <c r="FC638" i="9"/>
  <c r="FI634" i="9"/>
  <c r="EZ631" i="9"/>
  <c r="FA626" i="9"/>
  <c r="CC626" i="9"/>
  <c r="FP622" i="9"/>
  <c r="FN570" i="9"/>
  <c r="FL651" i="9"/>
  <c r="FB648" i="9"/>
  <c r="GL648" i="9" s="1"/>
  <c r="FN643" i="9"/>
  <c r="EU640" i="9"/>
  <c r="FJ636" i="9"/>
  <c r="FO632" i="9"/>
  <c r="FB628" i="9"/>
  <c r="GL628" i="9" s="1"/>
  <c r="FH624" i="9"/>
  <c r="EX621" i="9"/>
  <c r="FN617" i="9"/>
  <c r="FA654" i="9"/>
  <c r="FC650" i="9"/>
  <c r="FI646" i="9"/>
  <c r="EV642" i="9"/>
  <c r="FA638" i="9"/>
  <c r="GK638" i="9" s="1"/>
  <c r="HE638" i="9" s="1"/>
  <c r="FP634" i="9"/>
  <c r="FI626" i="9"/>
  <c r="EZ623" i="9"/>
  <c r="EV33" i="9"/>
  <c r="FN15" i="9"/>
  <c r="EX674" i="9"/>
  <c r="FH684" i="9"/>
  <c r="FH656" i="9"/>
  <c r="EX661" i="9"/>
  <c r="FP664" i="9"/>
  <c r="FL667" i="9"/>
  <c r="FJ671" i="9"/>
  <c r="EX682" i="9"/>
  <c r="FH677" i="9"/>
  <c r="FI671" i="9"/>
  <c r="EX666" i="9"/>
  <c r="FN661" i="9"/>
  <c r="FL656" i="9"/>
  <c r="EU688" i="9"/>
  <c r="FJ684" i="9"/>
  <c r="FO680" i="9"/>
  <c r="FG677" i="9"/>
  <c r="FH672" i="9"/>
  <c r="FH668" i="9"/>
  <c r="FL664" i="9"/>
  <c r="FB661" i="9"/>
  <c r="FJ656" i="9"/>
  <c r="FD652" i="9"/>
  <c r="FH648" i="9"/>
  <c r="FD644" i="9"/>
  <c r="EV641" i="9"/>
  <c r="FA637" i="9"/>
  <c r="FP633" i="9"/>
  <c r="FC629" i="9"/>
  <c r="GM629" i="9" s="1"/>
  <c r="HG629" i="9" s="1"/>
  <c r="FI625" i="9"/>
  <c r="EZ622" i="9"/>
  <c r="FD618" i="9"/>
  <c r="GN618" i="9" s="1"/>
  <c r="GY618" i="9" s="1"/>
  <c r="GZ618" i="9" s="1"/>
  <c r="HH618" i="9" s="1"/>
  <c r="FI650" i="9"/>
  <c r="EZ647" i="9"/>
  <c r="CB647" i="9" s="1"/>
  <c r="FA642" i="9"/>
  <c r="GK642" i="9" s="1"/>
  <c r="HE642" i="9" s="1"/>
  <c r="FP638" i="9"/>
  <c r="FM631" i="9"/>
  <c r="EZ627" i="9"/>
  <c r="CB627" i="9" s="1"/>
  <c r="FD623" i="9"/>
  <c r="EV620" i="9"/>
  <c r="FA616" i="9"/>
  <c r="GK616" i="9" s="1"/>
  <c r="HE616" i="9" s="1"/>
  <c r="FA652" i="9"/>
  <c r="FD648" i="9"/>
  <c r="CF648" i="9" s="1"/>
  <c r="FP643" i="9"/>
  <c r="FM636" i="9"/>
  <c r="FC633" i="9"/>
  <c r="GM633" i="9" s="1"/>
  <c r="HG633" i="9" s="1"/>
  <c r="FD628" i="9"/>
  <c r="EV625" i="9"/>
  <c r="FA621" i="9"/>
  <c r="FP617" i="9"/>
  <c r="FA653" i="9"/>
  <c r="GK653" i="9" s="1"/>
  <c r="HE653" i="9" s="1"/>
  <c r="FJ649" i="9"/>
  <c r="FL644" i="9"/>
  <c r="FB641" i="9"/>
  <c r="FH637" i="9"/>
  <c r="EX634" i="9"/>
  <c r="FJ629" i="9"/>
  <c r="FO625" i="9"/>
  <c r="FG622" i="9"/>
  <c r="FL618" i="9"/>
  <c r="FC570" i="9"/>
  <c r="GM570" i="9" s="1"/>
  <c r="HG570" i="9" s="1"/>
  <c r="CE570" i="9" s="1"/>
  <c r="FB22" i="9"/>
  <c r="FG61" i="9"/>
  <c r="FB46" i="9"/>
  <c r="EV671" i="9"/>
  <c r="EX681" i="9"/>
  <c r="FD687" i="9"/>
  <c r="FP656" i="9"/>
  <c r="EU664" i="9"/>
  <c r="FJ667" i="9"/>
  <c r="FM681" i="9"/>
  <c r="FL676" i="9"/>
  <c r="EX671" i="9"/>
  <c r="FI665" i="9"/>
  <c r="FC661" i="9"/>
  <c r="FA656" i="9"/>
  <c r="GK656" i="9" s="1"/>
  <c r="HE656" i="9" s="1"/>
  <c r="FI687" i="9"/>
  <c r="EZ684" i="9"/>
  <c r="FD680" i="9"/>
  <c r="EV677" i="9"/>
  <c r="FA664" i="9"/>
  <c r="FI659" i="9"/>
  <c r="EZ656" i="9"/>
  <c r="FP651" i="9"/>
  <c r="EU644" i="9"/>
  <c r="FJ640" i="9"/>
  <c r="FO636" i="9"/>
  <c r="FG633" i="9"/>
  <c r="FH628" i="9"/>
  <c r="EX625" i="9"/>
  <c r="FN621" i="9"/>
  <c r="EU618" i="9"/>
  <c r="FH654" i="9"/>
  <c r="EX650" i="9"/>
  <c r="FN646" i="9"/>
  <c r="FO641" i="9"/>
  <c r="FG638" i="9"/>
  <c r="FL634" i="9"/>
  <c r="FB631" i="9"/>
  <c r="FN626" i="9"/>
  <c r="EU623" i="9"/>
  <c r="FJ619" i="9"/>
  <c r="FP570" i="9"/>
  <c r="FN651" i="9"/>
  <c r="EU648" i="9"/>
  <c r="FG643" i="9"/>
  <c r="FL639" i="9"/>
  <c r="FB636" i="9"/>
  <c r="FH632" i="9"/>
  <c r="EU628" i="9"/>
  <c r="FJ624" i="9"/>
  <c r="FO620" i="9"/>
  <c r="FG617" i="9"/>
  <c r="FM652" i="9"/>
  <c r="EZ649" i="9"/>
  <c r="FA644" i="9"/>
  <c r="FP640" i="9"/>
  <c r="FM633" i="9"/>
  <c r="EZ629" i="9"/>
  <c r="FD625" i="9"/>
  <c r="GN625" i="9"/>
  <c r="GY625" i="9" s="1"/>
  <c r="GZ625" i="9" s="1"/>
  <c r="HH625" i="9" s="1"/>
  <c r="EV622" i="9"/>
  <c r="FA618" i="9"/>
  <c r="GK618" i="9" s="1"/>
  <c r="HE618" i="9" s="1"/>
  <c r="FO654" i="9"/>
  <c r="FO650" i="9"/>
  <c r="FA49" i="9"/>
  <c r="GK49" i="9"/>
  <c r="HE49" i="9" s="1"/>
  <c r="CC49" i="9" s="1"/>
  <c r="FG71" i="9"/>
  <c r="FG668" i="9"/>
  <c r="FN677" i="9"/>
  <c r="EV684" i="9"/>
  <c r="FN687" i="9"/>
  <c r="FD656" i="9"/>
  <c r="FM659" i="9"/>
  <c r="FH663" i="9"/>
  <c r="FB681" i="9"/>
  <c r="FA676" i="9"/>
  <c r="GK676" i="9" s="1"/>
  <c r="HE676" i="9" s="1"/>
  <c r="EX670" i="9"/>
  <c r="EX665" i="9"/>
  <c r="FJ659" i="9"/>
  <c r="FO655" i="9"/>
  <c r="EX687" i="9"/>
  <c r="FN683" i="9"/>
  <c r="EU680" i="9"/>
  <c r="FJ676" i="9"/>
  <c r="FH671" i="9"/>
  <c r="FH667" i="9"/>
  <c r="FO663" i="9"/>
  <c r="EX659" i="9"/>
  <c r="FN655" i="9"/>
  <c r="FG651" i="9"/>
  <c r="FL647" i="9"/>
  <c r="FI643" i="9"/>
  <c r="EZ640" i="9"/>
  <c r="FD636" i="9"/>
  <c r="EV633" i="9"/>
  <c r="FM624" i="9"/>
  <c r="FC621" i="9"/>
  <c r="FI617" i="9"/>
  <c r="FD653" i="9"/>
  <c r="CF653" i="9" s="1"/>
  <c r="FM649" i="9"/>
  <c r="FC646" i="9"/>
  <c r="FD641" i="9"/>
  <c r="EV638" i="9"/>
  <c r="FA634" i="9"/>
  <c r="GK634" i="9" s="1"/>
  <c r="HE634" i="9" s="1"/>
  <c r="FM629" i="9"/>
  <c r="FC626" i="9"/>
  <c r="FI622" i="9"/>
  <c r="EZ619" i="9"/>
  <c r="FG570" i="9"/>
  <c r="FC651" i="9"/>
  <c r="FI647" i="9"/>
  <c r="EV643" i="9"/>
  <c r="FA639" i="9"/>
  <c r="GK639" i="9" s="1"/>
  <c r="HE639" i="9" s="1"/>
  <c r="FP635" i="9"/>
  <c r="FI627" i="9"/>
  <c r="EZ624" i="9"/>
  <c r="FD620" i="9"/>
  <c r="EV617" i="9"/>
  <c r="EZ652" i="9"/>
  <c r="HB652" i="9" s="1"/>
  <c r="HD652" i="9" s="1"/>
  <c r="FN648" i="9"/>
  <c r="FO643" i="9"/>
  <c r="FG640" i="9"/>
  <c r="FL636" i="9"/>
  <c r="FB633" i="9"/>
  <c r="FN628" i="9"/>
  <c r="EU625" i="9"/>
  <c r="FJ621" i="9"/>
  <c r="FO617" i="9"/>
  <c r="FB654" i="9"/>
  <c r="FI52" i="9"/>
  <c r="EV176" i="9"/>
  <c r="AK74" i="5"/>
  <c r="CR410" i="5" s="1"/>
  <c r="BU60" i="5"/>
  <c r="AI65" i="5"/>
  <c r="CR373" i="5" s="1"/>
  <c r="AX106" i="5"/>
  <c r="CT564" i="5" s="1"/>
  <c r="AP99" i="5"/>
  <c r="CT445" i="5" s="1"/>
  <c r="AP75" i="5"/>
  <c r="CR453" i="5"/>
  <c r="AX74" i="5"/>
  <c r="CR564" i="5" s="1"/>
  <c r="AG73" i="5"/>
  <c r="CR353" i="5" s="1"/>
  <c r="AP65" i="5"/>
  <c r="CR443" i="5" s="1"/>
  <c r="AY108" i="5"/>
  <c r="CT580" i="5"/>
  <c r="DE316" i="10"/>
  <c r="DE319" i="10"/>
  <c r="DE310" i="10"/>
  <c r="DE318" i="10"/>
  <c r="DE313" i="10"/>
  <c r="DE315" i="10"/>
  <c r="DE324" i="10"/>
  <c r="DE326" i="10"/>
  <c r="DE330" i="10"/>
  <c r="DE328" i="10"/>
  <c r="DE311" i="10"/>
  <c r="DE317" i="10"/>
  <c r="DE309" i="10"/>
  <c r="DE322" i="10"/>
  <c r="DE308" i="10"/>
  <c r="DE325" i="10"/>
  <c r="DE314" i="10"/>
  <c r="DD317" i="10"/>
  <c r="DE327" i="10"/>
  <c r="DE306" i="10"/>
  <c r="DE320" i="10"/>
  <c r="GQ90" i="9"/>
  <c r="GR90" i="9"/>
  <c r="GS90" i="9" s="1"/>
  <c r="GT90" i="9" s="1"/>
  <c r="GU90" i="9" s="1"/>
  <c r="GV90" i="9" s="1"/>
  <c r="GW90" i="9" s="1"/>
  <c r="GD106" i="9"/>
  <c r="GE106" i="9" s="1"/>
  <c r="GF106" i="9" s="1"/>
  <c r="GG106" i="9" s="1"/>
  <c r="GD602" i="9"/>
  <c r="GE602" i="9" s="1"/>
  <c r="GF602" i="9" s="1"/>
  <c r="GG602" i="9" s="1"/>
  <c r="GH602" i="9" s="1"/>
  <c r="GI602" i="9" s="1"/>
  <c r="GQ407" i="9"/>
  <c r="GR407" i="9"/>
  <c r="GS407" i="9" s="1"/>
  <c r="GT407" i="9" s="1"/>
  <c r="GU407" i="9" s="1"/>
  <c r="GV407" i="9" s="1"/>
  <c r="GQ60" i="9"/>
  <c r="GQ61" i="9"/>
  <c r="GR61" i="9" s="1"/>
  <c r="GS61" i="9" s="1"/>
  <c r="GT61" i="9" s="1"/>
  <c r="GU61" i="9" s="1"/>
  <c r="GV61" i="9" s="1"/>
  <c r="GD470" i="9"/>
  <c r="GE470" i="9" s="1"/>
  <c r="GF470" i="9" s="1"/>
  <c r="GG470" i="9" s="1"/>
  <c r="GQ478" i="9"/>
  <c r="GR478" i="9" s="1"/>
  <c r="GS478" i="9" s="1"/>
  <c r="GT478" i="9" s="1"/>
  <c r="GU478" i="9" s="1"/>
  <c r="GV478" i="9" s="1"/>
  <c r="GQ455" i="9"/>
  <c r="GR455" i="9" s="1"/>
  <c r="GS455" i="9" s="1"/>
  <c r="GT455" i="9" s="1"/>
  <c r="GU455" i="9" s="1"/>
  <c r="GV455" i="9" s="1"/>
  <c r="CW132" i="10"/>
  <c r="DD154" i="10"/>
  <c r="DD379" i="10" s="1"/>
  <c r="Z87" i="10"/>
  <c r="CW182" i="10" s="1"/>
  <c r="DD137" i="10"/>
  <c r="DD362" i="10" s="1"/>
  <c r="AA74" i="10"/>
  <c r="CV132" i="10"/>
  <c r="DD140" i="10"/>
  <c r="DD365" i="10" s="1"/>
  <c r="DD288" i="10"/>
  <c r="X79" i="10"/>
  <c r="AB80" i="10"/>
  <c r="CW276" i="10" s="1"/>
  <c r="X68" i="10"/>
  <c r="AD80" i="10"/>
  <c r="AE65" i="10"/>
  <c r="X75" i="10"/>
  <c r="CW146" i="10" s="1"/>
  <c r="V81" i="10"/>
  <c r="AE77" i="10"/>
  <c r="CW348" i="10" s="1"/>
  <c r="S68" i="10"/>
  <c r="DD145" i="10"/>
  <c r="DD370" i="10" s="1"/>
  <c r="AC81" i="10"/>
  <c r="CW302" i="10"/>
  <c r="Z77" i="10"/>
  <c r="CW226" i="10"/>
  <c r="DD173" i="10"/>
  <c r="AF72" i="10"/>
  <c r="AA72" i="10"/>
  <c r="DD215" i="10" s="1"/>
  <c r="AC68" i="10"/>
  <c r="CW289" i="10" s="1"/>
  <c r="GQ611" i="9"/>
  <c r="GR611" i="9" s="1"/>
  <c r="GS611" i="9" s="1"/>
  <c r="GT611" i="9" s="1"/>
  <c r="GU611" i="9" s="1"/>
  <c r="GV611" i="9" s="1"/>
  <c r="GQ579" i="9"/>
  <c r="GR579" i="9" s="1"/>
  <c r="GS579" i="9" s="1"/>
  <c r="GT579" i="9" s="1"/>
  <c r="GU579" i="9" s="1"/>
  <c r="GV579" i="9" s="1"/>
  <c r="GW579" i="9" s="1"/>
  <c r="HF579" i="9" s="1"/>
  <c r="AI75" i="5"/>
  <c r="CR383" i="5" s="1"/>
  <c r="CQ594" i="5"/>
  <c r="W65" i="5"/>
  <c r="AU73" i="5"/>
  <c r="CR521" i="5" s="1"/>
  <c r="AF98" i="5"/>
  <c r="CT332" i="5" s="1"/>
  <c r="AV74" i="5"/>
  <c r="CR536" i="5" s="1"/>
  <c r="AF73" i="5"/>
  <c r="CR339" i="5"/>
  <c r="AF75" i="5"/>
  <c r="CR341" i="5" s="1"/>
  <c r="AE98" i="5"/>
  <c r="AK65" i="5"/>
  <c r="CR401" i="5"/>
  <c r="AN60" i="5"/>
  <c r="AY74" i="5"/>
  <c r="CR578" i="5" s="1"/>
  <c r="AH71" i="5"/>
  <c r="CR365" i="5" s="1"/>
  <c r="AW98" i="5"/>
  <c r="CT542" i="5" s="1"/>
  <c r="AY98" i="5"/>
  <c r="CT570" i="5" s="1"/>
  <c r="AX107" i="5"/>
  <c r="CT565" i="5" s="1"/>
  <c r="AX103" i="5"/>
  <c r="CT561" i="5"/>
  <c r="AY100" i="5"/>
  <c r="CT572" i="5"/>
  <c r="X134" i="5"/>
  <c r="N22" i="4"/>
  <c r="BL7" i="4"/>
  <c r="BN7" i="4"/>
  <c r="L23" i="4"/>
  <c r="N23" i="4" s="1"/>
  <c r="BS8" i="4" s="1"/>
  <c r="BT146" i="3"/>
  <c r="BT335" i="3"/>
  <c r="BT281" i="3"/>
  <c r="BT168" i="3"/>
  <c r="BT302" i="3"/>
  <c r="BT244" i="3"/>
  <c r="BT178" i="3"/>
  <c r="BT307" i="3"/>
  <c r="BT241" i="3"/>
  <c r="BT183" i="3"/>
  <c r="BT304" i="3"/>
  <c r="BT230" i="3"/>
  <c r="BT149" i="3"/>
  <c r="BT293" i="3"/>
  <c r="BT227" i="3"/>
  <c r="BT154" i="3"/>
  <c r="BT290" i="3"/>
  <c r="BT182" i="3"/>
  <c r="BT122" i="3"/>
  <c r="BT279" i="3"/>
  <c r="BT203" i="3"/>
  <c r="BT137" i="3"/>
  <c r="BT292" i="3"/>
  <c r="BT208" i="3"/>
  <c r="BT120" i="3"/>
  <c r="BT268" i="3"/>
  <c r="BT323" i="3"/>
  <c r="BT265" i="3"/>
  <c r="BT143" i="3"/>
  <c r="BT286" i="3"/>
  <c r="BT228" i="3"/>
  <c r="BT167" i="3"/>
  <c r="BT291" i="3"/>
  <c r="BT225" i="3"/>
  <c r="BT160" i="3"/>
  <c r="BT288" i="3"/>
  <c r="BT204" i="3"/>
  <c r="BT134" i="3"/>
  <c r="BT277" i="3"/>
  <c r="BT214" i="3"/>
  <c r="BT139" i="3"/>
  <c r="BT232" i="3"/>
  <c r="BT169" i="3"/>
  <c r="BT331" i="3"/>
  <c r="BT263" i="3"/>
  <c r="BT187" i="3"/>
  <c r="BT121" i="3"/>
  <c r="BT136" i="3"/>
  <c r="BT318" i="3"/>
  <c r="BT257" i="3"/>
  <c r="BT141" i="3"/>
  <c r="BT278" i="3"/>
  <c r="BT223" i="3"/>
  <c r="BT161" i="3"/>
  <c r="BT283" i="3"/>
  <c r="BT220" i="3"/>
  <c r="BT125" i="3"/>
  <c r="BT272" i="3"/>
  <c r="BT196" i="3"/>
  <c r="BT128" i="3"/>
  <c r="BT269" i="3"/>
  <c r="BT209" i="3"/>
  <c r="BT130" i="3"/>
  <c r="BT219" i="3"/>
  <c r="BT159" i="3"/>
  <c r="BT326" i="3"/>
  <c r="BT255" i="3"/>
  <c r="BT179" i="3"/>
  <c r="BT247" i="3"/>
  <c r="BT313" i="3"/>
  <c r="BT260" i="3"/>
  <c r="BT310" i="3"/>
  <c r="BT239" i="3"/>
  <c r="BT135" i="3"/>
  <c r="BT270" i="3"/>
  <c r="BT215" i="3"/>
  <c r="BT145" i="3"/>
  <c r="BT275" i="3"/>
  <c r="BT212" i="3"/>
  <c r="BT339" i="3"/>
  <c r="BT264" i="3"/>
  <c r="BT188" i="3"/>
  <c r="BT124" i="3"/>
  <c r="BT261" i="3"/>
  <c r="BT201" i="3"/>
  <c r="BT123" i="3"/>
  <c r="BT211" i="3"/>
  <c r="BT153" i="3"/>
  <c r="BT321" i="3"/>
  <c r="BT245" i="3"/>
  <c r="BT171" i="3"/>
  <c r="BT252" i="3"/>
  <c r="BT151" i="3"/>
  <c r="BT305" i="3"/>
  <c r="BT231" i="3"/>
  <c r="BT337" i="3"/>
  <c r="BT262" i="3"/>
  <c r="BT202" i="3"/>
  <c r="BT131" i="3"/>
  <c r="BT267" i="3"/>
  <c r="BT207" i="3"/>
  <c r="BT327" i="3"/>
  <c r="BT256" i="3"/>
  <c r="BT180" i="3"/>
  <c r="BT334" i="3"/>
  <c r="BT253" i="3"/>
  <c r="BT193" i="3"/>
  <c r="BT324" i="3"/>
  <c r="BT206" i="3"/>
  <c r="BT147" i="3"/>
  <c r="BT303" i="3"/>
  <c r="BT237" i="3"/>
  <c r="BT164" i="3"/>
  <c r="BT221" i="3"/>
  <c r="BT297" i="3"/>
  <c r="BT205" i="3"/>
  <c r="BT320" i="3"/>
  <c r="BT254" i="3"/>
  <c r="BT194" i="3"/>
  <c r="BT126" i="3"/>
  <c r="BT259" i="3"/>
  <c r="BT199" i="3"/>
  <c r="BT317" i="3"/>
  <c r="BT246" i="3"/>
  <c r="BT172" i="3"/>
  <c r="BT329" i="3"/>
  <c r="BT243" i="3"/>
  <c r="BT185" i="3"/>
  <c r="BT319" i="3"/>
  <c r="BT198" i="3"/>
  <c r="BT138" i="3"/>
  <c r="BT295" i="3"/>
  <c r="BT229" i="3"/>
  <c r="BT152" i="3"/>
  <c r="BT284" i="3"/>
  <c r="BT176" i="3"/>
  <c r="BT289" i="3"/>
  <c r="BT189" i="3"/>
  <c r="BT315" i="3"/>
  <c r="BT249" i="3"/>
  <c r="BT186" i="3"/>
  <c r="BT325" i="3"/>
  <c r="BT251" i="3"/>
  <c r="BT191" i="3"/>
  <c r="BT309" i="3"/>
  <c r="BT238" i="3"/>
  <c r="BT157" i="3"/>
  <c r="BT301" i="3"/>
  <c r="BT235" i="3"/>
  <c r="BT177" i="3"/>
  <c r="BT311" i="3"/>
  <c r="BT190" i="3"/>
  <c r="BT133" i="3"/>
  <c r="BT287" i="3"/>
  <c r="BT224" i="3"/>
  <c r="BI305" i="3" a="1"/>
  <c r="BI305" i="3" s="1"/>
  <c r="BS316" i="3" a="1"/>
  <c r="BS316" i="3" s="1"/>
  <c r="BN138" i="3" a="1"/>
  <c r="BN138" i="3" s="1"/>
  <c r="BK138" i="3" s="1"/>
  <c r="GE128" i="9"/>
  <c r="GF128" i="9" s="1"/>
  <c r="GG128" i="9" s="1"/>
  <c r="GD585" i="9"/>
  <c r="GE585" i="9" s="1"/>
  <c r="GF585" i="9" s="1"/>
  <c r="GG585" i="9" s="1"/>
  <c r="GQ496" i="9"/>
  <c r="GR496" i="9" s="1"/>
  <c r="GS496" i="9" s="1"/>
  <c r="GT496" i="9" s="1"/>
  <c r="GU496" i="9" s="1"/>
  <c r="GV496" i="9" s="1"/>
  <c r="GW496" i="9" s="1"/>
  <c r="HF496" i="9" s="1"/>
  <c r="GQ645" i="9"/>
  <c r="GR645" i="9" s="1"/>
  <c r="GS645" i="9" s="1"/>
  <c r="GT645" i="9" s="1"/>
  <c r="GU645" i="9" s="1"/>
  <c r="GV645" i="9" s="1"/>
  <c r="GD609" i="9"/>
  <c r="GE609" i="9" s="1"/>
  <c r="GF609" i="9" s="1"/>
  <c r="GG609" i="9" s="1"/>
  <c r="GH609" i="9" s="1"/>
  <c r="GI609" i="9" s="1"/>
  <c r="GQ437" i="9"/>
  <c r="GR437" i="9" s="1"/>
  <c r="GS437" i="9" s="1"/>
  <c r="GT437" i="9" s="1"/>
  <c r="GU437" i="9" s="1"/>
  <c r="GV437" i="9" s="1"/>
  <c r="GQ392" i="9"/>
  <c r="GR392" i="9" s="1"/>
  <c r="GS392" i="9" s="1"/>
  <c r="GT392" i="9" s="1"/>
  <c r="GU392" i="9" s="1"/>
  <c r="GV392" i="9" s="1"/>
  <c r="GW392" i="9" s="1"/>
  <c r="HF392" i="9" s="1"/>
  <c r="GQ454" i="9"/>
  <c r="GR454" i="9" s="1"/>
  <c r="GS454" i="9" s="1"/>
  <c r="GT454" i="9" s="1"/>
  <c r="GU454" i="9" s="1"/>
  <c r="GV454" i="9" s="1"/>
  <c r="GQ120" i="9"/>
  <c r="GR120" i="9" s="1"/>
  <c r="GS120" i="9" s="1"/>
  <c r="GT120" i="9" s="1"/>
  <c r="GU120" i="9" s="1"/>
  <c r="GV120" i="9" s="1"/>
  <c r="X132" i="5"/>
  <c r="N9" i="4"/>
  <c r="BP9" i="4" s="1"/>
  <c r="EP11" i="5"/>
  <c r="EP15" i="5"/>
  <c r="EP13" i="5"/>
  <c r="AI74" i="5"/>
  <c r="CR382" i="5" s="1"/>
  <c r="AE104" i="5"/>
  <c r="AG74" i="5"/>
  <c r="CR354" i="5" s="1"/>
  <c r="AP103" i="5"/>
  <c r="CT449" i="5"/>
  <c r="AW100" i="5"/>
  <c r="CT544" i="5" s="1"/>
  <c r="AP101" i="5"/>
  <c r="CT447" i="5" s="1"/>
  <c r="AX73" i="5"/>
  <c r="CR563" i="5" s="1"/>
  <c r="AF104" i="5"/>
  <c r="AF100" i="5"/>
  <c r="CT334" i="5"/>
  <c r="AE100" i="5"/>
  <c r="AW104" i="5"/>
  <c r="CT548" i="5"/>
  <c r="CQ384" i="5"/>
  <c r="CW208" i="10"/>
  <c r="DD230" i="10"/>
  <c r="DD255" i="10"/>
  <c r="CW322" i="10"/>
  <c r="DD319" i="10"/>
  <c r="T80" i="10"/>
  <c r="Y63" i="10"/>
  <c r="AD72" i="10"/>
  <c r="CV322" i="10"/>
  <c r="X81" i="10"/>
  <c r="S80" i="10"/>
  <c r="CW26" i="10" s="1"/>
  <c r="V88" i="10"/>
  <c r="W64" i="10"/>
  <c r="T69" i="10"/>
  <c r="DD164" i="10"/>
  <c r="DD389" i="10" s="1"/>
  <c r="S74" i="10"/>
  <c r="Y83" i="10"/>
  <c r="DD38" i="10"/>
  <c r="DD126" i="10"/>
  <c r="AB72" i="10"/>
  <c r="CW268" i="10"/>
  <c r="T79" i="10"/>
  <c r="V78" i="10"/>
  <c r="AE82" i="10"/>
  <c r="CW353" i="10" s="1"/>
  <c r="AD77" i="10"/>
  <c r="DD320" i="10" s="1"/>
  <c r="R88" i="10"/>
  <c r="AE83" i="10"/>
  <c r="CW354" i="10"/>
  <c r="AC78" i="10"/>
  <c r="S70" i="10"/>
  <c r="X76" i="10"/>
  <c r="T82" i="10"/>
  <c r="CW53" i="10" s="1"/>
  <c r="CV208" i="10"/>
  <c r="U83" i="10"/>
  <c r="Z64" i="10"/>
  <c r="AB83" i="10"/>
  <c r="U70" i="10"/>
  <c r="AB73" i="10"/>
  <c r="CW269" i="10" s="1"/>
  <c r="V21" i="12"/>
  <c r="V22" i="12"/>
  <c r="K23" i="4"/>
  <c r="BH8" i="4"/>
  <c r="S22" i="4"/>
  <c r="BH11" i="4" s="1"/>
  <c r="N28" i="4"/>
  <c r="BT8" i="4"/>
  <c r="V85" i="12"/>
  <c r="S33" i="21"/>
  <c r="K24" i="4"/>
  <c r="BH9" i="4"/>
  <c r="GD471" i="9"/>
  <c r="GE471" i="9" s="1"/>
  <c r="GF471" i="9" s="1"/>
  <c r="GG471" i="9" s="1"/>
  <c r="GD603" i="9"/>
  <c r="GE603" i="9" s="1"/>
  <c r="GF603" i="9" s="1"/>
  <c r="GG603" i="9" s="1"/>
  <c r="GH603" i="9" s="1"/>
  <c r="GI603" i="9" s="1"/>
  <c r="GL355" i="9"/>
  <c r="GL268" i="9"/>
  <c r="GK359" i="9"/>
  <c r="HE359" i="9" s="1"/>
  <c r="GL275" i="9"/>
  <c r="GL271" i="9"/>
  <c r="GQ271" i="9" s="1"/>
  <c r="GR271" i="9" s="1"/>
  <c r="GS271" i="9" s="1"/>
  <c r="GT271" i="9" s="1"/>
  <c r="GU271" i="9" s="1"/>
  <c r="GV271" i="9" s="1"/>
  <c r="GK281" i="9"/>
  <c r="HE281" i="9"/>
  <c r="CC281" i="9" s="1"/>
  <c r="GK304" i="9"/>
  <c r="HE304" i="9" s="1"/>
  <c r="CC304" i="9" s="1"/>
  <c r="GN261" i="9"/>
  <c r="GY261" i="9" s="1"/>
  <c r="GZ261" i="9" s="1"/>
  <c r="HH261" i="9" s="1"/>
  <c r="CF261" i="9" s="1"/>
  <c r="GN268" i="9"/>
  <c r="GY268" i="9" s="1"/>
  <c r="GZ268" i="9" s="1"/>
  <c r="HH268" i="9" s="1"/>
  <c r="CF268" i="9" s="1"/>
  <c r="GN291" i="9"/>
  <c r="GY291" i="9" s="1"/>
  <c r="GZ291" i="9" s="1"/>
  <c r="HH291" i="9" s="1"/>
  <c r="CF291" i="9" s="1"/>
  <c r="GN298" i="9"/>
  <c r="GY298" i="9" s="1"/>
  <c r="GZ298" i="9" s="1"/>
  <c r="HH298" i="9" s="1"/>
  <c r="CF298" i="9" s="1"/>
  <c r="GN324" i="9"/>
  <c r="GY324" i="9"/>
  <c r="GZ324" i="9" s="1"/>
  <c r="HH324" i="9" s="1"/>
  <c r="CF324" i="9" s="1"/>
  <c r="GM338" i="9"/>
  <c r="HG338" i="9" s="1"/>
  <c r="GL345" i="9"/>
  <c r="GK352" i="9"/>
  <c r="HE352" i="9" s="1"/>
  <c r="GM370" i="9"/>
  <c r="HG370" i="9" s="1"/>
  <c r="GL377" i="9"/>
  <c r="GN388" i="9"/>
  <c r="GY388" i="9" s="1"/>
  <c r="GZ388" i="9" s="1"/>
  <c r="HH388" i="9" s="1"/>
  <c r="CF388" i="9" s="1"/>
  <c r="GL396" i="9"/>
  <c r="GL403" i="9"/>
  <c r="GL336" i="9"/>
  <c r="GK343" i="9"/>
  <c r="HE343" i="9" s="1"/>
  <c r="GD595" i="9"/>
  <c r="GE595" i="9" s="1"/>
  <c r="GF595" i="9" s="1"/>
  <c r="GG595" i="9" s="1"/>
  <c r="GH595" i="9" s="1"/>
  <c r="GI595" i="9" s="1"/>
  <c r="GD303" i="9"/>
  <c r="GE303" i="9" s="1"/>
  <c r="GF303" i="9" s="1"/>
  <c r="GG303" i="9" s="1"/>
  <c r="GH303" i="9" s="1"/>
  <c r="GI303" i="9" s="1"/>
  <c r="GD587" i="9"/>
  <c r="GE587" i="9" s="1"/>
  <c r="GF587" i="9" s="1"/>
  <c r="GG587" i="9" s="1"/>
  <c r="GH587" i="9" s="1"/>
  <c r="GI587" i="9" s="1"/>
  <c r="GD495" i="9"/>
  <c r="GE495" i="9" s="1"/>
  <c r="GF495" i="9" s="1"/>
  <c r="GG495" i="9" s="1"/>
  <c r="GH495" i="9" s="1"/>
  <c r="GI495" i="9" s="1"/>
  <c r="GQ112" i="9"/>
  <c r="GR112" i="9" s="1"/>
  <c r="GS112" i="9" s="1"/>
  <c r="GT112" i="9" s="1"/>
  <c r="GU112" i="9" s="1"/>
  <c r="GV112" i="9" s="1"/>
  <c r="GN83" i="9"/>
  <c r="GY83" i="9" s="1"/>
  <c r="GZ83" i="9" s="1"/>
  <c r="HH83" i="9" s="1"/>
  <c r="CF83" i="9" s="1"/>
  <c r="GN295" i="9"/>
  <c r="GY295" i="9" s="1"/>
  <c r="GZ295" i="9" s="1"/>
  <c r="HH295" i="9" s="1"/>
  <c r="CF295" i="9" s="1"/>
  <c r="GN307" i="9"/>
  <c r="GY307" i="9" s="1"/>
  <c r="GZ307" i="9" s="1"/>
  <c r="HH307" i="9" s="1"/>
  <c r="CF307" i="9" s="1"/>
  <c r="GN314" i="9"/>
  <c r="GY314" i="9" s="1"/>
  <c r="GZ314" i="9" s="1"/>
  <c r="HH314" i="9" s="1"/>
  <c r="CF314" i="9" s="1"/>
  <c r="GN304" i="9"/>
  <c r="GY304" i="9" s="1"/>
  <c r="GZ304" i="9" s="1"/>
  <c r="HH304" i="9" s="1"/>
  <c r="CF304" i="9" s="1"/>
  <c r="GN311" i="9"/>
  <c r="GY311" i="9" s="1"/>
  <c r="GZ311" i="9" s="1"/>
  <c r="HH311" i="9" s="1"/>
  <c r="CF311" i="9" s="1"/>
  <c r="GL280" i="9"/>
  <c r="GL299" i="9"/>
  <c r="GQ299" i="9" s="1"/>
  <c r="GR299" i="9" s="1"/>
  <c r="GS299" i="9" s="1"/>
  <c r="GT299" i="9" s="1"/>
  <c r="GU299" i="9" s="1"/>
  <c r="GV299" i="9" s="1"/>
  <c r="GN264" i="9"/>
  <c r="GY264" i="9" s="1"/>
  <c r="GZ264" i="9" s="1"/>
  <c r="HH264" i="9" s="1"/>
  <c r="CF264" i="9" s="1"/>
  <c r="GN294" i="9"/>
  <c r="GL293" i="9"/>
  <c r="GN259" i="9"/>
  <c r="GY259" i="9" s="1"/>
  <c r="GZ259" i="9" s="1"/>
  <c r="HH259" i="9" s="1"/>
  <c r="CF259" i="9" s="1"/>
  <c r="GN266" i="9"/>
  <c r="GY266" i="9" s="1"/>
  <c r="GZ266" i="9" s="1"/>
  <c r="HH266" i="9" s="1"/>
  <c r="CF266" i="9" s="1"/>
  <c r="GN285" i="9"/>
  <c r="GY285" i="9" s="1"/>
  <c r="GZ285" i="9" s="1"/>
  <c r="HH285" i="9" s="1"/>
  <c r="CF285" i="9" s="1"/>
  <c r="GL309" i="9"/>
  <c r="GK300" i="9"/>
  <c r="HE300" i="9" s="1"/>
  <c r="CC300" i="9" s="1"/>
  <c r="GM320" i="9"/>
  <c r="HG320" i="9" s="1"/>
  <c r="CE320" i="9" s="1"/>
  <c r="GM324" i="9"/>
  <c r="HG324" i="9" s="1"/>
  <c r="CE324" i="9" s="1"/>
  <c r="GM332" i="9"/>
  <c r="HG332" i="9" s="1"/>
  <c r="CE332" i="9" s="1"/>
  <c r="GN287" i="9"/>
  <c r="GM295" i="9"/>
  <c r="HG295" i="9" s="1"/>
  <c r="CE295" i="9" s="1"/>
  <c r="GN317" i="9"/>
  <c r="GY317" i="9" s="1"/>
  <c r="GZ317" i="9" s="1"/>
  <c r="HH317" i="9" s="1"/>
  <c r="CF317" i="9" s="1"/>
  <c r="GN363" i="9"/>
  <c r="GY363" i="9" s="1"/>
  <c r="GZ363" i="9" s="1"/>
  <c r="HH363" i="9" s="1"/>
  <c r="GK393" i="9"/>
  <c r="HE393" i="9" s="1"/>
  <c r="CC393" i="9" s="1"/>
  <c r="GN354" i="9"/>
  <c r="GY354" i="9" s="1"/>
  <c r="GZ354" i="9" s="1"/>
  <c r="HH354" i="9" s="1"/>
  <c r="GM361" i="9"/>
  <c r="HG361" i="9" s="1"/>
  <c r="GD364" i="9"/>
  <c r="GE364" i="9" s="1"/>
  <c r="GF364" i="9" s="1"/>
  <c r="GG364" i="9" s="1"/>
  <c r="GH364" i="9" s="1"/>
  <c r="GI364" i="9" s="1"/>
  <c r="GL368" i="9"/>
  <c r="GK375" i="9"/>
  <c r="HE375" i="9" s="1"/>
  <c r="GK398" i="9"/>
  <c r="HE398" i="9" s="1"/>
  <c r="CC398" i="9" s="1"/>
  <c r="GM445" i="9"/>
  <c r="HG445" i="9" s="1"/>
  <c r="CE445" i="9" s="1"/>
  <c r="GN337" i="9"/>
  <c r="GY337" i="9" s="1"/>
  <c r="GZ337" i="9" s="1"/>
  <c r="HH337" i="9" s="1"/>
  <c r="GN369" i="9"/>
  <c r="GY369" i="9" s="1"/>
  <c r="GZ369" i="9" s="1"/>
  <c r="HH369" i="9" s="1"/>
  <c r="GK383" i="9"/>
  <c r="HE383" i="9" s="1"/>
  <c r="CC383" i="9" s="1"/>
  <c r="GN386" i="9"/>
  <c r="GY386" i="9" s="1"/>
  <c r="GZ386" i="9" s="1"/>
  <c r="HH386" i="9" s="1"/>
  <c r="CF386" i="9" s="1"/>
  <c r="GL398" i="9"/>
  <c r="GN344" i="9"/>
  <c r="GY344" i="9" s="1"/>
  <c r="GZ344" i="9" s="1"/>
  <c r="HH344" i="9" s="1"/>
  <c r="GN376" i="9"/>
  <c r="GY376" i="9" s="1"/>
  <c r="GZ376" i="9" s="1"/>
  <c r="HH376" i="9" s="1"/>
  <c r="GL383" i="9"/>
  <c r="GL401" i="9"/>
  <c r="GL406" i="9"/>
  <c r="GL341" i="9"/>
  <c r="GK348" i="9"/>
  <c r="HE348" i="9" s="1"/>
  <c r="GM366" i="9"/>
  <c r="HG366" i="9" s="1"/>
  <c r="GL373" i="9"/>
  <c r="GL340" i="9"/>
  <c r="GK347" i="9"/>
  <c r="HE347" i="9" s="1"/>
  <c r="GM365" i="9"/>
  <c r="HG365" i="9" s="1"/>
  <c r="GL372" i="9"/>
  <c r="GN401" i="9"/>
  <c r="GY401" i="9" s="1"/>
  <c r="GZ401" i="9" s="1"/>
  <c r="HH401" i="9" s="1"/>
  <c r="CF401" i="9" s="1"/>
  <c r="GM85" i="9"/>
  <c r="HG85" i="9" s="1"/>
  <c r="CE85" i="9" s="1"/>
  <c r="GN265" i="9"/>
  <c r="GY265" i="9" s="1"/>
  <c r="GZ265" i="9" s="1"/>
  <c r="HH265" i="9" s="1"/>
  <c r="CF265" i="9" s="1"/>
  <c r="GN277" i="9"/>
  <c r="GY277" i="9" s="1"/>
  <c r="GZ277" i="9" s="1"/>
  <c r="HH277" i="9" s="1"/>
  <c r="CF277" i="9" s="1"/>
  <c r="GN284" i="9"/>
  <c r="GY284" i="9" s="1"/>
  <c r="GZ284" i="9" s="1"/>
  <c r="HH284" i="9" s="1"/>
  <c r="CF284" i="9" s="1"/>
  <c r="GN300" i="9"/>
  <c r="GY300" i="9" s="1"/>
  <c r="GZ300" i="9" s="1"/>
  <c r="HH300" i="9" s="1"/>
  <c r="CF300" i="9" s="1"/>
  <c r="GL269" i="9"/>
  <c r="GL292" i="9"/>
  <c r="GQ292" i="9" s="1"/>
  <c r="GR292" i="9" s="1"/>
  <c r="GS292" i="9" s="1"/>
  <c r="GT292" i="9" s="1"/>
  <c r="GU292" i="9" s="1"/>
  <c r="GV292" i="9" s="1"/>
  <c r="GK296" i="9"/>
  <c r="HE296" i="9" s="1"/>
  <c r="CC296" i="9" s="1"/>
  <c r="GN276" i="9"/>
  <c r="GY276" i="9" s="1"/>
  <c r="GZ276" i="9" s="1"/>
  <c r="HH276" i="9" s="1"/>
  <c r="CF276" i="9" s="1"/>
  <c r="GN283" i="9"/>
  <c r="GY283" i="9" s="1"/>
  <c r="GZ283" i="9" s="1"/>
  <c r="HH283" i="9" s="1"/>
  <c r="CF283" i="9" s="1"/>
  <c r="GN306" i="9"/>
  <c r="GN313" i="9"/>
  <c r="GY313" i="9" s="1"/>
  <c r="GZ313" i="9" s="1"/>
  <c r="HH313" i="9" s="1"/>
  <c r="CF313" i="9" s="1"/>
  <c r="GN327" i="9"/>
  <c r="GY327" i="9" s="1"/>
  <c r="GZ327" i="9" s="1"/>
  <c r="HH327" i="9" s="1"/>
  <c r="CF327" i="9" s="1"/>
  <c r="GM334" i="9"/>
  <c r="HG334" i="9" s="1"/>
  <c r="GL305" i="9"/>
  <c r="GL312" i="9"/>
  <c r="GM333" i="9"/>
  <c r="HG333" i="9" s="1"/>
  <c r="GN333" i="9"/>
  <c r="GY333" i="9" s="1"/>
  <c r="GZ333" i="9" s="1"/>
  <c r="HH333" i="9" s="1"/>
  <c r="GN293" i="9"/>
  <c r="GY293" i="9" s="1"/>
  <c r="GZ293" i="9" s="1"/>
  <c r="HH293" i="9" s="1"/>
  <c r="CF293" i="9" s="1"/>
  <c r="GN312" i="9"/>
  <c r="GY312" i="9" s="1"/>
  <c r="GZ312" i="9" s="1"/>
  <c r="HH312" i="9" s="1"/>
  <c r="CF312" i="9" s="1"/>
  <c r="GN328" i="9"/>
  <c r="GY328" i="9" s="1"/>
  <c r="GZ328" i="9" s="1"/>
  <c r="HH328" i="9" s="1"/>
  <c r="CF328" i="9" s="1"/>
  <c r="GM346" i="9"/>
  <c r="HG346" i="9" s="1"/>
  <c r="GL353" i="9"/>
  <c r="GK360" i="9"/>
  <c r="HE360" i="9" s="1"/>
  <c r="GL400" i="9"/>
  <c r="GM337" i="9"/>
  <c r="HG337" i="9" s="1"/>
  <c r="GL344" i="9"/>
  <c r="GK351" i="9"/>
  <c r="HE351" i="9" s="1"/>
  <c r="GN379" i="9"/>
  <c r="GY379" i="9" s="1"/>
  <c r="GZ379" i="9" s="1"/>
  <c r="HH379" i="9" s="1"/>
  <c r="CF379" i="9" s="1"/>
  <c r="CC198" i="9"/>
  <c r="GL308" i="9"/>
  <c r="GM297" i="9"/>
  <c r="HG297" i="9" s="1"/>
  <c r="CE297" i="9" s="1"/>
  <c r="GL262" i="9"/>
  <c r="GQ262" i="9" s="1"/>
  <c r="GR262" i="9" s="1"/>
  <c r="GS262" i="9" s="1"/>
  <c r="GT262" i="9" s="1"/>
  <c r="GU262" i="9" s="1"/>
  <c r="GV262" i="9" s="1"/>
  <c r="GK266" i="9"/>
  <c r="HE266" i="9" s="1"/>
  <c r="CC266" i="9" s="1"/>
  <c r="GK289" i="9"/>
  <c r="HE289" i="9" s="1"/>
  <c r="CC289" i="9" s="1"/>
  <c r="GN272" i="9"/>
  <c r="GY272" i="9" s="1"/>
  <c r="GZ272" i="9" s="1"/>
  <c r="HH272" i="9" s="1"/>
  <c r="CF272" i="9" s="1"/>
  <c r="GM280" i="9"/>
  <c r="HG280" i="9" s="1"/>
  <c r="CE280" i="9" s="1"/>
  <c r="GN302" i="9"/>
  <c r="GY302" i="9" s="1"/>
  <c r="GZ302" i="9" s="1"/>
  <c r="HH302" i="9" s="1"/>
  <c r="CF302" i="9" s="1"/>
  <c r="GM310" i="9"/>
  <c r="HG310" i="9" s="1"/>
  <c r="CE310" i="9" s="1"/>
  <c r="GN321" i="9"/>
  <c r="GK268" i="9"/>
  <c r="HE268" i="9" s="1"/>
  <c r="CC268" i="9" s="1"/>
  <c r="GL282" i="9"/>
  <c r="GL301" i="9"/>
  <c r="GK309" i="9"/>
  <c r="HE309" i="9" s="1"/>
  <c r="CC309" i="9" s="1"/>
  <c r="GK330" i="9"/>
  <c r="HE330" i="9" s="1"/>
  <c r="CC330" i="9" s="1"/>
  <c r="GM275" i="9"/>
  <c r="HG275" i="9" s="1"/>
  <c r="CE275" i="9" s="1"/>
  <c r="GL279" i="9"/>
  <c r="GQ294" i="9"/>
  <c r="GR294" i="9" s="1"/>
  <c r="GS294" i="9" s="1"/>
  <c r="GT294" i="9" s="1"/>
  <c r="GU294" i="9" s="1"/>
  <c r="GV294" i="9" s="1"/>
  <c r="GL317" i="9"/>
  <c r="GL322" i="9"/>
  <c r="GL326" i="9"/>
  <c r="GL330" i="9"/>
  <c r="GN263" i="9"/>
  <c r="GY263" i="9" s="1"/>
  <c r="GZ263" i="9" s="1"/>
  <c r="HH263" i="9" s="1"/>
  <c r="CF263" i="9" s="1"/>
  <c r="GN282" i="9"/>
  <c r="GY282" i="9" s="1"/>
  <c r="GZ282" i="9" s="1"/>
  <c r="HH282" i="9" s="1"/>
  <c r="CF282" i="9" s="1"/>
  <c r="GN305" i="9"/>
  <c r="GY305" i="9" s="1"/>
  <c r="GZ305" i="9" s="1"/>
  <c r="HH305" i="9" s="1"/>
  <c r="CF305" i="9" s="1"/>
  <c r="GL274" i="9"/>
  <c r="GL281" i="9"/>
  <c r="GL304" i="9"/>
  <c r="GL311" i="9"/>
  <c r="GN322" i="9"/>
  <c r="GY322" i="9" s="1"/>
  <c r="GZ322" i="9" s="1"/>
  <c r="HH322" i="9" s="1"/>
  <c r="CF322" i="9" s="1"/>
  <c r="GN339" i="9"/>
  <c r="GY339" i="9" s="1"/>
  <c r="GZ339" i="9" s="1"/>
  <c r="HH339" i="9" s="1"/>
  <c r="GN371" i="9"/>
  <c r="GY371" i="9" s="1"/>
  <c r="GZ371" i="9" s="1"/>
  <c r="HH371" i="9" s="1"/>
  <c r="GL382" i="9"/>
  <c r="GL386" i="9"/>
  <c r="GM369" i="9"/>
  <c r="HG369" i="9" s="1"/>
  <c r="GL376" i="9"/>
  <c r="GN387" i="9"/>
  <c r="GY387" i="9" s="1"/>
  <c r="GZ387" i="9" s="1"/>
  <c r="HH387" i="9" s="1"/>
  <c r="CF387" i="9" s="1"/>
  <c r="GN82" i="9"/>
  <c r="GY82" i="9" s="1"/>
  <c r="GZ82" i="9" s="1"/>
  <c r="HH82" i="9" s="1"/>
  <c r="CF82" i="9" s="1"/>
  <c r="GL141" i="9"/>
  <c r="GQ141" i="9" s="1"/>
  <c r="GL156" i="9"/>
  <c r="GL171" i="9"/>
  <c r="GL186" i="9"/>
  <c r="GL81" i="9"/>
  <c r="GQ81" i="9"/>
  <c r="GR81" i="9" s="1"/>
  <c r="GS81" i="9" s="1"/>
  <c r="GT81" i="9" s="1"/>
  <c r="GU81" i="9" s="1"/>
  <c r="GV81" i="9" s="1"/>
  <c r="GL278" i="9"/>
  <c r="GQ309" i="9"/>
  <c r="GR309" i="9" s="1"/>
  <c r="GS309" i="9" s="1"/>
  <c r="GT309" i="9" s="1"/>
  <c r="GU309" i="9" s="1"/>
  <c r="GV309" i="9" s="1"/>
  <c r="GM316" i="9"/>
  <c r="HG316" i="9" s="1"/>
  <c r="CE316" i="9" s="1"/>
  <c r="GL321" i="9"/>
  <c r="GQ321" i="9" s="1"/>
  <c r="GR321" i="9" s="1"/>
  <c r="GS321" i="9" s="1"/>
  <c r="GT321" i="9" s="1"/>
  <c r="GU321" i="9" s="1"/>
  <c r="GV321" i="9" s="1"/>
  <c r="GL325" i="9"/>
  <c r="GL329" i="9"/>
  <c r="GN308" i="9"/>
  <c r="GY308" i="9" s="1"/>
  <c r="GZ308" i="9" s="1"/>
  <c r="HH308" i="9" s="1"/>
  <c r="CF308" i="9" s="1"/>
  <c r="GN331" i="9"/>
  <c r="GY331" i="9" s="1"/>
  <c r="GZ331" i="9" s="1"/>
  <c r="HH331" i="9" s="1"/>
  <c r="CF331" i="9" s="1"/>
  <c r="GK324" i="9"/>
  <c r="HE324" i="9" s="1"/>
  <c r="CC324" i="9" s="1"/>
  <c r="GL291" i="9"/>
  <c r="GL298" i="9"/>
  <c r="GN275" i="9"/>
  <c r="GM279" i="9"/>
  <c r="HG279" i="9" s="1"/>
  <c r="CE279" i="9" s="1"/>
  <c r="GN301" i="9"/>
  <c r="GY301" i="9"/>
  <c r="GZ301" i="9" s="1"/>
  <c r="HH301" i="9" s="1"/>
  <c r="CF301" i="9" s="1"/>
  <c r="GL270" i="9"/>
  <c r="GL300" i="9"/>
  <c r="GK308" i="9"/>
  <c r="HE308" i="9" s="1"/>
  <c r="CC308" i="9" s="1"/>
  <c r="GN332" i="9"/>
  <c r="GY332" i="9" s="1"/>
  <c r="GZ332" i="9" s="1"/>
  <c r="HH332" i="9" s="1"/>
  <c r="CF332" i="9" s="1"/>
  <c r="GK336" i="9"/>
  <c r="HE336" i="9" s="1"/>
  <c r="GM354" i="9"/>
  <c r="HG354" i="9" s="1"/>
  <c r="GL361" i="9"/>
  <c r="GK368" i="9"/>
  <c r="HE368" i="9"/>
  <c r="GN394" i="9"/>
  <c r="GY394" i="9" s="1"/>
  <c r="GZ394" i="9" s="1"/>
  <c r="HH394" i="9" s="1"/>
  <c r="CF394" i="9" s="1"/>
  <c r="GN442" i="9"/>
  <c r="GM345" i="9"/>
  <c r="HG345" i="9"/>
  <c r="GD348" i="9"/>
  <c r="GE348" i="9" s="1"/>
  <c r="GF348" i="9" s="1"/>
  <c r="GG348" i="9" s="1"/>
  <c r="GH348" i="9" s="1"/>
  <c r="GI348" i="9" s="1"/>
  <c r="GL352" i="9"/>
  <c r="GN362" i="9"/>
  <c r="GY362" i="9"/>
  <c r="GZ362" i="9" s="1"/>
  <c r="HH362" i="9" s="1"/>
  <c r="GK380" i="9"/>
  <c r="HE380" i="9" s="1"/>
  <c r="CC380" i="9" s="1"/>
  <c r="GM384" i="9"/>
  <c r="HG384" i="9" s="1"/>
  <c r="CE384" i="9" s="1"/>
  <c r="CC206" i="9"/>
  <c r="GN85" i="9"/>
  <c r="GY85" i="9" s="1"/>
  <c r="GZ85" i="9" s="1"/>
  <c r="HH85" i="9" s="1"/>
  <c r="CF85" i="9" s="1"/>
  <c r="CC202" i="9"/>
  <c r="GQ263" i="9"/>
  <c r="GM270" i="9"/>
  <c r="HG270" i="9" s="1"/>
  <c r="CE270" i="9" s="1"/>
  <c r="GL290" i="9"/>
  <c r="GL297" i="9"/>
  <c r="GL316" i="9"/>
  <c r="GL306" i="9"/>
  <c r="GN278" i="9"/>
  <c r="GY278" i="9" s="1"/>
  <c r="GZ278" i="9" s="1"/>
  <c r="HH278" i="9" s="1"/>
  <c r="CF278" i="9" s="1"/>
  <c r="GN297" i="9"/>
  <c r="GY297" i="9"/>
  <c r="GZ297" i="9" s="1"/>
  <c r="HH297" i="9" s="1"/>
  <c r="CF297" i="9" s="1"/>
  <c r="GL259" i="9"/>
  <c r="GL266" i="9"/>
  <c r="GL289" i="9"/>
  <c r="GL296" i="9"/>
  <c r="GN325" i="9"/>
  <c r="GY325" i="9" s="1"/>
  <c r="GZ325" i="9" s="1"/>
  <c r="HH325" i="9" s="1"/>
  <c r="CF325" i="9" s="1"/>
  <c r="GK317" i="9"/>
  <c r="HE317" i="9" s="1"/>
  <c r="CC317" i="9" s="1"/>
  <c r="GN334" i="9"/>
  <c r="GY334" i="9"/>
  <c r="GZ334" i="9" s="1"/>
  <c r="HH334" i="9" s="1"/>
  <c r="GL261" i="9"/>
  <c r="GQ261" i="9" s="1"/>
  <c r="GR261" i="9" s="1"/>
  <c r="GS261" i="9" s="1"/>
  <c r="GT261" i="9" s="1"/>
  <c r="GU261" i="9" s="1"/>
  <c r="GV261" i="9" s="1"/>
  <c r="GQ276" i="9"/>
  <c r="GL287" i="9"/>
  <c r="GQ323" i="9"/>
  <c r="GR323" i="9" s="1"/>
  <c r="GS323" i="9" s="1"/>
  <c r="GT323" i="9" s="1"/>
  <c r="GU323" i="9" s="1"/>
  <c r="GV323" i="9" s="1"/>
  <c r="GQ331" i="9"/>
  <c r="GR331" i="9" s="1"/>
  <c r="GS331" i="9" s="1"/>
  <c r="GT331" i="9" s="1"/>
  <c r="GU331" i="9" s="1"/>
  <c r="GV331" i="9" s="1"/>
  <c r="GN271" i="9"/>
  <c r="GY271" i="9"/>
  <c r="GZ271" i="9" s="1"/>
  <c r="HH271" i="9" s="1"/>
  <c r="CF271" i="9" s="1"/>
  <c r="GM291" i="9"/>
  <c r="HG291" i="9" s="1"/>
  <c r="CE291" i="9" s="1"/>
  <c r="GM298" i="9"/>
  <c r="HG298" i="9" s="1"/>
  <c r="CE298" i="9" s="1"/>
  <c r="GM317" i="9"/>
  <c r="HG317" i="9" s="1"/>
  <c r="CE317" i="9" s="1"/>
  <c r="GM326" i="9"/>
  <c r="HG326" i="9" s="1"/>
  <c r="CE326" i="9" s="1"/>
  <c r="GM330" i="9"/>
  <c r="HG330" i="9" s="1"/>
  <c r="CE330" i="9" s="1"/>
  <c r="GK297" i="9"/>
  <c r="HE297" i="9" s="1"/>
  <c r="CC297" i="9" s="1"/>
  <c r="GN326" i="9"/>
  <c r="GY326" i="9" s="1"/>
  <c r="GZ326" i="9" s="1"/>
  <c r="HH326" i="9" s="1"/>
  <c r="CF326" i="9" s="1"/>
  <c r="GN347" i="9"/>
  <c r="GY347" i="9" s="1"/>
  <c r="GZ347" i="9" s="1"/>
  <c r="HH347" i="9" s="1"/>
  <c r="GM387" i="9"/>
  <c r="HG387" i="9" s="1"/>
  <c r="CE387" i="9" s="1"/>
  <c r="GN338" i="9"/>
  <c r="GY338" i="9" s="1"/>
  <c r="GZ338" i="9" s="1"/>
  <c r="HH338" i="9" s="1"/>
  <c r="GM377" i="9"/>
  <c r="HG377" i="9" s="1"/>
  <c r="GM400" i="9"/>
  <c r="HG400" i="9" s="1"/>
  <c r="CE400" i="9" s="1"/>
  <c r="GK83" i="9"/>
  <c r="HE83" i="9" s="1"/>
  <c r="CC83" i="9" s="1"/>
  <c r="GL260" i="9"/>
  <c r="GL267" i="9"/>
  <c r="GL286" i="9"/>
  <c r="GK294" i="9"/>
  <c r="HE294" i="9" s="1"/>
  <c r="CC294" i="9" s="1"/>
  <c r="GK306" i="9"/>
  <c r="HE306" i="9" s="1"/>
  <c r="CC306" i="9" s="1"/>
  <c r="GK313" i="9"/>
  <c r="HE313" i="9" s="1"/>
  <c r="CC313" i="9" s="1"/>
  <c r="GK327" i="9"/>
  <c r="HE327" i="9" s="1"/>
  <c r="CC327" i="9" s="1"/>
  <c r="GM260" i="9"/>
  <c r="HG260" i="9" s="1"/>
  <c r="CE260" i="9" s="1"/>
  <c r="GL264" i="9"/>
  <c r="GQ279" i="9"/>
  <c r="GR279" i="9" s="1"/>
  <c r="GS279" i="9" s="1"/>
  <c r="GT279" i="9" s="1"/>
  <c r="GU279" i="9" s="1"/>
  <c r="GV279" i="9" s="1"/>
  <c r="GL302" i="9"/>
  <c r="GK310" i="9"/>
  <c r="HE310" i="9" s="1"/>
  <c r="CC310" i="9" s="1"/>
  <c r="GK334" i="9"/>
  <c r="HE334" i="9" s="1"/>
  <c r="GN267" i="9"/>
  <c r="GN290" i="9"/>
  <c r="GY290" i="9" s="1"/>
  <c r="GZ290" i="9" s="1"/>
  <c r="HH290" i="9" s="1"/>
  <c r="CF290" i="9" s="1"/>
  <c r="GM294" i="9"/>
  <c r="HG294" i="9" s="1"/>
  <c r="CE294" i="9" s="1"/>
  <c r="GN316" i="9"/>
  <c r="GY316" i="9" s="1"/>
  <c r="GZ316" i="9" s="1"/>
  <c r="HH316" i="9" s="1"/>
  <c r="CF316" i="9" s="1"/>
  <c r="GM325" i="9"/>
  <c r="HG325" i="9" s="1"/>
  <c r="CE325" i="9" s="1"/>
  <c r="GM329" i="9"/>
  <c r="HG329" i="9" s="1"/>
  <c r="CE329" i="9" s="1"/>
  <c r="GK333" i="9"/>
  <c r="HE333" i="9" s="1"/>
  <c r="GL285" i="9"/>
  <c r="GL315" i="9"/>
  <c r="GN319" i="9"/>
  <c r="GN262" i="9"/>
  <c r="GY262" i="9" s="1"/>
  <c r="GZ262" i="9" s="1"/>
  <c r="HH262" i="9" s="1"/>
  <c r="CF262" i="9" s="1"/>
  <c r="GN269" i="9"/>
  <c r="GY269" i="9" s="1"/>
  <c r="GZ269" i="9" s="1"/>
  <c r="HH269" i="9" s="1"/>
  <c r="CF269" i="9" s="1"/>
  <c r="GN310" i="9"/>
  <c r="GY310" i="9"/>
  <c r="GZ310" i="9" s="1"/>
  <c r="HH310" i="9" s="1"/>
  <c r="CF310" i="9" s="1"/>
  <c r="GK284" i="9"/>
  <c r="HE284" i="9" s="1"/>
  <c r="CC284" i="9" s="1"/>
  <c r="GM261" i="9"/>
  <c r="HG261" i="9" s="1"/>
  <c r="CE261" i="9" s="1"/>
  <c r="GM268" i="9"/>
  <c r="HG268" i="9" s="1"/>
  <c r="CE268" i="9" s="1"/>
  <c r="GM287" i="9"/>
  <c r="HG287" i="9" s="1"/>
  <c r="CE287" i="9" s="1"/>
  <c r="GL295" i="9"/>
  <c r="GQ295" i="9" s="1"/>
  <c r="GL314" i="9"/>
  <c r="GQ334" i="9"/>
  <c r="GR334" i="9" s="1"/>
  <c r="GS334" i="9" s="1"/>
  <c r="GT334" i="9" s="1"/>
  <c r="GU334" i="9" s="1"/>
  <c r="GV334" i="9" s="1"/>
  <c r="GN320" i="9"/>
  <c r="GY320" i="9" s="1"/>
  <c r="GZ320" i="9" s="1"/>
  <c r="HH320" i="9" s="1"/>
  <c r="CF320" i="9" s="1"/>
  <c r="GL337" i="9"/>
  <c r="GK344" i="9"/>
  <c r="HE344" i="9" s="1"/>
  <c r="GM362" i="9"/>
  <c r="HG362" i="9" s="1"/>
  <c r="GL369" i="9"/>
  <c r="GK376" i="9"/>
  <c r="HE376" i="9" s="1"/>
  <c r="GK335" i="9"/>
  <c r="HE335" i="9" s="1"/>
  <c r="GM353" i="9"/>
  <c r="HG353" i="9" s="1"/>
  <c r="GD356" i="9"/>
  <c r="GE356" i="9" s="1"/>
  <c r="GF356" i="9" s="1"/>
  <c r="GG356" i="9" s="1"/>
  <c r="GH356" i="9" s="1"/>
  <c r="GI356" i="9" s="1"/>
  <c r="GN370" i="9"/>
  <c r="GY370" i="9" s="1"/>
  <c r="GZ370" i="9" s="1"/>
  <c r="HH370" i="9" s="1"/>
  <c r="GL385" i="9"/>
  <c r="GL393" i="9"/>
  <c r="GM344" i="9"/>
  <c r="HG344" i="9" s="1"/>
  <c r="GL351" i="9"/>
  <c r="GK358" i="9"/>
  <c r="HE358" i="9" s="1"/>
  <c r="GM376" i="9"/>
  <c r="HG376" i="9"/>
  <c r="GK401" i="9"/>
  <c r="HE401" i="9"/>
  <c r="CC401" i="9" s="1"/>
  <c r="GQ406" i="9"/>
  <c r="GR406" i="9" s="1"/>
  <c r="GS406" i="9" s="1"/>
  <c r="GT406" i="9" s="1"/>
  <c r="GU406" i="9" s="1"/>
  <c r="GV406" i="9" s="1"/>
  <c r="GM351" i="9"/>
  <c r="HG351" i="9" s="1"/>
  <c r="GD354" i="9"/>
  <c r="GE354" i="9" s="1"/>
  <c r="GF354" i="9" s="1"/>
  <c r="GG354" i="9" s="1"/>
  <c r="GH354" i="9" s="1"/>
  <c r="GI354" i="9" s="1"/>
  <c r="GL358" i="9"/>
  <c r="GK365" i="9"/>
  <c r="HE365" i="9"/>
  <c r="GN351" i="9"/>
  <c r="GY351" i="9" s="1"/>
  <c r="GZ351" i="9" s="1"/>
  <c r="HH351" i="9" s="1"/>
  <c r="GN350" i="9"/>
  <c r="GY350" i="9"/>
  <c r="GZ350" i="9" s="1"/>
  <c r="HH350" i="9" s="1"/>
  <c r="GD335" i="9"/>
  <c r="GE335" i="9" s="1"/>
  <c r="GF335" i="9" s="1"/>
  <c r="GG335" i="9" s="1"/>
  <c r="GH335" i="9" s="1"/>
  <c r="GI335" i="9" s="1"/>
  <c r="GL339" i="9"/>
  <c r="GQ339" i="9" s="1"/>
  <c r="GR339" i="9" s="1"/>
  <c r="GS339" i="9" s="1"/>
  <c r="GT339" i="9" s="1"/>
  <c r="GU339" i="9" s="1"/>
  <c r="GV339" i="9" s="1"/>
  <c r="GW339" i="9" s="1"/>
  <c r="HF339" i="9" s="1"/>
  <c r="GK346" i="9"/>
  <c r="HE346" i="9" s="1"/>
  <c r="GN425" i="9"/>
  <c r="GK337" i="9"/>
  <c r="HE337" i="9"/>
  <c r="GM355" i="9"/>
  <c r="HG355" i="9"/>
  <c r="GL362" i="9"/>
  <c r="GK369" i="9"/>
  <c r="HE369" i="9" s="1"/>
  <c r="GL387" i="9"/>
  <c r="GK441" i="9"/>
  <c r="HE441" i="9"/>
  <c r="CC441" i="9" s="1"/>
  <c r="GN411" i="9"/>
  <c r="GK415" i="9"/>
  <c r="HE415" i="9" s="1"/>
  <c r="CC415" i="9" s="1"/>
  <c r="GM424" i="9"/>
  <c r="HG424" i="9" s="1"/>
  <c r="CE424" i="9" s="1"/>
  <c r="GN431" i="9"/>
  <c r="GL442" i="9"/>
  <c r="GN414" i="9"/>
  <c r="GL448" i="9"/>
  <c r="GL507" i="9"/>
  <c r="GQ507" i="9" s="1"/>
  <c r="GR507" i="9" s="1"/>
  <c r="GS507" i="9" s="1"/>
  <c r="GT507" i="9" s="1"/>
  <c r="GU507" i="9" s="1"/>
  <c r="GV507" i="9" s="1"/>
  <c r="GL527" i="9"/>
  <c r="GL502" i="9"/>
  <c r="GM520" i="9"/>
  <c r="HG520" i="9" s="1"/>
  <c r="CE520" i="9" s="1"/>
  <c r="GL450" i="9"/>
  <c r="GN502" i="9"/>
  <c r="GY502" i="9" s="1"/>
  <c r="GZ502" i="9" s="1"/>
  <c r="HH502" i="9" s="1"/>
  <c r="CF502" i="9" s="1"/>
  <c r="GM500" i="9"/>
  <c r="HG500" i="9" s="1"/>
  <c r="CE500" i="9" s="1"/>
  <c r="GK501" i="9"/>
  <c r="HE501" i="9" s="1"/>
  <c r="CC501" i="9" s="1"/>
  <c r="GN508" i="9"/>
  <c r="GY508" i="9"/>
  <c r="GZ508" i="9" s="1"/>
  <c r="HH508" i="9" s="1"/>
  <c r="CF508" i="9" s="1"/>
  <c r="GM513" i="9"/>
  <c r="HG513" i="9" s="1"/>
  <c r="CE513" i="9" s="1"/>
  <c r="GN528" i="9"/>
  <c r="GN521" i="9"/>
  <c r="GK507" i="9"/>
  <c r="HE507" i="9"/>
  <c r="CC507" i="9" s="1"/>
  <c r="GK539" i="9"/>
  <c r="HE539" i="9"/>
  <c r="CC539" i="9" s="1"/>
  <c r="GL564" i="9"/>
  <c r="GN533" i="9"/>
  <c r="GN561" i="9"/>
  <c r="GM352" i="9"/>
  <c r="HG352" i="9" s="1"/>
  <c r="GL359" i="9"/>
  <c r="GK366" i="9"/>
  <c r="HE366" i="9" s="1"/>
  <c r="GL380" i="9"/>
  <c r="GK395" i="9"/>
  <c r="HE395" i="9" s="1"/>
  <c r="CC395" i="9" s="1"/>
  <c r="GK402" i="9"/>
  <c r="HE402" i="9" s="1"/>
  <c r="CC402" i="9" s="1"/>
  <c r="GK341" i="9"/>
  <c r="HE341" i="9" s="1"/>
  <c r="GM359" i="9"/>
  <c r="HG359" i="9"/>
  <c r="GL366" i="9"/>
  <c r="GK373" i="9"/>
  <c r="HE373" i="9" s="1"/>
  <c r="GM380" i="9"/>
  <c r="HG380" i="9" s="1"/>
  <c r="CE380" i="9" s="1"/>
  <c r="GM398" i="9"/>
  <c r="HG398" i="9" s="1"/>
  <c r="CE398" i="9" s="1"/>
  <c r="GN359" i="9"/>
  <c r="GY359" i="9"/>
  <c r="GZ359" i="9" s="1"/>
  <c r="HH359" i="9" s="1"/>
  <c r="GN380" i="9"/>
  <c r="GY380" i="9" s="1"/>
  <c r="GZ380" i="9" s="1"/>
  <c r="HH380" i="9" s="1"/>
  <c r="CF380" i="9" s="1"/>
  <c r="GN358" i="9"/>
  <c r="GY358" i="9" s="1"/>
  <c r="GZ358" i="9" s="1"/>
  <c r="HH358" i="9" s="1"/>
  <c r="GM340" i="9"/>
  <c r="HG340" i="9" s="1"/>
  <c r="GL347" i="9"/>
  <c r="GK354" i="9"/>
  <c r="HE354" i="9"/>
  <c r="GN357" i="9"/>
  <c r="GY357" i="9"/>
  <c r="GZ357" i="9" s="1"/>
  <c r="HH357" i="9" s="1"/>
  <c r="GN378" i="9"/>
  <c r="GY378" i="9"/>
  <c r="GZ378" i="9" s="1"/>
  <c r="HH378" i="9" s="1"/>
  <c r="CF378" i="9" s="1"/>
  <c r="GK405" i="9"/>
  <c r="HE405" i="9" s="1"/>
  <c r="CC405" i="9" s="1"/>
  <c r="GL338" i="9"/>
  <c r="GK345" i="9"/>
  <c r="HE345" i="9" s="1"/>
  <c r="GM363" i="9"/>
  <c r="HG363" i="9" s="1"/>
  <c r="GL370" i="9"/>
  <c r="GK377" i="9"/>
  <c r="HE377" i="9" s="1"/>
  <c r="GK384" i="9"/>
  <c r="HE384" i="9" s="1"/>
  <c r="CC384" i="9" s="1"/>
  <c r="GM388" i="9"/>
  <c r="HG388" i="9" s="1"/>
  <c r="CE388" i="9" s="1"/>
  <c r="GK396" i="9"/>
  <c r="HE396" i="9"/>
  <c r="CC396" i="9" s="1"/>
  <c r="GN399" i="9"/>
  <c r="GY399" i="9"/>
  <c r="GZ399" i="9" s="1"/>
  <c r="HH399" i="9" s="1"/>
  <c r="CF399" i="9" s="1"/>
  <c r="GK438" i="9"/>
  <c r="HE438" i="9" s="1"/>
  <c r="CC438" i="9" s="1"/>
  <c r="GN445" i="9"/>
  <c r="GK416" i="9"/>
  <c r="HE416" i="9"/>
  <c r="CC416" i="9" s="1"/>
  <c r="GN436" i="9"/>
  <c r="GL444" i="9"/>
  <c r="GN421" i="9"/>
  <c r="GN441" i="9"/>
  <c r="GN406" i="9"/>
  <c r="GY406" i="9"/>
  <c r="GZ406" i="9" s="1"/>
  <c r="HH406" i="9" s="1"/>
  <c r="CF406" i="9" s="1"/>
  <c r="GN429" i="9"/>
  <c r="GN412" i="9"/>
  <c r="GL449" i="9"/>
  <c r="GL510" i="9"/>
  <c r="GN517" i="9"/>
  <c r="GN510" i="9"/>
  <c r="GL518" i="9"/>
  <c r="GN497" i="9"/>
  <c r="GY497" i="9" s="1"/>
  <c r="GZ497" i="9" s="1"/>
  <c r="HH497" i="9" s="1"/>
  <c r="CF497" i="9" s="1"/>
  <c r="GN450" i="9"/>
  <c r="GQ502" i="9"/>
  <c r="GR502" i="9" s="1"/>
  <c r="GS502" i="9" s="1"/>
  <c r="GT502" i="9" s="1"/>
  <c r="GU502" i="9" s="1"/>
  <c r="GV502" i="9" s="1"/>
  <c r="GM521" i="9"/>
  <c r="HG521" i="9" s="1"/>
  <c r="CE521" i="9" s="1"/>
  <c r="GM554" i="9"/>
  <c r="HG554" i="9" s="1"/>
  <c r="CE554" i="9" s="1"/>
  <c r="GK546" i="9"/>
  <c r="HE546" i="9" s="1"/>
  <c r="CC546" i="9" s="1"/>
  <c r="GK550" i="9"/>
  <c r="HE550" i="9" s="1"/>
  <c r="CC550" i="9" s="1"/>
  <c r="GM560" i="9"/>
  <c r="HG560" i="9" s="1"/>
  <c r="CE560" i="9" s="1"/>
  <c r="GM624" i="9"/>
  <c r="HG624" i="9" s="1"/>
  <c r="GM652" i="9"/>
  <c r="HG652" i="9" s="1"/>
  <c r="GM403" i="9"/>
  <c r="HG403" i="9" s="1"/>
  <c r="CE403" i="9" s="1"/>
  <c r="GN345" i="9"/>
  <c r="GY345" i="9" s="1"/>
  <c r="GZ345" i="9" s="1"/>
  <c r="HH345" i="9" s="1"/>
  <c r="GN377" i="9"/>
  <c r="GY377" i="9" s="1"/>
  <c r="GZ377" i="9" s="1"/>
  <c r="HH377" i="9" s="1"/>
  <c r="GN352" i="9"/>
  <c r="GY352" i="9" s="1"/>
  <c r="GZ352" i="9" s="1"/>
  <c r="HH352" i="9" s="1"/>
  <c r="GL395" i="9"/>
  <c r="GL402" i="9"/>
  <c r="GM342" i="9"/>
  <c r="HG342" i="9"/>
  <c r="GL349" i="9"/>
  <c r="GK356" i="9"/>
  <c r="HE356" i="9" s="1"/>
  <c r="GM374" i="9"/>
  <c r="HG374" i="9" s="1"/>
  <c r="GM341" i="9"/>
  <c r="HG341" i="9" s="1"/>
  <c r="GL348" i="9"/>
  <c r="GK355" i="9"/>
  <c r="HE355" i="9" s="1"/>
  <c r="GM373" i="9"/>
  <c r="HG373" i="9" s="1"/>
  <c r="GD376" i="9"/>
  <c r="GE376" i="9" s="1"/>
  <c r="GF376" i="9" s="1"/>
  <c r="GG376" i="9" s="1"/>
  <c r="GN383" i="9"/>
  <c r="GY383" i="9" s="1"/>
  <c r="GZ383" i="9" s="1"/>
  <c r="HH383" i="9" s="1"/>
  <c r="CF383" i="9" s="1"/>
  <c r="GN395" i="9"/>
  <c r="GY395" i="9" s="1"/>
  <c r="GZ395" i="9" s="1"/>
  <c r="HH395" i="9" s="1"/>
  <c r="CF395" i="9" s="1"/>
  <c r="GM372" i="9"/>
  <c r="HG372" i="9"/>
  <c r="GL394" i="9"/>
  <c r="GN356" i="9"/>
  <c r="GY356" i="9" s="1"/>
  <c r="GZ356" i="9" s="1"/>
  <c r="HH356" i="9" s="1"/>
  <c r="GL420" i="9"/>
  <c r="GL405" i="9"/>
  <c r="GL426" i="9"/>
  <c r="GN402" i="9"/>
  <c r="GY402" i="9"/>
  <c r="GZ402" i="9" s="1"/>
  <c r="HH402" i="9" s="1"/>
  <c r="CF402" i="9" s="1"/>
  <c r="GL446" i="9"/>
  <c r="GN443" i="9"/>
  <c r="GL409" i="9"/>
  <c r="GL429" i="9"/>
  <c r="GL433" i="9"/>
  <c r="GL414" i="9"/>
  <c r="GL418" i="9"/>
  <c r="GM430" i="9"/>
  <c r="HG430" i="9" s="1"/>
  <c r="CE430" i="9" s="1"/>
  <c r="GM434" i="9"/>
  <c r="HG434" i="9" s="1"/>
  <c r="CE434" i="9" s="1"/>
  <c r="GN432" i="9"/>
  <c r="GY432" i="9" s="1"/>
  <c r="GZ432" i="9" s="1"/>
  <c r="HH432" i="9" s="1"/>
  <c r="CF432" i="9" s="1"/>
  <c r="GM447" i="9"/>
  <c r="HG447" i="9"/>
  <c r="CE447" i="9" s="1"/>
  <c r="GN415" i="9"/>
  <c r="GN501" i="9"/>
  <c r="GY501" i="9" s="1"/>
  <c r="GZ501" i="9" s="1"/>
  <c r="HH501" i="9" s="1"/>
  <c r="CF501" i="9" s="1"/>
  <c r="GM507" i="9"/>
  <c r="HG507" i="9" s="1"/>
  <c r="CE507" i="9" s="1"/>
  <c r="GK515" i="9"/>
  <c r="HE515" i="9" s="1"/>
  <c r="CC515" i="9" s="1"/>
  <c r="GN522" i="9"/>
  <c r="GM527" i="9"/>
  <c r="HG527" i="9"/>
  <c r="CE527" i="9" s="1"/>
  <c r="GK450" i="9"/>
  <c r="HE450" i="9"/>
  <c r="CC450" i="9" s="1"/>
  <c r="GL500" i="9"/>
  <c r="GM515" i="9"/>
  <c r="HG515" i="9" s="1"/>
  <c r="CE515" i="9" s="1"/>
  <c r="GK516" i="9"/>
  <c r="HE516" i="9" s="1"/>
  <c r="CC516" i="9" s="1"/>
  <c r="GL519" i="9"/>
  <c r="GK449" i="9"/>
  <c r="HE449" i="9" s="1"/>
  <c r="CC449" i="9" s="1"/>
  <c r="GK537" i="9"/>
  <c r="HE537" i="9" s="1"/>
  <c r="CC537" i="9" s="1"/>
  <c r="GM547" i="9"/>
  <c r="HG547" i="9" s="1"/>
  <c r="CE547" i="9" s="1"/>
  <c r="GK632" i="9"/>
  <c r="HE632" i="9" s="1"/>
  <c r="GM637" i="9"/>
  <c r="HG637" i="9" s="1"/>
  <c r="GK662" i="9"/>
  <c r="HE662" i="9"/>
  <c r="GM674" i="9"/>
  <c r="HG674" i="9" s="1"/>
  <c r="GK663" i="9"/>
  <c r="HE663" i="9" s="1"/>
  <c r="GM667" i="9"/>
  <c r="HG667" i="9" s="1"/>
  <c r="GL335" i="9"/>
  <c r="GK342" i="9"/>
  <c r="HE342" i="9" s="1"/>
  <c r="GM360" i="9"/>
  <c r="HG360" i="9" s="1"/>
  <c r="GD363" i="9"/>
  <c r="GE363" i="9" s="1"/>
  <c r="GF363" i="9" s="1"/>
  <c r="GG363" i="9" s="1"/>
  <c r="GH363" i="9" s="1"/>
  <c r="GI363" i="9" s="1"/>
  <c r="GL367" i="9"/>
  <c r="GQ367" i="9" s="1"/>
  <c r="GR367" i="9" s="1"/>
  <c r="GS367" i="9" s="1"/>
  <c r="GT367" i="9" s="1"/>
  <c r="GU367" i="9" s="1"/>
  <c r="GV367" i="9" s="1"/>
  <c r="GK374" i="9"/>
  <c r="HE374" i="9"/>
  <c r="GN384" i="9"/>
  <c r="GY384" i="9" s="1"/>
  <c r="GZ384" i="9" s="1"/>
  <c r="HH384" i="9" s="1"/>
  <c r="CF384" i="9" s="1"/>
  <c r="GK391" i="9"/>
  <c r="HE391" i="9" s="1"/>
  <c r="CC391" i="9" s="1"/>
  <c r="GN403" i="9"/>
  <c r="GY403" i="9" s="1"/>
  <c r="GZ403" i="9" s="1"/>
  <c r="HH403" i="9" s="1"/>
  <c r="CF403" i="9" s="1"/>
  <c r="GM335" i="9"/>
  <c r="HG335" i="9" s="1"/>
  <c r="GD338" i="9"/>
  <c r="GE338" i="9" s="1"/>
  <c r="GF338" i="9" s="1"/>
  <c r="GG338" i="9" s="1"/>
  <c r="GH338" i="9" s="1"/>
  <c r="GI338" i="9" s="1"/>
  <c r="GL342" i="9"/>
  <c r="GK349" i="9"/>
  <c r="HE349" i="9"/>
  <c r="GM367" i="9"/>
  <c r="HG367" i="9" s="1"/>
  <c r="GL374" i="9"/>
  <c r="GL391" i="9"/>
  <c r="GN335" i="9"/>
  <c r="GY335" i="9" s="1"/>
  <c r="GZ335" i="9" s="1"/>
  <c r="HH335" i="9" s="1"/>
  <c r="GN367" i="9"/>
  <c r="GY367" i="9" s="1"/>
  <c r="GZ367" i="9" s="1"/>
  <c r="HH367" i="9" s="1"/>
  <c r="GK381" i="9"/>
  <c r="HE381" i="9" s="1"/>
  <c r="CC381" i="9" s="1"/>
  <c r="GK397" i="9"/>
  <c r="HE397" i="9" s="1"/>
  <c r="CC397" i="9" s="1"/>
  <c r="GN366" i="9"/>
  <c r="GY366" i="9" s="1"/>
  <c r="GZ366" i="9" s="1"/>
  <c r="HH366" i="9" s="1"/>
  <c r="GN391" i="9"/>
  <c r="GY391" i="9" s="1"/>
  <c r="GZ391" i="9" s="1"/>
  <c r="HH391" i="9" s="1"/>
  <c r="CF391" i="9" s="1"/>
  <c r="GL399" i="9"/>
  <c r="GM348" i="9"/>
  <c r="HG348" i="9" s="1"/>
  <c r="GN365" i="9"/>
  <c r="GY365" i="9" s="1"/>
  <c r="GZ365" i="9" s="1"/>
  <c r="HH365" i="9" s="1"/>
  <c r="GK379" i="9"/>
  <c r="HE379" i="9" s="1"/>
  <c r="CC379" i="9" s="1"/>
  <c r="GN390" i="9"/>
  <c r="GY390" i="9"/>
  <c r="GZ390" i="9" s="1"/>
  <c r="HH390" i="9" s="1"/>
  <c r="CF390" i="9" s="1"/>
  <c r="GM410" i="9"/>
  <c r="HG410" i="9" s="1"/>
  <c r="CE410" i="9" s="1"/>
  <c r="GM339" i="9"/>
  <c r="HG339" i="9" s="1"/>
  <c r="GL346" i="9"/>
  <c r="GK353" i="9"/>
  <c r="HE353" i="9"/>
  <c r="GM371" i="9"/>
  <c r="HG371" i="9" s="1"/>
  <c r="GD374" i="9"/>
  <c r="GE374" i="9" s="1"/>
  <c r="GF374" i="9" s="1"/>
  <c r="GG374" i="9" s="1"/>
  <c r="GH374" i="9" s="1"/>
  <c r="GI374" i="9" s="1"/>
  <c r="GN381" i="9"/>
  <c r="GY381" i="9" s="1"/>
  <c r="GZ381" i="9" s="1"/>
  <c r="HH381" i="9" s="1"/>
  <c r="CF381" i="9" s="1"/>
  <c r="GL404" i="9"/>
  <c r="GL423" i="9"/>
  <c r="GN410" i="9"/>
  <c r="GL411" i="9"/>
  <c r="GN423" i="9"/>
  <c r="GM443" i="9"/>
  <c r="HG443" i="9"/>
  <c r="CE443" i="9" s="1"/>
  <c r="GN408" i="9"/>
  <c r="GL424" i="9"/>
  <c r="GM406" i="9"/>
  <c r="HG406" i="9" s="1"/>
  <c r="CE406" i="9" s="1"/>
  <c r="GN427" i="9"/>
  <c r="GY427" i="9" s="1"/>
  <c r="GZ427" i="9" s="1"/>
  <c r="HH427" i="9" s="1"/>
  <c r="CF427" i="9" s="1"/>
  <c r="GN418" i="9"/>
  <c r="GN439" i="9"/>
  <c r="GL517" i="9"/>
  <c r="GL533" i="9"/>
  <c r="GL512" i="9"/>
  <c r="GM510" i="9"/>
  <c r="HG510" i="9" s="1"/>
  <c r="CE510" i="9" s="1"/>
  <c r="GK518" i="9"/>
  <c r="HE518" i="9"/>
  <c r="CC518" i="9" s="1"/>
  <c r="GM497" i="9"/>
  <c r="HG497" i="9"/>
  <c r="CE497" i="9" s="1"/>
  <c r="GN505" i="9"/>
  <c r="GY505" i="9" s="1"/>
  <c r="GZ505" i="9" s="1"/>
  <c r="HH505" i="9" s="1"/>
  <c r="CF505" i="9" s="1"/>
  <c r="GL513" i="9"/>
  <c r="GN404" i="9"/>
  <c r="GN353" i="9"/>
  <c r="GY353" i="9" s="1"/>
  <c r="GZ353" i="9" s="1"/>
  <c r="HH353" i="9" s="1"/>
  <c r="GN396" i="9"/>
  <c r="GY396" i="9" s="1"/>
  <c r="GZ396" i="9" s="1"/>
  <c r="HH396" i="9" s="1"/>
  <c r="CF396" i="9" s="1"/>
  <c r="GN360" i="9"/>
  <c r="GY360" i="9" s="1"/>
  <c r="GZ360" i="9" s="1"/>
  <c r="HH360" i="9" s="1"/>
  <c r="GM350" i="9"/>
  <c r="HG350" i="9" s="1"/>
  <c r="GL357" i="9"/>
  <c r="GK364" i="9"/>
  <c r="HE364" i="9" s="1"/>
  <c r="GL378" i="9"/>
  <c r="GK389" i="9"/>
  <c r="HE389" i="9"/>
  <c r="CC389" i="9" s="1"/>
  <c r="GM401" i="9"/>
  <c r="HG401" i="9"/>
  <c r="CE401" i="9" s="1"/>
  <c r="GM349" i="9"/>
  <c r="HG349" i="9" s="1"/>
  <c r="GL356" i="9"/>
  <c r="GK363" i="9"/>
  <c r="HE363" i="9" s="1"/>
  <c r="GN341" i="9"/>
  <c r="GY341" i="9"/>
  <c r="GZ341" i="9" s="1"/>
  <c r="HH341" i="9" s="1"/>
  <c r="GK362" i="9"/>
  <c r="HE362" i="9" s="1"/>
  <c r="GK387" i="9"/>
  <c r="HE387" i="9" s="1"/>
  <c r="CC387" i="9" s="1"/>
  <c r="GN364" i="9"/>
  <c r="GY364" i="9" s="1"/>
  <c r="GZ364" i="9" s="1"/>
  <c r="HH364" i="9" s="1"/>
  <c r="GN389" i="9"/>
  <c r="GY389" i="9" s="1"/>
  <c r="GZ389" i="9" s="1"/>
  <c r="HH389" i="9" s="1"/>
  <c r="CF389" i="9" s="1"/>
  <c r="GN397" i="9"/>
  <c r="GY397" i="9" s="1"/>
  <c r="GZ397" i="9" s="1"/>
  <c r="HH397" i="9" s="1"/>
  <c r="CF397" i="9" s="1"/>
  <c r="GL443" i="9"/>
  <c r="GK403" i="9"/>
  <c r="HE403" i="9" s="1"/>
  <c r="CC403" i="9" s="1"/>
  <c r="GM408" i="9"/>
  <c r="HG408" i="9" s="1"/>
  <c r="CE408" i="9" s="1"/>
  <c r="GK428" i="9"/>
  <c r="HE428" i="9" s="1"/>
  <c r="CC428" i="9" s="1"/>
  <c r="GK432" i="9"/>
  <c r="HE432" i="9" s="1"/>
  <c r="CC432" i="9" s="1"/>
  <c r="GM436" i="9"/>
  <c r="HG436" i="9" s="1"/>
  <c r="CE436" i="9" s="1"/>
  <c r="GK444" i="9"/>
  <c r="HE444" i="9" s="1"/>
  <c r="CC444" i="9" s="1"/>
  <c r="GL430" i="9"/>
  <c r="GL434" i="9"/>
  <c r="GN438" i="9"/>
  <c r="GL415" i="9"/>
  <c r="GL419" i="9"/>
  <c r="GM431" i="9"/>
  <c r="HG431" i="9" s="1"/>
  <c r="CE431" i="9" s="1"/>
  <c r="GL439" i="9"/>
  <c r="GM416" i="9"/>
  <c r="HG416" i="9"/>
  <c r="CE416" i="9" s="1"/>
  <c r="GN430" i="9"/>
  <c r="GN444" i="9"/>
  <c r="GK448" i="9"/>
  <c r="HE448" i="9" s="1"/>
  <c r="CC448" i="9" s="1"/>
  <c r="GL410" i="9"/>
  <c r="GN413" i="9"/>
  <c r="GL435" i="9"/>
  <c r="GK502" i="9"/>
  <c r="HE502" i="9" s="1"/>
  <c r="CC502" i="9" s="1"/>
  <c r="GN509" i="9"/>
  <c r="GY509" i="9"/>
  <c r="GZ509" i="9" s="1"/>
  <c r="HH509" i="9" s="1"/>
  <c r="CF509" i="9" s="1"/>
  <c r="GN504" i="9"/>
  <c r="GY504" i="9" s="1"/>
  <c r="GZ504" i="9" s="1"/>
  <c r="HH504" i="9" s="1"/>
  <c r="CF504" i="9" s="1"/>
  <c r="GK532" i="9"/>
  <c r="HE532" i="9" s="1"/>
  <c r="CC532" i="9" s="1"/>
  <c r="GL515" i="9"/>
  <c r="GL508" i="9"/>
  <c r="GN512" i="9"/>
  <c r="GL501" i="9"/>
  <c r="GL514" i="9"/>
  <c r="GK559" i="9"/>
  <c r="HE559" i="9" s="1"/>
  <c r="CC559" i="9" s="1"/>
  <c r="GN566" i="9"/>
  <c r="GL539" i="9"/>
  <c r="GK81" i="9"/>
  <c r="HE81" i="9"/>
  <c r="CC81" i="9" s="1"/>
  <c r="GM336" i="9"/>
  <c r="HG336" i="9" s="1"/>
  <c r="GL343" i="9"/>
  <c r="GK350" i="9"/>
  <c r="HE350" i="9" s="1"/>
  <c r="GM368" i="9"/>
  <c r="HG368" i="9" s="1"/>
  <c r="GL375" i="9"/>
  <c r="GN400" i="9"/>
  <c r="GM343" i="9"/>
  <c r="HG343" i="9"/>
  <c r="GD346" i="9"/>
  <c r="GE346" i="9" s="1"/>
  <c r="GF346" i="9" s="1"/>
  <c r="GG346" i="9" s="1"/>
  <c r="GH346" i="9" s="1"/>
  <c r="GI346" i="9" s="1"/>
  <c r="GL350" i="9"/>
  <c r="GK357" i="9"/>
  <c r="HE357" i="9" s="1"/>
  <c r="GM375" i="9"/>
  <c r="HG375" i="9" s="1"/>
  <c r="GN343" i="9"/>
  <c r="GY343" i="9"/>
  <c r="GZ343" i="9" s="1"/>
  <c r="HH343" i="9" s="1"/>
  <c r="GN375" i="9"/>
  <c r="GY375" i="9"/>
  <c r="GZ375" i="9" s="1"/>
  <c r="HH375" i="9" s="1"/>
  <c r="GN342" i="9"/>
  <c r="GY342" i="9"/>
  <c r="GZ342" i="9" s="1"/>
  <c r="HH342" i="9" s="1"/>
  <c r="GN374" i="9"/>
  <c r="GY374" i="9" s="1"/>
  <c r="GZ374" i="9" s="1"/>
  <c r="HH374" i="9" s="1"/>
  <c r="GL381" i="9"/>
  <c r="GK338" i="9"/>
  <c r="HE338" i="9" s="1"/>
  <c r="GN373" i="9"/>
  <c r="GY373" i="9" s="1"/>
  <c r="GZ373" i="9" s="1"/>
  <c r="HH373" i="9" s="1"/>
  <c r="GM347" i="9"/>
  <c r="HG347" i="9" s="1"/>
  <c r="GL354" i="9"/>
  <c r="GK361" i="9"/>
  <c r="HE361" i="9" s="1"/>
  <c r="GK382" i="9"/>
  <c r="HE382" i="9" s="1"/>
  <c r="CC382" i="9" s="1"/>
  <c r="GK386" i="9"/>
  <c r="HE386" i="9"/>
  <c r="CC386" i="9" s="1"/>
  <c r="GN405" i="9"/>
  <c r="GY405" i="9" s="1"/>
  <c r="GZ405" i="9" s="1"/>
  <c r="HH405" i="9" s="1"/>
  <c r="CF405" i="9" s="1"/>
  <c r="GM435" i="9"/>
  <c r="HG435" i="9" s="1"/>
  <c r="CE435" i="9" s="1"/>
  <c r="GK411" i="9"/>
  <c r="HE411" i="9"/>
  <c r="CC411" i="9" s="1"/>
  <c r="GN435" i="9"/>
  <c r="GY435" i="9" s="1"/>
  <c r="GZ435" i="9" s="1"/>
  <c r="HH435" i="9" s="1"/>
  <c r="CF435" i="9" s="1"/>
  <c r="GN440" i="9"/>
  <c r="GK409" i="9"/>
  <c r="HE409" i="9" s="1"/>
  <c r="CC409" i="9" s="1"/>
  <c r="GL441" i="9"/>
  <c r="GK418" i="9"/>
  <c r="HE418" i="9" s="1"/>
  <c r="CC418" i="9" s="1"/>
  <c r="GQ423" i="9"/>
  <c r="GR423" i="9" s="1"/>
  <c r="GS423" i="9" s="1"/>
  <c r="GT423" i="9" s="1"/>
  <c r="GU423" i="9" s="1"/>
  <c r="GV423" i="9" s="1"/>
  <c r="GN433" i="9"/>
  <c r="GN416" i="9"/>
  <c r="GK506" i="9"/>
  <c r="HE506" i="9" s="1"/>
  <c r="CC506" i="9" s="1"/>
  <c r="GL521" i="9"/>
  <c r="GN500" i="9"/>
  <c r="GY500" i="9" s="1"/>
  <c r="GZ500" i="9" s="1"/>
  <c r="HH500" i="9" s="1"/>
  <c r="CF500" i="9" s="1"/>
  <c r="GN513" i="9"/>
  <c r="GK499" i="9"/>
  <c r="HE499" i="9" s="1"/>
  <c r="CC499" i="9" s="1"/>
  <c r="GN506" i="9"/>
  <c r="GY506" i="9" s="1"/>
  <c r="GZ506" i="9" s="1"/>
  <c r="HH506" i="9" s="1"/>
  <c r="CF506" i="9" s="1"/>
  <c r="GN538" i="9"/>
  <c r="GM536" i="9"/>
  <c r="HG536" i="9" s="1"/>
  <c r="CE536" i="9" s="1"/>
  <c r="GN544" i="9"/>
  <c r="GL540" i="9"/>
  <c r="GK548" i="9"/>
  <c r="HE548" i="9" s="1"/>
  <c r="CC548" i="9" s="1"/>
  <c r="GK552" i="9"/>
  <c r="HE552" i="9" s="1"/>
  <c r="CC552" i="9" s="1"/>
  <c r="GM557" i="9"/>
  <c r="HG557" i="9" s="1"/>
  <c r="CE557" i="9" s="1"/>
  <c r="GL546" i="9"/>
  <c r="GL550" i="9"/>
  <c r="GN565" i="9"/>
  <c r="GN540" i="9"/>
  <c r="GN560" i="9"/>
  <c r="GN546" i="9"/>
  <c r="GK622" i="9"/>
  <c r="HE622" i="9" s="1"/>
  <c r="GN629" i="9"/>
  <c r="GY629" i="9"/>
  <c r="GZ629" i="9" s="1"/>
  <c r="HH629" i="9" s="1"/>
  <c r="GL637" i="9"/>
  <c r="GN616" i="9"/>
  <c r="GY616" i="9" s="1"/>
  <c r="GZ616" i="9" s="1"/>
  <c r="HH616" i="9" s="1"/>
  <c r="CB620" i="9"/>
  <c r="GL650" i="9"/>
  <c r="CB633" i="9"/>
  <c r="GM640" i="9"/>
  <c r="HG640" i="9" s="1"/>
  <c r="GL638" i="9"/>
  <c r="GL440" i="9"/>
  <c r="GN361" i="9"/>
  <c r="GY361" i="9"/>
  <c r="GZ361" i="9" s="1"/>
  <c r="HH361" i="9" s="1"/>
  <c r="GN382" i="9"/>
  <c r="GN336" i="9"/>
  <c r="GY336" i="9"/>
  <c r="GZ336" i="9" s="1"/>
  <c r="HH336" i="9" s="1"/>
  <c r="GN368" i="9"/>
  <c r="GY368" i="9"/>
  <c r="GZ368" i="9" s="1"/>
  <c r="HH368" i="9" s="1"/>
  <c r="GN385" i="9"/>
  <c r="GY385" i="9"/>
  <c r="GZ385" i="9" s="1"/>
  <c r="HH385" i="9" s="1"/>
  <c r="CF385" i="9" s="1"/>
  <c r="GN393" i="9"/>
  <c r="GY393" i="9" s="1"/>
  <c r="GZ393" i="9" s="1"/>
  <c r="HH393" i="9" s="1"/>
  <c r="CF393" i="9" s="1"/>
  <c r="GK340" i="9"/>
  <c r="HE340" i="9" s="1"/>
  <c r="GM358" i="9"/>
  <c r="HG358" i="9"/>
  <c r="GD361" i="9"/>
  <c r="GE361" i="9" s="1"/>
  <c r="GF361" i="9" s="1"/>
  <c r="GG361" i="9" s="1"/>
  <c r="GH361" i="9" s="1"/>
  <c r="GI361" i="9" s="1"/>
  <c r="GL365" i="9"/>
  <c r="GK372" i="9"/>
  <c r="HE372" i="9" s="1"/>
  <c r="GL390" i="9"/>
  <c r="GN398" i="9"/>
  <c r="GY398" i="9"/>
  <c r="GZ398" i="9" s="1"/>
  <c r="HH398" i="9" s="1"/>
  <c r="CF398" i="9" s="1"/>
  <c r="GK339" i="9"/>
  <c r="HE339" i="9" s="1"/>
  <c r="GM357" i="9"/>
  <c r="HG357" i="9" s="1"/>
  <c r="GL364" i="9"/>
  <c r="GK371" i="9"/>
  <c r="HE371" i="9" s="1"/>
  <c r="GL389" i="9"/>
  <c r="GQ389" i="9" s="1"/>
  <c r="GR389" i="9" s="1"/>
  <c r="GS389" i="9" s="1"/>
  <c r="GT389" i="9" s="1"/>
  <c r="GU389" i="9" s="1"/>
  <c r="GV389" i="9" s="1"/>
  <c r="GL397" i="9"/>
  <c r="GN349" i="9"/>
  <c r="GY349" i="9" s="1"/>
  <c r="GZ349" i="9" s="1"/>
  <c r="HH349" i="9" s="1"/>
  <c r="GM356" i="9"/>
  <c r="HG356" i="9" s="1"/>
  <c r="GQ359" i="9"/>
  <c r="GR359" i="9" s="1"/>
  <c r="GS359" i="9" s="1"/>
  <c r="GT359" i="9" s="1"/>
  <c r="GU359" i="9" s="1"/>
  <c r="GV359" i="9" s="1"/>
  <c r="GL363" i="9"/>
  <c r="GK370" i="9"/>
  <c r="HE370" i="9" s="1"/>
  <c r="GL388" i="9"/>
  <c r="GN340" i="9"/>
  <c r="GY340" i="9" s="1"/>
  <c r="GZ340" i="9" s="1"/>
  <c r="HH340" i="9" s="1"/>
  <c r="GN372" i="9"/>
  <c r="GY372" i="9" s="1"/>
  <c r="GZ372" i="9" s="1"/>
  <c r="HH372" i="9" s="1"/>
  <c r="GL379" i="9"/>
  <c r="GL408" i="9"/>
  <c r="GN420" i="9"/>
  <c r="GL436" i="9"/>
  <c r="GL421" i="9"/>
  <c r="GK429" i="9"/>
  <c r="HE429" i="9" s="1"/>
  <c r="CC429" i="9" s="1"/>
  <c r="GK433" i="9"/>
  <c r="HE433" i="9" s="1"/>
  <c r="CC433" i="9" s="1"/>
  <c r="GL427" i="9"/>
  <c r="GL431" i="9"/>
  <c r="GN446" i="9"/>
  <c r="GL412" i="9"/>
  <c r="GL416" i="9"/>
  <c r="GN424" i="9"/>
  <c r="GL447" i="9"/>
  <c r="GN409" i="9"/>
  <c r="GM417" i="9"/>
  <c r="HG417" i="9" s="1"/>
  <c r="CE417" i="9" s="1"/>
  <c r="GL425" i="9"/>
  <c r="GN428" i="9"/>
  <c r="GN419" i="9"/>
  <c r="GY419" i="9"/>
  <c r="GZ419" i="9" s="1"/>
  <c r="HH419" i="9" s="1"/>
  <c r="CF419" i="9" s="1"/>
  <c r="GN451" i="9"/>
  <c r="GK510" i="9"/>
  <c r="HE510" i="9" s="1"/>
  <c r="CC510" i="9" s="1"/>
  <c r="GQ498" i="9"/>
  <c r="GR498" i="9" s="1"/>
  <c r="GS498" i="9" s="1"/>
  <c r="GT498" i="9" s="1"/>
  <c r="GU498" i="9" s="1"/>
  <c r="GV498" i="9" s="1"/>
  <c r="GK505" i="9"/>
  <c r="HE505" i="9" s="1"/>
  <c r="CC505" i="9" s="1"/>
  <c r="GL497" i="9"/>
  <c r="GL523" i="9"/>
  <c r="GN527" i="9"/>
  <c r="GN520" i="9"/>
  <c r="GL528" i="9"/>
  <c r="GN532" i="9"/>
  <c r="GL503" i="9"/>
  <c r="GL530" i="9"/>
  <c r="GL516" i="9"/>
  <c r="GL509" i="9"/>
  <c r="GM529" i="9"/>
  <c r="HG529" i="9" s="1"/>
  <c r="CE529" i="9" s="1"/>
  <c r="GM451" i="9"/>
  <c r="HG451" i="9" s="1"/>
  <c r="CE451" i="9" s="1"/>
  <c r="GL522" i="9"/>
  <c r="AF103" i="5"/>
  <c r="CT337" i="5"/>
  <c r="AN55" i="5"/>
  <c r="AE103" i="5"/>
  <c r="AJ74" i="5"/>
  <c r="CR396" i="5" s="1"/>
  <c r="AF70" i="5"/>
  <c r="CR336" i="5" s="1"/>
  <c r="BA75" i="5"/>
  <c r="CR607" i="5" s="1"/>
  <c r="Z71" i="5"/>
  <c r="CR253" i="5" s="1"/>
  <c r="AP97" i="5"/>
  <c r="CT443" i="5" s="1"/>
  <c r="AW73" i="5"/>
  <c r="CR549" i="5" s="1"/>
  <c r="BD50" i="5"/>
  <c r="AW103" i="5"/>
  <c r="CT547" i="5" s="1"/>
  <c r="CS446" i="5"/>
  <c r="AX100" i="5"/>
  <c r="CT558" i="5" s="1"/>
  <c r="BA73" i="5"/>
  <c r="CR605" i="5" s="1"/>
  <c r="CQ549" i="5"/>
  <c r="CS445" i="5"/>
  <c r="AP108" i="5"/>
  <c r="CT454" i="5" s="1"/>
  <c r="AN61" i="5"/>
  <c r="AX97" i="5"/>
  <c r="CT555" i="5" s="1"/>
  <c r="DD143" i="10"/>
  <c r="DD368" i="10" s="1"/>
  <c r="V65" i="10"/>
  <c r="CW86" i="10"/>
  <c r="W72" i="10"/>
  <c r="CW118" i="10" s="1"/>
  <c r="CV316" i="10"/>
  <c r="DD342" i="10"/>
  <c r="CW178" i="10"/>
  <c r="AE75" i="10"/>
  <c r="U81" i="10"/>
  <c r="CW77" i="10"/>
  <c r="DD98" i="10"/>
  <c r="DD90" i="10"/>
  <c r="AF83" i="10"/>
  <c r="CW254" i="10" s="1"/>
  <c r="W74" i="10"/>
  <c r="CW120" i="10" s="1"/>
  <c r="DD121" i="10"/>
  <c r="AE79" i="10"/>
  <c r="W79" i="10"/>
  <c r="CW125" i="10" s="1"/>
  <c r="V73" i="10"/>
  <c r="X65" i="10"/>
  <c r="S81" i="10"/>
  <c r="CW27" i="10" s="1"/>
  <c r="DD265" i="10"/>
  <c r="S75" i="10"/>
  <c r="DD174" i="10"/>
  <c r="DD399" i="10" s="1"/>
  <c r="T76" i="10"/>
  <c r="CW47" i="10"/>
  <c r="Y70" i="10"/>
  <c r="W71" i="10"/>
  <c r="CW117" i="10" s="1"/>
  <c r="T78" i="10"/>
  <c r="CW49" i="10" s="1"/>
  <c r="AA81" i="10"/>
  <c r="AE78" i="10"/>
  <c r="U63" i="10"/>
  <c r="DD56" i="10" s="1"/>
  <c r="T71" i="10"/>
  <c r="Z73" i="10"/>
  <c r="AC64" i="10"/>
  <c r="CW285" i="10"/>
  <c r="Z69" i="10"/>
  <c r="BJ192" i="3" a="1"/>
  <c r="BJ192" i="3" s="1"/>
  <c r="BT173" i="3"/>
  <c r="BT181" i="3"/>
  <c r="BT197" i="3"/>
  <c r="BT210" i="3"/>
  <c r="BT218" i="3"/>
  <c r="BT226" i="3"/>
  <c r="BT234" i="3"/>
  <c r="BT242" i="3"/>
  <c r="BT250" i="3"/>
  <c r="BT258" i="3"/>
  <c r="BT266" i="3"/>
  <c r="BT274" i="3"/>
  <c r="BT282" i="3"/>
  <c r="BT298" i="3"/>
  <c r="BT306" i="3"/>
  <c r="BT314" i="3"/>
  <c r="BT322" i="3"/>
  <c r="BT330" i="3"/>
  <c r="BT338" i="3"/>
  <c r="BT142" i="3"/>
  <c r="BT150" i="3"/>
  <c r="BT155" i="3"/>
  <c r="BT163" i="3"/>
  <c r="BT119" i="3"/>
  <c r="BT166" i="3"/>
  <c r="BS190" i="3" a="1"/>
  <c r="BS190" i="3" s="1"/>
  <c r="BI136" i="3" a="1"/>
  <c r="BI136" i="3" s="1"/>
  <c r="BS308" i="3" a="1"/>
  <c r="BS308" i="3" s="1"/>
  <c r="BI206" i="3" a="1"/>
  <c r="BI206" i="3" s="1"/>
  <c r="BI225" i="3" a="1"/>
  <c r="BI225" i="3" s="1"/>
  <c r="BI340" i="3" a="1"/>
  <c r="BI340" i="3" s="1"/>
  <c r="BS141" i="3" a="1"/>
  <c r="BS141" i="3" s="1"/>
  <c r="GQ82" i="9"/>
  <c r="GR82" i="9" s="1"/>
  <c r="GS82" i="9" s="1"/>
  <c r="GT82" i="9" s="1"/>
  <c r="GU82" i="9" s="1"/>
  <c r="GV82" i="9" s="1"/>
  <c r="BD184" i="12"/>
  <c r="BD192" i="12"/>
  <c r="BB334" i="11"/>
  <c r="BD171" i="12"/>
  <c r="BD179" i="12"/>
  <c r="BD175" i="12"/>
  <c r="DG17" i="10"/>
  <c r="DG42" i="10" s="1"/>
  <c r="DG67" i="10" s="1"/>
  <c r="DG92" i="10" s="1"/>
  <c r="DG117" i="10" s="1"/>
  <c r="DG142" i="10" s="1"/>
  <c r="DG167" i="10" s="1"/>
  <c r="DG192" i="10" s="1"/>
  <c r="DG217" i="10" s="1"/>
  <c r="DG242" i="10" s="1"/>
  <c r="DG267" i="10" s="1"/>
  <c r="DG292" i="10" s="1"/>
  <c r="DG317" i="10" s="1"/>
  <c r="DG342" i="10" s="1"/>
  <c r="DG367" i="10" s="1"/>
  <c r="DG392" i="10" s="1"/>
  <c r="DG417" i="10" s="1"/>
  <c r="BD172" i="12"/>
  <c r="BE172" i="12"/>
  <c r="BD195" i="12"/>
  <c r="BD173" i="12"/>
  <c r="DG21" i="10"/>
  <c r="DG46" i="10" s="1"/>
  <c r="DG71" i="10" s="1"/>
  <c r="DG96" i="10" s="1"/>
  <c r="DG121" i="10" s="1"/>
  <c r="DG146" i="10" s="1"/>
  <c r="DG171" i="10" s="1"/>
  <c r="DG196" i="10" s="1"/>
  <c r="DG221" i="10" s="1"/>
  <c r="DG246" i="10" s="1"/>
  <c r="DG271" i="10" s="1"/>
  <c r="DG296" i="10" s="1"/>
  <c r="DG321" i="10" s="1"/>
  <c r="DG346" i="10" s="1"/>
  <c r="DG371" i="10" s="1"/>
  <c r="DG396" i="10" s="1"/>
  <c r="DG421" i="10" s="1"/>
  <c r="BD177" i="12"/>
  <c r="BD181" i="12"/>
  <c r="BD185" i="12"/>
  <c r="BD189" i="12"/>
  <c r="BD178" i="12"/>
  <c r="BF98" i="12"/>
  <c r="BF106" i="12"/>
  <c r="BF110" i="12" s="1"/>
  <c r="BF114" i="12" s="1"/>
  <c r="BF118" i="12" s="1"/>
  <c r="BF122" i="12" s="1"/>
  <c r="BF126" i="12" s="1"/>
  <c r="BF130" i="12" s="1"/>
  <c r="BF134" i="12" s="1"/>
  <c r="BF138" i="12" s="1"/>
  <c r="BF142" i="12" s="1"/>
  <c r="BG12" i="12"/>
  <c r="BF24" i="12"/>
  <c r="BE24" i="12"/>
  <c r="GQ612" i="9"/>
  <c r="GR612" i="9" s="1"/>
  <c r="GS612" i="9" s="1"/>
  <c r="GT612" i="9" s="1"/>
  <c r="GU612" i="9" s="1"/>
  <c r="GV612" i="9" s="1"/>
  <c r="GQ580" i="9"/>
  <c r="GR580" i="9" s="1"/>
  <c r="GS580" i="9" s="1"/>
  <c r="GT580" i="9" s="1"/>
  <c r="GU580" i="9" s="1"/>
  <c r="GV580" i="9" s="1"/>
  <c r="GQ71" i="9"/>
  <c r="GR71" i="9" s="1"/>
  <c r="GS71" i="9" s="1"/>
  <c r="GT71" i="9" s="1"/>
  <c r="GU71" i="9" s="1"/>
  <c r="GV71" i="9" s="1"/>
  <c r="GQ101" i="9"/>
  <c r="GR101" i="9" s="1"/>
  <c r="GS101" i="9" s="1"/>
  <c r="GT101" i="9" s="1"/>
  <c r="GU101" i="9" s="1"/>
  <c r="GV101" i="9" s="1"/>
  <c r="GQ456" i="9"/>
  <c r="GR456" i="9" s="1"/>
  <c r="GS456" i="9" s="1"/>
  <c r="GT456" i="9" s="1"/>
  <c r="GU456" i="9" s="1"/>
  <c r="GV456" i="9" s="1"/>
  <c r="GW456" i="9" s="1"/>
  <c r="HF456" i="9" s="1"/>
  <c r="GQ480" i="9"/>
  <c r="GR480" i="9" s="1"/>
  <c r="GS480" i="9" s="1"/>
  <c r="GT480" i="9" s="1"/>
  <c r="GU480" i="9" s="1"/>
  <c r="GV480" i="9" s="1"/>
  <c r="GW480" i="9" s="1"/>
  <c r="HF480" i="9" s="1"/>
  <c r="GQ126" i="9"/>
  <c r="GR126" i="9" s="1"/>
  <c r="GS126" i="9" s="1"/>
  <c r="GT126" i="9" s="1"/>
  <c r="GU126" i="9" s="1"/>
  <c r="GV126" i="9" s="1"/>
  <c r="HF95" i="9"/>
  <c r="GQ95" i="9"/>
  <c r="GR95" i="9" s="1"/>
  <c r="GS95" i="9" s="1"/>
  <c r="GT95" i="9" s="1"/>
  <c r="GU95" i="9" s="1"/>
  <c r="GV95" i="9" s="1"/>
  <c r="GW95" i="9" s="1"/>
  <c r="GD117" i="9"/>
  <c r="GE117" i="9" s="1"/>
  <c r="GF117" i="9" s="1"/>
  <c r="GG117" i="9" s="1"/>
  <c r="GH117" i="9" s="1"/>
  <c r="GI117" i="9" s="1"/>
  <c r="GQ604" i="9"/>
  <c r="GR604" i="9" s="1"/>
  <c r="GS604" i="9" s="1"/>
  <c r="GT604" i="9" s="1"/>
  <c r="GU604" i="9" s="1"/>
  <c r="GV604" i="9" s="1"/>
  <c r="GQ119" i="9"/>
  <c r="GR119" i="9" s="1"/>
  <c r="GS119" i="9" s="1"/>
  <c r="GT119" i="9" s="1"/>
  <c r="GU119" i="9" s="1"/>
  <c r="GV119" i="9" s="1"/>
  <c r="GQ133" i="9"/>
  <c r="GR133" i="9" s="1"/>
  <c r="GS133" i="9" s="1"/>
  <c r="GT133" i="9" s="1"/>
  <c r="GU133" i="9" s="1"/>
  <c r="GV133" i="9" s="1"/>
  <c r="GQ125" i="9"/>
  <c r="GR125" i="9"/>
  <c r="GS125" i="9" s="1"/>
  <c r="GT125" i="9" s="1"/>
  <c r="GU125" i="9" s="1"/>
  <c r="GV125" i="9" s="1"/>
  <c r="GW125" i="9" s="1"/>
  <c r="GQ472" i="9"/>
  <c r="GR472" i="9" s="1"/>
  <c r="GS472" i="9" s="1"/>
  <c r="GT472" i="9" s="1"/>
  <c r="GU472" i="9" s="1"/>
  <c r="GV472" i="9" s="1"/>
  <c r="GQ572" i="9"/>
  <c r="GR572" i="9" s="1"/>
  <c r="GS572" i="9" s="1"/>
  <c r="GT572" i="9" s="1"/>
  <c r="GU572" i="9" s="1"/>
  <c r="GV572" i="9" s="1"/>
  <c r="GE572" i="9"/>
  <c r="GF572" i="9" s="1"/>
  <c r="GG572" i="9" s="1"/>
  <c r="GH572" i="9" s="1"/>
  <c r="GI572" i="9" s="1"/>
  <c r="GQ588" i="9"/>
  <c r="GR588" i="9" s="1"/>
  <c r="GS588" i="9" s="1"/>
  <c r="GT588" i="9" s="1"/>
  <c r="GU588" i="9" s="1"/>
  <c r="GV588" i="9" s="1"/>
  <c r="GQ596" i="9"/>
  <c r="GR596" i="9" s="1"/>
  <c r="GS596" i="9" s="1"/>
  <c r="GT596" i="9" s="1"/>
  <c r="GU596" i="9" s="1"/>
  <c r="GV596" i="9" s="1"/>
  <c r="GD596" i="9"/>
  <c r="GE596" i="9" s="1"/>
  <c r="GF596" i="9" s="1"/>
  <c r="GG596" i="9" s="1"/>
  <c r="GQ68" i="9"/>
  <c r="GR68" i="9" s="1"/>
  <c r="GS68" i="9" s="1"/>
  <c r="GT68" i="9" s="1"/>
  <c r="GU68" i="9" s="1"/>
  <c r="GV68" i="9" s="1"/>
  <c r="GH149" i="9"/>
  <c r="GI149" i="9" s="1"/>
  <c r="GQ475" i="9"/>
  <c r="GR475" i="9" s="1"/>
  <c r="GS475" i="9" s="1"/>
  <c r="GT475" i="9" s="1"/>
  <c r="GU475" i="9" s="1"/>
  <c r="GV475" i="9" s="1"/>
  <c r="GD475" i="9"/>
  <c r="GE475" i="9" s="1"/>
  <c r="GF475" i="9" s="1"/>
  <c r="GG475" i="9" s="1"/>
  <c r="GQ42" i="9"/>
  <c r="GR42" i="9" s="1"/>
  <c r="GS42" i="9" s="1"/>
  <c r="GT42" i="9" s="1"/>
  <c r="GU42" i="9" s="1"/>
  <c r="GV42" i="9" s="1"/>
  <c r="HF103" i="9"/>
  <c r="GQ103" i="9"/>
  <c r="GR103" i="9" s="1"/>
  <c r="GS103" i="9" s="1"/>
  <c r="GT103" i="9" s="1"/>
  <c r="GU103" i="9" s="1"/>
  <c r="GV103" i="9" s="1"/>
  <c r="GW103" i="9" s="1"/>
  <c r="GH249" i="9"/>
  <c r="GI249" i="9" s="1"/>
  <c r="GR310" i="9"/>
  <c r="GS310" i="9" s="1"/>
  <c r="GT310" i="9" s="1"/>
  <c r="GU310" i="9" s="1"/>
  <c r="GV310" i="9" s="1"/>
  <c r="GN617" i="9"/>
  <c r="GY617" i="9" s="1"/>
  <c r="CB621" i="9"/>
  <c r="GM628" i="9"/>
  <c r="HG628" i="9"/>
  <c r="GN643" i="9"/>
  <c r="GL629" i="9"/>
  <c r="GL649" i="9"/>
  <c r="GL624" i="9"/>
  <c r="GM655" i="9"/>
  <c r="HG655" i="9" s="1"/>
  <c r="GN663" i="9"/>
  <c r="CB676" i="9"/>
  <c r="GM683" i="9"/>
  <c r="HG683" i="9" s="1"/>
  <c r="CB659" i="9"/>
  <c r="GN683" i="9"/>
  <c r="GY683" i="9"/>
  <c r="GZ683" i="9" s="1"/>
  <c r="HH683" i="9" s="1"/>
  <c r="GL687" i="9"/>
  <c r="GN656" i="9"/>
  <c r="CB661" i="9"/>
  <c r="GN657" i="9"/>
  <c r="GL18" i="9"/>
  <c r="GN68" i="9"/>
  <c r="GY68" i="9" s="1"/>
  <c r="GZ68" i="9" s="1"/>
  <c r="HH68" i="9" s="1"/>
  <c r="CF68" i="9" s="1"/>
  <c r="GN64" i="9"/>
  <c r="GY64" i="9" s="1"/>
  <c r="GZ64" i="9" s="1"/>
  <c r="HH64" i="9" s="1"/>
  <c r="CF64" i="9" s="1"/>
  <c r="GQ102" i="9"/>
  <c r="GR102" i="9" s="1"/>
  <c r="GS102" i="9" s="1"/>
  <c r="GT102" i="9" s="1"/>
  <c r="GU102" i="9" s="1"/>
  <c r="GV102" i="9" s="1"/>
  <c r="GQ94" i="9"/>
  <c r="GR94" i="9" s="1"/>
  <c r="GS94" i="9" s="1"/>
  <c r="GT94" i="9" s="1"/>
  <c r="GU94" i="9" s="1"/>
  <c r="GV94" i="9" s="1"/>
  <c r="GN499" i="9"/>
  <c r="GY499" i="9" s="1"/>
  <c r="GZ499" i="9" s="1"/>
  <c r="HH499" i="9" s="1"/>
  <c r="CF499" i="9" s="1"/>
  <c r="GN525" i="9"/>
  <c r="GN523" i="9"/>
  <c r="GM528" i="9"/>
  <c r="HG528" i="9" s="1"/>
  <c r="CE528" i="9" s="1"/>
  <c r="GL506" i="9"/>
  <c r="GQ506" i="9" s="1"/>
  <c r="GR506" i="9" s="1"/>
  <c r="GS506" i="9" s="1"/>
  <c r="GT506" i="9" s="1"/>
  <c r="GU506" i="9" s="1"/>
  <c r="GV506" i="9" s="1"/>
  <c r="GL529" i="9"/>
  <c r="GL534" i="9"/>
  <c r="GL451" i="9"/>
  <c r="GN503" i="9"/>
  <c r="GY503" i="9" s="1"/>
  <c r="GZ503" i="9" s="1"/>
  <c r="HH503" i="9" s="1"/>
  <c r="CF503" i="9" s="1"/>
  <c r="GM501" i="9"/>
  <c r="HG501" i="9"/>
  <c r="CE501" i="9" s="1"/>
  <c r="GN516" i="9"/>
  <c r="GK534" i="9"/>
  <c r="HE534" i="9" s="1"/>
  <c r="CC534" i="9" s="1"/>
  <c r="GQ422" i="9"/>
  <c r="GR422" i="9" s="1"/>
  <c r="GS422" i="9" s="1"/>
  <c r="GT422" i="9" s="1"/>
  <c r="GU422" i="9" s="1"/>
  <c r="GV422" i="9" s="1"/>
  <c r="GQ75" i="9"/>
  <c r="GR75" i="9" s="1"/>
  <c r="GS75" i="9" s="1"/>
  <c r="GT75" i="9" s="1"/>
  <c r="GU75" i="9" s="1"/>
  <c r="GV75" i="9" s="1"/>
  <c r="GN558" i="9"/>
  <c r="GM569" i="9"/>
  <c r="HG569" i="9" s="1"/>
  <c r="CE569" i="9" s="1"/>
  <c r="GL531" i="9"/>
  <c r="GN447" i="9"/>
  <c r="GL499" i="9"/>
  <c r="GL525" i="9"/>
  <c r="GM449" i="9"/>
  <c r="HG449" i="9" s="1"/>
  <c r="CE449" i="9" s="1"/>
  <c r="GL520" i="9"/>
  <c r="GN507" i="9"/>
  <c r="GY507" i="9" s="1"/>
  <c r="GZ507" i="9" s="1"/>
  <c r="HH507" i="9" s="1"/>
  <c r="CF507" i="9" s="1"/>
  <c r="GM505" i="9"/>
  <c r="HG505" i="9" s="1"/>
  <c r="CE505" i="9" s="1"/>
  <c r="GM531" i="9"/>
  <c r="HG531" i="9" s="1"/>
  <c r="CE531" i="9" s="1"/>
  <c r="GK524" i="9"/>
  <c r="HE524" i="9" s="1"/>
  <c r="CC524" i="9" s="1"/>
  <c r="GN518" i="9"/>
  <c r="GK504" i="9"/>
  <c r="HE504" i="9" s="1"/>
  <c r="CC504" i="9" s="1"/>
  <c r="GN498" i="9"/>
  <c r="GY498" i="9"/>
  <c r="GZ498" i="9" s="1"/>
  <c r="HH498" i="9" s="1"/>
  <c r="CF498" i="9" s="1"/>
  <c r="GK517" i="9"/>
  <c r="HE517" i="9" s="1"/>
  <c r="CC517" i="9" s="1"/>
  <c r="GN524" i="9"/>
  <c r="GN529" i="9"/>
  <c r="GL554" i="9"/>
  <c r="GN567" i="9"/>
  <c r="GL22" i="9"/>
  <c r="GN542" i="9"/>
  <c r="GM555" i="9"/>
  <c r="HG555" i="9" s="1"/>
  <c r="CE555" i="9" s="1"/>
  <c r="GL549" i="9"/>
  <c r="GL553" i="9"/>
  <c r="GN557" i="9"/>
  <c r="GM568" i="9"/>
  <c r="HG568" i="9" s="1"/>
  <c r="CE568" i="9" s="1"/>
  <c r="GN548" i="9"/>
  <c r="GY548" i="9" s="1"/>
  <c r="GZ548" i="9" s="1"/>
  <c r="HH548" i="9" s="1"/>
  <c r="CF548" i="9" s="1"/>
  <c r="GL569" i="9"/>
  <c r="GN621" i="9"/>
  <c r="GY621" i="9" s="1"/>
  <c r="GZ621" i="9" s="1"/>
  <c r="HH621" i="9" s="1"/>
  <c r="CB625" i="9"/>
  <c r="GN627" i="9"/>
  <c r="GN647" i="9"/>
  <c r="CB651" i="9"/>
  <c r="GN655" i="9"/>
  <c r="GM620" i="9"/>
  <c r="HG620" i="9" s="1"/>
  <c r="GL646" i="9"/>
  <c r="GL621" i="9"/>
  <c r="GL616" i="9"/>
  <c r="GL642" i="9"/>
  <c r="CB674" i="9"/>
  <c r="CB679" i="9"/>
  <c r="GM686" i="9"/>
  <c r="HG686" i="9" s="1"/>
  <c r="GL674" i="9"/>
  <c r="GL679" i="9"/>
  <c r="GQ679" i="9" s="1"/>
  <c r="GR679" i="9" s="1"/>
  <c r="GS679" i="9" s="1"/>
  <c r="GT679" i="9" s="1"/>
  <c r="GU679" i="9" s="1"/>
  <c r="GV679" i="9" s="1"/>
  <c r="GN659" i="9"/>
  <c r="GN679" i="9"/>
  <c r="CB683" i="9"/>
  <c r="CB653" i="9"/>
  <c r="GL673" i="9"/>
  <c r="GL76" i="9"/>
  <c r="GQ76" i="9" s="1"/>
  <c r="GR76" i="9" s="1"/>
  <c r="GS76" i="9" s="1"/>
  <c r="GT76" i="9" s="1"/>
  <c r="GU76" i="9" s="1"/>
  <c r="GV76" i="9" s="1"/>
  <c r="GN19" i="9"/>
  <c r="GY19" i="9" s="1"/>
  <c r="GZ19" i="9" s="1"/>
  <c r="HH19" i="9" s="1"/>
  <c r="CF19" i="9" s="1"/>
  <c r="GQ65" i="9"/>
  <c r="GR65" i="9" s="1"/>
  <c r="GS65" i="9" s="1"/>
  <c r="GT65" i="9" s="1"/>
  <c r="GU65" i="9" s="1"/>
  <c r="GV65" i="9" s="1"/>
  <c r="GL565" i="9"/>
  <c r="GK568" i="9"/>
  <c r="HE568" i="9" s="1"/>
  <c r="CC568" i="9" s="1"/>
  <c r="GL560" i="9"/>
  <c r="GK530" i="9"/>
  <c r="HE530" i="9" s="1"/>
  <c r="CC530" i="9" s="1"/>
  <c r="GN537" i="9"/>
  <c r="GM548" i="9"/>
  <c r="HG548" i="9" s="1"/>
  <c r="CE548" i="9" s="1"/>
  <c r="GM538" i="9"/>
  <c r="HG538" i="9" s="1"/>
  <c r="CE538" i="9" s="1"/>
  <c r="GN551" i="9"/>
  <c r="GK554" i="9"/>
  <c r="HE554" i="9" s="1"/>
  <c r="CC554" i="9" s="1"/>
  <c r="GM566" i="9"/>
  <c r="HG566" i="9" s="1"/>
  <c r="CE566" i="9" s="1"/>
  <c r="GK640" i="9"/>
  <c r="HE640" i="9" s="1"/>
  <c r="GN634" i="9"/>
  <c r="GY634" i="9" s="1"/>
  <c r="GZ634" i="9" s="1"/>
  <c r="HH634" i="9" s="1"/>
  <c r="CB638" i="9"/>
  <c r="GL617" i="9"/>
  <c r="GL643" i="9"/>
  <c r="GL570" i="9"/>
  <c r="GN622" i="9"/>
  <c r="GY622" i="9" s="1"/>
  <c r="GZ622" i="9" s="1"/>
  <c r="HH622" i="9" s="1"/>
  <c r="CB616" i="9"/>
  <c r="GK631" i="9"/>
  <c r="HE631" i="9" s="1"/>
  <c r="CB642" i="9"/>
  <c r="GN654" i="9"/>
  <c r="CB637" i="9"/>
  <c r="GL652" i="9"/>
  <c r="CB632" i="9"/>
  <c r="GL658" i="9"/>
  <c r="GL686" i="9"/>
  <c r="GN689" i="9"/>
  <c r="CB667" i="9"/>
  <c r="CB671" i="9"/>
  <c r="GL659" i="9"/>
  <c r="GK667" i="9"/>
  <c r="HE667" i="9" s="1"/>
  <c r="GM676" i="9"/>
  <c r="HG676" i="9" s="1"/>
  <c r="GL668" i="9"/>
  <c r="GL672" i="9"/>
  <c r="GN676" i="9"/>
  <c r="GN672" i="9"/>
  <c r="GN685" i="9"/>
  <c r="GL46" i="9"/>
  <c r="GN536" i="9"/>
  <c r="GK557" i="9"/>
  <c r="HE557" i="9"/>
  <c r="CC557" i="9" s="1"/>
  <c r="GN564" i="9"/>
  <c r="GL568" i="9"/>
  <c r="GQ568" i="9" s="1"/>
  <c r="GR568" i="9" s="1"/>
  <c r="GS568" i="9" s="1"/>
  <c r="GT568" i="9" s="1"/>
  <c r="GU568" i="9" s="1"/>
  <c r="GV568" i="9" s="1"/>
  <c r="GM553" i="9"/>
  <c r="HG553" i="9" s="1"/>
  <c r="CE553" i="9" s="1"/>
  <c r="GN535" i="9"/>
  <c r="GN549" i="9"/>
  <c r="GN563" i="9"/>
  <c r="GL619" i="9"/>
  <c r="GM634" i="9"/>
  <c r="HG634" i="9" s="1"/>
  <c r="GN642" i="9"/>
  <c r="GL625" i="9"/>
  <c r="GM635" i="9"/>
  <c r="HG635" i="9" s="1"/>
  <c r="GN650" i="9"/>
  <c r="GL654" i="9"/>
  <c r="GL633" i="9"/>
  <c r="CB652" i="9"/>
  <c r="GN620" i="9"/>
  <c r="GY620" i="9" s="1"/>
  <c r="GZ620" i="9" s="1"/>
  <c r="HH620" i="9" s="1"/>
  <c r="CB624" i="9"/>
  <c r="CB619" i="9"/>
  <c r="GN641" i="9"/>
  <c r="GN636" i="9"/>
  <c r="GL664" i="9"/>
  <c r="GL656" i="9"/>
  <c r="CB672" i="9"/>
  <c r="GK687" i="9"/>
  <c r="HE687" i="9" s="1"/>
  <c r="GN664" i="9"/>
  <c r="GK672" i="9"/>
  <c r="HE672" i="9" s="1"/>
  <c r="CB677" i="9"/>
  <c r="GM684" i="9"/>
  <c r="HG684" i="9"/>
  <c r="GL669" i="9"/>
  <c r="GN684" i="9"/>
  <c r="CB688" i="9"/>
  <c r="GM669" i="9"/>
  <c r="HG669" i="9" s="1"/>
  <c r="GL677" i="9"/>
  <c r="GN670" i="9"/>
  <c r="GK673" i="9"/>
  <c r="HE673" i="9" s="1"/>
  <c r="GN37" i="9"/>
  <c r="GY37" i="9" s="1"/>
  <c r="GZ37" i="9" s="1"/>
  <c r="HH37" i="9" s="1"/>
  <c r="CF37" i="9" s="1"/>
  <c r="GN569" i="9"/>
  <c r="GL545" i="9"/>
  <c r="GN539" i="9"/>
  <c r="GN559" i="9"/>
  <c r="GY559" i="9" s="1"/>
  <c r="GZ559" i="9" s="1"/>
  <c r="HH559" i="9" s="1"/>
  <c r="CF559" i="9" s="1"/>
  <c r="GN545" i="9"/>
  <c r="GM565" i="9"/>
  <c r="HG565" i="9" s="1"/>
  <c r="CE565" i="9" s="1"/>
  <c r="GL535" i="9"/>
  <c r="GL547" i="9"/>
  <c r="GL551" i="9"/>
  <c r="GN568" i="9"/>
  <c r="GY568" i="9" s="1"/>
  <c r="GZ568" i="9" s="1"/>
  <c r="HH568" i="9" s="1"/>
  <c r="CF568" i="9" s="1"/>
  <c r="GN552" i="9"/>
  <c r="GN649" i="9"/>
  <c r="GN624" i="9"/>
  <c r="GY624" i="9" s="1"/>
  <c r="GZ624" i="9" s="1"/>
  <c r="HH624" i="9" s="1"/>
  <c r="CB628" i="9"/>
  <c r="GL632" i="9"/>
  <c r="GK655" i="9"/>
  <c r="HE655" i="9" s="1"/>
  <c r="GN637" i="9"/>
  <c r="CB641" i="9"/>
  <c r="GL620" i="9"/>
  <c r="CB629" i="9"/>
  <c r="GL636" i="9"/>
  <c r="GK664" i="9"/>
  <c r="HE664" i="9" s="1"/>
  <c r="GN680" i="9"/>
  <c r="GY680" i="9"/>
  <c r="GZ680" i="9" s="1"/>
  <c r="HH680" i="9" s="1"/>
  <c r="CB684" i="9"/>
  <c r="GL684" i="9"/>
  <c r="CB657" i="9"/>
  <c r="GN665" i="9"/>
  <c r="GK658" i="9"/>
  <c r="HE658" i="9" s="1"/>
  <c r="GM663" i="9"/>
  <c r="HG663" i="9"/>
  <c r="GL683" i="9"/>
  <c r="GL63" i="9"/>
  <c r="GM32" i="9"/>
  <c r="HG32" i="9"/>
  <c r="CE32" i="9" s="1"/>
  <c r="GL40" i="9"/>
  <c r="GL559" i="9"/>
  <c r="GK565" i="9"/>
  <c r="HE565" i="9" s="1"/>
  <c r="CC565" i="9" s="1"/>
  <c r="GL555" i="9"/>
  <c r="GN534" i="9"/>
  <c r="GN555" i="9"/>
  <c r="GL563" i="9"/>
  <c r="GL538" i="9"/>
  <c r="GM546" i="9"/>
  <c r="HG546" i="9" s="1"/>
  <c r="CE546" i="9" s="1"/>
  <c r="GL558" i="9"/>
  <c r="GL544" i="9"/>
  <c r="GN547" i="9"/>
  <c r="GK564" i="9"/>
  <c r="HE564" i="9" s="1"/>
  <c r="CC564" i="9" s="1"/>
  <c r="GL627" i="9"/>
  <c r="GN631" i="9"/>
  <c r="CB635" i="9"/>
  <c r="CB648" i="9"/>
  <c r="GN632" i="9"/>
  <c r="GY632" i="9" s="1"/>
  <c r="GZ632" i="9" s="1"/>
  <c r="HH632" i="9" s="1"/>
  <c r="CB636" i="9"/>
  <c r="GL641" i="9"/>
  <c r="GN628" i="9"/>
  <c r="GY628" i="9" s="1"/>
  <c r="GZ628" i="9" s="1"/>
  <c r="HH628" i="9" s="1"/>
  <c r="GN648" i="9"/>
  <c r="GN623" i="9"/>
  <c r="GY623" i="9" s="1"/>
  <c r="GZ623" i="9" s="1"/>
  <c r="HH623" i="9" s="1"/>
  <c r="CB622" i="9"/>
  <c r="GK637" i="9"/>
  <c r="HE637" i="9" s="1"/>
  <c r="GN644" i="9"/>
  <c r="GN652" i="9"/>
  <c r="GL681" i="9"/>
  <c r="GN661" i="9"/>
  <c r="CB669" i="9"/>
  <c r="GM681" i="9"/>
  <c r="HG681" i="9"/>
  <c r="GK665" i="9"/>
  <c r="HE665" i="9" s="1"/>
  <c r="GK669" i="9"/>
  <c r="HE669" i="9" s="1"/>
  <c r="CB685" i="9"/>
  <c r="GL666" i="9"/>
  <c r="GL670" i="9"/>
  <c r="CB689" i="9"/>
  <c r="GN662" i="9"/>
  <c r="CB658" i="9"/>
  <c r="GN668" i="9"/>
  <c r="GN682" i="9"/>
  <c r="CB686" i="9"/>
  <c r="GL655" i="9"/>
  <c r="GN41" i="9"/>
  <c r="GY41" i="9" s="1"/>
  <c r="GZ41" i="9" s="1"/>
  <c r="HH41" i="9" s="1"/>
  <c r="CF41" i="9" s="1"/>
  <c r="GN78" i="9"/>
  <c r="GY78" i="9" s="1"/>
  <c r="GZ78" i="9" s="1"/>
  <c r="HH78" i="9" s="1"/>
  <c r="CF78" i="9" s="1"/>
  <c r="GL26" i="9"/>
  <c r="GN570" i="9"/>
  <c r="GL562" i="9"/>
  <c r="GN562" i="9"/>
  <c r="GY562" i="9" s="1"/>
  <c r="GZ562" i="9" s="1"/>
  <c r="HH562" i="9" s="1"/>
  <c r="CF562" i="9" s="1"/>
  <c r="GL548" i="9"/>
  <c r="GL552" i="9"/>
  <c r="GK569" i="9"/>
  <c r="HE569" i="9"/>
  <c r="CC569" i="9" s="1"/>
  <c r="GN550" i="9"/>
  <c r="GL561" i="9"/>
  <c r="CB617" i="9"/>
  <c r="GK625" i="9"/>
  <c r="HE625" i="9" s="1"/>
  <c r="GL640" i="9"/>
  <c r="GN619" i="9"/>
  <c r="GY619" i="9" s="1"/>
  <c r="GZ619" i="9" s="1"/>
  <c r="HH619" i="9" s="1"/>
  <c r="CB623" i="9"/>
  <c r="CB631" i="9"/>
  <c r="GL644" i="9"/>
  <c r="GL634" i="9"/>
  <c r="GN688" i="9"/>
  <c r="CB662" i="9"/>
  <c r="GN673" i="9"/>
  <c r="GM678" i="9"/>
  <c r="HG678" i="9"/>
  <c r="CB654" i="9"/>
  <c r="GL662" i="9"/>
  <c r="GN674" i="9"/>
  <c r="GL682" i="9"/>
  <c r="GN671" i="9"/>
  <c r="CB664" i="9"/>
  <c r="GL67" i="9"/>
  <c r="GQ67" i="9"/>
  <c r="GR67" i="9" s="1"/>
  <c r="GS67" i="9" s="1"/>
  <c r="GT67" i="9" s="1"/>
  <c r="GU67" i="9" s="1"/>
  <c r="GV67" i="9" s="1"/>
  <c r="GL86" i="9"/>
  <c r="GK35" i="9"/>
  <c r="HE35" i="9" s="1"/>
  <c r="CC35" i="9" s="1"/>
  <c r="GL567" i="9"/>
  <c r="GN554" i="9"/>
  <c r="GL537" i="9"/>
  <c r="GL557" i="9"/>
  <c r="GL543" i="9"/>
  <c r="GM540" i="9"/>
  <c r="HG540" i="9" s="1"/>
  <c r="CE540" i="9" s="1"/>
  <c r="GN543" i="9"/>
  <c r="GM551" i="9"/>
  <c r="HG551" i="9"/>
  <c r="CE551" i="9" s="1"/>
  <c r="GL566" i="9"/>
  <c r="GN553" i="9"/>
  <c r="GY553" i="9" s="1"/>
  <c r="GZ553" i="9" s="1"/>
  <c r="HH553" i="9" s="1"/>
  <c r="CF553" i="9" s="1"/>
  <c r="GN639" i="9"/>
  <c r="CB643" i="9"/>
  <c r="GL647" i="9"/>
  <c r="CB655" i="9"/>
  <c r="GL622" i="9"/>
  <c r="GL635" i="9"/>
  <c r="CB618" i="9"/>
  <c r="GN640" i="9"/>
  <c r="CB644" i="9"/>
  <c r="GL623" i="9"/>
  <c r="GM654" i="9"/>
  <c r="HG654" i="9" s="1"/>
  <c r="GK629" i="9"/>
  <c r="HE629" i="9" s="1"/>
  <c r="GL653" i="9"/>
  <c r="GM636" i="9"/>
  <c r="HG636" i="9" s="1"/>
  <c r="GN651" i="9"/>
  <c r="GY651" i="9" s="1"/>
  <c r="GZ651" i="9" s="1"/>
  <c r="HH651" i="9" s="1"/>
  <c r="GN626" i="9"/>
  <c r="GY626" i="9" s="1"/>
  <c r="GZ626" i="9" s="1"/>
  <c r="HH626" i="9" s="1"/>
  <c r="GL678" i="9"/>
  <c r="CB666" i="9"/>
  <c r="CB670" i="9"/>
  <c r="GN678" i="9"/>
  <c r="GL671" i="9"/>
  <c r="GL663" i="9"/>
  <c r="CB681" i="9"/>
  <c r="GL36" i="9"/>
  <c r="BE21" i="12"/>
  <c r="BE20" i="12"/>
  <c r="BE22" i="12"/>
  <c r="BE23" i="12"/>
  <c r="AJ70" i="12"/>
  <c r="GY102" i="9"/>
  <c r="GZ102" i="9" s="1"/>
  <c r="HH102" i="9"/>
  <c r="GY95" i="9"/>
  <c r="GZ95" i="9" s="1"/>
  <c r="HH95" i="9"/>
  <c r="GY103" i="9"/>
  <c r="GZ103" i="9" s="1"/>
  <c r="HH103" i="9"/>
  <c r="I386" i="9"/>
  <c r="HK385" i="9"/>
  <c r="BE138" i="3"/>
  <c r="BJ138" i="3" a="1"/>
  <c r="BJ138" i="3" s="1"/>
  <c r="BW514" i="9" a="1"/>
  <c r="BW514" i="9"/>
  <c r="AZ276" i="9"/>
  <c r="BW633" i="9" a="1"/>
  <c r="BW633" i="9" s="1"/>
  <c r="AV102" i="5"/>
  <c r="CT532" i="5" s="1"/>
  <c r="AV98" i="5"/>
  <c r="CT528" i="5" s="1"/>
  <c r="GY88" i="9"/>
  <c r="GZ88" i="9" s="1"/>
  <c r="HH88" i="9"/>
  <c r="GY96" i="9"/>
  <c r="GZ96" i="9" s="1"/>
  <c r="HH96" i="9"/>
  <c r="CV284" i="10"/>
  <c r="AC63" i="10"/>
  <c r="DD282" i="10"/>
  <c r="CS248" i="5"/>
  <c r="CS444" i="5"/>
  <c r="GY110" i="9"/>
  <c r="GZ110" i="9" s="1"/>
  <c r="HH110" i="9"/>
  <c r="HH125" i="9"/>
  <c r="DD264" i="10"/>
  <c r="CQ352" i="5"/>
  <c r="DD198" i="10"/>
  <c r="DD423" i="10" s="1"/>
  <c r="DD291" i="10"/>
  <c r="CW320" i="10"/>
  <c r="DD257" i="10"/>
  <c r="DD299" i="10"/>
  <c r="DD87" i="10"/>
  <c r="DD318" i="10"/>
  <c r="DD208" i="10"/>
  <c r="DD44" i="10"/>
  <c r="DD83" i="10"/>
  <c r="DD26" i="10"/>
  <c r="AV100" i="5"/>
  <c r="CT530" i="5" s="1"/>
  <c r="DD251" i="10"/>
  <c r="DD108" i="10"/>
  <c r="DD350" i="10"/>
  <c r="DD33" i="10"/>
  <c r="DD19" i="10"/>
  <c r="DD120" i="10"/>
  <c r="DD345" i="10"/>
  <c r="DD114" i="10"/>
  <c r="EA13" i="12"/>
  <c r="DD331" i="10"/>
  <c r="GQ130" i="9"/>
  <c r="GR130" i="9"/>
  <c r="GS130" i="9" s="1"/>
  <c r="GT130" i="9" s="1"/>
  <c r="GU130" i="9" s="1"/>
  <c r="GV130" i="9" s="1"/>
  <c r="GQ56" i="9"/>
  <c r="GR56" i="9" s="1"/>
  <c r="GS56" i="9" s="1"/>
  <c r="GT56" i="9" s="1"/>
  <c r="GU56" i="9" s="1"/>
  <c r="GV56" i="9" s="1"/>
  <c r="BW527" i="9" a="1"/>
  <c r="BW527" i="9" s="1"/>
  <c r="AZ289" i="9"/>
  <c r="BW646" i="9" s="1" a="1"/>
  <c r="BW646" i="9" s="1"/>
  <c r="Q22" i="4"/>
  <c r="BS10" i="4" s="1"/>
  <c r="DY13" i="12"/>
  <c r="BE168" i="3"/>
  <c r="BJ168" i="3" a="1"/>
  <c r="BJ168" i="3"/>
  <c r="BE184" i="3"/>
  <c r="BS184" i="3" a="1"/>
  <c r="BS184" i="3" s="1"/>
  <c r="BN184" i="3" a="1"/>
  <c r="BN184" i="3" s="1"/>
  <c r="BK184" i="3" s="1"/>
  <c r="BJ184" i="3" a="1"/>
  <c r="BJ184" i="3" s="1"/>
  <c r="BO184" i="3" a="1"/>
  <c r="BO184" i="3" s="1"/>
  <c r="BL184" i="3" s="1"/>
  <c r="BE200" i="3"/>
  <c r="BO200" i="3" a="1"/>
  <c r="BO200" i="3" s="1"/>
  <c r="BL200" i="3" s="1"/>
  <c r="BJ200" i="3" a="1"/>
  <c r="BJ200" i="3" s="1"/>
  <c r="BE205" i="3"/>
  <c r="BN205" i="3" a="1"/>
  <c r="BN205" i="3" s="1"/>
  <c r="BK205" i="3" s="1"/>
  <c r="BJ205" i="3" a="1"/>
  <c r="BJ205" i="3" s="1"/>
  <c r="BO205" i="3" a="1"/>
  <c r="BO205" i="3" s="1"/>
  <c r="BL205" i="3" s="1"/>
  <c r="BE213" i="3"/>
  <c r="BO213" i="3" a="1"/>
  <c r="BO213" i="3" s="1"/>
  <c r="BL213" i="3" s="1"/>
  <c r="BN213" i="3" a="1"/>
  <c r="BN213" i="3" s="1"/>
  <c r="BK213" i="3" s="1"/>
  <c r="BJ213" i="3" a="1"/>
  <c r="BJ213" i="3"/>
  <c r="BE221" i="3"/>
  <c r="BN221" i="3" a="1"/>
  <c r="BN221" i="3" s="1"/>
  <c r="BK221" i="3" s="1"/>
  <c r="BJ221" i="3" a="1"/>
  <c r="BJ221" i="3" s="1"/>
  <c r="BE229" i="3"/>
  <c r="BJ229" i="3" a="1"/>
  <c r="BJ229" i="3"/>
  <c r="BN229" i="3" a="1"/>
  <c r="BN229" i="3" s="1"/>
  <c r="BK229" i="3" s="1"/>
  <c r="BO229" i="3" a="1"/>
  <c r="BO229" i="3" s="1"/>
  <c r="BL229" i="3" s="1"/>
  <c r="BE237" i="3"/>
  <c r="BN237" i="3" a="1"/>
  <c r="BN237" i="3" s="1"/>
  <c r="BK237" i="3" s="1"/>
  <c r="BJ237" i="3" a="1"/>
  <c r="BJ237" i="3" s="1"/>
  <c r="BO237" i="3" a="1"/>
  <c r="BO237" i="3" s="1"/>
  <c r="BL237" i="3" s="1"/>
  <c r="BE245" i="3"/>
  <c r="BN245" i="3" a="1"/>
  <c r="BN245" i="3" s="1"/>
  <c r="BK245" i="3" s="1"/>
  <c r="BO245" i="3" a="1"/>
  <c r="BO245" i="3"/>
  <c r="BL245" i="3" s="1"/>
  <c r="BJ245" i="3" a="1"/>
  <c r="BJ245" i="3" s="1"/>
  <c r="BE253" i="3"/>
  <c r="BJ253" i="3" a="1"/>
  <c r="BJ253" i="3" s="1"/>
  <c r="BE261" i="3"/>
  <c r="BS261" i="3" a="1"/>
  <c r="BS261" i="3" s="1"/>
  <c r="BJ261" i="3" a="1"/>
  <c r="BJ261" i="3" s="1"/>
  <c r="BN261" i="3" a="1"/>
  <c r="BN261" i="3" s="1"/>
  <c r="BK261" i="3" s="1"/>
  <c r="BO261" i="3" a="1"/>
  <c r="BO261" i="3" s="1"/>
  <c r="BL261" i="3" s="1"/>
  <c r="BE269" i="3"/>
  <c r="BN269" i="3" a="1"/>
  <c r="BN269" i="3" s="1"/>
  <c r="BK269" i="3" s="1"/>
  <c r="BJ269" i="3" a="1"/>
  <c r="BJ269" i="3" s="1"/>
  <c r="BO269" i="3" a="1"/>
  <c r="BO269" i="3" s="1"/>
  <c r="BL269" i="3" s="1"/>
  <c r="BE277" i="3"/>
  <c r="BO277" i="3" a="1"/>
  <c r="BO277" i="3" s="1"/>
  <c r="BL277" i="3" s="1"/>
  <c r="BN277" i="3" a="1"/>
  <c r="BN277" i="3" s="1"/>
  <c r="BK277" i="3" s="1"/>
  <c r="BE285" i="3"/>
  <c r="BN285" i="3" a="1"/>
  <c r="BN285" i="3" s="1"/>
  <c r="BK285" i="3" s="1"/>
  <c r="BJ285" i="3" a="1"/>
  <c r="BJ285" i="3" s="1"/>
  <c r="BE293" i="3"/>
  <c r="BN293" i="3" a="1"/>
  <c r="BN293" i="3" s="1"/>
  <c r="BK293" i="3" s="1"/>
  <c r="BJ293" i="3" a="1"/>
  <c r="BJ293" i="3" s="1"/>
  <c r="BO293" i="3" a="1"/>
  <c r="BO293" i="3" s="1"/>
  <c r="BL293" i="3" s="1"/>
  <c r="BE301" i="3"/>
  <c r="BJ301" i="3" a="1"/>
  <c r="BJ301" i="3" s="1"/>
  <c r="BN301" i="3" a="1"/>
  <c r="BN301" i="3" s="1"/>
  <c r="BK301" i="3" s="1"/>
  <c r="BO301" i="3" a="1"/>
  <c r="BO301" i="3" s="1"/>
  <c r="BL301" i="3" s="1"/>
  <c r="BE309" i="3"/>
  <c r="BO309" i="3" a="1"/>
  <c r="BO309" i="3" s="1"/>
  <c r="BL309" i="3" s="1"/>
  <c r="BN309" i="3" a="1"/>
  <c r="BN309" i="3" s="1"/>
  <c r="BK309" i="3" s="1"/>
  <c r="BJ309" i="3" a="1"/>
  <c r="BJ309" i="3"/>
  <c r="BE317" i="3"/>
  <c r="BJ317" i="3" a="1"/>
  <c r="BJ317" i="3" s="1"/>
  <c r="BN317" i="3" a="1"/>
  <c r="BN317" i="3" s="1"/>
  <c r="BK317" i="3" s="1"/>
  <c r="BE325" i="3"/>
  <c r="BS325" i="3" a="1"/>
  <c r="BS325" i="3" s="1"/>
  <c r="BN325" i="3" a="1"/>
  <c r="BN325" i="3" s="1"/>
  <c r="BK325" i="3" s="1"/>
  <c r="BJ325" i="3" a="1"/>
  <c r="BJ325" i="3" s="1"/>
  <c r="BO325" i="3" a="1"/>
  <c r="BO325" i="3" s="1"/>
  <c r="BL325" i="3" s="1"/>
  <c r="BE333" i="3"/>
  <c r="BN333" i="3" a="1"/>
  <c r="BN333" i="3"/>
  <c r="BK333" i="3" s="1"/>
  <c r="BO333" i="3" a="1"/>
  <c r="BO333" i="3" s="1"/>
  <c r="BL333" i="3" s="1"/>
  <c r="BJ333" i="3" a="1"/>
  <c r="BJ333" i="3" s="1"/>
  <c r="BN341" i="3" a="1"/>
  <c r="BN341" i="3"/>
  <c r="BK341" i="3" s="1"/>
  <c r="BO341" i="3" a="1"/>
  <c r="BO341" i="3" s="1"/>
  <c r="BL341" i="3" s="1"/>
  <c r="BJ341" i="3" a="1"/>
  <c r="BJ341" i="3" s="1"/>
  <c r="BW524" i="9" a="1"/>
  <c r="BW524" i="9"/>
  <c r="AZ286" i="9"/>
  <c r="BW643" i="9" a="1"/>
  <c r="BW643" i="9" s="1"/>
  <c r="DD46" i="10"/>
  <c r="AY99" i="5"/>
  <c r="CT571" i="5"/>
  <c r="GH257" i="9"/>
  <c r="CS257" i="5"/>
  <c r="BE140" i="3"/>
  <c r="BJ140" i="3" a="1"/>
  <c r="BJ140" i="3" s="1"/>
  <c r="HH109" i="9"/>
  <c r="GY124" i="9"/>
  <c r="GZ124" i="9" s="1"/>
  <c r="HH124" i="9"/>
  <c r="GY132" i="9"/>
  <c r="GZ132" i="9"/>
  <c r="HH132" i="9"/>
  <c r="CS12" i="12"/>
  <c r="CR12" i="12"/>
  <c r="V120" i="3"/>
  <c r="BS120" i="3" a="1"/>
  <c r="BS120" i="3" s="1"/>
  <c r="BS149" i="3" a="1"/>
  <c r="BS149" i="3" s="1"/>
  <c r="BI187" i="3" a="1"/>
  <c r="BI187" i="3" s="1"/>
  <c r="BI152" i="3" a="1"/>
  <c r="BI152" i="3" s="1"/>
  <c r="BI287" i="3" a="1"/>
  <c r="BI287" i="3" s="1"/>
  <c r="BI228" i="3" a="1"/>
  <c r="BI228" i="3" s="1"/>
  <c r="BI330" i="3" a="1"/>
  <c r="BI330" i="3" s="1"/>
  <c r="BI326" i="3" a="1"/>
  <c r="BI326" i="3" s="1"/>
  <c r="BI199" i="3" a="1"/>
  <c r="BI199" i="3" s="1"/>
  <c r="BI194" i="3" a="1"/>
  <c r="BI194" i="3" s="1"/>
  <c r="L125" i="3"/>
  <c r="V122" i="3"/>
  <c r="L124" i="3"/>
  <c r="L120" i="3"/>
  <c r="BI233" i="3" a="1"/>
  <c r="BI233" i="3" s="1"/>
  <c r="BS298" i="3" a="1"/>
  <c r="BS298" i="3" s="1"/>
  <c r="BI284" i="3" a="1"/>
  <c r="BI284" i="3" s="1"/>
  <c r="BI248" i="3" a="1"/>
  <c r="BI248" i="3" s="1"/>
  <c r="Q122" i="3"/>
  <c r="AA124" i="3"/>
  <c r="Q126" i="3"/>
  <c r="Q120" i="3"/>
  <c r="BI128" i="3" a="1"/>
  <c r="BI128" i="3" s="1"/>
  <c r="BI189" i="3" a="1"/>
  <c r="BI189" i="3" s="1"/>
  <c r="BI245" i="3" a="1"/>
  <c r="BI245" i="3" s="1"/>
  <c r="BI327" i="3" a="1"/>
  <c r="BI327" i="3" s="1"/>
  <c r="BI201" i="3" a="1"/>
  <c r="BI201" i="3" s="1"/>
  <c r="L122" i="3"/>
  <c r="V124" i="3"/>
  <c r="L126" i="3"/>
  <c r="L119" i="3"/>
  <c r="BI123" i="3" a="1"/>
  <c r="BI123" i="3" s="1"/>
  <c r="BI122" i="3" a="1"/>
  <c r="BI122" i="3" s="1"/>
  <c r="BI163" i="3" a="1"/>
  <c r="BI163" i="3" s="1"/>
  <c r="BI184" i="3" a="1"/>
  <c r="BI184" i="3" s="1"/>
  <c r="BI213" i="3" a="1"/>
  <c r="BI213" i="3" s="1"/>
  <c r="BS202" i="3" a="1"/>
  <c r="BS202" i="3" s="1"/>
  <c r="BS264" i="3" a="1"/>
  <c r="BS264" i="3" s="1"/>
  <c r="BI338" i="3" a="1"/>
  <c r="BI338" i="3" s="1"/>
  <c r="BI304" i="3" a="1"/>
  <c r="BI304" i="3" s="1"/>
  <c r="BI120" i="3" a="1"/>
  <c r="BI120" i="3" s="1"/>
  <c r="BS193" i="3" a="1"/>
  <c r="BS193" i="3" s="1"/>
  <c r="BI261" i="3" a="1"/>
  <c r="BI261" i="3" s="1"/>
  <c r="Q119" i="3"/>
  <c r="AA121" i="3"/>
  <c r="Q123" i="3"/>
  <c r="BI134" i="3" a="1"/>
  <c r="BI134" i="3" s="1"/>
  <c r="BI180" i="3" a="1"/>
  <c r="BI180" i="3" s="1"/>
  <c r="BI274" i="3" a="1"/>
  <c r="BI274" i="3" s="1"/>
  <c r="BI324" i="3" a="1"/>
  <c r="BI324" i="3" s="1"/>
  <c r="BS254" i="3" a="1"/>
  <c r="BS254" i="3" s="1"/>
  <c r="V121" i="3"/>
  <c r="L123" i="3"/>
  <c r="V125" i="3"/>
  <c r="AA125" i="3"/>
  <c r="BS156" i="3" a="1"/>
  <c r="BS156" i="3" s="1"/>
  <c r="BI252" i="3" a="1"/>
  <c r="BI252" i="3" s="1"/>
  <c r="BI331" i="3" a="1"/>
  <c r="BI331" i="3" s="1"/>
  <c r="BS197" i="3" a="1"/>
  <c r="BS197" i="3" s="1"/>
  <c r="BS188" i="3" a="1"/>
  <c r="BS188" i="3" s="1"/>
  <c r="AA123" i="3"/>
  <c r="Q125" i="3"/>
  <c r="AA122" i="3"/>
  <c r="BE122" i="3"/>
  <c r="BJ122" i="3" a="1"/>
  <c r="BJ122" i="3"/>
  <c r="BE130" i="3"/>
  <c r="BN130" i="3" a="1"/>
  <c r="BN130" i="3" s="1"/>
  <c r="BK130" i="3" s="1"/>
  <c r="BE135" i="3"/>
  <c r="BJ135" i="3" a="1"/>
  <c r="BJ135" i="3"/>
  <c r="BW518" i="9" a="1"/>
  <c r="BW518" i="9" s="1"/>
  <c r="AZ280" i="9"/>
  <c r="BW637" i="9" s="1" a="1"/>
  <c r="BW637" i="9" s="1"/>
  <c r="GY92" i="9"/>
  <c r="GZ92" i="9" s="1"/>
  <c r="HH92" i="9"/>
  <c r="GY107" i="9"/>
  <c r="GZ107" i="9" s="1"/>
  <c r="GY114" i="9"/>
  <c r="GZ114" i="9" s="1"/>
  <c r="HH114" i="9"/>
  <c r="GY121" i="9"/>
  <c r="GZ121" i="9" s="1"/>
  <c r="HH121" i="9"/>
  <c r="GY129" i="9"/>
  <c r="GZ129" i="9" s="1"/>
  <c r="HH129" i="9"/>
  <c r="GY382" i="9"/>
  <c r="GZ382" i="9" s="1"/>
  <c r="HH382" i="9" s="1"/>
  <c r="CF382" i="9" s="1"/>
  <c r="BO190" i="3" a="1"/>
  <c r="BO190" i="3" s="1"/>
  <c r="BL190" i="3" s="1"/>
  <c r="BN289" i="3" a="1"/>
  <c r="BN289" i="3" s="1"/>
  <c r="BK289" i="3" s="1"/>
  <c r="BO305" i="3" a="1"/>
  <c r="BO305" i="3" s="1"/>
  <c r="BL305" i="3" s="1"/>
  <c r="BN230" i="3" a="1"/>
  <c r="BN230" i="3" s="1"/>
  <c r="BK230" i="3" s="1"/>
  <c r="BN190" i="3" a="1"/>
  <c r="BN190" i="3" s="1"/>
  <c r="BK190" i="3" s="1"/>
  <c r="BN225" i="3" a="1"/>
  <c r="BN225" i="3" s="1"/>
  <c r="BK225" i="3" s="1"/>
  <c r="BN173" i="3" a="1"/>
  <c r="BN173" i="3" s="1"/>
  <c r="BK173" i="3" s="1"/>
  <c r="CO193" i="5" a="1"/>
  <c r="CO193" i="5"/>
  <c r="CO390" i="5" a="1"/>
  <c r="CO390" i="5"/>
  <c r="CO396" i="5" a="1"/>
  <c r="CO396" i="5"/>
  <c r="GY100" i="9"/>
  <c r="GZ100" i="9" s="1"/>
  <c r="HH100" i="9"/>
  <c r="GY115" i="9"/>
  <c r="GZ115" i="9" s="1"/>
  <c r="HH115" i="9"/>
  <c r="GY122" i="9"/>
  <c r="GZ122" i="9" s="1"/>
  <c r="HH122" i="9"/>
  <c r="GY130" i="9"/>
  <c r="GZ130" i="9" s="1"/>
  <c r="HH130" i="9"/>
  <c r="GY48" i="9"/>
  <c r="GZ48" i="9" s="1"/>
  <c r="HH48" i="9" s="1"/>
  <c r="CF48" i="9" s="1"/>
  <c r="GY63" i="9"/>
  <c r="GZ63" i="9" s="1"/>
  <c r="HH63" i="9" s="1"/>
  <c r="CF63" i="9" s="1"/>
  <c r="BO289" i="3" a="1"/>
  <c r="BO289" i="3" s="1"/>
  <c r="BL289" i="3" s="1"/>
  <c r="BO225" i="3" a="1"/>
  <c r="BO225" i="3" s="1"/>
  <c r="BL225" i="3" s="1"/>
  <c r="BN182" i="3" a="1"/>
  <c r="BN182" i="3" s="1"/>
  <c r="BK182" i="3" s="1"/>
  <c r="BO180" i="3" a="1"/>
  <c r="BO180" i="3" s="1"/>
  <c r="BL180" i="3" s="1"/>
  <c r="BE127" i="3"/>
  <c r="BO175" i="3" a="1"/>
  <c r="BO175" i="3" s="1"/>
  <c r="BL175" i="3" s="1"/>
  <c r="BJ199" i="3" a="1"/>
  <c r="BJ199" i="3"/>
  <c r="CO194" i="5" a="1"/>
  <c r="CO194" i="5"/>
  <c r="CO201" i="5" a="1"/>
  <c r="CO201" i="5"/>
  <c r="CO204" i="5" a="1"/>
  <c r="CO204" i="5"/>
  <c r="CO397" i="5" a="1"/>
  <c r="CO397" i="5"/>
  <c r="ED16" i="9"/>
  <c r="FB16" i="9" s="1"/>
  <c r="GL16" i="9" s="1"/>
  <c r="GQ98" i="9"/>
  <c r="GR98" i="9" s="1"/>
  <c r="GS98" i="9" s="1"/>
  <c r="GT98" i="9" s="1"/>
  <c r="GU98" i="9" s="1"/>
  <c r="GV98" i="9" s="1"/>
  <c r="GY94" i="9"/>
  <c r="GZ94" i="9" s="1"/>
  <c r="HH94" i="9"/>
  <c r="GY108" i="9"/>
  <c r="GZ108" i="9" s="1"/>
  <c r="HH108" i="9"/>
  <c r="GY116" i="9"/>
  <c r="GZ116" i="9" s="1"/>
  <c r="HH116" i="9"/>
  <c r="GY123" i="9"/>
  <c r="GZ123" i="9" s="1"/>
  <c r="HH123" i="9"/>
  <c r="GY131" i="9"/>
  <c r="GZ131" i="9"/>
  <c r="HH131" i="9"/>
  <c r="GQ78" i="9"/>
  <c r="GR78" i="9" s="1"/>
  <c r="GS78" i="9" s="1"/>
  <c r="GT78" i="9" s="1"/>
  <c r="GU78" i="9" s="1"/>
  <c r="GV78" i="9" s="1"/>
  <c r="GY84" i="9"/>
  <c r="GZ84" i="9" s="1"/>
  <c r="HH84" i="9" s="1"/>
  <c r="CF84" i="9" s="1"/>
  <c r="BO335" i="3" a="1"/>
  <c r="BO335" i="3" s="1"/>
  <c r="BL335" i="3" s="1"/>
  <c r="BN193" i="3" a="1"/>
  <c r="BN193" i="3" s="1"/>
  <c r="BK193" i="3" s="1"/>
  <c r="BO273" i="3" a="1"/>
  <c r="BO273" i="3" s="1"/>
  <c r="BL273" i="3" s="1"/>
  <c r="BN222" i="3" a="1"/>
  <c r="BN222" i="3" s="1"/>
  <c r="BK222" i="3" s="1"/>
  <c r="BO196" i="3" a="1"/>
  <c r="BO196" i="3" s="1"/>
  <c r="BL196" i="3" s="1"/>
  <c r="BT129" i="3"/>
  <c r="BT144" i="3"/>
  <c r="BT165" i="3"/>
  <c r="N73" i="11"/>
  <c r="Q73" i="11" s="1"/>
  <c r="Y57" i="12"/>
  <c r="Y60" i="12" s="1"/>
  <c r="Y56" i="12"/>
  <c r="AI56" i="12" s="1"/>
  <c r="Y87" i="12"/>
  <c r="Z87" i="12" s="1"/>
  <c r="BM18" i="12" s="1"/>
  <c r="Y85" i="12"/>
  <c r="BL16" i="12" s="1"/>
  <c r="CO195" i="5" a="1"/>
  <c r="CO195" i="5"/>
  <c r="CO391" i="5" a="1"/>
  <c r="CO391" i="5"/>
  <c r="CO398" i="5" a="1"/>
  <c r="CO398" i="5"/>
  <c r="GQ79" i="9"/>
  <c r="GR79" i="9" s="1"/>
  <c r="GS79" i="9" s="1"/>
  <c r="GT79" i="9" s="1"/>
  <c r="GU79" i="9" s="1"/>
  <c r="GV79" i="9" s="1"/>
  <c r="DC11" i="10"/>
  <c r="DC13" i="10"/>
  <c r="ED64" i="12" a="1"/>
  <c r="ED64" i="12"/>
  <c r="CO196" i="5" a="1"/>
  <c r="CO196" i="5"/>
  <c r="CO202" i="5" a="1"/>
  <c r="CO202" i="5"/>
  <c r="CO387" i="5" a="1"/>
  <c r="CO387" i="5"/>
  <c r="CO399" i="5" a="1"/>
  <c r="CO399" i="5"/>
  <c r="GY89" i="9"/>
  <c r="GZ89" i="9" s="1"/>
  <c r="HH89" i="9"/>
  <c r="GY97" i="9"/>
  <c r="GZ97" i="9"/>
  <c r="HH97" i="9"/>
  <c r="GY104" i="9"/>
  <c r="GZ104" i="9" s="1"/>
  <c r="HH104" i="9"/>
  <c r="GY111" i="9"/>
  <c r="GZ111" i="9" s="1"/>
  <c r="HH111" i="9"/>
  <c r="GY118" i="9"/>
  <c r="GZ118" i="9" s="1"/>
  <c r="HH118" i="9"/>
  <c r="GY126" i="9"/>
  <c r="GZ126" i="9" s="1"/>
  <c r="HH126" i="9"/>
  <c r="GQ483" i="9"/>
  <c r="GR483" i="9" s="1"/>
  <c r="GS483" i="9" s="1"/>
  <c r="GT483" i="9" s="1"/>
  <c r="GU483" i="9" s="1"/>
  <c r="GV483" i="9" s="1"/>
  <c r="GY517" i="9"/>
  <c r="GZ517" i="9" s="1"/>
  <c r="HH517" i="9" s="1"/>
  <c r="CF517" i="9" s="1"/>
  <c r="BN291" i="3" a="1"/>
  <c r="BN291" i="3" s="1"/>
  <c r="BK291" i="3" s="1"/>
  <c r="BO206" i="3" a="1"/>
  <c r="BO206" i="3" s="1"/>
  <c r="BL206" i="3" s="1"/>
  <c r="BN206" i="3" a="1"/>
  <c r="BN206" i="3" s="1"/>
  <c r="BK206" i="3" s="1"/>
  <c r="BN305" i="3" a="1"/>
  <c r="BN305" i="3"/>
  <c r="BK305" i="3" s="1"/>
  <c r="BN177" i="3" a="1"/>
  <c r="BN177" i="3"/>
  <c r="BK177" i="3" s="1"/>
  <c r="CM51" i="5" a="1"/>
  <c r="CM51" i="5"/>
  <c r="CO191" i="5" a="1"/>
  <c r="CO191" i="5"/>
  <c r="CO198" i="5" a="1"/>
  <c r="CO198" i="5"/>
  <c r="CO203" i="5" a="1"/>
  <c r="CO203" i="5"/>
  <c r="CO393" i="5" a="1"/>
  <c r="CO393" i="5"/>
  <c r="GY90" i="9"/>
  <c r="GZ90" i="9" s="1"/>
  <c r="HH90" i="9"/>
  <c r="GY98" i="9"/>
  <c r="GZ98" i="9" s="1"/>
  <c r="HH98" i="9"/>
  <c r="GY105" i="9"/>
  <c r="GZ105" i="9" s="1"/>
  <c r="HH105" i="9"/>
  <c r="GY112" i="9"/>
  <c r="GZ112" i="9" s="1"/>
  <c r="HH112" i="9"/>
  <c r="GY119" i="9"/>
  <c r="GZ119" i="9" s="1"/>
  <c r="HH119" i="9"/>
  <c r="GY127" i="9"/>
  <c r="GZ127" i="9" s="1"/>
  <c r="HH127" i="9"/>
  <c r="GQ486" i="9"/>
  <c r="GR486" i="9" s="1"/>
  <c r="GS486" i="9" s="1"/>
  <c r="GT486" i="9" s="1"/>
  <c r="GU486" i="9" s="1"/>
  <c r="GV486" i="9" s="1"/>
  <c r="GY76" i="9"/>
  <c r="GZ76" i="9" s="1"/>
  <c r="HH76" i="9" s="1"/>
  <c r="CF76" i="9" s="1"/>
  <c r="GQ310" i="9"/>
  <c r="GY292" i="9"/>
  <c r="GZ292" i="9" s="1"/>
  <c r="HH292" i="9" s="1"/>
  <c r="CF292" i="9" s="1"/>
  <c r="BN339" i="3" a="1"/>
  <c r="BN339" i="3" s="1"/>
  <c r="BK339" i="3" s="1"/>
  <c r="BN246" i="3" a="1"/>
  <c r="BN246" i="3" s="1"/>
  <c r="BK246" i="3" s="1"/>
  <c r="BN198" i="3" a="1"/>
  <c r="BN198" i="3" s="1"/>
  <c r="BK198" i="3" s="1"/>
  <c r="BO284" i="3" a="1"/>
  <c r="BO284" i="3" s="1"/>
  <c r="BL284" i="3" s="1"/>
  <c r="BN174" i="3" a="1"/>
  <c r="BN174" i="3" s="1"/>
  <c r="BK174" i="3" s="1"/>
  <c r="BE173" i="3"/>
  <c r="Y74" i="12"/>
  <c r="BL24" i="12" s="1"/>
  <c r="DC15" i="10"/>
  <c r="CA289" i="10" a="1"/>
  <c r="CA289" i="10"/>
  <c r="CZ289" i="10"/>
  <c r="CA291" i="10" a="1"/>
  <c r="CA291" i="10"/>
  <c r="CZ291" i="10"/>
  <c r="CA293" i="10" a="1"/>
  <c r="CA293" i="10"/>
  <c r="CZ293" i="10"/>
  <c r="CA295" i="10" a="1"/>
  <c r="CA295" i="10"/>
  <c r="CZ295" i="10"/>
  <c r="CA297" i="10" a="1"/>
  <c r="CA297" i="10"/>
  <c r="CZ297" i="10"/>
  <c r="CA299" i="10" a="1"/>
  <c r="CA299" i="10"/>
  <c r="CZ299" i="10"/>
  <c r="CA301" i="10" a="1"/>
  <c r="CA301" i="10"/>
  <c r="CZ301" i="10"/>
  <c r="CA303" i="10" a="1"/>
  <c r="CA303" i="10"/>
  <c r="CZ304" i="10"/>
  <c r="D42" i="12" a="1"/>
  <c r="D42" i="12"/>
  <c r="CO98" i="5" a="1"/>
  <c r="CO98" i="5"/>
  <c r="CO106" i="5" a="1"/>
  <c r="CO106" i="5"/>
  <c r="CO111" i="5" a="1"/>
  <c r="CO111" i="5"/>
  <c r="CO114" i="5" a="1"/>
  <c r="CO114" i="5"/>
  <c r="CO125" i="5" a="1"/>
  <c r="CO125" i="5"/>
  <c r="CO151" i="5" a="1"/>
  <c r="CO151" i="5"/>
  <c r="CO174" i="5" a="1"/>
  <c r="CO174" i="5"/>
  <c r="CO185" i="5" a="1"/>
  <c r="CO185" i="5"/>
  <c r="CO199" i="5" a="1"/>
  <c r="CO199" i="5"/>
  <c r="CO206" i="5" a="1"/>
  <c r="CO206" i="5"/>
  <c r="CO214" i="5" a="1"/>
  <c r="CO214" i="5"/>
  <c r="CO261" i="5" a="1"/>
  <c r="CO261" i="5"/>
  <c r="CO263" i="5" a="1"/>
  <c r="CO263" i="5"/>
  <c r="CO265" i="5" a="1"/>
  <c r="CO265" i="5"/>
  <c r="CO267" i="5" a="1"/>
  <c r="CO267" i="5"/>
  <c r="CO269" i="5" a="1"/>
  <c r="CO269" i="5"/>
  <c r="CO271" i="5" a="1"/>
  <c r="CO271" i="5"/>
  <c r="CO273" i="5" a="1"/>
  <c r="CO273" i="5"/>
  <c r="CO319" i="5" a="1"/>
  <c r="CO319" i="5"/>
  <c r="CO324" i="5" a="1"/>
  <c r="CO324" i="5"/>
  <c r="CO353" i="5" a="1"/>
  <c r="CO353" i="5"/>
  <c r="CO358" i="5" a="1"/>
  <c r="CO358" i="5"/>
  <c r="CO379" i="5" a="1"/>
  <c r="CO379" i="5"/>
  <c r="CO389" i="5" a="1"/>
  <c r="CO389" i="5"/>
  <c r="CO394" i="5" a="1"/>
  <c r="CO394" i="5"/>
  <c r="CO409" i="5" a="1"/>
  <c r="CO409" i="5"/>
  <c r="CO414" i="5" a="1"/>
  <c r="CO414" i="5"/>
  <c r="CO462" i="5" a="1"/>
  <c r="CO462" i="5"/>
  <c r="CO470" i="5" a="1"/>
  <c r="CO470" i="5"/>
  <c r="CO486" i="5" a="1"/>
  <c r="CO486" i="5"/>
  <c r="CO494" i="5" a="1"/>
  <c r="CO494" i="5"/>
  <c r="GY91" i="9"/>
  <c r="GZ91" i="9" s="1"/>
  <c r="HH91" i="9"/>
  <c r="GY99" i="9"/>
  <c r="GZ99" i="9" s="1"/>
  <c r="GY106" i="9"/>
  <c r="GZ106" i="9" s="1"/>
  <c r="HH106" i="9"/>
  <c r="GY113" i="9"/>
  <c r="GZ113" i="9" s="1"/>
  <c r="HH113" i="9"/>
  <c r="GY120" i="9"/>
  <c r="GZ120" i="9" s="1"/>
  <c r="HH120" i="9"/>
  <c r="GY128" i="9"/>
  <c r="GZ128" i="9" s="1"/>
  <c r="HH128" i="9"/>
  <c r="GY294" i="9"/>
  <c r="GZ294" i="9" s="1"/>
  <c r="HH294" i="9" s="1"/>
  <c r="CF294" i="9" s="1"/>
  <c r="GY400" i="9"/>
  <c r="GZ400" i="9" s="1"/>
  <c r="HH400" i="9" s="1"/>
  <c r="CF400" i="9" s="1"/>
  <c r="BO321" i="3" a="1"/>
  <c r="BO321" i="3" s="1"/>
  <c r="BL321" i="3" s="1"/>
  <c r="BN238" i="3" a="1"/>
  <c r="BN238" i="3" s="1"/>
  <c r="BK238" i="3" s="1"/>
  <c r="BO193" i="3" a="1"/>
  <c r="BO193" i="3" s="1"/>
  <c r="BL193" i="3" s="1"/>
  <c r="CF623" i="9"/>
  <c r="CF632" i="9"/>
  <c r="CF640" i="9"/>
  <c r="CF649" i="9"/>
  <c r="CF657" i="9"/>
  <c r="CF674" i="9"/>
  <c r="CF683" i="9"/>
  <c r="CF616" i="9"/>
  <c r="CF624" i="9"/>
  <c r="CF633" i="9"/>
  <c r="CF641" i="9"/>
  <c r="CF650" i="9"/>
  <c r="CF676" i="9"/>
  <c r="CF684" i="9"/>
  <c r="CF617" i="9"/>
  <c r="CF634" i="9"/>
  <c r="CF642" i="9"/>
  <c r="CF651" i="9"/>
  <c r="CF659" i="9"/>
  <c r="CF668" i="9"/>
  <c r="CF685" i="9"/>
  <c r="CF626" i="9"/>
  <c r="CF643" i="9"/>
  <c r="CF652" i="9"/>
  <c r="CF661" i="9"/>
  <c r="CF678" i="9"/>
  <c r="CF619" i="9"/>
  <c r="CF627" i="9"/>
  <c r="CF636" i="9"/>
  <c r="CF644" i="9"/>
  <c r="CF662" i="9"/>
  <c r="CF670" i="9"/>
  <c r="CF679" i="9"/>
  <c r="CF620" i="9"/>
  <c r="CF628" i="9"/>
  <c r="CF637" i="9"/>
  <c r="CF654" i="9"/>
  <c r="CF663" i="9"/>
  <c r="CF671" i="9"/>
  <c r="CF680" i="9"/>
  <c r="CF688" i="9"/>
  <c r="CF621" i="9"/>
  <c r="CF629" i="9"/>
  <c r="CF647" i="9"/>
  <c r="CF655" i="9"/>
  <c r="CF664" i="9"/>
  <c r="CF672" i="9"/>
  <c r="CF689" i="9"/>
  <c r="CF673" i="9"/>
  <c r="CC616" i="9"/>
  <c r="CD621" i="9"/>
  <c r="CE626" i="9"/>
  <c r="CD629" i="9"/>
  <c r="CC633" i="9"/>
  <c r="CE635" i="9"/>
  <c r="CD638" i="9"/>
  <c r="CC641" i="9"/>
  <c r="CE643" i="9"/>
  <c r="CD647" i="9"/>
  <c r="CC650" i="9"/>
  <c r="CE652" i="9"/>
  <c r="CD655" i="9"/>
  <c r="CC658" i="9"/>
  <c r="CD664" i="9"/>
  <c r="CC667" i="9"/>
  <c r="CE669" i="9"/>
  <c r="CC676" i="9"/>
  <c r="CE678" i="9"/>
  <c r="CD681" i="9"/>
  <c r="CE686" i="9"/>
  <c r="CF682" i="9"/>
  <c r="CE621" i="9"/>
  <c r="CD624" i="9"/>
  <c r="CC627" i="9"/>
  <c r="CE629" i="9"/>
  <c r="CD633" i="9"/>
  <c r="CC636" i="9"/>
  <c r="CD641" i="9"/>
  <c r="CC644" i="9"/>
  <c r="CE647" i="9"/>
  <c r="CD650" i="9"/>
  <c r="CC653" i="9"/>
  <c r="CE655" i="9"/>
  <c r="CD658" i="9"/>
  <c r="CC662" i="9"/>
  <c r="CE681" i="9"/>
  <c r="CD684" i="9"/>
  <c r="CC687" i="9"/>
  <c r="CF622" i="9"/>
  <c r="CE616" i="9"/>
  <c r="CD619" i="9"/>
  <c r="CC622" i="9"/>
  <c r="CE624" i="9"/>
  <c r="CD627" i="9"/>
  <c r="CC631" i="9"/>
  <c r="CE633" i="9"/>
  <c r="CD636" i="9"/>
  <c r="CC639" i="9"/>
  <c r="CE641" i="9"/>
  <c r="CD644" i="9"/>
  <c r="CC648" i="9"/>
  <c r="CE650" i="9"/>
  <c r="CD653" i="9"/>
  <c r="CE658" i="9"/>
  <c r="CD662" i="9"/>
  <c r="CC665" i="9"/>
  <c r="CE667" i="9"/>
  <c r="CC673" i="9"/>
  <c r="CE676" i="9"/>
  <c r="CD679" i="9"/>
  <c r="CC682" i="9"/>
  <c r="CE684" i="9"/>
  <c r="CD687" i="9"/>
  <c r="CF631" i="9"/>
  <c r="CC617" i="9"/>
  <c r="CE619" i="9"/>
  <c r="CD622" i="9"/>
  <c r="CC625" i="9"/>
  <c r="CE627" i="9"/>
  <c r="CC634" i="9"/>
  <c r="CE636" i="9"/>
  <c r="CC642" i="9"/>
  <c r="CE644" i="9"/>
  <c r="CC651" i="9"/>
  <c r="CE653" i="9"/>
  <c r="CD656" i="9"/>
  <c r="CC659" i="9"/>
  <c r="CE662" i="9"/>
  <c r="CD673" i="9"/>
  <c r="CE679" i="9"/>
  <c r="CD682" i="9"/>
  <c r="CC685" i="9"/>
  <c r="CE687" i="9"/>
  <c r="CF639" i="9"/>
  <c r="CD617" i="9"/>
  <c r="CC620" i="9"/>
  <c r="CE622" i="9"/>
  <c r="CD625" i="9"/>
  <c r="CC628" i="9"/>
  <c r="CD634" i="9"/>
  <c r="CC637" i="9"/>
  <c r="CD642" i="9"/>
  <c r="CC646" i="9"/>
  <c r="CE648" i="9"/>
  <c r="CC654" i="9"/>
  <c r="CE656" i="9"/>
  <c r="CD659" i="9"/>
  <c r="CE665" i="9"/>
  <c r="CD668" i="9"/>
  <c r="CD677" i="9"/>
  <c r="CC680" i="9"/>
  <c r="CC688" i="9"/>
  <c r="CE617" i="9"/>
  <c r="CD620" i="9"/>
  <c r="CC623" i="9"/>
  <c r="CE625" i="9"/>
  <c r="CD628" i="9"/>
  <c r="CC632" i="9"/>
  <c r="CE634" i="9"/>
  <c r="CD637" i="9"/>
  <c r="DN637" i="9" s="1" a="1"/>
  <c r="DN637" i="9" s="1"/>
  <c r="CC640" i="9"/>
  <c r="CE642" i="9"/>
  <c r="CD646" i="9"/>
  <c r="CE651" i="9"/>
  <c r="CD654" i="9"/>
  <c r="CC657" i="9"/>
  <c r="CD663" i="9"/>
  <c r="CC666" i="9"/>
  <c r="CE668" i="9"/>
  <c r="CD671" i="9"/>
  <c r="CE677" i="9"/>
  <c r="CD680" i="9"/>
  <c r="CC683" i="9"/>
  <c r="CE685" i="9"/>
  <c r="CF656" i="9"/>
  <c r="CC618" i="9"/>
  <c r="CE620" i="9"/>
  <c r="CD623" i="9"/>
  <c r="CE628" i="9"/>
  <c r="CD632" i="9"/>
  <c r="CC635" i="9"/>
  <c r="CE637" i="9"/>
  <c r="CD640" i="9"/>
  <c r="CC643" i="9"/>
  <c r="CE646" i="9"/>
  <c r="CD649" i="9"/>
  <c r="CC652" i="9"/>
  <c r="CE654" i="9"/>
  <c r="CE663" i="9"/>
  <c r="CD666" i="9"/>
  <c r="CC669" i="9"/>
  <c r="CD674" i="9"/>
  <c r="CC678" i="9"/>
  <c r="CD683" i="9"/>
  <c r="CC638" i="9"/>
  <c r="CE683" i="9"/>
  <c r="CE640" i="9"/>
  <c r="CC664" i="9"/>
  <c r="CC621" i="9"/>
  <c r="CD643" i="9"/>
  <c r="CE666" i="9"/>
  <c r="CF665" i="9"/>
  <c r="CE623" i="9"/>
  <c r="CC647" i="9"/>
  <c r="CD669" i="9"/>
  <c r="CE649" i="9"/>
  <c r="CC672" i="9"/>
  <c r="CC629" i="9"/>
  <c r="CD652" i="9"/>
  <c r="CE674" i="9"/>
  <c r="CE632" i="9"/>
  <c r="CC655" i="9"/>
  <c r="CD678" i="9"/>
  <c r="HB15" i="9"/>
  <c r="HD15" i="9" s="1"/>
  <c r="CB15" i="9" s="1"/>
  <c r="HB23" i="9"/>
  <c r="HD23" i="9" s="1"/>
  <c r="CB23" i="9" s="1"/>
  <c r="HB31" i="9"/>
  <c r="HD31" i="9" s="1"/>
  <c r="CB31" i="9" s="1"/>
  <c r="HB39" i="9"/>
  <c r="HD39" i="9" s="1"/>
  <c r="CB39" i="9" s="1"/>
  <c r="HB47" i="9"/>
  <c r="HD47" i="9" s="1"/>
  <c r="CB47" i="9" s="1"/>
  <c r="HB55" i="9"/>
  <c r="HD55" i="9" s="1"/>
  <c r="CB55" i="9" s="1"/>
  <c r="HB63" i="9"/>
  <c r="HD63" i="9" s="1"/>
  <c r="CB63" i="9" s="1"/>
  <c r="HB71" i="9"/>
  <c r="HD71" i="9" s="1"/>
  <c r="CB71" i="9" s="1"/>
  <c r="HB79" i="9"/>
  <c r="HD79" i="9" s="1"/>
  <c r="CB79" i="9" s="1"/>
  <c r="HB87" i="9"/>
  <c r="HD87" i="9"/>
  <c r="HB95" i="9"/>
  <c r="HD95" i="9" s="1"/>
  <c r="HB103" i="9"/>
  <c r="HD103" i="9" s="1"/>
  <c r="HB111" i="9"/>
  <c r="HD111" i="9" s="1"/>
  <c r="HB119" i="9"/>
  <c r="HD119" i="9"/>
  <c r="HB127" i="9"/>
  <c r="HD127" i="9" s="1"/>
  <c r="CB199" i="9"/>
  <c r="CB207" i="9"/>
  <c r="HB263" i="9"/>
  <c r="HD263" i="9" s="1"/>
  <c r="CB263" i="9" s="1"/>
  <c r="HB271" i="9"/>
  <c r="HD271" i="9" s="1"/>
  <c r="CB271" i="9" s="1"/>
  <c r="HB279" i="9"/>
  <c r="HD279" i="9" s="1"/>
  <c r="CB279" i="9" s="1"/>
  <c r="HB287" i="9"/>
  <c r="HD287" i="9" s="1"/>
  <c r="CB287" i="9" s="1"/>
  <c r="HB295" i="9"/>
  <c r="HD295" i="9" s="1"/>
  <c r="CB295" i="9" s="1"/>
  <c r="HB303" i="9"/>
  <c r="HD303" i="9" s="1"/>
  <c r="HB311" i="9"/>
  <c r="HD311" i="9" s="1"/>
  <c r="CB311" i="9" s="1"/>
  <c r="HB319" i="9"/>
  <c r="HD319" i="9" s="1"/>
  <c r="CB319" i="9" s="1"/>
  <c r="HB327" i="9"/>
  <c r="HD327" i="9" s="1"/>
  <c r="CB327" i="9" s="1"/>
  <c r="HB335" i="9"/>
  <c r="HD335" i="9" s="1"/>
  <c r="HB343" i="9"/>
  <c r="HD343" i="9" s="1"/>
  <c r="HB351" i="9"/>
  <c r="HD351" i="9" s="1"/>
  <c r="HB359" i="9"/>
  <c r="HD359" i="9" s="1"/>
  <c r="HB367" i="9"/>
  <c r="HD367" i="9" s="1"/>
  <c r="HB375" i="9"/>
  <c r="HD375" i="9" s="1"/>
  <c r="HB383" i="9"/>
  <c r="HD383" i="9" s="1"/>
  <c r="CB383" i="9" s="1"/>
  <c r="HB391" i="9"/>
  <c r="HD391" i="9" s="1"/>
  <c r="CB391" i="9" s="1"/>
  <c r="HB399" i="9"/>
  <c r="HD399" i="9" s="1"/>
  <c r="CB399" i="9" s="1"/>
  <c r="HB407" i="9"/>
  <c r="HD407" i="9" s="1"/>
  <c r="HB415" i="9"/>
  <c r="HD415" i="9" s="1"/>
  <c r="CB415" i="9" s="1"/>
  <c r="HB423" i="9"/>
  <c r="HD423" i="9" s="1"/>
  <c r="CB423" i="9" s="1"/>
  <c r="HB431" i="9"/>
  <c r="HD431" i="9" s="1"/>
  <c r="CB431" i="9" s="1"/>
  <c r="HB439" i="9"/>
  <c r="HD439" i="9" s="1"/>
  <c r="CB439" i="9" s="1"/>
  <c r="HB447" i="9"/>
  <c r="HD447" i="9" s="1"/>
  <c r="CB447" i="9" s="1"/>
  <c r="HB455" i="9"/>
  <c r="HD455" i="9" s="1"/>
  <c r="HB463" i="9"/>
  <c r="HD463" i="9"/>
  <c r="HB471" i="9"/>
  <c r="HD471" i="9" s="1"/>
  <c r="HB479" i="9"/>
  <c r="HD479" i="9" s="1"/>
  <c r="HB487" i="9"/>
  <c r="HD487" i="9" s="1"/>
  <c r="HB495" i="9"/>
  <c r="HD495" i="9"/>
  <c r="HB503" i="9"/>
  <c r="HD503" i="9" s="1"/>
  <c r="CB503" i="9" s="1"/>
  <c r="HB511" i="9"/>
  <c r="HD511" i="9" s="1"/>
  <c r="HB519" i="9"/>
  <c r="HD519" i="9" s="1"/>
  <c r="CB519" i="9" s="1"/>
  <c r="HB527" i="9"/>
  <c r="HD527" i="9" s="1"/>
  <c r="CB527" i="9" s="1"/>
  <c r="HB535" i="9"/>
  <c r="HD535" i="9" s="1"/>
  <c r="CB535" i="9" s="1"/>
  <c r="HB543" i="9"/>
  <c r="HD543" i="9"/>
  <c r="CB543" i="9" s="1"/>
  <c r="HB551" i="9"/>
  <c r="HD551" i="9"/>
  <c r="CB551" i="9" s="1"/>
  <c r="HB559" i="9"/>
  <c r="HD559" i="9" s="1"/>
  <c r="CB559" i="9" s="1"/>
  <c r="HB567" i="9"/>
  <c r="HD567" i="9" s="1"/>
  <c r="CB567" i="9" s="1"/>
  <c r="HB575" i="9"/>
  <c r="HD575" i="9"/>
  <c r="HB583" i="9"/>
  <c r="HD583" i="9" s="1"/>
  <c r="HB591" i="9"/>
  <c r="HD591" i="9" s="1"/>
  <c r="HB599" i="9"/>
  <c r="HD599" i="9" s="1"/>
  <c r="HB607" i="9"/>
  <c r="HD607" i="9"/>
  <c r="HB615" i="9"/>
  <c r="HD615" i="9" s="1"/>
  <c r="HB623" i="9"/>
  <c r="HD623" i="9" s="1"/>
  <c r="HB631" i="9"/>
  <c r="HD631" i="9" s="1"/>
  <c r="HB647" i="9"/>
  <c r="HD647" i="9" s="1"/>
  <c r="HB655" i="9"/>
  <c r="HD655" i="9"/>
  <c r="HB671" i="9"/>
  <c r="HD671" i="9" s="1"/>
  <c r="HB679" i="9"/>
  <c r="HD679" i="9" s="1"/>
  <c r="HB16" i="9"/>
  <c r="HD16" i="9" s="1"/>
  <c r="CB16" i="9" s="1"/>
  <c r="HB24" i="9"/>
  <c r="HD24" i="9" s="1"/>
  <c r="CB24" i="9" s="1"/>
  <c r="HB32" i="9"/>
  <c r="HD32" i="9" s="1"/>
  <c r="CB32" i="9" s="1"/>
  <c r="HB40" i="9"/>
  <c r="HD40" i="9" s="1"/>
  <c r="CB40" i="9" s="1"/>
  <c r="HB48" i="9"/>
  <c r="HD48" i="9" s="1"/>
  <c r="CB48" i="9" s="1"/>
  <c r="HB56" i="9"/>
  <c r="HD56" i="9" s="1"/>
  <c r="CB56" i="9" s="1"/>
  <c r="HB64" i="9"/>
  <c r="HD64" i="9" s="1"/>
  <c r="CB64" i="9" s="1"/>
  <c r="HB72" i="9"/>
  <c r="HD72" i="9"/>
  <c r="HB80" i="9"/>
  <c r="HD80" i="9"/>
  <c r="CB80" i="9" s="1"/>
  <c r="HB88" i="9"/>
  <c r="HD88" i="9"/>
  <c r="HB96" i="9"/>
  <c r="HD96" i="9" s="1"/>
  <c r="HB104" i="9"/>
  <c r="HD104" i="9" s="1"/>
  <c r="HB112" i="9"/>
  <c r="HD112" i="9" s="1"/>
  <c r="HB120" i="9"/>
  <c r="HD120" i="9"/>
  <c r="HB128" i="9"/>
  <c r="HD128" i="9" s="1"/>
  <c r="CB200" i="9"/>
  <c r="CB208" i="9"/>
  <c r="HB264" i="9"/>
  <c r="HD264" i="9" s="1"/>
  <c r="CB264" i="9" s="1"/>
  <c r="HB272" i="9"/>
  <c r="HD272" i="9"/>
  <c r="CB272" i="9" s="1"/>
  <c r="HB280" i="9"/>
  <c r="HD280" i="9"/>
  <c r="CB280" i="9" s="1"/>
  <c r="HB288" i="9"/>
  <c r="HD288" i="9" s="1"/>
  <c r="HB296" i="9"/>
  <c r="HD296" i="9" s="1"/>
  <c r="CB296" i="9" s="1"/>
  <c r="HB304" i="9"/>
  <c r="HD304" i="9" s="1"/>
  <c r="CB304" i="9" s="1"/>
  <c r="HB312" i="9"/>
  <c r="HD312" i="9" s="1"/>
  <c r="CB312" i="9" s="1"/>
  <c r="HB320" i="9"/>
  <c r="HD320" i="9" s="1"/>
  <c r="CB320" i="9" s="1"/>
  <c r="HB328" i="9"/>
  <c r="HD328" i="9" s="1"/>
  <c r="CB328" i="9" s="1"/>
  <c r="HB336" i="9"/>
  <c r="HD336" i="9" s="1"/>
  <c r="HB344" i="9"/>
  <c r="HD344" i="9" s="1"/>
  <c r="HB352" i="9"/>
  <c r="HD352" i="9"/>
  <c r="HB360" i="9"/>
  <c r="HD360" i="9" s="1"/>
  <c r="HB368" i="9"/>
  <c r="HD368" i="9" s="1"/>
  <c r="HB376" i="9"/>
  <c r="HD376" i="9" s="1"/>
  <c r="HB384" i="9"/>
  <c r="HD384" i="9" s="1"/>
  <c r="CB384" i="9" s="1"/>
  <c r="HB392" i="9"/>
  <c r="HD392" i="9" s="1"/>
  <c r="HB400" i="9"/>
  <c r="HD400" i="9"/>
  <c r="CB400" i="9" s="1"/>
  <c r="HB408" i="9"/>
  <c r="HD408" i="9" s="1"/>
  <c r="CB408" i="9" s="1"/>
  <c r="HB416" i="9"/>
  <c r="HD416" i="9" s="1"/>
  <c r="CB416" i="9" s="1"/>
  <c r="HB424" i="9"/>
  <c r="HD424" i="9" s="1"/>
  <c r="CB424" i="9" s="1"/>
  <c r="HB432" i="9"/>
  <c r="HD432" i="9" s="1"/>
  <c r="CB432" i="9" s="1"/>
  <c r="HB440" i="9"/>
  <c r="HD440" i="9" s="1"/>
  <c r="CB440" i="9" s="1"/>
  <c r="HB448" i="9"/>
  <c r="HD448" i="9" s="1"/>
  <c r="CB448" i="9" s="1"/>
  <c r="HB456" i="9"/>
  <c r="HD456" i="9" s="1"/>
  <c r="HB464" i="9"/>
  <c r="HD464" i="9"/>
  <c r="HB472" i="9"/>
  <c r="HD472" i="9" s="1"/>
  <c r="HB480" i="9"/>
  <c r="HD480" i="9" s="1"/>
  <c r="HB488" i="9"/>
  <c r="HD488" i="9" s="1"/>
  <c r="HB496" i="9"/>
  <c r="HD496" i="9"/>
  <c r="HB504" i="9"/>
  <c r="HD504" i="9" s="1"/>
  <c r="CB504" i="9" s="1"/>
  <c r="HB512" i="9"/>
  <c r="HD512" i="9" s="1"/>
  <c r="CB512" i="9" s="1"/>
  <c r="HB520" i="9"/>
  <c r="HD520" i="9" s="1"/>
  <c r="CB520" i="9" s="1"/>
  <c r="HB528" i="9"/>
  <c r="HD528" i="9" s="1"/>
  <c r="CB528" i="9" s="1"/>
  <c r="HB536" i="9"/>
  <c r="HD536" i="9" s="1"/>
  <c r="CB536" i="9" s="1"/>
  <c r="HB544" i="9"/>
  <c r="HD544" i="9" s="1"/>
  <c r="CB544" i="9" s="1"/>
  <c r="HB552" i="9"/>
  <c r="HD552" i="9" s="1"/>
  <c r="CB552" i="9" s="1"/>
  <c r="HB560" i="9"/>
  <c r="HD560" i="9" s="1"/>
  <c r="CB560" i="9" s="1"/>
  <c r="HB568" i="9"/>
  <c r="HD568" i="9" s="1"/>
  <c r="CB568" i="9" s="1"/>
  <c r="HB576" i="9"/>
  <c r="HD576" i="9" s="1"/>
  <c r="HB584" i="9"/>
  <c r="HD584" i="9" s="1"/>
  <c r="HB592" i="9"/>
  <c r="HD592" i="9" s="1"/>
  <c r="HB600" i="9"/>
  <c r="HD600" i="9" s="1"/>
  <c r="HB608" i="9"/>
  <c r="HD608" i="9" s="1"/>
  <c r="HB616" i="9"/>
  <c r="HD616" i="9" s="1"/>
  <c r="HB624" i="9"/>
  <c r="HD624" i="9" s="1"/>
  <c r="HB632" i="9"/>
  <c r="HD632" i="9" s="1"/>
  <c r="HB648" i="9"/>
  <c r="HD648" i="9" s="1"/>
  <c r="HB664" i="9"/>
  <c r="HD664" i="9" s="1"/>
  <c r="HB672" i="9"/>
  <c r="HD672" i="9" s="1"/>
  <c r="HB17" i="9"/>
  <c r="HD17" i="9" s="1"/>
  <c r="CB17" i="9" s="1"/>
  <c r="HB33" i="9"/>
  <c r="HD33" i="9" s="1"/>
  <c r="CB33" i="9" s="1"/>
  <c r="HB41" i="9"/>
  <c r="HD41" i="9" s="1"/>
  <c r="CB41" i="9" s="1"/>
  <c r="HB49" i="9"/>
  <c r="HD49" i="9" s="1"/>
  <c r="CB49" i="9" s="1"/>
  <c r="HB57" i="9"/>
  <c r="HD57" i="9" s="1"/>
  <c r="HB65" i="9"/>
  <c r="HD65" i="9" s="1"/>
  <c r="CB65" i="9" s="1"/>
  <c r="HB73" i="9"/>
  <c r="HD73" i="9" s="1"/>
  <c r="CB73" i="9" s="1"/>
  <c r="HB81" i="9"/>
  <c r="HD81" i="9" s="1"/>
  <c r="CB81" i="9" s="1"/>
  <c r="HB89" i="9"/>
  <c r="HD89" i="9" s="1"/>
  <c r="HB97" i="9"/>
  <c r="HD97" i="9" s="1"/>
  <c r="HB105" i="9"/>
  <c r="HD105" i="9" s="1"/>
  <c r="HB113" i="9"/>
  <c r="HD113" i="9"/>
  <c r="HB121" i="9"/>
  <c r="HD121" i="9" s="1"/>
  <c r="HB129" i="9"/>
  <c r="HD129" i="9" s="1"/>
  <c r="CB201" i="9"/>
  <c r="HB265" i="9"/>
  <c r="HD265" i="9" s="1"/>
  <c r="CB265" i="9" s="1"/>
  <c r="HB273" i="9"/>
  <c r="HD273" i="9" s="1"/>
  <c r="HB281" i="9"/>
  <c r="HD281" i="9" s="1"/>
  <c r="CB281" i="9" s="1"/>
  <c r="HB289" i="9"/>
  <c r="HD289" i="9" s="1"/>
  <c r="CB289" i="9" s="1"/>
  <c r="HB297" i="9"/>
  <c r="HD297" i="9" s="1"/>
  <c r="CB297" i="9" s="1"/>
  <c r="HB305" i="9"/>
  <c r="HD305" i="9" s="1"/>
  <c r="CB305" i="9" s="1"/>
  <c r="HB313" i="9"/>
  <c r="HD313" i="9" s="1"/>
  <c r="CB313" i="9" s="1"/>
  <c r="HB321" i="9"/>
  <c r="HD321" i="9" s="1"/>
  <c r="CB321" i="9" s="1"/>
  <c r="HB329" i="9"/>
  <c r="HD329" i="9"/>
  <c r="CB329" i="9" s="1"/>
  <c r="HB337" i="9"/>
  <c r="HD337" i="9" s="1"/>
  <c r="HB345" i="9"/>
  <c r="HD345" i="9" s="1"/>
  <c r="HB353" i="9"/>
  <c r="HD353" i="9" s="1"/>
  <c r="HB361" i="9"/>
  <c r="HD361" i="9" s="1"/>
  <c r="HB369" i="9"/>
  <c r="HD369" i="9" s="1"/>
  <c r="HB377" i="9"/>
  <c r="HD377" i="9" s="1"/>
  <c r="HB385" i="9"/>
  <c r="HD385" i="9" s="1"/>
  <c r="CB385" i="9" s="1"/>
  <c r="HB393" i="9"/>
  <c r="HD393" i="9" s="1"/>
  <c r="CB393" i="9" s="1"/>
  <c r="HB401" i="9"/>
  <c r="HD401" i="9" s="1"/>
  <c r="CB401" i="9" s="1"/>
  <c r="HB409" i="9"/>
  <c r="HD409" i="9" s="1"/>
  <c r="CB409" i="9" s="1"/>
  <c r="HB417" i="9"/>
  <c r="HD417" i="9" s="1"/>
  <c r="CB417" i="9" s="1"/>
  <c r="HB425" i="9"/>
  <c r="HD425" i="9" s="1"/>
  <c r="CB425" i="9" s="1"/>
  <c r="HB433" i="9"/>
  <c r="HD433" i="9" s="1"/>
  <c r="CB433" i="9" s="1"/>
  <c r="HB441" i="9"/>
  <c r="HD441" i="9" s="1"/>
  <c r="CB441" i="9" s="1"/>
  <c r="HB449" i="9"/>
  <c r="HD449" i="9" s="1"/>
  <c r="CB449" i="9" s="1"/>
  <c r="HB457" i="9"/>
  <c r="HD457" i="9" s="1"/>
  <c r="HB465" i="9"/>
  <c r="HD465" i="9" s="1"/>
  <c r="HB473" i="9"/>
  <c r="HD473" i="9" s="1"/>
  <c r="HB481" i="9"/>
  <c r="HD481" i="9" s="1"/>
  <c r="HB489" i="9"/>
  <c r="HD489" i="9"/>
  <c r="HB497" i="9"/>
  <c r="HD497" i="9" s="1"/>
  <c r="CB497" i="9" s="1"/>
  <c r="HB505" i="9"/>
  <c r="HD505" i="9" s="1"/>
  <c r="CB505" i="9" s="1"/>
  <c r="HB513" i="9"/>
  <c r="HD513" i="9" s="1"/>
  <c r="CB513" i="9" s="1"/>
  <c r="HB521" i="9"/>
  <c r="HD521" i="9" s="1"/>
  <c r="CB521" i="9" s="1"/>
  <c r="HB529" i="9"/>
  <c r="HD529" i="9" s="1"/>
  <c r="CB529" i="9" s="1"/>
  <c r="HB537" i="9"/>
  <c r="HD537" i="9" s="1"/>
  <c r="CB537" i="9" s="1"/>
  <c r="HB545" i="9"/>
  <c r="HD545" i="9" s="1"/>
  <c r="CB545" i="9" s="1"/>
  <c r="HB553" i="9"/>
  <c r="HD553" i="9" s="1"/>
  <c r="CB553" i="9" s="1"/>
  <c r="HB561" i="9"/>
  <c r="HD561" i="9" s="1"/>
  <c r="CB561" i="9" s="1"/>
  <c r="HB569" i="9"/>
  <c r="HD569" i="9" s="1"/>
  <c r="CB569" i="9" s="1"/>
  <c r="HB577" i="9"/>
  <c r="HD577" i="9" s="1"/>
  <c r="HB585" i="9"/>
  <c r="HD585" i="9" s="1"/>
  <c r="HB593" i="9"/>
  <c r="HD593" i="9" s="1"/>
  <c r="HB601" i="9"/>
  <c r="HD601" i="9" s="1"/>
  <c r="HB609" i="9"/>
  <c r="HD609" i="9"/>
  <c r="HB617" i="9"/>
  <c r="HD617" i="9" s="1"/>
  <c r="HB625" i="9"/>
  <c r="HD625" i="9" s="1"/>
  <c r="HB633" i="9"/>
  <c r="HD633" i="9" s="1"/>
  <c r="HB641" i="9"/>
  <c r="HD641" i="9" s="1"/>
  <c r="HB657" i="9"/>
  <c r="HD657" i="9" s="1"/>
  <c r="HB681" i="9"/>
  <c r="HD681" i="9"/>
  <c r="HB18" i="9"/>
  <c r="HD18" i="9" s="1"/>
  <c r="CB18" i="9" s="1"/>
  <c r="HB26" i="9"/>
  <c r="HD26" i="9" s="1"/>
  <c r="CB26" i="9" s="1"/>
  <c r="HB34" i="9"/>
  <c r="HD34" i="9"/>
  <c r="CB34" i="9" s="1"/>
  <c r="HB42" i="9"/>
  <c r="HD42" i="9"/>
  <c r="HB50" i="9"/>
  <c r="HD50" i="9" s="1"/>
  <c r="CB50" i="9" s="1"/>
  <c r="HB58" i="9"/>
  <c r="HD58" i="9" s="1"/>
  <c r="CB58" i="9" s="1"/>
  <c r="HB66" i="9"/>
  <c r="HD66" i="9" s="1"/>
  <c r="CB66" i="9" s="1"/>
  <c r="HB74" i="9"/>
  <c r="HD74" i="9" s="1"/>
  <c r="CB74" i="9" s="1"/>
  <c r="HB82" i="9"/>
  <c r="HD82" i="9"/>
  <c r="CB82" i="9" s="1"/>
  <c r="HB90" i="9"/>
  <c r="HD90" i="9" s="1"/>
  <c r="HB98" i="9"/>
  <c r="HD98" i="9" s="1"/>
  <c r="HB106" i="9"/>
  <c r="HD106" i="9"/>
  <c r="HB114" i="9"/>
  <c r="HD114" i="9"/>
  <c r="HB122" i="9"/>
  <c r="HD122" i="9" s="1"/>
  <c r="HB130" i="9"/>
  <c r="HD130" i="9" s="1"/>
  <c r="CB202" i="9"/>
  <c r="HB274" i="9"/>
  <c r="HD274" i="9" s="1"/>
  <c r="CB274" i="9" s="1"/>
  <c r="HB282" i="9"/>
  <c r="HD282" i="9" s="1"/>
  <c r="CB282" i="9" s="1"/>
  <c r="HB290" i="9"/>
  <c r="HD290" i="9"/>
  <c r="CB290" i="9" s="1"/>
  <c r="HB298" i="9"/>
  <c r="HD298" i="9" s="1"/>
  <c r="CB298" i="9" s="1"/>
  <c r="HB306" i="9"/>
  <c r="HD306" i="9" s="1"/>
  <c r="CB306" i="9" s="1"/>
  <c r="HB314" i="9"/>
  <c r="HD314" i="9" s="1"/>
  <c r="CB314" i="9" s="1"/>
  <c r="HB322" i="9"/>
  <c r="HD322" i="9" s="1"/>
  <c r="CB322" i="9" s="1"/>
  <c r="HB330" i="9"/>
  <c r="HD330" i="9"/>
  <c r="CB330" i="9" s="1"/>
  <c r="HB338" i="9"/>
  <c r="HD338" i="9" s="1"/>
  <c r="HB346" i="9"/>
  <c r="HD346" i="9" s="1"/>
  <c r="HB354" i="9"/>
  <c r="HD354" i="9" s="1"/>
  <c r="HB362" i="9"/>
  <c r="HD362" i="9" s="1"/>
  <c r="HB370" i="9"/>
  <c r="HD370" i="9" s="1"/>
  <c r="HB378" i="9"/>
  <c r="HD378" i="9" s="1"/>
  <c r="CB378" i="9" s="1"/>
  <c r="HB386" i="9"/>
  <c r="HD386" i="9"/>
  <c r="CB386" i="9" s="1"/>
  <c r="HB394" i="9"/>
  <c r="HD394" i="9" s="1"/>
  <c r="CB394" i="9" s="1"/>
  <c r="HB402" i="9"/>
  <c r="HD402" i="9" s="1"/>
  <c r="CB402" i="9" s="1"/>
  <c r="HB410" i="9"/>
  <c r="HD410" i="9" s="1"/>
  <c r="CB410" i="9" s="1"/>
  <c r="HB418" i="9"/>
  <c r="HD418" i="9" s="1"/>
  <c r="CB418" i="9" s="1"/>
  <c r="HB426" i="9"/>
  <c r="HD426" i="9" s="1"/>
  <c r="CB426" i="9" s="1"/>
  <c r="HB434" i="9"/>
  <c r="HD434" i="9" s="1"/>
  <c r="CB434" i="9" s="1"/>
  <c r="HB442" i="9"/>
  <c r="HD442" i="9" s="1"/>
  <c r="CB442" i="9" s="1"/>
  <c r="HB450" i="9"/>
  <c r="HD450" i="9" s="1"/>
  <c r="CB450" i="9" s="1"/>
  <c r="HB458" i="9"/>
  <c r="HD458" i="9" s="1"/>
  <c r="HB466" i="9"/>
  <c r="HD466" i="9" s="1"/>
  <c r="HB474" i="9"/>
  <c r="HD474" i="9" s="1"/>
  <c r="HB482" i="9"/>
  <c r="HD482" i="9"/>
  <c r="HB490" i="9"/>
  <c r="HD490" i="9" s="1"/>
  <c r="HB498" i="9"/>
  <c r="HD498" i="9" s="1"/>
  <c r="CB498" i="9" s="1"/>
  <c r="HB506" i="9"/>
  <c r="HD506" i="9" s="1"/>
  <c r="CB506" i="9" s="1"/>
  <c r="HB514" i="9"/>
  <c r="HD514" i="9" s="1"/>
  <c r="CB514" i="9" s="1"/>
  <c r="HB522" i="9"/>
  <c r="HD522" i="9" s="1"/>
  <c r="CB522" i="9" s="1"/>
  <c r="HB530" i="9"/>
  <c r="HD530" i="9" s="1"/>
  <c r="CB530" i="9" s="1"/>
  <c r="HB538" i="9"/>
  <c r="HD538" i="9" s="1"/>
  <c r="CB538" i="9" s="1"/>
  <c r="HB546" i="9"/>
  <c r="HD546" i="9" s="1"/>
  <c r="CB546" i="9" s="1"/>
  <c r="HB554" i="9"/>
  <c r="HD554" i="9" s="1"/>
  <c r="CB554" i="9" s="1"/>
  <c r="HB562" i="9"/>
  <c r="HD562" i="9" s="1"/>
  <c r="CB562" i="9" s="1"/>
  <c r="HB570" i="9"/>
  <c r="HD570" i="9" s="1"/>
  <c r="CB570" i="9" s="1"/>
  <c r="HB578" i="9"/>
  <c r="HD578" i="9" s="1"/>
  <c r="HB586" i="9"/>
  <c r="HD586" i="9" s="1"/>
  <c r="HB594" i="9"/>
  <c r="HD594" i="9"/>
  <c r="HB602" i="9"/>
  <c r="HD602" i="9"/>
  <c r="HB610" i="9"/>
  <c r="HD610" i="9" s="1"/>
  <c r="HB618" i="9"/>
  <c r="HD618" i="9" s="1"/>
  <c r="HB642" i="9"/>
  <c r="HD642" i="9" s="1"/>
  <c r="HB658" i="9"/>
  <c r="HD658" i="9" s="1"/>
  <c r="HB666" i="9"/>
  <c r="HD666" i="9" s="1"/>
  <c r="HB674" i="9"/>
  <c r="HD674" i="9" s="1"/>
  <c r="HB13" i="9"/>
  <c r="HD13" i="9" s="1"/>
  <c r="CB13" i="9" s="1"/>
  <c r="HB19" i="9"/>
  <c r="HD19" i="9" s="1"/>
  <c r="CB19" i="9" s="1"/>
  <c r="HB27" i="9"/>
  <c r="HD27" i="9" s="1"/>
  <c r="HB35" i="9"/>
  <c r="HD35" i="9" s="1"/>
  <c r="CB35" i="9" s="1"/>
  <c r="HB43" i="9"/>
  <c r="HD43" i="9" s="1"/>
  <c r="CB43" i="9" s="1"/>
  <c r="HB51" i="9"/>
  <c r="HD51" i="9" s="1"/>
  <c r="CB51" i="9" s="1"/>
  <c r="HB59" i="9"/>
  <c r="HD59" i="9" s="1"/>
  <c r="CB59" i="9" s="1"/>
  <c r="HB67" i="9"/>
  <c r="HD67" i="9" s="1"/>
  <c r="CB67" i="9" s="1"/>
  <c r="HB75" i="9"/>
  <c r="HD75" i="9" s="1"/>
  <c r="CB75" i="9" s="1"/>
  <c r="HB83" i="9"/>
  <c r="HD83" i="9" s="1"/>
  <c r="CB83" i="9" s="1"/>
  <c r="HB91" i="9"/>
  <c r="HD91" i="9" s="1"/>
  <c r="HB99" i="9"/>
  <c r="HD99" i="9" s="1"/>
  <c r="HB107" i="9"/>
  <c r="HD107" i="9" s="1"/>
  <c r="HB115" i="9"/>
  <c r="HD115" i="9" s="1"/>
  <c r="HB123" i="9"/>
  <c r="HD123" i="9"/>
  <c r="HB131" i="9"/>
  <c r="HD131" i="9"/>
  <c r="CB195" i="9"/>
  <c r="CB203" i="9"/>
  <c r="HB259" i="9"/>
  <c r="HD259" i="9" s="1"/>
  <c r="CB259" i="9" s="1"/>
  <c r="HB267" i="9"/>
  <c r="HD267" i="9" s="1"/>
  <c r="CB267" i="9" s="1"/>
  <c r="HB275" i="9"/>
  <c r="HD275" i="9" s="1"/>
  <c r="CB275" i="9" s="1"/>
  <c r="HB283" i="9"/>
  <c r="HD283" i="9" s="1"/>
  <c r="CB283" i="9" s="1"/>
  <c r="HB291" i="9"/>
  <c r="HD291" i="9" s="1"/>
  <c r="CB291" i="9" s="1"/>
  <c r="HB299" i="9"/>
  <c r="HD299" i="9" s="1"/>
  <c r="CB299" i="9" s="1"/>
  <c r="HB307" i="9"/>
  <c r="HD307" i="9" s="1"/>
  <c r="CB307" i="9" s="1"/>
  <c r="HB315" i="9"/>
  <c r="HD315" i="9" s="1"/>
  <c r="CB315" i="9" s="1"/>
  <c r="HB323" i="9"/>
  <c r="HD323" i="9" s="1"/>
  <c r="CB323" i="9" s="1"/>
  <c r="HB331" i="9"/>
  <c r="HD331" i="9"/>
  <c r="CB331" i="9" s="1"/>
  <c r="HB339" i="9"/>
  <c r="HD339" i="9" s="1"/>
  <c r="HB347" i="9"/>
  <c r="HD347" i="9" s="1"/>
  <c r="HB355" i="9"/>
  <c r="HD355" i="9" s="1"/>
  <c r="HB363" i="9"/>
  <c r="HD363" i="9" s="1"/>
  <c r="HB371" i="9"/>
  <c r="HD371" i="9" s="1"/>
  <c r="HB379" i="9"/>
  <c r="HD379" i="9" s="1"/>
  <c r="CB379" i="9" s="1"/>
  <c r="HB387" i="9"/>
  <c r="HD387" i="9" s="1"/>
  <c r="CB387" i="9" s="1"/>
  <c r="HB395" i="9"/>
  <c r="HD395" i="9" s="1"/>
  <c r="CB395" i="9" s="1"/>
  <c r="HB403" i="9"/>
  <c r="HD403" i="9" s="1"/>
  <c r="CB403" i="9" s="1"/>
  <c r="HB411" i="9"/>
  <c r="HD411" i="9" s="1"/>
  <c r="CB411" i="9" s="1"/>
  <c r="HB419" i="9"/>
  <c r="HD419" i="9" s="1"/>
  <c r="CB419" i="9" s="1"/>
  <c r="HB427" i="9"/>
  <c r="HD427" i="9" s="1"/>
  <c r="CB427" i="9" s="1"/>
  <c r="HB435" i="9"/>
  <c r="HD435" i="9" s="1"/>
  <c r="CB435" i="9" s="1"/>
  <c r="HB443" i="9"/>
  <c r="HD443" i="9" s="1"/>
  <c r="CB443" i="9" s="1"/>
  <c r="HB451" i="9"/>
  <c r="HD451" i="9" s="1"/>
  <c r="CB451" i="9" s="1"/>
  <c r="HB459" i="9"/>
  <c r="HD459" i="9" s="1"/>
  <c r="HB467" i="9"/>
  <c r="HD467" i="9" s="1"/>
  <c r="HB475" i="9"/>
  <c r="HD475" i="9" s="1"/>
  <c r="HB483" i="9"/>
  <c r="HD483" i="9" s="1"/>
  <c r="HB491" i="9"/>
  <c r="HD491" i="9" s="1"/>
  <c r="HB499" i="9"/>
  <c r="HD499" i="9" s="1"/>
  <c r="CB499" i="9" s="1"/>
  <c r="HB507" i="9"/>
  <c r="HD507" i="9"/>
  <c r="CB507" i="9" s="1"/>
  <c r="HB515" i="9"/>
  <c r="HD515" i="9" s="1"/>
  <c r="CB515" i="9" s="1"/>
  <c r="HB523" i="9"/>
  <c r="HD523" i="9" s="1"/>
  <c r="CB523" i="9" s="1"/>
  <c r="HB531" i="9"/>
  <c r="HD531" i="9" s="1"/>
  <c r="CB531" i="9" s="1"/>
  <c r="HB539" i="9"/>
  <c r="HD539" i="9" s="1"/>
  <c r="CB539" i="9" s="1"/>
  <c r="HB547" i="9"/>
  <c r="HD547" i="9"/>
  <c r="CB547" i="9" s="1"/>
  <c r="HB555" i="9"/>
  <c r="HD555" i="9" s="1"/>
  <c r="CB555" i="9" s="1"/>
  <c r="HB563" i="9"/>
  <c r="HD563" i="9" s="1"/>
  <c r="CB563" i="9" s="1"/>
  <c r="HB571" i="9"/>
  <c r="HD571" i="9" s="1"/>
  <c r="HB579" i="9"/>
  <c r="HD579" i="9" s="1"/>
  <c r="HB587" i="9"/>
  <c r="HD587" i="9" s="1"/>
  <c r="HB595" i="9"/>
  <c r="HD595" i="9" s="1"/>
  <c r="HB603" i="9"/>
  <c r="HD603" i="9" s="1"/>
  <c r="HB611" i="9"/>
  <c r="HD611" i="9" s="1"/>
  <c r="HB619" i="9"/>
  <c r="HD619" i="9" s="1"/>
  <c r="HB635" i="9"/>
  <c r="HD635" i="9"/>
  <c r="HB643" i="9"/>
  <c r="HD643" i="9" s="1"/>
  <c r="HB651" i="9"/>
  <c r="HD651" i="9" s="1"/>
  <c r="HB659" i="9"/>
  <c r="HD659" i="9" s="1"/>
  <c r="HB675" i="9"/>
  <c r="HD675" i="9" s="1"/>
  <c r="HB683" i="9"/>
  <c r="HD683" i="9" s="1"/>
  <c r="HB20" i="9"/>
  <c r="HD20" i="9" s="1"/>
  <c r="CB20" i="9" s="1"/>
  <c r="HB28" i="9"/>
  <c r="HD28" i="9" s="1"/>
  <c r="CB28" i="9" s="1"/>
  <c r="HB36" i="9"/>
  <c r="HD36" i="9" s="1"/>
  <c r="CB36" i="9" s="1"/>
  <c r="HB44" i="9"/>
  <c r="HD44" i="9" s="1"/>
  <c r="CB44" i="9" s="1"/>
  <c r="HB52" i="9"/>
  <c r="HD52" i="9" s="1"/>
  <c r="CB52" i="9" s="1"/>
  <c r="HB60" i="9"/>
  <c r="HD60" i="9" s="1"/>
  <c r="CB60" i="9" s="1"/>
  <c r="HB68" i="9"/>
  <c r="HD68" i="9" s="1"/>
  <c r="CB68" i="9" s="1"/>
  <c r="HB76" i="9"/>
  <c r="HD76" i="9" s="1"/>
  <c r="CB76" i="9" s="1"/>
  <c r="HB84" i="9"/>
  <c r="HD84" i="9" s="1"/>
  <c r="CB84" i="9" s="1"/>
  <c r="HB92" i="9"/>
  <c r="HD92" i="9" s="1"/>
  <c r="HB100" i="9"/>
  <c r="HD100" i="9" s="1"/>
  <c r="HB108" i="9"/>
  <c r="HD108" i="9" s="1"/>
  <c r="HB116" i="9"/>
  <c r="HD116" i="9" s="1"/>
  <c r="HB124" i="9"/>
  <c r="HD124" i="9" s="1"/>
  <c r="HB132" i="9"/>
  <c r="HD132" i="9" s="1"/>
  <c r="CB196" i="9"/>
  <c r="CB204" i="9"/>
  <c r="HB260" i="9"/>
  <c r="HD260" i="9" s="1"/>
  <c r="CB260" i="9" s="1"/>
  <c r="HB268" i="9"/>
  <c r="HD268" i="9"/>
  <c r="CB268" i="9" s="1"/>
  <c r="HB276" i="9"/>
  <c r="HD276" i="9" s="1"/>
  <c r="CB276" i="9" s="1"/>
  <c r="HB284" i="9"/>
  <c r="HD284" i="9" s="1"/>
  <c r="CB284" i="9" s="1"/>
  <c r="HB292" i="9"/>
  <c r="HD292" i="9" s="1"/>
  <c r="CB292" i="9" s="1"/>
  <c r="HB300" i="9"/>
  <c r="HD300" i="9" s="1"/>
  <c r="CB300" i="9" s="1"/>
  <c r="HB308" i="9"/>
  <c r="HD308" i="9" s="1"/>
  <c r="CB308" i="9" s="1"/>
  <c r="HB316" i="9"/>
  <c r="HD316" i="9"/>
  <c r="CB316" i="9" s="1"/>
  <c r="HB324" i="9"/>
  <c r="HD324" i="9" s="1"/>
  <c r="CB324" i="9" s="1"/>
  <c r="HB332" i="9"/>
  <c r="HD332" i="9" s="1"/>
  <c r="CB332" i="9" s="1"/>
  <c r="HB340" i="9"/>
  <c r="HD340" i="9" s="1"/>
  <c r="HB348" i="9"/>
  <c r="HD348" i="9" s="1"/>
  <c r="HB356" i="9"/>
  <c r="HD356" i="9" s="1"/>
  <c r="HB364" i="9"/>
  <c r="HD364" i="9" s="1"/>
  <c r="HB372" i="9"/>
  <c r="HD372" i="9" s="1"/>
  <c r="HB380" i="9"/>
  <c r="HD380" i="9" s="1"/>
  <c r="CB380" i="9" s="1"/>
  <c r="HB388" i="9"/>
  <c r="HD388" i="9" s="1"/>
  <c r="CB388" i="9" s="1"/>
  <c r="HB396" i="9"/>
  <c r="HD396" i="9" s="1"/>
  <c r="CB396" i="9" s="1"/>
  <c r="HB404" i="9"/>
  <c r="HD404" i="9" s="1"/>
  <c r="CB404" i="9" s="1"/>
  <c r="HB412" i="9"/>
  <c r="HD412" i="9" s="1"/>
  <c r="CB412" i="9" s="1"/>
  <c r="HB420" i="9"/>
  <c r="HD420" i="9" s="1"/>
  <c r="CB420" i="9" s="1"/>
  <c r="HB428" i="9"/>
  <c r="HD428" i="9" s="1"/>
  <c r="CB428" i="9" s="1"/>
  <c r="HB436" i="9"/>
  <c r="HD436" i="9" s="1"/>
  <c r="CB436" i="9" s="1"/>
  <c r="HB444" i="9"/>
  <c r="HD444" i="9" s="1"/>
  <c r="CB444" i="9" s="1"/>
  <c r="HB452" i="9"/>
  <c r="HD452" i="9" s="1"/>
  <c r="HB460" i="9"/>
  <c r="HD460" i="9" s="1"/>
  <c r="HB468" i="9"/>
  <c r="HD468" i="9" s="1"/>
  <c r="HB476" i="9"/>
  <c r="HD476" i="9" s="1"/>
  <c r="HB484" i="9"/>
  <c r="HD484" i="9" s="1"/>
  <c r="HB492" i="9"/>
  <c r="HD492" i="9" s="1"/>
  <c r="HB500" i="9"/>
  <c r="HD500" i="9" s="1"/>
  <c r="CB500" i="9" s="1"/>
  <c r="HB508" i="9"/>
  <c r="HD508" i="9" s="1"/>
  <c r="CB508" i="9" s="1"/>
  <c r="HB516" i="9"/>
  <c r="HD516" i="9" s="1"/>
  <c r="CB516" i="9" s="1"/>
  <c r="HB524" i="9"/>
  <c r="HD524" i="9" s="1"/>
  <c r="CB524" i="9" s="1"/>
  <c r="HB532" i="9"/>
  <c r="HD532" i="9" s="1"/>
  <c r="CB532" i="9" s="1"/>
  <c r="HB540" i="9"/>
  <c r="HD540" i="9" s="1"/>
  <c r="CB540" i="9" s="1"/>
  <c r="HB548" i="9"/>
  <c r="HD548" i="9" s="1"/>
  <c r="CB548" i="9" s="1"/>
  <c r="HB556" i="9"/>
  <c r="HD556" i="9"/>
  <c r="HB564" i="9"/>
  <c r="HD564" i="9" s="1"/>
  <c r="CB564" i="9" s="1"/>
  <c r="HB572" i="9"/>
  <c r="HD572" i="9" s="1"/>
  <c r="HB580" i="9"/>
  <c r="HD580" i="9" s="1"/>
  <c r="HB588" i="9"/>
  <c r="HD588" i="9" s="1"/>
  <c r="HB596" i="9"/>
  <c r="HD596" i="9" s="1"/>
  <c r="HB604" i="9"/>
  <c r="HD604" i="9" s="1"/>
  <c r="HB612" i="9"/>
  <c r="HD612" i="9" s="1"/>
  <c r="HB620" i="9"/>
  <c r="HD620" i="9" s="1"/>
  <c r="HB628" i="9"/>
  <c r="HD628" i="9" s="1"/>
  <c r="HB636" i="9"/>
  <c r="HD636" i="9" s="1"/>
  <c r="HB644" i="9"/>
  <c r="HD644" i="9" s="1"/>
  <c r="HB660" i="9"/>
  <c r="HD660" i="9" s="1"/>
  <c r="HB676" i="9"/>
  <c r="HD676" i="9" s="1"/>
  <c r="HB684" i="9"/>
  <c r="HD684" i="9" s="1"/>
  <c r="CD635" i="9"/>
  <c r="HB21" i="9"/>
  <c r="HD21" i="9" s="1"/>
  <c r="CB21" i="9" s="1"/>
  <c r="HB29" i="9"/>
  <c r="HD29" i="9" s="1"/>
  <c r="CB29" i="9" s="1"/>
  <c r="HB37" i="9"/>
  <c r="HD37" i="9" s="1"/>
  <c r="CB37" i="9" s="1"/>
  <c r="HB45" i="9"/>
  <c r="HD45" i="9" s="1"/>
  <c r="CB45" i="9" s="1"/>
  <c r="HB53" i="9"/>
  <c r="HD53" i="9" s="1"/>
  <c r="CB53" i="9" s="1"/>
  <c r="HB61" i="9"/>
  <c r="HD61" i="9" s="1"/>
  <c r="CB61" i="9" s="1"/>
  <c r="HB69" i="9"/>
  <c r="HD69" i="9" s="1"/>
  <c r="CB69" i="9" s="1"/>
  <c r="HB77" i="9"/>
  <c r="HD77" i="9" s="1"/>
  <c r="CB77" i="9" s="1"/>
  <c r="HB85" i="9"/>
  <c r="HD85" i="9" s="1"/>
  <c r="CB85" i="9" s="1"/>
  <c r="HB93" i="9"/>
  <c r="HD93" i="9" s="1"/>
  <c r="HB101" i="9"/>
  <c r="HD101" i="9" s="1"/>
  <c r="HB109" i="9"/>
  <c r="HD109" i="9"/>
  <c r="HB117" i="9"/>
  <c r="HD117" i="9" s="1"/>
  <c r="HB125" i="9"/>
  <c r="HD125" i="9" s="1"/>
  <c r="HB133" i="9"/>
  <c r="HD133" i="9" s="1"/>
  <c r="CB197" i="9"/>
  <c r="CB205" i="9"/>
  <c r="HB261" i="9"/>
  <c r="HD261" i="9" s="1"/>
  <c r="CB261" i="9" s="1"/>
  <c r="HB269" i="9"/>
  <c r="HD269" i="9"/>
  <c r="CB269" i="9" s="1"/>
  <c r="HB277" i="9"/>
  <c r="HD277" i="9"/>
  <c r="CB277" i="9" s="1"/>
  <c r="HB285" i="9"/>
  <c r="HD285" i="9" s="1"/>
  <c r="CB285" i="9" s="1"/>
  <c r="HB293" i="9"/>
  <c r="HD293" i="9" s="1"/>
  <c r="CB293" i="9" s="1"/>
  <c r="HB301" i="9"/>
  <c r="HD301" i="9"/>
  <c r="CB301" i="9" s="1"/>
  <c r="HB309" i="9"/>
  <c r="HD309" i="9" s="1"/>
  <c r="CB309" i="9" s="1"/>
  <c r="HB317" i="9"/>
  <c r="HD317" i="9" s="1"/>
  <c r="CB317" i="9" s="1"/>
  <c r="HB325" i="9"/>
  <c r="HD325" i="9" s="1"/>
  <c r="CB325" i="9" s="1"/>
  <c r="HB333" i="9"/>
  <c r="HD333" i="9" s="1"/>
  <c r="HB341" i="9"/>
  <c r="HD341" i="9" s="1"/>
  <c r="HB349" i="9"/>
  <c r="HD349" i="9" s="1"/>
  <c r="HB357" i="9"/>
  <c r="HD357" i="9" s="1"/>
  <c r="HB365" i="9"/>
  <c r="HD365" i="9" s="1"/>
  <c r="HB373" i="9"/>
  <c r="HD373" i="9" s="1"/>
  <c r="HB381" i="9"/>
  <c r="HD381" i="9" s="1"/>
  <c r="CB381" i="9" s="1"/>
  <c r="HB389" i="9"/>
  <c r="HD389" i="9" s="1"/>
  <c r="CB389" i="9" s="1"/>
  <c r="HB397" i="9"/>
  <c r="HD397" i="9" s="1"/>
  <c r="CB397" i="9" s="1"/>
  <c r="HB405" i="9"/>
  <c r="HD405" i="9" s="1"/>
  <c r="CB405" i="9" s="1"/>
  <c r="HB413" i="9"/>
  <c r="HD413" i="9" s="1"/>
  <c r="CB413" i="9" s="1"/>
  <c r="HB421" i="9"/>
  <c r="HD421" i="9" s="1"/>
  <c r="CB421" i="9" s="1"/>
  <c r="HB429" i="9"/>
  <c r="HD429" i="9" s="1"/>
  <c r="CB429" i="9" s="1"/>
  <c r="HB437" i="9"/>
  <c r="HD437" i="9" s="1"/>
  <c r="HB445" i="9"/>
  <c r="HD445" i="9" s="1"/>
  <c r="CB445" i="9" s="1"/>
  <c r="HB453" i="9"/>
  <c r="HD453" i="9" s="1"/>
  <c r="HB461" i="9"/>
  <c r="HD461" i="9" s="1"/>
  <c r="HB469" i="9"/>
  <c r="HD469" i="9" s="1"/>
  <c r="HB477" i="9"/>
  <c r="HD477" i="9" s="1"/>
  <c r="HB485" i="9"/>
  <c r="HD485" i="9" s="1"/>
  <c r="HB493" i="9"/>
  <c r="HD493" i="9" s="1"/>
  <c r="HB501" i="9"/>
  <c r="HD501" i="9" s="1"/>
  <c r="CB501" i="9" s="1"/>
  <c r="HB509" i="9"/>
  <c r="HD509" i="9" s="1"/>
  <c r="CB509" i="9" s="1"/>
  <c r="HB517" i="9"/>
  <c r="HD517" i="9" s="1"/>
  <c r="CB517" i="9" s="1"/>
  <c r="HB525" i="9"/>
  <c r="HD525" i="9" s="1"/>
  <c r="CB525" i="9" s="1"/>
  <c r="HB533" i="9"/>
  <c r="HD533" i="9" s="1"/>
  <c r="CB533" i="9" s="1"/>
  <c r="HB541" i="9"/>
  <c r="HD541" i="9" s="1"/>
  <c r="HB549" i="9"/>
  <c r="HD549" i="9" s="1"/>
  <c r="CB549" i="9" s="1"/>
  <c r="HB557" i="9"/>
  <c r="HD557" i="9" s="1"/>
  <c r="CB557" i="9" s="1"/>
  <c r="HB565" i="9"/>
  <c r="HD565" i="9" s="1"/>
  <c r="CB565" i="9" s="1"/>
  <c r="HB573" i="9"/>
  <c r="HD573" i="9"/>
  <c r="HB581" i="9"/>
  <c r="HD581" i="9" s="1"/>
  <c r="HB589" i="9"/>
  <c r="HD589" i="9" s="1"/>
  <c r="HB597" i="9"/>
  <c r="HD597" i="9"/>
  <c r="HB605" i="9"/>
  <c r="HD605" i="9" s="1"/>
  <c r="HB613" i="9"/>
  <c r="HD613" i="9" s="1"/>
  <c r="HB621" i="9"/>
  <c r="HD621" i="9" s="1"/>
  <c r="HB629" i="9"/>
  <c r="HD629" i="9" s="1"/>
  <c r="HB637" i="9"/>
  <c r="HD637" i="9" s="1"/>
  <c r="HB645" i="9"/>
  <c r="HD645" i="9" s="1"/>
  <c r="HB653" i="9"/>
  <c r="HD653" i="9" s="1"/>
  <c r="HB661" i="9"/>
  <c r="HD661" i="9" s="1"/>
  <c r="HB669" i="9"/>
  <c r="HD669" i="9" s="1"/>
  <c r="HB677" i="9"/>
  <c r="HD677" i="9" s="1"/>
  <c r="HB685" i="9"/>
  <c r="HD685" i="9" s="1"/>
  <c r="CE657" i="9"/>
  <c r="HB46" i="9"/>
  <c r="HD46" i="9" s="1"/>
  <c r="CB46" i="9" s="1"/>
  <c r="HB110" i="9"/>
  <c r="HD110" i="9" s="1"/>
  <c r="HB302" i="9"/>
  <c r="HD302" i="9" s="1"/>
  <c r="CB302" i="9" s="1"/>
  <c r="HB366" i="9"/>
  <c r="HD366" i="9"/>
  <c r="HB430" i="9"/>
  <c r="HD430" i="9" s="1"/>
  <c r="CB430" i="9" s="1"/>
  <c r="HB494" i="9"/>
  <c r="HD494" i="9" s="1"/>
  <c r="HB558" i="9"/>
  <c r="HD558" i="9" s="1"/>
  <c r="CB558" i="9" s="1"/>
  <c r="HB622" i="9"/>
  <c r="HD622" i="9" s="1"/>
  <c r="HB686" i="9"/>
  <c r="HD686" i="9" s="1"/>
  <c r="HB54" i="9"/>
  <c r="HD54" i="9" s="1"/>
  <c r="CB54" i="9" s="1"/>
  <c r="HB118" i="9"/>
  <c r="HD118" i="9"/>
  <c r="HB310" i="9"/>
  <c r="HD310" i="9" s="1"/>
  <c r="CB310" i="9" s="1"/>
  <c r="HB374" i="9"/>
  <c r="HD374" i="9" s="1"/>
  <c r="HB438" i="9"/>
  <c r="HD438" i="9" s="1"/>
  <c r="CB438" i="9" s="1"/>
  <c r="HB502" i="9"/>
  <c r="HD502" i="9" s="1"/>
  <c r="CB502" i="9" s="1"/>
  <c r="HB566" i="9"/>
  <c r="HD566" i="9" s="1"/>
  <c r="CB566" i="9" s="1"/>
  <c r="HB630" i="9"/>
  <c r="HD630" i="9" s="1"/>
  <c r="HB102" i="9"/>
  <c r="HD102" i="9" s="1"/>
  <c r="HB62" i="9"/>
  <c r="HD62" i="9" s="1"/>
  <c r="CB62" i="9" s="1"/>
  <c r="HB126" i="9"/>
  <c r="HD126" i="9" s="1"/>
  <c r="HB318" i="9"/>
  <c r="HD318" i="9" s="1"/>
  <c r="HB382" i="9"/>
  <c r="HD382" i="9" s="1"/>
  <c r="CB382" i="9" s="1"/>
  <c r="HB446" i="9"/>
  <c r="HD446" i="9" s="1"/>
  <c r="CB446" i="9" s="1"/>
  <c r="HB510" i="9"/>
  <c r="HD510" i="9"/>
  <c r="CB510" i="9" s="1"/>
  <c r="HB574" i="9"/>
  <c r="HD574" i="9" s="1"/>
  <c r="HB638" i="9"/>
  <c r="HD638" i="9" s="1"/>
  <c r="HB486" i="9"/>
  <c r="HD486" i="9" s="1"/>
  <c r="HB614" i="9"/>
  <c r="HD614" i="9" s="1"/>
  <c r="HB70" i="9"/>
  <c r="HD70" i="9" s="1"/>
  <c r="CB70" i="9" s="1"/>
  <c r="CB198" i="9"/>
  <c r="HB262" i="9"/>
  <c r="HD262" i="9" s="1"/>
  <c r="CB262" i="9" s="1"/>
  <c r="HB326" i="9"/>
  <c r="HD326" i="9" s="1"/>
  <c r="CB326" i="9" s="1"/>
  <c r="HB390" i="9"/>
  <c r="HD390" i="9" s="1"/>
  <c r="CB390" i="9" s="1"/>
  <c r="HB454" i="9"/>
  <c r="HD454" i="9"/>
  <c r="HB518" i="9"/>
  <c r="HD518" i="9" s="1"/>
  <c r="CB518" i="9" s="1"/>
  <c r="HB582" i="9"/>
  <c r="HD582" i="9" s="1"/>
  <c r="HB14" i="9"/>
  <c r="HD14" i="9" s="1"/>
  <c r="CB14" i="9" s="1"/>
  <c r="HB78" i="9"/>
  <c r="HD78" i="9" s="1"/>
  <c r="CB78" i="9" s="1"/>
  <c r="CB206" i="9"/>
  <c r="HB270" i="9"/>
  <c r="HD270" i="9"/>
  <c r="CB270" i="9" s="1"/>
  <c r="HB334" i="9"/>
  <c r="HD334" i="9" s="1"/>
  <c r="HB398" i="9"/>
  <c r="HD398" i="9" s="1"/>
  <c r="CB398" i="9" s="1"/>
  <c r="HB462" i="9"/>
  <c r="HD462" i="9" s="1"/>
  <c r="HB526" i="9"/>
  <c r="HD526" i="9" s="1"/>
  <c r="HB590" i="9"/>
  <c r="HD590" i="9" s="1"/>
  <c r="HB654" i="9"/>
  <c r="HD654" i="9" s="1"/>
  <c r="HB38" i="9"/>
  <c r="HD38" i="9" s="1"/>
  <c r="CB38" i="9" s="1"/>
  <c r="HB22" i="9"/>
  <c r="HD22" i="9" s="1"/>
  <c r="CB22" i="9" s="1"/>
  <c r="HB86" i="9"/>
  <c r="HD86" i="9" s="1"/>
  <c r="CB86" i="9" s="1"/>
  <c r="HB278" i="9"/>
  <c r="HD278" i="9" s="1"/>
  <c r="CB278" i="9" s="1"/>
  <c r="HB342" i="9"/>
  <c r="HD342" i="9" s="1"/>
  <c r="HB406" i="9"/>
  <c r="HD406" i="9" s="1"/>
  <c r="CB406" i="9" s="1"/>
  <c r="HB470" i="9"/>
  <c r="HD470" i="9"/>
  <c r="HB534" i="9"/>
  <c r="HD534" i="9" s="1"/>
  <c r="CB534" i="9" s="1"/>
  <c r="HB598" i="9"/>
  <c r="HD598" i="9" s="1"/>
  <c r="HB662" i="9"/>
  <c r="HD662" i="9" s="1"/>
  <c r="HB30" i="9"/>
  <c r="HD30" i="9" s="1"/>
  <c r="CB30" i="9" s="1"/>
  <c r="HB94" i="9"/>
  <c r="HD94" i="9" s="1"/>
  <c r="HB286" i="9"/>
  <c r="HD286" i="9" s="1"/>
  <c r="CB286" i="9" s="1"/>
  <c r="HB350" i="9"/>
  <c r="HD350" i="9" s="1"/>
  <c r="HB414" i="9"/>
  <c r="HD414" i="9" s="1"/>
  <c r="CB414" i="9" s="1"/>
  <c r="HB478" i="9"/>
  <c r="HD478" i="9"/>
  <c r="HB542" i="9"/>
  <c r="HD542" i="9" s="1"/>
  <c r="CB542" i="9" s="1"/>
  <c r="HB606" i="9"/>
  <c r="HD606" i="9" s="1"/>
  <c r="HB670" i="9"/>
  <c r="HD670" i="9" s="1"/>
  <c r="HB294" i="9"/>
  <c r="HD294" i="9" s="1"/>
  <c r="CB294" i="9" s="1"/>
  <c r="HB358" i="9"/>
  <c r="HD358" i="9" s="1"/>
  <c r="HB422" i="9"/>
  <c r="HD422" i="9" s="1"/>
  <c r="HB550" i="9"/>
  <c r="HD550" i="9" s="1"/>
  <c r="CB550" i="9" s="1"/>
  <c r="AJ25" i="12"/>
  <c r="AJ26" i="12"/>
  <c r="BN318" i="3" a="1"/>
  <c r="BN318" i="3" s="1"/>
  <c r="BK318" i="3" s="1"/>
  <c r="GQ268" i="9"/>
  <c r="GR268" i="9" s="1"/>
  <c r="GS268" i="9" s="1"/>
  <c r="GT268" i="9" s="1"/>
  <c r="GU268" i="9" s="1"/>
  <c r="GV268" i="9" s="1"/>
  <c r="DC9" i="10"/>
  <c r="DC12" i="10"/>
  <c r="DC21" i="10"/>
  <c r="CA281" i="10" a="1"/>
  <c r="CA281" i="10"/>
  <c r="CZ281" i="10"/>
  <c r="CA285" i="10" a="1"/>
  <c r="CA285" i="10"/>
  <c r="CZ285" i="10"/>
  <c r="ED66" i="12" a="1"/>
  <c r="ED66" i="12"/>
  <c r="CO95" i="5" a="1"/>
  <c r="CO95" i="5"/>
  <c r="CO103" i="5" a="1"/>
  <c r="CO103" i="5"/>
  <c r="CO108" i="5" a="1"/>
  <c r="CO108" i="5"/>
  <c r="CO126" i="5" a="1"/>
  <c r="CO126" i="5"/>
  <c r="CO132" i="5" a="1"/>
  <c r="CO132" i="5"/>
  <c r="CO152" i="5" a="1"/>
  <c r="CO152" i="5"/>
  <c r="CO159" i="5" a="1"/>
  <c r="CO159" i="5"/>
  <c r="CO162" i="5" a="1"/>
  <c r="CO162" i="5"/>
  <c r="CO178" i="5" a="1"/>
  <c r="CO178" i="5"/>
  <c r="CO186" i="5" a="1"/>
  <c r="CO186" i="5"/>
  <c r="CO192" i="5" a="1"/>
  <c r="CO192" i="5"/>
  <c r="CO200" i="5" a="1"/>
  <c r="CO200" i="5"/>
  <c r="CO207" i="5" a="1"/>
  <c r="CO207" i="5"/>
  <c r="CO325" i="5" a="1"/>
  <c r="CO325" i="5"/>
  <c r="CO348" i="5" a="1"/>
  <c r="CO348" i="5"/>
  <c r="CO375" i="5" a="1"/>
  <c r="CO375" i="5"/>
  <c r="CO395" i="5" a="1"/>
  <c r="CO395" i="5"/>
  <c r="CO404" i="5" a="1"/>
  <c r="CO404" i="5"/>
  <c r="CO459" i="5" a="1"/>
  <c r="CO459" i="5"/>
  <c r="CO467" i="5" a="1"/>
  <c r="CO467" i="5"/>
  <c r="N65" i="11"/>
  <c r="Q15" i="11" s="1"/>
  <c r="K66" i="11"/>
  <c r="K98" i="11"/>
  <c r="BI38" i="11" s="1"/>
  <c r="K19" i="11"/>
  <c r="K51" i="11"/>
  <c r="K27" i="11"/>
  <c r="K59" i="11"/>
  <c r="K67" i="11"/>
  <c r="K99" i="11"/>
  <c r="K75" i="11"/>
  <c r="K91" i="11" s="1"/>
  <c r="BI33" i="11" s="1"/>
  <c r="K20" i="11"/>
  <c r="K52" i="11"/>
  <c r="K15" i="11"/>
  <c r="K115" i="11" s="1"/>
  <c r="BF9" i="11" s="1"/>
  <c r="K65" i="11"/>
  <c r="K81" i="11"/>
  <c r="K68" i="11"/>
  <c r="K100" i="11"/>
  <c r="K76" i="11"/>
  <c r="K108" i="11" s="1"/>
  <c r="BI48" i="11" s="1"/>
  <c r="K21" i="11"/>
  <c r="K37" i="11"/>
  <c r="K69" i="11"/>
  <c r="K85" i="11"/>
  <c r="K77" i="11"/>
  <c r="K109" i="11"/>
  <c r="K22" i="11"/>
  <c r="L22" i="11" s="1"/>
  <c r="K23" i="11"/>
  <c r="K39" i="11"/>
  <c r="K139" i="11" s="1"/>
  <c r="BF31" i="11" s="1"/>
  <c r="K70" i="11"/>
  <c r="K86" i="11"/>
  <c r="K71" i="11"/>
  <c r="K103" i="11" s="1"/>
  <c r="BI43" i="11" s="1"/>
  <c r="K16" i="11"/>
  <c r="K32" i="11"/>
  <c r="K24" i="11"/>
  <c r="K40" i="11"/>
  <c r="K140" i="11"/>
  <c r="BF32" i="11"/>
  <c r="K17" i="11"/>
  <c r="K117" i="11" s="1"/>
  <c r="BF11" i="11" s="1"/>
  <c r="K25" i="11"/>
  <c r="K57" i="11" s="1"/>
  <c r="K72" i="11"/>
  <c r="K88" i="11"/>
  <c r="K73" i="11"/>
  <c r="BI17" i="11" s="1"/>
  <c r="K18" i="11"/>
  <c r="K50" i="11" s="1"/>
  <c r="K26" i="11"/>
  <c r="K58" i="11"/>
  <c r="K74" i="11"/>
  <c r="K106" i="11"/>
  <c r="N27" i="11"/>
  <c r="O27" i="11" s="1"/>
  <c r="N75" i="11"/>
  <c r="Q75" i="11" s="1"/>
  <c r="N70" i="11"/>
  <c r="BI56" i="11" s="1"/>
  <c r="BB324" i="11"/>
  <c r="DH10" i="10"/>
  <c r="DH35" i="10" s="1"/>
  <c r="DH60" i="10" s="1"/>
  <c r="DH85" i="10" s="1"/>
  <c r="DH110" i="10" s="1"/>
  <c r="DH135" i="10" s="1"/>
  <c r="DH160" i="10" s="1"/>
  <c r="DH185" i="10" s="1"/>
  <c r="DH210" i="10" s="1"/>
  <c r="DH235" i="10" s="1"/>
  <c r="DH260" i="10" s="1"/>
  <c r="DH285" i="10" s="1"/>
  <c r="DH310" i="10" s="1"/>
  <c r="DH335" i="10" s="1"/>
  <c r="DH360" i="10" s="1"/>
  <c r="DH385" i="10" s="1"/>
  <c r="DH410" i="10" s="1"/>
  <c r="N26" i="11"/>
  <c r="N176" i="11" s="1"/>
  <c r="BG62" i="11" s="1"/>
  <c r="N17" i="11"/>
  <c r="N117" i="11"/>
  <c r="BF53" i="11" s="1"/>
  <c r="N19" i="11"/>
  <c r="O19" i="11"/>
  <c r="O169" i="11" s="1"/>
  <c r="BK55" i="11" s="1"/>
  <c r="N22" i="11"/>
  <c r="N77" i="11"/>
  <c r="BI63" i="11"/>
  <c r="BF64" i="11"/>
  <c r="N72" i="11"/>
  <c r="BI58" i="11" s="1"/>
  <c r="BB329" i="11"/>
  <c r="DH15" i="10" s="1"/>
  <c r="DH40" i="10" s="1"/>
  <c r="DH65" i="10" s="1"/>
  <c r="DH90" i="10" s="1"/>
  <c r="DH115" i="10" s="1"/>
  <c r="DH140" i="10" s="1"/>
  <c r="DH165" i="10" s="1"/>
  <c r="DH190" i="10" s="1"/>
  <c r="DH215" i="10" s="1"/>
  <c r="DH240" i="10" s="1"/>
  <c r="DH265" i="10" s="1"/>
  <c r="DH290" i="10" s="1"/>
  <c r="DH315" i="10" s="1"/>
  <c r="DH340" i="10" s="1"/>
  <c r="DH365" i="10" s="1"/>
  <c r="DH390" i="10" s="1"/>
  <c r="DH415" i="10" s="1"/>
  <c r="N21" i="11"/>
  <c r="N171" i="11" s="1"/>
  <c r="BG57" i="11" s="1"/>
  <c r="N25" i="11"/>
  <c r="N125" i="11"/>
  <c r="BF61" i="11"/>
  <c r="N20" i="11"/>
  <c r="N170" i="11"/>
  <c r="BG56" i="11"/>
  <c r="N74" i="11"/>
  <c r="Q24" i="11" s="1"/>
  <c r="N67" i="11"/>
  <c r="Q17" i="11"/>
  <c r="N18" i="11"/>
  <c r="N168" i="11"/>
  <c r="BG54" i="11"/>
  <c r="N76" i="11"/>
  <c r="Q76" i="11"/>
  <c r="N15" i="11"/>
  <c r="N115" i="11"/>
  <c r="BF51" i="11"/>
  <c r="N23" i="11"/>
  <c r="N68" i="11"/>
  <c r="Q68" i="11" s="1"/>
  <c r="N66" i="11"/>
  <c r="Q66" i="11"/>
  <c r="T16" i="11"/>
  <c r="N69" i="11"/>
  <c r="BI55" i="11" s="1"/>
  <c r="N24" i="11"/>
  <c r="N71" i="11"/>
  <c r="Q71" i="11" s="1"/>
  <c r="N16" i="11"/>
  <c r="N166" i="11" s="1"/>
  <c r="BG52" i="11" s="1"/>
  <c r="CP12" i="12"/>
  <c r="CQ12" i="12"/>
  <c r="Z35" i="12"/>
  <c r="BM31" i="12" s="1"/>
  <c r="BM33" i="12" s="1"/>
  <c r="Y29" i="12"/>
  <c r="BL37" i="12" s="1"/>
  <c r="BL39" i="12" s="1"/>
  <c r="Y31" i="12"/>
  <c r="Z31" i="12" s="1"/>
  <c r="Z33" i="12" s="1"/>
  <c r="Y30" i="12"/>
  <c r="Z30" i="12" s="1"/>
  <c r="GM64" i="9"/>
  <c r="HG64" i="9"/>
  <c r="CE64" i="9" s="1"/>
  <c r="GD614" i="9"/>
  <c r="GE614" i="9" s="1"/>
  <c r="GF614" i="9" s="1"/>
  <c r="GG614" i="9" s="1"/>
  <c r="GH614" i="9" s="1"/>
  <c r="GI614" i="9" s="1"/>
  <c r="GK287" i="9"/>
  <c r="HE287" i="9" s="1"/>
  <c r="CC287" i="9" s="1"/>
  <c r="GM277" i="9"/>
  <c r="HG277" i="9" s="1"/>
  <c r="CE277" i="9" s="1"/>
  <c r="GM284" i="9"/>
  <c r="HG284" i="9" s="1"/>
  <c r="CE284" i="9" s="1"/>
  <c r="GM60" i="9"/>
  <c r="HG60" i="9" s="1"/>
  <c r="CE60" i="9" s="1"/>
  <c r="GQ605" i="9"/>
  <c r="GR605" i="9"/>
  <c r="GS605" i="9" s="1"/>
  <c r="GT605" i="9" s="1"/>
  <c r="GU605" i="9" s="1"/>
  <c r="GV605" i="9" s="1"/>
  <c r="GW605" i="9" s="1"/>
  <c r="HF605" i="9" s="1"/>
  <c r="BX186" i="9"/>
  <c r="BV202" i="9"/>
  <c r="D195" i="9"/>
  <c r="BV195" i="9"/>
  <c r="BV201" i="9"/>
  <c r="BV196" i="9"/>
  <c r="BV198" i="9"/>
  <c r="BV205" i="9"/>
  <c r="BV197" i="9"/>
  <c r="BV204" i="9"/>
  <c r="BV203" i="9"/>
  <c r="BV199" i="9"/>
  <c r="BV200" i="9"/>
  <c r="BV208" i="9"/>
  <c r="BV206" i="9"/>
  <c r="GQ92" i="9"/>
  <c r="GR92" i="9" s="1"/>
  <c r="GS92" i="9" s="1"/>
  <c r="GT92" i="9" s="1"/>
  <c r="GU92" i="9" s="1"/>
  <c r="GV92" i="9" s="1"/>
  <c r="BV616" i="9"/>
  <c r="BV497" i="9"/>
  <c r="BV259" i="9"/>
  <c r="GQ589" i="9"/>
  <c r="GR589" i="9"/>
  <c r="GS589" i="9" s="1"/>
  <c r="GT589" i="9" s="1"/>
  <c r="GU589" i="9" s="1"/>
  <c r="GV589" i="9" s="1"/>
  <c r="GQ110" i="9"/>
  <c r="GR110" i="9" s="1"/>
  <c r="GS110" i="9" s="1"/>
  <c r="GT110" i="9" s="1"/>
  <c r="GU110" i="9" s="1"/>
  <c r="GV110" i="9" s="1"/>
  <c r="GK426" i="9"/>
  <c r="HE426" i="9" s="1"/>
  <c r="CC426" i="9" s="1"/>
  <c r="GM393" i="9"/>
  <c r="HG393" i="9"/>
  <c r="CE393" i="9" s="1"/>
  <c r="GM399" i="9"/>
  <c r="HG399" i="9" s="1"/>
  <c r="CE399" i="9" s="1"/>
  <c r="GK413" i="9"/>
  <c r="HE413" i="9" s="1"/>
  <c r="CC413" i="9" s="1"/>
  <c r="GK417" i="9"/>
  <c r="HE417" i="9" s="1"/>
  <c r="CC417" i="9" s="1"/>
  <c r="GM421" i="9"/>
  <c r="HG421" i="9" s="1"/>
  <c r="CE421" i="9" s="1"/>
  <c r="GM415" i="9"/>
  <c r="HG415" i="9" s="1"/>
  <c r="CE415" i="9" s="1"/>
  <c r="GM419" i="9"/>
  <c r="HG419" i="9" s="1"/>
  <c r="CE419" i="9" s="1"/>
  <c r="GK435" i="9"/>
  <c r="HE435" i="9" s="1"/>
  <c r="CC435" i="9" s="1"/>
  <c r="GM502" i="9"/>
  <c r="HG502" i="9" s="1"/>
  <c r="CE502" i="9" s="1"/>
  <c r="BX49" i="9"/>
  <c r="BW547" i="9" a="1"/>
  <c r="BW547" i="9" s="1"/>
  <c r="AZ309" i="9"/>
  <c r="BW666" i="9" a="1"/>
  <c r="BW666" i="9"/>
  <c r="BW552" i="9" a="1"/>
  <c r="BW552" i="9" s="1"/>
  <c r="AZ314" i="9"/>
  <c r="BW671" i="9" s="1" a="1"/>
  <c r="BW671" i="9" s="1"/>
  <c r="CC203" i="9"/>
  <c r="GM378" i="9"/>
  <c r="HG378" i="9" s="1"/>
  <c r="CE378" i="9" s="1"/>
  <c r="GM84" i="9"/>
  <c r="HG84" i="9" s="1"/>
  <c r="CE84" i="9" s="1"/>
  <c r="BW504" i="9" a="1"/>
  <c r="BW504" i="9" s="1"/>
  <c r="AZ266" i="9"/>
  <c r="BW623" i="9" s="1" a="1"/>
  <c r="BW623" i="9" s="1"/>
  <c r="GM304" i="9"/>
  <c r="HG304" i="9" s="1"/>
  <c r="CE304" i="9" s="1"/>
  <c r="BV86" i="9"/>
  <c r="BV80" i="9"/>
  <c r="BV75" i="9"/>
  <c r="BV84" i="9"/>
  <c r="BV81" i="9"/>
  <c r="BV85" i="9"/>
  <c r="BV76" i="9"/>
  <c r="BV79" i="9"/>
  <c r="BV82" i="9"/>
  <c r="BV78" i="9"/>
  <c r="GQ74" i="9"/>
  <c r="GR74" i="9" s="1"/>
  <c r="GS74" i="9" s="1"/>
  <c r="GT74" i="9" s="1"/>
  <c r="GU74" i="9" s="1"/>
  <c r="GV74" i="9" s="1"/>
  <c r="BW500" i="9" a="1"/>
  <c r="BW500" i="9"/>
  <c r="AZ262" i="9"/>
  <c r="BW619" i="9" s="1" a="1"/>
  <c r="BW619" i="9" s="1"/>
  <c r="GK78" i="9"/>
  <c r="HE78" i="9"/>
  <c r="CC78" i="9" s="1"/>
  <c r="GM63" i="9"/>
  <c r="HG63" i="9" s="1"/>
  <c r="CE63" i="9" s="1"/>
  <c r="GM36" i="9"/>
  <c r="HG36" i="9" s="1"/>
  <c r="CE36" i="9" s="1"/>
  <c r="GY32" i="9"/>
  <c r="GZ32" i="9" s="1"/>
  <c r="HH32" i="9" s="1"/>
  <c r="CF32" i="9" s="1"/>
  <c r="GK17" i="9"/>
  <c r="HE17" i="9" s="1"/>
  <c r="CC17" i="9" s="1"/>
  <c r="GK301" i="9"/>
  <c r="HE301" i="9"/>
  <c r="CC301" i="9" s="1"/>
  <c r="GY280" i="9"/>
  <c r="GZ280" i="9" s="1"/>
  <c r="HH280" i="9" s="1"/>
  <c r="CF280" i="9" s="1"/>
  <c r="GY299" i="9"/>
  <c r="GZ299" i="9" s="1"/>
  <c r="HH299" i="9" s="1"/>
  <c r="CF299" i="9" s="1"/>
  <c r="GK328" i="9"/>
  <c r="HE328" i="9" s="1"/>
  <c r="CC328" i="9" s="1"/>
  <c r="GM309" i="9"/>
  <c r="HG309" i="9"/>
  <c r="CE309" i="9" s="1"/>
  <c r="GM687" i="9"/>
  <c r="HG687" i="9" s="1"/>
  <c r="GM668" i="9"/>
  <c r="HG668" i="9" s="1"/>
  <c r="GQ48" i="9"/>
  <c r="GR48" i="9" s="1"/>
  <c r="GS48" i="9" s="1"/>
  <c r="GT48" i="9" s="1"/>
  <c r="GU48" i="9" s="1"/>
  <c r="GV48" i="9" s="1"/>
  <c r="BW540" i="9" a="1"/>
  <c r="BW540" i="9"/>
  <c r="AZ302" i="9"/>
  <c r="BW659" i="9" s="1" a="1"/>
  <c r="BW659" i="9"/>
  <c r="BW543" i="9" a="1"/>
  <c r="BW543" i="9" s="1"/>
  <c r="AZ305" i="9"/>
  <c r="BW662" i="9" s="1" a="1"/>
  <c r="BW662" i="9" s="1"/>
  <c r="BW551" i="9" a="1"/>
  <c r="BW551" i="9" s="1"/>
  <c r="AZ313" i="9"/>
  <c r="BW670" i="9" s="1" a="1"/>
  <c r="BW670" i="9" s="1"/>
  <c r="GK66" i="9"/>
  <c r="HE66" i="9" s="1"/>
  <c r="CC66" i="9" s="1"/>
  <c r="GK39" i="9"/>
  <c r="HE39" i="9" s="1"/>
  <c r="CC39" i="9" s="1"/>
  <c r="GQ280" i="9"/>
  <c r="GK519" i="9"/>
  <c r="HE519" i="9" s="1"/>
  <c r="CC519" i="9" s="1"/>
  <c r="GM498" i="9"/>
  <c r="HG498" i="9" s="1"/>
  <c r="CE498" i="9" s="1"/>
  <c r="GK525" i="9"/>
  <c r="HE525" i="9" s="1"/>
  <c r="CC525" i="9" s="1"/>
  <c r="GM545" i="9"/>
  <c r="HG545" i="9" s="1"/>
  <c r="CE545" i="9" s="1"/>
  <c r="GM563" i="9"/>
  <c r="HG563" i="9" s="1"/>
  <c r="CE563" i="9" s="1"/>
  <c r="GM642" i="9"/>
  <c r="HG642" i="9" s="1"/>
  <c r="GK643" i="9"/>
  <c r="HE643" i="9" s="1"/>
  <c r="GM651" i="9"/>
  <c r="HG651" i="9" s="1"/>
  <c r="GK680" i="9"/>
  <c r="HE680" i="9" s="1"/>
  <c r="BV158" i="9"/>
  <c r="BV151" i="9"/>
  <c r="BV152" i="9"/>
  <c r="BV155" i="9"/>
  <c r="BV153" i="9"/>
  <c r="BV160" i="9"/>
  <c r="D150" i="9"/>
  <c r="BV150" i="9" s="1"/>
  <c r="BV161" i="9"/>
  <c r="BW535" i="9" a="1"/>
  <c r="BW535" i="9"/>
  <c r="AZ297" i="9"/>
  <c r="BW654" i="9" s="1" a="1"/>
  <c r="BW654" i="9" s="1"/>
  <c r="GQ573" i="9"/>
  <c r="GR573" i="9" s="1"/>
  <c r="GS573" i="9" s="1"/>
  <c r="GT573" i="9" s="1"/>
  <c r="GU573" i="9" s="1"/>
  <c r="GV573" i="9" s="1"/>
  <c r="GM51" i="9"/>
  <c r="HG51" i="9"/>
  <c r="CE51" i="9" s="1"/>
  <c r="GM274" i="9"/>
  <c r="HG274" i="9"/>
  <c r="CE274" i="9" s="1"/>
  <c r="GM281" i="9"/>
  <c r="HG281" i="9" s="1"/>
  <c r="CE281" i="9" s="1"/>
  <c r="GK431" i="9"/>
  <c r="HE431" i="9"/>
  <c r="CC431" i="9" s="1"/>
  <c r="GK528" i="9"/>
  <c r="HE528" i="9" s="1"/>
  <c r="CC528" i="9" s="1"/>
  <c r="GK555" i="9"/>
  <c r="HE555" i="9"/>
  <c r="CC555" i="9" s="1"/>
  <c r="GM567" i="9"/>
  <c r="HG567" i="9" s="1"/>
  <c r="CE567" i="9" s="1"/>
  <c r="GM552" i="9"/>
  <c r="HG552" i="9" s="1"/>
  <c r="CE552" i="9" s="1"/>
  <c r="GM617" i="9"/>
  <c r="HG617" i="9" s="1"/>
  <c r="GK644" i="9"/>
  <c r="HE644" i="9" s="1"/>
  <c r="GK684" i="9"/>
  <c r="HE684" i="9" s="1"/>
  <c r="BV393" i="9"/>
  <c r="BV274" i="9"/>
  <c r="BW523" i="9" a="1"/>
  <c r="BW523" i="9"/>
  <c r="AZ285" i="9"/>
  <c r="BW642" i="9" a="1"/>
  <c r="BW642" i="9" s="1"/>
  <c r="GQ124" i="9"/>
  <c r="GR124" i="9" s="1"/>
  <c r="GS124" i="9" s="1"/>
  <c r="GT124" i="9" s="1"/>
  <c r="GU124" i="9" s="1"/>
  <c r="GV124" i="9" s="1"/>
  <c r="GY306" i="9"/>
  <c r="GZ306" i="9" s="1"/>
  <c r="HH306" i="9" s="1"/>
  <c r="CF306" i="9" s="1"/>
  <c r="GY275" i="9"/>
  <c r="GZ275" i="9" s="1"/>
  <c r="HH275" i="9" s="1"/>
  <c r="CF275" i="9" s="1"/>
  <c r="GY510" i="9"/>
  <c r="GZ510" i="9" s="1"/>
  <c r="HH510" i="9" s="1"/>
  <c r="CF510" i="9" s="1"/>
  <c r="GY565" i="9"/>
  <c r="GZ565" i="9" s="1"/>
  <c r="HH565" i="9" s="1"/>
  <c r="CF565" i="9" s="1"/>
  <c r="GY65" i="9"/>
  <c r="GZ65" i="9" s="1"/>
  <c r="HH65" i="9" s="1"/>
  <c r="CF65" i="9" s="1"/>
  <c r="GQ51" i="9"/>
  <c r="GR51" i="9" s="1"/>
  <c r="GS51" i="9" s="1"/>
  <c r="GT51" i="9" s="1"/>
  <c r="GU51" i="9" s="1"/>
  <c r="GV51" i="9" s="1"/>
  <c r="GY81" i="9"/>
  <c r="GZ81" i="9" s="1"/>
  <c r="HH81" i="9" s="1"/>
  <c r="CF81" i="9" s="1"/>
  <c r="GY321" i="9"/>
  <c r="GZ321" i="9" s="1"/>
  <c r="HH321" i="9" s="1"/>
  <c r="CF321" i="9" s="1"/>
  <c r="GY627" i="9"/>
  <c r="GZ627" i="9" s="1"/>
  <c r="HH627" i="9" s="1"/>
  <c r="GY80" i="9"/>
  <c r="GZ80" i="9" s="1"/>
  <c r="HH80" i="9" s="1"/>
  <c r="CF80" i="9" s="1"/>
  <c r="GY58" i="9"/>
  <c r="GZ58" i="9" s="1"/>
  <c r="HH58" i="9" s="1"/>
  <c r="CF58" i="9" s="1"/>
  <c r="GY26" i="9"/>
  <c r="GZ26" i="9" s="1"/>
  <c r="HH26" i="9" s="1"/>
  <c r="CF26" i="9" s="1"/>
  <c r="GY15" i="9"/>
  <c r="GZ15" i="9" s="1"/>
  <c r="HH15" i="9" s="1"/>
  <c r="CF15" i="9" s="1"/>
  <c r="GY416" i="9"/>
  <c r="GZ416" i="9" s="1"/>
  <c r="HH416" i="9" s="1"/>
  <c r="CF416" i="9" s="1"/>
  <c r="GQ511" i="9"/>
  <c r="GR511" i="9" s="1"/>
  <c r="GS511" i="9" s="1"/>
  <c r="GT511" i="9" s="1"/>
  <c r="GU511" i="9" s="1"/>
  <c r="GV511" i="9" s="1"/>
  <c r="GW511" i="9" s="1"/>
  <c r="HF511" i="9" s="1"/>
  <c r="GQ556" i="9"/>
  <c r="GR556" i="9" s="1"/>
  <c r="GS556" i="9" s="1"/>
  <c r="GT556" i="9" s="1"/>
  <c r="GU556" i="9" s="1"/>
  <c r="GV556" i="9" s="1"/>
  <c r="GQ615" i="9"/>
  <c r="GR615" i="9" s="1"/>
  <c r="GS615" i="9" s="1"/>
  <c r="GT615" i="9" s="1"/>
  <c r="GU615" i="9" s="1"/>
  <c r="GV615" i="9" s="1"/>
  <c r="GW615" i="9" s="1"/>
  <c r="HF615" i="9" s="1"/>
  <c r="GM58" i="9"/>
  <c r="HG58" i="9" s="1"/>
  <c r="CE58" i="9" s="1"/>
  <c r="GY31" i="9"/>
  <c r="GZ31" i="9" s="1"/>
  <c r="HH31" i="9" s="1"/>
  <c r="CF31" i="9" s="1"/>
  <c r="GY315" i="9"/>
  <c r="GZ315" i="9"/>
  <c r="HH315" i="9" s="1"/>
  <c r="CF315" i="9" s="1"/>
  <c r="GY279" i="9"/>
  <c r="GZ279" i="9" s="1"/>
  <c r="HH279" i="9" s="1"/>
  <c r="CF279" i="9" s="1"/>
  <c r="GY330" i="9"/>
  <c r="GZ330" i="9" s="1"/>
  <c r="HH330" i="9" s="1"/>
  <c r="CF330" i="9" s="1"/>
  <c r="GY411" i="9"/>
  <c r="GZ411" i="9" s="1"/>
  <c r="HH411" i="9" s="1"/>
  <c r="CF411" i="9" s="1"/>
  <c r="I390" i="9"/>
  <c r="HK390" i="9"/>
  <c r="GQ96" i="9"/>
  <c r="GR96" i="9" s="1"/>
  <c r="GS96" i="9" s="1"/>
  <c r="GT96" i="9" s="1"/>
  <c r="GU96" i="9" s="1"/>
  <c r="GV96" i="9" s="1"/>
  <c r="GY267" i="9"/>
  <c r="GZ267" i="9" s="1"/>
  <c r="HH267" i="9" s="1"/>
  <c r="CF267" i="9" s="1"/>
  <c r="GY319" i="9"/>
  <c r="GZ319" i="9" s="1"/>
  <c r="HH319" i="9" s="1"/>
  <c r="CF319" i="9" s="1"/>
  <c r="GY289" i="9"/>
  <c r="GZ289" i="9" s="1"/>
  <c r="HH289" i="9" s="1"/>
  <c r="CF289" i="9" s="1"/>
  <c r="GY524" i="9"/>
  <c r="GZ524" i="9" s="1"/>
  <c r="HH524" i="9" s="1"/>
  <c r="CF524" i="9" s="1"/>
  <c r="I389" i="9"/>
  <c r="HK389" i="9"/>
  <c r="GY56" i="9"/>
  <c r="GZ56" i="9" s="1"/>
  <c r="HH56" i="9" s="1"/>
  <c r="CF56" i="9" s="1"/>
  <c r="GY286" i="9"/>
  <c r="GZ286" i="9" s="1"/>
  <c r="HH286" i="9" s="1"/>
  <c r="CF286" i="9" s="1"/>
  <c r="GY287" i="9"/>
  <c r="GZ287" i="9" s="1"/>
  <c r="HH287" i="9" s="1"/>
  <c r="CF287" i="9" s="1"/>
  <c r="GZ617" i="9"/>
  <c r="HH617" i="9" s="1"/>
  <c r="BH53" i="11"/>
  <c r="O21" i="11"/>
  <c r="BL55" i="11"/>
  <c r="L19" i="11"/>
  <c r="L17" i="11"/>
  <c r="N119" i="11"/>
  <c r="BF55" i="11"/>
  <c r="CV264" i="10"/>
  <c r="AB68" i="10"/>
  <c r="CC205" i="9"/>
  <c r="GK291" i="9"/>
  <c r="HE291" i="9" s="1"/>
  <c r="CC291" i="9" s="1"/>
  <c r="GK298" i="9"/>
  <c r="HE298" i="9" s="1"/>
  <c r="CC298" i="9" s="1"/>
  <c r="GM533" i="9"/>
  <c r="HG533" i="9" s="1"/>
  <c r="CE533" i="9" s="1"/>
  <c r="GK560" i="9"/>
  <c r="HE560" i="9" s="1"/>
  <c r="CC560" i="9" s="1"/>
  <c r="GK683" i="9"/>
  <c r="HE683" i="9"/>
  <c r="EU33" i="12"/>
  <c r="BV37" i="12"/>
  <c r="BV12" i="12"/>
  <c r="BW12" i="12" s="1"/>
  <c r="EV42" i="12"/>
  <c r="EV22" i="12"/>
  <c r="ET47" i="12"/>
  <c r="ET39" i="12"/>
  <c r="ET31" i="12"/>
  <c r="ET23" i="12"/>
  <c r="ET15" i="12"/>
  <c r="BU15" i="12"/>
  <c r="EO27" i="12"/>
  <c r="BP31" i="12"/>
  <c r="CG31" i="12" s="1"/>
  <c r="CK31" i="12" s="1"/>
  <c r="ES40" i="12"/>
  <c r="BT44" i="12" s="1"/>
  <c r="BT17" i="12"/>
  <c r="BU17" i="12" s="1"/>
  <c r="ER44" i="12"/>
  <c r="ER36" i="12"/>
  <c r="ER28" i="12"/>
  <c r="ER20" i="12"/>
  <c r="ES48" i="12"/>
  <c r="BT52" i="12"/>
  <c r="ES24" i="12"/>
  <c r="BT28" i="12" s="1"/>
  <c r="BU28" i="12" s="1"/>
  <c r="EQ45" i="12"/>
  <c r="BR49" i="12" s="1"/>
  <c r="CI49" i="12" s="1"/>
  <c r="EQ37" i="12"/>
  <c r="BR41" i="12"/>
  <c r="CI41" i="12" s="1"/>
  <c r="EQ29" i="12"/>
  <c r="BR33" i="12" s="1"/>
  <c r="CI33" i="12" s="1"/>
  <c r="EQ21" i="12"/>
  <c r="BR25" i="12"/>
  <c r="CI25" i="12" s="1"/>
  <c r="EQ13" i="12"/>
  <c r="BR13" i="12" s="1"/>
  <c r="CI13" i="12" s="1"/>
  <c r="EV47" i="12"/>
  <c r="ES31" i="12"/>
  <c r="BT35" i="12" s="1"/>
  <c r="EP48" i="12"/>
  <c r="BQ52" i="12"/>
  <c r="CH52" i="12" s="1"/>
  <c r="EP40" i="12"/>
  <c r="BQ44" i="12" s="1"/>
  <c r="CH44" i="12" s="1"/>
  <c r="EP32" i="12"/>
  <c r="BQ36" i="12"/>
  <c r="CH36" i="12" s="1"/>
  <c r="EP24" i="12"/>
  <c r="BQ28" i="12" s="1"/>
  <c r="CH28" i="12" s="1"/>
  <c r="EP16" i="12"/>
  <c r="BQ16" i="12"/>
  <c r="CH16" i="12" s="1"/>
  <c r="BP17" i="12"/>
  <c r="CG17" i="12" s="1"/>
  <c r="CK17" i="12" s="1"/>
  <c r="EU29" i="12"/>
  <c r="BV33" i="12" s="1"/>
  <c r="EO47" i="12"/>
  <c r="BP51" i="12" s="1"/>
  <c r="CG51" i="12" s="1"/>
  <c r="CK51" i="12" s="1"/>
  <c r="EV37" i="12"/>
  <c r="EV20" i="12"/>
  <c r="ET46" i="12"/>
  <c r="ET38" i="12"/>
  <c r="BU42" i="12" s="1"/>
  <c r="ET30" i="12"/>
  <c r="ET22" i="12"/>
  <c r="ET14" i="12"/>
  <c r="EO24" i="12"/>
  <c r="BP28" i="12" s="1"/>
  <c r="CG28" i="12" s="1"/>
  <c r="CK28" i="12" s="1"/>
  <c r="ES38" i="12"/>
  <c r="BT42" i="12" s="1"/>
  <c r="ES15" i="12"/>
  <c r="BT15" i="12"/>
  <c r="ER43" i="12"/>
  <c r="BS47" i="12" s="1"/>
  <c r="CJ47" i="12" s="1"/>
  <c r="ER35" i="12"/>
  <c r="ER27" i="12"/>
  <c r="ER19" i="12"/>
  <c r="BS19" i="12"/>
  <c r="BS20" i="12" s="1"/>
  <c r="EO45" i="12"/>
  <c r="BP49" i="12" s="1"/>
  <c r="CG49" i="12" s="1"/>
  <c r="CK49" i="12" s="1"/>
  <c r="ES45" i="12"/>
  <c r="BT49" i="12" s="1"/>
  <c r="ES21" i="12"/>
  <c r="BT25" i="12"/>
  <c r="EQ44" i="12"/>
  <c r="BR48" i="12" s="1"/>
  <c r="CI48" i="12" s="1"/>
  <c r="EQ36" i="12"/>
  <c r="BR40" i="12"/>
  <c r="CI40" i="12" s="1"/>
  <c r="EQ28" i="12"/>
  <c r="BR32" i="12" s="1"/>
  <c r="CI32" i="12" s="1"/>
  <c r="EQ20" i="12"/>
  <c r="BR24" i="12"/>
  <c r="CI24" i="12" s="1"/>
  <c r="BR12" i="12"/>
  <c r="CI12" i="12" s="1"/>
  <c r="EV43" i="12"/>
  <c r="ES29" i="12"/>
  <c r="BT33" i="12" s="1"/>
  <c r="EP47" i="12"/>
  <c r="BQ51" i="12"/>
  <c r="CH51" i="12" s="1"/>
  <c r="EP39" i="12"/>
  <c r="BQ43" i="12" s="1"/>
  <c r="CH43" i="12" s="1"/>
  <c r="EP31" i="12"/>
  <c r="BQ35" i="12"/>
  <c r="CH35" i="12" s="1"/>
  <c r="EP23" i="12"/>
  <c r="BQ27" i="12" s="1"/>
  <c r="CH27" i="12" s="1"/>
  <c r="EP15" i="12"/>
  <c r="BQ15" i="12"/>
  <c r="CH15" i="12" s="1"/>
  <c r="EO16" i="12"/>
  <c r="BP16" i="12"/>
  <c r="CG16" i="12" s="1"/>
  <c r="CK16" i="12" s="1"/>
  <c r="EU25" i="12"/>
  <c r="BV29" i="12" s="1"/>
  <c r="EO41" i="12"/>
  <c r="BP45" i="12" s="1"/>
  <c r="CG45" i="12" s="1"/>
  <c r="CK45" i="12" s="1"/>
  <c r="EV34" i="12"/>
  <c r="EV18" i="12"/>
  <c r="ET45" i="12"/>
  <c r="BU49" i="12" s="1"/>
  <c r="ET37" i="12"/>
  <c r="ET29" i="12"/>
  <c r="ET21" i="12"/>
  <c r="ET13" i="12"/>
  <c r="EO11" i="12"/>
  <c r="BP11" i="12"/>
  <c r="CG11" i="12" s="1"/>
  <c r="CK11" i="12" s="1"/>
  <c r="ES35" i="12"/>
  <c r="BT39" i="12"/>
  <c r="BU39" i="12" s="1"/>
  <c r="ES14" i="12"/>
  <c r="BT14" i="12"/>
  <c r="ER42" i="12"/>
  <c r="ER34" i="12"/>
  <c r="ER26" i="12"/>
  <c r="ER18" i="12"/>
  <c r="EO40" i="12"/>
  <c r="BP44" i="12"/>
  <c r="CG44" i="12" s="1"/>
  <c r="CK44" i="12" s="1"/>
  <c r="ES42" i="12"/>
  <c r="BT46" i="12"/>
  <c r="BU46" i="12" s="1"/>
  <c r="ES18" i="12"/>
  <c r="BT18" i="12"/>
  <c r="EQ43" i="12"/>
  <c r="BR47" i="12"/>
  <c r="CI47" i="12" s="1"/>
  <c r="EQ35" i="12"/>
  <c r="BR39" i="12"/>
  <c r="CI39" i="12" s="1"/>
  <c r="EQ27" i="12"/>
  <c r="BR31" i="12"/>
  <c r="CI31" i="12" s="1"/>
  <c r="EQ19" i="12"/>
  <c r="BR19" i="12"/>
  <c r="EO48" i="12"/>
  <c r="BP52" i="12"/>
  <c r="CG52" i="12" s="1"/>
  <c r="CK52" i="12" s="1"/>
  <c r="EV38" i="12"/>
  <c r="ES26" i="12"/>
  <c r="BT30" i="12"/>
  <c r="BU30" i="12" s="1"/>
  <c r="EP46" i="12"/>
  <c r="BQ50" i="12"/>
  <c r="CH50" i="12" s="1"/>
  <c r="EP38" i="12"/>
  <c r="BQ42" i="12"/>
  <c r="CH42" i="12" s="1"/>
  <c r="EP30" i="12"/>
  <c r="BQ34" i="12"/>
  <c r="CH34" i="12" s="1"/>
  <c r="EP22" i="12"/>
  <c r="BQ26" i="12" s="1"/>
  <c r="CH26" i="12" s="1"/>
  <c r="EP14" i="12"/>
  <c r="BQ14" i="12"/>
  <c r="CH14" i="12" s="1"/>
  <c r="EO15" i="12"/>
  <c r="BP15" i="12" s="1"/>
  <c r="CG15" i="12" s="1"/>
  <c r="CK15" i="12" s="1"/>
  <c r="EU21" i="12"/>
  <c r="BV25" i="12" s="1"/>
  <c r="BW25" i="12" s="1"/>
  <c r="EO36" i="12"/>
  <c r="BP40" i="12"/>
  <c r="CG40" i="12" s="1"/>
  <c r="CK40" i="12" s="1"/>
  <c r="EV32" i="12"/>
  <c r="EV16" i="12"/>
  <c r="ET44" i="12"/>
  <c r="ET36" i="12"/>
  <c r="ET28" i="12"/>
  <c r="ET20" i="12"/>
  <c r="EV44" i="12"/>
  <c r="ES32" i="12"/>
  <c r="BT36" i="12"/>
  <c r="ES11" i="12"/>
  <c r="BT11" i="12"/>
  <c r="ER41" i="12"/>
  <c r="ER33" i="12"/>
  <c r="ER25" i="12"/>
  <c r="EO35" i="12"/>
  <c r="BP39" i="12"/>
  <c r="CG39" i="12" s="1"/>
  <c r="CK39" i="12" s="1"/>
  <c r="ES39" i="12"/>
  <c r="BT43" i="12"/>
  <c r="ES13" i="12"/>
  <c r="BT13" i="12"/>
  <c r="EQ42" i="12"/>
  <c r="BR46" i="12"/>
  <c r="CI46" i="12" s="1"/>
  <c r="EQ34" i="12"/>
  <c r="BR38" i="12" s="1"/>
  <c r="CI38" i="12" s="1"/>
  <c r="EQ26" i="12"/>
  <c r="BR30" i="12"/>
  <c r="CI30" i="12" s="1"/>
  <c r="EQ18" i="12"/>
  <c r="BR18" i="12"/>
  <c r="CI18" i="12" s="1"/>
  <c r="EO43" i="12"/>
  <c r="BP47" i="12"/>
  <c r="CG47" i="12" s="1"/>
  <c r="CK47" i="12" s="1"/>
  <c r="ES47" i="12"/>
  <c r="BT51" i="12"/>
  <c r="ES22" i="12"/>
  <c r="BT26" i="12"/>
  <c r="EP45" i="12"/>
  <c r="BQ49" i="12"/>
  <c r="CH49" i="12" s="1"/>
  <c r="EP37" i="12"/>
  <c r="BQ41" i="12" s="1"/>
  <c r="CH41" i="12" s="1"/>
  <c r="EP29" i="12"/>
  <c r="BQ33" i="12" s="1"/>
  <c r="CH33" i="12" s="1"/>
  <c r="EP21" i="12"/>
  <c r="BQ25" i="12"/>
  <c r="CH25" i="12" s="1"/>
  <c r="EP13" i="12"/>
  <c r="BQ13" i="12"/>
  <c r="CH13" i="12" s="1"/>
  <c r="EO14" i="12"/>
  <c r="BP14" i="12" s="1"/>
  <c r="CG14" i="12" s="1"/>
  <c r="CK14" i="12" s="1"/>
  <c r="BV17" i="12"/>
  <c r="EO31" i="12"/>
  <c r="BP35" i="12"/>
  <c r="CG35" i="12" s="1"/>
  <c r="CK35" i="12" s="1"/>
  <c r="EV30" i="12"/>
  <c r="EV14" i="12"/>
  <c r="ET43" i="12"/>
  <c r="ET35" i="12"/>
  <c r="ET27" i="12"/>
  <c r="ET19" i="12"/>
  <c r="BU19" i="12"/>
  <c r="BU20" i="12" s="1"/>
  <c r="BU21" i="12" s="1"/>
  <c r="BU22" i="12" s="1"/>
  <c r="BU23" i="12" s="1"/>
  <c r="EO46" i="12"/>
  <c r="BP50" i="12"/>
  <c r="CG50" i="12" s="1"/>
  <c r="CK50" i="12" s="1"/>
  <c r="EV39" i="12"/>
  <c r="ES28" i="12"/>
  <c r="BT32" i="12"/>
  <c r="ER48" i="12"/>
  <c r="ER40" i="12"/>
  <c r="ER32" i="12"/>
  <c r="ER24" i="12"/>
  <c r="ER16" i="12"/>
  <c r="EO30" i="12"/>
  <c r="BP34" i="12"/>
  <c r="CG34" i="12" s="1"/>
  <c r="CK34" i="12" s="1"/>
  <c r="ES36" i="12"/>
  <c r="BT40" i="12"/>
  <c r="ER11" i="12"/>
  <c r="EQ41" i="12"/>
  <c r="BR45" i="12"/>
  <c r="CI45" i="12" s="1"/>
  <c r="EQ33" i="12"/>
  <c r="BR37" i="12" s="1"/>
  <c r="CI37" i="12" s="1"/>
  <c r="EQ25" i="12"/>
  <c r="BR29" i="12"/>
  <c r="CI29" i="12" s="1"/>
  <c r="BR17" i="12"/>
  <c r="CI17" i="12" s="1"/>
  <c r="EO39" i="12"/>
  <c r="BP43" i="12"/>
  <c r="CG43" i="12" s="1"/>
  <c r="CK43" i="12" s="1"/>
  <c r="ES44" i="12"/>
  <c r="BT48" i="12"/>
  <c r="ES19" i="12"/>
  <c r="BT19" i="12"/>
  <c r="BT20" i="12" s="1"/>
  <c r="BT21" i="12" s="1"/>
  <c r="BT22" i="12" s="1"/>
  <c r="BT23" i="12" s="1"/>
  <c r="EP44" i="12"/>
  <c r="BQ48" i="12" s="1"/>
  <c r="CH48" i="12" s="1"/>
  <c r="EP36" i="12"/>
  <c r="BQ40" i="12" s="1"/>
  <c r="CH40" i="12" s="1"/>
  <c r="EP28" i="12"/>
  <c r="BQ32" i="12"/>
  <c r="CH32" i="12" s="1"/>
  <c r="EP20" i="12"/>
  <c r="BQ24" i="12" s="1"/>
  <c r="CH24" i="12" s="1"/>
  <c r="BQ12" i="12"/>
  <c r="CH12" i="12" s="1"/>
  <c r="EO13" i="12"/>
  <c r="BP13" i="12"/>
  <c r="CG13" i="12" s="1"/>
  <c r="CK13" i="12" s="1"/>
  <c r="EV46" i="12"/>
  <c r="EU15" i="12"/>
  <c r="BV15" i="12"/>
  <c r="EO26" i="12"/>
  <c r="BP30" i="12"/>
  <c r="CG30" i="12" s="1"/>
  <c r="CK30" i="12" s="1"/>
  <c r="EV28" i="12"/>
  <c r="EV13" i="12"/>
  <c r="ET42" i="12"/>
  <c r="ET34" i="12"/>
  <c r="ET26" i="12"/>
  <c r="ET18" i="12"/>
  <c r="BU18" i="12" s="1"/>
  <c r="EO42" i="12"/>
  <c r="BP46" i="12"/>
  <c r="CG46" i="12" s="1"/>
  <c r="CK46" i="12" s="1"/>
  <c r="ET11" i="12"/>
  <c r="BU11" i="12"/>
  <c r="ES25" i="12"/>
  <c r="BT29" i="12"/>
  <c r="BU29" i="12" s="1"/>
  <c r="ER47" i="12"/>
  <c r="ER39" i="12"/>
  <c r="ER31" i="12"/>
  <c r="ER23" i="12"/>
  <c r="ER15" i="12"/>
  <c r="EO21" i="12"/>
  <c r="BP25" i="12"/>
  <c r="CG25" i="12" s="1"/>
  <c r="CK25" i="12" s="1"/>
  <c r="ES33" i="12"/>
  <c r="BT37" i="12"/>
  <c r="EQ48" i="12"/>
  <c r="BR52" i="12" s="1"/>
  <c r="CI52" i="12" s="1"/>
  <c r="EQ40" i="12"/>
  <c r="BR44" i="12" s="1"/>
  <c r="CI44" i="12" s="1"/>
  <c r="EQ32" i="12"/>
  <c r="BR36" i="12" s="1"/>
  <c r="CI36" i="12" s="1"/>
  <c r="EQ24" i="12"/>
  <c r="BR28" i="12" s="1"/>
  <c r="CI28" i="12" s="1"/>
  <c r="EQ16" i="12"/>
  <c r="BR16" i="12"/>
  <c r="CI16" i="12" s="1"/>
  <c r="EO34" i="12"/>
  <c r="BP38" i="12"/>
  <c r="CG38" i="12" s="1"/>
  <c r="CK38" i="12" s="1"/>
  <c r="ES41" i="12"/>
  <c r="BT45" i="12"/>
  <c r="BU45" i="12" s="1"/>
  <c r="ES16" i="12"/>
  <c r="BT16" i="12" s="1"/>
  <c r="EP43" i="12"/>
  <c r="BQ47" i="12"/>
  <c r="CH47" i="12" s="1"/>
  <c r="EP35" i="12"/>
  <c r="BQ39" i="12" s="1"/>
  <c r="CH39" i="12" s="1"/>
  <c r="EP27" i="12"/>
  <c r="BQ31" i="12"/>
  <c r="CH31" i="12" s="1"/>
  <c r="EP19" i="12"/>
  <c r="BQ19" i="12" s="1"/>
  <c r="EO20" i="12"/>
  <c r="BP24" i="12"/>
  <c r="CG24" i="12" s="1"/>
  <c r="CK24" i="12" s="1"/>
  <c r="EU48" i="12"/>
  <c r="BV52" i="12"/>
  <c r="BW52" i="12" s="1"/>
  <c r="EU14" i="12"/>
  <c r="BV14" i="12" s="1"/>
  <c r="BW14" i="12" s="1"/>
  <c r="EO23" i="12"/>
  <c r="BP27" i="12"/>
  <c r="CG27" i="12" s="1"/>
  <c r="CK27" i="12" s="1"/>
  <c r="EV26" i="12"/>
  <c r="EU11" i="12"/>
  <c r="BV11" i="12" s="1"/>
  <c r="BW11" i="12" s="1"/>
  <c r="ET41" i="12"/>
  <c r="ET33" i="12"/>
  <c r="BU37" i="12" s="1"/>
  <c r="ET25" i="12"/>
  <c r="EO37" i="12"/>
  <c r="BP41" i="12" s="1"/>
  <c r="CG41" i="12" s="1"/>
  <c r="CK41" i="12" s="1"/>
  <c r="ES46" i="12"/>
  <c r="BT50" i="12"/>
  <c r="ES23" i="12"/>
  <c r="BT27" i="12"/>
  <c r="ER46" i="12"/>
  <c r="ER38" i="12"/>
  <c r="ER30" i="12"/>
  <c r="ER22" i="12"/>
  <c r="ER14" i="12"/>
  <c r="EV45" i="12"/>
  <c r="ES30" i="12"/>
  <c r="BT34" i="12"/>
  <c r="EQ47" i="12"/>
  <c r="BR51" i="12" s="1"/>
  <c r="CI51" i="12" s="1"/>
  <c r="EQ39" i="12"/>
  <c r="BR43" i="12" s="1"/>
  <c r="CI43" i="12" s="1"/>
  <c r="EQ31" i="12"/>
  <c r="BR35" i="12"/>
  <c r="CI35" i="12" s="1"/>
  <c r="EQ23" i="12"/>
  <c r="BR27" i="12"/>
  <c r="CI27" i="12" s="1"/>
  <c r="EQ15" i="12"/>
  <c r="BR15" i="12" s="1"/>
  <c r="CI15" i="12" s="1"/>
  <c r="EO29" i="12"/>
  <c r="BP33" i="12"/>
  <c r="CG33" i="12" s="1"/>
  <c r="CK33" i="12" s="1"/>
  <c r="ES37" i="12"/>
  <c r="BT41" i="12" s="1"/>
  <c r="BU41" i="12" s="1"/>
  <c r="BT12" i="12"/>
  <c r="BU12" i="12" s="1"/>
  <c r="EP42" i="12"/>
  <c r="BQ46" i="12" s="1"/>
  <c r="CH46" i="12" s="1"/>
  <c r="EP34" i="12"/>
  <c r="BQ38" i="12" s="1"/>
  <c r="CH38" i="12" s="1"/>
  <c r="EP26" i="12"/>
  <c r="BQ30" i="12"/>
  <c r="CH30" i="12" s="1"/>
  <c r="EP18" i="12"/>
  <c r="BQ18" i="12" s="1"/>
  <c r="CH18" i="12" s="1"/>
  <c r="EO19" i="12"/>
  <c r="BP19" i="12" s="1"/>
  <c r="ET40" i="12"/>
  <c r="BU44" i="12" s="1"/>
  <c r="ER37" i="12"/>
  <c r="BS41" i="12"/>
  <c r="CJ41" i="12" s="1"/>
  <c r="EQ30" i="12"/>
  <c r="BR34" i="12" s="1"/>
  <c r="CI34" i="12" s="1"/>
  <c r="EP25" i="12"/>
  <c r="BQ29" i="12" s="1"/>
  <c r="CH29" i="12" s="1"/>
  <c r="ET32" i="12"/>
  <c r="ER29" i="12"/>
  <c r="EQ22" i="12"/>
  <c r="BR26" i="12"/>
  <c r="CI26" i="12" s="1"/>
  <c r="BQ17" i="12"/>
  <c r="CH17" i="12" s="1"/>
  <c r="ET24" i="12"/>
  <c r="ER21" i="12"/>
  <c r="BS25" i="12" s="1"/>
  <c r="CJ25" i="12" s="1"/>
  <c r="EQ14" i="12"/>
  <c r="BR14" i="12"/>
  <c r="CI14" i="12" s="1"/>
  <c r="EO18" i="12"/>
  <c r="BP18" i="12"/>
  <c r="CG18" i="12" s="1"/>
  <c r="CK18" i="12" s="1"/>
  <c r="EU37" i="12"/>
  <c r="BV41" i="12"/>
  <c r="ET16" i="12"/>
  <c r="BU16" i="12"/>
  <c r="ER13" i="12"/>
  <c r="BS13" i="12" s="1"/>
  <c r="CJ13" i="12" s="1"/>
  <c r="EO22" i="12"/>
  <c r="BP26" i="12"/>
  <c r="CG26" i="12" s="1"/>
  <c r="CK26" i="12" s="1"/>
  <c r="EU13" i="12"/>
  <c r="BV13" i="12"/>
  <c r="BW13" i="12" s="1"/>
  <c r="EO32" i="12"/>
  <c r="BP36" i="12"/>
  <c r="CG36" i="12" s="1"/>
  <c r="CK36" i="12" s="1"/>
  <c r="EV40" i="12"/>
  <c r="ES34" i="12"/>
  <c r="BT38" i="12"/>
  <c r="EV48" i="12"/>
  <c r="ES43" i="12"/>
  <c r="BT47" i="12"/>
  <c r="BU47" i="12" s="1"/>
  <c r="ES27" i="12"/>
  <c r="BT31" i="12"/>
  <c r="EQ11" i="12"/>
  <c r="BR11" i="12"/>
  <c r="CI11" i="12" s="1"/>
  <c r="EV24" i="12"/>
  <c r="ES20" i="12"/>
  <c r="BT24" i="12" s="1"/>
  <c r="EQ46" i="12"/>
  <c r="BR50" i="12" s="1"/>
  <c r="CI50" i="12" s="1"/>
  <c r="EP41" i="12"/>
  <c r="BQ45" i="12" s="1"/>
  <c r="CH45" i="12" s="1"/>
  <c r="ET48" i="12"/>
  <c r="BU52" i="12"/>
  <c r="ER45" i="12"/>
  <c r="EQ38" i="12"/>
  <c r="BR42" i="12"/>
  <c r="CI42" i="12" s="1"/>
  <c r="EP33" i="12"/>
  <c r="BQ37" i="12"/>
  <c r="CH37" i="12" s="1"/>
  <c r="Y63" i="12"/>
  <c r="Z63" i="12" s="1"/>
  <c r="Y69" i="12"/>
  <c r="BL19" i="12" s="1"/>
  <c r="BL26" i="12" s="1"/>
  <c r="Y62" i="12"/>
  <c r="Z62" i="12" s="1"/>
  <c r="GK14" i="9"/>
  <c r="HE14" i="9" s="1"/>
  <c r="CC14" i="9" s="1"/>
  <c r="GK37" i="9"/>
  <c r="HE37" i="9" s="1"/>
  <c r="CC37" i="9" s="1"/>
  <c r="GM564" i="9"/>
  <c r="HG564" i="9" s="1"/>
  <c r="CE564" i="9" s="1"/>
  <c r="GM534" i="9"/>
  <c r="HG534" i="9" s="1"/>
  <c r="CE534" i="9" s="1"/>
  <c r="GK53" i="9"/>
  <c r="HE53" i="9" s="1"/>
  <c r="CC53" i="9" s="1"/>
  <c r="CE198" i="9"/>
  <c r="GK621" i="9"/>
  <c r="HE621" i="9" s="1"/>
  <c r="BN170" i="3" a="1"/>
  <c r="BN170" i="3" s="1"/>
  <c r="BK170" i="3" s="1"/>
  <c r="BE170" i="3"/>
  <c r="BO170" i="3" a="1"/>
  <c r="BO170" i="3" s="1"/>
  <c r="BL170" i="3" s="1"/>
  <c r="BJ170" i="3" a="1"/>
  <c r="BJ170" i="3" s="1"/>
  <c r="CE197" i="9"/>
  <c r="CV109" i="10"/>
  <c r="W63" i="10"/>
  <c r="GK326" i="9"/>
  <c r="HE326" i="9" s="1"/>
  <c r="CC326" i="9" s="1"/>
  <c r="GK277" i="9"/>
  <c r="HE277" i="9" s="1"/>
  <c r="CC277" i="9" s="1"/>
  <c r="GK566" i="9"/>
  <c r="HE566" i="9" s="1"/>
  <c r="CC566" i="9" s="1"/>
  <c r="GM512" i="9"/>
  <c r="HG512" i="9" s="1"/>
  <c r="CE512" i="9" s="1"/>
  <c r="GQ485" i="9"/>
  <c r="GR485" i="9" s="1"/>
  <c r="GS485" i="9" s="1"/>
  <c r="GT485" i="9" s="1"/>
  <c r="GU485" i="9" s="1"/>
  <c r="GV485" i="9" s="1"/>
  <c r="GQ269" i="9"/>
  <c r="GR269" i="9" s="1"/>
  <c r="GS269" i="9" s="1"/>
  <c r="GT269" i="9" s="1"/>
  <c r="GU269" i="9" s="1"/>
  <c r="GV269" i="9" s="1"/>
  <c r="GQ459" i="9"/>
  <c r="GR459" i="9" s="1"/>
  <c r="GS459" i="9" s="1"/>
  <c r="GT459" i="9" s="1"/>
  <c r="GU459" i="9" s="1"/>
  <c r="GV459" i="9" s="1"/>
  <c r="GQ467" i="9"/>
  <c r="GR467" i="9" s="1"/>
  <c r="GS467" i="9" s="1"/>
  <c r="GT467" i="9" s="1"/>
  <c r="GU467" i="9" s="1"/>
  <c r="GV467" i="9" s="1"/>
  <c r="BE235" i="3"/>
  <c r="BN235" i="3" a="1"/>
  <c r="BN235" i="3" s="1"/>
  <c r="BK235" i="3" s="1"/>
  <c r="BE267" i="3"/>
  <c r="BN267" i="3" a="1"/>
  <c r="BN267" i="3" s="1"/>
  <c r="BK267" i="3" s="1"/>
  <c r="BO267" i="3" a="1"/>
  <c r="BO267" i="3" s="1"/>
  <c r="BL267" i="3" s="1"/>
  <c r="GQ272" i="9"/>
  <c r="GR272" i="9" s="1"/>
  <c r="GS272" i="9" s="1"/>
  <c r="GT272" i="9" s="1"/>
  <c r="GU272" i="9" s="1"/>
  <c r="GV272" i="9" s="1"/>
  <c r="BE270" i="3"/>
  <c r="BO270" i="3" a="1"/>
  <c r="BO270" i="3" s="1"/>
  <c r="BL270" i="3" s="1"/>
  <c r="BN270" i="3" a="1"/>
  <c r="BN270" i="3"/>
  <c r="BK270" i="3" s="1"/>
  <c r="BE278" i="3"/>
  <c r="BN278" i="3" a="1"/>
  <c r="BN278" i="3" s="1"/>
  <c r="BK278" i="3" s="1"/>
  <c r="BO278" i="3" a="1"/>
  <c r="BO278" i="3" s="1"/>
  <c r="BL278" i="3" s="1"/>
  <c r="BE286" i="3"/>
  <c r="BN286" i="3" a="1"/>
  <c r="BN286" i="3" s="1"/>
  <c r="BK286" i="3" s="1"/>
  <c r="BO286" i="3" a="1"/>
  <c r="BO286" i="3" s="1"/>
  <c r="BL286" i="3" s="1"/>
  <c r="BE294" i="3"/>
  <c r="BN294" i="3" a="1"/>
  <c r="BN294" i="3" s="1"/>
  <c r="BK294" i="3" s="1"/>
  <c r="BO294" i="3" a="1"/>
  <c r="BO294" i="3" s="1"/>
  <c r="BL294" i="3" s="1"/>
  <c r="BE302" i="3"/>
  <c r="BS302" i="3" a="1"/>
  <c r="BS302" i="3" s="1"/>
  <c r="BN302" i="3" a="1"/>
  <c r="BN302" i="3" s="1"/>
  <c r="BK302" i="3" s="1"/>
  <c r="BE310" i="3"/>
  <c r="BO310" i="3" a="1"/>
  <c r="BO310" i="3" s="1"/>
  <c r="BL310" i="3" s="1"/>
  <c r="BN310" i="3" a="1"/>
  <c r="BN310" i="3" s="1"/>
  <c r="BK310" i="3" s="1"/>
  <c r="BE318" i="3"/>
  <c r="BO318" i="3" a="1"/>
  <c r="BO318" i="3" s="1"/>
  <c r="BL318" i="3" s="1"/>
  <c r="BE326" i="3"/>
  <c r="BN326" i="3" a="1"/>
  <c r="BN326" i="3" s="1"/>
  <c r="BK326" i="3" s="1"/>
  <c r="BO326" i="3" a="1"/>
  <c r="BO326" i="3" s="1"/>
  <c r="BL326" i="3" s="1"/>
  <c r="BE334" i="3"/>
  <c r="BO334" i="3" a="1"/>
  <c r="BO334" i="3" s="1"/>
  <c r="BL334" i="3" s="1"/>
  <c r="BN334" i="3" a="1"/>
  <c r="BN334" i="3" s="1"/>
  <c r="BK334" i="3" s="1"/>
  <c r="DM123" i="9" a="1"/>
  <c r="DM123" i="9" s="1"/>
  <c r="DK131" i="9" a="1"/>
  <c r="DK131" i="9" s="1"/>
  <c r="BE118" i="3"/>
  <c r="BS118" i="3" a="1"/>
  <c r="BS118" i="3" s="1"/>
  <c r="BN118" i="3" a="1"/>
  <c r="BN118" i="3" s="1"/>
  <c r="BK118" i="3" s="1"/>
  <c r="BN172" i="3" a="1"/>
  <c r="BN172" i="3" s="1"/>
  <c r="BK172" i="3" s="1"/>
  <c r="BO172" i="3" a="1"/>
  <c r="BO172" i="3" s="1"/>
  <c r="BL172" i="3" s="1"/>
  <c r="BE172" i="3"/>
  <c r="BE241" i="3"/>
  <c r="BO241" i="3" a="1"/>
  <c r="BO241" i="3" s="1"/>
  <c r="BL241" i="3" s="1"/>
  <c r="BN241" i="3" a="1"/>
  <c r="BN241" i="3" s="1"/>
  <c r="BK241" i="3" s="1"/>
  <c r="BE257" i="3"/>
  <c r="BN257" i="3" a="1"/>
  <c r="BN257" i="3" s="1"/>
  <c r="BK257" i="3" s="1"/>
  <c r="BO257" i="3" a="1"/>
  <c r="BO257" i="3" s="1"/>
  <c r="BL257" i="3" s="1"/>
  <c r="GQ462" i="9"/>
  <c r="GR462" i="9" s="1"/>
  <c r="GS462" i="9" s="1"/>
  <c r="GT462" i="9" s="1"/>
  <c r="GU462" i="9" s="1"/>
  <c r="GV462" i="9" s="1"/>
  <c r="BO302" i="3" a="1"/>
  <c r="BO302" i="3" s="1"/>
  <c r="BL302" i="3" s="1"/>
  <c r="BD191" i="12"/>
  <c r="BD188" i="12"/>
  <c r="BD193" i="12"/>
  <c r="BD176" i="12"/>
  <c r="BD190" i="12"/>
  <c r="BD180" i="12"/>
  <c r="BB337" i="11"/>
  <c r="BD194" i="12"/>
  <c r="BD183" i="12"/>
  <c r="BD174" i="12"/>
  <c r="BD187" i="12"/>
  <c r="Y11" i="12"/>
  <c r="AI11" i="12" s="1"/>
  <c r="Y13" i="12"/>
  <c r="Z13" i="12" s="1"/>
  <c r="Y14" i="12"/>
  <c r="Y15" i="12" s="1"/>
  <c r="Y12" i="12"/>
  <c r="Z12" i="12" s="1"/>
  <c r="BE175" i="3"/>
  <c r="BN175" i="3" a="1"/>
  <c r="BN175" i="3" s="1"/>
  <c r="BK175" i="3" s="1"/>
  <c r="BE204" i="3"/>
  <c r="BN204" i="3" a="1"/>
  <c r="BN204" i="3" s="1"/>
  <c r="BK204" i="3" s="1"/>
  <c r="BO204" i="3" a="1"/>
  <c r="BO204" i="3" s="1"/>
  <c r="BL204" i="3" s="1"/>
  <c r="BE212" i="3"/>
  <c r="BN212" i="3" a="1"/>
  <c r="BN212" i="3" s="1"/>
  <c r="BK212" i="3" s="1"/>
  <c r="BE220" i="3"/>
  <c r="BN220" i="3" a="1"/>
  <c r="BN220" i="3" s="1"/>
  <c r="BK220" i="3" s="1"/>
  <c r="BO220" i="3" a="1"/>
  <c r="BO220" i="3" s="1"/>
  <c r="BL220" i="3" s="1"/>
  <c r="BE228" i="3"/>
  <c r="BO228" i="3" a="1"/>
  <c r="BO228" i="3" s="1"/>
  <c r="BL228" i="3" s="1"/>
  <c r="BN228" i="3" a="1"/>
  <c r="BN228" i="3" s="1"/>
  <c r="BK228" i="3" s="1"/>
  <c r="BT158" i="3"/>
  <c r="BJ231" i="3" a="1"/>
  <c r="BJ231" i="3" s="1"/>
  <c r="BJ263" i="3" a="1"/>
  <c r="BJ263" i="3"/>
  <c r="BJ295" i="3" a="1"/>
  <c r="BJ295" i="3"/>
  <c r="BT300" i="3"/>
  <c r="BT316" i="3"/>
  <c r="BJ327" i="3" a="1"/>
  <c r="BJ327" i="3" s="1"/>
  <c r="BT332" i="3"/>
  <c r="BT127" i="3"/>
  <c r="CO454" i="5" a="1"/>
  <c r="CO454" i="5"/>
  <c r="CO447" i="5" a="1"/>
  <c r="CO447" i="5"/>
  <c r="CO259" i="5" a="1"/>
  <c r="CO259" i="5"/>
  <c r="CO247" i="5" a="1"/>
  <c r="CO247" i="5"/>
  <c r="CO52" i="5" a="1"/>
  <c r="CO52" i="5"/>
  <c r="AP48" i="5" a="1"/>
  <c r="DX10" i="5" a="1"/>
  <c r="D13" i="12" a="1"/>
  <c r="D13" i="12"/>
  <c r="BE37" i="11" a="1"/>
  <c r="BE37" i="11"/>
  <c r="S27" i="10" a="1"/>
  <c r="S27" i="10"/>
  <c r="CA19" i="10" a="1"/>
  <c r="CA19" i="10"/>
  <c r="CZ19" i="10"/>
  <c r="CA18" i="10" a="1"/>
  <c r="CA18" i="10"/>
  <c r="CZ18" i="10"/>
  <c r="DQ14" i="10" a="1"/>
  <c r="DQ14" i="10"/>
  <c r="CO453" i="5" a="1"/>
  <c r="CO453" i="5"/>
  <c r="CO258" i="5" a="1"/>
  <c r="CO258" i="5"/>
  <c r="CO251" i="5" a="1"/>
  <c r="CO251" i="5"/>
  <c r="CO63" i="5" a="1"/>
  <c r="CO63" i="5"/>
  <c r="CO62" i="5" a="1"/>
  <c r="CO62" i="5"/>
  <c r="CO59" i="5" a="1"/>
  <c r="CO59" i="5"/>
  <c r="CO55" i="5" a="1"/>
  <c r="CO55" i="5"/>
  <c r="CO53" i="5" a="1"/>
  <c r="CO53" i="5"/>
  <c r="E50" i="5" a="1"/>
  <c r="E50" i="5"/>
  <c r="J48" i="5" a="1"/>
  <c r="DS12" i="12" a="1"/>
  <c r="DS12" i="12"/>
  <c r="D12" i="12" a="1"/>
  <c r="D12" i="12"/>
  <c r="E27" i="10" a="1"/>
  <c r="E27" i="10"/>
  <c r="CA25" i="10" a="1"/>
  <c r="CA25" i="10"/>
  <c r="CZ25" i="10"/>
  <c r="CA12" i="10" a="1"/>
  <c r="CA12" i="10"/>
  <c r="CZ12" i="10"/>
  <c r="CO456" i="5" a="1"/>
  <c r="CO456" i="5"/>
  <c r="CO452" i="5" a="1"/>
  <c r="CO452" i="5"/>
  <c r="CO446" i="5" a="1"/>
  <c r="CO446" i="5"/>
  <c r="CM275" i="5" a="1"/>
  <c r="CM275" i="5"/>
  <c r="CO257" i="5" a="1"/>
  <c r="CO257" i="5"/>
  <c r="CM135" i="5" a="1"/>
  <c r="CM135" i="5"/>
  <c r="CO61" i="5" a="1"/>
  <c r="CO61" i="5"/>
  <c r="CM23" i="5" a="1"/>
  <c r="CM23" i="5"/>
  <c r="E60" i="10" a="1"/>
  <c r="E60" i="10"/>
  <c r="CA28" i="10" a="1"/>
  <c r="CA28" i="10"/>
  <c r="CZ29" i="10"/>
  <c r="CA23" i="10" a="1"/>
  <c r="CA23" i="10"/>
  <c r="CZ23" i="10"/>
  <c r="CA6" i="10" a="1"/>
  <c r="CA6" i="10"/>
  <c r="CZ6" i="10"/>
  <c r="CO451" i="5" a="1"/>
  <c r="CO451" i="5"/>
  <c r="CO256" i="5" a="1"/>
  <c r="CO256" i="5"/>
  <c r="CO250" i="5" a="1"/>
  <c r="CO250" i="5"/>
  <c r="CO54" i="5" a="1"/>
  <c r="CO54" i="5"/>
  <c r="CA21" i="10" a="1"/>
  <c r="CA21" i="10"/>
  <c r="CZ21" i="10"/>
  <c r="CA17" i="10" a="1"/>
  <c r="CA17" i="10"/>
  <c r="CZ17" i="10"/>
  <c r="D9" i="6" a="1"/>
  <c r="D9" i="6"/>
  <c r="CO450" i="5" a="1"/>
  <c r="CO450" i="5"/>
  <c r="CO445" i="5" a="1"/>
  <c r="CO445" i="5"/>
  <c r="CO260" i="5" a="1"/>
  <c r="CO260" i="5"/>
  <c r="CO255" i="5" a="1"/>
  <c r="CO255" i="5"/>
  <c r="CO64" i="5" a="1"/>
  <c r="CO64" i="5"/>
  <c r="CO58" i="5" a="1"/>
  <c r="CO58" i="5"/>
  <c r="DX42" i="5" a="1"/>
  <c r="DX42" i="5"/>
  <c r="S60" i="10" a="1"/>
  <c r="S60" i="10"/>
  <c r="CA16" i="10" a="1"/>
  <c r="CA16" i="10"/>
  <c r="CZ16" i="10"/>
  <c r="CA15" i="10" a="1"/>
  <c r="CA15" i="10"/>
  <c r="CZ15" i="10"/>
  <c r="CA13" i="10" a="1"/>
  <c r="CA13" i="10"/>
  <c r="CZ13" i="10"/>
  <c r="CA7" i="10" a="1"/>
  <c r="CA7" i="10"/>
  <c r="CZ7" i="10"/>
  <c r="CO449" i="5" a="1"/>
  <c r="CO449" i="5"/>
  <c r="CO254" i="5" a="1"/>
  <c r="CO254" i="5"/>
  <c r="CO249" i="5" a="1"/>
  <c r="CO249" i="5"/>
  <c r="CO57" i="5" a="1"/>
  <c r="CO57" i="5"/>
  <c r="E13" i="5" a="1"/>
  <c r="E13" i="5"/>
  <c r="ED30" i="12" a="1"/>
  <c r="ED30" i="12"/>
  <c r="D11" i="12" a="1"/>
  <c r="D11" i="12"/>
  <c r="D15" i="11" a="1"/>
  <c r="D15" i="11"/>
  <c r="CA26" i="10" a="1"/>
  <c r="CA26" i="10"/>
  <c r="CZ26" i="10"/>
  <c r="CA24" i="10" a="1"/>
  <c r="CA24" i="10"/>
  <c r="CZ24" i="10"/>
  <c r="AG15" i="10" a="1"/>
  <c r="AG15" i="10"/>
  <c r="CA9" i="10" a="1"/>
  <c r="CA9" i="10"/>
  <c r="CZ9" i="10"/>
  <c r="CA8" i="10" a="1"/>
  <c r="CA8" i="10"/>
  <c r="CZ8" i="10"/>
  <c r="CO455" i="5" a="1"/>
  <c r="CO455" i="5"/>
  <c r="CO448" i="5" a="1"/>
  <c r="CO448" i="5"/>
  <c r="CO444" i="5" a="1"/>
  <c r="CO444" i="5"/>
  <c r="CM387" i="5" a="1"/>
  <c r="CM387" i="5"/>
  <c r="CO253" i="5" a="1"/>
  <c r="CO253" i="5"/>
  <c r="CM149" i="5" a="1"/>
  <c r="CM149" i="5"/>
  <c r="CO60" i="5" a="1"/>
  <c r="CO60" i="5"/>
  <c r="DX56" i="5" a="1"/>
  <c r="DX56" i="5"/>
  <c r="CO51" i="5" a="1"/>
  <c r="CO51" i="5"/>
  <c r="E31" i="5" a="1"/>
  <c r="E31" i="5"/>
  <c r="ED31" i="12" a="1"/>
  <c r="ED31" i="12"/>
  <c r="CA29" i="10" a="1"/>
  <c r="CA29" i="10"/>
  <c r="CZ30" i="10"/>
  <c r="CA27" i="10" a="1"/>
  <c r="CA27" i="10"/>
  <c r="CA22" i="10" a="1"/>
  <c r="CA22" i="10"/>
  <c r="CZ22" i="10"/>
  <c r="S15" i="10" a="1"/>
  <c r="S15" i="10"/>
  <c r="CA14" i="10" a="1"/>
  <c r="CA14" i="10"/>
  <c r="CZ14" i="10"/>
  <c r="CA10" i="10" a="1"/>
  <c r="CA10" i="10"/>
  <c r="CZ10" i="10"/>
  <c r="DK6" i="10" a="1"/>
  <c r="DK6" i="10"/>
  <c r="BX689" i="9"/>
  <c r="GY689" i="9"/>
  <c r="GZ689" i="9" s="1"/>
  <c r="HH689" i="9" s="1"/>
  <c r="BX535" i="9"/>
  <c r="GY535" i="9"/>
  <c r="GZ535" i="9" s="1"/>
  <c r="HH535" i="9" s="1"/>
  <c r="CF535" i="9" s="1"/>
  <c r="BX530" i="9"/>
  <c r="GQ530" i="9" s="1"/>
  <c r="GR530" i="9" s="1"/>
  <c r="GS530" i="9" s="1"/>
  <c r="GT530" i="9" s="1"/>
  <c r="GU530" i="9" s="1"/>
  <c r="GV530" i="9" s="1"/>
  <c r="GY530" i="9"/>
  <c r="GZ530" i="9" s="1"/>
  <c r="HH530" i="9" s="1"/>
  <c r="CF530" i="9" s="1"/>
  <c r="BX522" i="9"/>
  <c r="GY522" i="9"/>
  <c r="GZ522" i="9" s="1"/>
  <c r="HH522" i="9" s="1"/>
  <c r="CF522" i="9" s="1"/>
  <c r="BX449" i="9"/>
  <c r="GY449" i="9"/>
  <c r="GZ449" i="9" s="1"/>
  <c r="HH449" i="9" s="1"/>
  <c r="CF449" i="9" s="1"/>
  <c r="BX440" i="9"/>
  <c r="GQ440" i="9"/>
  <c r="GR440" i="9" s="1"/>
  <c r="GS440" i="9" s="1"/>
  <c r="GT440" i="9" s="1"/>
  <c r="GU440" i="9" s="1"/>
  <c r="GV440" i="9" s="1"/>
  <c r="BX421" i="9"/>
  <c r="BX547" i="9"/>
  <c r="BX446" i="9"/>
  <c r="BX428" i="9"/>
  <c r="BX423" i="9"/>
  <c r="BX684" i="9"/>
  <c r="BX681" i="9"/>
  <c r="BX678" i="9"/>
  <c r="BX649" i="9"/>
  <c r="BX566" i="9"/>
  <c r="BX563" i="9"/>
  <c r="GY563" i="9"/>
  <c r="GZ563" i="9" s="1"/>
  <c r="HH563" i="9" s="1"/>
  <c r="CF563" i="9" s="1"/>
  <c r="BX551" i="9"/>
  <c r="GY551" i="9"/>
  <c r="GZ551" i="9" s="1"/>
  <c r="HH551" i="9" s="1"/>
  <c r="CF551" i="9" s="1"/>
  <c r="BX540" i="9"/>
  <c r="BX531" i="9"/>
  <c r="BX528" i="9"/>
  <c r="BX518" i="9"/>
  <c r="GY518" i="9" s="1"/>
  <c r="GZ518" i="9" s="1"/>
  <c r="HH518" i="9" s="1"/>
  <c r="CF518" i="9" s="1"/>
  <c r="BX434" i="9"/>
  <c r="BX418" i="9"/>
  <c r="BX652" i="9"/>
  <c r="BX543" i="9"/>
  <c r="BX536" i="9"/>
  <c r="BX438" i="9"/>
  <c r="BX674" i="9"/>
  <c r="BX650" i="9"/>
  <c r="BX631" i="9"/>
  <c r="BX550" i="9"/>
  <c r="BX516" i="9"/>
  <c r="BX676" i="9"/>
  <c r="BX640" i="9"/>
  <c r="BX558" i="9"/>
  <c r="BX554" i="9"/>
  <c r="BX532" i="9"/>
  <c r="BX529" i="9"/>
  <c r="BX521" i="9"/>
  <c r="BX433" i="9"/>
  <c r="GY433" i="9" s="1"/>
  <c r="GZ433" i="9" s="1"/>
  <c r="HH433" i="9" s="1"/>
  <c r="CF433" i="9" s="1"/>
  <c r="BX410" i="9"/>
  <c r="BX636" i="9"/>
  <c r="BX549" i="9"/>
  <c r="BX448" i="9"/>
  <c r="GY448" i="9" s="1"/>
  <c r="GZ448" i="9" s="1"/>
  <c r="HH448" i="9" s="1"/>
  <c r="CF448" i="9" s="1"/>
  <c r="BX429" i="9"/>
  <c r="GY429" i="9"/>
  <c r="GZ429" i="9" s="1"/>
  <c r="HH429" i="9" s="1"/>
  <c r="CF429" i="9" s="1"/>
  <c r="CO372" i="5" a="1"/>
  <c r="CO372" i="5"/>
  <c r="CO367" i="5" a="1"/>
  <c r="CO367" i="5"/>
  <c r="CO167" i="5" a="1"/>
  <c r="CO167" i="5"/>
  <c r="D16" i="12" a="1"/>
  <c r="D16" i="12"/>
  <c r="CA253" i="10" a="1"/>
  <c r="CA253" i="10"/>
  <c r="CZ254" i="10"/>
  <c r="CA251" i="10" a="1"/>
  <c r="CA251" i="10"/>
  <c r="CZ251" i="10"/>
  <c r="CA249" i="10" a="1"/>
  <c r="CA249" i="10"/>
  <c r="CZ249" i="10"/>
  <c r="CA237" i="10" a="1"/>
  <c r="CA237" i="10"/>
  <c r="CZ237" i="10"/>
  <c r="CA232" i="10" a="1"/>
  <c r="CA232" i="10"/>
  <c r="CZ232" i="10"/>
  <c r="CO366" i="5" a="1"/>
  <c r="CO366" i="5"/>
  <c r="CO176" i="5" a="1"/>
  <c r="CO176" i="5"/>
  <c r="CO173" i="5" a="1"/>
  <c r="CO173" i="5"/>
  <c r="CO166" i="5" a="1"/>
  <c r="CO166" i="5"/>
  <c r="ED57" i="12" a="1"/>
  <c r="ED57" i="12"/>
  <c r="CA247" i="10" a="1"/>
  <c r="CA247" i="10"/>
  <c r="CZ247" i="10"/>
  <c r="CA245" i="10" a="1"/>
  <c r="CA245" i="10"/>
  <c r="CZ245" i="10"/>
  <c r="CA243" i="10" a="1"/>
  <c r="CA243" i="10"/>
  <c r="CZ243" i="10"/>
  <c r="CA235" i="10" a="1"/>
  <c r="CA235" i="10"/>
  <c r="CZ235" i="10"/>
  <c r="CA231" i="10" a="1"/>
  <c r="CA231" i="10"/>
  <c r="CZ231" i="10"/>
  <c r="CA212" i="10" a="1"/>
  <c r="CA212" i="10"/>
  <c r="CZ212" i="10"/>
  <c r="CA207" i="10" a="1"/>
  <c r="CA207" i="10"/>
  <c r="CZ207" i="10"/>
  <c r="DK14" i="10" a="1"/>
  <c r="DK14" i="10"/>
  <c r="D23" i="6" a="1"/>
  <c r="D23" i="6"/>
  <c r="CO365" i="5" a="1"/>
  <c r="CO365" i="5"/>
  <c r="CO361" i="5" a="1"/>
  <c r="CO361" i="5"/>
  <c r="CO165" i="5" a="1"/>
  <c r="CO165" i="5"/>
  <c r="CA241" i="10" a="1"/>
  <c r="CA241" i="10"/>
  <c r="CZ241" i="10"/>
  <c r="CA239" i="10" a="1"/>
  <c r="CA239" i="10"/>
  <c r="CZ239" i="10"/>
  <c r="CA210" i="10" a="1"/>
  <c r="CA210" i="10"/>
  <c r="CZ210" i="10"/>
  <c r="CA206" i="10" a="1"/>
  <c r="CA206" i="10"/>
  <c r="CZ206" i="10"/>
  <c r="M60" i="10" a="1"/>
  <c r="M60" i="10"/>
  <c r="CO364" i="5" a="1"/>
  <c r="CO364" i="5"/>
  <c r="CO172" i="5" a="1"/>
  <c r="CO172" i="5"/>
  <c r="CO164" i="5" a="1"/>
  <c r="CO164" i="5"/>
  <c r="CA233" i="10" a="1"/>
  <c r="CA233" i="10"/>
  <c r="CZ233" i="10"/>
  <c r="CA228" i="10" a="1"/>
  <c r="CA228" i="10"/>
  <c r="CZ229" i="10"/>
  <c r="CA226" i="10" a="1"/>
  <c r="CA226" i="10"/>
  <c r="CZ226" i="10"/>
  <c r="CA224" i="10" a="1"/>
  <c r="CA224" i="10"/>
  <c r="CZ224" i="10"/>
  <c r="CA222" i="10" a="1"/>
  <c r="CA222" i="10"/>
  <c r="CZ222" i="10"/>
  <c r="CA220" i="10" a="1"/>
  <c r="CA220" i="10"/>
  <c r="CZ220" i="10"/>
  <c r="CA218" i="10" a="1"/>
  <c r="CA218" i="10"/>
  <c r="CZ218" i="10"/>
  <c r="CA216" i="10" a="1"/>
  <c r="CA216" i="10"/>
  <c r="CZ216" i="10"/>
  <c r="CA214" i="10" a="1"/>
  <c r="CA214" i="10"/>
  <c r="CZ214" i="10"/>
  <c r="DK18" i="10" a="1"/>
  <c r="DK18" i="10"/>
  <c r="DS182" i="5"/>
  <c r="CO371" i="5" a="1"/>
  <c r="CO371" i="5"/>
  <c r="CO360" i="5" a="1"/>
  <c r="CO360" i="5"/>
  <c r="CO171" i="5" a="1"/>
  <c r="CO171" i="5"/>
  <c r="CA254" i="10" a="1"/>
  <c r="CA254" i="10"/>
  <c r="CZ255" i="10"/>
  <c r="CA252" i="10" a="1"/>
  <c r="CA252" i="10"/>
  <c r="CA250" i="10" a="1"/>
  <c r="CA250" i="10"/>
  <c r="CZ250" i="10"/>
  <c r="CA236" i="10" a="1"/>
  <c r="CA236" i="10"/>
  <c r="CZ236" i="10"/>
  <c r="CA208" i="10" a="1"/>
  <c r="CA208" i="10"/>
  <c r="CZ208" i="10"/>
  <c r="AA60" i="10" a="1"/>
  <c r="AA60" i="10"/>
  <c r="CO370" i="5" a="1"/>
  <c r="CO370" i="5"/>
  <c r="CO363" i="5" a="1"/>
  <c r="CO363" i="5"/>
  <c r="CO359" i="5" a="1"/>
  <c r="CO359" i="5"/>
  <c r="CO175" i="5" a="1"/>
  <c r="CO175" i="5"/>
  <c r="CO170" i="5" a="1"/>
  <c r="CO170" i="5"/>
  <c r="CO163" i="5" a="1"/>
  <c r="CO163" i="5"/>
  <c r="ED55" i="12" a="1"/>
  <c r="ED55" i="12"/>
  <c r="DA38" i="12" a="1"/>
  <c r="DA38" i="12" s="1"/>
  <c r="CA248" i="10" a="1"/>
  <c r="CA248" i="10"/>
  <c r="CZ248" i="10"/>
  <c r="CA246" i="10" a="1"/>
  <c r="CA246" i="10"/>
  <c r="CZ246" i="10"/>
  <c r="CA244" i="10" a="1"/>
  <c r="CA244" i="10"/>
  <c r="CZ244" i="10"/>
  <c r="CA238" i="10" a="1"/>
  <c r="CA238" i="10"/>
  <c r="CZ238" i="10"/>
  <c r="CA211" i="10" a="1"/>
  <c r="CA211" i="10"/>
  <c r="CZ211" i="10"/>
  <c r="R60" i="10" a="1"/>
  <c r="R60" i="10"/>
  <c r="AF60" i="10"/>
  <c r="CO369" i="5" a="1"/>
  <c r="CO369" i="5"/>
  <c r="CO169" i="5" a="1"/>
  <c r="CO169" i="5"/>
  <c r="CA242" i="10" a="1"/>
  <c r="CA242" i="10"/>
  <c r="CZ242" i="10"/>
  <c r="CA240" i="10" a="1"/>
  <c r="CA240" i="10"/>
  <c r="CZ240" i="10"/>
  <c r="CA234" i="10" a="1"/>
  <c r="CA234" i="10"/>
  <c r="CZ234" i="10"/>
  <c r="CA213" i="10" a="1"/>
  <c r="CA213" i="10"/>
  <c r="CZ213" i="10"/>
  <c r="BT312" i="3"/>
  <c r="BT328" i="3"/>
  <c r="BT336" i="3"/>
  <c r="BX424" i="9"/>
  <c r="BX445" i="9"/>
  <c r="GQ445" i="9" s="1"/>
  <c r="GR445" i="9" s="1"/>
  <c r="GS445" i="9" s="1"/>
  <c r="GT445" i="9" s="1"/>
  <c r="GU445" i="9" s="1"/>
  <c r="GV445" i="9" s="1"/>
  <c r="BX527" i="9"/>
  <c r="BX537" i="9"/>
  <c r="GY537" i="9" s="1"/>
  <c r="GZ537" i="9" s="1"/>
  <c r="HH537" i="9" s="1"/>
  <c r="CF537" i="9" s="1"/>
  <c r="BX539" i="9"/>
  <c r="BX544" i="9"/>
  <c r="BX648" i="9"/>
  <c r="BX653" i="9"/>
  <c r="BX655" i="9"/>
  <c r="BX657" i="9"/>
  <c r="BX659" i="9"/>
  <c r="BX667" i="9"/>
  <c r="DC23" i="10"/>
  <c r="BX413" i="9"/>
  <c r="BX420" i="9"/>
  <c r="BX439" i="9"/>
  <c r="BX442" i="9"/>
  <c r="GY442" i="9" s="1"/>
  <c r="GZ442" i="9" s="1"/>
  <c r="HH442" i="9" s="1"/>
  <c r="CF442" i="9" s="1"/>
  <c r="BX451" i="9"/>
  <c r="BX512" i="9"/>
  <c r="GY512" i="9"/>
  <c r="GZ512" i="9" s="1"/>
  <c r="HH512" i="9" s="1"/>
  <c r="CF512" i="9" s="1"/>
  <c r="BX514" i="9"/>
  <c r="BX519" i="9"/>
  <c r="BX546" i="9"/>
  <c r="BX570" i="9"/>
  <c r="BX638" i="9"/>
  <c r="BX668" i="9"/>
  <c r="BX688" i="9"/>
  <c r="BX404" i="9"/>
  <c r="BX408" i="9"/>
  <c r="BX417" i="9"/>
  <c r="BX426" i="9"/>
  <c r="BX534" i="9"/>
  <c r="BX542" i="9"/>
  <c r="BX561" i="9"/>
  <c r="BX564" i="9"/>
  <c r="BX567" i="9"/>
  <c r="BX642" i="9"/>
  <c r="BX644" i="9"/>
  <c r="BX663" i="9"/>
  <c r="GY663" i="9"/>
  <c r="GZ663" i="9" s="1"/>
  <c r="HH663" i="9" s="1"/>
  <c r="BX669" i="9"/>
  <c r="BX679" i="9"/>
  <c r="BX682" i="9"/>
  <c r="BX685" i="9"/>
  <c r="DC18" i="10"/>
  <c r="BX414" i="9"/>
  <c r="BX430" i="9"/>
  <c r="BX444" i="9"/>
  <c r="BX447" i="9"/>
  <c r="BX523" i="9"/>
  <c r="GY523" i="9" s="1"/>
  <c r="GZ523" i="9" s="1"/>
  <c r="HH523" i="9" s="1"/>
  <c r="CF523" i="9" s="1"/>
  <c r="BX525" i="9"/>
  <c r="GY525" i="9" s="1"/>
  <c r="GZ525" i="9" s="1"/>
  <c r="HH525" i="9" s="1"/>
  <c r="CF525" i="9" s="1"/>
  <c r="BX633" i="9"/>
  <c r="BX665" i="9"/>
  <c r="BX670" i="9"/>
  <c r="BX409" i="9"/>
  <c r="BX412" i="9"/>
  <c r="BX441" i="9"/>
  <c r="BX450" i="9"/>
  <c r="BX538" i="9"/>
  <c r="BX545" i="9"/>
  <c r="BX557" i="9"/>
  <c r="BX569" i="9"/>
  <c r="BX635" i="9"/>
  <c r="BX647" i="9"/>
  <c r="BX654" i="9"/>
  <c r="BX656" i="9"/>
  <c r="BX658" i="9"/>
  <c r="BX671" i="9"/>
  <c r="BX687" i="9"/>
  <c r="BX415" i="9"/>
  <c r="BX425" i="9"/>
  <c r="BX431" i="9"/>
  <c r="BX436" i="9"/>
  <c r="BX513" i="9"/>
  <c r="GY513" i="9" s="1"/>
  <c r="GZ513" i="9" s="1"/>
  <c r="HH513" i="9" s="1"/>
  <c r="CF513" i="9" s="1"/>
  <c r="BX515" i="9"/>
  <c r="GY515" i="9" s="1"/>
  <c r="GZ515" i="9" s="1"/>
  <c r="HH515" i="9" s="1"/>
  <c r="CF515" i="9" s="1"/>
  <c r="BX520" i="9"/>
  <c r="BX560" i="9"/>
  <c r="BX637" i="9"/>
  <c r="BX639" i="9"/>
  <c r="BX661" i="9"/>
  <c r="BX672" i="9"/>
  <c r="BX443" i="9"/>
  <c r="BX533" i="9"/>
  <c r="BX552" i="9"/>
  <c r="BX555" i="9"/>
  <c r="BX641" i="9"/>
  <c r="BX643" i="9"/>
  <c r="BX662" i="9"/>
  <c r="BX664" i="9"/>
  <c r="BX673" i="9"/>
  <c r="GQ673" i="9" s="1"/>
  <c r="GR673" i="9" s="1"/>
  <c r="GS673" i="9" s="1"/>
  <c r="GT673" i="9" s="1"/>
  <c r="GU673" i="9" s="1"/>
  <c r="GV673" i="9" s="1"/>
  <c r="DC16" i="10"/>
  <c r="CW329" i="10"/>
  <c r="DD326" i="10"/>
  <c r="BE150" i="3"/>
  <c r="BS150" i="3" a="1"/>
  <c r="BS150" i="3" s="1"/>
  <c r="BJ150" i="3" a="1"/>
  <c r="BJ150" i="3"/>
  <c r="BE275" i="3"/>
  <c r="BJ275" i="3" a="1"/>
  <c r="BJ275" i="3" s="1"/>
  <c r="BN275" i="3" a="1"/>
  <c r="BN275" i="3" s="1"/>
  <c r="BK275" i="3" s="1"/>
  <c r="BO275" i="3" a="1"/>
  <c r="BO275" i="3" s="1"/>
  <c r="BL275" i="3" s="1"/>
  <c r="BE283" i="3"/>
  <c r="BJ283" i="3" a="1"/>
  <c r="BJ283" i="3"/>
  <c r="BN283" i="3" a="1"/>
  <c r="BN283" i="3" s="1"/>
  <c r="BK283" i="3" s="1"/>
  <c r="BO283" i="3" a="1"/>
  <c r="BO283" i="3" s="1"/>
  <c r="BL283" i="3" s="1"/>
  <c r="CT320" i="5"/>
  <c r="AU100" i="5"/>
  <c r="CT516" i="5"/>
  <c r="DD323" i="10"/>
  <c r="CW326" i="10"/>
  <c r="DD95" i="10"/>
  <c r="CW342" i="10"/>
  <c r="DD339" i="10"/>
  <c r="GK40" i="9"/>
  <c r="HE40" i="9" s="1"/>
  <c r="CC40" i="9" s="1"/>
  <c r="GK278" i="9"/>
  <c r="HE278" i="9" s="1"/>
  <c r="CC278" i="9" s="1"/>
  <c r="GM438" i="9"/>
  <c r="HG438" i="9" s="1"/>
  <c r="CE438" i="9" s="1"/>
  <c r="GK414" i="9"/>
  <c r="HE414" i="9" s="1"/>
  <c r="CC414" i="9" s="1"/>
  <c r="GM525" i="9"/>
  <c r="HG525" i="9" s="1"/>
  <c r="CE525" i="9" s="1"/>
  <c r="GK508" i="9"/>
  <c r="HE508" i="9" s="1"/>
  <c r="CC508" i="9" s="1"/>
  <c r="GK498" i="9"/>
  <c r="HE498" i="9" s="1"/>
  <c r="CC498" i="9" s="1"/>
  <c r="GM503" i="9"/>
  <c r="HG503" i="9"/>
  <c r="CE503" i="9" s="1"/>
  <c r="GK536" i="9"/>
  <c r="HE536" i="9" s="1"/>
  <c r="CC536" i="9" s="1"/>
  <c r="CT328" i="5"/>
  <c r="AU108" i="5"/>
  <c r="CT524" i="5" s="1"/>
  <c r="CW147" i="10"/>
  <c r="DD144" i="10"/>
  <c r="DD369" i="10" s="1"/>
  <c r="CW17" i="10"/>
  <c r="DD14" i="10"/>
  <c r="CT324" i="5"/>
  <c r="AU104" i="5"/>
  <c r="CT520" i="5"/>
  <c r="DD43" i="10"/>
  <c r="CW46" i="10"/>
  <c r="GQ584" i="9"/>
  <c r="GR584" i="9" s="1"/>
  <c r="GS584" i="9" s="1"/>
  <c r="GT584" i="9" s="1"/>
  <c r="GU584" i="9" s="1"/>
  <c r="GV584" i="9" s="1"/>
  <c r="GK77" i="9"/>
  <c r="HE77" i="9" s="1"/>
  <c r="CC77" i="9" s="1"/>
  <c r="GM59" i="9"/>
  <c r="HG59" i="9" s="1"/>
  <c r="CE59" i="9" s="1"/>
  <c r="GK86" i="9"/>
  <c r="HE86" i="9" s="1"/>
  <c r="CC86" i="9" s="1"/>
  <c r="GM272" i="9"/>
  <c r="HG272" i="9" s="1"/>
  <c r="CE272" i="9" s="1"/>
  <c r="GK267" i="9"/>
  <c r="HE267" i="9" s="1"/>
  <c r="CC267" i="9" s="1"/>
  <c r="GK520" i="9"/>
  <c r="HE520" i="9" s="1"/>
  <c r="CC520" i="9" s="1"/>
  <c r="GK678" i="9"/>
  <c r="HE678" i="9" s="1"/>
  <c r="BN123" i="3" a="1"/>
  <c r="BN123" i="3" s="1"/>
  <c r="BK123" i="3" s="1"/>
  <c r="CE196" i="9"/>
  <c r="GM282" i="9"/>
  <c r="HG282" i="9" s="1"/>
  <c r="CE282" i="9" s="1"/>
  <c r="GM293" i="9"/>
  <c r="HG293" i="9" s="1"/>
  <c r="CE293" i="9" s="1"/>
  <c r="GM305" i="9"/>
  <c r="HG305" i="9" s="1"/>
  <c r="CE305" i="9" s="1"/>
  <c r="GK311" i="9"/>
  <c r="HE311" i="9" s="1"/>
  <c r="CC311" i="9" s="1"/>
  <c r="GK406" i="9"/>
  <c r="HE406" i="9"/>
  <c r="CC406" i="9" s="1"/>
  <c r="GK547" i="9"/>
  <c r="HE547" i="9" s="1"/>
  <c r="CC547" i="9" s="1"/>
  <c r="GK551" i="9"/>
  <c r="HE551" i="9" s="1"/>
  <c r="CC551" i="9"/>
  <c r="GK47" i="9"/>
  <c r="HE47" i="9" s="1"/>
  <c r="CC47" i="9" s="1"/>
  <c r="GM286" i="9"/>
  <c r="HG286" i="9"/>
  <c r="CE286" i="9" s="1"/>
  <c r="GM296" i="9"/>
  <c r="HG296" i="9"/>
  <c r="CE296" i="9" s="1"/>
  <c r="GQ397" i="9"/>
  <c r="GR397" i="9" s="1"/>
  <c r="GS397" i="9" s="1"/>
  <c r="GT397" i="9" s="1"/>
  <c r="GU397" i="9" s="1"/>
  <c r="GV397" i="9" s="1"/>
  <c r="GM562" i="9"/>
  <c r="HG562" i="9" s="1"/>
  <c r="CE562" i="9" s="1"/>
  <c r="GK280" i="9"/>
  <c r="HE280" i="9" s="1"/>
  <c r="CC280" i="9" s="1"/>
  <c r="GK400" i="9"/>
  <c r="HE400" i="9"/>
  <c r="CC400" i="9" s="1"/>
  <c r="GM402" i="9"/>
  <c r="HG402" i="9" s="1"/>
  <c r="CE402" i="9" s="1"/>
  <c r="GM524" i="9"/>
  <c r="HG524" i="9" s="1"/>
  <c r="CE524" i="9" s="1"/>
  <c r="GK636" i="9"/>
  <c r="HE636" i="9"/>
  <c r="GM639" i="9"/>
  <c r="HG639" i="9" s="1"/>
  <c r="GM666" i="9"/>
  <c r="HG666" i="9" s="1"/>
  <c r="GK688" i="9"/>
  <c r="HE688" i="9" s="1"/>
  <c r="CT349" i="5"/>
  <c r="AF101" i="5"/>
  <c r="AE101" i="5"/>
  <c r="GK19" i="9"/>
  <c r="HE19" i="9"/>
  <c r="CC19" i="9" s="1"/>
  <c r="GK84" i="9"/>
  <c r="HE84" i="9" s="1"/>
  <c r="CC84" i="9" s="1"/>
  <c r="GK269" i="9"/>
  <c r="HE269" i="9" s="1"/>
  <c r="CC269" i="9" s="1"/>
  <c r="GM379" i="9"/>
  <c r="HG379" i="9" s="1"/>
  <c r="CE379" i="9" s="1"/>
  <c r="GK445" i="9"/>
  <c r="HE445" i="9" s="1"/>
  <c r="CC445" i="9" s="1"/>
  <c r="GK666" i="9"/>
  <c r="HE666" i="9" s="1"/>
  <c r="GK262" i="9"/>
  <c r="HE262" i="9" s="1"/>
  <c r="CC262" i="9" s="1"/>
  <c r="GM307" i="9"/>
  <c r="HG307" i="9" s="1"/>
  <c r="CE307" i="9" s="1"/>
  <c r="GK394" i="9"/>
  <c r="HE394" i="9" s="1"/>
  <c r="CC394" i="9" s="1"/>
  <c r="GM441" i="9"/>
  <c r="HG441" i="9" s="1"/>
  <c r="CE441" i="9" s="1"/>
  <c r="GK425" i="9"/>
  <c r="HE425" i="9" s="1"/>
  <c r="CC425" i="9" s="1"/>
  <c r="GM444" i="9"/>
  <c r="HG444" i="9"/>
  <c r="CE444" i="9" s="1"/>
  <c r="GM643" i="9"/>
  <c r="HG643" i="9" s="1"/>
  <c r="GM626" i="9"/>
  <c r="HG626" i="9" s="1"/>
  <c r="GM646" i="9"/>
  <c r="HG646" i="9" s="1"/>
  <c r="GM621" i="9"/>
  <c r="HG621" i="9" s="1"/>
  <c r="GM37" i="9"/>
  <c r="HG37" i="9" s="1"/>
  <c r="CE37" i="9" s="1"/>
  <c r="GM55" i="9"/>
  <c r="HG55" i="9" s="1"/>
  <c r="CE55" i="9" s="1"/>
  <c r="GK21" i="9"/>
  <c r="HE21" i="9" s="1"/>
  <c r="CC21" i="9" s="1"/>
  <c r="GM313" i="9"/>
  <c r="HG313" i="9"/>
  <c r="CE313" i="9" s="1"/>
  <c r="GK293" i="9"/>
  <c r="HE293" i="9" s="1"/>
  <c r="CC293" i="9" s="1"/>
  <c r="GK399" i="9"/>
  <c r="HE399" i="9" s="1"/>
  <c r="CC399" i="9" s="1"/>
  <c r="GM619" i="9"/>
  <c r="HG619" i="9" s="1"/>
  <c r="GK620" i="9"/>
  <c r="HE620" i="9" s="1"/>
  <c r="GM632" i="9"/>
  <c r="HG632" i="9"/>
  <c r="GM625" i="9"/>
  <c r="HG625" i="9" s="1"/>
  <c r="GK633" i="9"/>
  <c r="HE633" i="9" s="1"/>
  <c r="GK652" i="9"/>
  <c r="HE652" i="9" s="1"/>
  <c r="GQ77" i="9"/>
  <c r="GR77" i="9"/>
  <c r="GS77" i="9" s="1"/>
  <c r="GT77" i="9" s="1"/>
  <c r="GU77" i="9" s="1"/>
  <c r="GV77" i="9" s="1"/>
  <c r="BN158" i="3" a="1"/>
  <c r="BN158" i="3" s="1"/>
  <c r="BK158" i="3" s="1"/>
  <c r="BE158" i="3"/>
  <c r="BJ158" i="3" a="1"/>
  <c r="BJ158" i="3" s="1"/>
  <c r="BN183" i="3" a="1"/>
  <c r="BN183" i="3" s="1"/>
  <c r="BK183" i="3" s="1"/>
  <c r="BJ183" i="3" a="1"/>
  <c r="BJ183" i="3" s="1"/>
  <c r="BE191" i="3"/>
  <c r="BJ191" i="3" a="1"/>
  <c r="BJ191" i="3" s="1"/>
  <c r="BO191" i="3" a="1"/>
  <c r="BO191" i="3" s="1"/>
  <c r="BL191" i="3" s="1"/>
  <c r="BN191" i="3" a="1"/>
  <c r="BN191" i="3" s="1"/>
  <c r="BK191" i="3" s="1"/>
  <c r="BE143" i="3"/>
  <c r="BN143" i="3" a="1"/>
  <c r="BN143" i="3" s="1"/>
  <c r="BK143" i="3" s="1"/>
  <c r="BJ143" i="3" a="1"/>
  <c r="BJ143" i="3"/>
  <c r="BE148" i="3"/>
  <c r="BJ148" i="3" a="1"/>
  <c r="BJ148" i="3"/>
  <c r="BE153" i="3"/>
  <c r="BJ153" i="3" a="1"/>
  <c r="BJ153" i="3"/>
  <c r="BE207" i="3"/>
  <c r="BN207" i="3" a="1"/>
  <c r="BN207" i="3" s="1"/>
  <c r="BK207" i="3" s="1"/>
  <c r="BJ207" i="3" a="1"/>
  <c r="BJ207" i="3" s="1"/>
  <c r="BE215" i="3"/>
  <c r="BJ215" i="3" a="1"/>
  <c r="BJ215" i="3" s="1"/>
  <c r="BO215" i="3" a="1"/>
  <c r="BO215" i="3" s="1"/>
  <c r="BL215" i="3" s="1"/>
  <c r="BN215" i="3" a="1"/>
  <c r="BN215" i="3" s="1"/>
  <c r="BK215" i="3" s="1"/>
  <c r="BE223" i="3"/>
  <c r="BJ223" i="3" a="1"/>
  <c r="BJ223" i="3" s="1"/>
  <c r="BN223" i="3" a="1"/>
  <c r="BN223" i="3"/>
  <c r="BK223" i="3" s="1"/>
  <c r="BO223" i="3" a="1"/>
  <c r="BO223" i="3" s="1"/>
  <c r="BL223" i="3" s="1"/>
  <c r="GQ55" i="9"/>
  <c r="GR55" i="9" s="1"/>
  <c r="GS55" i="9" s="1"/>
  <c r="GT55" i="9" s="1"/>
  <c r="GU55" i="9" s="1"/>
  <c r="GV55" i="9" s="1"/>
  <c r="BE166" i="3"/>
  <c r="BJ166" i="3" a="1"/>
  <c r="BJ166" i="3" s="1"/>
  <c r="BE239" i="3"/>
  <c r="BN239" i="3" a="1"/>
  <c r="BN239" i="3" s="1"/>
  <c r="BK239" i="3" s="1"/>
  <c r="BO239" i="3" a="1"/>
  <c r="BO239" i="3" s="1"/>
  <c r="BL239" i="3" s="1"/>
  <c r="BJ239" i="3" a="1"/>
  <c r="BJ239" i="3" s="1"/>
  <c r="BE247" i="3"/>
  <c r="BN247" i="3" a="1"/>
  <c r="BN247" i="3" s="1"/>
  <c r="BK247" i="3" s="1"/>
  <c r="BO247" i="3" a="1"/>
  <c r="BO247" i="3" s="1"/>
  <c r="BL247" i="3" s="1"/>
  <c r="BJ247" i="3" a="1"/>
  <c r="BJ247" i="3" s="1"/>
  <c r="BE255" i="3"/>
  <c r="BJ255" i="3" a="1"/>
  <c r="BJ255" i="3" s="1"/>
  <c r="BN255" i="3" a="1"/>
  <c r="BN255" i="3"/>
  <c r="BK255" i="3" s="1"/>
  <c r="BO255" i="3" a="1"/>
  <c r="BO255" i="3" s="1"/>
  <c r="BL255" i="3" s="1"/>
  <c r="GK325" i="9"/>
  <c r="HE325" i="9" s="1"/>
  <c r="CC325" i="9" s="1"/>
  <c r="BE271" i="3"/>
  <c r="BN271" i="3" a="1"/>
  <c r="BN271" i="3" s="1"/>
  <c r="BK271" i="3" s="1"/>
  <c r="BO271" i="3" a="1"/>
  <c r="BO271" i="3" s="1"/>
  <c r="BL271" i="3" s="1"/>
  <c r="BJ271" i="3" a="1"/>
  <c r="BJ271" i="3"/>
  <c r="BE279" i="3"/>
  <c r="BN279" i="3" a="1"/>
  <c r="BN279" i="3"/>
  <c r="BK279" i="3" s="1"/>
  <c r="BO279" i="3" a="1"/>
  <c r="BO279" i="3" s="1"/>
  <c r="BL279" i="3" s="1"/>
  <c r="BE287" i="3"/>
  <c r="BO287" i="3" a="1"/>
  <c r="BO287" i="3" s="1"/>
  <c r="BL287" i="3" s="1"/>
  <c r="BN287" i="3" a="1"/>
  <c r="BN287" i="3" s="1"/>
  <c r="BK287" i="3" s="1"/>
  <c r="BJ287" i="3" a="1"/>
  <c r="BJ287" i="3"/>
  <c r="BE311" i="3"/>
  <c r="BN311" i="3" a="1"/>
  <c r="BN311" i="3" s="1"/>
  <c r="BK311" i="3" s="1"/>
  <c r="BO311" i="3" a="1"/>
  <c r="BO311" i="3" s="1"/>
  <c r="BL311" i="3" s="1"/>
  <c r="BJ311" i="3" a="1"/>
  <c r="BJ311" i="3"/>
  <c r="GQ574" i="9"/>
  <c r="GR574" i="9" s="1"/>
  <c r="GS574" i="9" s="1"/>
  <c r="GT574" i="9" s="1"/>
  <c r="GU574" i="9" s="1"/>
  <c r="GV574" i="9" s="1"/>
  <c r="GW574" i="9" s="1"/>
  <c r="HF574" i="9" s="1"/>
  <c r="BE144" i="3"/>
  <c r="BS144" i="3" a="1"/>
  <c r="BS144" i="3" s="1"/>
  <c r="BN144" i="3" a="1"/>
  <c r="BN144" i="3" s="1"/>
  <c r="BK144" i="3" s="1"/>
  <c r="BJ144" i="3" a="1"/>
  <c r="BJ144" i="3" s="1"/>
  <c r="BE179" i="3"/>
  <c r="BO179" i="3" a="1"/>
  <c r="BO179" i="3" s="1"/>
  <c r="BL179" i="3" s="1"/>
  <c r="BJ179" i="3" a="1"/>
  <c r="BJ179" i="3" s="1"/>
  <c r="BN179" i="3" a="1"/>
  <c r="BN179" i="3" s="1"/>
  <c r="BK179" i="3" s="1"/>
  <c r="BE187" i="3"/>
  <c r="BJ187" i="3" a="1"/>
  <c r="BJ187" i="3" s="1"/>
  <c r="BN187" i="3" a="1"/>
  <c r="BN187" i="3"/>
  <c r="BK187" i="3" s="1"/>
  <c r="BO187" i="3" a="1"/>
  <c r="BO187" i="3" s="1"/>
  <c r="BL187" i="3" s="1"/>
  <c r="BE195" i="3"/>
  <c r="BN195" i="3" a="1"/>
  <c r="BN195" i="3" s="1"/>
  <c r="BK195" i="3" s="1"/>
  <c r="BJ195" i="3" a="1"/>
  <c r="BJ195" i="3"/>
  <c r="BO195" i="3" a="1"/>
  <c r="BO195" i="3" s="1"/>
  <c r="BL195" i="3" s="1"/>
  <c r="BE211" i="3"/>
  <c r="BN211" i="3" a="1"/>
  <c r="BN211" i="3" s="1"/>
  <c r="BK211" i="3" s="1"/>
  <c r="BJ211" i="3" a="1"/>
  <c r="BJ211" i="3" s="1"/>
  <c r="BO211" i="3" a="1"/>
  <c r="BO211" i="3" s="1"/>
  <c r="BL211" i="3" s="1"/>
  <c r="BE219" i="3"/>
  <c r="BJ219" i="3" a="1"/>
  <c r="BJ219" i="3" s="1"/>
  <c r="BN219" i="3" a="1"/>
  <c r="BN219" i="3" s="1"/>
  <c r="BK219" i="3" s="1"/>
  <c r="BO219" i="3" a="1"/>
  <c r="BO219" i="3" s="1"/>
  <c r="BL219" i="3" s="1"/>
  <c r="BE227" i="3"/>
  <c r="BS227" i="3" a="1"/>
  <c r="BS227" i="3" s="1"/>
  <c r="BN227" i="3" a="1"/>
  <c r="BN227" i="3"/>
  <c r="BK227" i="3" s="1"/>
  <c r="BO227" i="3" a="1"/>
  <c r="BO227" i="3" s="1"/>
  <c r="BL227" i="3" s="1"/>
  <c r="BJ227" i="3" a="1"/>
  <c r="BJ227" i="3" s="1"/>
  <c r="BE165" i="3"/>
  <c r="BS165" i="3" a="1"/>
  <c r="BS165" i="3" s="1"/>
  <c r="BJ165" i="3" a="1"/>
  <c r="BJ165" i="3"/>
  <c r="BE243" i="3"/>
  <c r="BJ243" i="3" a="1"/>
  <c r="BJ243" i="3" s="1"/>
  <c r="BN243" i="3" a="1"/>
  <c r="BN243" i="3" s="1"/>
  <c r="BK243" i="3" s="1"/>
  <c r="BO243" i="3" a="1"/>
  <c r="BO243" i="3" s="1"/>
  <c r="BL243" i="3" s="1"/>
  <c r="BE251" i="3"/>
  <c r="BJ251" i="3" a="1"/>
  <c r="BJ251" i="3"/>
  <c r="BN251" i="3" a="1"/>
  <c r="BN251" i="3" s="1"/>
  <c r="BK251" i="3" s="1"/>
  <c r="BO251" i="3" a="1"/>
  <c r="BO251" i="3" s="1"/>
  <c r="BL251" i="3" s="1"/>
  <c r="BE259" i="3"/>
  <c r="BJ259" i="3" a="1"/>
  <c r="BJ259" i="3"/>
  <c r="BO259" i="3" a="1"/>
  <c r="BO259" i="3" s="1"/>
  <c r="BL259" i="3" s="1"/>
  <c r="BN259" i="3" a="1"/>
  <c r="BN259" i="3" s="1"/>
  <c r="BK259" i="3" s="1"/>
  <c r="BT156" i="3"/>
  <c r="BT184" i="3"/>
  <c r="BT216" i="3"/>
  <c r="BT248" i="3"/>
  <c r="BT280" i="3"/>
  <c r="BT308" i="3"/>
  <c r="EU22" i="12"/>
  <c r="BV26" i="12"/>
  <c r="EU30" i="12"/>
  <c r="BV34" i="12"/>
  <c r="EU38" i="12"/>
  <c r="BV42" i="12"/>
  <c r="BW42" i="12" s="1"/>
  <c r="EP11" i="12"/>
  <c r="BQ11" i="12"/>
  <c r="CH11" i="12" s="1"/>
  <c r="EU23" i="12"/>
  <c r="BV27" i="12"/>
  <c r="EU31" i="12"/>
  <c r="BV35" i="12"/>
  <c r="EU40" i="12"/>
  <c r="BV44" i="12"/>
  <c r="BW44" i="12" s="1"/>
  <c r="EU16" i="12"/>
  <c r="BV16" i="12"/>
  <c r="EU24" i="12"/>
  <c r="BV28" i="12"/>
  <c r="BW28" i="12" s="1"/>
  <c r="EU32" i="12"/>
  <c r="BV36" i="12"/>
  <c r="EU44" i="12"/>
  <c r="BV48" i="12"/>
  <c r="BW48" i="12" s="1"/>
  <c r="EW22" i="12"/>
  <c r="EU18" i="12"/>
  <c r="BV18" i="12" s="1"/>
  <c r="EU26" i="12"/>
  <c r="BV30" i="12" s="1"/>
  <c r="BW30" i="12" s="1"/>
  <c r="EU34" i="12"/>
  <c r="BV38" i="12" s="1"/>
  <c r="BW17" i="12"/>
  <c r="EU19" i="12"/>
  <c r="BV19" i="12"/>
  <c r="BV20" i="12" s="1"/>
  <c r="BV21" i="12" s="1"/>
  <c r="BV22" i="12" s="1"/>
  <c r="BV23" i="12" s="1"/>
  <c r="EU27" i="12"/>
  <c r="BV31" i="12" s="1"/>
  <c r="EU35" i="12"/>
  <c r="BV39" i="12" s="1"/>
  <c r="EV25" i="12"/>
  <c r="DC25" i="10"/>
  <c r="EU20" i="12"/>
  <c r="BV24" i="12"/>
  <c r="EU28" i="12"/>
  <c r="BV32" i="12"/>
  <c r="BW32" i="12" s="1"/>
  <c r="EU36" i="12"/>
  <c r="BV40" i="12"/>
  <c r="EV33" i="12"/>
  <c r="BW37" i="12"/>
  <c r="CW151" i="10"/>
  <c r="DD148" i="10"/>
  <c r="DD373" i="10" s="1"/>
  <c r="GK16" i="9"/>
  <c r="HE16" i="9"/>
  <c r="CC16" i="9" s="1"/>
  <c r="CC201" i="9"/>
  <c r="BE119" i="3"/>
  <c r="BJ119" i="3" a="1"/>
  <c r="BJ119" i="3"/>
  <c r="BO129" i="3" a="1"/>
  <c r="BO129" i="3" s="1"/>
  <c r="BL129" i="3" s="1"/>
  <c r="BE129" i="3"/>
  <c r="BN129" i="3" a="1"/>
  <c r="BN129" i="3" s="1"/>
  <c r="BK129" i="3" s="1"/>
  <c r="BJ129" i="3" a="1"/>
  <c r="BJ129" i="3"/>
  <c r="BI129" i="3" a="1"/>
  <c r="BI129" i="3" s="1"/>
  <c r="BE131" i="3"/>
  <c r="BO131" i="3" a="1"/>
  <c r="BO131" i="3" s="1"/>
  <c r="BL131" i="3" s="1"/>
  <c r="BN131" i="3" a="1"/>
  <c r="BN131" i="3" s="1"/>
  <c r="BK131" i="3" s="1"/>
  <c r="BJ131" i="3" a="1"/>
  <c r="BJ131" i="3" s="1"/>
  <c r="BI131" i="3" a="1"/>
  <c r="BI131" i="3" s="1"/>
  <c r="BO145" i="3" a="1"/>
  <c r="BO145" i="3" s="1"/>
  <c r="BL145" i="3" s="1"/>
  <c r="BE145" i="3"/>
  <c r="BN145" i="3" a="1"/>
  <c r="BN145" i="3" s="1"/>
  <c r="BK145" i="3" s="1"/>
  <c r="BJ145" i="3" a="1"/>
  <c r="BJ145" i="3" s="1"/>
  <c r="BE161" i="3"/>
  <c r="BJ161" i="3" a="1"/>
  <c r="BJ161" i="3"/>
  <c r="BN161" i="3" a="1"/>
  <c r="BN161" i="3"/>
  <c r="BK161" i="3" s="1"/>
  <c r="BE303" i="3"/>
  <c r="BO303" i="3" a="1"/>
  <c r="BO303" i="3" s="1"/>
  <c r="BL303" i="3" s="1"/>
  <c r="BN303" i="3" a="1"/>
  <c r="BN303" i="3" s="1"/>
  <c r="BK303" i="3" s="1"/>
  <c r="BJ303" i="3" a="1"/>
  <c r="BJ303" i="3" s="1"/>
  <c r="CZ27" i="12" a="1"/>
  <c r="CZ27" i="12" s="1"/>
  <c r="DC44" i="12" a="1"/>
  <c r="DC44" i="12" s="1"/>
  <c r="DC32" i="12" a="1"/>
  <c r="DC32" i="12" s="1"/>
  <c r="CZ20" i="12" a="1"/>
  <c r="CZ20" i="12" s="1"/>
  <c r="DC26" i="12" a="1"/>
  <c r="DC26" i="12" s="1"/>
  <c r="CZ45" i="12" a="1"/>
  <c r="CZ45" i="12" s="1"/>
  <c r="CZ37" i="12" a="1"/>
  <c r="CZ37" i="12" s="1"/>
  <c r="DB27" i="12" a="1"/>
  <c r="DB27" i="12" s="1"/>
  <c r="DC27" i="12" s="1"/>
  <c r="CZ21" i="12" a="1"/>
  <c r="CZ21" i="12" s="1"/>
  <c r="CZ41" i="12" a="1"/>
  <c r="CZ41" i="12" s="1"/>
  <c r="DC37" i="12" a="1"/>
  <c r="DC37" i="12" s="1"/>
  <c r="DA19" i="12" a="1"/>
  <c r="DA19" i="12" s="1"/>
  <c r="DA27" i="12" a="1"/>
  <c r="DA27" i="12" s="1"/>
  <c r="CZ19" i="12" a="1"/>
  <c r="CZ19" i="12" s="1"/>
  <c r="DC45" i="12" a="1"/>
  <c r="DC45" i="12" s="1"/>
  <c r="CZ46" i="12" a="1"/>
  <c r="CZ46" i="12" s="1"/>
  <c r="CW161" i="10"/>
  <c r="DD158" i="10"/>
  <c r="DD383" i="10" s="1"/>
  <c r="CW153" i="10"/>
  <c r="DD150" i="10"/>
  <c r="DD375" i="10" s="1"/>
  <c r="CW149" i="10"/>
  <c r="DD146" i="10"/>
  <c r="DD371" i="10" s="1"/>
  <c r="GH221" i="9"/>
  <c r="GK44" i="9"/>
  <c r="HE44" i="9" s="1"/>
  <c r="CC44" i="9" s="1"/>
  <c r="CW42" i="10"/>
  <c r="DD39" i="10"/>
  <c r="DD62" i="10"/>
  <c r="CW65" i="10"/>
  <c r="CW20" i="10"/>
  <c r="DD17" i="10"/>
  <c r="DD16" i="10"/>
  <c r="CW194" i="10"/>
  <c r="DD191" i="10"/>
  <c r="DD416" i="10" s="1"/>
  <c r="DD24" i="10"/>
  <c r="CW21" i="10"/>
  <c r="DD18" i="10"/>
  <c r="CW173" i="10"/>
  <c r="DD170" i="10"/>
  <c r="DD395" i="10" s="1"/>
  <c r="GK279" i="9"/>
  <c r="HE279" i="9" s="1"/>
  <c r="CC279" i="9" s="1"/>
  <c r="GK314" i="9"/>
  <c r="HE314" i="9" s="1"/>
  <c r="CC314" i="9" s="1"/>
  <c r="GM16" i="9"/>
  <c r="HG16" i="9" s="1"/>
  <c r="CE16" i="9" s="1"/>
  <c r="CC207" i="9"/>
  <c r="GQ63" i="9"/>
  <c r="GR63" i="9" s="1"/>
  <c r="GS63" i="9" s="1"/>
  <c r="GT63" i="9" s="1"/>
  <c r="GU63" i="9" s="1"/>
  <c r="GV63" i="9" s="1"/>
  <c r="GM13" i="9"/>
  <c r="HG13" i="9" s="1"/>
  <c r="CE13" i="9" s="1"/>
  <c r="GQ466" i="9"/>
  <c r="GR466" i="9" s="1"/>
  <c r="GS466" i="9" s="1"/>
  <c r="GT466" i="9" s="1"/>
  <c r="GU466" i="9" s="1"/>
  <c r="GV466" i="9" s="1"/>
  <c r="GD466" i="9"/>
  <c r="GE466" i="9" s="1"/>
  <c r="GF466" i="9" s="1"/>
  <c r="GG466" i="9" s="1"/>
  <c r="GH466" i="9" s="1"/>
  <c r="GI466" i="9" s="1"/>
  <c r="GQ474" i="9"/>
  <c r="GR474" i="9" s="1"/>
  <c r="GS474" i="9" s="1"/>
  <c r="GT474" i="9" s="1"/>
  <c r="GU474" i="9" s="1"/>
  <c r="GV474" i="9" s="1"/>
  <c r="GM43" i="9"/>
  <c r="HG43" i="9" s="1"/>
  <c r="CE43" i="9" s="1"/>
  <c r="GK31" i="9"/>
  <c r="HE31" i="9"/>
  <c r="CC31" i="9" s="1"/>
  <c r="CE199" i="9"/>
  <c r="GM315" i="9"/>
  <c r="HG315" i="9" s="1"/>
  <c r="CE315" i="9" s="1"/>
  <c r="CE208" i="9"/>
  <c r="GM301" i="9"/>
  <c r="HG301" i="9" s="1"/>
  <c r="CE301" i="9" s="1"/>
  <c r="GK270" i="9"/>
  <c r="HE270" i="9" s="1"/>
  <c r="CC270" i="9" s="1"/>
  <c r="GM71" i="9"/>
  <c r="HG71" i="9" s="1"/>
  <c r="CE71" i="9" s="1"/>
  <c r="GM67" i="9"/>
  <c r="HG67" i="9" s="1"/>
  <c r="CE67" i="9" s="1"/>
  <c r="GK45" i="9"/>
  <c r="HE45" i="9" s="1"/>
  <c r="CC45" i="9" s="1"/>
  <c r="GM22" i="9"/>
  <c r="HG22" i="9" s="1"/>
  <c r="CE22" i="9" s="1"/>
  <c r="GM81" i="9"/>
  <c r="HG81" i="9" s="1"/>
  <c r="CE81" i="9" s="1"/>
  <c r="GM259" i="9"/>
  <c r="HG259" i="9" s="1"/>
  <c r="CE259" i="9" s="1"/>
  <c r="GM266" i="9"/>
  <c r="HG266" i="9"/>
  <c r="CE266" i="9" s="1"/>
  <c r="GK70" i="9"/>
  <c r="HE70" i="9" s="1"/>
  <c r="CC70" i="9" s="1"/>
  <c r="GK276" i="9"/>
  <c r="HE276" i="9" s="1"/>
  <c r="CC276" i="9" s="1"/>
  <c r="GM262" i="9"/>
  <c r="HG262" i="9" s="1"/>
  <c r="CE262" i="9" s="1"/>
  <c r="GM269" i="9"/>
  <c r="HG269" i="9" s="1"/>
  <c r="CE269" i="9" s="1"/>
  <c r="GM40" i="9"/>
  <c r="HG40" i="9" s="1"/>
  <c r="CE40" i="9" s="1"/>
  <c r="GM290" i="9"/>
  <c r="HG290" i="9" s="1"/>
  <c r="CE290" i="9" s="1"/>
  <c r="GM292" i="9"/>
  <c r="HG292" i="9" s="1"/>
  <c r="CE292" i="9" s="1"/>
  <c r="N8" i="4"/>
  <c r="BP8" i="4" s="1"/>
  <c r="CV239" i="10"/>
  <c r="AF68" i="10"/>
  <c r="GK18" i="9"/>
  <c r="HE18" i="9" s="1"/>
  <c r="CC18" i="9" s="1"/>
  <c r="GM38" i="9"/>
  <c r="HG38" i="9" s="1"/>
  <c r="CE38" i="9" s="1"/>
  <c r="CE204" i="9"/>
  <c r="GK272" i="9"/>
  <c r="HE272" i="9" s="1"/>
  <c r="CC272" i="9" s="1"/>
  <c r="GK323" i="9"/>
  <c r="HE323" i="9" s="1"/>
  <c r="CC323" i="9" s="1"/>
  <c r="GK329" i="9"/>
  <c r="HE329" i="9"/>
  <c r="CC329" i="9" s="1"/>
  <c r="GK263" i="9"/>
  <c r="HE263" i="9" s="1"/>
  <c r="CC263" i="9" s="1"/>
  <c r="GK509" i="9"/>
  <c r="HE509" i="9" s="1"/>
  <c r="CC509" i="9" s="1"/>
  <c r="GK543" i="9"/>
  <c r="HE543" i="9" s="1"/>
  <c r="CC543" i="9" s="1"/>
  <c r="GK561" i="9"/>
  <c r="HE561" i="9" s="1"/>
  <c r="CC561" i="9" s="1"/>
  <c r="GM650" i="9"/>
  <c r="HG650" i="9" s="1"/>
  <c r="GK654" i="9"/>
  <c r="HE654" i="9" s="1"/>
  <c r="AN59" i="5"/>
  <c r="CQ359" i="5"/>
  <c r="AH65" i="5"/>
  <c r="CR359" i="5" s="1"/>
  <c r="CQ367" i="5"/>
  <c r="AH73" i="5"/>
  <c r="CR367" i="5" s="1"/>
  <c r="CQ606" i="5"/>
  <c r="BD59" i="5"/>
  <c r="BA74" i="5"/>
  <c r="CR606" i="5" s="1"/>
  <c r="CQ579" i="5"/>
  <c r="AY75" i="5"/>
  <c r="CR579" i="5" s="1"/>
  <c r="BD60" i="5"/>
  <c r="GK76" i="9"/>
  <c r="HE76" i="9" s="1"/>
  <c r="CC76" i="9" s="1"/>
  <c r="GM77" i="9"/>
  <c r="HG77" i="9" s="1"/>
  <c r="CE77" i="9" s="1"/>
  <c r="GK56" i="9"/>
  <c r="HE56" i="9"/>
  <c r="CC56" i="9" s="1"/>
  <c r="CE202" i="9"/>
  <c r="GM86" i="9"/>
  <c r="HG86" i="9" s="1"/>
  <c r="CE86" i="9" s="1"/>
  <c r="GK421" i="9"/>
  <c r="HE421" i="9" s="1"/>
  <c r="CC421" i="9" s="1"/>
  <c r="GK451" i="9"/>
  <c r="HE451" i="9" s="1"/>
  <c r="CC451" i="9" s="1"/>
  <c r="GM559" i="9"/>
  <c r="HG559" i="9" s="1"/>
  <c r="CE559" i="9" s="1"/>
  <c r="GM535" i="9"/>
  <c r="HG535" i="9" s="1"/>
  <c r="CE535" i="9" s="1"/>
  <c r="GK36" i="9"/>
  <c r="HE36" i="9" s="1"/>
  <c r="CC36" i="9" s="1"/>
  <c r="GM30" i="9"/>
  <c r="HG30" i="9" s="1"/>
  <c r="CE30" i="9" s="1"/>
  <c r="GM45" i="9"/>
  <c r="HG45" i="9" s="1"/>
  <c r="CE45" i="9" s="1"/>
  <c r="GK30" i="9"/>
  <c r="HE30" i="9" s="1"/>
  <c r="CC30" i="9" s="1"/>
  <c r="GK85" i="9"/>
  <c r="HE85" i="9" s="1"/>
  <c r="CC85" i="9" s="1"/>
  <c r="GM404" i="9"/>
  <c r="HG404" i="9" s="1"/>
  <c r="CE404" i="9" s="1"/>
  <c r="GK378" i="9"/>
  <c r="HE378" i="9" s="1"/>
  <c r="CC378" i="9" s="1"/>
  <c r="GM390" i="9"/>
  <c r="HG390" i="9" s="1"/>
  <c r="CE390" i="9" s="1"/>
  <c r="GK404" i="9"/>
  <c r="HE404" i="9" s="1"/>
  <c r="CC404" i="9"/>
  <c r="GM423" i="9"/>
  <c r="HG423" i="9" s="1"/>
  <c r="CE423" i="9" s="1"/>
  <c r="GM539" i="9"/>
  <c r="HG539" i="9" s="1"/>
  <c r="CE539" i="9" s="1"/>
  <c r="GM685" i="9"/>
  <c r="HG685" i="9" s="1"/>
  <c r="GQ526" i="9"/>
  <c r="GR526" i="9" s="1"/>
  <c r="GS526" i="9" s="1"/>
  <c r="GT526" i="9" s="1"/>
  <c r="GU526" i="9" s="1"/>
  <c r="GV526" i="9" s="1"/>
  <c r="GQ58" i="9"/>
  <c r="GR58" i="9" s="1"/>
  <c r="GS58" i="9" s="1"/>
  <c r="GT58" i="9" s="1"/>
  <c r="GU58" i="9" s="1"/>
  <c r="GV58" i="9" s="1"/>
  <c r="GQ171" i="9"/>
  <c r="GQ287" i="9"/>
  <c r="GR287" i="9" s="1"/>
  <c r="GS287" i="9" s="1"/>
  <c r="GT287" i="9" s="1"/>
  <c r="GU287" i="9" s="1"/>
  <c r="GV287" i="9" s="1"/>
  <c r="GQ623" i="9"/>
  <c r="GR623" i="9" s="1"/>
  <c r="GS623" i="9" s="1"/>
  <c r="GT623" i="9" s="1"/>
  <c r="GU623" i="9" s="1"/>
  <c r="GV623" i="9" s="1"/>
  <c r="BO156" i="3" a="1"/>
  <c r="BO156" i="3" s="1"/>
  <c r="BL156" i="3" s="1"/>
  <c r="BO159" i="3" a="1"/>
  <c r="BO159" i="3" s="1"/>
  <c r="BL159" i="3" s="1"/>
  <c r="BE146" i="3"/>
  <c r="BO146" i="3" a="1"/>
  <c r="BO146" i="3" s="1"/>
  <c r="BL146" i="3" s="1"/>
  <c r="BO155" i="3" a="1"/>
  <c r="BO155" i="3" s="1"/>
  <c r="BL155" i="3" s="1"/>
  <c r="BO143" i="3" a="1"/>
  <c r="BO143" i="3" s="1"/>
  <c r="BL143" i="3" s="1"/>
  <c r="BO130" i="3" a="1"/>
  <c r="BO130" i="3" s="1"/>
  <c r="BL130" i="3" s="1"/>
  <c r="BO144" i="3" a="1"/>
  <c r="BO144" i="3" s="1"/>
  <c r="BL144" i="3" s="1"/>
  <c r="BO132" i="3" a="1"/>
  <c r="BO132" i="3" s="1"/>
  <c r="BL132" i="3" s="1"/>
  <c r="BO142" i="3" a="1"/>
  <c r="BO142" i="3" s="1"/>
  <c r="BL142" i="3" s="1"/>
  <c r="BO127" i="3" a="1"/>
  <c r="BO127" i="3" s="1"/>
  <c r="BL127" i="3" s="1"/>
  <c r="BO207" i="3" a="1"/>
  <c r="BO207" i="3" s="1"/>
  <c r="BL207" i="3" s="1"/>
  <c r="BO141" i="3" a="1"/>
  <c r="BO141" i="3" s="1"/>
  <c r="BL141" i="3" s="1"/>
  <c r="BO158" i="3" a="1"/>
  <c r="BO158" i="3" s="1"/>
  <c r="BL158" i="3" s="1"/>
  <c r="BO157" i="3" a="1"/>
  <c r="BO157" i="3" s="1"/>
  <c r="BL157" i="3" s="1"/>
  <c r="BO128" i="3" a="1"/>
  <c r="BO128" i="3" s="1"/>
  <c r="BL128" i="3" s="1"/>
  <c r="BO160" i="3" a="1"/>
  <c r="BO160" i="3" s="1"/>
  <c r="BL160" i="3" s="1"/>
  <c r="CZ327" i="10"/>
  <c r="CZ328" i="10"/>
  <c r="CZ27" i="10"/>
  <c r="CZ28" i="10"/>
  <c r="DC125" i="10"/>
  <c r="CZ152" i="10"/>
  <c r="CZ377" i="10"/>
  <c r="DC162" i="10"/>
  <c r="DC387" i="10"/>
  <c r="DC169" i="10"/>
  <c r="DC394" i="10"/>
  <c r="DC199" i="10"/>
  <c r="DC424" i="10"/>
  <c r="DC337" i="10"/>
  <c r="DC29" i="10"/>
  <c r="DC108" i="10"/>
  <c r="DC147" i="10"/>
  <c r="DC372" i="10"/>
  <c r="DC243" i="10"/>
  <c r="DC250" i="10"/>
  <c r="DC275" i="10"/>
  <c r="CZ277" i="10"/>
  <c r="D312" i="11"/>
  <c r="BA320" i="11"/>
  <c r="BE320" i="11"/>
  <c r="EU45" i="12"/>
  <c r="BV49" i="12"/>
  <c r="BW49" i="12" s="1"/>
  <c r="EV19" i="12"/>
  <c r="BW19" i="12" s="1"/>
  <c r="BW20" i="12" s="1"/>
  <c r="BW21" i="12" s="1"/>
  <c r="BW22" i="12" s="1"/>
  <c r="BW23" i="12" s="1"/>
  <c r="EV35" i="12"/>
  <c r="BW39" i="12" s="1"/>
  <c r="FC19" i="12"/>
  <c r="DC55" i="10"/>
  <c r="DC111" i="10"/>
  <c r="EU46" i="12"/>
  <c r="BV50" i="12" s="1"/>
  <c r="BW50" i="12" s="1"/>
  <c r="EV21" i="12"/>
  <c r="EV36" i="12"/>
  <c r="BW40" i="12"/>
  <c r="EY19" i="12"/>
  <c r="DC35" i="10"/>
  <c r="DC76" i="10"/>
  <c r="DC95" i="10"/>
  <c r="DC107" i="10"/>
  <c r="DC191" i="10"/>
  <c r="DC416" i="10"/>
  <c r="DC213" i="10"/>
  <c r="DC319" i="10"/>
  <c r="EU39" i="12"/>
  <c r="BV43" i="12" s="1"/>
  <c r="EU47" i="12"/>
  <c r="BV51" i="12"/>
  <c r="BW51" i="12" s="1"/>
  <c r="EV23" i="12"/>
  <c r="BW27" i="12" s="1"/>
  <c r="EV41" i="12"/>
  <c r="DC22" i="10"/>
  <c r="DC110" i="10"/>
  <c r="DC117" i="10"/>
  <c r="DC130" i="10"/>
  <c r="DC139" i="10"/>
  <c r="DC364" i="10"/>
  <c r="DC184" i="10"/>
  <c r="DC409" i="10"/>
  <c r="DC229" i="10"/>
  <c r="DC257" i="10"/>
  <c r="DC350" i="10"/>
  <c r="BA343" i="11"/>
  <c r="BE343" i="11"/>
  <c r="FA22" i="12"/>
  <c r="DC58" i="10"/>
  <c r="DC255" i="10"/>
  <c r="DC287" i="10"/>
  <c r="EU41" i="12"/>
  <c r="BV45" i="12" s="1"/>
  <c r="EV11" i="12"/>
  <c r="EV27" i="12"/>
  <c r="BW31" i="12"/>
  <c r="EO25" i="12"/>
  <c r="BP29" i="12"/>
  <c r="CG29" i="12" s="1"/>
  <c r="CK29" i="12" s="1"/>
  <c r="BO118" i="3" a="1"/>
  <c r="BO118" i="3" s="1"/>
  <c r="BL118" i="3" s="1"/>
  <c r="DC87" i="10"/>
  <c r="DC177" i="10"/>
  <c r="DC402" i="10"/>
  <c r="DC221" i="10"/>
  <c r="DC264" i="10"/>
  <c r="EU42" i="12"/>
  <c r="BV46" i="12" s="1"/>
  <c r="EV29" i="12"/>
  <c r="BW33" i="12" s="1"/>
  <c r="EO28" i="12"/>
  <c r="BP32" i="12"/>
  <c r="CG32" i="12" s="1"/>
  <c r="CK32" i="12" s="1"/>
  <c r="EY22" i="12"/>
  <c r="BV188" i="9"/>
  <c r="EU43" i="12"/>
  <c r="BV47" i="12" s="1"/>
  <c r="BW47" i="12" s="1"/>
  <c r="EV15" i="12"/>
  <c r="BW15" i="12"/>
  <c r="EV31" i="12"/>
  <c r="EO38" i="12"/>
  <c r="BP42" i="12" s="1"/>
  <c r="CG42" i="12" s="1"/>
  <c r="CK42" i="12" s="1"/>
  <c r="GW89" i="9"/>
  <c r="DD105" i="10"/>
  <c r="CW83" i="10"/>
  <c r="GH103" i="9"/>
  <c r="GI103" i="9" s="1"/>
  <c r="GH605" i="9"/>
  <c r="GI605" i="9" s="1"/>
  <c r="GH93" i="9"/>
  <c r="GI93" i="9" s="1"/>
  <c r="GH541" i="9"/>
  <c r="GI541" i="9" s="1"/>
  <c r="GH90" i="9"/>
  <c r="GI90" i="9" s="1"/>
  <c r="GH600" i="9"/>
  <c r="GI600" i="9" s="1"/>
  <c r="GH112" i="9"/>
  <c r="GI112" i="9" s="1"/>
  <c r="GH574" i="9"/>
  <c r="GI574" i="9" s="1"/>
  <c r="GH590" i="9"/>
  <c r="GI590" i="9" s="1"/>
  <c r="GH462" i="9"/>
  <c r="GI462" i="9" s="1"/>
  <c r="GH480" i="9"/>
  <c r="GI480" i="9" s="1"/>
  <c r="GK29" i="9"/>
  <c r="HE29" i="9" s="1"/>
  <c r="CC29" i="9" s="1"/>
  <c r="CE203" i="9"/>
  <c r="GK275" i="9"/>
  <c r="HE275" i="9" s="1"/>
  <c r="CC275" i="9" s="1"/>
  <c r="GM314" i="9"/>
  <c r="HG314" i="9" s="1"/>
  <c r="CE314" i="9" s="1"/>
  <c r="GH212" i="9"/>
  <c r="GI212" i="9" s="1"/>
  <c r="GH511" i="9"/>
  <c r="GI511" i="9" s="1"/>
  <c r="GH235" i="9"/>
  <c r="GH106" i="9"/>
  <c r="GI106" i="9" s="1"/>
  <c r="GH581" i="9"/>
  <c r="GI581" i="9" s="1"/>
  <c r="GH496" i="9"/>
  <c r="GI496" i="9" s="1"/>
  <c r="GH456" i="9"/>
  <c r="GI456" i="9" s="1"/>
  <c r="GH459" i="9"/>
  <c r="GI459" i="9" s="1"/>
  <c r="GH121" i="9"/>
  <c r="GI121" i="9" s="1"/>
  <c r="GH98" i="9"/>
  <c r="GI98" i="9" s="1"/>
  <c r="GM616" i="9"/>
  <c r="HG616" i="9" s="1"/>
  <c r="GM662" i="9"/>
  <c r="HG662" i="9" s="1"/>
  <c r="GH615" i="9"/>
  <c r="GI615" i="9" s="1"/>
  <c r="GH599" i="9"/>
  <c r="GI599" i="9" s="1"/>
  <c r="GH579" i="9"/>
  <c r="GI579" i="9" s="1"/>
  <c r="GK513" i="9"/>
  <c r="HE513" i="9" s="1"/>
  <c r="CC513" i="9" s="1"/>
  <c r="GH220" i="9"/>
  <c r="GI220" i="9" s="1"/>
  <c r="GH244" i="9"/>
  <c r="GH216" i="9"/>
  <c r="GI216" i="9" s="1"/>
  <c r="GM397" i="9"/>
  <c r="HG397" i="9" s="1"/>
  <c r="CE397" i="9"/>
  <c r="GK419" i="9"/>
  <c r="HE419" i="9" s="1"/>
  <c r="CC419" i="9" s="1"/>
  <c r="GM19" i="9"/>
  <c r="HG19" i="9" s="1"/>
  <c r="CE19" i="9" s="1"/>
  <c r="GK43" i="9"/>
  <c r="HE43" i="9" s="1"/>
  <c r="CC43" i="9" s="1"/>
  <c r="GM426" i="9"/>
  <c r="HG426" i="9" s="1"/>
  <c r="CE426" i="9" s="1"/>
  <c r="GK412" i="9"/>
  <c r="HE412" i="9"/>
  <c r="CC412" i="9" s="1"/>
  <c r="GK22" i="9"/>
  <c r="HE22" i="9" s="1"/>
  <c r="CC22" i="9" s="1"/>
  <c r="GM267" i="9"/>
  <c r="HG267" i="9" s="1"/>
  <c r="CE267" i="9" s="1"/>
  <c r="GK446" i="9"/>
  <c r="HE446" i="9"/>
  <c r="CC446" i="9" s="1"/>
  <c r="GM665" i="9"/>
  <c r="HG665" i="9" s="1"/>
  <c r="GM323" i="9"/>
  <c r="HG323" i="9" s="1"/>
  <c r="CE323" i="9" s="1"/>
  <c r="GM327" i="9"/>
  <c r="HG327" i="9"/>
  <c r="CE327" i="9" s="1"/>
  <c r="GM331" i="9"/>
  <c r="HG331" i="9" s="1"/>
  <c r="CE331" i="9" s="1"/>
  <c r="GK295" i="9"/>
  <c r="HE295" i="9"/>
  <c r="CC295" i="9"/>
  <c r="GM440" i="9"/>
  <c r="HG440" i="9" s="1"/>
  <c r="CE440" i="9" s="1"/>
  <c r="GM411" i="9"/>
  <c r="HG411" i="9" s="1"/>
  <c r="CE411" i="9" s="1"/>
  <c r="GM518" i="9"/>
  <c r="HG518" i="9"/>
  <c r="CE518" i="9" s="1"/>
  <c r="GM647" i="9"/>
  <c r="HG647" i="9" s="1"/>
  <c r="GK388" i="9"/>
  <c r="HE388" i="9" s="1"/>
  <c r="CC388" i="9" s="1"/>
  <c r="GK442" i="9"/>
  <c r="HE442" i="9" s="1"/>
  <c r="CC442" i="9" s="1"/>
  <c r="GK538" i="9"/>
  <c r="HE538" i="9" s="1"/>
  <c r="CC538" i="9" s="1"/>
  <c r="GM56" i="9"/>
  <c r="HG56" i="9" s="1"/>
  <c r="CE56" i="9" s="1"/>
  <c r="GK533" i="9"/>
  <c r="HE533" i="9" s="1"/>
  <c r="CC533" i="9" s="1"/>
  <c r="GM428" i="9"/>
  <c r="HG428" i="9" s="1"/>
  <c r="CE428" i="9" s="1"/>
  <c r="GK650" i="9"/>
  <c r="HE650" i="9" s="1"/>
  <c r="GM657" i="9"/>
  <c r="HG657" i="9" s="1"/>
  <c r="GM39" i="9"/>
  <c r="HG39" i="9" s="1"/>
  <c r="CE39" i="9" s="1"/>
  <c r="GM523" i="9"/>
  <c r="HG523" i="9"/>
  <c r="CE523" i="9" s="1"/>
  <c r="GQ449" i="9"/>
  <c r="GR449" i="9" s="1"/>
  <c r="GS449" i="9" s="1"/>
  <c r="GT449" i="9" s="1"/>
  <c r="GU449" i="9" s="1"/>
  <c r="GV449" i="9" s="1"/>
  <c r="GQ541" i="9"/>
  <c r="GR541" i="9" s="1"/>
  <c r="GS541" i="9" s="1"/>
  <c r="GT541" i="9" s="1"/>
  <c r="GU541" i="9" s="1"/>
  <c r="GV541" i="9" s="1"/>
  <c r="GW541" i="9" s="1"/>
  <c r="HF541" i="9" s="1"/>
  <c r="GQ156" i="9"/>
  <c r="GK259" i="9"/>
  <c r="HE259" i="9" s="1"/>
  <c r="CC259" i="9" s="1"/>
  <c r="GQ93" i="9"/>
  <c r="GR93" i="9" s="1"/>
  <c r="GS93" i="9" s="1"/>
  <c r="GT93" i="9" s="1"/>
  <c r="GU93" i="9" s="1"/>
  <c r="GV93" i="9" s="1"/>
  <c r="GQ70" i="9"/>
  <c r="GR70" i="9" s="1"/>
  <c r="GS70" i="9" s="1"/>
  <c r="GT70" i="9" s="1"/>
  <c r="GU70" i="9" s="1"/>
  <c r="GV70" i="9" s="1"/>
  <c r="CC200" i="9"/>
  <c r="GQ590" i="9"/>
  <c r="GR590" i="9" s="1"/>
  <c r="GS590" i="9" s="1"/>
  <c r="GT590" i="9" s="1"/>
  <c r="GU590" i="9" s="1"/>
  <c r="GV590" i="9" s="1"/>
  <c r="GW590" i="9" s="1"/>
  <c r="HF590" i="9" s="1"/>
  <c r="GQ598" i="9"/>
  <c r="GR598" i="9" s="1"/>
  <c r="GS598" i="9" s="1"/>
  <c r="GT598" i="9" s="1"/>
  <c r="GU598" i="9" s="1"/>
  <c r="GV598" i="9" s="1"/>
  <c r="GQ606" i="9"/>
  <c r="GR606" i="9" s="1"/>
  <c r="GS606" i="9" s="1"/>
  <c r="GT606" i="9" s="1"/>
  <c r="GU606" i="9" s="1"/>
  <c r="GV606" i="9" s="1"/>
  <c r="GQ593" i="9"/>
  <c r="GR593" i="9" s="1"/>
  <c r="GS593" i="9" s="1"/>
  <c r="GT593" i="9" s="1"/>
  <c r="GU593" i="9" s="1"/>
  <c r="GV593" i="9" s="1"/>
  <c r="GQ31" i="9"/>
  <c r="GR31" i="9" s="1"/>
  <c r="GS31" i="9" s="1"/>
  <c r="GT31" i="9" s="1"/>
  <c r="GU31" i="9" s="1"/>
  <c r="GV31" i="9" s="1"/>
  <c r="BV319" i="9"/>
  <c r="BV676" i="9"/>
  <c r="BV557" i="9"/>
  <c r="BN176" i="3" a="1"/>
  <c r="BN176" i="3" s="1"/>
  <c r="BK176" i="3" s="1"/>
  <c r="BO176" i="3" a="1"/>
  <c r="BO176" i="3" s="1"/>
  <c r="BL176" i="3" s="1"/>
  <c r="BE183" i="3"/>
  <c r="BO183" i="3" a="1"/>
  <c r="BO183" i="3" s="1"/>
  <c r="BL183" i="3" s="1"/>
  <c r="BE185" i="3"/>
  <c r="BO185" i="3" a="1"/>
  <c r="BO185" i="3" s="1"/>
  <c r="BL185" i="3" s="1"/>
  <c r="BN185" i="3" a="1"/>
  <c r="BN185" i="3" s="1"/>
  <c r="BK185" i="3" s="1"/>
  <c r="BE192" i="3"/>
  <c r="BN192" i="3" a="1"/>
  <c r="BN192" i="3" s="1"/>
  <c r="BK192" i="3"/>
  <c r="BO192" i="3" a="1"/>
  <c r="BO192" i="3" s="1"/>
  <c r="BL192" i="3" s="1"/>
  <c r="BE199" i="3"/>
  <c r="BN199" i="3" a="1"/>
  <c r="BN199" i="3" s="1"/>
  <c r="BK199" i="3" s="1"/>
  <c r="BO199" i="3" a="1"/>
  <c r="BO199" i="3" s="1"/>
  <c r="BL199" i="3" s="1"/>
  <c r="BE201" i="3"/>
  <c r="BN201" i="3" a="1"/>
  <c r="BN201" i="3" s="1"/>
  <c r="BK201" i="3" s="1"/>
  <c r="BO201" i="3" a="1"/>
  <c r="BO201" i="3" s="1"/>
  <c r="BL201" i="3" s="1"/>
  <c r="BE208" i="3"/>
  <c r="BN208" i="3" a="1"/>
  <c r="BN208" i="3" s="1"/>
  <c r="BK208" i="3" s="1"/>
  <c r="BO208" i="3" a="1"/>
  <c r="BO208" i="3" s="1"/>
  <c r="BL208" i="3" s="1"/>
  <c r="BE217" i="3"/>
  <c r="BO217" i="3" a="1"/>
  <c r="BO217" i="3" s="1"/>
  <c r="BL217" i="3" s="1"/>
  <c r="BE224" i="3"/>
  <c r="BN224" i="3" a="1"/>
  <c r="BN224" i="3" s="1"/>
  <c r="BK224" i="3" s="1"/>
  <c r="BO224" i="3" a="1"/>
  <c r="BO224" i="3" s="1"/>
  <c r="BL224" i="3" s="1"/>
  <c r="BE231" i="3"/>
  <c r="BN231" i="3" a="1"/>
  <c r="BN231" i="3"/>
  <c r="BK231" i="3" s="1"/>
  <c r="BO231" i="3" a="1"/>
  <c r="BO231" i="3" s="1"/>
  <c r="BL231" i="3" s="1"/>
  <c r="BE233" i="3"/>
  <c r="BN233" i="3" a="1"/>
  <c r="BN233" i="3" s="1"/>
  <c r="BK233" i="3" s="1"/>
  <c r="BO233" i="3" a="1"/>
  <c r="BO233" i="3" s="1"/>
  <c r="BL233" i="3" s="1"/>
  <c r="BE240" i="3"/>
  <c r="BS240" i="3" a="1"/>
  <c r="BS240" i="3" s="1"/>
  <c r="BN240" i="3" a="1"/>
  <c r="BN240" i="3" s="1"/>
  <c r="BK240" i="3" s="1"/>
  <c r="BO240" i="3" a="1"/>
  <c r="BO240" i="3" s="1"/>
  <c r="BL240" i="3" s="1"/>
  <c r="BE249" i="3"/>
  <c r="BN249" i="3" a="1"/>
  <c r="BN249" i="3" s="1"/>
  <c r="BK249" i="3" s="1"/>
  <c r="BO249" i="3" a="1"/>
  <c r="BO249" i="3" s="1"/>
  <c r="BL249" i="3" s="1"/>
  <c r="BE256" i="3"/>
  <c r="BN256" i="3" a="1"/>
  <c r="BN256" i="3" s="1"/>
  <c r="BK256" i="3" s="1"/>
  <c r="BO256" i="3" a="1"/>
  <c r="BO256" i="3" s="1"/>
  <c r="BL256" i="3" s="1"/>
  <c r="BE263" i="3"/>
  <c r="BN263" i="3" a="1"/>
  <c r="BN263" i="3" s="1"/>
  <c r="BK263" i="3" s="1"/>
  <c r="BO263" i="3" a="1"/>
  <c r="BO263" i="3" s="1"/>
  <c r="BL263" i="3" s="1"/>
  <c r="BE265" i="3"/>
  <c r="BN265" i="3" a="1"/>
  <c r="BN265" i="3" s="1"/>
  <c r="BK265" i="3" s="1"/>
  <c r="BO265" i="3" a="1"/>
  <c r="BO265" i="3" s="1"/>
  <c r="BL265" i="3" s="1"/>
  <c r="BE272" i="3"/>
  <c r="BS272" i="3" a="1"/>
  <c r="BS272" i="3" s="1"/>
  <c r="BN272" i="3" a="1"/>
  <c r="BN272" i="3"/>
  <c r="BK272" i="3" s="1"/>
  <c r="BO272" i="3" a="1"/>
  <c r="BO272" i="3" s="1"/>
  <c r="BL272" i="3" s="1"/>
  <c r="BE281" i="3"/>
  <c r="BS281" i="3" a="1"/>
  <c r="BS281" i="3" s="1"/>
  <c r="BO281" i="3" a="1"/>
  <c r="BO281" i="3" s="1"/>
  <c r="BL281" i="3" s="1"/>
  <c r="BN281" i="3" a="1"/>
  <c r="BN281" i="3" s="1"/>
  <c r="BK281" i="3" s="1"/>
  <c r="BE288" i="3"/>
  <c r="BN288" i="3" a="1"/>
  <c r="BN288" i="3" s="1"/>
  <c r="BK288" i="3" s="1"/>
  <c r="BO288" i="3" a="1"/>
  <c r="BO288" i="3" s="1"/>
  <c r="BL288" i="3" s="1"/>
  <c r="BE295" i="3"/>
  <c r="BS295" i="3" a="1"/>
  <c r="BS295" i="3" s="1"/>
  <c r="BN295" i="3" a="1"/>
  <c r="BN295" i="3" s="1"/>
  <c r="BK295" i="3" s="1"/>
  <c r="BO295" i="3" a="1"/>
  <c r="BO295" i="3" s="1"/>
  <c r="BL295" i="3" s="1"/>
  <c r="BE297" i="3"/>
  <c r="BO297" i="3" a="1"/>
  <c r="BO297" i="3" s="1"/>
  <c r="BL297" i="3" s="1"/>
  <c r="BN297" i="3" a="1"/>
  <c r="BN297" i="3" s="1"/>
  <c r="BK297" i="3" s="1"/>
  <c r="BE304" i="3"/>
  <c r="BN304" i="3" a="1"/>
  <c r="BN304" i="3" s="1"/>
  <c r="BK304" i="3" s="1"/>
  <c r="BO304" i="3" a="1"/>
  <c r="BO304" i="3" s="1"/>
  <c r="BL304" i="3" s="1"/>
  <c r="BE313" i="3"/>
  <c r="BS313" i="3" a="1"/>
  <c r="BS313" i="3" s="1"/>
  <c r="BO313" i="3" a="1"/>
  <c r="BO313" i="3" s="1"/>
  <c r="BL313" i="3" s="1"/>
  <c r="BN313" i="3" a="1"/>
  <c r="BN313" i="3" s="1"/>
  <c r="BK313" i="3" s="1"/>
  <c r="BE320" i="3"/>
  <c r="BN320" i="3" a="1"/>
  <c r="BN320" i="3" s="1"/>
  <c r="BK320" i="3" s="1"/>
  <c r="BO320" i="3" a="1"/>
  <c r="BO320" i="3" s="1"/>
  <c r="BL320" i="3" s="1"/>
  <c r="BE327" i="3"/>
  <c r="BS327" i="3" a="1"/>
  <c r="BS327" i="3" s="1"/>
  <c r="BN327" i="3" a="1"/>
  <c r="BN327" i="3" s="1"/>
  <c r="BK327" i="3" s="1"/>
  <c r="BO327" i="3" a="1"/>
  <c r="BO327" i="3" s="1"/>
  <c r="BL327" i="3" s="1"/>
  <c r="BE329" i="3"/>
  <c r="BS329" i="3" a="1"/>
  <c r="BS329" i="3" s="1"/>
  <c r="BN329" i="3" a="1"/>
  <c r="BN329" i="3" s="1"/>
  <c r="BK329" i="3" s="1"/>
  <c r="BO329" i="3" a="1"/>
  <c r="BO329" i="3" s="1"/>
  <c r="BL329" i="3" s="1"/>
  <c r="BE336" i="3"/>
  <c r="BS336" i="3" a="1"/>
  <c r="BS336" i="3" s="1"/>
  <c r="BO336" i="3" a="1"/>
  <c r="BO336" i="3"/>
  <c r="BL336" i="3" s="1"/>
  <c r="BN336" i="3" a="1"/>
  <c r="BN336" i="3" s="1"/>
  <c r="BK336" i="3" s="1"/>
  <c r="CZ127" i="10"/>
  <c r="CZ128" i="10"/>
  <c r="CZ177" i="10"/>
  <c r="CZ402" i="10"/>
  <c r="CZ178" i="10"/>
  <c r="CZ403" i="10"/>
  <c r="CZ202" i="10"/>
  <c r="CZ427" i="10"/>
  <c r="CZ203" i="10"/>
  <c r="CZ428" i="10"/>
  <c r="DS755" i="5"/>
  <c r="DS468" i="5"/>
  <c r="DS210" i="5"/>
  <c r="DS36" i="5"/>
  <c r="CZ52" i="10"/>
  <c r="CZ53" i="10"/>
  <c r="CZ77" i="10"/>
  <c r="CZ78" i="10"/>
  <c r="CZ303" i="10"/>
  <c r="CZ302" i="10"/>
  <c r="CZ102" i="10"/>
  <c r="CZ103" i="10"/>
  <c r="CZ252" i="10"/>
  <c r="CZ253" i="10"/>
  <c r="CZ227" i="10"/>
  <c r="CZ228" i="10"/>
  <c r="DC333" i="10"/>
  <c r="DC325" i="10"/>
  <c r="DC317" i="10"/>
  <c r="DC311" i="10"/>
  <c r="DC310" i="10"/>
  <c r="DC308" i="10"/>
  <c r="DC307" i="10"/>
  <c r="DC295" i="10"/>
  <c r="DC273" i="10"/>
  <c r="DC265" i="10"/>
  <c r="DC251" i="10"/>
  <c r="DC349" i="10"/>
  <c r="DC345" i="10"/>
  <c r="DC341" i="10"/>
  <c r="DC326" i="10"/>
  <c r="DC318" i="10"/>
  <c r="DC296" i="10"/>
  <c r="DC288" i="10"/>
  <c r="DC274" i="10"/>
  <c r="DC266" i="10"/>
  <c r="DC259" i="10"/>
  <c r="DC252" i="10"/>
  <c r="DC352" i="10"/>
  <c r="DC348" i="10"/>
  <c r="DC344" i="10"/>
  <c r="DC340" i="10"/>
  <c r="DC332" i="10"/>
  <c r="DC320" i="10"/>
  <c r="DC298" i="10"/>
  <c r="DC290" i="10"/>
  <c r="DC276" i="10"/>
  <c r="DC268" i="10"/>
  <c r="DC246" i="10"/>
  <c r="DC334" i="10"/>
  <c r="DC321" i="10"/>
  <c r="DC313" i="10"/>
  <c r="DC299" i="10"/>
  <c r="DC291" i="10"/>
  <c r="DC284" i="10"/>
  <c r="DC277" i="10"/>
  <c r="DC269" i="10"/>
  <c r="DC262" i="10"/>
  <c r="DC247" i="10"/>
  <c r="DC351" i="10"/>
  <c r="DC347" i="10"/>
  <c r="DC343" i="10"/>
  <c r="DC339" i="10"/>
  <c r="DC322" i="10"/>
  <c r="DC314" i="10"/>
  <c r="DC300" i="10"/>
  <c r="DC292" i="10"/>
  <c r="DC286" i="10"/>
  <c r="DC285" i="10"/>
  <c r="DC283" i="10"/>
  <c r="DC282" i="10"/>
  <c r="DC270" i="10"/>
  <c r="DC248" i="10"/>
  <c r="DC30" i="10"/>
  <c r="DC33" i="10"/>
  <c r="DC40" i="10"/>
  <c r="DC44" i="10"/>
  <c r="DC48" i="10"/>
  <c r="DC59" i="10"/>
  <c r="DC67" i="10"/>
  <c r="DC75" i="10"/>
  <c r="DC80" i="10"/>
  <c r="DC86" i="10"/>
  <c r="DC94" i="10"/>
  <c r="DC102" i="10"/>
  <c r="DC109" i="10"/>
  <c r="DC116" i="10"/>
  <c r="DC124" i="10"/>
  <c r="DC138" i="10"/>
  <c r="DC363" i="10"/>
  <c r="DC146" i="10"/>
  <c r="DC371" i="10"/>
  <c r="DC154" i="10"/>
  <c r="DC379" i="10"/>
  <c r="DC168" i="10"/>
  <c r="DC393" i="10"/>
  <c r="DC176" i="10"/>
  <c r="DC401" i="10"/>
  <c r="DC190" i="10"/>
  <c r="DC415" i="10"/>
  <c r="DC198" i="10"/>
  <c r="DC423" i="10"/>
  <c r="DC220" i="10"/>
  <c r="DC232" i="10"/>
  <c r="DC233" i="10"/>
  <c r="DC235" i="10"/>
  <c r="DC236" i="10"/>
  <c r="DC242" i="10"/>
  <c r="DC261" i="10"/>
  <c r="DC272" i="10"/>
  <c r="DC289" i="10"/>
  <c r="DC316" i="10"/>
  <c r="D316" i="11"/>
  <c r="BA324" i="11"/>
  <c r="BE324" i="11"/>
  <c r="DC27" i="10"/>
  <c r="D30" i="10"/>
  <c r="DC66" i="10"/>
  <c r="DC74" i="10"/>
  <c r="DC93" i="10"/>
  <c r="DC101" i="10"/>
  <c r="DC115" i="10"/>
  <c r="DC123" i="10"/>
  <c r="DC145" i="10"/>
  <c r="DC370" i="10"/>
  <c r="DC157" i="10"/>
  <c r="DC382" i="10"/>
  <c r="DC158" i="10"/>
  <c r="DC383" i="10"/>
  <c r="DC160" i="10"/>
  <c r="DC385" i="10"/>
  <c r="DC161" i="10"/>
  <c r="DC386" i="10"/>
  <c r="DC167" i="10"/>
  <c r="DC392" i="10"/>
  <c r="DC175" i="10"/>
  <c r="DC400" i="10"/>
  <c r="DC180" i="10"/>
  <c r="DC405" i="10"/>
  <c r="DC189" i="10"/>
  <c r="DC414" i="10"/>
  <c r="DC197" i="10"/>
  <c r="DC422" i="10"/>
  <c r="DC212" i="10"/>
  <c r="DC219" i="10"/>
  <c r="DC227" i="10"/>
  <c r="DC234" i="10"/>
  <c r="DC241" i="10"/>
  <c r="DC249" i="10"/>
  <c r="DC260" i="10"/>
  <c r="DC263" i="10"/>
  <c r="DC297" i="10"/>
  <c r="DC315" i="10"/>
  <c r="DC327" i="10"/>
  <c r="DC336" i="10"/>
  <c r="DC346" i="10"/>
  <c r="D319" i="11"/>
  <c r="BA327" i="11"/>
  <c r="BE327" i="11"/>
  <c r="DC330" i="10"/>
  <c r="DC304" i="10"/>
  <c r="DC254" i="10"/>
  <c r="DC329" i="10"/>
  <c r="DC305" i="10"/>
  <c r="DC20" i="10"/>
  <c r="DC36" i="10"/>
  <c r="DC41" i="10"/>
  <c r="DC45" i="10"/>
  <c r="DC49" i="10"/>
  <c r="DC65" i="10"/>
  <c r="DC73" i="10"/>
  <c r="DC92" i="10"/>
  <c r="DC100" i="10"/>
  <c r="DC105" i="10"/>
  <c r="DC114" i="10"/>
  <c r="DC122" i="10"/>
  <c r="DC137" i="10"/>
  <c r="DC362" i="10"/>
  <c r="DC144" i="10"/>
  <c r="DC369" i="10"/>
  <c r="DC152" i="10"/>
  <c r="DC377" i="10"/>
  <c r="DC159" i="10"/>
  <c r="DC384" i="10"/>
  <c r="DC166" i="10"/>
  <c r="DC391" i="10"/>
  <c r="DC174" i="10"/>
  <c r="DC399" i="10"/>
  <c r="DC188" i="10"/>
  <c r="DC413" i="10"/>
  <c r="DC196" i="10"/>
  <c r="DC421" i="10"/>
  <c r="DC204" i="10"/>
  <c r="DC429" i="10"/>
  <c r="DC218" i="10"/>
  <c r="DC226" i="10"/>
  <c r="DC240" i="10"/>
  <c r="DC271" i="10"/>
  <c r="DC294" i="10"/>
  <c r="DC324" i="10"/>
  <c r="D320" i="11"/>
  <c r="BA328" i="11"/>
  <c r="BE328" i="11"/>
  <c r="D18" i="10"/>
  <c r="DC32" i="10"/>
  <c r="DC37" i="10"/>
  <c r="DC54" i="10"/>
  <c r="DC64" i="10"/>
  <c r="DC72" i="10"/>
  <c r="DC91" i="10"/>
  <c r="DC99" i="10"/>
  <c r="DC113" i="10"/>
  <c r="DC121" i="10"/>
  <c r="DC129" i="10"/>
  <c r="DC143" i="10"/>
  <c r="DC368" i="10"/>
  <c r="DC151" i="10"/>
  <c r="DC376" i="10"/>
  <c r="DC165" i="10"/>
  <c r="DC390" i="10"/>
  <c r="DC173" i="10"/>
  <c r="DC398" i="10"/>
  <c r="DC195" i="10"/>
  <c r="DC420" i="10"/>
  <c r="DC207" i="10"/>
  <c r="DC208" i="10"/>
  <c r="DC210" i="10"/>
  <c r="DC211" i="10"/>
  <c r="DC217" i="10"/>
  <c r="DC225" i="10"/>
  <c r="DC230" i="10"/>
  <c r="DC239" i="10"/>
  <c r="DC279" i="10"/>
  <c r="DC312" i="10"/>
  <c r="DC323" i="10"/>
  <c r="DC342" i="10"/>
  <c r="D324" i="11"/>
  <c r="BA332" i="11"/>
  <c r="BE332" i="11"/>
  <c r="CO623" i="5" a="1"/>
  <c r="CO623" i="5"/>
  <c r="CO615" i="5" a="1"/>
  <c r="CO615" i="5"/>
  <c r="CO618" i="5" a="1"/>
  <c r="CO618" i="5"/>
  <c r="CO621" i="5" a="1"/>
  <c r="CO621" i="5"/>
  <c r="CO613" i="5" a="1"/>
  <c r="CO613" i="5"/>
  <c r="CO624" i="5" a="1"/>
  <c r="CO624" i="5"/>
  <c r="CO616" i="5" a="1"/>
  <c r="CO616" i="5"/>
  <c r="CO619" i="5" a="1"/>
  <c r="CO619" i="5"/>
  <c r="CO611" i="5" a="1"/>
  <c r="CO611" i="5"/>
  <c r="CO622" i="5" a="1"/>
  <c r="CO622" i="5"/>
  <c r="CO614" i="5" a="1"/>
  <c r="CO614" i="5"/>
  <c r="CO617" i="5" a="1"/>
  <c r="CO617" i="5"/>
  <c r="CO620" i="5" a="1"/>
  <c r="CO620" i="5"/>
  <c r="CO612" i="5" a="1"/>
  <c r="CO612" i="5"/>
  <c r="CM457" i="5" a="1"/>
  <c r="CM457" i="5"/>
  <c r="CO422" i="5" a="1"/>
  <c r="CO422" i="5"/>
  <c r="CM345" i="5" a="1"/>
  <c r="CM345" i="5"/>
  <c r="CO226" i="5" a="1"/>
  <c r="CO226" i="5"/>
  <c r="CM443" i="5" a="1"/>
  <c r="CM443" i="5"/>
  <c r="CO425" i="5" a="1"/>
  <c r="CO425" i="5"/>
  <c r="CO417" i="5" a="1"/>
  <c r="CO417" i="5"/>
  <c r="CM359" i="5" a="1"/>
  <c r="CM359" i="5"/>
  <c r="CM247" i="5" a="1"/>
  <c r="CM247" i="5"/>
  <c r="CO229" i="5" a="1"/>
  <c r="CO229" i="5"/>
  <c r="CO221" i="5" a="1"/>
  <c r="CO221" i="5"/>
  <c r="CM163" i="5" a="1"/>
  <c r="CM163" i="5"/>
  <c r="I125" i="5" a="1"/>
  <c r="I125" i="5"/>
  <c r="I50" i="5" a="1"/>
  <c r="I50" i="5"/>
  <c r="AN153" i="12" a="1"/>
  <c r="AN153" i="12"/>
  <c r="CM471" i="5" a="1"/>
  <c r="CM471" i="5"/>
  <c r="CO428" i="5" a="1"/>
  <c r="CO428" i="5"/>
  <c r="CO420" i="5" a="1"/>
  <c r="CO420" i="5"/>
  <c r="CM373" i="5" a="1"/>
  <c r="CM373" i="5"/>
  <c r="CM261" i="5" a="1"/>
  <c r="CM261" i="5"/>
  <c r="CO232" i="5" a="1"/>
  <c r="CO232" i="5"/>
  <c r="CO224" i="5" a="1"/>
  <c r="CO224" i="5"/>
  <c r="CM177" i="5" a="1"/>
  <c r="CM177" i="5"/>
  <c r="E97" i="5" a="1"/>
  <c r="E97" i="5"/>
  <c r="DX70" i="5" a="1"/>
  <c r="DX70" i="5"/>
  <c r="AO50" i="5" a="1"/>
  <c r="AO50" i="5"/>
  <c r="D197" i="11" a="1"/>
  <c r="D197" i="11"/>
  <c r="D165" i="11" a="1"/>
  <c r="D165" i="11"/>
  <c r="D131" i="11" a="1"/>
  <c r="D131" i="11"/>
  <c r="D97" i="11" a="1"/>
  <c r="D97" i="11"/>
  <c r="BE79" i="11" a="1"/>
  <c r="BE79" i="11"/>
  <c r="BE51" i="11" a="1"/>
  <c r="BE51" i="11"/>
  <c r="D31" i="11" a="1"/>
  <c r="D31" i="11"/>
  <c r="BE23" i="11" a="1"/>
  <c r="BE23" i="11"/>
  <c r="CA353" i="10" a="1"/>
  <c r="CA353" i="10"/>
  <c r="CZ354" i="10"/>
  <c r="CA349" i="10" a="1"/>
  <c r="CA349" i="10"/>
  <c r="CZ349" i="10"/>
  <c r="CA345" i="10" a="1"/>
  <c r="CA345" i="10"/>
  <c r="CZ345" i="10"/>
  <c r="CA341" i="10" a="1"/>
  <c r="CA341" i="10"/>
  <c r="CZ341" i="10"/>
  <c r="CA333" i="10" a="1"/>
  <c r="CA333" i="10"/>
  <c r="CZ333" i="10"/>
  <c r="CM485" i="5" a="1"/>
  <c r="CM485" i="5"/>
  <c r="CO426" i="5" a="1"/>
  <c r="CO426" i="5"/>
  <c r="CO418" i="5" a="1"/>
  <c r="CO418" i="5"/>
  <c r="CM401" i="5" a="1"/>
  <c r="CM401" i="5"/>
  <c r="CM289" i="5" a="1"/>
  <c r="CM289" i="5"/>
  <c r="CO230" i="5" a="1"/>
  <c r="CO230" i="5"/>
  <c r="CO222" i="5" a="1"/>
  <c r="CO222" i="5"/>
  <c r="CM205" i="5" a="1"/>
  <c r="CM205" i="5"/>
  <c r="CM93" i="5" a="1"/>
  <c r="CM93" i="5"/>
  <c r="Y50" i="5" a="1"/>
  <c r="Y50" i="5"/>
  <c r="DX28" i="5" a="1"/>
  <c r="DX28" i="5"/>
  <c r="BE65" i="11" a="1"/>
  <c r="BE65" i="11"/>
  <c r="D47" i="11" a="1"/>
  <c r="D47" i="11"/>
  <c r="CA352" i="10" a="1"/>
  <c r="CA352" i="10"/>
  <c r="CA348" i="10" a="1"/>
  <c r="CA348" i="10"/>
  <c r="CZ348" i="10"/>
  <c r="CA344" i="10" a="1"/>
  <c r="CA344" i="10"/>
  <c r="CZ344" i="10"/>
  <c r="CA340" i="10" a="1"/>
  <c r="CA340" i="10"/>
  <c r="CZ340" i="10"/>
  <c r="CO421" i="5" a="1"/>
  <c r="CO421" i="5"/>
  <c r="CM415" i="5" a="1"/>
  <c r="CM415" i="5"/>
  <c r="CM303" i="5" a="1"/>
  <c r="CM303" i="5"/>
  <c r="CO225" i="5" a="1"/>
  <c r="CO225" i="5"/>
  <c r="CM219" i="5" a="1"/>
  <c r="CM219" i="5"/>
  <c r="CM107" i="5" a="1"/>
  <c r="CM107" i="5"/>
  <c r="Y81" i="5" a="1"/>
  <c r="Y81" i="5"/>
  <c r="CM79" i="5" a="1"/>
  <c r="CM79" i="5"/>
  <c r="Z48" i="5" a="1"/>
  <c r="CM9" i="5" a="1"/>
  <c r="CM9" i="5"/>
  <c r="BE9" i="11" a="1"/>
  <c r="BE9" i="11"/>
  <c r="CA332" i="10" a="1"/>
  <c r="CA332" i="10"/>
  <c r="CZ332" i="10"/>
  <c r="CM429" i="5" a="1"/>
  <c r="CM429" i="5"/>
  <c r="CO424" i="5" a="1"/>
  <c r="CO424" i="5"/>
  <c r="CO416" i="5" a="1"/>
  <c r="CO416" i="5"/>
  <c r="CM317" i="5" a="1"/>
  <c r="CM317" i="5"/>
  <c r="CM233" i="5" a="1"/>
  <c r="CM233" i="5"/>
  <c r="CO228" i="5" a="1"/>
  <c r="CO228" i="5"/>
  <c r="CO220" i="5" a="1"/>
  <c r="CO220" i="5"/>
  <c r="CM121" i="5" a="1"/>
  <c r="CM121" i="5"/>
  <c r="CM65" i="5" a="1"/>
  <c r="CM65" i="5"/>
  <c r="E65" i="5" a="1"/>
  <c r="E65" i="5"/>
  <c r="CM37" i="5" a="1"/>
  <c r="CM37" i="5"/>
  <c r="D181" i="11" a="1"/>
  <c r="D181" i="11"/>
  <c r="D147" i="11" a="1"/>
  <c r="D147" i="11"/>
  <c r="D115" i="11" a="1"/>
  <c r="D115" i="11"/>
  <c r="D81" i="11" a="1"/>
  <c r="D81" i="11"/>
  <c r="D65" i="11" a="1"/>
  <c r="D65" i="11"/>
  <c r="CA351" i="10" a="1"/>
  <c r="CA351" i="10"/>
  <c r="CZ351" i="10"/>
  <c r="CA347" i="10" a="1"/>
  <c r="CA347" i="10"/>
  <c r="CZ347" i="10"/>
  <c r="CA343" i="10" a="1"/>
  <c r="CA343" i="10"/>
  <c r="CZ343" i="10"/>
  <c r="CA339" i="10" a="1"/>
  <c r="CA339" i="10"/>
  <c r="CZ339" i="10"/>
  <c r="CA338" i="10" a="1"/>
  <c r="CA338" i="10"/>
  <c r="CZ338" i="10"/>
  <c r="CA337" i="10" a="1"/>
  <c r="CA337" i="10"/>
  <c r="CZ337" i="10"/>
  <c r="CO427" i="5" a="1"/>
  <c r="CO427" i="5"/>
  <c r="CO419" i="5" a="1"/>
  <c r="CO419" i="5"/>
  <c r="CM331" i="5" a="1"/>
  <c r="CM331" i="5"/>
  <c r="CO231" i="5" a="1"/>
  <c r="CO231" i="5"/>
  <c r="CO223" i="5" a="1"/>
  <c r="CO223" i="5"/>
  <c r="J123" i="5" a="1"/>
  <c r="E81" i="5" a="1"/>
  <c r="E81" i="5"/>
  <c r="DC26" i="10"/>
  <c r="DC38" i="10"/>
  <c r="DC42" i="10"/>
  <c r="DC46" i="10"/>
  <c r="DC50" i="10"/>
  <c r="DC62" i="10"/>
  <c r="DC63" i="10"/>
  <c r="DC71" i="10"/>
  <c r="DC79" i="10"/>
  <c r="DC90" i="10"/>
  <c r="DC98" i="10"/>
  <c r="DC120" i="10"/>
  <c r="DC132" i="10"/>
  <c r="DC357" i="10"/>
  <c r="DC133" i="10"/>
  <c r="DC358" i="10"/>
  <c r="DC135" i="10"/>
  <c r="DC360" i="10"/>
  <c r="DC136" i="10"/>
  <c r="DC361" i="10"/>
  <c r="DC142" i="10"/>
  <c r="DC367" i="10"/>
  <c r="DC150" i="10"/>
  <c r="DC375" i="10"/>
  <c r="DC155" i="10"/>
  <c r="DC380" i="10"/>
  <c r="DC164" i="10"/>
  <c r="DC389" i="10"/>
  <c r="DC172" i="10"/>
  <c r="DC397" i="10"/>
  <c r="DC187" i="10"/>
  <c r="DC412" i="10"/>
  <c r="DC194" i="10"/>
  <c r="DC419" i="10"/>
  <c r="DC202" i="10"/>
  <c r="DC427" i="10"/>
  <c r="DC209" i="10"/>
  <c r="DC216" i="10"/>
  <c r="DC224" i="10"/>
  <c r="DC238" i="10"/>
  <c r="DC245" i="10"/>
  <c r="DC293" i="10"/>
  <c r="DC302" i="10"/>
  <c r="D327" i="11"/>
  <c r="BA335" i="11"/>
  <c r="BE335" i="11"/>
  <c r="DC34" i="10"/>
  <c r="DC52" i="10"/>
  <c r="DC70" i="10"/>
  <c r="DC82" i="10"/>
  <c r="DC83" i="10"/>
  <c r="DC85" i="10"/>
  <c r="DC89" i="10"/>
  <c r="DC97" i="10"/>
  <c r="DC112" i="10"/>
  <c r="DC119" i="10"/>
  <c r="DC127" i="10"/>
  <c r="DC134" i="10"/>
  <c r="DC359" i="10"/>
  <c r="DC141" i="10"/>
  <c r="DC366" i="10"/>
  <c r="DC149" i="10"/>
  <c r="DC374" i="10"/>
  <c r="DC163" i="10"/>
  <c r="DC388" i="10"/>
  <c r="DC171" i="10"/>
  <c r="DC396" i="10"/>
  <c r="DC179" i="10"/>
  <c r="DC404" i="10"/>
  <c r="DC193" i="10"/>
  <c r="DC418" i="10"/>
  <c r="DC201" i="10"/>
  <c r="DC426" i="10"/>
  <c r="DC215" i="10"/>
  <c r="DC223" i="10"/>
  <c r="DC258" i="10"/>
  <c r="DC309" i="10"/>
  <c r="DC338" i="10"/>
  <c r="DC354" i="10"/>
  <c r="DC19" i="10"/>
  <c r="DC24" i="10"/>
  <c r="DC39" i="10"/>
  <c r="DC43" i="10"/>
  <c r="DC47" i="10"/>
  <c r="DC51" i="10"/>
  <c r="DC57" i="10"/>
  <c r="DC60" i="10"/>
  <c r="DC61" i="10"/>
  <c r="DC69" i="10"/>
  <c r="DC77" i="10"/>
  <c r="DC84" i="10"/>
  <c r="DC88" i="10"/>
  <c r="DC96" i="10"/>
  <c r="DC104" i="10"/>
  <c r="DC118" i="10"/>
  <c r="DC126" i="10"/>
  <c r="DC140" i="10"/>
  <c r="DC365" i="10"/>
  <c r="DC148" i="10"/>
  <c r="DC373" i="10"/>
  <c r="DC170" i="10"/>
  <c r="DC395" i="10"/>
  <c r="DC182" i="10"/>
  <c r="DC407" i="10"/>
  <c r="DC183" i="10"/>
  <c r="DC408" i="10"/>
  <c r="DC185" i="10"/>
  <c r="DC410" i="10"/>
  <c r="DC186" i="10"/>
  <c r="DC411" i="10"/>
  <c r="DC192" i="10"/>
  <c r="DC417" i="10"/>
  <c r="DC200" i="10"/>
  <c r="DC425" i="10"/>
  <c r="DC205" i="10"/>
  <c r="DC430" i="10"/>
  <c r="DC214" i="10"/>
  <c r="DC222" i="10"/>
  <c r="DC237" i="10"/>
  <c r="DC244" i="10"/>
  <c r="DC267" i="10"/>
  <c r="DC280" i="10"/>
  <c r="DC301" i="10"/>
  <c r="DC335" i="10"/>
  <c r="D326" i="11"/>
  <c r="BA334" i="11"/>
  <c r="BE334" i="11"/>
  <c r="D318" i="11"/>
  <c r="BA326" i="11"/>
  <c r="BE326" i="11"/>
  <c r="D333" i="11"/>
  <c r="BA341" i="11"/>
  <c r="BE341" i="11"/>
  <c r="D325" i="11"/>
  <c r="BA333" i="11"/>
  <c r="BE333" i="11"/>
  <c r="D317" i="11"/>
  <c r="BA325" i="11"/>
  <c r="BE325" i="11"/>
  <c r="D331" i="11"/>
  <c r="BA339" i="11"/>
  <c r="BE339" i="11"/>
  <c r="D323" i="11"/>
  <c r="BA331" i="11"/>
  <c r="BE331" i="11"/>
  <c r="D315" i="11"/>
  <c r="BA323" i="11"/>
  <c r="BE323" i="11"/>
  <c r="D330" i="11"/>
  <c r="BA338" i="11"/>
  <c r="BE338" i="11"/>
  <c r="D322" i="11"/>
  <c r="BA330" i="11"/>
  <c r="BE330" i="11"/>
  <c r="D314" i="11"/>
  <c r="BA322" i="11"/>
  <c r="BE322" i="11"/>
  <c r="D329" i="11"/>
  <c r="BA337" i="11"/>
  <c r="BE337" i="11"/>
  <c r="D321" i="11"/>
  <c r="BA329" i="11"/>
  <c r="BE329" i="11"/>
  <c r="D313" i="11"/>
  <c r="BA321" i="11"/>
  <c r="BE321" i="11"/>
  <c r="D332" i="11"/>
  <c r="BA340" i="11"/>
  <c r="BE340" i="11"/>
  <c r="CM639" i="5" a="1"/>
  <c r="CM639" i="5"/>
  <c r="CM555" i="5" a="1"/>
  <c r="CM555" i="5"/>
  <c r="CM541" i="5" a="1"/>
  <c r="CM541" i="5"/>
  <c r="CM527" i="5" a="1"/>
  <c r="CM527" i="5"/>
  <c r="CM513" i="5" a="1"/>
  <c r="CM513" i="5"/>
  <c r="CM625" i="5" a="1"/>
  <c r="CM625" i="5"/>
  <c r="CM611" i="5" a="1"/>
  <c r="CM611" i="5"/>
  <c r="CM597" i="5" a="1"/>
  <c r="CM597" i="5"/>
  <c r="CM583" i="5" a="1"/>
  <c r="CM583" i="5"/>
  <c r="CM569" i="5" a="1"/>
  <c r="CM569" i="5"/>
  <c r="CO564" i="5" a="1"/>
  <c r="CO564" i="5"/>
  <c r="CO560" i="5" a="1"/>
  <c r="CO560" i="5"/>
  <c r="CO567" i="5" a="1"/>
  <c r="CO567" i="5"/>
  <c r="CO557" i="5" a="1"/>
  <c r="CO557" i="5"/>
  <c r="CO563" i="5" a="1"/>
  <c r="CO563" i="5"/>
  <c r="CO559" i="5" a="1"/>
  <c r="CO559" i="5"/>
  <c r="CO568" i="5" a="1"/>
  <c r="CO568" i="5"/>
  <c r="CO566" i="5" a="1"/>
  <c r="CO566" i="5"/>
  <c r="CO562" i="5" a="1"/>
  <c r="CO562" i="5"/>
  <c r="CO556" i="5" a="1"/>
  <c r="CO556" i="5"/>
  <c r="CO565" i="5" a="1"/>
  <c r="CO565" i="5"/>
  <c r="CO561" i="5" a="1"/>
  <c r="CO561" i="5"/>
  <c r="CO558" i="5" a="1"/>
  <c r="CO558" i="5"/>
  <c r="CO555" i="5" a="1"/>
  <c r="CO555" i="5"/>
  <c r="BA344" i="11"/>
  <c r="BE344" i="11"/>
  <c r="CM499" i="5" a="1"/>
  <c r="CM499" i="5"/>
  <c r="CO581" i="5" a="1"/>
  <c r="CO581" i="5"/>
  <c r="CO571" i="5" a="1"/>
  <c r="CO571" i="5"/>
  <c r="CO577" i="5" a="1"/>
  <c r="CO577" i="5"/>
  <c r="CO573" i="5" a="1"/>
  <c r="CO573" i="5"/>
  <c r="CO582" i="5" a="1"/>
  <c r="CO582" i="5"/>
  <c r="CO580" i="5" a="1"/>
  <c r="CO580" i="5"/>
  <c r="CO576" i="5" a="1"/>
  <c r="CO576" i="5"/>
  <c r="CO570" i="5" a="1"/>
  <c r="CO570" i="5"/>
  <c r="CO579" i="5" a="1"/>
  <c r="CO579" i="5"/>
  <c r="CO575" i="5" a="1"/>
  <c r="CO575" i="5"/>
  <c r="CO572" i="5" a="1"/>
  <c r="CO572" i="5"/>
  <c r="CO569" i="5" a="1"/>
  <c r="CO569" i="5"/>
  <c r="CO578" i="5" a="1"/>
  <c r="CO578" i="5"/>
  <c r="CO574" i="5" a="1"/>
  <c r="CO574" i="5"/>
  <c r="CO595" i="5" a="1"/>
  <c r="CO595" i="5"/>
  <c r="CO591" i="5" a="1"/>
  <c r="CO591" i="5"/>
  <c r="CO587" i="5" a="1"/>
  <c r="CO587" i="5"/>
  <c r="CO594" i="5" a="1"/>
  <c r="CO594" i="5"/>
  <c r="CO590" i="5" a="1"/>
  <c r="CO590" i="5"/>
  <c r="CO584" i="5" a="1"/>
  <c r="CO584" i="5"/>
  <c r="CO596" i="5" a="1"/>
  <c r="CO596" i="5"/>
  <c r="CO593" i="5" a="1"/>
  <c r="CO593" i="5"/>
  <c r="CO589" i="5" a="1"/>
  <c r="CO589" i="5"/>
  <c r="CO586" i="5" a="1"/>
  <c r="CO586" i="5"/>
  <c r="CO583" i="5" a="1"/>
  <c r="CO583" i="5"/>
  <c r="CO592" i="5" a="1"/>
  <c r="CO592" i="5"/>
  <c r="CO588" i="5" a="1"/>
  <c r="CO588" i="5"/>
  <c r="CO585" i="5" a="1"/>
  <c r="CO585" i="5"/>
  <c r="CK656" i="5"/>
  <c r="EJ13" i="5"/>
  <c r="CK655" i="5"/>
  <c r="EJ12" i="5"/>
  <c r="C36" i="15"/>
  <c r="E42" i="3"/>
  <c r="CO523" i="5" a="1"/>
  <c r="CO523" i="5"/>
  <c r="CO519" i="5" a="1"/>
  <c r="CO519" i="5"/>
  <c r="CO516" i="5" a="1"/>
  <c r="CO516" i="5"/>
  <c r="CO513" i="5" a="1"/>
  <c r="CO513" i="5"/>
  <c r="CO522" i="5" a="1"/>
  <c r="CO522" i="5"/>
  <c r="CO518" i="5" a="1"/>
  <c r="CO518" i="5"/>
  <c r="CO525" i="5" a="1"/>
  <c r="CO525" i="5"/>
  <c r="CO515" i="5" a="1"/>
  <c r="CO515" i="5"/>
  <c r="CO521" i="5" a="1"/>
  <c r="CO521" i="5"/>
  <c r="CO517" i="5" a="1"/>
  <c r="CO517" i="5"/>
  <c r="CO526" i="5" a="1"/>
  <c r="CO526" i="5"/>
  <c r="CO524" i="5" a="1"/>
  <c r="CO524" i="5"/>
  <c r="CO520" i="5" a="1"/>
  <c r="CO520" i="5"/>
  <c r="CO514" i="5" a="1"/>
  <c r="CO514" i="5"/>
  <c r="CO609" i="5" a="1"/>
  <c r="CO609" i="5"/>
  <c r="CO605" i="5" a="1"/>
  <c r="CO605" i="5"/>
  <c r="CO601" i="5" a="1"/>
  <c r="CO601" i="5"/>
  <c r="CO608" i="5" a="1"/>
  <c r="CO608" i="5"/>
  <c r="CO604" i="5" a="1"/>
  <c r="CO604" i="5"/>
  <c r="CO598" i="5" a="1"/>
  <c r="CO598" i="5"/>
  <c r="CO610" i="5" a="1"/>
  <c r="CO610" i="5"/>
  <c r="CO607" i="5" a="1"/>
  <c r="CO607" i="5"/>
  <c r="CO603" i="5" a="1"/>
  <c r="CO603" i="5"/>
  <c r="CO600" i="5" a="1"/>
  <c r="CO600" i="5"/>
  <c r="CO597" i="5" a="1"/>
  <c r="CO597" i="5"/>
  <c r="CO606" i="5" a="1"/>
  <c r="CO606" i="5"/>
  <c r="CO602" i="5" a="1"/>
  <c r="CO602" i="5"/>
  <c r="CO599" i="5" a="1"/>
  <c r="CO599" i="5"/>
  <c r="CO537" i="5" a="1"/>
  <c r="CO537" i="5"/>
  <c r="CO533" i="5" a="1"/>
  <c r="CO533" i="5"/>
  <c r="CO530" i="5" a="1"/>
  <c r="CO530" i="5"/>
  <c r="CO527" i="5" a="1"/>
  <c r="CO527" i="5"/>
  <c r="CO536" i="5" a="1"/>
  <c r="CO536" i="5"/>
  <c r="CO532" i="5" a="1"/>
  <c r="CO532" i="5"/>
  <c r="CO539" i="5" a="1"/>
  <c r="CO539" i="5"/>
  <c r="CO529" i="5" a="1"/>
  <c r="CO529" i="5"/>
  <c r="CO535" i="5" a="1"/>
  <c r="CO535" i="5"/>
  <c r="CO531" i="5" a="1"/>
  <c r="CO531" i="5"/>
  <c r="CO540" i="5" a="1"/>
  <c r="CO540" i="5"/>
  <c r="CO538" i="5" a="1"/>
  <c r="CO538" i="5"/>
  <c r="CO534" i="5" a="1"/>
  <c r="CO534" i="5"/>
  <c r="CO528" i="5" a="1"/>
  <c r="CO528" i="5"/>
  <c r="CO652" i="5" a="1"/>
  <c r="CO652" i="5"/>
  <c r="CO648" i="5" a="1"/>
  <c r="CO648" i="5"/>
  <c r="CO644" i="5" a="1"/>
  <c r="CO644" i="5"/>
  <c r="CO640" i="5" a="1"/>
  <c r="CO640" i="5"/>
  <c r="CO635" i="5" a="1"/>
  <c r="CO635" i="5"/>
  <c r="CO631" i="5" a="1"/>
  <c r="CO631" i="5"/>
  <c r="CO627" i="5" a="1"/>
  <c r="CO627" i="5"/>
  <c r="CO649" i="5" a="1"/>
  <c r="CO649" i="5"/>
  <c r="CO645" i="5" a="1"/>
  <c r="CO645" i="5"/>
  <c r="CO641" i="5" a="1"/>
  <c r="CO641" i="5"/>
  <c r="CO636" i="5" a="1"/>
  <c r="CO636" i="5"/>
  <c r="CO632" i="5" a="1"/>
  <c r="CO632" i="5"/>
  <c r="CO628" i="5" a="1"/>
  <c r="CO628" i="5"/>
  <c r="CO650" i="5" a="1"/>
  <c r="CO650" i="5"/>
  <c r="CO646" i="5" a="1"/>
  <c r="CO646" i="5"/>
  <c r="CO642" i="5" a="1"/>
  <c r="CO642" i="5"/>
  <c r="CO637" i="5" a="1"/>
  <c r="CO637" i="5"/>
  <c r="CO633" i="5" a="1"/>
  <c r="CO633" i="5"/>
  <c r="CO629" i="5" a="1"/>
  <c r="CO629" i="5"/>
  <c r="CO625" i="5" a="1"/>
  <c r="CO625" i="5"/>
  <c r="CO651" i="5" a="1"/>
  <c r="CO651" i="5"/>
  <c r="CO647" i="5" a="1"/>
  <c r="CO647" i="5"/>
  <c r="CO643" i="5" a="1"/>
  <c r="CO643" i="5"/>
  <c r="CO639" i="5" a="1"/>
  <c r="CO639" i="5"/>
  <c r="CO638" i="5" a="1"/>
  <c r="CO638" i="5"/>
  <c r="CO634" i="5" a="1"/>
  <c r="CO634" i="5"/>
  <c r="CO630" i="5" a="1"/>
  <c r="CO630" i="5"/>
  <c r="CO626" i="5" a="1"/>
  <c r="CO626" i="5"/>
  <c r="CO512" i="5" a="1"/>
  <c r="CO512" i="5"/>
  <c r="CO508" i="5" a="1"/>
  <c r="CO508" i="5"/>
  <c r="CO504" i="5" a="1"/>
  <c r="CO504" i="5"/>
  <c r="CO500" i="5" a="1"/>
  <c r="CO500" i="5"/>
  <c r="CO509" i="5" a="1"/>
  <c r="CO509" i="5"/>
  <c r="CO505" i="5" a="1"/>
  <c r="CO505" i="5"/>
  <c r="CO510" i="5" a="1"/>
  <c r="CO510" i="5"/>
  <c r="CO506" i="5" a="1"/>
  <c r="CO506" i="5"/>
  <c r="CO511" i="5" a="1"/>
  <c r="CO511" i="5"/>
  <c r="CO507" i="5" a="1"/>
  <c r="CO507" i="5"/>
  <c r="CO503" i="5" a="1"/>
  <c r="CO503" i="5"/>
  <c r="CO550" i="5" a="1"/>
  <c r="CO550" i="5"/>
  <c r="CO546" i="5" a="1"/>
  <c r="CO546" i="5"/>
  <c r="CO553" i="5" a="1"/>
  <c r="CO553" i="5"/>
  <c r="CO543" i="5" a="1"/>
  <c r="CO543" i="5"/>
  <c r="CO549" i="5" a="1"/>
  <c r="CO549" i="5"/>
  <c r="CO545" i="5" a="1"/>
  <c r="CO545" i="5"/>
  <c r="CO554" i="5" a="1"/>
  <c r="CO554" i="5"/>
  <c r="CO552" i="5" a="1"/>
  <c r="CO552" i="5"/>
  <c r="CO548" i="5" a="1"/>
  <c r="CO548" i="5"/>
  <c r="CO542" i="5" a="1"/>
  <c r="CO542" i="5"/>
  <c r="CO551" i="5" a="1"/>
  <c r="CO551" i="5"/>
  <c r="CO547" i="5" a="1"/>
  <c r="CO547" i="5"/>
  <c r="CO544" i="5" a="1"/>
  <c r="CO544" i="5"/>
  <c r="CO541" i="5" a="1"/>
  <c r="CO541" i="5"/>
  <c r="FA19" i="12"/>
  <c r="EO33" i="12"/>
  <c r="BP37" i="12"/>
  <c r="CG37" i="12" s="1"/>
  <c r="CK37" i="12" s="1"/>
  <c r="FC22" i="12"/>
  <c r="EO44" i="12"/>
  <c r="BP48" i="12"/>
  <c r="CG48" i="12" s="1"/>
  <c r="CK48" i="12" s="1"/>
  <c r="Y64" i="12"/>
  <c r="AI64" i="12" s="1"/>
  <c r="BP12" i="12"/>
  <c r="CG12" i="12" s="1"/>
  <c r="CK12" i="12" s="1"/>
  <c r="EW19" i="12"/>
  <c r="GK38" i="9"/>
  <c r="HE38" i="9" s="1"/>
  <c r="CC38" i="9" s="1"/>
  <c r="GQ64" i="9"/>
  <c r="GD318" i="9"/>
  <c r="GE318" i="9" s="1"/>
  <c r="GF318" i="9" s="1"/>
  <c r="GG318" i="9" s="1"/>
  <c r="GH318" i="9" s="1"/>
  <c r="GI318" i="9" s="1"/>
  <c r="GQ318" i="9"/>
  <c r="GR318" i="9" s="1"/>
  <c r="GS318" i="9" s="1"/>
  <c r="GT318" i="9" s="1"/>
  <c r="GU318" i="9" s="1"/>
  <c r="GV318" i="9" s="1"/>
  <c r="GQ458" i="9"/>
  <c r="GR458" i="9" s="1"/>
  <c r="GS458" i="9" s="1"/>
  <c r="GT458" i="9" s="1"/>
  <c r="GU458" i="9" s="1"/>
  <c r="GV458" i="9" s="1"/>
  <c r="GQ464" i="9"/>
  <c r="GR464" i="9" s="1"/>
  <c r="GS464" i="9" s="1"/>
  <c r="GT464" i="9" s="1"/>
  <c r="GU464" i="9" s="1"/>
  <c r="GV464" i="9" s="1"/>
  <c r="GQ577" i="9"/>
  <c r="GR577" i="9" s="1"/>
  <c r="GS577" i="9" s="1"/>
  <c r="GT577" i="9" s="1"/>
  <c r="GU577" i="9" s="1"/>
  <c r="GV577" i="9" s="1"/>
  <c r="GD577" i="9"/>
  <c r="GE577" i="9" s="1"/>
  <c r="GF577" i="9" s="1"/>
  <c r="GG577" i="9" s="1"/>
  <c r="GQ592" i="9"/>
  <c r="GR592" i="9" s="1"/>
  <c r="GS592" i="9" s="1"/>
  <c r="GT592" i="9" s="1"/>
  <c r="GU592" i="9" s="1"/>
  <c r="GV592" i="9" s="1"/>
  <c r="GQ675" i="9"/>
  <c r="GR675" i="9" s="1"/>
  <c r="GS675" i="9" s="1"/>
  <c r="GT675" i="9" s="1"/>
  <c r="GU675" i="9" s="1"/>
  <c r="GV675" i="9" s="1"/>
  <c r="GQ57" i="9"/>
  <c r="GR57" i="9" s="1"/>
  <c r="GS57" i="9" s="1"/>
  <c r="GT57" i="9" s="1"/>
  <c r="GU57" i="9" s="1"/>
  <c r="GV57" i="9" s="1"/>
  <c r="CE205" i="9"/>
  <c r="GQ104" i="9"/>
  <c r="GR104" i="9" s="1"/>
  <c r="GS104" i="9" s="1"/>
  <c r="GT104" i="9" s="1"/>
  <c r="GU104" i="9" s="1"/>
  <c r="GV104" i="9" s="1"/>
  <c r="GD104" i="9"/>
  <c r="GE104" i="9" s="1"/>
  <c r="GF104" i="9" s="1"/>
  <c r="GG104" i="9" s="1"/>
  <c r="GQ571" i="9"/>
  <c r="GR571" i="9" s="1"/>
  <c r="GS571" i="9" s="1"/>
  <c r="GT571" i="9" s="1"/>
  <c r="GU571" i="9" s="1"/>
  <c r="GV571" i="9" s="1"/>
  <c r="GM48" i="9"/>
  <c r="HG48" i="9" s="1"/>
  <c r="CE48" i="9" s="1"/>
  <c r="GK319" i="9"/>
  <c r="HE319" i="9" s="1"/>
  <c r="CC319" i="9" s="1"/>
  <c r="GM442" i="9"/>
  <c r="HG442" i="9" s="1"/>
  <c r="CE442" i="9" s="1"/>
  <c r="GM550" i="9"/>
  <c r="HG550" i="9" s="1"/>
  <c r="CE550" i="9" s="1"/>
  <c r="GK648" i="9"/>
  <c r="HE648" i="9" s="1"/>
  <c r="GD455" i="9"/>
  <c r="GE455" i="9" s="1"/>
  <c r="GF455" i="9" s="1"/>
  <c r="GG455" i="9" s="1"/>
  <c r="GK51" i="9"/>
  <c r="HE51" i="9" s="1"/>
  <c r="CC51" i="9" s="1"/>
  <c r="GM34" i="9"/>
  <c r="HG34" i="9" s="1"/>
  <c r="CE34" i="9" s="1"/>
  <c r="GK320" i="9"/>
  <c r="HE320" i="9"/>
  <c r="CC320" i="9" s="1"/>
  <c r="DK238" i="9" a="1"/>
  <c r="DK238" i="9" s="1"/>
  <c r="DO361" i="9" a="1"/>
  <c r="DO361" i="9" s="1"/>
  <c r="DP361" i="9" s="1"/>
  <c r="DL361" i="9" s="1" a="1"/>
  <c r="DL361" i="9" s="1"/>
  <c r="DN338" i="9" a="1"/>
  <c r="DN338" i="9" s="1"/>
  <c r="DN248" i="9" a="1"/>
  <c r="DN248" i="9" s="1"/>
  <c r="DO230" i="9" a="1"/>
  <c r="DO230" i="9" s="1"/>
  <c r="DP230" i="9" s="1"/>
  <c r="DL230" i="9" s="1" a="1"/>
  <c r="DL230" i="9" s="1"/>
  <c r="DM218" i="9" a="1"/>
  <c r="DM218" i="9" s="1"/>
  <c r="DN213" i="9" a="1"/>
  <c r="DN213" i="9" s="1"/>
  <c r="DN124" i="9" a="1"/>
  <c r="DN124" i="9"/>
  <c r="DO114" i="9" a="1"/>
  <c r="DO114" i="9" s="1"/>
  <c r="DP114" i="9" s="1"/>
  <c r="DL114" i="9" a="1"/>
  <c r="DL114" i="9"/>
  <c r="DO233" i="9" a="1"/>
  <c r="DO233" i="9" s="1"/>
  <c r="DP233" i="9" s="1"/>
  <c r="DL233" i="9" s="1" a="1"/>
  <c r="DL233" i="9" s="1"/>
  <c r="DK220" i="9" a="1"/>
  <c r="DK220" i="9" s="1"/>
  <c r="DM117" i="9" a="1"/>
  <c r="DM117" i="9" s="1"/>
  <c r="DO97" i="9" a="1"/>
  <c r="DO97" i="9" s="1"/>
  <c r="DP97" i="9" s="1"/>
  <c r="DL97" i="9" s="1" a="1"/>
  <c r="DL97" i="9" s="1"/>
  <c r="DN212" i="9" a="1"/>
  <c r="DN212" i="9"/>
  <c r="DN130" i="9" a="1"/>
  <c r="DN130" i="9"/>
  <c r="DK110" i="9" a="1"/>
  <c r="DK110" i="9" s="1"/>
  <c r="DO253" i="9" a="1"/>
  <c r="DO253" i="9" s="1"/>
  <c r="DP253" i="9"/>
  <c r="DL253" i="9" a="1"/>
  <c r="DL253" i="9" s="1"/>
  <c r="DK229" i="9" a="1"/>
  <c r="DK229" i="9" s="1"/>
  <c r="DO119" i="9" a="1"/>
  <c r="DO119" i="9" s="1"/>
  <c r="DP119" i="9" s="1"/>
  <c r="DL119" i="9" s="1" a="1"/>
  <c r="DL119" i="9" s="1"/>
  <c r="DO103" i="9" a="1"/>
  <c r="DO103" i="9" s="1"/>
  <c r="DP103" i="9" s="1"/>
  <c r="DL103" i="9" s="1" a="1"/>
  <c r="DL103" i="9" s="1"/>
  <c r="DK232" i="9" a="1"/>
  <c r="DK232" i="9" s="1"/>
  <c r="DK212" i="9" a="1"/>
  <c r="DK212" i="9"/>
  <c r="DK132" i="9" a="1"/>
  <c r="DK132" i="9" s="1"/>
  <c r="DM122" i="9" a="1"/>
  <c r="DM122" i="9" s="1"/>
  <c r="DO110" i="9" a="1"/>
  <c r="DO110" i="9" s="1"/>
  <c r="DP110" i="9" s="1"/>
  <c r="DL110" i="9" s="1" a="1"/>
  <c r="DL110" i="9" s="1"/>
  <c r="DO94" i="9" a="1"/>
  <c r="DO94" i="9"/>
  <c r="DP94" i="9" s="1"/>
  <c r="DL94" i="9" s="1" a="1"/>
  <c r="DL94" i="9" s="1"/>
  <c r="DK244" i="9" a="1"/>
  <c r="DK244" i="9"/>
  <c r="DM211" i="9" a="1"/>
  <c r="DM211" i="9" s="1"/>
  <c r="DO133" i="9" a="1"/>
  <c r="DO133" i="9" s="1"/>
  <c r="DP133" i="9" s="1"/>
  <c r="DL133" i="9" s="1" a="1"/>
  <c r="DL133" i="9" s="1"/>
  <c r="DK123" i="9" a="1"/>
  <c r="DK123" i="9"/>
  <c r="DK115" i="9" a="1"/>
  <c r="DK115" i="9" s="1"/>
  <c r="DK487" i="9" a="1"/>
  <c r="DK487" i="9" s="1"/>
  <c r="DM457" i="9" a="1"/>
  <c r="DM457" i="9" s="1"/>
  <c r="DO365" i="9" a="1"/>
  <c r="DO365" i="9" s="1"/>
  <c r="DP365" i="9" s="1"/>
  <c r="DL365" i="9" s="1" a="1"/>
  <c r="DL365" i="9" s="1"/>
  <c r="DO372" i="9" a="1"/>
  <c r="DO372" i="9"/>
  <c r="DP372" i="9" s="1"/>
  <c r="DL372" i="9" s="1" a="1"/>
  <c r="DL372" i="9" s="1"/>
  <c r="DM351" i="9" a="1"/>
  <c r="DM351" i="9" s="1"/>
  <c r="DK352" i="9" a="1"/>
  <c r="DK352" i="9" s="1"/>
  <c r="DK288" i="9" a="1"/>
  <c r="DK288" i="9" s="1"/>
  <c r="DN479" i="9" a="1"/>
  <c r="DN479" i="9" s="1"/>
  <c r="DK359" i="9" a="1"/>
  <c r="DK359" i="9" s="1"/>
  <c r="DN251" i="9" a="1"/>
  <c r="DN251" i="9" s="1"/>
  <c r="DN339" i="9" a="1"/>
  <c r="DN339" i="9" s="1"/>
  <c r="DM288" i="9" a="1"/>
  <c r="DM288" i="9" s="1"/>
  <c r="DO350" i="9" a="1"/>
  <c r="DO350" i="9" s="1"/>
  <c r="DP350" i="9" s="1"/>
  <c r="DL350" i="9" s="1" a="1"/>
  <c r="DL350" i="9" s="1"/>
  <c r="DO250" i="9" a="1"/>
  <c r="DO250" i="9" s="1"/>
  <c r="DP250" i="9" s="1"/>
  <c r="DL250" i="9" s="1" a="1"/>
  <c r="DL250" i="9" s="1"/>
  <c r="DM239" i="9" a="1"/>
  <c r="DM239" i="9"/>
  <c r="DO353" i="9" a="1"/>
  <c r="DO353" i="9"/>
  <c r="DP353" i="9" s="1"/>
  <c r="DL353" i="9" s="1" a="1"/>
  <c r="DL353" i="9" s="1"/>
  <c r="DN245" i="9" a="1"/>
  <c r="DN245" i="9"/>
  <c r="DN254" i="9" a="1"/>
  <c r="DN254" i="9" s="1"/>
  <c r="DK243" i="9" a="1"/>
  <c r="DK243" i="9"/>
  <c r="DM345" i="9" a="1"/>
  <c r="DM345" i="9"/>
  <c r="DK179" i="9" a="1"/>
  <c r="DK179" i="9"/>
  <c r="DK250" i="9" a="1"/>
  <c r="DK250" i="9" s="1"/>
  <c r="DK242" i="9" a="1"/>
  <c r="DK242" i="9"/>
  <c r="DO232" i="9" a="1"/>
  <c r="DO232" i="9"/>
  <c r="DP232" i="9" s="1"/>
  <c r="DL232" i="9" s="1" a="1"/>
  <c r="DL232" i="9" s="1"/>
  <c r="DN228" i="9" a="1"/>
  <c r="DN228" i="9" s="1"/>
  <c r="DK216" i="9" a="1"/>
  <c r="DK216" i="9" s="1"/>
  <c r="DO130" i="9" a="1"/>
  <c r="DO130" i="9" s="1"/>
  <c r="DP130" i="9" s="1"/>
  <c r="DL130" i="9" s="1" a="1"/>
  <c r="DL130" i="9" s="1"/>
  <c r="DK120" i="9" a="1"/>
  <c r="DK120" i="9"/>
  <c r="DM110" i="9" a="1"/>
  <c r="DM110" i="9" s="1"/>
  <c r="DM102" i="9" a="1"/>
  <c r="DM102" i="9"/>
  <c r="DN232" i="9" a="1"/>
  <c r="DN232" i="9"/>
  <c r="DO338" i="9" a="1"/>
  <c r="DO338" i="9" s="1"/>
  <c r="DP338" i="9" s="1"/>
  <c r="DL338" i="9" s="1" a="1"/>
  <c r="DL338" i="9" s="1"/>
  <c r="DO337" i="9" a="1"/>
  <c r="DO337" i="9" s="1"/>
  <c r="DP337" i="9" s="1"/>
  <c r="DL337" i="9" s="1" a="1"/>
  <c r="DL337" i="9" s="1"/>
  <c r="DO273" i="9" a="1"/>
  <c r="DO273" i="9"/>
  <c r="DP273" i="9"/>
  <c r="DL273" i="9" s="1" a="1"/>
  <c r="DL273" i="9" s="1"/>
  <c r="DM365" i="9" a="1"/>
  <c r="DM365" i="9" s="1"/>
  <c r="DM243" i="9" a="1"/>
  <c r="DM243" i="9" s="1"/>
  <c r="DM194" i="9" a="1"/>
  <c r="DM194" i="9" s="1"/>
  <c r="DM234" i="9" a="1"/>
  <c r="DM234" i="9"/>
  <c r="DK164" i="9" a="1"/>
  <c r="DK164" i="9" s="1"/>
  <c r="DK273" i="9" a="1"/>
  <c r="DK273" i="9" s="1"/>
  <c r="DN236" i="9" a="1"/>
  <c r="DN236" i="9" s="1"/>
  <c r="DO344" i="9" a="1"/>
  <c r="DO344" i="9" s="1"/>
  <c r="DP344" i="9" s="1"/>
  <c r="DL344" i="9" s="1" a="1"/>
  <c r="DL344" i="9" s="1"/>
  <c r="DN252" i="9" a="1"/>
  <c r="DN252" i="9"/>
  <c r="DO194" i="9" a="1"/>
  <c r="DO194" i="9" s="1"/>
  <c r="DP194" i="9" s="1"/>
  <c r="DL194" i="9" s="1" a="1"/>
  <c r="DL194" i="9" s="1"/>
  <c r="DM221" i="9" a="1"/>
  <c r="DM221" i="9" s="1"/>
  <c r="DN194" i="9" a="1"/>
  <c r="DN194" i="9" s="1"/>
  <c r="DM118" i="9" a="1"/>
  <c r="DM118" i="9" s="1"/>
  <c r="DN100" i="9" a="1"/>
  <c r="DN100" i="9" s="1"/>
  <c r="DN231" i="9" a="1"/>
  <c r="DN231" i="9" s="1"/>
  <c r="DM223" i="9" a="1"/>
  <c r="DM223" i="9" s="1"/>
  <c r="DN123" i="9" a="1"/>
  <c r="DN123" i="9" s="1"/>
  <c r="DO113" i="9" a="1"/>
  <c r="DO113" i="9" s="1"/>
  <c r="DP113" i="9" s="1"/>
  <c r="DL113" i="9" s="1" a="1"/>
  <c r="DL113" i="9" s="1"/>
  <c r="DK103" i="9" a="1"/>
  <c r="DK103" i="9" s="1"/>
  <c r="DK95" i="9" a="1"/>
  <c r="DK95" i="9"/>
  <c r="DM227" i="9" a="1"/>
  <c r="DM227" i="9"/>
  <c r="DN179" i="9" a="1"/>
  <c r="DN179" i="9"/>
  <c r="DM124" i="9" a="1"/>
  <c r="DM124" i="9" s="1"/>
  <c r="DN98" i="9" a="1"/>
  <c r="DN98" i="9"/>
  <c r="DO88" i="9" a="1"/>
  <c r="DO88" i="9" s="1"/>
  <c r="DP88" i="9" s="1"/>
  <c r="DL88" i="9" s="1" a="1"/>
  <c r="DL88" i="9" s="1"/>
  <c r="DK227" i="9" a="1"/>
  <c r="DK227" i="9" s="1"/>
  <c r="DK125" i="9" a="1"/>
  <c r="DK125" i="9" s="1"/>
  <c r="DM115" i="9" a="1"/>
  <c r="DM115" i="9" s="1"/>
  <c r="DN97" i="9" a="1"/>
  <c r="DN97" i="9" s="1"/>
  <c r="DN235" i="9" a="1"/>
  <c r="DN235" i="9" s="1"/>
  <c r="DO134" i="9" a="1"/>
  <c r="DO134" i="9" s="1"/>
  <c r="DP134" i="9" s="1"/>
  <c r="DL134" i="9" s="1" a="1"/>
  <c r="DL134" i="9" s="1"/>
  <c r="DK116" i="9" a="1"/>
  <c r="DK116" i="9" s="1"/>
  <c r="DN88" i="9" a="1"/>
  <c r="DN88" i="9" s="1"/>
  <c r="DN127" i="9" a="1"/>
  <c r="DN127" i="9" s="1"/>
  <c r="DM470" i="9" a="1"/>
  <c r="DM470" i="9" s="1"/>
  <c r="DN474" i="9" a="1"/>
  <c r="DN474" i="9" s="1"/>
  <c r="DM333" i="9" a="1"/>
  <c r="DM333" i="9" s="1"/>
  <c r="DN288" i="9" a="1"/>
  <c r="DN288" i="9" s="1"/>
  <c r="DO241" i="9" a="1"/>
  <c r="DO241" i="9" s="1"/>
  <c r="DP241" i="9" s="1"/>
  <c r="DL241" i="9" s="1" a="1"/>
  <c r="DL241" i="9" s="1"/>
  <c r="DM250" i="9" a="1"/>
  <c r="DM250" i="9" s="1"/>
  <c r="DO240" i="9" a="1"/>
  <c r="DO240" i="9" s="1"/>
  <c r="DP240" i="9" s="1"/>
  <c r="DL240" i="9" s="1" a="1"/>
  <c r="DL240" i="9" s="1"/>
  <c r="DK194" i="9" a="1"/>
  <c r="DK194" i="9" s="1"/>
  <c r="DM241" i="9" a="1"/>
  <c r="DM241" i="9" s="1"/>
  <c r="DK251" i="9" a="1"/>
  <c r="DK251" i="9" s="1"/>
  <c r="DN225" i="9" a="1"/>
  <c r="DN225" i="9" s="1"/>
  <c r="DK215" i="9" a="1"/>
  <c r="DK215" i="9" s="1"/>
  <c r="DN132" i="9" a="1"/>
  <c r="DN132" i="9" s="1"/>
  <c r="DN116" i="9" a="1"/>
  <c r="DN116" i="9" s="1"/>
  <c r="DM228" i="9" a="1"/>
  <c r="DM228" i="9" s="1"/>
  <c r="DK219" i="9" a="1"/>
  <c r="DK219" i="9" s="1"/>
  <c r="DN131" i="9" a="1"/>
  <c r="DN131" i="9" s="1"/>
  <c r="DK119" i="9" a="1"/>
  <c r="DK119" i="9" s="1"/>
  <c r="DO105" i="9" a="1"/>
  <c r="DO105" i="9" s="1"/>
  <c r="DP105" i="9" s="1"/>
  <c r="DL105" i="9" s="1" a="1"/>
  <c r="DL105" i="9" s="1"/>
  <c r="DM232" i="9" a="1"/>
  <c r="DM232" i="9"/>
  <c r="DK134" i="9" a="1"/>
  <c r="DK134" i="9"/>
  <c r="DO120" i="9" a="1"/>
  <c r="DO120" i="9" s="1"/>
  <c r="DP120" i="9"/>
  <c r="DL120" i="9" s="1" a="1"/>
  <c r="DL120" i="9" s="1"/>
  <c r="DM108" i="9" a="1"/>
  <c r="DM108" i="9" s="1"/>
  <c r="DK228" i="9" a="1"/>
  <c r="DK228" i="9" s="1"/>
  <c r="DK133" i="9" a="1"/>
  <c r="DK133" i="9" s="1"/>
  <c r="DN121" i="9" a="1"/>
  <c r="DN121" i="9" s="1"/>
  <c r="DO95" i="9" a="1"/>
  <c r="DO95" i="9" s="1"/>
  <c r="DP95" i="9" s="1"/>
  <c r="DL95" i="9" s="1" a="1"/>
  <c r="DL95" i="9" s="1"/>
  <c r="DK233" i="9" a="1"/>
  <c r="DK233" i="9"/>
  <c r="DO210" i="9" a="1"/>
  <c r="DO210" i="9" s="1"/>
  <c r="DP210" i="9" s="1"/>
  <c r="DL210" i="9" s="1" a="1"/>
  <c r="DL210" i="9" s="1"/>
  <c r="DO126" i="9" a="1"/>
  <c r="DO126" i="9" s="1"/>
  <c r="DP126" i="9" s="1"/>
  <c r="DL126" i="9" s="1" a="1"/>
  <c r="DL126" i="9" s="1"/>
  <c r="DN112" i="9" a="1"/>
  <c r="DN112" i="9"/>
  <c r="DO125" i="9" a="1"/>
  <c r="DO125" i="9" s="1"/>
  <c r="DP125" i="9"/>
  <c r="DL125" i="9" s="1" a="1"/>
  <c r="DL125" i="9" s="1"/>
  <c r="DO117" i="9" a="1"/>
  <c r="DO117" i="9" s="1"/>
  <c r="DP117" i="9" s="1"/>
  <c r="DL117" i="9" s="1" a="1"/>
  <c r="DL117" i="9" s="1"/>
  <c r="DK107" i="9" a="1"/>
  <c r="DK107" i="9" s="1"/>
  <c r="DK99" i="9" a="1"/>
  <c r="DK99" i="9" s="1"/>
  <c r="DK113" i="9" a="1"/>
  <c r="DK113" i="9" s="1"/>
  <c r="DN93" i="9" a="1"/>
  <c r="DN93" i="9" s="1"/>
  <c r="DK87" i="9" a="1"/>
  <c r="DK87" i="9" s="1"/>
  <c r="DK96" i="9" a="1"/>
  <c r="DK96" i="9" s="1"/>
  <c r="DK98" i="9" a="1"/>
  <c r="DK98" i="9" s="1"/>
  <c r="DM111" i="9" a="1"/>
  <c r="DM111" i="9" s="1"/>
  <c r="DO132" i="9" a="1"/>
  <c r="DO132" i="9" s="1"/>
  <c r="DP132" i="9" s="1"/>
  <c r="DL132" i="9" s="1" a="1"/>
  <c r="DL132" i="9" s="1"/>
  <c r="DN223" i="9" a="1"/>
  <c r="DN223" i="9" s="1"/>
  <c r="DK476" i="9" a="1"/>
  <c r="DK476" i="9" s="1"/>
  <c r="DO472" i="9" a="1"/>
  <c r="DO472" i="9" s="1"/>
  <c r="DP472" i="9" s="1"/>
  <c r="DL472" i="9" s="1" a="1"/>
  <c r="DL472" i="9" s="1"/>
  <c r="DN372" i="9" a="1"/>
  <c r="DN372" i="9"/>
  <c r="DM255" i="9" a="1"/>
  <c r="DM255" i="9"/>
  <c r="DO356" i="9" a="1"/>
  <c r="DO356" i="9" s="1"/>
  <c r="DP356" i="9" s="1"/>
  <c r="DL356" i="9" s="1" a="1"/>
  <c r="DL356" i="9" s="1"/>
  <c r="DO303" i="9" a="1"/>
  <c r="DO303" i="9" s="1"/>
  <c r="DP303" i="9" s="1"/>
  <c r="DL303" i="9" s="1" a="1"/>
  <c r="DL303" i="9" s="1"/>
  <c r="DK252" i="9" a="1"/>
  <c r="DK252" i="9" s="1"/>
  <c r="DM249" i="9" a="1"/>
  <c r="DM249" i="9" s="1"/>
  <c r="DK240" i="9" a="1"/>
  <c r="DK240" i="9" s="1"/>
  <c r="DK346" i="9" a="1"/>
  <c r="DK346" i="9" s="1"/>
  <c r="DO339" i="9" a="1"/>
  <c r="DO339" i="9" s="1"/>
  <c r="DP339" i="9" s="1"/>
  <c r="DL339" i="9" s="1" a="1"/>
  <c r="DL339" i="9" s="1"/>
  <c r="DN246" i="9" a="1"/>
  <c r="DN246" i="9"/>
  <c r="DK239" i="9" a="1"/>
  <c r="DK239" i="9"/>
  <c r="DM352" i="9" a="1"/>
  <c r="DM352" i="9"/>
  <c r="DK149" i="9" a="1"/>
  <c r="DK149" i="9"/>
  <c r="DO239" i="9" a="1"/>
  <c r="DO239" i="9" s="1"/>
  <c r="DP239" i="9" s="1"/>
  <c r="DL239" i="9" s="1" a="1"/>
  <c r="DL239" i="9" s="1"/>
  <c r="DN222" i="9" a="1"/>
  <c r="DN222" i="9" s="1"/>
  <c r="DK128" i="9" a="1"/>
  <c r="DK128" i="9" s="1"/>
  <c r="DK236" i="9" a="1"/>
  <c r="DK236" i="9" s="1"/>
  <c r="DM225" i="9" a="1"/>
  <c r="DM225" i="9" s="1"/>
  <c r="DK214" i="9" a="1"/>
  <c r="DK214" i="9" s="1"/>
  <c r="DO129" i="9" a="1"/>
  <c r="DO129" i="9" s="1"/>
  <c r="DP129" i="9" s="1"/>
  <c r="DL129" i="9" s="1" a="1"/>
  <c r="DL129" i="9" s="1"/>
  <c r="DN115" i="9" a="1"/>
  <c r="DN115" i="9"/>
  <c r="DN243" i="9" a="1"/>
  <c r="DN243" i="9"/>
  <c r="DM229" i="9" a="1"/>
  <c r="DM229" i="9"/>
  <c r="DK222" i="9" a="1"/>
  <c r="DK222" i="9"/>
  <c r="DM132" i="9" a="1"/>
  <c r="DM132" i="9"/>
  <c r="DK118" i="9" a="1"/>
  <c r="DK118" i="9"/>
  <c r="DO104" i="9" a="1"/>
  <c r="DO104" i="9" s="1"/>
  <c r="DP104" i="9" s="1"/>
  <c r="DL104" i="9" s="1" a="1"/>
  <c r="DL104" i="9" s="1"/>
  <c r="DK94" i="9" a="1"/>
  <c r="DK94" i="9" s="1"/>
  <c r="DK237" i="9" a="1"/>
  <c r="DK237" i="9" s="1"/>
  <c r="DN129" i="9" a="1"/>
  <c r="DN129" i="9" s="1"/>
  <c r="DK117" i="9" a="1"/>
  <c r="DK117" i="9" s="1"/>
  <c r="DM107" i="9" a="1"/>
  <c r="DM107" i="9" s="1"/>
  <c r="DM91" i="9" a="1"/>
  <c r="DM91" i="9" s="1"/>
  <c r="DK231" i="9" a="1"/>
  <c r="DK231" i="9" s="1"/>
  <c r="DM98" i="9" a="1"/>
  <c r="DM98" i="9" s="1"/>
  <c r="DO164" i="9" a="1"/>
  <c r="DO164" i="9" s="1"/>
  <c r="DP164" i="9" s="1"/>
  <c r="DL164" i="9" s="1" a="1"/>
  <c r="DL164" i="9" s="1"/>
  <c r="DK89" i="9" a="1"/>
  <c r="DK89" i="9" s="1"/>
  <c r="DO227" i="9" a="1"/>
  <c r="DO227" i="9" s="1"/>
  <c r="DP227" i="9" s="1"/>
  <c r="DL227" i="9" s="1" a="1"/>
  <c r="DL227" i="9" s="1"/>
  <c r="DM112" i="9" a="1"/>
  <c r="DM112" i="9"/>
  <c r="DK90" i="9" a="1"/>
  <c r="DK90" i="9"/>
  <c r="DO100" i="9" a="1"/>
  <c r="DO100" i="9" s="1"/>
  <c r="DP100" i="9"/>
  <c r="DL100" i="9" s="1" a="1"/>
  <c r="DL100" i="9" s="1"/>
  <c r="DO225" i="9" a="1"/>
  <c r="DO225" i="9" s="1"/>
  <c r="DP225" i="9" s="1"/>
  <c r="DL225" i="9" s="1" a="1"/>
  <c r="DL225" i="9" s="1"/>
  <c r="DO359" i="9" a="1"/>
  <c r="DO359" i="9"/>
  <c r="DP359" i="9" s="1"/>
  <c r="DL359" i="9" s="1" a="1"/>
  <c r="DL359" i="9" s="1"/>
  <c r="DK454" i="9" a="1"/>
  <c r="DK454" i="9"/>
  <c r="DO362" i="9" a="1"/>
  <c r="DO362" i="9"/>
  <c r="DP362" i="9" s="1"/>
  <c r="DL362" i="9" s="1" a="1"/>
  <c r="DL362" i="9" s="1"/>
  <c r="DM348" i="9" a="1"/>
  <c r="DM348" i="9" s="1"/>
  <c r="DO342" i="9" a="1"/>
  <c r="DO342" i="9" s="1"/>
  <c r="DP342" i="9" s="1"/>
  <c r="DL342" i="9" s="1" a="1"/>
  <c r="DL342" i="9" s="1"/>
  <c r="DM482" i="9" a="1"/>
  <c r="DM482" i="9"/>
  <c r="DM258" i="9" a="1"/>
  <c r="DM258" i="9"/>
  <c r="DK337" i="9" a="1"/>
  <c r="DK337" i="9"/>
  <c r="DK334" i="9" a="1"/>
  <c r="DK334" i="9"/>
  <c r="DN244" i="9" a="1"/>
  <c r="DN244" i="9"/>
  <c r="DM238" i="9" a="1"/>
  <c r="DM238" i="9"/>
  <c r="DK348" i="9" a="1"/>
  <c r="DK348" i="9"/>
  <c r="DO248" i="9" a="1"/>
  <c r="DO248" i="9" s="1"/>
  <c r="DP248" i="9" s="1"/>
  <c r="DL248" i="9" s="1" a="1"/>
  <c r="DL248" i="9" s="1"/>
  <c r="DK246" i="9" a="1"/>
  <c r="DK246" i="9" s="1"/>
  <c r="DO231" i="9" a="1"/>
  <c r="DO231" i="9" s="1"/>
  <c r="DP231" i="9" s="1"/>
  <c r="DL231" i="9" s="1" a="1"/>
  <c r="DL231" i="9" s="1"/>
  <c r="DK112" i="9" a="1"/>
  <c r="DK112" i="9" s="1"/>
  <c r="DO212" i="9" a="1"/>
  <c r="DO212" i="9" s="1"/>
  <c r="DP212" i="9" s="1"/>
  <c r="DL212" i="9" s="1" a="1"/>
  <c r="DL212" i="9" s="1"/>
  <c r="DK127" i="9" a="1"/>
  <c r="DK127" i="9" s="1"/>
  <c r="DM101" i="9" a="1"/>
  <c r="DM101" i="9" s="1"/>
  <c r="DN239" i="9" a="1"/>
  <c r="DN239" i="9" s="1"/>
  <c r="DM213" i="9" a="1"/>
  <c r="DM213" i="9" s="1"/>
  <c r="DM116" i="9" a="1"/>
  <c r="DM116" i="9" s="1"/>
  <c r="DM92" i="9" a="1"/>
  <c r="DM92" i="9" s="1"/>
  <c r="DM233" i="9" a="1"/>
  <c r="DM233" i="9" s="1"/>
  <c r="DK226" i="9" a="1"/>
  <c r="DK226" i="9" s="1"/>
  <c r="DO127" i="9" a="1"/>
  <c r="DO127" i="9" s="1"/>
  <c r="DP127" i="9" s="1"/>
  <c r="DL127" i="9" s="1" a="1"/>
  <c r="DL127" i="9" s="1"/>
  <c r="DN105" i="9" a="1"/>
  <c r="DN105" i="9" s="1"/>
  <c r="DN89" i="9" a="1"/>
  <c r="DN89" i="9" s="1"/>
  <c r="DK230" i="9" a="1"/>
  <c r="DK230" i="9" s="1"/>
  <c r="DK108" i="9" a="1"/>
  <c r="DK108" i="9" s="1"/>
  <c r="DN96" i="9" a="1"/>
  <c r="DN96" i="9" s="1"/>
  <c r="DK234" i="9" a="1"/>
  <c r="DK234" i="9" s="1"/>
  <c r="DO217" i="9" a="1"/>
  <c r="DO217" i="9" s="1"/>
  <c r="DP217" i="9" s="1"/>
  <c r="DL217" i="9" s="1" a="1"/>
  <c r="DL217" i="9" s="1"/>
  <c r="DM113" i="9" a="1"/>
  <c r="DM113" i="9" s="1"/>
  <c r="DN103" i="9" a="1"/>
  <c r="DN103" i="9" s="1"/>
  <c r="DN95" i="9" a="1"/>
  <c r="DN95" i="9" s="1"/>
  <c r="DO57" i="9" a="1"/>
  <c r="DO57" i="9" s="1"/>
  <c r="DP57" i="9" s="1"/>
  <c r="DL57" i="9" s="1" a="1"/>
  <c r="DL57" i="9" s="1"/>
  <c r="DN102" i="9" a="1"/>
  <c r="DN102" i="9" s="1"/>
  <c r="DK121" i="9" a="1"/>
  <c r="DK121" i="9" s="1"/>
  <c r="DN218" i="9" a="1"/>
  <c r="DN218" i="9" s="1"/>
  <c r="DM27" i="9" a="1"/>
  <c r="DM27" i="9" s="1"/>
  <c r="DO90" i="9" a="1"/>
  <c r="DO90" i="9" s="1"/>
  <c r="DP90" i="9" s="1"/>
  <c r="DL90" i="9" s="1" a="1"/>
  <c r="DL90" i="9" s="1"/>
  <c r="DM95" i="9" a="1"/>
  <c r="DM95" i="9" s="1"/>
  <c r="DM119" i="9" a="1"/>
  <c r="DM119" i="9" s="1"/>
  <c r="DN209" i="9" a="1"/>
  <c r="DN209" i="9" s="1"/>
  <c r="DM236" i="9" a="1"/>
  <c r="DM236" i="9" s="1"/>
  <c r="DN368" i="9" a="1"/>
  <c r="DN368" i="9" s="1"/>
  <c r="DO578" i="9" a="1"/>
  <c r="DO578" i="9" s="1"/>
  <c r="DP578" i="9" s="1"/>
  <c r="DL578" i="9" s="1" a="1"/>
  <c r="DL578" i="9" s="1"/>
  <c r="DM342" i="9" a="1"/>
  <c r="DM342" i="9"/>
  <c r="DM247" i="9" a="1"/>
  <c r="DM247" i="9"/>
  <c r="DM336" i="9" a="1"/>
  <c r="DM336" i="9"/>
  <c r="DN347" i="9" a="1"/>
  <c r="DN347" i="9"/>
  <c r="DN256" i="9" a="1"/>
  <c r="DN256" i="9"/>
  <c r="DO245" i="9" a="1"/>
  <c r="DO245" i="9" s="1"/>
  <c r="DP245" i="9" s="1"/>
  <c r="DL245" i="9" s="1" a="1"/>
  <c r="DL245" i="9" s="1"/>
  <c r="DK248" i="9" a="1"/>
  <c r="DK248" i="9" s="1"/>
  <c r="DN238" i="9" a="1"/>
  <c r="DN238" i="9" s="1"/>
  <c r="DN250" i="9" a="1"/>
  <c r="DN250" i="9" s="1"/>
  <c r="DN237" i="9" a="1"/>
  <c r="DN237" i="9" s="1"/>
  <c r="DO336" i="9" a="1"/>
  <c r="DO336" i="9" s="1"/>
  <c r="DP336" i="9" s="1"/>
  <c r="DL336" i="9" s="1" a="1"/>
  <c r="DL336" i="9" s="1"/>
  <c r="DM246" i="9" a="1"/>
  <c r="DM246" i="9" s="1"/>
  <c r="DM237" i="9" a="1"/>
  <c r="DM237" i="9" s="1"/>
  <c r="DM341" i="9" a="1"/>
  <c r="DM341" i="9" s="1"/>
  <c r="DO229" i="9" a="1"/>
  <c r="DO229" i="9" s="1"/>
  <c r="DP229" i="9" s="1"/>
  <c r="DL229" i="9" s="1" a="1"/>
  <c r="DL229" i="9" s="1"/>
  <c r="DM219" i="9" a="1"/>
  <c r="DM219" i="9"/>
  <c r="DM209" i="9" a="1"/>
  <c r="DM209" i="9"/>
  <c r="DM126" i="9" a="1"/>
  <c r="DM126" i="9"/>
  <c r="DN108" i="9" a="1"/>
  <c r="DN108" i="9"/>
  <c r="DM222" i="9" a="1"/>
  <c r="DM222" i="9"/>
  <c r="DN99" i="9" a="1"/>
  <c r="DN99" i="9"/>
  <c r="DO234" i="9" a="1"/>
  <c r="DO234" i="9"/>
  <c r="DP234" i="9" s="1"/>
  <c r="DL234" i="9" s="1" a="1"/>
  <c r="DL234" i="9" s="1"/>
  <c r="DO128" i="9" a="1"/>
  <c r="DO128" i="9" s="1"/>
  <c r="DP128" i="9" s="1"/>
  <c r="DL128" i="9" s="1" a="1"/>
  <c r="DL128" i="9" s="1"/>
  <c r="DN114" i="9" a="1"/>
  <c r="DN114" i="9" s="1"/>
  <c r="DM231" i="9" a="1"/>
  <c r="DM231" i="9" s="1"/>
  <c r="DK213" i="9" a="1"/>
  <c r="DK213" i="9" s="1"/>
  <c r="DN113" i="9" a="1"/>
  <c r="DN113" i="9" s="1"/>
  <c r="DN258" i="9" a="1"/>
  <c r="DN258" i="9" s="1"/>
  <c r="DO216" i="9" a="1"/>
  <c r="DO216" i="9" s="1"/>
  <c r="DP216" i="9" s="1"/>
  <c r="DL216" i="9" s="1" a="1"/>
  <c r="DL216" i="9" s="1"/>
  <c r="DN120" i="9" a="1"/>
  <c r="DN120" i="9" s="1"/>
  <c r="DM106" i="9" a="1"/>
  <c r="DM106" i="9" s="1"/>
  <c r="DO220" i="9" a="1"/>
  <c r="DO220" i="9" s="1"/>
  <c r="DP220" i="9" s="1"/>
  <c r="DL220" i="9" s="1" a="1"/>
  <c r="DL220" i="9" s="1"/>
  <c r="DN216" i="9" a="1"/>
  <c r="DN216" i="9"/>
  <c r="DM121" i="9" a="1"/>
  <c r="DM121" i="9"/>
  <c r="DN111" i="9" a="1"/>
  <c r="DN111" i="9"/>
  <c r="DO93" i="9" a="1"/>
  <c r="DO93" i="9" s="1"/>
  <c r="DP93" i="9" s="1"/>
  <c r="DL93" i="9" s="1" a="1"/>
  <c r="DL93" i="9"/>
  <c r="DN126" i="9" a="1"/>
  <c r="DN126" i="9"/>
  <c r="DO238" i="9" a="1"/>
  <c r="DO238" i="9" s="1"/>
  <c r="DP238" i="9" s="1"/>
  <c r="DL238" i="9" s="1" a="1"/>
  <c r="DL238" i="9" s="1"/>
  <c r="DO124" i="9" a="1"/>
  <c r="DO124" i="9" s="1"/>
  <c r="DP124" i="9" s="1"/>
  <c r="DL124" i="9" s="1" a="1"/>
  <c r="DL124" i="9" s="1"/>
  <c r="DM392" i="9" a="1"/>
  <c r="DM392" i="9" s="1"/>
  <c r="DN337" i="9" a="1"/>
  <c r="DN337" i="9" s="1"/>
  <c r="DO249" i="9" a="1"/>
  <c r="DO249" i="9" s="1"/>
  <c r="DP249" i="9" s="1"/>
  <c r="DL249" i="9" s="1" a="1"/>
  <c r="DL249" i="9" s="1"/>
  <c r="DK335" i="9" a="1"/>
  <c r="DK335" i="9"/>
  <c r="DM360" i="9" a="1"/>
  <c r="DM360" i="9"/>
  <c r="DM340" i="9" a="1"/>
  <c r="DM340" i="9"/>
  <c r="DN242" i="9" a="1"/>
  <c r="DN242" i="9"/>
  <c r="DO377" i="9" a="1"/>
  <c r="DO377" i="9" s="1"/>
  <c r="DP377" i="9" s="1"/>
  <c r="DL377" i="9" s="1" a="1"/>
  <c r="DL377" i="9" s="1"/>
  <c r="DM164" i="9" a="1"/>
  <c r="DM164" i="9" s="1"/>
  <c r="DN241" i="9" a="1"/>
  <c r="DN241" i="9" s="1"/>
  <c r="DO577" i="9" a="1"/>
  <c r="DO577" i="9" s="1"/>
  <c r="DP577" i="9" s="1"/>
  <c r="DL577" i="9" s="1" a="1"/>
  <c r="DL577" i="9" s="1"/>
  <c r="DN247" i="9" a="1"/>
  <c r="DN247" i="9" s="1"/>
  <c r="DN255" i="9" a="1"/>
  <c r="DN255" i="9" s="1"/>
  <c r="DM373" i="9" a="1"/>
  <c r="DM373" i="9" s="1"/>
  <c r="DM134" i="9" a="1"/>
  <c r="DM134" i="9" s="1"/>
  <c r="DK104" i="9" a="1"/>
  <c r="DK104" i="9" s="1"/>
  <c r="DN229" i="9" a="1"/>
  <c r="DN229" i="9" s="1"/>
  <c r="DM133" i="9" a="1"/>
  <c r="DM133" i="9" s="1"/>
  <c r="DO121" i="9" a="1"/>
  <c r="DO121" i="9" s="1"/>
  <c r="DP121" i="9" s="1"/>
  <c r="DL121" i="9" s="1" a="1"/>
  <c r="DL121" i="9" s="1"/>
  <c r="DN107" i="9" a="1"/>
  <c r="DN107" i="9" s="1"/>
  <c r="DK224" i="9" a="1"/>
  <c r="DK224" i="9" s="1"/>
  <c r="DM100" i="9" a="1"/>
  <c r="DM100" i="9" s="1"/>
  <c r="DM335" i="9" a="1"/>
  <c r="DM335" i="9" s="1"/>
  <c r="DN211" i="9" a="1"/>
  <c r="DN211" i="9" s="1"/>
  <c r="DN128" i="9" a="1"/>
  <c r="DN128" i="9" s="1"/>
  <c r="DO102" i="9" a="1"/>
  <c r="DO102" i="9" s="1"/>
  <c r="DP102" i="9" s="1"/>
  <c r="DL102" i="9" s="1" a="1"/>
  <c r="DL102" i="9" s="1"/>
  <c r="DO219" i="9" a="1"/>
  <c r="DO219" i="9"/>
  <c r="DP219" i="9" s="1"/>
  <c r="DL219" i="9" s="1" a="1"/>
  <c r="DL219" i="9" s="1"/>
  <c r="DN210" i="9" a="1"/>
  <c r="DN210" i="9"/>
  <c r="DN134" i="9" a="1"/>
  <c r="DN134" i="9"/>
  <c r="DM72" i="9" a="1"/>
  <c r="DM72" i="9"/>
  <c r="DO108" i="9" a="1"/>
  <c r="DO108" i="9" s="1"/>
  <c r="DP108" i="9" s="1"/>
  <c r="DL108" i="9" s="1" a="1"/>
  <c r="DL108" i="9" s="1"/>
  <c r="DM127" i="9" a="1"/>
  <c r="DM127" i="9" s="1"/>
  <c r="DN221" i="9" a="1"/>
  <c r="DN221" i="9" s="1"/>
  <c r="DN452" i="9" a="1"/>
  <c r="DN452" i="9" s="1"/>
  <c r="DN257" i="9" a="1"/>
  <c r="DN257" i="9" s="1"/>
  <c r="DO256" i="9" a="1"/>
  <c r="DO256" i="9" s="1"/>
  <c r="DP256" i="9" s="1"/>
  <c r="DL256" i="9" s="1" a="1"/>
  <c r="DL256" i="9" s="1"/>
  <c r="DO237" i="9" a="1"/>
  <c r="DO237" i="9" s="1"/>
  <c r="DP237" i="9" s="1"/>
  <c r="DL237" i="9" s="1" a="1"/>
  <c r="DL237" i="9" s="1"/>
  <c r="DM242" i="9" a="1"/>
  <c r="DM242" i="9" s="1"/>
  <c r="DO235" i="9" a="1"/>
  <c r="DO235" i="9" s="1"/>
  <c r="DP235" i="9" s="1"/>
  <c r="DL235" i="9" s="1" a="1"/>
  <c r="DL235" i="9" s="1"/>
  <c r="DM125" i="9" a="1"/>
  <c r="DM125" i="9" s="1"/>
  <c r="DM93" i="9" a="1"/>
  <c r="DM93" i="9" s="1"/>
  <c r="DO211" i="9" a="1"/>
  <c r="DO211" i="9" s="1"/>
  <c r="DP211" i="9" s="1"/>
  <c r="DL211" i="9" s="1" a="1"/>
  <c r="DL211" i="9" s="1"/>
  <c r="DK102" i="9" a="1"/>
  <c r="DK102" i="9"/>
  <c r="DO111" i="9" a="1"/>
  <c r="DO111" i="9" s="1"/>
  <c r="DP111" i="9" s="1"/>
  <c r="DL111" i="9" s="1" a="1"/>
  <c r="DL111" i="9" s="1"/>
  <c r="DO215" i="9" a="1"/>
  <c r="DO215" i="9" s="1"/>
  <c r="DP215" i="9" s="1"/>
  <c r="DL215" i="9" s="1" a="1"/>
  <c r="DL215" i="9" s="1"/>
  <c r="DM97" i="9" a="1"/>
  <c r="DM97" i="9"/>
  <c r="DM210" i="9" a="1"/>
  <c r="DM210" i="9"/>
  <c r="DK303" i="9" a="1"/>
  <c r="DK303" i="9"/>
  <c r="DO366" i="9" a="1"/>
  <c r="DO366" i="9" s="1"/>
  <c r="DP366" i="9" s="1"/>
  <c r="DL366" i="9" s="1" a="1"/>
  <c r="DL366" i="9" s="1"/>
  <c r="DK341" i="9" a="1"/>
  <c r="DK341" i="9" s="1"/>
  <c r="DN346" i="9" a="1"/>
  <c r="DN346" i="9" s="1"/>
  <c r="DN333" i="9" a="1"/>
  <c r="DN333" i="9" s="1"/>
  <c r="DK351" i="9" a="1"/>
  <c r="DK351" i="9" s="1"/>
  <c r="DN227" i="9" a="1"/>
  <c r="DN227" i="9" s="1"/>
  <c r="DN226" i="9" a="1"/>
  <c r="DN226" i="9" s="1"/>
  <c r="DM212" i="9" a="1"/>
  <c r="DM212" i="9" s="1"/>
  <c r="DK109" i="9" a="1"/>
  <c r="DK109" i="9" s="1"/>
  <c r="DO218" i="9" a="1"/>
  <c r="DO218" i="9" s="1"/>
  <c r="DP218" i="9" s="1"/>
  <c r="DL218" i="9" s="1" a="1"/>
  <c r="DL218" i="9" s="1"/>
  <c r="DN119" i="9" a="1"/>
  <c r="DN119" i="9"/>
  <c r="DM220" i="9" a="1"/>
  <c r="DM220" i="9"/>
  <c r="DO149" i="9" a="1"/>
  <c r="DO149" i="9"/>
  <c r="DP149" i="9" s="1"/>
  <c r="DL149" i="9" s="1" a="1"/>
  <c r="DL149" i="9" s="1"/>
  <c r="DK356" i="9" a="1"/>
  <c r="DK356" i="9" s="1"/>
  <c r="DK245" i="9" a="1"/>
  <c r="DK245" i="9" s="1"/>
  <c r="DN343" i="9" a="1"/>
  <c r="DN343" i="9" s="1"/>
  <c r="DO258" i="9" a="1"/>
  <c r="DO258" i="9" s="1"/>
  <c r="DP258" i="9" s="1"/>
  <c r="DL258" i="9" s="1" a="1"/>
  <c r="DL258" i="9" s="1"/>
  <c r="DM224" i="9" a="1"/>
  <c r="DM224" i="9"/>
  <c r="DO122" i="9" a="1"/>
  <c r="DO122" i="9" s="1"/>
  <c r="DP122" i="9" s="1"/>
  <c r="DL122" i="9" s="1" a="1"/>
  <c r="DL122" i="9" s="1"/>
  <c r="DN233" i="9" a="1"/>
  <c r="DN233" i="9" s="1"/>
  <c r="DK126" i="9" a="1"/>
  <c r="DK126" i="9" s="1"/>
  <c r="DO96" i="9" a="1"/>
  <c r="DO96" i="9" s="1"/>
  <c r="DP96" i="9" s="1"/>
  <c r="DL96" i="9" s="1" a="1"/>
  <c r="DL96" i="9" s="1"/>
  <c r="DK101" i="9" a="1"/>
  <c r="DK101" i="9"/>
  <c r="DN104" i="9" a="1"/>
  <c r="DN104" i="9"/>
  <c r="DN215" i="9" a="1"/>
  <c r="DN215" i="9"/>
  <c r="DK91" i="9" a="1"/>
  <c r="DK91" i="9"/>
  <c r="DO72" i="9" a="1"/>
  <c r="DO72" i="9"/>
  <c r="DP72" i="9" s="1"/>
  <c r="DL72" i="9" s="1" a="1"/>
  <c r="DL72" i="9" s="1"/>
  <c r="DK57" i="9" a="1"/>
  <c r="DK57" i="9" s="1"/>
  <c r="DM215" i="9" a="1"/>
  <c r="DM215" i="9" s="1"/>
  <c r="DO349" i="9" a="1"/>
  <c r="DO349" i="9" s="1"/>
  <c r="DP349" i="9" s="1"/>
  <c r="DL349" i="9" s="1" a="1"/>
  <c r="DL349" i="9" s="1"/>
  <c r="DK339" i="9" a="1"/>
  <c r="DK339" i="9" s="1"/>
  <c r="DN341" i="9" a="1"/>
  <c r="DN341" i="9" s="1"/>
  <c r="DK258" i="9" a="1"/>
  <c r="DK258" i="9" s="1"/>
  <c r="DM179" i="9" a="1"/>
  <c r="DM179" i="9" s="1"/>
  <c r="DO236" i="9" a="1"/>
  <c r="DO236" i="9" s="1"/>
  <c r="DP236" i="9" s="1"/>
  <c r="DL236" i="9" s="1" a="1"/>
  <c r="DL236" i="9" s="1"/>
  <c r="DO252" i="9" a="1"/>
  <c r="DO252" i="9" s="1"/>
  <c r="DP252" i="9" s="1"/>
  <c r="DL252" i="9" a="1"/>
  <c r="DL252" i="9" s="1"/>
  <c r="DK221" i="9" a="1"/>
  <c r="DK221" i="9"/>
  <c r="DK111" i="9" a="1"/>
  <c r="DK111" i="9"/>
  <c r="DN230" i="9" a="1"/>
  <c r="DN230" i="9"/>
  <c r="DN122" i="9" a="1"/>
  <c r="DN122" i="9"/>
  <c r="DN90" i="9" a="1"/>
  <c r="DN90" i="9"/>
  <c r="DM131" i="9" a="1"/>
  <c r="DM131" i="9"/>
  <c r="DM99" i="9" a="1"/>
  <c r="DM99" i="9"/>
  <c r="DK100" i="9" a="1"/>
  <c r="DK100" i="9"/>
  <c r="DK105" i="9" a="1"/>
  <c r="DK105" i="9"/>
  <c r="DN42" i="9" a="1"/>
  <c r="DN42" i="9"/>
  <c r="DM217" i="9" a="1"/>
  <c r="DM217" i="9"/>
  <c r="DO477" i="9" a="1"/>
  <c r="DO477" i="9" s="1"/>
  <c r="DP477" i="9" s="1"/>
  <c r="DL477" i="9" s="1" a="1"/>
  <c r="DL477" i="9" s="1"/>
  <c r="DN453" i="9" a="1"/>
  <c r="DN453" i="9" s="1"/>
  <c r="DO246" i="9" a="1"/>
  <c r="DO246" i="9" s="1"/>
  <c r="DP246" i="9" s="1"/>
  <c r="DL246" i="9" s="1" a="1"/>
  <c r="DL246" i="9" s="1"/>
  <c r="DN342" i="9" a="1"/>
  <c r="DN342" i="9" s="1"/>
  <c r="DK235" i="9" a="1"/>
  <c r="DK235" i="9" s="1"/>
  <c r="DK217" i="9" a="1"/>
  <c r="DK217" i="9" s="1"/>
  <c r="DO106" i="9" a="1"/>
  <c r="DO106" i="9" s="1"/>
  <c r="DP106" i="9" s="1"/>
  <c r="DL106" i="9" s="1" a="1"/>
  <c r="DL106" i="9" s="1"/>
  <c r="DK218" i="9" a="1"/>
  <c r="DK218" i="9" s="1"/>
  <c r="DM109" i="9" a="1"/>
  <c r="DM109" i="9" s="1"/>
  <c r="DM226" i="9" a="1"/>
  <c r="DM226" i="9" s="1"/>
  <c r="DK72" i="9" a="1"/>
  <c r="DK72" i="9" s="1"/>
  <c r="DK93" i="9" a="1"/>
  <c r="DK93" i="9" s="1"/>
  <c r="DM130" i="9" a="1"/>
  <c r="DM130" i="9" s="1"/>
  <c r="DK92" i="9" a="1"/>
  <c r="DK92" i="9" s="1"/>
  <c r="DO209" i="9" a="1"/>
  <c r="DO209" i="9" s="1"/>
  <c r="DP209" i="9" s="1"/>
  <c r="DL209" i="9" s="1" a="1"/>
  <c r="DL209" i="9" s="1"/>
  <c r="DO109" i="9" a="1"/>
  <c r="DO109" i="9" s="1"/>
  <c r="DP109" i="9" s="1"/>
  <c r="DL109" i="9" s="1" a="1"/>
  <c r="DL109" i="9" s="1"/>
  <c r="DN110" i="9" a="1"/>
  <c r="DN110" i="9" s="1"/>
  <c r="DM103" i="9" a="1"/>
  <c r="DM103" i="9" s="1"/>
  <c r="DN340" i="9" a="1"/>
  <c r="DN340" i="9" s="1"/>
  <c r="DO422" i="9" a="1"/>
  <c r="DO422" i="9" s="1"/>
  <c r="DP422" i="9" s="1"/>
  <c r="DL422" i="9" s="1" a="1"/>
  <c r="DL422" i="9" s="1"/>
  <c r="DN471" i="9" a="1"/>
  <c r="DN471" i="9" s="1"/>
  <c r="DM254" i="9" a="1"/>
  <c r="DM254" i="9" s="1"/>
  <c r="DN106" i="9" a="1"/>
  <c r="DN106" i="9" s="1"/>
  <c r="DM230" i="9" a="1"/>
  <c r="DM230" i="9" s="1"/>
  <c r="DM114" i="9" a="1"/>
  <c r="DM114" i="9" s="1"/>
  <c r="DK129" i="9" a="1"/>
  <c r="DK129" i="9" s="1"/>
  <c r="DM94" i="9" a="1"/>
  <c r="DM94" i="9" s="1"/>
  <c r="DN373" i="9" a="1"/>
  <c r="DN373" i="9" s="1"/>
  <c r="DN318" i="9" a="1"/>
  <c r="DN318" i="9" s="1"/>
  <c r="DM214" i="9" a="1"/>
  <c r="DM214" i="9" s="1"/>
  <c r="DK225" i="9" a="1"/>
  <c r="DK225" i="9" s="1"/>
  <c r="DM105" i="9" a="1"/>
  <c r="DM105" i="9" s="1"/>
  <c r="DN466" i="9" a="1"/>
  <c r="DN466" i="9" s="1"/>
  <c r="DK256" i="9" a="1"/>
  <c r="DK256" i="9" s="1"/>
  <c r="DN149" i="9" a="1"/>
  <c r="DN149" i="9" s="1"/>
  <c r="DK223" i="9" a="1"/>
  <c r="DK223" i="9" s="1"/>
  <c r="DN234" i="9" a="1"/>
  <c r="DN234" i="9" s="1"/>
  <c r="DO101" i="9" a="1"/>
  <c r="DO101" i="9" s="1"/>
  <c r="DP101" i="9" s="1"/>
  <c r="DL101" i="9" s="1" a="1"/>
  <c r="DL101" i="9" s="1"/>
  <c r="DN118" i="9" a="1"/>
  <c r="DN118" i="9"/>
  <c r="DN334" i="9" a="1"/>
  <c r="DN334" i="9"/>
  <c r="DO369" i="9" a="1"/>
  <c r="DO369" i="9" s="1"/>
  <c r="DP369" i="9" s="1"/>
  <c r="DL369" i="9" s="1" a="1"/>
  <c r="DL369" i="9" s="1"/>
  <c r="DO112" i="9" a="1"/>
  <c r="DO112" i="9" s="1"/>
  <c r="DP112" i="9" s="1"/>
  <c r="DL112" i="9" s="1" a="1"/>
  <c r="DL112" i="9" s="1"/>
  <c r="DK124" i="9" a="1"/>
  <c r="DK124" i="9"/>
  <c r="DM253" i="9" a="1"/>
  <c r="DM253" i="9"/>
  <c r="DM257" i="9" a="1"/>
  <c r="DM257" i="9"/>
  <c r="DO118" i="9" a="1"/>
  <c r="DO118" i="9" s="1"/>
  <c r="DP118" i="9" s="1"/>
  <c r="DL118" i="9" s="1" a="1"/>
  <c r="DL118" i="9" s="1"/>
  <c r="DK88" i="9" a="1"/>
  <c r="DK88" i="9" s="1"/>
  <c r="DO243" i="9" a="1"/>
  <c r="DO243" i="9" s="1"/>
  <c r="DP243" i="9" s="1"/>
  <c r="DL243" i="9" s="1" a="1"/>
  <c r="DL243" i="9" s="1"/>
  <c r="DK209" i="9" a="1"/>
  <c r="DK209" i="9"/>
  <c r="DK241" i="9" a="1"/>
  <c r="DK241" i="9"/>
  <c r="DM90" i="9" a="1"/>
  <c r="DM90" i="9"/>
  <c r="DN92" i="9" a="1"/>
  <c r="DN92" i="9"/>
  <c r="DM129" i="9" a="1"/>
  <c r="DM129" i="9"/>
  <c r="DM252" i="9" a="1"/>
  <c r="DM252" i="9"/>
  <c r="DN240" i="9" a="1"/>
  <c r="DN240" i="9"/>
  <c r="DO116" i="9" a="1"/>
  <c r="DO116" i="9"/>
  <c r="DP116" i="9" s="1"/>
  <c r="DL116" i="9" s="1" a="1"/>
  <c r="DL116" i="9" s="1"/>
  <c r="DO179" i="9" a="1"/>
  <c r="DO179" i="9" s="1"/>
  <c r="DP179" i="9" s="1"/>
  <c r="DL179" i="9" s="1" a="1"/>
  <c r="DL179" i="9" s="1"/>
  <c r="GK60" i="9"/>
  <c r="HE60" i="9" s="1"/>
  <c r="CC60" i="9" s="1"/>
  <c r="GQ84" i="9"/>
  <c r="GR84" i="9" s="1"/>
  <c r="GS84" i="9" s="1"/>
  <c r="GT84" i="9" s="1"/>
  <c r="GU84" i="9" s="1"/>
  <c r="GV84" i="9" s="1"/>
  <c r="GM322" i="9"/>
  <c r="HG322" i="9" s="1"/>
  <c r="CE322" i="9" s="1"/>
  <c r="GY36" i="9"/>
  <c r="GZ36" i="9" s="1"/>
  <c r="HH36" i="9" s="1"/>
  <c r="CF36" i="9" s="1"/>
  <c r="GQ41" i="9"/>
  <c r="GR41" i="9" s="1"/>
  <c r="GS41" i="9" s="1"/>
  <c r="GT41" i="9" s="1"/>
  <c r="GU41" i="9" s="1"/>
  <c r="GV41" i="9" s="1"/>
  <c r="GK64" i="9"/>
  <c r="HE64" i="9" s="1"/>
  <c r="CC64" i="9" s="1"/>
  <c r="GM76" i="9"/>
  <c r="HG76" i="9" s="1"/>
  <c r="CE76" i="9" s="1"/>
  <c r="GK264" i="9"/>
  <c r="HE264" i="9" s="1"/>
  <c r="CC264" i="9" s="1"/>
  <c r="GM299" i="9"/>
  <c r="HG299" i="9" s="1"/>
  <c r="CE299" i="9" s="1"/>
  <c r="GD407" i="9"/>
  <c r="GE407" i="9" s="1"/>
  <c r="GF407" i="9" s="1"/>
  <c r="GG407" i="9" s="1"/>
  <c r="GQ492" i="9"/>
  <c r="GR492" i="9" s="1"/>
  <c r="GS492" i="9" s="1"/>
  <c r="GT492" i="9" s="1"/>
  <c r="GU492" i="9" s="1"/>
  <c r="GV492" i="9" s="1"/>
  <c r="GM21" i="9"/>
  <c r="HG21" i="9" s="1"/>
  <c r="CE21" i="9" s="1"/>
  <c r="GM283" i="9"/>
  <c r="HG283" i="9" s="1"/>
  <c r="CE283" i="9" s="1"/>
  <c r="CC196" i="9"/>
  <c r="GM300" i="9"/>
  <c r="HG300" i="9" s="1"/>
  <c r="CE300" i="9" s="1"/>
  <c r="GM448" i="9"/>
  <c r="HG448" i="9" s="1"/>
  <c r="CE448" i="9" s="1"/>
  <c r="GM50" i="9"/>
  <c r="HG50" i="9" s="1"/>
  <c r="CE50" i="9" s="1"/>
  <c r="GR109" i="9"/>
  <c r="GS109" i="9" s="1"/>
  <c r="GT109" i="9" s="1"/>
  <c r="GU109" i="9" s="1"/>
  <c r="GV109" i="9" s="1"/>
  <c r="GD109" i="9"/>
  <c r="GE109" i="9" s="1"/>
  <c r="GF109" i="9" s="1"/>
  <c r="GG109" i="9" s="1"/>
  <c r="GQ288" i="9"/>
  <c r="GR288" i="9" s="1"/>
  <c r="GS288" i="9" s="1"/>
  <c r="GT288" i="9" s="1"/>
  <c r="GU288" i="9" s="1"/>
  <c r="GV288" i="9" s="1"/>
  <c r="GR60" i="9"/>
  <c r="GS60" i="9" s="1"/>
  <c r="GT60" i="9" s="1"/>
  <c r="GU60" i="9" s="1"/>
  <c r="GV60" i="9" s="1"/>
  <c r="GM405" i="9"/>
  <c r="HG405" i="9" s="1"/>
  <c r="CE405" i="9" s="1"/>
  <c r="GK514" i="9"/>
  <c r="HE514" i="9" s="1"/>
  <c r="CC514" i="9" s="1"/>
  <c r="GK671" i="9"/>
  <c r="HE671" i="9" s="1"/>
  <c r="GM74" i="9"/>
  <c r="HG74" i="9" s="1"/>
  <c r="CE74" i="9" s="1"/>
  <c r="GK69" i="9"/>
  <c r="HE69" i="9" s="1"/>
  <c r="CC69" i="9" s="1"/>
  <c r="GK58" i="9"/>
  <c r="HE58" i="9" s="1"/>
  <c r="CC58" i="9" s="1"/>
  <c r="GM278" i="9"/>
  <c r="HG278" i="9" s="1"/>
  <c r="CE278" i="9" s="1"/>
  <c r="GM385" i="9"/>
  <c r="HG385" i="9" s="1"/>
  <c r="CE385" i="9" s="1"/>
  <c r="GK497" i="9"/>
  <c r="HE497" i="9" s="1"/>
  <c r="CC497" i="9" s="1"/>
  <c r="CE195" i="9"/>
  <c r="GK285" i="9"/>
  <c r="HE285" i="9" s="1"/>
  <c r="CC285" i="9" s="1"/>
  <c r="GK659" i="9"/>
  <c r="HE659" i="9" s="1"/>
  <c r="GQ582" i="9"/>
  <c r="GR582" i="9" s="1"/>
  <c r="GS582" i="9" s="1"/>
  <c r="GT582" i="9" s="1"/>
  <c r="GU582" i="9" s="1"/>
  <c r="GV582" i="9" s="1"/>
  <c r="GK63" i="9"/>
  <c r="HE63" i="9" s="1"/>
  <c r="CC63" i="9" s="1"/>
  <c r="GK73" i="9"/>
  <c r="HE73" i="9" s="1"/>
  <c r="CC73" i="9" s="1"/>
  <c r="GM25" i="9"/>
  <c r="HG25" i="9" s="1"/>
  <c r="CE25" i="9" s="1"/>
  <c r="GM26" i="9"/>
  <c r="HG26" i="9" s="1"/>
  <c r="CE26" i="9" s="1"/>
  <c r="CC204" i="9"/>
  <c r="GM308" i="9"/>
  <c r="HG308" i="9" s="1"/>
  <c r="CE308" i="9" s="1"/>
  <c r="GM263" i="9"/>
  <c r="HG263" i="9" s="1"/>
  <c r="CE263" i="9" s="1"/>
  <c r="GK424" i="9"/>
  <c r="HE424" i="9" s="1"/>
  <c r="CC424" i="9" s="1"/>
  <c r="GM33" i="9"/>
  <c r="HG33" i="9" s="1"/>
  <c r="CE33" i="9" s="1"/>
  <c r="GM35" i="9"/>
  <c r="HG35" i="9" s="1"/>
  <c r="CE35" i="9" s="1"/>
  <c r="GM321" i="9"/>
  <c r="HG321" i="9" s="1"/>
  <c r="CE321" i="9" s="1"/>
  <c r="GM265" i="9"/>
  <c r="HG265" i="9" s="1"/>
  <c r="CE265" i="9" s="1"/>
  <c r="GK522" i="9"/>
  <c r="HE522" i="9" s="1"/>
  <c r="CC522" i="9" s="1"/>
  <c r="GK567" i="9"/>
  <c r="HE567" i="9" s="1"/>
  <c r="CC567" i="9" s="1"/>
  <c r="GK646" i="9"/>
  <c r="HE646" i="9" s="1"/>
  <c r="GM68" i="9"/>
  <c r="HG68" i="9" s="1"/>
  <c r="CE68" i="9" s="1"/>
  <c r="GY18" i="9"/>
  <c r="GZ18" i="9" s="1"/>
  <c r="HH18" i="9" s="1"/>
  <c r="CF18" i="9" s="1"/>
  <c r="GY52" i="9"/>
  <c r="GZ52" i="9" s="1"/>
  <c r="HH52" i="9" s="1"/>
  <c r="CF52" i="9" s="1"/>
  <c r="DM675" i="9" a="1"/>
  <c r="DM675" i="9"/>
  <c r="BV16" i="9"/>
  <c r="BV21" i="9"/>
  <c r="BV25" i="9"/>
  <c r="BV19" i="9"/>
  <c r="BV15" i="9"/>
  <c r="BV23" i="9"/>
  <c r="DK343" i="9" a="1"/>
  <c r="DK343" i="9"/>
  <c r="DM350" i="9" a="1"/>
  <c r="DM350" i="9"/>
  <c r="DK370" i="9" a="1"/>
  <c r="DK370" i="9"/>
  <c r="DK363" i="9" a="1"/>
  <c r="DK363" i="9"/>
  <c r="DN437" i="9" a="1"/>
  <c r="DN437" i="9"/>
  <c r="BY5" i="9"/>
  <c r="BX13" i="9"/>
  <c r="DN598" i="9" a="1"/>
  <c r="DN598" i="9"/>
  <c r="DM590" i="9" a="1"/>
  <c r="DM590" i="9"/>
  <c r="DM491" i="9" a="1"/>
  <c r="DM491" i="9"/>
  <c r="DM468" i="9" a="1"/>
  <c r="DM468" i="9"/>
  <c r="DO351" i="9" a="1"/>
  <c r="DO351" i="9" s="1"/>
  <c r="DP351" i="9" s="1"/>
  <c r="DL351" i="9" s="1" a="1"/>
  <c r="DL351" i="9" s="1"/>
  <c r="DM407" i="9" a="1"/>
  <c r="DM407" i="9" s="1"/>
  <c r="DN352" i="9" a="1"/>
  <c r="DN352" i="9" s="1"/>
  <c r="DM377" i="9" a="1"/>
  <c r="DM377" i="9" s="1"/>
  <c r="DM452" i="9" a="1"/>
  <c r="DM452" i="9" s="1"/>
  <c r="DM368" i="9" a="1"/>
  <c r="DM368" i="9" s="1"/>
  <c r="DO461" i="9" a="1"/>
  <c r="DO461" i="9" s="1"/>
  <c r="DP461" i="9" s="1"/>
  <c r="DL461" i="9" s="1" a="1"/>
  <c r="DL461" i="9" s="1"/>
  <c r="DK369" i="9" a="1"/>
  <c r="DK369" i="9" s="1"/>
  <c r="DK361" i="9" a="1"/>
  <c r="DK361" i="9" s="1"/>
  <c r="DN349" i="9" a="1"/>
  <c r="DN349" i="9" s="1"/>
  <c r="DO370" i="9" a="1"/>
  <c r="DO370" i="9" s="1"/>
  <c r="DP370" i="9" s="1"/>
  <c r="DL370" i="9" s="1" a="1"/>
  <c r="DL370" i="9" s="1"/>
  <c r="DM358" i="9" a="1"/>
  <c r="DM358" i="9"/>
  <c r="DN348" i="9" a="1"/>
  <c r="DN348" i="9"/>
  <c r="DN455" i="9" a="1"/>
  <c r="DN455" i="9" s="1"/>
  <c r="DO335" i="9" a="1"/>
  <c r="DO335" i="9" s="1"/>
  <c r="DP335" i="9" s="1"/>
  <c r="DL335" i="9" s="1" a="1"/>
  <c r="DL335" i="9" s="1"/>
  <c r="DN273" i="9" a="1"/>
  <c r="DN273" i="9" s="1"/>
  <c r="DK340" i="9" a="1"/>
  <c r="DK340" i="9" s="1"/>
  <c r="DN253" i="9" a="1"/>
  <c r="DN253" i="9" s="1"/>
  <c r="DK354" i="9" a="1"/>
  <c r="DK354" i="9" s="1"/>
  <c r="DM337" i="9" a="1"/>
  <c r="DM337" i="9" s="1"/>
  <c r="DM303" i="9" a="1"/>
  <c r="DM303" i="9" s="1"/>
  <c r="DM591" i="9" a="1"/>
  <c r="DM591" i="9" s="1"/>
  <c r="DN581" i="9" a="1"/>
  <c r="DN581" i="9" s="1"/>
  <c r="DM469" i="9" a="1"/>
  <c r="DM469" i="9" s="1"/>
  <c r="DK374" i="9" a="1"/>
  <c r="DK374" i="9" s="1"/>
  <c r="DK349" i="9" a="1"/>
  <c r="DK349" i="9" s="1"/>
  <c r="DN376" i="9" a="1"/>
  <c r="DN376" i="9" s="1"/>
  <c r="DK364" i="9" a="1"/>
  <c r="DK364" i="9" s="1"/>
  <c r="DK478" i="9" a="1"/>
  <c r="DK478" i="9" s="1"/>
  <c r="DO373" i="9" a="1"/>
  <c r="DO373" i="9" s="1"/>
  <c r="DP373" i="9" s="1"/>
  <c r="DL373" i="9" s="1" a="1"/>
  <c r="DL373" i="9" s="1"/>
  <c r="DM361" i="9" a="1"/>
  <c r="DM361" i="9" s="1"/>
  <c r="DK573" i="9" a="1"/>
  <c r="DK573" i="9" s="1"/>
  <c r="DO464" i="9" a="1"/>
  <c r="DO464" i="9" s="1"/>
  <c r="DP464" i="9" s="1"/>
  <c r="DL464" i="9" s="1" a="1"/>
  <c r="DL464" i="9" s="1"/>
  <c r="DM367" i="9" a="1"/>
  <c r="DM367" i="9" s="1"/>
  <c r="DM359" i="9" a="1"/>
  <c r="DM359" i="9" s="1"/>
  <c r="DN458" i="9" a="1"/>
  <c r="DN458" i="9" s="1"/>
  <c r="DN356" i="9" a="1"/>
  <c r="DN356" i="9" s="1"/>
  <c r="DO346" i="9" a="1"/>
  <c r="DO346" i="9" s="1"/>
  <c r="DP346" i="9" s="1"/>
  <c r="DL346" i="9" s="1" a="1"/>
  <c r="DL346" i="9" s="1"/>
  <c r="DN350" i="9" a="1"/>
  <c r="DN350" i="9" s="1"/>
  <c r="DM357" i="9" a="1"/>
  <c r="DM357" i="9" s="1"/>
  <c r="DM338" i="9" a="1"/>
  <c r="DM338" i="9" s="1"/>
  <c r="DN335" i="9" a="1"/>
  <c r="DN335" i="9" s="1"/>
  <c r="DO288" i="9" a="1"/>
  <c r="DO288" i="9" s="1"/>
  <c r="DP288" i="9" s="1"/>
  <c r="DL288" i="9" s="1" a="1"/>
  <c r="DL288" i="9" s="1"/>
  <c r="DO257" i="9" a="1"/>
  <c r="DO257" i="9"/>
  <c r="DP257" i="9" s="1"/>
  <c r="DL257" i="9" s="1" a="1"/>
  <c r="DL257" i="9" s="1"/>
  <c r="DK247" i="9" a="1"/>
  <c r="DK247" i="9" s="1"/>
  <c r="DN358" i="9" a="1"/>
  <c r="DN358" i="9"/>
  <c r="DM251" i="9" a="1"/>
  <c r="DM251" i="9" s="1"/>
  <c r="DK491" i="9" a="1"/>
  <c r="DK491" i="9" s="1"/>
  <c r="DK526" i="9" a="1"/>
  <c r="DK526" i="9"/>
  <c r="DM437" i="9" a="1"/>
  <c r="DM437" i="9" s="1"/>
  <c r="DM356" i="9" a="1"/>
  <c r="DM356" i="9" s="1"/>
  <c r="DN345" i="9" a="1"/>
  <c r="DN345" i="9" s="1"/>
  <c r="DM362" i="9" a="1"/>
  <c r="DM362" i="9"/>
  <c r="DK470" i="9" a="1"/>
  <c r="DK470" i="9"/>
  <c r="DK371" i="9" a="1"/>
  <c r="DK371" i="9" s="1"/>
  <c r="DN359" i="9" a="1"/>
  <c r="DN359" i="9" s="1"/>
  <c r="DK459" i="9" a="1"/>
  <c r="DK459" i="9"/>
  <c r="DK392" i="9" a="1"/>
  <c r="DK392" i="9"/>
  <c r="DN366" i="9" a="1"/>
  <c r="DN366" i="9" s="1"/>
  <c r="DK452" i="9" a="1"/>
  <c r="DK452" i="9" s="1"/>
  <c r="DN357" i="9" a="1"/>
  <c r="DN357" i="9" s="1"/>
  <c r="DO347" i="9" a="1"/>
  <c r="DO347" i="9" s="1"/>
  <c r="DP347" i="9" s="1"/>
  <c r="DL347" i="9" a="1"/>
  <c r="DL347" i="9" s="1"/>
  <c r="DO453" i="9" a="1"/>
  <c r="DO453" i="9" s="1"/>
  <c r="DP453" i="9"/>
  <c r="DL453" i="9" s="1" a="1"/>
  <c r="DL453" i="9" s="1"/>
  <c r="DK368" i="9" a="1"/>
  <c r="DK368" i="9"/>
  <c r="DK375" i="9" a="1"/>
  <c r="DK375" i="9" s="1"/>
  <c r="DO348" i="9" a="1"/>
  <c r="DO348" i="9" s="1"/>
  <c r="DP348" i="9" s="1"/>
  <c r="DL348" i="9" s="1" a="1"/>
  <c r="DL348" i="9" s="1"/>
  <c r="DN336" i="9" a="1"/>
  <c r="DN336" i="9" s="1"/>
  <c r="DO251" i="9" a="1"/>
  <c r="DO251" i="9" s="1"/>
  <c r="DP251" i="9" s="1"/>
  <c r="DL251" i="9" s="1" a="1"/>
  <c r="DL251" i="9" s="1"/>
  <c r="DK350" i="9" a="1"/>
  <c r="DK350" i="9" s="1"/>
  <c r="DO333" i="9" a="1"/>
  <c r="DO333" i="9" s="1"/>
  <c r="DP333" i="9" s="1"/>
  <c r="DL333" i="9" s="1" a="1"/>
  <c r="DL333" i="9" s="1"/>
  <c r="DM273" i="9" a="1"/>
  <c r="DM273" i="9" s="1"/>
  <c r="DK255" i="9" a="1"/>
  <c r="DK255" i="9" s="1"/>
  <c r="DM245" i="9" a="1"/>
  <c r="DM245" i="9"/>
  <c r="DM349" i="9" a="1"/>
  <c r="DM349" i="9"/>
  <c r="DK336" i="9" a="1"/>
  <c r="DK336" i="9" s="1"/>
  <c r="DO571" i="9" a="1"/>
  <c r="DO571" i="9" s="1"/>
  <c r="DP571" i="9" s="1"/>
  <c r="DL571" i="9" s="1" a="1"/>
  <c r="DL571" i="9" s="1"/>
  <c r="DN470" i="9" a="1"/>
  <c r="DN470" i="9"/>
  <c r="DN482" i="9" a="1"/>
  <c r="DN482" i="9"/>
  <c r="DO392" i="9" a="1"/>
  <c r="DO392" i="9" s="1"/>
  <c r="DP392" i="9" s="1"/>
  <c r="DL392" i="9" s="1" a="1"/>
  <c r="DL392" i="9"/>
  <c r="DM481" i="9" a="1"/>
  <c r="DM481" i="9"/>
  <c r="DO374" i="9" a="1"/>
  <c r="DO374" i="9" s="1"/>
  <c r="DP374" i="9" s="1"/>
  <c r="DL374" i="9" s="1" a="1"/>
  <c r="DL374" i="9" s="1"/>
  <c r="DM369" i="9" a="1"/>
  <c r="DM369" i="9" s="1"/>
  <c r="DK355" i="9" a="1"/>
  <c r="DK355" i="9" s="1"/>
  <c r="DK494" i="9" a="1"/>
  <c r="DK494" i="9" s="1"/>
  <c r="DO364" i="9" a="1"/>
  <c r="DO364" i="9" s="1"/>
  <c r="DP364" i="9" s="1"/>
  <c r="DL364" i="9" s="1" a="1"/>
  <c r="DL364" i="9" s="1"/>
  <c r="DK377" i="9" a="1"/>
  <c r="DK377" i="9" s="1"/>
  <c r="DN365" i="9" a="1"/>
  <c r="DN365" i="9" s="1"/>
  <c r="DK376" i="9" a="1"/>
  <c r="DK376" i="9" s="1"/>
  <c r="DM366" i="9" a="1"/>
  <c r="DM366" i="9"/>
  <c r="DO354" i="9" a="1"/>
  <c r="DO354" i="9" s="1"/>
  <c r="DP354" i="9" s="1"/>
  <c r="DL354" i="9" s="1" a="1"/>
  <c r="DL354" i="9" s="1"/>
  <c r="DN344" i="9" a="1"/>
  <c r="DN344" i="9"/>
  <c r="DK333" i="9" a="1"/>
  <c r="DK333" i="9" s="1"/>
  <c r="DO345" i="9" a="1"/>
  <c r="DO345" i="9" s="1"/>
  <c r="DP345" i="9" s="1"/>
  <c r="DL345" i="9" s="1" a="1"/>
  <c r="DL345" i="9" s="1"/>
  <c r="DM344" i="9" a="1"/>
  <c r="DM344" i="9" s="1"/>
  <c r="DO244" i="9" a="1"/>
  <c r="DO244" i="9" s="1"/>
  <c r="DP244" i="9" s="1"/>
  <c r="DL244" i="9" s="1" a="1"/>
  <c r="DL244" i="9" s="1"/>
  <c r="DM346" i="9" a="1"/>
  <c r="DM346" i="9" s="1"/>
  <c r="DM334" i="9" a="1"/>
  <c r="DM334" i="9"/>
  <c r="DN249" i="9" a="1"/>
  <c r="DN249" i="9"/>
  <c r="DN355" i="9" a="1"/>
  <c r="DN355" i="9" s="1"/>
  <c r="DM248" i="9" a="1"/>
  <c r="DM248" i="9" s="1"/>
  <c r="DO490" i="9" a="1"/>
  <c r="DO490" i="9" s="1"/>
  <c r="DP490" i="9" s="1"/>
  <c r="DL490" i="9" s="1" a="1"/>
  <c r="DL490" i="9" s="1"/>
  <c r="DO452" i="9" a="1"/>
  <c r="DO452" i="9" s="1"/>
  <c r="DP452" i="9" s="1"/>
  <c r="DL452" i="9" s="1" a="1"/>
  <c r="DL452" i="9" s="1"/>
  <c r="DN465" i="9" a="1"/>
  <c r="DN465" i="9" s="1"/>
  <c r="DN377" i="9" a="1"/>
  <c r="DN377" i="9" s="1"/>
  <c r="DM465" i="9" a="1"/>
  <c r="DM465" i="9"/>
  <c r="DN360" i="9" a="1"/>
  <c r="DN360" i="9"/>
  <c r="DK422" i="9" a="1"/>
  <c r="DK422" i="9"/>
  <c r="DM353" i="9" a="1"/>
  <c r="DM353" i="9" s="1"/>
  <c r="DM483" i="9" a="1"/>
  <c r="DM483" i="9" s="1"/>
  <c r="DO456" i="9" a="1"/>
  <c r="DO456" i="9" s="1"/>
  <c r="DP456" i="9" s="1"/>
  <c r="DL456" i="9" s="1" a="1"/>
  <c r="DL456" i="9" s="1"/>
  <c r="DN374" i="9" a="1"/>
  <c r="DN374" i="9" s="1"/>
  <c r="DK362" i="9" a="1"/>
  <c r="DK362" i="9" s="1"/>
  <c r="DM375" i="9" a="1"/>
  <c r="DM375" i="9" s="1"/>
  <c r="DO355" i="9" a="1"/>
  <c r="DO355" i="9" s="1"/>
  <c r="DP355" i="9" s="1"/>
  <c r="DL355" i="9" s="1" a="1"/>
  <c r="DL355" i="9" s="1"/>
  <c r="DK345" i="9" a="1"/>
  <c r="DK345" i="9" s="1"/>
  <c r="DM374" i="9" a="1"/>
  <c r="DM374" i="9" s="1"/>
  <c r="DN364" i="9" a="1"/>
  <c r="DN364" i="9"/>
  <c r="DK344" i="9" a="1"/>
  <c r="DK344" i="9" s="1"/>
  <c r="DN371" i="9" a="1"/>
  <c r="DN371" i="9" s="1"/>
  <c r="DM339" i="9" a="1"/>
  <c r="DM339" i="9" s="1"/>
  <c r="DK318" i="9" a="1"/>
  <c r="DK318" i="9"/>
  <c r="DO334" i="9" a="1"/>
  <c r="DO334" i="9" s="1"/>
  <c r="DP334" i="9" s="1"/>
  <c r="DL334" i="9" s="1" a="1"/>
  <c r="DL334" i="9" s="1"/>
  <c r="DM573" i="9" a="1"/>
  <c r="DM573" i="9"/>
  <c r="DN469" i="9" a="1"/>
  <c r="DN469" i="9" s="1"/>
  <c r="DO486" i="9" a="1"/>
  <c r="DO486" i="9" s="1"/>
  <c r="DP486" i="9" s="1"/>
  <c r="DL486" i="9" s="1" a="1"/>
  <c r="DL486" i="9" s="1"/>
  <c r="DN369" i="9" a="1"/>
  <c r="DN369" i="9" s="1"/>
  <c r="DM370" i="9" a="1"/>
  <c r="DM370" i="9" s="1"/>
  <c r="DO358" i="9" a="1"/>
  <c r="DO358" i="9"/>
  <c r="DP358" i="9" s="1"/>
  <c r="DL358" i="9" s="1" a="1"/>
  <c r="DL358" i="9" s="1"/>
  <c r="DN367" i="9" a="1"/>
  <c r="DN367" i="9" s="1"/>
  <c r="DN351" i="9" a="1"/>
  <c r="DN351" i="9" s="1"/>
  <c r="DK475" i="9" a="1"/>
  <c r="DK475" i="9"/>
  <c r="DO363" i="9" a="1"/>
  <c r="DO363" i="9" s="1"/>
  <c r="DP363" i="9" s="1"/>
  <c r="DL363" i="9" s="1" a="1"/>
  <c r="DL363" i="9" s="1"/>
  <c r="DK353" i="9" a="1"/>
  <c r="DK353" i="9"/>
  <c r="DM485" i="9" a="1"/>
  <c r="DM485" i="9"/>
  <c r="DK367" i="9" a="1"/>
  <c r="DK367" i="9" s="1"/>
  <c r="DN303" i="9" a="1"/>
  <c r="DN303" i="9" s="1"/>
  <c r="DM343" i="9" a="1"/>
  <c r="DM343" i="9" s="1"/>
  <c r="DK257" i="9" a="1"/>
  <c r="DK257" i="9" s="1"/>
  <c r="DK249" i="9" a="1"/>
  <c r="DK249" i="9" s="1"/>
  <c r="DK342" i="9" a="1"/>
  <c r="DK342" i="9"/>
  <c r="DO318" i="9" a="1"/>
  <c r="DO318" i="9"/>
  <c r="DP318" i="9" s="1"/>
  <c r="DL318" i="9" s="1" a="1"/>
  <c r="DL318" i="9" s="1"/>
  <c r="DK338" i="9" a="1"/>
  <c r="DK338" i="9" s="1"/>
  <c r="DO255" i="9" a="1"/>
  <c r="DO255" i="9"/>
  <c r="DP255" i="9" s="1"/>
  <c r="DL255" i="9" s="1" a="1"/>
  <c r="DL255" i="9" s="1"/>
  <c r="DO247" i="9" a="1"/>
  <c r="DO247" i="9" s="1"/>
  <c r="DP247" i="9" s="1"/>
  <c r="DL247" i="9" s="1" a="1"/>
  <c r="DL247" i="9" s="1"/>
  <c r="DO340" i="9" a="1"/>
  <c r="DO340" i="9" s="1"/>
  <c r="DP340" i="9" s="1"/>
  <c r="DL340" i="9" s="1" a="1"/>
  <c r="DL340" i="9" s="1"/>
  <c r="BW513" i="9" a="1"/>
  <c r="BW513" i="9" s="1"/>
  <c r="AZ275" i="9"/>
  <c r="BW632" i="9" s="1" a="1"/>
  <c r="BW632" i="9" s="1"/>
  <c r="DK360" i="9" a="1"/>
  <c r="DK360" i="9"/>
  <c r="BV39" i="9"/>
  <c r="BV29" i="9"/>
  <c r="BV40" i="9"/>
  <c r="BV30" i="9"/>
  <c r="BV41" i="9"/>
  <c r="BV37" i="9"/>
  <c r="BV38" i="9"/>
  <c r="BV31" i="9"/>
  <c r="BV33" i="9"/>
  <c r="BV173" i="9"/>
  <c r="BV176" i="9"/>
  <c r="BV168" i="9"/>
  <c r="BV175" i="9"/>
  <c r="BV177" i="9"/>
  <c r="BV166" i="9"/>
  <c r="BV174" i="9"/>
  <c r="BV167" i="9"/>
  <c r="BV172" i="9"/>
  <c r="BW512" i="9" a="1"/>
  <c r="BW512" i="9" s="1"/>
  <c r="AZ274" i="9"/>
  <c r="BW631" i="9" s="1" a="1"/>
  <c r="BW631" i="9" s="1"/>
  <c r="DM244" i="9" a="1"/>
  <c r="DM244" i="9" s="1"/>
  <c r="DK254" i="9" a="1"/>
  <c r="DK254" i="9"/>
  <c r="DO341" i="9" a="1"/>
  <c r="DO341" i="9" s="1"/>
  <c r="DP341" i="9" s="1"/>
  <c r="DL341" i="9" s="1" a="1"/>
  <c r="DL341" i="9" s="1"/>
  <c r="DM149" i="9" a="1"/>
  <c r="DM149" i="9" s="1"/>
  <c r="DM256" i="9" a="1"/>
  <c r="DM256" i="9" s="1"/>
  <c r="DO254" i="9" a="1"/>
  <c r="DO254" i="9" s="1"/>
  <c r="DP254" i="9" s="1"/>
  <c r="DL254" i="9" s="1" a="1"/>
  <c r="DL254" i="9" s="1"/>
  <c r="DM318" i="9" a="1"/>
  <c r="DM318" i="9"/>
  <c r="DN463" i="9" a="1"/>
  <c r="DN463" i="9"/>
  <c r="DK253" i="9" a="1"/>
  <c r="DK253" i="9"/>
  <c r="DN363" i="9" a="1"/>
  <c r="DN363" i="9"/>
  <c r="DO371" i="9" a="1"/>
  <c r="DO371" i="9" s="1"/>
  <c r="DP371" i="9" s="1"/>
  <c r="DL371" i="9" s="1" a="1"/>
  <c r="DL371" i="9" s="1"/>
  <c r="DK467" i="9" a="1"/>
  <c r="DK467" i="9" s="1"/>
  <c r="DM458" i="9" a="1"/>
  <c r="DM458" i="9" s="1"/>
  <c r="DO689" i="9" a="1"/>
  <c r="DO689" i="9" s="1"/>
  <c r="DP689" i="9" s="1"/>
  <c r="GD113" i="9"/>
  <c r="GE113" i="9" s="1"/>
  <c r="GF113" i="9" s="1"/>
  <c r="GG113" i="9" s="1"/>
  <c r="GH113" i="9" s="1"/>
  <c r="GI113" i="9" s="1"/>
  <c r="GQ113" i="9"/>
  <c r="GR113" i="9" s="1"/>
  <c r="GS113" i="9" s="1"/>
  <c r="GT113" i="9" s="1"/>
  <c r="GU113" i="9" s="1"/>
  <c r="GV113" i="9" s="1"/>
  <c r="GD105" i="9"/>
  <c r="GE105" i="9" s="1"/>
  <c r="GF105" i="9" s="1"/>
  <c r="GG105" i="9" s="1"/>
  <c r="GQ105" i="9"/>
  <c r="GR105" i="9" s="1"/>
  <c r="GS105" i="9" s="1"/>
  <c r="GT105" i="9" s="1"/>
  <c r="GU105" i="9" s="1"/>
  <c r="GV105" i="9" s="1"/>
  <c r="GQ116" i="9"/>
  <c r="GR116" i="9" s="1"/>
  <c r="GS116" i="9" s="1"/>
  <c r="GT116" i="9" s="1"/>
  <c r="GU116" i="9" s="1"/>
  <c r="GV116" i="9" s="1"/>
  <c r="GQ107" i="9"/>
  <c r="GR107" i="9" s="1"/>
  <c r="GS107" i="9" s="1"/>
  <c r="GT107" i="9" s="1"/>
  <c r="GU107" i="9" s="1"/>
  <c r="GV107" i="9" s="1"/>
  <c r="GQ481" i="9"/>
  <c r="GR481" i="9" s="1"/>
  <c r="GS481" i="9" s="1"/>
  <c r="GT481" i="9" s="1"/>
  <c r="GU481" i="9" s="1"/>
  <c r="GV481" i="9" s="1"/>
  <c r="GQ490" i="9"/>
  <c r="GR490" i="9" s="1"/>
  <c r="GS490" i="9" s="1"/>
  <c r="GT490" i="9" s="1"/>
  <c r="GU490" i="9" s="1"/>
  <c r="GV490" i="9" s="1"/>
  <c r="GD465" i="9"/>
  <c r="GE465" i="9" s="1"/>
  <c r="GF465" i="9" s="1"/>
  <c r="GG465" i="9" s="1"/>
  <c r="GQ465" i="9"/>
  <c r="GR465" i="9" s="1"/>
  <c r="GS465" i="9" s="1"/>
  <c r="GT465" i="9" s="1"/>
  <c r="GU465" i="9" s="1"/>
  <c r="GV465" i="9" s="1"/>
  <c r="GQ115" i="9"/>
  <c r="GR115" i="9" s="1"/>
  <c r="GS115" i="9" s="1"/>
  <c r="GT115" i="9" s="1"/>
  <c r="GU115" i="9" s="1"/>
  <c r="GV115" i="9" s="1"/>
  <c r="GD92" i="9"/>
  <c r="GE92" i="9" s="1"/>
  <c r="GF92" i="9" s="1"/>
  <c r="GG92" i="9" s="1"/>
  <c r="GD494" i="9"/>
  <c r="GE494" i="9" s="1"/>
  <c r="GF494" i="9" s="1"/>
  <c r="GG494" i="9" s="1"/>
  <c r="GH494" i="9" s="1"/>
  <c r="GI494" i="9" s="1"/>
  <c r="GQ494" i="9"/>
  <c r="GR494" i="9" s="1"/>
  <c r="GS494" i="9" s="1"/>
  <c r="GT494" i="9" s="1"/>
  <c r="GU494" i="9" s="1"/>
  <c r="GV494" i="9" s="1"/>
  <c r="GQ59" i="9"/>
  <c r="GR59" i="9" s="1"/>
  <c r="GS59" i="9" s="1"/>
  <c r="GT59" i="9" s="1"/>
  <c r="GU59" i="9" s="1"/>
  <c r="GV59" i="9" s="1"/>
  <c r="GD132" i="9"/>
  <c r="GE132" i="9" s="1"/>
  <c r="GF132" i="9" s="1"/>
  <c r="GG132" i="9" s="1"/>
  <c r="GH132" i="9" s="1"/>
  <c r="GI132" i="9" s="1"/>
  <c r="GQ132" i="9"/>
  <c r="GR132" i="9" s="1"/>
  <c r="GS132" i="9" s="1"/>
  <c r="GT132" i="9" s="1"/>
  <c r="GU132" i="9" s="1"/>
  <c r="GV132" i="9" s="1"/>
  <c r="GQ123" i="9"/>
  <c r="GR123" i="9" s="1"/>
  <c r="GS123" i="9" s="1"/>
  <c r="GT123" i="9" s="1"/>
  <c r="GU123" i="9" s="1"/>
  <c r="GV123" i="9" s="1"/>
  <c r="GD100" i="9"/>
  <c r="GE100" i="9" s="1"/>
  <c r="GF100" i="9" s="1"/>
  <c r="GG100" i="9" s="1"/>
  <c r="GQ100" i="9"/>
  <c r="GR100" i="9" s="1"/>
  <c r="GS100" i="9" s="1"/>
  <c r="GT100" i="9" s="1"/>
  <c r="GU100" i="9" s="1"/>
  <c r="GV100" i="9" s="1"/>
  <c r="GD91" i="9"/>
  <c r="GE91" i="9" s="1"/>
  <c r="GF91" i="9" s="1"/>
  <c r="GG91" i="9" s="1"/>
  <c r="GH91" i="9" s="1"/>
  <c r="GI91" i="9" s="1"/>
  <c r="GQ91" i="9"/>
  <c r="GR91" i="9" s="1"/>
  <c r="GS91" i="9" s="1"/>
  <c r="GT91" i="9" s="1"/>
  <c r="GU91" i="9" s="1"/>
  <c r="GV91" i="9" s="1"/>
  <c r="GQ27" i="9"/>
  <c r="GR27" i="9" s="1"/>
  <c r="GS27" i="9" s="1"/>
  <c r="GT27" i="9" s="1"/>
  <c r="GU27" i="9" s="1"/>
  <c r="GV27" i="9" s="1"/>
  <c r="GD457" i="9"/>
  <c r="GE457" i="9" s="1"/>
  <c r="GF457" i="9" s="1"/>
  <c r="GG457" i="9" s="1"/>
  <c r="GQ457" i="9"/>
  <c r="GR457" i="9" s="1"/>
  <c r="GS457" i="9" s="1"/>
  <c r="GT457" i="9" s="1"/>
  <c r="GU457" i="9" s="1"/>
  <c r="GV457" i="9" s="1"/>
  <c r="GQ473" i="9"/>
  <c r="GR473" i="9" s="1"/>
  <c r="GS473" i="9" s="1"/>
  <c r="GT473" i="9" s="1"/>
  <c r="GU473" i="9" s="1"/>
  <c r="GV473" i="9" s="1"/>
  <c r="GD482" i="9"/>
  <c r="GE482" i="9" s="1"/>
  <c r="GF482" i="9" s="1"/>
  <c r="GG482" i="9" s="1"/>
  <c r="GH482" i="9" s="1"/>
  <c r="GI482" i="9" s="1"/>
  <c r="GQ482" i="9"/>
  <c r="GR482" i="9" s="1"/>
  <c r="GS482" i="9" s="1"/>
  <c r="GT482" i="9" s="1"/>
  <c r="GU482" i="9" s="1"/>
  <c r="GV482" i="9" s="1"/>
  <c r="GQ131" i="9"/>
  <c r="GR131" i="9" s="1"/>
  <c r="GS131" i="9" s="1"/>
  <c r="GT131" i="9" s="1"/>
  <c r="GU131" i="9" s="1"/>
  <c r="GV131" i="9" s="1"/>
  <c r="GD108" i="9"/>
  <c r="GE108" i="9" s="1"/>
  <c r="GF108" i="9" s="1"/>
  <c r="GG108" i="9" s="1"/>
  <c r="GQ108" i="9"/>
  <c r="GR108" i="9" s="1"/>
  <c r="GS108" i="9" s="1"/>
  <c r="GT108" i="9" s="1"/>
  <c r="GU108" i="9" s="1"/>
  <c r="GV108" i="9" s="1"/>
  <c r="GQ99" i="9"/>
  <c r="GR99" i="9" s="1"/>
  <c r="GS99" i="9" s="1"/>
  <c r="GT99" i="9" s="1"/>
  <c r="GU99" i="9" s="1"/>
  <c r="GV99" i="9" s="1"/>
  <c r="GD99" i="9"/>
  <c r="GE99" i="9" s="1"/>
  <c r="GF99" i="9" s="1"/>
  <c r="GG99" i="9" s="1"/>
  <c r="GD493" i="9"/>
  <c r="GE493" i="9" s="1"/>
  <c r="GF493" i="9" s="1"/>
  <c r="GG493" i="9" s="1"/>
  <c r="GQ493" i="9"/>
  <c r="GR493" i="9" s="1"/>
  <c r="GS493" i="9" s="1"/>
  <c r="GT493" i="9" s="1"/>
  <c r="GU493" i="9" s="1"/>
  <c r="GV493" i="9" s="1"/>
  <c r="DM88" i="9" a="1"/>
  <c r="DM88" i="9"/>
  <c r="DK106" i="9" a="1"/>
  <c r="DK106" i="9"/>
  <c r="DK122" i="9" a="1"/>
  <c r="DK122" i="9" s="1"/>
  <c r="DN214" i="9" a="1"/>
  <c r="DN214" i="9"/>
  <c r="DM96" i="9" a="1"/>
  <c r="DM96" i="9"/>
  <c r="DK42" i="9" a="1"/>
  <c r="DK42" i="9"/>
  <c r="DM104" i="9" a="1"/>
  <c r="DM104" i="9" s="1"/>
  <c r="DM42" i="9" a="1"/>
  <c r="DM42" i="9"/>
  <c r="DO222" i="9" a="1"/>
  <c r="DO222" i="9" s="1"/>
  <c r="DP222" i="9" s="1"/>
  <c r="DL222" i="9" s="1" a="1"/>
  <c r="DL222" i="9" s="1"/>
  <c r="DN600" i="9" a="1"/>
  <c r="DN600" i="9" s="1"/>
  <c r="DO92" i="9" a="1"/>
  <c r="DO92" i="9" s="1"/>
  <c r="DP92" i="9" s="1"/>
  <c r="DL92" i="9" s="1" a="1"/>
  <c r="DL92" i="9" s="1"/>
  <c r="DO89" i="9" a="1"/>
  <c r="DO89" i="9" s="1"/>
  <c r="DP89" i="9" s="1"/>
  <c r="DL89" i="9" s="1" a="1"/>
  <c r="DL89" i="9" s="1"/>
  <c r="DO228" i="9" a="1"/>
  <c r="DO228" i="9"/>
  <c r="DP228" i="9" s="1"/>
  <c r="DL228" i="9" s="1" a="1"/>
  <c r="DL228" i="9" s="1"/>
  <c r="DO27" i="9" a="1"/>
  <c r="DO27" i="9" s="1"/>
  <c r="DP27" i="9" s="1"/>
  <c r="DL27" i="9" s="1" a="1"/>
  <c r="DL27" i="9" s="1"/>
  <c r="DN57" i="9" a="1"/>
  <c r="DN57" i="9" s="1"/>
  <c r="DO123" i="9" a="1"/>
  <c r="DO123" i="9" s="1"/>
  <c r="DP123" i="9" s="1"/>
  <c r="DL123" i="9" s="1" a="1"/>
  <c r="DL123" i="9" s="1"/>
  <c r="DM128" i="9" a="1"/>
  <c r="DM128" i="9"/>
  <c r="DK612" i="9" a="1"/>
  <c r="DK612" i="9"/>
  <c r="DM594" i="9" a="1"/>
  <c r="DM594" i="9" s="1"/>
  <c r="DO605" i="9" a="1"/>
  <c r="DO605" i="9" s="1"/>
  <c r="DP605" i="9" s="1"/>
  <c r="DL605" i="9" s="1" a="1"/>
  <c r="DL605" i="9"/>
  <c r="DM235" i="9" a="1"/>
  <c r="DM235" i="9"/>
  <c r="DM89" i="9" a="1"/>
  <c r="DM89" i="9"/>
  <c r="DN72" i="9" a="1"/>
  <c r="DN72" i="9" s="1"/>
  <c r="DN109" i="9" a="1"/>
  <c r="DN109" i="9"/>
  <c r="DN125" i="9" a="1"/>
  <c r="DN125" i="9"/>
  <c r="DO242" i="9" a="1"/>
  <c r="DO242" i="9" s="1"/>
  <c r="DP242" i="9" s="1"/>
  <c r="DL242" i="9" s="1" a="1"/>
  <c r="DL242" i="9" s="1"/>
  <c r="DN217" i="9" a="1"/>
  <c r="DN217" i="9" s="1"/>
  <c r="DM120" i="9" a="1"/>
  <c r="DM120" i="9" s="1"/>
  <c r="DO99" i="9" a="1"/>
  <c r="DO99" i="9" s="1"/>
  <c r="DP99" i="9" s="1"/>
  <c r="DL99" i="9" s="1" a="1"/>
  <c r="DL99" i="9" s="1"/>
  <c r="DO87" i="9" a="1"/>
  <c r="DO87" i="9"/>
  <c r="DP87" i="9" s="1"/>
  <c r="DL87" i="9" s="1" a="1"/>
  <c r="DL87" i="9" s="1"/>
  <c r="DO598" i="9" a="1"/>
  <c r="DO598" i="9" s="1"/>
  <c r="DP598" i="9" s="1"/>
  <c r="DL598" i="9" s="1" a="1"/>
  <c r="DL598" i="9" s="1"/>
  <c r="DN219" i="9" a="1"/>
  <c r="DN219" i="9" s="1"/>
  <c r="DN87" i="9" a="1"/>
  <c r="DN87" i="9" s="1"/>
  <c r="DO91" i="9" a="1"/>
  <c r="DO91" i="9" s="1"/>
  <c r="DP91" i="9" s="1"/>
  <c r="DL91" i="9" s="1" a="1"/>
  <c r="DL91" i="9" s="1"/>
  <c r="DN164" i="9" a="1"/>
  <c r="DN164" i="9"/>
  <c r="DN224" i="9" a="1"/>
  <c r="DN224" i="9" s="1"/>
  <c r="DM610" i="9" a="1"/>
  <c r="DM610" i="9"/>
  <c r="DN592" i="9" a="1"/>
  <c r="DN592" i="9"/>
  <c r="DK611" i="9" a="1"/>
  <c r="DK611" i="9"/>
  <c r="DM593" i="9" a="1"/>
  <c r="DM593" i="9" s="1"/>
  <c r="DN27" i="9" a="1"/>
  <c r="DN27" i="9"/>
  <c r="DM57" i="9" a="1"/>
  <c r="DM57" i="9"/>
  <c r="DN91" i="9" a="1"/>
  <c r="DN91" i="9"/>
  <c r="DK114" i="9" a="1"/>
  <c r="DK114" i="9" s="1"/>
  <c r="DK130" i="9" a="1"/>
  <c r="DK130" i="9"/>
  <c r="DO221" i="9" a="1"/>
  <c r="DO221" i="9"/>
  <c r="DP221" i="9" s="1"/>
  <c r="DL221" i="9" s="1" a="1"/>
  <c r="DL221" i="9" s="1"/>
  <c r="DO226" i="9" a="1"/>
  <c r="DO226" i="9" s="1"/>
  <c r="DP226" i="9" s="1"/>
  <c r="DL226" i="9" s="1" a="1"/>
  <c r="DL226" i="9" s="1"/>
  <c r="DM240" i="9" a="1"/>
  <c r="DM240" i="9" s="1"/>
  <c r="DO115" i="9" a="1"/>
  <c r="DO115" i="9" s="1"/>
  <c r="DP115" i="9" s="1"/>
  <c r="DL115" i="9" s="1" a="1"/>
  <c r="DL115" i="9" s="1"/>
  <c r="DM216" i="9" a="1"/>
  <c r="DM216" i="9"/>
  <c r="DO614" i="9" a="1"/>
  <c r="DO614" i="9"/>
  <c r="DP614" i="9" s="1"/>
  <c r="DL614" i="9" s="1" a="1"/>
  <c r="DL614" i="9" s="1"/>
  <c r="DK604" i="9" a="1"/>
  <c r="DK604" i="9"/>
  <c r="DM586" i="9" a="1"/>
  <c r="DM586" i="9" s="1"/>
  <c r="DO223" i="9" a="1"/>
  <c r="DO223" i="9" s="1"/>
  <c r="DP223" i="9" s="1"/>
  <c r="DL223" i="9" s="1" a="1"/>
  <c r="DL223" i="9" s="1"/>
  <c r="DK211" i="9" a="1"/>
  <c r="DK211" i="9" s="1"/>
  <c r="DK210" i="9" a="1"/>
  <c r="DK210" i="9" s="1"/>
  <c r="DO224" i="9" a="1"/>
  <c r="DO224" i="9" s="1"/>
  <c r="DP224" i="9" s="1"/>
  <c r="DL224" i="9" s="1" a="1"/>
  <c r="DL224" i="9" s="1"/>
  <c r="DK660" i="9" a="1"/>
  <c r="DK660" i="9" s="1"/>
  <c r="DN608" i="9" a="1"/>
  <c r="DN608" i="9"/>
  <c r="DO590" i="9" a="1"/>
  <c r="DO590" i="9"/>
  <c r="DP590" i="9" s="1"/>
  <c r="DL590" i="9" s="1" a="1"/>
  <c r="DL590" i="9" s="1"/>
  <c r="DK675" i="9" a="1"/>
  <c r="DK675" i="9"/>
  <c r="DM87" i="9" a="1"/>
  <c r="DM87" i="9" s="1"/>
  <c r="DK97" i="9" a="1"/>
  <c r="DK97" i="9"/>
  <c r="DK588" i="9" a="1"/>
  <c r="DK588" i="9"/>
  <c r="DK603" i="9" a="1"/>
  <c r="DK603" i="9"/>
  <c r="DN583" i="9" a="1"/>
  <c r="DN583" i="9" s="1"/>
  <c r="DK610" i="9" a="1"/>
  <c r="DK610" i="9"/>
  <c r="DM592" i="9" a="1"/>
  <c r="DM592" i="9"/>
  <c r="DN613" i="9" a="1"/>
  <c r="DN613" i="9"/>
  <c r="DO595" i="9" a="1"/>
  <c r="DO595" i="9" s="1"/>
  <c r="DP595" i="9" s="1"/>
  <c r="DL595" i="9" s="1" a="1"/>
  <c r="DL595" i="9" s="1"/>
  <c r="DK585" i="9" a="1"/>
  <c r="DK585" i="9"/>
  <c r="DM614" i="9" a="1"/>
  <c r="DM614" i="9" s="1"/>
  <c r="DM645" i="9" a="1"/>
  <c r="DM645" i="9"/>
  <c r="DO609" i="9" a="1"/>
  <c r="DO609" i="9" s="1"/>
  <c r="DP609" i="9" s="1"/>
  <c r="DL609" i="9" s="1" a="1"/>
  <c r="DL609" i="9" s="1"/>
  <c r="DK599" i="9" a="1"/>
  <c r="DK599" i="9"/>
  <c r="DK630" i="9" a="1"/>
  <c r="DK630" i="9"/>
  <c r="DO608" i="9" a="1"/>
  <c r="DO608" i="9"/>
  <c r="DP608" i="9" s="1"/>
  <c r="DL608" i="9" s="1" a="1"/>
  <c r="DL608" i="9" s="1"/>
  <c r="DK598" i="9" a="1"/>
  <c r="DK598" i="9"/>
  <c r="DM580" i="9" a="1"/>
  <c r="DM580" i="9" s="1"/>
  <c r="DM603" i="9" a="1"/>
  <c r="DM603" i="9"/>
  <c r="DK571" i="9" a="1"/>
  <c r="DK571" i="9" s="1"/>
  <c r="DO98" i="9" a="1"/>
  <c r="DO98" i="9" s="1"/>
  <c r="DP98" i="9" s="1"/>
  <c r="DL98" i="9" s="1" a="1"/>
  <c r="DL98" i="9" s="1"/>
  <c r="DN101" i="9" a="1"/>
  <c r="DN101" i="9"/>
  <c r="DN94" i="9" a="1"/>
  <c r="DN94" i="9"/>
  <c r="DK27" i="9" a="1"/>
  <c r="DK27" i="9"/>
  <c r="DN584" i="9" a="1"/>
  <c r="DN584" i="9" s="1"/>
  <c r="DM609" i="9" a="1"/>
  <c r="DM609" i="9"/>
  <c r="DN614" i="9" a="1"/>
  <c r="DN614" i="9"/>
  <c r="DO596" i="9" a="1"/>
  <c r="DO596" i="9" s="1"/>
  <c r="DP596" i="9" s="1"/>
  <c r="DL596" i="9" s="1" a="1"/>
  <c r="DL596" i="9" s="1"/>
  <c r="DK586" i="9" a="1"/>
  <c r="DK586" i="9" s="1"/>
  <c r="DM607" i="9" a="1"/>
  <c r="DM607" i="9"/>
  <c r="DN589" i="9" a="1"/>
  <c r="DN589" i="9" s="1"/>
  <c r="DK608" i="9" a="1"/>
  <c r="DK608" i="9"/>
  <c r="DN603" i="9" a="1"/>
  <c r="DN603" i="9" s="1"/>
  <c r="DN602" i="9" a="1"/>
  <c r="DN602" i="9"/>
  <c r="DO584" i="9" a="1"/>
  <c r="DO584" i="9" s="1"/>
  <c r="DP584" i="9" s="1"/>
  <c r="DL584" i="9" s="1" a="1"/>
  <c r="DL584" i="9" s="1"/>
  <c r="DM611" i="9" a="1"/>
  <c r="DM611" i="9"/>
  <c r="DK584" i="9" a="1"/>
  <c r="DK584" i="9"/>
  <c r="DN575" i="9" a="1"/>
  <c r="DN575" i="9" s="1"/>
  <c r="DN495" i="9" a="1"/>
  <c r="DN495" i="9"/>
  <c r="DN486" i="9" a="1"/>
  <c r="DN486" i="9"/>
  <c r="DM511" i="9" a="1"/>
  <c r="DM511" i="9"/>
  <c r="DO583" i="9" a="1"/>
  <c r="DO583" i="9" s="1"/>
  <c r="DP583" i="9" s="1"/>
  <c r="DL583" i="9" s="1" a="1"/>
  <c r="DL583" i="9" s="1"/>
  <c r="DO42" i="9" a="1"/>
  <c r="DO42" i="9"/>
  <c r="DP42" i="9" s="1"/>
  <c r="DL42" i="9" s="1" a="1"/>
  <c r="DL42" i="9" s="1"/>
  <c r="DO213" i="9" a="1"/>
  <c r="DO213" i="9" s="1"/>
  <c r="DP213" i="9" s="1"/>
  <c r="DL213" i="9" s="1" a="1"/>
  <c r="DL213" i="9" s="1"/>
  <c r="DO630" i="9" a="1"/>
  <c r="DO630" i="9"/>
  <c r="DP630" i="9" s="1"/>
  <c r="DL630" i="9" s="1" a="1"/>
  <c r="DL630" i="9" s="1"/>
  <c r="DK596" i="9" a="1"/>
  <c r="DK596" i="9" s="1"/>
  <c r="DN615" i="9" a="1"/>
  <c r="DN615" i="9"/>
  <c r="DM601" i="9" a="1"/>
  <c r="DM601" i="9" s="1"/>
  <c r="DK595" i="9" a="1"/>
  <c r="DK595" i="9"/>
  <c r="DO660" i="9" a="1"/>
  <c r="DO660" i="9" s="1"/>
  <c r="DP660" i="9" s="1"/>
  <c r="DL660" i="9" s="1" a="1"/>
  <c r="DL660" i="9" s="1"/>
  <c r="DM608" i="9" a="1"/>
  <c r="DM608" i="9" s="1"/>
  <c r="DN590" i="9" a="1"/>
  <c r="DN590" i="9"/>
  <c r="DO611" i="9" a="1"/>
  <c r="DO611" i="9"/>
  <c r="DP611" i="9"/>
  <c r="DL611" i="9" s="1" a="1"/>
  <c r="DL611" i="9" s="1"/>
  <c r="DK601" i="9" a="1"/>
  <c r="DK601" i="9" s="1"/>
  <c r="DM583" i="9" a="1"/>
  <c r="DM583" i="9"/>
  <c r="DN612" i="9" a="1"/>
  <c r="DN612" i="9" s="1"/>
  <c r="DK615" i="9" a="1"/>
  <c r="DK615" i="9"/>
  <c r="DM597" i="9" a="1"/>
  <c r="DM597" i="9" s="1"/>
  <c r="DK614" i="9" a="1"/>
  <c r="DK614" i="9"/>
  <c r="DM596" i="9" a="1"/>
  <c r="DM596" i="9" s="1"/>
  <c r="DN578" i="9" a="1"/>
  <c r="DN578" i="9"/>
  <c r="DO599" i="9" a="1"/>
  <c r="DO599" i="9" s="1"/>
  <c r="DP599" i="9" s="1"/>
  <c r="DL599" i="9" s="1" a="1"/>
  <c r="DL599" i="9" s="1"/>
  <c r="DO541" i="9" a="1"/>
  <c r="DO541" i="9" s="1"/>
  <c r="DP541" i="9" s="1"/>
  <c r="DL541" i="9" s="1" a="1"/>
  <c r="DL541" i="9" s="1"/>
  <c r="DM489" i="9" a="1"/>
  <c r="DM489" i="9" s="1"/>
  <c r="DN117" i="9" a="1"/>
  <c r="DN117" i="9" s="1"/>
  <c r="DN220" i="9" a="1"/>
  <c r="DN220" i="9"/>
  <c r="DO582" i="9" a="1"/>
  <c r="DO582" i="9" s="1"/>
  <c r="DP582" i="9" s="1"/>
  <c r="DL582" i="9" s="1" a="1"/>
  <c r="DL582" i="9" s="1"/>
  <c r="DN607" i="9" a="1"/>
  <c r="DN607" i="9" s="1"/>
  <c r="DO612" i="9" a="1"/>
  <c r="DO612" i="9" s="1"/>
  <c r="DP612" i="9" s="1"/>
  <c r="DL612" i="9" s="1" a="1"/>
  <c r="DL612" i="9" s="1"/>
  <c r="DK602" i="9" a="1"/>
  <c r="DK602" i="9" s="1"/>
  <c r="DM584" i="9" a="1"/>
  <c r="DM584" i="9"/>
  <c r="DN605" i="9" a="1"/>
  <c r="DN605" i="9" s="1"/>
  <c r="DO587" i="9" a="1"/>
  <c r="DO587" i="9" s="1"/>
  <c r="DP587" i="9" s="1"/>
  <c r="DL587" i="9" a="1"/>
  <c r="DL587" i="9" s="1"/>
  <c r="DM606" i="9" a="1"/>
  <c r="DM606" i="9" s="1"/>
  <c r="DO601" i="9" a="1"/>
  <c r="DO601" i="9" s="1"/>
  <c r="DP601" i="9" s="1"/>
  <c r="DL601" i="9" s="1" a="1"/>
  <c r="DL601" i="9" s="1"/>
  <c r="DO600" i="9" a="1"/>
  <c r="DO600" i="9" s="1"/>
  <c r="DP600" i="9" s="1"/>
  <c r="DL600" i="9" s="1" a="1"/>
  <c r="DL600" i="9" s="1"/>
  <c r="DK590" i="9" a="1"/>
  <c r="DK590" i="9"/>
  <c r="DO607" i="9" a="1"/>
  <c r="DO607" i="9" s="1"/>
  <c r="DP607" i="9" s="1"/>
  <c r="DL607" i="9" s="1" a="1"/>
  <c r="DL607" i="9" s="1"/>
  <c r="DM579" i="9" a="1"/>
  <c r="DM579" i="9"/>
  <c r="DO573" i="9" a="1"/>
  <c r="DO573" i="9"/>
  <c r="DP573" i="9" s="1"/>
  <c r="DL573" i="9" s="1" a="1"/>
  <c r="DL573" i="9" s="1"/>
  <c r="DO493" i="9" a="1"/>
  <c r="DO493" i="9" s="1"/>
  <c r="DP493" i="9" s="1"/>
  <c r="DL493" i="9" s="1" a="1"/>
  <c r="DL493" i="9" s="1"/>
  <c r="DO484" i="9" a="1"/>
  <c r="DO484" i="9"/>
  <c r="DP484" i="9" s="1"/>
  <c r="DL484" i="9" s="1" a="1"/>
  <c r="DL484" i="9" s="1"/>
  <c r="DM495" i="9" a="1"/>
  <c r="DM495" i="9"/>
  <c r="DK488" i="9" a="1"/>
  <c r="DK488" i="9"/>
  <c r="DN609" i="9" a="1"/>
  <c r="DN609" i="9" s="1"/>
  <c r="DO214" i="9" a="1"/>
  <c r="DO214" i="9"/>
  <c r="DP214" i="9" s="1"/>
  <c r="DL214" i="9" s="1" a="1"/>
  <c r="DL214" i="9" s="1"/>
  <c r="DO107" i="9" a="1"/>
  <c r="DO107" i="9"/>
  <c r="DP107" i="9" s="1"/>
  <c r="DL107" i="9" s="1" a="1"/>
  <c r="DL107" i="9" s="1"/>
  <c r="DO613" i="9" a="1"/>
  <c r="DO613" i="9" s="1"/>
  <c r="DP613" i="9" s="1"/>
  <c r="DL613" i="9" s="1" a="1"/>
  <c r="DL613" i="9" s="1"/>
  <c r="DN599" i="9" a="1"/>
  <c r="DN599" i="9"/>
  <c r="DK587" i="9" a="1"/>
  <c r="DK587" i="9"/>
  <c r="DN606" i="9" a="1"/>
  <c r="DN606" i="9"/>
  <c r="DO588" i="9" a="1"/>
  <c r="DO588" i="9" s="1"/>
  <c r="DP588" i="9" s="1"/>
  <c r="DL588" i="9" s="1" a="1"/>
  <c r="DL588" i="9" s="1"/>
  <c r="DN645" i="9" a="1"/>
  <c r="DN645" i="9"/>
  <c r="DM599" i="9" a="1"/>
  <c r="DM599" i="9"/>
  <c r="DN660" i="9" a="1"/>
  <c r="DN660" i="9"/>
  <c r="DO610" i="9" a="1"/>
  <c r="DO610" i="9" s="1"/>
  <c r="DP610" i="9" s="1"/>
  <c r="DL610" i="9" s="1" a="1"/>
  <c r="DL610" i="9" s="1"/>
  <c r="DK600" i="9" a="1"/>
  <c r="DK600" i="9" s="1"/>
  <c r="DM613" i="9" a="1"/>
  <c r="DM613" i="9"/>
  <c r="DN595" i="9" a="1"/>
  <c r="DN595" i="9" s="1"/>
  <c r="DM612" i="9" a="1"/>
  <c r="DM612" i="9"/>
  <c r="DN594" i="9" a="1"/>
  <c r="DN594" i="9" s="1"/>
  <c r="DO615" i="9" a="1"/>
  <c r="DO615" i="9" s="1"/>
  <c r="DP615" i="9" s="1"/>
  <c r="DL615" i="9" s="1" a="1"/>
  <c r="DL615" i="9" s="1"/>
  <c r="DN487" i="9" a="1"/>
  <c r="DN487" i="9"/>
  <c r="DM576" i="9" a="1"/>
  <c r="DM576" i="9" s="1"/>
  <c r="DM496" i="9" a="1"/>
  <c r="DM496" i="9"/>
  <c r="DK581" i="9" a="1"/>
  <c r="DK581" i="9"/>
  <c r="DK577" i="9" a="1"/>
  <c r="DK577" i="9"/>
  <c r="DN133" i="9" a="1"/>
  <c r="DN133" i="9" s="1"/>
  <c r="DO597" i="9" a="1"/>
  <c r="DO597" i="9"/>
  <c r="DP597" i="9" s="1"/>
  <c r="DL597" i="9" s="1" a="1"/>
  <c r="DL597" i="9" s="1"/>
  <c r="DN591" i="9" a="1"/>
  <c r="DN591" i="9"/>
  <c r="DM600" i="9" a="1"/>
  <c r="DM600" i="9" s="1"/>
  <c r="DN582" i="9" a="1"/>
  <c r="DN582" i="9"/>
  <c r="DO603" i="9" a="1"/>
  <c r="DO603" i="9" s="1"/>
  <c r="DP603" i="9" s="1"/>
  <c r="DL603" i="9" s="1" a="1"/>
  <c r="DL603" i="9" s="1"/>
  <c r="DK593" i="9" a="1"/>
  <c r="DK593" i="9"/>
  <c r="DN604" i="9" a="1"/>
  <c r="DN604" i="9" s="1"/>
  <c r="DK607" i="9" a="1"/>
  <c r="DK607" i="9"/>
  <c r="DK606" i="9" a="1"/>
  <c r="DK606" i="9" s="1"/>
  <c r="DM588" i="9" a="1"/>
  <c r="DM588" i="9" s="1"/>
  <c r="DM578" i="9" a="1"/>
  <c r="DM578" i="9" s="1"/>
  <c r="DO556" i="9" a="1"/>
  <c r="DO556" i="9" s="1"/>
  <c r="DP556" i="9" s="1"/>
  <c r="DL556" i="9" s="1" a="1"/>
  <c r="DL556" i="9" s="1"/>
  <c r="DK490" i="9" a="1"/>
  <c r="DK490" i="9"/>
  <c r="DN493" i="9" a="1"/>
  <c r="DN493" i="9"/>
  <c r="DM486" i="9" a="1"/>
  <c r="DM486" i="9"/>
  <c r="DK605" i="9" a="1"/>
  <c r="DK605" i="9" s="1"/>
  <c r="DN587" i="9" a="1"/>
  <c r="DN587" i="9"/>
  <c r="DN571" i="9" a="1"/>
  <c r="DN571" i="9"/>
  <c r="DM493" i="9" a="1"/>
  <c r="DM493" i="9"/>
  <c r="DO594" i="9" a="1"/>
  <c r="DO594" i="9" s="1"/>
  <c r="DP594" i="9" s="1"/>
  <c r="DL594" i="9" s="1" a="1"/>
  <c r="DL594" i="9" s="1"/>
  <c r="DN580" i="9" a="1"/>
  <c r="DN580" i="9"/>
  <c r="DM556" i="9" a="1"/>
  <c r="DM556" i="9" s="1"/>
  <c r="DM490" i="9" a="1"/>
  <c r="DM490" i="9"/>
  <c r="DO606" i="9" a="1"/>
  <c r="DO606" i="9" s="1"/>
  <c r="DP606" i="9" s="1"/>
  <c r="DL606" i="9" s="1" a="1"/>
  <c r="DL606" i="9" s="1"/>
  <c r="DM585" i="9" a="1"/>
  <c r="DM585" i="9"/>
  <c r="DO604" i="9" a="1"/>
  <c r="DO604" i="9" s="1"/>
  <c r="DP604" i="9" s="1"/>
  <c r="DL604" i="9" s="1" a="1"/>
  <c r="DL604" i="9" s="1"/>
  <c r="DK594" i="9" a="1"/>
  <c r="DK594" i="9" s="1"/>
  <c r="DM615" i="9" a="1"/>
  <c r="DM615" i="9" s="1"/>
  <c r="DN597" i="9" a="1"/>
  <c r="DN597" i="9"/>
  <c r="DM630" i="9" a="1"/>
  <c r="DM630" i="9" s="1"/>
  <c r="DN675" i="9" a="1"/>
  <c r="DN675" i="9" s="1"/>
  <c r="DN611" i="9" a="1"/>
  <c r="DN611" i="9" s="1"/>
  <c r="DM660" i="9" a="1"/>
  <c r="DM660" i="9"/>
  <c r="DN610" i="9" a="1"/>
  <c r="DN610" i="9" s="1"/>
  <c r="DO592" i="9" a="1"/>
  <c r="DO592" i="9" s="1"/>
  <c r="DP592" i="9" s="1"/>
  <c r="DL592" i="9" s="1" a="1"/>
  <c r="DL592" i="9" s="1"/>
  <c r="DK582" i="9" a="1"/>
  <c r="DK582" i="9"/>
  <c r="DN596" i="9" a="1"/>
  <c r="DN596" i="9" s="1"/>
  <c r="DN574" i="9" a="1"/>
  <c r="DN574" i="9"/>
  <c r="DN494" i="9" a="1"/>
  <c r="DN494" i="9"/>
  <c r="DK580" i="9" a="1"/>
  <c r="DK580" i="9"/>
  <c r="DM575" i="9" a="1"/>
  <c r="DM575" i="9" s="1"/>
  <c r="DM487" i="9" a="1"/>
  <c r="DM487" i="9"/>
  <c r="DK576" i="9" a="1"/>
  <c r="DK576" i="9"/>
  <c r="DM526" i="9" a="1"/>
  <c r="DM526" i="9"/>
  <c r="DN526" i="9" a="1"/>
  <c r="DN526" i="9" s="1"/>
  <c r="DK482" i="9" a="1"/>
  <c r="DK482" i="9"/>
  <c r="DK489" i="9" a="1"/>
  <c r="DK489" i="9"/>
  <c r="DO585" i="9" a="1"/>
  <c r="DO585" i="9"/>
  <c r="DP585" i="9" s="1"/>
  <c r="DL585" i="9" s="1" a="1"/>
  <c r="DL585" i="9" s="1"/>
  <c r="DN572" i="9" a="1"/>
  <c r="DN572" i="9" s="1"/>
  <c r="DK613" i="9" a="1"/>
  <c r="DK613" i="9"/>
  <c r="DM589" i="9" a="1"/>
  <c r="DM589" i="9"/>
  <c r="DK583" i="9" a="1"/>
  <c r="DK583" i="9"/>
  <c r="DK484" i="9" a="1"/>
  <c r="DK484" i="9" s="1"/>
  <c r="DM464" i="9" a="1"/>
  <c r="DM464" i="9"/>
  <c r="DK481" i="9" a="1"/>
  <c r="DK481" i="9"/>
  <c r="DM463" i="9" a="1"/>
  <c r="DM463" i="9"/>
  <c r="DK486" i="9" a="1"/>
  <c r="DK486" i="9" s="1"/>
  <c r="DO474" i="9" a="1"/>
  <c r="DO474" i="9"/>
  <c r="DP474" i="9" s="1"/>
  <c r="DL474" i="9" s="1" a="1"/>
  <c r="DL474" i="9" s="1"/>
  <c r="DK464" i="9" a="1"/>
  <c r="DK464" i="9"/>
  <c r="DO482" i="9" a="1"/>
  <c r="DO482" i="9" s="1"/>
  <c r="DP482" i="9" s="1"/>
  <c r="DL482" i="9" s="1" a="1"/>
  <c r="DL482" i="9" s="1"/>
  <c r="DO473" i="9" a="1"/>
  <c r="DO473" i="9" s="1"/>
  <c r="DP473" i="9" s="1"/>
  <c r="DL473" i="9" s="1" a="1"/>
  <c r="DL473" i="9" s="1"/>
  <c r="DK463" i="9" a="1"/>
  <c r="DK463" i="9"/>
  <c r="DO485" i="9" a="1"/>
  <c r="DO485" i="9" s="1"/>
  <c r="DP485" i="9" s="1"/>
  <c r="DL485" i="9" s="1" a="1"/>
  <c r="DL485" i="9" s="1"/>
  <c r="DK477" i="9" a="1"/>
  <c r="DK477" i="9"/>
  <c r="DM459" i="9" a="1"/>
  <c r="DM459" i="9" s="1"/>
  <c r="DN490" i="9" a="1"/>
  <c r="DN490" i="9"/>
  <c r="DN480" i="9" a="1"/>
  <c r="DN480" i="9" s="1"/>
  <c r="DO462" i="9" a="1"/>
  <c r="DO462" i="9" s="1"/>
  <c r="DP462" i="9" s="1"/>
  <c r="DL462" i="9" s="1" a="1"/>
  <c r="DL462" i="9" s="1"/>
  <c r="DO511" i="9" a="1"/>
  <c r="DO511" i="9" s="1"/>
  <c r="DP511" i="9" s="1"/>
  <c r="DL511" i="9" s="1" a="1"/>
  <c r="DL511" i="9" s="1"/>
  <c r="DN407" i="9" a="1"/>
  <c r="DN407" i="9"/>
  <c r="DO360" i="9" a="1"/>
  <c r="DO360" i="9" s="1"/>
  <c r="DP360" i="9" s="1"/>
  <c r="DL360" i="9" s="1" a="1"/>
  <c r="DL360" i="9" s="1"/>
  <c r="DN422" i="9" a="1"/>
  <c r="DN422" i="9"/>
  <c r="DM371" i="9" a="1"/>
  <c r="DM371" i="9"/>
  <c r="DN353" i="9" a="1"/>
  <c r="DN353" i="9" s="1"/>
  <c r="DK592" i="9" a="1"/>
  <c r="DK592" i="9"/>
  <c r="DM582" i="9" a="1"/>
  <c r="DM582" i="9"/>
  <c r="DK645" i="9" a="1"/>
  <c r="DK645" i="9"/>
  <c r="DN541" i="9" a="1"/>
  <c r="DN541" i="9" s="1"/>
  <c r="DN556" i="9" a="1"/>
  <c r="DN556" i="9"/>
  <c r="DN491" i="9" a="1"/>
  <c r="DN491" i="9"/>
  <c r="DM595" i="9" a="1"/>
  <c r="DM595" i="9"/>
  <c r="DK597" i="9" a="1"/>
  <c r="DK597" i="9" s="1"/>
  <c r="DN588" i="9" a="1"/>
  <c r="DN588" i="9"/>
  <c r="DN496" i="9" a="1"/>
  <c r="DN496" i="9"/>
  <c r="DO468" i="9" a="1"/>
  <c r="DO468" i="9"/>
  <c r="DP468" i="9" s="1"/>
  <c r="DL468" i="9" s="1" a="1"/>
  <c r="DL468" i="9" s="1"/>
  <c r="DK458" i="9" a="1"/>
  <c r="DK458" i="9" s="1"/>
  <c r="DO467" i="9" a="1"/>
  <c r="DO467" i="9" s="1"/>
  <c r="DP467" i="9" s="1"/>
  <c r="DL467" i="9" s="1" a="1"/>
  <c r="DL467" i="9" s="1"/>
  <c r="DK457" i="9" a="1"/>
  <c r="DK457" i="9" s="1"/>
  <c r="DN468" i="9" a="1"/>
  <c r="DN468" i="9"/>
  <c r="DM422" i="9" a="1"/>
  <c r="DM422" i="9" s="1"/>
  <c r="DN489" i="9" a="1"/>
  <c r="DN489" i="9"/>
  <c r="DN467" i="9" a="1"/>
  <c r="DN467" i="9" s="1"/>
  <c r="DK407" i="9" a="1"/>
  <c r="DK407" i="9"/>
  <c r="DN481" i="9" a="1"/>
  <c r="DN481" i="9" s="1"/>
  <c r="DO463" i="9" a="1"/>
  <c r="DO463" i="9" s="1"/>
  <c r="DP463" i="9" s="1"/>
  <c r="DL463" i="9" s="1" a="1"/>
  <c r="DL463" i="9" s="1"/>
  <c r="DK453" i="9" a="1"/>
  <c r="DK453" i="9"/>
  <c r="DO494" i="9" a="1"/>
  <c r="DO494" i="9" s="1"/>
  <c r="DP494" i="9" s="1"/>
  <c r="DL494" i="9" s="1" a="1"/>
  <c r="DL494" i="9" s="1"/>
  <c r="DM474" i="9" a="1"/>
  <c r="DM474" i="9"/>
  <c r="DN456" i="9" a="1"/>
  <c r="DN456" i="9" s="1"/>
  <c r="DM460" i="9" a="1"/>
  <c r="DM460" i="9"/>
  <c r="DM372" i="9" a="1"/>
  <c r="DM372" i="9" s="1"/>
  <c r="DN354" i="9" a="1"/>
  <c r="DN354" i="9" s="1"/>
  <c r="DO375" i="9" a="1"/>
  <c r="DO375" i="9" s="1"/>
  <c r="DP375" i="9" s="1"/>
  <c r="DL375" i="9" s="1" a="1"/>
  <c r="DL375" i="9" s="1"/>
  <c r="DK365" i="9" a="1"/>
  <c r="DK365" i="9"/>
  <c r="DM347" i="9" a="1"/>
  <c r="DM347" i="9" s="1"/>
  <c r="DO131" i="9" a="1"/>
  <c r="DO131" i="9" s="1"/>
  <c r="DP131" i="9" s="1"/>
  <c r="DL131" i="9" s="1" a="1"/>
  <c r="DL131" i="9" s="1"/>
  <c r="DO589" i="9" a="1"/>
  <c r="DO589" i="9"/>
  <c r="DP589" i="9" s="1"/>
  <c r="DL589" i="9" s="1" a="1"/>
  <c r="DL589" i="9" s="1"/>
  <c r="DO675" i="9" a="1"/>
  <c r="DO675" i="9" s="1"/>
  <c r="DP675" i="9" s="1"/>
  <c r="DL675" i="9" s="1" a="1"/>
  <c r="DL675" i="9" s="1"/>
  <c r="DM604" i="9" a="1"/>
  <c r="DM604" i="9" s="1"/>
  <c r="DM577" i="9" a="1"/>
  <c r="DM577" i="9" s="1"/>
  <c r="DM581" i="9" a="1"/>
  <c r="DM581" i="9" s="1"/>
  <c r="DO492" i="9" a="1"/>
  <c r="DO492" i="9"/>
  <c r="DP492" i="9" s="1"/>
  <c r="DL492" i="9" s="1" a="1"/>
  <c r="DL492" i="9" s="1"/>
  <c r="DM598" i="9" a="1"/>
  <c r="DM598" i="9" s="1"/>
  <c r="DM541" i="9" a="1"/>
  <c r="DM541" i="9" s="1"/>
  <c r="DO581" i="9" a="1"/>
  <c r="DO581" i="9" s="1"/>
  <c r="DP581" i="9" s="1"/>
  <c r="DL581" i="9" s="1" a="1"/>
  <c r="DL581" i="9" s="1"/>
  <c r="DO586" i="9" a="1"/>
  <c r="DO586" i="9" s="1"/>
  <c r="DP586" i="9" s="1"/>
  <c r="DL586" i="9" s="1" a="1"/>
  <c r="DL586" i="9" s="1"/>
  <c r="DN579" i="9" a="1"/>
  <c r="DN579" i="9"/>
  <c r="DK572" i="9" a="1"/>
  <c r="DK572" i="9" s="1"/>
  <c r="DN577" i="9" a="1"/>
  <c r="DN577" i="9" s="1"/>
  <c r="DM480" i="9" a="1"/>
  <c r="DM480" i="9" s="1"/>
  <c r="DN462" i="9" a="1"/>
  <c r="DN462" i="9"/>
  <c r="DM479" i="9" a="1"/>
  <c r="DM479" i="9" s="1"/>
  <c r="DN461" i="9" a="1"/>
  <c r="DN461" i="9" s="1"/>
  <c r="DM571" i="9" a="1"/>
  <c r="DM571" i="9" s="1"/>
  <c r="DK480" i="9" a="1"/>
  <c r="DK480" i="9"/>
  <c r="DM462" i="9" a="1"/>
  <c r="DM462" i="9" s="1"/>
  <c r="DK479" i="9" a="1"/>
  <c r="DK479" i="9" s="1"/>
  <c r="DM461" i="9" a="1"/>
  <c r="DM461" i="9" s="1"/>
  <c r="DM475" i="9" a="1"/>
  <c r="DM475" i="9"/>
  <c r="DN457" i="9" a="1"/>
  <c r="DN457" i="9" s="1"/>
  <c r="DM572" i="9" a="1"/>
  <c r="DM572" i="9" s="1"/>
  <c r="DO488" i="9" a="1"/>
  <c r="DO488" i="9" s="1"/>
  <c r="DP488" i="9" s="1"/>
  <c r="DL488" i="9" s="1" a="1"/>
  <c r="DL488" i="9" s="1"/>
  <c r="DO478" i="9" a="1"/>
  <c r="DO478" i="9" s="1"/>
  <c r="DP478" i="9" s="1"/>
  <c r="DL478" i="9" s="1" a="1"/>
  <c r="DL478" i="9" s="1"/>
  <c r="DK468" i="9" a="1"/>
  <c r="DK468" i="9"/>
  <c r="DO376" i="9" a="1"/>
  <c r="DO376" i="9"/>
  <c r="DP376" i="9" s="1"/>
  <c r="DL376" i="9" s="1" a="1"/>
  <c r="DL376" i="9" s="1"/>
  <c r="DK366" i="9" a="1"/>
  <c r="DK366" i="9"/>
  <c r="DO602" i="9" a="1"/>
  <c r="DO602" i="9" s="1"/>
  <c r="DP602" i="9" s="1"/>
  <c r="DL602" i="9" s="1" a="1"/>
  <c r="DL602" i="9" s="1"/>
  <c r="DK579" i="9" a="1"/>
  <c r="DK579" i="9"/>
  <c r="DO593" i="9" a="1"/>
  <c r="DO593" i="9" s="1"/>
  <c r="DP593" i="9" s="1"/>
  <c r="DL593" i="9" s="1" a="1"/>
  <c r="DL593" i="9" s="1"/>
  <c r="DK496" i="9" a="1"/>
  <c r="DK496" i="9"/>
  <c r="DN585" i="9" a="1"/>
  <c r="DN585" i="9"/>
  <c r="DO489" i="9" a="1"/>
  <c r="DO489" i="9" s="1"/>
  <c r="DP489" i="9" s="1"/>
  <c r="DL489" i="9" s="1" a="1"/>
  <c r="DL489" i="9" s="1"/>
  <c r="DK591" i="9" a="1"/>
  <c r="DK591" i="9"/>
  <c r="DO579" i="9" a="1"/>
  <c r="DO579" i="9" s="1"/>
  <c r="DP579" i="9" s="1"/>
  <c r="DL579" i="9" s="1" a="1"/>
  <c r="DL579" i="9" s="1"/>
  <c r="DK492" i="9" a="1"/>
  <c r="DK492" i="9"/>
  <c r="DK474" i="9" a="1"/>
  <c r="DK474" i="9"/>
  <c r="DM456" i="9" a="1"/>
  <c r="DM456" i="9" s="1"/>
  <c r="DK473" i="9" a="1"/>
  <c r="DK473" i="9"/>
  <c r="DM455" i="9" a="1"/>
  <c r="DM455" i="9"/>
  <c r="DO487" i="9" a="1"/>
  <c r="DO487" i="9"/>
  <c r="DP487" i="9" s="1"/>
  <c r="DL487" i="9" s="1" a="1"/>
  <c r="DL487" i="9" s="1"/>
  <c r="DO466" i="9" a="1"/>
  <c r="DO466" i="9" s="1"/>
  <c r="DP466" i="9" s="1"/>
  <c r="DL466" i="9" s="1" a="1"/>
  <c r="DL466" i="9" s="1"/>
  <c r="DK456" i="9" a="1"/>
  <c r="DK456" i="9" s="1"/>
  <c r="DN392" i="9" a="1"/>
  <c r="DN392" i="9" s="1"/>
  <c r="DO483" i="9" a="1"/>
  <c r="DO483" i="9" s="1"/>
  <c r="DP483" i="9" s="1"/>
  <c r="DL483" i="9" s="1" a="1"/>
  <c r="DL483" i="9" s="1"/>
  <c r="DO465" i="9" a="1"/>
  <c r="DO465" i="9"/>
  <c r="DP465" i="9" s="1"/>
  <c r="DL465" i="9" s="1" a="1"/>
  <c r="DL465" i="9" s="1"/>
  <c r="DK455" i="9" a="1"/>
  <c r="DK455" i="9" s="1"/>
  <c r="DO575" i="9" a="1"/>
  <c r="DO575" i="9" s="1"/>
  <c r="DP575" i="9" s="1"/>
  <c r="DL575" i="9" s="1" a="1"/>
  <c r="DL575" i="9" s="1"/>
  <c r="DO479" i="9" a="1"/>
  <c r="DO479" i="9" s="1"/>
  <c r="DP479" i="9" s="1"/>
  <c r="DL479" i="9" s="1" a="1"/>
  <c r="DL479" i="9" s="1"/>
  <c r="DK469" i="9" a="1"/>
  <c r="DK469" i="9" s="1"/>
  <c r="DK437" i="9" a="1"/>
  <c r="DK437" i="9"/>
  <c r="DN472" i="9" a="1"/>
  <c r="DN472" i="9" s="1"/>
  <c r="DO454" i="9" a="1"/>
  <c r="DO454" i="9" s="1"/>
  <c r="DP454" i="9" s="1"/>
  <c r="DL454" i="9" s="1" a="1"/>
  <c r="DL454" i="9" s="1"/>
  <c r="DO437" i="9" a="1"/>
  <c r="DO437" i="9" s="1"/>
  <c r="DP437" i="9" s="1"/>
  <c r="DL437" i="9" s="1" a="1"/>
  <c r="DL437" i="9" s="1"/>
  <c r="DN370" i="9" a="1"/>
  <c r="DN370" i="9" s="1"/>
  <c r="DO352" i="9" a="1"/>
  <c r="DO352" i="9" s="1"/>
  <c r="DP352" i="9" s="1"/>
  <c r="DL352" i="9" s="1" a="1"/>
  <c r="DL352" i="9" s="1"/>
  <c r="DM363" i="9" a="1"/>
  <c r="DM363" i="9" s="1"/>
  <c r="DM602" i="9" a="1"/>
  <c r="DM602" i="9" s="1"/>
  <c r="DN630" i="9" a="1"/>
  <c r="DN630" i="9" s="1"/>
  <c r="DK609" i="9" a="1"/>
  <c r="DK609" i="9" s="1"/>
  <c r="DN511" i="9" a="1"/>
  <c r="DN511" i="9" s="1"/>
  <c r="DO572" i="9" a="1"/>
  <c r="DO572" i="9" s="1"/>
  <c r="DP572" i="9" s="1"/>
  <c r="DL572" i="9" s="1" a="1"/>
  <c r="DL572" i="9" s="1"/>
  <c r="DM488" i="9" a="1"/>
  <c r="DM488" i="9" s="1"/>
  <c r="DK578" i="9" a="1"/>
  <c r="DK578" i="9"/>
  <c r="DN601" i="9" a="1"/>
  <c r="DN601" i="9"/>
  <c r="DK511" i="9" a="1"/>
  <c r="DK511" i="9"/>
  <c r="DN576" i="9" a="1"/>
  <c r="DN576" i="9" s="1"/>
  <c r="DK556" i="9" a="1"/>
  <c r="DK556" i="9"/>
  <c r="DK574" i="9" a="1"/>
  <c r="DK574" i="9"/>
  <c r="DN478" i="9" a="1"/>
  <c r="DN478" i="9"/>
  <c r="DO460" i="9" a="1"/>
  <c r="DO460" i="9" s="1"/>
  <c r="DP460" i="9" s="1"/>
  <c r="DL460" i="9" s="1" a="1"/>
  <c r="DL460" i="9" s="1"/>
  <c r="DK485" i="9" a="1"/>
  <c r="DK485" i="9"/>
  <c r="DN477" i="9" a="1"/>
  <c r="DN477" i="9" s="1"/>
  <c r="DO459" i="9" a="1"/>
  <c r="DO459" i="9" s="1"/>
  <c r="DP459" i="9" s="1"/>
  <c r="DL459" i="9" s="1" a="1"/>
  <c r="DL459" i="9" s="1"/>
  <c r="DK541" i="9" a="1"/>
  <c r="DK541" i="9" s="1"/>
  <c r="DM478" i="9" a="1"/>
  <c r="DM478" i="9"/>
  <c r="DN460" i="9" a="1"/>
  <c r="DN460" i="9"/>
  <c r="DM477" i="9" a="1"/>
  <c r="DM477" i="9"/>
  <c r="DN459" i="9" a="1"/>
  <c r="DN459" i="9" s="1"/>
  <c r="DN473" i="9" a="1"/>
  <c r="DN473" i="9"/>
  <c r="DO455" i="9" a="1"/>
  <c r="DO455" i="9" s="1"/>
  <c r="DP455" i="9" s="1"/>
  <c r="DL455" i="9" a="1"/>
  <c r="DL455" i="9" s="1"/>
  <c r="DO496" i="9" a="1"/>
  <c r="DO496" i="9" s="1"/>
  <c r="DP496" i="9" s="1"/>
  <c r="DL496" i="9" s="1" a="1"/>
  <c r="DL496" i="9" s="1"/>
  <c r="DN485" i="9" a="1"/>
  <c r="DN485" i="9" s="1"/>
  <c r="DM466" i="9" a="1"/>
  <c r="DM466" i="9"/>
  <c r="DM364" i="9" a="1"/>
  <c r="DM364" i="9" s="1"/>
  <c r="DO367" i="9" a="1"/>
  <c r="DO367" i="9" s="1"/>
  <c r="DP367" i="9" s="1"/>
  <c r="DL367" i="9" s="1" a="1"/>
  <c r="DL367" i="9" s="1"/>
  <c r="DK357" i="9" a="1"/>
  <c r="DK357" i="9"/>
  <c r="DM473" i="9" a="1"/>
  <c r="DM473" i="9" s="1"/>
  <c r="DN586" i="9" a="1"/>
  <c r="DN586" i="9"/>
  <c r="DO491" i="9" a="1"/>
  <c r="DO491" i="9" s="1"/>
  <c r="DP491" i="9" s="1"/>
  <c r="DL491" i="9" s="1" a="1"/>
  <c r="DL491" i="9" s="1"/>
  <c r="DO591" i="9" a="1"/>
  <c r="DO591" i="9" s="1"/>
  <c r="DP591" i="9" s="1"/>
  <c r="DL591" i="9" s="1" a="1"/>
  <c r="DL591" i="9" s="1"/>
  <c r="DM494" i="9" a="1"/>
  <c r="DM494" i="9" s="1"/>
  <c r="DK575" i="9" a="1"/>
  <c r="DK575" i="9"/>
  <c r="DK589" i="9" a="1"/>
  <c r="DK589" i="9" s="1"/>
  <c r="DM472" i="9" a="1"/>
  <c r="DM472" i="9" s="1"/>
  <c r="DN454" i="9" a="1"/>
  <c r="DN454" i="9" s="1"/>
  <c r="DM471" i="9" a="1"/>
  <c r="DM471" i="9" s="1"/>
  <c r="DO576" i="9" a="1"/>
  <c r="DO576" i="9" s="1"/>
  <c r="DP576" i="9" s="1"/>
  <c r="DL576" i="9" s="1" a="1"/>
  <c r="DL576" i="9" s="1"/>
  <c r="DK472" i="9" a="1"/>
  <c r="DK472" i="9"/>
  <c r="DM454" i="9" a="1"/>
  <c r="DM454" i="9" s="1"/>
  <c r="DK493" i="9" a="1"/>
  <c r="DK493" i="9"/>
  <c r="DO481" i="9" a="1"/>
  <c r="DO481" i="9"/>
  <c r="DP481" i="9" s="1"/>
  <c r="DL481" i="9" s="1" a="1"/>
  <c r="DL481" i="9" s="1"/>
  <c r="DK471" i="9" a="1"/>
  <c r="DK471" i="9"/>
  <c r="DM453" i="9" a="1"/>
  <c r="DM453" i="9" s="1"/>
  <c r="DN483" i="9" a="1"/>
  <c r="DN483" i="9"/>
  <c r="DM467" i="9" a="1"/>
  <c r="DM467" i="9"/>
  <c r="DO407" i="9" a="1"/>
  <c r="DO407" i="9"/>
  <c r="DP407" i="9" s="1"/>
  <c r="DL407" i="9" s="1" a="1"/>
  <c r="DL407" i="9" s="1"/>
  <c r="DO470" i="9" a="1"/>
  <c r="DO470" i="9" s="1"/>
  <c r="DP470" i="9" s="1"/>
  <c r="DL470" i="9" s="1" a="1"/>
  <c r="DL470" i="9" s="1"/>
  <c r="DK460" i="9" a="1"/>
  <c r="DK460" i="9"/>
  <c r="DM476" i="9" a="1"/>
  <c r="DM476" i="9"/>
  <c r="DO368" i="9" a="1"/>
  <c r="DO368" i="9"/>
  <c r="DP368" i="9" s="1"/>
  <c r="DL368" i="9" s="1" a="1"/>
  <c r="DL368" i="9" s="1"/>
  <c r="DK358" i="9" a="1"/>
  <c r="DK358" i="9" s="1"/>
  <c r="DN361" i="9" a="1"/>
  <c r="DN361" i="9" s="1"/>
  <c r="DO343" i="9" a="1"/>
  <c r="DO343" i="9" s="1"/>
  <c r="DP343" i="9" s="1"/>
  <c r="DL343" i="9" s="1" a="1"/>
  <c r="DL343" i="9" s="1"/>
  <c r="DK372" i="9" a="1"/>
  <c r="DK372" i="9" s="1"/>
  <c r="DM354" i="9" a="1"/>
  <c r="DM354" i="9" s="1"/>
  <c r="DK462" i="9" a="1"/>
  <c r="DK462" i="9" s="1"/>
  <c r="DN375" i="9" a="1"/>
  <c r="DN375" i="9" s="1"/>
  <c r="DO357" i="9" a="1"/>
  <c r="DO357" i="9" s="1"/>
  <c r="DP357" i="9" s="1"/>
  <c r="DL357" i="9" s="1" a="1"/>
  <c r="DL357" i="9" s="1"/>
  <c r="DK347" i="9" a="1"/>
  <c r="DK347" i="9" s="1"/>
  <c r="DO480" i="9" a="1"/>
  <c r="DO480" i="9"/>
  <c r="DP480" i="9" s="1"/>
  <c r="DL480" i="9" s="1" a="1"/>
  <c r="DL480" i="9" s="1"/>
  <c r="DM376" i="9" a="1"/>
  <c r="DM376" i="9"/>
  <c r="DO469" i="9" a="1"/>
  <c r="DO469" i="9" s="1"/>
  <c r="DP469" i="9" s="1"/>
  <c r="DL469" i="9" s="1" a="1"/>
  <c r="DL469" i="9" s="1"/>
  <c r="DO645" i="9" a="1"/>
  <c r="DO645" i="9" s="1"/>
  <c r="DP645" i="9" s="1"/>
  <c r="DL645" i="9" s="1" a="1"/>
  <c r="DL645" i="9" s="1"/>
  <c r="DM605" i="9" a="1"/>
  <c r="DM605" i="9" s="1"/>
  <c r="DN573" i="9" a="1"/>
  <c r="DN573" i="9" s="1"/>
  <c r="DM574" i="9" a="1"/>
  <c r="DM574" i="9" s="1"/>
  <c r="DN492" i="9" a="1"/>
  <c r="DN492" i="9" s="1"/>
  <c r="DN484" i="9" a="1"/>
  <c r="DN484" i="9" s="1"/>
  <c r="DN593" i="9" a="1"/>
  <c r="DN593" i="9" s="1"/>
  <c r="DK495" i="9" a="1"/>
  <c r="DK495" i="9" s="1"/>
  <c r="DM587" i="9" a="1"/>
  <c r="DM587" i="9" s="1"/>
  <c r="DO580" i="9" a="1"/>
  <c r="DO580" i="9" s="1"/>
  <c r="DP580" i="9" s="1"/>
  <c r="DL580" i="9" s="1" a="1"/>
  <c r="DL580" i="9" s="1"/>
  <c r="DO574" i="9" a="1"/>
  <c r="DO574" i="9"/>
  <c r="DP574" i="9" s="1"/>
  <c r="DL574" i="9" s="1" a="1"/>
  <c r="DL574" i="9" s="1"/>
  <c r="DO526" i="9" a="1"/>
  <c r="DO526" i="9"/>
  <c r="DP526" i="9" s="1"/>
  <c r="DL526" i="9" s="1" a="1"/>
  <c r="DL526" i="9" s="1"/>
  <c r="DN488" i="9" a="1"/>
  <c r="DN488" i="9" s="1"/>
  <c r="DO476" i="9" a="1"/>
  <c r="DO476" i="9" s="1"/>
  <c r="DP476" i="9" s="1"/>
  <c r="DL476" i="9" s="1" a="1"/>
  <c r="DL476" i="9" s="1"/>
  <c r="DK466" i="9" a="1"/>
  <c r="DK466" i="9"/>
  <c r="DK483" i="9" a="1"/>
  <c r="DK483" i="9"/>
  <c r="DO475" i="9" a="1"/>
  <c r="DO475" i="9"/>
  <c r="DP475" i="9" s="1"/>
  <c r="DL475" i="9" s="1" a="1"/>
  <c r="DL475" i="9" s="1"/>
  <c r="DK465" i="9" a="1"/>
  <c r="DK465" i="9" s="1"/>
  <c r="DO495" i="9" a="1"/>
  <c r="DO495" i="9" s="1"/>
  <c r="DP495" i="9" s="1"/>
  <c r="DL495" i="9" s="1" a="1"/>
  <c r="DL495" i="9" s="1"/>
  <c r="DN476" i="9" a="1"/>
  <c r="DN476" i="9"/>
  <c r="DO458" i="9" a="1"/>
  <c r="DO458" i="9" s="1"/>
  <c r="DP458" i="9" s="1"/>
  <c r="DL458" i="9" s="1" a="1"/>
  <c r="DL458" i="9" s="1"/>
  <c r="DN475" i="9" a="1"/>
  <c r="DN475" i="9" s="1"/>
  <c r="DO457" i="9" a="1"/>
  <c r="DO457" i="9" s="1"/>
  <c r="DP457" i="9" s="1"/>
  <c r="DL457" i="9" s="1" a="1"/>
  <c r="DL457" i="9" s="1"/>
  <c r="DO471" i="9" a="1"/>
  <c r="DO471" i="9" s="1"/>
  <c r="DP471" i="9" s="1"/>
  <c r="DL471" i="9" s="1" a="1"/>
  <c r="DL471" i="9" s="1"/>
  <c r="DK461" i="9" a="1"/>
  <c r="DK461" i="9"/>
  <c r="DM492" i="9" a="1"/>
  <c r="DM492" i="9" s="1"/>
  <c r="DM484" i="9" a="1"/>
  <c r="DM484" i="9"/>
  <c r="DN464" i="9" a="1"/>
  <c r="DN464" i="9"/>
  <c r="DN362" i="9" a="1"/>
  <c r="DN362" i="9"/>
  <c r="DK373" i="9" a="1"/>
  <c r="DK373" i="9" s="1"/>
  <c r="DM355" i="9" a="1"/>
  <c r="DM355" i="9"/>
  <c r="AZ310" i="9"/>
  <c r="BW667" i="9" a="1"/>
  <c r="BW667" i="9" s="1"/>
  <c r="BW548" i="9" a="1"/>
  <c r="BW548" i="9" s="1"/>
  <c r="BV32" i="9"/>
  <c r="BV36" i="9"/>
  <c r="BV191" i="9"/>
  <c r="K30" i="12"/>
  <c r="AE30" i="12"/>
  <c r="K42" i="12"/>
  <c r="K43" i="12"/>
  <c r="AE43" i="12"/>
  <c r="K29" i="12"/>
  <c r="AE29" i="12" s="1"/>
  <c r="K31" i="12"/>
  <c r="AE31" i="12" s="1"/>
  <c r="CS448" i="5"/>
  <c r="BG339" i="11"/>
  <c r="BG322" i="11"/>
  <c r="L176" i="12"/>
  <c r="BI190" i="12"/>
  <c r="BH190" i="12"/>
  <c r="BF339" i="11"/>
  <c r="DI25" i="10"/>
  <c r="DI50" i="10"/>
  <c r="DI75" i="10"/>
  <c r="DI100" i="10"/>
  <c r="DI125" i="10"/>
  <c r="DI150" i="10"/>
  <c r="DI175" i="10"/>
  <c r="DI200" i="10"/>
  <c r="DI225" i="10"/>
  <c r="DI250" i="10"/>
  <c r="DI275" i="10"/>
  <c r="DI300" i="10"/>
  <c r="DI325" i="10"/>
  <c r="DI350" i="10"/>
  <c r="DI375" i="10"/>
  <c r="DI400" i="10"/>
  <c r="DI425" i="10"/>
  <c r="CO50" i="12"/>
  <c r="CS40" i="12"/>
  <c r="CP40" i="12"/>
  <c r="CQ40" i="12"/>
  <c r="CR40" i="12"/>
  <c r="CP28" i="12"/>
  <c r="CR28" i="12"/>
  <c r="CQ28" i="12"/>
  <c r="CS28" i="12"/>
  <c r="AJ49" i="12"/>
  <c r="AJ50" i="12"/>
  <c r="AJ39" i="12"/>
  <c r="CO34" i="12"/>
  <c r="BE43" i="12"/>
  <c r="BG43" i="12"/>
  <c r="AJ62" i="12"/>
  <c r="CO43" i="12"/>
  <c r="CR43" i="12"/>
  <c r="CS17" i="12"/>
  <c r="CP17" i="12"/>
  <c r="CQ17" i="12"/>
  <c r="CR17" i="12"/>
  <c r="X135" i="5"/>
  <c r="X137" i="5"/>
  <c r="O69" i="11"/>
  <c r="BM55" i="11" s="1"/>
  <c r="Q19" i="11"/>
  <c r="Q119" i="11" s="1"/>
  <c r="BF69" i="11" s="1"/>
  <c r="AA75" i="10"/>
  <c r="Z63" i="10"/>
  <c r="AC77" i="10"/>
  <c r="AE68" i="10"/>
  <c r="CW339" i="10" s="1"/>
  <c r="GK670" i="9"/>
  <c r="HE670" i="9" s="1"/>
  <c r="GM689" i="9"/>
  <c r="HG689" i="9" s="1"/>
  <c r="HB627" i="9"/>
  <c r="HD627" i="9" s="1"/>
  <c r="HB687" i="9"/>
  <c r="HD687" i="9" s="1"/>
  <c r="CF686" i="9"/>
  <c r="CF618" i="9"/>
  <c r="CF625" i="9"/>
  <c r="GK626" i="9"/>
  <c r="HE626" i="9" s="1"/>
  <c r="CC619" i="9"/>
  <c r="GK689" i="9"/>
  <c r="HE689" i="9" s="1"/>
  <c r="GK686" i="9"/>
  <c r="HE686" i="9" s="1"/>
  <c r="CB680" i="9"/>
  <c r="GK677" i="9"/>
  <c r="HE677" i="9" s="1"/>
  <c r="HB673" i="9"/>
  <c r="HD673" i="9" s="1"/>
  <c r="CD618" i="9"/>
  <c r="CC656" i="9"/>
  <c r="CD667" i="9"/>
  <c r="CF669" i="9"/>
  <c r="CF677" i="9"/>
  <c r="CB665" i="9"/>
  <c r="GN653" i="9"/>
  <c r="HB663" i="9"/>
  <c r="HD663" i="9" s="1"/>
  <c r="CE618" i="9"/>
  <c r="GY662" i="9"/>
  <c r="GZ662" i="9" s="1"/>
  <c r="HH662" i="9" s="1"/>
  <c r="HB646" i="9"/>
  <c r="HD646" i="9" s="1"/>
  <c r="CF667" i="9"/>
  <c r="GL639" i="9"/>
  <c r="GL685" i="9"/>
  <c r="GL626" i="9"/>
  <c r="GK661" i="9"/>
  <c r="HE661" i="9" s="1"/>
  <c r="CF635" i="9"/>
  <c r="GW106" i="9"/>
  <c r="CQ555" i="5"/>
  <c r="AX65" i="5"/>
  <c r="CR555" i="5" s="1"/>
  <c r="CT364" i="5"/>
  <c r="AX102" i="5"/>
  <c r="CT560" i="5" s="1"/>
  <c r="CQ368" i="5"/>
  <c r="CQ565" i="5"/>
  <c r="AX75" i="5"/>
  <c r="CR565" i="5"/>
  <c r="CT347" i="5"/>
  <c r="AE99" i="5"/>
  <c r="AF99" i="5"/>
  <c r="AW99" i="5"/>
  <c r="CT543" i="5" s="1"/>
  <c r="CT382" i="5"/>
  <c r="AY106" i="5"/>
  <c r="CT578" i="5" s="1"/>
  <c r="AZ75" i="5"/>
  <c r="CR593" i="5"/>
  <c r="CQ593" i="5"/>
  <c r="CT250" i="5"/>
  <c r="AP100" i="5"/>
  <c r="CT446" i="5" s="1"/>
  <c r="BD61" i="5"/>
  <c r="AZ76" i="5"/>
  <c r="CR594" i="5" s="1"/>
  <c r="CQ592" i="5"/>
  <c r="AZ74" i="5"/>
  <c r="CR592" i="5" s="1"/>
  <c r="AY73" i="5"/>
  <c r="CR577" i="5" s="1"/>
  <c r="AJ73" i="5"/>
  <c r="CR395" i="5" s="1"/>
  <c r="CQ452" i="5"/>
  <c r="AP74" i="5"/>
  <c r="CR452" i="5"/>
  <c r="CQ356" i="5"/>
  <c r="AG76" i="5"/>
  <c r="CR356" i="5" s="1"/>
  <c r="AW74" i="5"/>
  <c r="CR550" i="5" s="1"/>
  <c r="CQ550" i="5"/>
  <c r="CS253" i="5"/>
  <c r="AE73" i="5"/>
  <c r="CR325" i="5"/>
  <c r="CQ325" i="5"/>
  <c r="CT373" i="5"/>
  <c r="AY97" i="5"/>
  <c r="CT569" i="5"/>
  <c r="CT360" i="5"/>
  <c r="AX98" i="5"/>
  <c r="CT556" i="5" s="1"/>
  <c r="CQ411" i="5"/>
  <c r="AK75" i="5"/>
  <c r="CR411" i="5" s="1"/>
  <c r="CQ370" i="5"/>
  <c r="AH76" i="5"/>
  <c r="CR370" i="5" s="1"/>
  <c r="CT252" i="5"/>
  <c r="AP102" i="5"/>
  <c r="CT448" i="5" s="1"/>
  <c r="CT383" i="5"/>
  <c r="AY107" i="5"/>
  <c r="CT579" i="5" s="1"/>
  <c r="CQ317" i="5"/>
  <c r="AE65" i="5"/>
  <c r="CR317" i="5" s="1"/>
  <c r="AE71" i="5"/>
  <c r="CR323" i="5" s="1"/>
  <c r="CQ345" i="5"/>
  <c r="AG65" i="5"/>
  <c r="CR345" i="5" s="1"/>
  <c r="CQ252" i="5"/>
  <c r="Z70" i="5"/>
  <c r="CR252" i="5" s="1"/>
  <c r="CS247" i="5"/>
  <c r="CS443" i="5"/>
  <c r="AU74" i="5"/>
  <c r="CR522" i="5"/>
  <c r="CQ522" i="5"/>
  <c r="CQ591" i="5"/>
  <c r="AZ73" i="5"/>
  <c r="CR591" i="5"/>
  <c r="CS258" i="5"/>
  <c r="CS454" i="5"/>
  <c r="CQ569" i="5"/>
  <c r="AY65" i="5"/>
  <c r="CR569" i="5" s="1"/>
  <c r="CT370" i="5"/>
  <c r="AX108" i="5"/>
  <c r="CT566" i="5" s="1"/>
  <c r="CQ322" i="5"/>
  <c r="AE70" i="5"/>
  <c r="CR322" i="5" s="1"/>
  <c r="CQ381" i="5"/>
  <c r="AI73" i="5"/>
  <c r="CR381" i="5" s="1"/>
  <c r="CT377" i="5"/>
  <c r="AY101" i="5"/>
  <c r="CT573" i="5"/>
  <c r="CS254" i="5"/>
  <c r="CS450" i="5"/>
  <c r="CQ412" i="5"/>
  <c r="AK76" i="5"/>
  <c r="CR412" i="5" s="1"/>
  <c r="CT257" i="5"/>
  <c r="AP107" i="5"/>
  <c r="CT453" i="5"/>
  <c r="AK73" i="5"/>
  <c r="CR409" i="5"/>
  <c r="CQ409" i="5"/>
  <c r="AJ71" i="5"/>
  <c r="CR393" i="5" s="1"/>
  <c r="CQ393" i="5"/>
  <c r="CQ327" i="5"/>
  <c r="AE75" i="5"/>
  <c r="CR327" i="5" s="1"/>
  <c r="CQ608" i="5"/>
  <c r="BA76" i="5"/>
  <c r="CR608" i="5" s="1"/>
  <c r="AK71" i="5"/>
  <c r="CR407" i="5" s="1"/>
  <c r="CT255" i="5"/>
  <c r="AP105" i="5"/>
  <c r="CT451" i="5" s="1"/>
  <c r="CT256" i="5"/>
  <c r="AP106" i="5"/>
  <c r="CT452" i="5"/>
  <c r="CQ364" i="5"/>
  <c r="AH70" i="5"/>
  <c r="CR364" i="5"/>
  <c r="CT355" i="5"/>
  <c r="AW107" i="5"/>
  <c r="CT551" i="5"/>
  <c r="AE107" i="5"/>
  <c r="AF107" i="5"/>
  <c r="CT366" i="5"/>
  <c r="AX104" i="5"/>
  <c r="CT562" i="5"/>
  <c r="CQ255" i="5"/>
  <c r="Z73" i="5"/>
  <c r="CR255" i="5" s="1"/>
  <c r="CT248" i="5"/>
  <c r="AP98" i="5"/>
  <c r="CT444" i="5"/>
  <c r="BA65" i="5"/>
  <c r="CR597" i="5" s="1"/>
  <c r="CQ597" i="5"/>
  <c r="CQ379" i="5"/>
  <c r="AI71" i="5"/>
  <c r="CR379" i="5" s="1"/>
  <c r="CQ583" i="5"/>
  <c r="AZ65" i="5"/>
  <c r="CR583" i="5" s="1"/>
  <c r="AN50" i="5"/>
  <c r="AV97" i="5"/>
  <c r="CT527" i="5" s="1"/>
  <c r="CT339" i="5"/>
  <c r="BD58" i="5"/>
  <c r="CQ342" i="5"/>
  <c r="AF76" i="5"/>
  <c r="CR342" i="5" s="1"/>
  <c r="CQ328" i="5"/>
  <c r="AE76" i="5"/>
  <c r="CR328" i="5" s="1"/>
  <c r="CQ256" i="5"/>
  <c r="Z74" i="5"/>
  <c r="CR256" i="5" s="1"/>
  <c r="CT379" i="5"/>
  <c r="AY103" i="5"/>
  <c r="CT575" i="5"/>
  <c r="AJ76" i="5"/>
  <c r="CR398" i="5" s="1"/>
  <c r="CQ398" i="5"/>
  <c r="CT367" i="5"/>
  <c r="AX105" i="5"/>
  <c r="CT563" i="5"/>
  <c r="CT354" i="5"/>
  <c r="AE106" i="5"/>
  <c r="AF106" i="5"/>
  <c r="AW106" i="5"/>
  <c r="CT550" i="5"/>
  <c r="CQ257" i="5"/>
  <c r="Z75" i="5"/>
  <c r="CR257" i="5"/>
  <c r="AN56" i="5"/>
  <c r="AN58" i="5"/>
  <c r="AK70" i="5"/>
  <c r="CR406" i="5"/>
  <c r="CQ406" i="5"/>
  <c r="CQ351" i="5"/>
  <c r="AG71" i="5"/>
  <c r="CR351" i="5" s="1"/>
  <c r="CT378" i="5"/>
  <c r="AY102" i="5"/>
  <c r="CT574" i="5"/>
  <c r="CQ350" i="5"/>
  <c r="AG70" i="5"/>
  <c r="CR350" i="5" s="1"/>
  <c r="CQ331" i="5"/>
  <c r="AF65" i="5"/>
  <c r="CR331" i="5" s="1"/>
  <c r="DD161" i="10"/>
  <c r="DD386" i="10" s="1"/>
  <c r="CV210" i="10"/>
  <c r="AA64" i="10"/>
  <c r="DD207" i="10" s="1"/>
  <c r="CV75" i="10"/>
  <c r="U79" i="10"/>
  <c r="CV107" i="10"/>
  <c r="W87" i="10"/>
  <c r="AC83" i="10"/>
  <c r="CV189" i="10"/>
  <c r="Z68" i="10"/>
  <c r="CW189" i="10" s="1"/>
  <c r="CV183" i="10"/>
  <c r="Z88" i="10"/>
  <c r="DD221" i="10"/>
  <c r="CW169" i="10"/>
  <c r="DD166" i="10"/>
  <c r="DD391" i="10" s="1"/>
  <c r="AF77" i="10"/>
  <c r="DD238" i="10"/>
  <c r="AB63" i="10"/>
  <c r="CV186" i="10"/>
  <c r="Z65" i="10"/>
  <c r="Y72" i="10"/>
  <c r="Y78" i="10"/>
  <c r="AB76" i="10"/>
  <c r="CV319" i="10"/>
  <c r="AD73" i="10"/>
  <c r="CW319" i="10" s="1"/>
  <c r="AA68" i="10"/>
  <c r="CV84" i="10"/>
  <c r="V63" i="10"/>
  <c r="CV170" i="10"/>
  <c r="Y74" i="10"/>
  <c r="CV157" i="10"/>
  <c r="U71" i="10"/>
  <c r="T72" i="10"/>
  <c r="AF80" i="10"/>
  <c r="CV266" i="10"/>
  <c r="AB70" i="10"/>
  <c r="AB87" i="10"/>
  <c r="DD279" i="10" s="1"/>
  <c r="DD113" i="10"/>
  <c r="CV343" i="10"/>
  <c r="AE72" i="10"/>
  <c r="AD68" i="10"/>
  <c r="CV314" i="10"/>
  <c r="CW11" i="10"/>
  <c r="DD8" i="10"/>
  <c r="CV39" i="10"/>
  <c r="CW71" i="10"/>
  <c r="DD68" i="10"/>
  <c r="CW249" i="10"/>
  <c r="DD246" i="10"/>
  <c r="CV303" i="10"/>
  <c r="AC82" i="10"/>
  <c r="U72" i="10"/>
  <c r="DD65" i="10" s="1"/>
  <c r="CV328" i="10"/>
  <c r="AD82" i="10"/>
  <c r="X73" i="10"/>
  <c r="AB79" i="10"/>
  <c r="CW61" i="10"/>
  <c r="DD58" i="10"/>
  <c r="S78" i="10"/>
  <c r="CW24" i="10" s="1"/>
  <c r="CV315" i="10"/>
  <c r="AD69" i="10"/>
  <c r="CV100" i="10"/>
  <c r="V79" i="10"/>
  <c r="DD41" i="10"/>
  <c r="CW44" i="10"/>
  <c r="AF79" i="10"/>
  <c r="CW250" i="10" s="1"/>
  <c r="CV96" i="10"/>
  <c r="V75" i="10"/>
  <c r="CV273" i="10"/>
  <c r="AB77" i="10"/>
  <c r="CV258" i="10"/>
  <c r="AB88" i="10"/>
  <c r="Z78" i="10"/>
  <c r="CW199" i="10" s="1"/>
  <c r="AA79" i="10"/>
  <c r="CW215" i="10"/>
  <c r="DD212" i="10"/>
  <c r="AD71" i="10"/>
  <c r="CV317" i="10"/>
  <c r="AC79" i="10"/>
  <c r="CW300" i="10" s="1"/>
  <c r="DD349" i="10"/>
  <c r="CW352" i="10"/>
  <c r="AF63" i="10"/>
  <c r="CV18" i="10"/>
  <c r="S72" i="10"/>
  <c r="AA71" i="10"/>
  <c r="AD87" i="10"/>
  <c r="DD329" i="10" s="1"/>
  <c r="W69" i="10"/>
  <c r="CV7" i="10"/>
  <c r="S87" i="10"/>
  <c r="DD61" i="10"/>
  <c r="CW25" i="10"/>
  <c r="DD22" i="10"/>
  <c r="S63" i="10"/>
  <c r="CV333" i="10"/>
  <c r="AE88" i="10"/>
  <c r="DD132" i="10"/>
  <c r="DD357" i="10" s="1"/>
  <c r="AB82" i="10"/>
  <c r="U74" i="10"/>
  <c r="AD63" i="10"/>
  <c r="CV286" i="10"/>
  <c r="AC65" i="10"/>
  <c r="AD78" i="10"/>
  <c r="CV324" i="10"/>
  <c r="Z79" i="10"/>
  <c r="X71" i="10"/>
  <c r="AF81" i="10"/>
  <c r="T64" i="10"/>
  <c r="CV69" i="10"/>
  <c r="U73" i="10"/>
  <c r="V83" i="10"/>
  <c r="CV311" i="10"/>
  <c r="AD65" i="10"/>
  <c r="CV207" i="10"/>
  <c r="R87" i="10"/>
  <c r="AA87" i="10"/>
  <c r="CW207" i="10" s="1"/>
  <c r="AE69" i="10"/>
  <c r="AC80" i="10"/>
  <c r="CV15" i="10"/>
  <c r="S69" i="10"/>
  <c r="AE87" i="10"/>
  <c r="CV332" i="10"/>
  <c r="AD79" i="10"/>
  <c r="CV325" i="10"/>
  <c r="CW222" i="10"/>
  <c r="DD219" i="10"/>
  <c r="CW52" i="10"/>
  <c r="DD49" i="10"/>
  <c r="CW89" i="10"/>
  <c r="DD86" i="10"/>
  <c r="AC74" i="10"/>
  <c r="CW103" i="10"/>
  <c r="DD100" i="10"/>
  <c r="DD75" i="10"/>
  <c r="CW78" i="10"/>
  <c r="DD111" i="10"/>
  <c r="CW126" i="10"/>
  <c r="DD123" i="10"/>
  <c r="X70" i="10"/>
  <c r="Y64" i="10"/>
  <c r="CV32" i="10"/>
  <c r="T87" i="10"/>
  <c r="AC72" i="10"/>
  <c r="V74" i="10"/>
  <c r="V64" i="10"/>
  <c r="X88" i="10"/>
  <c r="CW133" i="10" s="1"/>
  <c r="CV133" i="10"/>
  <c r="T63" i="10"/>
  <c r="AF76" i="10"/>
  <c r="CW253" i="10"/>
  <c r="DD250" i="10"/>
  <c r="CV308" i="10"/>
  <c r="AD88" i="10"/>
  <c r="CW134" i="10"/>
  <c r="DD131" i="10"/>
  <c r="DD356" i="10" s="1"/>
  <c r="AE70" i="10"/>
  <c r="CV327" i="10"/>
  <c r="AD81" i="10"/>
  <c r="CV158" i="10"/>
  <c r="Y88" i="10"/>
  <c r="DD233" i="10"/>
  <c r="W81" i="10"/>
  <c r="CW127" i="10" s="1"/>
  <c r="CV271" i="10"/>
  <c r="AB75" i="10"/>
  <c r="CV97" i="10"/>
  <c r="V76" i="10"/>
  <c r="CV270" i="10"/>
  <c r="AB74" i="10"/>
  <c r="DD267" i="10" s="1"/>
  <c r="CV48" i="10"/>
  <c r="T77" i="10"/>
  <c r="CV282" i="10"/>
  <c r="AC87" i="10"/>
  <c r="W76" i="10"/>
  <c r="Y75" i="10"/>
  <c r="CW347" i="10"/>
  <c r="DD344" i="10"/>
  <c r="CV74" i="10"/>
  <c r="U78" i="10"/>
  <c r="CW193" i="10"/>
  <c r="DD190" i="10"/>
  <c r="DD415" i="10" s="1"/>
  <c r="AB69" i="10"/>
  <c r="X74" i="10"/>
  <c r="CW145" i="10" s="1"/>
  <c r="DD336" i="10"/>
  <c r="CW10" i="10"/>
  <c r="DD7" i="10"/>
  <c r="CV108" i="10"/>
  <c r="W88" i="10"/>
  <c r="CV82" i="10"/>
  <c r="V87" i="10"/>
  <c r="CV206" i="10"/>
  <c r="R86" i="10"/>
  <c r="CV231" i="10"/>
  <c r="AF64" i="10"/>
  <c r="CV283" i="10"/>
  <c r="AC88" i="10"/>
  <c r="AF69" i="10"/>
  <c r="Y79" i="10"/>
  <c r="DD172" i="10" s="1"/>
  <c r="DD397" i="10" s="1"/>
  <c r="AA77" i="10"/>
  <c r="GH585" i="9"/>
  <c r="GI585" i="9" s="1"/>
  <c r="GQ335" i="9"/>
  <c r="GR335" i="9" s="1"/>
  <c r="GS335" i="9" s="1"/>
  <c r="GT335" i="9" s="1"/>
  <c r="GU335" i="9" s="1"/>
  <c r="GV335" i="9" s="1"/>
  <c r="BH63" i="11"/>
  <c r="BH55" i="11"/>
  <c r="L21" i="11"/>
  <c r="L37" i="11" s="1"/>
  <c r="N177" i="11"/>
  <c r="BG63" i="11" s="1"/>
  <c r="L24" i="11"/>
  <c r="L56" i="11" s="1"/>
  <c r="N127" i="11"/>
  <c r="BF63" i="11" s="1"/>
  <c r="BH15" i="11"/>
  <c r="K171" i="11"/>
  <c r="BG15" i="11"/>
  <c r="K174" i="11"/>
  <c r="BG18" i="11" s="1"/>
  <c r="O119" i="11"/>
  <c r="BJ55" i="11" s="1"/>
  <c r="N169" i="11"/>
  <c r="BG55" i="11" s="1"/>
  <c r="GM664" i="9"/>
  <c r="HG664" i="9"/>
  <c r="CD648" i="9"/>
  <c r="GL688" i="9"/>
  <c r="GQ267" i="9"/>
  <c r="GR267" i="9" s="1"/>
  <c r="GS267" i="9" s="1"/>
  <c r="GT267" i="9" s="1"/>
  <c r="GU267" i="9" s="1"/>
  <c r="GV267" i="9" s="1"/>
  <c r="HB678" i="9"/>
  <c r="HD678" i="9" s="1"/>
  <c r="HB650" i="9"/>
  <c r="HD650" i="9" s="1"/>
  <c r="CE688" i="9"/>
  <c r="CC674" i="9"/>
  <c r="GM680" i="9"/>
  <c r="HG680" i="9" s="1"/>
  <c r="CC649" i="9"/>
  <c r="GL689" i="9"/>
  <c r="CE631" i="9"/>
  <c r="GM659" i="9"/>
  <c r="HG659" i="9" s="1"/>
  <c r="GY542" i="9"/>
  <c r="GZ542" i="9" s="1"/>
  <c r="HH542" i="9" s="1"/>
  <c r="CF542" i="9" s="1"/>
  <c r="GY439" i="9"/>
  <c r="GZ439" i="9" s="1"/>
  <c r="HH439" i="9" s="1"/>
  <c r="CF439" i="9" s="1"/>
  <c r="HB626" i="9"/>
  <c r="HD626" i="9" s="1"/>
  <c r="CE673" i="9"/>
  <c r="CF638" i="9"/>
  <c r="GW607" i="9"/>
  <c r="HF607" i="9" s="1"/>
  <c r="GW488" i="9"/>
  <c r="HF488" i="9" s="1"/>
  <c r="GQ377" i="9"/>
  <c r="GR377" i="9" s="1"/>
  <c r="GS377" i="9" s="1"/>
  <c r="GT377" i="9" s="1"/>
  <c r="GU377" i="9" s="1"/>
  <c r="GV377" i="9" s="1"/>
  <c r="GQ285" i="9"/>
  <c r="GR285" i="9" s="1"/>
  <c r="GS285" i="9" s="1"/>
  <c r="GT285" i="9" s="1"/>
  <c r="GU285" i="9" s="1"/>
  <c r="GV285" i="9" s="1"/>
  <c r="GQ353" i="9"/>
  <c r="GR353" i="9" s="1"/>
  <c r="GS353" i="9" s="1"/>
  <c r="GT353" i="9" s="1"/>
  <c r="GU353" i="9" s="1"/>
  <c r="GV353" i="9" s="1"/>
  <c r="DD196" i="10"/>
  <c r="DD421" i="10" s="1"/>
  <c r="CW225" i="10"/>
  <c r="DD222" i="10"/>
  <c r="CW165" i="10"/>
  <c r="DD162" i="10"/>
  <c r="DD387" i="10" s="1"/>
  <c r="DD115" i="10"/>
  <c r="CW59" i="10"/>
  <c r="CW91" i="10"/>
  <c r="DD88" i="10"/>
  <c r="GQ435" i="9"/>
  <c r="GR435" i="9" s="1"/>
  <c r="GS435" i="9" s="1"/>
  <c r="GT435" i="9" s="1"/>
  <c r="GU435" i="9" s="1"/>
  <c r="GV435" i="9" s="1"/>
  <c r="GQ387" i="9"/>
  <c r="GR387" i="9" s="1"/>
  <c r="GS387" i="9" s="1"/>
  <c r="GT387" i="9" s="1"/>
  <c r="GU387" i="9" s="1"/>
  <c r="GV387" i="9" s="1"/>
  <c r="GQ342" i="9"/>
  <c r="GR342" i="9" s="1"/>
  <c r="GS342" i="9" s="1"/>
  <c r="GT342" i="9" s="1"/>
  <c r="GU342" i="9" s="1"/>
  <c r="GV342" i="9" s="1"/>
  <c r="GQ344" i="9"/>
  <c r="GR344" i="9" s="1"/>
  <c r="GS344" i="9" s="1"/>
  <c r="GT344" i="9" s="1"/>
  <c r="GU344" i="9" s="1"/>
  <c r="GV344" i="9" s="1"/>
  <c r="GY425" i="9"/>
  <c r="GZ425" i="9" s="1"/>
  <c r="HH425" i="9" s="1"/>
  <c r="CF425" i="9" s="1"/>
  <c r="GQ305" i="9"/>
  <c r="GR305" i="9" s="1"/>
  <c r="GS305" i="9" s="1"/>
  <c r="GT305" i="9" s="1"/>
  <c r="GU305" i="9" s="1"/>
  <c r="GV305" i="9" s="1"/>
  <c r="GY520" i="9"/>
  <c r="GZ520" i="9" s="1"/>
  <c r="HH520" i="9" s="1"/>
  <c r="CF520" i="9" s="1"/>
  <c r="GQ328" i="9"/>
  <c r="GR328" i="9" s="1"/>
  <c r="GS328" i="9" s="1"/>
  <c r="GT328" i="9" s="1"/>
  <c r="GU328" i="9" s="1"/>
  <c r="GV328" i="9" s="1"/>
  <c r="GY668" i="9"/>
  <c r="GZ668" i="9" s="1"/>
  <c r="HH668" i="9" s="1"/>
  <c r="GY655" i="9"/>
  <c r="GZ655" i="9" s="1"/>
  <c r="HH655" i="9" s="1"/>
  <c r="GY676" i="9"/>
  <c r="GZ676" i="9" s="1"/>
  <c r="HH676" i="9" s="1"/>
  <c r="GY656" i="9"/>
  <c r="GZ656" i="9" s="1"/>
  <c r="HH656" i="9" s="1"/>
  <c r="GY516" i="9"/>
  <c r="GZ516" i="9" s="1"/>
  <c r="HH516" i="9" s="1"/>
  <c r="CF516" i="9" s="1"/>
  <c r="GY648" i="9"/>
  <c r="GZ648" i="9"/>
  <c r="HH648" i="9" s="1"/>
  <c r="GQ348" i="9"/>
  <c r="GR348" i="9" s="1"/>
  <c r="GS348" i="9" s="1"/>
  <c r="GT348" i="9" s="1"/>
  <c r="GU348" i="9" s="1"/>
  <c r="GV348" i="9" s="1"/>
  <c r="GQ395" i="9"/>
  <c r="GR395" i="9" s="1"/>
  <c r="GS395" i="9" s="1"/>
  <c r="GT395" i="9" s="1"/>
  <c r="GU395" i="9" s="1"/>
  <c r="GV395" i="9" s="1"/>
  <c r="GQ509" i="9"/>
  <c r="GR509" i="9" s="1"/>
  <c r="GS509" i="9" s="1"/>
  <c r="GT509" i="9" s="1"/>
  <c r="GU509" i="9" s="1"/>
  <c r="GV509" i="9" s="1"/>
  <c r="GD342" i="9"/>
  <c r="GE342" i="9" s="1"/>
  <c r="GF342" i="9" s="1"/>
  <c r="GG342" i="9" s="1"/>
  <c r="GH342" i="9" s="1"/>
  <c r="GI342" i="9" s="1"/>
  <c r="GQ364" i="9"/>
  <c r="GR364" i="9" s="1"/>
  <c r="GS364" i="9" s="1"/>
  <c r="GT364" i="9" s="1"/>
  <c r="GU364" i="9" s="1"/>
  <c r="GV364" i="9" s="1"/>
  <c r="GW364" i="9" s="1"/>
  <c r="HF364" i="9" s="1"/>
  <c r="GQ405" i="9"/>
  <c r="GR405" i="9" s="1"/>
  <c r="GS405" i="9" s="1"/>
  <c r="GT405" i="9" s="1"/>
  <c r="GU405" i="9" s="1"/>
  <c r="GV405" i="9" s="1"/>
  <c r="GQ289" i="9"/>
  <c r="GR289" i="9" s="1"/>
  <c r="GS289" i="9" s="1"/>
  <c r="GT289" i="9" s="1"/>
  <c r="GU289" i="9" s="1"/>
  <c r="GV289" i="9" s="1"/>
  <c r="GQ356" i="9"/>
  <c r="GR356" i="9" s="1"/>
  <c r="GS356" i="9" s="1"/>
  <c r="GT356" i="9" s="1"/>
  <c r="GU356" i="9" s="1"/>
  <c r="GV356" i="9" s="1"/>
  <c r="GQ382" i="9"/>
  <c r="GR382" i="9" s="1"/>
  <c r="GS382" i="9" s="1"/>
  <c r="GT382" i="9" s="1"/>
  <c r="GU382" i="9" s="1"/>
  <c r="GV382" i="9" s="1"/>
  <c r="GQ357" i="9"/>
  <c r="GR357" i="9" s="1"/>
  <c r="GS357" i="9" s="1"/>
  <c r="GT357" i="9" s="1"/>
  <c r="GU357" i="9" s="1"/>
  <c r="GV357" i="9" s="1"/>
  <c r="GW357" i="9" s="1"/>
  <c r="HF357" i="9" s="1"/>
  <c r="GQ281" i="9"/>
  <c r="GR281" i="9" s="1"/>
  <c r="GS281" i="9" s="1"/>
  <c r="GT281" i="9" s="1"/>
  <c r="GU281" i="9" s="1"/>
  <c r="GV281" i="9" s="1"/>
  <c r="GD359" i="9"/>
  <c r="GE359" i="9" s="1"/>
  <c r="GF359" i="9" s="1"/>
  <c r="GG359" i="9" s="1"/>
  <c r="GH359" i="9" s="1"/>
  <c r="GI359" i="9" s="1"/>
  <c r="GI235" i="9"/>
  <c r="GW609" i="9"/>
  <c r="HF609" i="9" s="1"/>
  <c r="GQ501" i="9"/>
  <c r="GR501" i="9" s="1"/>
  <c r="GS501" i="9" s="1"/>
  <c r="GT501" i="9" s="1"/>
  <c r="GU501" i="9" s="1"/>
  <c r="GV501" i="9" s="1"/>
  <c r="BF7" i="4"/>
  <c r="N12" i="4"/>
  <c r="BQ7" i="4" s="1"/>
  <c r="BF9" i="4"/>
  <c r="N14" i="4"/>
  <c r="BQ9" i="4"/>
  <c r="BN149" i="3" a="1"/>
  <c r="BN149" i="3" s="1"/>
  <c r="BK149" i="3" s="1"/>
  <c r="GQ319" i="9"/>
  <c r="GR319" i="9" s="1"/>
  <c r="GS319" i="9" s="1"/>
  <c r="GT319" i="9" s="1"/>
  <c r="GU319" i="9" s="1"/>
  <c r="GV319" i="9" s="1"/>
  <c r="GQ500" i="9"/>
  <c r="GR500" i="9" s="1"/>
  <c r="GS500" i="9" s="1"/>
  <c r="GT500" i="9" s="1"/>
  <c r="GU500" i="9" s="1"/>
  <c r="GV500" i="9" s="1"/>
  <c r="GQ345" i="9"/>
  <c r="GR345" i="9"/>
  <c r="GS345" i="9" s="1"/>
  <c r="GT345" i="9" s="1"/>
  <c r="GU345" i="9" s="1"/>
  <c r="GV345" i="9" s="1"/>
  <c r="GQ375" i="9"/>
  <c r="GR375" i="9" s="1"/>
  <c r="GS375" i="9" s="1"/>
  <c r="GT375" i="9" s="1"/>
  <c r="GU375" i="9" s="1"/>
  <c r="GV375" i="9" s="1"/>
  <c r="GQ338" i="9"/>
  <c r="GR338" i="9" s="1"/>
  <c r="GS338" i="9" s="1"/>
  <c r="GT338" i="9" s="1"/>
  <c r="GU338" i="9" s="1"/>
  <c r="GV338" i="9" s="1"/>
  <c r="GD507" i="9"/>
  <c r="GE507" i="9" s="1"/>
  <c r="GF507" i="9" s="1"/>
  <c r="GG507" i="9" s="1"/>
  <c r="GQ314" i="9"/>
  <c r="GR314" i="9" s="1"/>
  <c r="GS314" i="9" s="1"/>
  <c r="GT314" i="9" s="1"/>
  <c r="GU314" i="9" s="1"/>
  <c r="GV314" i="9" s="1"/>
  <c r="GQ513" i="9"/>
  <c r="GR513" i="9" s="1"/>
  <c r="GS513" i="9" s="1"/>
  <c r="GT513" i="9" s="1"/>
  <c r="GU513" i="9" s="1"/>
  <c r="GV513" i="9" s="1"/>
  <c r="GQ312" i="9"/>
  <c r="GR312" i="9" s="1"/>
  <c r="GS312" i="9" s="1"/>
  <c r="GT312" i="9" s="1"/>
  <c r="GU312" i="9" s="1"/>
  <c r="GV312" i="9" s="1"/>
  <c r="GD344" i="9"/>
  <c r="GE344" i="9" s="1"/>
  <c r="GF344" i="9" s="1"/>
  <c r="GG344" i="9" s="1"/>
  <c r="GH344" i="9" s="1"/>
  <c r="GI344" i="9" s="1"/>
  <c r="GQ316" i="9"/>
  <c r="GR316" i="9" s="1"/>
  <c r="GS316" i="9" s="1"/>
  <c r="GT316" i="9" s="1"/>
  <c r="GU316" i="9" s="1"/>
  <c r="GV316" i="9" s="1"/>
  <c r="GW316" i="9" s="1"/>
  <c r="HF316" i="9" s="1"/>
  <c r="CD316" i="9" s="1"/>
  <c r="BG24" i="12"/>
  <c r="GQ275" i="9"/>
  <c r="GR275" i="9" s="1"/>
  <c r="GS275" i="9" s="1"/>
  <c r="GT275" i="9" s="1"/>
  <c r="GU275" i="9" s="1"/>
  <c r="GV275" i="9" s="1"/>
  <c r="GQ297" i="9"/>
  <c r="GR297" i="9" s="1"/>
  <c r="GS297" i="9" s="1"/>
  <c r="GT297" i="9" s="1"/>
  <c r="GU297" i="9" s="1"/>
  <c r="GV297" i="9" s="1"/>
  <c r="GI179" i="9"/>
  <c r="GQ300" i="9"/>
  <c r="GR300" i="9" s="1"/>
  <c r="GS300" i="9" s="1"/>
  <c r="GT300" i="9" s="1"/>
  <c r="GU300" i="9" s="1"/>
  <c r="GV300" i="9" s="1"/>
  <c r="Q67" i="11"/>
  <c r="T17" i="11" s="1"/>
  <c r="O77" i="11"/>
  <c r="BM63" i="11" s="1"/>
  <c r="CW198" i="10"/>
  <c r="DD195" i="10"/>
  <c r="DD420" i="10" s="1"/>
  <c r="CW220" i="10"/>
  <c r="DD217" i="10"/>
  <c r="CW243" i="10"/>
  <c r="DD240" i="10"/>
  <c r="CW150" i="10"/>
  <c r="DD147" i="10"/>
  <c r="DD372" i="10" s="1"/>
  <c r="DD122" i="10"/>
  <c r="CW14" i="10"/>
  <c r="DD11" i="10"/>
  <c r="CW336" i="10"/>
  <c r="DD333" i="10"/>
  <c r="DD99" i="10"/>
  <c r="CW102" i="10"/>
  <c r="CW139" i="10"/>
  <c r="DD136" i="10"/>
  <c r="DD361" i="10" s="1"/>
  <c r="DD273" i="10"/>
  <c r="DD286" i="10"/>
  <c r="GQ259" i="9"/>
  <c r="GR259" i="9" s="1"/>
  <c r="GS259" i="9" s="1"/>
  <c r="GT259" i="9" s="1"/>
  <c r="GU259" i="9" s="1"/>
  <c r="GV259" i="9" s="1"/>
  <c r="GQ508" i="9"/>
  <c r="GR508" i="9" s="1"/>
  <c r="GS508" i="9" s="1"/>
  <c r="GT508" i="9" s="1"/>
  <c r="GU508" i="9" s="1"/>
  <c r="GV508" i="9" s="1"/>
  <c r="GQ663" i="9"/>
  <c r="GR663" i="9" s="1"/>
  <c r="GS663" i="9" s="1"/>
  <c r="GT663" i="9" s="1"/>
  <c r="GU663" i="9" s="1"/>
  <c r="GV663" i="9" s="1"/>
  <c r="GQ398" i="9"/>
  <c r="GR398" i="9" s="1"/>
  <c r="GS398" i="9" s="1"/>
  <c r="GT398" i="9" s="1"/>
  <c r="GU398" i="9" s="1"/>
  <c r="GV398" i="9" s="1"/>
  <c r="GQ346" i="9"/>
  <c r="GR346" i="9" s="1"/>
  <c r="GS346" i="9" s="1"/>
  <c r="GT346" i="9" s="1"/>
  <c r="GU346" i="9" s="1"/>
  <c r="GV346" i="9" s="1"/>
  <c r="GW346" i="9" s="1"/>
  <c r="HF346" i="9" s="1"/>
  <c r="GQ370" i="9"/>
  <c r="GR370" i="9" s="1"/>
  <c r="GS370" i="9" s="1"/>
  <c r="GT370" i="9" s="1"/>
  <c r="GU370" i="9" s="1"/>
  <c r="GV370" i="9" s="1"/>
  <c r="GQ618" i="9"/>
  <c r="GR618" i="9" s="1"/>
  <c r="GS618" i="9" s="1"/>
  <c r="GT618" i="9" s="1"/>
  <c r="GU618" i="9" s="1"/>
  <c r="GV618" i="9" s="1"/>
  <c r="GY415" i="9"/>
  <c r="GZ415" i="9" s="1"/>
  <c r="HH415" i="9" s="1"/>
  <c r="CF415" i="9" s="1"/>
  <c r="GY528" i="9"/>
  <c r="GZ528" i="9" s="1"/>
  <c r="HH528" i="9" s="1"/>
  <c r="CF528" i="9" s="1"/>
  <c r="GQ306" i="9"/>
  <c r="GR306" i="9" s="1"/>
  <c r="GS306" i="9" s="1"/>
  <c r="GT306" i="9" s="1"/>
  <c r="GU306" i="9" s="1"/>
  <c r="GV306" i="9" s="1"/>
  <c r="GQ372" i="9"/>
  <c r="GR372" i="9" s="1"/>
  <c r="GS372" i="9" s="1"/>
  <c r="GT372" i="9" s="1"/>
  <c r="GU372" i="9" s="1"/>
  <c r="GV372" i="9" s="1"/>
  <c r="GY555" i="9"/>
  <c r="GZ555" i="9" s="1"/>
  <c r="HH555" i="9" s="1"/>
  <c r="CF555" i="9" s="1"/>
  <c r="GY404" i="9"/>
  <c r="GZ404" i="9" s="1"/>
  <c r="HH404" i="9" s="1"/>
  <c r="CF404" i="9" s="1"/>
  <c r="GY438" i="9"/>
  <c r="GZ438" i="9" s="1"/>
  <c r="HH438" i="9" s="1"/>
  <c r="CF438" i="9" s="1"/>
  <c r="GQ330" i="9"/>
  <c r="GR330" i="9" s="1"/>
  <c r="GS330" i="9" s="1"/>
  <c r="GT330" i="9" s="1"/>
  <c r="GU330" i="9" s="1"/>
  <c r="GV330" i="9" s="1"/>
  <c r="GY671" i="9"/>
  <c r="GZ671" i="9" s="1"/>
  <c r="HH671" i="9" s="1"/>
  <c r="GQ378" i="9"/>
  <c r="GR378" i="9" s="1"/>
  <c r="GS378" i="9" s="1"/>
  <c r="GT378" i="9" s="1"/>
  <c r="GU378" i="9" s="1"/>
  <c r="GV378" i="9" s="1"/>
  <c r="GQ326" i="9"/>
  <c r="GR326" i="9" s="1"/>
  <c r="GS326" i="9" s="1"/>
  <c r="GT326" i="9" s="1"/>
  <c r="GU326" i="9" s="1"/>
  <c r="GV326" i="9" s="1"/>
  <c r="GY533" i="9"/>
  <c r="GZ533" i="9" s="1"/>
  <c r="HH533" i="9" s="1"/>
  <c r="CF533" i="9" s="1"/>
  <c r="GY538" i="9"/>
  <c r="GZ538" i="9" s="1"/>
  <c r="HH538" i="9" s="1"/>
  <c r="CF538" i="9" s="1"/>
  <c r="GY543" i="9"/>
  <c r="GZ543" i="9" s="1"/>
  <c r="HH543" i="9" s="1"/>
  <c r="CF543" i="9" s="1"/>
  <c r="GY450" i="9"/>
  <c r="GZ450" i="9" s="1"/>
  <c r="HH450" i="9" s="1"/>
  <c r="CF450" i="9" s="1"/>
  <c r="GQ524" i="9"/>
  <c r="GR524" i="9" s="1"/>
  <c r="GS524" i="9" s="1"/>
  <c r="GT524" i="9" s="1"/>
  <c r="GU524" i="9" s="1"/>
  <c r="GV524" i="9" s="1"/>
  <c r="GQ624" i="9"/>
  <c r="GR624" i="9" s="1"/>
  <c r="GS624" i="9" s="1"/>
  <c r="GT624" i="9" s="1"/>
  <c r="GU624" i="9" s="1"/>
  <c r="GV624" i="9" s="1"/>
  <c r="GQ391" i="9"/>
  <c r="GR391" i="9" s="1"/>
  <c r="GS391" i="9" s="1"/>
  <c r="GT391" i="9" s="1"/>
  <c r="GU391" i="9" s="1"/>
  <c r="GV391" i="9" s="1"/>
  <c r="GQ329" i="9"/>
  <c r="GR329" i="9" s="1"/>
  <c r="GS329" i="9" s="1"/>
  <c r="GT329" i="9" s="1"/>
  <c r="GU329" i="9" s="1"/>
  <c r="GV329" i="9" s="1"/>
  <c r="AU98" i="5"/>
  <c r="CT514" i="5"/>
  <c r="CT318" i="5"/>
  <c r="O17" i="11"/>
  <c r="O167" i="11"/>
  <c r="BK53" i="11" s="1"/>
  <c r="N167" i="11"/>
  <c r="BG53" i="11"/>
  <c r="DD74" i="10"/>
  <c r="DD351" i="10"/>
  <c r="T22" i="4"/>
  <c r="BS11" i="4"/>
  <c r="BS7" i="4"/>
  <c r="W22" i="4"/>
  <c r="BS12" i="4"/>
  <c r="BN119" i="3" a="1"/>
  <c r="BN119" i="3" s="1"/>
  <c r="BK119" i="3" s="1"/>
  <c r="GR263" i="9"/>
  <c r="GS263" i="9" s="1"/>
  <c r="GT263" i="9" s="1"/>
  <c r="GU263" i="9" s="1"/>
  <c r="GV263" i="9" s="1"/>
  <c r="GQ277" i="9"/>
  <c r="GR277" i="9" s="1"/>
  <c r="GS277" i="9" s="1"/>
  <c r="GT277" i="9" s="1"/>
  <c r="GU277" i="9" s="1"/>
  <c r="GV277" i="9" s="1"/>
  <c r="GQ499" i="9"/>
  <c r="GR499" i="9" s="1"/>
  <c r="GS499" i="9" s="1"/>
  <c r="GT499" i="9" s="1"/>
  <c r="GU499" i="9" s="1"/>
  <c r="GV499" i="9" s="1"/>
  <c r="GQ374" i="9"/>
  <c r="GR374" i="9" s="1"/>
  <c r="GS374" i="9" s="1"/>
  <c r="GT374" i="9" s="1"/>
  <c r="GU374" i="9" s="1"/>
  <c r="GV374" i="9" s="1"/>
  <c r="GY554" i="9"/>
  <c r="GZ554" i="9" s="1"/>
  <c r="HH554" i="9" s="1"/>
  <c r="CF554" i="9" s="1"/>
  <c r="DN663" i="9" a="1"/>
  <c r="DN663" i="9" s="1"/>
  <c r="GQ565" i="9"/>
  <c r="GR565" i="9" s="1"/>
  <c r="GS565" i="9" s="1"/>
  <c r="GT565" i="9" s="1"/>
  <c r="GU565" i="9" s="1"/>
  <c r="GV565" i="9" s="1"/>
  <c r="GQ621" i="9"/>
  <c r="GR621" i="9" s="1"/>
  <c r="GS621" i="9" s="1"/>
  <c r="GT621" i="9" s="1"/>
  <c r="GU621" i="9" s="1"/>
  <c r="GV621" i="9" s="1"/>
  <c r="GQ553" i="9"/>
  <c r="GR553" i="9" s="1"/>
  <c r="GS553" i="9" s="1"/>
  <c r="GT553" i="9" s="1"/>
  <c r="GU553" i="9" s="1"/>
  <c r="GV553" i="9" s="1"/>
  <c r="GQ270" i="9"/>
  <c r="GR270" i="9" s="1"/>
  <c r="GS270" i="9" s="1"/>
  <c r="GT270" i="9" s="1"/>
  <c r="GU270" i="9" s="1"/>
  <c r="GV270" i="9" s="1"/>
  <c r="GQ336" i="9"/>
  <c r="GR336" i="9" s="1"/>
  <c r="GS336" i="9" s="1"/>
  <c r="GT336" i="9" s="1"/>
  <c r="GU336" i="9" s="1"/>
  <c r="GV336" i="9" s="1"/>
  <c r="GY633" i="9"/>
  <c r="GZ633" i="9" s="1"/>
  <c r="HH633" i="9" s="1"/>
  <c r="GQ376" i="9"/>
  <c r="GR376" i="9" s="1"/>
  <c r="GS376" i="9" s="1"/>
  <c r="GT376" i="9" s="1"/>
  <c r="GU376" i="9" s="1"/>
  <c r="GV376" i="9" s="1"/>
  <c r="GW376" i="9" s="1"/>
  <c r="HF376" i="9" s="1"/>
  <c r="GQ416" i="9"/>
  <c r="GR416" i="9" s="1"/>
  <c r="GS416" i="9" s="1"/>
  <c r="GT416" i="9" s="1"/>
  <c r="GU416" i="9" s="1"/>
  <c r="GV416" i="9" s="1"/>
  <c r="GQ399" i="9"/>
  <c r="GR399" i="9" s="1"/>
  <c r="GS399" i="9" s="1"/>
  <c r="GT399" i="9" s="1"/>
  <c r="GU399" i="9" s="1"/>
  <c r="GV399" i="9" s="1"/>
  <c r="GQ266" i="9"/>
  <c r="GR266" i="9" s="1"/>
  <c r="GS266" i="9" s="1"/>
  <c r="GT266" i="9" s="1"/>
  <c r="GU266" i="9" s="1"/>
  <c r="GV266" i="9" s="1"/>
  <c r="GQ365" i="9"/>
  <c r="GR365" i="9" s="1"/>
  <c r="GS365" i="9" s="1"/>
  <c r="GT365" i="9" s="1"/>
  <c r="GU365" i="9" s="1"/>
  <c r="GV365" i="9" s="1"/>
  <c r="DG7" i="10"/>
  <c r="DG32" i="10" s="1"/>
  <c r="DG57" i="10" s="1"/>
  <c r="DG82" i="10" s="1"/>
  <c r="DG107" i="10" s="1"/>
  <c r="DG132" i="10" s="1"/>
  <c r="DG157" i="10" s="1"/>
  <c r="DG182" i="10" s="1"/>
  <c r="DG207" i="10" s="1"/>
  <c r="DG232" i="10" s="1"/>
  <c r="DG257" i="10" s="1"/>
  <c r="DG282" i="10" s="1"/>
  <c r="DG307" i="10" s="1"/>
  <c r="DG332" i="10" s="1"/>
  <c r="DG357" i="10" s="1"/>
  <c r="DG382" i="10" s="1"/>
  <c r="DG407" i="10" s="1"/>
  <c r="GQ394" i="9"/>
  <c r="GR394" i="9" s="1"/>
  <c r="GS394" i="9" s="1"/>
  <c r="GT394" i="9" s="1"/>
  <c r="GU394" i="9" s="1"/>
  <c r="GV394" i="9" s="1"/>
  <c r="GQ557" i="9"/>
  <c r="GR557" i="9" s="1"/>
  <c r="GS557" i="9" s="1"/>
  <c r="GT557" i="9" s="1"/>
  <c r="GU557" i="9" s="1"/>
  <c r="GV557" i="9" s="1"/>
  <c r="GQ298" i="9"/>
  <c r="GR298" i="9" s="1"/>
  <c r="GS298" i="9" s="1"/>
  <c r="GT298" i="9" s="1"/>
  <c r="GU298" i="9" s="1"/>
  <c r="GV298" i="9" s="1"/>
  <c r="GQ322" i="9"/>
  <c r="GR322" i="9" s="1"/>
  <c r="GS322" i="9" s="1"/>
  <c r="GT322" i="9" s="1"/>
  <c r="GU322" i="9" s="1"/>
  <c r="GV322" i="9" s="1"/>
  <c r="GQ291" i="9"/>
  <c r="GR291" i="9" s="1"/>
  <c r="GS291" i="9" s="1"/>
  <c r="GT291" i="9" s="1"/>
  <c r="GU291" i="9" s="1"/>
  <c r="GV291" i="9" s="1"/>
  <c r="GQ317" i="9"/>
  <c r="GR317" i="9" s="1"/>
  <c r="GS317" i="9" s="1"/>
  <c r="GT317" i="9" s="1"/>
  <c r="GU317" i="9" s="1"/>
  <c r="GV317" i="9" s="1"/>
  <c r="GQ638" i="9"/>
  <c r="GR638" i="9" s="1"/>
  <c r="GS638" i="9" s="1"/>
  <c r="GT638" i="9" s="1"/>
  <c r="GU638" i="9" s="1"/>
  <c r="GV638" i="9" s="1"/>
  <c r="GY685" i="9"/>
  <c r="GZ685" i="9" s="1"/>
  <c r="HH685" i="9" s="1"/>
  <c r="GY688" i="9"/>
  <c r="GZ688" i="9" s="1"/>
  <c r="HH688" i="9" s="1"/>
  <c r="GQ451" i="9"/>
  <c r="GR451" i="9" s="1"/>
  <c r="GS451" i="9" s="1"/>
  <c r="GT451" i="9" s="1"/>
  <c r="GU451" i="9" s="1"/>
  <c r="GV451" i="9" s="1"/>
  <c r="GQ419" i="9"/>
  <c r="GR419" i="9" s="1"/>
  <c r="GS419" i="9" s="1"/>
  <c r="GT419" i="9" s="1"/>
  <c r="GU419" i="9" s="1"/>
  <c r="GV419" i="9" s="1"/>
  <c r="GQ290" i="9"/>
  <c r="GR290" i="9" s="1"/>
  <c r="GS290" i="9" s="1"/>
  <c r="GT290" i="9" s="1"/>
  <c r="GU290" i="9" s="1"/>
  <c r="GV290" i="9" s="1"/>
  <c r="GQ308" i="9"/>
  <c r="GR308" i="9" s="1"/>
  <c r="GS308" i="9" s="1"/>
  <c r="GT308" i="9" s="1"/>
  <c r="GU308" i="9" s="1"/>
  <c r="GV308" i="9" s="1"/>
  <c r="GQ446" i="9"/>
  <c r="GR446" i="9" s="1"/>
  <c r="GS446" i="9" s="1"/>
  <c r="GT446" i="9" s="1"/>
  <c r="GU446" i="9" s="1"/>
  <c r="GV446" i="9" s="1"/>
  <c r="GQ311" i="9"/>
  <c r="GR311" i="9" s="1"/>
  <c r="GS311" i="9" s="1"/>
  <c r="GT311" i="9" s="1"/>
  <c r="GU311" i="9" s="1"/>
  <c r="GV311" i="9" s="1"/>
  <c r="GD336" i="9"/>
  <c r="GE336" i="9" s="1"/>
  <c r="GF336" i="9" s="1"/>
  <c r="GG336" i="9" s="1"/>
  <c r="GH336" i="9" s="1"/>
  <c r="GI336" i="9" s="1"/>
  <c r="GQ350" i="9"/>
  <c r="GR350" i="9" s="1"/>
  <c r="GS350" i="9" s="1"/>
  <c r="GT350" i="9" s="1"/>
  <c r="GU350" i="9" s="1"/>
  <c r="GV350" i="9" s="1"/>
  <c r="GQ278" i="9"/>
  <c r="GR278" i="9" s="1"/>
  <c r="GS278" i="9" s="1"/>
  <c r="GT278" i="9" s="1"/>
  <c r="GU278" i="9" s="1"/>
  <c r="GV278" i="9" s="1"/>
  <c r="GY653" i="9"/>
  <c r="GZ653" i="9" s="1"/>
  <c r="HH653" i="9" s="1"/>
  <c r="GQ497" i="9"/>
  <c r="GR497" i="9" s="1"/>
  <c r="GS497" i="9" s="1"/>
  <c r="GT497" i="9" s="1"/>
  <c r="GU497" i="9" s="1"/>
  <c r="GV497" i="9" s="1"/>
  <c r="GQ302" i="9"/>
  <c r="GR302" i="9" s="1"/>
  <c r="GS302" i="9" s="1"/>
  <c r="GT302" i="9" s="1"/>
  <c r="GU302" i="9" s="1"/>
  <c r="GV302" i="9" s="1"/>
  <c r="GQ304" i="9"/>
  <c r="GR304" i="9" s="1"/>
  <c r="GS304" i="9" s="1"/>
  <c r="GT304" i="9" s="1"/>
  <c r="GU304" i="9" s="1"/>
  <c r="GV304" i="9" s="1"/>
  <c r="GQ354" i="9"/>
  <c r="GR354" i="9" s="1"/>
  <c r="GS354" i="9" s="1"/>
  <c r="GT354" i="9" s="1"/>
  <c r="GU354" i="9" s="1"/>
  <c r="GV354" i="9" s="1"/>
  <c r="GQ315" i="9"/>
  <c r="GR315" i="9" s="1"/>
  <c r="GS315" i="9" s="1"/>
  <c r="GT315" i="9" s="1"/>
  <c r="GU315" i="9" s="1"/>
  <c r="GV315" i="9" s="1"/>
  <c r="GY569" i="9"/>
  <c r="GZ569" i="9" s="1"/>
  <c r="HH569" i="9" s="1"/>
  <c r="CF569" i="9" s="1"/>
  <c r="GY408" i="9"/>
  <c r="GZ408" i="9"/>
  <c r="HH408" i="9" s="1"/>
  <c r="CF408" i="9" s="1"/>
  <c r="GQ427" i="9"/>
  <c r="GR427" i="9" s="1"/>
  <c r="GS427" i="9" s="1"/>
  <c r="GT427" i="9" s="1"/>
  <c r="GU427" i="9" s="1"/>
  <c r="GV427" i="9" s="1"/>
  <c r="GQ282" i="9"/>
  <c r="GR282" i="9" s="1"/>
  <c r="GS282" i="9" s="1"/>
  <c r="GT282" i="9" s="1"/>
  <c r="GU282" i="9" s="1"/>
  <c r="GV282" i="9" s="1"/>
  <c r="GR549" i="9"/>
  <c r="GS549" i="9" s="1"/>
  <c r="GT549" i="9" s="1"/>
  <c r="GU549" i="9" s="1"/>
  <c r="GV549" i="9" s="1"/>
  <c r="GY684" i="9"/>
  <c r="GZ684" i="9" s="1"/>
  <c r="HH684" i="9" s="1"/>
  <c r="GQ293" i="9"/>
  <c r="GR293" i="9" s="1"/>
  <c r="GS293" i="9" s="1"/>
  <c r="GT293" i="9" s="1"/>
  <c r="GU293" i="9" s="1"/>
  <c r="GV293" i="9" s="1"/>
  <c r="GQ390" i="9"/>
  <c r="GR390" i="9" s="1"/>
  <c r="GS390" i="9" s="1"/>
  <c r="GT390" i="9" s="1"/>
  <c r="GU390" i="9" s="1"/>
  <c r="GV390" i="9" s="1"/>
  <c r="GQ301" i="9"/>
  <c r="GR301" i="9" s="1"/>
  <c r="GS301" i="9" s="1"/>
  <c r="GT301" i="9" s="1"/>
  <c r="GU301" i="9" s="1"/>
  <c r="GV301" i="9" s="1"/>
  <c r="GQ677" i="9"/>
  <c r="GR677" i="9" s="1"/>
  <c r="GS677" i="9" s="1"/>
  <c r="GT677" i="9" s="1"/>
  <c r="GU677" i="9" s="1"/>
  <c r="GV677" i="9" s="1"/>
  <c r="GQ352" i="9"/>
  <c r="GR352" i="9" s="1"/>
  <c r="GS352" i="9" s="1"/>
  <c r="GT352" i="9" s="1"/>
  <c r="GU352" i="9" s="1"/>
  <c r="GV352" i="9" s="1"/>
  <c r="GW352" i="9" s="1"/>
  <c r="HF352" i="9" s="1"/>
  <c r="GQ361" i="9"/>
  <c r="GR361" i="9" s="1"/>
  <c r="GS361" i="9" s="1"/>
  <c r="GT361" i="9" s="1"/>
  <c r="GU361" i="9" s="1"/>
  <c r="GV361" i="9" s="1"/>
  <c r="GQ296" i="9"/>
  <c r="GR296" i="9" s="1"/>
  <c r="GS296" i="9" s="1"/>
  <c r="GT296" i="9" s="1"/>
  <c r="GU296" i="9" s="1"/>
  <c r="GV296" i="9" s="1"/>
  <c r="GQ286" i="9"/>
  <c r="GR286" i="9" s="1"/>
  <c r="GS286" i="9" s="1"/>
  <c r="GT286" i="9" s="1"/>
  <c r="GU286" i="9" s="1"/>
  <c r="GV286" i="9" s="1"/>
  <c r="GQ379" i="9"/>
  <c r="GR379" i="9" s="1"/>
  <c r="GS379" i="9" s="1"/>
  <c r="GT379" i="9" s="1"/>
  <c r="GU379" i="9" s="1"/>
  <c r="GV379" i="9" s="1"/>
  <c r="GQ349" i="9"/>
  <c r="GR349" i="9"/>
  <c r="GS349" i="9" s="1"/>
  <c r="GT349" i="9" s="1"/>
  <c r="GU349" i="9" s="1"/>
  <c r="GV349" i="9" s="1"/>
  <c r="GW349" i="9" s="1"/>
  <c r="HF349" i="9" s="1"/>
  <c r="GQ402" i="9"/>
  <c r="GR402" i="9" s="1"/>
  <c r="GS402" i="9" s="1"/>
  <c r="GT402" i="9" s="1"/>
  <c r="GU402" i="9" s="1"/>
  <c r="GV402" i="9" s="1"/>
  <c r="GR280" i="9"/>
  <c r="GS280" i="9" s="1"/>
  <c r="GT280" i="9" s="1"/>
  <c r="GU280" i="9" s="1"/>
  <c r="GV280" i="9" s="1"/>
  <c r="GQ548" i="9"/>
  <c r="GR548" i="9" s="1"/>
  <c r="GS548" i="9" s="1"/>
  <c r="GT548" i="9" s="1"/>
  <c r="GU548" i="9" s="1"/>
  <c r="GV548" i="9" s="1"/>
  <c r="GQ274" i="9"/>
  <c r="GR274" i="9" s="1"/>
  <c r="GS274" i="9" s="1"/>
  <c r="GT274" i="9" s="1"/>
  <c r="GU274" i="9" s="1"/>
  <c r="GV274" i="9" s="1"/>
  <c r="GQ355" i="9"/>
  <c r="GR355" i="9" s="1"/>
  <c r="GS355" i="9" s="1"/>
  <c r="GT355" i="9" s="1"/>
  <c r="GU355" i="9" s="1"/>
  <c r="GV355" i="9" s="1"/>
  <c r="GQ388" i="9"/>
  <c r="GR388" i="9" s="1"/>
  <c r="GS388" i="9" s="1"/>
  <c r="GT388" i="9" s="1"/>
  <c r="GU388" i="9" s="1"/>
  <c r="GV388" i="9" s="1"/>
  <c r="GQ411" i="9"/>
  <c r="GR411" i="9" s="1"/>
  <c r="GS411" i="9" s="1"/>
  <c r="GT411" i="9" s="1"/>
  <c r="GU411" i="9" s="1"/>
  <c r="GV411" i="9" s="1"/>
  <c r="GQ260" i="9"/>
  <c r="GR260" i="9" s="1"/>
  <c r="GS260" i="9" s="1"/>
  <c r="GT260" i="9" s="1"/>
  <c r="GU260" i="9" s="1"/>
  <c r="GV260" i="9" s="1"/>
  <c r="O75" i="11"/>
  <c r="BM61" i="11" s="1"/>
  <c r="O66" i="11"/>
  <c r="BM52" i="11"/>
  <c r="BC329" i="11"/>
  <c r="O74" i="11"/>
  <c r="BM60" i="11"/>
  <c r="CT338" i="5"/>
  <c r="AV104" i="5"/>
  <c r="CT534" i="5" s="1"/>
  <c r="CW99" i="10"/>
  <c r="DD96" i="10"/>
  <c r="CW152" i="10"/>
  <c r="DD149" i="10"/>
  <c r="DD374" i="10" s="1"/>
  <c r="DD47" i="10"/>
  <c r="CW50" i="10"/>
  <c r="DD13" i="10"/>
  <c r="CW16" i="10"/>
  <c r="CW40" i="10"/>
  <c r="DD37" i="10"/>
  <c r="CW185" i="10"/>
  <c r="DD182" i="10"/>
  <c r="DD407" i="10" s="1"/>
  <c r="CW299" i="10"/>
  <c r="DD296" i="10"/>
  <c r="DD107" i="10"/>
  <c r="CW110" i="10"/>
  <c r="CW318" i="10"/>
  <c r="DD315" i="10"/>
  <c r="CW66" i="10"/>
  <c r="DD63" i="10"/>
  <c r="CW79" i="10"/>
  <c r="DD76" i="10"/>
  <c r="CW159" i="10"/>
  <c r="DD156" i="10"/>
  <c r="DD381" i="10" s="1"/>
  <c r="CW279" i="10"/>
  <c r="DD276" i="10"/>
  <c r="CV233" i="10"/>
  <c r="AF88" i="10"/>
  <c r="CW233" i="10"/>
  <c r="CW51" i="10"/>
  <c r="DD48" i="10"/>
  <c r="CW179" i="10"/>
  <c r="DD176" i="10"/>
  <c r="DD401" i="10" s="1"/>
  <c r="AG22" i="12"/>
  <c r="AH22" i="12"/>
  <c r="AH21" i="12"/>
  <c r="V87" i="12"/>
  <c r="Y33" i="21"/>
  <c r="AG21" i="12"/>
  <c r="GQ403" i="9"/>
  <c r="GR403" i="9" s="1"/>
  <c r="GS403" i="9" s="1"/>
  <c r="GT403" i="9" s="1"/>
  <c r="GU403" i="9" s="1"/>
  <c r="GV403" i="9" s="1"/>
  <c r="GD339" i="9"/>
  <c r="GE339" i="9" s="1"/>
  <c r="GF339" i="9" s="1"/>
  <c r="GG339" i="9" s="1"/>
  <c r="GD358" i="9"/>
  <c r="GE358" i="9" s="1"/>
  <c r="GF358" i="9" s="1"/>
  <c r="GG358" i="9" s="1"/>
  <c r="GH358" i="9" s="1"/>
  <c r="GI358" i="9" s="1"/>
  <c r="GQ358" i="9"/>
  <c r="GR358" i="9" s="1"/>
  <c r="GS358" i="9" s="1"/>
  <c r="GT358" i="9" s="1"/>
  <c r="GU358" i="9" s="1"/>
  <c r="GV358" i="9" s="1"/>
  <c r="GQ432" i="9"/>
  <c r="GR432" i="9" s="1"/>
  <c r="GS432" i="9" s="1"/>
  <c r="GT432" i="9" s="1"/>
  <c r="GU432" i="9" s="1"/>
  <c r="GV432" i="9" s="1"/>
  <c r="GQ369" i="9"/>
  <c r="GR369" i="9" s="1"/>
  <c r="GS369" i="9" s="1"/>
  <c r="GT369" i="9" s="1"/>
  <c r="GU369" i="9" s="1"/>
  <c r="GV369" i="9" s="1"/>
  <c r="GD369" i="9"/>
  <c r="GE369" i="9" s="1"/>
  <c r="GF369" i="9" s="1"/>
  <c r="GG369" i="9" s="1"/>
  <c r="GH369" i="9" s="1"/>
  <c r="GI369" i="9" s="1"/>
  <c r="GQ325" i="9"/>
  <c r="GR325" i="9" s="1"/>
  <c r="GS325" i="9" s="1"/>
  <c r="GT325" i="9" s="1"/>
  <c r="GU325" i="9" s="1"/>
  <c r="GV325" i="9" s="1"/>
  <c r="GQ265" i="9"/>
  <c r="GR265" i="9"/>
  <c r="GS265" i="9" s="1"/>
  <c r="GT265" i="9" s="1"/>
  <c r="GU265" i="9" s="1"/>
  <c r="GV265" i="9" s="1"/>
  <c r="GQ360" i="9"/>
  <c r="GR360" i="9" s="1"/>
  <c r="GS360" i="9" s="1"/>
  <c r="GT360" i="9" s="1"/>
  <c r="GU360" i="9" s="1"/>
  <c r="GV360" i="9" s="1"/>
  <c r="GQ401" i="9"/>
  <c r="GR401" i="9" s="1"/>
  <c r="GS401" i="9" s="1"/>
  <c r="GT401" i="9" s="1"/>
  <c r="GU401" i="9" s="1"/>
  <c r="GV401" i="9" s="1"/>
  <c r="GQ380" i="9"/>
  <c r="GR380" i="9" s="1"/>
  <c r="GS380" i="9" s="1"/>
  <c r="GT380" i="9" s="1"/>
  <c r="GU380" i="9" s="1"/>
  <c r="GV380" i="9" s="1"/>
  <c r="GQ396" i="9"/>
  <c r="GR396" i="9" s="1"/>
  <c r="GS396" i="9" s="1"/>
  <c r="GT396" i="9" s="1"/>
  <c r="GU396" i="9" s="1"/>
  <c r="GV396" i="9" s="1"/>
  <c r="GQ381" i="9"/>
  <c r="GR381" i="9" s="1"/>
  <c r="GS381" i="9" s="1"/>
  <c r="GT381" i="9" s="1"/>
  <c r="GU381" i="9" s="1"/>
  <c r="GV381" i="9" s="1"/>
  <c r="GD368" i="9"/>
  <c r="GE368" i="9" s="1"/>
  <c r="GF368" i="9" s="1"/>
  <c r="GG368" i="9" s="1"/>
  <c r="GH368" i="9" s="1"/>
  <c r="GI368" i="9" s="1"/>
  <c r="GQ368" i="9"/>
  <c r="GR368" i="9" s="1"/>
  <c r="GS368" i="9" s="1"/>
  <c r="GT368" i="9" s="1"/>
  <c r="GU368" i="9" s="1"/>
  <c r="GV368" i="9" s="1"/>
  <c r="GQ341" i="9"/>
  <c r="GR341" i="9" s="1"/>
  <c r="GS341" i="9" s="1"/>
  <c r="GT341" i="9" s="1"/>
  <c r="GU341" i="9" s="1"/>
  <c r="GV341" i="9" s="1"/>
  <c r="GQ384" i="9"/>
  <c r="GR384" i="9" s="1"/>
  <c r="GS384" i="9" s="1"/>
  <c r="GT384" i="9" s="1"/>
  <c r="GU384" i="9" s="1"/>
  <c r="GV384" i="9" s="1"/>
  <c r="GQ362" i="9"/>
  <c r="GR362" i="9" s="1"/>
  <c r="GS362" i="9" s="1"/>
  <c r="GT362" i="9" s="1"/>
  <c r="GU362" i="9" s="1"/>
  <c r="GV362" i="9" s="1"/>
  <c r="GQ332" i="9"/>
  <c r="GR332" i="9" s="1"/>
  <c r="GS332" i="9" s="1"/>
  <c r="GT332" i="9" s="1"/>
  <c r="GU332" i="9" s="1"/>
  <c r="GV332" i="9" s="1"/>
  <c r="GQ648" i="9"/>
  <c r="GR648" i="9" s="1"/>
  <c r="GS648" i="9" s="1"/>
  <c r="GT648" i="9" s="1"/>
  <c r="GU648" i="9" s="1"/>
  <c r="GV648" i="9" s="1"/>
  <c r="GD353" i="9"/>
  <c r="GE353" i="9" s="1"/>
  <c r="GF353" i="9" s="1"/>
  <c r="GG353" i="9" s="1"/>
  <c r="GQ503" i="9"/>
  <c r="GR503" i="9" s="1"/>
  <c r="GS503" i="9" s="1"/>
  <c r="GT503" i="9" s="1"/>
  <c r="GU503" i="9" s="1"/>
  <c r="GV503" i="9" s="1"/>
  <c r="GQ505" i="9"/>
  <c r="GR505" i="9" s="1"/>
  <c r="GS505" i="9" s="1"/>
  <c r="GT505" i="9" s="1"/>
  <c r="GU505" i="9" s="1"/>
  <c r="GV505" i="9" s="1"/>
  <c r="GD351" i="9"/>
  <c r="GE351" i="9" s="1"/>
  <c r="GF351" i="9" s="1"/>
  <c r="GG351" i="9" s="1"/>
  <c r="GH351" i="9" s="1"/>
  <c r="GI351" i="9" s="1"/>
  <c r="GQ351" i="9"/>
  <c r="GR351" i="9"/>
  <c r="GS351" i="9" s="1"/>
  <c r="GT351" i="9" s="1"/>
  <c r="GU351" i="9" s="1"/>
  <c r="GV351" i="9" s="1"/>
  <c r="GQ363" i="9"/>
  <c r="GR363" i="9" s="1"/>
  <c r="GS363" i="9" s="1"/>
  <c r="GT363" i="9" s="1"/>
  <c r="GU363" i="9" s="1"/>
  <c r="GV363" i="9" s="1"/>
  <c r="GQ366" i="9"/>
  <c r="GR366" i="9" s="1"/>
  <c r="GS366" i="9" s="1"/>
  <c r="GT366" i="9" s="1"/>
  <c r="GU366" i="9" s="1"/>
  <c r="GV366" i="9" s="1"/>
  <c r="GD366" i="9"/>
  <c r="GE366" i="9" s="1"/>
  <c r="GF366" i="9" s="1"/>
  <c r="GG366" i="9" s="1"/>
  <c r="GH366" i="9" s="1"/>
  <c r="GI366" i="9" s="1"/>
  <c r="GQ386" i="9"/>
  <c r="GR386" i="9" s="1"/>
  <c r="GS386" i="9" s="1"/>
  <c r="GT386" i="9" s="1"/>
  <c r="GU386" i="9" s="1"/>
  <c r="GV386" i="9" s="1"/>
  <c r="GQ393" i="9"/>
  <c r="GR393" i="9" s="1"/>
  <c r="GS393" i="9" s="1"/>
  <c r="GT393" i="9" s="1"/>
  <c r="GU393" i="9" s="1"/>
  <c r="GV393" i="9" s="1"/>
  <c r="GD371" i="9"/>
  <c r="GE371" i="9" s="1"/>
  <c r="GF371" i="9" s="1"/>
  <c r="GG371" i="9" s="1"/>
  <c r="GH371" i="9" s="1"/>
  <c r="GI371" i="9" s="1"/>
  <c r="GQ371" i="9"/>
  <c r="GR371" i="9" s="1"/>
  <c r="GS371" i="9" s="1"/>
  <c r="GT371" i="9" s="1"/>
  <c r="GU371" i="9" s="1"/>
  <c r="GV371" i="9" s="1"/>
  <c r="GQ333" i="9"/>
  <c r="GR333" i="9" s="1"/>
  <c r="GS333" i="9" s="1"/>
  <c r="GT333" i="9" s="1"/>
  <c r="GU333" i="9" s="1"/>
  <c r="GV333" i="9" s="1"/>
  <c r="GD333" i="9"/>
  <c r="GE333" i="9" s="1"/>
  <c r="GF333" i="9" s="1"/>
  <c r="GG333" i="9" s="1"/>
  <c r="GQ340" i="9"/>
  <c r="GR340" i="9" s="1"/>
  <c r="GS340" i="9" s="1"/>
  <c r="GT340" i="9" s="1"/>
  <c r="GU340" i="9" s="1"/>
  <c r="GV340" i="9" s="1"/>
  <c r="GD340" i="9"/>
  <c r="GE340" i="9" s="1"/>
  <c r="GF340" i="9" s="1"/>
  <c r="GG340" i="9" s="1"/>
  <c r="GH340" i="9" s="1"/>
  <c r="GI340" i="9" s="1"/>
  <c r="GQ324" i="9"/>
  <c r="GR324" i="9" s="1"/>
  <c r="GS324" i="9" s="1"/>
  <c r="GT324" i="9" s="1"/>
  <c r="GU324" i="9" s="1"/>
  <c r="GV324" i="9" s="1"/>
  <c r="GQ337" i="9"/>
  <c r="GR337" i="9" s="1"/>
  <c r="GS337" i="9" s="1"/>
  <c r="GT337" i="9" s="1"/>
  <c r="GU337" i="9" s="1"/>
  <c r="GV337" i="9" s="1"/>
  <c r="GQ343" i="9"/>
  <c r="GR343" i="9" s="1"/>
  <c r="GS343" i="9" s="1"/>
  <c r="GT343" i="9" s="1"/>
  <c r="GU343" i="9" s="1"/>
  <c r="GV343" i="9" s="1"/>
  <c r="GQ383" i="9"/>
  <c r="GR383" i="9" s="1"/>
  <c r="GS383" i="9" s="1"/>
  <c r="GT383" i="9" s="1"/>
  <c r="GU383" i="9" s="1"/>
  <c r="GV383" i="9" s="1"/>
  <c r="GQ347" i="9"/>
  <c r="GR347" i="9" s="1"/>
  <c r="GS347" i="9" s="1"/>
  <c r="GT347" i="9" s="1"/>
  <c r="GU347" i="9" s="1"/>
  <c r="GV347" i="9" s="1"/>
  <c r="GD347" i="9"/>
  <c r="GE347" i="9" s="1"/>
  <c r="GF347" i="9" s="1"/>
  <c r="GG347" i="9" s="1"/>
  <c r="GQ320" i="9"/>
  <c r="GR320" i="9" s="1"/>
  <c r="GS320" i="9" s="1"/>
  <c r="GT320" i="9" s="1"/>
  <c r="GU320" i="9" s="1"/>
  <c r="GV320" i="9" s="1"/>
  <c r="GQ307" i="9"/>
  <c r="GR307" i="9" s="1"/>
  <c r="GS307" i="9" s="1"/>
  <c r="GT307" i="9" s="1"/>
  <c r="GU307" i="9" s="1"/>
  <c r="GV307" i="9" s="1"/>
  <c r="GQ373" i="9"/>
  <c r="GR373" i="9" s="1"/>
  <c r="GS373" i="9" s="1"/>
  <c r="GT373" i="9" s="1"/>
  <c r="GU373" i="9" s="1"/>
  <c r="GV373" i="9" s="1"/>
  <c r="GD373" i="9"/>
  <c r="GE373" i="9" s="1"/>
  <c r="GF373" i="9" s="1"/>
  <c r="GG373" i="9" s="1"/>
  <c r="GR385" i="9"/>
  <c r="GS385" i="9" s="1"/>
  <c r="GT385" i="9" s="1"/>
  <c r="GU385" i="9" s="1"/>
  <c r="GV385" i="9" s="1"/>
  <c r="GQ385" i="9"/>
  <c r="GQ284" i="9"/>
  <c r="GR284" i="9" s="1"/>
  <c r="GS284" i="9" s="1"/>
  <c r="GT284" i="9" s="1"/>
  <c r="GU284" i="9" s="1"/>
  <c r="GV284" i="9" s="1"/>
  <c r="CT323" i="5"/>
  <c r="AU103" i="5"/>
  <c r="CT519" i="5"/>
  <c r="AV103" i="5"/>
  <c r="CT533" i="5"/>
  <c r="K31" i="11"/>
  <c r="CW190" i="10"/>
  <c r="DD187" i="10"/>
  <c r="DD412" i="10" s="1"/>
  <c r="DD347" i="10"/>
  <c r="CW350" i="10"/>
  <c r="CW349" i="10"/>
  <c r="DD346" i="10"/>
  <c r="CW227" i="10"/>
  <c r="DD224" i="10"/>
  <c r="CW346" i="10"/>
  <c r="DD343" i="10"/>
  <c r="CW166" i="10"/>
  <c r="DD163" i="10"/>
  <c r="DD388" i="10" s="1"/>
  <c r="CW136" i="10"/>
  <c r="DD133" i="10"/>
  <c r="DD358" i="10" s="1"/>
  <c r="DD91" i="10"/>
  <c r="CW94" i="10"/>
  <c r="BN148" i="3" a="1"/>
  <c r="BN148" i="3" s="1"/>
  <c r="BK148" i="3" s="1"/>
  <c r="GQ620" i="9"/>
  <c r="GR620" i="9" s="1"/>
  <c r="GS620" i="9" s="1"/>
  <c r="GT620" i="9" s="1"/>
  <c r="GU620" i="9" s="1"/>
  <c r="GV620" i="9" s="1"/>
  <c r="BE175" i="12"/>
  <c r="DG10" i="10"/>
  <c r="DG35" i="10" s="1"/>
  <c r="DG60" i="10" s="1"/>
  <c r="DG85" i="10" s="1"/>
  <c r="DG110" i="10" s="1"/>
  <c r="DG135" i="10" s="1"/>
  <c r="DG160" i="10" s="1"/>
  <c r="DG185" i="10" s="1"/>
  <c r="DG210" i="10" s="1"/>
  <c r="DG235" i="10" s="1"/>
  <c r="DG260" i="10" s="1"/>
  <c r="DG285" i="10" s="1"/>
  <c r="DG310" i="10" s="1"/>
  <c r="DG335" i="10" s="1"/>
  <c r="DG360" i="10" s="1"/>
  <c r="DG385" i="10" s="1"/>
  <c r="DG410" i="10" s="1"/>
  <c r="BE177" i="12"/>
  <c r="DG12" i="10"/>
  <c r="DG37" i="10"/>
  <c r="DG62" i="10" s="1"/>
  <c r="DG87" i="10" s="1"/>
  <c r="DG112" i="10" s="1"/>
  <c r="DG137" i="10" s="1"/>
  <c r="DG162" i="10" s="1"/>
  <c r="DG187" i="10" s="1"/>
  <c r="DG212" i="10" s="1"/>
  <c r="DG237" i="10" s="1"/>
  <c r="DG262" i="10" s="1"/>
  <c r="DG287" i="10" s="1"/>
  <c r="DG312" i="10" s="1"/>
  <c r="DG337" i="10" s="1"/>
  <c r="DG362" i="10" s="1"/>
  <c r="DG387" i="10" s="1"/>
  <c r="DG412" i="10" s="1"/>
  <c r="DG14" i="10"/>
  <c r="DG39" i="10" s="1"/>
  <c r="DG64" i="10" s="1"/>
  <c r="DG89" i="10" s="1"/>
  <c r="DG114" i="10" s="1"/>
  <c r="DG139" i="10" s="1"/>
  <c r="DG164" i="10" s="1"/>
  <c r="DG189" i="10" s="1"/>
  <c r="DG214" i="10" s="1"/>
  <c r="DG239" i="10" s="1"/>
  <c r="DG264" i="10" s="1"/>
  <c r="DG289" i="10" s="1"/>
  <c r="DG314" i="10" s="1"/>
  <c r="DG339" i="10" s="1"/>
  <c r="DG364" i="10" s="1"/>
  <c r="DG389" i="10" s="1"/>
  <c r="DG414" i="10" s="1"/>
  <c r="BE179" i="12"/>
  <c r="BE171" i="12"/>
  <c r="DG6" i="10"/>
  <c r="DG31" i="10"/>
  <c r="DG56" i="10" s="1"/>
  <c r="DG81" i="10" s="1"/>
  <c r="DG106" i="10" s="1"/>
  <c r="DG131" i="10" s="1"/>
  <c r="DG156" i="10" s="1"/>
  <c r="DG181" i="10" s="1"/>
  <c r="DG206" i="10" s="1"/>
  <c r="DG231" i="10" s="1"/>
  <c r="DG256" i="10" s="1"/>
  <c r="DG281" i="10" s="1"/>
  <c r="DG306" i="10" s="1"/>
  <c r="DG331" i="10" s="1"/>
  <c r="DG356" i="10" s="1"/>
  <c r="DG381" i="10" s="1"/>
  <c r="DG406" i="10" s="1"/>
  <c r="BE173" i="12"/>
  <c r="DG8" i="10"/>
  <c r="DG33" i="10" s="1"/>
  <c r="DG58" i="10" s="1"/>
  <c r="DG83" i="10" s="1"/>
  <c r="DG108" i="10" s="1"/>
  <c r="DG133" i="10" s="1"/>
  <c r="DG158" i="10" s="1"/>
  <c r="DG183" i="10" s="1"/>
  <c r="DG208" i="10" s="1"/>
  <c r="DG233" i="10" s="1"/>
  <c r="DG258" i="10" s="1"/>
  <c r="DG283" i="10" s="1"/>
  <c r="DG308" i="10" s="1"/>
  <c r="DG333" i="10" s="1"/>
  <c r="DG358" i="10" s="1"/>
  <c r="DG383" i="10" s="1"/>
  <c r="DG408" i="10" s="1"/>
  <c r="BC334" i="11"/>
  <c r="DH20" i="10"/>
  <c r="DH45" i="10"/>
  <c r="DH70" i="10" s="1"/>
  <c r="DH95" i="10" s="1"/>
  <c r="DH120" i="10" s="1"/>
  <c r="DH145" i="10" s="1"/>
  <c r="DH170" i="10" s="1"/>
  <c r="DH195" i="10" s="1"/>
  <c r="DH220" i="10" s="1"/>
  <c r="DH245" i="10" s="1"/>
  <c r="DH270" i="10" s="1"/>
  <c r="DH295" i="10" s="1"/>
  <c r="DH320" i="10" s="1"/>
  <c r="DH345" i="10" s="1"/>
  <c r="DH370" i="10" s="1"/>
  <c r="DH395" i="10" s="1"/>
  <c r="DH420" i="10" s="1"/>
  <c r="DG30" i="10"/>
  <c r="DG55" i="10" s="1"/>
  <c r="DG80" i="10" s="1"/>
  <c r="DG105" i="10" s="1"/>
  <c r="DG130" i="10" s="1"/>
  <c r="DG155" i="10" s="1"/>
  <c r="DG180" i="10" s="1"/>
  <c r="DG205" i="10" s="1"/>
  <c r="DG230" i="10" s="1"/>
  <c r="DG255" i="10" s="1"/>
  <c r="DG280" i="10" s="1"/>
  <c r="DG305" i="10" s="1"/>
  <c r="DG330" i="10" s="1"/>
  <c r="DG355" i="10" s="1"/>
  <c r="DG380" i="10" s="1"/>
  <c r="DG405" i="10" s="1"/>
  <c r="DG430" i="10" s="1"/>
  <c r="BE195" i="12"/>
  <c r="BE192" i="12"/>
  <c r="DG27" i="10"/>
  <c r="DG52" i="10"/>
  <c r="DG77" i="10" s="1"/>
  <c r="DG102" i="10" s="1"/>
  <c r="DG127" i="10" s="1"/>
  <c r="DG152" i="10" s="1"/>
  <c r="DG177" i="10" s="1"/>
  <c r="DG202" i="10" s="1"/>
  <c r="DG227" i="10" s="1"/>
  <c r="DG252" i="10" s="1"/>
  <c r="DG277" i="10" s="1"/>
  <c r="DG302" i="10" s="1"/>
  <c r="DG327" i="10" s="1"/>
  <c r="DG352" i="10" s="1"/>
  <c r="DG377" i="10" s="1"/>
  <c r="DG402" i="10" s="1"/>
  <c r="DG427" i="10" s="1"/>
  <c r="DG16" i="10"/>
  <c r="DG41" i="10" s="1"/>
  <c r="DG66" i="10" s="1"/>
  <c r="DG91" i="10" s="1"/>
  <c r="DG116" i="10" s="1"/>
  <c r="DG141" i="10" s="1"/>
  <c r="DG166" i="10" s="1"/>
  <c r="DG191" i="10" s="1"/>
  <c r="DG216" i="10" s="1"/>
  <c r="DG241" i="10" s="1"/>
  <c r="DG266" i="10" s="1"/>
  <c r="DG291" i="10" s="1"/>
  <c r="DG316" i="10" s="1"/>
  <c r="DG341" i="10" s="1"/>
  <c r="DG366" i="10" s="1"/>
  <c r="DG391" i="10" s="1"/>
  <c r="DG416" i="10" s="1"/>
  <c r="BE181" i="12"/>
  <c r="BE178" i="12"/>
  <c r="DG13" i="10"/>
  <c r="DG38" i="10"/>
  <c r="DG63" i="10" s="1"/>
  <c r="DG88" i="10" s="1"/>
  <c r="DG113" i="10" s="1"/>
  <c r="DG138" i="10" s="1"/>
  <c r="DG163" i="10" s="1"/>
  <c r="DG188" i="10" s="1"/>
  <c r="DG213" i="10" s="1"/>
  <c r="DG238" i="10" s="1"/>
  <c r="DG263" i="10" s="1"/>
  <c r="DG288" i="10" s="1"/>
  <c r="DG313" i="10" s="1"/>
  <c r="DG338" i="10" s="1"/>
  <c r="DG363" i="10" s="1"/>
  <c r="DG388" i="10" s="1"/>
  <c r="DG413" i="10" s="1"/>
  <c r="DG19" i="10"/>
  <c r="DG44" i="10" s="1"/>
  <c r="DG69" i="10" s="1"/>
  <c r="DG94" i="10" s="1"/>
  <c r="DG119" i="10" s="1"/>
  <c r="DG144" i="10" s="1"/>
  <c r="DG169" i="10" s="1"/>
  <c r="DG194" i="10" s="1"/>
  <c r="DG219" i="10" s="1"/>
  <c r="DG244" i="10" s="1"/>
  <c r="DG269" i="10" s="1"/>
  <c r="DG294" i="10" s="1"/>
  <c r="DG319" i="10" s="1"/>
  <c r="DG344" i="10" s="1"/>
  <c r="DG369" i="10" s="1"/>
  <c r="DG394" i="10" s="1"/>
  <c r="DG419" i="10" s="1"/>
  <c r="BE184" i="12"/>
  <c r="BE189" i="12"/>
  <c r="DG24" i="10"/>
  <c r="DG49" i="10"/>
  <c r="DG74" i="10" s="1"/>
  <c r="DG99" i="10" s="1"/>
  <c r="DG124" i="10" s="1"/>
  <c r="DG149" i="10" s="1"/>
  <c r="DG174" i="10" s="1"/>
  <c r="DG199" i="10" s="1"/>
  <c r="DG224" i="10" s="1"/>
  <c r="DG249" i="10" s="1"/>
  <c r="DG274" i="10" s="1"/>
  <c r="DG299" i="10" s="1"/>
  <c r="DG324" i="10" s="1"/>
  <c r="DG349" i="10" s="1"/>
  <c r="DG374" i="10" s="1"/>
  <c r="DG399" i="10" s="1"/>
  <c r="DG424" i="10" s="1"/>
  <c r="BE185" i="12"/>
  <c r="DG20" i="10"/>
  <c r="DG45" i="10"/>
  <c r="DG70" i="10" s="1"/>
  <c r="DG95" i="10" s="1"/>
  <c r="DG120" i="10" s="1"/>
  <c r="DG145" i="10" s="1"/>
  <c r="DG170" i="10" s="1"/>
  <c r="DG195" i="10" s="1"/>
  <c r="DG220" i="10" s="1"/>
  <c r="DG245" i="10" s="1"/>
  <c r="DG270" i="10" s="1"/>
  <c r="DG295" i="10" s="1"/>
  <c r="DG320" i="10" s="1"/>
  <c r="DG345" i="10" s="1"/>
  <c r="DG370" i="10" s="1"/>
  <c r="DG395" i="10" s="1"/>
  <c r="DG420" i="10" s="1"/>
  <c r="GH376" i="9"/>
  <c r="GI376" i="9" s="1"/>
  <c r="GQ629" i="9"/>
  <c r="GR629" i="9" s="1"/>
  <c r="GS629" i="9" s="1"/>
  <c r="GT629" i="9" s="1"/>
  <c r="GU629" i="9" s="1"/>
  <c r="GV629" i="9" s="1"/>
  <c r="GQ559" i="9"/>
  <c r="GR559" i="9" s="1"/>
  <c r="GS559" i="9" s="1"/>
  <c r="GT559" i="9" s="1"/>
  <c r="GU559" i="9" s="1"/>
  <c r="GV559" i="9" s="1"/>
  <c r="GQ628" i="9"/>
  <c r="GR628" i="9" s="1"/>
  <c r="GS628" i="9" s="1"/>
  <c r="GT628" i="9" s="1"/>
  <c r="GU628" i="9" s="1"/>
  <c r="GV628" i="9" s="1"/>
  <c r="GQ666" i="9"/>
  <c r="GR666" i="9" s="1"/>
  <c r="GS666" i="9" s="1"/>
  <c r="GT666" i="9" s="1"/>
  <c r="GU666" i="9" s="1"/>
  <c r="GV666" i="9" s="1"/>
  <c r="GQ680" i="9"/>
  <c r="GR680" i="9" s="1"/>
  <c r="GS680" i="9" s="1"/>
  <c r="GT680" i="9" s="1"/>
  <c r="GU680" i="9" s="1"/>
  <c r="GV680" i="9" s="1"/>
  <c r="GQ510" i="9"/>
  <c r="GR510" i="9" s="1"/>
  <c r="GS510" i="9" s="1"/>
  <c r="GT510" i="9" s="1"/>
  <c r="GU510" i="9" s="1"/>
  <c r="GV510" i="9" s="1"/>
  <c r="GQ616" i="9"/>
  <c r="GR616" i="9" s="1"/>
  <c r="GS616" i="9" s="1"/>
  <c r="GT616" i="9" s="1"/>
  <c r="GU616" i="9" s="1"/>
  <c r="GV616" i="9" s="1"/>
  <c r="GY652" i="9"/>
  <c r="GZ652" i="9" s="1"/>
  <c r="HH652" i="9" s="1"/>
  <c r="GQ562" i="9"/>
  <c r="GR562" i="9" s="1"/>
  <c r="GS562" i="9" s="1"/>
  <c r="GT562" i="9" s="1"/>
  <c r="GU562" i="9" s="1"/>
  <c r="GV562" i="9" s="1"/>
  <c r="GQ626" i="9"/>
  <c r="GR626" i="9" s="1"/>
  <c r="GS626" i="9" s="1"/>
  <c r="GT626" i="9" s="1"/>
  <c r="GU626" i="9" s="1"/>
  <c r="GV626" i="9" s="1"/>
  <c r="GQ617" i="9"/>
  <c r="GR617" i="9" s="1"/>
  <c r="GS617" i="9" s="1"/>
  <c r="GT617" i="9" s="1"/>
  <c r="GU617" i="9" s="1"/>
  <c r="GV617" i="9" s="1"/>
  <c r="GY674" i="9"/>
  <c r="GZ674" i="9" s="1"/>
  <c r="HH674" i="9" s="1"/>
  <c r="GQ622" i="9"/>
  <c r="GR622" i="9" s="1"/>
  <c r="GS622" i="9" s="1"/>
  <c r="GT622" i="9" s="1"/>
  <c r="GU622" i="9" s="1"/>
  <c r="GV622" i="9" s="1"/>
  <c r="GQ627" i="9"/>
  <c r="GR627" i="9" s="1"/>
  <c r="GS627" i="9" s="1"/>
  <c r="GT627" i="9" s="1"/>
  <c r="GU627" i="9" s="1"/>
  <c r="GV627" i="9" s="1"/>
  <c r="GQ517" i="9"/>
  <c r="GR517" i="9" s="1"/>
  <c r="GS517" i="9" s="1"/>
  <c r="GT517" i="9" s="1"/>
  <c r="GU517" i="9" s="1"/>
  <c r="GV517" i="9" s="1"/>
  <c r="GQ625" i="9"/>
  <c r="GR625" i="9" s="1"/>
  <c r="GS625" i="9" s="1"/>
  <c r="GT625" i="9" s="1"/>
  <c r="GU625" i="9" s="1"/>
  <c r="GV625" i="9" s="1"/>
  <c r="GQ634" i="9"/>
  <c r="GR634" i="9" s="1"/>
  <c r="GS634" i="9" s="1"/>
  <c r="GT634" i="9" s="1"/>
  <c r="GU634" i="9" s="1"/>
  <c r="GV634" i="9" s="1"/>
  <c r="GY659" i="9"/>
  <c r="GZ659" i="9" s="1"/>
  <c r="HH659" i="9" s="1"/>
  <c r="GY558" i="9"/>
  <c r="GZ558" i="9" s="1"/>
  <c r="HH558" i="9" s="1"/>
  <c r="CF558" i="9" s="1"/>
  <c r="GQ80" i="9"/>
  <c r="GR80" i="9" s="1"/>
  <c r="GS80" i="9" s="1"/>
  <c r="GT80" i="9" s="1"/>
  <c r="GU80" i="9" s="1"/>
  <c r="GV80" i="9" s="1"/>
  <c r="GQ69" i="9"/>
  <c r="GR69" i="9" s="1"/>
  <c r="GS69" i="9" s="1"/>
  <c r="GT69" i="9" s="1"/>
  <c r="GU69" i="9" s="1"/>
  <c r="GV69" i="9" s="1"/>
  <c r="GY552" i="9"/>
  <c r="GZ552" i="9" s="1"/>
  <c r="HH552" i="9" s="1"/>
  <c r="CF552" i="9" s="1"/>
  <c r="GY636" i="9"/>
  <c r="GZ636" i="9" s="1"/>
  <c r="HH636" i="9" s="1"/>
  <c r="GY640" i="9"/>
  <c r="GZ640" i="9" s="1"/>
  <c r="HH640" i="9" s="1"/>
  <c r="GQ686" i="9"/>
  <c r="GR686" i="9" s="1"/>
  <c r="GS686" i="9" s="1"/>
  <c r="GT686" i="9" s="1"/>
  <c r="GU686" i="9" s="1"/>
  <c r="GV686" i="9" s="1"/>
  <c r="GQ619" i="9"/>
  <c r="GR619" i="9" s="1"/>
  <c r="GS619" i="9" s="1"/>
  <c r="GT619" i="9" s="1"/>
  <c r="GU619" i="9" s="1"/>
  <c r="GV619" i="9" s="1"/>
  <c r="GQ632" i="9"/>
  <c r="GR632" i="9" s="1"/>
  <c r="GS632" i="9" s="1"/>
  <c r="GT632" i="9" s="1"/>
  <c r="GU632" i="9" s="1"/>
  <c r="GV632" i="9" s="1"/>
  <c r="GQ683" i="9"/>
  <c r="GR683" i="9" s="1"/>
  <c r="GS683" i="9" s="1"/>
  <c r="GT683" i="9" s="1"/>
  <c r="GU683" i="9" s="1"/>
  <c r="GV683" i="9" s="1"/>
  <c r="GQ646" i="9"/>
  <c r="GR646" i="9" s="1"/>
  <c r="GS646" i="9" s="1"/>
  <c r="GT646" i="9" s="1"/>
  <c r="GU646" i="9" s="1"/>
  <c r="GV646" i="9" s="1"/>
  <c r="GQ504" i="9"/>
  <c r="GR504" i="9"/>
  <c r="GS504" i="9"/>
  <c r="GT504" i="9" s="1"/>
  <c r="GU504" i="9" s="1"/>
  <c r="GV504" i="9" s="1"/>
  <c r="K38" i="11"/>
  <c r="BH30" i="11" s="1"/>
  <c r="K170" i="11"/>
  <c r="BG14" i="11"/>
  <c r="K172" i="11"/>
  <c r="BG16" i="11"/>
  <c r="K48" i="11"/>
  <c r="BH38" i="11"/>
  <c r="K122" i="11"/>
  <c r="BF16" i="11" s="1"/>
  <c r="BI60" i="11"/>
  <c r="K34" i="11"/>
  <c r="BH16" i="11"/>
  <c r="L20" i="11"/>
  <c r="BL14" i="11" s="1"/>
  <c r="BI61" i="11"/>
  <c r="K54" i="11"/>
  <c r="K204" i="11" s="1"/>
  <c r="BG44" i="11" s="1"/>
  <c r="BH11" i="11"/>
  <c r="Q74" i="11"/>
  <c r="R74" i="11"/>
  <c r="BM74" i="11" s="1"/>
  <c r="Q22" i="11"/>
  <c r="BH72" i="11" s="1"/>
  <c r="N165" i="11"/>
  <c r="BG51" i="11" s="1"/>
  <c r="K167" i="11"/>
  <c r="BG11" i="11" s="1"/>
  <c r="BI11" i="11"/>
  <c r="K43" i="11"/>
  <c r="K143" i="11"/>
  <c r="BF35" i="11" s="1"/>
  <c r="K173" i="11"/>
  <c r="BG17" i="11" s="1"/>
  <c r="O16" i="11"/>
  <c r="O166" i="11" s="1"/>
  <c r="BK52" i="11" s="1"/>
  <c r="Q65" i="11"/>
  <c r="T65" i="11"/>
  <c r="BI52" i="11"/>
  <c r="Q16" i="11"/>
  <c r="BH66" i="11" s="1"/>
  <c r="BH17" i="11"/>
  <c r="O65" i="11"/>
  <c r="BM51" i="11" s="1"/>
  <c r="K123" i="11"/>
  <c r="BF17" i="11"/>
  <c r="K176" i="11"/>
  <c r="BG20" i="11"/>
  <c r="Q23" i="11"/>
  <c r="Q123" i="11"/>
  <c r="BF73" i="11" s="1"/>
  <c r="L73" i="11"/>
  <c r="K126" i="11"/>
  <c r="BF20" i="11"/>
  <c r="BI9" i="11"/>
  <c r="L15" i="11"/>
  <c r="L47" i="11" s="1"/>
  <c r="L23" i="11"/>
  <c r="L55" i="11" s="1"/>
  <c r="O73" i="11"/>
  <c r="BM59" i="11" s="1"/>
  <c r="BI59" i="11"/>
  <c r="BI51" i="11"/>
  <c r="N175" i="11"/>
  <c r="BG61" i="11"/>
  <c r="K137" i="11"/>
  <c r="BF29" i="11" s="1"/>
  <c r="BH29" i="11"/>
  <c r="K187" i="11"/>
  <c r="BG29" i="11" s="1"/>
  <c r="CB176" i="9"/>
  <c r="CE176" i="9"/>
  <c r="CC176" i="9"/>
  <c r="T76" i="11"/>
  <c r="U76" i="11"/>
  <c r="BM90" i="11" s="1"/>
  <c r="BI76" i="11"/>
  <c r="CE151" i="9"/>
  <c r="CC151" i="9"/>
  <c r="CB151" i="9"/>
  <c r="CC146" i="9"/>
  <c r="CE146" i="9"/>
  <c r="CB146" i="9"/>
  <c r="CE189" i="9"/>
  <c r="CC189" i="9"/>
  <c r="CB189" i="9"/>
  <c r="CC190" i="9"/>
  <c r="CB190" i="9"/>
  <c r="CE190" i="9"/>
  <c r="CE187" i="9"/>
  <c r="CC187" i="9"/>
  <c r="CB187" i="9"/>
  <c r="DN623" i="9" a="1"/>
  <c r="DN623" i="9" s="1"/>
  <c r="DS777" i="5"/>
  <c r="DT194" i="5"/>
  <c r="DT425" i="5"/>
  <c r="DT650" i="5"/>
  <c r="DC46" i="12" a="1"/>
  <c r="DC46" i="12" s="1"/>
  <c r="DA21" i="12" a="1"/>
  <c r="DA21" i="12" s="1"/>
  <c r="CZ29" i="12" a="1"/>
  <c r="CZ29" i="12" s="1"/>
  <c r="DA14" i="12" a="1"/>
  <c r="DA14" i="12" s="1"/>
  <c r="CZ38" i="12" a="1"/>
  <c r="CZ38" i="12" s="1"/>
  <c r="CZ42" i="12" a="1"/>
  <c r="CZ42" i="12" s="1"/>
  <c r="DA37" i="12" a="1"/>
  <c r="DA37" i="12" s="1"/>
  <c r="DC15" i="12" a="1"/>
  <c r="DC15" i="12" s="1"/>
  <c r="DA42" i="12" a="1"/>
  <c r="DA42" i="12" s="1"/>
  <c r="DC25" i="12" a="1"/>
  <c r="DC25" i="12" s="1"/>
  <c r="DC31" i="12" a="1"/>
  <c r="DC31" i="12" s="1"/>
  <c r="O71" i="11"/>
  <c r="BM57" i="11"/>
  <c r="T66" i="11"/>
  <c r="BI80" i="11" s="1"/>
  <c r="BL18" i="12"/>
  <c r="K89" i="11"/>
  <c r="BI31" i="11" s="1"/>
  <c r="K53" i="11"/>
  <c r="K203" i="11"/>
  <c r="BG43" i="11" s="1"/>
  <c r="K97" i="11"/>
  <c r="K83" i="11"/>
  <c r="BI25" i="11"/>
  <c r="K101" i="11"/>
  <c r="BI41" i="11" s="1"/>
  <c r="K41" i="11"/>
  <c r="K191" i="11"/>
  <c r="BG33" i="11" s="1"/>
  <c r="AB124" i="3"/>
  <c r="BO166" i="3" s="1" a="1"/>
  <c r="BO166" i="3" s="1"/>
  <c r="BL166" i="3" s="1"/>
  <c r="BN166" i="3" a="1"/>
  <c r="BN166" i="3" s="1"/>
  <c r="BK166" i="3" s="1"/>
  <c r="CC135" i="9"/>
  <c r="CB135" i="9"/>
  <c r="CE135" i="9"/>
  <c r="CE191" i="9"/>
  <c r="CC191" i="9"/>
  <c r="CB191" i="9"/>
  <c r="CC145" i="9"/>
  <c r="CE145" i="9"/>
  <c r="CB145" i="9"/>
  <c r="CE139" i="9"/>
  <c r="CC139" i="9"/>
  <c r="CB139" i="9"/>
  <c r="CB165" i="9"/>
  <c r="CE165" i="9"/>
  <c r="CC165" i="9"/>
  <c r="CE172" i="9"/>
  <c r="CF172" i="9"/>
  <c r="CB172" i="9"/>
  <c r="CC172" i="9"/>
  <c r="DS499" i="5"/>
  <c r="DS666" i="5"/>
  <c r="DS773" i="5"/>
  <c r="DT204" i="5"/>
  <c r="DB14" i="12" a="1"/>
  <c r="DB14" i="12" s="1"/>
  <c r="DB45" i="12" a="1"/>
  <c r="DB45" i="12" s="1"/>
  <c r="DC38" i="12" a="1"/>
  <c r="DC38" i="12" s="1"/>
  <c r="DC22" i="12" a="1"/>
  <c r="DC22" i="12" s="1"/>
  <c r="CZ28" i="12" a="1"/>
  <c r="CZ28" i="12" s="1"/>
  <c r="CZ32" i="12" a="1"/>
  <c r="CZ32" i="12" s="1"/>
  <c r="CZ31" i="12" a="1"/>
  <c r="CZ31" i="12" s="1"/>
  <c r="DA29" i="12" a="1"/>
  <c r="DA29" i="12" s="1"/>
  <c r="BI62" i="11"/>
  <c r="K121" i="11"/>
  <c r="BF15" i="11"/>
  <c r="Y58" i="12"/>
  <c r="K102" i="11"/>
  <c r="BI42" i="11" s="1"/>
  <c r="K84" i="11"/>
  <c r="BI26" i="11"/>
  <c r="K35" i="11"/>
  <c r="BH27" i="11" s="1"/>
  <c r="K104" i="11"/>
  <c r="BI44" i="11"/>
  <c r="K42" i="11"/>
  <c r="BH34" i="11" s="1"/>
  <c r="K33" i="11"/>
  <c r="K183" i="11"/>
  <c r="BG25" i="11" s="1"/>
  <c r="AB122" i="3"/>
  <c r="BO164" i="3" s="1" a="1"/>
  <c r="BO164" i="3" s="1"/>
  <c r="BL164" i="3" s="1"/>
  <c r="BN164" i="3" a="1"/>
  <c r="BN164" i="3" s="1"/>
  <c r="BK164" i="3" s="1"/>
  <c r="R123" i="3"/>
  <c r="BO137" i="3" s="1" a="1"/>
  <c r="BO137" i="3" s="1"/>
  <c r="BL137" i="3" s="1"/>
  <c r="BN137" i="3" a="1"/>
  <c r="BN137" i="3" s="1"/>
  <c r="BK137" i="3" s="1"/>
  <c r="BN136" i="3" a="1"/>
  <c r="BN136" i="3" s="1"/>
  <c r="BK136" i="3" s="1"/>
  <c r="R122" i="3"/>
  <c r="BO136" i="3" s="1" a="1"/>
  <c r="BO136" i="3" s="1"/>
  <c r="BL136" i="3" s="1"/>
  <c r="CP50" i="12"/>
  <c r="CS50" i="12"/>
  <c r="CQ50" i="12"/>
  <c r="DJ126" i="5" s="1"/>
  <c r="CR50" i="12"/>
  <c r="Z57" i="12"/>
  <c r="Z60" i="12" s="1"/>
  <c r="R125" i="3"/>
  <c r="BO139" i="3" a="1"/>
  <c r="BO139" i="3" s="1"/>
  <c r="BL139" i="3" s="1"/>
  <c r="BN139" i="3" a="1"/>
  <c r="BN139" i="3" s="1"/>
  <c r="BK139" i="3" s="1"/>
  <c r="AB121" i="3"/>
  <c r="BO163" i="3" s="1" a="1"/>
  <c r="BO163" i="3" s="1"/>
  <c r="BL163" i="3" s="1"/>
  <c r="BN163" i="3" a="1"/>
  <c r="BN163" i="3" s="1"/>
  <c r="BK163" i="3" s="1"/>
  <c r="I387" i="9"/>
  <c r="I388" i="9" s="1"/>
  <c r="HK388" i="9" s="1"/>
  <c r="HK386" i="9"/>
  <c r="CE180" i="9"/>
  <c r="CC180" i="9"/>
  <c r="CB180" i="9"/>
  <c r="CE136" i="9"/>
  <c r="CB136" i="9"/>
  <c r="CC136" i="9"/>
  <c r="CB160" i="9"/>
  <c r="CE160" i="9"/>
  <c r="CC160" i="9"/>
  <c r="CC192" i="9"/>
  <c r="CB192" i="9"/>
  <c r="CE192" i="9"/>
  <c r="CC181" i="9"/>
  <c r="CB181" i="9"/>
  <c r="CE181" i="9"/>
  <c r="CE193" i="9"/>
  <c r="CB193" i="9"/>
  <c r="CC193" i="9"/>
  <c r="CE188" i="9"/>
  <c r="CB188" i="9"/>
  <c r="CC188" i="9"/>
  <c r="CC154" i="9"/>
  <c r="CB154" i="9"/>
  <c r="CE154" i="9"/>
  <c r="CE183" i="9"/>
  <c r="CC183" i="9"/>
  <c r="CB183" i="9"/>
  <c r="CB147" i="9"/>
  <c r="CE147" i="9"/>
  <c r="CC147" i="9"/>
  <c r="CB159" i="9"/>
  <c r="CE159" i="9"/>
  <c r="CC159" i="9"/>
  <c r="GQ655" i="9"/>
  <c r="GR655" i="9" s="1"/>
  <c r="GS655" i="9" s="1"/>
  <c r="GT655" i="9" s="1"/>
  <c r="GU655" i="9" s="1"/>
  <c r="GV655" i="9" s="1"/>
  <c r="DT565" i="5"/>
  <c r="DT734" i="5"/>
  <c r="DS16" i="5"/>
  <c r="DS286" i="5"/>
  <c r="DA15" i="12" a="1"/>
  <c r="DA15" i="12" s="1"/>
  <c r="DA31" i="12" a="1"/>
  <c r="DA31" i="12" s="1"/>
  <c r="CZ26" i="12" a="1"/>
  <c r="CZ26" i="12" s="1"/>
  <c r="DC14" i="12" a="1"/>
  <c r="DC14" i="12" s="1"/>
  <c r="CZ15" i="12" a="1"/>
  <c r="CZ15" i="12" s="1"/>
  <c r="CZ48" i="12" a="1"/>
  <c r="CZ48" i="12" s="1"/>
  <c r="DB38" i="12" a="1"/>
  <c r="DB38" i="12" s="1"/>
  <c r="DB26" i="12" a="1"/>
  <c r="DB26" i="12" s="1"/>
  <c r="DA25" i="12" a="1"/>
  <c r="DA25" i="12" s="1"/>
  <c r="DC29" i="12" a="1"/>
  <c r="DC29" i="12" s="1"/>
  <c r="BH56" i="11"/>
  <c r="K92" i="11"/>
  <c r="BI34" i="11" s="1"/>
  <c r="K56" i="11"/>
  <c r="K36" i="11"/>
  <c r="K136" i="11"/>
  <c r="BF28" i="11" s="1"/>
  <c r="K55" i="11"/>
  <c r="K93" i="11"/>
  <c r="BI35" i="11" s="1"/>
  <c r="BN165" i="3" a="1"/>
  <c r="BN165" i="3" s="1"/>
  <c r="BK165" i="3" s="1"/>
  <c r="AB123" i="3"/>
  <c r="BO165" i="3" s="1" a="1"/>
  <c r="BO165" i="3" s="1"/>
  <c r="BL165" i="3" s="1"/>
  <c r="BN167" i="3" a="1"/>
  <c r="BN167" i="3" s="1"/>
  <c r="BK167" i="3" s="1"/>
  <c r="AB125" i="3"/>
  <c r="BO167" i="3" s="1" a="1"/>
  <c r="BO167" i="3" s="1"/>
  <c r="BL167" i="3" s="1"/>
  <c r="R119" i="3"/>
  <c r="BO133" i="3" s="1" a="1"/>
  <c r="BO133" i="3" s="1"/>
  <c r="BL133" i="3" s="1"/>
  <c r="BN133" i="3" a="1"/>
  <c r="BN133" i="3" s="1"/>
  <c r="BK133" i="3" s="1"/>
  <c r="BN120" i="3" a="1"/>
  <c r="BN120" i="3" s="1"/>
  <c r="BK120" i="3" s="1"/>
  <c r="M120" i="3"/>
  <c r="BO120" i="3" a="1"/>
  <c r="BO120" i="3" s="1"/>
  <c r="BL120" i="3" s="1"/>
  <c r="CW284" i="10"/>
  <c r="DD281" i="10"/>
  <c r="CC153" i="9"/>
  <c r="CB153" i="9"/>
  <c r="CE153" i="9"/>
  <c r="CB175" i="9"/>
  <c r="CC175" i="9"/>
  <c r="CF175" i="9"/>
  <c r="CE144" i="9"/>
  <c r="CB144" i="9"/>
  <c r="CC144" i="9"/>
  <c r="CE156" i="9"/>
  <c r="CB156" i="9"/>
  <c r="CC156" i="9"/>
  <c r="CE150" i="9"/>
  <c r="CB150" i="9"/>
  <c r="CC150" i="9"/>
  <c r="DS762" i="5"/>
  <c r="DT111" i="5"/>
  <c r="DT259" i="5"/>
  <c r="DT536" i="5"/>
  <c r="DT764" i="5"/>
  <c r="DB46" i="12" a="1"/>
  <c r="DB46" i="12" s="1"/>
  <c r="DA46" i="12" a="1"/>
  <c r="DA46" i="12" s="1"/>
  <c r="CZ25" i="12" a="1"/>
  <c r="CZ25" i="12" s="1"/>
  <c r="DC41" i="12" a="1"/>
  <c r="DC41" i="12" s="1"/>
  <c r="DB48" i="12" a="1"/>
  <c r="DB48" i="12" s="1"/>
  <c r="DB37" i="12" a="1"/>
  <c r="DB37" i="12" s="1"/>
  <c r="DA41" i="12" a="1"/>
  <c r="DA41" i="12" s="1"/>
  <c r="DB28" i="12" a="1"/>
  <c r="DB28" i="12" s="1"/>
  <c r="DC47" i="12" a="1"/>
  <c r="DC47" i="12" s="1"/>
  <c r="DB19" i="12" a="1"/>
  <c r="DB19" i="12" s="1"/>
  <c r="DC19" i="12" s="1"/>
  <c r="CZ22" i="12" a="1"/>
  <c r="CZ22" i="12" s="1"/>
  <c r="DT14" i="5"/>
  <c r="N120" i="11"/>
  <c r="BF56" i="11" s="1"/>
  <c r="K87" i="11"/>
  <c r="BI29" i="11" s="1"/>
  <c r="K82" i="11"/>
  <c r="BI24" i="11" s="1"/>
  <c r="BN153" i="3" a="1"/>
  <c r="BN153" i="3" s="1"/>
  <c r="BK153" i="3" s="1"/>
  <c r="W125" i="3"/>
  <c r="BO153" i="3" s="1" a="1"/>
  <c r="BO153" i="3" s="1"/>
  <c r="BL153" i="3" s="1"/>
  <c r="M126" i="3"/>
  <c r="BO126" i="3" s="1" a="1"/>
  <c r="BO126" i="3" s="1"/>
  <c r="BL126" i="3" s="1"/>
  <c r="BN126" i="3" a="1"/>
  <c r="BN126" i="3" s="1"/>
  <c r="BK126" i="3" s="1"/>
  <c r="M124" i="3"/>
  <c r="BO124" i="3" s="1" a="1"/>
  <c r="BO124" i="3" s="1"/>
  <c r="BL124" i="3" s="1"/>
  <c r="BN124" i="3" a="1"/>
  <c r="BN124" i="3" s="1"/>
  <c r="BK124" i="3" s="1"/>
  <c r="CB143" i="9"/>
  <c r="CE143" i="9"/>
  <c r="CC143" i="9"/>
  <c r="CE137" i="9"/>
  <c r="CB137" i="9"/>
  <c r="CC137" i="9"/>
  <c r="CB167" i="9"/>
  <c r="CE167" i="9"/>
  <c r="CC167" i="9"/>
  <c r="CC184" i="9"/>
  <c r="CB184" i="9"/>
  <c r="CE184" i="9"/>
  <c r="CE168" i="9"/>
  <c r="CB168" i="9"/>
  <c r="CC168" i="9"/>
  <c r="DO663" i="9" a="1"/>
  <c r="DO663" i="9" s="1"/>
  <c r="DP663" i="9" s="1"/>
  <c r="DL663" i="9" s="1" a="1"/>
  <c r="DL663" i="9" s="1"/>
  <c r="DS388" i="5"/>
  <c r="DS585" i="5"/>
  <c r="DS758" i="5"/>
  <c r="DT81" i="5"/>
  <c r="DT404" i="5"/>
  <c r="DB15" i="12" a="1"/>
  <c r="DB15" i="12" s="1"/>
  <c r="DA47" i="12" a="1"/>
  <c r="DA47" i="12" s="1"/>
  <c r="DB25" i="12" a="1"/>
  <c r="DB25" i="12" s="1"/>
  <c r="DB41" i="12" a="1"/>
  <c r="DB41" i="12" s="1"/>
  <c r="DB32" i="12" a="1"/>
  <c r="DB32" i="12" s="1"/>
  <c r="DB29" i="12" a="1"/>
  <c r="DB29" i="12" s="1"/>
  <c r="DB22" i="12" a="1"/>
  <c r="DB22" i="12" s="1"/>
  <c r="DA45" i="12" a="1"/>
  <c r="DA45" i="12" s="1"/>
  <c r="CZ44" i="12" a="1"/>
  <c r="CZ44" i="12" s="1"/>
  <c r="BI57" i="11"/>
  <c r="BA47" i="12"/>
  <c r="D44" i="12"/>
  <c r="D43" i="12"/>
  <c r="AI74" i="12"/>
  <c r="K90" i="11"/>
  <c r="BI32" i="11" s="1"/>
  <c r="K47" i="11"/>
  <c r="BH37" i="11"/>
  <c r="K49" i="11"/>
  <c r="K199" i="11" s="1"/>
  <c r="BG39" i="11" s="1"/>
  <c r="W124" i="3"/>
  <c r="BO152" i="3" s="1" a="1"/>
  <c r="BO152" i="3" s="1"/>
  <c r="BL152" i="3" s="1"/>
  <c r="BN152" i="3" a="1"/>
  <c r="BN152" i="3" s="1"/>
  <c r="BK152" i="3" s="1"/>
  <c r="W122" i="3"/>
  <c r="BO150" i="3" s="1" a="1"/>
  <c r="BO150" i="3" s="1"/>
  <c r="BL150" i="3" s="1"/>
  <c r="BN150" i="3" a="1"/>
  <c r="BN150" i="3" s="1"/>
  <c r="BK150" i="3" s="1"/>
  <c r="CB173" i="9"/>
  <c r="CE173" i="9"/>
  <c r="CC173" i="9"/>
  <c r="CC142" i="9"/>
  <c r="CE142" i="9"/>
  <c r="CB142" i="9"/>
  <c r="CE161" i="9"/>
  <c r="DT771" i="5"/>
  <c r="DS155" i="5"/>
  <c r="DS357" i="5"/>
  <c r="DS595" i="5"/>
  <c r="CZ47" i="12" a="1"/>
  <c r="CZ47" i="12" s="1"/>
  <c r="DC42" i="12" a="1"/>
  <c r="DC42" i="12" s="1"/>
  <c r="DA22" i="12" a="1"/>
  <c r="DA22" i="12" s="1"/>
  <c r="DA32" i="12" a="1"/>
  <c r="DA32" i="12" s="1"/>
  <c r="DA48" i="12" a="1"/>
  <c r="DA48" i="12" s="1"/>
  <c r="DC48" i="12" a="1"/>
  <c r="DC48" i="12" s="1"/>
  <c r="DB31" i="12" a="1"/>
  <c r="DB31" i="12" s="1"/>
  <c r="DB42" i="12" a="1"/>
  <c r="DB42" i="12" s="1"/>
  <c r="Q26" i="11"/>
  <c r="Q126" i="11" s="1"/>
  <c r="BF76" i="11" s="1"/>
  <c r="K105" i="11"/>
  <c r="BI45" i="11" s="1"/>
  <c r="K107" i="11"/>
  <c r="BI47" i="11" s="1"/>
  <c r="BN122" i="3" a="1"/>
  <c r="BN122" i="3" s="1"/>
  <c r="BK122" i="3" s="1"/>
  <c r="M122" i="3"/>
  <c r="BO122" i="3" s="1" a="1"/>
  <c r="BO122" i="3" s="1"/>
  <c r="BL122" i="3" s="1"/>
  <c r="BN134" i="3" a="1"/>
  <c r="BN134" i="3" s="1"/>
  <c r="BK134" i="3" s="1"/>
  <c r="R120" i="3"/>
  <c r="BO134" i="3" s="1" a="1"/>
  <c r="BO134" i="3" s="1"/>
  <c r="BL134" i="3" s="1"/>
  <c r="BN125" i="3" a="1"/>
  <c r="BN125" i="3" s="1"/>
  <c r="BK125" i="3" s="1"/>
  <c r="M125" i="3"/>
  <c r="BO125" i="3" s="1" a="1"/>
  <c r="BO125" i="3" s="1"/>
  <c r="BL125" i="3" s="1"/>
  <c r="CB169" i="9"/>
  <c r="CE169" i="9"/>
  <c r="CC169" i="9"/>
  <c r="CB158" i="9"/>
  <c r="CE158" i="9"/>
  <c r="CC158" i="9"/>
  <c r="CE138" i="9"/>
  <c r="CC138" i="9"/>
  <c r="CB138" i="9"/>
  <c r="CE163" i="9"/>
  <c r="CC163" i="9"/>
  <c r="CB163" i="9"/>
  <c r="GQ410" i="9"/>
  <c r="GR410" i="9" s="1"/>
  <c r="GS410" i="9" s="1"/>
  <c r="GT410" i="9" s="1"/>
  <c r="GU410" i="9" s="1"/>
  <c r="GV410" i="9" s="1"/>
  <c r="DT454" i="5"/>
  <c r="DT612" i="5"/>
  <c r="DT767" i="5"/>
  <c r="DC21" i="12" a="1"/>
  <c r="DC21" i="12" s="1"/>
  <c r="DB47" i="12" a="1"/>
  <c r="DB47" i="12" s="1"/>
  <c r="DC28" i="12" a="1"/>
  <c r="DC28" i="12" s="1"/>
  <c r="DA28" i="12" a="1"/>
  <c r="DA28" i="12" s="1"/>
  <c r="DA44" i="12" a="1"/>
  <c r="DA44" i="12" s="1"/>
  <c r="DA26" i="12" a="1"/>
  <c r="DA26" i="12" s="1"/>
  <c r="DB44" i="12" a="1"/>
  <c r="DB44" i="12" s="1"/>
  <c r="DB21" i="12" a="1"/>
  <c r="DB21" i="12" s="1"/>
  <c r="CZ14" i="12" a="1"/>
  <c r="CZ14" i="12" s="1"/>
  <c r="O76" i="11"/>
  <c r="BM62" i="11" s="1"/>
  <c r="O20" i="11"/>
  <c r="BL56" i="11" s="1"/>
  <c r="Z85" i="12"/>
  <c r="BM16" i="12" s="1"/>
  <c r="R126" i="3"/>
  <c r="BO140" i="3" s="1" a="1"/>
  <c r="BO140" i="3" s="1"/>
  <c r="BL140" i="3" s="1"/>
  <c r="BN140" i="3" a="1"/>
  <c r="BN140" i="3" s="1"/>
  <c r="BK140" i="3" s="1"/>
  <c r="K190" i="11"/>
  <c r="BG32" i="11"/>
  <c r="BH51" i="11"/>
  <c r="Q72" i="11"/>
  <c r="BI72" i="11" s="1"/>
  <c r="K165" i="11"/>
  <c r="BG9" i="11"/>
  <c r="BH31" i="11"/>
  <c r="BH33" i="11"/>
  <c r="Q25" i="11"/>
  <c r="BH9" i="11"/>
  <c r="L53" i="11"/>
  <c r="L203" i="11" s="1"/>
  <c r="BK43" i="11" s="1"/>
  <c r="K141" i="11"/>
  <c r="BF33" i="11" s="1"/>
  <c r="Q21" i="11"/>
  <c r="Q121" i="11" s="1"/>
  <c r="BF71" i="11" s="1"/>
  <c r="K189" i="11"/>
  <c r="BG31" i="11"/>
  <c r="L165" i="11"/>
  <c r="BK9" i="11" s="1"/>
  <c r="K168" i="11"/>
  <c r="BG12" i="11"/>
  <c r="K118" i="11"/>
  <c r="BF12" i="11" s="1"/>
  <c r="BH12" i="11"/>
  <c r="L18" i="11"/>
  <c r="O72" i="11"/>
  <c r="BM58" i="11" s="1"/>
  <c r="BH62" i="11"/>
  <c r="BH69" i="11"/>
  <c r="BH54" i="11"/>
  <c r="L66" i="11"/>
  <c r="L98" i="11" s="1"/>
  <c r="BM38" i="11" s="1"/>
  <c r="BH52" i="11"/>
  <c r="BH18" i="11"/>
  <c r="L170" i="11"/>
  <c r="BK14" i="11" s="1"/>
  <c r="Q70" i="11"/>
  <c r="T70" i="11" s="1"/>
  <c r="BH57" i="11"/>
  <c r="BI64" i="11"/>
  <c r="O25" i="11"/>
  <c r="BL61" i="11" s="1"/>
  <c r="Q27" i="11"/>
  <c r="Q127" i="11" s="1"/>
  <c r="BF77" i="11" s="1"/>
  <c r="BH20" i="11"/>
  <c r="BH32" i="11"/>
  <c r="K169" i="11"/>
  <c r="BG13" i="11"/>
  <c r="Q77" i="11"/>
  <c r="T27" i="11"/>
  <c r="T127" i="11" s="1"/>
  <c r="BF91" i="11" s="1"/>
  <c r="BH64" i="11"/>
  <c r="Q20" i="11"/>
  <c r="O67" i="11"/>
  <c r="BM53" i="11" s="1"/>
  <c r="BI53" i="11"/>
  <c r="N172" i="11"/>
  <c r="BG58" i="11" s="1"/>
  <c r="N122" i="11"/>
  <c r="BF58" i="11"/>
  <c r="BH58" i="11"/>
  <c r="O22" i="11"/>
  <c r="K132" i="11"/>
  <c r="BF24" i="11" s="1"/>
  <c r="K182" i="11"/>
  <c r="BG24" i="11" s="1"/>
  <c r="BH24" i="11"/>
  <c r="K127" i="11"/>
  <c r="BF21" i="11" s="1"/>
  <c r="BH21" i="11"/>
  <c r="L27" i="11"/>
  <c r="K177" i="11"/>
  <c r="BG21" i="11"/>
  <c r="N174" i="11"/>
  <c r="BG60" i="11" s="1"/>
  <c r="BH60" i="11"/>
  <c r="N124" i="11"/>
  <c r="BF60" i="11" s="1"/>
  <c r="O24" i="11"/>
  <c r="BI54" i="11"/>
  <c r="O68" i="11"/>
  <c r="BM54" i="11" s="1"/>
  <c r="BH13" i="11"/>
  <c r="K116" i="11"/>
  <c r="BF10" i="11" s="1"/>
  <c r="K166" i="11"/>
  <c r="BG10" i="11" s="1"/>
  <c r="L16" i="11"/>
  <c r="BH10" i="11"/>
  <c r="Q69" i="11"/>
  <c r="R69" i="11" s="1"/>
  <c r="BM69" i="11" s="1"/>
  <c r="BC324" i="11"/>
  <c r="N126" i="11"/>
  <c r="BF62" i="11"/>
  <c r="BH61" i="11"/>
  <c r="T26" i="11"/>
  <c r="BH90" i="11" s="1"/>
  <c r="BG64" i="11"/>
  <c r="BH23" i="11"/>
  <c r="K131" i="11"/>
  <c r="BF23" i="11" s="1"/>
  <c r="K181" i="11"/>
  <c r="BG23" i="11" s="1"/>
  <c r="O23" i="11"/>
  <c r="BH59" i="11"/>
  <c r="N123" i="11"/>
  <c r="BF59" i="11" s="1"/>
  <c r="N173" i="11"/>
  <c r="BG59" i="11" s="1"/>
  <c r="O18" i="11"/>
  <c r="O118" i="11" s="1"/>
  <c r="BJ54" i="11" s="1"/>
  <c r="N116" i="11"/>
  <c r="BF52" i="11"/>
  <c r="K124" i="11"/>
  <c r="BF18" i="11"/>
  <c r="O15" i="11"/>
  <c r="O115" i="11"/>
  <c r="BJ51" i="11" s="1"/>
  <c r="K119" i="11"/>
  <c r="BF13" i="11" s="1"/>
  <c r="L26" i="11"/>
  <c r="L58" i="11" s="1"/>
  <c r="BB325" i="11"/>
  <c r="DH11" i="10"/>
  <c r="DH36" i="10" s="1"/>
  <c r="DH61" i="10" s="1"/>
  <c r="DH86" i="10" s="1"/>
  <c r="DH111" i="10" s="1"/>
  <c r="DH136" i="10" s="1"/>
  <c r="DH161" i="10" s="1"/>
  <c r="DH186" i="10" s="1"/>
  <c r="DH211" i="10" s="1"/>
  <c r="DH236" i="10" s="1"/>
  <c r="DH261" i="10" s="1"/>
  <c r="DH286" i="10" s="1"/>
  <c r="DH311" i="10" s="1"/>
  <c r="DH336" i="10" s="1"/>
  <c r="DH361" i="10" s="1"/>
  <c r="DH386" i="10" s="1"/>
  <c r="DH411" i="10" s="1"/>
  <c r="K120" i="11"/>
  <c r="BF14" i="11"/>
  <c r="BH14" i="11"/>
  <c r="N118" i="11"/>
  <c r="BF54" i="11" s="1"/>
  <c r="Q169" i="11"/>
  <c r="BG69" i="11" s="1"/>
  <c r="N121" i="11"/>
  <c r="BF57" i="11" s="1"/>
  <c r="O26" i="11"/>
  <c r="Q18" i="11"/>
  <c r="Q168" i="11" s="1"/>
  <c r="BG68" i="11" s="1"/>
  <c r="O70" i="11"/>
  <c r="BM56" i="11" s="1"/>
  <c r="K125" i="11"/>
  <c r="BF19" i="11"/>
  <c r="K175" i="11"/>
  <c r="BG19" i="11"/>
  <c r="L25" i="11"/>
  <c r="BH19" i="11"/>
  <c r="Z29" i="12"/>
  <c r="BM37" i="12" s="1"/>
  <c r="BM39" i="12" s="1"/>
  <c r="GQ644" i="9"/>
  <c r="GR644" i="9" s="1"/>
  <c r="GS644" i="9" s="1"/>
  <c r="GT644" i="9" s="1"/>
  <c r="GU644" i="9" s="1"/>
  <c r="GV644" i="9" s="1"/>
  <c r="GY440" i="9"/>
  <c r="GZ440" i="9"/>
  <c r="HH440" i="9" s="1"/>
  <c r="CF440" i="9" s="1"/>
  <c r="GQ558" i="9"/>
  <c r="GR558" i="9" s="1"/>
  <c r="GS558" i="9" s="1"/>
  <c r="GT558" i="9" s="1"/>
  <c r="GU558" i="9" s="1"/>
  <c r="GV558" i="9" s="1"/>
  <c r="GY49" i="9"/>
  <c r="GZ49" i="9" s="1"/>
  <c r="HH49" i="9" s="1"/>
  <c r="CF49" i="9" s="1"/>
  <c r="GQ549" i="9"/>
  <c r="DK623" i="9" a="1"/>
  <c r="DK623" i="9" s="1"/>
  <c r="CG623" i="9" s="1"/>
  <c r="GQ438" i="9"/>
  <c r="GR438" i="9" s="1"/>
  <c r="GS438" i="9" s="1"/>
  <c r="GT438" i="9" s="1"/>
  <c r="GU438" i="9" s="1"/>
  <c r="GV438" i="9" s="1"/>
  <c r="GY557" i="9"/>
  <c r="GZ557" i="9" s="1"/>
  <c r="HH557" i="9" s="1"/>
  <c r="CF557" i="9" s="1"/>
  <c r="GQ531" i="9"/>
  <c r="GR531" i="9" s="1"/>
  <c r="GS531" i="9" s="1"/>
  <c r="GT531" i="9" s="1"/>
  <c r="GU531" i="9" s="1"/>
  <c r="GV531" i="9" s="1"/>
  <c r="GQ426" i="9"/>
  <c r="GR426" i="9" s="1"/>
  <c r="GS426" i="9" s="1"/>
  <c r="GT426" i="9" s="1"/>
  <c r="GU426" i="9" s="1"/>
  <c r="GV426" i="9" s="1"/>
  <c r="T166" i="11"/>
  <c r="BG80" i="11" s="1"/>
  <c r="T116" i="11"/>
  <c r="BF80" i="11"/>
  <c r="BH80" i="11"/>
  <c r="U16" i="11"/>
  <c r="BL80" i="11"/>
  <c r="BL18" i="11"/>
  <c r="BH77" i="11"/>
  <c r="O117" i="11"/>
  <c r="BJ53" i="11" s="1"/>
  <c r="L120" i="11"/>
  <c r="BJ14" i="11" s="1"/>
  <c r="L36" i="11"/>
  <c r="BI23" i="11"/>
  <c r="BL15" i="11"/>
  <c r="BI10" i="11"/>
  <c r="R76" i="11"/>
  <c r="BM76" i="11" s="1"/>
  <c r="BL53" i="11"/>
  <c r="T77" i="11"/>
  <c r="U77" i="11" s="1"/>
  <c r="BM91" i="11" s="1"/>
  <c r="BI37" i="11"/>
  <c r="R19" i="11"/>
  <c r="R169" i="11" s="1"/>
  <c r="BK69" i="11" s="1"/>
  <c r="L52" i="11"/>
  <c r="BL42" i="11" s="1"/>
  <c r="L65" i="11"/>
  <c r="BM9" i="11" s="1"/>
  <c r="K197" i="11"/>
  <c r="BG37" i="11" s="1"/>
  <c r="K147" i="11"/>
  <c r="BF37" i="11" s="1"/>
  <c r="Q167" i="11"/>
  <c r="BG67" i="11" s="1"/>
  <c r="R17" i="11"/>
  <c r="Q117" i="11"/>
  <c r="BF67" i="11"/>
  <c r="BH67" i="11"/>
  <c r="L77" i="11"/>
  <c r="BI21" i="11"/>
  <c r="BI49" i="11"/>
  <c r="BI67" i="11"/>
  <c r="R67" i="11"/>
  <c r="BM67" i="11" s="1"/>
  <c r="K151" i="11"/>
  <c r="BF41" i="11" s="1"/>
  <c r="L69" i="11"/>
  <c r="BI27" i="11"/>
  <c r="BI13" i="11"/>
  <c r="T67" i="11"/>
  <c r="U66" i="11"/>
  <c r="BM80" i="11" s="1"/>
  <c r="R66" i="11"/>
  <c r="BM66" i="11" s="1"/>
  <c r="BI66" i="11"/>
  <c r="L71" i="11"/>
  <c r="BI15" i="11"/>
  <c r="L68" i="11"/>
  <c r="BI12" i="11"/>
  <c r="BI40" i="11"/>
  <c r="BI20" i="11"/>
  <c r="BI28" i="11"/>
  <c r="BI14" i="11"/>
  <c r="L70" i="11"/>
  <c r="BI16" i="11"/>
  <c r="BI30" i="11"/>
  <c r="L72" i="11"/>
  <c r="T69" i="11"/>
  <c r="U69" i="11" s="1"/>
  <c r="BM83" i="11" s="1"/>
  <c r="L75" i="11"/>
  <c r="BI19" i="11"/>
  <c r="O171" i="11"/>
  <c r="BK57" i="11" s="1"/>
  <c r="O121" i="11"/>
  <c r="BJ57" i="11" s="1"/>
  <c r="BL57" i="11"/>
  <c r="L76" i="11"/>
  <c r="L92" i="11" s="1"/>
  <c r="BM34" i="11" s="1"/>
  <c r="L171" i="11"/>
  <c r="BK15" i="11" s="1"/>
  <c r="L121" i="11"/>
  <c r="BJ15" i="11" s="1"/>
  <c r="BI39" i="11"/>
  <c r="L67" i="11"/>
  <c r="L74" i="11"/>
  <c r="BI18" i="11"/>
  <c r="BI46" i="11"/>
  <c r="R77" i="11"/>
  <c r="BM77" i="11" s="1"/>
  <c r="K154" i="11"/>
  <c r="BF44" i="11"/>
  <c r="BH44" i="11"/>
  <c r="L119" i="11"/>
  <c r="BJ13" i="11" s="1"/>
  <c r="L35" i="11"/>
  <c r="L169" i="11"/>
  <c r="BK13" i="11" s="1"/>
  <c r="BL13" i="11"/>
  <c r="L51" i="11"/>
  <c r="L89" i="11"/>
  <c r="BM31" i="11"/>
  <c r="BM17" i="11"/>
  <c r="L105" i="11"/>
  <c r="BM45" i="11" s="1"/>
  <c r="L167" i="11"/>
  <c r="BK11" i="11" s="1"/>
  <c r="L117" i="11"/>
  <c r="BJ11" i="11" s="1"/>
  <c r="L33" i="11"/>
  <c r="L49" i="11"/>
  <c r="BL11" i="11"/>
  <c r="K205" i="11"/>
  <c r="BG45" i="11" s="1"/>
  <c r="BH45" i="11"/>
  <c r="K155" i="11"/>
  <c r="BF45" i="11" s="1"/>
  <c r="BI90" i="11"/>
  <c r="BM10" i="11"/>
  <c r="L82" i="11"/>
  <c r="BM24" i="11" s="1"/>
  <c r="O168" i="11"/>
  <c r="BK54" i="11" s="1"/>
  <c r="GQ664" i="9"/>
  <c r="GR664" i="9"/>
  <c r="GS664" i="9" s="1"/>
  <c r="GT664" i="9" s="1"/>
  <c r="GU664" i="9" s="1"/>
  <c r="GV664" i="9" s="1"/>
  <c r="GQ672" i="9"/>
  <c r="GR672" i="9" s="1"/>
  <c r="GS672" i="9" s="1"/>
  <c r="GT672" i="9" s="1"/>
  <c r="GU672" i="9" s="1"/>
  <c r="GV672" i="9" s="1"/>
  <c r="GQ436" i="9"/>
  <c r="GR436" i="9" s="1"/>
  <c r="GS436" i="9" s="1"/>
  <c r="GT436" i="9" s="1"/>
  <c r="GU436" i="9" s="1"/>
  <c r="GV436" i="9" s="1"/>
  <c r="GQ654" i="9"/>
  <c r="GR654" i="9" s="1"/>
  <c r="GS654" i="9" s="1"/>
  <c r="GT654" i="9" s="1"/>
  <c r="GU654" i="9" s="1"/>
  <c r="GV654" i="9" s="1"/>
  <c r="GQ441" i="9"/>
  <c r="GR441" i="9" s="1"/>
  <c r="GS441" i="9" s="1"/>
  <c r="GT441" i="9" s="1"/>
  <c r="GU441" i="9" s="1"/>
  <c r="GV441" i="9" s="1"/>
  <c r="GQ447" i="9"/>
  <c r="GR447" i="9" s="1"/>
  <c r="GS447" i="9" s="1"/>
  <c r="GT447" i="9" s="1"/>
  <c r="GU447" i="9" s="1"/>
  <c r="GV447" i="9" s="1"/>
  <c r="GQ669" i="9"/>
  <c r="GR669" i="9" s="1"/>
  <c r="GS669" i="9" s="1"/>
  <c r="GT669" i="9" s="1"/>
  <c r="GU669" i="9" s="1"/>
  <c r="GV669" i="9" s="1"/>
  <c r="GQ570" i="9"/>
  <c r="GR570" i="9" s="1"/>
  <c r="GS570" i="9" s="1"/>
  <c r="GT570" i="9" s="1"/>
  <c r="GU570" i="9" s="1"/>
  <c r="GV570" i="9" s="1"/>
  <c r="GQ420" i="9"/>
  <c r="GR420" i="9" s="1"/>
  <c r="GS420" i="9" s="1"/>
  <c r="GT420" i="9" s="1"/>
  <c r="GU420" i="9" s="1"/>
  <c r="GV420" i="9" s="1"/>
  <c r="GQ521" i="9"/>
  <c r="GR521" i="9" s="1"/>
  <c r="GS521" i="9" s="1"/>
  <c r="GT521" i="9" s="1"/>
  <c r="GU521" i="9" s="1"/>
  <c r="GV521" i="9" s="1"/>
  <c r="GQ550" i="9"/>
  <c r="GR550" i="9" s="1"/>
  <c r="GS550" i="9" s="1"/>
  <c r="GT550" i="9" s="1"/>
  <c r="GU550" i="9" s="1"/>
  <c r="GV550" i="9" s="1"/>
  <c r="GQ418" i="9"/>
  <c r="GR418" i="9" s="1"/>
  <c r="GS418" i="9" s="1"/>
  <c r="GT418" i="9" s="1"/>
  <c r="GU418" i="9" s="1"/>
  <c r="GV418" i="9" s="1"/>
  <c r="GQ566" i="9"/>
  <c r="GR566" i="9" s="1"/>
  <c r="GS566" i="9" s="1"/>
  <c r="GT566" i="9" s="1"/>
  <c r="GU566" i="9" s="1"/>
  <c r="GV566" i="9" s="1"/>
  <c r="GQ547" i="9"/>
  <c r="GR547" i="9"/>
  <c r="GS547" i="9" s="1"/>
  <c r="GT547" i="9" s="1"/>
  <c r="GU547" i="9" s="1"/>
  <c r="GV547" i="9" s="1"/>
  <c r="BA12" i="12"/>
  <c r="BA11" i="12"/>
  <c r="BC337" i="11"/>
  <c r="DH23" i="10"/>
  <c r="DH48" i="10" s="1"/>
  <c r="DH73" i="10" s="1"/>
  <c r="DH98" i="10" s="1"/>
  <c r="DH123" i="10" s="1"/>
  <c r="DH148" i="10" s="1"/>
  <c r="DH173" i="10" s="1"/>
  <c r="DH198" i="10" s="1"/>
  <c r="DH223" i="10" s="1"/>
  <c r="DH248" i="10" s="1"/>
  <c r="DH273" i="10" s="1"/>
  <c r="DH298" i="10" s="1"/>
  <c r="DH323" i="10" s="1"/>
  <c r="DH348" i="10" s="1"/>
  <c r="DH373" i="10" s="1"/>
  <c r="DH398" i="10" s="1"/>
  <c r="DH423" i="10" s="1"/>
  <c r="GY566" i="9"/>
  <c r="GZ566" i="9" s="1"/>
  <c r="HH566" i="9" s="1"/>
  <c r="CF566" i="9" s="1"/>
  <c r="GY436" i="9"/>
  <c r="GZ436" i="9" s="1"/>
  <c r="HH436" i="9" s="1"/>
  <c r="CF436" i="9" s="1"/>
  <c r="DS747" i="5"/>
  <c r="DS279" i="5"/>
  <c r="DT763" i="5"/>
  <c r="DT394" i="5"/>
  <c r="DS769" i="5"/>
  <c r="DS441" i="5"/>
  <c r="DT778" i="5"/>
  <c r="DT505" i="5"/>
  <c r="DT52" i="5"/>
  <c r="DS552" i="5"/>
  <c r="DS95" i="5"/>
  <c r="DT589" i="5"/>
  <c r="DT163" i="5"/>
  <c r="DS603" i="5"/>
  <c r="DS190" i="5"/>
  <c r="DT673" i="5"/>
  <c r="DT212" i="5"/>
  <c r="DS718" i="5"/>
  <c r="DS255" i="5"/>
  <c r="DT759" i="5"/>
  <c r="DT367" i="5"/>
  <c r="DS765" i="5"/>
  <c r="DS410" i="5"/>
  <c r="DT774" i="5"/>
  <c r="DT478" i="5"/>
  <c r="DT30" i="5"/>
  <c r="DS577" i="5"/>
  <c r="DS126" i="5"/>
  <c r="DT599" i="5"/>
  <c r="DT186" i="5"/>
  <c r="DS697" i="5"/>
  <c r="DS224" i="5"/>
  <c r="DT756" i="5"/>
  <c r="DT313" i="5"/>
  <c r="GQ662" i="9"/>
  <c r="GR662" i="9" s="1"/>
  <c r="GS662" i="9" s="1"/>
  <c r="GT662" i="9" s="1"/>
  <c r="GU662" i="9" s="1"/>
  <c r="GV662" i="9" s="1"/>
  <c r="GQ431" i="9"/>
  <c r="GR431" i="9" s="1"/>
  <c r="GS431" i="9" s="1"/>
  <c r="GT431" i="9" s="1"/>
  <c r="GU431" i="9" s="1"/>
  <c r="GV431" i="9" s="1"/>
  <c r="GQ647" i="9"/>
  <c r="GR647" i="9" s="1"/>
  <c r="GS647" i="9" s="1"/>
  <c r="GT647" i="9" s="1"/>
  <c r="GU647" i="9" s="1"/>
  <c r="GV647" i="9" s="1"/>
  <c r="GQ412" i="9"/>
  <c r="GR412" i="9" s="1"/>
  <c r="GS412" i="9" s="1"/>
  <c r="GT412" i="9" s="1"/>
  <c r="GU412" i="9" s="1"/>
  <c r="GV412" i="9" s="1"/>
  <c r="GQ444" i="9"/>
  <c r="GR444" i="9" s="1"/>
  <c r="GS444" i="9" s="1"/>
  <c r="GT444" i="9" s="1"/>
  <c r="GU444" i="9" s="1"/>
  <c r="GV444" i="9" s="1"/>
  <c r="GQ546" i="9"/>
  <c r="GR546" i="9" s="1"/>
  <c r="GS546" i="9" s="1"/>
  <c r="GT546" i="9" s="1"/>
  <c r="GU546" i="9" s="1"/>
  <c r="GV546" i="9" s="1"/>
  <c r="GQ413" i="9"/>
  <c r="GR413" i="9" s="1"/>
  <c r="GS413" i="9" s="1"/>
  <c r="GT413" i="9" s="1"/>
  <c r="GU413" i="9" s="1"/>
  <c r="GV413" i="9" s="1"/>
  <c r="GQ529" i="9"/>
  <c r="GR529" i="9"/>
  <c r="GS529" i="9" s="1"/>
  <c r="GT529" i="9" s="1"/>
  <c r="GU529" i="9" s="1"/>
  <c r="GV529" i="9" s="1"/>
  <c r="GQ649" i="9"/>
  <c r="GR649" i="9" s="1"/>
  <c r="GS649" i="9" s="1"/>
  <c r="GT649" i="9" s="1"/>
  <c r="GU649" i="9" s="1"/>
  <c r="GV649" i="9" s="1"/>
  <c r="GQ421" i="9"/>
  <c r="GR421" i="9" s="1"/>
  <c r="GS421" i="9" s="1"/>
  <c r="GT421" i="9" s="1"/>
  <c r="GU421" i="9" s="1"/>
  <c r="GV421" i="9" s="1"/>
  <c r="CZ16" i="12" a="1"/>
  <c r="CZ16" i="12" s="1"/>
  <c r="CZ17" i="12" a="1"/>
  <c r="CZ17" i="12" s="1"/>
  <c r="CZ18" i="12" a="1"/>
  <c r="CZ18" i="12" s="1"/>
  <c r="BE180" i="12"/>
  <c r="DG15" i="10"/>
  <c r="DG40" i="10"/>
  <c r="DG65" i="10" s="1"/>
  <c r="DG90" i="10" s="1"/>
  <c r="DG115" i="10" s="1"/>
  <c r="DG140" i="10" s="1"/>
  <c r="DG165" i="10" s="1"/>
  <c r="DG190" i="10" s="1"/>
  <c r="DG215" i="10" s="1"/>
  <c r="DG240" i="10" s="1"/>
  <c r="DG265" i="10" s="1"/>
  <c r="DG290" i="10" s="1"/>
  <c r="DG315" i="10" s="1"/>
  <c r="DG340" i="10" s="1"/>
  <c r="DG365" i="10" s="1"/>
  <c r="DG390" i="10" s="1"/>
  <c r="DG415" i="10" s="1"/>
  <c r="GY544" i="9"/>
  <c r="GZ544" i="9" s="1"/>
  <c r="HH544" i="9" s="1"/>
  <c r="CF544" i="9" s="1"/>
  <c r="GY410" i="9"/>
  <c r="GZ410" i="9" s="1"/>
  <c r="HH410" i="9" s="1"/>
  <c r="CF410" i="9" s="1"/>
  <c r="GY672" i="9"/>
  <c r="GZ672" i="9" s="1"/>
  <c r="HH672" i="9" s="1"/>
  <c r="GY441" i="9"/>
  <c r="GZ441" i="9"/>
  <c r="HH441" i="9" s="1"/>
  <c r="CF441" i="9" s="1"/>
  <c r="DS687" i="5"/>
  <c r="DS221" i="5"/>
  <c r="DT755" i="5"/>
  <c r="DT286" i="5"/>
  <c r="DS761" i="5"/>
  <c r="DS380" i="5"/>
  <c r="DT770" i="5"/>
  <c r="DT447" i="5"/>
  <c r="DS776" i="5"/>
  <c r="DS491" i="5"/>
  <c r="DS34" i="5"/>
  <c r="DT558" i="5"/>
  <c r="DT105" i="5"/>
  <c r="DS583" i="5"/>
  <c r="DS148" i="5"/>
  <c r="DT606" i="5"/>
  <c r="DT192" i="5"/>
  <c r="DS660" i="5"/>
  <c r="DS208" i="5"/>
  <c r="DT724" i="5"/>
  <c r="DT257" i="5"/>
  <c r="DS757" i="5"/>
  <c r="DS351" i="5"/>
  <c r="DT766" i="5"/>
  <c r="DT417" i="5"/>
  <c r="DS11" i="5"/>
  <c r="DS521" i="5"/>
  <c r="DS68" i="5"/>
  <c r="DT579" i="5"/>
  <c r="DT132" i="5"/>
  <c r="DS618" i="5"/>
  <c r="DS200" i="5"/>
  <c r="DT703" i="5"/>
  <c r="DT227" i="5"/>
  <c r="GQ643" i="9"/>
  <c r="GR643" i="9"/>
  <c r="GS643" i="9" s="1"/>
  <c r="GT643" i="9" s="1"/>
  <c r="GU643" i="9" s="1"/>
  <c r="GV643" i="9" s="1"/>
  <c r="GQ639" i="9"/>
  <c r="GR639" i="9" s="1"/>
  <c r="GS639" i="9" s="1"/>
  <c r="GT639" i="9" s="1"/>
  <c r="GU639" i="9" s="1"/>
  <c r="GV639" i="9" s="1"/>
  <c r="GQ425" i="9"/>
  <c r="GR425" i="9" s="1"/>
  <c r="GS425" i="9" s="1"/>
  <c r="GT425" i="9" s="1"/>
  <c r="GU425" i="9" s="1"/>
  <c r="GV425" i="9" s="1"/>
  <c r="GQ635" i="9"/>
  <c r="GR635" i="9" s="1"/>
  <c r="GS635" i="9" s="1"/>
  <c r="GT635" i="9" s="1"/>
  <c r="GU635" i="9" s="1"/>
  <c r="GV635" i="9" s="1"/>
  <c r="GQ409" i="9"/>
  <c r="GR409" i="9" s="1"/>
  <c r="GS409" i="9" s="1"/>
  <c r="GT409" i="9" s="1"/>
  <c r="GU409" i="9" s="1"/>
  <c r="GV409" i="9" s="1"/>
  <c r="GQ430" i="9"/>
  <c r="GR430" i="9"/>
  <c r="GS430" i="9" s="1"/>
  <c r="GT430" i="9" s="1"/>
  <c r="GU430" i="9" s="1"/>
  <c r="GV430" i="9" s="1"/>
  <c r="GR519" i="9"/>
  <c r="GS519" i="9" s="1"/>
  <c r="GT519" i="9" s="1"/>
  <c r="GU519" i="9" s="1"/>
  <c r="GV519" i="9" s="1"/>
  <c r="GQ519" i="9"/>
  <c r="GQ539" i="9"/>
  <c r="GR539" i="9" s="1"/>
  <c r="GS539" i="9" s="1"/>
  <c r="GT539" i="9" s="1"/>
  <c r="GU539" i="9" s="1"/>
  <c r="GV539" i="9" s="1"/>
  <c r="GQ429" i="9"/>
  <c r="GR429" i="9" s="1"/>
  <c r="GS429" i="9" s="1"/>
  <c r="GT429" i="9" s="1"/>
  <c r="GU429" i="9" s="1"/>
  <c r="GV429" i="9" s="1"/>
  <c r="GQ532" i="9"/>
  <c r="GR532" i="9" s="1"/>
  <c r="GS532" i="9" s="1"/>
  <c r="GT532" i="9" s="1"/>
  <c r="GU532" i="9" s="1"/>
  <c r="GV532" i="9" s="1"/>
  <c r="GQ650" i="9"/>
  <c r="GR650" i="9" s="1"/>
  <c r="GS650" i="9" s="1"/>
  <c r="GT650" i="9" s="1"/>
  <c r="GU650" i="9" s="1"/>
  <c r="GV650" i="9" s="1"/>
  <c r="GQ518" i="9"/>
  <c r="GR518" i="9" s="1"/>
  <c r="GS518" i="9" s="1"/>
  <c r="GT518" i="9" s="1"/>
  <c r="GU518" i="9" s="1"/>
  <c r="GV518" i="9" s="1"/>
  <c r="GQ678" i="9"/>
  <c r="GR678" i="9" s="1"/>
  <c r="GS678" i="9" s="1"/>
  <c r="GT678" i="9" s="1"/>
  <c r="GU678" i="9" s="1"/>
  <c r="GV678" i="9" s="1"/>
  <c r="DN162" i="5"/>
  <c r="DN715" i="5"/>
  <c r="DN701" i="5"/>
  <c r="DN618" i="5"/>
  <c r="DN752" i="5"/>
  <c r="DN422" i="5"/>
  <c r="DN519" i="5"/>
  <c r="DN81" i="5"/>
  <c r="DN123" i="5"/>
  <c r="DN371" i="5"/>
  <c r="DN286" i="5"/>
  <c r="DN259" i="5"/>
  <c r="DN72" i="5"/>
  <c r="DN202" i="5"/>
  <c r="DN29" i="5"/>
  <c r="DN632" i="5"/>
  <c r="DN39" i="5"/>
  <c r="DN710" i="5"/>
  <c r="DN608" i="5"/>
  <c r="DN583" i="5"/>
  <c r="DN528" i="5"/>
  <c r="DN257" i="5"/>
  <c r="DN451" i="5"/>
  <c r="DN51" i="5"/>
  <c r="DN49" i="5"/>
  <c r="DN307" i="5"/>
  <c r="DN227" i="5"/>
  <c r="DN255" i="5"/>
  <c r="DN505" i="5"/>
  <c r="DN194" i="5"/>
  <c r="DN478" i="5"/>
  <c r="DN738" i="5"/>
  <c r="DN585" i="5"/>
  <c r="DN570" i="5"/>
  <c r="DN394" i="5"/>
  <c r="DN219" i="5"/>
  <c r="DN380" i="5"/>
  <c r="DN454" i="5"/>
  <c r="DN606" i="5"/>
  <c r="DN178" i="5"/>
  <c r="DN166" i="5"/>
  <c r="DN542" i="5"/>
  <c r="DN367" i="5"/>
  <c r="DN163" i="5"/>
  <c r="DN160" i="5"/>
  <c r="DN30" i="5"/>
  <c r="DN697" i="5"/>
  <c r="DN650" i="5"/>
  <c r="DN687" i="5"/>
  <c r="DN357" i="5"/>
  <c r="DN181" i="5"/>
  <c r="DN279" i="5"/>
  <c r="DN441" i="5"/>
  <c r="DN496" i="5"/>
  <c r="DN146" i="5"/>
  <c r="DN32" i="5"/>
  <c r="DN533" i="5"/>
  <c r="DN272" i="5"/>
  <c r="DN565" i="5"/>
  <c r="DN11" i="5"/>
  <c r="DN678" i="5"/>
  <c r="DN724" i="5"/>
  <c r="DN660" i="5"/>
  <c r="DN249" i="5"/>
  <c r="DN155" i="5"/>
  <c r="DN274" i="5"/>
  <c r="DN404" i="5"/>
  <c r="DN491" i="5"/>
  <c r="DN88" i="5"/>
  <c r="DN217" i="5"/>
  <c r="DN312" i="5"/>
  <c r="DN228" i="5"/>
  <c r="DN468" i="5"/>
  <c r="DN348" i="5"/>
  <c r="DN673" i="5"/>
  <c r="DN664" i="5"/>
  <c r="DN643" i="5"/>
  <c r="DN515" i="5"/>
  <c r="DN593" i="5"/>
  <c r="DN640" i="5"/>
  <c r="DN642" i="5"/>
  <c r="DN459" i="5"/>
  <c r="DN26" i="5"/>
  <c r="DN734" i="5"/>
  <c r="DN192" i="5"/>
  <c r="DN68" i="5"/>
  <c r="DN86" i="5"/>
  <c r="DN341" i="5"/>
  <c r="DN521" i="5"/>
  <c r="DN410" i="5"/>
  <c r="DN377" i="5"/>
  <c r="DN74" i="5"/>
  <c r="DN36" i="5"/>
  <c r="DN152" i="5"/>
  <c r="DN79" i="5"/>
  <c r="DN354" i="5"/>
  <c r="DN324" i="5"/>
  <c r="DN326" i="5"/>
  <c r="DN241" i="5"/>
  <c r="DN550" i="5"/>
  <c r="DN472" i="5"/>
  <c r="DN69" i="5"/>
  <c r="DN15" i="5"/>
  <c r="DN587" i="5"/>
  <c r="DN95" i="5"/>
  <c r="DN14" i="5"/>
  <c r="DN142" i="5"/>
  <c r="DN345" i="5"/>
  <c r="DN447" i="5"/>
  <c r="DN610" i="5"/>
  <c r="DN535" i="5"/>
  <c r="DN703" i="5"/>
  <c r="DN414" i="5"/>
  <c r="DN670" i="5"/>
  <c r="DN420" i="5"/>
  <c r="DN161" i="5"/>
  <c r="DN208" i="5"/>
  <c r="DN218" i="5"/>
  <c r="DN127" i="5"/>
  <c r="DN638" i="5"/>
  <c r="DN313" i="5"/>
  <c r="DN552" i="5"/>
  <c r="DN132" i="5"/>
  <c r="DN346" i="5"/>
  <c r="DN461" i="5"/>
  <c r="DN212" i="5"/>
  <c r="DN525" i="5"/>
  <c r="DN78" i="5"/>
  <c r="DN503" i="5"/>
  <c r="DN391" i="5"/>
  <c r="DN270" i="5"/>
  <c r="DN80" i="5"/>
  <c r="DN233" i="5"/>
  <c r="DN658" i="5"/>
  <c r="DN415" i="5"/>
  <c r="DN235" i="5"/>
  <c r="DN120" i="5"/>
  <c r="DN619" i="5"/>
  <c r="DN252" i="5"/>
  <c r="DN196" i="5"/>
  <c r="DN445" i="5"/>
  <c r="DN347" i="5"/>
  <c r="DN488" i="5"/>
  <c r="DN597" i="5"/>
  <c r="DN666" i="5"/>
  <c r="DN148" i="5"/>
  <c r="DN572" i="5"/>
  <c r="DN405" i="5"/>
  <c r="DN245" i="5"/>
  <c r="DN103" i="5"/>
  <c r="DN470" i="5"/>
  <c r="DN285" i="5"/>
  <c r="DN407" i="5"/>
  <c r="DN431" i="5"/>
  <c r="DN215" i="5"/>
  <c r="DN34" i="5"/>
  <c r="DN385" i="5"/>
  <c r="DN344" i="5"/>
  <c r="DN350" i="5"/>
  <c r="DN680" i="5"/>
  <c r="DN387" i="5"/>
  <c r="DN424" i="5"/>
  <c r="DN168" i="5"/>
  <c r="DN707" i="5"/>
  <c r="DN639" i="5"/>
  <c r="DN306" i="5"/>
  <c r="DN725" i="5"/>
  <c r="DN502" i="5"/>
  <c r="DN239" i="5"/>
  <c r="DN332" i="5"/>
  <c r="DN544" i="5"/>
  <c r="DN620" i="5"/>
  <c r="DN52" i="5"/>
  <c r="DN107" i="5"/>
  <c r="DN360" i="5"/>
  <c r="DN58" i="5"/>
  <c r="DN482" i="5"/>
  <c r="DN556" i="5"/>
  <c r="DN251" i="5"/>
  <c r="DN349" i="5"/>
  <c r="DN343" i="5"/>
  <c r="DN204" i="5"/>
  <c r="DN484" i="5"/>
  <c r="DN373" i="5"/>
  <c r="DN16" i="5"/>
  <c r="DN717" i="5"/>
  <c r="DN541" i="5"/>
  <c r="DN342" i="5"/>
  <c r="DN199" i="5"/>
  <c r="DN268" i="5"/>
  <c r="DN165" i="5"/>
  <c r="DN269" i="5"/>
  <c r="DN430" i="5"/>
  <c r="DN538" i="5"/>
  <c r="DN151" i="5"/>
  <c r="DN138" i="5"/>
  <c r="DN288" i="5"/>
  <c r="DN747" i="5"/>
  <c r="DN417" i="5"/>
  <c r="DN118" i="5"/>
  <c r="DN105" i="5"/>
  <c r="DN744" i="5"/>
  <c r="DN603" i="5"/>
  <c r="DN754" i="5"/>
  <c r="DN111" i="5"/>
  <c r="DN558" i="5"/>
  <c r="DN206" i="5"/>
  <c r="DN87" i="5"/>
  <c r="DN56" i="5"/>
  <c r="DN711" i="5"/>
  <c r="DN334" i="5"/>
  <c r="DN351" i="5"/>
  <c r="DN246" i="5"/>
  <c r="DN62" i="5"/>
  <c r="DN689" i="5"/>
  <c r="DN330" i="5"/>
  <c r="DN109" i="5"/>
  <c r="DN135" i="5"/>
  <c r="DN498" i="5"/>
  <c r="DN690" i="5"/>
  <c r="DN567" i="5"/>
  <c r="DN732" i="5"/>
  <c r="DN93" i="5"/>
  <c r="DN191" i="5"/>
  <c r="DN382" i="5"/>
  <c r="DN188" i="5"/>
  <c r="DN626" i="5"/>
  <c r="DN559" i="5"/>
  <c r="DN622" i="5"/>
  <c r="DN150" i="5"/>
  <c r="DN721" i="5"/>
  <c r="DN378" i="5"/>
  <c r="DN504" i="5"/>
  <c r="DN83" i="5"/>
  <c r="DN145" i="5"/>
  <c r="DN176" i="5"/>
  <c r="DN743" i="5"/>
  <c r="DN623" i="5"/>
  <c r="DN76" i="5"/>
  <c r="DN524" i="5"/>
  <c r="DN63" i="5"/>
  <c r="DN171" i="5"/>
  <c r="DN85" i="5"/>
  <c r="DN560" i="5"/>
  <c r="DN553" i="5"/>
  <c r="DN577" i="5"/>
  <c r="DN681" i="5"/>
  <c r="DN741" i="5"/>
  <c r="DN396" i="5"/>
  <c r="DN21" i="5"/>
  <c r="DN222" i="5"/>
  <c r="DN24" i="5"/>
  <c r="DN170" i="5"/>
  <c r="DN45" i="5"/>
  <c r="DN265" i="5"/>
  <c r="DN685" i="5"/>
  <c r="DN226" i="5"/>
  <c r="DN128" i="5"/>
  <c r="DN648" i="5"/>
  <c r="DN317" i="5"/>
  <c r="DN612" i="5"/>
  <c r="DN494" i="5"/>
  <c r="DN571" i="5"/>
  <c r="DN73" i="5"/>
  <c r="DN726" i="5"/>
  <c r="DN714" i="5"/>
  <c r="DN509" i="5"/>
  <c r="DN190" i="5"/>
  <c r="DN460" i="5"/>
  <c r="DN291" i="5"/>
  <c r="DN331" i="5"/>
  <c r="DN164" i="5"/>
  <c r="DN739" i="5"/>
  <c r="DN691" i="5"/>
  <c r="DN193" i="5"/>
  <c r="DN574" i="5"/>
  <c r="DN438" i="5"/>
  <c r="DN495" i="5"/>
  <c r="DN439" i="5"/>
  <c r="DN295" i="5"/>
  <c r="DN633" i="5"/>
  <c r="DN94" i="5"/>
  <c r="DN442" i="5"/>
  <c r="DN20" i="5"/>
  <c r="DN604" i="5"/>
  <c r="DN704" i="5"/>
  <c r="DN273" i="5"/>
  <c r="DN236" i="5"/>
  <c r="DN106" i="5"/>
  <c r="DN77" i="5"/>
  <c r="DN546" i="5"/>
  <c r="DN304" i="5"/>
  <c r="DN224" i="5"/>
  <c r="DN210" i="5"/>
  <c r="DN586" i="5"/>
  <c r="DN668" i="5"/>
  <c r="DN110" i="5"/>
  <c r="DN248" i="5"/>
  <c r="DN98" i="5"/>
  <c r="DN216" i="5"/>
  <c r="DN133" i="5"/>
  <c r="DN40" i="5"/>
  <c r="DN96" i="5"/>
  <c r="DN579" i="5"/>
  <c r="DN749" i="5"/>
  <c r="DN742" i="5"/>
  <c r="DN594" i="5"/>
  <c r="DN141" i="5"/>
  <c r="DN321" i="5"/>
  <c r="DN209" i="5"/>
  <c r="DN207" i="5"/>
  <c r="DN277" i="5"/>
  <c r="DN333" i="5"/>
  <c r="DN602" i="5"/>
  <c r="DN397" i="5"/>
  <c r="DN293" i="5"/>
  <c r="DN28" i="5"/>
  <c r="DN455" i="5"/>
  <c r="DN730" i="5"/>
  <c r="DN531" i="5"/>
  <c r="DN82" i="5"/>
  <c r="DN119" i="5"/>
  <c r="DN716" i="5"/>
  <c r="DN750" i="5"/>
  <c r="DN50" i="5"/>
  <c r="DN243" i="5"/>
  <c r="DN90" i="5"/>
  <c r="DN314" i="5"/>
  <c r="DN372" i="5"/>
  <c r="DN198" i="5"/>
  <c r="DN590" i="5"/>
  <c r="DN125" i="5"/>
  <c r="DN700" i="5"/>
  <c r="DN221" i="5"/>
  <c r="DN297" i="5"/>
  <c r="DN108" i="5"/>
  <c r="DN362" i="5"/>
  <c r="DN31" i="5"/>
  <c r="DN615" i="5"/>
  <c r="DN234" i="5"/>
  <c r="DN555" i="5"/>
  <c r="DN55" i="5"/>
  <c r="DN625" i="5"/>
  <c r="DN737" i="5"/>
  <c r="DN428" i="5"/>
  <c r="DN449" i="5"/>
  <c r="DN486" i="5"/>
  <c r="DN213" i="5"/>
  <c r="DN694" i="5"/>
  <c r="DN328" i="5"/>
  <c r="DN322" i="5"/>
  <c r="DN364" i="5"/>
  <c r="DN636" i="5"/>
  <c r="DN709" i="5"/>
  <c r="DN156" i="5"/>
  <c r="DN384" i="5"/>
  <c r="DN144" i="5"/>
  <c r="DN284" i="5"/>
  <c r="DN201" i="5"/>
  <c r="DN61" i="5"/>
  <c r="DN179" i="5"/>
  <c r="DN609" i="5"/>
  <c r="DN596" i="5"/>
  <c r="DN481" i="5"/>
  <c r="DN67" i="5"/>
  <c r="DN361" i="5"/>
  <c r="DN250" i="5"/>
  <c r="DN254" i="5"/>
  <c r="DN463" i="5"/>
  <c r="DN510" i="5"/>
  <c r="DN718" i="5"/>
  <c r="DN551" i="5"/>
  <c r="DN309" i="5"/>
  <c r="DN44" i="5"/>
  <c r="DN647" i="5"/>
  <c r="DN27" i="5"/>
  <c r="DN43" i="5"/>
  <c r="DN157" i="5"/>
  <c r="DN376" i="5"/>
  <c r="DN699" i="5"/>
  <c r="DN599" i="5"/>
  <c r="DN173" i="5"/>
  <c r="DN323" i="5"/>
  <c r="DN121" i="5"/>
  <c r="DN355" i="5"/>
  <c r="DN421" i="5"/>
  <c r="DN275" i="5"/>
  <c r="DN683" i="5"/>
  <c r="DN688" i="5"/>
  <c r="DN595" i="5"/>
  <c r="DN230" i="5"/>
  <c r="DN53" i="5"/>
  <c r="DN203" i="5"/>
  <c r="DN335" i="5"/>
  <c r="DN395" i="5"/>
  <c r="DN71" i="5"/>
  <c r="DN663" i="5"/>
  <c r="DN305" i="5"/>
  <c r="DN59" i="5"/>
  <c r="DN172" i="5"/>
  <c r="DN645" i="5"/>
  <c r="DN661" i="5"/>
  <c r="DN130" i="5"/>
  <c r="DN564" i="5"/>
  <c r="DN33" i="5"/>
  <c r="DN242" i="5"/>
  <c r="DN18" i="5"/>
  <c r="DN365" i="5"/>
  <c r="DN433" i="5"/>
  <c r="DN388" i="5"/>
  <c r="DN720" i="5"/>
  <c r="DN665" i="5"/>
  <c r="DN381" i="5"/>
  <c r="DN487" i="5"/>
  <c r="DN175" i="5"/>
  <c r="DN319" i="5"/>
  <c r="DN278" i="5"/>
  <c r="DN153" i="5"/>
  <c r="DN289" i="5"/>
  <c r="DN592" i="5"/>
  <c r="DN628" i="5"/>
  <c r="DN117" i="5"/>
  <c r="DN100" i="5"/>
  <c r="DN392" i="5"/>
  <c r="DN282" i="5"/>
  <c r="DN281" i="5"/>
  <c r="DN712" i="5"/>
  <c r="DN589" i="5"/>
  <c r="DN605" i="5"/>
  <c r="DN562" i="5"/>
  <c r="DN489" i="5"/>
  <c r="DN310" i="5"/>
  <c r="DN476" i="5"/>
  <c r="DN516" i="5"/>
  <c r="DN263" i="5"/>
  <c r="DN340" i="5"/>
  <c r="DN266" i="5"/>
  <c r="DN386" i="5"/>
  <c r="DN684" i="5"/>
  <c r="DN729" i="5"/>
  <c r="DN211" i="5"/>
  <c r="DN264" i="5"/>
  <c r="DN97" i="5"/>
  <c r="DN316" i="5"/>
  <c r="DN114" i="5"/>
  <c r="DN423" i="5"/>
  <c r="DN517" i="5"/>
  <c r="DN507" i="5"/>
  <c r="DN576" i="5"/>
  <c r="DN627" i="5"/>
  <c r="DN464" i="5"/>
  <c r="DN13" i="5"/>
  <c r="DN256" i="5"/>
  <c r="DN419" i="5"/>
  <c r="DN456" i="5"/>
  <c r="DN229" i="5"/>
  <c r="DN370" i="5"/>
  <c r="DN637" i="5"/>
  <c r="DN677" i="5"/>
  <c r="DN299" i="5"/>
  <c r="DN147" i="5"/>
  <c r="DN427" i="5"/>
  <c r="DN443" i="5"/>
  <c r="DN311" i="5"/>
  <c r="DN35" i="5"/>
  <c r="DN581" i="5"/>
  <c r="DN652" i="5"/>
  <c r="DN374" i="5"/>
  <c r="DN413" i="5"/>
  <c r="DN101" i="5"/>
  <c r="DN92" i="5"/>
  <c r="DN283" i="5"/>
  <c r="DN177" i="5"/>
  <c r="DN368" i="5"/>
  <c r="DN429" i="5"/>
  <c r="DN578" i="5"/>
  <c r="DN182" i="5"/>
  <c r="DN237" i="5"/>
  <c r="DN479" i="5"/>
  <c r="DN437" i="5"/>
  <c r="DN537" i="5"/>
  <c r="DN379" i="5"/>
  <c r="DN641" i="5"/>
  <c r="DN655" i="5"/>
  <c r="DN115" i="5"/>
  <c r="DN547" i="5"/>
  <c r="DN644" i="5"/>
  <c r="DN543" i="5"/>
  <c r="DN180" i="5"/>
  <c r="DN469" i="5"/>
  <c r="DN485" i="5"/>
  <c r="DN290" i="5"/>
  <c r="DN412" i="5"/>
  <c r="DN753" i="5"/>
  <c r="DN702" i="5"/>
  <c r="DN401" i="5"/>
  <c r="DN520" i="5"/>
  <c r="DN174" i="5"/>
  <c r="DN356" i="5"/>
  <c r="DN197" i="5"/>
  <c r="DN492" i="5"/>
  <c r="DN548" i="5"/>
  <c r="DN522" i="5"/>
  <c r="DN676" i="5"/>
  <c r="DN669" i="5"/>
  <c r="DN624" i="5"/>
  <c r="DN390" i="5"/>
  <c r="DN301" i="5"/>
  <c r="DN473" i="5"/>
  <c r="DN84" i="5"/>
  <c r="DN296" i="5"/>
  <c r="DN418" i="5"/>
  <c r="DN662" i="5"/>
  <c r="DN713" i="5"/>
  <c r="DN457" i="5"/>
  <c r="DN450" i="5"/>
  <c r="DN474" i="5"/>
  <c r="DN493" i="5"/>
  <c r="DN434" i="5"/>
  <c r="DN104" i="5"/>
  <c r="DN674" i="5"/>
  <c r="DN705" i="5"/>
  <c r="DN89" i="5"/>
  <c r="DN527" i="5"/>
  <c r="DN113" i="5"/>
  <c r="DN366" i="5"/>
  <c r="DN315" i="5"/>
  <c r="DN338" i="5"/>
  <c r="DN416" i="5"/>
  <c r="DN511" i="5"/>
  <c r="DN722" i="5"/>
  <c r="DN232" i="5"/>
  <c r="DN258" i="5"/>
  <c r="DN260" i="5"/>
  <c r="DN630" i="5"/>
  <c r="DN17" i="5"/>
  <c r="DN566" i="5"/>
  <c r="DN406" i="5"/>
  <c r="DN671" i="5"/>
  <c r="DN569" i="5"/>
  <c r="DN408" i="5"/>
  <c r="DN667" i="5"/>
  <c r="DN453" i="5"/>
  <c r="DN102" i="5"/>
  <c r="DN561" i="5"/>
  <c r="DN591" i="5"/>
  <c r="DN600" i="5"/>
  <c r="DN526" i="5"/>
  <c r="DN112" i="5"/>
  <c r="DN214" i="5"/>
  <c r="DN253" i="5"/>
  <c r="DN383" i="5"/>
  <c r="DN403" i="5"/>
  <c r="DN425" i="5"/>
  <c r="DN184" i="5"/>
  <c r="DN122" i="5"/>
  <c r="DN580" i="5"/>
  <c r="DN300" i="5"/>
  <c r="DN359" i="5"/>
  <c r="DN238" i="5"/>
  <c r="DN12" i="5"/>
  <c r="DN225" i="5"/>
  <c r="DN42" i="5"/>
  <c r="DN432" i="5"/>
  <c r="DN657" i="5"/>
  <c r="DN693" i="5"/>
  <c r="DN247" i="5"/>
  <c r="DN149" i="5"/>
  <c r="DN506" i="5"/>
  <c r="DN116" i="5"/>
  <c r="DN37" i="5"/>
  <c r="DN549" i="5"/>
  <c r="DN616" i="5"/>
  <c r="DN532" i="5"/>
  <c r="DN695" i="5"/>
  <c r="DN70" i="5"/>
  <c r="DN444" i="5"/>
  <c r="DN530" i="5"/>
  <c r="DN183" i="5"/>
  <c r="DN47" i="5"/>
  <c r="DN302" i="5"/>
  <c r="DN654" i="5"/>
  <c r="DN140" i="5"/>
  <c r="DN475" i="5"/>
  <c r="DN262" i="5"/>
  <c r="DN91" i="5"/>
  <c r="DN267" i="5"/>
  <c r="DN75" i="5"/>
  <c r="DN466" i="5"/>
  <c r="DN692" i="5"/>
  <c r="DN308" i="5"/>
  <c r="DN672" i="5"/>
  <c r="DN477" i="5"/>
  <c r="DN60" i="5"/>
  <c r="DN446" i="5"/>
  <c r="DN706" i="5"/>
  <c r="DN646" i="5"/>
  <c r="DN719" i="5"/>
  <c r="DN727" i="5"/>
  <c r="DN187" i="5"/>
  <c r="DN131" i="5"/>
  <c r="DN611" i="5"/>
  <c r="DN480" i="5"/>
  <c r="DN220" i="5"/>
  <c r="DN465" i="5"/>
  <c r="DN723" i="5"/>
  <c r="DN375" i="5"/>
  <c r="DN679" i="5"/>
  <c r="DN337" i="5"/>
  <c r="DN186" i="5"/>
  <c r="DN292" i="5"/>
  <c r="DN126" i="5"/>
  <c r="DN649" i="5"/>
  <c r="DN728" i="5"/>
  <c r="DN545" i="5"/>
  <c r="DN588" i="5"/>
  <c r="DN287" i="5"/>
  <c r="DN635" i="5"/>
  <c r="DN64" i="5"/>
  <c r="DN124" i="5"/>
  <c r="DN601" i="5"/>
  <c r="DN223" i="5"/>
  <c r="DN529" i="5"/>
  <c r="DN746" i="5"/>
  <c r="DN158" i="5"/>
  <c r="DN271" i="5"/>
  <c r="DN436" i="5"/>
  <c r="DN629" i="5"/>
  <c r="DN411" i="5"/>
  <c r="DN400" i="5"/>
  <c r="DN634" i="5"/>
  <c r="DN136" i="5"/>
  <c r="DN185" i="5"/>
  <c r="DN19" i="5"/>
  <c r="DN369" i="5"/>
  <c r="DN231" i="5"/>
  <c r="DN318" i="5"/>
  <c r="DN200" i="5"/>
  <c r="DN731" i="5"/>
  <c r="DN621" i="5"/>
  <c r="DN363" i="5"/>
  <c r="DN137" i="5"/>
  <c r="DN557" i="5"/>
  <c r="DN339" i="5"/>
  <c r="DN23" i="5"/>
  <c r="DN393" i="5"/>
  <c r="DN195" i="5"/>
  <c r="DN651" i="5"/>
  <c r="DN261" i="5"/>
  <c r="DN584" i="5"/>
  <c r="DN751" i="5"/>
  <c r="DN440" i="5"/>
  <c r="DN66" i="5"/>
  <c r="DN514" i="5"/>
  <c r="DN575" i="5"/>
  <c r="DN46" i="5"/>
  <c r="DN167" i="5"/>
  <c r="DN614" i="5"/>
  <c r="DN240" i="5"/>
  <c r="DN426" i="5"/>
  <c r="DN41" i="5"/>
  <c r="DN483" i="5"/>
  <c r="DN298" i="5"/>
  <c r="DN358" i="5"/>
  <c r="DN276" i="5"/>
  <c r="DN617" i="5"/>
  <c r="DN656" i="5"/>
  <c r="DN740" i="5"/>
  <c r="DN467" i="5"/>
  <c r="DN54" i="5"/>
  <c r="DN143" i="5"/>
  <c r="DN471" i="5"/>
  <c r="DN607" i="5"/>
  <c r="DN500" i="5"/>
  <c r="DN462" i="5"/>
  <c r="DN129" i="5"/>
  <c r="DN448" i="5"/>
  <c r="DN48" i="5"/>
  <c r="DN452" i="5"/>
  <c r="DN205" i="5"/>
  <c r="DN653" i="5"/>
  <c r="DN399" i="5"/>
  <c r="DN280" i="5"/>
  <c r="DN735" i="5"/>
  <c r="DN458" i="5"/>
  <c r="DN696" i="5"/>
  <c r="DN99" i="5"/>
  <c r="DN499" i="5"/>
  <c r="DN329" i="5"/>
  <c r="DN513" i="5"/>
  <c r="DN303" i="5"/>
  <c r="DN675" i="5"/>
  <c r="DN686" i="5"/>
  <c r="DN57" i="5"/>
  <c r="DN22" i="5"/>
  <c r="DN497" i="5"/>
  <c r="DN512" i="5"/>
  <c r="DN134" i="5"/>
  <c r="DN352" i="5"/>
  <c r="DN189" i="5"/>
  <c r="DN554" i="5"/>
  <c r="DN139" i="5"/>
  <c r="DN736" i="5"/>
  <c r="DN154" i="5"/>
  <c r="DN409" i="5"/>
  <c r="DN402" i="5"/>
  <c r="DN38" i="5"/>
  <c r="DN518" i="5"/>
  <c r="DN501" i="5"/>
  <c r="DN534" i="5"/>
  <c r="DN598" i="5"/>
  <c r="DN540" i="5"/>
  <c r="DN659" i="5"/>
  <c r="DN490" i="5"/>
  <c r="DN508" i="5"/>
  <c r="DN65" i="5"/>
  <c r="DN563" i="5"/>
  <c r="DN582" i="5"/>
  <c r="DN631" i="5"/>
  <c r="DN733" i="5"/>
  <c r="DN336" i="5"/>
  <c r="DN353" i="5"/>
  <c r="DN568" i="5"/>
  <c r="DN682" i="5"/>
  <c r="DN523" i="5"/>
  <c r="DN389" i="5"/>
  <c r="DN573" i="5"/>
  <c r="DN320" i="5"/>
  <c r="DN698" i="5"/>
  <c r="DN159" i="5"/>
  <c r="DN536" i="5"/>
  <c r="DN435" i="5"/>
  <c r="DN613" i="5"/>
  <c r="DN708" i="5"/>
  <c r="DN25" i="5"/>
  <c r="DN327" i="5"/>
  <c r="DN325" i="5"/>
  <c r="DN748" i="5"/>
  <c r="DN398" i="5"/>
  <c r="DN169" i="5"/>
  <c r="DN745" i="5"/>
  <c r="DN294" i="5"/>
  <c r="DN244" i="5"/>
  <c r="DN539" i="5"/>
  <c r="BE190" i="12"/>
  <c r="DG25" i="10"/>
  <c r="DG50" i="10" s="1"/>
  <c r="DG75" i="10" s="1"/>
  <c r="DG100" i="10" s="1"/>
  <c r="DG125" i="10" s="1"/>
  <c r="DG150" i="10" s="1"/>
  <c r="DG175" i="10" s="1"/>
  <c r="DG200" i="10" s="1"/>
  <c r="DG225" i="10" s="1"/>
  <c r="DG250" i="10" s="1"/>
  <c r="DG275" i="10" s="1"/>
  <c r="DG300" i="10" s="1"/>
  <c r="DG325" i="10" s="1"/>
  <c r="DG350" i="10" s="1"/>
  <c r="DG375" i="10" s="1"/>
  <c r="DG400" i="10" s="1"/>
  <c r="DG425" i="10" s="1"/>
  <c r="GY650" i="9"/>
  <c r="GZ650" i="9" s="1"/>
  <c r="HH650" i="9" s="1"/>
  <c r="GY531" i="9"/>
  <c r="GZ531" i="9" s="1"/>
  <c r="HH531" i="9" s="1"/>
  <c r="CF531" i="9" s="1"/>
  <c r="GY423" i="9"/>
  <c r="GZ423" i="9" s="1"/>
  <c r="HH423" i="9" s="1"/>
  <c r="CF423" i="9" s="1"/>
  <c r="GY539" i="9"/>
  <c r="GZ539" i="9" s="1"/>
  <c r="HH539" i="9" s="1"/>
  <c r="CF539" i="9" s="1"/>
  <c r="GQ404" i="9"/>
  <c r="GR404" i="9" s="1"/>
  <c r="GS404" i="9" s="1"/>
  <c r="GT404" i="9" s="1"/>
  <c r="GU404" i="9" s="1"/>
  <c r="GV404" i="9" s="1"/>
  <c r="GY635" i="9"/>
  <c r="GZ635" i="9" s="1"/>
  <c r="HH635" i="9" s="1"/>
  <c r="GY644" i="9"/>
  <c r="GZ644" i="9" s="1"/>
  <c r="HH644" i="9" s="1"/>
  <c r="DS615" i="5"/>
  <c r="DS198" i="5"/>
  <c r="DT697" i="5"/>
  <c r="DT224" i="5"/>
  <c r="DS740" i="5"/>
  <c r="DS275" i="5"/>
  <c r="DT762" i="5"/>
  <c r="DT388" i="5"/>
  <c r="DS768" i="5"/>
  <c r="DS431" i="5"/>
  <c r="DT777" i="5"/>
  <c r="DT499" i="5"/>
  <c r="DT36" i="5"/>
  <c r="DS542" i="5"/>
  <c r="DS89" i="5"/>
  <c r="DT585" i="5"/>
  <c r="DT155" i="5"/>
  <c r="DS601" i="5"/>
  <c r="DS188" i="5"/>
  <c r="DT666" i="5"/>
  <c r="DT210" i="5"/>
  <c r="DS710" i="5"/>
  <c r="DS253" i="5"/>
  <c r="DT758" i="5"/>
  <c r="DT357" i="5"/>
  <c r="DS772" i="5"/>
  <c r="DS462" i="5"/>
  <c r="DS14" i="5"/>
  <c r="DT528" i="5"/>
  <c r="DT74" i="5"/>
  <c r="DS593" i="5"/>
  <c r="DS168" i="5"/>
  <c r="DT644" i="5"/>
  <c r="DT202" i="5"/>
  <c r="GQ641" i="9"/>
  <c r="GR641" i="9" s="1"/>
  <c r="GS641" i="9" s="1"/>
  <c r="GT641" i="9" s="1"/>
  <c r="GU641" i="9" s="1"/>
  <c r="GV641" i="9" s="1"/>
  <c r="GQ637" i="9"/>
  <c r="GR637" i="9" s="1"/>
  <c r="GS637" i="9" s="1"/>
  <c r="GT637" i="9" s="1"/>
  <c r="GU637" i="9" s="1"/>
  <c r="GV637" i="9" s="1"/>
  <c r="GQ415" i="9"/>
  <c r="GR415" i="9" s="1"/>
  <c r="GS415" i="9" s="1"/>
  <c r="GT415" i="9" s="1"/>
  <c r="GU415" i="9" s="1"/>
  <c r="GV415" i="9" s="1"/>
  <c r="GQ569" i="9"/>
  <c r="GR569" i="9" s="1"/>
  <c r="GS569" i="9" s="1"/>
  <c r="GT569" i="9" s="1"/>
  <c r="GU569" i="9" s="1"/>
  <c r="GV569" i="9" s="1"/>
  <c r="GQ670" i="9"/>
  <c r="GR670" i="9" s="1"/>
  <c r="GS670" i="9" s="1"/>
  <c r="GT670" i="9" s="1"/>
  <c r="GU670" i="9" s="1"/>
  <c r="GV670" i="9" s="1"/>
  <c r="GQ414" i="9"/>
  <c r="GR414" i="9" s="1"/>
  <c r="GS414" i="9" s="1"/>
  <c r="GT414" i="9" s="1"/>
  <c r="GU414" i="9" s="1"/>
  <c r="GV414" i="9" s="1"/>
  <c r="GQ642" i="9"/>
  <c r="GR642" i="9" s="1"/>
  <c r="GS642" i="9" s="1"/>
  <c r="GT642" i="9" s="1"/>
  <c r="GU642" i="9" s="1"/>
  <c r="GV642" i="9" s="1"/>
  <c r="GQ408" i="9"/>
  <c r="GR408" i="9" s="1"/>
  <c r="GS408" i="9" s="1"/>
  <c r="GT408" i="9" s="1"/>
  <c r="GU408" i="9" s="1"/>
  <c r="GV408" i="9" s="1"/>
  <c r="GQ514" i="9"/>
  <c r="GR514" i="9" s="1"/>
  <c r="GS514" i="9" s="1"/>
  <c r="GT514" i="9" s="1"/>
  <c r="GU514" i="9" s="1"/>
  <c r="GV514" i="9" s="1"/>
  <c r="GQ667" i="9"/>
  <c r="GR667" i="9" s="1"/>
  <c r="GS667" i="9" s="1"/>
  <c r="GT667" i="9" s="1"/>
  <c r="GU667" i="9" s="1"/>
  <c r="GV667" i="9" s="1"/>
  <c r="GQ537" i="9"/>
  <c r="GR537" i="9" s="1"/>
  <c r="GS537" i="9" s="1"/>
  <c r="GT537" i="9" s="1"/>
  <c r="GU537" i="9" s="1"/>
  <c r="GV537" i="9" s="1"/>
  <c r="GQ554" i="9"/>
  <c r="GR554" i="9" s="1"/>
  <c r="GS554" i="9" s="1"/>
  <c r="GT554" i="9" s="1"/>
  <c r="GU554" i="9" s="1"/>
  <c r="GV554" i="9" s="1"/>
  <c r="GQ674" i="9"/>
  <c r="GR674" i="9" s="1"/>
  <c r="GS674" i="9" s="1"/>
  <c r="GT674" i="9" s="1"/>
  <c r="GU674" i="9" s="1"/>
  <c r="GV674" i="9" s="1"/>
  <c r="GQ528" i="9"/>
  <c r="GR528" i="9" s="1"/>
  <c r="GS528" i="9" s="1"/>
  <c r="GT528" i="9" s="1"/>
  <c r="GU528" i="9" s="1"/>
  <c r="GV528" i="9" s="1"/>
  <c r="GQ681" i="9"/>
  <c r="GR681" i="9" s="1"/>
  <c r="GS681" i="9" s="1"/>
  <c r="GT681" i="9" s="1"/>
  <c r="GU681" i="9" s="1"/>
  <c r="GV681" i="9" s="1"/>
  <c r="V49" i="5"/>
  <c r="M49" i="5"/>
  <c r="R49" i="5"/>
  <c r="S49" i="5"/>
  <c r="J48" i="5"/>
  <c r="EC22" i="5" a="1"/>
  <c r="EC22" i="5" s="1"/>
  <c r="N49" i="5"/>
  <c r="T49" i="5"/>
  <c r="U49" i="5"/>
  <c r="K49" i="5"/>
  <c r="O49" i="5"/>
  <c r="L49" i="5"/>
  <c r="P49" i="5"/>
  <c r="Q49" i="5"/>
  <c r="DX10" i="5"/>
  <c r="EB14" i="5" a="1"/>
  <c r="EB14" i="5" s="1"/>
  <c r="ED13" i="5" a="1"/>
  <c r="ED13" i="5" s="1"/>
  <c r="ED22" i="5" a="1"/>
  <c r="ED22" i="5"/>
  <c r="DY12" i="5" a="1"/>
  <c r="DY12" i="5" s="1"/>
  <c r="DY13" i="5" a="1"/>
  <c r="DY13" i="5" s="1"/>
  <c r="EB22" i="5" a="1"/>
  <c r="EB22" i="5" s="1"/>
  <c r="ED17" i="5" a="1"/>
  <c r="ED17" i="5" s="1"/>
  <c r="DY19" i="5" a="1"/>
  <c r="DY19" i="5" s="1"/>
  <c r="DZ17" i="5" a="1"/>
  <c r="DZ17" i="5" s="1"/>
  <c r="DZ19" i="5" a="1"/>
  <c r="DZ19" i="5" s="1"/>
  <c r="DZ16" i="5" a="1"/>
  <c r="DZ16" i="5" s="1"/>
  <c r="EB18" i="5" a="1"/>
  <c r="EB18" i="5" s="1"/>
  <c r="ED18" i="5" a="1"/>
  <c r="ED18" i="5" s="1"/>
  <c r="EB20" i="5" a="1"/>
  <c r="EB20" i="5" s="1"/>
  <c r="DZ18" i="5" a="1"/>
  <c r="DZ18" i="5" s="1"/>
  <c r="EB21" i="5" a="1"/>
  <c r="EB21" i="5" s="1"/>
  <c r="DY15" i="5" a="1"/>
  <c r="DY15" i="5" s="1"/>
  <c r="DJ263" i="5" s="1"/>
  <c r="BE176" i="12"/>
  <c r="DG11" i="10"/>
  <c r="DG36" i="10" s="1"/>
  <c r="DG61" i="10" s="1"/>
  <c r="DG86" i="10" s="1"/>
  <c r="DG111" i="10" s="1"/>
  <c r="DG136" i="10" s="1"/>
  <c r="DG161" i="10" s="1"/>
  <c r="DG186" i="10" s="1"/>
  <c r="DG211" i="10" s="1"/>
  <c r="DG236" i="10" s="1"/>
  <c r="DG261" i="10" s="1"/>
  <c r="DG286" i="10" s="1"/>
  <c r="DG311" i="10" s="1"/>
  <c r="DG336" i="10" s="1"/>
  <c r="DG361" i="10" s="1"/>
  <c r="DG386" i="10" s="1"/>
  <c r="DG411" i="10" s="1"/>
  <c r="GY641" i="9"/>
  <c r="GZ641" i="9" s="1"/>
  <c r="HH641" i="9" s="1"/>
  <c r="GY521" i="9"/>
  <c r="GZ521" i="9" s="1"/>
  <c r="HH521" i="9" s="1"/>
  <c r="CF521" i="9" s="1"/>
  <c r="GY639" i="9"/>
  <c r="GZ639" i="9" s="1"/>
  <c r="HH639" i="9" s="1"/>
  <c r="GY529" i="9"/>
  <c r="GZ529" i="9" s="1"/>
  <c r="HH529" i="9" s="1"/>
  <c r="CF529" i="9" s="1"/>
  <c r="GY532" i="9"/>
  <c r="GZ532" i="9" s="1"/>
  <c r="HH532" i="9" s="1"/>
  <c r="CF532" i="9" s="1"/>
  <c r="GY642" i="9"/>
  <c r="GZ642" i="9" s="1"/>
  <c r="HH642" i="9" s="1"/>
  <c r="GY418" i="9"/>
  <c r="GZ418" i="9" s="1"/>
  <c r="HH418" i="9" s="1"/>
  <c r="CF418" i="9" s="1"/>
  <c r="GY664" i="9"/>
  <c r="GZ664" i="9" s="1"/>
  <c r="HH664" i="9" s="1"/>
  <c r="GQ434" i="9"/>
  <c r="GR434" i="9" s="1"/>
  <c r="GS434" i="9" s="1"/>
  <c r="GT434" i="9" s="1"/>
  <c r="GU434" i="9" s="1"/>
  <c r="GV434" i="9" s="1"/>
  <c r="CW109" i="10"/>
  <c r="DD106" i="10"/>
  <c r="Y67" i="12"/>
  <c r="DS591" i="5"/>
  <c r="DS166" i="5"/>
  <c r="DT618" i="5"/>
  <c r="DT200" i="5"/>
  <c r="DS681" i="5"/>
  <c r="DS215" i="5"/>
  <c r="DT747" i="5"/>
  <c r="DT279" i="5"/>
  <c r="DS760" i="5"/>
  <c r="DS373" i="5"/>
  <c r="DT769" i="5"/>
  <c r="DT441" i="5"/>
  <c r="DS775" i="5"/>
  <c r="DS484" i="5"/>
  <c r="DS32" i="5"/>
  <c r="DT552" i="5"/>
  <c r="DT95" i="5"/>
  <c r="DS581" i="5"/>
  <c r="DS142" i="5"/>
  <c r="DT603" i="5"/>
  <c r="DT190" i="5"/>
  <c r="DS650" i="5"/>
  <c r="DS204" i="5"/>
  <c r="DT718" i="5"/>
  <c r="DT255" i="5"/>
  <c r="DS764" i="5"/>
  <c r="DS404" i="5"/>
  <c r="DT773" i="5"/>
  <c r="DT468" i="5"/>
  <c r="DT16" i="5"/>
  <c r="DS573" i="5"/>
  <c r="DS118" i="5"/>
  <c r="DT595" i="5"/>
  <c r="DT182" i="5"/>
  <c r="GQ555" i="9"/>
  <c r="GR555" i="9" s="1"/>
  <c r="GS555" i="9" s="1"/>
  <c r="GT555" i="9" s="1"/>
  <c r="GU555" i="9" s="1"/>
  <c r="GV555" i="9" s="1"/>
  <c r="GQ560" i="9"/>
  <c r="GR560" i="9" s="1"/>
  <c r="GS560" i="9" s="1"/>
  <c r="GT560" i="9" s="1"/>
  <c r="GU560" i="9" s="1"/>
  <c r="GV560" i="9" s="1"/>
  <c r="GQ687" i="9"/>
  <c r="GR687" i="9" s="1"/>
  <c r="GS687" i="9" s="1"/>
  <c r="GT687" i="9" s="1"/>
  <c r="GU687" i="9" s="1"/>
  <c r="GV687" i="9" s="1"/>
  <c r="GQ567" i="9"/>
  <c r="GR567" i="9" s="1"/>
  <c r="GS567" i="9" s="1"/>
  <c r="GT567" i="9" s="1"/>
  <c r="GU567" i="9" s="1"/>
  <c r="GV567" i="9" s="1"/>
  <c r="GQ512" i="9"/>
  <c r="GR512" i="9" s="1"/>
  <c r="GS512" i="9" s="1"/>
  <c r="GT512" i="9" s="1"/>
  <c r="GU512" i="9" s="1"/>
  <c r="GV512" i="9" s="1"/>
  <c r="GQ659" i="9"/>
  <c r="GR659" i="9" s="1"/>
  <c r="GS659" i="9" s="1"/>
  <c r="GT659" i="9" s="1"/>
  <c r="GU659" i="9" s="1"/>
  <c r="GV659" i="9" s="1"/>
  <c r="GQ527" i="9"/>
  <c r="GR527" i="9" s="1"/>
  <c r="GS527" i="9" s="1"/>
  <c r="GT527" i="9" s="1"/>
  <c r="GU527" i="9" s="1"/>
  <c r="GV527" i="9" s="1"/>
  <c r="GQ684" i="9"/>
  <c r="GR684" i="9" s="1"/>
  <c r="GS684" i="9" s="1"/>
  <c r="GT684" i="9" s="1"/>
  <c r="GU684" i="9" s="1"/>
  <c r="GV684" i="9" s="1"/>
  <c r="GQ522" i="9"/>
  <c r="GR522" i="9" s="1"/>
  <c r="GS522" i="9" s="1"/>
  <c r="GT522" i="9" s="1"/>
  <c r="GU522" i="9" s="1"/>
  <c r="GV522" i="9" s="1"/>
  <c r="BB49" i="5"/>
  <c r="AU49" i="5"/>
  <c r="AY49" i="5"/>
  <c r="AP48" i="5"/>
  <c r="AP49" i="5"/>
  <c r="AV49" i="5"/>
  <c r="AZ49" i="5"/>
  <c r="AQ49" i="5"/>
  <c r="AR49" i="5"/>
  <c r="AW49" i="5"/>
  <c r="BA49" i="5"/>
  <c r="AS49" i="5"/>
  <c r="AX49" i="5"/>
  <c r="AT49" i="5"/>
  <c r="BE187" i="12"/>
  <c r="DG22" i="10"/>
  <c r="DG47" i="10" s="1"/>
  <c r="DG72" i="10" s="1"/>
  <c r="DG97" i="10" s="1"/>
  <c r="DG122" i="10" s="1"/>
  <c r="DG147" i="10" s="1"/>
  <c r="DG172" i="10" s="1"/>
  <c r="DG197" i="10" s="1"/>
  <c r="DG222" i="10" s="1"/>
  <c r="DG247" i="10" s="1"/>
  <c r="DG272" i="10" s="1"/>
  <c r="DG297" i="10" s="1"/>
  <c r="DG322" i="10" s="1"/>
  <c r="DG347" i="10" s="1"/>
  <c r="DG372" i="10" s="1"/>
  <c r="DG397" i="10"/>
  <c r="DG422" i="10" s="1"/>
  <c r="BE193" i="12"/>
  <c r="DG28" i="10"/>
  <c r="DG53" i="10" s="1"/>
  <c r="DG78" i="10" s="1"/>
  <c r="DG103" i="10" s="1"/>
  <c r="DG128" i="10" s="1"/>
  <c r="DG153" i="10" s="1"/>
  <c r="DG178" i="10" s="1"/>
  <c r="DG203" i="10" s="1"/>
  <c r="DG228" i="10" s="1"/>
  <c r="DG253" i="10" s="1"/>
  <c r="DG278" i="10" s="1"/>
  <c r="DG303" i="10" s="1"/>
  <c r="DG328" i="10" s="1"/>
  <c r="DG353" i="10" s="1"/>
  <c r="DG378" i="10" s="1"/>
  <c r="DG403" i="10" s="1"/>
  <c r="DG428" i="10" s="1"/>
  <c r="GY549" i="9"/>
  <c r="GZ549" i="9" s="1"/>
  <c r="HH549" i="9" s="1"/>
  <c r="CF549" i="9" s="1"/>
  <c r="GY546" i="9"/>
  <c r="GZ546" i="9" s="1"/>
  <c r="HH546" i="9" s="1"/>
  <c r="CF546" i="9" s="1"/>
  <c r="GY654" i="9"/>
  <c r="GZ654" i="9" s="1"/>
  <c r="HH654" i="9" s="1"/>
  <c r="GY678" i="9"/>
  <c r="GZ678" i="9" s="1"/>
  <c r="HH678" i="9" s="1"/>
  <c r="GY446" i="9"/>
  <c r="GZ446" i="9" s="1"/>
  <c r="HH446" i="9" s="1"/>
  <c r="CF446" i="9" s="1"/>
  <c r="GY661" i="9"/>
  <c r="GZ661" i="9" s="1"/>
  <c r="HH661" i="9" s="1"/>
  <c r="GY527" i="9"/>
  <c r="GZ527" i="9"/>
  <c r="HH527" i="9" s="1"/>
  <c r="CF527" i="9" s="1"/>
  <c r="GY420" i="9"/>
  <c r="GZ420" i="9" s="1"/>
  <c r="HH420" i="9" s="1"/>
  <c r="CF420" i="9" s="1"/>
  <c r="GY567" i="9"/>
  <c r="GZ567" i="9" s="1"/>
  <c r="HH567" i="9" s="1"/>
  <c r="CF567" i="9" s="1"/>
  <c r="GY519" i="9"/>
  <c r="GZ519" i="9" s="1"/>
  <c r="HH519" i="9" s="1"/>
  <c r="CF519" i="9" s="1"/>
  <c r="DS565" i="5"/>
  <c r="DS111" i="5"/>
  <c r="DT593" i="5"/>
  <c r="DT168" i="5"/>
  <c r="DS612" i="5"/>
  <c r="DS194" i="5"/>
  <c r="DT687" i="5"/>
  <c r="DT221" i="5"/>
  <c r="DS734" i="5"/>
  <c r="DS259" i="5"/>
  <c r="DT761" i="5"/>
  <c r="DT380" i="5"/>
  <c r="DS767" i="5"/>
  <c r="DS425" i="5"/>
  <c r="DT776" i="5"/>
  <c r="DT491" i="5"/>
  <c r="DT34" i="5"/>
  <c r="DS536" i="5"/>
  <c r="DS81" i="5"/>
  <c r="DT583" i="5"/>
  <c r="DT148" i="5"/>
  <c r="DS599" i="5"/>
  <c r="DS186" i="5"/>
  <c r="DT660" i="5"/>
  <c r="DT208" i="5"/>
  <c r="DS756" i="5"/>
  <c r="DS313" i="5"/>
  <c r="DT765" i="5"/>
  <c r="DT410" i="5"/>
  <c r="DS779" i="5"/>
  <c r="DS515" i="5"/>
  <c r="DS58" i="5"/>
  <c r="DT577" i="5"/>
  <c r="DT126" i="5"/>
  <c r="GQ552" i="9"/>
  <c r="GR552" i="9" s="1"/>
  <c r="GS552" i="9" s="1"/>
  <c r="GT552" i="9" s="1"/>
  <c r="GU552" i="9" s="1"/>
  <c r="GV552" i="9" s="1"/>
  <c r="GQ520" i="9"/>
  <c r="GR520" i="9" s="1"/>
  <c r="GS520" i="9" s="1"/>
  <c r="GT520" i="9" s="1"/>
  <c r="GU520" i="9" s="1"/>
  <c r="GV520" i="9" s="1"/>
  <c r="GQ671" i="9"/>
  <c r="GR671" i="9" s="1"/>
  <c r="GS671" i="9" s="1"/>
  <c r="GT671" i="9" s="1"/>
  <c r="GU671" i="9" s="1"/>
  <c r="GV671" i="9" s="1"/>
  <c r="GQ545" i="9"/>
  <c r="GR545" i="9" s="1"/>
  <c r="GS545" i="9" s="1"/>
  <c r="GT545" i="9" s="1"/>
  <c r="GU545" i="9" s="1"/>
  <c r="GV545" i="9" s="1"/>
  <c r="GQ633" i="9"/>
  <c r="GR633" i="9" s="1"/>
  <c r="GS633" i="9" s="1"/>
  <c r="GT633" i="9" s="1"/>
  <c r="GU633" i="9" s="1"/>
  <c r="GV633" i="9" s="1"/>
  <c r="GQ685" i="9"/>
  <c r="GR685" i="9" s="1"/>
  <c r="GS685" i="9" s="1"/>
  <c r="GT685" i="9" s="1"/>
  <c r="GU685" i="9" s="1"/>
  <c r="GV685" i="9" s="1"/>
  <c r="GQ564" i="9"/>
  <c r="GR564" i="9" s="1"/>
  <c r="GS564" i="9" s="1"/>
  <c r="GT564" i="9" s="1"/>
  <c r="GU564" i="9" s="1"/>
  <c r="GV564" i="9" s="1"/>
  <c r="GQ688" i="9"/>
  <c r="GR688" i="9" s="1"/>
  <c r="GS688" i="9" s="1"/>
  <c r="GT688" i="9" s="1"/>
  <c r="GU688" i="9" s="1"/>
  <c r="GV688" i="9" s="1"/>
  <c r="GQ636" i="9"/>
  <c r="GR636" i="9" s="1"/>
  <c r="GS636" i="9" s="1"/>
  <c r="GT636" i="9" s="1"/>
  <c r="GU636" i="9" s="1"/>
  <c r="GV636" i="9" s="1"/>
  <c r="GQ640" i="9"/>
  <c r="GR640" i="9" s="1"/>
  <c r="GS640" i="9" s="1"/>
  <c r="GT640" i="9" s="1"/>
  <c r="GU640" i="9" s="1"/>
  <c r="GV640" i="9" s="1"/>
  <c r="GQ536" i="9"/>
  <c r="GR536" i="9" s="1"/>
  <c r="GS536" i="9" s="1"/>
  <c r="GT536" i="9" s="1"/>
  <c r="GU536" i="9" s="1"/>
  <c r="GV536" i="9" s="1"/>
  <c r="GQ540" i="9"/>
  <c r="GR540" i="9" s="1"/>
  <c r="GS540" i="9" s="1"/>
  <c r="GT540" i="9" s="1"/>
  <c r="GU540" i="9" s="1"/>
  <c r="GV540" i="9" s="1"/>
  <c r="BE174" i="12"/>
  <c r="DG9" i="10"/>
  <c r="DG34" i="10"/>
  <c r="DG59" i="10"/>
  <c r="DG84" i="10" s="1"/>
  <c r="DG109" i="10" s="1"/>
  <c r="DG134" i="10" s="1"/>
  <c r="DG159" i="10" s="1"/>
  <c r="DG184" i="10" s="1"/>
  <c r="DG209" i="10" s="1"/>
  <c r="DG234" i="10" s="1"/>
  <c r="DG259" i="10" s="1"/>
  <c r="DG284" i="10" s="1"/>
  <c r="DG309" i="10" s="1"/>
  <c r="DG334" i="10" s="1"/>
  <c r="DG359" i="10" s="1"/>
  <c r="DG384" i="10" s="1"/>
  <c r="DG409" i="10" s="1"/>
  <c r="DG23" i="10"/>
  <c r="DG48" i="10"/>
  <c r="DG73" i="10" s="1"/>
  <c r="DG98" i="10" s="1"/>
  <c r="DG123" i="10" s="1"/>
  <c r="DG148" i="10" s="1"/>
  <c r="DG173" i="10" s="1"/>
  <c r="DG198" i="10" s="1"/>
  <c r="DG223" i="10" s="1"/>
  <c r="DG248" i="10" s="1"/>
  <c r="DG273" i="10" s="1"/>
  <c r="DG298" i="10" s="1"/>
  <c r="DG323" i="10" s="1"/>
  <c r="DG348" i="10" s="1"/>
  <c r="DG373" i="10" s="1"/>
  <c r="DG398" i="10" s="1"/>
  <c r="DG423" i="10" s="1"/>
  <c r="BE188" i="12"/>
  <c r="GY414" i="9"/>
  <c r="GZ414" i="9" s="1"/>
  <c r="HH414" i="9" s="1"/>
  <c r="CF414" i="9" s="1"/>
  <c r="GY560" i="9"/>
  <c r="GZ560" i="9" s="1"/>
  <c r="HH560" i="9" s="1"/>
  <c r="CF560" i="9" s="1"/>
  <c r="GY451" i="9"/>
  <c r="GZ451" i="9" s="1"/>
  <c r="HH451" i="9" s="1"/>
  <c r="CF451" i="9" s="1"/>
  <c r="GY643" i="9"/>
  <c r="GZ643" i="9" s="1"/>
  <c r="HH643" i="9" s="1"/>
  <c r="GY447" i="9"/>
  <c r="GZ447" i="9" s="1"/>
  <c r="HH447" i="9" s="1"/>
  <c r="CF447" i="9" s="1"/>
  <c r="GY638" i="9"/>
  <c r="GZ638" i="9" s="1"/>
  <c r="HH638" i="9" s="1"/>
  <c r="GY413" i="9"/>
  <c r="GZ413" i="9" s="1"/>
  <c r="HH413" i="9" s="1"/>
  <c r="CF413" i="9" s="1"/>
  <c r="GY657" i="9"/>
  <c r="GZ657" i="9" s="1"/>
  <c r="HH657" i="9" s="1"/>
  <c r="GY426" i="9"/>
  <c r="GZ426" i="9" s="1"/>
  <c r="HH426" i="9" s="1"/>
  <c r="CF426" i="9" s="1"/>
  <c r="GY631" i="9"/>
  <c r="GZ631" i="9" s="1"/>
  <c r="HH631" i="9" s="1"/>
  <c r="GY647" i="9"/>
  <c r="GZ647" i="9" s="1"/>
  <c r="HH647" i="9" s="1"/>
  <c r="GQ523" i="9"/>
  <c r="GR523" i="9" s="1"/>
  <c r="GS523" i="9" s="1"/>
  <c r="GT523" i="9" s="1"/>
  <c r="GU523" i="9" s="1"/>
  <c r="GV523" i="9" s="1"/>
  <c r="GQ534" i="9"/>
  <c r="GR534" i="9" s="1"/>
  <c r="GS534" i="9" s="1"/>
  <c r="GT534" i="9" s="1"/>
  <c r="GU534" i="9" s="1"/>
  <c r="GV534" i="9" s="1"/>
  <c r="GY417" i="9"/>
  <c r="GZ417" i="9" s="1"/>
  <c r="HH417" i="9" s="1"/>
  <c r="CF417" i="9" s="1"/>
  <c r="DS778" i="5"/>
  <c r="DS505" i="5"/>
  <c r="DS52" i="5"/>
  <c r="DT573" i="5"/>
  <c r="DT118" i="5"/>
  <c r="DS589" i="5"/>
  <c r="DS163" i="5"/>
  <c r="DT615" i="5"/>
  <c r="DT198" i="5"/>
  <c r="DS673" i="5"/>
  <c r="DS212" i="5"/>
  <c r="DT740" i="5"/>
  <c r="DT275" i="5"/>
  <c r="DS759" i="5"/>
  <c r="DS367" i="5"/>
  <c r="DT768" i="5"/>
  <c r="DT431" i="5"/>
  <c r="DS774" i="5"/>
  <c r="DS478" i="5"/>
  <c r="DS30" i="5"/>
  <c r="DT542" i="5"/>
  <c r="DT89" i="5"/>
  <c r="DS579" i="5"/>
  <c r="DS132" i="5"/>
  <c r="DT601" i="5"/>
  <c r="DT188" i="5"/>
  <c r="DS703" i="5"/>
  <c r="DS227" i="5"/>
  <c r="DT757" i="5"/>
  <c r="DT351" i="5"/>
  <c r="DS771" i="5"/>
  <c r="DS454" i="5"/>
  <c r="DT11" i="5"/>
  <c r="DT521" i="5"/>
  <c r="DT68" i="5"/>
  <c r="GQ533" i="9"/>
  <c r="GR533" i="9" s="1"/>
  <c r="GS533" i="9" s="1"/>
  <c r="GT533" i="9" s="1"/>
  <c r="GU533" i="9" s="1"/>
  <c r="GV533" i="9" s="1"/>
  <c r="GQ515" i="9"/>
  <c r="GR515" i="9" s="1"/>
  <c r="GS515" i="9" s="1"/>
  <c r="GT515" i="9" s="1"/>
  <c r="GU515" i="9" s="1"/>
  <c r="GV515" i="9" s="1"/>
  <c r="GQ658" i="9"/>
  <c r="GR658" i="9" s="1"/>
  <c r="GS658" i="9" s="1"/>
  <c r="GT658" i="9" s="1"/>
  <c r="GU658" i="9" s="1"/>
  <c r="GV658" i="9" s="1"/>
  <c r="GQ538" i="9"/>
  <c r="GR538" i="9" s="1"/>
  <c r="GS538" i="9" s="1"/>
  <c r="GT538" i="9" s="1"/>
  <c r="GU538" i="9" s="1"/>
  <c r="GV538" i="9" s="1"/>
  <c r="GQ525" i="9"/>
  <c r="GR525" i="9" s="1"/>
  <c r="GS525" i="9" s="1"/>
  <c r="GT525" i="9" s="1"/>
  <c r="GU525" i="9" s="1"/>
  <c r="GV525" i="9" s="1"/>
  <c r="GQ682" i="9"/>
  <c r="GR682" i="9" s="1"/>
  <c r="GS682" i="9" s="1"/>
  <c r="GT682" i="9" s="1"/>
  <c r="GU682" i="9" s="1"/>
  <c r="GV682" i="9" s="1"/>
  <c r="GQ561" i="9"/>
  <c r="GR561" i="9" s="1"/>
  <c r="GS561" i="9" s="1"/>
  <c r="GT561" i="9" s="1"/>
  <c r="GU561" i="9" s="1"/>
  <c r="GV561" i="9" s="1"/>
  <c r="GQ668" i="9"/>
  <c r="GR668" i="9" s="1"/>
  <c r="GS668" i="9" s="1"/>
  <c r="GT668" i="9" s="1"/>
  <c r="GU668" i="9" s="1"/>
  <c r="GV668" i="9" s="1"/>
  <c r="GQ442" i="9"/>
  <c r="GR442" i="9" s="1"/>
  <c r="GS442" i="9" s="1"/>
  <c r="GT442" i="9" s="1"/>
  <c r="GU442" i="9" s="1"/>
  <c r="GV442" i="9" s="1"/>
  <c r="GQ424" i="9"/>
  <c r="GR424" i="9" s="1"/>
  <c r="GS424" i="9" s="1"/>
  <c r="GT424" i="9" s="1"/>
  <c r="GU424" i="9" s="1"/>
  <c r="GV424" i="9" s="1"/>
  <c r="D17" i="12"/>
  <c r="BA13" i="12"/>
  <c r="BA40" i="12"/>
  <c r="D18" i="12"/>
  <c r="GQ543" i="9"/>
  <c r="GR543" i="9" s="1"/>
  <c r="GS543" i="9" s="1"/>
  <c r="GT543" i="9" s="1"/>
  <c r="GU543" i="9" s="1"/>
  <c r="GV543" i="9" s="1"/>
  <c r="GQ551" i="9"/>
  <c r="GR551" i="9" s="1"/>
  <c r="GS551" i="9" s="1"/>
  <c r="GT551" i="9" s="1"/>
  <c r="GU551" i="9" s="1"/>
  <c r="GV551" i="9" s="1"/>
  <c r="GQ428" i="9"/>
  <c r="GR428" i="9" s="1"/>
  <c r="GS428" i="9" s="1"/>
  <c r="GT428" i="9" s="1"/>
  <c r="GU428" i="9" s="1"/>
  <c r="GV428" i="9" s="1"/>
  <c r="GQ535" i="9"/>
  <c r="GR535" i="9" s="1"/>
  <c r="GS535" i="9" s="1"/>
  <c r="GT535" i="9" s="1"/>
  <c r="GU535" i="9" s="1"/>
  <c r="GV535" i="9" s="1"/>
  <c r="BE183" i="12"/>
  <c r="DG18" i="10"/>
  <c r="DG43" i="10"/>
  <c r="DG68" i="10"/>
  <c r="DG93" i="10" s="1"/>
  <c r="DG118" i="10" s="1"/>
  <c r="DG143" i="10" s="1"/>
  <c r="DG168" i="10" s="1"/>
  <c r="DG193" i="10" s="1"/>
  <c r="DG218" i="10" s="1"/>
  <c r="DG243" i="10" s="1"/>
  <c r="DG268" i="10" s="1"/>
  <c r="DG293" i="10" s="1"/>
  <c r="DG318" i="10" s="1"/>
  <c r="DG343" i="10" s="1"/>
  <c r="DG368" i="10" s="1"/>
  <c r="DG393" i="10" s="1"/>
  <c r="DG418" i="10" s="1"/>
  <c r="BE191" i="12"/>
  <c r="DG26" i="10"/>
  <c r="DG51" i="10" s="1"/>
  <c r="DG76" i="10" s="1"/>
  <c r="DG101" i="10" s="1"/>
  <c r="DG126" i="10" s="1"/>
  <c r="DG151" i="10" s="1"/>
  <c r="DG176" i="10" s="1"/>
  <c r="DG201" i="10" s="1"/>
  <c r="DG226" i="10" s="1"/>
  <c r="DG251" i="10" s="1"/>
  <c r="DG276" i="10" s="1"/>
  <c r="DG301" i="10" s="1"/>
  <c r="DG326" i="10" s="1"/>
  <c r="DG351" i="10" s="1"/>
  <c r="DG376" i="10" s="1"/>
  <c r="DG401" i="10" s="1"/>
  <c r="DG426" i="10" s="1"/>
  <c r="GY545" i="9"/>
  <c r="GZ545" i="9" s="1"/>
  <c r="HH545" i="9" s="1"/>
  <c r="CF545" i="9" s="1"/>
  <c r="GY431" i="9"/>
  <c r="GZ431" i="9" s="1"/>
  <c r="HH431" i="9" s="1"/>
  <c r="CF431" i="9" s="1"/>
  <c r="GY540" i="9"/>
  <c r="GZ540" i="9" s="1"/>
  <c r="HH540" i="9" s="1"/>
  <c r="CF540" i="9" s="1"/>
  <c r="GY428" i="9"/>
  <c r="GZ428" i="9"/>
  <c r="HH428" i="9" s="1"/>
  <c r="CF428" i="9" s="1"/>
  <c r="GY637" i="9"/>
  <c r="GZ637" i="9" s="1"/>
  <c r="HH637" i="9" s="1"/>
  <c r="GY649" i="9"/>
  <c r="GZ649" i="9" s="1"/>
  <c r="HH649" i="9" s="1"/>
  <c r="GY444" i="9"/>
  <c r="GZ444" i="9" s="1"/>
  <c r="HH444" i="9" s="1"/>
  <c r="CF444" i="9" s="1"/>
  <c r="GY667" i="9"/>
  <c r="GZ667" i="9" s="1"/>
  <c r="HH667" i="9" s="1"/>
  <c r="GY564" i="9"/>
  <c r="GZ564" i="9" s="1"/>
  <c r="HH564" i="9" s="1"/>
  <c r="CF564" i="9" s="1"/>
  <c r="GY550" i="9"/>
  <c r="GZ550" i="9" s="1"/>
  <c r="HH550" i="9" s="1"/>
  <c r="CF550" i="9" s="1"/>
  <c r="GY669" i="9"/>
  <c r="GZ669" i="9" s="1"/>
  <c r="HH669" i="9" s="1"/>
  <c r="GY547" i="9"/>
  <c r="GZ547" i="9" s="1"/>
  <c r="HH547" i="9" s="1"/>
  <c r="CF547" i="9" s="1"/>
  <c r="GY514" i="9"/>
  <c r="GZ514" i="9" s="1"/>
  <c r="HH514" i="9" s="1"/>
  <c r="CF514" i="9" s="1"/>
  <c r="GY421" i="9"/>
  <c r="GZ421" i="9"/>
  <c r="HH421" i="9" s="1"/>
  <c r="CF421" i="9" s="1"/>
  <c r="BZ43" i="12"/>
  <c r="CA43" i="12" s="1"/>
  <c r="CQ43" i="12"/>
  <c r="CW264" i="10"/>
  <c r="DD261" i="10"/>
  <c r="DS770" i="5"/>
  <c r="DS447" i="5"/>
  <c r="DT779" i="5"/>
  <c r="DT515" i="5"/>
  <c r="DT58" i="5"/>
  <c r="DS558" i="5"/>
  <c r="DS105" i="5"/>
  <c r="DT591" i="5"/>
  <c r="DT166" i="5"/>
  <c r="DS606" i="5"/>
  <c r="DS192" i="5"/>
  <c r="DT681" i="5"/>
  <c r="DT215" i="5"/>
  <c r="DS724" i="5"/>
  <c r="DS257" i="5"/>
  <c r="DT760" i="5"/>
  <c r="DT373" i="5"/>
  <c r="DS766" i="5"/>
  <c r="DS417" i="5"/>
  <c r="DT775" i="5"/>
  <c r="DT484" i="5"/>
  <c r="DT32" i="5"/>
  <c r="DS528" i="5"/>
  <c r="DS74" i="5"/>
  <c r="DT581" i="5"/>
  <c r="DT142" i="5"/>
  <c r="DS644" i="5"/>
  <c r="DS202" i="5"/>
  <c r="DT710" i="5"/>
  <c r="DT253" i="5"/>
  <c r="DS763" i="5"/>
  <c r="DS394" i="5"/>
  <c r="DT772" i="5"/>
  <c r="DT462" i="5"/>
  <c r="GQ656" i="9"/>
  <c r="GR656" i="9" s="1"/>
  <c r="GS656" i="9" s="1"/>
  <c r="GT656" i="9" s="1"/>
  <c r="GU656" i="9" s="1"/>
  <c r="GV656" i="9" s="1"/>
  <c r="GQ450" i="9"/>
  <c r="GR450" i="9" s="1"/>
  <c r="GS450" i="9" s="1"/>
  <c r="GT450" i="9" s="1"/>
  <c r="GU450" i="9" s="1"/>
  <c r="GV450" i="9" s="1"/>
  <c r="GQ542" i="9"/>
  <c r="GR542" i="9" s="1"/>
  <c r="GS542" i="9" s="1"/>
  <c r="GT542" i="9" s="1"/>
  <c r="GU542" i="9" s="1"/>
  <c r="GV542" i="9" s="1"/>
  <c r="GQ439" i="9"/>
  <c r="GR439" i="9" s="1"/>
  <c r="GS439" i="9" s="1"/>
  <c r="GT439" i="9" s="1"/>
  <c r="GU439" i="9" s="1"/>
  <c r="GV439" i="9" s="1"/>
  <c r="GQ653" i="9"/>
  <c r="GR653" i="9"/>
  <c r="GS653" i="9" s="1"/>
  <c r="GT653" i="9" s="1"/>
  <c r="GU653" i="9" s="1"/>
  <c r="GV653" i="9" s="1"/>
  <c r="GQ433" i="9"/>
  <c r="GR433" i="9" s="1"/>
  <c r="GS433" i="9" s="1"/>
  <c r="GT433" i="9" s="1"/>
  <c r="GU433" i="9" s="1"/>
  <c r="GV433" i="9" s="1"/>
  <c r="GQ516" i="9"/>
  <c r="GR516" i="9" s="1"/>
  <c r="GS516" i="9" s="1"/>
  <c r="GT516" i="9" s="1"/>
  <c r="GU516" i="9" s="1"/>
  <c r="GV516" i="9" s="1"/>
  <c r="GQ652" i="9"/>
  <c r="GR652" i="9" s="1"/>
  <c r="GS652" i="9" s="1"/>
  <c r="GT652" i="9" s="1"/>
  <c r="GU652" i="9" s="1"/>
  <c r="GV652" i="9" s="1"/>
  <c r="GQ563" i="9"/>
  <c r="GR563" i="9" s="1"/>
  <c r="GS563" i="9" s="1"/>
  <c r="GT563" i="9" s="1"/>
  <c r="GU563" i="9" s="1"/>
  <c r="GV563" i="9" s="1"/>
  <c r="DN689" i="9" a="1"/>
  <c r="DN689" i="9" s="1"/>
  <c r="DM689" i="9" a="1"/>
  <c r="DM689" i="9" s="1"/>
  <c r="DL689" i="9" a="1"/>
  <c r="DL689" i="9" s="1"/>
  <c r="DK689" i="9" a="1"/>
  <c r="DK689" i="9" s="1"/>
  <c r="CG689" i="9" s="1"/>
  <c r="GQ689" i="9"/>
  <c r="GR689" i="9" s="1"/>
  <c r="GS689" i="9" s="1"/>
  <c r="GT689" i="9" s="1"/>
  <c r="GU689" i="9" s="1"/>
  <c r="GV689" i="9" s="1"/>
  <c r="BE194" i="12"/>
  <c r="DG29" i="10"/>
  <c r="DG54" i="10"/>
  <c r="DG79" i="10" s="1"/>
  <c r="DG104" i="10" s="1"/>
  <c r="DG129" i="10" s="1"/>
  <c r="DG154" i="10" s="1"/>
  <c r="DG179" i="10" s="1"/>
  <c r="DG204" i="10" s="1"/>
  <c r="DG229" i="10" s="1"/>
  <c r="DG254" i="10" s="1"/>
  <c r="DG279" i="10" s="1"/>
  <c r="DG304" i="10" s="1"/>
  <c r="DG329" i="10" s="1"/>
  <c r="DG354" i="10" s="1"/>
  <c r="DG379" i="10" s="1"/>
  <c r="DG404" i="10" s="1"/>
  <c r="DG429" i="10" s="1"/>
  <c r="GY534" i="9"/>
  <c r="GZ534" i="9" s="1"/>
  <c r="HH534" i="9" s="1"/>
  <c r="CF534" i="9" s="1"/>
  <c r="GQ417" i="9"/>
  <c r="GR417" i="9" s="1"/>
  <c r="GS417" i="9" s="1"/>
  <c r="GT417" i="9" s="1"/>
  <c r="GU417" i="9" s="1"/>
  <c r="GV417" i="9" s="1"/>
  <c r="GY682" i="9"/>
  <c r="GZ682" i="9" s="1"/>
  <c r="HH682" i="9" s="1"/>
  <c r="GY570" i="9"/>
  <c r="GZ570" i="9" s="1"/>
  <c r="HH570" i="9" s="1"/>
  <c r="CF570" i="9" s="1"/>
  <c r="GY409" i="9"/>
  <c r="GZ409" i="9" s="1"/>
  <c r="HH409" i="9" s="1"/>
  <c r="CF409" i="9" s="1"/>
  <c r="GY665" i="9"/>
  <c r="GZ665" i="9" s="1"/>
  <c r="HH665" i="9" s="1"/>
  <c r="GY424" i="9"/>
  <c r="GZ424" i="9" s="1"/>
  <c r="HH424" i="9" s="1"/>
  <c r="CF424" i="9" s="1"/>
  <c r="GY430" i="9"/>
  <c r="GZ430" i="9" s="1"/>
  <c r="HH430" i="9" s="1"/>
  <c r="CF430" i="9" s="1"/>
  <c r="GY536" i="9"/>
  <c r="GZ536" i="9" s="1"/>
  <c r="HH536" i="9" s="1"/>
  <c r="CF536" i="9" s="1"/>
  <c r="GY561" i="9"/>
  <c r="GZ561" i="9" s="1"/>
  <c r="HH561" i="9" s="1"/>
  <c r="CF561" i="9" s="1"/>
  <c r="GY679" i="9"/>
  <c r="GZ679" i="9" s="1"/>
  <c r="HH679" i="9" s="1"/>
  <c r="GQ544" i="9"/>
  <c r="GR544" i="9" s="1"/>
  <c r="GS544" i="9" s="1"/>
  <c r="GT544" i="9" s="1"/>
  <c r="GU544" i="9" s="1"/>
  <c r="GV544" i="9" s="1"/>
  <c r="GY412" i="9"/>
  <c r="GZ412" i="9" s="1"/>
  <c r="HH412" i="9" s="1"/>
  <c r="CF412" i="9" s="1"/>
  <c r="BR20" i="12"/>
  <c r="CI20" i="12" s="1"/>
  <c r="CI19" i="12"/>
  <c r="GY434" i="9"/>
  <c r="GZ434" i="9" s="1"/>
  <c r="HH434" i="9" s="1"/>
  <c r="CF434" i="9" s="1"/>
  <c r="U166" i="11"/>
  <c r="BK80" i="11" s="1"/>
  <c r="CT321" i="5"/>
  <c r="AU101" i="5"/>
  <c r="CT517" i="5"/>
  <c r="CT335" i="5"/>
  <c r="AV101" i="5"/>
  <c r="CT531" i="5" s="1"/>
  <c r="EX22" i="12"/>
  <c r="CP26" i="12"/>
  <c r="BV59" i="5"/>
  <c r="AM74" i="5"/>
  <c r="CW239" i="10"/>
  <c r="DD236" i="10"/>
  <c r="EZ22" i="12"/>
  <c r="BZ26" i="12"/>
  <c r="CA26" i="12" s="1"/>
  <c r="CQ26" i="12"/>
  <c r="CP46" i="12"/>
  <c r="EZ19" i="12"/>
  <c r="BZ19" i="12"/>
  <c r="BZ20" i="12" s="1"/>
  <c r="BZ21" i="12" s="1"/>
  <c r="BZ22" i="12" s="1"/>
  <c r="BZ23" i="12" s="1"/>
  <c r="FD19" i="12"/>
  <c r="CD19" i="12"/>
  <c r="CD20" i="12" s="1"/>
  <c r="CD21" i="12" s="1"/>
  <c r="CD22" i="12" s="1"/>
  <c r="CD23" i="12" s="1"/>
  <c r="BZ46" i="12"/>
  <c r="DV21" i="12" s="1"/>
  <c r="DY21" i="12" s="1"/>
  <c r="CQ46" i="12"/>
  <c r="CB46" i="12"/>
  <c r="DW21" i="12" s="1"/>
  <c r="DZ21" i="12" s="1"/>
  <c r="CR46" i="12"/>
  <c r="FB22" i="12"/>
  <c r="CB26" i="12"/>
  <c r="CR26" i="12"/>
  <c r="CS46" i="12"/>
  <c r="CD46" i="12"/>
  <c r="DX21" i="12" s="1"/>
  <c r="EA21" i="12" s="1"/>
  <c r="BC75" i="5"/>
  <c r="BW60" i="5"/>
  <c r="CB43" i="12"/>
  <c r="CC43" i="12" s="1"/>
  <c r="DK634" i="9" a="1"/>
  <c r="DK634" i="9" s="1"/>
  <c r="CG634" i="9" s="1"/>
  <c r="DN634" i="9" a="1"/>
  <c r="DN634" i="9" s="1"/>
  <c r="DO634" i="9" a="1"/>
  <c r="DO634" i="9" s="1"/>
  <c r="DP634" i="9" s="1"/>
  <c r="DL634" i="9" s="1" a="1"/>
  <c r="DL634" i="9" s="1"/>
  <c r="DM634" i="9" a="1"/>
  <c r="DM634" i="9" s="1"/>
  <c r="GI221" i="9"/>
  <c r="DK618" i="9" a="1"/>
  <c r="DK618" i="9" s="1"/>
  <c r="CG618" i="9" s="1"/>
  <c r="DO618" i="9" a="1"/>
  <c r="DO618" i="9" s="1"/>
  <c r="DP618" i="9" s="1"/>
  <c r="DL618" i="9" s="1" a="1"/>
  <c r="DL618" i="9" s="1"/>
  <c r="DN618" i="9" a="1"/>
  <c r="DN618" i="9" s="1"/>
  <c r="DM618" i="9" a="1"/>
  <c r="DM618" i="9" s="1"/>
  <c r="DM623" i="9" a="1"/>
  <c r="DM623" i="9" s="1"/>
  <c r="DO623" i="9" a="1"/>
  <c r="DO623" i="9" s="1"/>
  <c r="DP623" i="9" s="1"/>
  <c r="DL623" i="9" s="1" a="1"/>
  <c r="DL623" i="9" s="1"/>
  <c r="DK632" i="9" a="1"/>
  <c r="DK632" i="9" s="1"/>
  <c r="CG632" i="9" s="1"/>
  <c r="DN632" i="9" a="1"/>
  <c r="DN632" i="9" s="1"/>
  <c r="DM632" i="9" a="1"/>
  <c r="DM632" i="9" s="1"/>
  <c r="DO632" i="9" a="1"/>
  <c r="DO632" i="9" s="1"/>
  <c r="DP632" i="9" s="1"/>
  <c r="DL632" i="9" s="1" a="1"/>
  <c r="DL632" i="9" s="1"/>
  <c r="GH577" i="9"/>
  <c r="GI577" i="9" s="1"/>
  <c r="DM617" i="9" a="1"/>
  <c r="DM617" i="9" s="1"/>
  <c r="DN617" i="9" a="1"/>
  <c r="DN617" i="9" s="1"/>
  <c r="DO617" i="9" a="1"/>
  <c r="DO617" i="9" s="1"/>
  <c r="DP617" i="9" s="1"/>
  <c r="DL617" i="9" s="1" a="1"/>
  <c r="DL617" i="9" s="1"/>
  <c r="DK617" i="9" a="1"/>
  <c r="DK617" i="9" s="1"/>
  <c r="CG617" i="9" s="1"/>
  <c r="DC303" i="10"/>
  <c r="DC353" i="10"/>
  <c r="DC328" i="10"/>
  <c r="DC278" i="10"/>
  <c r="DC253" i="10"/>
  <c r="DC178" i="10"/>
  <c r="DC403" i="10"/>
  <c r="DC78" i="10"/>
  <c r="DC128" i="10"/>
  <c r="DC53" i="10"/>
  <c r="DC203" i="10"/>
  <c r="DC428" i="10"/>
  <c r="DC153" i="10"/>
  <c r="DC378" i="10"/>
  <c r="DC228" i="10"/>
  <c r="DC28" i="10"/>
  <c r="DC103" i="10"/>
  <c r="DC306" i="10"/>
  <c r="DC281" i="10"/>
  <c r="DC331" i="10"/>
  <c r="DC181" i="10"/>
  <c r="DC406" i="10"/>
  <c r="DC81" i="10"/>
  <c r="DC56" i="10"/>
  <c r="DC6" i="10"/>
  <c r="DC131" i="10"/>
  <c r="DC356" i="10"/>
  <c r="DC206" i="10"/>
  <c r="DC256" i="10"/>
  <c r="DC156" i="10"/>
  <c r="DC381" i="10"/>
  <c r="DC231" i="10"/>
  <c r="DC31" i="10"/>
  <c r="DC106" i="10"/>
  <c r="DO677" i="9" a="1"/>
  <c r="DO677" i="9" s="1"/>
  <c r="DP677" i="9" s="1"/>
  <c r="DL677" i="9" s="1" a="1"/>
  <c r="DL677" i="9" s="1"/>
  <c r="DN677" i="9" a="1"/>
  <c r="DN677" i="9" s="1"/>
  <c r="DM677" i="9" a="1"/>
  <c r="DM677" i="9" s="1"/>
  <c r="DK677" i="9" a="1"/>
  <c r="DK677" i="9" s="1"/>
  <c r="CG677" i="9" s="1"/>
  <c r="DO616" i="9" a="1"/>
  <c r="DO616" i="9" s="1"/>
  <c r="DP616" i="9" s="1"/>
  <c r="DL616" i="9" s="1" a="1"/>
  <c r="DL616" i="9" s="1"/>
  <c r="DN616" i="9" a="1"/>
  <c r="DN616" i="9" s="1"/>
  <c r="DK616" i="9" a="1"/>
  <c r="DK616" i="9" s="1"/>
  <c r="CG616" i="9" s="1"/>
  <c r="DM616" i="9" a="1"/>
  <c r="DM616" i="9" s="1"/>
  <c r="GH225" i="9"/>
  <c r="GI225" i="9" s="1"/>
  <c r="FD22" i="12"/>
  <c r="CS26" i="12"/>
  <c r="CD26" i="12"/>
  <c r="CE26" i="12" s="1"/>
  <c r="CZ353" i="10"/>
  <c r="CZ352" i="10"/>
  <c r="DK683" i="9" a="1"/>
  <c r="DK683" i="9" s="1"/>
  <c r="CG683" i="9" s="1"/>
  <c r="DO683" i="9" a="1"/>
  <c r="DO683" i="9" s="1"/>
  <c r="DP683" i="9" s="1"/>
  <c r="DL683" i="9" s="1" a="1"/>
  <c r="DL683" i="9" s="1"/>
  <c r="DM683" i="9" a="1"/>
  <c r="DM683" i="9" s="1"/>
  <c r="DN683" i="9" a="1"/>
  <c r="DN683" i="9" s="1"/>
  <c r="DN680" i="9" a="1"/>
  <c r="DN680" i="9" s="1"/>
  <c r="DO680" i="9" a="1"/>
  <c r="DO680" i="9" s="1"/>
  <c r="DP680" i="9" s="1"/>
  <c r="DL680" i="9" s="1" a="1"/>
  <c r="DL680" i="9" s="1"/>
  <c r="DM680" i="9" a="1"/>
  <c r="DM680" i="9" s="1"/>
  <c r="DK680" i="9" a="1"/>
  <c r="DK680" i="9" s="1"/>
  <c r="CG680" i="9" s="1"/>
  <c r="DM666" i="9" a="1"/>
  <c r="DM666" i="9" s="1"/>
  <c r="DK666" i="9" a="1"/>
  <c r="DK666" i="9" s="1"/>
  <c r="CG666" i="9" s="1"/>
  <c r="DN666" i="9" a="1"/>
  <c r="DN666" i="9" s="1"/>
  <c r="DO666" i="9" a="1"/>
  <c r="DO666" i="9" s="1"/>
  <c r="DP666" i="9" s="1"/>
  <c r="DL666" i="9" s="1" a="1"/>
  <c r="DL666" i="9" s="1"/>
  <c r="DK619" i="9" a="1"/>
  <c r="DK619" i="9" s="1"/>
  <c r="CG619" i="9" s="1"/>
  <c r="DM619" i="9" a="1"/>
  <c r="DM619" i="9" s="1"/>
  <c r="DN619" i="9" a="1"/>
  <c r="DN619" i="9" s="1"/>
  <c r="DO619" i="9" a="1"/>
  <c r="DO619" i="9" s="1"/>
  <c r="DP619" i="9" s="1"/>
  <c r="DL619" i="9" s="1" a="1"/>
  <c r="DL619" i="9" s="1"/>
  <c r="V124" i="5"/>
  <c r="L124" i="5"/>
  <c r="N124" i="5"/>
  <c r="Q124" i="5"/>
  <c r="T124" i="5"/>
  <c r="K124" i="5"/>
  <c r="M124" i="5"/>
  <c r="R124" i="5"/>
  <c r="J123" i="5"/>
  <c r="J124" i="5"/>
  <c r="O124" i="5"/>
  <c r="P124" i="5"/>
  <c r="S124" i="5"/>
  <c r="U124" i="5"/>
  <c r="CD43" i="12"/>
  <c r="CE43" i="12" s="1"/>
  <c r="DN686" i="9" a="1"/>
  <c r="DN686" i="9" s="1"/>
  <c r="DK686" i="9" a="1"/>
  <c r="DK686" i="9" s="1"/>
  <c r="CG686" i="9" s="1"/>
  <c r="DO686" i="9" a="1"/>
  <c r="DO686" i="9" s="1"/>
  <c r="DP686" i="9" s="1"/>
  <c r="DL686" i="9" s="1" a="1"/>
  <c r="DL686" i="9" s="1"/>
  <c r="DM686" i="9" a="1"/>
  <c r="DM686" i="9" s="1"/>
  <c r="DM627" i="9" a="1"/>
  <c r="DM627" i="9" s="1"/>
  <c r="DK627" i="9" a="1"/>
  <c r="DK627" i="9" s="1"/>
  <c r="CG627" i="9" s="1"/>
  <c r="DO627" i="9" a="1"/>
  <c r="DO627" i="9" s="1"/>
  <c r="DP627" i="9" s="1"/>
  <c r="DL627" i="9" s="1" a="1"/>
  <c r="DL627" i="9" s="1"/>
  <c r="DN627" i="9" a="1"/>
  <c r="DN627" i="9" s="1"/>
  <c r="DO625" i="9" a="1"/>
  <c r="DO625" i="9" s="1"/>
  <c r="DP625" i="9" s="1"/>
  <c r="DL625" i="9" s="1" a="1"/>
  <c r="DL625" i="9" s="1"/>
  <c r="DK625" i="9" a="1"/>
  <c r="DK625" i="9"/>
  <c r="CG625" i="9" s="1"/>
  <c r="DN625" i="9" a="1"/>
  <c r="DN625" i="9" s="1"/>
  <c r="DM625" i="9" a="1"/>
  <c r="DM625" i="9" s="1"/>
  <c r="DM621" i="9" a="1"/>
  <c r="DM621" i="9" s="1"/>
  <c r="DK621" i="9" a="1"/>
  <c r="DK621" i="9" s="1"/>
  <c r="CG621" i="9" s="1"/>
  <c r="DO621" i="9" a="1"/>
  <c r="DO621" i="9" s="1"/>
  <c r="DP621" i="9" s="1"/>
  <c r="DL621" i="9" s="1" a="1"/>
  <c r="DL621" i="9" s="1"/>
  <c r="DN621" i="9" a="1"/>
  <c r="DN621" i="9" s="1"/>
  <c r="GH455" i="9"/>
  <c r="GI455" i="9" s="1"/>
  <c r="GH104" i="9"/>
  <c r="GI104" i="9" s="1"/>
  <c r="DK629" i="9" a="1"/>
  <c r="DK629" i="9" s="1"/>
  <c r="CG629" i="9" s="1"/>
  <c r="DO629" i="9" a="1"/>
  <c r="DO629" i="9" s="1"/>
  <c r="DP629" i="9" s="1"/>
  <c r="DL629" i="9" s="1" a="1"/>
  <c r="DL629" i="9" s="1"/>
  <c r="DN629" i="9" a="1"/>
  <c r="DN629" i="9"/>
  <c r="DM629" i="9" a="1"/>
  <c r="DM629" i="9" s="1"/>
  <c r="DE347" i="5" a="1"/>
  <c r="DE347" i="5" s="1"/>
  <c r="DE346" i="5" a="1"/>
  <c r="DE346" i="5" s="1"/>
  <c r="DE135" i="5" a="1"/>
  <c r="DE135" i="5" s="1"/>
  <c r="DE155" i="5" a="1"/>
  <c r="DE155" i="5" s="1"/>
  <c r="DE174" i="5" a="1"/>
  <c r="DE174" i="5" s="1"/>
  <c r="DE18" i="5" a="1"/>
  <c r="DE18" i="5" s="1"/>
  <c r="DE397" i="5" a="1"/>
  <c r="DE397" i="5" s="1"/>
  <c r="DE653" i="5" a="1"/>
  <c r="DE653" i="5" s="1"/>
  <c r="DE14" i="5" a="1"/>
  <c r="DE14" i="5" s="1"/>
  <c r="DE417" i="5" a="1"/>
  <c r="DE417" i="5" s="1"/>
  <c r="DE431" i="5" a="1"/>
  <c r="DE431" i="5" s="1"/>
  <c r="DE373" i="5" a="1"/>
  <c r="DE373" i="5" s="1"/>
  <c r="DE747" i="5" a="1"/>
  <c r="DE747" i="5" s="1"/>
  <c r="DE718" i="5" a="1"/>
  <c r="DE718" i="5" s="1"/>
  <c r="DE22" i="5" a="1"/>
  <c r="DE22" i="5" s="1"/>
  <c r="DE740" i="5" a="1"/>
  <c r="DE740" i="5" s="1"/>
  <c r="DE521" i="5" a="1"/>
  <c r="DE521" i="5" s="1"/>
  <c r="DE247" i="5" a="1"/>
  <c r="DE247" i="5" s="1"/>
  <c r="DE182" i="5" a="1"/>
  <c r="DE182" i="5" s="1"/>
  <c r="DE61" i="5" a="1"/>
  <c r="DE61" i="5" s="1"/>
  <c r="DE499" i="5" a="1"/>
  <c r="DE499" i="5" s="1"/>
  <c r="DE126" i="5" a="1"/>
  <c r="DE126" i="5" s="1"/>
  <c r="DE583" i="5" a="1"/>
  <c r="DE583" i="5" s="1"/>
  <c r="DE565" i="5" a="1"/>
  <c r="DE565" i="5" s="1"/>
  <c r="DE660" i="5" a="1"/>
  <c r="DE660" i="5" s="1"/>
  <c r="DE468" i="5" a="1"/>
  <c r="DE468" i="5" s="1"/>
  <c r="DE484" i="5" a="1"/>
  <c r="DE484" i="5" s="1"/>
  <c r="DE491" i="5" a="1"/>
  <c r="DE491" i="5" s="1"/>
  <c r="DE727" i="5" a="1"/>
  <c r="DE727" i="5" s="1"/>
  <c r="DE12" i="5" a="1"/>
  <c r="DE12" i="5" s="1"/>
  <c r="DE447" i="5" a="1"/>
  <c r="DE447" i="5" s="1"/>
  <c r="DE39" i="5" a="1"/>
  <c r="DE39" i="5" s="1"/>
  <c r="DE307" i="5" a="1"/>
  <c r="DE307" i="5" s="1"/>
  <c r="DE259" i="5" a="1"/>
  <c r="DE259" i="5" s="1"/>
  <c r="DE272" i="5" a="1"/>
  <c r="DE272" i="5" s="1"/>
  <c r="DE170" i="5" a="1"/>
  <c r="DE170" i="5" s="1"/>
  <c r="DE552" i="5" a="1"/>
  <c r="DE552" i="5" s="1"/>
  <c r="DE734" i="5" a="1"/>
  <c r="DE734" i="5" s="1"/>
  <c r="DE673" i="5" a="1"/>
  <c r="DE673" i="5" s="1"/>
  <c r="DE166" i="5" a="1"/>
  <c r="DE166" i="5" s="1"/>
  <c r="DE410" i="5" a="1"/>
  <c r="DE410" i="5" s="1"/>
  <c r="DE536" i="5" a="1"/>
  <c r="DE536" i="5" s="1"/>
  <c r="DE585" i="5" a="1"/>
  <c r="DE585" i="5" s="1"/>
  <c r="DE44" i="5" a="1"/>
  <c r="DE44" i="5" s="1"/>
  <c r="DE478" i="5" a="1"/>
  <c r="DE478" i="5" s="1"/>
  <c r="DE351" i="5" a="1"/>
  <c r="DE351" i="5" s="1"/>
  <c r="DE81" i="5" a="1"/>
  <c r="DE81" i="5" s="1"/>
  <c r="DE32" i="5" a="1"/>
  <c r="DE32" i="5" s="1"/>
  <c r="DE622" i="5" a="1"/>
  <c r="DE622" i="5" s="1"/>
  <c r="DE74" i="5" a="1"/>
  <c r="DE74" i="5" s="1"/>
  <c r="DE111" i="5" a="1"/>
  <c r="DE111" i="5" s="1"/>
  <c r="DE545" i="5" a="1"/>
  <c r="DE545" i="5" s="1"/>
  <c r="DE34" i="5" a="1"/>
  <c r="DE34" i="5" s="1"/>
  <c r="DE326" i="5" a="1"/>
  <c r="DE326" i="5" s="1"/>
  <c r="DE194" i="5" a="1"/>
  <c r="DE194" i="5" s="1"/>
  <c r="DE573" i="5" a="1"/>
  <c r="DE573" i="5" s="1"/>
  <c r="DE508" i="5" a="1"/>
  <c r="DE508" i="5" s="1"/>
  <c r="DE239" i="5" a="1"/>
  <c r="DE239" i="5" s="1"/>
  <c r="DE505" i="5" a="1"/>
  <c r="DE505" i="5" s="1"/>
  <c r="DE434" i="5" a="1"/>
  <c r="DE434" i="5" s="1"/>
  <c r="DE313" i="5" a="1"/>
  <c r="DE313" i="5" s="1"/>
  <c r="DE687" i="5" a="1"/>
  <c r="DE687" i="5" s="1"/>
  <c r="DE630" i="5" a="1"/>
  <c r="DE630" i="5" s="1"/>
  <c r="DE650" i="5" a="1"/>
  <c r="DE650" i="5" s="1"/>
  <c r="DE360" i="5" a="1"/>
  <c r="DE360" i="5" s="1"/>
  <c r="DE697" i="5" a="1"/>
  <c r="DE697" i="5" s="1"/>
  <c r="DE515" i="5" a="1"/>
  <c r="DE515" i="5" s="1"/>
  <c r="DE666" i="5" a="1"/>
  <c r="DE666" i="5" s="1"/>
  <c r="DE606" i="5" a="1"/>
  <c r="DE606" i="5" s="1"/>
  <c r="DE441" i="5" a="1"/>
  <c r="DE441" i="5" s="1"/>
  <c r="DE542" i="5" a="1"/>
  <c r="DE542" i="5" s="1"/>
  <c r="DE471" i="5" a="1"/>
  <c r="DE471" i="5" s="1"/>
  <c r="DE215" i="5" a="1"/>
  <c r="DE215" i="5" s="1"/>
  <c r="DE629" i="5" a="1"/>
  <c r="DE629" i="5" s="1"/>
  <c r="DE621" i="5" a="1"/>
  <c r="DE621" i="5" s="1"/>
  <c r="DE238" i="5" a="1"/>
  <c r="DE238" i="5" s="1"/>
  <c r="DE693" i="5" a="1"/>
  <c r="DE693" i="5" s="1"/>
  <c r="DE641" i="5" a="1"/>
  <c r="DE641" i="5" s="1"/>
  <c r="DE518" i="5" a="1"/>
  <c r="DE518" i="5" s="1"/>
  <c r="DE474" i="5" a="1"/>
  <c r="DE474" i="5" s="1"/>
  <c r="DE751" i="5" a="1"/>
  <c r="DE751" i="5" s="1"/>
  <c r="DE421" i="5" a="1"/>
  <c r="DE421" i="5" s="1"/>
  <c r="DE303" i="5" a="1"/>
  <c r="DE303" i="5" s="1"/>
  <c r="DE159" i="5" a="1"/>
  <c r="DE159" i="5" s="1"/>
  <c r="DE40" i="5" a="1"/>
  <c r="DE40" i="5" s="1"/>
  <c r="DE218" i="5" a="1"/>
  <c r="DE218" i="5" s="1"/>
  <c r="DE365" i="5" a="1"/>
  <c r="DE365" i="5" s="1"/>
  <c r="DE411" i="5" a="1"/>
  <c r="DE411" i="5" s="1"/>
  <c r="DE300" i="5" a="1"/>
  <c r="DE300" i="5" s="1"/>
  <c r="DE112" i="5" a="1"/>
  <c r="DE112" i="5" s="1"/>
  <c r="DE367" i="5" a="1"/>
  <c r="DE367" i="5" s="1"/>
  <c r="DE527" i="5" a="1"/>
  <c r="DE527" i="5" s="1"/>
  <c r="DE379" i="5" a="1"/>
  <c r="DE379" i="5" s="1"/>
  <c r="DE266" i="5" a="1"/>
  <c r="DE266" i="5" s="1"/>
  <c r="DE97" i="5" a="1"/>
  <c r="DE97" i="5" s="1"/>
  <c r="DE487" i="5" a="1"/>
  <c r="DE487" i="5" s="1"/>
  <c r="DE195" i="5" a="1"/>
  <c r="DE195" i="5" s="1"/>
  <c r="DE114" i="5" a="1"/>
  <c r="DE114" i="5" s="1"/>
  <c r="DE714" i="5" a="1"/>
  <c r="DE714" i="5" s="1"/>
  <c r="DE569" i="5" a="1"/>
  <c r="DE569" i="5" s="1"/>
  <c r="DE248" i="5" a="1"/>
  <c r="DE248" i="5" s="1"/>
  <c r="DE716" i="5" a="1"/>
  <c r="DE716" i="5" s="1"/>
  <c r="DE423" i="5" a="1"/>
  <c r="DE423" i="5" s="1"/>
  <c r="DE87" i="5" a="1"/>
  <c r="DE87" i="5" s="1"/>
  <c r="DE627" i="5" a="1"/>
  <c r="DE627" i="5" s="1"/>
  <c r="DE479" i="5" a="1"/>
  <c r="DE479" i="5" s="1"/>
  <c r="DE292" i="5" a="1"/>
  <c r="DE292" i="5" s="1"/>
  <c r="DE69" i="5" a="1"/>
  <c r="DE69" i="5" s="1"/>
  <c r="DE531" i="5" a="1"/>
  <c r="DE531" i="5" s="1"/>
  <c r="DE310" i="5" a="1"/>
  <c r="DE310" i="5" s="1"/>
  <c r="DE507" i="5" a="1"/>
  <c r="DE507" i="5" s="1"/>
  <c r="DE261" i="5" a="1"/>
  <c r="DE261" i="5" s="1"/>
  <c r="DE80" i="5" a="1"/>
  <c r="DE80" i="5" s="1"/>
  <c r="DE730" i="5" a="1"/>
  <c r="DE730" i="5" s="1"/>
  <c r="DE625" i="5" a="1"/>
  <c r="DE625" i="5" s="1"/>
  <c r="DE145" i="5" a="1"/>
  <c r="DE145" i="5" s="1"/>
  <c r="DE728" i="5" a="1"/>
  <c r="DE728" i="5" s="1"/>
  <c r="DE677" i="5" a="1"/>
  <c r="DE677" i="5" s="1"/>
  <c r="DE435" i="5" a="1"/>
  <c r="DE435" i="5" s="1"/>
  <c r="DE263" i="5" a="1"/>
  <c r="DE263" i="5" s="1"/>
  <c r="DE342" i="5" a="1"/>
  <c r="DE342" i="5" s="1"/>
  <c r="DE244" i="5" a="1"/>
  <c r="DE244" i="5" s="1"/>
  <c r="DE711" i="5" a="1"/>
  <c r="DE711" i="5" s="1"/>
  <c r="DE529" i="5" a="1"/>
  <c r="DE529" i="5" s="1"/>
  <c r="DE327" i="5" a="1"/>
  <c r="DE327" i="5" s="1"/>
  <c r="DE294" i="5" a="1"/>
  <c r="DE294" i="5" s="1"/>
  <c r="DE89" i="5" a="1"/>
  <c r="DE89" i="5" s="1"/>
  <c r="DE709" i="5" a="1"/>
  <c r="DE709" i="5" s="1"/>
  <c r="DE490" i="5" a="1"/>
  <c r="DE490" i="5" s="1"/>
  <c r="DE298" i="5" a="1"/>
  <c r="DE298" i="5" s="1"/>
  <c r="DE706" i="5" a="1"/>
  <c r="DE706" i="5" s="1"/>
  <c r="DE450" i="5" a="1"/>
  <c r="DE450" i="5" s="1"/>
  <c r="DE138" i="5" a="1"/>
  <c r="DE138" i="5" s="1"/>
  <c r="DE108" i="5" a="1"/>
  <c r="DE108" i="5" s="1"/>
  <c r="DE691" i="5" a="1"/>
  <c r="DE691" i="5" s="1"/>
  <c r="DE136" i="5" a="1"/>
  <c r="DE136" i="5" s="1"/>
  <c r="DE386" i="5" a="1"/>
  <c r="DE386" i="5" s="1"/>
  <c r="DE513" i="5" a="1"/>
  <c r="DE513" i="5" s="1"/>
  <c r="DE236" i="5" a="1"/>
  <c r="DE236" i="5" s="1"/>
  <c r="DE704" i="5" a="1"/>
  <c r="DE704" i="5" s="1"/>
  <c r="DE106" i="5" a="1"/>
  <c r="DE106" i="5" s="1"/>
  <c r="DE302" i="5" a="1"/>
  <c r="DE302" i="5" s="1"/>
  <c r="DE164" i="5" a="1"/>
  <c r="DE164" i="5" s="1"/>
  <c r="DE168" i="5" a="1"/>
  <c r="DE168" i="5" s="1"/>
  <c r="DE710" i="5" a="1"/>
  <c r="DE710" i="5" s="1"/>
  <c r="DE315" i="5" a="1"/>
  <c r="DE315" i="5" s="1"/>
  <c r="DE743" i="5" a="1"/>
  <c r="DE743" i="5" s="1"/>
  <c r="DE561" i="5" a="1"/>
  <c r="DE561" i="5" s="1"/>
  <c r="DE524" i="5" a="1"/>
  <c r="DE524" i="5" s="1"/>
  <c r="DE363" i="5" a="1"/>
  <c r="DE363" i="5" s="1"/>
  <c r="DE607" i="5" a="1"/>
  <c r="DE607" i="5" s="1"/>
  <c r="DE384" i="5" a="1"/>
  <c r="DE384" i="5" s="1"/>
  <c r="DE273" i="5" a="1"/>
  <c r="DE273" i="5" s="1"/>
  <c r="DE240" i="5" a="1"/>
  <c r="DE240" i="5" s="1"/>
  <c r="DE62" i="5" a="1"/>
  <c r="DE62" i="5" s="1"/>
  <c r="DE476" i="5" a="1"/>
  <c r="DE476" i="5" s="1"/>
  <c r="DE698" i="5" a="1"/>
  <c r="DE698" i="5" s="1"/>
  <c r="DE492" i="5" a="1"/>
  <c r="DE492" i="5" s="1"/>
  <c r="DE368" i="5" a="1"/>
  <c r="DE368" i="5" s="1"/>
  <c r="DE119" i="5" a="1"/>
  <c r="DE119" i="5" s="1"/>
  <c r="DE158" i="5" a="1"/>
  <c r="DE158" i="5" s="1"/>
  <c r="DE380" i="5" a="1"/>
  <c r="DE380" i="5" s="1"/>
  <c r="DE726" i="5" a="1"/>
  <c r="DE726" i="5" s="1"/>
  <c r="DE544" i="5" a="1"/>
  <c r="DE544" i="5" s="1"/>
  <c r="DE433" i="5" a="1"/>
  <c r="DE433" i="5" s="1"/>
  <c r="DE117" i="5" a="1"/>
  <c r="DE117" i="5" s="1"/>
  <c r="DE656" i="5" a="1"/>
  <c r="DE656" i="5" s="1"/>
  <c r="DE481" i="5" a="1"/>
  <c r="DE481" i="5" s="1"/>
  <c r="DE400" i="5" a="1"/>
  <c r="DE400" i="5" s="1"/>
  <c r="DE242" i="5" a="1"/>
  <c r="DE242" i="5" s="1"/>
  <c r="DE398" i="5" a="1"/>
  <c r="DE398" i="5" s="1"/>
  <c r="DE85" i="5" a="1"/>
  <c r="DE85" i="5" s="1"/>
  <c r="DE679" i="5" a="1"/>
  <c r="DE679" i="5" s="1"/>
  <c r="DE322" i="5" a="1"/>
  <c r="DE322" i="5" s="1"/>
  <c r="DE732" i="5" a="1"/>
  <c r="DE732" i="5" s="1"/>
  <c r="DE522" i="5" a="1"/>
  <c r="DE522" i="5" s="1"/>
  <c r="DE82" i="5" a="1"/>
  <c r="DE82" i="5" s="1"/>
  <c r="DE750" i="5" a="1"/>
  <c r="DE750" i="5" s="1"/>
  <c r="DE383" i="5" a="1"/>
  <c r="DE383" i="5" s="1"/>
  <c r="DE84" i="5" a="1"/>
  <c r="DE84" i="5" s="1"/>
  <c r="DE204" i="5" a="1"/>
  <c r="DE204" i="5" s="1"/>
  <c r="DE672" i="5" a="1"/>
  <c r="DE672" i="5" s="1"/>
  <c r="DE470" i="5" a="1"/>
  <c r="DE470" i="5" s="1"/>
  <c r="DE281" i="5" a="1"/>
  <c r="DE281" i="5" s="1"/>
  <c r="DE214" i="5" a="1"/>
  <c r="DE214" i="5" s="1"/>
  <c r="DE38" i="5" a="1"/>
  <c r="DE38" i="5" s="1"/>
  <c r="DE586" i="5" a="1"/>
  <c r="DE586" i="5" s="1"/>
  <c r="DE407" i="5" a="1"/>
  <c r="DE407" i="5" s="1"/>
  <c r="DE234" i="5" a="1"/>
  <c r="DE234" i="5" s="1"/>
  <c r="DE631" i="5" a="1"/>
  <c r="DE631" i="5" s="1"/>
  <c r="DE495" i="5" a="1"/>
  <c r="DE495" i="5" s="1"/>
  <c r="DE361" i="5" a="1"/>
  <c r="DE361" i="5" s="1"/>
  <c r="DE50" i="5" a="1"/>
  <c r="DE50" i="5" s="1"/>
  <c r="DE497" i="5" a="1"/>
  <c r="DE497" i="5" s="1"/>
  <c r="DE643" i="5" a="1"/>
  <c r="DE643" i="5" s="1"/>
  <c r="DE439" i="5" a="1"/>
  <c r="DE439" i="5" s="1"/>
  <c r="DE66" i="5" a="1"/>
  <c r="DE66" i="5" s="1"/>
  <c r="DE661" i="5" a="1"/>
  <c r="DE661" i="5" s="1"/>
  <c r="DE317" i="5" a="1"/>
  <c r="DE317" i="5" s="1"/>
  <c r="DE713" i="5" a="1"/>
  <c r="DE713" i="5" s="1"/>
  <c r="DE121" i="5" a="1"/>
  <c r="DE121" i="5" s="1"/>
  <c r="DE425" i="5" a="1"/>
  <c r="DE425" i="5" s="1"/>
  <c r="DE700" i="5" a="1"/>
  <c r="DE700" i="5" s="1"/>
  <c r="DE623" i="5" a="1"/>
  <c r="DE623" i="5" s="1"/>
  <c r="DE308" i="5" a="1"/>
  <c r="DE308" i="5" s="1"/>
  <c r="DE655" i="5" a="1"/>
  <c r="DE655" i="5" s="1"/>
  <c r="DE436" i="5" a="1"/>
  <c r="DE436" i="5" s="1"/>
  <c r="DE296" i="5" a="1"/>
  <c r="DE296" i="5" s="1"/>
  <c r="DE129" i="5" a="1"/>
  <c r="DE129" i="5" s="1"/>
  <c r="DE100" i="5" a="1"/>
  <c r="DE100" i="5" s="1"/>
  <c r="DE333" i="5" a="1"/>
  <c r="DE333" i="5" s="1"/>
  <c r="DE48" i="5" a="1"/>
  <c r="DE48" i="5" s="1"/>
  <c r="DE663" i="5" a="1"/>
  <c r="DE663" i="5" s="1"/>
  <c r="DE568" i="5" a="1"/>
  <c r="DE568" i="5" s="1"/>
  <c r="DE334" i="5" a="1"/>
  <c r="DE334" i="5" s="1"/>
  <c r="DE574" i="5" a="1"/>
  <c r="DE574" i="5" s="1"/>
  <c r="DE399" i="5" a="1"/>
  <c r="DE399" i="5" s="1"/>
  <c r="DE264" i="5" a="1"/>
  <c r="DE264" i="5" s="1"/>
  <c r="DE181" i="5" a="1"/>
  <c r="DE181" i="5" s="1"/>
  <c r="DE46" i="5" a="1"/>
  <c r="DE46" i="5" s="1"/>
  <c r="DE323" i="5" a="1"/>
  <c r="DE323" i="5" s="1"/>
  <c r="DE746" i="5" a="1"/>
  <c r="DE746" i="5" s="1"/>
  <c r="DE509" i="5" a="1"/>
  <c r="DE509" i="5" s="1"/>
  <c r="DE402" i="5" a="1"/>
  <c r="DE402" i="5" s="1"/>
  <c r="DE348" i="5" a="1"/>
  <c r="DE348" i="5" s="1"/>
  <c r="DE729" i="5" a="1"/>
  <c r="DE729" i="5" s="1"/>
  <c r="DE632" i="5" a="1"/>
  <c r="DE632" i="5" s="1"/>
  <c r="DE533" i="5" a="1"/>
  <c r="DE533" i="5" s="1"/>
  <c r="DE459" i="5" a="1"/>
  <c r="DE459" i="5" s="1"/>
  <c r="DE362" i="5" a="1"/>
  <c r="DE362" i="5" s="1"/>
  <c r="DE312" i="5" a="1"/>
  <c r="DE312" i="5" s="1"/>
  <c r="DE217" i="5" a="1"/>
  <c r="DE217" i="5" s="1"/>
  <c r="DE92" i="5" a="1"/>
  <c r="DE92" i="5" s="1"/>
  <c r="DE51" i="5" a="1"/>
  <c r="DE51" i="5" s="1"/>
  <c r="DE318" i="5" a="1"/>
  <c r="DE318" i="5" s="1"/>
  <c r="DE638" i="5" a="1"/>
  <c r="DE638" i="5" s="1"/>
  <c r="DE555" i="5" a="1"/>
  <c r="DE555" i="5" s="1"/>
  <c r="DE283" i="5" a="1"/>
  <c r="DE283" i="5" s="1"/>
  <c r="DE329" i="5" a="1"/>
  <c r="DE329" i="5" s="1"/>
  <c r="DE721" i="5" a="1"/>
  <c r="DE721" i="5" s="1"/>
  <c r="DE608" i="5" a="1"/>
  <c r="DE608" i="5" s="1"/>
  <c r="DE510" i="5" a="1"/>
  <c r="DE510" i="5" s="1"/>
  <c r="DE428" i="5" a="1"/>
  <c r="DE428" i="5" s="1"/>
  <c r="DE385" i="5" a="1"/>
  <c r="DE385" i="5" s="1"/>
  <c r="DE278" i="5" a="1"/>
  <c r="DE278" i="5" s="1"/>
  <c r="DE177" i="5" a="1"/>
  <c r="DE177" i="5" s="1"/>
  <c r="DE86" i="5" a="1"/>
  <c r="DE86" i="5" s="1"/>
  <c r="DE25" i="5" a="1"/>
  <c r="DE25" i="5" s="1"/>
  <c r="DE564" i="5" a="1"/>
  <c r="DE564" i="5" s="1"/>
  <c r="DE437" i="5" a="1"/>
  <c r="DE437" i="5" s="1"/>
  <c r="DE232" i="5" a="1"/>
  <c r="DE232" i="5" s="1"/>
  <c r="DE534" i="5" a="1"/>
  <c r="DE534" i="5" s="1"/>
  <c r="DE678" i="5" a="1"/>
  <c r="DE678" i="5" s="1"/>
  <c r="DE684" i="5" a="1"/>
  <c r="DE684" i="5" s="1"/>
  <c r="DE502" i="5" a="1"/>
  <c r="DE502" i="5" s="1"/>
  <c r="DE473" i="5" a="1"/>
  <c r="DE473" i="5" s="1"/>
  <c r="DE254" i="5" a="1"/>
  <c r="DE254" i="5" s="1"/>
  <c r="DE274" i="5" a="1"/>
  <c r="DE274" i="5" s="1"/>
  <c r="DE233" i="5" a="1"/>
  <c r="DE233" i="5" s="1"/>
  <c r="DE123" i="5" a="1"/>
  <c r="DE123" i="5" s="1"/>
  <c r="DE21" i="5" a="1"/>
  <c r="DE21" i="5" s="1"/>
  <c r="DE416" i="5" a="1"/>
  <c r="DE416" i="5" s="1"/>
  <c r="DE370" i="5" a="1"/>
  <c r="DE370" i="5" s="1"/>
  <c r="DE45" i="5" a="1"/>
  <c r="DE45" i="5" s="1"/>
  <c r="DE161" i="5" a="1"/>
  <c r="DE161" i="5" s="1"/>
  <c r="DE566" i="5" a="1"/>
  <c r="DE566" i="5" s="1"/>
  <c r="DE692" i="5" a="1"/>
  <c r="DE692" i="5" s="1"/>
  <c r="DE624" i="5" a="1"/>
  <c r="DE624" i="5" s="1"/>
  <c r="DE539" i="5" a="1"/>
  <c r="DE539" i="5" s="1"/>
  <c r="DE422" i="5" a="1"/>
  <c r="DE422" i="5" s="1"/>
  <c r="DE249" i="5" a="1"/>
  <c r="DE249" i="5" s="1"/>
  <c r="DE269" i="5" a="1"/>
  <c r="DE269" i="5" s="1"/>
  <c r="DE183" i="5" a="1"/>
  <c r="DE183" i="5" s="1"/>
  <c r="DE63" i="5" a="1"/>
  <c r="DE63" i="5" s="1"/>
  <c r="DE290" i="5" a="1"/>
  <c r="DE290" i="5" s="1"/>
  <c r="DE205" i="5" a="1"/>
  <c r="DE205" i="5" s="1"/>
  <c r="DE752" i="5" a="1"/>
  <c r="DE752" i="5" s="1"/>
  <c r="DE547" i="5" a="1"/>
  <c r="DE547" i="5" s="1"/>
  <c r="DE496" i="5" a="1"/>
  <c r="DE496" i="5" s="1"/>
  <c r="DE391" i="5" a="1"/>
  <c r="DE391" i="5" s="1"/>
  <c r="DE284" i="5" a="1"/>
  <c r="DE284" i="5" s="1"/>
  <c r="DE173" i="5" a="1"/>
  <c r="DE173" i="5" s="1"/>
  <c r="DE29" i="5" a="1"/>
  <c r="DE29" i="5" s="1"/>
  <c r="DE31" i="5" a="1"/>
  <c r="DE31" i="5" s="1"/>
  <c r="DE343" i="5" a="1"/>
  <c r="DE343" i="5" s="1"/>
  <c r="DE246" i="5" a="1"/>
  <c r="DE246" i="5" s="1"/>
  <c r="DE455" i="5" a="1"/>
  <c r="DE455" i="5" s="1"/>
  <c r="DE715" i="5" a="1"/>
  <c r="DE715" i="5" s="1"/>
  <c r="DE570" i="5" a="1"/>
  <c r="DE570" i="5" s="1"/>
  <c r="DE465" i="5" a="1"/>
  <c r="DE465" i="5" s="1"/>
  <c r="DE354" i="5" a="1"/>
  <c r="DE354" i="5" s="1"/>
  <c r="DE304" i="5" a="1"/>
  <c r="DE304" i="5" s="1"/>
  <c r="DE160" i="5" a="1"/>
  <c r="DE160" i="5" s="1"/>
  <c r="DE165" i="5" a="1"/>
  <c r="DE165" i="5" s="1"/>
  <c r="DE13" i="5" a="1"/>
  <c r="DE13" i="5" s="1"/>
  <c r="DE55" i="5" a="1"/>
  <c r="DE55" i="5" s="1"/>
  <c r="DE338" i="5" a="1"/>
  <c r="DE338" i="5" s="1"/>
  <c r="DM663" i="9" a="1"/>
  <c r="DM663" i="9" s="1"/>
  <c r="DK663" i="9" a="1"/>
  <c r="DK663" i="9" s="1"/>
  <c r="CG663" i="9" s="1"/>
  <c r="GH236" i="9"/>
  <c r="GI236" i="9" s="1"/>
  <c r="GH164" i="9"/>
  <c r="GI164" i="9" s="1"/>
  <c r="EX19" i="12"/>
  <c r="FB19" i="12"/>
  <c r="CB19" i="12"/>
  <c r="CB20" i="12" s="1"/>
  <c r="CB21" i="12" s="1"/>
  <c r="CB22" i="12" s="1"/>
  <c r="CB23" i="12" s="1"/>
  <c r="DM622" i="9" a="1"/>
  <c r="DM622" i="9" s="1"/>
  <c r="DO622" i="9" a="1"/>
  <c r="DO622" i="9" s="1"/>
  <c r="DP622" i="9" s="1"/>
  <c r="DL622" i="9" s="1" a="1"/>
  <c r="DL622" i="9" s="1"/>
  <c r="DN622" i="9" a="1"/>
  <c r="DN622" i="9" s="1"/>
  <c r="DK622" i="9" a="1"/>
  <c r="DK622" i="9" s="1"/>
  <c r="CG622" i="9" s="1"/>
  <c r="AA49" i="5"/>
  <c r="AG49" i="5"/>
  <c r="AK49" i="5"/>
  <c r="AB49" i="5"/>
  <c r="AC49" i="5"/>
  <c r="AD49" i="5"/>
  <c r="AE49" i="5"/>
  <c r="AJ49" i="5"/>
  <c r="AF49" i="5"/>
  <c r="Z48" i="5"/>
  <c r="Z49" i="5"/>
  <c r="DD146" i="5" a="1"/>
  <c r="DD146" i="5" s="1"/>
  <c r="AH49" i="5"/>
  <c r="AI49" i="5"/>
  <c r="AL49" i="5"/>
  <c r="DD145" i="5" a="1"/>
  <c r="DD145" i="5" s="1"/>
  <c r="DD700" i="5" a="1"/>
  <c r="DD700" i="5" s="1"/>
  <c r="DD649" i="5" a="1"/>
  <c r="DD649" i="5" s="1"/>
  <c r="DK626" i="9" a="1"/>
  <c r="DK626" i="9" s="1"/>
  <c r="CG626" i="9" s="1"/>
  <c r="DN626" i="9" a="1"/>
  <c r="DN626" i="9" s="1"/>
  <c r="DO626" i="9" a="1"/>
  <c r="DO626" i="9" s="1"/>
  <c r="DP626" i="9" s="1"/>
  <c r="DL626" i="9" s="1" a="1"/>
  <c r="DL626" i="9" s="1"/>
  <c r="DM626" i="9" a="1"/>
  <c r="DM626" i="9" s="1"/>
  <c r="DK646" i="9" a="1"/>
  <c r="DK646" i="9" s="1"/>
  <c r="CG646" i="9" s="1"/>
  <c r="DN646" i="9" a="1"/>
  <c r="DN646" i="9" s="1"/>
  <c r="DM646" i="9" a="1"/>
  <c r="DM646" i="9" s="1"/>
  <c r="DO646" i="9" a="1"/>
  <c r="DO646" i="9" s="1"/>
  <c r="DP646" i="9" s="1"/>
  <c r="DL646" i="9" s="1" a="1"/>
  <c r="DL646" i="9" s="1"/>
  <c r="GY13" i="9"/>
  <c r="GZ13" i="9" s="1"/>
  <c r="HH13" i="9" s="1"/>
  <c r="CF13" i="9" s="1"/>
  <c r="GQ13" i="9"/>
  <c r="GR13" i="9" s="1"/>
  <c r="GS13" i="9" s="1"/>
  <c r="GT13" i="9" s="1"/>
  <c r="GU13" i="9" s="1"/>
  <c r="GV13" i="9" s="1"/>
  <c r="DO628" i="9" a="1"/>
  <c r="DO628" i="9" s="1"/>
  <c r="DP628" i="9" s="1"/>
  <c r="DL628" i="9" s="1" a="1"/>
  <c r="DL628" i="9" s="1"/>
  <c r="DK628" i="9" a="1"/>
  <c r="DK628" i="9" s="1"/>
  <c r="CG628" i="9" s="1"/>
  <c r="DN628" i="9" a="1"/>
  <c r="DN628" i="9"/>
  <c r="DM628" i="9" a="1"/>
  <c r="DM628" i="9" s="1"/>
  <c r="AE42" i="12"/>
  <c r="AG42" i="12" s="1"/>
  <c r="K65" i="12"/>
  <c r="AE65" i="12"/>
  <c r="AG65" i="12" s="1"/>
  <c r="CP43" i="12"/>
  <c r="CS43" i="12"/>
  <c r="CS34" i="12"/>
  <c r="CR34" i="12"/>
  <c r="CQ34" i="12"/>
  <c r="DJ246" i="5" s="1"/>
  <c r="CP34" i="12"/>
  <c r="CW298" i="10"/>
  <c r="DD295" i="10"/>
  <c r="CW184" i="10"/>
  <c r="DD181" i="10"/>
  <c r="DD406" i="10" s="1"/>
  <c r="CW221" i="10"/>
  <c r="DD218" i="10"/>
  <c r="CE175" i="9"/>
  <c r="CT340" i="5"/>
  <c r="AV106" i="5"/>
  <c r="CT536" i="5"/>
  <c r="CT326" i="5"/>
  <c r="AU106" i="5"/>
  <c r="CT522" i="5" s="1"/>
  <c r="CT341" i="5"/>
  <c r="AV107" i="5"/>
  <c r="CT537" i="5" s="1"/>
  <c r="BW58" i="5"/>
  <c r="CT333" i="5"/>
  <c r="AV99" i="5"/>
  <c r="CT529" i="5"/>
  <c r="CT327" i="5"/>
  <c r="AU107" i="5"/>
  <c r="CT523" i="5" s="1"/>
  <c r="CT319" i="5"/>
  <c r="AU99" i="5"/>
  <c r="CT515" i="5"/>
  <c r="K142" i="11"/>
  <c r="BF34" i="11" s="1"/>
  <c r="K192" i="11"/>
  <c r="BG34" i="11"/>
  <c r="K193" i="11"/>
  <c r="BG35" i="11" s="1"/>
  <c r="K148" i="11"/>
  <c r="BF38" i="11" s="1"/>
  <c r="K198" i="11"/>
  <c r="BG38" i="11" s="1"/>
  <c r="BH35" i="11"/>
  <c r="CW240" i="10"/>
  <c r="DD237" i="10"/>
  <c r="DD130" i="10"/>
  <c r="CW108" i="10"/>
  <c r="CW122" i="10"/>
  <c r="DD119" i="10"/>
  <c r="CW293" i="10"/>
  <c r="DD290" i="10"/>
  <c r="CW332" i="10"/>
  <c r="DD354" i="10"/>
  <c r="DD308" i="10"/>
  <c r="CW311" i="10"/>
  <c r="CW142" i="10"/>
  <c r="DD139" i="10"/>
  <c r="DD364" i="10" s="1"/>
  <c r="CW309" i="10"/>
  <c r="DD306" i="10"/>
  <c r="CW18" i="10"/>
  <c r="DD15" i="10"/>
  <c r="CW273" i="10"/>
  <c r="DD270" i="10"/>
  <c r="CW170" i="10"/>
  <c r="DD167" i="10"/>
  <c r="DD392" i="10" s="1"/>
  <c r="CW174" i="10"/>
  <c r="DD171" i="10"/>
  <c r="DD396" i="10" s="1"/>
  <c r="CW107" i="10"/>
  <c r="DD129" i="10"/>
  <c r="CW283" i="10"/>
  <c r="DD305" i="10"/>
  <c r="DD304" i="10"/>
  <c r="CW282" i="10"/>
  <c r="CW327" i="10"/>
  <c r="DD324" i="10"/>
  <c r="CW32" i="10"/>
  <c r="DD54" i="10"/>
  <c r="CW15" i="10"/>
  <c r="DD12" i="10"/>
  <c r="CW200" i="10"/>
  <c r="DD197" i="10"/>
  <c r="DD422" i="10" s="1"/>
  <c r="CW70" i="10"/>
  <c r="DD67" i="10"/>
  <c r="CW317" i="10"/>
  <c r="DD314" i="10"/>
  <c r="CW100" i="10"/>
  <c r="DD97" i="10"/>
  <c r="CW275" i="10"/>
  <c r="DD272" i="10"/>
  <c r="CW314" i="10"/>
  <c r="DD311" i="10"/>
  <c r="CW251" i="10"/>
  <c r="DD248" i="10"/>
  <c r="CW168" i="10"/>
  <c r="DD165" i="10"/>
  <c r="DD390" i="10" s="1"/>
  <c r="CW247" i="10"/>
  <c r="DD244" i="10"/>
  <c r="CW104" i="10"/>
  <c r="DD101" i="10"/>
  <c r="CW278" i="10"/>
  <c r="DD275" i="10"/>
  <c r="CW7" i="10"/>
  <c r="DD29" i="10"/>
  <c r="CW234" i="10"/>
  <c r="DD231" i="10"/>
  <c r="CW96" i="10"/>
  <c r="DD93" i="10"/>
  <c r="CW144" i="10"/>
  <c r="DD141" i="10"/>
  <c r="DD366" i="10" s="1"/>
  <c r="CW343" i="10"/>
  <c r="DD340" i="10"/>
  <c r="CW43" i="10"/>
  <c r="DD40" i="10"/>
  <c r="CW84" i="10"/>
  <c r="DD81" i="10"/>
  <c r="CW186" i="10"/>
  <c r="DD183" i="10"/>
  <c r="DD408" i="10" s="1"/>
  <c r="CW75" i="10"/>
  <c r="DD72" i="10"/>
  <c r="CW235" i="10"/>
  <c r="DD232" i="10"/>
  <c r="CW74" i="10"/>
  <c r="DD71" i="10"/>
  <c r="DD45" i="10"/>
  <c r="CW48" i="10"/>
  <c r="DD268" i="10"/>
  <c r="CW271" i="10"/>
  <c r="CW341" i="10"/>
  <c r="DD338" i="10"/>
  <c r="CW34" i="10"/>
  <c r="DD31" i="10"/>
  <c r="CW160" i="10"/>
  <c r="DD157" i="10"/>
  <c r="DD382" i="10" s="1"/>
  <c r="CW301" i="10"/>
  <c r="DD298" i="10"/>
  <c r="CW324" i="10"/>
  <c r="DD321" i="10"/>
  <c r="CW315" i="10"/>
  <c r="DD312" i="10"/>
  <c r="CW328" i="10"/>
  <c r="DD325" i="10"/>
  <c r="CW67" i="10"/>
  <c r="DD64" i="10"/>
  <c r="CW183" i="10"/>
  <c r="DD205" i="10"/>
  <c r="DD430" i="10" s="1"/>
  <c r="CW223" i="10"/>
  <c r="DD220" i="10"/>
  <c r="CW141" i="10"/>
  <c r="DD138" i="10"/>
  <c r="DD363" i="10" s="1"/>
  <c r="CW295" i="10"/>
  <c r="DD292" i="10"/>
  <c r="CW340" i="10"/>
  <c r="DD337" i="10"/>
  <c r="CW69" i="10"/>
  <c r="DD66" i="10"/>
  <c r="CW333" i="10"/>
  <c r="DD355" i="10"/>
  <c r="CW115" i="10"/>
  <c r="DD112" i="10"/>
  <c r="CW214" i="10"/>
  <c r="DD211" i="10"/>
  <c r="CW259" i="10"/>
  <c r="DD256" i="10"/>
  <c r="CW270" i="10"/>
  <c r="CW307" i="10"/>
  <c r="CW68" i="10"/>
  <c r="CW210" i="10"/>
  <c r="DD104" i="10"/>
  <c r="CW82" i="10"/>
  <c r="CW265" i="10"/>
  <c r="DD262" i="10"/>
  <c r="CW308" i="10"/>
  <c r="DD330" i="10"/>
  <c r="CW85" i="10"/>
  <c r="DD82" i="10"/>
  <c r="CW325" i="10"/>
  <c r="DD322" i="10"/>
  <c r="AF87" i="10"/>
  <c r="CW232" i="10"/>
  <c r="CV232" i="10"/>
  <c r="DD32" i="10"/>
  <c r="CW35" i="10"/>
  <c r="DD283" i="10"/>
  <c r="CW286" i="10"/>
  <c r="CW9" i="10"/>
  <c r="DD6" i="10"/>
  <c r="CW258" i="10"/>
  <c r="DD280" i="10"/>
  <c r="CW303" i="10"/>
  <c r="DD300" i="10"/>
  <c r="DD168" i="10"/>
  <c r="DD393" i="10" s="1"/>
  <c r="CW171" i="10"/>
  <c r="CW97" i="10"/>
  <c r="DD94" i="10"/>
  <c r="CW158" i="10"/>
  <c r="DD180" i="10"/>
  <c r="DD405" i="10" s="1"/>
  <c r="CW95" i="10"/>
  <c r="DD92" i="10"/>
  <c r="CW252" i="10"/>
  <c r="DD249" i="10"/>
  <c r="CW217" i="10"/>
  <c r="DD214" i="10"/>
  <c r="CW266" i="10"/>
  <c r="DD263" i="10"/>
  <c r="DD269" i="10"/>
  <c r="CW272" i="10"/>
  <c r="CW248" i="10"/>
  <c r="DD245" i="10"/>
  <c r="CW304" i="10"/>
  <c r="DD301" i="10"/>
  <c r="L174" i="11"/>
  <c r="BK18" i="11" s="1"/>
  <c r="L40" i="11"/>
  <c r="L97" i="11"/>
  <c r="BM37" i="11" s="1"/>
  <c r="BL17" i="11"/>
  <c r="L124" i="11"/>
  <c r="BJ18" i="11"/>
  <c r="CB161" i="9"/>
  <c r="CC161" i="9"/>
  <c r="Q176" i="11"/>
  <c r="BG76" i="11" s="1"/>
  <c r="BL43" i="11"/>
  <c r="L152" i="11"/>
  <c r="BJ42" i="11" s="1"/>
  <c r="CB157" i="9"/>
  <c r="CE162" i="9"/>
  <c r="CC162" i="9"/>
  <c r="CB162" i="9"/>
  <c r="BH25" i="11"/>
  <c r="L153" i="11"/>
  <c r="BJ43" i="11" s="1"/>
  <c r="CE157" i="9"/>
  <c r="CC157" i="9"/>
  <c r="BL52" i="11"/>
  <c r="O116" i="11"/>
  <c r="BJ52" i="11"/>
  <c r="L173" i="11"/>
  <c r="BK17" i="11"/>
  <c r="L39" i="11"/>
  <c r="L123" i="11"/>
  <c r="BJ17" i="11" s="1"/>
  <c r="Q172" i="11"/>
  <c r="BG72" i="11" s="1"/>
  <c r="Q122" i="11"/>
  <c r="BF72" i="11" s="1"/>
  <c r="BH76" i="11"/>
  <c r="K133" i="11"/>
  <c r="BF25" i="11"/>
  <c r="K153" i="11"/>
  <c r="BF43" i="11"/>
  <c r="BL9" i="11"/>
  <c r="R22" i="11"/>
  <c r="R172" i="11" s="1"/>
  <c r="BK72" i="11" s="1"/>
  <c r="Q173" i="11"/>
  <c r="BG73" i="11" s="1"/>
  <c r="L31" i="11"/>
  <c r="BL23" i="11" s="1"/>
  <c r="L202" i="11"/>
  <c r="BK42" i="11" s="1"/>
  <c r="R23" i="11"/>
  <c r="R173" i="11" s="1"/>
  <c r="BK73" i="11" s="1"/>
  <c r="R65" i="11"/>
  <c r="BM65" i="11"/>
  <c r="R26" i="11"/>
  <c r="R176" i="11"/>
  <c r="BK76" i="11" s="1"/>
  <c r="L42" i="11"/>
  <c r="BH43" i="11"/>
  <c r="T15" i="11"/>
  <c r="BH79" i="11"/>
  <c r="BH73" i="11"/>
  <c r="BI65" i="11"/>
  <c r="O165" i="11"/>
  <c r="BK51" i="11" s="1"/>
  <c r="BL51" i="11"/>
  <c r="AJ21" i="12"/>
  <c r="AI21" i="12"/>
  <c r="GW362" i="9"/>
  <c r="HF362" i="9" s="1"/>
  <c r="GH362" i="9"/>
  <c r="GI362" i="9" s="1"/>
  <c r="GH339" i="9"/>
  <c r="GI339" i="9" s="1"/>
  <c r="GH333" i="9"/>
  <c r="GI333" i="9" s="1"/>
  <c r="GI244" i="9"/>
  <c r="CC171" i="9"/>
  <c r="CE171" i="9"/>
  <c r="CB171" i="9"/>
  <c r="R18" i="11"/>
  <c r="BL68" i="11" s="1"/>
  <c r="CC166" i="9"/>
  <c r="CF166" i="9"/>
  <c r="CE182" i="9"/>
  <c r="CC182" i="9"/>
  <c r="CB166" i="9"/>
  <c r="CB182" i="9"/>
  <c r="CE166" i="9"/>
  <c r="T74" i="11"/>
  <c r="BI74" i="11"/>
  <c r="T24" i="11"/>
  <c r="U24" i="11" s="1"/>
  <c r="K188" i="11"/>
  <c r="BG30" i="11" s="1"/>
  <c r="K138" i="11"/>
  <c r="BF30" i="11"/>
  <c r="BI70" i="11"/>
  <c r="R70" i="11"/>
  <c r="BM70" i="11" s="1"/>
  <c r="BH28" i="11"/>
  <c r="K135" i="11"/>
  <c r="BF27" i="11"/>
  <c r="O120" i="11"/>
  <c r="BJ56" i="11"/>
  <c r="BH68" i="11"/>
  <c r="Q118" i="11"/>
  <c r="BF68" i="11" s="1"/>
  <c r="T20" i="11"/>
  <c r="T170" i="11" s="1"/>
  <c r="BG84" i="11" s="1"/>
  <c r="O170" i="11"/>
  <c r="BK56" i="11"/>
  <c r="K185" i="11"/>
  <c r="BG27" i="11"/>
  <c r="U116" i="11"/>
  <c r="BJ80" i="11" s="1"/>
  <c r="K186" i="11"/>
  <c r="BG28" i="11" s="1"/>
  <c r="DZ21" i="5" a="1"/>
  <c r="DZ21" i="5" s="1"/>
  <c r="DY21" i="5" a="1"/>
  <c r="DY21" i="5" s="1"/>
  <c r="DJ190" i="5" s="1"/>
  <c r="DY18" i="5" a="1"/>
  <c r="DY18" i="5" s="1"/>
  <c r="DJ363" i="5" s="1"/>
  <c r="ED12" i="5" a="1"/>
  <c r="ED12" i="5"/>
  <c r="R72" i="11"/>
  <c r="BM72" i="11" s="1"/>
  <c r="ED20" i="5" a="1"/>
  <c r="ED20" i="5" s="1"/>
  <c r="EB16" i="5" a="1"/>
  <c r="EB16" i="5" s="1"/>
  <c r="ED21" i="5" a="1"/>
  <c r="ED21" i="5" s="1"/>
  <c r="DY16" i="5" a="1"/>
  <c r="DY16" i="5" s="1"/>
  <c r="DO350" i="5" s="1"/>
  <c r="EB11" i="5" a="1"/>
  <c r="EB11" i="5" s="1"/>
  <c r="T126" i="11"/>
  <c r="BF90" i="11" s="1"/>
  <c r="T72" i="11"/>
  <c r="CE141" i="9"/>
  <c r="CB141" i="9"/>
  <c r="CC141" i="9"/>
  <c r="DD451" i="5" a="1"/>
  <c r="DD451" i="5" s="1"/>
  <c r="T176" i="11"/>
  <c r="BG90" i="11"/>
  <c r="T22" i="11"/>
  <c r="BH86" i="11"/>
  <c r="DD371" i="5" a="1"/>
  <c r="DD371" i="5" s="1"/>
  <c r="DZ15" i="5" a="1"/>
  <c r="DZ15" i="5" s="1"/>
  <c r="EB19" i="5" a="1"/>
  <c r="EB19" i="5" s="1"/>
  <c r="EB17" i="5" a="1"/>
  <c r="EB17" i="5" s="1"/>
  <c r="DZ20" i="5" a="1"/>
  <c r="DZ20" i="5" s="1"/>
  <c r="DK664" i="9" a="1"/>
  <c r="DK664" i="9" s="1"/>
  <c r="CG664" i="9" s="1"/>
  <c r="K149" i="11"/>
  <c r="BF39" i="11" s="1"/>
  <c r="BH39" i="11"/>
  <c r="CN47" i="12"/>
  <c r="CN48" i="12"/>
  <c r="CN49" i="12"/>
  <c r="Q171" i="11"/>
  <c r="BG71" i="11"/>
  <c r="R21" i="11"/>
  <c r="BL54" i="11"/>
  <c r="BI69" i="11"/>
  <c r="Q175" i="11"/>
  <c r="BG75" i="11"/>
  <c r="Q125" i="11"/>
  <c r="BF75" i="11"/>
  <c r="BH75" i="11"/>
  <c r="R25" i="11"/>
  <c r="BH71" i="11"/>
  <c r="BM20" i="11"/>
  <c r="BI77" i="11"/>
  <c r="BI78" i="11"/>
  <c r="T19" i="11"/>
  <c r="T119" i="11"/>
  <c r="BF83" i="11" s="1"/>
  <c r="O173" i="11"/>
  <c r="BK59" i="11" s="1"/>
  <c r="BL59" i="11"/>
  <c r="O123" i="11"/>
  <c r="BJ59" i="11" s="1"/>
  <c r="K206" i="11"/>
  <c r="BG46" i="11"/>
  <c r="BH46" i="11"/>
  <c r="BH41" i="11"/>
  <c r="K201" i="11"/>
  <c r="BG41" i="11"/>
  <c r="U26" i="11"/>
  <c r="U126" i="11" s="1"/>
  <c r="BJ90" i="11" s="1"/>
  <c r="L81" i="11"/>
  <c r="BM23" i="11" s="1"/>
  <c r="BH42" i="11"/>
  <c r="K152" i="11"/>
  <c r="BF42" i="11"/>
  <c r="K202" i="11"/>
  <c r="BG42" i="11"/>
  <c r="K158" i="11"/>
  <c r="BF48" i="11" s="1"/>
  <c r="K208" i="11"/>
  <c r="BG48" i="11" s="1"/>
  <c r="BH48" i="11"/>
  <c r="O176" i="11"/>
  <c r="BK62" i="11" s="1"/>
  <c r="O126" i="11"/>
  <c r="BJ62" i="11" s="1"/>
  <c r="BL62" i="11"/>
  <c r="Q177" i="11"/>
  <c r="BG77" i="11"/>
  <c r="L43" i="11"/>
  <c r="L59" i="11"/>
  <c r="L127" i="11"/>
  <c r="BJ21" i="11" s="1"/>
  <c r="BL21" i="11"/>
  <c r="L177" i="11"/>
  <c r="BK21" i="11"/>
  <c r="O172" i="11"/>
  <c r="BK58" i="11"/>
  <c r="BL58" i="11"/>
  <c r="O122" i="11"/>
  <c r="BJ58" i="11" s="1"/>
  <c r="Q120" i="11"/>
  <c r="BF70" i="11" s="1"/>
  <c r="Q170" i="11"/>
  <c r="BG70" i="11" s="1"/>
  <c r="R20" i="11"/>
  <c r="BH70" i="11"/>
  <c r="L108" i="11"/>
  <c r="BM48" i="11" s="1"/>
  <c r="R27" i="11"/>
  <c r="BL77" i="11" s="1"/>
  <c r="L168" i="11"/>
  <c r="BK12" i="11" s="1"/>
  <c r="L50" i="11"/>
  <c r="L34" i="11"/>
  <c r="BL12" i="11"/>
  <c r="L118" i="11"/>
  <c r="BJ12" i="11"/>
  <c r="L175" i="11"/>
  <c r="BK19" i="11" s="1"/>
  <c r="L41" i="11"/>
  <c r="BL19" i="11"/>
  <c r="L57" i="11"/>
  <c r="L125" i="11"/>
  <c r="BJ19" i="11"/>
  <c r="BH26" i="11"/>
  <c r="K184" i="11"/>
  <c r="BG26" i="11"/>
  <c r="K134" i="11"/>
  <c r="BF26" i="11"/>
  <c r="K156" i="11"/>
  <c r="BF46" i="11" s="1"/>
  <c r="BI91" i="11"/>
  <c r="BH92" i="11" s="1"/>
  <c r="O175" i="11"/>
  <c r="BK61" i="11"/>
  <c r="O125" i="11"/>
  <c r="BJ61" i="11" s="1"/>
  <c r="L126" i="11"/>
  <c r="BJ20" i="11" s="1"/>
  <c r="BL20" i="11"/>
  <c r="L176" i="11"/>
  <c r="BK20" i="11" s="1"/>
  <c r="L166" i="11"/>
  <c r="BK10" i="11" s="1"/>
  <c r="L116" i="11"/>
  <c r="BJ10" i="11" s="1"/>
  <c r="L48" i="11"/>
  <c r="BL10" i="11"/>
  <c r="L32" i="11"/>
  <c r="BL60" i="11"/>
  <c r="O174" i="11"/>
  <c r="BK60" i="11"/>
  <c r="O124" i="11"/>
  <c r="BJ60" i="11" s="1"/>
  <c r="K159" i="11"/>
  <c r="BF49" i="11" s="1"/>
  <c r="K209" i="11"/>
  <c r="BG49" i="11" s="1"/>
  <c r="BH49" i="11"/>
  <c r="DO644" i="9" a="1"/>
  <c r="DO644" i="9" s="1"/>
  <c r="DP644" i="9" s="1"/>
  <c r="DL644" i="9" s="1" a="1"/>
  <c r="DL644" i="9" s="1"/>
  <c r="DK644" i="9" a="1"/>
  <c r="DK644" i="9" s="1"/>
  <c r="CG644" i="9" s="1"/>
  <c r="DN644" i="9" a="1"/>
  <c r="DN644" i="9"/>
  <c r="DM644" i="9" a="1"/>
  <c r="DM644" i="9" s="1"/>
  <c r="R119" i="11"/>
  <c r="BJ69" i="11" s="1"/>
  <c r="BL69" i="11"/>
  <c r="R117" i="11"/>
  <c r="BJ67" i="11"/>
  <c r="BL67" i="11"/>
  <c r="R167" i="11"/>
  <c r="BK67" i="11" s="1"/>
  <c r="T120" i="11"/>
  <c r="BF84" i="11"/>
  <c r="T174" i="11"/>
  <c r="BG88" i="11"/>
  <c r="L186" i="11"/>
  <c r="BK28" i="11"/>
  <c r="L136" i="11"/>
  <c r="BJ28" i="11" s="1"/>
  <c r="BL28" i="11"/>
  <c r="BM12" i="11"/>
  <c r="L84" i="11"/>
  <c r="BM26" i="11" s="1"/>
  <c r="L100" i="11"/>
  <c r="BM40" i="11"/>
  <c r="BL34" i="11"/>
  <c r="L142" i="11"/>
  <c r="BJ34" i="11" s="1"/>
  <c r="L192" i="11"/>
  <c r="BK34" i="11" s="1"/>
  <c r="L104" i="11"/>
  <c r="BM44" i="11"/>
  <c r="L88" i="11"/>
  <c r="BM30" i="11" s="1"/>
  <c r="BM16" i="11"/>
  <c r="L101" i="11"/>
  <c r="BM41" i="11"/>
  <c r="BM13" i="11"/>
  <c r="L85" i="11"/>
  <c r="BM27" i="11"/>
  <c r="BI50" i="11"/>
  <c r="BH50" i="11"/>
  <c r="BG50" i="11"/>
  <c r="BF50" i="11"/>
  <c r="L106" i="11"/>
  <c r="BM46" i="11" s="1"/>
  <c r="L90" i="11"/>
  <c r="BM32" i="11"/>
  <c r="BM18" i="11"/>
  <c r="L103" i="11"/>
  <c r="BM43" i="11" s="1"/>
  <c r="BM15" i="11"/>
  <c r="L87" i="11"/>
  <c r="BM29" i="11" s="1"/>
  <c r="BH22" i="11"/>
  <c r="BG22" i="11"/>
  <c r="BI22" i="11"/>
  <c r="BF22" i="11"/>
  <c r="L109" i="11"/>
  <c r="BM49" i="11" s="1"/>
  <c r="L93" i="11"/>
  <c r="BM35" i="11" s="1"/>
  <c r="BM21" i="11"/>
  <c r="BI83" i="11"/>
  <c r="L86" i="11"/>
  <c r="BM28" i="11" s="1"/>
  <c r="BM14" i="11"/>
  <c r="L102" i="11"/>
  <c r="BM42" i="11" s="1"/>
  <c r="U67" i="11"/>
  <c r="BM81" i="11" s="1"/>
  <c r="BI81" i="11"/>
  <c r="L99" i="11"/>
  <c r="BM39" i="11" s="1"/>
  <c r="BM11" i="11"/>
  <c r="L83" i="11"/>
  <c r="BM25" i="11" s="1"/>
  <c r="L107" i="11"/>
  <c r="BM47" i="11"/>
  <c r="BM19" i="11"/>
  <c r="L91" i="11"/>
  <c r="BM33" i="11" s="1"/>
  <c r="L151" i="11"/>
  <c r="BJ41" i="11"/>
  <c r="L201" i="11"/>
  <c r="BK41" i="11"/>
  <c r="BL41" i="11"/>
  <c r="L185" i="11"/>
  <c r="BK27" i="11"/>
  <c r="BL27" i="11"/>
  <c r="L135" i="11"/>
  <c r="BJ27" i="11" s="1"/>
  <c r="L149" i="11"/>
  <c r="BJ39" i="11" s="1"/>
  <c r="L199" i="11"/>
  <c r="BK39" i="11"/>
  <c r="BL39" i="11"/>
  <c r="L183" i="11"/>
  <c r="BK25" i="11" s="1"/>
  <c r="BL25" i="11"/>
  <c r="L133" i="11"/>
  <c r="BJ25" i="11" s="1"/>
  <c r="L140" i="11"/>
  <c r="BJ32" i="11" s="1"/>
  <c r="L190" i="11"/>
  <c r="BK32" i="11"/>
  <c r="BL32" i="11"/>
  <c r="BL76" i="11"/>
  <c r="BL31" i="11"/>
  <c r="L139" i="11"/>
  <c r="BJ31" i="11" s="1"/>
  <c r="L189" i="11"/>
  <c r="BK31" i="11" s="1"/>
  <c r="BI79" i="11"/>
  <c r="U65" i="11"/>
  <c r="W28" i="11"/>
  <c r="W78" i="11"/>
  <c r="DD509" i="5" a="1"/>
  <c r="DD509" i="5" s="1"/>
  <c r="DD556" i="5" a="1"/>
  <c r="DD556" i="5" s="1"/>
  <c r="DD503" i="5" a="1"/>
  <c r="DD503" i="5" s="1"/>
  <c r="DD71" i="5" a="1"/>
  <c r="DD71" i="5" s="1"/>
  <c r="DD541" i="5" a="1"/>
  <c r="DD541" i="5" s="1"/>
  <c r="DD481" i="5" a="1"/>
  <c r="DD481" i="5" s="1"/>
  <c r="DD467" i="5" a="1"/>
  <c r="DD467" i="5" s="1"/>
  <c r="DD737" i="5" a="1"/>
  <c r="DD737" i="5" s="1"/>
  <c r="DD376" i="5" a="1"/>
  <c r="DD376" i="5" s="1"/>
  <c r="DD413" i="5" a="1"/>
  <c r="DD413" i="5" s="1"/>
  <c r="DD669" i="5" a="1"/>
  <c r="DD669" i="5" s="1"/>
  <c r="DD723" i="5" a="1"/>
  <c r="DD723" i="5" s="1"/>
  <c r="DD77" i="5" a="1"/>
  <c r="DD77" i="5" s="1"/>
  <c r="DD94" i="5" a="1"/>
  <c r="DD94" i="5" s="1"/>
  <c r="DD488" i="5" a="1"/>
  <c r="DD488" i="5" s="1"/>
  <c r="DN664" i="9" a="1"/>
  <c r="DN664" i="9" s="1"/>
  <c r="DM664" i="9" a="1"/>
  <c r="DM664" i="9" s="1"/>
  <c r="DO664" i="9" a="1"/>
  <c r="DO664" i="9" s="1"/>
  <c r="DP664" i="9" s="1"/>
  <c r="DL664" i="9" s="1" a="1"/>
  <c r="DL664" i="9" s="1"/>
  <c r="DD466" i="5" a="1"/>
  <c r="DD466" i="5" s="1"/>
  <c r="DD482" i="5" a="1"/>
  <c r="DD482" i="5" s="1"/>
  <c r="DD744" i="5" a="1"/>
  <c r="DD744" i="5" s="1"/>
  <c r="DD63" i="5" a="1"/>
  <c r="DD63" i="5" s="1"/>
  <c r="DD648" i="5" a="1"/>
  <c r="DD648" i="5" s="1"/>
  <c r="DM669" i="9" a="1"/>
  <c r="DM669" i="9" s="1"/>
  <c r="DN669" i="9" a="1"/>
  <c r="DN669" i="9" s="1"/>
  <c r="DO669" i="9" a="1"/>
  <c r="DO669" i="9" s="1"/>
  <c r="DP669" i="9" s="1"/>
  <c r="DL669" i="9" s="1" a="1"/>
  <c r="DL669" i="9" s="1"/>
  <c r="DD664" i="5" a="1"/>
  <c r="DD664" i="5" s="1"/>
  <c r="DD685" i="5" a="1"/>
  <c r="DD685" i="5" s="1"/>
  <c r="DD701" i="5" a="1"/>
  <c r="DD701" i="5" s="1"/>
  <c r="DD722" i="5" a="1"/>
  <c r="DD722" i="5" s="1"/>
  <c r="DD738" i="5" a="1"/>
  <c r="DD738" i="5" s="1"/>
  <c r="DD407" i="5" a="1"/>
  <c r="DD407" i="5" s="1"/>
  <c r="DE255" i="5" a="1"/>
  <c r="DE255" i="5" s="1"/>
  <c r="DE286" i="5" a="1"/>
  <c r="DE286" i="5" s="1"/>
  <c r="DE16" i="5" a="1"/>
  <c r="DE16" i="5" s="1"/>
  <c r="DE26" i="5" a="1"/>
  <c r="DE26" i="5" s="1"/>
  <c r="DE336" i="5" a="1"/>
  <c r="DE336" i="5" s="1"/>
  <c r="DE148" i="5" a="1"/>
  <c r="DE148" i="5" s="1"/>
  <c r="DE105" i="5" a="1"/>
  <c r="DE105" i="5" s="1"/>
  <c r="DE282" i="5" a="1"/>
  <c r="DE282" i="5" s="1"/>
  <c r="DE703" i="5" a="1"/>
  <c r="DE703" i="5" s="1"/>
  <c r="DE267" i="5" a="1"/>
  <c r="DE267" i="5" s="1"/>
  <c r="DE291" i="5" a="1"/>
  <c r="DE291" i="5" s="1"/>
  <c r="DE163" i="5" a="1"/>
  <c r="DE163" i="5" s="1"/>
  <c r="DE178" i="5" a="1"/>
  <c r="DE178" i="5" s="1"/>
  <c r="DE36" i="5" a="1"/>
  <c r="DE36" i="5" s="1"/>
  <c r="DE396" i="5" a="1"/>
  <c r="DE396" i="5" s="1"/>
  <c r="DE250" i="5" a="1"/>
  <c r="DE250" i="5" s="1"/>
  <c r="DE753" i="5" a="1"/>
  <c r="DE753" i="5" s="1"/>
  <c r="DE319" i="5" a="1"/>
  <c r="DE319" i="5" s="1"/>
  <c r="DE737" i="5" a="1"/>
  <c r="DE737" i="5" s="1"/>
  <c r="DE458" i="5" a="1"/>
  <c r="DE458" i="5" s="1"/>
  <c r="DE252" i="5" a="1"/>
  <c r="DE252" i="5" s="1"/>
  <c r="DE68" i="5" a="1"/>
  <c r="DE68" i="5" s="1"/>
  <c r="DE548" i="5" a="1"/>
  <c r="DE548" i="5" s="1"/>
  <c r="DE216" i="5" a="1"/>
  <c r="DE216" i="5" s="1"/>
  <c r="DE156" i="5" a="1"/>
  <c r="DE156" i="5" s="1"/>
  <c r="DE134" i="5" a="1"/>
  <c r="DE134" i="5" s="1"/>
  <c r="DE472" i="5" a="1"/>
  <c r="DE472" i="5" s="1"/>
  <c r="DE516" i="5" a="1"/>
  <c r="DE516" i="5" s="1"/>
  <c r="DE689" i="5" a="1"/>
  <c r="DE689" i="5" s="1"/>
  <c r="DE151" i="5" a="1"/>
  <c r="DE151" i="5" s="1"/>
  <c r="DE332" i="5" a="1"/>
  <c r="DE332" i="5" s="1"/>
  <c r="DE676" i="5" a="1"/>
  <c r="DE676" i="5" s="1"/>
  <c r="DE306" i="5" a="1"/>
  <c r="DE306" i="5" s="1"/>
  <c r="DE639" i="5" a="1"/>
  <c r="DE639" i="5" s="1"/>
  <c r="DE103" i="5" a="1"/>
  <c r="DE103" i="5" s="1"/>
  <c r="DE279" i="5" a="1"/>
  <c r="DE279" i="5" s="1"/>
  <c r="DE596" i="5" a="1"/>
  <c r="DE596" i="5" s="1"/>
  <c r="DE122" i="5" a="1"/>
  <c r="DE122" i="5" s="1"/>
  <c r="DE405" i="5" a="1"/>
  <c r="DE405" i="5" s="1"/>
  <c r="DE635" i="5" a="1"/>
  <c r="DE635" i="5" s="1"/>
  <c r="DE324" i="5" a="1"/>
  <c r="DE324" i="5" s="1"/>
  <c r="DE137" i="5" a="1"/>
  <c r="DE137" i="5" s="1"/>
  <c r="DE328" i="5" a="1"/>
  <c r="DE328" i="5" s="1"/>
  <c r="DE64" i="5" a="1"/>
  <c r="DE64" i="5" s="1"/>
  <c r="DE241" i="5" a="1"/>
  <c r="DE241" i="5" s="1"/>
  <c r="DE127" i="5" a="1"/>
  <c r="DE127" i="5" s="1"/>
  <c r="DE128" i="5" s="1"/>
  <c r="DE349" i="5" a="1"/>
  <c r="DE349" i="5" s="1"/>
  <c r="DE388" i="5" a="1"/>
  <c r="DE388" i="5" s="1"/>
  <c r="DE690" i="5" a="1"/>
  <c r="DE690" i="5" s="1"/>
  <c r="DE58" i="5" a="1"/>
  <c r="DE58" i="5" s="1"/>
  <c r="DE262" i="5" a="1"/>
  <c r="DE262" i="5" s="1"/>
  <c r="DE11" i="5" a="1"/>
  <c r="DE11" i="5" s="1"/>
  <c r="DE275" i="5" a="1"/>
  <c r="DE275" i="5" s="1"/>
  <c r="DE528" i="5" a="1"/>
  <c r="DE528" i="5" s="1"/>
  <c r="DE454" i="5" a="1"/>
  <c r="DE454" i="5" s="1"/>
  <c r="DE192" i="5" a="1"/>
  <c r="DE192" i="5" s="1"/>
  <c r="DE95" i="5" a="1"/>
  <c r="DE95" i="5" s="1"/>
  <c r="DE681" i="5" a="1"/>
  <c r="DE681" i="5" s="1"/>
  <c r="DE558" i="5" a="1"/>
  <c r="DE558" i="5" s="1"/>
  <c r="DE357" i="5" a="1"/>
  <c r="DE357" i="5" s="1"/>
  <c r="DE30" i="5" a="1"/>
  <c r="DE30" i="5" s="1"/>
  <c r="DE271" i="5" a="1"/>
  <c r="DE271" i="5" s="1"/>
  <c r="DE71" i="5" a="1"/>
  <c r="DE71" i="5" s="1"/>
  <c r="DE460" i="5" a="1"/>
  <c r="DE460" i="5" s="1"/>
  <c r="DE118" i="5" a="1"/>
  <c r="DE118" i="5" s="1"/>
  <c r="DE633" i="5" a="1"/>
  <c r="DE633" i="5" s="1"/>
  <c r="DE295" i="5" a="1"/>
  <c r="DE295" i="5" s="1"/>
  <c r="DE748" i="5" a="1"/>
  <c r="DE748" i="5" s="1"/>
  <c r="DE637" i="5" a="1"/>
  <c r="DE637" i="5" s="1"/>
  <c r="DE413" i="5" a="1"/>
  <c r="DE413" i="5" s="1"/>
  <c r="DE609" i="5" a="1"/>
  <c r="DE609" i="5" s="1"/>
  <c r="DE494" i="5" a="1"/>
  <c r="DE494" i="5" s="1"/>
  <c r="DE60" i="5" a="1"/>
  <c r="DE60" i="5" s="1"/>
  <c r="DE311" i="5" a="1"/>
  <c r="DE311" i="5" s="1"/>
  <c r="DE381" i="5" a="1"/>
  <c r="DE381" i="5" s="1"/>
  <c r="DE453" i="5" a="1"/>
  <c r="DE453" i="5" s="1"/>
  <c r="DE101" i="5" a="1"/>
  <c r="DE101" i="5" s="1"/>
  <c r="DE695" i="5" a="1"/>
  <c r="DE695" i="5" s="1"/>
  <c r="DE457" i="5" a="1"/>
  <c r="DE457" i="5" s="1"/>
  <c r="DE230" i="5" a="1"/>
  <c r="DE230" i="5" s="1"/>
  <c r="DE532" i="5" a="1"/>
  <c r="DE532" i="5" s="1"/>
  <c r="DE674" i="5" a="1"/>
  <c r="DE674" i="5" s="1"/>
  <c r="DE344" i="5" a="1"/>
  <c r="DE344" i="5" s="1"/>
  <c r="DE462" i="5" a="1"/>
  <c r="DE462" i="5" s="1"/>
  <c r="DE299" i="5" a="1"/>
  <c r="DE299" i="5" s="1"/>
  <c r="DE142" i="5" a="1"/>
  <c r="DE142" i="5" s="1"/>
  <c r="DE98" i="5" a="1"/>
  <c r="DE98" i="5" s="1"/>
  <c r="DE257" i="5" a="1"/>
  <c r="DE257" i="5" s="1"/>
  <c r="DE253" i="5" a="1"/>
  <c r="DE253" i="5" s="1"/>
  <c r="DE49" i="5" a="1"/>
  <c r="DE49" i="5" s="1"/>
  <c r="DE724" i="5" a="1"/>
  <c r="DE724" i="5" s="1"/>
  <c r="DE595" i="5" a="1"/>
  <c r="DE595" i="5" s="1"/>
  <c r="DE404" i="5" a="1"/>
  <c r="DE404" i="5" s="1"/>
  <c r="DE644" i="5" a="1"/>
  <c r="DE644" i="5" s="1"/>
  <c r="DE52" i="5" a="1"/>
  <c r="DE52" i="5" s="1"/>
  <c r="DE316" i="5" a="1"/>
  <c r="DE316" i="5" s="1"/>
  <c r="DE132" i="5" a="1"/>
  <c r="DE132" i="5" s="1"/>
  <c r="DE43" i="5" a="1"/>
  <c r="DE43" i="5" s="1"/>
  <c r="DE546" i="5" a="1"/>
  <c r="DE546" i="5" s="1"/>
  <c r="DE658" i="5" a="1"/>
  <c r="DE658" i="5" s="1"/>
  <c r="DE605" i="5" a="1"/>
  <c r="DE605" i="5" s="1"/>
  <c r="DE444" i="5" a="1"/>
  <c r="DE444" i="5" s="1"/>
  <c r="DE99" i="5" a="1"/>
  <c r="DE99" i="5" s="1"/>
  <c r="DE418" i="5" a="1"/>
  <c r="DE418" i="5" s="1"/>
  <c r="DE359" i="5" a="1"/>
  <c r="DE359" i="5" s="1"/>
  <c r="DE77" i="5" a="1"/>
  <c r="DE77" i="5" s="1"/>
  <c r="DE550" i="5" a="1"/>
  <c r="DE550" i="5" s="1"/>
  <c r="DE231" i="5" a="1"/>
  <c r="DE231" i="5" s="1"/>
  <c r="DE511" i="5" a="1"/>
  <c r="DE511" i="5" s="1"/>
  <c r="DE571" i="5" a="1"/>
  <c r="DE571" i="5" s="1"/>
  <c r="DE420" i="5" a="1"/>
  <c r="DE420" i="5" s="1"/>
  <c r="DE154" i="5" a="1"/>
  <c r="DE154" i="5" s="1"/>
  <c r="DE654" i="5" a="1"/>
  <c r="DE654" i="5" s="1"/>
  <c r="DE140" i="5" a="1"/>
  <c r="DE140" i="5" s="1"/>
  <c r="DE394" i="5" a="1"/>
  <c r="DE394" i="5" s="1"/>
  <c r="DE669" i="5" a="1"/>
  <c r="DE669" i="5" s="1"/>
  <c r="DE268" i="5" a="1"/>
  <c r="DE268" i="5" s="1"/>
  <c r="DE337" i="5" a="1"/>
  <c r="DE337" i="5" s="1"/>
  <c r="DE652" i="5" a="1"/>
  <c r="DE652" i="5" s="1"/>
  <c r="DE376" i="5" a="1"/>
  <c r="DE376" i="5" s="1"/>
  <c r="DE124" i="5" a="1"/>
  <c r="DE124" i="5" s="1"/>
  <c r="DE339" i="5" a="1"/>
  <c r="DE339" i="5" s="1"/>
  <c r="DE647" i="5" a="1"/>
  <c r="DE647" i="5" s="1"/>
  <c r="DE41" i="5" a="1"/>
  <c r="DE41" i="5" s="1"/>
  <c r="DE15" i="5" a="1"/>
  <c r="DE15" i="5" s="1"/>
  <c r="DE640" i="5" a="1"/>
  <c r="DE640" i="5" s="1"/>
  <c r="DE675" i="5" a="1"/>
  <c r="DE675" i="5" s="1"/>
  <c r="DD414" i="5" a="1"/>
  <c r="DD414" i="5" s="1"/>
  <c r="DD235" i="5" a="1"/>
  <c r="DD235" i="5" s="1"/>
  <c r="DD524" i="5" a="1"/>
  <c r="DD524" i="5" s="1"/>
  <c r="DD678" i="5" a="1"/>
  <c r="DD678" i="5" s="1"/>
  <c r="DD377" i="5" a="1"/>
  <c r="DD377" i="5" s="1"/>
  <c r="DD108" i="5" a="1"/>
  <c r="DD108" i="5" s="1"/>
  <c r="DD109" i="5" a="1"/>
  <c r="DD109" i="5" s="1"/>
  <c r="DD707" i="5" a="1"/>
  <c r="DD707" i="5" s="1"/>
  <c r="DD72" i="5" a="1"/>
  <c r="DD72" i="5" s="1"/>
  <c r="DD487" i="5" a="1"/>
  <c r="DD487" i="5" s="1"/>
  <c r="DL399" i="5"/>
  <c r="DL408" i="5"/>
  <c r="DK16" i="5"/>
  <c r="DL78" i="5"/>
  <c r="DK357" i="5"/>
  <c r="DL231" i="5"/>
  <c r="DL624" i="5"/>
  <c r="DL49" i="5"/>
  <c r="DL734" i="5"/>
  <c r="DL215" i="5"/>
  <c r="DL113" i="5"/>
  <c r="DL461" i="5"/>
  <c r="DL217" i="5"/>
  <c r="DL18" i="5"/>
  <c r="DL129" i="5"/>
  <c r="DL567" i="5"/>
  <c r="DL293" i="5"/>
  <c r="CU378" i="5"/>
  <c r="CU610" i="5"/>
  <c r="CU219" i="5"/>
  <c r="CU523" i="5"/>
  <c r="CU84" i="5"/>
  <c r="CU412" i="5"/>
  <c r="CU668" i="5"/>
  <c r="CU221" i="5"/>
  <c r="CU565" i="5"/>
  <c r="CU118" i="5"/>
  <c r="CU486" i="5"/>
  <c r="CU742" i="5"/>
  <c r="CU415" i="5"/>
  <c r="CU671" i="5"/>
  <c r="CU225" i="5"/>
  <c r="CU601" i="5"/>
  <c r="CU88" i="5"/>
  <c r="CU224" i="5"/>
  <c r="CU561" i="5"/>
  <c r="CU410" i="5"/>
  <c r="CU666" i="5"/>
  <c r="CU227" i="5"/>
  <c r="CU563" i="5"/>
  <c r="CU116" i="5"/>
  <c r="CU452" i="5"/>
  <c r="CU708" i="5"/>
  <c r="CU373" i="5"/>
  <c r="CU597" i="5"/>
  <c r="CU158" i="5"/>
  <c r="CU526" i="5"/>
  <c r="CU79" i="5"/>
  <c r="CU447" i="5"/>
  <c r="CU703" i="5"/>
  <c r="CU376" i="5"/>
  <c r="CU665" i="5"/>
  <c r="CU216" i="5"/>
  <c r="CU488" i="5"/>
  <c r="CU560" i="5"/>
  <c r="CU82" i="5"/>
  <c r="CU450" i="5"/>
  <c r="CU706" i="5"/>
  <c r="CU371" i="5"/>
  <c r="CU603" i="5"/>
  <c r="CU124" i="5"/>
  <c r="CU484" i="5"/>
  <c r="CU740" i="5"/>
  <c r="CU413" i="5"/>
  <c r="CU605" i="5"/>
  <c r="CU214" i="5"/>
  <c r="CU558" i="5"/>
  <c r="CU87" i="5"/>
  <c r="CU487" i="5"/>
  <c r="CU743" i="5"/>
  <c r="CU408" i="5"/>
  <c r="CU80" i="5"/>
  <c r="CU417" i="5"/>
  <c r="CU520" i="5"/>
  <c r="CU122" i="5"/>
  <c r="CU482" i="5"/>
  <c r="CU738" i="5"/>
  <c r="CU379" i="5"/>
  <c r="CU611" i="5"/>
  <c r="CU156" i="5"/>
  <c r="CU524" i="5"/>
  <c r="CU85" i="5"/>
  <c r="CU445" i="5"/>
  <c r="CU669" i="5"/>
  <c r="CU222" i="5"/>
  <c r="CU598" i="5"/>
  <c r="CU119" i="5"/>
  <c r="CU519" i="5"/>
  <c r="CU81" i="5"/>
  <c r="CU600" i="5"/>
  <c r="CU416" i="5"/>
  <c r="CU449" i="5"/>
  <c r="CU689" i="5"/>
  <c r="CU154" i="5"/>
  <c r="CU490" i="5"/>
  <c r="CU746" i="5"/>
  <c r="CU411" i="5"/>
  <c r="CU667" i="5"/>
  <c r="CU220" i="5"/>
  <c r="CU556" i="5"/>
  <c r="CU117" i="5"/>
  <c r="CU453" i="5"/>
  <c r="CU701" i="5"/>
  <c r="CU374" i="5"/>
  <c r="CU606" i="5"/>
  <c r="CU159" i="5"/>
  <c r="CU527" i="5"/>
  <c r="CU121" i="5"/>
  <c r="CU664" i="5"/>
  <c r="CU448" i="5"/>
  <c r="CU609" i="5"/>
  <c r="CU489" i="5"/>
  <c r="CU162" i="5"/>
  <c r="CU522" i="5"/>
  <c r="CU83" i="5"/>
  <c r="CU451" i="5"/>
  <c r="CU707" i="5"/>
  <c r="CU228" i="5"/>
  <c r="CU564" i="5"/>
  <c r="CU125" i="5"/>
  <c r="CU485" i="5"/>
  <c r="CU709" i="5"/>
  <c r="CU414" i="5"/>
  <c r="CU670" i="5"/>
  <c r="CU215" i="5"/>
  <c r="CU559" i="5"/>
  <c r="CU153" i="5"/>
  <c r="CU528" i="5"/>
  <c r="CU608" i="5"/>
  <c r="CU673" i="5"/>
  <c r="CU521" i="5"/>
  <c r="CU226" i="5"/>
  <c r="CU747" i="5"/>
  <c r="CU557" i="5"/>
  <c r="CU375" i="5"/>
  <c r="CU704" i="5"/>
  <c r="DL352" i="5"/>
  <c r="DK710" i="5"/>
  <c r="DK275" i="5"/>
  <c r="DL557" i="5"/>
  <c r="DL438" i="5"/>
  <c r="DL67" i="5"/>
  <c r="DL253" i="5"/>
  <c r="DL343" i="5"/>
  <c r="DL355" i="5"/>
  <c r="DL528" i="5"/>
  <c r="DL696" i="5"/>
  <c r="DK307" i="5"/>
  <c r="DL190" i="5"/>
  <c r="DL61" i="5"/>
  <c r="DL262" i="5"/>
  <c r="DL104" i="5"/>
  <c r="DL313" i="5"/>
  <c r="DL325" i="5"/>
  <c r="DL502" i="5"/>
  <c r="DL668" i="5"/>
  <c r="DK231" i="5"/>
  <c r="DK724" i="5"/>
  <c r="DK660" i="5"/>
  <c r="DL237" i="5"/>
  <c r="DL76" i="5"/>
  <c r="DL297" i="5"/>
  <c r="DL312" i="5"/>
  <c r="DL488" i="5"/>
  <c r="DL655" i="5"/>
  <c r="DK170" i="5"/>
  <c r="DK673" i="5"/>
  <c r="DK394" i="5"/>
  <c r="DL219" i="5"/>
  <c r="DL63" i="5"/>
  <c r="DL505" i="5"/>
  <c r="DL517" i="5"/>
  <c r="DL697" i="5"/>
  <c r="DK313" i="5"/>
  <c r="DL299" i="5"/>
  <c r="DL132" i="5"/>
  <c r="DL276" i="5"/>
  <c r="DL428" i="5"/>
  <c r="DL13" i="5"/>
  <c r="DL491" i="5"/>
  <c r="DL503" i="5"/>
  <c r="DL684" i="5"/>
  <c r="DK272" i="5"/>
  <c r="DL235" i="5"/>
  <c r="DL102" i="5"/>
  <c r="DL264" i="5"/>
  <c r="DL414" i="5"/>
  <c r="DL120" i="5"/>
  <c r="DL478" i="5"/>
  <c r="DL489" i="5"/>
  <c r="DL670" i="5"/>
  <c r="DK239" i="5"/>
  <c r="DL178" i="5"/>
  <c r="DL65" i="5"/>
  <c r="CU562" i="5"/>
  <c r="CU372" i="5"/>
  <c r="CU741" i="5"/>
  <c r="CU599" i="5"/>
  <c r="CU705" i="5"/>
  <c r="DL512" i="5"/>
  <c r="DL243" i="5"/>
  <c r="DL314" i="5"/>
  <c r="DL738" i="5"/>
  <c r="CU602" i="5"/>
  <c r="CU380" i="5"/>
  <c r="CU86" i="5"/>
  <c r="CU607" i="5"/>
  <c r="CU160" i="5"/>
  <c r="DL651" i="5"/>
  <c r="DL404" i="5"/>
  <c r="DL105" i="5"/>
  <c r="DK468" i="5"/>
  <c r="DL628" i="5"/>
  <c r="DL341" i="5"/>
  <c r="DL345" i="5"/>
  <c r="DL86" i="5"/>
  <c r="DL115" i="5"/>
  <c r="DL309" i="5"/>
  <c r="DL473" i="5"/>
  <c r="DL640" i="5"/>
  <c r="DK39" i="5"/>
  <c r="DK545" i="5"/>
  <c r="DL127" i="5"/>
  <c r="DK11" i="5"/>
  <c r="DL19" i="5"/>
  <c r="DL46" i="5"/>
  <c r="DL280" i="5"/>
  <c r="DL446" i="5"/>
  <c r="DL606" i="5"/>
  <c r="DL745" i="5"/>
  <c r="DK447" i="5"/>
  <c r="DL100" i="5"/>
  <c r="DK703" i="5"/>
  <c r="DK747" i="5"/>
  <c r="DL17" i="5"/>
  <c r="DL269" i="5"/>
  <c r="DL432" i="5"/>
  <c r="DL593" i="5"/>
  <c r="DL733" i="5"/>
  <c r="DK397" i="5"/>
  <c r="DL88" i="5"/>
  <c r="DL284" i="5"/>
  <c r="DL296" i="5"/>
  <c r="DL475" i="5"/>
  <c r="DL642" i="5"/>
  <c r="DK135" i="5"/>
  <c r="DK622" i="5"/>
  <c r="DK118" i="5"/>
  <c r="DL204" i="5"/>
  <c r="DL51" i="5"/>
  <c r="DL272" i="5"/>
  <c r="DL282" i="5"/>
  <c r="DL462" i="5"/>
  <c r="DL626" i="5"/>
  <c r="DK89" i="5"/>
  <c r="DK552" i="5"/>
  <c r="DL729" i="5"/>
  <c r="DL192" i="5"/>
  <c r="DL37" i="5"/>
  <c r="DL259" i="5"/>
  <c r="DL270" i="5"/>
  <c r="DL447" i="5"/>
  <c r="DL608" i="5"/>
  <c r="DK44" i="5"/>
  <c r="DK505" i="5"/>
  <c r="DL648" i="5"/>
  <c r="DL179" i="5"/>
  <c r="DK499" i="5"/>
  <c r="CU123" i="5"/>
  <c r="CU604" i="5"/>
  <c r="CU446" i="5"/>
  <c r="CU161" i="5"/>
  <c r="CU744" i="5"/>
  <c r="DK126" i="5"/>
  <c r="DL537" i="5"/>
  <c r="DL289" i="5"/>
  <c r="DL547" i="5"/>
  <c r="DK95" i="5"/>
  <c r="DL515" i="5"/>
  <c r="DK434" i="5"/>
  <c r="DK478" i="5"/>
  <c r="DL618" i="5"/>
  <c r="DL198" i="5"/>
  <c r="DL366" i="5"/>
  <c r="CU155" i="5"/>
  <c r="CU612" i="5"/>
  <c r="CU454" i="5"/>
  <c r="CU217" i="5"/>
  <c r="CU745" i="5"/>
  <c r="DK388" i="5"/>
  <c r="DL16" i="5"/>
  <c r="DL690" i="5"/>
  <c r="DL429" i="5"/>
  <c r="DL182" i="5"/>
  <c r="DK681" i="5"/>
  <c r="DL682" i="5"/>
  <c r="DK61" i="5"/>
  <c r="DK105" i="5"/>
  <c r="DK740" i="5"/>
  <c r="DL15" i="5"/>
  <c r="DL256" i="5"/>
  <c r="DL417" i="5"/>
  <c r="DL551" i="5"/>
  <c r="DL703" i="5"/>
  <c r="DL83" i="5"/>
  <c r="CU483" i="5"/>
  <c r="CU157" i="5"/>
  <c r="CU702" i="5"/>
  <c r="CU377" i="5"/>
  <c r="CU120" i="5"/>
  <c r="CU218" i="5"/>
  <c r="CU672" i="5"/>
  <c r="DL184" i="5"/>
  <c r="DL148" i="5"/>
  <c r="DL360" i="5"/>
  <c r="DL451" i="5"/>
  <c r="DL644" i="5"/>
  <c r="DK727" i="5"/>
  <c r="DL443" i="5"/>
  <c r="DL147" i="5"/>
  <c r="DL647" i="5"/>
  <c r="DL436" i="5"/>
  <c r="DL174" i="5"/>
  <c r="DL72" i="5"/>
  <c r="DL675" i="5"/>
  <c r="DK74" i="5"/>
  <c r="DL135" i="5"/>
  <c r="DL410" i="5"/>
  <c r="DL387" i="5"/>
  <c r="DL146" i="5"/>
  <c r="DK558" i="5"/>
  <c r="DL622" i="5"/>
  <c r="DL549" i="5"/>
  <c r="DL41" i="5"/>
  <c r="DL397" i="5"/>
  <c r="DK542" i="5"/>
  <c r="DL742" i="5"/>
  <c r="DK508" i="5"/>
  <c r="DL719" i="5"/>
  <c r="DL650" i="5"/>
  <c r="DL31" i="5"/>
  <c r="DK650" i="5"/>
  <c r="DK471" i="5"/>
  <c r="DL736" i="5"/>
  <c r="DL565" i="5"/>
  <c r="DL483" i="5"/>
  <c r="DL301" i="5"/>
  <c r="DK536" i="5"/>
  <c r="DL712" i="5"/>
  <c r="DL556" i="5"/>
  <c r="DL392" i="5"/>
  <c r="DL335" i="5"/>
  <c r="DL254" i="5"/>
  <c r="DL286" i="5"/>
  <c r="DL29" i="5"/>
  <c r="DL249" i="5"/>
  <c r="DL258" i="5"/>
  <c r="DL434" i="5"/>
  <c r="DL594" i="5"/>
  <c r="DK18" i="5"/>
  <c r="DK454" i="5"/>
  <c r="DL560" i="5"/>
  <c r="DL168" i="5"/>
  <c r="CU491" i="5"/>
  <c r="DK32" i="5"/>
  <c r="DL545" i="5"/>
  <c r="DL328" i="5"/>
  <c r="DL233" i="5"/>
  <c r="DL422" i="5"/>
  <c r="DL747" i="5"/>
  <c r="DL333" i="5"/>
  <c r="DL26" i="5"/>
  <c r="DL533" i="5"/>
  <c r="DL213" i="5"/>
  <c r="DK491" i="5"/>
  <c r="DL452" i="5"/>
  <c r="DK299" i="5"/>
  <c r="DL678" i="5"/>
  <c r="DL32" i="5"/>
  <c r="DL188" i="5"/>
  <c r="DK573" i="5"/>
  <c r="DK367" i="5"/>
  <c r="DL707" i="5"/>
  <c r="DL510" i="5"/>
  <c r="DL441" i="5"/>
  <c r="DL177" i="5"/>
  <c r="DL285" i="5"/>
  <c r="DK734" i="5"/>
  <c r="DL694" i="5"/>
  <c r="DL604" i="5"/>
  <c r="DL536" i="5"/>
  <c r="DL601" i="5"/>
  <c r="DK253" i="5"/>
  <c r="DK98" i="5"/>
  <c r="DL514" i="5"/>
  <c r="DL459" i="5"/>
  <c r="DL375" i="5"/>
  <c r="DL166" i="5"/>
  <c r="DK163" i="5"/>
  <c r="DL597" i="5"/>
  <c r="DL340" i="5"/>
  <c r="DL279" i="5"/>
  <c r="DL224" i="5"/>
  <c r="DL130" i="5"/>
  <c r="DL153" i="5"/>
  <c r="DL440" i="5"/>
  <c r="DL118" i="5"/>
  <c r="DL142" i="5"/>
  <c r="DL323" i="5"/>
  <c r="DL486" i="5"/>
  <c r="DL653" i="5"/>
  <c r="DK81" i="5"/>
  <c r="DK606" i="5"/>
  <c r="DL141" i="5"/>
  <c r="CU739" i="5"/>
  <c r="DK58" i="5"/>
  <c r="DL318" i="5"/>
  <c r="DK267" i="5"/>
  <c r="DL685" i="5"/>
  <c r="DL412" i="5"/>
  <c r="DL525" i="5"/>
  <c r="DL221" i="5"/>
  <c r="DL163" i="5"/>
  <c r="DL425" i="5"/>
  <c r="DL466" i="5"/>
  <c r="DL260" i="5"/>
  <c r="DK630" i="5"/>
  <c r="DL638" i="5"/>
  <c r="DL562" i="5"/>
  <c r="DL53" i="5"/>
  <c r="DK323" i="5"/>
  <c r="DK178" i="5"/>
  <c r="DK22" i="5"/>
  <c r="DL484" i="5"/>
  <c r="DL403" i="5"/>
  <c r="DL331" i="5"/>
  <c r="DK697" i="5"/>
  <c r="DK521" i="5"/>
  <c r="DL749" i="5"/>
  <c r="DL579" i="5"/>
  <c r="DL498" i="5"/>
  <c r="DL316" i="5"/>
  <c r="DK585" i="5"/>
  <c r="DL725" i="5"/>
  <c r="DL570" i="5"/>
  <c r="DL406" i="5"/>
  <c r="DL351" i="5"/>
  <c r="DL152" i="5"/>
  <c r="DL59" i="5"/>
  <c r="DL701" i="5"/>
  <c r="DL382" i="5"/>
  <c r="DL229" i="5"/>
  <c r="DL173" i="5"/>
  <c r="DL358" i="5"/>
  <c r="DK666" i="5"/>
  <c r="DL47" i="5"/>
  <c r="DK484" i="5"/>
  <c r="DK528" i="5"/>
  <c r="DL717" i="5"/>
  <c r="DL212" i="5"/>
  <c r="DL378" i="5"/>
  <c r="DL539" i="5"/>
  <c r="DL680" i="5"/>
  <c r="DK204" i="5"/>
  <c r="DL35" i="5"/>
  <c r="CU213" i="5"/>
  <c r="DK690" i="5"/>
  <c r="DL468" i="5"/>
  <c r="DL25" i="5"/>
  <c r="DL572" i="5"/>
  <c r="DK515" i="5"/>
  <c r="DL305" i="5"/>
  <c r="DL480" i="5"/>
  <c r="DL55" i="5"/>
  <c r="DL202" i="5"/>
  <c r="DK644" i="5"/>
  <c r="DK417" i="5"/>
  <c r="DL721" i="5"/>
  <c r="DL523" i="5"/>
  <c r="DL454" i="5"/>
  <c r="DK68" i="5"/>
  <c r="DL754" i="5"/>
  <c r="DL710" i="5"/>
  <c r="DL540" i="5"/>
  <c r="DL377" i="5"/>
  <c r="DL288" i="5"/>
  <c r="DL58" i="5"/>
  <c r="DL688" i="5"/>
  <c r="DK279" i="5"/>
  <c r="DK148" i="5"/>
  <c r="DL526" i="5"/>
  <c r="DL471" i="5"/>
  <c r="DL389" i="5"/>
  <c r="DL27" i="5"/>
  <c r="DK192" i="5"/>
  <c r="DL612" i="5"/>
  <c r="DL354" i="5"/>
  <c r="DL291" i="5"/>
  <c r="DL241" i="5"/>
  <c r="DK718" i="5"/>
  <c r="DL125" i="5"/>
  <c r="DL585" i="5"/>
  <c r="DL162" i="5"/>
  <c r="DL74" i="5"/>
  <c r="DK34" i="5"/>
  <c r="DK132" i="5"/>
  <c r="DK259" i="5"/>
  <c r="DL110" i="5"/>
  <c r="DK111" i="5"/>
  <c r="DK155" i="5"/>
  <c r="DL52" i="5"/>
  <c r="DL39" i="5"/>
  <c r="DL267" i="5"/>
  <c r="DL431" i="5"/>
  <c r="DL563" i="5"/>
  <c r="DL718" i="5"/>
  <c r="DL96" i="5"/>
  <c r="CU525" i="5"/>
  <c r="DL70" i="5"/>
  <c r="DL42" i="5"/>
  <c r="DL30" i="5"/>
  <c r="DL463" i="5"/>
  <c r="DK142" i="5"/>
  <c r="DL194" i="5"/>
  <c r="DK166" i="5"/>
  <c r="DL79" i="5"/>
  <c r="DK380" i="5"/>
  <c r="DK247" i="5"/>
  <c r="DK49" i="5"/>
  <c r="DL499" i="5"/>
  <c r="DL415" i="5"/>
  <c r="DL348" i="5"/>
  <c r="DK282" i="5"/>
  <c r="DL645" i="5"/>
  <c r="DL595" i="5"/>
  <c r="DL321" i="5"/>
  <c r="DL265" i="5"/>
  <c r="DL181" i="5"/>
  <c r="DL150" i="5"/>
  <c r="DK653" i="5"/>
  <c r="DL739" i="5"/>
  <c r="DL583" i="5"/>
  <c r="DL419" i="5"/>
  <c r="DL364" i="5"/>
  <c r="DL169" i="5"/>
  <c r="DL73" i="5"/>
  <c r="DL715" i="5"/>
  <c r="DL395" i="5"/>
  <c r="DL245" i="5"/>
  <c r="DL183" i="5"/>
  <c r="DL426" i="5"/>
  <c r="DK291" i="5"/>
  <c r="DL23" i="5"/>
  <c r="DL371" i="5"/>
  <c r="DK164" i="5"/>
  <c r="DL574" i="5"/>
  <c r="DK410" i="5"/>
  <c r="DL692" i="5"/>
  <c r="DL731" i="5"/>
  <c r="DL14" i="5"/>
  <c r="DL687" i="5"/>
  <c r="DL699" i="5"/>
  <c r="DK373" i="5"/>
  <c r="DL493" i="5"/>
  <c r="DL157" i="5"/>
  <c r="DL320" i="5"/>
  <c r="DL456" i="5"/>
  <c r="DL603" i="5"/>
  <c r="DL171" i="5"/>
  <c r="CU710" i="5"/>
  <c r="DL660" i="5"/>
  <c r="DL449" i="5"/>
  <c r="DL90" i="5"/>
  <c r="DL247" i="5"/>
  <c r="DL581" i="5"/>
  <c r="DK257" i="5"/>
  <c r="DL589" i="5"/>
  <c r="DK441" i="5"/>
  <c r="DK30" i="5"/>
  <c r="DL724" i="5"/>
  <c r="DL554" i="5"/>
  <c r="DL391" i="5"/>
  <c r="DL304" i="5"/>
  <c r="DL92" i="5"/>
  <c r="DL740" i="5"/>
  <c r="DL530" i="5"/>
  <c r="DL380" i="5"/>
  <c r="DL210" i="5"/>
  <c r="DL155" i="5"/>
  <c r="DL251" i="5"/>
  <c r="DL44" i="5"/>
  <c r="DK255" i="5"/>
  <c r="DL630" i="5"/>
  <c r="DL367" i="5"/>
  <c r="DL307" i="5"/>
  <c r="DL255" i="5"/>
  <c r="DL167" i="5"/>
  <c r="DL137" i="5"/>
  <c r="DL599" i="5"/>
  <c r="DL175" i="5"/>
  <c r="DL111" i="5"/>
  <c r="DK286" i="5"/>
  <c r="DK168" i="5"/>
  <c r="DL744" i="5"/>
  <c r="DL95" i="5"/>
  <c r="DL144" i="5"/>
  <c r="DL126" i="5"/>
  <c r="DK638" i="5"/>
  <c r="DL666" i="5"/>
  <c r="DL577" i="5"/>
  <c r="DL620" i="5"/>
  <c r="DL81" i="5"/>
  <c r="DL573" i="5"/>
  <c r="DL584" i="5"/>
  <c r="DK26" i="5"/>
  <c r="DK565" i="5"/>
  <c r="DL702" i="5"/>
  <c r="DL208" i="5"/>
  <c r="DL350" i="5"/>
  <c r="DL496" i="5"/>
  <c r="DL68" i="5"/>
  <c r="CU409" i="5"/>
  <c r="DL535" i="5"/>
  <c r="DL575" i="5"/>
  <c r="DL206" i="5"/>
  <c r="DL558" i="5"/>
  <c r="DL752" i="5"/>
  <c r="DL634" i="5"/>
  <c r="DL665" i="5"/>
  <c r="DL373" i="5"/>
  <c r="DL11" i="5"/>
  <c r="DL543" i="5"/>
  <c r="DL394" i="5"/>
  <c r="DL227" i="5"/>
  <c r="DL170" i="5"/>
  <c r="DL330" i="5"/>
  <c r="DL56" i="5"/>
  <c r="DL519" i="5"/>
  <c r="DL200" i="5"/>
  <c r="DK194" i="5"/>
  <c r="DL372" i="5"/>
  <c r="DK262" i="5"/>
  <c r="DL664" i="5"/>
  <c r="DL22" i="5"/>
  <c r="DL615" i="5"/>
  <c r="DL186" i="5"/>
  <c r="DL139" i="5"/>
  <c r="DK595" i="5"/>
  <c r="DK215" i="5"/>
  <c r="DK14" i="5"/>
  <c r="DL109" i="5"/>
  <c r="DL165" i="5"/>
  <c r="DL203" i="5"/>
  <c r="DK687" i="5"/>
  <c r="DL681" i="5"/>
  <c r="DL591" i="5"/>
  <c r="DL521" i="5"/>
  <c r="DL520" i="5"/>
  <c r="DK182" i="5"/>
  <c r="DK52" i="5"/>
  <c r="DL500" i="5"/>
  <c r="DL445" i="5"/>
  <c r="DL362" i="5"/>
  <c r="DL401" i="5"/>
  <c r="DL12" i="5"/>
  <c r="DL357" i="5"/>
  <c r="DL369" i="5"/>
  <c r="DL542" i="5"/>
  <c r="DL708" i="5"/>
  <c r="DK360" i="5"/>
  <c r="DL274" i="5"/>
  <c r="DL98" i="5"/>
  <c r="DL275" i="5"/>
  <c r="DL116" i="5"/>
  <c r="DL673" i="5"/>
  <c r="DL338" i="5"/>
  <c r="DL587" i="5"/>
  <c r="DL506" i="5"/>
  <c r="DL636" i="5"/>
  <c r="DL107" i="5"/>
  <c r="DL388" i="5"/>
  <c r="CU592" i="5"/>
  <c r="CU657" i="5"/>
  <c r="CU272" i="5"/>
  <c r="CU24" i="5"/>
  <c r="CU656" i="5"/>
  <c r="CU263" i="5"/>
  <c r="CU255" i="5"/>
  <c r="CU114" i="5"/>
  <c r="CU690" i="5"/>
  <c r="CU250" i="5"/>
  <c r="CU187" i="5"/>
  <c r="CU386" i="5"/>
  <c r="CU74" i="5"/>
  <c r="CU650" i="5"/>
  <c r="CU146" i="5"/>
  <c r="CU658" i="5"/>
  <c r="CU474" i="5"/>
  <c r="CU147" i="5"/>
  <c r="CU60" i="5"/>
  <c r="CU700" i="5"/>
  <c r="CU693" i="5"/>
  <c r="CU462" i="5"/>
  <c r="CU335" i="5"/>
  <c r="CU169" i="5"/>
  <c r="CU481" i="5"/>
  <c r="CU290" i="5"/>
  <c r="CU68" i="5"/>
  <c r="CU644" i="5"/>
  <c r="CU637" i="5"/>
  <c r="CU662" i="5"/>
  <c r="CU535" i="5"/>
  <c r="CU440" i="5"/>
  <c r="CU513" i="5"/>
  <c r="CU618" i="5"/>
  <c r="CU635" i="5"/>
  <c r="CU396" i="5"/>
  <c r="CU197" i="5"/>
  <c r="CU94" i="5"/>
  <c r="CU287" i="5"/>
  <c r="CU313" i="5"/>
  <c r="CU424" i="5"/>
  <c r="CU171" i="5"/>
  <c r="CU148" i="5"/>
  <c r="CU660" i="5"/>
  <c r="CU397" i="5"/>
  <c r="CU230" i="5"/>
  <c r="CU103" i="5"/>
  <c r="CU679" i="5"/>
  <c r="CU48" i="5"/>
  <c r="CU712" i="5"/>
  <c r="CU267" i="5"/>
  <c r="CU92" i="5"/>
  <c r="CU277" i="5"/>
  <c r="CU110" i="5"/>
  <c r="CU686" i="5"/>
  <c r="CU495" i="5"/>
  <c r="CU329" i="5"/>
  <c r="CU96" i="5"/>
  <c r="CU99" i="5"/>
  <c r="CU659" i="5"/>
  <c r="CU548" i="5"/>
  <c r="CU733" i="5"/>
  <c r="CU630" i="5"/>
  <c r="CU567" i="5"/>
  <c r="CU256" i="5"/>
  <c r="CU112" i="5"/>
  <c r="CU390" i="5"/>
  <c r="CU345" i="5"/>
  <c r="DJ313" i="5"/>
  <c r="CU172" i="5"/>
  <c r="CU63" i="5"/>
  <c r="CU624" i="5"/>
  <c r="CU511" i="5"/>
  <c r="CU731" i="5"/>
  <c r="CU135" i="5"/>
  <c r="CU42" i="5"/>
  <c r="DK316" i="5"/>
  <c r="DL278" i="5"/>
  <c r="DK36" i="5"/>
  <c r="DK351" i="5"/>
  <c r="DL21" i="5"/>
  <c r="DL465" i="5"/>
  <c r="DL93" i="5"/>
  <c r="CU721" i="5"/>
  <c r="CU713" i="5"/>
  <c r="CU127" i="5"/>
  <c r="CU583" i="5"/>
  <c r="CU582" i="5"/>
  <c r="CU574" i="5"/>
  <c r="CU254" i="5"/>
  <c r="CU178" i="5"/>
  <c r="CU51" i="5"/>
  <c r="CU314" i="5"/>
  <c r="DJ255" i="5"/>
  <c r="CU514" i="5"/>
  <c r="CU138" i="5"/>
  <c r="CU714" i="5"/>
  <c r="CU210" i="5"/>
  <c r="CU722" i="5"/>
  <c r="CU538" i="5"/>
  <c r="CU235" i="5"/>
  <c r="CU188" i="5"/>
  <c r="CU53" i="5"/>
  <c r="CU14" i="5"/>
  <c r="CU590" i="5"/>
  <c r="CU399" i="5"/>
  <c r="CU233" i="5"/>
  <c r="CU737" i="5"/>
  <c r="CU19" i="5"/>
  <c r="CU132" i="5"/>
  <c r="CU61" i="5"/>
  <c r="CU22" i="5"/>
  <c r="CU726" i="5"/>
  <c r="CU663" i="5"/>
  <c r="CU696" i="5"/>
  <c r="CU464" i="5"/>
  <c r="CU35" i="5"/>
  <c r="CU699" i="5"/>
  <c r="CU460" i="5"/>
  <c r="CU261" i="5"/>
  <c r="CU286" i="5"/>
  <c r="CU351" i="5"/>
  <c r="CU64" i="5"/>
  <c r="CU680" i="5"/>
  <c r="CU259" i="5"/>
  <c r="CU212" i="5"/>
  <c r="CU724" i="5"/>
  <c r="CU461" i="5"/>
  <c r="CU294" i="5"/>
  <c r="CU167" i="5"/>
  <c r="CU65" i="5"/>
  <c r="CU264" i="5"/>
  <c r="CU360" i="5"/>
  <c r="CU331" i="5"/>
  <c r="CU284" i="5"/>
  <c r="CU341" i="5"/>
  <c r="CU174" i="5"/>
  <c r="CU47" i="5"/>
  <c r="CU623" i="5"/>
  <c r="CU192" i="5"/>
  <c r="CU393" i="5"/>
  <c r="CU211" i="5"/>
  <c r="CU723" i="5"/>
  <c r="CU676" i="5"/>
  <c r="CU54" i="5"/>
  <c r="CU694" i="5"/>
  <c r="CU631" i="5"/>
  <c r="CU568" i="5"/>
  <c r="CU465" i="5"/>
  <c r="CU70" i="5"/>
  <c r="CU97" i="5"/>
  <c r="CU613" i="5"/>
  <c r="CU419" i="5"/>
  <c r="CU638" i="5"/>
  <c r="CU625" i="5"/>
  <c r="CU327" i="5"/>
  <c r="CU539" i="5"/>
  <c r="DJ58" i="5"/>
  <c r="DL133" i="5"/>
  <c r="DL193" i="5"/>
  <c r="DL123" i="5"/>
  <c r="DL33" i="5"/>
  <c r="DK583" i="5"/>
  <c r="DL477" i="5"/>
  <c r="CU552" i="5"/>
  <c r="CU198" i="5"/>
  <c r="CU677" i="5"/>
  <c r="CU391" i="5"/>
  <c r="CU382" i="5"/>
  <c r="CU62" i="5"/>
  <c r="CU173" i="5"/>
  <c r="CU242" i="5"/>
  <c r="CU115" i="5"/>
  <c r="CU442" i="5"/>
  <c r="DJ583" i="5"/>
  <c r="CU578" i="5"/>
  <c r="CU202" i="5"/>
  <c r="DJ687" i="5"/>
  <c r="CU274" i="5"/>
  <c r="DJ132" i="5"/>
  <c r="CU730" i="5"/>
  <c r="CU299" i="5"/>
  <c r="CU252" i="5"/>
  <c r="CU181" i="5"/>
  <c r="CU78" i="5"/>
  <c r="CU654" i="5"/>
  <c r="CU463" i="5"/>
  <c r="CU297" i="5"/>
  <c r="CU352" i="5"/>
  <c r="CU243" i="5"/>
  <c r="CU196" i="5"/>
  <c r="CU189" i="5"/>
  <c r="CU150" i="5"/>
  <c r="CU23" i="5"/>
  <c r="CU727" i="5"/>
  <c r="CU136" i="5"/>
  <c r="CU392" i="5"/>
  <c r="CU163" i="5"/>
  <c r="CU12" i="5"/>
  <c r="CU588" i="5"/>
  <c r="CU325" i="5"/>
  <c r="CU350" i="5"/>
  <c r="CU479" i="5"/>
  <c r="CU472" i="5"/>
  <c r="CU296" i="5"/>
  <c r="CU323" i="5"/>
  <c r="CU276" i="5"/>
  <c r="CU13" i="5"/>
  <c r="CU589" i="5"/>
  <c r="CU358" i="5"/>
  <c r="CU231" i="5"/>
  <c r="CU129" i="5"/>
  <c r="CU569" i="5"/>
  <c r="CU617" i="5"/>
  <c r="CU395" i="5"/>
  <c r="CU348" i="5"/>
  <c r="CU405" i="5"/>
  <c r="CU238" i="5"/>
  <c r="CU111" i="5"/>
  <c r="CU687" i="5"/>
  <c r="CU536" i="5"/>
  <c r="CU649" i="5"/>
  <c r="CU275" i="5"/>
  <c r="CU36" i="5"/>
  <c r="CU29" i="5"/>
  <c r="CU182" i="5"/>
  <c r="CU55" i="5"/>
  <c r="CU695" i="5"/>
  <c r="CU633" i="5"/>
  <c r="CU584" i="5"/>
  <c r="CU684" i="5"/>
  <c r="CU383" i="5"/>
  <c r="CU357" i="5"/>
  <c r="CU425" i="5"/>
  <c r="CU510" i="5"/>
  <c r="CU104" i="5"/>
  <c r="DJ650" i="5"/>
  <c r="CU418" i="5"/>
  <c r="CU262" i="5"/>
  <c r="DK404" i="5"/>
  <c r="DL164" i="5"/>
  <c r="DL385" i="5"/>
  <c r="DK425" i="5"/>
  <c r="DL657" i="5"/>
  <c r="CU421" i="5"/>
  <c r="CU685" i="5"/>
  <c r="CU365" i="5"/>
  <c r="CU493" i="5"/>
  <c r="CU621" i="5"/>
  <c r="CU45" i="5"/>
  <c r="CU236" i="5"/>
  <c r="CU306" i="5"/>
  <c r="CU179" i="5"/>
  <c r="CU506" i="5"/>
  <c r="CU66" i="5"/>
  <c r="CU642" i="5"/>
  <c r="CU266" i="5"/>
  <c r="CU75" i="5"/>
  <c r="CU338" i="5"/>
  <c r="DJ468" i="5"/>
  <c r="CU27" i="5"/>
  <c r="CU363" i="5"/>
  <c r="CU316" i="5"/>
  <c r="CU245" i="5"/>
  <c r="CU142" i="5"/>
  <c r="CU718" i="5"/>
  <c r="CU591" i="5"/>
  <c r="CU361" i="5"/>
  <c r="CU616" i="5"/>
  <c r="CU307" i="5"/>
  <c r="CU260" i="5"/>
  <c r="CU253" i="5"/>
  <c r="CU278" i="5"/>
  <c r="CU151" i="5"/>
  <c r="CU49" i="5"/>
  <c r="CU505" i="5"/>
  <c r="CU648" i="5"/>
  <c r="CU251" i="5"/>
  <c r="CU76" i="5"/>
  <c r="CU652" i="5"/>
  <c r="CU389" i="5"/>
  <c r="CU478" i="5"/>
  <c r="CU543" i="5"/>
  <c r="CU728" i="5"/>
  <c r="CU585" i="5"/>
  <c r="CU387" i="5"/>
  <c r="CU340" i="5"/>
  <c r="CU77" i="5"/>
  <c r="CU653" i="5"/>
  <c r="CU422" i="5"/>
  <c r="CU295" i="5"/>
  <c r="CU193" i="5"/>
  <c r="CU16" i="5"/>
  <c r="CU184" i="5"/>
  <c r="CU459" i="5"/>
  <c r="CU476" i="5"/>
  <c r="CU469" i="5"/>
  <c r="CU302" i="5"/>
  <c r="CU175" i="5"/>
  <c r="DJ11" i="5"/>
  <c r="CU240" i="5"/>
  <c r="CU248" i="5"/>
  <c r="CU339" i="5"/>
  <c r="CU100" i="5"/>
  <c r="CU93" i="5"/>
  <c r="CU246" i="5"/>
  <c r="CU183" i="5"/>
  <c r="CU17" i="5"/>
  <c r="CU144" i="5"/>
  <c r="CU208" i="5"/>
  <c r="CU52" i="5"/>
  <c r="CU199" i="5"/>
  <c r="CU165" i="5"/>
  <c r="CU576" i="5"/>
  <c r="CU326" i="5"/>
  <c r="CU288" i="5"/>
  <c r="CU318" i="5"/>
  <c r="CU593" i="5"/>
  <c r="CU126" i="5"/>
  <c r="DL482" i="5"/>
  <c r="DL632" i="5"/>
  <c r="DL727" i="5"/>
  <c r="DK343" i="5"/>
  <c r="DL722" i="5"/>
  <c r="DK174" i="5"/>
  <c r="CU500" i="5"/>
  <c r="CU549" i="5"/>
  <c r="CU109" i="5"/>
  <c r="CU229" i="5"/>
  <c r="CU496" i="5"/>
  <c r="CU108" i="5"/>
  <c r="CU107" i="5"/>
  <c r="CU370" i="5"/>
  <c r="DJ95" i="5"/>
  <c r="CU570" i="5"/>
  <c r="CU130" i="5"/>
  <c r="CU67" i="5"/>
  <c r="CU330" i="5"/>
  <c r="CU139" i="5"/>
  <c r="CU402" i="5"/>
  <c r="CU26" i="5"/>
  <c r="CU91" i="5"/>
  <c r="CU427" i="5"/>
  <c r="CU444" i="5"/>
  <c r="CU309" i="5"/>
  <c r="CU206" i="5"/>
  <c r="CU15" i="5"/>
  <c r="CU655" i="5"/>
  <c r="CU72" i="5"/>
  <c r="CU168" i="5"/>
  <c r="CU435" i="5"/>
  <c r="CU324" i="5"/>
  <c r="CU317" i="5"/>
  <c r="CU342" i="5"/>
  <c r="CU279" i="5"/>
  <c r="CU113" i="5"/>
  <c r="CU432" i="5"/>
  <c r="CU232" i="5"/>
  <c r="CU315" i="5"/>
  <c r="CU140" i="5"/>
  <c r="CU716" i="5"/>
  <c r="CU517" i="5"/>
  <c r="CU542" i="5"/>
  <c r="CU735" i="5"/>
  <c r="CU200" i="5"/>
  <c r="CU497" i="5"/>
  <c r="CU515" i="5"/>
  <c r="CU404" i="5"/>
  <c r="CU141" i="5"/>
  <c r="CU717" i="5"/>
  <c r="CU550" i="5"/>
  <c r="CU359" i="5"/>
  <c r="CU257" i="5"/>
  <c r="CU280" i="5"/>
  <c r="DJ163" i="5"/>
  <c r="CU587" i="5"/>
  <c r="CU540" i="5"/>
  <c r="CU533" i="5"/>
  <c r="CU366" i="5"/>
  <c r="CU239" i="5"/>
  <c r="CU73" i="5"/>
  <c r="CU328" i="5"/>
  <c r="CU34" i="5"/>
  <c r="CU403" i="5"/>
  <c r="CU164" i="5"/>
  <c r="CU285" i="5"/>
  <c r="CU310" i="5"/>
  <c r="CU247" i="5"/>
  <c r="CU145" i="5"/>
  <c r="CU512" i="5"/>
  <c r="CU688" i="5"/>
  <c r="CU475" i="5"/>
  <c r="CU71" i="5"/>
  <c r="CU37" i="5"/>
  <c r="CU289" i="5"/>
  <c r="CU301" i="5"/>
  <c r="CU544" i="5"/>
  <c r="CU134" i="5"/>
  <c r="CU40" i="5"/>
  <c r="CU429" i="5"/>
  <c r="DK431" i="5"/>
  <c r="DK333" i="5"/>
  <c r="DL424" i="5"/>
  <c r="DL409" i="5"/>
  <c r="DL662" i="5"/>
  <c r="DL552" i="5"/>
  <c r="DL89" i="5"/>
  <c r="CU455" i="5"/>
  <c r="CU44" i="5"/>
  <c r="CU180" i="5"/>
  <c r="CU428" i="5"/>
  <c r="CU101" i="5"/>
  <c r="CU369" i="5"/>
  <c r="CU368" i="5"/>
  <c r="DJ394" i="5"/>
  <c r="CU434" i="5"/>
  <c r="DJ431" i="5"/>
  <c r="CU634" i="5"/>
  <c r="CU194" i="5"/>
  <c r="CU131" i="5"/>
  <c r="CU394" i="5"/>
  <c r="DJ357" i="5"/>
  <c r="CU466" i="5"/>
  <c r="CU90" i="5"/>
  <c r="CU98" i="5"/>
  <c r="CU555" i="5"/>
  <c r="CU508" i="5"/>
  <c r="CU437" i="5"/>
  <c r="CU270" i="5"/>
  <c r="CU143" i="5"/>
  <c r="CU719" i="5"/>
  <c r="CU473" i="5"/>
  <c r="CU400" i="5"/>
  <c r="CU499" i="5"/>
  <c r="CU388" i="5"/>
  <c r="CU381" i="5"/>
  <c r="CU406" i="5"/>
  <c r="CU343" i="5"/>
  <c r="CU177" i="5"/>
  <c r="CU384" i="5"/>
  <c r="CU553" i="5"/>
  <c r="CU443" i="5"/>
  <c r="CU204" i="5"/>
  <c r="DJ505" i="5"/>
  <c r="CU581" i="5"/>
  <c r="CU734" i="5"/>
  <c r="CU57" i="5"/>
  <c r="CU537" i="5"/>
  <c r="DJ32" i="5"/>
  <c r="CU579" i="5"/>
  <c r="CU468" i="5"/>
  <c r="CU205" i="5"/>
  <c r="CU38" i="5"/>
  <c r="CU614" i="5"/>
  <c r="CU423" i="5"/>
  <c r="CU321" i="5"/>
  <c r="CU577" i="5"/>
  <c r="CU362" i="5"/>
  <c r="CU651" i="5"/>
  <c r="CU732" i="5"/>
  <c r="CU661" i="5"/>
  <c r="CU430" i="5"/>
  <c r="CU303" i="5"/>
  <c r="CU137" i="5"/>
  <c r="CU480" i="5"/>
  <c r="CU170" i="5"/>
  <c r="CU467" i="5"/>
  <c r="CU292" i="5"/>
  <c r="CU349" i="5"/>
  <c r="CU438" i="5"/>
  <c r="CU311" i="5"/>
  <c r="CU209" i="5"/>
  <c r="CU176" i="5"/>
  <c r="CU320" i="5"/>
  <c r="CU291" i="5"/>
  <c r="CU646" i="5"/>
  <c r="CU628" i="5"/>
  <c r="CU89" i="5"/>
  <c r="CU620" i="5"/>
  <c r="CU632" i="5"/>
  <c r="CU293" i="5"/>
  <c r="CU441" i="5"/>
  <c r="CU237" i="5"/>
  <c r="CU223" i="5"/>
  <c r="DL671" i="5"/>
  <c r="DL659" i="5"/>
  <c r="DL160" i="5"/>
  <c r="DL257" i="5"/>
  <c r="DK462" i="5"/>
  <c r="DL469" i="5"/>
  <c r="DL34" i="5"/>
  <c r="CU692" i="5"/>
  <c r="CU355" i="5"/>
  <c r="CU283" i="5"/>
  <c r="CU720" i="5"/>
  <c r="CU675" i="5"/>
  <c r="CU304" i="5"/>
  <c r="CU312" i="5"/>
  <c r="DJ192" i="5"/>
  <c r="CU498" i="5"/>
  <c r="CU58" i="5"/>
  <c r="CU698" i="5"/>
  <c r="CU258" i="5"/>
  <c r="CU195" i="5"/>
  <c r="CU458" i="5"/>
  <c r="DJ542" i="5"/>
  <c r="CU530" i="5"/>
  <c r="CU282" i="5"/>
  <c r="CU234" i="5"/>
  <c r="CU619" i="5"/>
  <c r="CU572" i="5"/>
  <c r="CU501" i="5"/>
  <c r="CU334" i="5"/>
  <c r="CU207" i="5"/>
  <c r="CU41" i="5"/>
  <c r="CU729" i="5"/>
  <c r="CU433" i="5"/>
  <c r="CU627" i="5"/>
  <c r="CU516" i="5"/>
  <c r="CU509" i="5"/>
  <c r="CU470" i="5"/>
  <c r="CU407" i="5"/>
  <c r="CU241" i="5"/>
  <c r="CU640" i="5"/>
  <c r="CU56" i="5"/>
  <c r="CU507" i="5"/>
  <c r="CU268" i="5"/>
  <c r="CU69" i="5"/>
  <c r="CU645" i="5"/>
  <c r="CU31" i="5"/>
  <c r="CU185" i="5"/>
  <c r="CU545" i="5"/>
  <c r="CU354" i="5"/>
  <c r="CU643" i="5"/>
  <c r="CU532" i="5"/>
  <c r="CU269" i="5"/>
  <c r="CU102" i="5"/>
  <c r="CU678" i="5"/>
  <c r="CU551" i="5"/>
  <c r="CU128" i="5"/>
  <c r="CU32" i="5"/>
  <c r="CU674" i="5"/>
  <c r="CU715" i="5"/>
  <c r="CU21" i="5"/>
  <c r="CU725" i="5"/>
  <c r="CU494" i="5"/>
  <c r="CU367" i="5"/>
  <c r="CU201" i="5"/>
  <c r="CU736" i="5"/>
  <c r="CU546" i="5"/>
  <c r="CU531" i="5"/>
  <c r="CU356" i="5"/>
  <c r="CU477" i="5"/>
  <c r="CU502" i="5"/>
  <c r="CU439" i="5"/>
  <c r="CU273" i="5"/>
  <c r="CU385" i="5"/>
  <c r="CU711" i="5"/>
  <c r="CU457" i="5"/>
  <c r="CU518" i="5"/>
  <c r="CU492" i="5"/>
  <c r="CU647" i="5"/>
  <c r="CU308" i="5"/>
  <c r="CU281" i="5"/>
  <c r="CU11" i="5"/>
  <c r="CU33" i="5"/>
  <c r="CU436" i="5"/>
  <c r="DK12" i="5"/>
  <c r="DL610" i="5"/>
  <c r="DL36" i="5"/>
  <c r="DL196" i="5"/>
  <c r="DL705" i="5"/>
  <c r="DL508" i="5"/>
  <c r="DL239" i="5"/>
  <c r="CU347" i="5"/>
  <c r="CU554" i="5"/>
  <c r="CU681" i="5"/>
  <c r="CU529" i="5"/>
  <c r="CU401" i="5"/>
  <c r="CU25" i="5"/>
  <c r="CU353" i="5"/>
  <c r="CU50" i="5"/>
  <c r="CU626" i="5"/>
  <c r="CU186" i="5"/>
  <c r="CU59" i="5"/>
  <c r="CU322" i="5"/>
  <c r="DJ279" i="5"/>
  <c r="CU586" i="5"/>
  <c r="CU18" i="5"/>
  <c r="CU594" i="5"/>
  <c r="CU346" i="5"/>
  <c r="CU426" i="5"/>
  <c r="CU683" i="5"/>
  <c r="CU636" i="5"/>
  <c r="CU629" i="5"/>
  <c r="CU398" i="5"/>
  <c r="CU271" i="5"/>
  <c r="CU105" i="5"/>
  <c r="CU336" i="5"/>
  <c r="CU106" i="5"/>
  <c r="CU691" i="5"/>
  <c r="CU580" i="5"/>
  <c r="CU573" i="5"/>
  <c r="CU534" i="5"/>
  <c r="CU471" i="5"/>
  <c r="CU305" i="5"/>
  <c r="CU152" i="5"/>
  <c r="CU298" i="5"/>
  <c r="CU571" i="5"/>
  <c r="CU332" i="5"/>
  <c r="CU133" i="5"/>
  <c r="CU30" i="5"/>
  <c r="CU95" i="5"/>
  <c r="CU249" i="5"/>
  <c r="DJ724" i="5"/>
  <c r="CU43" i="5"/>
  <c r="CU20" i="5"/>
  <c r="CU596" i="5"/>
  <c r="CU333" i="5"/>
  <c r="CU166" i="5"/>
  <c r="CU39" i="5"/>
  <c r="CU615" i="5"/>
  <c r="CU504" i="5"/>
  <c r="CU456" i="5"/>
  <c r="CU203" i="5"/>
  <c r="CU28" i="5"/>
  <c r="CU149" i="5"/>
  <c r="CU46" i="5"/>
  <c r="CU622" i="5"/>
  <c r="CU431" i="5"/>
  <c r="CU265" i="5"/>
  <c r="CU344" i="5"/>
  <c r="CU682" i="5"/>
  <c r="CU595" i="5"/>
  <c r="CU420" i="5"/>
  <c r="CU541" i="5"/>
  <c r="CU566" i="5"/>
  <c r="CU503" i="5"/>
  <c r="CU337" i="5"/>
  <c r="CU641" i="5"/>
  <c r="CU575" i="5"/>
  <c r="CU697" i="5"/>
  <c r="CU190" i="5"/>
  <c r="CU364" i="5"/>
  <c r="CU191" i="5"/>
  <c r="CU547" i="5"/>
  <c r="CU639" i="5"/>
  <c r="CU300" i="5"/>
  <c r="CU319" i="5"/>
  <c r="CU244" i="5"/>
  <c r="DJ502" i="5"/>
  <c r="CN40" i="12"/>
  <c r="CN41" i="12"/>
  <c r="CN42" i="12"/>
  <c r="EA10" i="5" a="1"/>
  <c r="EA10" i="5" s="1"/>
  <c r="DY10" i="5" a="1"/>
  <c r="DY10" i="5" s="1"/>
  <c r="ED10" i="5" a="1"/>
  <c r="ED10" i="5"/>
  <c r="EB10" i="5" a="1"/>
  <c r="EB10" i="5" s="1"/>
  <c r="DZ10" i="5" a="1"/>
  <c r="DZ10" i="5"/>
  <c r="DQ725" i="5"/>
  <c r="DQ615" i="5"/>
  <c r="DQ729" i="5"/>
  <c r="DQ636" i="5"/>
  <c r="DP279" i="5"/>
  <c r="DQ740" i="5"/>
  <c r="DP286" i="5"/>
  <c r="DQ100" i="5"/>
  <c r="DP747" i="5"/>
  <c r="DQ104" i="5"/>
  <c r="DQ19" i="5"/>
  <c r="DQ213" i="5"/>
  <c r="DQ115" i="5"/>
  <c r="DQ217" i="5"/>
  <c r="DQ132" i="5"/>
  <c r="DQ231" i="5"/>
  <c r="DQ129" i="5"/>
  <c r="DQ235" i="5"/>
  <c r="DQ146" i="5"/>
  <c r="DQ247" i="5"/>
  <c r="DQ142" i="5"/>
  <c r="DQ251" i="5"/>
  <c r="DQ160" i="5"/>
  <c r="DQ369" i="5"/>
  <c r="DQ259" i="5"/>
  <c r="DQ372" i="5"/>
  <c r="DQ275" i="5"/>
  <c r="DQ744" i="5"/>
  <c r="DQ638" i="5"/>
  <c r="DQ525" i="5"/>
  <c r="DQ567" i="5"/>
  <c r="DQ462" i="5"/>
  <c r="DP410" i="5"/>
  <c r="DQ107" i="5"/>
  <c r="DQ13" i="5"/>
  <c r="DQ44" i="5"/>
  <c r="DP515" i="5"/>
  <c r="DP425" i="5"/>
  <c r="DQ508" i="5"/>
  <c r="DQ551" i="5"/>
  <c r="DQ445" i="5"/>
  <c r="DQ486" i="5"/>
  <c r="DQ380" i="5"/>
  <c r="DP653" i="5"/>
  <c r="DQ133" i="5"/>
  <c r="DQ32" i="5"/>
  <c r="DQ70" i="5"/>
  <c r="DP638" i="5"/>
  <c r="DP703" i="5"/>
  <c r="DQ715" i="5"/>
  <c r="DQ362" i="5"/>
  <c r="DQ255" i="5"/>
  <c r="DQ291" i="5"/>
  <c r="DQ184" i="5"/>
  <c r="DP471" i="5"/>
  <c r="DP166" i="5"/>
  <c r="DQ705" i="5"/>
  <c r="DQ593" i="5"/>
  <c r="DQ642" i="5"/>
  <c r="DQ528" i="5"/>
  <c r="DQ166" i="5"/>
  <c r="DQ170" i="5"/>
  <c r="DQ68" i="5"/>
  <c r="DQ110" i="5"/>
  <c r="DQ15" i="5"/>
  <c r="DP307" i="5"/>
  <c r="DQ668" i="5"/>
  <c r="DP49" i="5"/>
  <c r="DP163" i="5"/>
  <c r="DP434" i="5"/>
  <c r="DP740" i="5"/>
  <c r="DP690" i="5"/>
  <c r="DP681" i="5"/>
  <c r="DO192" i="5"/>
  <c r="DP253" i="5"/>
  <c r="DQ727" i="5"/>
  <c r="DP257" i="5"/>
  <c r="DQ88" i="5"/>
  <c r="DP697" i="5"/>
  <c r="DQ90" i="5"/>
  <c r="DP710" i="5"/>
  <c r="DQ200" i="5"/>
  <c r="DQ102" i="5"/>
  <c r="DQ203" i="5"/>
  <c r="DQ118" i="5"/>
  <c r="DQ325" i="5"/>
  <c r="DQ215" i="5"/>
  <c r="DQ330" i="5"/>
  <c r="DQ237" i="5"/>
  <c r="DQ341" i="5"/>
  <c r="DQ233" i="5"/>
  <c r="DQ345" i="5"/>
  <c r="DQ253" i="5"/>
  <c r="DQ355" i="5"/>
  <c r="DQ249" i="5"/>
  <c r="DQ358" i="5"/>
  <c r="DQ262" i="5"/>
  <c r="DQ477" i="5"/>
  <c r="DQ371" i="5"/>
  <c r="DQ480" i="5"/>
  <c r="DQ388" i="5"/>
  <c r="DP291" i="5"/>
  <c r="DQ745" i="5"/>
  <c r="DQ640" i="5"/>
  <c r="DQ682" i="5"/>
  <c r="DQ570" i="5"/>
  <c r="DQ489" i="5"/>
  <c r="DQ206" i="5"/>
  <c r="DQ109" i="5"/>
  <c r="DQ150" i="5"/>
  <c r="DQ46" i="5"/>
  <c r="DP727" i="5"/>
  <c r="DP36" i="5"/>
  <c r="DQ665" i="5"/>
  <c r="DQ552" i="5"/>
  <c r="DQ594" i="5"/>
  <c r="DQ488" i="5"/>
  <c r="DQ712" i="5"/>
  <c r="DQ239" i="5"/>
  <c r="DQ135" i="5"/>
  <c r="DQ173" i="5"/>
  <c r="DQ72" i="5"/>
  <c r="DP192" i="5"/>
  <c r="DP194" i="5"/>
  <c r="DQ469" i="5"/>
  <c r="DQ364" i="5"/>
  <c r="DQ406" i="5"/>
  <c r="DQ293" i="5"/>
  <c r="DP644" i="5"/>
  <c r="DP545" i="5"/>
  <c r="DP168" i="5"/>
  <c r="DQ707" i="5"/>
  <c r="DQ749" i="5"/>
  <c r="DQ644" i="5"/>
  <c r="DQ61" i="5"/>
  <c r="DQ276" i="5"/>
  <c r="DQ171" i="5"/>
  <c r="DQ210" i="5"/>
  <c r="DQ111" i="5"/>
  <c r="DP585" i="5"/>
  <c r="DQ556" i="5"/>
  <c r="DQ670" i="5"/>
  <c r="DO11" i="5"/>
  <c r="DO468" i="5"/>
  <c r="DO724" i="5"/>
  <c r="DO394" i="5"/>
  <c r="DO58" i="5"/>
  <c r="DQ340" i="5"/>
  <c r="DQ404" i="5"/>
  <c r="DQ73" i="5"/>
  <c r="DP650" i="5"/>
  <c r="DQ76" i="5"/>
  <c r="DP660" i="5"/>
  <c r="DQ186" i="5"/>
  <c r="DQ89" i="5"/>
  <c r="DQ190" i="5"/>
  <c r="DQ105" i="5"/>
  <c r="DQ312" i="5"/>
  <c r="DQ202" i="5"/>
  <c r="DQ314" i="5"/>
  <c r="DQ219" i="5"/>
  <c r="DQ436" i="5"/>
  <c r="DQ328" i="5"/>
  <c r="DQ440" i="5"/>
  <c r="DQ348" i="5"/>
  <c r="DQ449" i="5"/>
  <c r="DQ343" i="5"/>
  <c r="DQ452" i="5"/>
  <c r="DQ360" i="5"/>
  <c r="DQ463" i="5"/>
  <c r="DQ357" i="5"/>
  <c r="DQ466" i="5"/>
  <c r="DQ373" i="5"/>
  <c r="DQ584" i="5"/>
  <c r="DQ478" i="5"/>
  <c r="DQ587" i="5"/>
  <c r="DQ496" i="5"/>
  <c r="DP718" i="5"/>
  <c r="DP299" i="5"/>
  <c r="DQ747" i="5"/>
  <c r="DP95" i="5"/>
  <c r="DQ684" i="5"/>
  <c r="DQ385" i="5"/>
  <c r="DQ318" i="5"/>
  <c r="DQ208" i="5"/>
  <c r="DQ256" i="5"/>
  <c r="DQ152" i="5"/>
  <c r="DP52" i="5"/>
  <c r="DP397" i="5"/>
  <c r="DP39" i="5"/>
  <c r="DQ666" i="5"/>
  <c r="DQ708" i="5"/>
  <c r="DQ595" i="5"/>
  <c r="DQ599" i="5"/>
  <c r="DQ350" i="5"/>
  <c r="DQ241" i="5"/>
  <c r="DQ279" i="5"/>
  <c r="DQ174" i="5"/>
  <c r="DP333" i="5"/>
  <c r="DQ664" i="5"/>
  <c r="DQ577" i="5"/>
  <c r="DQ471" i="5"/>
  <c r="DQ514" i="5"/>
  <c r="DQ408" i="5"/>
  <c r="DP267" i="5"/>
  <c r="DQ53" i="5"/>
  <c r="DP552" i="5"/>
  <c r="DP170" i="5"/>
  <c r="DP313" i="5"/>
  <c r="DQ752" i="5"/>
  <c r="DQ168" i="5"/>
  <c r="DQ389" i="5"/>
  <c r="DQ278" i="5"/>
  <c r="DQ321" i="5"/>
  <c r="DQ212" i="5"/>
  <c r="DP11" i="5"/>
  <c r="DO163" i="5"/>
  <c r="DO132" i="5"/>
  <c r="DO255" i="5"/>
  <c r="DO431" i="5"/>
  <c r="DO687" i="5"/>
  <c r="DO32" i="5"/>
  <c r="DO542" i="5"/>
  <c r="DQ175" i="5"/>
  <c r="DQ74" i="5"/>
  <c r="DQ178" i="5"/>
  <c r="DQ92" i="5"/>
  <c r="DQ296" i="5"/>
  <c r="DQ188" i="5"/>
  <c r="DQ299" i="5"/>
  <c r="DQ204" i="5"/>
  <c r="DQ424" i="5"/>
  <c r="DQ313" i="5"/>
  <c r="DQ426" i="5"/>
  <c r="DQ331" i="5"/>
  <c r="DQ543" i="5"/>
  <c r="DQ438" i="5"/>
  <c r="DQ547" i="5"/>
  <c r="DQ454" i="5"/>
  <c r="DQ557" i="5"/>
  <c r="DQ451" i="5"/>
  <c r="DQ560" i="5"/>
  <c r="DQ468" i="5"/>
  <c r="DQ572" i="5"/>
  <c r="DQ465" i="5"/>
  <c r="DQ574" i="5"/>
  <c r="DQ482" i="5"/>
  <c r="DQ699" i="5"/>
  <c r="DQ585" i="5"/>
  <c r="DQ702" i="5"/>
  <c r="DQ603" i="5"/>
  <c r="DQ93" i="5"/>
  <c r="DP724" i="5"/>
  <c r="DQ33" i="5"/>
  <c r="DP468" i="5"/>
  <c r="DP282" i="5"/>
  <c r="DQ493" i="5"/>
  <c r="DQ429" i="5"/>
  <c r="DQ320" i="5"/>
  <c r="DQ366" i="5"/>
  <c r="DQ257" i="5"/>
  <c r="DP247" i="5"/>
  <c r="DQ21" i="5"/>
  <c r="DP404" i="5"/>
  <c r="DP44" i="5"/>
  <c r="DP174" i="5"/>
  <c r="DQ710" i="5"/>
  <c r="DQ717" i="5"/>
  <c r="DQ456" i="5"/>
  <c r="DQ351" i="5"/>
  <c r="DQ392" i="5"/>
  <c r="DQ280" i="5"/>
  <c r="DP484" i="5"/>
  <c r="DP126" i="5"/>
  <c r="DQ692" i="5"/>
  <c r="DQ579" i="5"/>
  <c r="DQ626" i="5"/>
  <c r="DQ515" i="5"/>
  <c r="DQ59" i="5"/>
  <c r="DQ162" i="5"/>
  <c r="DQ55" i="5"/>
  <c r="DQ96" i="5"/>
  <c r="DP734" i="5"/>
  <c r="DP178" i="5"/>
  <c r="DQ78" i="5"/>
  <c r="DQ498" i="5"/>
  <c r="DQ391" i="5"/>
  <c r="DQ432" i="5"/>
  <c r="DQ323" i="5"/>
  <c r="DP98" i="5"/>
  <c r="DO650" i="5"/>
  <c r="DO95" i="5"/>
  <c r="DQ270" i="5"/>
  <c r="DQ167" i="5"/>
  <c r="DQ274" i="5"/>
  <c r="DQ731" i="5"/>
  <c r="DO313" i="5"/>
  <c r="DR313" i="5" s="1"/>
  <c r="DQ282" i="5"/>
  <c r="DQ177" i="5"/>
  <c r="DQ285" i="5"/>
  <c r="DQ192" i="5"/>
  <c r="DQ409" i="5"/>
  <c r="DQ297" i="5"/>
  <c r="DQ412" i="5"/>
  <c r="DQ316" i="5"/>
  <c r="DQ530" i="5"/>
  <c r="DQ425" i="5"/>
  <c r="DQ535" i="5"/>
  <c r="DQ441" i="5"/>
  <c r="DQ659" i="5"/>
  <c r="DQ545" i="5"/>
  <c r="DQ662" i="5"/>
  <c r="DQ562" i="5"/>
  <c r="DQ671" i="5"/>
  <c r="DQ558" i="5"/>
  <c r="DQ675" i="5"/>
  <c r="DQ575" i="5"/>
  <c r="DQ685" i="5"/>
  <c r="DQ573" i="5"/>
  <c r="DQ688" i="5"/>
  <c r="DQ589" i="5"/>
  <c r="DP155" i="5"/>
  <c r="DQ701" i="5"/>
  <c r="DP164" i="5"/>
  <c r="DQ382" i="5"/>
  <c r="DQ193" i="5"/>
  <c r="DQ95" i="5"/>
  <c r="DQ137" i="5"/>
  <c r="DQ34" i="5"/>
  <c r="DP573" i="5"/>
  <c r="DQ401" i="5"/>
  <c r="DQ537" i="5"/>
  <c r="DQ431" i="5"/>
  <c r="DQ473" i="5"/>
  <c r="DQ367" i="5"/>
  <c r="DP508" i="5"/>
  <c r="DQ120" i="5"/>
  <c r="DQ22" i="5"/>
  <c r="DQ56" i="5"/>
  <c r="DP565" i="5"/>
  <c r="DP558" i="5"/>
  <c r="DQ620" i="5"/>
  <c r="DQ563" i="5"/>
  <c r="DQ459" i="5"/>
  <c r="DQ500" i="5"/>
  <c r="DQ394" i="5"/>
  <c r="DP111" i="5"/>
  <c r="DP499" i="5"/>
  <c r="DP132" i="5"/>
  <c r="DQ694" i="5"/>
  <c r="DQ736" i="5"/>
  <c r="DQ628" i="5"/>
  <c r="DP583" i="5"/>
  <c r="DQ264" i="5"/>
  <c r="DQ163" i="5"/>
  <c r="DQ196" i="5"/>
  <c r="DQ98" i="5"/>
  <c r="DP462" i="5"/>
  <c r="DQ718" i="5"/>
  <c r="DQ604" i="5"/>
  <c r="DQ499" i="5"/>
  <c r="DQ540" i="5"/>
  <c r="DQ434" i="5"/>
  <c r="DP521" i="5"/>
  <c r="DO505" i="5"/>
  <c r="DQ79" i="5"/>
  <c r="DQ181" i="5"/>
  <c r="DQ288" i="5"/>
  <c r="DQ403" i="5"/>
  <c r="DQ622" i="5"/>
  <c r="DP255" i="5"/>
  <c r="DQ179" i="5"/>
  <c r="DO279" i="5"/>
  <c r="DQ395" i="5"/>
  <c r="DQ284" i="5"/>
  <c r="DQ399" i="5"/>
  <c r="DQ301" i="5"/>
  <c r="DQ517" i="5"/>
  <c r="DQ410" i="5"/>
  <c r="DQ520" i="5"/>
  <c r="DQ428" i="5"/>
  <c r="DQ645" i="5"/>
  <c r="DQ533" i="5"/>
  <c r="DQ648" i="5"/>
  <c r="DQ549" i="5"/>
  <c r="DP30" i="5"/>
  <c r="DQ660" i="5"/>
  <c r="DP34" i="5"/>
  <c r="DQ678" i="5"/>
  <c r="DP58" i="5"/>
  <c r="DQ673" i="5"/>
  <c r="DP68" i="5"/>
  <c r="DQ690" i="5"/>
  <c r="DP105" i="5"/>
  <c r="DQ687" i="5"/>
  <c r="DP118" i="5"/>
  <c r="DQ47" i="5"/>
  <c r="DP528" i="5"/>
  <c r="DQ51" i="5"/>
  <c r="DP542" i="5"/>
  <c r="DQ272" i="5"/>
  <c r="DQ304" i="5"/>
  <c r="DQ194" i="5"/>
  <c r="DQ243" i="5"/>
  <c r="DQ139" i="5"/>
  <c r="DP275" i="5"/>
  <c r="DP14" i="5"/>
  <c r="DQ651" i="5"/>
  <c r="DQ539" i="5"/>
  <c r="DQ581" i="5"/>
  <c r="DQ475" i="5"/>
  <c r="DQ597" i="5"/>
  <c r="DQ221" i="5"/>
  <c r="DQ123" i="5"/>
  <c r="DQ164" i="5"/>
  <c r="DQ58" i="5"/>
  <c r="DP32" i="5"/>
  <c r="DP74" i="5"/>
  <c r="DQ680" i="5"/>
  <c r="DQ565" i="5"/>
  <c r="DQ608" i="5"/>
  <c r="DQ502" i="5"/>
  <c r="DO357" i="5"/>
  <c r="DQ41" i="5"/>
  <c r="DP505" i="5"/>
  <c r="DP135" i="5"/>
  <c r="DP272" i="5"/>
  <c r="DQ738" i="5"/>
  <c r="DQ63" i="5"/>
  <c r="DQ375" i="5"/>
  <c r="DQ265" i="5"/>
  <c r="DQ307" i="5"/>
  <c r="DQ198" i="5"/>
  <c r="DP630" i="5"/>
  <c r="DP204" i="5"/>
  <c r="DQ719" i="5"/>
  <c r="DQ606" i="5"/>
  <c r="DQ655" i="5"/>
  <c r="DQ542" i="5"/>
  <c r="DP259" i="5"/>
  <c r="DP666" i="5"/>
  <c r="DP673" i="5"/>
  <c r="DQ81" i="5"/>
  <c r="DQ182" i="5"/>
  <c r="DQ289" i="5"/>
  <c r="DQ512" i="5"/>
  <c r="DQ446" i="5"/>
  <c r="DQ510" i="5"/>
  <c r="DQ503" i="5"/>
  <c r="DQ397" i="5"/>
  <c r="DQ506" i="5"/>
  <c r="DQ414" i="5"/>
  <c r="DQ630" i="5"/>
  <c r="DQ519" i="5"/>
  <c r="DQ634" i="5"/>
  <c r="DQ536" i="5"/>
  <c r="DQ754" i="5"/>
  <c r="DQ647" i="5"/>
  <c r="DP12" i="5"/>
  <c r="DQ16" i="5"/>
  <c r="DP380" i="5"/>
  <c r="DQ18" i="5"/>
  <c r="DP394" i="5"/>
  <c r="DQ26" i="5"/>
  <c r="DP431" i="5"/>
  <c r="DQ29" i="5"/>
  <c r="DP441" i="5"/>
  <c r="DQ35" i="5"/>
  <c r="DP478" i="5"/>
  <c r="DQ37" i="5"/>
  <c r="DP491" i="5"/>
  <c r="DQ153" i="5"/>
  <c r="DQ49" i="5"/>
  <c r="DQ157" i="5"/>
  <c r="DQ65" i="5"/>
  <c r="DQ387" i="5"/>
  <c r="DQ415" i="5"/>
  <c r="DQ305" i="5"/>
  <c r="DQ352" i="5"/>
  <c r="DQ245" i="5"/>
  <c r="DP61" i="5"/>
  <c r="DP351" i="5"/>
  <c r="DP16" i="5"/>
  <c r="DQ653" i="5"/>
  <c r="DQ696" i="5"/>
  <c r="DQ583" i="5"/>
  <c r="DQ491" i="5"/>
  <c r="DQ333" i="5"/>
  <c r="DQ224" i="5"/>
  <c r="DQ267" i="5"/>
  <c r="DQ165" i="5"/>
  <c r="DP231" i="5"/>
  <c r="DP447" i="5"/>
  <c r="DP81" i="5"/>
  <c r="DQ681" i="5"/>
  <c r="DQ722" i="5"/>
  <c r="DQ610" i="5"/>
  <c r="DO583" i="5"/>
  <c r="DQ147" i="5"/>
  <c r="DQ42" i="5"/>
  <c r="DQ83" i="5"/>
  <c r="DP687" i="5"/>
  <c r="DP536" i="5"/>
  <c r="DP595" i="5"/>
  <c r="DQ483" i="5"/>
  <c r="DQ377" i="5"/>
  <c r="DQ419" i="5"/>
  <c r="DQ309" i="5"/>
  <c r="DP148" i="5"/>
  <c r="DP606" i="5"/>
  <c r="DP215" i="5"/>
  <c r="DQ721" i="5"/>
  <c r="DP22" i="5"/>
  <c r="DQ657" i="5"/>
  <c r="DQ733" i="5"/>
  <c r="DP262" i="5"/>
  <c r="DQ23" i="5"/>
  <c r="DQ125" i="5"/>
  <c r="DQ227" i="5"/>
  <c r="DQ338" i="5"/>
  <c r="DQ554" i="5"/>
  <c r="DQ612" i="5"/>
  <c r="DQ505" i="5"/>
  <c r="DQ618" i="5"/>
  <c r="DQ521" i="5"/>
  <c r="DQ739" i="5"/>
  <c r="DQ632" i="5"/>
  <c r="DQ742" i="5"/>
  <c r="DQ650" i="5"/>
  <c r="DP323" i="5"/>
  <c r="DQ11" i="5"/>
  <c r="DP343" i="5"/>
  <c r="DQ113" i="5"/>
  <c r="DQ17" i="5"/>
  <c r="DQ116" i="5"/>
  <c r="DQ30" i="5"/>
  <c r="DQ127" i="5"/>
  <c r="DQ27" i="5"/>
  <c r="DQ130" i="5"/>
  <c r="DQ39" i="5"/>
  <c r="DQ141" i="5"/>
  <c r="DQ36" i="5"/>
  <c r="DQ144" i="5"/>
  <c r="DQ52" i="5"/>
  <c r="DQ258" i="5"/>
  <c r="DQ155" i="5"/>
  <c r="DQ260" i="5"/>
  <c r="DQ169" i="5"/>
  <c r="DQ286" i="5"/>
  <c r="DQ523" i="5"/>
  <c r="DQ417" i="5"/>
  <c r="DQ461" i="5"/>
  <c r="DQ354" i="5"/>
  <c r="DP373" i="5"/>
  <c r="DQ12" i="5"/>
  <c r="DP357" i="5"/>
  <c r="DP18" i="5"/>
  <c r="DP142" i="5"/>
  <c r="DQ697" i="5"/>
  <c r="DQ601" i="5"/>
  <c r="DQ443" i="5"/>
  <c r="DQ335" i="5"/>
  <c r="DQ378" i="5"/>
  <c r="DQ269" i="5"/>
  <c r="DP360" i="5"/>
  <c r="DQ31" i="5"/>
  <c r="DP454" i="5"/>
  <c r="DP89" i="5"/>
  <c r="DP239" i="5"/>
  <c r="DQ724" i="5"/>
  <c r="DP182" i="5"/>
  <c r="DQ254" i="5"/>
  <c r="DQ148" i="5"/>
  <c r="DQ183" i="5"/>
  <c r="DQ86" i="5"/>
  <c r="DP316" i="5"/>
  <c r="DQ703" i="5"/>
  <c r="DQ591" i="5"/>
  <c r="DQ484" i="5"/>
  <c r="DQ526" i="5"/>
  <c r="DQ422" i="5"/>
  <c r="DP388" i="5"/>
  <c r="DQ67" i="5"/>
  <c r="DP622" i="5"/>
  <c r="DQ14" i="5"/>
  <c r="DP367" i="5"/>
  <c r="DP26" i="5"/>
  <c r="DQ624" i="5"/>
  <c r="DQ734" i="5"/>
  <c r="DP417" i="5"/>
  <c r="DQ25" i="5"/>
  <c r="DQ126" i="5"/>
  <c r="DQ229" i="5"/>
  <c r="DQ447" i="5"/>
  <c r="DO312" i="5"/>
  <c r="DZ11" i="5" a="1"/>
  <c r="DZ11" i="5" s="1"/>
  <c r="J49" i="5"/>
  <c r="EA22" i="5" a="1"/>
  <c r="EA22" i="5" s="1"/>
  <c r="EB12" i="5" a="1"/>
  <c r="EB12" i="5"/>
  <c r="DY11" i="5" a="1"/>
  <c r="DY11" i="5" s="1"/>
  <c r="EB13" i="5" a="1"/>
  <c r="EB13" i="5"/>
  <c r="DZ22" i="5" a="1"/>
  <c r="DZ22" i="5" s="1"/>
  <c r="EA14" i="5" a="1"/>
  <c r="EA14" i="5" s="1"/>
  <c r="DZ12" i="5" a="1"/>
  <c r="DZ12" i="5" s="1"/>
  <c r="ED11" i="5" a="1"/>
  <c r="ED11" i="5"/>
  <c r="EC14" i="5" a="1"/>
  <c r="EC14" i="5" s="1"/>
  <c r="EA13" i="5" a="1"/>
  <c r="EA13" i="5" s="1"/>
  <c r="EC12" i="5" a="1"/>
  <c r="EC12" i="5" s="1"/>
  <c r="DY14" i="5" a="1"/>
  <c r="DY14" i="5" s="1"/>
  <c r="DZ14" i="5" a="1"/>
  <c r="DZ14" i="5" s="1"/>
  <c r="EC11" i="5" a="1"/>
  <c r="EC11" i="5" s="1"/>
  <c r="DY22" i="5" a="1"/>
  <c r="DY22" i="5" s="1"/>
  <c r="EA11" i="5" a="1"/>
  <c r="EA11" i="5" s="1"/>
  <c r="EA12" i="5" a="1"/>
  <c r="EA12" i="5" s="1"/>
  <c r="ED14" i="5" a="1"/>
  <c r="ED14" i="5"/>
  <c r="EC13" i="5" a="1"/>
  <c r="EC13" i="5" s="1"/>
  <c r="DZ13" i="5" a="1"/>
  <c r="DZ13" i="5"/>
  <c r="DO47" i="5"/>
  <c r="DD190" i="5" a="1"/>
  <c r="DD190" i="5" s="1"/>
  <c r="DD324" i="5" a="1"/>
  <c r="DD324" i="5" s="1"/>
  <c r="DD317" i="5" a="1"/>
  <c r="DD317" i="5" s="1"/>
  <c r="DD752" i="5" a="1"/>
  <c r="DD752" i="5" s="1"/>
  <c r="DD572" i="5" a="1"/>
  <c r="DD572" i="5" s="1"/>
  <c r="DD192" i="5" a="1"/>
  <c r="DD192" i="5" s="1"/>
  <c r="DD502" i="5" a="1"/>
  <c r="DD502" i="5" s="1"/>
  <c r="DD604" i="5" a="1"/>
  <c r="DD604" i="5" s="1"/>
  <c r="DD698" i="5" a="1"/>
  <c r="DD698" i="5" s="1"/>
  <c r="DD197" i="5" a="1"/>
  <c r="DD197" i="5" s="1"/>
  <c r="DD200" i="5" a="1"/>
  <c r="DD200" i="5" s="1"/>
  <c r="DD558" i="5" a="1"/>
  <c r="DD558" i="5" s="1"/>
  <c r="DD745" i="5" a="1"/>
  <c r="DD745" i="5" s="1"/>
  <c r="DD358" i="5" a="1"/>
  <c r="DD358" i="5" s="1"/>
  <c r="DD152" i="5" a="1"/>
  <c r="DD152" i="5" s="1"/>
  <c r="DD356" i="5" a="1"/>
  <c r="DD356" i="5" s="1"/>
  <c r="DD670" i="5" a="1"/>
  <c r="DD670" i="5" s="1"/>
  <c r="DD144" i="5" a="1"/>
  <c r="DD144" i="5" s="1"/>
  <c r="DD327" i="5" a="1"/>
  <c r="DD327" i="5" s="1"/>
  <c r="DD291" i="5" a="1"/>
  <c r="DD291" i="5" s="1"/>
  <c r="DD195" i="5" a="1"/>
  <c r="DD195" i="5" s="1"/>
  <c r="DD461" i="5" a="1"/>
  <c r="DD461" i="5" s="1"/>
  <c r="DD130" i="5" a="1"/>
  <c r="DD130" i="5" s="1"/>
  <c r="DD161" i="5" a="1"/>
  <c r="DD161" i="5" s="1"/>
  <c r="DD639" i="5" a="1"/>
  <c r="DD639" i="5" s="1"/>
  <c r="DD743" i="5" a="1"/>
  <c r="DD743" i="5" s="1"/>
  <c r="DD370" i="5" a="1"/>
  <c r="DD370" i="5" s="1"/>
  <c r="DD507" i="5" a="1"/>
  <c r="DD507" i="5" s="1"/>
  <c r="DD319" i="5" a="1"/>
  <c r="DD319" i="5" s="1"/>
  <c r="DD296" i="5" a="1"/>
  <c r="DD296" i="5" s="1"/>
  <c r="DD504" i="5" a="1"/>
  <c r="DD504" i="5" s="1"/>
  <c r="DD637" i="5" a="1"/>
  <c r="DD637" i="5" s="1"/>
  <c r="DD41" i="5" a="1"/>
  <c r="DD41" i="5" s="1"/>
  <c r="DD562" i="5" a="1"/>
  <c r="DD562" i="5" s="1"/>
  <c r="DD626" i="5" a="1"/>
  <c r="DD626" i="5" s="1"/>
  <c r="DD115" i="5" a="1"/>
  <c r="DD115" i="5" s="1"/>
  <c r="DD627" i="5" a="1"/>
  <c r="DD627" i="5" s="1"/>
  <c r="DD133" i="5" a="1"/>
  <c r="DD133" i="5" s="1"/>
  <c r="DD394" i="5" a="1"/>
  <c r="DD394" i="5" s="1"/>
  <c r="DD111" i="5" a="1"/>
  <c r="DD111" i="5" s="1"/>
  <c r="DD74" i="5" a="1"/>
  <c r="DD74" i="5" s="1"/>
  <c r="DD484" i="5" a="1"/>
  <c r="DD484" i="5" s="1"/>
  <c r="DD423" i="5" a="1"/>
  <c r="DD423" i="5" s="1"/>
  <c r="DD21" i="5" a="1"/>
  <c r="DD21" i="5" s="1"/>
  <c r="DD256" i="5" a="1"/>
  <c r="DD256" i="5" s="1"/>
  <c r="DD538" i="5" a="1"/>
  <c r="DD538" i="5" s="1"/>
  <c r="DD320" i="5" a="1"/>
  <c r="DD320" i="5" s="1"/>
  <c r="DD403" i="5" a="1"/>
  <c r="DD403" i="5" s="1"/>
  <c r="DD113" i="5" a="1"/>
  <c r="DD113" i="5" s="1"/>
  <c r="DD543" i="5" a="1"/>
  <c r="DD543" i="5" s="1"/>
  <c r="DD110" i="5" a="1"/>
  <c r="DD110" i="5" s="1"/>
  <c r="DD527" i="5" a="1"/>
  <c r="DD527" i="5" s="1"/>
  <c r="DD536" i="5" a="1"/>
  <c r="DD536" i="5" s="1"/>
  <c r="DD220" i="5" a="1"/>
  <c r="DD220" i="5" s="1"/>
  <c r="DD305" i="5" a="1"/>
  <c r="DD305" i="5" s="1"/>
  <c r="DD90" i="5" a="1"/>
  <c r="DD90" i="5" s="1"/>
  <c r="DD551" i="5" a="1"/>
  <c r="DD551" i="5" s="1"/>
  <c r="DD577" i="5" a="1"/>
  <c r="DD577" i="5" s="1"/>
  <c r="DD435" i="5" a="1"/>
  <c r="DD435" i="5" s="1"/>
  <c r="DD645" i="5" a="1"/>
  <c r="DD645" i="5" s="1"/>
  <c r="DD659" i="5" a="1"/>
  <c r="DD659" i="5" s="1"/>
  <c r="DD287" i="5" a="1"/>
  <c r="DD287" i="5" s="1"/>
  <c r="DD344" i="5" a="1"/>
  <c r="DD344" i="5" s="1"/>
  <c r="DD708" i="5" a="1"/>
  <c r="DD708" i="5" s="1"/>
  <c r="DD622" i="5" a="1"/>
  <c r="DD622" i="5" s="1"/>
  <c r="DD204" i="5" a="1"/>
  <c r="DD204" i="5" s="1"/>
  <c r="DD16" i="5" a="1"/>
  <c r="DD16" i="5" s="1"/>
  <c r="DD17" i="5" s="1"/>
  <c r="DD351" i="5" a="1"/>
  <c r="DD351" i="5" s="1"/>
  <c r="DD688" i="5" a="1"/>
  <c r="DD688" i="5" s="1"/>
  <c r="DD729" i="5" a="1"/>
  <c r="DD729" i="5" s="1"/>
  <c r="DD389" i="5" a="1"/>
  <c r="DD389" i="5" s="1"/>
  <c r="DD203" i="5" a="1"/>
  <c r="DD203" i="5" s="1"/>
  <c r="DD654" i="5" a="1"/>
  <c r="DD654" i="5" s="1"/>
  <c r="DD408" i="5" a="1"/>
  <c r="DD408" i="5" s="1"/>
  <c r="DD612" i="5" a="1"/>
  <c r="DD612" i="5" s="1"/>
  <c r="DD393" i="5" a="1"/>
  <c r="DD393" i="5" s="1"/>
  <c r="DD444" i="5" a="1"/>
  <c r="DD444" i="5" s="1"/>
  <c r="DD706" i="5" a="1"/>
  <c r="DD706" i="5" s="1"/>
  <c r="DD445" i="5" a="1"/>
  <c r="DD445" i="5" s="1"/>
  <c r="DD56" i="5" a="1"/>
  <c r="DD56" i="5" s="1"/>
  <c r="DD623" i="5" a="1"/>
  <c r="DD623" i="5" s="1"/>
  <c r="DD542" i="5" a="1"/>
  <c r="DD542" i="5" s="1"/>
  <c r="DD624" i="5" a="1"/>
  <c r="DD624" i="5" s="1"/>
  <c r="DD57" i="5" a="1"/>
  <c r="DD57" i="5" s="1"/>
  <c r="DD561" i="5" a="1"/>
  <c r="DD561" i="5" s="1"/>
  <c r="DD131" i="5" a="1"/>
  <c r="DD131" i="5" s="1"/>
  <c r="DD259" i="5" a="1"/>
  <c r="DD259" i="5" s="1"/>
  <c r="DD258" i="5" s="1"/>
  <c r="DD231" i="5" a="1"/>
  <c r="DD231" i="5" s="1"/>
  <c r="DD116" i="5" a="1"/>
  <c r="DD116" i="5" s="1"/>
  <c r="DD599" i="5" a="1"/>
  <c r="DD599" i="5" s="1"/>
  <c r="DD196" i="5" a="1"/>
  <c r="DD196" i="5" s="1"/>
  <c r="DD60" i="5" a="1"/>
  <c r="DD60" i="5" s="1"/>
  <c r="DD557" i="5" a="1"/>
  <c r="DD557" i="5" s="1"/>
  <c r="DD580" i="5" a="1"/>
  <c r="DD580" i="5" s="1"/>
  <c r="DD355" i="5" a="1"/>
  <c r="DD355" i="5" s="1"/>
  <c r="DD555" i="5" a="1"/>
  <c r="DD555" i="5" s="1"/>
  <c r="DD525" i="5" a="1"/>
  <c r="DD525" i="5" s="1"/>
  <c r="DD226" i="5" a="1"/>
  <c r="DD226" i="5" s="1"/>
  <c r="DD518" i="5" a="1"/>
  <c r="DD518" i="5" s="1"/>
  <c r="DD490" i="5" a="1"/>
  <c r="DD490" i="5" s="1"/>
  <c r="DD540" i="5" a="1"/>
  <c r="DD540" i="5" s="1"/>
  <c r="DD519" i="5" a="1"/>
  <c r="DD519" i="5" s="1"/>
  <c r="DD392" i="5" a="1"/>
  <c r="DD392" i="5" s="1"/>
  <c r="DD586" i="5" a="1"/>
  <c r="DD586" i="5" s="1"/>
  <c r="DD429" i="5" a="1"/>
  <c r="DD429" i="5" s="1"/>
  <c r="DD357" i="5" a="1"/>
  <c r="DD357" i="5" s="1"/>
  <c r="DD388" i="5" a="1"/>
  <c r="DD388" i="5" s="1"/>
  <c r="DD217" i="5" a="1"/>
  <c r="DD217" i="5" s="1"/>
  <c r="DD246" i="5" a="1"/>
  <c r="DD246" i="5" s="1"/>
  <c r="DD234" i="5" a="1"/>
  <c r="DD234" i="5" s="1"/>
  <c r="DD699" i="5" a="1"/>
  <c r="DD699" i="5" s="1"/>
  <c r="DD430" i="5" a="1"/>
  <c r="DD430" i="5" s="1"/>
  <c r="DD703" i="5" a="1"/>
  <c r="DD703" i="5" s="1"/>
  <c r="DD450" i="5" a="1"/>
  <c r="DD450" i="5" s="1"/>
  <c r="DD608" i="5" a="1"/>
  <c r="DD608" i="5" s="1"/>
  <c r="DD663" i="5" a="1"/>
  <c r="DD663" i="5" s="1"/>
  <c r="DD151" i="5" a="1"/>
  <c r="DD151" i="5" s="1"/>
  <c r="DD236" i="5" a="1"/>
  <c r="DD236" i="5" s="1"/>
  <c r="DD225" i="5" a="1"/>
  <c r="DD225" i="5" s="1"/>
  <c r="DD686" i="5" a="1"/>
  <c r="DD686" i="5" s="1"/>
  <c r="DD230" i="5" a="1"/>
  <c r="DD230" i="5" s="1"/>
  <c r="DD93" i="5" a="1"/>
  <c r="DD93" i="5" s="1"/>
  <c r="DD625" i="5" a="1"/>
  <c r="DD625" i="5" s="1"/>
  <c r="DD621" i="5" a="1"/>
  <c r="DD621" i="5" s="1"/>
  <c r="DD114" i="5" a="1"/>
  <c r="DD114" i="5" s="1"/>
  <c r="DD207" i="5" a="1"/>
  <c r="DD207" i="5" s="1"/>
  <c r="DD173" i="5" a="1"/>
  <c r="DD173" i="5" s="1"/>
  <c r="DD691" i="5" a="1"/>
  <c r="DD691" i="5" s="1"/>
  <c r="DD322" i="5" a="1"/>
  <c r="DD322" i="5" s="1"/>
  <c r="DD293" i="5" a="1"/>
  <c r="DD293" i="5" s="1"/>
  <c r="DD724" i="5" a="1"/>
  <c r="DD724" i="5" s="1"/>
  <c r="DD89" i="5" a="1"/>
  <c r="DD89" i="5" s="1"/>
  <c r="DD223" i="5" a="1"/>
  <c r="DD223" i="5" s="1"/>
  <c r="DD554" i="5" a="1"/>
  <c r="DD554" i="5" s="1"/>
  <c r="DD353" i="5" a="1"/>
  <c r="DD353" i="5" s="1"/>
  <c r="DD294" i="5" a="1"/>
  <c r="DD294" i="5" s="1"/>
  <c r="DD37" i="5" a="1"/>
  <c r="DD37" i="5" s="1"/>
  <c r="DD306" i="5" a="1"/>
  <c r="DD306" i="5" s="1"/>
  <c r="DD396" i="5" a="1"/>
  <c r="DD396" i="5" s="1"/>
  <c r="DD594" i="5" a="1"/>
  <c r="DD594" i="5" s="1"/>
  <c r="DD210" i="5" a="1"/>
  <c r="DD210" i="5" s="1"/>
  <c r="DD412" i="5" a="1"/>
  <c r="DD412" i="5" s="1"/>
  <c r="DD167" i="5" a="1"/>
  <c r="DD167" i="5" s="1"/>
  <c r="DD171" i="5" a="1"/>
  <c r="DD171" i="5" s="1"/>
  <c r="DD172" i="5" s="1"/>
  <c r="DD720" i="5" a="1"/>
  <c r="DD720" i="5" s="1"/>
  <c r="DD569" i="5" a="1"/>
  <c r="DD569" i="5" s="1"/>
  <c r="DD611" i="5" a="1"/>
  <c r="DD611" i="5" s="1"/>
  <c r="DD329" i="5" a="1"/>
  <c r="DD329" i="5" s="1"/>
  <c r="DD328" i="5" a="1"/>
  <c r="DD328" i="5" s="1"/>
  <c r="DD30" i="5" a="1"/>
  <c r="DD30" i="5" s="1"/>
  <c r="DD325" i="5" a="1"/>
  <c r="DD325" i="5" s="1"/>
  <c r="DD362" i="5" a="1"/>
  <c r="DD362" i="5" s="1"/>
  <c r="DD350" i="5" a="1"/>
  <c r="DD350" i="5" s="1"/>
  <c r="DD477" i="5" a="1"/>
  <c r="DD477" i="5" s="1"/>
  <c r="DD182" i="5" a="1"/>
  <c r="DD182" i="5" s="1"/>
  <c r="DD607" i="5" a="1"/>
  <c r="DD607" i="5" s="1"/>
  <c r="DD253" i="5" a="1"/>
  <c r="DD253" i="5" s="1"/>
  <c r="DD373" i="5" a="1"/>
  <c r="DD373" i="5" s="1"/>
  <c r="DD315" i="5" a="1"/>
  <c r="DD315" i="5" s="1"/>
  <c r="DD59" i="5" a="1"/>
  <c r="DD59" i="5" s="1"/>
  <c r="DD483" i="5" a="1"/>
  <c r="DD483" i="5" s="1"/>
  <c r="DD193" i="5" a="1"/>
  <c r="DD193" i="5" s="1"/>
  <c r="DD579" i="5" a="1"/>
  <c r="DD579" i="5" s="1"/>
  <c r="DD191" i="5" a="1"/>
  <c r="DD191" i="5" s="1"/>
  <c r="DD211" i="5" a="1"/>
  <c r="DD211" i="5" s="1"/>
  <c r="DD564" i="5" a="1"/>
  <c r="DD564" i="5" s="1"/>
  <c r="DD398" i="5" a="1"/>
  <c r="DD398" i="5" s="1"/>
  <c r="DD160" i="5" a="1"/>
  <c r="DD160" i="5" s="1"/>
  <c r="DD680" i="5" a="1"/>
  <c r="DD680" i="5" s="1"/>
  <c r="DD369" i="5" a="1"/>
  <c r="DD369" i="5" s="1"/>
  <c r="DD278" i="5" a="1"/>
  <c r="DD278" i="5" s="1"/>
  <c r="DD212" i="5" a="1"/>
  <c r="DD212" i="5" s="1"/>
  <c r="DD547" i="5" a="1"/>
  <c r="DD547" i="5" s="1"/>
  <c r="DD323" i="5" a="1"/>
  <c r="DD323" i="5" s="1"/>
  <c r="DD51" i="5" a="1"/>
  <c r="DD51" i="5" s="1"/>
  <c r="DD581" i="5" a="1"/>
  <c r="DD581" i="5" s="1"/>
  <c r="DD153" i="5" a="1"/>
  <c r="DD153" i="5" s="1"/>
  <c r="DD384" i="5" a="1"/>
  <c r="DD384" i="5" s="1"/>
  <c r="DD498" i="5" a="1"/>
  <c r="DD498" i="5" s="1"/>
  <c r="DD158" i="5" a="1"/>
  <c r="DD158" i="5" s="1"/>
  <c r="DD614" i="5" a="1"/>
  <c r="DD614" i="5" s="1"/>
  <c r="DD79" i="5" a="1"/>
  <c r="DD79" i="5" s="1"/>
  <c r="DD739" i="5" a="1"/>
  <c r="DD739" i="5" s="1"/>
  <c r="DD636" i="5" a="1"/>
  <c r="DD636" i="5" s="1"/>
  <c r="DD553" i="5" a="1"/>
  <c r="DD553" i="5" s="1"/>
  <c r="DD591" i="5" a="1"/>
  <c r="DD591" i="5" s="1"/>
  <c r="DD379" i="5" a="1"/>
  <c r="DD379" i="5" s="1"/>
  <c r="DD292" i="5" a="1"/>
  <c r="DD292" i="5" s="1"/>
  <c r="DD87" i="5" a="1"/>
  <c r="DD87" i="5" s="1"/>
  <c r="DD38" i="5" a="1"/>
  <c r="DD38" i="5" s="1"/>
  <c r="DD457" i="5" a="1"/>
  <c r="DD457" i="5" s="1"/>
  <c r="DD464" i="5" a="1"/>
  <c r="DD464" i="5" s="1"/>
  <c r="DD672" i="5" a="1"/>
  <c r="DD672" i="5" s="1"/>
  <c r="DD361" i="5" a="1"/>
  <c r="DD361" i="5" s="1"/>
  <c r="DD715" i="5" a="1"/>
  <c r="DD715" i="5" s="1"/>
  <c r="DD587" i="5" a="1"/>
  <c r="DD587" i="5" s="1"/>
  <c r="DD568" i="5" a="1"/>
  <c r="DD568" i="5" s="1"/>
  <c r="DD132" i="5" a="1"/>
  <c r="DD132" i="5" s="1"/>
  <c r="DD163" i="5" a="1"/>
  <c r="DD163" i="5" s="1"/>
  <c r="DD650" i="5" a="1"/>
  <c r="DD650" i="5" s="1"/>
  <c r="DD346" i="5" a="1"/>
  <c r="DD346" i="5" s="1"/>
  <c r="DD750" i="5" a="1"/>
  <c r="DD750" i="5" s="1"/>
  <c r="DD425" i="5" a="1"/>
  <c r="DD425" i="5" s="1"/>
  <c r="DD134" i="5" a="1"/>
  <c r="DD134" i="5" s="1"/>
  <c r="DD168" i="5" a="1"/>
  <c r="DD168" i="5" s="1"/>
  <c r="DD169" i="5" s="1"/>
  <c r="DD520" i="5" a="1"/>
  <c r="DD520" i="5" s="1"/>
  <c r="DD39" i="5" a="1"/>
  <c r="DD39" i="5" s="1"/>
  <c r="DD705" i="5" a="1"/>
  <c r="DD705" i="5" s="1"/>
  <c r="DD499" i="5" a="1"/>
  <c r="DD499" i="5" s="1"/>
  <c r="DD725" i="5" a="1"/>
  <c r="DD725" i="5" s="1"/>
  <c r="DD162" i="5" a="1"/>
  <c r="DD162" i="5" s="1"/>
  <c r="DD644" i="5" a="1"/>
  <c r="DD644" i="5" s="1"/>
  <c r="DD740" i="5" a="1"/>
  <c r="DD740" i="5" s="1"/>
  <c r="DD263" i="5" a="1"/>
  <c r="DD263" i="5" s="1"/>
  <c r="DD618" i="5" a="1"/>
  <c r="DD618" i="5" s="1"/>
  <c r="DD359" i="5" a="1"/>
  <c r="DD359" i="5" s="1"/>
  <c r="DD619" i="5" a="1"/>
  <c r="DD619" i="5" s="1"/>
  <c r="DD514" i="5" a="1"/>
  <c r="DD514" i="5" s="1"/>
  <c r="DD249" i="5" a="1"/>
  <c r="DD249" i="5" s="1"/>
  <c r="DD224" i="5" a="1"/>
  <c r="DD224" i="5" s="1"/>
  <c r="DD187" i="5" a="1"/>
  <c r="DD187" i="5" s="1"/>
  <c r="DD671" i="5" a="1"/>
  <c r="DD671" i="5" s="1"/>
  <c r="DD546" i="5" a="1"/>
  <c r="DD546" i="5" s="1"/>
  <c r="DD495" i="5" a="1"/>
  <c r="DD495" i="5" s="1"/>
  <c r="DD342" i="5" a="1"/>
  <c r="DD342" i="5" s="1"/>
  <c r="DD517" i="5" a="1"/>
  <c r="DD517" i="5" s="1"/>
  <c r="DD647" i="5" a="1"/>
  <c r="DD647" i="5" s="1"/>
  <c r="DD96" i="5" a="1"/>
  <c r="DD96" i="5" s="1"/>
  <c r="DD147" i="5" a="1"/>
  <c r="DD147" i="5" s="1"/>
  <c r="DD33" i="5" a="1"/>
  <c r="DD33" i="5" s="1"/>
  <c r="DD274" i="5" a="1"/>
  <c r="DD274" i="5" s="1"/>
  <c r="DD91" i="5" a="1"/>
  <c r="DD91" i="5" s="1"/>
  <c r="DD746" i="5" a="1"/>
  <c r="DD746" i="5" s="1"/>
  <c r="DD136" i="5" a="1"/>
  <c r="DD136" i="5" s="1"/>
  <c r="DD533" i="5" a="1"/>
  <c r="DD533" i="5" s="1"/>
  <c r="DD717" i="5" a="1"/>
  <c r="DD717" i="5" s="1"/>
  <c r="DD289" i="5" a="1"/>
  <c r="DD289" i="5" s="1"/>
  <c r="DD209" i="5" a="1"/>
  <c r="DD209" i="5" s="1"/>
  <c r="DD426" i="5" a="1"/>
  <c r="DD426" i="5" s="1"/>
  <c r="DD154" i="5" a="1"/>
  <c r="DD154" i="5" s="1"/>
  <c r="DD227" i="5" a="1"/>
  <c r="DD227" i="5" s="1"/>
  <c r="DD104" i="5" a="1"/>
  <c r="DD104" i="5" s="1"/>
  <c r="DD50" i="5" a="1"/>
  <c r="DD50" i="5" s="1"/>
  <c r="DD615" i="5" a="1"/>
  <c r="DD615" i="5" s="1"/>
  <c r="DD526" i="5" a="1"/>
  <c r="DD526" i="5" s="1"/>
  <c r="DD62" i="5" a="1"/>
  <c r="DD62" i="5" s="1"/>
  <c r="DD86" i="5" a="1"/>
  <c r="DD86" i="5" s="1"/>
  <c r="DD424" i="5" a="1"/>
  <c r="DD424" i="5" s="1"/>
  <c r="DD261" i="5" a="1"/>
  <c r="DD261" i="5" s="1"/>
  <c r="DD601" i="5" a="1"/>
  <c r="DD601" i="5" s="1"/>
  <c r="DD646" i="5" a="1"/>
  <c r="DD646" i="5" s="1"/>
  <c r="DD78" i="5" a="1"/>
  <c r="DD78" i="5" s="1"/>
  <c r="DD473" i="5" a="1"/>
  <c r="DD473" i="5" s="1"/>
  <c r="DD125" i="5" a="1"/>
  <c r="DD125" i="5" s="1"/>
  <c r="DD314" i="5" a="1"/>
  <c r="DD314" i="5" s="1"/>
  <c r="DD600" i="5" a="1"/>
  <c r="DD600" i="5" s="1"/>
  <c r="DD32" i="5" a="1"/>
  <c r="DD32" i="5" s="1"/>
  <c r="DD255" i="5" a="1"/>
  <c r="DD255" i="5" s="1"/>
  <c r="DD311" i="5" a="1"/>
  <c r="DD311" i="5" s="1"/>
  <c r="DD427" i="5" a="1"/>
  <c r="DD427" i="5" s="1"/>
  <c r="DD709" i="5" a="1"/>
  <c r="DD709" i="5" s="1"/>
  <c r="DD284" i="5" a="1"/>
  <c r="DD284" i="5" s="1"/>
  <c r="DD458" i="5" a="1"/>
  <c r="DD458" i="5" s="1"/>
  <c r="DD571" i="5" a="1"/>
  <c r="DD571" i="5" s="1"/>
  <c r="DD70" i="5" a="1"/>
  <c r="DD70" i="5" s="1"/>
  <c r="DD233" i="5" a="1"/>
  <c r="DD233" i="5" s="1"/>
  <c r="DD728" i="5" a="1"/>
  <c r="DD728" i="5" s="1"/>
  <c r="DD460" i="5" a="1"/>
  <c r="DD460" i="5" s="1"/>
  <c r="DD69" i="5" a="1"/>
  <c r="DD69" i="5" s="1"/>
  <c r="DD232" i="5" a="1"/>
  <c r="DD232" i="5" s="1"/>
  <c r="DD58" i="5" a="1"/>
  <c r="DD58" i="5" s="1"/>
  <c r="DD347" i="5" a="1"/>
  <c r="DD347" i="5" s="1"/>
  <c r="DD11" i="5" a="1"/>
  <c r="DD11" i="5" s="1"/>
  <c r="DD326" i="5" a="1"/>
  <c r="DD326" i="5" s="1"/>
  <c r="DD681" i="5" a="1"/>
  <c r="DD681" i="5" s="1"/>
  <c r="DD447" i="5" a="1"/>
  <c r="DD447" i="5" s="1"/>
  <c r="DD683" i="5" a="1"/>
  <c r="DD683" i="5" s="1"/>
  <c r="DD462" i="5" a="1"/>
  <c r="DD462" i="5" s="1"/>
  <c r="DD288" i="5" a="1"/>
  <c r="DD288" i="5" s="1"/>
  <c r="DD18" i="5" a="1"/>
  <c r="DD18" i="5" s="1"/>
  <c r="DD421" i="5" a="1"/>
  <c r="DD421" i="5" s="1"/>
  <c r="DD275" i="5" a="1"/>
  <c r="DD275" i="5" s="1"/>
  <c r="DD276" i="5" s="1"/>
  <c r="DD277" i="5" s="1"/>
  <c r="DD666" i="5" a="1"/>
  <c r="DD666" i="5" s="1"/>
  <c r="DD170" i="5" a="1"/>
  <c r="DD170" i="5" s="1"/>
  <c r="DD80" i="5" a="1"/>
  <c r="DD80" i="5" s="1"/>
  <c r="DD92" i="5" a="1"/>
  <c r="DD92" i="5" s="1"/>
  <c r="DD416" i="5" a="1"/>
  <c r="DD416" i="5" s="1"/>
  <c r="DD399" i="5" a="1"/>
  <c r="DD399" i="5" s="1"/>
  <c r="DD159" i="5" a="1"/>
  <c r="DD159" i="5" s="1"/>
  <c r="DD716" i="5" a="1"/>
  <c r="DD716" i="5" s="1"/>
  <c r="DD260" i="5" a="1"/>
  <c r="DD260" i="5" s="1"/>
  <c r="DD264" i="5" a="1"/>
  <c r="DD264" i="5" s="1"/>
  <c r="DD501" i="5" a="1"/>
  <c r="DD501" i="5" s="1"/>
  <c r="DD506" i="5" a="1"/>
  <c r="DD506" i="5" s="1"/>
  <c r="DD617" i="5" a="1"/>
  <c r="DD617" i="5" s="1"/>
  <c r="DD285" i="5" a="1"/>
  <c r="DD285" i="5" s="1"/>
  <c r="DD181" i="5" a="1"/>
  <c r="DD181" i="5" s="1"/>
  <c r="DD127" i="5" a="1"/>
  <c r="DD127" i="5" s="1"/>
  <c r="DD689" i="5" a="1"/>
  <c r="DD689" i="5" s="1"/>
  <c r="DD589" i="5" a="1"/>
  <c r="DD589" i="5" s="1"/>
  <c r="DD88" i="5" a="1"/>
  <c r="DD88" i="5" s="1"/>
  <c r="DD620" i="5" a="1"/>
  <c r="DD620" i="5" s="1"/>
  <c r="DD310" i="5" a="1"/>
  <c r="DD310" i="5" s="1"/>
  <c r="DD97" i="5" a="1"/>
  <c r="DD97" i="5" s="1"/>
  <c r="DD372" i="5" a="1"/>
  <c r="DD372" i="5" s="1"/>
  <c r="DD67" i="5" a="1"/>
  <c r="DD67" i="5" s="1"/>
  <c r="DD405" i="5" a="1"/>
  <c r="DD405" i="5" s="1"/>
  <c r="DD31" i="5" a="1"/>
  <c r="DD31" i="5" s="1"/>
  <c r="DD603" i="5" a="1"/>
  <c r="DD603" i="5" s="1"/>
  <c r="DD283" i="5" a="1"/>
  <c r="DD283" i="5" s="1"/>
  <c r="DD85" i="5" a="1"/>
  <c r="DD85" i="5" s="1"/>
  <c r="DD387" i="5" a="1"/>
  <c r="DD387" i="5" s="1"/>
  <c r="DD290" i="5" a="1"/>
  <c r="DD290" i="5" s="1"/>
  <c r="DD321" i="5" a="1"/>
  <c r="DD321" i="5" s="1"/>
  <c r="DD613" i="5" a="1"/>
  <c r="DD613" i="5" s="1"/>
  <c r="DD446" i="5" a="1"/>
  <c r="DD446" i="5" s="1"/>
  <c r="DD751" i="5" a="1"/>
  <c r="DD751" i="5" s="1"/>
  <c r="DD523" i="5" a="1"/>
  <c r="DD523" i="5" s="1"/>
  <c r="DD442" i="5" a="1"/>
  <c r="DD442" i="5" s="1"/>
  <c r="DD592" i="5" a="1"/>
  <c r="DD592" i="5" s="1"/>
  <c r="DD432" i="5" a="1"/>
  <c r="DD432" i="5" s="1"/>
  <c r="DD198" i="5" a="1"/>
  <c r="DD198" i="5" s="1"/>
  <c r="DD704" i="5" a="1"/>
  <c r="DD704" i="5" s="1"/>
  <c r="DD443" i="5" a="1"/>
  <c r="DD443" i="5" s="1"/>
  <c r="DD53" i="5" a="1"/>
  <c r="DD53" i="5" s="1"/>
  <c r="DD313" i="5" a="1"/>
  <c r="DD313" i="5" s="1"/>
  <c r="DD348" i="5" a="1"/>
  <c r="DD348" i="5" s="1"/>
  <c r="DD330" i="5" a="1"/>
  <c r="DD330" i="5" s="1"/>
  <c r="DD141" i="5" a="1"/>
  <c r="DD141" i="5" s="1"/>
  <c r="DD433" i="5" a="1"/>
  <c r="DD433" i="5" s="1"/>
  <c r="DD248" i="5" a="1"/>
  <c r="DD248" i="5" s="1"/>
  <c r="DD148" i="5" a="1"/>
  <c r="DD148" i="5" s="1"/>
  <c r="DD573" i="5" a="1"/>
  <c r="DD573" i="5" s="1"/>
  <c r="DD126" i="5" a="1"/>
  <c r="DD126" i="5" s="1"/>
  <c r="DD410" i="5" a="1"/>
  <c r="DD410" i="5" s="1"/>
  <c r="DD500" i="5" a="1"/>
  <c r="DD500" i="5" s="1"/>
  <c r="DD489" i="5" a="1"/>
  <c r="DD489" i="5" s="1"/>
  <c r="DD510" i="5" a="1"/>
  <c r="DD510" i="5" s="1"/>
  <c r="DD422" i="5" a="1"/>
  <c r="DD422" i="5" s="1"/>
  <c r="DD112" i="5" a="1"/>
  <c r="DD112" i="5" s="1"/>
  <c r="DD368" i="5" a="1"/>
  <c r="DD368" i="5" s="1"/>
  <c r="DD183" i="5" a="1"/>
  <c r="DD183" i="5" s="1"/>
  <c r="DD719" i="5" a="1"/>
  <c r="DD719" i="5" s="1"/>
  <c r="DD726" i="5" a="1"/>
  <c r="DD726" i="5" s="1"/>
  <c r="DD19" i="5" a="1"/>
  <c r="DD19" i="5" s="1"/>
  <c r="DD20" i="5" s="1"/>
  <c r="DD584" i="5" a="1"/>
  <c r="DD584" i="5" s="1"/>
  <c r="DD640" i="5" a="1"/>
  <c r="DD640" i="5" s="1"/>
  <c r="DD390" i="5" a="1"/>
  <c r="DD390" i="5" s="1"/>
  <c r="DD214" i="5" a="1"/>
  <c r="DD214" i="5" s="1"/>
  <c r="DD122" i="5" a="1"/>
  <c r="DD122" i="5" s="1"/>
  <c r="DD497" i="5" a="1"/>
  <c r="DD497" i="5" s="1"/>
  <c r="DD107" i="5" a="1"/>
  <c r="DD107" i="5" s="1"/>
  <c r="DD202" i="5" a="1"/>
  <c r="DD202" i="5" s="1"/>
  <c r="DD395" i="5" a="1"/>
  <c r="DD395" i="5" s="1"/>
  <c r="DD665" i="5" a="1"/>
  <c r="DD665" i="5" s="1"/>
  <c r="DD366" i="5" a="1"/>
  <c r="DD366" i="5" s="1"/>
  <c r="DD480" i="5" a="1"/>
  <c r="DD480" i="5" s="1"/>
  <c r="DD354" i="5" a="1"/>
  <c r="DD354" i="5" s="1"/>
  <c r="DD578" i="5" a="1"/>
  <c r="DD578" i="5" s="1"/>
  <c r="DD436" i="5" a="1"/>
  <c r="DD436" i="5" s="1"/>
  <c r="DD385" i="5" a="1"/>
  <c r="DD385" i="5" s="1"/>
  <c r="DD534" i="5" a="1"/>
  <c r="DD534" i="5" s="1"/>
  <c r="DD15" i="5" a="1"/>
  <c r="DD15" i="5" s="1"/>
  <c r="DD593" i="5" a="1"/>
  <c r="DD593" i="5" s="1"/>
  <c r="DD602" i="5" a="1"/>
  <c r="DD602" i="5" s="1"/>
  <c r="DD702" i="5" a="1"/>
  <c r="DD702" i="5" s="1"/>
  <c r="DD661" i="5" a="1"/>
  <c r="DD661" i="5" s="1"/>
  <c r="DD465" i="5" a="1"/>
  <c r="DD465" i="5" s="1"/>
  <c r="DD652" i="5" a="1"/>
  <c r="DD652" i="5" s="1"/>
  <c r="DD216" i="5" a="1"/>
  <c r="DD216" i="5" s="1"/>
  <c r="DD245" i="5" a="1"/>
  <c r="DD245" i="5" s="1"/>
  <c r="DD662" i="5" a="1"/>
  <c r="DD662" i="5" s="1"/>
  <c r="DD352" i="5" a="1"/>
  <c r="DD352" i="5" s="1"/>
  <c r="DD687" i="5" a="1"/>
  <c r="DD687" i="5" s="1"/>
  <c r="DD95" i="5" a="1"/>
  <c r="DD95" i="5" s="1"/>
  <c r="DD345" i="5" a="1"/>
  <c r="DD345" i="5" s="1"/>
  <c r="DN652" i="9" a="1"/>
  <c r="DN652" i="9" s="1"/>
  <c r="DK652" i="9" a="1"/>
  <c r="DK652" i="9" s="1"/>
  <c r="CG652" i="9" s="1"/>
  <c r="DM652" i="9" a="1"/>
  <c r="DM652" i="9" s="1"/>
  <c r="DO652" i="9" a="1"/>
  <c r="DO652" i="9" s="1"/>
  <c r="DP652" i="9" s="1"/>
  <c r="DL652" i="9" s="1" a="1"/>
  <c r="DL652" i="9" s="1"/>
  <c r="DD516" i="5" a="1"/>
  <c r="DD516" i="5" s="1"/>
  <c r="DD574" i="5" a="1"/>
  <c r="DD574" i="5" s="1"/>
  <c r="DD279" i="5" a="1"/>
  <c r="DD279" i="5" s="1"/>
  <c r="DD213" i="5" a="1"/>
  <c r="DD213" i="5" s="1"/>
  <c r="DD318" i="5" a="1"/>
  <c r="DD318" i="5" s="1"/>
  <c r="DD124" i="5" a="1"/>
  <c r="DD124" i="5" s="1"/>
  <c r="DD229" i="5" a="1"/>
  <c r="DD229" i="5" s="1"/>
  <c r="DD295" i="5" a="1"/>
  <c r="DD295" i="5" s="1"/>
  <c r="DD537" i="5" a="1"/>
  <c r="DD537" i="5" s="1"/>
  <c r="DD453" i="5" a="1"/>
  <c r="DD453" i="5" s="1"/>
  <c r="DD100" i="5" a="1"/>
  <c r="DD100" i="5" s="1"/>
  <c r="DD532" i="5" a="1"/>
  <c r="DD532" i="5" s="1"/>
  <c r="DD753" i="5" a="1"/>
  <c r="DD753" i="5" s="1"/>
  <c r="DD479" i="5" a="1"/>
  <c r="DD479" i="5" s="1"/>
  <c r="DD254" i="5" a="1"/>
  <c r="DD254" i="5" s="1"/>
  <c r="DD696" i="5" a="1"/>
  <c r="DD696" i="5" s="1"/>
  <c r="DD29" i="5" a="1"/>
  <c r="DD29" i="5" s="1"/>
  <c r="DD590" i="5" a="1"/>
  <c r="DD590" i="5" s="1"/>
  <c r="DD469" i="5" a="1"/>
  <c r="DD469" i="5" s="1"/>
  <c r="DD655" i="5" a="1"/>
  <c r="DD655" i="5" s="1"/>
  <c r="DD496" i="5" a="1"/>
  <c r="DD496" i="5" s="1"/>
  <c r="DD754" i="5" a="1"/>
  <c r="DD754" i="5" s="1"/>
  <c r="DD143" i="5" a="1"/>
  <c r="DD143" i="5" s="1"/>
  <c r="DD55" i="5" a="1"/>
  <c r="DD55" i="5" s="1"/>
  <c r="DD470" i="5" a="1"/>
  <c r="DD470" i="5" s="1"/>
  <c r="DD228" i="5" a="1"/>
  <c r="DD228" i="5" s="1"/>
  <c r="DD440" i="5" a="1"/>
  <c r="DD440" i="5" s="1"/>
  <c r="DD189" i="5" a="1"/>
  <c r="DD189" i="5" s="1"/>
  <c r="DD616" i="5" a="1"/>
  <c r="DD616" i="5" s="1"/>
  <c r="DD378" i="5" a="1"/>
  <c r="DD378" i="5" s="1"/>
  <c r="DD459" i="5" a="1"/>
  <c r="DD459" i="5" s="1"/>
  <c r="DD188" i="5" a="1"/>
  <c r="DD188" i="5" s="1"/>
  <c r="DD463" i="5" a="1"/>
  <c r="DD463" i="5" s="1"/>
  <c r="DD349" i="5" a="1"/>
  <c r="DD349" i="5" s="1"/>
  <c r="DD505" i="5" a="1"/>
  <c r="DD505" i="5" s="1"/>
  <c r="DD468" i="5" a="1"/>
  <c r="DD468" i="5" s="1"/>
  <c r="DD262" i="5" a="1"/>
  <c r="DD262" i="5" s="1"/>
  <c r="DD679" i="5" a="1"/>
  <c r="DD679" i="5" s="1"/>
  <c r="DD521" i="5" a="1"/>
  <c r="DD521" i="5" s="1"/>
  <c r="DD54" i="5" a="1"/>
  <c r="DD54" i="5" s="1"/>
  <c r="DD598" i="5" a="1"/>
  <c r="DD598" i="5" s="1"/>
  <c r="DD595" i="5" a="1"/>
  <c r="DD595" i="5" s="1"/>
  <c r="DD40" i="5" a="1"/>
  <c r="DD40" i="5" s="1"/>
  <c r="DD692" i="5" a="1"/>
  <c r="DD692" i="5" s="1"/>
  <c r="DD36" i="5" a="1"/>
  <c r="DD36" i="5" s="1"/>
  <c r="DD35" i="5" s="1"/>
  <c r="DD718" i="5" a="1"/>
  <c r="DD718" i="5" s="1"/>
  <c r="DD415" i="5" a="1"/>
  <c r="DD415" i="5" s="1"/>
  <c r="DD186" i="5" a="1"/>
  <c r="DD186" i="5" s="1"/>
  <c r="DD73" i="5" a="1"/>
  <c r="DD73" i="5" s="1"/>
  <c r="DD735" i="5" a="1"/>
  <c r="DD735" i="5" s="1"/>
  <c r="DD199" i="5" a="1"/>
  <c r="DD199" i="5" s="1"/>
  <c r="DD221" i="5" a="1"/>
  <c r="DD221" i="5" s="1"/>
  <c r="DD452" i="5" a="1"/>
  <c r="DD452" i="5" s="1"/>
  <c r="DD99" i="5" a="1"/>
  <c r="DD99" i="5" s="1"/>
  <c r="DD588" i="5" a="1"/>
  <c r="DD588" i="5" s="1"/>
  <c r="DD535" i="5" a="1"/>
  <c r="DD535" i="5" s="1"/>
  <c r="DD106" i="5" a="1"/>
  <c r="DD106" i="5" s="1"/>
  <c r="DD201" i="5" a="1"/>
  <c r="DD201" i="5" s="1"/>
  <c r="DD222" i="5" a="1"/>
  <c r="DD222" i="5" s="1"/>
  <c r="DD605" i="5" a="1"/>
  <c r="DD605" i="5" s="1"/>
  <c r="DD472" i="5" a="1"/>
  <c r="DD472" i="5" s="1"/>
  <c r="DD677" i="5" a="1"/>
  <c r="DD677" i="5" s="1"/>
  <c r="DD411" i="5" a="1"/>
  <c r="DD411" i="5" s="1"/>
  <c r="DD736" i="5" a="1"/>
  <c r="DD736" i="5" s="1"/>
  <c r="DD684" i="5" a="1"/>
  <c r="DD684" i="5" s="1"/>
  <c r="DD117" i="5" a="1"/>
  <c r="DD117" i="5" s="1"/>
  <c r="DD123" i="5" a="1"/>
  <c r="DD123" i="5" s="1"/>
  <c r="DD386" i="5" a="1"/>
  <c r="DD386" i="5" s="1"/>
  <c r="DD273" i="5" a="1"/>
  <c r="DD273" i="5" s="1"/>
  <c r="DD582" i="5" a="1"/>
  <c r="DD582" i="5" s="1"/>
  <c r="DD544" i="5" a="1"/>
  <c r="DD544" i="5" s="1"/>
  <c r="DD409" i="5" a="1"/>
  <c r="DD409" i="5" s="1"/>
  <c r="DD714" i="5" a="1"/>
  <c r="DD714" i="5" s="1"/>
  <c r="DD522" i="5" a="1"/>
  <c r="DD522" i="5" s="1"/>
  <c r="DD406" i="5" a="1"/>
  <c r="DD406" i="5" s="1"/>
  <c r="DD391" i="5" a="1"/>
  <c r="DD391" i="5" s="1"/>
  <c r="DD651" i="5" a="1"/>
  <c r="DD651" i="5" s="1"/>
  <c r="DD208" i="5" a="1"/>
  <c r="DD208" i="5" s="1"/>
  <c r="DD733" i="5" a="1"/>
  <c r="DD733" i="5" s="1"/>
  <c r="DD312" i="5" a="1"/>
  <c r="DD312" i="5" s="1"/>
  <c r="DD128" i="5" a="1"/>
  <c r="DD128" i="5" s="1"/>
  <c r="DD563" i="5" a="1"/>
  <c r="DD563" i="5" s="1"/>
  <c r="DD137" i="5" a="1"/>
  <c r="DD137" i="5" s="1"/>
  <c r="DD570" i="5" a="1"/>
  <c r="DD570" i="5" s="1"/>
  <c r="DD341" i="5" a="1"/>
  <c r="DD341" i="5" s="1"/>
  <c r="DD682" i="5" a="1"/>
  <c r="DD682" i="5" s="1"/>
  <c r="DD431" i="5" a="1"/>
  <c r="DD431" i="5" s="1"/>
  <c r="DD583" i="5" a="1"/>
  <c r="DD583" i="5" s="1"/>
  <c r="DK620" i="9" a="1"/>
  <c r="DK620" i="9" s="1"/>
  <c r="CG620" i="9" s="1"/>
  <c r="DM620" i="9" a="1"/>
  <c r="DM620" i="9" s="1"/>
  <c r="DM648" i="9" a="1"/>
  <c r="DM648" i="9" s="1"/>
  <c r="DO648" i="9" a="1"/>
  <c r="DO648" i="9" s="1"/>
  <c r="DP648" i="9" s="1"/>
  <c r="DL648" i="9" s="1" a="1"/>
  <c r="DL648" i="9" s="1"/>
  <c r="DN648" i="9" a="1"/>
  <c r="DN648" i="9" s="1"/>
  <c r="DK648" i="9" a="1"/>
  <c r="DK648" i="9" s="1"/>
  <c r="CG648" i="9" s="1"/>
  <c r="DO655" i="9" a="1"/>
  <c r="DO655" i="9" s="1"/>
  <c r="DP655" i="9" s="1"/>
  <c r="DL655" i="9" s="1" a="1"/>
  <c r="DL655" i="9" s="1"/>
  <c r="DN655" i="9" a="1"/>
  <c r="DN655" i="9" s="1"/>
  <c r="DM655" i="9" a="1"/>
  <c r="DM655" i="9" s="1"/>
  <c r="DK655" i="9" a="1"/>
  <c r="DK655" i="9" s="1"/>
  <c r="CG655" i="9" s="1"/>
  <c r="DN624" i="9" a="1"/>
  <c r="DN624" i="9" s="1"/>
  <c r="DK624" i="9" a="1"/>
  <c r="DK624" i="9" s="1"/>
  <c r="CG624" i="9" s="1"/>
  <c r="DM624" i="9" a="1"/>
  <c r="DM624" i="9" s="1"/>
  <c r="DO624" i="9" a="1"/>
  <c r="DO624" i="9" s="1"/>
  <c r="DP624" i="9" s="1"/>
  <c r="DL624" i="9" s="1" a="1"/>
  <c r="DL624" i="9" s="1"/>
  <c r="DK678" i="9" a="1"/>
  <c r="DK678" i="9" s="1"/>
  <c r="CG678" i="9" s="1"/>
  <c r="DM678" i="9" a="1"/>
  <c r="DM678" i="9" s="1"/>
  <c r="DN678" i="9" a="1"/>
  <c r="DN678" i="9" s="1"/>
  <c r="DO678" i="9" a="1"/>
  <c r="DO678" i="9" s="1"/>
  <c r="DP678" i="9" s="1"/>
  <c r="DL678" i="9" s="1" a="1"/>
  <c r="DL678" i="9" s="1"/>
  <c r="DE682" i="5" a="1"/>
  <c r="DE682" i="5" s="1"/>
  <c r="DE683" i="5" s="1"/>
  <c r="DE443" i="5" a="1"/>
  <c r="DE443" i="5" s="1"/>
  <c r="DE23" i="5" a="1"/>
  <c r="DE23" i="5" s="1"/>
  <c r="DE24" i="5" s="1"/>
  <c r="DE120" i="5" a="1"/>
  <c r="DE120" i="5" s="1"/>
  <c r="DE345" i="5" a="1"/>
  <c r="DE345" i="5" s="1"/>
  <c r="DE276" i="5" a="1"/>
  <c r="DE276" i="5" s="1"/>
  <c r="DE277" i="5" s="1"/>
  <c r="DE167" i="5" a="1"/>
  <c r="DE167" i="5" s="1"/>
  <c r="DE699" i="5" a="1"/>
  <c r="DE699" i="5" s="1"/>
  <c r="DE369" i="5" a="1"/>
  <c r="DE369" i="5" s="1"/>
  <c r="DE645" i="5" a="1"/>
  <c r="DE645" i="5" s="1"/>
  <c r="DE646" i="5" s="1"/>
  <c r="DE288" i="5" a="1"/>
  <c r="DE288" i="5" s="1"/>
  <c r="DE287" i="5" s="1"/>
  <c r="DE325" i="5" a="1"/>
  <c r="DE325" i="5" s="1"/>
  <c r="DE736" i="5" a="1"/>
  <c r="DE736" i="5" s="1"/>
  <c r="DE719" i="5" a="1"/>
  <c r="DE719" i="5" s="1"/>
  <c r="DE720" i="5" s="1"/>
  <c r="DE19" i="5" a="1"/>
  <c r="DE19" i="5" s="1"/>
  <c r="DE20" i="5" s="1"/>
  <c r="DE179" i="5" a="1"/>
  <c r="DE179" i="5" s="1"/>
  <c r="DE180" i="5" s="1"/>
  <c r="DE53" i="5" a="1"/>
  <c r="DE53" i="5" s="1"/>
  <c r="DE54" i="5" s="1"/>
  <c r="DE567" i="5" a="1"/>
  <c r="DE567" i="5" s="1"/>
  <c r="DE500" i="5" a="1"/>
  <c r="DE500" i="5" s="1"/>
  <c r="DE501" i="5" s="1"/>
  <c r="DE113" i="5" a="1"/>
  <c r="DE113" i="5" s="1"/>
  <c r="DE517" i="5" a="1"/>
  <c r="DE517" i="5" s="1"/>
  <c r="DE712" i="5" a="1"/>
  <c r="DE712" i="5" s="1"/>
  <c r="DE107" i="5" a="1"/>
  <c r="DE107" i="5" s="1"/>
  <c r="DE668" i="5" a="1"/>
  <c r="DE668" i="5" s="1"/>
  <c r="DE667" i="5" s="1"/>
  <c r="DE705" i="5" a="1"/>
  <c r="DE705" i="5" s="1"/>
  <c r="DE523" i="5" a="1"/>
  <c r="DE523" i="5" s="1"/>
  <c r="DE352" i="5" a="1"/>
  <c r="DE352" i="5" s="1"/>
  <c r="DE353" i="5" s="1"/>
  <c r="DE76" i="5" a="1"/>
  <c r="DE76" i="5" s="1"/>
  <c r="DE75" i="5" s="1"/>
  <c r="DE463" i="5" a="1"/>
  <c r="DE463" i="5" s="1"/>
  <c r="DE464" i="5" s="1"/>
  <c r="DE27" i="5" a="1"/>
  <c r="DE27" i="5" s="1"/>
  <c r="DE28" i="5" s="1"/>
  <c r="DE419" i="5" a="1"/>
  <c r="DE419" i="5" s="1"/>
  <c r="DE530" i="5" a="1"/>
  <c r="DE530" i="5" s="1"/>
  <c r="DE742" i="5" a="1"/>
  <c r="DE742" i="5" s="1"/>
  <c r="DE741" i="5" s="1"/>
  <c r="DE662" i="5" a="1"/>
  <c r="DE662" i="5" s="1"/>
  <c r="DE560" i="5" a="1"/>
  <c r="DE560" i="5" s="1"/>
  <c r="DE559" i="5" s="1"/>
  <c r="DE412" i="5" a="1"/>
  <c r="DE412" i="5" s="1"/>
  <c r="DE301" i="5" a="1"/>
  <c r="DE301" i="5" s="1"/>
  <c r="DE150" i="5" a="1"/>
  <c r="DE150" i="5" s="1"/>
  <c r="DE149" i="5" s="1"/>
  <c r="DE382" i="5" a="1"/>
  <c r="DE382" i="5" s="1"/>
  <c r="DE406" i="5" a="1"/>
  <c r="DE406" i="5" s="1"/>
  <c r="DE749" i="5" a="1"/>
  <c r="DE749" i="5" s="1"/>
  <c r="DE486" i="5" a="1"/>
  <c r="DE486" i="5" s="1"/>
  <c r="DE485" i="5" s="1"/>
  <c r="DE537" i="5" a="1"/>
  <c r="DE537" i="5" s="1"/>
  <c r="DE538" i="5" s="1"/>
  <c r="DE90" i="5" a="1"/>
  <c r="DE90" i="5" s="1"/>
  <c r="DE91" i="5" s="1"/>
  <c r="DE389" i="5" a="1"/>
  <c r="DE389" i="5" s="1"/>
  <c r="DE390" i="5" s="1"/>
  <c r="DE493" i="5" a="1"/>
  <c r="DE493" i="5" s="1"/>
  <c r="DE426" i="5" a="1"/>
  <c r="DE426" i="5" s="1"/>
  <c r="DE427" i="5" s="1"/>
  <c r="DE456" i="5" a="1"/>
  <c r="DE456" i="5" s="1"/>
  <c r="DE144" i="5" a="1"/>
  <c r="DE144" i="5" s="1"/>
  <c r="DE143" i="5" s="1"/>
  <c r="DE449" i="5" a="1"/>
  <c r="DE449" i="5" s="1"/>
  <c r="DE448" i="5" s="1"/>
  <c r="DE480" i="5" a="1"/>
  <c r="DE480" i="5" s="1"/>
  <c r="DE83" i="5" a="1"/>
  <c r="DE83" i="5" s="1"/>
  <c r="DE335" i="5" a="1"/>
  <c r="DE335" i="5" s="1"/>
  <c r="DE171" i="5" a="1"/>
  <c r="DE171" i="5" s="1"/>
  <c r="DE172" i="5" s="1"/>
  <c r="DE375" i="5" a="1"/>
  <c r="DE375" i="5" s="1"/>
  <c r="DE374" i="5" s="1"/>
  <c r="DE309" i="5" a="1"/>
  <c r="DE309" i="5" s="1"/>
  <c r="DE293" i="5" a="1"/>
  <c r="DE293" i="5" s="1"/>
  <c r="DE70" i="5" a="1"/>
  <c r="DE70" i="5" s="1"/>
  <c r="DE175" i="5" a="1"/>
  <c r="DE175" i="5" s="1"/>
  <c r="DE176" i="5" s="1"/>
  <c r="DE554" i="5" a="1"/>
  <c r="DE554" i="5" s="1"/>
  <c r="DE553" i="5" s="1"/>
  <c r="DE157" i="5" a="1"/>
  <c r="DE157" i="5" s="1"/>
  <c r="BC73" i="5"/>
  <c r="DJ641" i="5"/>
  <c r="U20" i="11"/>
  <c r="U170" i="11" s="1"/>
  <c r="BK84" i="11" s="1"/>
  <c r="R168" i="11"/>
  <c r="BK68" i="11" s="1"/>
  <c r="BH84" i="11"/>
  <c r="L131" i="11"/>
  <c r="BJ23" i="11" s="1"/>
  <c r="DJ48" i="5"/>
  <c r="DJ251" i="5"/>
  <c r="BL90" i="11"/>
  <c r="U176" i="11"/>
  <c r="BK90" i="11"/>
  <c r="DJ548" i="5"/>
  <c r="GI257" i="9"/>
  <c r="R122" i="11"/>
  <c r="BJ72" i="11"/>
  <c r="T124" i="11"/>
  <c r="BF88" i="11" s="1"/>
  <c r="L181" i="11"/>
  <c r="BK23" i="11"/>
  <c r="BH88" i="11"/>
  <c r="T115" i="11"/>
  <c r="BF79" i="11"/>
  <c r="R126" i="11"/>
  <c r="BJ76" i="11" s="1"/>
  <c r="U15" i="11"/>
  <c r="BL79" i="11" s="1"/>
  <c r="R118" i="11"/>
  <c r="BJ68" i="11" s="1"/>
  <c r="T165" i="11"/>
  <c r="BG79" i="11"/>
  <c r="BL73" i="11"/>
  <c r="R123" i="11"/>
  <c r="BJ73" i="11" s="1"/>
  <c r="BL72" i="11"/>
  <c r="CE177" i="9"/>
  <c r="CC177" i="9"/>
  <c r="CB177" i="9"/>
  <c r="CE155" i="9"/>
  <c r="CC155" i="9"/>
  <c r="CB155" i="9"/>
  <c r="CB170" i="9"/>
  <c r="CE170" i="9"/>
  <c r="CC170" i="9"/>
  <c r="CB152" i="9"/>
  <c r="CC152" i="9"/>
  <c r="CE152" i="9"/>
  <c r="CB185" i="9"/>
  <c r="CE185" i="9"/>
  <c r="CC185" i="9"/>
  <c r="DM431" i="5"/>
  <c r="U74" i="11"/>
  <c r="BM88" i="11" s="1"/>
  <c r="BI88" i="11"/>
  <c r="U22" i="11"/>
  <c r="BI86" i="11"/>
  <c r="U72" i="11"/>
  <c r="BM86" i="11" s="1"/>
  <c r="CE140" i="9"/>
  <c r="CC140" i="9"/>
  <c r="CB140" i="9"/>
  <c r="DJ382" i="5"/>
  <c r="T172" i="11"/>
  <c r="BG86" i="11" s="1"/>
  <c r="T122" i="11"/>
  <c r="BF86" i="11"/>
  <c r="BF78" i="11"/>
  <c r="DO620" i="9" a="1"/>
  <c r="DO620" i="9" s="1"/>
  <c r="DP620" i="9" s="1"/>
  <c r="DL620" i="9" s="1" a="1"/>
  <c r="DL620" i="9" s="1"/>
  <c r="BG78" i="11"/>
  <c r="CC186" i="9"/>
  <c r="CB186" i="9"/>
  <c r="CE186" i="9"/>
  <c r="CB178" i="9"/>
  <c r="CE178" i="9"/>
  <c r="CC178" i="9"/>
  <c r="BH78" i="11"/>
  <c r="BF92" i="11"/>
  <c r="CB174" i="9"/>
  <c r="CE174" i="9"/>
  <c r="CC174" i="9"/>
  <c r="CE148" i="9"/>
  <c r="CC148" i="9"/>
  <c r="CB148" i="9"/>
  <c r="DJ495" i="5"/>
  <c r="DK669" i="9" a="1"/>
  <c r="DK669" i="9" s="1"/>
  <c r="CG669" i="9" s="1"/>
  <c r="T169" i="11"/>
  <c r="BG83" i="11" s="1"/>
  <c r="BI92" i="11"/>
  <c r="BH83" i="11"/>
  <c r="BG92" i="11"/>
  <c r="R125" i="11"/>
  <c r="BJ75" i="11" s="1"/>
  <c r="R175" i="11"/>
  <c r="BK75" i="11" s="1"/>
  <c r="BL75" i="11"/>
  <c r="R121" i="11"/>
  <c r="BJ71" i="11" s="1"/>
  <c r="R171" i="11"/>
  <c r="BK71" i="11" s="1"/>
  <c r="BL71" i="11"/>
  <c r="U19" i="11"/>
  <c r="L134" i="11"/>
  <c r="BJ26" i="11"/>
  <c r="BL26" i="11"/>
  <c r="L184" i="11"/>
  <c r="BK26" i="11" s="1"/>
  <c r="L200" i="11"/>
  <c r="BK40" i="11" s="1"/>
  <c r="L150" i="11"/>
  <c r="BJ40" i="11" s="1"/>
  <c r="BL40" i="11"/>
  <c r="R170" i="11"/>
  <c r="BK70" i="11" s="1"/>
  <c r="BL70" i="11"/>
  <c r="R120" i="11"/>
  <c r="BJ70" i="11" s="1"/>
  <c r="R177" i="11"/>
  <c r="BK77" i="11" s="1"/>
  <c r="BL24" i="11"/>
  <c r="L132" i="11"/>
  <c r="BJ24" i="11" s="1"/>
  <c r="L182" i="11"/>
  <c r="BK24" i="11" s="1"/>
  <c r="BL33" i="11"/>
  <c r="L191" i="11"/>
  <c r="BK33" i="11" s="1"/>
  <c r="L141" i="11"/>
  <c r="BJ33" i="11" s="1"/>
  <c r="L209" i="11"/>
  <c r="BK49" i="11" s="1"/>
  <c r="L159" i="11"/>
  <c r="BJ49" i="11" s="1"/>
  <c r="BL49" i="11"/>
  <c r="BL47" i="11"/>
  <c r="L157" i="11"/>
  <c r="BJ47" i="11" s="1"/>
  <c r="L207" i="11"/>
  <c r="BK47" i="11" s="1"/>
  <c r="R127" i="11"/>
  <c r="BJ77" i="11" s="1"/>
  <c r="BL35" i="11"/>
  <c r="L143" i="11"/>
  <c r="BJ35" i="11" s="1"/>
  <c r="L193" i="11"/>
  <c r="BK35" i="11" s="1"/>
  <c r="BL38" i="11"/>
  <c r="L148" i="11"/>
  <c r="BJ38" i="11" s="1"/>
  <c r="L198" i="11"/>
  <c r="BK38" i="11"/>
  <c r="DK674" i="9" a="1"/>
  <c r="DK674" i="9" s="1"/>
  <c r="CG674" i="9" s="1"/>
  <c r="DM674" i="9" a="1"/>
  <c r="DM674" i="9" s="1"/>
  <c r="DN674" i="9" a="1"/>
  <c r="DN674" i="9" s="1"/>
  <c r="DO674" i="9" a="1"/>
  <c r="DO674" i="9" s="1"/>
  <c r="DP674" i="9" s="1"/>
  <c r="DL674" i="9" s="1" a="1"/>
  <c r="DL674" i="9" s="1"/>
  <c r="DN620" i="9" a="1"/>
  <c r="DN620" i="9" s="1"/>
  <c r="BK36" i="11"/>
  <c r="BL36" i="11"/>
  <c r="BJ36" i="11"/>
  <c r="BM36" i="11"/>
  <c r="BK22" i="11"/>
  <c r="BM22" i="11"/>
  <c r="BJ22" i="11"/>
  <c r="BL22" i="11"/>
  <c r="W94" i="11"/>
  <c r="BI93" i="11"/>
  <c r="W178" i="11"/>
  <c r="BG93" i="11" s="1"/>
  <c r="W44" i="11"/>
  <c r="BH93" i="11"/>
  <c r="W128" i="11"/>
  <c r="BF93" i="11" s="1"/>
  <c r="X28" i="11"/>
  <c r="W60" i="11"/>
  <c r="BM79" i="11"/>
  <c r="X78" i="11"/>
  <c r="DK639" i="9" a="1"/>
  <c r="DK639" i="9" s="1"/>
  <c r="CG639" i="9" s="1"/>
  <c r="DM639" i="9" a="1"/>
  <c r="DM639" i="9"/>
  <c r="DN639" i="9" a="1"/>
  <c r="DN639" i="9" s="1"/>
  <c r="DO639" i="9" a="1"/>
  <c r="DO639" i="9" s="1"/>
  <c r="DP639" i="9" s="1"/>
  <c r="DL639" i="9" s="1" a="1"/>
  <c r="DL639" i="9" s="1"/>
  <c r="DO685" i="9" a="1"/>
  <c r="DO685" i="9" s="1"/>
  <c r="DP685" i="9" s="1"/>
  <c r="DL685" i="9" s="1" a="1"/>
  <c r="DL685" i="9" s="1"/>
  <c r="DK685" i="9" a="1"/>
  <c r="DK685" i="9" s="1"/>
  <c r="CG685" i="9" s="1"/>
  <c r="DN685" i="9" a="1"/>
  <c r="DN685" i="9" s="1"/>
  <c r="DM685" i="9" a="1"/>
  <c r="DM685" i="9" s="1"/>
  <c r="DJ227" i="5"/>
  <c r="DJ526" i="5"/>
  <c r="DK206" i="5"/>
  <c r="DK64" i="5"/>
  <c r="DO647" i="9" a="1"/>
  <c r="DO647" i="9" s="1"/>
  <c r="DP647" i="9" s="1"/>
  <c r="DL647" i="9" s="1" a="1"/>
  <c r="DL647" i="9" s="1"/>
  <c r="DK647" i="9" a="1"/>
  <c r="DK647" i="9" s="1"/>
  <c r="CG647" i="9" s="1"/>
  <c r="DN647" i="9" a="1"/>
  <c r="DN647" i="9" s="1"/>
  <c r="DM647" i="9" a="1"/>
  <c r="DM647" i="9" s="1"/>
  <c r="DJ415" i="5"/>
  <c r="DJ714" i="5"/>
  <c r="DN643" i="9" a="1"/>
  <c r="DN643" i="9" s="1"/>
  <c r="DM643" i="9" a="1"/>
  <c r="DM643" i="9" s="1"/>
  <c r="DK643" i="9" a="1"/>
  <c r="DK643" i="9" s="1"/>
  <c r="CG643" i="9" s="1"/>
  <c r="DO643" i="9" a="1"/>
  <c r="DO643" i="9" s="1"/>
  <c r="DP643" i="9" s="1"/>
  <c r="DL643" i="9" s="1" a="1"/>
  <c r="DL643" i="9" s="1"/>
  <c r="DN684" i="9" a="1"/>
  <c r="DN684" i="9" s="1"/>
  <c r="DM684" i="9" a="1"/>
  <c r="DM684" i="9" s="1"/>
  <c r="DK684" i="9" a="1"/>
  <c r="DK684" i="9" s="1"/>
  <c r="CG684" i="9" s="1"/>
  <c r="DO684" i="9" a="1"/>
  <c r="DO684" i="9"/>
  <c r="DP684" i="9" s="1"/>
  <c r="DL684" i="9" s="1" a="1"/>
  <c r="DL684" i="9" s="1"/>
  <c r="DJ118" i="5"/>
  <c r="DK634" i="5"/>
  <c r="DJ80" i="5"/>
  <c r="DO679" i="9" a="1"/>
  <c r="DO679" i="9" s="1"/>
  <c r="DP679" i="9" s="1"/>
  <c r="DL679" i="9" s="1" a="1"/>
  <c r="DL679" i="9" s="1"/>
  <c r="DN679" i="9" a="1"/>
  <c r="DN679" i="9" s="1"/>
  <c r="DK679" i="9" a="1"/>
  <c r="DK679" i="9" s="1"/>
  <c r="CG679" i="9" s="1"/>
  <c r="DM679" i="9" a="1"/>
  <c r="DM679" i="9" s="1"/>
  <c r="DN635" i="9" a="1"/>
  <c r="DN635" i="9" s="1"/>
  <c r="DM635" i="9" a="1"/>
  <c r="DM635" i="9" s="1"/>
  <c r="DO635" i="9" a="1"/>
  <c r="DO635" i="9" s="1"/>
  <c r="DP635" i="9" s="1"/>
  <c r="DL635" i="9" s="1" a="1"/>
  <c r="DL635" i="9" s="1"/>
  <c r="DK635" i="9" a="1"/>
  <c r="DK635" i="9" s="1"/>
  <c r="CG635" i="9" s="1"/>
  <c r="DM687" i="9" a="1"/>
  <c r="DM687" i="9" s="1"/>
  <c r="DO687" i="9" a="1"/>
  <c r="DO687" i="9" s="1"/>
  <c r="DP687" i="9" s="1"/>
  <c r="DL687" i="9" s="1" a="1"/>
  <c r="DL687" i="9" s="1"/>
  <c r="DK687" i="9" a="1"/>
  <c r="DK687" i="9" s="1"/>
  <c r="CG687" i="9" s="1"/>
  <c r="DN687" i="9" a="1"/>
  <c r="DN687" i="9" s="1"/>
  <c r="DK681" i="9" a="1"/>
  <c r="DK681" i="9" s="1"/>
  <c r="CG681" i="9" s="1"/>
  <c r="DO681" i="9" a="1"/>
  <c r="DO681" i="9" s="1"/>
  <c r="DP681" i="9" s="1"/>
  <c r="DL681" i="9" s="1" a="1"/>
  <c r="DL681" i="9" s="1"/>
  <c r="DM681" i="9" a="1"/>
  <c r="DM681" i="9" s="1"/>
  <c r="DN681" i="9" a="1"/>
  <c r="DN681" i="9" s="1"/>
  <c r="DJ85" i="5"/>
  <c r="DJ753" i="5"/>
  <c r="DK393" i="5"/>
  <c r="DJ528" i="5"/>
  <c r="DM528" i="5" s="1"/>
  <c r="DK376" i="5"/>
  <c r="DN659" i="9" a="1"/>
  <c r="DN659" i="9" s="1"/>
  <c r="DM659" i="9" a="1"/>
  <c r="DM659" i="9" s="1"/>
  <c r="DK659" i="9" a="1"/>
  <c r="DK659" i="9" s="1"/>
  <c r="CG659" i="9" s="1"/>
  <c r="DO659" i="9" a="1"/>
  <c r="DO659" i="9" s="1"/>
  <c r="DP659" i="9" s="1"/>
  <c r="DL659" i="9" s="1" a="1"/>
  <c r="DL659" i="9" s="1"/>
  <c r="DM658" i="9" a="1"/>
  <c r="DM658" i="9" s="1"/>
  <c r="DO658" i="9" a="1"/>
  <c r="DO658" i="9" s="1"/>
  <c r="DP658" i="9" s="1"/>
  <c r="DL658" i="9" s="1" a="1"/>
  <c r="DL658" i="9" s="1"/>
  <c r="DK658" i="9" a="1"/>
  <c r="DK658" i="9" s="1"/>
  <c r="CG658" i="9" s="1"/>
  <c r="DN658" i="9" a="1"/>
  <c r="DN658" i="9" s="1"/>
  <c r="DO650" i="9" a="1"/>
  <c r="DO650" i="9" s="1"/>
  <c r="DP650" i="9" s="1"/>
  <c r="DL650" i="9" s="1" a="1"/>
  <c r="DL650" i="9" s="1"/>
  <c r="DN650" i="9" a="1"/>
  <c r="DN650" i="9" s="1"/>
  <c r="DK650" i="9" a="1"/>
  <c r="DK650" i="9" s="1"/>
  <c r="CG650" i="9" s="1"/>
  <c r="DM650" i="9" a="1"/>
  <c r="DM650" i="9" s="1"/>
  <c r="DN649" i="9" a="1"/>
  <c r="DN649" i="9" s="1"/>
  <c r="DM649" i="9" a="1"/>
  <c r="DM649" i="9" s="1"/>
  <c r="DK649" i="9" a="1"/>
  <c r="DK649" i="9" s="1"/>
  <c r="CG649" i="9" s="1"/>
  <c r="DO649" i="9" a="1"/>
  <c r="DO649" i="9" s="1"/>
  <c r="DP649" i="9" s="1"/>
  <c r="DL649" i="9" s="1" a="1"/>
  <c r="DL649" i="9" s="1"/>
  <c r="DO642" i="9" a="1"/>
  <c r="DO642" i="9" s="1"/>
  <c r="DP642" i="9" s="1"/>
  <c r="DL642" i="9" s="1" a="1"/>
  <c r="DL642" i="9" s="1"/>
  <c r="DM642" i="9" a="1"/>
  <c r="DM642" i="9" s="1"/>
  <c r="DN642" i="9" a="1"/>
  <c r="DN642" i="9" s="1"/>
  <c r="DK642" i="9" a="1"/>
  <c r="DK642" i="9" s="1"/>
  <c r="CG642" i="9" s="1"/>
  <c r="DN667" i="9" a="1"/>
  <c r="DN667" i="9" s="1"/>
  <c r="DM667" i="9" a="1"/>
  <c r="DM667" i="9" s="1"/>
  <c r="DO667" i="9" a="1"/>
  <c r="DO667" i="9" s="1"/>
  <c r="DP667" i="9" s="1"/>
  <c r="DL667" i="9" s="1" a="1"/>
  <c r="DL667" i="9" s="1"/>
  <c r="DK667" i="9" a="1"/>
  <c r="DK667" i="9" s="1"/>
  <c r="CG667" i="9" s="1"/>
  <c r="DJ680" i="5"/>
  <c r="DJ378" i="5"/>
  <c r="DO633" i="9" a="1"/>
  <c r="DO633" i="9" s="1"/>
  <c r="DP633" i="9" s="1"/>
  <c r="DL633" i="9" s="1" a="1"/>
  <c r="DL633" i="9" s="1"/>
  <c r="DM633" i="9" a="1"/>
  <c r="DM633" i="9" s="1"/>
  <c r="DN633" i="9" a="1"/>
  <c r="DN633" i="9" s="1"/>
  <c r="DK633" i="9" a="1"/>
  <c r="DK633" i="9" s="1"/>
  <c r="CG633" i="9" s="1"/>
  <c r="DN653" i="9" a="1"/>
  <c r="DN653" i="9" s="1"/>
  <c r="DK653" i="9" a="1"/>
  <c r="DK653" i="9" s="1"/>
  <c r="CG653" i="9" s="1"/>
  <c r="DO653" i="9" a="1"/>
  <c r="DO653" i="9" s="1"/>
  <c r="DP653" i="9" s="1"/>
  <c r="DL653" i="9" s="1" a="1"/>
  <c r="DL653" i="9" s="1"/>
  <c r="DM653" i="9" a="1"/>
  <c r="DM653" i="9" s="1"/>
  <c r="DM640" i="9" a="1"/>
  <c r="DM640" i="9" s="1"/>
  <c r="DK640" i="9" a="1"/>
  <c r="DK640" i="9" s="1"/>
  <c r="CG640" i="9" s="1"/>
  <c r="DO640" i="9" a="1"/>
  <c r="DO640" i="9" s="1"/>
  <c r="DP640" i="9" s="1"/>
  <c r="DL640" i="9" s="1" a="1"/>
  <c r="DL640" i="9" s="1"/>
  <c r="DN640" i="9" a="1"/>
  <c r="DN640" i="9" s="1"/>
  <c r="DO636" i="9" a="1"/>
  <c r="DO636" i="9" s="1"/>
  <c r="DP636" i="9" s="1"/>
  <c r="DL636" i="9" s="1" a="1"/>
  <c r="DL636" i="9" s="1"/>
  <c r="DN636" i="9" a="1"/>
  <c r="DN636" i="9" s="1"/>
  <c r="DM636" i="9" a="1"/>
  <c r="DM636" i="9" s="1"/>
  <c r="DK636" i="9" a="1"/>
  <c r="DK636" i="9" s="1"/>
  <c r="CG636" i="9" s="1"/>
  <c r="DK654" i="9" a="1"/>
  <c r="DK654" i="9" s="1"/>
  <c r="CG654" i="9" s="1"/>
  <c r="DO654" i="9" a="1"/>
  <c r="DO654" i="9" s="1"/>
  <c r="DP654" i="9" s="1"/>
  <c r="DL654" i="9" s="1" a="1"/>
  <c r="DL654" i="9" s="1"/>
  <c r="DN654" i="9" a="1"/>
  <c r="DN654" i="9" s="1"/>
  <c r="DM654" i="9" a="1"/>
  <c r="DM654" i="9"/>
  <c r="DJ535" i="5"/>
  <c r="DK641" i="9" a="1"/>
  <c r="DK641" i="9" s="1"/>
  <c r="CG641" i="9" s="1"/>
  <c r="DN641" i="9" a="1"/>
  <c r="DN641" i="9" s="1"/>
  <c r="DM641" i="9" a="1"/>
  <c r="DM641" i="9" s="1"/>
  <c r="DO641" i="9" a="1"/>
  <c r="DO641" i="9" s="1"/>
  <c r="DP641" i="9" s="1"/>
  <c r="DL641" i="9" s="1" a="1"/>
  <c r="DL641" i="9" s="1"/>
  <c r="DK668" i="9" a="1"/>
  <c r="DK668" i="9" s="1"/>
  <c r="CG668" i="9" s="1"/>
  <c r="DM668" i="9" a="1"/>
  <c r="DM668" i="9"/>
  <c r="DO668" i="9" a="1"/>
  <c r="DO668" i="9" s="1"/>
  <c r="DP668" i="9" s="1"/>
  <c r="DL668" i="9" s="1" a="1"/>
  <c r="DL668" i="9" s="1"/>
  <c r="DN668" i="9" a="1"/>
  <c r="DN668" i="9"/>
  <c r="DM688" i="9" a="1"/>
  <c r="DM688" i="9" s="1"/>
  <c r="DK688" i="9" a="1"/>
  <c r="DK688" i="9" s="1"/>
  <c r="CG688" i="9" s="1"/>
  <c r="DO688" i="9" a="1"/>
  <c r="DO688" i="9" s="1"/>
  <c r="DP688" i="9" s="1"/>
  <c r="DL688" i="9" s="1" a="1"/>
  <c r="DL688" i="9" s="1"/>
  <c r="DN688" i="9" a="1"/>
  <c r="DN688" i="9" s="1"/>
  <c r="DJ82" i="5"/>
  <c r="DJ676" i="5"/>
  <c r="DN656" i="9" a="1"/>
  <c r="DN656" i="9" s="1"/>
  <c r="DO656" i="9" a="1"/>
  <c r="DO656" i="9"/>
  <c r="DP656" i="9" s="1"/>
  <c r="DL656" i="9" s="1" a="1"/>
  <c r="DL656" i="9" s="1"/>
  <c r="DK656" i="9" a="1"/>
  <c r="DK656" i="9" s="1"/>
  <c r="CG656" i="9" s="1"/>
  <c r="DM656" i="9" a="1"/>
  <c r="DM656" i="9" s="1"/>
  <c r="DO662" i="9" a="1"/>
  <c r="DO662" i="9" s="1"/>
  <c r="DP662" i="9" s="1"/>
  <c r="DL662" i="9" s="1" a="1"/>
  <c r="DL662" i="9" s="1"/>
  <c r="DM662" i="9" a="1"/>
  <c r="DM662" i="9" s="1"/>
  <c r="DK662" i="9" a="1"/>
  <c r="DK662" i="9" s="1"/>
  <c r="CG662" i="9" s="1"/>
  <c r="DN662" i="9" a="1"/>
  <c r="DN662" i="9" s="1"/>
  <c r="BL84" i="11"/>
  <c r="U120" i="11"/>
  <c r="BJ84" i="11" s="1"/>
  <c r="U165" i="11"/>
  <c r="BK79" i="11"/>
  <c r="U115" i="11"/>
  <c r="BJ79" i="11" s="1"/>
  <c r="BL86" i="11"/>
  <c r="U172" i="11"/>
  <c r="BK86" i="11"/>
  <c r="U122" i="11"/>
  <c r="BJ86" i="11" s="1"/>
  <c r="U119" i="11"/>
  <c r="BJ83" i="11" s="1"/>
  <c r="U169" i="11"/>
  <c r="BK83" i="11" s="1"/>
  <c r="BL83" i="11"/>
  <c r="W194" i="11"/>
  <c r="BG94" i="11"/>
  <c r="W144" i="11"/>
  <c r="BF94" i="11"/>
  <c r="BH94" i="11"/>
  <c r="X94" i="11"/>
  <c r="X110" i="11" s="1"/>
  <c r="BM95" i="11" s="1"/>
  <c r="BM93" i="11"/>
  <c r="W160" i="11"/>
  <c r="BF95" i="11"/>
  <c r="BG95" i="11"/>
  <c r="BH95" i="11"/>
  <c r="X60" i="11"/>
  <c r="X160" i="11" s="1"/>
  <c r="BJ95" i="11" s="1"/>
  <c r="BK95" i="11" s="1"/>
  <c r="X128" i="11"/>
  <c r="BJ93" i="11" s="1"/>
  <c r="X44" i="11"/>
  <c r="X194" i="11" s="1"/>
  <c r="BK94" i="11" s="1"/>
  <c r="BL93" i="11"/>
  <c r="X178" i="11"/>
  <c r="BK93" i="11" s="1"/>
  <c r="BI94" i="11"/>
  <c r="W110" i="11"/>
  <c r="BI95" i="11" s="1"/>
  <c r="BM94" i="11"/>
  <c r="BL94" i="11"/>
  <c r="X144" i="11"/>
  <c r="BJ94" i="11" s="1"/>
  <c r="BL95" i="11"/>
  <c r="ED16" i="5" a="1"/>
  <c r="ED16" i="5"/>
  <c r="ED19" i="5" a="1"/>
  <c r="ED19" i="5" s="1"/>
  <c r="E33" i="15" a="1"/>
  <c r="E79" i="15" a="1"/>
  <c r="E77" i="15" a="1"/>
  <c r="E46" i="15" a="1"/>
  <c r="E57" i="15" a="1"/>
  <c r="E55" i="15" a="1"/>
  <c r="E45" i="15" a="1"/>
  <c r="E62" i="15" a="1"/>
  <c r="E30" i="15" a="1"/>
  <c r="E60" i="15" a="1"/>
  <c r="E56" i="15" a="1"/>
  <c r="E104" i="15" a="1"/>
  <c r="E81" i="15" a="1"/>
  <c r="E89" i="15" a="1"/>
  <c r="E90" i="15" a="1"/>
  <c r="E69" i="15" a="1"/>
  <c r="E100" i="15" a="1"/>
  <c r="E52" i="15" a="1"/>
  <c r="E41" i="15" a="1"/>
  <c r="E97" i="15" a="1"/>
  <c r="E87" i="15" a="1"/>
  <c r="E83" i="15" a="1"/>
  <c r="E37" i="15" a="1"/>
  <c r="E63" i="15" a="1"/>
  <c r="E103" i="15" a="1"/>
  <c r="E95" i="15" a="1"/>
  <c r="E74" i="15" a="1"/>
  <c r="E40" i="15" a="1"/>
  <c r="E29" i="15" a="1"/>
  <c r="E54" i="15" a="1"/>
  <c r="E44" i="15" a="1"/>
  <c r="E94" i="15" a="1"/>
  <c r="E59" i="15" a="1"/>
  <c r="E38" i="15" a="1"/>
  <c r="E31" i="15" a="1"/>
  <c r="E78" i="15" a="1"/>
  <c r="E50" i="15" a="1"/>
  <c r="E84" i="15" a="1"/>
  <c r="E65" i="15" a="1"/>
  <c r="E32" i="15" a="1"/>
  <c r="E73" i="15" a="1"/>
  <c r="E68" i="15" a="1"/>
  <c r="E93" i="15" a="1"/>
  <c r="E34" i="15" a="1"/>
  <c r="E47" i="15" a="1"/>
  <c r="E101" i="15" a="1"/>
  <c r="E107" i="15" a="1"/>
  <c r="E75" i="15" a="1"/>
  <c r="E51" i="15" a="1"/>
  <c r="E80" i="15" a="1"/>
  <c r="E98" i="15" a="1"/>
  <c r="E96" i="15" a="1"/>
  <c r="E71" i="15" a="1"/>
  <c r="E49" i="15" a="1"/>
  <c r="E82" i="15" a="1"/>
  <c r="E61" i="15" a="1"/>
  <c r="E92" i="15" a="1"/>
  <c r="E53" i="15" a="1"/>
  <c r="E106" i="15" a="1"/>
  <c r="E48" i="15" a="1"/>
  <c r="E91" i="15" a="1"/>
  <c r="E35" i="15" a="1"/>
  <c r="E72" i="15" a="1"/>
  <c r="E42" i="15" a="1"/>
  <c r="E102" i="15" a="1"/>
  <c r="E58" i="15" a="1"/>
  <c r="E105" i="15" a="1"/>
  <c r="E66" i="15" a="1"/>
  <c r="E99" i="15" a="1"/>
  <c r="E85" i="15" a="1"/>
  <c r="E88" i="15" a="1"/>
  <c r="E86" i="15" a="1"/>
  <c r="E76" i="15" a="1"/>
  <c r="E64" i="15" a="1"/>
  <c r="E39" i="15" a="1"/>
  <c r="E70" i="15" a="1"/>
  <c r="E67" i="15" a="1"/>
  <c r="E36" i="15" a="1"/>
  <c r="E43" i="15" a="1"/>
  <c r="BW29" i="12" l="1"/>
  <c r="BR21" i="12"/>
  <c r="BR22" i="12" s="1"/>
  <c r="Z64" i="12"/>
  <c r="BS36" i="12"/>
  <c r="CJ36" i="12" s="1"/>
  <c r="BW34" i="12"/>
  <c r="BS29" i="12"/>
  <c r="CJ29" i="12" s="1"/>
  <c r="BU24" i="12"/>
  <c r="BS12" i="12"/>
  <c r="CJ12" i="12" s="1"/>
  <c r="BS14" i="12"/>
  <c r="CJ14" i="12" s="1"/>
  <c r="BS52" i="12"/>
  <c r="CJ52" i="12" s="1"/>
  <c r="CE46" i="12"/>
  <c r="BU48" i="12"/>
  <c r="BU33" i="12"/>
  <c r="BS40" i="12"/>
  <c r="CJ40" i="12" s="1"/>
  <c r="BW35" i="12"/>
  <c r="BS34" i="12"/>
  <c r="CJ34" i="12" s="1"/>
  <c r="BU38" i="12"/>
  <c r="BS39" i="12"/>
  <c r="CJ39" i="12" s="1"/>
  <c r="BU34" i="12"/>
  <c r="BL44" i="12"/>
  <c r="DR32" i="5"/>
  <c r="BW43" i="12"/>
  <c r="BS18" i="12"/>
  <c r="CJ18" i="12" s="1"/>
  <c r="BS33" i="12"/>
  <c r="CJ33" i="12" s="1"/>
  <c r="BU36" i="12"/>
  <c r="CC36" i="12"/>
  <c r="DK693" i="5"/>
  <c r="DO249" i="5"/>
  <c r="DJ347" i="5"/>
  <c r="DJ389" i="5"/>
  <c r="BL28" i="12"/>
  <c r="BL30" i="12" s="1"/>
  <c r="Y39" i="12"/>
  <c r="Y47" i="12"/>
  <c r="CE48" i="12"/>
  <c r="CA33" i="12"/>
  <c r="CA36" i="12"/>
  <c r="CE33" i="12"/>
  <c r="CC48" i="12"/>
  <c r="CE18" i="12"/>
  <c r="BZ32" i="12"/>
  <c r="CA32" i="12" s="1"/>
  <c r="CD44" i="12"/>
  <c r="CE44" i="12" s="1"/>
  <c r="BZ47" i="12"/>
  <c r="CB17" i="12"/>
  <c r="CC17" i="12" s="1"/>
  <c r="CR14" i="12"/>
  <c r="CB44" i="12"/>
  <c r="CC44" i="12" s="1"/>
  <c r="CP48" i="12"/>
  <c r="BZ17" i="12"/>
  <c r="CA17" i="12" s="1"/>
  <c r="CD25" i="12"/>
  <c r="CE25" i="12" s="1"/>
  <c r="BZ44" i="12"/>
  <c r="CA44" i="12" s="1"/>
  <c r="CB14" i="12"/>
  <c r="CB39" i="12"/>
  <c r="DW19" i="12" s="1"/>
  <c r="DZ19" i="12" s="1"/>
  <c r="CB33" i="12"/>
  <c r="CS35" i="12"/>
  <c r="DK57" i="5"/>
  <c r="DK642" i="5"/>
  <c r="DJ272" i="5"/>
  <c r="AI57" i="12"/>
  <c r="Y37" i="12"/>
  <c r="Y50" i="12"/>
  <c r="Y52" i="12" s="1"/>
  <c r="Y18" i="12"/>
  <c r="Y20" i="12" s="1"/>
  <c r="CC16" i="12"/>
  <c r="CA52" i="12"/>
  <c r="CE36" i="12"/>
  <c r="CC14" i="12"/>
  <c r="CC39" i="12"/>
  <c r="CC18" i="12"/>
  <c r="CB40" i="12"/>
  <c r="CC40" i="12" s="1"/>
  <c r="CR32" i="12"/>
  <c r="BZ12" i="12"/>
  <c r="CD28" i="12"/>
  <c r="BZ39" i="12"/>
  <c r="CD51" i="12"/>
  <c r="CE51" i="12" s="1"/>
  <c r="CD37" i="12"/>
  <c r="CE37" i="12" s="1"/>
  <c r="CB28" i="12"/>
  <c r="CC28" i="12" s="1"/>
  <c r="CB47" i="12"/>
  <c r="CC47" i="12" s="1"/>
  <c r="CB35" i="12"/>
  <c r="CC35" i="12" s="1"/>
  <c r="CQ49" i="12"/>
  <c r="BZ28" i="12"/>
  <c r="CD40" i="12"/>
  <c r="BZ51" i="12"/>
  <c r="CA51" i="12" s="1"/>
  <c r="CB13" i="12"/>
  <c r="CC13" i="12" s="1"/>
  <c r="DK195" i="5"/>
  <c r="DK597" i="5"/>
  <c r="BM28" i="12"/>
  <c r="BM30" i="12" s="1"/>
  <c r="DK555" i="5"/>
  <c r="DK730" i="5"/>
  <c r="Y16" i="12"/>
  <c r="Z16" i="12" s="1"/>
  <c r="BM40" i="12" s="1"/>
  <c r="BM42" i="12" s="1"/>
  <c r="CA47" i="12"/>
  <c r="CE24" i="12"/>
  <c r="CE30" i="12"/>
  <c r="CE47" i="12"/>
  <c r="CE27" i="12"/>
  <c r="BZ50" i="12"/>
  <c r="CA50" i="12" s="1"/>
  <c r="CB24" i="12"/>
  <c r="CC24" i="12" s="1"/>
  <c r="BZ41" i="12"/>
  <c r="CA41" i="12" s="1"/>
  <c r="CS48" i="12"/>
  <c r="CB11" i="12"/>
  <c r="CD27" i="12"/>
  <c r="BZ30" i="12"/>
  <c r="CA30" i="12" s="1"/>
  <c r="CD50" i="12"/>
  <c r="CE50" i="12" s="1"/>
  <c r="BZ11" i="12"/>
  <c r="DV12" i="12" s="1"/>
  <c r="DY12" i="12" s="1"/>
  <c r="CB15" i="12"/>
  <c r="CC15" i="12" s="1"/>
  <c r="CS14" i="12"/>
  <c r="CB50" i="12"/>
  <c r="CC50" i="12" s="1"/>
  <c r="CD24" i="12"/>
  <c r="BZ27" i="12"/>
  <c r="CA27" i="12" s="1"/>
  <c r="CD39" i="12"/>
  <c r="DX19" i="12" s="1"/>
  <c r="EA19" i="12" s="1"/>
  <c r="AI63" i="12"/>
  <c r="DK235" i="5"/>
  <c r="DK363" i="5"/>
  <c r="DK140" i="5"/>
  <c r="CI21" i="12"/>
  <c r="DO310" i="5"/>
  <c r="DO307" i="5"/>
  <c r="DO643" i="5"/>
  <c r="DR95" i="5"/>
  <c r="DX23" i="12"/>
  <c r="EA23" i="12" s="1"/>
  <c r="Y49" i="12"/>
  <c r="Z49" i="12" s="1"/>
  <c r="Y38" i="12"/>
  <c r="BL34" i="12" s="1"/>
  <c r="BL36" i="12" s="1"/>
  <c r="CA31" i="12"/>
  <c r="CE28" i="12"/>
  <c r="CC38" i="12"/>
  <c r="CA12" i="12"/>
  <c r="CA28" i="12"/>
  <c r="CE17" i="12"/>
  <c r="BZ42" i="12"/>
  <c r="CB12" i="12"/>
  <c r="CC12" i="12" s="1"/>
  <c r="CB31" i="12"/>
  <c r="CC31" i="12" s="1"/>
  <c r="CB30" i="12"/>
  <c r="CC30" i="12" s="1"/>
  <c r="CS32" i="12"/>
  <c r="CB45" i="12"/>
  <c r="CC45" i="12" s="1"/>
  <c r="CD15" i="12"/>
  <c r="CE15" i="12" s="1"/>
  <c r="BZ18" i="12"/>
  <c r="CA18" i="12" s="1"/>
  <c r="CD42" i="12"/>
  <c r="DX20" i="12" s="1"/>
  <c r="EA20" i="12" s="1"/>
  <c r="BZ45" i="12"/>
  <c r="CA45" i="12" s="1"/>
  <c r="CD49" i="12"/>
  <c r="DX22" i="12" s="1"/>
  <c r="EA22" i="12" s="1"/>
  <c r="BZ25" i="12"/>
  <c r="CA25" i="12" s="1"/>
  <c r="CB42" i="12"/>
  <c r="CD12" i="12"/>
  <c r="CE12" i="12" s="1"/>
  <c r="BZ15" i="12"/>
  <c r="CA15" i="12" s="1"/>
  <c r="CD31" i="12"/>
  <c r="CE31" i="12" s="1"/>
  <c r="DK252" i="5"/>
  <c r="DK414" i="5"/>
  <c r="DO50" i="5"/>
  <c r="DK234" i="5"/>
  <c r="BL27" i="12"/>
  <c r="CS13" i="12"/>
  <c r="Y17" i="12"/>
  <c r="Z17" i="12" s="1"/>
  <c r="Y42" i="12"/>
  <c r="CA40" i="12"/>
  <c r="CA29" i="12"/>
  <c r="CE40" i="12"/>
  <c r="CA38" i="12"/>
  <c r="CA14" i="12"/>
  <c r="CE11" i="12"/>
  <c r="BZ34" i="12"/>
  <c r="CA34" i="12" s="1"/>
  <c r="CD38" i="12"/>
  <c r="CE38" i="12" s="1"/>
  <c r="BZ48" i="12"/>
  <c r="CA48" i="12" s="1"/>
  <c r="CB18" i="12"/>
  <c r="BZ13" i="12"/>
  <c r="CA13" i="12" s="1"/>
  <c r="CB37" i="12"/>
  <c r="CC37" i="12" s="1"/>
  <c r="CP49" i="12"/>
  <c r="CB52" i="12"/>
  <c r="CD34" i="12"/>
  <c r="CE34" i="12" s="1"/>
  <c r="BZ37" i="12"/>
  <c r="CA37" i="12" s="1"/>
  <c r="CD41" i="12"/>
  <c r="CE41" i="12" s="1"/>
  <c r="CD11" i="12"/>
  <c r="DX12" i="12" s="1"/>
  <c r="EA12" i="12" s="1"/>
  <c r="CC34" i="12"/>
  <c r="CP30" i="12"/>
  <c r="CB49" i="12"/>
  <c r="DW22" i="12" s="1"/>
  <c r="DZ22" i="12" s="1"/>
  <c r="CP29" i="12"/>
  <c r="BR23" i="12"/>
  <c r="CI23" i="12" s="1"/>
  <c r="CI22" i="12"/>
  <c r="BS21" i="12"/>
  <c r="CJ20" i="12"/>
  <c r="Y77" i="12"/>
  <c r="Z56" i="12"/>
  <c r="BS15" i="12"/>
  <c r="CJ15" i="12" s="1"/>
  <c r="BU31" i="12"/>
  <c r="BS17" i="12"/>
  <c r="CJ17" i="12" s="1"/>
  <c r="BW36" i="12"/>
  <c r="BW38" i="12"/>
  <c r="BU50" i="12"/>
  <c r="BS48" i="12"/>
  <c r="CJ48" i="12" s="1"/>
  <c r="BU27" i="12"/>
  <c r="CE49" i="12"/>
  <c r="CA46" i="12"/>
  <c r="BS16" i="12"/>
  <c r="CJ16" i="12" s="1"/>
  <c r="BW16" i="12"/>
  <c r="BW18" i="12"/>
  <c r="DM132" i="5"/>
  <c r="CC19" i="12"/>
  <c r="CC20" i="12" s="1"/>
  <c r="CC21" i="12" s="1"/>
  <c r="CC22" i="12" s="1"/>
  <c r="CC23" i="12" s="1"/>
  <c r="CC26" i="12"/>
  <c r="CE19" i="12"/>
  <c r="CE20" i="12" s="1"/>
  <c r="CE21" i="12" s="1"/>
  <c r="CE22" i="12" s="1"/>
  <c r="CE23" i="12" s="1"/>
  <c r="CJ19" i="12"/>
  <c r="Z74" i="12"/>
  <c r="BS27" i="12"/>
  <c r="CJ27" i="12" s="1"/>
  <c r="BS11" i="12"/>
  <c r="CJ11" i="12" s="1"/>
  <c r="BS28" i="12"/>
  <c r="CJ28" i="12" s="1"/>
  <c r="BS46" i="12"/>
  <c r="CJ46" i="12" s="1"/>
  <c r="BU13" i="12"/>
  <c r="BW24" i="12"/>
  <c r="BU35" i="12"/>
  <c r="Y80" i="12"/>
  <c r="BX49" i="12"/>
  <c r="BY49" i="12" s="1"/>
  <c r="BX47" i="12"/>
  <c r="BY47" i="12" s="1"/>
  <c r="BX37" i="12"/>
  <c r="BY37" i="12" s="1"/>
  <c r="BX29" i="12"/>
  <c r="BY29" i="12" s="1"/>
  <c r="BX17" i="12"/>
  <c r="BY17" i="12" s="1"/>
  <c r="BX27" i="12"/>
  <c r="BY27" i="12" s="1"/>
  <c r="BX15" i="12"/>
  <c r="BY15" i="12" s="1"/>
  <c r="BX51" i="12"/>
  <c r="BY51" i="12" s="1"/>
  <c r="BX25" i="12"/>
  <c r="BY25" i="12" s="1"/>
  <c r="BX40" i="12"/>
  <c r="BY40" i="12" s="1"/>
  <c r="BX12" i="12"/>
  <c r="BY12" i="12" s="1"/>
  <c r="BX19" i="12"/>
  <c r="BX20" i="12" s="1"/>
  <c r="BX21" i="12" s="1"/>
  <c r="BX22" i="12" s="1"/>
  <c r="BX23" i="12" s="1"/>
  <c r="BX30" i="12"/>
  <c r="BY30" i="12" s="1"/>
  <c r="BX45" i="12"/>
  <c r="BY45" i="12" s="1"/>
  <c r="BX36" i="12"/>
  <c r="BY36" i="12" s="1"/>
  <c r="BX28" i="12"/>
  <c r="BY28" i="12" s="1"/>
  <c r="BX16" i="12"/>
  <c r="BY16" i="12" s="1"/>
  <c r="BX35" i="12"/>
  <c r="BY35" i="12" s="1"/>
  <c r="BX33" i="12"/>
  <c r="BY33" i="12" s="1"/>
  <c r="BX32" i="12"/>
  <c r="BY32" i="12" s="1"/>
  <c r="BX31" i="12"/>
  <c r="BY31" i="12" s="1"/>
  <c r="BX11" i="12"/>
  <c r="BY11" i="12" s="1"/>
  <c r="BX38" i="12"/>
  <c r="BY38" i="12" s="1"/>
  <c r="BX44" i="12"/>
  <c r="BY44" i="12" s="1"/>
  <c r="BX52" i="12"/>
  <c r="BY52" i="12" s="1"/>
  <c r="BX42" i="12"/>
  <c r="BY42" i="12" s="1"/>
  <c r="BX34" i="12"/>
  <c r="BY34" i="12" s="1"/>
  <c r="BX26" i="12"/>
  <c r="BY26" i="12" s="1"/>
  <c r="BX14" i="12"/>
  <c r="BY14" i="12" s="1"/>
  <c r="BX41" i="12"/>
  <c r="BY41" i="12" s="1"/>
  <c r="BX13" i="12"/>
  <c r="BY13" i="12" s="1"/>
  <c r="BX50" i="12"/>
  <c r="BY50" i="12" s="1"/>
  <c r="BX24" i="12"/>
  <c r="BY24" i="12" s="1"/>
  <c r="BX39" i="12"/>
  <c r="BY39" i="12" s="1"/>
  <c r="BX48" i="12"/>
  <c r="BY48" i="12" s="1"/>
  <c r="BX18" i="12"/>
  <c r="BY18" i="12" s="1"/>
  <c r="BX43" i="12"/>
  <c r="BY43" i="12" s="1"/>
  <c r="BX46" i="12"/>
  <c r="BY46" i="12" s="1"/>
  <c r="BS38" i="12"/>
  <c r="CJ38" i="12" s="1"/>
  <c r="BS49" i="12"/>
  <c r="CJ49" i="12" s="1"/>
  <c r="BS26" i="12"/>
  <c r="CJ26" i="12" s="1"/>
  <c r="BS35" i="12"/>
  <c r="CJ35" i="12" s="1"/>
  <c r="BS37" i="12"/>
  <c r="CJ37" i="12" s="1"/>
  <c r="BU25" i="12"/>
  <c r="BW41" i="12"/>
  <c r="BU43" i="12"/>
  <c r="BS43" i="12"/>
  <c r="CJ43" i="12" s="1"/>
  <c r="BS45" i="12"/>
  <c r="CJ45" i="12" s="1"/>
  <c r="BU51" i="12"/>
  <c r="CC46" i="12"/>
  <c r="CA19" i="12"/>
  <c r="CA20" i="12" s="1"/>
  <c r="CA21" i="12" s="1"/>
  <c r="CA22" i="12" s="1"/>
  <c r="CA23" i="12" s="1"/>
  <c r="BS42" i="12"/>
  <c r="CJ42" i="12" s="1"/>
  <c r="BS51" i="12"/>
  <c r="CJ51" i="12" s="1"/>
  <c r="BU32" i="12"/>
  <c r="BU14" i="12"/>
  <c r="BS24" i="12"/>
  <c r="CJ24" i="12" s="1"/>
  <c r="BW26" i="12"/>
  <c r="Z50" i="12"/>
  <c r="Z52" i="12" s="1"/>
  <c r="Y76" i="12"/>
  <c r="BW45" i="12"/>
  <c r="BS50" i="12"/>
  <c r="CJ50" i="12" s="1"/>
  <c r="BS44" i="12"/>
  <c r="CJ44" i="12" s="1"/>
  <c r="BU40" i="12"/>
  <c r="BS30" i="12"/>
  <c r="CJ30" i="12" s="1"/>
  <c r="BS31" i="12"/>
  <c r="CJ31" i="12" s="1"/>
  <c r="BU26" i="12"/>
  <c r="BS32" i="12"/>
  <c r="CJ32" i="12" s="1"/>
  <c r="BW46" i="12"/>
  <c r="I20" i="21"/>
  <c r="DE535" i="5" a="1"/>
  <c r="DE535" i="5" s="1"/>
  <c r="DE461" i="5" a="1"/>
  <c r="DE461" i="5" s="1"/>
  <c r="DE680" i="5" a="1"/>
  <c r="DE680" i="5" s="1"/>
  <c r="DE498" i="5" a="1"/>
  <c r="DE498" i="5" s="1"/>
  <c r="DE219" i="5" a="1"/>
  <c r="DE219" i="5" s="1"/>
  <c r="DE162" i="5" a="1"/>
  <c r="DE162" i="5" s="1"/>
  <c r="DE424" i="5" a="1"/>
  <c r="DE424" i="5" s="1"/>
  <c r="DE572" i="5" a="1"/>
  <c r="DE572" i="5" s="1"/>
  <c r="DE125" i="5" a="1"/>
  <c r="DE125" i="5" s="1"/>
  <c r="DE610" i="5" a="1"/>
  <c r="DE610" i="5" s="1"/>
  <c r="DE320" i="5" a="1"/>
  <c r="DE320" i="5" s="1"/>
  <c r="DE330" i="5" a="1"/>
  <c r="DE330" i="5" s="1"/>
  <c r="BC74" i="5"/>
  <c r="DE340" i="5" a="1"/>
  <c r="DE340" i="5" s="1"/>
  <c r="BW59" i="5"/>
  <c r="DE350" i="5" a="1"/>
  <c r="DE350" i="5" s="1"/>
  <c r="DE717" i="5" a="1"/>
  <c r="DE717" i="5" s="1"/>
  <c r="DE88" i="5" a="1"/>
  <c r="DE88" i="5" s="1"/>
  <c r="DE754" i="5" a="1"/>
  <c r="DE754" i="5" s="1"/>
  <c r="DE387" i="5" a="1"/>
  <c r="DE387" i="5" s="1"/>
  <c r="BC66" i="5"/>
  <c r="BW51" i="5"/>
  <c r="BW53" i="5"/>
  <c r="BC68" i="5"/>
  <c r="BW54" i="5"/>
  <c r="BC69" i="5"/>
  <c r="BW52" i="5"/>
  <c r="DR650" i="5"/>
  <c r="DD454" i="5" a="1"/>
  <c r="DD454" i="5" s="1"/>
  <c r="DD455" i="5" s="1"/>
  <c r="DD456" i="5" s="1"/>
  <c r="DD710" i="5" a="1"/>
  <c r="DD710" i="5" s="1"/>
  <c r="DD711" i="5" s="1"/>
  <c r="DD712" i="5" s="1"/>
  <c r="BV50" i="5"/>
  <c r="DD565" i="5" a="1"/>
  <c r="DD565" i="5" s="1"/>
  <c r="DD566" i="5" s="1"/>
  <c r="DD380" i="5" a="1"/>
  <c r="DD380" i="5" s="1"/>
  <c r="DD747" i="5" a="1"/>
  <c r="DD747" i="5" s="1"/>
  <c r="DD748" i="5" s="1"/>
  <c r="DD749" i="5" s="1"/>
  <c r="AM65" i="5"/>
  <c r="DD215" i="5" a="1"/>
  <c r="DD215" i="5" s="1"/>
  <c r="DD218" i="5" s="1"/>
  <c r="DD219" i="5" s="1"/>
  <c r="DD673" i="5" a="1"/>
  <c r="DD673" i="5" s="1"/>
  <c r="DD674" i="5" s="1"/>
  <c r="DD675" i="5" s="1"/>
  <c r="DD528" i="5" a="1"/>
  <c r="DD528" i="5" s="1"/>
  <c r="DD529" i="5" s="1"/>
  <c r="DD530" i="5" s="1"/>
  <c r="DD81" i="5" a="1"/>
  <c r="DD81" i="5" s="1"/>
  <c r="DD82" i="5" s="1"/>
  <c r="DD83" i="5" s="1"/>
  <c r="DD84" i="5" s="1"/>
  <c r="DD118" i="5" a="1"/>
  <c r="DD118" i="5" s="1"/>
  <c r="DD119" i="5" s="1"/>
  <c r="DD120" i="5" s="1"/>
  <c r="DD417" i="5" a="1"/>
  <c r="DD417" i="5" s="1"/>
  <c r="DD418" i="5" s="1"/>
  <c r="DD155" i="5" a="1"/>
  <c r="DD155" i="5" s="1"/>
  <c r="DD156" i="5" s="1"/>
  <c r="DD491" i="5" a="1"/>
  <c r="DD491" i="5" s="1"/>
  <c r="DD492" i="5" s="1"/>
  <c r="DD606" i="5" a="1"/>
  <c r="DD606" i="5" s="1"/>
  <c r="DD609" i="5" s="1"/>
  <c r="DD610" i="5" s="1"/>
  <c r="AM69" i="5"/>
  <c r="BV54" i="5"/>
  <c r="AM66" i="5"/>
  <c r="BV51" i="5"/>
  <c r="AM67" i="5"/>
  <c r="BV52" i="5"/>
  <c r="AM77" i="5"/>
  <c r="BV62" i="5"/>
  <c r="BV53" i="5"/>
  <c r="DD404" i="5" a="1"/>
  <c r="DD404" i="5" s="1"/>
  <c r="DD286" i="5" a="1"/>
  <c r="DD286" i="5" s="1"/>
  <c r="DD105" i="5" a="1"/>
  <c r="DD105" i="5" s="1"/>
  <c r="DD194" i="5" a="1"/>
  <c r="DD194" i="5" s="1"/>
  <c r="DD734" i="5" a="1"/>
  <c r="DD734" i="5" s="1"/>
  <c r="DD68" i="5" a="1"/>
  <c r="DD68" i="5" s="1"/>
  <c r="DD367" i="5" a="1"/>
  <c r="DD367" i="5" s="1"/>
  <c r="DD142" i="5" a="1"/>
  <c r="DD142" i="5" s="1"/>
  <c r="DD515" i="5" a="1"/>
  <c r="DD515" i="5" s="1"/>
  <c r="DD478" i="5" a="1"/>
  <c r="DD478" i="5" s="1"/>
  <c r="DD697" i="5" a="1"/>
  <c r="DD697" i="5" s="1"/>
  <c r="DD166" i="5" a="1"/>
  <c r="DD166" i="5" s="1"/>
  <c r="DD660" i="5" a="1"/>
  <c r="DD660" i="5" s="1"/>
  <c r="DD14" i="5" a="1"/>
  <c r="DD14" i="5" s="1"/>
  <c r="DD34" i="5" a="1"/>
  <c r="DD34" i="5" s="1"/>
  <c r="DD585" i="5" a="1"/>
  <c r="DD585" i="5" s="1"/>
  <c r="AM75" i="5"/>
  <c r="BV60" i="5"/>
  <c r="DD257" i="5" a="1"/>
  <c r="DD257" i="5" s="1"/>
  <c r="DD441" i="5" a="1"/>
  <c r="DD441" i="5" s="1"/>
  <c r="DD552" i="5" a="1"/>
  <c r="DD552" i="5" s="1"/>
  <c r="DD135" i="5" a="1"/>
  <c r="DD135" i="5" s="1"/>
  <c r="DD138" i="5" s="1"/>
  <c r="DD727" i="5" a="1"/>
  <c r="DD727" i="5" s="1"/>
  <c r="DD730" i="5" s="1"/>
  <c r="DD731" i="5" s="1"/>
  <c r="DD61" i="5" a="1"/>
  <c r="DD61" i="5" s="1"/>
  <c r="DD64" i="5" s="1"/>
  <c r="DD65" i="5" s="1"/>
  <c r="DD66" i="5" s="1"/>
  <c r="DD282" i="5" a="1"/>
  <c r="DD282" i="5" s="1"/>
  <c r="DD280" i="5" s="1"/>
  <c r="DD281" i="5" s="1"/>
  <c r="DD360" i="5" a="1"/>
  <c r="DD360" i="5" s="1"/>
  <c r="DD363" i="5" s="1"/>
  <c r="DD364" i="5" s="1"/>
  <c r="DD365" i="5" s="1"/>
  <c r="DD164" i="5" a="1"/>
  <c r="DD164" i="5" s="1"/>
  <c r="DD165" i="5" s="1"/>
  <c r="DD397" i="5" a="1"/>
  <c r="DD397" i="5" s="1"/>
  <c r="DD400" i="5" s="1"/>
  <c r="DD401" i="5" s="1"/>
  <c r="DD690" i="5" a="1"/>
  <c r="DD690" i="5" s="1"/>
  <c r="DD693" i="5" s="1"/>
  <c r="DD695" i="5" s="1"/>
  <c r="DD434" i="5" a="1"/>
  <c r="DD434" i="5" s="1"/>
  <c r="DD437" i="5" s="1"/>
  <c r="DD438" i="5" s="1"/>
  <c r="DD439" i="5" s="1"/>
  <c r="AM73" i="5"/>
  <c r="DD316" i="5" a="1"/>
  <c r="DD316" i="5" s="1"/>
  <c r="BV58" i="5"/>
  <c r="DD508" i="5" a="1"/>
  <c r="DD508" i="5" s="1"/>
  <c r="DD511" i="5" s="1"/>
  <c r="DD513" i="5" s="1"/>
  <c r="DD98" i="5" a="1"/>
  <c r="DD98" i="5" s="1"/>
  <c r="DD101" i="5" s="1"/>
  <c r="DD103" i="5" s="1"/>
  <c r="DD12" i="5" a="1"/>
  <c r="DD12" i="5" s="1"/>
  <c r="DD13" i="5" s="1"/>
  <c r="DD471" i="5" a="1"/>
  <c r="DD471" i="5" s="1"/>
  <c r="DD474" i="5" s="1"/>
  <c r="DD475" i="5" s="1"/>
  <c r="DD476" i="5" s="1"/>
  <c r="DD653" i="5" a="1"/>
  <c r="DD653" i="5" s="1"/>
  <c r="DD656" i="5" s="1"/>
  <c r="DD657" i="5" s="1"/>
  <c r="DD658" i="5" s="1"/>
  <c r="DD545" i="5" a="1"/>
  <c r="DD545" i="5" s="1"/>
  <c r="DD548" i="5" s="1"/>
  <c r="DD549" i="5" s="1"/>
  <c r="DD550" i="5" s="1"/>
  <c r="DD49" i="5" a="1"/>
  <c r="DD49" i="5" s="1"/>
  <c r="DD47" i="5" s="1"/>
  <c r="DD48" i="5" s="1"/>
  <c r="BV56" i="5"/>
  <c r="DD26" i="5" a="1"/>
  <c r="DD26" i="5" s="1"/>
  <c r="DD27" i="5" s="1"/>
  <c r="AM71" i="5"/>
  <c r="DD638" i="5" a="1"/>
  <c r="DD638" i="5" s="1"/>
  <c r="DD641" i="5" s="1"/>
  <c r="DD642" i="5" s="1"/>
  <c r="DD643" i="5" s="1"/>
  <c r="DD307" i="5" a="1"/>
  <c r="DD307" i="5" s="1"/>
  <c r="DD308" i="5" s="1"/>
  <c r="DD309" i="5" s="1"/>
  <c r="DD178" i="5" a="1"/>
  <c r="DD178" i="5" s="1"/>
  <c r="DD179" i="5" s="1"/>
  <c r="DD247" i="5" a="1"/>
  <c r="DD247" i="5" s="1"/>
  <c r="DD250" i="5" s="1"/>
  <c r="DD272" i="5" a="1"/>
  <c r="DD272" i="5" s="1"/>
  <c r="DD270" i="5" s="1"/>
  <c r="DD271" i="5" s="1"/>
  <c r="DD343" i="5" a="1"/>
  <c r="DD343" i="5" s="1"/>
  <c r="DO186" i="5"/>
  <c r="DJ684" i="5"/>
  <c r="DJ499" i="5"/>
  <c r="DO56" i="5"/>
  <c r="DO721" i="5"/>
  <c r="DJ351" i="5"/>
  <c r="DM351" i="5" s="1"/>
  <c r="DO430" i="5"/>
  <c r="DJ277" i="5"/>
  <c r="DJ397" i="5"/>
  <c r="DM397" i="5" s="1"/>
  <c r="DO466" i="5"/>
  <c r="DJ573" i="5"/>
  <c r="DM573" i="5" s="1"/>
  <c r="DJ165" i="5"/>
  <c r="DO644" i="5"/>
  <c r="DR644" i="5" s="1"/>
  <c r="DJ686" i="5"/>
  <c r="DJ473" i="5"/>
  <c r="DJ13" i="5"/>
  <c r="DJ93" i="5"/>
  <c r="DJ643" i="5"/>
  <c r="DO347" i="5"/>
  <c r="DO346" i="5"/>
  <c r="DJ349" i="5"/>
  <c r="DJ348" i="5"/>
  <c r="DJ274" i="5"/>
  <c r="DJ49" i="5"/>
  <c r="DJ178" i="5"/>
  <c r="DM178" i="5" s="1"/>
  <c r="DJ639" i="5"/>
  <c r="DO306" i="5"/>
  <c r="DO270" i="5"/>
  <c r="DJ270" i="5"/>
  <c r="DJ311" i="5"/>
  <c r="DJ308" i="5"/>
  <c r="DO640" i="5"/>
  <c r="DO178" i="5"/>
  <c r="DJ138" i="5"/>
  <c r="DJ180" i="5"/>
  <c r="DJ309" i="5"/>
  <c r="DJ250" i="5"/>
  <c r="DJ636" i="5"/>
  <c r="DJ312" i="5"/>
  <c r="DJ29" i="5"/>
  <c r="DJ179" i="5"/>
  <c r="DO180" i="5"/>
  <c r="DO341" i="5"/>
  <c r="DO344" i="5"/>
  <c r="DR724" i="5"/>
  <c r="DJ247" i="5"/>
  <c r="DO305" i="5"/>
  <c r="DO48" i="5"/>
  <c r="DO343" i="5"/>
  <c r="DJ12" i="5"/>
  <c r="DM12" i="5" s="1"/>
  <c r="DJ507" i="5"/>
  <c r="DJ47" i="5"/>
  <c r="DJ305" i="5"/>
  <c r="DJ50" i="5"/>
  <c r="DO638" i="5"/>
  <c r="DJ642" i="5"/>
  <c r="DM642" i="5" s="1"/>
  <c r="DJ345" i="5"/>
  <c r="DJ181" i="5"/>
  <c r="DJ306" i="5"/>
  <c r="DO274" i="5"/>
  <c r="DO342" i="5"/>
  <c r="DO636" i="5"/>
  <c r="DO246" i="5"/>
  <c r="DO309" i="5"/>
  <c r="DJ310" i="5"/>
  <c r="DO348" i="5"/>
  <c r="DO273" i="5"/>
  <c r="DJ640" i="5"/>
  <c r="DJ513" i="5"/>
  <c r="DJ637" i="5"/>
  <c r="DJ26" i="5"/>
  <c r="DM26" i="5" s="1"/>
  <c r="DJ27" i="5"/>
  <c r="DO311" i="5"/>
  <c r="DJ346" i="5"/>
  <c r="DJ28" i="5"/>
  <c r="DJ245" i="5"/>
  <c r="DJ271" i="5"/>
  <c r="DO27" i="5"/>
  <c r="DO637" i="5"/>
  <c r="DO247" i="5"/>
  <c r="DR247" i="5" s="1"/>
  <c r="DJ248" i="5"/>
  <c r="DO271" i="5"/>
  <c r="DJ136" i="5"/>
  <c r="DJ341" i="5"/>
  <c r="DJ350" i="5"/>
  <c r="DO272" i="5"/>
  <c r="DR272" i="5" s="1"/>
  <c r="DO51" i="5"/>
  <c r="DJ343" i="5"/>
  <c r="DM343" i="5" s="1"/>
  <c r="DJ638" i="5"/>
  <c r="DJ252" i="5"/>
  <c r="DO179" i="5"/>
  <c r="DO308" i="5"/>
  <c r="DO642" i="5"/>
  <c r="DO28" i="5"/>
  <c r="DO641" i="5"/>
  <c r="DO29" i="5"/>
  <c r="DJ344" i="5"/>
  <c r="DO639" i="5"/>
  <c r="DJ509" i="5"/>
  <c r="DJ139" i="5"/>
  <c r="DJ342" i="5"/>
  <c r="DJ307" i="5"/>
  <c r="DM307" i="5" s="1"/>
  <c r="DO345" i="5"/>
  <c r="DO26" i="5"/>
  <c r="DR26" i="5" s="1"/>
  <c r="DO245" i="5"/>
  <c r="DO181" i="5"/>
  <c r="DJ51" i="5"/>
  <c r="DO49" i="5"/>
  <c r="DR49" i="5" s="1"/>
  <c r="DO349" i="5"/>
  <c r="DO252" i="5"/>
  <c r="DJ655" i="5"/>
  <c r="DJ398" i="5"/>
  <c r="DJ65" i="5"/>
  <c r="DJ543" i="5"/>
  <c r="DJ731" i="5"/>
  <c r="DJ693" i="5"/>
  <c r="DJ362" i="5"/>
  <c r="DJ690" i="5"/>
  <c r="DM690" i="5" s="1"/>
  <c r="DJ510" i="5"/>
  <c r="DJ317" i="5"/>
  <c r="DJ134" i="5"/>
  <c r="DJ657" i="5"/>
  <c r="DJ64" i="5"/>
  <c r="DJ62" i="5"/>
  <c r="DJ732" i="5"/>
  <c r="DJ282" i="5"/>
  <c r="DM282" i="5" s="1"/>
  <c r="DJ314" i="5"/>
  <c r="DJ476" i="5"/>
  <c r="DJ691" i="5"/>
  <c r="DJ475" i="5"/>
  <c r="DJ396" i="5"/>
  <c r="DJ550" i="5"/>
  <c r="DJ60" i="5"/>
  <c r="DJ730" i="5"/>
  <c r="DJ135" i="5"/>
  <c r="DM135" i="5" s="1"/>
  <c r="DJ727" i="5"/>
  <c r="DM727" i="5" s="1"/>
  <c r="DJ402" i="5"/>
  <c r="DJ694" i="5"/>
  <c r="DJ472" i="5"/>
  <c r="DJ102" i="5"/>
  <c r="DJ164" i="5"/>
  <c r="DM164" i="5" s="1"/>
  <c r="DJ63" i="5"/>
  <c r="DJ654" i="5"/>
  <c r="DJ436" i="5"/>
  <c r="DJ284" i="5"/>
  <c r="DJ133" i="5"/>
  <c r="DJ432" i="5"/>
  <c r="DJ544" i="5"/>
  <c r="DJ98" i="5"/>
  <c r="DM98" i="5" s="1"/>
  <c r="DJ280" i="5"/>
  <c r="DJ360" i="5"/>
  <c r="DJ435" i="5"/>
  <c r="DJ320" i="5"/>
  <c r="DJ319" i="5"/>
  <c r="DJ433" i="5"/>
  <c r="DJ400" i="5"/>
  <c r="DJ395" i="5"/>
  <c r="DJ283" i="5"/>
  <c r="DJ137" i="5"/>
  <c r="DJ547" i="5"/>
  <c r="DJ100" i="5"/>
  <c r="DJ316" i="5"/>
  <c r="DM316" i="5" s="1"/>
  <c r="DJ695" i="5"/>
  <c r="DJ512" i="5"/>
  <c r="DJ474" i="5"/>
  <c r="DJ358" i="5"/>
  <c r="DJ99" i="5"/>
  <c r="DJ689" i="5"/>
  <c r="DJ365" i="5"/>
  <c r="DJ469" i="5"/>
  <c r="DJ545" i="5"/>
  <c r="DJ546" i="5"/>
  <c r="DJ688" i="5"/>
  <c r="DJ652" i="5"/>
  <c r="DJ651" i="5"/>
  <c r="DJ59" i="5"/>
  <c r="DJ728" i="5"/>
  <c r="DJ101" i="5"/>
  <c r="DJ508" i="5"/>
  <c r="DM508" i="5" s="1"/>
  <c r="DJ281" i="5"/>
  <c r="DJ439" i="5"/>
  <c r="DJ361" i="5"/>
  <c r="DJ656" i="5"/>
  <c r="DJ725" i="5"/>
  <c r="DJ401" i="5"/>
  <c r="DJ506" i="5"/>
  <c r="DJ97" i="5"/>
  <c r="DJ140" i="5"/>
  <c r="DJ549" i="5"/>
  <c r="DJ434" i="5"/>
  <c r="DM434" i="5" s="1"/>
  <c r="DJ103" i="5"/>
  <c r="DJ692" i="5"/>
  <c r="DJ438" i="5"/>
  <c r="DJ471" i="5"/>
  <c r="DJ66" i="5"/>
  <c r="DJ315" i="5"/>
  <c r="DJ729" i="5"/>
  <c r="DJ470" i="5"/>
  <c r="DJ726" i="5"/>
  <c r="DJ511" i="5"/>
  <c r="DJ318" i="5"/>
  <c r="DJ399" i="5"/>
  <c r="DJ437" i="5"/>
  <c r="DJ364" i="5"/>
  <c r="DR343" i="5"/>
  <c r="DR431" i="5"/>
  <c r="DO90" i="5"/>
  <c r="DO648" i="5"/>
  <c r="DO94" i="5"/>
  <c r="DO719" i="5"/>
  <c r="DO391" i="5"/>
  <c r="DO185" i="5"/>
  <c r="DR542" i="5"/>
  <c r="DJ188" i="5"/>
  <c r="DJ56" i="5"/>
  <c r="DJ503" i="5"/>
  <c r="DJ541" i="5"/>
  <c r="DJ648" i="5"/>
  <c r="DJ130" i="5"/>
  <c r="DJ92" i="5"/>
  <c r="DJ57" i="5"/>
  <c r="DJ186" i="5"/>
  <c r="DM255" i="5"/>
  <c r="DM724" i="5"/>
  <c r="DM650" i="5"/>
  <c r="DM468" i="5"/>
  <c r="DO278" i="5"/>
  <c r="DO393" i="5"/>
  <c r="DO93" i="5"/>
  <c r="DO89" i="5"/>
  <c r="DR89" i="5" s="1"/>
  <c r="DO576" i="5"/>
  <c r="DO190" i="5"/>
  <c r="DO52" i="5"/>
  <c r="DR52" i="5" s="1"/>
  <c r="DJ356" i="5"/>
  <c r="DJ352" i="5"/>
  <c r="DJ183" i="5"/>
  <c r="DJ276" i="5"/>
  <c r="DJ685" i="5"/>
  <c r="DJ504" i="5"/>
  <c r="DJ191" i="5"/>
  <c r="DJ90" i="5"/>
  <c r="DJ354" i="5"/>
  <c r="DJ428" i="5"/>
  <c r="DO647" i="5"/>
  <c r="DO502" i="5"/>
  <c r="DO53" i="5"/>
  <c r="DO54" i="5"/>
  <c r="DJ355" i="5"/>
  <c r="DJ94" i="5"/>
  <c r="DJ131" i="5"/>
  <c r="DJ388" i="5"/>
  <c r="DM388" i="5" s="1"/>
  <c r="DJ645" i="5"/>
  <c r="DJ576" i="5"/>
  <c r="DJ582" i="5"/>
  <c r="DJ578" i="5"/>
  <c r="DJ538" i="5"/>
  <c r="DO356" i="5"/>
  <c r="DO355" i="5"/>
  <c r="DO538" i="5"/>
  <c r="DO683" i="5"/>
  <c r="DO722" i="5"/>
  <c r="DJ30" i="5"/>
  <c r="DM30" i="5" s="1"/>
  <c r="DJ91" i="5"/>
  <c r="DJ427" i="5"/>
  <c r="DJ683" i="5"/>
  <c r="DJ254" i="5"/>
  <c r="DJ647" i="5"/>
  <c r="DJ540" i="5"/>
  <c r="DJ275" i="5"/>
  <c r="DM275" i="5" s="1"/>
  <c r="DJ681" i="5"/>
  <c r="DM681" i="5" s="1"/>
  <c r="DJ187" i="5"/>
  <c r="DM49" i="5"/>
  <c r="DO191" i="5"/>
  <c r="DO92" i="5"/>
  <c r="DO353" i="5"/>
  <c r="DJ393" i="5"/>
  <c r="DJ467" i="5"/>
  <c r="DJ185" i="5"/>
  <c r="DJ390" i="5"/>
  <c r="DJ353" i="5"/>
  <c r="DJ425" i="5"/>
  <c r="DJ466" i="5"/>
  <c r="DJ501" i="5"/>
  <c r="DJ682" i="5"/>
  <c r="DJ184" i="5"/>
  <c r="DJ649" i="5"/>
  <c r="DO276" i="5"/>
  <c r="DO499" i="5"/>
  <c r="DR499" i="5" s="1"/>
  <c r="DO723" i="5"/>
  <c r="DR505" i="5"/>
  <c r="DR255" i="5"/>
  <c r="DJ127" i="5"/>
  <c r="DJ581" i="5"/>
  <c r="DJ575" i="5"/>
  <c r="DJ189" i="5"/>
  <c r="DJ54" i="5"/>
  <c r="DJ579" i="5"/>
  <c r="DJ500" i="5"/>
  <c r="DJ574" i="5"/>
  <c r="DJ537" i="5"/>
  <c r="DM357" i="5"/>
  <c r="DO682" i="5"/>
  <c r="DO575" i="5"/>
  <c r="DO467" i="5"/>
  <c r="DO577" i="5"/>
  <c r="DO540" i="5"/>
  <c r="DR583" i="5"/>
  <c r="DJ464" i="5"/>
  <c r="DJ391" i="5"/>
  <c r="DJ463" i="5"/>
  <c r="DJ53" i="5"/>
  <c r="DJ129" i="5"/>
  <c r="DJ723" i="5"/>
  <c r="DJ429" i="5"/>
  <c r="DJ426" i="5"/>
  <c r="DJ89" i="5"/>
  <c r="DM89" i="5" s="1"/>
  <c r="DJ462" i="5"/>
  <c r="DM462" i="5" s="1"/>
  <c r="DM425" i="5"/>
  <c r="DM542" i="5"/>
  <c r="DM32" i="5"/>
  <c r="DO382" i="5"/>
  <c r="DJ566" i="5"/>
  <c r="DJ527" i="5"/>
  <c r="DJ530" i="5"/>
  <c r="DJ119" i="5"/>
  <c r="DJ422" i="5"/>
  <c r="DO490" i="5"/>
  <c r="DO572" i="5"/>
  <c r="DO84" i="5"/>
  <c r="DO424" i="5"/>
  <c r="DO218" i="5"/>
  <c r="DO157" i="5"/>
  <c r="DJ709" i="5"/>
  <c r="DJ750" i="5"/>
  <c r="DJ604" i="5"/>
  <c r="DJ219" i="5"/>
  <c r="DJ221" i="5"/>
  <c r="DO753" i="5"/>
  <c r="DJ567" i="5"/>
  <c r="DJ121" i="5"/>
  <c r="DO713" i="5"/>
  <c r="DJ748" i="5"/>
  <c r="DJ605" i="5"/>
  <c r="DO564" i="5"/>
  <c r="DJ157" i="5"/>
  <c r="DJ159" i="5"/>
  <c r="DJ228" i="5"/>
  <c r="DJ456" i="5"/>
  <c r="DO117" i="5"/>
  <c r="DO752" i="5"/>
  <c r="DO82" i="5"/>
  <c r="DO619" i="5"/>
  <c r="DO421" i="5"/>
  <c r="DO452" i="5"/>
  <c r="DO708" i="5"/>
  <c r="DO613" i="5"/>
  <c r="DO81" i="5"/>
  <c r="DR81" i="5" s="1"/>
  <c r="DO671" i="5"/>
  <c r="DJ608" i="5"/>
  <c r="DJ421" i="5"/>
  <c r="DJ454" i="5"/>
  <c r="DM454" i="5" s="1"/>
  <c r="DJ752" i="5"/>
  <c r="DJ386" i="5"/>
  <c r="DO535" i="5"/>
  <c r="DO529" i="5"/>
  <c r="DO214" i="5"/>
  <c r="DO611" i="5"/>
  <c r="DO384" i="5"/>
  <c r="DJ86" i="5"/>
  <c r="DJ125" i="5"/>
  <c r="DJ88" i="5"/>
  <c r="DJ420" i="5"/>
  <c r="DO494" i="5"/>
  <c r="DJ710" i="5"/>
  <c r="DM710" i="5" s="1"/>
  <c r="DJ679" i="5"/>
  <c r="DJ754" i="5"/>
  <c r="DJ81" i="5"/>
  <c r="DM81" i="5" s="1"/>
  <c r="DO156" i="5"/>
  <c r="DJ214" i="5"/>
  <c r="DJ564" i="5"/>
  <c r="DJ455" i="5"/>
  <c r="DJ116" i="5"/>
  <c r="DJ385" i="5"/>
  <c r="DJ751" i="5"/>
  <c r="DO226" i="5"/>
  <c r="DO533" i="5"/>
  <c r="DO530" i="5"/>
  <c r="DO121" i="5"/>
  <c r="DO418" i="5"/>
  <c r="DO88" i="5"/>
  <c r="DO527" i="5"/>
  <c r="DO489" i="5"/>
  <c r="DO493" i="5"/>
  <c r="DJ220" i="5"/>
  <c r="DO492" i="5"/>
  <c r="DO160" i="5"/>
  <c r="DJ677" i="5"/>
  <c r="DJ224" i="5"/>
  <c r="DO607" i="5"/>
  <c r="DJ387" i="5"/>
  <c r="DJ612" i="5"/>
  <c r="DJ419" i="5"/>
  <c r="DJ453" i="5"/>
  <c r="DJ160" i="5"/>
  <c r="DJ534" i="5"/>
  <c r="DO677" i="5"/>
  <c r="DO617" i="5"/>
  <c r="DO606" i="5"/>
  <c r="DR606" i="5" s="1"/>
  <c r="DO716" i="5"/>
  <c r="DO609" i="5"/>
  <c r="DJ154" i="5"/>
  <c r="DJ161" i="5"/>
  <c r="DO381" i="5"/>
  <c r="DJ746" i="5"/>
  <c r="DJ79" i="5"/>
  <c r="DJ223" i="5"/>
  <c r="DJ619" i="5"/>
  <c r="DJ572" i="5"/>
  <c r="DJ571" i="5"/>
  <c r="DJ418" i="5"/>
  <c r="DJ616" i="5"/>
  <c r="DJ569" i="5"/>
  <c r="DO155" i="5"/>
  <c r="DJ83" i="5"/>
  <c r="DJ498" i="5"/>
  <c r="DJ84" i="5"/>
  <c r="DJ615" i="5"/>
  <c r="DO673" i="5"/>
  <c r="DR673" i="5" s="1"/>
  <c r="DJ618" i="5"/>
  <c r="DO223" i="5"/>
  <c r="DO386" i="5"/>
  <c r="DO679" i="5"/>
  <c r="DO378" i="5"/>
  <c r="DO120" i="5"/>
  <c r="DO227" i="5"/>
  <c r="DO161" i="5"/>
  <c r="DO676" i="5"/>
  <c r="DJ231" i="5"/>
  <c r="DM231" i="5" s="1"/>
  <c r="DO571" i="5"/>
  <c r="DJ424" i="5"/>
  <c r="DJ609" i="5"/>
  <c r="DJ416" i="5"/>
  <c r="DJ217" i="5"/>
  <c r="DO124" i="5"/>
  <c r="DO567" i="5"/>
  <c r="DJ620" i="5"/>
  <c r="DO717" i="5"/>
  <c r="DJ218" i="5"/>
  <c r="DJ222" i="5"/>
  <c r="DO565" i="5"/>
  <c r="DJ672" i="5"/>
  <c r="DJ490" i="5"/>
  <c r="DO221" i="5"/>
  <c r="DO615" i="5"/>
  <c r="DO419" i="5"/>
  <c r="DO79" i="5"/>
  <c r="DO116" i="5"/>
  <c r="DJ458" i="5"/>
  <c r="DJ713" i="5"/>
  <c r="DJ417" i="5"/>
  <c r="DM417" i="5" s="1"/>
  <c r="DO608" i="5"/>
  <c r="DO746" i="5"/>
  <c r="DJ671" i="5"/>
  <c r="DJ716" i="5"/>
  <c r="DO220" i="5"/>
  <c r="DJ226" i="5"/>
  <c r="DJ213" i="5"/>
  <c r="DJ606" i="5"/>
  <c r="DM606" i="5" s="1"/>
  <c r="DO751" i="5"/>
  <c r="DJ675" i="5"/>
  <c r="DJ533" i="5"/>
  <c r="DJ87" i="5"/>
  <c r="DO423" i="5"/>
  <c r="DJ215" i="5"/>
  <c r="DJ381" i="5"/>
  <c r="DO415" i="5"/>
  <c r="DJ708" i="5"/>
  <c r="DJ423" i="5"/>
  <c r="DJ674" i="5"/>
  <c r="DO158" i="5"/>
  <c r="DO709" i="5"/>
  <c r="DO86" i="5"/>
  <c r="DO604" i="5"/>
  <c r="DO162" i="5"/>
  <c r="DO675" i="5"/>
  <c r="DO460" i="5"/>
  <c r="DO385" i="5"/>
  <c r="DM471" i="5"/>
  <c r="DM638" i="5"/>
  <c r="DO754" i="5"/>
  <c r="DJ37" i="5"/>
  <c r="DJ384" i="5"/>
  <c r="DJ745" i="5"/>
  <c r="DO153" i="5"/>
  <c r="DO379" i="5"/>
  <c r="DJ153" i="5"/>
  <c r="DJ162" i="5"/>
  <c r="DO526" i="5"/>
  <c r="DO215" i="5"/>
  <c r="DR215" i="5" s="1"/>
  <c r="DO123" i="5"/>
  <c r="DJ383" i="5"/>
  <c r="DJ117" i="5"/>
  <c r="DO228" i="5"/>
  <c r="DO566" i="5"/>
  <c r="DJ610" i="5"/>
  <c r="DJ124" i="5"/>
  <c r="DO749" i="5"/>
  <c r="DO387" i="5"/>
  <c r="DO674" i="5"/>
  <c r="DO748" i="5"/>
  <c r="DO711" i="5"/>
  <c r="DJ712" i="5"/>
  <c r="DJ225" i="5"/>
  <c r="DJ611" i="5"/>
  <c r="DJ614" i="5"/>
  <c r="DO680" i="5"/>
  <c r="DJ715" i="5"/>
  <c r="DJ673" i="5"/>
  <c r="DM673" i="5" s="1"/>
  <c r="DJ460" i="5"/>
  <c r="DO747" i="5"/>
  <c r="DR747" i="5" s="1"/>
  <c r="DJ459" i="5"/>
  <c r="DJ496" i="5"/>
  <c r="DO605" i="5"/>
  <c r="DJ461" i="5"/>
  <c r="DO498" i="5"/>
  <c r="DJ493" i="5"/>
  <c r="DJ380" i="5"/>
  <c r="DM380" i="5" s="1"/>
  <c r="DJ156" i="5"/>
  <c r="DO459" i="5"/>
  <c r="DO750" i="5"/>
  <c r="DO497" i="5"/>
  <c r="DO216" i="5"/>
  <c r="DO125" i="5"/>
  <c r="DO455" i="5"/>
  <c r="DO531" i="5"/>
  <c r="DO213" i="5"/>
  <c r="DO714" i="5"/>
  <c r="DO420" i="5"/>
  <c r="DJ570" i="5"/>
  <c r="DJ158" i="5"/>
  <c r="DO491" i="5"/>
  <c r="DR491" i="5" s="1"/>
  <c r="DJ747" i="5"/>
  <c r="DM747" i="5" s="1"/>
  <c r="DJ617" i="5"/>
  <c r="DJ711" i="5"/>
  <c r="DJ492" i="5"/>
  <c r="DJ563" i="5"/>
  <c r="DJ122" i="5"/>
  <c r="DO610" i="5"/>
  <c r="DO118" i="5"/>
  <c r="DR118" i="5" s="1"/>
  <c r="DO715" i="5"/>
  <c r="DO122" i="5"/>
  <c r="DO563" i="5"/>
  <c r="DO119" i="5"/>
  <c r="DJ568" i="5"/>
  <c r="DJ489" i="5"/>
  <c r="DO495" i="5"/>
  <c r="DJ678" i="5"/>
  <c r="DJ216" i="5"/>
  <c r="DO570" i="5"/>
  <c r="DO458" i="5"/>
  <c r="DO532" i="5"/>
  <c r="DO496" i="5"/>
  <c r="DO453" i="5"/>
  <c r="DJ457" i="5"/>
  <c r="DJ607" i="5"/>
  <c r="DJ120" i="5"/>
  <c r="DJ491" i="5"/>
  <c r="DM491" i="5" s="1"/>
  <c r="DJ452" i="5"/>
  <c r="DJ565" i="5"/>
  <c r="DO712" i="5"/>
  <c r="DJ532" i="5"/>
  <c r="DJ494" i="5"/>
  <c r="DJ379" i="5"/>
  <c r="DJ717" i="5"/>
  <c r="DJ155" i="5"/>
  <c r="DM155" i="5" s="1"/>
  <c r="DJ529" i="5"/>
  <c r="DJ749" i="5"/>
  <c r="DJ613" i="5"/>
  <c r="DO225" i="5"/>
  <c r="DJ123" i="5"/>
  <c r="DJ497" i="5"/>
  <c r="DJ531" i="5"/>
  <c r="DO154" i="5"/>
  <c r="DO217" i="5"/>
  <c r="DO416" i="5"/>
  <c r="DO618" i="5"/>
  <c r="DO380" i="5"/>
  <c r="DR380" i="5" s="1"/>
  <c r="DO219" i="5"/>
  <c r="DO222" i="5"/>
  <c r="DO80" i="5"/>
  <c r="DO534" i="5"/>
  <c r="DO569" i="5"/>
  <c r="DR357" i="5"/>
  <c r="DJ622" i="5"/>
  <c r="DM499" i="5"/>
  <c r="Q57" i="5"/>
  <c r="CQ156" i="5" s="1"/>
  <c r="CQ576" i="5"/>
  <c r="X126" i="5"/>
  <c r="DE201" i="5" a="1"/>
  <c r="DE201" i="5" s="1"/>
  <c r="AY72" i="5"/>
  <c r="CR576" i="5" s="1"/>
  <c r="CQ574" i="5"/>
  <c r="DE199" i="5" a="1"/>
  <c r="DE199" i="5" s="1"/>
  <c r="DE590" i="5" a="1"/>
  <c r="DE590" i="5" s="1"/>
  <c r="DE223" i="5" a="1"/>
  <c r="DE223" i="5" s="1"/>
  <c r="CQ604" i="5"/>
  <c r="BA72" i="5"/>
  <c r="CR604" i="5" s="1"/>
  <c r="CQ603" i="5"/>
  <c r="DE617" i="5" a="1"/>
  <c r="DE617" i="5" s="1"/>
  <c r="BA71" i="5"/>
  <c r="CR603" i="5" s="1"/>
  <c r="DE592" i="5" a="1"/>
  <c r="DE592" i="5" s="1"/>
  <c r="DE614" i="5" a="1"/>
  <c r="DE614" i="5" s="1"/>
  <c r="CS447" i="5"/>
  <c r="DK371" i="5"/>
  <c r="DK513" i="5"/>
  <c r="DK596" i="5"/>
  <c r="DK66" i="5"/>
  <c r="DK476" i="5"/>
  <c r="DK131" i="5"/>
  <c r="DK701" i="5"/>
  <c r="DK732" i="5"/>
  <c r="DK511" i="5"/>
  <c r="DK481" i="5"/>
  <c r="DK550" i="5"/>
  <c r="DK450" i="5"/>
  <c r="DK475" i="5"/>
  <c r="DM475" i="5" s="1"/>
  <c r="DK518" i="5"/>
  <c r="DK430" i="5"/>
  <c r="DK93" i="5"/>
  <c r="DM93" i="5" s="1"/>
  <c r="DK700" i="5"/>
  <c r="DK151" i="5"/>
  <c r="DK196" i="5"/>
  <c r="DK72" i="5"/>
  <c r="DK519" i="5"/>
  <c r="DK250" i="5"/>
  <c r="DK586" i="5"/>
  <c r="DK94" i="5"/>
  <c r="DK146" i="5"/>
  <c r="DK503" i="5"/>
  <c r="DK738" i="5"/>
  <c r="DM505" i="5"/>
  <c r="DK731" i="5"/>
  <c r="DK244" i="5"/>
  <c r="DK364" i="5"/>
  <c r="DK648" i="5"/>
  <c r="DK114" i="5"/>
  <c r="DK71" i="5"/>
  <c r="DK65" i="5"/>
  <c r="DM65" i="5" s="1"/>
  <c r="DK377" i="5"/>
  <c r="DK504" i="5"/>
  <c r="DK103" i="5"/>
  <c r="DK643" i="5"/>
  <c r="DK102" i="5"/>
  <c r="DK356" i="5"/>
  <c r="DK663" i="5"/>
  <c r="DK77" i="5"/>
  <c r="DK109" i="5"/>
  <c r="DK723" i="5"/>
  <c r="DK669" i="5"/>
  <c r="DK685" i="5"/>
  <c r="DK130" i="5"/>
  <c r="DM130" i="5" s="1"/>
  <c r="DK633" i="5"/>
  <c r="DK635" i="5"/>
  <c r="DK641" i="5"/>
  <c r="DK370" i="5"/>
  <c r="DK365" i="5"/>
  <c r="DK525" i="5"/>
  <c r="DK541" i="5"/>
  <c r="DK743" i="5"/>
  <c r="DK561" i="5"/>
  <c r="DK439" i="5"/>
  <c r="DK205" i="5"/>
  <c r="DK401" i="5"/>
  <c r="DK706" i="5"/>
  <c r="DK487" i="5"/>
  <c r="DK438" i="5"/>
  <c r="DK408" i="5"/>
  <c r="DK139" i="5"/>
  <c r="DK664" i="5"/>
  <c r="DK101" i="5"/>
  <c r="DK251" i="5"/>
  <c r="DM251" i="5" s="1"/>
  <c r="DK236" i="5"/>
  <c r="DK429" i="5"/>
  <c r="DM429" i="5" s="1"/>
  <c r="DK152" i="5"/>
  <c r="DK392" i="5"/>
  <c r="DK243" i="5"/>
  <c r="DK242" i="5"/>
  <c r="DK587" i="5"/>
  <c r="DK562" i="5"/>
  <c r="DK474" i="5"/>
  <c r="DK444" i="5"/>
  <c r="DK184" i="5"/>
  <c r="DK575" i="5"/>
  <c r="DK722" i="5"/>
  <c r="DK445" i="5"/>
  <c r="DK108" i="5"/>
  <c r="DK451" i="5"/>
  <c r="DK467" i="5"/>
  <c r="DK540" i="5"/>
  <c r="DM540" i="5" s="1"/>
  <c r="DK670" i="5"/>
  <c r="DK185" i="5"/>
  <c r="DK744" i="5"/>
  <c r="DK402" i="5"/>
  <c r="DK626" i="5"/>
  <c r="DK657" i="5"/>
  <c r="DM657" i="5" s="1"/>
  <c r="DK627" i="5"/>
  <c r="DK556" i="5"/>
  <c r="DK695" i="5"/>
  <c r="DK78" i="5"/>
  <c r="DK649" i="5"/>
  <c r="DK686" i="5"/>
  <c r="DK466" i="5"/>
  <c r="DR132" i="5"/>
  <c r="DK658" i="5"/>
  <c r="DK407" i="5"/>
  <c r="DK437" i="5"/>
  <c r="DK400" i="5"/>
  <c r="DK656" i="5"/>
  <c r="DK138" i="5"/>
  <c r="DK694" i="5"/>
  <c r="DM694" i="5" s="1"/>
  <c r="DK548" i="5"/>
  <c r="DK625" i="5"/>
  <c r="DK413" i="5"/>
  <c r="DK115" i="5"/>
  <c r="DK482" i="5"/>
  <c r="DK707" i="5"/>
  <c r="DK488" i="5"/>
  <c r="DK576" i="5"/>
  <c r="DK549" i="5"/>
  <c r="DK524" i="5"/>
  <c r="DK737" i="5"/>
  <c r="DK56" i="5"/>
  <c r="DK512" i="5"/>
  <c r="DK355" i="5"/>
  <c r="DJ230" i="5"/>
  <c r="DK637" i="9" a="1"/>
  <c r="DK637" i="9" s="1"/>
  <c r="CG637" i="9" s="1"/>
  <c r="GQ448" i="9"/>
  <c r="GR448" i="9" s="1"/>
  <c r="GS448" i="9" s="1"/>
  <c r="GT448" i="9" s="1"/>
  <c r="GU448" i="9" s="1"/>
  <c r="GV448" i="9" s="1"/>
  <c r="CD657" i="9"/>
  <c r="GL657" i="9"/>
  <c r="GQ657" i="9" s="1"/>
  <c r="GR657" i="9" s="1"/>
  <c r="GS657" i="9" s="1"/>
  <c r="GT657" i="9" s="1"/>
  <c r="GU657" i="9" s="1"/>
  <c r="GV657" i="9" s="1"/>
  <c r="GM682" i="9"/>
  <c r="HG682" i="9" s="1"/>
  <c r="CE682" i="9"/>
  <c r="HB682" i="9"/>
  <c r="HD682" i="9" s="1"/>
  <c r="CB682" i="9"/>
  <c r="DK673" i="9" a="1"/>
  <c r="DK673" i="9" s="1"/>
  <c r="CG673" i="9" s="1"/>
  <c r="HK387" i="9"/>
  <c r="GY673" i="9"/>
  <c r="GZ673" i="9" s="1"/>
  <c r="HH673" i="9" s="1"/>
  <c r="GW383" i="9"/>
  <c r="HF383" i="9" s="1"/>
  <c r="CD383" i="9" s="1"/>
  <c r="DO383" i="9" s="1" a="1"/>
  <c r="DO383" i="9" s="1"/>
  <c r="DP383" i="9" s="1"/>
  <c r="DL383" i="9" s="1" a="1"/>
  <c r="DL383" i="9" s="1"/>
  <c r="GY445" i="9"/>
  <c r="GZ445" i="9" s="1"/>
  <c r="HH445" i="9" s="1"/>
  <c r="CF445" i="9" s="1"/>
  <c r="HB649" i="9"/>
  <c r="HD649" i="9" s="1"/>
  <c r="CB649" i="9"/>
  <c r="CD631" i="9"/>
  <c r="DK631" i="9" s="1" a="1"/>
  <c r="DK631" i="9" s="1"/>
  <c r="CG631" i="9" s="1"/>
  <c r="GL631" i="9"/>
  <c r="GQ631" i="9" s="1"/>
  <c r="GR631" i="9" s="1"/>
  <c r="GS631" i="9" s="1"/>
  <c r="GT631" i="9" s="1"/>
  <c r="GU631" i="9" s="1"/>
  <c r="GV631" i="9" s="1"/>
  <c r="HB656" i="9"/>
  <c r="HD656" i="9" s="1"/>
  <c r="CB656" i="9"/>
  <c r="GM661" i="9"/>
  <c r="HG661" i="9" s="1"/>
  <c r="CE661" i="9"/>
  <c r="CF687" i="9"/>
  <c r="GN687" i="9"/>
  <c r="GY687" i="9" s="1"/>
  <c r="GZ687" i="9" s="1"/>
  <c r="HH687" i="9" s="1"/>
  <c r="CB668" i="9"/>
  <c r="HB668" i="9"/>
  <c r="HD668" i="9" s="1"/>
  <c r="GK668" i="9"/>
  <c r="HE668" i="9" s="1"/>
  <c r="CC668" i="9"/>
  <c r="GL665" i="9"/>
  <c r="GQ665" i="9" s="1"/>
  <c r="GR665" i="9" s="1"/>
  <c r="GS665" i="9" s="1"/>
  <c r="GT665" i="9" s="1"/>
  <c r="GU665" i="9" s="1"/>
  <c r="GV665" i="9" s="1"/>
  <c r="CD665" i="9"/>
  <c r="GK679" i="9"/>
  <c r="HE679" i="9" s="1"/>
  <c r="CC679" i="9"/>
  <c r="GM672" i="9"/>
  <c r="HG672" i="9" s="1"/>
  <c r="CE672" i="9"/>
  <c r="HB640" i="9"/>
  <c r="HD640" i="9" s="1"/>
  <c r="CB640" i="9"/>
  <c r="DN673" i="9" a="1"/>
  <c r="DN673" i="9" s="1"/>
  <c r="DO673" i="9" a="1"/>
  <c r="DO673" i="9" s="1"/>
  <c r="DP673" i="9" s="1"/>
  <c r="DL673" i="9" s="1" a="1"/>
  <c r="DL673" i="9" s="1"/>
  <c r="GQ443" i="9"/>
  <c r="GR443" i="9" s="1"/>
  <c r="GS443" i="9" s="1"/>
  <c r="GT443" i="9" s="1"/>
  <c r="GU443" i="9" s="1"/>
  <c r="GV443" i="9" s="1"/>
  <c r="GY670" i="9"/>
  <c r="GZ670" i="9"/>
  <c r="HH670" i="9" s="1"/>
  <c r="GL651" i="9"/>
  <c r="GQ651" i="9" s="1"/>
  <c r="GR651" i="9" s="1"/>
  <c r="GS651" i="9" s="1"/>
  <c r="GT651" i="9" s="1"/>
  <c r="GU651" i="9" s="1"/>
  <c r="GV651" i="9" s="1"/>
  <c r="CD651" i="9"/>
  <c r="DM637" i="9" a="1"/>
  <c r="DM637" i="9" s="1"/>
  <c r="DN631" i="9" a="1"/>
  <c r="DN631" i="9" s="1"/>
  <c r="GY443" i="9"/>
  <c r="GZ443" i="9" s="1"/>
  <c r="HH443" i="9" s="1"/>
  <c r="CF443" i="9" s="1"/>
  <c r="CE670" i="9"/>
  <c r="GM670" i="9"/>
  <c r="HG670" i="9" s="1"/>
  <c r="CF658" i="9"/>
  <c r="GN658" i="9"/>
  <c r="GY658" i="9" s="1"/>
  <c r="GZ658" i="9" s="1"/>
  <c r="HH658" i="9" s="1"/>
  <c r="GL661" i="9"/>
  <c r="GQ661" i="9" s="1"/>
  <c r="GR661" i="9" s="1"/>
  <c r="GS661" i="9" s="1"/>
  <c r="GT661" i="9" s="1"/>
  <c r="GU661" i="9" s="1"/>
  <c r="GV661" i="9" s="1"/>
  <c r="CD661" i="9"/>
  <c r="DM673" i="9" a="1"/>
  <c r="DM673" i="9" s="1"/>
  <c r="DO637" i="9" a="1"/>
  <c r="DO637" i="9" s="1"/>
  <c r="DP637" i="9" s="1"/>
  <c r="DL637" i="9" s="1" a="1"/>
  <c r="DL637" i="9" s="1"/>
  <c r="CC681" i="9"/>
  <c r="GK681" i="9"/>
  <c r="HE681" i="9" s="1"/>
  <c r="CD676" i="9"/>
  <c r="GL676" i="9"/>
  <c r="GQ676" i="9" s="1"/>
  <c r="GR676" i="9" s="1"/>
  <c r="GS676" i="9" s="1"/>
  <c r="GT676" i="9" s="1"/>
  <c r="GU676" i="9" s="1"/>
  <c r="GV676" i="9" s="1"/>
  <c r="HB634" i="9"/>
  <c r="HD634" i="9" s="1"/>
  <c r="CB634" i="9"/>
  <c r="GK624" i="9"/>
  <c r="HE624" i="9" s="1"/>
  <c r="CC624" i="9"/>
  <c r="CB639" i="9"/>
  <c r="HB639" i="9"/>
  <c r="HD639" i="9" s="1"/>
  <c r="GN646" i="9"/>
  <c r="GY646" i="9" s="1"/>
  <c r="GZ646" i="9" s="1"/>
  <c r="HH646" i="9" s="1"/>
  <c r="CF646" i="9"/>
  <c r="HF127" i="9"/>
  <c r="GQ127" i="9"/>
  <c r="GR127" i="9" s="1"/>
  <c r="GS127" i="9" s="1"/>
  <c r="GT127" i="9" s="1"/>
  <c r="GU127" i="9" s="1"/>
  <c r="GV127" i="9" s="1"/>
  <c r="CE638" i="9"/>
  <c r="GM638" i="9"/>
  <c r="HG638" i="9" s="1"/>
  <c r="GN681" i="9"/>
  <c r="GY681" i="9" s="1"/>
  <c r="GZ681" i="9" s="1"/>
  <c r="HH681" i="9" s="1"/>
  <c r="CF681" i="9"/>
  <c r="CE671" i="9"/>
  <c r="GM671" i="9"/>
  <c r="HG671" i="9" s="1"/>
  <c r="GN666" i="9"/>
  <c r="GY666" i="9" s="1"/>
  <c r="GZ666" i="9" s="1"/>
  <c r="HH666" i="9" s="1"/>
  <c r="CF666" i="9"/>
  <c r="HF88" i="9"/>
  <c r="GQ88" i="9"/>
  <c r="GR88" i="9" s="1"/>
  <c r="GS88" i="9" s="1"/>
  <c r="GT88" i="9" s="1"/>
  <c r="GU88" i="9" s="1"/>
  <c r="GV88" i="9" s="1"/>
  <c r="GW88" i="9" s="1"/>
  <c r="HF121" i="9"/>
  <c r="GQ121" i="9"/>
  <c r="GR121" i="9" s="1"/>
  <c r="GS121" i="9" s="1"/>
  <c r="GT121" i="9" s="1"/>
  <c r="GU121" i="9" s="1"/>
  <c r="GV121" i="9" s="1"/>
  <c r="GY93" i="9"/>
  <c r="GZ93" i="9" s="1"/>
  <c r="HH93" i="9"/>
  <c r="GY101" i="9"/>
  <c r="GZ101" i="9" s="1"/>
  <c r="HH101" i="9"/>
  <c r="HH117" i="9"/>
  <c r="GY117" i="9"/>
  <c r="GZ117" i="9" s="1"/>
  <c r="GQ186" i="9"/>
  <c r="GW96" i="9"/>
  <c r="GW470" i="9"/>
  <c r="HF470" i="9" s="1"/>
  <c r="GQ117" i="9"/>
  <c r="GR117" i="9" s="1"/>
  <c r="GS117" i="9" s="1"/>
  <c r="GT117" i="9" s="1"/>
  <c r="GU117" i="9" s="1"/>
  <c r="GV117" i="9" s="1"/>
  <c r="GR186" i="9"/>
  <c r="GS186" i="9" s="1"/>
  <c r="GT186" i="9" s="1"/>
  <c r="GU186" i="9" s="1"/>
  <c r="GV186" i="9" s="1"/>
  <c r="GW186" i="9" s="1"/>
  <c r="HF186" i="9" s="1"/>
  <c r="CD186" i="9" s="1"/>
  <c r="GW495" i="9"/>
  <c r="HF495" i="9" s="1"/>
  <c r="GW603" i="9"/>
  <c r="HF603" i="9" s="1"/>
  <c r="GR156" i="9"/>
  <c r="GS156" i="9" s="1"/>
  <c r="GT156" i="9" s="1"/>
  <c r="GU156" i="9" s="1"/>
  <c r="GV156" i="9" s="1"/>
  <c r="GY156" i="9"/>
  <c r="GZ156" i="9" s="1"/>
  <c r="HH156" i="9" s="1"/>
  <c r="CF156" i="9" s="1"/>
  <c r="GZ142" i="9"/>
  <c r="HH142" i="9" s="1"/>
  <c r="CF142" i="9" s="1"/>
  <c r="GQ201" i="9"/>
  <c r="GR201" i="9" s="1"/>
  <c r="GS201" i="9" s="1"/>
  <c r="GT201" i="9" s="1"/>
  <c r="GU201" i="9" s="1"/>
  <c r="GV201" i="9" s="1"/>
  <c r="GY196" i="9"/>
  <c r="GZ196" i="9" s="1"/>
  <c r="HH196" i="9" s="1"/>
  <c r="CF196" i="9" s="1"/>
  <c r="GQ190" i="9"/>
  <c r="GR190" i="9" s="1"/>
  <c r="GS190" i="9" s="1"/>
  <c r="GT190" i="9" s="1"/>
  <c r="GU190" i="9" s="1"/>
  <c r="GV190" i="9" s="1"/>
  <c r="GQ167" i="9"/>
  <c r="GR167" i="9" s="1"/>
  <c r="GS167" i="9" s="1"/>
  <c r="GT167" i="9" s="1"/>
  <c r="GU167" i="9" s="1"/>
  <c r="GV167" i="9" s="1"/>
  <c r="FZ499" i="9"/>
  <c r="GA499" i="9" s="1"/>
  <c r="GB499" i="9" s="1"/>
  <c r="GC499" i="9" s="1"/>
  <c r="GD499" i="9" s="1"/>
  <c r="GE499" i="9" s="1"/>
  <c r="GF499" i="9" s="1"/>
  <c r="GG499" i="9" s="1"/>
  <c r="GH499" i="9" s="1"/>
  <c r="GI499" i="9" s="1"/>
  <c r="BZ499" i="9" s="1"/>
  <c r="FT499" i="9" s="1"/>
  <c r="CA499" i="9" s="1"/>
  <c r="FZ383" i="9"/>
  <c r="GA383" i="9" s="1"/>
  <c r="GB383" i="9" s="1"/>
  <c r="GC383" i="9" s="1"/>
  <c r="GD383" i="9" s="1"/>
  <c r="GE383" i="9" s="1"/>
  <c r="GF383" i="9" s="1"/>
  <c r="GG383" i="9" s="1"/>
  <c r="GH383" i="9" s="1"/>
  <c r="GI383" i="9" s="1"/>
  <c r="BZ383" i="9" s="1"/>
  <c r="FT383" i="9" s="1"/>
  <c r="CA383" i="9" s="1"/>
  <c r="FZ314" i="9"/>
  <c r="GA314" i="9" s="1"/>
  <c r="GB314" i="9" s="1"/>
  <c r="GC314" i="9" s="1"/>
  <c r="GD314" i="9" s="1"/>
  <c r="GE314" i="9" s="1"/>
  <c r="GF314" i="9" s="1"/>
  <c r="GG314" i="9" s="1"/>
  <c r="GH314" i="9" s="1"/>
  <c r="GI314" i="9" s="1"/>
  <c r="BZ314" i="9" s="1"/>
  <c r="FZ256" i="9"/>
  <c r="GA256" i="9" s="1"/>
  <c r="GB256" i="9" s="1"/>
  <c r="GC256" i="9" s="1"/>
  <c r="GD256" i="9" s="1"/>
  <c r="GE256" i="9" s="1"/>
  <c r="GF256" i="9" s="1"/>
  <c r="GG256" i="9" s="1"/>
  <c r="GH256" i="9" s="1"/>
  <c r="GQ256" i="9"/>
  <c r="GR256" i="9" s="1"/>
  <c r="GS256" i="9" s="1"/>
  <c r="GT256" i="9" s="1"/>
  <c r="GU256" i="9" s="1"/>
  <c r="GV256" i="9" s="1"/>
  <c r="FZ205" i="9"/>
  <c r="GA205" i="9" s="1"/>
  <c r="GB205" i="9" s="1"/>
  <c r="GC205" i="9" s="1"/>
  <c r="GD205" i="9" s="1"/>
  <c r="GE205" i="9" s="1"/>
  <c r="GF205" i="9" s="1"/>
  <c r="GG205" i="9" s="1"/>
  <c r="GH205" i="9" s="1"/>
  <c r="FZ167" i="9"/>
  <c r="GA167" i="9" s="1"/>
  <c r="GB167" i="9" s="1"/>
  <c r="GC167" i="9" s="1"/>
  <c r="GD167" i="9" s="1"/>
  <c r="GE167" i="9" s="1"/>
  <c r="GF167" i="9" s="1"/>
  <c r="GG167" i="9" s="1"/>
  <c r="GH167" i="9" s="1"/>
  <c r="GI167" i="9" s="1"/>
  <c r="BZ167" i="9" s="1"/>
  <c r="FZ154" i="9"/>
  <c r="GA154" i="9" s="1"/>
  <c r="GB154" i="9" s="1"/>
  <c r="GC154" i="9" s="1"/>
  <c r="GD154" i="9" s="1"/>
  <c r="GE154" i="9" s="1"/>
  <c r="GF154" i="9" s="1"/>
  <c r="GG154" i="9" s="1"/>
  <c r="GH154" i="9" s="1"/>
  <c r="AZ272" i="9"/>
  <c r="BW629" i="9" s="1" a="1"/>
  <c r="BW629" i="9" s="1"/>
  <c r="GQ181" i="9"/>
  <c r="GR181" i="9" s="1"/>
  <c r="GS181" i="9" s="1"/>
  <c r="GT181" i="9" s="1"/>
  <c r="GU181" i="9" s="1"/>
  <c r="GV181" i="9" s="1"/>
  <c r="GQ142" i="9"/>
  <c r="GR142" i="9" s="1"/>
  <c r="GS142" i="9" s="1"/>
  <c r="GT142" i="9" s="1"/>
  <c r="GU142" i="9" s="1"/>
  <c r="GV142" i="9" s="1"/>
  <c r="GQ136" i="9"/>
  <c r="GR136" i="9" s="1"/>
  <c r="GS136" i="9" s="1"/>
  <c r="GT136" i="9" s="1"/>
  <c r="GU136" i="9" s="1"/>
  <c r="GV136" i="9" s="1"/>
  <c r="FZ529" i="9"/>
  <c r="GA529" i="9" s="1"/>
  <c r="GB529" i="9" s="1"/>
  <c r="GC529" i="9" s="1"/>
  <c r="GD529" i="9" s="1"/>
  <c r="GE529" i="9" s="1"/>
  <c r="GF529" i="9" s="1"/>
  <c r="GG529" i="9" s="1"/>
  <c r="GH529" i="9" s="1"/>
  <c r="GI529" i="9" s="1"/>
  <c r="BZ529" i="9" s="1"/>
  <c r="FT529" i="9" s="1"/>
  <c r="CA529" i="9" s="1"/>
  <c r="FZ524" i="9"/>
  <c r="GA524" i="9" s="1"/>
  <c r="GB524" i="9" s="1"/>
  <c r="GC524" i="9" s="1"/>
  <c r="GD524" i="9" s="1"/>
  <c r="GE524" i="9" s="1"/>
  <c r="GF524" i="9" s="1"/>
  <c r="GG524" i="9" s="1"/>
  <c r="GH524" i="9" s="1"/>
  <c r="GI524" i="9" s="1"/>
  <c r="BZ524" i="9" s="1"/>
  <c r="FZ517" i="9"/>
  <c r="GA517" i="9" s="1"/>
  <c r="GB517" i="9" s="1"/>
  <c r="GC517" i="9" s="1"/>
  <c r="GD517" i="9" s="1"/>
  <c r="GE517" i="9" s="1"/>
  <c r="GF517" i="9" s="1"/>
  <c r="GG517" i="9" s="1"/>
  <c r="GH517" i="9" s="1"/>
  <c r="GI517" i="9" s="1"/>
  <c r="BZ517" i="9" s="1"/>
  <c r="FT517" i="9" s="1"/>
  <c r="CA517" i="9" s="1"/>
  <c r="FZ512" i="9"/>
  <c r="GA512" i="9" s="1"/>
  <c r="GB512" i="9" s="1"/>
  <c r="GC512" i="9" s="1"/>
  <c r="GD512" i="9" s="1"/>
  <c r="GE512" i="9" s="1"/>
  <c r="GF512" i="9" s="1"/>
  <c r="GG512" i="9" s="1"/>
  <c r="GH512" i="9" s="1"/>
  <c r="GI512" i="9" s="1"/>
  <c r="BZ512" i="9" s="1"/>
  <c r="FT512" i="9" s="1"/>
  <c r="CA512" i="9" s="1"/>
  <c r="GQ170" i="9"/>
  <c r="GR170" i="9" s="1"/>
  <c r="GS170" i="9" s="1"/>
  <c r="GT170" i="9" s="1"/>
  <c r="GU170" i="9" s="1"/>
  <c r="GV170" i="9" s="1"/>
  <c r="GY197" i="9"/>
  <c r="GZ197" i="9" s="1"/>
  <c r="HH197" i="9" s="1"/>
  <c r="CF197" i="9" s="1"/>
  <c r="GY193" i="9"/>
  <c r="GZ193" i="9" s="1"/>
  <c r="HH193" i="9" s="1"/>
  <c r="CF193" i="9" s="1"/>
  <c r="GQ191" i="9"/>
  <c r="GR191" i="9" s="1"/>
  <c r="GS191" i="9" s="1"/>
  <c r="GT191" i="9" s="1"/>
  <c r="GU191" i="9" s="1"/>
  <c r="GV191" i="9" s="1"/>
  <c r="GY183" i="9"/>
  <c r="GZ183" i="9" s="1"/>
  <c r="HH183" i="9" s="1"/>
  <c r="CF183" i="9" s="1"/>
  <c r="GY171" i="9"/>
  <c r="GZ171" i="9" s="1"/>
  <c r="HH171" i="9" s="1"/>
  <c r="CF171" i="9" s="1"/>
  <c r="FZ646" i="9"/>
  <c r="GA646" i="9" s="1"/>
  <c r="GB646" i="9" s="1"/>
  <c r="GC646" i="9" s="1"/>
  <c r="GD646" i="9" s="1"/>
  <c r="GE646" i="9" s="1"/>
  <c r="GF646" i="9" s="1"/>
  <c r="GG646" i="9" s="1"/>
  <c r="GH646" i="9" s="1"/>
  <c r="GI646" i="9" s="1"/>
  <c r="BZ646" i="9" s="1"/>
  <c r="FZ633" i="9"/>
  <c r="GA633" i="9" s="1"/>
  <c r="GB633" i="9" s="1"/>
  <c r="GC633" i="9" s="1"/>
  <c r="GD633" i="9" s="1"/>
  <c r="GE633" i="9" s="1"/>
  <c r="GF633" i="9" s="1"/>
  <c r="GG633" i="9" s="1"/>
  <c r="GH633" i="9" s="1"/>
  <c r="GI633" i="9" s="1"/>
  <c r="BZ633" i="9" s="1"/>
  <c r="FZ619" i="9"/>
  <c r="GA619" i="9" s="1"/>
  <c r="GB619" i="9" s="1"/>
  <c r="GC619" i="9" s="1"/>
  <c r="GD619" i="9" s="1"/>
  <c r="GE619" i="9" s="1"/>
  <c r="GF619" i="9" s="1"/>
  <c r="GG619" i="9" s="1"/>
  <c r="FZ540" i="9"/>
  <c r="GA540" i="9" s="1"/>
  <c r="GB540" i="9" s="1"/>
  <c r="GC540" i="9" s="1"/>
  <c r="GD540" i="9" s="1"/>
  <c r="GE540" i="9" s="1"/>
  <c r="GF540" i="9" s="1"/>
  <c r="GG540" i="9" s="1"/>
  <c r="GH540" i="9" s="1"/>
  <c r="GI540" i="9" s="1"/>
  <c r="BZ540" i="9" s="1"/>
  <c r="FT540" i="9" s="1"/>
  <c r="CA540" i="9" s="1"/>
  <c r="FZ534" i="9"/>
  <c r="GA534" i="9" s="1"/>
  <c r="GB534" i="9" s="1"/>
  <c r="GC534" i="9" s="1"/>
  <c r="GD534" i="9" s="1"/>
  <c r="GE534" i="9" s="1"/>
  <c r="GF534" i="9" s="1"/>
  <c r="GG534" i="9" s="1"/>
  <c r="GH534" i="9" s="1"/>
  <c r="GI534" i="9" s="1"/>
  <c r="BZ534" i="9" s="1"/>
  <c r="FT534" i="9" s="1"/>
  <c r="CA534" i="9" s="1"/>
  <c r="GY184" i="9"/>
  <c r="GZ184" i="9" s="1"/>
  <c r="HH184" i="9" s="1"/>
  <c r="CF184" i="9" s="1"/>
  <c r="GY173" i="9"/>
  <c r="GZ173" i="9" s="1"/>
  <c r="HH173" i="9" s="1"/>
  <c r="CF173" i="9" s="1"/>
  <c r="GQ160" i="9"/>
  <c r="GR160" i="9" s="1"/>
  <c r="GS160" i="9" s="1"/>
  <c r="GT160" i="9" s="1"/>
  <c r="GU160" i="9" s="1"/>
  <c r="GV160" i="9" s="1"/>
  <c r="GQ145" i="9"/>
  <c r="GR145" i="9" s="1"/>
  <c r="GS145" i="9" s="1"/>
  <c r="GT145" i="9" s="1"/>
  <c r="GU145" i="9" s="1"/>
  <c r="GV145" i="9" s="1"/>
  <c r="FZ656" i="9"/>
  <c r="GA656" i="9" s="1"/>
  <c r="GB656" i="9" s="1"/>
  <c r="GC656" i="9" s="1"/>
  <c r="GD656" i="9" s="1"/>
  <c r="GE656" i="9" s="1"/>
  <c r="GF656" i="9" s="1"/>
  <c r="GG656" i="9" s="1"/>
  <c r="GH656" i="9" s="1"/>
  <c r="GI656" i="9" s="1"/>
  <c r="BZ656" i="9" s="1"/>
  <c r="FZ639" i="9"/>
  <c r="GA639" i="9" s="1"/>
  <c r="GB639" i="9" s="1"/>
  <c r="GC639" i="9" s="1"/>
  <c r="GD639" i="9" s="1"/>
  <c r="GE639" i="9" s="1"/>
  <c r="GF639" i="9" s="1"/>
  <c r="GG639" i="9" s="1"/>
  <c r="FZ570" i="9"/>
  <c r="GA570" i="9" s="1"/>
  <c r="GB570" i="9" s="1"/>
  <c r="GC570" i="9" s="1"/>
  <c r="GD570" i="9" s="1"/>
  <c r="GE570" i="9" s="1"/>
  <c r="GF570" i="9" s="1"/>
  <c r="GG570" i="9" s="1"/>
  <c r="FZ564" i="9"/>
  <c r="GA564" i="9" s="1"/>
  <c r="GB564" i="9" s="1"/>
  <c r="GC564" i="9" s="1"/>
  <c r="GD564" i="9" s="1"/>
  <c r="GE564" i="9" s="1"/>
  <c r="GF564" i="9" s="1"/>
  <c r="GG564" i="9" s="1"/>
  <c r="GH564" i="9" s="1"/>
  <c r="GI564" i="9" s="1"/>
  <c r="BZ564" i="9" s="1"/>
  <c r="FZ558" i="9"/>
  <c r="GA558" i="9" s="1"/>
  <c r="GB558" i="9" s="1"/>
  <c r="GC558" i="9" s="1"/>
  <c r="GD558" i="9" s="1"/>
  <c r="GE558" i="9" s="1"/>
  <c r="GF558" i="9" s="1"/>
  <c r="GG558" i="9" s="1"/>
  <c r="FZ553" i="9"/>
  <c r="GA553" i="9" s="1"/>
  <c r="GB553" i="9" s="1"/>
  <c r="GC553" i="9" s="1"/>
  <c r="GD553" i="9" s="1"/>
  <c r="GE553" i="9" s="1"/>
  <c r="GF553" i="9" s="1"/>
  <c r="GG553" i="9" s="1"/>
  <c r="FZ546" i="9"/>
  <c r="GA546" i="9" s="1"/>
  <c r="GB546" i="9" s="1"/>
  <c r="GC546" i="9" s="1"/>
  <c r="GD546" i="9" s="1"/>
  <c r="GE546" i="9" s="1"/>
  <c r="GF546" i="9" s="1"/>
  <c r="GG546" i="9" s="1"/>
  <c r="GQ139" i="9"/>
  <c r="GR139" i="9" s="1"/>
  <c r="GS139" i="9" s="1"/>
  <c r="GT139" i="9" s="1"/>
  <c r="GU139" i="9" s="1"/>
  <c r="GV139" i="9" s="1"/>
  <c r="GY139" i="9"/>
  <c r="GZ139" i="9" s="1"/>
  <c r="HH139" i="9" s="1"/>
  <c r="CF139" i="9" s="1"/>
  <c r="GQ204" i="9"/>
  <c r="GR204" i="9" s="1"/>
  <c r="GS204" i="9" s="1"/>
  <c r="GT204" i="9" s="1"/>
  <c r="GU204" i="9" s="1"/>
  <c r="GV204" i="9" s="1"/>
  <c r="GQ196" i="9"/>
  <c r="GR196" i="9" s="1"/>
  <c r="GS196" i="9" s="1"/>
  <c r="GT196" i="9" s="1"/>
  <c r="GU196" i="9" s="1"/>
  <c r="GV196" i="9" s="1"/>
  <c r="GY187" i="9"/>
  <c r="GZ187" i="9" s="1"/>
  <c r="HH187" i="9" s="1"/>
  <c r="CF187" i="9" s="1"/>
  <c r="GQ183" i="9"/>
  <c r="GR183" i="9" s="1"/>
  <c r="GS183" i="9" s="1"/>
  <c r="GT183" i="9" s="1"/>
  <c r="GU183" i="9" s="1"/>
  <c r="GV183" i="9" s="1"/>
  <c r="GQ178" i="9"/>
  <c r="GR178" i="9" s="1"/>
  <c r="GS178" i="9" s="1"/>
  <c r="GT178" i="9" s="1"/>
  <c r="GU178" i="9" s="1"/>
  <c r="GV178" i="9" s="1"/>
  <c r="GY176" i="9"/>
  <c r="GZ176" i="9" s="1"/>
  <c r="HH176" i="9" s="1"/>
  <c r="CF176" i="9" s="1"/>
  <c r="GY168" i="9"/>
  <c r="GZ168" i="9" s="1"/>
  <c r="HH168" i="9" s="1"/>
  <c r="CF168" i="9" s="1"/>
  <c r="GQ152" i="9"/>
  <c r="GR152" i="9" s="1"/>
  <c r="GS152" i="9" s="1"/>
  <c r="GT152" i="9" s="1"/>
  <c r="GU152" i="9" s="1"/>
  <c r="GV152" i="9" s="1"/>
  <c r="GY138" i="9"/>
  <c r="FZ655" i="9"/>
  <c r="GA655" i="9" s="1"/>
  <c r="GB655" i="9" s="1"/>
  <c r="GC655" i="9" s="1"/>
  <c r="GD655" i="9" s="1"/>
  <c r="GE655" i="9" s="1"/>
  <c r="GF655" i="9" s="1"/>
  <c r="GG655" i="9" s="1"/>
  <c r="FZ649" i="9"/>
  <c r="GA649" i="9" s="1"/>
  <c r="GB649" i="9" s="1"/>
  <c r="GC649" i="9" s="1"/>
  <c r="GD649" i="9" s="1"/>
  <c r="GE649" i="9" s="1"/>
  <c r="GF649" i="9" s="1"/>
  <c r="GG649" i="9" s="1"/>
  <c r="GH649" i="9" s="1"/>
  <c r="GI649" i="9" s="1"/>
  <c r="BZ649" i="9" s="1"/>
  <c r="FT649" i="9" s="1"/>
  <c r="CA649" i="9" s="1"/>
  <c r="FZ618" i="9"/>
  <c r="GA618" i="9" s="1"/>
  <c r="GB618" i="9" s="1"/>
  <c r="GC618" i="9" s="1"/>
  <c r="GD618" i="9" s="1"/>
  <c r="GE618" i="9" s="1"/>
  <c r="GF618" i="9" s="1"/>
  <c r="GG618" i="9" s="1"/>
  <c r="GH618" i="9" s="1"/>
  <c r="GI618" i="9" s="1"/>
  <c r="BZ618" i="9" s="1"/>
  <c r="FZ533" i="9"/>
  <c r="GA533" i="9" s="1"/>
  <c r="GB533" i="9" s="1"/>
  <c r="GC533" i="9" s="1"/>
  <c r="GD533" i="9" s="1"/>
  <c r="GE533" i="9" s="1"/>
  <c r="GF533" i="9" s="1"/>
  <c r="GG533" i="9" s="1"/>
  <c r="GY199" i="9"/>
  <c r="GZ199" i="9" s="1"/>
  <c r="HH199" i="9" s="1"/>
  <c r="CF199" i="9" s="1"/>
  <c r="GY153" i="9"/>
  <c r="GZ153" i="9" s="1"/>
  <c r="HH153" i="9" s="1"/>
  <c r="CF153" i="9" s="1"/>
  <c r="FZ661" i="9"/>
  <c r="GA661" i="9" s="1"/>
  <c r="GB661" i="9" s="1"/>
  <c r="GC661" i="9" s="1"/>
  <c r="GD661" i="9" s="1"/>
  <c r="GE661" i="9" s="1"/>
  <c r="GF661" i="9" s="1"/>
  <c r="GG661" i="9" s="1"/>
  <c r="GZ138" i="9"/>
  <c r="HH138" i="9" s="1"/>
  <c r="CF138" i="9" s="1"/>
  <c r="GQ155" i="9"/>
  <c r="GR155" i="9" s="1"/>
  <c r="GS155" i="9" s="1"/>
  <c r="GT155" i="9" s="1"/>
  <c r="GU155" i="9" s="1"/>
  <c r="GV155" i="9" s="1"/>
  <c r="GW155" i="9" s="1"/>
  <c r="HF155" i="9" s="1"/>
  <c r="CD155" i="9" s="1"/>
  <c r="FZ688" i="9"/>
  <c r="GA688" i="9" s="1"/>
  <c r="GB688" i="9" s="1"/>
  <c r="GC688" i="9" s="1"/>
  <c r="GD688" i="9" s="1"/>
  <c r="GE688" i="9" s="1"/>
  <c r="GF688" i="9" s="1"/>
  <c r="GG688" i="9" s="1"/>
  <c r="GY203" i="9"/>
  <c r="GZ203" i="9" s="1"/>
  <c r="HH203" i="9" s="1"/>
  <c r="CF203" i="9" s="1"/>
  <c r="GY202" i="9"/>
  <c r="GZ202" i="9" s="1"/>
  <c r="HH202" i="9" s="1"/>
  <c r="CF202" i="9" s="1"/>
  <c r="GY195" i="9"/>
  <c r="GZ195" i="9" s="1"/>
  <c r="HH195" i="9" s="1"/>
  <c r="CF195" i="9" s="1"/>
  <c r="GY177" i="9"/>
  <c r="GZ177" i="9" s="1"/>
  <c r="HH177" i="9" s="1"/>
  <c r="CF177" i="9" s="1"/>
  <c r="GY170" i="9"/>
  <c r="GZ170" i="9" s="1"/>
  <c r="HH170" i="9" s="1"/>
  <c r="CF170" i="9" s="1"/>
  <c r="FZ687" i="9"/>
  <c r="GA687" i="9" s="1"/>
  <c r="GB687" i="9" s="1"/>
  <c r="GC687" i="9" s="1"/>
  <c r="GD687" i="9" s="1"/>
  <c r="GE687" i="9" s="1"/>
  <c r="GF687" i="9" s="1"/>
  <c r="GG687" i="9" s="1"/>
  <c r="GH687" i="9" s="1"/>
  <c r="GI687" i="9" s="1"/>
  <c r="BZ687" i="9" s="1"/>
  <c r="FZ673" i="9"/>
  <c r="GA673" i="9" s="1"/>
  <c r="GB673" i="9" s="1"/>
  <c r="GC673" i="9" s="1"/>
  <c r="GD673" i="9" s="1"/>
  <c r="GE673" i="9" s="1"/>
  <c r="GF673" i="9" s="1"/>
  <c r="GG673" i="9" s="1"/>
  <c r="GH673" i="9" s="1"/>
  <c r="GI673" i="9" s="1"/>
  <c r="BZ673" i="9" s="1"/>
  <c r="FT673" i="9" s="1"/>
  <c r="CA673" i="9" s="1"/>
  <c r="FZ666" i="9"/>
  <c r="GA666" i="9" s="1"/>
  <c r="GB666" i="9" s="1"/>
  <c r="GC666" i="9" s="1"/>
  <c r="GD666" i="9" s="1"/>
  <c r="GE666" i="9" s="1"/>
  <c r="GF666" i="9" s="1"/>
  <c r="GG666" i="9" s="1"/>
  <c r="FZ543" i="9"/>
  <c r="GA543" i="9" s="1"/>
  <c r="GB543" i="9" s="1"/>
  <c r="GC543" i="9" s="1"/>
  <c r="GD543" i="9" s="1"/>
  <c r="GE543" i="9" s="1"/>
  <c r="GF543" i="9" s="1"/>
  <c r="GG543" i="9" s="1"/>
  <c r="GY208" i="9"/>
  <c r="GZ208" i="9" s="1"/>
  <c r="HH208" i="9" s="1"/>
  <c r="CF208" i="9" s="1"/>
  <c r="GY207" i="9"/>
  <c r="GZ207" i="9" s="1"/>
  <c r="HH207" i="9" s="1"/>
  <c r="CF207" i="9" s="1"/>
  <c r="GQ199" i="9"/>
  <c r="GR199" i="9" s="1"/>
  <c r="GS199" i="9" s="1"/>
  <c r="GT199" i="9" s="1"/>
  <c r="GU199" i="9" s="1"/>
  <c r="GV199" i="9" s="1"/>
  <c r="GQ198" i="9"/>
  <c r="GR198" i="9" s="1"/>
  <c r="GS198" i="9" s="1"/>
  <c r="GT198" i="9" s="1"/>
  <c r="GU198" i="9" s="1"/>
  <c r="GV198" i="9" s="1"/>
  <c r="GQ193" i="9"/>
  <c r="GR193" i="9" s="1"/>
  <c r="GS193" i="9" s="1"/>
  <c r="GT193" i="9" s="1"/>
  <c r="GU193" i="9" s="1"/>
  <c r="GV193" i="9" s="1"/>
  <c r="GQ192" i="9"/>
  <c r="GR192" i="9" s="1"/>
  <c r="GS192" i="9" s="1"/>
  <c r="GT192" i="9" s="1"/>
  <c r="GU192" i="9" s="1"/>
  <c r="GV192" i="9" s="1"/>
  <c r="GY186" i="9"/>
  <c r="GZ186" i="9" s="1"/>
  <c r="HH186" i="9" s="1"/>
  <c r="CF186" i="9" s="1"/>
  <c r="GY185" i="9"/>
  <c r="GZ185" i="9" s="1"/>
  <c r="HH185" i="9" s="1"/>
  <c r="CF185" i="9" s="1"/>
  <c r="GY174" i="9"/>
  <c r="GZ174" i="9" s="1"/>
  <c r="HH174" i="9" s="1"/>
  <c r="CF174" i="9" s="1"/>
  <c r="GY167" i="9"/>
  <c r="GZ167" i="9" s="1"/>
  <c r="HH167" i="9" s="1"/>
  <c r="CF167" i="9" s="1"/>
  <c r="GY161" i="9"/>
  <c r="GZ161" i="9" s="1"/>
  <c r="HH161" i="9" s="1"/>
  <c r="CF161" i="9" s="1"/>
  <c r="GY160" i="9"/>
  <c r="GZ160" i="9" s="1"/>
  <c r="HH160" i="9" s="1"/>
  <c r="CF160" i="9" s="1"/>
  <c r="GY158" i="9"/>
  <c r="GZ158" i="9" s="1"/>
  <c r="HH158" i="9" s="1"/>
  <c r="CF158" i="9" s="1"/>
  <c r="GY157" i="9"/>
  <c r="GZ157" i="9" s="1"/>
  <c r="HH157" i="9" s="1"/>
  <c r="CF157" i="9" s="1"/>
  <c r="GY147" i="9"/>
  <c r="GZ147" i="9" s="1"/>
  <c r="HH147" i="9" s="1"/>
  <c r="CF147" i="9" s="1"/>
  <c r="GY146" i="9"/>
  <c r="GZ146" i="9" s="1"/>
  <c r="HH146" i="9" s="1"/>
  <c r="CF146" i="9" s="1"/>
  <c r="FZ679" i="9"/>
  <c r="GA679" i="9" s="1"/>
  <c r="GB679" i="9" s="1"/>
  <c r="GC679" i="9" s="1"/>
  <c r="GD679" i="9" s="1"/>
  <c r="GE679" i="9" s="1"/>
  <c r="GF679" i="9" s="1"/>
  <c r="GG679" i="9" s="1"/>
  <c r="FZ672" i="9"/>
  <c r="GA672" i="9" s="1"/>
  <c r="GB672" i="9" s="1"/>
  <c r="GC672" i="9" s="1"/>
  <c r="GD672" i="9" s="1"/>
  <c r="GE672" i="9" s="1"/>
  <c r="GF672" i="9" s="1"/>
  <c r="GG672" i="9" s="1"/>
  <c r="FZ625" i="9"/>
  <c r="GA625" i="9" s="1"/>
  <c r="GB625" i="9" s="1"/>
  <c r="GC625" i="9" s="1"/>
  <c r="GD625" i="9" s="1"/>
  <c r="GE625" i="9" s="1"/>
  <c r="GF625" i="9" s="1"/>
  <c r="GG625" i="9" s="1"/>
  <c r="GH625" i="9" s="1"/>
  <c r="GI625" i="9" s="1"/>
  <c r="BZ625" i="9" s="1"/>
  <c r="FT625" i="9" s="1"/>
  <c r="CA625" i="9" s="1"/>
  <c r="FZ552" i="9"/>
  <c r="GA552" i="9" s="1"/>
  <c r="GB552" i="9" s="1"/>
  <c r="GC552" i="9" s="1"/>
  <c r="GD552" i="9" s="1"/>
  <c r="GE552" i="9" s="1"/>
  <c r="GF552" i="9" s="1"/>
  <c r="GG552" i="9" s="1"/>
  <c r="GH552" i="9" s="1"/>
  <c r="GI552" i="9" s="1"/>
  <c r="BZ552" i="9" s="1"/>
  <c r="FZ545" i="9"/>
  <c r="GA545" i="9" s="1"/>
  <c r="GB545" i="9" s="1"/>
  <c r="GC545" i="9" s="1"/>
  <c r="GD545" i="9" s="1"/>
  <c r="GE545" i="9" s="1"/>
  <c r="GF545" i="9" s="1"/>
  <c r="GG545" i="9" s="1"/>
  <c r="GH545" i="9" s="1"/>
  <c r="GI545" i="9" s="1"/>
  <c r="BZ545" i="9" s="1"/>
  <c r="FT545" i="9" s="1"/>
  <c r="CA545" i="9" s="1"/>
  <c r="FZ394" i="9"/>
  <c r="GA394" i="9" s="1"/>
  <c r="GB394" i="9" s="1"/>
  <c r="GC394" i="9" s="1"/>
  <c r="GD394" i="9" s="1"/>
  <c r="GE394" i="9" s="1"/>
  <c r="GF394" i="9" s="1"/>
  <c r="GG394" i="9" s="1"/>
  <c r="GH394" i="9" s="1"/>
  <c r="GI394" i="9" s="1"/>
  <c r="BZ394" i="9" s="1"/>
  <c r="FZ382" i="9"/>
  <c r="GA382" i="9" s="1"/>
  <c r="GB382" i="9" s="1"/>
  <c r="GC382" i="9" s="1"/>
  <c r="GD382" i="9" s="1"/>
  <c r="GE382" i="9" s="1"/>
  <c r="GF382" i="9" s="1"/>
  <c r="GG382" i="9" s="1"/>
  <c r="GH382" i="9" s="1"/>
  <c r="GI382" i="9" s="1"/>
  <c r="BZ382" i="9" s="1"/>
  <c r="FZ262" i="9"/>
  <c r="GA262" i="9" s="1"/>
  <c r="GB262" i="9" s="1"/>
  <c r="GC262" i="9" s="1"/>
  <c r="GD262" i="9" s="1"/>
  <c r="GE262" i="9" s="1"/>
  <c r="GF262" i="9" s="1"/>
  <c r="GG262" i="9" s="1"/>
  <c r="FZ190" i="9"/>
  <c r="GA190" i="9" s="1"/>
  <c r="GB190" i="9" s="1"/>
  <c r="GC190" i="9" s="1"/>
  <c r="GD190" i="9" s="1"/>
  <c r="GE190" i="9" s="1"/>
  <c r="GF190" i="9" s="1"/>
  <c r="GG190" i="9" s="1"/>
  <c r="GH190" i="9" s="1"/>
  <c r="FZ166" i="9"/>
  <c r="GA166" i="9" s="1"/>
  <c r="GB166" i="9" s="1"/>
  <c r="GC166" i="9" s="1"/>
  <c r="GD166" i="9" s="1"/>
  <c r="GE166" i="9" s="1"/>
  <c r="GF166" i="9" s="1"/>
  <c r="GG166" i="9" s="1"/>
  <c r="GH166" i="9" s="1"/>
  <c r="GQ250" i="9"/>
  <c r="GR250" i="9" s="1"/>
  <c r="GS250" i="9" s="1"/>
  <c r="GT250" i="9" s="1"/>
  <c r="GU250" i="9" s="1"/>
  <c r="GV250" i="9" s="1"/>
  <c r="GY182" i="9"/>
  <c r="GZ182" i="9" s="1"/>
  <c r="HH182" i="9" s="1"/>
  <c r="CF182" i="9" s="1"/>
  <c r="GQ172" i="9"/>
  <c r="GR172" i="9" s="1"/>
  <c r="GS172" i="9" s="1"/>
  <c r="GT172" i="9" s="1"/>
  <c r="GU172" i="9" s="1"/>
  <c r="GV172" i="9" s="1"/>
  <c r="GQ169" i="9"/>
  <c r="GR169" i="9" s="1"/>
  <c r="GS169" i="9" s="1"/>
  <c r="GT169" i="9" s="1"/>
  <c r="GU169" i="9" s="1"/>
  <c r="GV169" i="9" s="1"/>
  <c r="GY162" i="9"/>
  <c r="GZ162" i="9" s="1"/>
  <c r="HH162" i="9" s="1"/>
  <c r="CF162" i="9" s="1"/>
  <c r="GY159" i="9"/>
  <c r="GZ159" i="9" s="1"/>
  <c r="HH159" i="9" s="1"/>
  <c r="CF159" i="9" s="1"/>
  <c r="FZ685" i="9"/>
  <c r="GA685" i="9" s="1"/>
  <c r="GB685" i="9" s="1"/>
  <c r="GC685" i="9" s="1"/>
  <c r="GD685" i="9" s="1"/>
  <c r="GE685" i="9" s="1"/>
  <c r="GF685" i="9" s="1"/>
  <c r="GG685" i="9" s="1"/>
  <c r="FZ671" i="9"/>
  <c r="GA671" i="9" s="1"/>
  <c r="GB671" i="9" s="1"/>
  <c r="GC671" i="9" s="1"/>
  <c r="GD671" i="9" s="1"/>
  <c r="GE671" i="9" s="1"/>
  <c r="GF671" i="9" s="1"/>
  <c r="GG671" i="9" s="1"/>
  <c r="FZ665" i="9"/>
  <c r="GA665" i="9" s="1"/>
  <c r="GB665" i="9" s="1"/>
  <c r="GC665" i="9" s="1"/>
  <c r="GD665" i="9" s="1"/>
  <c r="GE665" i="9" s="1"/>
  <c r="GF665" i="9" s="1"/>
  <c r="GG665" i="9" s="1"/>
  <c r="FZ653" i="9"/>
  <c r="GA653" i="9" s="1"/>
  <c r="GB653" i="9" s="1"/>
  <c r="GC653" i="9" s="1"/>
  <c r="GD653" i="9" s="1"/>
  <c r="GE653" i="9" s="1"/>
  <c r="GF653" i="9" s="1"/>
  <c r="GG653" i="9" s="1"/>
  <c r="GH653" i="9" s="1"/>
  <c r="GI653" i="9" s="1"/>
  <c r="BZ653" i="9" s="1"/>
  <c r="FZ648" i="9"/>
  <c r="GA648" i="9" s="1"/>
  <c r="GB648" i="9" s="1"/>
  <c r="GC648" i="9" s="1"/>
  <c r="GD648" i="9" s="1"/>
  <c r="GE648" i="9" s="1"/>
  <c r="GF648" i="9" s="1"/>
  <c r="GG648" i="9" s="1"/>
  <c r="GH648" i="9" s="1"/>
  <c r="GI648" i="9" s="1"/>
  <c r="BZ648" i="9" s="1"/>
  <c r="FZ644" i="9"/>
  <c r="GA644" i="9" s="1"/>
  <c r="GB644" i="9" s="1"/>
  <c r="GC644" i="9" s="1"/>
  <c r="GD644" i="9" s="1"/>
  <c r="GE644" i="9" s="1"/>
  <c r="GF644" i="9" s="1"/>
  <c r="GG644" i="9" s="1"/>
  <c r="GH644" i="9" s="1"/>
  <c r="GI644" i="9" s="1"/>
  <c r="BZ644" i="9" s="1"/>
  <c r="FZ637" i="9"/>
  <c r="GA637" i="9" s="1"/>
  <c r="GB637" i="9" s="1"/>
  <c r="GC637" i="9" s="1"/>
  <c r="GD637" i="9" s="1"/>
  <c r="GE637" i="9" s="1"/>
  <c r="GF637" i="9" s="1"/>
  <c r="GG637" i="9" s="1"/>
  <c r="GH637" i="9" s="1"/>
  <c r="GI637" i="9" s="1"/>
  <c r="BZ637" i="9" s="1"/>
  <c r="FZ631" i="9"/>
  <c r="GA631" i="9" s="1"/>
  <c r="GB631" i="9" s="1"/>
  <c r="GC631" i="9" s="1"/>
  <c r="GD631" i="9" s="1"/>
  <c r="GE631" i="9" s="1"/>
  <c r="GF631" i="9" s="1"/>
  <c r="GG631" i="9" s="1"/>
  <c r="GH631" i="9" s="1"/>
  <c r="GI631" i="9" s="1"/>
  <c r="BZ631" i="9" s="1"/>
  <c r="FT631" i="9" s="1"/>
  <c r="CA631" i="9" s="1"/>
  <c r="FZ569" i="9"/>
  <c r="GA569" i="9" s="1"/>
  <c r="GB569" i="9" s="1"/>
  <c r="GC569" i="9" s="1"/>
  <c r="GD569" i="9" s="1"/>
  <c r="GE569" i="9" s="1"/>
  <c r="GF569" i="9" s="1"/>
  <c r="GG569" i="9" s="1"/>
  <c r="GH569" i="9" s="1"/>
  <c r="GI569" i="9" s="1"/>
  <c r="BZ569" i="9" s="1"/>
  <c r="FT569" i="9" s="1"/>
  <c r="CA569" i="9" s="1"/>
  <c r="FZ562" i="9"/>
  <c r="GA562" i="9" s="1"/>
  <c r="GB562" i="9" s="1"/>
  <c r="GC562" i="9" s="1"/>
  <c r="GD562" i="9" s="1"/>
  <c r="GE562" i="9" s="1"/>
  <c r="GF562" i="9" s="1"/>
  <c r="GG562" i="9" s="1"/>
  <c r="FZ557" i="9"/>
  <c r="GA557" i="9" s="1"/>
  <c r="GB557" i="9" s="1"/>
  <c r="GC557" i="9" s="1"/>
  <c r="GD557" i="9" s="1"/>
  <c r="GE557" i="9" s="1"/>
  <c r="GF557" i="9" s="1"/>
  <c r="GG557" i="9" s="1"/>
  <c r="FZ551" i="9"/>
  <c r="GA551" i="9" s="1"/>
  <c r="GB551" i="9" s="1"/>
  <c r="GC551" i="9" s="1"/>
  <c r="GD551" i="9" s="1"/>
  <c r="GE551" i="9" s="1"/>
  <c r="GF551" i="9" s="1"/>
  <c r="GG551" i="9" s="1"/>
  <c r="FZ544" i="9"/>
  <c r="GA544" i="9" s="1"/>
  <c r="GB544" i="9" s="1"/>
  <c r="GC544" i="9" s="1"/>
  <c r="GD544" i="9" s="1"/>
  <c r="GE544" i="9" s="1"/>
  <c r="GF544" i="9" s="1"/>
  <c r="GG544" i="9" s="1"/>
  <c r="FZ539" i="9"/>
  <c r="GA539" i="9" s="1"/>
  <c r="GB539" i="9" s="1"/>
  <c r="GC539" i="9" s="1"/>
  <c r="GD539" i="9" s="1"/>
  <c r="GE539" i="9" s="1"/>
  <c r="GF539" i="9" s="1"/>
  <c r="GG539" i="9" s="1"/>
  <c r="GH539" i="9" s="1"/>
  <c r="GI539" i="9" s="1"/>
  <c r="BZ539" i="9" s="1"/>
  <c r="FT539" i="9" s="1"/>
  <c r="CA539" i="9" s="1"/>
  <c r="FZ523" i="9"/>
  <c r="GA523" i="9" s="1"/>
  <c r="GB523" i="9" s="1"/>
  <c r="GC523" i="9" s="1"/>
  <c r="GD523" i="9" s="1"/>
  <c r="GE523" i="9" s="1"/>
  <c r="GF523" i="9" s="1"/>
  <c r="GG523" i="9" s="1"/>
  <c r="FZ505" i="9"/>
  <c r="GA505" i="9" s="1"/>
  <c r="GB505" i="9" s="1"/>
  <c r="GC505" i="9" s="1"/>
  <c r="GD505" i="9" s="1"/>
  <c r="GE505" i="9" s="1"/>
  <c r="GF505" i="9" s="1"/>
  <c r="GG505" i="9" s="1"/>
  <c r="FZ435" i="9"/>
  <c r="GA435" i="9" s="1"/>
  <c r="GB435" i="9" s="1"/>
  <c r="GC435" i="9" s="1"/>
  <c r="GD435" i="9" s="1"/>
  <c r="GE435" i="9" s="1"/>
  <c r="GF435" i="9" s="1"/>
  <c r="GG435" i="9" s="1"/>
  <c r="GH435" i="9" s="1"/>
  <c r="GI435" i="9" s="1"/>
  <c r="BZ435" i="9" s="1"/>
  <c r="FZ429" i="9"/>
  <c r="GA429" i="9" s="1"/>
  <c r="GB429" i="9" s="1"/>
  <c r="GC429" i="9" s="1"/>
  <c r="GD429" i="9" s="1"/>
  <c r="GE429" i="9" s="1"/>
  <c r="GF429" i="9" s="1"/>
  <c r="GG429" i="9" s="1"/>
  <c r="GH429" i="9" s="1"/>
  <c r="GI429" i="9" s="1"/>
  <c r="BZ429" i="9" s="1"/>
  <c r="FT429" i="9" s="1"/>
  <c r="CA429" i="9" s="1"/>
  <c r="FZ405" i="9"/>
  <c r="GA405" i="9" s="1"/>
  <c r="GB405" i="9" s="1"/>
  <c r="GC405" i="9" s="1"/>
  <c r="GD405" i="9" s="1"/>
  <c r="GE405" i="9" s="1"/>
  <c r="GF405" i="9" s="1"/>
  <c r="GG405" i="9" s="1"/>
  <c r="GH405" i="9" s="1"/>
  <c r="GI405" i="9" s="1"/>
  <c r="BZ405" i="9" s="1"/>
  <c r="FZ393" i="9"/>
  <c r="GA393" i="9" s="1"/>
  <c r="GB393" i="9" s="1"/>
  <c r="GC393" i="9" s="1"/>
  <c r="GD393" i="9" s="1"/>
  <c r="GE393" i="9" s="1"/>
  <c r="GF393" i="9" s="1"/>
  <c r="GG393" i="9" s="1"/>
  <c r="FZ320" i="9"/>
  <c r="GA320" i="9" s="1"/>
  <c r="GB320" i="9" s="1"/>
  <c r="GC320" i="9" s="1"/>
  <c r="GD320" i="9" s="1"/>
  <c r="GE320" i="9" s="1"/>
  <c r="GF320" i="9" s="1"/>
  <c r="GG320" i="9" s="1"/>
  <c r="GH320" i="9" s="1"/>
  <c r="GI320" i="9" s="1"/>
  <c r="BZ320" i="9" s="1"/>
  <c r="FZ292" i="9"/>
  <c r="GA292" i="9" s="1"/>
  <c r="GB292" i="9" s="1"/>
  <c r="GC292" i="9" s="1"/>
  <c r="GD292" i="9" s="1"/>
  <c r="GE292" i="9" s="1"/>
  <c r="GF292" i="9" s="1"/>
  <c r="GG292" i="9" s="1"/>
  <c r="FZ261" i="9"/>
  <c r="GA261" i="9" s="1"/>
  <c r="GB261" i="9" s="1"/>
  <c r="GC261" i="9" s="1"/>
  <c r="GD261" i="9" s="1"/>
  <c r="GE261" i="9" s="1"/>
  <c r="GF261" i="9" s="1"/>
  <c r="GG261" i="9" s="1"/>
  <c r="GH261" i="9" s="1"/>
  <c r="GI261" i="9" s="1"/>
  <c r="BZ261" i="9" s="1"/>
  <c r="FT261" i="9" s="1"/>
  <c r="CA261" i="9" s="1"/>
  <c r="GY206" i="9"/>
  <c r="GZ206" i="9" s="1"/>
  <c r="HH206" i="9" s="1"/>
  <c r="CF206" i="9" s="1"/>
  <c r="GY201" i="9"/>
  <c r="GZ201" i="9" s="1"/>
  <c r="HH201" i="9" s="1"/>
  <c r="CF201" i="9" s="1"/>
  <c r="GY200" i="9"/>
  <c r="GZ200" i="9" s="1"/>
  <c r="HH200" i="9" s="1"/>
  <c r="CF200" i="9" s="1"/>
  <c r="GQ197" i="9"/>
  <c r="GR197" i="9" s="1"/>
  <c r="GS197" i="9" s="1"/>
  <c r="GT197" i="9" s="1"/>
  <c r="GU197" i="9" s="1"/>
  <c r="GV197" i="9" s="1"/>
  <c r="GY189" i="9"/>
  <c r="GZ189" i="9" s="1"/>
  <c r="HH189" i="9" s="1"/>
  <c r="CF189" i="9" s="1"/>
  <c r="GQ187" i="9"/>
  <c r="GR187" i="9" s="1"/>
  <c r="GS187" i="9" s="1"/>
  <c r="GT187" i="9" s="1"/>
  <c r="GU187" i="9" s="1"/>
  <c r="GV187" i="9" s="1"/>
  <c r="GQ184" i="9"/>
  <c r="GR184" i="9" s="1"/>
  <c r="GS184" i="9" s="1"/>
  <c r="GT184" i="9" s="1"/>
  <c r="GU184" i="9" s="1"/>
  <c r="GV184" i="9" s="1"/>
  <c r="GY181" i="9"/>
  <c r="GZ181" i="9" s="1"/>
  <c r="HH181" i="9" s="1"/>
  <c r="CF181" i="9" s="1"/>
  <c r="GQ175" i="9"/>
  <c r="GR175" i="9" s="1"/>
  <c r="GS175" i="9" s="1"/>
  <c r="GT175" i="9" s="1"/>
  <c r="GU175" i="9" s="1"/>
  <c r="GV175" i="9" s="1"/>
  <c r="GY163" i="9"/>
  <c r="GZ163" i="9" s="1"/>
  <c r="HH163" i="9" s="1"/>
  <c r="CF163" i="9" s="1"/>
  <c r="GY155" i="9"/>
  <c r="GZ155" i="9" s="1"/>
  <c r="HH155" i="9" s="1"/>
  <c r="CF155" i="9" s="1"/>
  <c r="GY145" i="9"/>
  <c r="GZ145" i="9" s="1"/>
  <c r="HH145" i="9" s="1"/>
  <c r="CF145" i="9" s="1"/>
  <c r="FZ684" i="9"/>
  <c r="GA684" i="9" s="1"/>
  <c r="GB684" i="9" s="1"/>
  <c r="GC684" i="9" s="1"/>
  <c r="GD684" i="9" s="1"/>
  <c r="GE684" i="9" s="1"/>
  <c r="GF684" i="9" s="1"/>
  <c r="GG684" i="9" s="1"/>
  <c r="GH684" i="9" s="1"/>
  <c r="GI684" i="9" s="1"/>
  <c r="BZ684" i="9" s="1"/>
  <c r="FZ677" i="9"/>
  <c r="GA677" i="9" s="1"/>
  <c r="GB677" i="9" s="1"/>
  <c r="GC677" i="9" s="1"/>
  <c r="GD677" i="9" s="1"/>
  <c r="GE677" i="9" s="1"/>
  <c r="GF677" i="9" s="1"/>
  <c r="GG677" i="9" s="1"/>
  <c r="FZ670" i="9"/>
  <c r="GA670" i="9" s="1"/>
  <c r="GB670" i="9" s="1"/>
  <c r="GC670" i="9" s="1"/>
  <c r="GD670" i="9" s="1"/>
  <c r="GE670" i="9" s="1"/>
  <c r="GF670" i="9" s="1"/>
  <c r="GG670" i="9" s="1"/>
  <c r="GH670" i="9" s="1"/>
  <c r="GI670" i="9" s="1"/>
  <c r="BZ670" i="9" s="1"/>
  <c r="FT670" i="9" s="1"/>
  <c r="CA670" i="9" s="1"/>
  <c r="FZ664" i="9"/>
  <c r="GA664" i="9" s="1"/>
  <c r="GB664" i="9" s="1"/>
  <c r="GC664" i="9" s="1"/>
  <c r="GD664" i="9" s="1"/>
  <c r="GE664" i="9" s="1"/>
  <c r="GF664" i="9" s="1"/>
  <c r="GG664" i="9" s="1"/>
  <c r="FZ658" i="9"/>
  <c r="GA658" i="9" s="1"/>
  <c r="GB658" i="9" s="1"/>
  <c r="GC658" i="9" s="1"/>
  <c r="GD658" i="9" s="1"/>
  <c r="GE658" i="9" s="1"/>
  <c r="GF658" i="9" s="1"/>
  <c r="GG658" i="9" s="1"/>
  <c r="GH658" i="9" s="1"/>
  <c r="GI658" i="9" s="1"/>
  <c r="BZ658" i="9" s="1"/>
  <c r="FT658" i="9" s="1"/>
  <c r="CA658" i="9" s="1"/>
  <c r="FZ623" i="9"/>
  <c r="GA623" i="9" s="1"/>
  <c r="GB623" i="9" s="1"/>
  <c r="GC623" i="9" s="1"/>
  <c r="GD623" i="9" s="1"/>
  <c r="GE623" i="9" s="1"/>
  <c r="GF623" i="9" s="1"/>
  <c r="GG623" i="9" s="1"/>
  <c r="GH623" i="9" s="1"/>
  <c r="GI623" i="9" s="1"/>
  <c r="BZ623" i="9" s="1"/>
  <c r="FZ568" i="9"/>
  <c r="GA568" i="9" s="1"/>
  <c r="GB568" i="9" s="1"/>
  <c r="GC568" i="9" s="1"/>
  <c r="GD568" i="9" s="1"/>
  <c r="GE568" i="9" s="1"/>
  <c r="GF568" i="9" s="1"/>
  <c r="GG568" i="9" s="1"/>
  <c r="GH568" i="9" s="1"/>
  <c r="GI568" i="9" s="1"/>
  <c r="BZ568" i="9" s="1"/>
  <c r="FT568" i="9" s="1"/>
  <c r="CA568" i="9" s="1"/>
  <c r="FZ561" i="9"/>
  <c r="GA561" i="9" s="1"/>
  <c r="GB561" i="9" s="1"/>
  <c r="GC561" i="9" s="1"/>
  <c r="GD561" i="9" s="1"/>
  <c r="GE561" i="9" s="1"/>
  <c r="GF561" i="9" s="1"/>
  <c r="GG561" i="9" s="1"/>
  <c r="FZ550" i="9"/>
  <c r="GA550" i="9" s="1"/>
  <c r="GB550" i="9" s="1"/>
  <c r="GC550" i="9" s="1"/>
  <c r="GD550" i="9" s="1"/>
  <c r="GE550" i="9" s="1"/>
  <c r="GF550" i="9" s="1"/>
  <c r="GG550" i="9" s="1"/>
  <c r="FZ504" i="9"/>
  <c r="GA504" i="9" s="1"/>
  <c r="GB504" i="9" s="1"/>
  <c r="GC504" i="9" s="1"/>
  <c r="GD504" i="9" s="1"/>
  <c r="GE504" i="9" s="1"/>
  <c r="GF504" i="9" s="1"/>
  <c r="GG504" i="9" s="1"/>
  <c r="GH504" i="9" s="1"/>
  <c r="GI504" i="9" s="1"/>
  <c r="BZ504" i="9" s="1"/>
  <c r="FT504" i="9" s="1"/>
  <c r="CA504" i="9" s="1"/>
  <c r="FZ447" i="9"/>
  <c r="GA447" i="9" s="1"/>
  <c r="GB447" i="9" s="1"/>
  <c r="GC447" i="9" s="1"/>
  <c r="GD447" i="9" s="1"/>
  <c r="GE447" i="9" s="1"/>
  <c r="GF447" i="9" s="1"/>
  <c r="GG447" i="9" s="1"/>
  <c r="GH447" i="9" s="1"/>
  <c r="GI447" i="9" s="1"/>
  <c r="BZ447" i="9" s="1"/>
  <c r="FT447" i="9" s="1"/>
  <c r="CA447" i="9" s="1"/>
  <c r="FZ428" i="9"/>
  <c r="GA428" i="9" s="1"/>
  <c r="GB428" i="9" s="1"/>
  <c r="GC428" i="9" s="1"/>
  <c r="GD428" i="9" s="1"/>
  <c r="GE428" i="9" s="1"/>
  <c r="GF428" i="9" s="1"/>
  <c r="GG428" i="9" s="1"/>
  <c r="FZ412" i="9"/>
  <c r="GA412" i="9" s="1"/>
  <c r="GB412" i="9" s="1"/>
  <c r="GC412" i="9" s="1"/>
  <c r="GD412" i="9" s="1"/>
  <c r="GE412" i="9" s="1"/>
  <c r="GF412" i="9" s="1"/>
  <c r="GG412" i="9" s="1"/>
  <c r="FZ388" i="9"/>
  <c r="GA388" i="9" s="1"/>
  <c r="GB388" i="9" s="1"/>
  <c r="GC388" i="9" s="1"/>
  <c r="GD388" i="9" s="1"/>
  <c r="GE388" i="9" s="1"/>
  <c r="GF388" i="9" s="1"/>
  <c r="GG388" i="9" s="1"/>
  <c r="GH388" i="9" s="1"/>
  <c r="GI388" i="9" s="1"/>
  <c r="BZ388" i="9" s="1"/>
  <c r="FZ325" i="9"/>
  <c r="GA325" i="9" s="1"/>
  <c r="GB325" i="9" s="1"/>
  <c r="GC325" i="9" s="1"/>
  <c r="GD325" i="9" s="1"/>
  <c r="GE325" i="9" s="1"/>
  <c r="GF325" i="9" s="1"/>
  <c r="GG325" i="9" s="1"/>
  <c r="FZ183" i="9"/>
  <c r="GA183" i="9" s="1"/>
  <c r="GB183" i="9" s="1"/>
  <c r="GC183" i="9" s="1"/>
  <c r="GD183" i="9" s="1"/>
  <c r="GE183" i="9" s="1"/>
  <c r="GF183" i="9" s="1"/>
  <c r="GG183" i="9" s="1"/>
  <c r="GH183" i="9" s="1"/>
  <c r="FZ158" i="9"/>
  <c r="GA158" i="9" s="1"/>
  <c r="GB158" i="9" s="1"/>
  <c r="GC158" i="9" s="1"/>
  <c r="GD158" i="9" s="1"/>
  <c r="GE158" i="9" s="1"/>
  <c r="GF158" i="9" s="1"/>
  <c r="GG158" i="9" s="1"/>
  <c r="GH158" i="9" s="1"/>
  <c r="FZ79" i="9"/>
  <c r="GA79" i="9" s="1"/>
  <c r="GB79" i="9" s="1"/>
  <c r="GC79" i="9" s="1"/>
  <c r="GD79" i="9" s="1"/>
  <c r="GE79" i="9" s="1"/>
  <c r="GF79" i="9" s="1"/>
  <c r="GG79" i="9" s="1"/>
  <c r="GH79" i="9" s="1"/>
  <c r="GI79" i="9" s="1"/>
  <c r="BZ79" i="9" s="1"/>
  <c r="FT79" i="9" s="1"/>
  <c r="CA79" i="9" s="1"/>
  <c r="GQ211" i="9"/>
  <c r="GR211" i="9" s="1"/>
  <c r="GS211" i="9" s="1"/>
  <c r="GT211" i="9" s="1"/>
  <c r="GU211" i="9" s="1"/>
  <c r="GV211" i="9" s="1"/>
  <c r="GQ207" i="9"/>
  <c r="GR207" i="9" s="1"/>
  <c r="GS207" i="9" s="1"/>
  <c r="GT207" i="9" s="1"/>
  <c r="GU207" i="9" s="1"/>
  <c r="GV207" i="9" s="1"/>
  <c r="GY204" i="9"/>
  <c r="GZ204" i="9" s="1"/>
  <c r="HH204" i="9" s="1"/>
  <c r="CF204" i="9" s="1"/>
  <c r="GY180" i="9"/>
  <c r="GZ180" i="9" s="1"/>
  <c r="HH180" i="9" s="1"/>
  <c r="CF180" i="9" s="1"/>
  <c r="GY165" i="9"/>
  <c r="GZ165" i="9" s="1"/>
  <c r="HH165" i="9" s="1"/>
  <c r="CF165" i="9" s="1"/>
  <c r="GQ158" i="9"/>
  <c r="GR158" i="9" s="1"/>
  <c r="GS158" i="9" s="1"/>
  <c r="GT158" i="9" s="1"/>
  <c r="GU158" i="9" s="1"/>
  <c r="GV158" i="9" s="1"/>
  <c r="GY154" i="9"/>
  <c r="GZ154" i="9" s="1"/>
  <c r="HH154" i="9" s="1"/>
  <c r="CF154" i="9" s="1"/>
  <c r="GY152" i="9"/>
  <c r="GZ152" i="9" s="1"/>
  <c r="HH152" i="9" s="1"/>
  <c r="CF152" i="9" s="1"/>
  <c r="GY150" i="9"/>
  <c r="GZ150" i="9" s="1"/>
  <c r="HH150" i="9" s="1"/>
  <c r="CF150" i="9" s="1"/>
  <c r="GQ147" i="9"/>
  <c r="GR147" i="9" s="1"/>
  <c r="GS147" i="9" s="1"/>
  <c r="GT147" i="9" s="1"/>
  <c r="GU147" i="9" s="1"/>
  <c r="GV147" i="9" s="1"/>
  <c r="GY140" i="9"/>
  <c r="GZ140" i="9" s="1"/>
  <c r="HH140" i="9" s="1"/>
  <c r="CF140" i="9" s="1"/>
  <c r="FZ13" i="9"/>
  <c r="GA13" i="9" s="1"/>
  <c r="GB13" i="9" s="1"/>
  <c r="GC13" i="9" s="1"/>
  <c r="GD13" i="9" s="1"/>
  <c r="GE13" i="9" s="1"/>
  <c r="GF13" i="9" s="1"/>
  <c r="GG13" i="9" s="1"/>
  <c r="FZ683" i="9"/>
  <c r="GA683" i="9" s="1"/>
  <c r="GB683" i="9" s="1"/>
  <c r="GC683" i="9" s="1"/>
  <c r="GD683" i="9" s="1"/>
  <c r="GE683" i="9" s="1"/>
  <c r="GF683" i="9" s="1"/>
  <c r="GG683" i="9" s="1"/>
  <c r="FZ676" i="9"/>
  <c r="GA676" i="9" s="1"/>
  <c r="GB676" i="9" s="1"/>
  <c r="GC676" i="9" s="1"/>
  <c r="GD676" i="9" s="1"/>
  <c r="GE676" i="9" s="1"/>
  <c r="GF676" i="9" s="1"/>
  <c r="GG676" i="9" s="1"/>
  <c r="GH676" i="9" s="1"/>
  <c r="GI676" i="9" s="1"/>
  <c r="BZ676" i="9" s="1"/>
  <c r="FZ669" i="9"/>
  <c r="GA669" i="9" s="1"/>
  <c r="GB669" i="9" s="1"/>
  <c r="GC669" i="9" s="1"/>
  <c r="GD669" i="9" s="1"/>
  <c r="GE669" i="9" s="1"/>
  <c r="GF669" i="9" s="1"/>
  <c r="GG669" i="9" s="1"/>
  <c r="GH669" i="9" s="1"/>
  <c r="GI669" i="9" s="1"/>
  <c r="BZ669" i="9" s="1"/>
  <c r="FT669" i="9" s="1"/>
  <c r="CA669" i="9" s="1"/>
  <c r="FZ663" i="9"/>
  <c r="GA663" i="9" s="1"/>
  <c r="GB663" i="9" s="1"/>
  <c r="GC663" i="9" s="1"/>
  <c r="GD663" i="9" s="1"/>
  <c r="GE663" i="9" s="1"/>
  <c r="GF663" i="9" s="1"/>
  <c r="GG663" i="9" s="1"/>
  <c r="GH663" i="9" s="1"/>
  <c r="GI663" i="9" s="1"/>
  <c r="BZ663" i="9" s="1"/>
  <c r="FT663" i="9" s="1"/>
  <c r="CA663" i="9" s="1"/>
  <c r="FZ657" i="9"/>
  <c r="GA657" i="9" s="1"/>
  <c r="GB657" i="9" s="1"/>
  <c r="GC657" i="9" s="1"/>
  <c r="GD657" i="9" s="1"/>
  <c r="GE657" i="9" s="1"/>
  <c r="GF657" i="9" s="1"/>
  <c r="GG657" i="9" s="1"/>
  <c r="FZ652" i="9"/>
  <c r="GA652" i="9" s="1"/>
  <c r="GB652" i="9" s="1"/>
  <c r="GC652" i="9" s="1"/>
  <c r="GD652" i="9" s="1"/>
  <c r="GE652" i="9" s="1"/>
  <c r="GF652" i="9" s="1"/>
  <c r="GG652" i="9" s="1"/>
  <c r="GH652" i="9" s="1"/>
  <c r="GI652" i="9" s="1"/>
  <c r="BZ652" i="9" s="1"/>
  <c r="FT652" i="9" s="1"/>
  <c r="CA652" i="9" s="1"/>
  <c r="FZ647" i="9"/>
  <c r="GA647" i="9" s="1"/>
  <c r="GB647" i="9" s="1"/>
  <c r="GC647" i="9" s="1"/>
  <c r="GD647" i="9" s="1"/>
  <c r="GE647" i="9" s="1"/>
  <c r="GF647" i="9" s="1"/>
  <c r="GG647" i="9" s="1"/>
  <c r="FZ642" i="9"/>
  <c r="GA642" i="9" s="1"/>
  <c r="GB642" i="9" s="1"/>
  <c r="GC642" i="9" s="1"/>
  <c r="GD642" i="9" s="1"/>
  <c r="GE642" i="9" s="1"/>
  <c r="GF642" i="9" s="1"/>
  <c r="GG642" i="9" s="1"/>
  <c r="FZ636" i="9"/>
  <c r="GA636" i="9" s="1"/>
  <c r="GB636" i="9" s="1"/>
  <c r="GC636" i="9" s="1"/>
  <c r="GD636" i="9" s="1"/>
  <c r="GE636" i="9" s="1"/>
  <c r="GF636" i="9" s="1"/>
  <c r="GG636" i="9" s="1"/>
  <c r="FZ629" i="9"/>
  <c r="GA629" i="9" s="1"/>
  <c r="GB629" i="9" s="1"/>
  <c r="GC629" i="9" s="1"/>
  <c r="GD629" i="9" s="1"/>
  <c r="GE629" i="9" s="1"/>
  <c r="GF629" i="9" s="1"/>
  <c r="GG629" i="9" s="1"/>
  <c r="FZ549" i="9"/>
  <c r="GA549" i="9" s="1"/>
  <c r="GB549" i="9" s="1"/>
  <c r="GC549" i="9" s="1"/>
  <c r="GD549" i="9" s="1"/>
  <c r="GE549" i="9" s="1"/>
  <c r="GF549" i="9" s="1"/>
  <c r="GG549" i="9" s="1"/>
  <c r="GH549" i="9" s="1"/>
  <c r="GI549" i="9" s="1"/>
  <c r="BZ549" i="9" s="1"/>
  <c r="FZ532" i="9"/>
  <c r="GA532" i="9" s="1"/>
  <c r="GB532" i="9" s="1"/>
  <c r="GC532" i="9" s="1"/>
  <c r="GD532" i="9" s="1"/>
  <c r="GE532" i="9" s="1"/>
  <c r="GF532" i="9" s="1"/>
  <c r="GG532" i="9" s="1"/>
  <c r="GH532" i="9" s="1"/>
  <c r="GI532" i="9" s="1"/>
  <c r="BZ532" i="9" s="1"/>
  <c r="FT532" i="9" s="1"/>
  <c r="CA532" i="9" s="1"/>
  <c r="FZ521" i="9"/>
  <c r="GA521" i="9" s="1"/>
  <c r="GB521" i="9" s="1"/>
  <c r="GC521" i="9" s="1"/>
  <c r="GD521" i="9" s="1"/>
  <c r="GE521" i="9" s="1"/>
  <c r="GF521" i="9" s="1"/>
  <c r="GG521" i="9" s="1"/>
  <c r="GH521" i="9" s="1"/>
  <c r="GI521" i="9" s="1"/>
  <c r="BZ521" i="9" s="1"/>
  <c r="FT521" i="9" s="1"/>
  <c r="CA521" i="9" s="1"/>
  <c r="FZ515" i="9"/>
  <c r="GA515" i="9" s="1"/>
  <c r="GB515" i="9" s="1"/>
  <c r="GC515" i="9" s="1"/>
  <c r="GD515" i="9" s="1"/>
  <c r="GE515" i="9" s="1"/>
  <c r="GF515" i="9" s="1"/>
  <c r="GG515" i="9" s="1"/>
  <c r="FZ503" i="9"/>
  <c r="GA503" i="9" s="1"/>
  <c r="GB503" i="9" s="1"/>
  <c r="GC503" i="9" s="1"/>
  <c r="GD503" i="9" s="1"/>
  <c r="GE503" i="9" s="1"/>
  <c r="GF503" i="9" s="1"/>
  <c r="GG503" i="9" s="1"/>
  <c r="GH503" i="9" s="1"/>
  <c r="GI503" i="9" s="1"/>
  <c r="BZ503" i="9" s="1"/>
  <c r="FZ427" i="9"/>
  <c r="GA427" i="9" s="1"/>
  <c r="GB427" i="9" s="1"/>
  <c r="GC427" i="9" s="1"/>
  <c r="GD427" i="9" s="1"/>
  <c r="GE427" i="9" s="1"/>
  <c r="GF427" i="9" s="1"/>
  <c r="GG427" i="9" s="1"/>
  <c r="GH427" i="9" s="1"/>
  <c r="GI427" i="9" s="1"/>
  <c r="BZ427" i="9" s="1"/>
  <c r="FZ419" i="9"/>
  <c r="GA419" i="9" s="1"/>
  <c r="GB419" i="9" s="1"/>
  <c r="GC419" i="9" s="1"/>
  <c r="GD419" i="9" s="1"/>
  <c r="GE419" i="9" s="1"/>
  <c r="GF419" i="9" s="1"/>
  <c r="GG419" i="9" s="1"/>
  <c r="GH419" i="9" s="1"/>
  <c r="GI419" i="9" s="1"/>
  <c r="BZ419" i="9" s="1"/>
  <c r="FZ331" i="9"/>
  <c r="GA331" i="9" s="1"/>
  <c r="GB331" i="9" s="1"/>
  <c r="GC331" i="9" s="1"/>
  <c r="GD331" i="9" s="1"/>
  <c r="GE331" i="9" s="1"/>
  <c r="GF331" i="9" s="1"/>
  <c r="GG331" i="9" s="1"/>
  <c r="GH331" i="9" s="1"/>
  <c r="GI331" i="9" s="1"/>
  <c r="BZ331" i="9" s="1"/>
  <c r="FT331" i="9" s="1"/>
  <c r="CA331" i="9" s="1"/>
  <c r="FZ260" i="9"/>
  <c r="GA260" i="9" s="1"/>
  <c r="GB260" i="9" s="1"/>
  <c r="GC260" i="9" s="1"/>
  <c r="GD260" i="9" s="1"/>
  <c r="GE260" i="9" s="1"/>
  <c r="GF260" i="9" s="1"/>
  <c r="GG260" i="9" s="1"/>
  <c r="GH260" i="9" s="1"/>
  <c r="GI260" i="9" s="1"/>
  <c r="BZ260" i="9" s="1"/>
  <c r="FZ182" i="9"/>
  <c r="GA182" i="9" s="1"/>
  <c r="GB182" i="9" s="1"/>
  <c r="GC182" i="9" s="1"/>
  <c r="GD182" i="9" s="1"/>
  <c r="GE182" i="9" s="1"/>
  <c r="GF182" i="9" s="1"/>
  <c r="GG182" i="9" s="1"/>
  <c r="GH182" i="9" s="1"/>
  <c r="GI182" i="9" s="1"/>
  <c r="BZ182" i="9" s="1"/>
  <c r="FZ143" i="9"/>
  <c r="GA143" i="9" s="1"/>
  <c r="GB143" i="9" s="1"/>
  <c r="GC143" i="9" s="1"/>
  <c r="GD143" i="9" s="1"/>
  <c r="GE143" i="9" s="1"/>
  <c r="GF143" i="9" s="1"/>
  <c r="GG143" i="9" s="1"/>
  <c r="GH143" i="9" s="1"/>
  <c r="FZ84" i="9"/>
  <c r="GA84" i="9" s="1"/>
  <c r="GB84" i="9" s="1"/>
  <c r="GC84" i="9" s="1"/>
  <c r="GD84" i="9" s="1"/>
  <c r="GE84" i="9" s="1"/>
  <c r="GF84" i="9" s="1"/>
  <c r="GG84" i="9" s="1"/>
  <c r="GY205" i="9"/>
  <c r="GZ205" i="9" s="1"/>
  <c r="HH205" i="9" s="1"/>
  <c r="CF205" i="9" s="1"/>
  <c r="GY188" i="9"/>
  <c r="GZ188" i="9" s="1"/>
  <c r="HH188" i="9" s="1"/>
  <c r="CF188" i="9" s="1"/>
  <c r="GY178" i="9"/>
  <c r="GZ178" i="9" s="1"/>
  <c r="HH178" i="9" s="1"/>
  <c r="CF178" i="9" s="1"/>
  <c r="GQ174" i="9"/>
  <c r="GR174" i="9" s="1"/>
  <c r="GS174" i="9" s="1"/>
  <c r="GT174" i="9" s="1"/>
  <c r="GU174" i="9" s="1"/>
  <c r="GV174" i="9" s="1"/>
  <c r="GQ162" i="9"/>
  <c r="GR162" i="9" s="1"/>
  <c r="GS162" i="9" s="1"/>
  <c r="GT162" i="9" s="1"/>
  <c r="GU162" i="9" s="1"/>
  <c r="GV162" i="9" s="1"/>
  <c r="GQ159" i="9"/>
  <c r="GR159" i="9" s="1"/>
  <c r="GS159" i="9" s="1"/>
  <c r="GT159" i="9" s="1"/>
  <c r="GU159" i="9" s="1"/>
  <c r="GV159" i="9" s="1"/>
  <c r="GY151" i="9"/>
  <c r="GZ151" i="9" s="1"/>
  <c r="HH151" i="9" s="1"/>
  <c r="CF151" i="9" s="1"/>
  <c r="GY144" i="9"/>
  <c r="GZ144" i="9" s="1"/>
  <c r="HH144" i="9" s="1"/>
  <c r="CF144" i="9" s="1"/>
  <c r="GY141" i="9"/>
  <c r="GZ141" i="9" s="1"/>
  <c r="HH141" i="9" s="1"/>
  <c r="CF141" i="9" s="1"/>
  <c r="GY135" i="9"/>
  <c r="GZ135" i="9" s="1"/>
  <c r="HH135" i="9" s="1"/>
  <c r="CF135" i="9" s="1"/>
  <c r="FZ689" i="9"/>
  <c r="GA689" i="9" s="1"/>
  <c r="GB689" i="9" s="1"/>
  <c r="GC689" i="9" s="1"/>
  <c r="GD689" i="9" s="1"/>
  <c r="GE689" i="9" s="1"/>
  <c r="GF689" i="9" s="1"/>
  <c r="GG689" i="9" s="1"/>
  <c r="GH689" i="9" s="1"/>
  <c r="GI689" i="9" s="1"/>
  <c r="BZ689" i="9" s="1"/>
  <c r="FT689" i="9" s="1"/>
  <c r="CA689" i="9" s="1"/>
  <c r="FZ682" i="9"/>
  <c r="GA682" i="9" s="1"/>
  <c r="GB682" i="9" s="1"/>
  <c r="GC682" i="9" s="1"/>
  <c r="GD682" i="9" s="1"/>
  <c r="GE682" i="9" s="1"/>
  <c r="GF682" i="9" s="1"/>
  <c r="GG682" i="9" s="1"/>
  <c r="FZ662" i="9"/>
  <c r="GA662" i="9" s="1"/>
  <c r="GB662" i="9" s="1"/>
  <c r="GC662" i="9" s="1"/>
  <c r="GD662" i="9" s="1"/>
  <c r="GE662" i="9" s="1"/>
  <c r="GF662" i="9" s="1"/>
  <c r="GG662" i="9" s="1"/>
  <c r="GH662" i="9" s="1"/>
  <c r="GI662" i="9" s="1"/>
  <c r="BZ662" i="9" s="1"/>
  <c r="FT662" i="9" s="1"/>
  <c r="CA662" i="9" s="1"/>
  <c r="FZ641" i="9"/>
  <c r="GA641" i="9" s="1"/>
  <c r="GB641" i="9" s="1"/>
  <c r="GC641" i="9" s="1"/>
  <c r="GD641" i="9" s="1"/>
  <c r="GE641" i="9" s="1"/>
  <c r="GF641" i="9" s="1"/>
  <c r="GG641" i="9" s="1"/>
  <c r="GH641" i="9" s="1"/>
  <c r="GI641" i="9" s="1"/>
  <c r="BZ641" i="9" s="1"/>
  <c r="FZ635" i="9"/>
  <c r="GA635" i="9" s="1"/>
  <c r="GB635" i="9" s="1"/>
  <c r="GC635" i="9" s="1"/>
  <c r="GD635" i="9" s="1"/>
  <c r="GE635" i="9" s="1"/>
  <c r="GF635" i="9" s="1"/>
  <c r="GG635" i="9" s="1"/>
  <c r="GH635" i="9" s="1"/>
  <c r="GI635" i="9" s="1"/>
  <c r="BZ635" i="9" s="1"/>
  <c r="FT635" i="9" s="1"/>
  <c r="CA635" i="9" s="1"/>
  <c r="FZ628" i="9"/>
  <c r="GA628" i="9" s="1"/>
  <c r="GB628" i="9" s="1"/>
  <c r="GC628" i="9" s="1"/>
  <c r="GD628" i="9" s="1"/>
  <c r="GE628" i="9" s="1"/>
  <c r="GF628" i="9" s="1"/>
  <c r="GG628" i="9" s="1"/>
  <c r="GH628" i="9" s="1"/>
  <c r="GI628" i="9" s="1"/>
  <c r="BZ628" i="9" s="1"/>
  <c r="FT628" i="9" s="1"/>
  <c r="CA628" i="9" s="1"/>
  <c r="FZ622" i="9"/>
  <c r="GA622" i="9" s="1"/>
  <c r="GB622" i="9" s="1"/>
  <c r="GC622" i="9" s="1"/>
  <c r="GD622" i="9" s="1"/>
  <c r="GE622" i="9" s="1"/>
  <c r="GF622" i="9" s="1"/>
  <c r="GG622" i="9" s="1"/>
  <c r="GH622" i="9" s="1"/>
  <c r="GI622" i="9" s="1"/>
  <c r="BZ622" i="9" s="1"/>
  <c r="FT622" i="9" s="1"/>
  <c r="CA622" i="9" s="1"/>
  <c r="FZ616" i="9"/>
  <c r="GA616" i="9" s="1"/>
  <c r="GB616" i="9" s="1"/>
  <c r="GC616" i="9" s="1"/>
  <c r="GD616" i="9" s="1"/>
  <c r="GE616" i="9" s="1"/>
  <c r="GF616" i="9" s="1"/>
  <c r="GG616" i="9" s="1"/>
  <c r="FZ555" i="9"/>
  <c r="GA555" i="9" s="1"/>
  <c r="GB555" i="9" s="1"/>
  <c r="GC555" i="9" s="1"/>
  <c r="GD555" i="9" s="1"/>
  <c r="GE555" i="9" s="1"/>
  <c r="GF555" i="9" s="1"/>
  <c r="GG555" i="9" s="1"/>
  <c r="FZ531" i="9"/>
  <c r="GA531" i="9" s="1"/>
  <c r="GB531" i="9" s="1"/>
  <c r="GC531" i="9" s="1"/>
  <c r="GD531" i="9" s="1"/>
  <c r="GE531" i="9" s="1"/>
  <c r="GF531" i="9" s="1"/>
  <c r="GG531" i="9" s="1"/>
  <c r="GH531" i="9" s="1"/>
  <c r="GI531" i="9" s="1"/>
  <c r="BZ531" i="9" s="1"/>
  <c r="FZ451" i="9"/>
  <c r="GA451" i="9" s="1"/>
  <c r="GB451" i="9" s="1"/>
  <c r="GC451" i="9" s="1"/>
  <c r="GD451" i="9" s="1"/>
  <c r="GE451" i="9" s="1"/>
  <c r="GF451" i="9" s="1"/>
  <c r="GG451" i="9" s="1"/>
  <c r="GH451" i="9" s="1"/>
  <c r="GI451" i="9" s="1"/>
  <c r="BZ451" i="9" s="1"/>
  <c r="FT451" i="9" s="1"/>
  <c r="CA451" i="9" s="1"/>
  <c r="FZ445" i="9"/>
  <c r="GA445" i="9" s="1"/>
  <c r="GB445" i="9" s="1"/>
  <c r="GC445" i="9" s="1"/>
  <c r="GD445" i="9" s="1"/>
  <c r="GE445" i="9" s="1"/>
  <c r="GF445" i="9" s="1"/>
  <c r="GG445" i="9" s="1"/>
  <c r="GH445" i="9" s="1"/>
  <c r="GI445" i="9" s="1"/>
  <c r="BZ445" i="9" s="1"/>
  <c r="FZ440" i="9"/>
  <c r="GA440" i="9" s="1"/>
  <c r="GB440" i="9" s="1"/>
  <c r="GC440" i="9" s="1"/>
  <c r="GD440" i="9" s="1"/>
  <c r="GE440" i="9" s="1"/>
  <c r="GF440" i="9" s="1"/>
  <c r="GG440" i="9" s="1"/>
  <c r="GH440" i="9" s="1"/>
  <c r="GI440" i="9" s="1"/>
  <c r="BZ440" i="9" s="1"/>
  <c r="FT440" i="9" s="1"/>
  <c r="CA440" i="9" s="1"/>
  <c r="FZ330" i="9"/>
  <c r="GA330" i="9" s="1"/>
  <c r="GB330" i="9" s="1"/>
  <c r="GC330" i="9" s="1"/>
  <c r="GD330" i="9" s="1"/>
  <c r="GE330" i="9" s="1"/>
  <c r="GF330" i="9" s="1"/>
  <c r="GG330" i="9" s="1"/>
  <c r="GH330" i="9" s="1"/>
  <c r="GI330" i="9" s="1"/>
  <c r="BZ330" i="9" s="1"/>
  <c r="FT330" i="9" s="1"/>
  <c r="CA330" i="9" s="1"/>
  <c r="FZ271" i="9"/>
  <c r="GA271" i="9" s="1"/>
  <c r="GB271" i="9" s="1"/>
  <c r="GC271" i="9" s="1"/>
  <c r="GD271" i="9" s="1"/>
  <c r="GE271" i="9" s="1"/>
  <c r="GF271" i="9" s="1"/>
  <c r="GG271" i="9" s="1"/>
  <c r="FZ259" i="9"/>
  <c r="GA259" i="9" s="1"/>
  <c r="GB259" i="9" s="1"/>
  <c r="GC259" i="9" s="1"/>
  <c r="GD259" i="9" s="1"/>
  <c r="GE259" i="9" s="1"/>
  <c r="GF259" i="9" s="1"/>
  <c r="GG259" i="9" s="1"/>
  <c r="GH259" i="9" s="1"/>
  <c r="GI259" i="9" s="1"/>
  <c r="BZ259" i="9" s="1"/>
  <c r="FZ150" i="9"/>
  <c r="GA150" i="9" s="1"/>
  <c r="GB150" i="9" s="1"/>
  <c r="GC150" i="9" s="1"/>
  <c r="GD150" i="9" s="1"/>
  <c r="GE150" i="9" s="1"/>
  <c r="GF150" i="9" s="1"/>
  <c r="GG150" i="9" s="1"/>
  <c r="GH150" i="9" s="1"/>
  <c r="FZ142" i="9"/>
  <c r="GA142" i="9" s="1"/>
  <c r="GB142" i="9" s="1"/>
  <c r="GC142" i="9" s="1"/>
  <c r="GD142" i="9" s="1"/>
  <c r="GE142" i="9" s="1"/>
  <c r="GF142" i="9" s="1"/>
  <c r="GG142" i="9" s="1"/>
  <c r="GH142" i="9" s="1"/>
  <c r="GY198" i="9"/>
  <c r="GZ198" i="9" s="1"/>
  <c r="HH198" i="9" s="1"/>
  <c r="CF198" i="9" s="1"/>
  <c r="GY192" i="9"/>
  <c r="GZ192" i="9" s="1"/>
  <c r="HH192" i="9" s="1"/>
  <c r="CF192" i="9" s="1"/>
  <c r="GQ189" i="9"/>
  <c r="GR189" i="9" s="1"/>
  <c r="GS189" i="9" s="1"/>
  <c r="GT189" i="9" s="1"/>
  <c r="GU189" i="9" s="1"/>
  <c r="GV189" i="9" s="1"/>
  <c r="GQ163" i="9"/>
  <c r="GR163" i="9" s="1"/>
  <c r="GS163" i="9" s="1"/>
  <c r="GT163" i="9" s="1"/>
  <c r="GU163" i="9" s="1"/>
  <c r="GV163" i="9" s="1"/>
  <c r="GY142" i="9"/>
  <c r="GY137" i="9"/>
  <c r="GZ137" i="9" s="1"/>
  <c r="HH137" i="9" s="1"/>
  <c r="CF137" i="9" s="1"/>
  <c r="FZ681" i="9"/>
  <c r="GA681" i="9" s="1"/>
  <c r="GB681" i="9" s="1"/>
  <c r="GC681" i="9" s="1"/>
  <c r="GD681" i="9" s="1"/>
  <c r="GE681" i="9" s="1"/>
  <c r="GF681" i="9" s="1"/>
  <c r="GG681" i="9" s="1"/>
  <c r="GH681" i="9" s="1"/>
  <c r="GI681" i="9" s="1"/>
  <c r="BZ681" i="9" s="1"/>
  <c r="FT681" i="9" s="1"/>
  <c r="CA681" i="9" s="1"/>
  <c r="FZ668" i="9"/>
  <c r="GA668" i="9" s="1"/>
  <c r="GB668" i="9" s="1"/>
  <c r="GC668" i="9" s="1"/>
  <c r="GD668" i="9" s="1"/>
  <c r="GE668" i="9" s="1"/>
  <c r="GF668" i="9" s="1"/>
  <c r="GG668" i="9" s="1"/>
  <c r="FZ651" i="9"/>
  <c r="GA651" i="9" s="1"/>
  <c r="GB651" i="9" s="1"/>
  <c r="GC651" i="9" s="1"/>
  <c r="GD651" i="9" s="1"/>
  <c r="GE651" i="9" s="1"/>
  <c r="GF651" i="9" s="1"/>
  <c r="GG651" i="9" s="1"/>
  <c r="GH651" i="9" s="1"/>
  <c r="GI651" i="9" s="1"/>
  <c r="BZ651" i="9" s="1"/>
  <c r="FZ627" i="9"/>
  <c r="GA627" i="9" s="1"/>
  <c r="GB627" i="9" s="1"/>
  <c r="GC627" i="9" s="1"/>
  <c r="GD627" i="9" s="1"/>
  <c r="GE627" i="9" s="1"/>
  <c r="GF627" i="9" s="1"/>
  <c r="GG627" i="9" s="1"/>
  <c r="GH627" i="9" s="1"/>
  <c r="GI627" i="9" s="1"/>
  <c r="BZ627" i="9" s="1"/>
  <c r="FZ621" i="9"/>
  <c r="GA621" i="9" s="1"/>
  <c r="GB621" i="9" s="1"/>
  <c r="GC621" i="9" s="1"/>
  <c r="GD621" i="9" s="1"/>
  <c r="GE621" i="9" s="1"/>
  <c r="GF621" i="9" s="1"/>
  <c r="GG621" i="9" s="1"/>
  <c r="GH621" i="9" s="1"/>
  <c r="GI621" i="9" s="1"/>
  <c r="BZ621" i="9" s="1"/>
  <c r="FZ554" i="9"/>
  <c r="GA554" i="9" s="1"/>
  <c r="GB554" i="9" s="1"/>
  <c r="GC554" i="9" s="1"/>
  <c r="GD554" i="9" s="1"/>
  <c r="GE554" i="9" s="1"/>
  <c r="GF554" i="9" s="1"/>
  <c r="GG554" i="9" s="1"/>
  <c r="FZ548" i="9"/>
  <c r="GA548" i="9" s="1"/>
  <c r="GB548" i="9" s="1"/>
  <c r="GC548" i="9" s="1"/>
  <c r="GD548" i="9" s="1"/>
  <c r="GE548" i="9" s="1"/>
  <c r="GF548" i="9" s="1"/>
  <c r="GG548" i="9" s="1"/>
  <c r="GH548" i="9" s="1"/>
  <c r="GI548" i="9" s="1"/>
  <c r="BZ548" i="9" s="1"/>
  <c r="FZ542" i="9"/>
  <c r="GA542" i="9" s="1"/>
  <c r="GB542" i="9" s="1"/>
  <c r="GC542" i="9" s="1"/>
  <c r="GD542" i="9" s="1"/>
  <c r="GE542" i="9" s="1"/>
  <c r="GF542" i="9" s="1"/>
  <c r="GG542" i="9" s="1"/>
  <c r="GH542" i="9" s="1"/>
  <c r="GI542" i="9" s="1"/>
  <c r="BZ542" i="9" s="1"/>
  <c r="FZ530" i="9"/>
  <c r="GA530" i="9" s="1"/>
  <c r="GB530" i="9" s="1"/>
  <c r="GC530" i="9" s="1"/>
  <c r="GD530" i="9" s="1"/>
  <c r="GE530" i="9" s="1"/>
  <c r="GF530" i="9" s="1"/>
  <c r="GG530" i="9" s="1"/>
  <c r="FZ525" i="9"/>
  <c r="GA525" i="9" s="1"/>
  <c r="GB525" i="9" s="1"/>
  <c r="GC525" i="9" s="1"/>
  <c r="GD525" i="9" s="1"/>
  <c r="GE525" i="9" s="1"/>
  <c r="GF525" i="9" s="1"/>
  <c r="GG525" i="9" s="1"/>
  <c r="FZ450" i="9"/>
  <c r="GA450" i="9" s="1"/>
  <c r="GB450" i="9" s="1"/>
  <c r="GC450" i="9" s="1"/>
  <c r="GD450" i="9" s="1"/>
  <c r="GE450" i="9" s="1"/>
  <c r="GF450" i="9" s="1"/>
  <c r="GG450" i="9" s="1"/>
  <c r="FZ439" i="9"/>
  <c r="GA439" i="9" s="1"/>
  <c r="GB439" i="9" s="1"/>
  <c r="GC439" i="9" s="1"/>
  <c r="GD439" i="9" s="1"/>
  <c r="GE439" i="9" s="1"/>
  <c r="GF439" i="9" s="1"/>
  <c r="GG439" i="9" s="1"/>
  <c r="GH439" i="9" s="1"/>
  <c r="GI439" i="9" s="1"/>
  <c r="BZ439" i="9" s="1"/>
  <c r="FT439" i="9" s="1"/>
  <c r="CA439" i="9" s="1"/>
  <c r="FZ329" i="9"/>
  <c r="GA329" i="9" s="1"/>
  <c r="GB329" i="9" s="1"/>
  <c r="GC329" i="9" s="1"/>
  <c r="GD329" i="9" s="1"/>
  <c r="GE329" i="9" s="1"/>
  <c r="GF329" i="9" s="1"/>
  <c r="GG329" i="9" s="1"/>
  <c r="GH329" i="9" s="1"/>
  <c r="GI329" i="9" s="1"/>
  <c r="BZ329" i="9" s="1"/>
  <c r="FZ302" i="9"/>
  <c r="GA302" i="9" s="1"/>
  <c r="GB302" i="9" s="1"/>
  <c r="GC302" i="9" s="1"/>
  <c r="GD302" i="9" s="1"/>
  <c r="GE302" i="9" s="1"/>
  <c r="GF302" i="9" s="1"/>
  <c r="GG302" i="9" s="1"/>
  <c r="GH302" i="9" s="1"/>
  <c r="GI302" i="9" s="1"/>
  <c r="BZ302" i="9" s="1"/>
  <c r="FT302" i="9" s="1"/>
  <c r="CA302" i="9" s="1"/>
  <c r="FZ270" i="9"/>
  <c r="GA270" i="9" s="1"/>
  <c r="GB270" i="9" s="1"/>
  <c r="GC270" i="9" s="1"/>
  <c r="GD270" i="9" s="1"/>
  <c r="GE270" i="9" s="1"/>
  <c r="GF270" i="9" s="1"/>
  <c r="GG270" i="9" s="1"/>
  <c r="GH270" i="9" s="1"/>
  <c r="GI270" i="9" s="1"/>
  <c r="BZ270" i="9" s="1"/>
  <c r="FZ193" i="9"/>
  <c r="GA193" i="9" s="1"/>
  <c r="GB193" i="9" s="1"/>
  <c r="GC193" i="9" s="1"/>
  <c r="GD193" i="9" s="1"/>
  <c r="GE193" i="9" s="1"/>
  <c r="GF193" i="9" s="1"/>
  <c r="GG193" i="9" s="1"/>
  <c r="GH193" i="9" s="1"/>
  <c r="FZ186" i="9"/>
  <c r="GA186" i="9" s="1"/>
  <c r="GB186" i="9" s="1"/>
  <c r="GC186" i="9" s="1"/>
  <c r="GD186" i="9" s="1"/>
  <c r="GE186" i="9" s="1"/>
  <c r="GF186" i="9" s="1"/>
  <c r="GG186" i="9" s="1"/>
  <c r="GH186" i="9" s="1"/>
  <c r="FZ175" i="9"/>
  <c r="GA175" i="9" s="1"/>
  <c r="GB175" i="9" s="1"/>
  <c r="GC175" i="9" s="1"/>
  <c r="GD175" i="9" s="1"/>
  <c r="GE175" i="9" s="1"/>
  <c r="GF175" i="9" s="1"/>
  <c r="GG175" i="9" s="1"/>
  <c r="GH175" i="9" s="1"/>
  <c r="FZ162" i="9"/>
  <c r="GA162" i="9" s="1"/>
  <c r="GB162" i="9" s="1"/>
  <c r="GC162" i="9" s="1"/>
  <c r="GD162" i="9" s="1"/>
  <c r="GE162" i="9" s="1"/>
  <c r="GF162" i="9" s="1"/>
  <c r="GG162" i="9" s="1"/>
  <c r="GH162" i="9" s="1"/>
  <c r="GI162" i="9" s="1"/>
  <c r="BZ162" i="9" s="1"/>
  <c r="FZ141" i="9"/>
  <c r="GA141" i="9" s="1"/>
  <c r="GB141" i="9" s="1"/>
  <c r="GC141" i="9" s="1"/>
  <c r="GD141" i="9" s="1"/>
  <c r="GE141" i="9" s="1"/>
  <c r="GF141" i="9" s="1"/>
  <c r="GG141" i="9" s="1"/>
  <c r="GH141" i="9" s="1"/>
  <c r="GQ205" i="9"/>
  <c r="GR205" i="9" s="1"/>
  <c r="GS205" i="9" s="1"/>
  <c r="GT205" i="9" s="1"/>
  <c r="GU205" i="9" s="1"/>
  <c r="GV205" i="9" s="1"/>
  <c r="GQ200" i="9"/>
  <c r="GR200" i="9" s="1"/>
  <c r="GS200" i="9" s="1"/>
  <c r="GT200" i="9" s="1"/>
  <c r="GU200" i="9" s="1"/>
  <c r="GV200" i="9" s="1"/>
  <c r="GY191" i="9"/>
  <c r="GZ191" i="9" s="1"/>
  <c r="HH191" i="9" s="1"/>
  <c r="CF191" i="9" s="1"/>
  <c r="GY169" i="9"/>
  <c r="GZ169" i="9" s="1"/>
  <c r="HH169" i="9" s="1"/>
  <c r="CF169" i="9" s="1"/>
  <c r="GQ166" i="9"/>
  <c r="GR166" i="9" s="1"/>
  <c r="GS166" i="9" s="1"/>
  <c r="GT166" i="9" s="1"/>
  <c r="GU166" i="9" s="1"/>
  <c r="GV166" i="9" s="1"/>
  <c r="GQ151" i="9"/>
  <c r="GR151" i="9" s="1"/>
  <c r="GS151" i="9" s="1"/>
  <c r="GT151" i="9" s="1"/>
  <c r="GU151" i="9" s="1"/>
  <c r="GV151" i="9" s="1"/>
  <c r="GQ150" i="9"/>
  <c r="GR150" i="9" s="1"/>
  <c r="GS150" i="9" s="1"/>
  <c r="GT150" i="9" s="1"/>
  <c r="GU150" i="9" s="1"/>
  <c r="GV150" i="9" s="1"/>
  <c r="GQ143" i="9"/>
  <c r="GR143" i="9" s="1"/>
  <c r="GS143" i="9" s="1"/>
  <c r="GT143" i="9" s="1"/>
  <c r="GU143" i="9" s="1"/>
  <c r="GV143" i="9" s="1"/>
  <c r="FZ680" i="9"/>
  <c r="GA680" i="9" s="1"/>
  <c r="GB680" i="9" s="1"/>
  <c r="GC680" i="9" s="1"/>
  <c r="GD680" i="9" s="1"/>
  <c r="GE680" i="9" s="1"/>
  <c r="GF680" i="9" s="1"/>
  <c r="GG680" i="9" s="1"/>
  <c r="FZ674" i="9"/>
  <c r="GA674" i="9" s="1"/>
  <c r="GB674" i="9" s="1"/>
  <c r="GC674" i="9" s="1"/>
  <c r="GD674" i="9" s="1"/>
  <c r="GE674" i="9" s="1"/>
  <c r="GF674" i="9" s="1"/>
  <c r="GG674" i="9" s="1"/>
  <c r="FZ667" i="9"/>
  <c r="GA667" i="9" s="1"/>
  <c r="GB667" i="9" s="1"/>
  <c r="GC667" i="9" s="1"/>
  <c r="GD667" i="9" s="1"/>
  <c r="GE667" i="9" s="1"/>
  <c r="GF667" i="9" s="1"/>
  <c r="GG667" i="9" s="1"/>
  <c r="FZ650" i="9"/>
  <c r="GA650" i="9" s="1"/>
  <c r="GB650" i="9" s="1"/>
  <c r="GC650" i="9" s="1"/>
  <c r="GD650" i="9" s="1"/>
  <c r="GE650" i="9" s="1"/>
  <c r="GF650" i="9" s="1"/>
  <c r="GG650" i="9" s="1"/>
  <c r="GH650" i="9" s="1"/>
  <c r="GI650" i="9" s="1"/>
  <c r="BZ650" i="9" s="1"/>
  <c r="FT650" i="9" s="1"/>
  <c r="CA650" i="9" s="1"/>
  <c r="FZ640" i="9"/>
  <c r="GA640" i="9" s="1"/>
  <c r="GB640" i="9" s="1"/>
  <c r="GC640" i="9" s="1"/>
  <c r="GD640" i="9" s="1"/>
  <c r="GE640" i="9" s="1"/>
  <c r="GF640" i="9" s="1"/>
  <c r="GG640" i="9" s="1"/>
  <c r="FZ626" i="9"/>
  <c r="GA626" i="9" s="1"/>
  <c r="GB626" i="9" s="1"/>
  <c r="GC626" i="9" s="1"/>
  <c r="GD626" i="9" s="1"/>
  <c r="GE626" i="9" s="1"/>
  <c r="GF626" i="9" s="1"/>
  <c r="GG626" i="9" s="1"/>
  <c r="FZ565" i="9"/>
  <c r="GA565" i="9" s="1"/>
  <c r="GB565" i="9" s="1"/>
  <c r="GC565" i="9" s="1"/>
  <c r="GD565" i="9" s="1"/>
  <c r="GE565" i="9" s="1"/>
  <c r="GF565" i="9" s="1"/>
  <c r="GG565" i="9" s="1"/>
  <c r="GH565" i="9" s="1"/>
  <c r="GI565" i="9" s="1"/>
  <c r="BZ565" i="9" s="1"/>
  <c r="FT565" i="9" s="1"/>
  <c r="CA565" i="9" s="1"/>
  <c r="FZ559" i="9"/>
  <c r="GA559" i="9" s="1"/>
  <c r="GB559" i="9" s="1"/>
  <c r="GC559" i="9" s="1"/>
  <c r="GD559" i="9" s="1"/>
  <c r="GE559" i="9" s="1"/>
  <c r="GF559" i="9" s="1"/>
  <c r="GG559" i="9" s="1"/>
  <c r="FZ547" i="9"/>
  <c r="GA547" i="9" s="1"/>
  <c r="GB547" i="9" s="1"/>
  <c r="GC547" i="9" s="1"/>
  <c r="GD547" i="9" s="1"/>
  <c r="GE547" i="9" s="1"/>
  <c r="GF547" i="9" s="1"/>
  <c r="GG547" i="9" s="1"/>
  <c r="GH547" i="9" s="1"/>
  <c r="GI547" i="9" s="1"/>
  <c r="BZ547" i="9" s="1"/>
  <c r="FZ535" i="9"/>
  <c r="GA535" i="9" s="1"/>
  <c r="GB535" i="9" s="1"/>
  <c r="GC535" i="9" s="1"/>
  <c r="GD535" i="9" s="1"/>
  <c r="GE535" i="9" s="1"/>
  <c r="GF535" i="9" s="1"/>
  <c r="GG535" i="9" s="1"/>
  <c r="GH535" i="9" s="1"/>
  <c r="GI535" i="9" s="1"/>
  <c r="BZ535" i="9" s="1"/>
  <c r="FZ438" i="9"/>
  <c r="GA438" i="9" s="1"/>
  <c r="GB438" i="9" s="1"/>
  <c r="GC438" i="9" s="1"/>
  <c r="GD438" i="9" s="1"/>
  <c r="GE438" i="9" s="1"/>
  <c r="GF438" i="9" s="1"/>
  <c r="GG438" i="9" s="1"/>
  <c r="GH438" i="9" s="1"/>
  <c r="GI438" i="9" s="1"/>
  <c r="BZ438" i="9" s="1"/>
  <c r="FZ424" i="9"/>
  <c r="GA424" i="9" s="1"/>
  <c r="GB424" i="9" s="1"/>
  <c r="GC424" i="9" s="1"/>
  <c r="GD424" i="9" s="1"/>
  <c r="GE424" i="9" s="1"/>
  <c r="GF424" i="9" s="1"/>
  <c r="GG424" i="9" s="1"/>
  <c r="GH424" i="9" s="1"/>
  <c r="GI424" i="9" s="1"/>
  <c r="BZ424" i="9" s="1"/>
  <c r="FT424" i="9" s="1"/>
  <c r="CA424" i="9" s="1"/>
  <c r="FZ295" i="9"/>
  <c r="GA295" i="9" s="1"/>
  <c r="GB295" i="9" s="1"/>
  <c r="GC295" i="9" s="1"/>
  <c r="GD295" i="9" s="1"/>
  <c r="GE295" i="9" s="1"/>
  <c r="GF295" i="9" s="1"/>
  <c r="GG295" i="9" s="1"/>
  <c r="GH295" i="9" s="1"/>
  <c r="GI295" i="9" s="1"/>
  <c r="BZ295" i="9" s="1"/>
  <c r="FT295" i="9" s="1"/>
  <c r="CA295" i="9" s="1"/>
  <c r="FZ289" i="9"/>
  <c r="GA289" i="9" s="1"/>
  <c r="GB289" i="9" s="1"/>
  <c r="GC289" i="9" s="1"/>
  <c r="GD289" i="9" s="1"/>
  <c r="GE289" i="9" s="1"/>
  <c r="GF289" i="9" s="1"/>
  <c r="GG289" i="9" s="1"/>
  <c r="GH289" i="9" s="1"/>
  <c r="GI289" i="9" s="1"/>
  <c r="BZ289" i="9" s="1"/>
  <c r="FZ269" i="9"/>
  <c r="GA269" i="9" s="1"/>
  <c r="GB269" i="9" s="1"/>
  <c r="GC269" i="9" s="1"/>
  <c r="GD269" i="9" s="1"/>
  <c r="GE269" i="9" s="1"/>
  <c r="GF269" i="9" s="1"/>
  <c r="GG269" i="9" s="1"/>
  <c r="GH269" i="9" s="1"/>
  <c r="GI269" i="9" s="1"/>
  <c r="BZ269" i="9" s="1"/>
  <c r="FZ206" i="9"/>
  <c r="GA206" i="9" s="1"/>
  <c r="GB206" i="9" s="1"/>
  <c r="GC206" i="9" s="1"/>
  <c r="GD206" i="9" s="1"/>
  <c r="GE206" i="9" s="1"/>
  <c r="GF206" i="9" s="1"/>
  <c r="GG206" i="9" s="1"/>
  <c r="GH206" i="9" s="1"/>
  <c r="FZ199" i="9"/>
  <c r="GA199" i="9" s="1"/>
  <c r="GB199" i="9" s="1"/>
  <c r="GC199" i="9" s="1"/>
  <c r="GD199" i="9" s="1"/>
  <c r="GE199" i="9" s="1"/>
  <c r="GF199" i="9" s="1"/>
  <c r="GG199" i="9" s="1"/>
  <c r="GH199" i="9" s="1"/>
  <c r="FZ566" i="9"/>
  <c r="GA566" i="9" s="1"/>
  <c r="GB566" i="9" s="1"/>
  <c r="GC566" i="9" s="1"/>
  <c r="GD566" i="9" s="1"/>
  <c r="GE566" i="9" s="1"/>
  <c r="GF566" i="9" s="1"/>
  <c r="GG566" i="9" s="1"/>
  <c r="GH566" i="9" s="1"/>
  <c r="GI566" i="9" s="1"/>
  <c r="BZ566" i="9" s="1"/>
  <c r="FT566" i="9" s="1"/>
  <c r="CA566" i="9" s="1"/>
  <c r="FZ560" i="9"/>
  <c r="GA560" i="9" s="1"/>
  <c r="GB560" i="9" s="1"/>
  <c r="GC560" i="9" s="1"/>
  <c r="GD560" i="9" s="1"/>
  <c r="GE560" i="9" s="1"/>
  <c r="GF560" i="9" s="1"/>
  <c r="GG560" i="9" s="1"/>
  <c r="FZ537" i="9"/>
  <c r="GA537" i="9" s="1"/>
  <c r="GB537" i="9" s="1"/>
  <c r="GC537" i="9" s="1"/>
  <c r="GD537" i="9" s="1"/>
  <c r="GE537" i="9" s="1"/>
  <c r="GF537" i="9" s="1"/>
  <c r="GG537" i="9" s="1"/>
  <c r="FZ527" i="9"/>
  <c r="GA527" i="9" s="1"/>
  <c r="GB527" i="9" s="1"/>
  <c r="GC527" i="9" s="1"/>
  <c r="GD527" i="9" s="1"/>
  <c r="GE527" i="9" s="1"/>
  <c r="GF527" i="9" s="1"/>
  <c r="GG527" i="9" s="1"/>
  <c r="FZ516" i="9"/>
  <c r="GA516" i="9" s="1"/>
  <c r="GB516" i="9" s="1"/>
  <c r="GC516" i="9" s="1"/>
  <c r="GD516" i="9" s="1"/>
  <c r="GE516" i="9" s="1"/>
  <c r="GF516" i="9" s="1"/>
  <c r="GG516" i="9" s="1"/>
  <c r="GH516" i="9" s="1"/>
  <c r="GI516" i="9" s="1"/>
  <c r="BZ516" i="9" s="1"/>
  <c r="FT516" i="9" s="1"/>
  <c r="CA516" i="9" s="1"/>
  <c r="FZ510" i="9"/>
  <c r="GA510" i="9" s="1"/>
  <c r="GB510" i="9" s="1"/>
  <c r="GC510" i="9" s="1"/>
  <c r="GD510" i="9" s="1"/>
  <c r="GE510" i="9" s="1"/>
  <c r="GF510" i="9" s="1"/>
  <c r="GG510" i="9" s="1"/>
  <c r="FZ506" i="9"/>
  <c r="GA506" i="9" s="1"/>
  <c r="GB506" i="9" s="1"/>
  <c r="GC506" i="9" s="1"/>
  <c r="GD506" i="9" s="1"/>
  <c r="GE506" i="9" s="1"/>
  <c r="GF506" i="9" s="1"/>
  <c r="GG506" i="9" s="1"/>
  <c r="GH506" i="9" s="1"/>
  <c r="GI506" i="9" s="1"/>
  <c r="BZ506" i="9" s="1"/>
  <c r="FT506" i="9" s="1"/>
  <c r="CA506" i="9" s="1"/>
  <c r="FZ501" i="9"/>
  <c r="GA501" i="9" s="1"/>
  <c r="GB501" i="9" s="1"/>
  <c r="GC501" i="9" s="1"/>
  <c r="GD501" i="9" s="1"/>
  <c r="GE501" i="9" s="1"/>
  <c r="GF501" i="9" s="1"/>
  <c r="GG501" i="9" s="1"/>
  <c r="GH501" i="9" s="1"/>
  <c r="GI501" i="9" s="1"/>
  <c r="BZ501" i="9" s="1"/>
  <c r="FZ441" i="9"/>
  <c r="GA441" i="9" s="1"/>
  <c r="GB441" i="9" s="1"/>
  <c r="GC441" i="9" s="1"/>
  <c r="GD441" i="9" s="1"/>
  <c r="GE441" i="9" s="1"/>
  <c r="GF441" i="9" s="1"/>
  <c r="GG441" i="9" s="1"/>
  <c r="FZ431" i="9"/>
  <c r="GA431" i="9" s="1"/>
  <c r="GB431" i="9" s="1"/>
  <c r="GC431" i="9" s="1"/>
  <c r="GD431" i="9" s="1"/>
  <c r="GE431" i="9" s="1"/>
  <c r="GF431" i="9" s="1"/>
  <c r="GG431" i="9" s="1"/>
  <c r="FZ425" i="9"/>
  <c r="GA425" i="9" s="1"/>
  <c r="GB425" i="9" s="1"/>
  <c r="GC425" i="9" s="1"/>
  <c r="GD425" i="9" s="1"/>
  <c r="GE425" i="9" s="1"/>
  <c r="GF425" i="9" s="1"/>
  <c r="GG425" i="9" s="1"/>
  <c r="FZ399" i="9"/>
  <c r="GA399" i="9" s="1"/>
  <c r="GB399" i="9" s="1"/>
  <c r="GC399" i="9" s="1"/>
  <c r="GD399" i="9" s="1"/>
  <c r="GE399" i="9" s="1"/>
  <c r="GF399" i="9" s="1"/>
  <c r="GG399" i="9" s="1"/>
  <c r="GH399" i="9" s="1"/>
  <c r="GI399" i="9" s="1"/>
  <c r="BZ399" i="9" s="1"/>
  <c r="FZ390" i="9"/>
  <c r="GA390" i="9" s="1"/>
  <c r="GB390" i="9" s="1"/>
  <c r="GC390" i="9" s="1"/>
  <c r="GD390" i="9" s="1"/>
  <c r="GE390" i="9" s="1"/>
  <c r="GF390" i="9" s="1"/>
  <c r="GG390" i="9" s="1"/>
  <c r="GH390" i="9" s="1"/>
  <c r="GI390" i="9" s="1"/>
  <c r="BZ390" i="9" s="1"/>
  <c r="FZ386" i="9"/>
  <c r="GA386" i="9" s="1"/>
  <c r="GB386" i="9" s="1"/>
  <c r="GC386" i="9" s="1"/>
  <c r="GD386" i="9" s="1"/>
  <c r="GE386" i="9" s="1"/>
  <c r="GF386" i="9" s="1"/>
  <c r="GG386" i="9" s="1"/>
  <c r="GH386" i="9" s="1"/>
  <c r="GI386" i="9" s="1"/>
  <c r="BZ386" i="9" s="1"/>
  <c r="FZ381" i="9"/>
  <c r="GA381" i="9" s="1"/>
  <c r="GB381" i="9" s="1"/>
  <c r="GC381" i="9" s="1"/>
  <c r="GD381" i="9" s="1"/>
  <c r="GE381" i="9" s="1"/>
  <c r="GF381" i="9" s="1"/>
  <c r="GG381" i="9" s="1"/>
  <c r="GH381" i="9" s="1"/>
  <c r="GI381" i="9" s="1"/>
  <c r="BZ381" i="9" s="1"/>
  <c r="FT381" i="9" s="1"/>
  <c r="CA381" i="9" s="1"/>
  <c r="FZ332" i="9"/>
  <c r="GA332" i="9" s="1"/>
  <c r="GB332" i="9" s="1"/>
  <c r="GC332" i="9" s="1"/>
  <c r="GD332" i="9" s="1"/>
  <c r="GE332" i="9" s="1"/>
  <c r="GF332" i="9" s="1"/>
  <c r="GG332" i="9" s="1"/>
  <c r="GH332" i="9" s="1"/>
  <c r="GI332" i="9" s="1"/>
  <c r="BZ332" i="9" s="1"/>
  <c r="FT332" i="9" s="1"/>
  <c r="CA332" i="9" s="1"/>
  <c r="FZ322" i="9"/>
  <c r="GA322" i="9" s="1"/>
  <c r="GB322" i="9" s="1"/>
  <c r="GC322" i="9" s="1"/>
  <c r="GD322" i="9" s="1"/>
  <c r="GE322" i="9" s="1"/>
  <c r="GF322" i="9" s="1"/>
  <c r="GG322" i="9" s="1"/>
  <c r="GH322" i="9" s="1"/>
  <c r="GI322" i="9" s="1"/>
  <c r="BZ322" i="9" s="1"/>
  <c r="FT322" i="9" s="1"/>
  <c r="CA322" i="9" s="1"/>
  <c r="FZ310" i="9"/>
  <c r="GA310" i="9" s="1"/>
  <c r="GB310" i="9" s="1"/>
  <c r="GC310" i="9" s="1"/>
  <c r="GD310" i="9" s="1"/>
  <c r="GE310" i="9" s="1"/>
  <c r="GF310" i="9" s="1"/>
  <c r="GG310" i="9" s="1"/>
  <c r="GH310" i="9" s="1"/>
  <c r="GI310" i="9" s="1"/>
  <c r="BZ310" i="9" s="1"/>
  <c r="FT310" i="9" s="1"/>
  <c r="CA310" i="9" s="1"/>
  <c r="FZ304" i="9"/>
  <c r="GA304" i="9" s="1"/>
  <c r="GB304" i="9" s="1"/>
  <c r="GC304" i="9" s="1"/>
  <c r="GD304" i="9" s="1"/>
  <c r="GE304" i="9" s="1"/>
  <c r="GF304" i="9" s="1"/>
  <c r="GG304" i="9" s="1"/>
  <c r="GH304" i="9" s="1"/>
  <c r="GI304" i="9" s="1"/>
  <c r="BZ304" i="9" s="1"/>
  <c r="FT304" i="9" s="1"/>
  <c r="CA304" i="9" s="1"/>
  <c r="FZ299" i="9"/>
  <c r="GA299" i="9" s="1"/>
  <c r="GB299" i="9" s="1"/>
  <c r="GC299" i="9" s="1"/>
  <c r="GD299" i="9" s="1"/>
  <c r="GE299" i="9" s="1"/>
  <c r="GF299" i="9" s="1"/>
  <c r="GG299" i="9" s="1"/>
  <c r="GH299" i="9" s="1"/>
  <c r="GI299" i="9" s="1"/>
  <c r="BZ299" i="9" s="1"/>
  <c r="FT299" i="9" s="1"/>
  <c r="CA299" i="9" s="1"/>
  <c r="FZ293" i="9"/>
  <c r="GA293" i="9" s="1"/>
  <c r="GB293" i="9" s="1"/>
  <c r="GC293" i="9" s="1"/>
  <c r="GD293" i="9" s="1"/>
  <c r="GE293" i="9" s="1"/>
  <c r="GF293" i="9" s="1"/>
  <c r="GG293" i="9" s="1"/>
  <c r="GH293" i="9" s="1"/>
  <c r="GI293" i="9" s="1"/>
  <c r="BZ293" i="9" s="1"/>
  <c r="FT293" i="9" s="1"/>
  <c r="CA293" i="9" s="1"/>
  <c r="FZ282" i="9"/>
  <c r="GA282" i="9" s="1"/>
  <c r="GB282" i="9" s="1"/>
  <c r="GC282" i="9" s="1"/>
  <c r="GD282" i="9" s="1"/>
  <c r="GE282" i="9" s="1"/>
  <c r="GF282" i="9" s="1"/>
  <c r="GG282" i="9" s="1"/>
  <c r="GH282" i="9" s="1"/>
  <c r="GI282" i="9" s="1"/>
  <c r="BZ282" i="9" s="1"/>
  <c r="FZ265" i="9"/>
  <c r="GA265" i="9" s="1"/>
  <c r="GB265" i="9" s="1"/>
  <c r="GC265" i="9" s="1"/>
  <c r="GD265" i="9" s="1"/>
  <c r="GE265" i="9" s="1"/>
  <c r="GF265" i="9" s="1"/>
  <c r="GG265" i="9" s="1"/>
  <c r="FZ187" i="9"/>
  <c r="GA187" i="9" s="1"/>
  <c r="GB187" i="9" s="1"/>
  <c r="GC187" i="9" s="1"/>
  <c r="GD187" i="9" s="1"/>
  <c r="GE187" i="9" s="1"/>
  <c r="GF187" i="9" s="1"/>
  <c r="GG187" i="9" s="1"/>
  <c r="GH187" i="9" s="1"/>
  <c r="FZ173" i="9"/>
  <c r="GA173" i="9" s="1"/>
  <c r="GB173" i="9" s="1"/>
  <c r="GC173" i="9" s="1"/>
  <c r="GD173" i="9" s="1"/>
  <c r="GE173" i="9" s="1"/>
  <c r="GF173" i="9" s="1"/>
  <c r="GG173" i="9" s="1"/>
  <c r="GH173" i="9" s="1"/>
  <c r="GI173" i="9" s="1"/>
  <c r="BZ173" i="9" s="1"/>
  <c r="FZ168" i="9"/>
  <c r="GA168" i="9" s="1"/>
  <c r="GB168" i="9" s="1"/>
  <c r="GC168" i="9" s="1"/>
  <c r="GD168" i="9" s="1"/>
  <c r="GE168" i="9" s="1"/>
  <c r="GF168" i="9" s="1"/>
  <c r="GG168" i="9" s="1"/>
  <c r="GH168" i="9" s="1"/>
  <c r="GI168" i="9" s="1"/>
  <c r="BZ168" i="9" s="1"/>
  <c r="FT168" i="9" s="1"/>
  <c r="CA168" i="9" s="1"/>
  <c r="FZ163" i="9"/>
  <c r="GA163" i="9" s="1"/>
  <c r="GB163" i="9" s="1"/>
  <c r="GC163" i="9" s="1"/>
  <c r="GD163" i="9" s="1"/>
  <c r="GE163" i="9" s="1"/>
  <c r="GF163" i="9" s="1"/>
  <c r="GG163" i="9" s="1"/>
  <c r="GH163" i="9" s="1"/>
  <c r="GI163" i="9" s="1"/>
  <c r="BZ163" i="9" s="1"/>
  <c r="FZ152" i="9"/>
  <c r="GA152" i="9" s="1"/>
  <c r="GB152" i="9" s="1"/>
  <c r="GC152" i="9" s="1"/>
  <c r="GD152" i="9" s="1"/>
  <c r="GE152" i="9" s="1"/>
  <c r="GF152" i="9" s="1"/>
  <c r="GG152" i="9" s="1"/>
  <c r="GH152" i="9" s="1"/>
  <c r="GI152" i="9" s="1"/>
  <c r="BZ152" i="9" s="1"/>
  <c r="FZ147" i="9"/>
  <c r="GA147" i="9" s="1"/>
  <c r="GB147" i="9" s="1"/>
  <c r="GC147" i="9" s="1"/>
  <c r="GD147" i="9" s="1"/>
  <c r="GE147" i="9" s="1"/>
  <c r="GF147" i="9" s="1"/>
  <c r="GG147" i="9" s="1"/>
  <c r="GH147" i="9" s="1"/>
  <c r="GI147" i="9" s="1"/>
  <c r="BZ147" i="9" s="1"/>
  <c r="FZ67" i="9"/>
  <c r="GA67" i="9" s="1"/>
  <c r="GB67" i="9" s="1"/>
  <c r="GC67" i="9" s="1"/>
  <c r="GD67" i="9" s="1"/>
  <c r="GE67" i="9" s="1"/>
  <c r="GF67" i="9" s="1"/>
  <c r="GG67" i="9" s="1"/>
  <c r="GH67" i="9" s="1"/>
  <c r="GI67" i="9" s="1"/>
  <c r="BZ67" i="9" s="1"/>
  <c r="FZ59" i="9"/>
  <c r="GA59" i="9" s="1"/>
  <c r="GB59" i="9" s="1"/>
  <c r="GC59" i="9" s="1"/>
  <c r="GD59" i="9" s="1"/>
  <c r="GE59" i="9" s="1"/>
  <c r="GF59" i="9" s="1"/>
  <c r="GG59" i="9" s="1"/>
  <c r="GH59" i="9" s="1"/>
  <c r="GI59" i="9" s="1"/>
  <c r="BZ59" i="9" s="1"/>
  <c r="FZ53" i="9"/>
  <c r="GA53" i="9" s="1"/>
  <c r="GB53" i="9" s="1"/>
  <c r="GC53" i="9" s="1"/>
  <c r="GD53" i="9" s="1"/>
  <c r="GE53" i="9" s="1"/>
  <c r="GF53" i="9" s="1"/>
  <c r="GG53" i="9" s="1"/>
  <c r="GH53" i="9" s="1"/>
  <c r="GI53" i="9" s="1"/>
  <c r="BZ53" i="9" s="1"/>
  <c r="FZ41" i="9"/>
  <c r="GA41" i="9" s="1"/>
  <c r="GB41" i="9" s="1"/>
  <c r="GC41" i="9" s="1"/>
  <c r="GD41" i="9" s="1"/>
  <c r="GE41" i="9" s="1"/>
  <c r="GF41" i="9" s="1"/>
  <c r="GG41" i="9" s="1"/>
  <c r="GH41" i="9" s="1"/>
  <c r="GI41" i="9" s="1"/>
  <c r="BZ41" i="9" s="1"/>
  <c r="FT41" i="9" s="1"/>
  <c r="CA41" i="9" s="1"/>
  <c r="FZ678" i="9"/>
  <c r="GA678" i="9" s="1"/>
  <c r="GB678" i="9" s="1"/>
  <c r="GC678" i="9" s="1"/>
  <c r="GD678" i="9" s="1"/>
  <c r="GE678" i="9" s="1"/>
  <c r="GF678" i="9" s="1"/>
  <c r="GG678" i="9" s="1"/>
  <c r="FZ643" i="9"/>
  <c r="GA643" i="9" s="1"/>
  <c r="GB643" i="9" s="1"/>
  <c r="GC643" i="9" s="1"/>
  <c r="GD643" i="9" s="1"/>
  <c r="GE643" i="9" s="1"/>
  <c r="GF643" i="9" s="1"/>
  <c r="GG643" i="9" s="1"/>
  <c r="GH643" i="9" s="1"/>
  <c r="GI643" i="9" s="1"/>
  <c r="BZ643" i="9" s="1"/>
  <c r="FT643" i="9" s="1"/>
  <c r="CA643" i="9" s="1"/>
  <c r="FZ624" i="9"/>
  <c r="GA624" i="9" s="1"/>
  <c r="GB624" i="9" s="1"/>
  <c r="GC624" i="9" s="1"/>
  <c r="GD624" i="9" s="1"/>
  <c r="GE624" i="9" s="1"/>
  <c r="GF624" i="9" s="1"/>
  <c r="GG624" i="9" s="1"/>
  <c r="FZ536" i="9"/>
  <c r="GA536" i="9" s="1"/>
  <c r="GB536" i="9" s="1"/>
  <c r="GC536" i="9" s="1"/>
  <c r="GD536" i="9" s="1"/>
  <c r="GE536" i="9" s="1"/>
  <c r="GF536" i="9" s="1"/>
  <c r="GG536" i="9" s="1"/>
  <c r="FZ522" i="9"/>
  <c r="GA522" i="9" s="1"/>
  <c r="GB522" i="9" s="1"/>
  <c r="GC522" i="9" s="1"/>
  <c r="GD522" i="9" s="1"/>
  <c r="GE522" i="9" s="1"/>
  <c r="GF522" i="9" s="1"/>
  <c r="GG522" i="9" s="1"/>
  <c r="FZ500" i="9"/>
  <c r="GA500" i="9" s="1"/>
  <c r="GB500" i="9" s="1"/>
  <c r="GC500" i="9" s="1"/>
  <c r="GD500" i="9" s="1"/>
  <c r="GE500" i="9" s="1"/>
  <c r="GF500" i="9" s="1"/>
  <c r="GG500" i="9" s="1"/>
  <c r="GH500" i="9" s="1"/>
  <c r="GI500" i="9" s="1"/>
  <c r="BZ500" i="9" s="1"/>
  <c r="FZ446" i="9"/>
  <c r="GA446" i="9" s="1"/>
  <c r="GB446" i="9" s="1"/>
  <c r="GC446" i="9" s="1"/>
  <c r="GD446" i="9" s="1"/>
  <c r="GE446" i="9" s="1"/>
  <c r="GF446" i="9" s="1"/>
  <c r="GG446" i="9" s="1"/>
  <c r="FZ436" i="9"/>
  <c r="GA436" i="9" s="1"/>
  <c r="GB436" i="9" s="1"/>
  <c r="GC436" i="9" s="1"/>
  <c r="GD436" i="9" s="1"/>
  <c r="GE436" i="9" s="1"/>
  <c r="GF436" i="9" s="1"/>
  <c r="GG436" i="9" s="1"/>
  <c r="GH436" i="9" s="1"/>
  <c r="GI436" i="9" s="1"/>
  <c r="BZ436" i="9" s="1"/>
  <c r="FT436" i="9" s="1"/>
  <c r="CA436" i="9" s="1"/>
  <c r="FZ430" i="9"/>
  <c r="GA430" i="9" s="1"/>
  <c r="GB430" i="9" s="1"/>
  <c r="GC430" i="9" s="1"/>
  <c r="GD430" i="9" s="1"/>
  <c r="GE430" i="9" s="1"/>
  <c r="GF430" i="9" s="1"/>
  <c r="GG430" i="9" s="1"/>
  <c r="FZ418" i="9"/>
  <c r="GA418" i="9" s="1"/>
  <c r="GB418" i="9" s="1"/>
  <c r="GC418" i="9" s="1"/>
  <c r="GD418" i="9" s="1"/>
  <c r="GE418" i="9" s="1"/>
  <c r="GF418" i="9" s="1"/>
  <c r="GG418" i="9" s="1"/>
  <c r="GH418" i="9" s="1"/>
  <c r="GI418" i="9" s="1"/>
  <c r="BZ418" i="9" s="1"/>
  <c r="FT418" i="9" s="1"/>
  <c r="CA418" i="9" s="1"/>
  <c r="FZ411" i="9"/>
  <c r="GA411" i="9" s="1"/>
  <c r="GB411" i="9" s="1"/>
  <c r="GC411" i="9" s="1"/>
  <c r="GD411" i="9" s="1"/>
  <c r="GE411" i="9" s="1"/>
  <c r="GF411" i="9" s="1"/>
  <c r="GG411" i="9" s="1"/>
  <c r="GH411" i="9" s="1"/>
  <c r="GI411" i="9" s="1"/>
  <c r="BZ411" i="9" s="1"/>
  <c r="FZ404" i="9"/>
  <c r="GA404" i="9" s="1"/>
  <c r="GB404" i="9" s="1"/>
  <c r="GC404" i="9" s="1"/>
  <c r="GD404" i="9" s="1"/>
  <c r="GE404" i="9" s="1"/>
  <c r="GF404" i="9" s="1"/>
  <c r="GG404" i="9" s="1"/>
  <c r="GH404" i="9" s="1"/>
  <c r="GI404" i="9" s="1"/>
  <c r="BZ404" i="9" s="1"/>
  <c r="FT404" i="9" s="1"/>
  <c r="CA404" i="9" s="1"/>
  <c r="FZ385" i="9"/>
  <c r="GA385" i="9" s="1"/>
  <c r="GB385" i="9" s="1"/>
  <c r="GC385" i="9" s="1"/>
  <c r="GD385" i="9" s="1"/>
  <c r="GE385" i="9" s="1"/>
  <c r="GF385" i="9" s="1"/>
  <c r="GG385" i="9" s="1"/>
  <c r="FZ298" i="9"/>
  <c r="GA298" i="9" s="1"/>
  <c r="GB298" i="9" s="1"/>
  <c r="GC298" i="9" s="1"/>
  <c r="GD298" i="9" s="1"/>
  <c r="GE298" i="9" s="1"/>
  <c r="GF298" i="9" s="1"/>
  <c r="GG298" i="9" s="1"/>
  <c r="GH298" i="9" s="1"/>
  <c r="GI298" i="9" s="1"/>
  <c r="BZ298" i="9" s="1"/>
  <c r="FZ275" i="9"/>
  <c r="GA275" i="9" s="1"/>
  <c r="GB275" i="9" s="1"/>
  <c r="GC275" i="9" s="1"/>
  <c r="GD275" i="9" s="1"/>
  <c r="GE275" i="9" s="1"/>
  <c r="GF275" i="9" s="1"/>
  <c r="GG275" i="9" s="1"/>
  <c r="GH275" i="9" s="1"/>
  <c r="GI275" i="9" s="1"/>
  <c r="BZ275" i="9" s="1"/>
  <c r="FZ204" i="9"/>
  <c r="GA204" i="9" s="1"/>
  <c r="GB204" i="9" s="1"/>
  <c r="GC204" i="9" s="1"/>
  <c r="GD204" i="9" s="1"/>
  <c r="GE204" i="9" s="1"/>
  <c r="GF204" i="9" s="1"/>
  <c r="GG204" i="9" s="1"/>
  <c r="GH204" i="9" s="1"/>
  <c r="FZ198" i="9"/>
  <c r="GA198" i="9" s="1"/>
  <c r="GB198" i="9" s="1"/>
  <c r="GC198" i="9" s="1"/>
  <c r="GD198" i="9" s="1"/>
  <c r="GE198" i="9" s="1"/>
  <c r="GF198" i="9" s="1"/>
  <c r="GG198" i="9" s="1"/>
  <c r="GH198" i="9" s="1"/>
  <c r="GI198" i="9" s="1"/>
  <c r="BZ198" i="9" s="1"/>
  <c r="FT198" i="9" s="1"/>
  <c r="CA198" i="9" s="1"/>
  <c r="FZ192" i="9"/>
  <c r="GA192" i="9" s="1"/>
  <c r="GB192" i="9" s="1"/>
  <c r="GC192" i="9" s="1"/>
  <c r="GD192" i="9" s="1"/>
  <c r="GE192" i="9" s="1"/>
  <c r="GF192" i="9" s="1"/>
  <c r="GG192" i="9" s="1"/>
  <c r="GH192" i="9" s="1"/>
  <c r="FZ178" i="9"/>
  <c r="GA178" i="9" s="1"/>
  <c r="GB178" i="9" s="1"/>
  <c r="GC178" i="9" s="1"/>
  <c r="GD178" i="9" s="1"/>
  <c r="GE178" i="9" s="1"/>
  <c r="GF178" i="9" s="1"/>
  <c r="GG178" i="9" s="1"/>
  <c r="GH178" i="9" s="1"/>
  <c r="GI178" i="9" s="1"/>
  <c r="BZ178" i="9" s="1"/>
  <c r="FZ157" i="9"/>
  <c r="GA157" i="9" s="1"/>
  <c r="GB157" i="9" s="1"/>
  <c r="GC157" i="9" s="1"/>
  <c r="GD157" i="9" s="1"/>
  <c r="GE157" i="9" s="1"/>
  <c r="GF157" i="9" s="1"/>
  <c r="GG157" i="9" s="1"/>
  <c r="GH157" i="9" s="1"/>
  <c r="GI157" i="9" s="1"/>
  <c r="BZ157" i="9" s="1"/>
  <c r="FT157" i="9" s="1"/>
  <c r="CA157" i="9" s="1"/>
  <c r="FZ146" i="9"/>
  <c r="GA146" i="9" s="1"/>
  <c r="GB146" i="9" s="1"/>
  <c r="GC146" i="9" s="1"/>
  <c r="GD146" i="9" s="1"/>
  <c r="GE146" i="9" s="1"/>
  <c r="GF146" i="9" s="1"/>
  <c r="GG146" i="9" s="1"/>
  <c r="GH146" i="9" s="1"/>
  <c r="GI146" i="9" s="1"/>
  <c r="BZ146" i="9" s="1"/>
  <c r="FZ83" i="9"/>
  <c r="GA83" i="9" s="1"/>
  <c r="GB83" i="9" s="1"/>
  <c r="GC83" i="9" s="1"/>
  <c r="GD83" i="9" s="1"/>
  <c r="GE83" i="9" s="1"/>
  <c r="GF83" i="9" s="1"/>
  <c r="GG83" i="9" s="1"/>
  <c r="GH83" i="9" s="1"/>
  <c r="GI83" i="9" s="1"/>
  <c r="BZ83" i="9" s="1"/>
  <c r="FZ78" i="9"/>
  <c r="GA78" i="9" s="1"/>
  <c r="GB78" i="9" s="1"/>
  <c r="GC78" i="9" s="1"/>
  <c r="GD78" i="9" s="1"/>
  <c r="GE78" i="9" s="1"/>
  <c r="GF78" i="9" s="1"/>
  <c r="GG78" i="9" s="1"/>
  <c r="GH78" i="9" s="1"/>
  <c r="GI78" i="9" s="1"/>
  <c r="BZ78" i="9" s="1"/>
  <c r="FZ65" i="9"/>
  <c r="GA65" i="9" s="1"/>
  <c r="GB65" i="9" s="1"/>
  <c r="GC65" i="9" s="1"/>
  <c r="GD65" i="9" s="1"/>
  <c r="GE65" i="9" s="1"/>
  <c r="GF65" i="9" s="1"/>
  <c r="GG65" i="9" s="1"/>
  <c r="FZ58" i="9"/>
  <c r="GA58" i="9" s="1"/>
  <c r="GB58" i="9" s="1"/>
  <c r="GC58" i="9" s="1"/>
  <c r="GD58" i="9" s="1"/>
  <c r="GE58" i="9" s="1"/>
  <c r="GF58" i="9" s="1"/>
  <c r="GG58" i="9" s="1"/>
  <c r="GH58" i="9" s="1"/>
  <c r="GI58" i="9" s="1"/>
  <c r="BZ58" i="9" s="1"/>
  <c r="FZ31" i="9"/>
  <c r="GA31" i="9" s="1"/>
  <c r="GB31" i="9" s="1"/>
  <c r="GC31" i="9" s="1"/>
  <c r="GD31" i="9" s="1"/>
  <c r="GE31" i="9" s="1"/>
  <c r="GF31" i="9" s="1"/>
  <c r="GG31" i="9" s="1"/>
  <c r="GH31" i="9" s="1"/>
  <c r="GI31" i="9" s="1"/>
  <c r="BZ31" i="9" s="1"/>
  <c r="FZ417" i="9"/>
  <c r="GA417" i="9" s="1"/>
  <c r="GB417" i="9" s="1"/>
  <c r="GC417" i="9" s="1"/>
  <c r="GD417" i="9" s="1"/>
  <c r="GE417" i="9" s="1"/>
  <c r="GF417" i="9" s="1"/>
  <c r="GG417" i="9" s="1"/>
  <c r="FZ410" i="9"/>
  <c r="GA410" i="9" s="1"/>
  <c r="GB410" i="9" s="1"/>
  <c r="GC410" i="9" s="1"/>
  <c r="GD410" i="9" s="1"/>
  <c r="GE410" i="9" s="1"/>
  <c r="GF410" i="9" s="1"/>
  <c r="GG410" i="9" s="1"/>
  <c r="GH410" i="9" s="1"/>
  <c r="GI410" i="9" s="1"/>
  <c r="BZ410" i="9" s="1"/>
  <c r="FT410" i="9" s="1"/>
  <c r="CA410" i="9" s="1"/>
  <c r="FZ403" i="9"/>
  <c r="GA403" i="9" s="1"/>
  <c r="GB403" i="9" s="1"/>
  <c r="GC403" i="9" s="1"/>
  <c r="GD403" i="9" s="1"/>
  <c r="GE403" i="9" s="1"/>
  <c r="GF403" i="9" s="1"/>
  <c r="GG403" i="9" s="1"/>
  <c r="GH403" i="9" s="1"/>
  <c r="GI403" i="9" s="1"/>
  <c r="BZ403" i="9" s="1"/>
  <c r="FZ398" i="9"/>
  <c r="GA398" i="9" s="1"/>
  <c r="GB398" i="9" s="1"/>
  <c r="GC398" i="9" s="1"/>
  <c r="GD398" i="9" s="1"/>
  <c r="GE398" i="9" s="1"/>
  <c r="GF398" i="9" s="1"/>
  <c r="GG398" i="9" s="1"/>
  <c r="GH398" i="9" s="1"/>
  <c r="GI398" i="9" s="1"/>
  <c r="BZ398" i="9" s="1"/>
  <c r="FZ389" i="9"/>
  <c r="GA389" i="9" s="1"/>
  <c r="GB389" i="9" s="1"/>
  <c r="GC389" i="9" s="1"/>
  <c r="GD389" i="9" s="1"/>
  <c r="GE389" i="9" s="1"/>
  <c r="GF389" i="9" s="1"/>
  <c r="GG389" i="9" s="1"/>
  <c r="FZ384" i="9"/>
  <c r="GA384" i="9" s="1"/>
  <c r="GB384" i="9" s="1"/>
  <c r="GC384" i="9" s="1"/>
  <c r="GD384" i="9" s="1"/>
  <c r="GE384" i="9" s="1"/>
  <c r="GF384" i="9" s="1"/>
  <c r="GG384" i="9" s="1"/>
  <c r="FZ380" i="9"/>
  <c r="GA380" i="9" s="1"/>
  <c r="GB380" i="9" s="1"/>
  <c r="GC380" i="9" s="1"/>
  <c r="GD380" i="9" s="1"/>
  <c r="GE380" i="9" s="1"/>
  <c r="GF380" i="9" s="1"/>
  <c r="GG380" i="9" s="1"/>
  <c r="GH380" i="9" s="1"/>
  <c r="GI380" i="9" s="1"/>
  <c r="BZ380" i="9" s="1"/>
  <c r="FT380" i="9" s="1"/>
  <c r="CA380" i="9" s="1"/>
  <c r="FZ326" i="9"/>
  <c r="GA326" i="9" s="1"/>
  <c r="GB326" i="9" s="1"/>
  <c r="GC326" i="9" s="1"/>
  <c r="GD326" i="9" s="1"/>
  <c r="GE326" i="9" s="1"/>
  <c r="GF326" i="9" s="1"/>
  <c r="GG326" i="9" s="1"/>
  <c r="GH326" i="9" s="1"/>
  <c r="GI326" i="9" s="1"/>
  <c r="BZ326" i="9" s="1"/>
  <c r="FZ321" i="9"/>
  <c r="GA321" i="9" s="1"/>
  <c r="GB321" i="9" s="1"/>
  <c r="GC321" i="9" s="1"/>
  <c r="GD321" i="9" s="1"/>
  <c r="GE321" i="9" s="1"/>
  <c r="GF321" i="9" s="1"/>
  <c r="GG321" i="9" s="1"/>
  <c r="GH321" i="9" s="1"/>
  <c r="GI321" i="9" s="1"/>
  <c r="BZ321" i="9" s="1"/>
  <c r="FT321" i="9" s="1"/>
  <c r="CA321" i="9" s="1"/>
  <c r="FZ315" i="9"/>
  <c r="GA315" i="9" s="1"/>
  <c r="GB315" i="9" s="1"/>
  <c r="GC315" i="9" s="1"/>
  <c r="GD315" i="9" s="1"/>
  <c r="GE315" i="9" s="1"/>
  <c r="GF315" i="9" s="1"/>
  <c r="GG315" i="9" s="1"/>
  <c r="GH315" i="9" s="1"/>
  <c r="GI315" i="9" s="1"/>
  <c r="BZ315" i="9" s="1"/>
  <c r="FZ309" i="9"/>
  <c r="GA309" i="9" s="1"/>
  <c r="GB309" i="9" s="1"/>
  <c r="GC309" i="9" s="1"/>
  <c r="GD309" i="9" s="1"/>
  <c r="GE309" i="9" s="1"/>
  <c r="GF309" i="9" s="1"/>
  <c r="GG309" i="9" s="1"/>
  <c r="FZ297" i="9"/>
  <c r="GA297" i="9" s="1"/>
  <c r="GB297" i="9" s="1"/>
  <c r="GC297" i="9" s="1"/>
  <c r="GD297" i="9" s="1"/>
  <c r="GE297" i="9" s="1"/>
  <c r="GF297" i="9" s="1"/>
  <c r="GG297" i="9" s="1"/>
  <c r="GH297" i="9" s="1"/>
  <c r="GI297" i="9" s="1"/>
  <c r="BZ297" i="9" s="1"/>
  <c r="FZ281" i="9"/>
  <c r="GA281" i="9" s="1"/>
  <c r="GB281" i="9" s="1"/>
  <c r="GC281" i="9" s="1"/>
  <c r="GD281" i="9" s="1"/>
  <c r="GE281" i="9" s="1"/>
  <c r="GF281" i="9" s="1"/>
  <c r="GG281" i="9" s="1"/>
  <c r="GH281" i="9" s="1"/>
  <c r="GI281" i="9" s="1"/>
  <c r="BZ281" i="9" s="1"/>
  <c r="FZ274" i="9"/>
  <c r="GA274" i="9" s="1"/>
  <c r="GB274" i="9" s="1"/>
  <c r="GC274" i="9" s="1"/>
  <c r="GD274" i="9" s="1"/>
  <c r="GE274" i="9" s="1"/>
  <c r="GF274" i="9" s="1"/>
  <c r="GG274" i="9" s="1"/>
  <c r="GH274" i="9" s="1"/>
  <c r="GI274" i="9" s="1"/>
  <c r="BZ274" i="9" s="1"/>
  <c r="FZ208" i="9"/>
  <c r="GA208" i="9" s="1"/>
  <c r="GB208" i="9" s="1"/>
  <c r="GC208" i="9" s="1"/>
  <c r="GD208" i="9" s="1"/>
  <c r="GE208" i="9" s="1"/>
  <c r="GF208" i="9" s="1"/>
  <c r="GG208" i="9" s="1"/>
  <c r="GH208" i="9" s="1"/>
  <c r="FZ203" i="9"/>
  <c r="GA203" i="9" s="1"/>
  <c r="GB203" i="9" s="1"/>
  <c r="GC203" i="9" s="1"/>
  <c r="GD203" i="9" s="1"/>
  <c r="GE203" i="9" s="1"/>
  <c r="GF203" i="9" s="1"/>
  <c r="GG203" i="9" s="1"/>
  <c r="GH203" i="9" s="1"/>
  <c r="FZ197" i="9"/>
  <c r="GA197" i="9" s="1"/>
  <c r="GB197" i="9" s="1"/>
  <c r="GC197" i="9" s="1"/>
  <c r="GD197" i="9" s="1"/>
  <c r="GE197" i="9" s="1"/>
  <c r="GF197" i="9" s="1"/>
  <c r="GG197" i="9" s="1"/>
  <c r="GH197" i="9" s="1"/>
  <c r="FZ191" i="9"/>
  <c r="GA191" i="9" s="1"/>
  <c r="GB191" i="9" s="1"/>
  <c r="GC191" i="9" s="1"/>
  <c r="GD191" i="9" s="1"/>
  <c r="GE191" i="9" s="1"/>
  <c r="GF191" i="9" s="1"/>
  <c r="GG191" i="9" s="1"/>
  <c r="GH191" i="9" s="1"/>
  <c r="FZ177" i="9"/>
  <c r="GA177" i="9" s="1"/>
  <c r="GB177" i="9" s="1"/>
  <c r="GC177" i="9" s="1"/>
  <c r="GD177" i="9" s="1"/>
  <c r="GE177" i="9" s="1"/>
  <c r="GF177" i="9" s="1"/>
  <c r="GG177" i="9" s="1"/>
  <c r="GH177" i="9" s="1"/>
  <c r="FZ172" i="9"/>
  <c r="GA172" i="9" s="1"/>
  <c r="GB172" i="9" s="1"/>
  <c r="GC172" i="9" s="1"/>
  <c r="GD172" i="9" s="1"/>
  <c r="GE172" i="9" s="1"/>
  <c r="GF172" i="9" s="1"/>
  <c r="GG172" i="9" s="1"/>
  <c r="GH172" i="9" s="1"/>
  <c r="FZ156" i="9"/>
  <c r="GA156" i="9" s="1"/>
  <c r="GB156" i="9" s="1"/>
  <c r="GC156" i="9" s="1"/>
  <c r="GD156" i="9" s="1"/>
  <c r="GE156" i="9" s="1"/>
  <c r="GF156" i="9" s="1"/>
  <c r="GG156" i="9" s="1"/>
  <c r="GH156" i="9" s="1"/>
  <c r="FZ151" i="9"/>
  <c r="GA151" i="9" s="1"/>
  <c r="GB151" i="9" s="1"/>
  <c r="GC151" i="9" s="1"/>
  <c r="GD151" i="9" s="1"/>
  <c r="GE151" i="9" s="1"/>
  <c r="GF151" i="9" s="1"/>
  <c r="GG151" i="9" s="1"/>
  <c r="GH151" i="9" s="1"/>
  <c r="GI151" i="9" s="1"/>
  <c r="BZ151" i="9" s="1"/>
  <c r="FZ145" i="9"/>
  <c r="GA145" i="9" s="1"/>
  <c r="GB145" i="9" s="1"/>
  <c r="GC145" i="9" s="1"/>
  <c r="GD145" i="9" s="1"/>
  <c r="GE145" i="9" s="1"/>
  <c r="GF145" i="9" s="1"/>
  <c r="GG145" i="9" s="1"/>
  <c r="GH145" i="9" s="1"/>
  <c r="GI145" i="9" s="1"/>
  <c r="BZ145" i="9" s="1"/>
  <c r="FZ139" i="9"/>
  <c r="GA139" i="9" s="1"/>
  <c r="GB139" i="9" s="1"/>
  <c r="GC139" i="9" s="1"/>
  <c r="GD139" i="9" s="1"/>
  <c r="GE139" i="9" s="1"/>
  <c r="GF139" i="9" s="1"/>
  <c r="GG139" i="9" s="1"/>
  <c r="GH139" i="9" s="1"/>
  <c r="FZ77" i="9"/>
  <c r="GA77" i="9" s="1"/>
  <c r="GB77" i="9" s="1"/>
  <c r="GC77" i="9" s="1"/>
  <c r="GD77" i="9" s="1"/>
  <c r="GE77" i="9" s="1"/>
  <c r="GF77" i="9" s="1"/>
  <c r="GG77" i="9" s="1"/>
  <c r="GH77" i="9" s="1"/>
  <c r="GI77" i="9" s="1"/>
  <c r="BZ77" i="9" s="1"/>
  <c r="FZ71" i="9"/>
  <c r="GA71" i="9" s="1"/>
  <c r="GB71" i="9" s="1"/>
  <c r="GC71" i="9" s="1"/>
  <c r="GD71" i="9" s="1"/>
  <c r="GE71" i="9" s="1"/>
  <c r="GF71" i="9" s="1"/>
  <c r="GG71" i="9" s="1"/>
  <c r="GH71" i="9" s="1"/>
  <c r="GI71" i="9" s="1"/>
  <c r="BZ71" i="9" s="1"/>
  <c r="FZ52" i="9"/>
  <c r="GA52" i="9" s="1"/>
  <c r="GB52" i="9" s="1"/>
  <c r="GC52" i="9" s="1"/>
  <c r="GD52" i="9" s="1"/>
  <c r="GE52" i="9" s="1"/>
  <c r="GF52" i="9" s="1"/>
  <c r="GG52" i="9" s="1"/>
  <c r="GH52" i="9" s="1"/>
  <c r="GI52" i="9" s="1"/>
  <c r="BZ52" i="9" s="1"/>
  <c r="FZ520" i="9"/>
  <c r="GA520" i="9" s="1"/>
  <c r="GB520" i="9" s="1"/>
  <c r="GC520" i="9" s="1"/>
  <c r="GD520" i="9" s="1"/>
  <c r="GE520" i="9" s="1"/>
  <c r="GF520" i="9" s="1"/>
  <c r="GG520" i="9" s="1"/>
  <c r="GH520" i="9" s="1"/>
  <c r="GI520" i="9" s="1"/>
  <c r="BZ520" i="9" s="1"/>
  <c r="FZ514" i="9"/>
  <c r="GA514" i="9" s="1"/>
  <c r="GB514" i="9" s="1"/>
  <c r="GC514" i="9" s="1"/>
  <c r="GD514" i="9" s="1"/>
  <c r="GE514" i="9" s="1"/>
  <c r="GF514" i="9" s="1"/>
  <c r="GG514" i="9" s="1"/>
  <c r="FZ498" i="9"/>
  <c r="GA498" i="9" s="1"/>
  <c r="GB498" i="9" s="1"/>
  <c r="GC498" i="9" s="1"/>
  <c r="GD498" i="9" s="1"/>
  <c r="GE498" i="9" s="1"/>
  <c r="GF498" i="9" s="1"/>
  <c r="GG498" i="9" s="1"/>
  <c r="GH498" i="9" s="1"/>
  <c r="GI498" i="9" s="1"/>
  <c r="BZ498" i="9" s="1"/>
  <c r="FT498" i="9" s="1"/>
  <c r="CA498" i="9" s="1"/>
  <c r="FZ444" i="9"/>
  <c r="GA444" i="9" s="1"/>
  <c r="GB444" i="9" s="1"/>
  <c r="GC444" i="9" s="1"/>
  <c r="GD444" i="9" s="1"/>
  <c r="GE444" i="9" s="1"/>
  <c r="GF444" i="9" s="1"/>
  <c r="GG444" i="9" s="1"/>
  <c r="FZ434" i="9"/>
  <c r="GA434" i="9" s="1"/>
  <c r="GB434" i="9" s="1"/>
  <c r="GC434" i="9" s="1"/>
  <c r="GD434" i="9" s="1"/>
  <c r="GE434" i="9" s="1"/>
  <c r="GF434" i="9" s="1"/>
  <c r="GG434" i="9" s="1"/>
  <c r="FZ423" i="9"/>
  <c r="GA423" i="9" s="1"/>
  <c r="GB423" i="9" s="1"/>
  <c r="GC423" i="9" s="1"/>
  <c r="GD423" i="9" s="1"/>
  <c r="GE423" i="9" s="1"/>
  <c r="GF423" i="9" s="1"/>
  <c r="GG423" i="9" s="1"/>
  <c r="FZ416" i="9"/>
  <c r="GA416" i="9" s="1"/>
  <c r="GB416" i="9" s="1"/>
  <c r="GC416" i="9" s="1"/>
  <c r="GD416" i="9" s="1"/>
  <c r="GE416" i="9" s="1"/>
  <c r="GF416" i="9" s="1"/>
  <c r="GG416" i="9" s="1"/>
  <c r="GH416" i="9" s="1"/>
  <c r="GI416" i="9" s="1"/>
  <c r="BZ416" i="9" s="1"/>
  <c r="FT416" i="9" s="1"/>
  <c r="CA416" i="9" s="1"/>
  <c r="FZ409" i="9"/>
  <c r="GA409" i="9" s="1"/>
  <c r="GB409" i="9" s="1"/>
  <c r="GC409" i="9" s="1"/>
  <c r="GD409" i="9" s="1"/>
  <c r="GE409" i="9" s="1"/>
  <c r="GF409" i="9" s="1"/>
  <c r="GG409" i="9" s="1"/>
  <c r="FZ397" i="9"/>
  <c r="GA397" i="9" s="1"/>
  <c r="GB397" i="9" s="1"/>
  <c r="GC397" i="9" s="1"/>
  <c r="GD397" i="9" s="1"/>
  <c r="GE397" i="9" s="1"/>
  <c r="GF397" i="9" s="1"/>
  <c r="GG397" i="9" s="1"/>
  <c r="FZ308" i="9"/>
  <c r="GA308" i="9" s="1"/>
  <c r="GB308" i="9" s="1"/>
  <c r="GC308" i="9" s="1"/>
  <c r="GD308" i="9" s="1"/>
  <c r="GE308" i="9" s="1"/>
  <c r="GF308" i="9" s="1"/>
  <c r="GG308" i="9" s="1"/>
  <c r="GH308" i="9" s="1"/>
  <c r="GI308" i="9" s="1"/>
  <c r="BZ308" i="9" s="1"/>
  <c r="FT308" i="9" s="1"/>
  <c r="CA308" i="9" s="1"/>
  <c r="FZ287" i="9"/>
  <c r="GA287" i="9" s="1"/>
  <c r="GB287" i="9" s="1"/>
  <c r="GC287" i="9" s="1"/>
  <c r="GD287" i="9" s="1"/>
  <c r="GE287" i="9" s="1"/>
  <c r="GF287" i="9" s="1"/>
  <c r="GG287" i="9" s="1"/>
  <c r="FZ280" i="9"/>
  <c r="GA280" i="9" s="1"/>
  <c r="GB280" i="9" s="1"/>
  <c r="GC280" i="9" s="1"/>
  <c r="GD280" i="9" s="1"/>
  <c r="GE280" i="9" s="1"/>
  <c r="GF280" i="9" s="1"/>
  <c r="GG280" i="9" s="1"/>
  <c r="GH280" i="9" s="1"/>
  <c r="GI280" i="9" s="1"/>
  <c r="BZ280" i="9" s="1"/>
  <c r="FZ202" i="9"/>
  <c r="GA202" i="9" s="1"/>
  <c r="GB202" i="9" s="1"/>
  <c r="GC202" i="9" s="1"/>
  <c r="GD202" i="9" s="1"/>
  <c r="GE202" i="9" s="1"/>
  <c r="GF202" i="9" s="1"/>
  <c r="GG202" i="9" s="1"/>
  <c r="GH202" i="9" s="1"/>
  <c r="FZ171" i="9"/>
  <c r="GA171" i="9" s="1"/>
  <c r="GB171" i="9" s="1"/>
  <c r="GC171" i="9" s="1"/>
  <c r="GD171" i="9" s="1"/>
  <c r="GE171" i="9" s="1"/>
  <c r="GF171" i="9" s="1"/>
  <c r="GG171" i="9" s="1"/>
  <c r="GH171" i="9" s="1"/>
  <c r="FZ161" i="9"/>
  <c r="GA161" i="9" s="1"/>
  <c r="GB161" i="9" s="1"/>
  <c r="GC161" i="9" s="1"/>
  <c r="GD161" i="9" s="1"/>
  <c r="GE161" i="9" s="1"/>
  <c r="GF161" i="9" s="1"/>
  <c r="GG161" i="9" s="1"/>
  <c r="GH161" i="9" s="1"/>
  <c r="GI161" i="9" s="1"/>
  <c r="BZ161" i="9" s="1"/>
  <c r="FT161" i="9" s="1"/>
  <c r="CA161" i="9" s="1"/>
  <c r="FZ138" i="9"/>
  <c r="GA138" i="9" s="1"/>
  <c r="GB138" i="9" s="1"/>
  <c r="GC138" i="9" s="1"/>
  <c r="GD138" i="9" s="1"/>
  <c r="GE138" i="9" s="1"/>
  <c r="GF138" i="9" s="1"/>
  <c r="GG138" i="9" s="1"/>
  <c r="GH138" i="9" s="1"/>
  <c r="GI138" i="9" s="1"/>
  <c r="BZ138" i="9" s="1"/>
  <c r="FZ82" i="9"/>
  <c r="GA82" i="9" s="1"/>
  <c r="GB82" i="9" s="1"/>
  <c r="GC82" i="9" s="1"/>
  <c r="GD82" i="9" s="1"/>
  <c r="GE82" i="9" s="1"/>
  <c r="GF82" i="9" s="1"/>
  <c r="GG82" i="9" s="1"/>
  <c r="GH82" i="9" s="1"/>
  <c r="GI82" i="9" s="1"/>
  <c r="BZ82" i="9" s="1"/>
  <c r="FT82" i="9" s="1"/>
  <c r="CA82" i="9" s="1"/>
  <c r="FZ63" i="9"/>
  <c r="GA63" i="9" s="1"/>
  <c r="GB63" i="9" s="1"/>
  <c r="GC63" i="9" s="1"/>
  <c r="GD63" i="9" s="1"/>
  <c r="GE63" i="9" s="1"/>
  <c r="GF63" i="9" s="1"/>
  <c r="GG63" i="9" s="1"/>
  <c r="FZ51" i="9"/>
  <c r="GA51" i="9" s="1"/>
  <c r="GB51" i="9" s="1"/>
  <c r="GC51" i="9" s="1"/>
  <c r="GD51" i="9" s="1"/>
  <c r="GE51" i="9" s="1"/>
  <c r="GF51" i="9" s="1"/>
  <c r="GG51" i="9" s="1"/>
  <c r="GW51" i="9" s="1"/>
  <c r="HF51" i="9" s="1"/>
  <c r="CD51" i="9" s="1"/>
  <c r="FZ634" i="9"/>
  <c r="GA634" i="9" s="1"/>
  <c r="GB634" i="9" s="1"/>
  <c r="GC634" i="9" s="1"/>
  <c r="GD634" i="9" s="1"/>
  <c r="GE634" i="9" s="1"/>
  <c r="GF634" i="9" s="1"/>
  <c r="GG634" i="9" s="1"/>
  <c r="GH634" i="9" s="1"/>
  <c r="GI634" i="9" s="1"/>
  <c r="BZ634" i="9" s="1"/>
  <c r="FT634" i="9" s="1"/>
  <c r="CA634" i="9" s="1"/>
  <c r="FZ617" i="9"/>
  <c r="GA617" i="9" s="1"/>
  <c r="GB617" i="9" s="1"/>
  <c r="GC617" i="9" s="1"/>
  <c r="GD617" i="9" s="1"/>
  <c r="GE617" i="9" s="1"/>
  <c r="GF617" i="9" s="1"/>
  <c r="GG617" i="9" s="1"/>
  <c r="GH617" i="9" s="1"/>
  <c r="GI617" i="9" s="1"/>
  <c r="BZ617" i="9" s="1"/>
  <c r="FZ563" i="9"/>
  <c r="GA563" i="9" s="1"/>
  <c r="GB563" i="9" s="1"/>
  <c r="GC563" i="9" s="1"/>
  <c r="GD563" i="9" s="1"/>
  <c r="GE563" i="9" s="1"/>
  <c r="GF563" i="9" s="1"/>
  <c r="GG563" i="9" s="1"/>
  <c r="GH563" i="9" s="1"/>
  <c r="GI563" i="9" s="1"/>
  <c r="BZ563" i="9" s="1"/>
  <c r="FT563" i="9" s="1"/>
  <c r="CA563" i="9" s="1"/>
  <c r="FZ519" i="9"/>
  <c r="GA519" i="9" s="1"/>
  <c r="GB519" i="9" s="1"/>
  <c r="GC519" i="9" s="1"/>
  <c r="GD519" i="9" s="1"/>
  <c r="GE519" i="9" s="1"/>
  <c r="GF519" i="9" s="1"/>
  <c r="GG519" i="9" s="1"/>
  <c r="FZ513" i="9"/>
  <c r="GA513" i="9" s="1"/>
  <c r="GB513" i="9" s="1"/>
  <c r="GC513" i="9" s="1"/>
  <c r="GD513" i="9" s="1"/>
  <c r="GE513" i="9" s="1"/>
  <c r="GF513" i="9" s="1"/>
  <c r="GG513" i="9" s="1"/>
  <c r="GH513" i="9" s="1"/>
  <c r="GI513" i="9" s="1"/>
  <c r="BZ513" i="9" s="1"/>
  <c r="FT513" i="9" s="1"/>
  <c r="CA513" i="9" s="1"/>
  <c r="FZ508" i="9"/>
  <c r="GA508" i="9" s="1"/>
  <c r="GB508" i="9" s="1"/>
  <c r="GC508" i="9" s="1"/>
  <c r="GD508" i="9" s="1"/>
  <c r="GE508" i="9" s="1"/>
  <c r="GF508" i="9" s="1"/>
  <c r="GG508" i="9" s="1"/>
  <c r="GH508" i="9" s="1"/>
  <c r="GI508" i="9" s="1"/>
  <c r="BZ508" i="9" s="1"/>
  <c r="FT508" i="9" s="1"/>
  <c r="CA508" i="9" s="1"/>
  <c r="FZ497" i="9"/>
  <c r="GA497" i="9" s="1"/>
  <c r="GB497" i="9" s="1"/>
  <c r="GC497" i="9" s="1"/>
  <c r="GD497" i="9" s="1"/>
  <c r="GE497" i="9" s="1"/>
  <c r="GF497" i="9" s="1"/>
  <c r="GG497" i="9" s="1"/>
  <c r="GH497" i="9" s="1"/>
  <c r="GI497" i="9" s="1"/>
  <c r="BZ497" i="9" s="1"/>
  <c r="FZ449" i="9"/>
  <c r="GA449" i="9" s="1"/>
  <c r="GB449" i="9" s="1"/>
  <c r="GC449" i="9" s="1"/>
  <c r="GD449" i="9" s="1"/>
  <c r="GE449" i="9" s="1"/>
  <c r="GF449" i="9" s="1"/>
  <c r="GG449" i="9" s="1"/>
  <c r="FZ443" i="9"/>
  <c r="GA443" i="9" s="1"/>
  <c r="GB443" i="9" s="1"/>
  <c r="GC443" i="9" s="1"/>
  <c r="GD443" i="9" s="1"/>
  <c r="GE443" i="9" s="1"/>
  <c r="GF443" i="9" s="1"/>
  <c r="GG443" i="9" s="1"/>
  <c r="GH443" i="9" s="1"/>
  <c r="GI443" i="9" s="1"/>
  <c r="BZ443" i="9" s="1"/>
  <c r="FT443" i="9" s="1"/>
  <c r="CA443" i="9" s="1"/>
  <c r="FZ433" i="9"/>
  <c r="GA433" i="9" s="1"/>
  <c r="GB433" i="9" s="1"/>
  <c r="GC433" i="9" s="1"/>
  <c r="GD433" i="9" s="1"/>
  <c r="GE433" i="9" s="1"/>
  <c r="GF433" i="9" s="1"/>
  <c r="GG433" i="9" s="1"/>
  <c r="FZ415" i="9"/>
  <c r="GA415" i="9" s="1"/>
  <c r="GB415" i="9" s="1"/>
  <c r="GC415" i="9" s="1"/>
  <c r="GD415" i="9" s="1"/>
  <c r="GE415" i="9" s="1"/>
  <c r="GF415" i="9" s="1"/>
  <c r="GG415" i="9" s="1"/>
  <c r="FZ408" i="9"/>
  <c r="GA408" i="9" s="1"/>
  <c r="GB408" i="9" s="1"/>
  <c r="GC408" i="9" s="1"/>
  <c r="GD408" i="9" s="1"/>
  <c r="GE408" i="9" s="1"/>
  <c r="GF408" i="9" s="1"/>
  <c r="GG408" i="9" s="1"/>
  <c r="FZ402" i="9"/>
  <c r="GA402" i="9" s="1"/>
  <c r="GB402" i="9" s="1"/>
  <c r="GC402" i="9" s="1"/>
  <c r="GD402" i="9" s="1"/>
  <c r="GE402" i="9" s="1"/>
  <c r="GF402" i="9" s="1"/>
  <c r="GG402" i="9" s="1"/>
  <c r="GH402" i="9" s="1"/>
  <c r="GI402" i="9" s="1"/>
  <c r="BZ402" i="9" s="1"/>
  <c r="FZ396" i="9"/>
  <c r="GA396" i="9" s="1"/>
  <c r="GB396" i="9" s="1"/>
  <c r="GC396" i="9" s="1"/>
  <c r="GD396" i="9" s="1"/>
  <c r="GE396" i="9" s="1"/>
  <c r="GF396" i="9" s="1"/>
  <c r="GG396" i="9" s="1"/>
  <c r="FZ379" i="9"/>
  <c r="GA379" i="9" s="1"/>
  <c r="GB379" i="9" s="1"/>
  <c r="GC379" i="9" s="1"/>
  <c r="GD379" i="9" s="1"/>
  <c r="GE379" i="9" s="1"/>
  <c r="GF379" i="9" s="1"/>
  <c r="GG379" i="9" s="1"/>
  <c r="GH379" i="9" s="1"/>
  <c r="GI379" i="9" s="1"/>
  <c r="BZ379" i="9" s="1"/>
  <c r="FZ307" i="9"/>
  <c r="GA307" i="9" s="1"/>
  <c r="GB307" i="9" s="1"/>
  <c r="GC307" i="9" s="1"/>
  <c r="GD307" i="9" s="1"/>
  <c r="GE307" i="9" s="1"/>
  <c r="GF307" i="9" s="1"/>
  <c r="GG307" i="9" s="1"/>
  <c r="FZ296" i="9"/>
  <c r="GA296" i="9" s="1"/>
  <c r="GB296" i="9" s="1"/>
  <c r="GC296" i="9" s="1"/>
  <c r="GD296" i="9" s="1"/>
  <c r="GE296" i="9" s="1"/>
  <c r="GF296" i="9" s="1"/>
  <c r="GG296" i="9" s="1"/>
  <c r="GH296" i="9" s="1"/>
  <c r="GI296" i="9" s="1"/>
  <c r="BZ296" i="9" s="1"/>
  <c r="FT296" i="9" s="1"/>
  <c r="CA296" i="9" s="1"/>
  <c r="FZ291" i="9"/>
  <c r="GA291" i="9" s="1"/>
  <c r="GB291" i="9" s="1"/>
  <c r="GC291" i="9" s="1"/>
  <c r="GD291" i="9" s="1"/>
  <c r="GE291" i="9" s="1"/>
  <c r="GF291" i="9" s="1"/>
  <c r="GG291" i="9" s="1"/>
  <c r="GH291" i="9" s="1"/>
  <c r="GI291" i="9" s="1"/>
  <c r="BZ291" i="9" s="1"/>
  <c r="FT291" i="9" s="1"/>
  <c r="CA291" i="9" s="1"/>
  <c r="FZ286" i="9"/>
  <c r="GA286" i="9" s="1"/>
  <c r="GB286" i="9" s="1"/>
  <c r="GC286" i="9" s="1"/>
  <c r="GD286" i="9" s="1"/>
  <c r="GE286" i="9" s="1"/>
  <c r="GF286" i="9" s="1"/>
  <c r="GG286" i="9" s="1"/>
  <c r="GH286" i="9" s="1"/>
  <c r="GI286" i="9" s="1"/>
  <c r="BZ286" i="9" s="1"/>
  <c r="FZ279" i="9"/>
  <c r="GA279" i="9" s="1"/>
  <c r="GB279" i="9" s="1"/>
  <c r="GC279" i="9" s="1"/>
  <c r="GD279" i="9" s="1"/>
  <c r="GE279" i="9" s="1"/>
  <c r="GF279" i="9" s="1"/>
  <c r="GG279" i="9" s="1"/>
  <c r="GH279" i="9" s="1"/>
  <c r="GI279" i="9" s="1"/>
  <c r="BZ279" i="9" s="1"/>
  <c r="FZ263" i="9"/>
  <c r="GA263" i="9" s="1"/>
  <c r="GB263" i="9" s="1"/>
  <c r="GC263" i="9" s="1"/>
  <c r="GD263" i="9" s="1"/>
  <c r="GE263" i="9" s="1"/>
  <c r="GF263" i="9" s="1"/>
  <c r="GG263" i="9" s="1"/>
  <c r="GH263" i="9" s="1"/>
  <c r="GI263" i="9" s="1"/>
  <c r="BZ263" i="9" s="1"/>
  <c r="FT263" i="9" s="1"/>
  <c r="CA263" i="9" s="1"/>
  <c r="FZ207" i="9"/>
  <c r="GA207" i="9" s="1"/>
  <c r="GB207" i="9" s="1"/>
  <c r="GC207" i="9" s="1"/>
  <c r="GD207" i="9" s="1"/>
  <c r="GE207" i="9" s="1"/>
  <c r="GF207" i="9" s="1"/>
  <c r="GG207" i="9" s="1"/>
  <c r="GH207" i="9" s="1"/>
  <c r="GI207" i="9" s="1"/>
  <c r="BZ207" i="9" s="1"/>
  <c r="FT207" i="9" s="1"/>
  <c r="CA207" i="9" s="1"/>
  <c r="FZ201" i="9"/>
  <c r="GA201" i="9" s="1"/>
  <c r="GB201" i="9" s="1"/>
  <c r="GC201" i="9" s="1"/>
  <c r="GD201" i="9" s="1"/>
  <c r="GE201" i="9" s="1"/>
  <c r="GF201" i="9" s="1"/>
  <c r="GG201" i="9" s="1"/>
  <c r="GH201" i="9" s="1"/>
  <c r="FZ196" i="9"/>
  <c r="GA196" i="9" s="1"/>
  <c r="GB196" i="9" s="1"/>
  <c r="GC196" i="9" s="1"/>
  <c r="GD196" i="9" s="1"/>
  <c r="GE196" i="9" s="1"/>
  <c r="GF196" i="9" s="1"/>
  <c r="GG196" i="9" s="1"/>
  <c r="GH196" i="9" s="1"/>
  <c r="GI196" i="9" s="1"/>
  <c r="BZ196" i="9" s="1"/>
  <c r="FZ185" i="9"/>
  <c r="GA185" i="9" s="1"/>
  <c r="GB185" i="9" s="1"/>
  <c r="GC185" i="9" s="1"/>
  <c r="GD185" i="9" s="1"/>
  <c r="GE185" i="9" s="1"/>
  <c r="GF185" i="9" s="1"/>
  <c r="GG185" i="9" s="1"/>
  <c r="GH185" i="9" s="1"/>
  <c r="FZ181" i="9"/>
  <c r="GA181" i="9" s="1"/>
  <c r="GB181" i="9" s="1"/>
  <c r="GC181" i="9" s="1"/>
  <c r="GD181" i="9" s="1"/>
  <c r="GE181" i="9" s="1"/>
  <c r="GF181" i="9" s="1"/>
  <c r="GG181" i="9" s="1"/>
  <c r="GH181" i="9" s="1"/>
  <c r="GI181" i="9" s="1"/>
  <c r="BZ181" i="9" s="1"/>
  <c r="FZ176" i="9"/>
  <c r="GA176" i="9" s="1"/>
  <c r="GB176" i="9" s="1"/>
  <c r="GC176" i="9" s="1"/>
  <c r="GD176" i="9" s="1"/>
  <c r="GE176" i="9" s="1"/>
  <c r="GF176" i="9" s="1"/>
  <c r="GG176" i="9" s="1"/>
  <c r="GH176" i="9" s="1"/>
  <c r="FZ160" i="9"/>
  <c r="GA160" i="9" s="1"/>
  <c r="GB160" i="9" s="1"/>
  <c r="GC160" i="9" s="1"/>
  <c r="GD160" i="9" s="1"/>
  <c r="GE160" i="9" s="1"/>
  <c r="GF160" i="9" s="1"/>
  <c r="GG160" i="9" s="1"/>
  <c r="GH160" i="9" s="1"/>
  <c r="FZ155" i="9"/>
  <c r="GA155" i="9" s="1"/>
  <c r="GB155" i="9" s="1"/>
  <c r="GC155" i="9" s="1"/>
  <c r="GD155" i="9" s="1"/>
  <c r="GE155" i="9" s="1"/>
  <c r="GF155" i="9" s="1"/>
  <c r="GG155" i="9" s="1"/>
  <c r="FZ137" i="9"/>
  <c r="GA137" i="9" s="1"/>
  <c r="GB137" i="9" s="1"/>
  <c r="GC137" i="9" s="1"/>
  <c r="GD137" i="9" s="1"/>
  <c r="GE137" i="9" s="1"/>
  <c r="GF137" i="9" s="1"/>
  <c r="GG137" i="9" s="1"/>
  <c r="GH137" i="9" s="1"/>
  <c r="FZ81" i="9"/>
  <c r="GA81" i="9" s="1"/>
  <c r="GB81" i="9" s="1"/>
  <c r="GC81" i="9" s="1"/>
  <c r="GD81" i="9" s="1"/>
  <c r="GE81" i="9" s="1"/>
  <c r="GF81" i="9" s="1"/>
  <c r="GG81" i="9" s="1"/>
  <c r="GH81" i="9" s="1"/>
  <c r="GI81" i="9" s="1"/>
  <c r="BZ81" i="9" s="1"/>
  <c r="FZ76" i="9"/>
  <c r="GA76" i="9" s="1"/>
  <c r="GB76" i="9" s="1"/>
  <c r="GC76" i="9" s="1"/>
  <c r="GD76" i="9" s="1"/>
  <c r="GE76" i="9" s="1"/>
  <c r="GF76" i="9" s="1"/>
  <c r="GG76" i="9" s="1"/>
  <c r="GH76" i="9" s="1"/>
  <c r="GI76" i="9" s="1"/>
  <c r="BZ76" i="9" s="1"/>
  <c r="FT76" i="9" s="1"/>
  <c r="CA76" i="9" s="1"/>
  <c r="FZ70" i="9"/>
  <c r="GA70" i="9" s="1"/>
  <c r="GB70" i="9" s="1"/>
  <c r="GC70" i="9" s="1"/>
  <c r="GD70" i="9" s="1"/>
  <c r="GE70" i="9" s="1"/>
  <c r="GF70" i="9" s="1"/>
  <c r="GG70" i="9" s="1"/>
  <c r="GH70" i="9" s="1"/>
  <c r="GI70" i="9" s="1"/>
  <c r="BZ70" i="9" s="1"/>
  <c r="FZ62" i="9"/>
  <c r="GA62" i="9" s="1"/>
  <c r="GB62" i="9" s="1"/>
  <c r="GC62" i="9" s="1"/>
  <c r="GD62" i="9" s="1"/>
  <c r="GE62" i="9" s="1"/>
  <c r="GF62" i="9" s="1"/>
  <c r="GG62" i="9" s="1"/>
  <c r="FZ48" i="9"/>
  <c r="GA48" i="9" s="1"/>
  <c r="GB48" i="9" s="1"/>
  <c r="GC48" i="9" s="1"/>
  <c r="GD48" i="9" s="1"/>
  <c r="GE48" i="9" s="1"/>
  <c r="GF48" i="9" s="1"/>
  <c r="GG48" i="9" s="1"/>
  <c r="FZ25" i="9"/>
  <c r="GA25" i="9" s="1"/>
  <c r="GB25" i="9" s="1"/>
  <c r="GC25" i="9" s="1"/>
  <c r="GD25" i="9" s="1"/>
  <c r="GE25" i="9" s="1"/>
  <c r="GF25" i="9" s="1"/>
  <c r="GG25" i="9" s="1"/>
  <c r="GH25" i="9" s="1"/>
  <c r="GI25" i="9" s="1"/>
  <c r="BZ25" i="9" s="1"/>
  <c r="FZ518" i="9"/>
  <c r="GA518" i="9" s="1"/>
  <c r="GB518" i="9" s="1"/>
  <c r="GC518" i="9" s="1"/>
  <c r="GD518" i="9" s="1"/>
  <c r="GE518" i="9" s="1"/>
  <c r="GF518" i="9" s="1"/>
  <c r="GG518" i="9" s="1"/>
  <c r="FZ421" i="9"/>
  <c r="GA421" i="9" s="1"/>
  <c r="GB421" i="9" s="1"/>
  <c r="GC421" i="9" s="1"/>
  <c r="GD421" i="9" s="1"/>
  <c r="GE421" i="9" s="1"/>
  <c r="GF421" i="9" s="1"/>
  <c r="GG421" i="9" s="1"/>
  <c r="GH421" i="9" s="1"/>
  <c r="GI421" i="9" s="1"/>
  <c r="BZ421" i="9" s="1"/>
  <c r="FZ414" i="9"/>
  <c r="GA414" i="9" s="1"/>
  <c r="GB414" i="9" s="1"/>
  <c r="GC414" i="9" s="1"/>
  <c r="GD414" i="9" s="1"/>
  <c r="GE414" i="9" s="1"/>
  <c r="GF414" i="9" s="1"/>
  <c r="GG414" i="9" s="1"/>
  <c r="GH414" i="9" s="1"/>
  <c r="GI414" i="9" s="1"/>
  <c r="BZ414" i="9" s="1"/>
  <c r="FT414" i="9" s="1"/>
  <c r="CA414" i="9" s="1"/>
  <c r="FZ401" i="9"/>
  <c r="GA401" i="9" s="1"/>
  <c r="GB401" i="9" s="1"/>
  <c r="GC401" i="9" s="1"/>
  <c r="GD401" i="9" s="1"/>
  <c r="GE401" i="9" s="1"/>
  <c r="GF401" i="9" s="1"/>
  <c r="GG401" i="9" s="1"/>
  <c r="FZ378" i="9"/>
  <c r="GA378" i="9" s="1"/>
  <c r="GB378" i="9" s="1"/>
  <c r="GC378" i="9" s="1"/>
  <c r="GD378" i="9" s="1"/>
  <c r="GE378" i="9" s="1"/>
  <c r="GF378" i="9" s="1"/>
  <c r="GG378" i="9" s="1"/>
  <c r="GH378" i="9" s="1"/>
  <c r="GI378" i="9" s="1"/>
  <c r="BZ378" i="9" s="1"/>
  <c r="FZ324" i="9"/>
  <c r="GA324" i="9" s="1"/>
  <c r="GB324" i="9" s="1"/>
  <c r="GC324" i="9" s="1"/>
  <c r="GD324" i="9" s="1"/>
  <c r="GE324" i="9" s="1"/>
  <c r="GF324" i="9" s="1"/>
  <c r="GG324" i="9" s="1"/>
  <c r="FZ319" i="9"/>
  <c r="GA319" i="9" s="1"/>
  <c r="GB319" i="9" s="1"/>
  <c r="GC319" i="9" s="1"/>
  <c r="GD319" i="9" s="1"/>
  <c r="GE319" i="9" s="1"/>
  <c r="GF319" i="9" s="1"/>
  <c r="GG319" i="9" s="1"/>
  <c r="GH319" i="9" s="1"/>
  <c r="GI319" i="9" s="1"/>
  <c r="BZ319" i="9" s="1"/>
  <c r="FT319" i="9" s="1"/>
  <c r="CA319" i="9" s="1"/>
  <c r="FZ313" i="9"/>
  <c r="GA313" i="9" s="1"/>
  <c r="GB313" i="9" s="1"/>
  <c r="GC313" i="9" s="1"/>
  <c r="GD313" i="9" s="1"/>
  <c r="GE313" i="9" s="1"/>
  <c r="GF313" i="9" s="1"/>
  <c r="GG313" i="9" s="1"/>
  <c r="GH313" i="9" s="1"/>
  <c r="GI313" i="9" s="1"/>
  <c r="BZ313" i="9" s="1"/>
  <c r="FZ306" i="9"/>
  <c r="GA306" i="9" s="1"/>
  <c r="GB306" i="9" s="1"/>
  <c r="GC306" i="9" s="1"/>
  <c r="GD306" i="9" s="1"/>
  <c r="GE306" i="9" s="1"/>
  <c r="GF306" i="9" s="1"/>
  <c r="GG306" i="9" s="1"/>
  <c r="GH306" i="9" s="1"/>
  <c r="GI306" i="9" s="1"/>
  <c r="BZ306" i="9" s="1"/>
  <c r="FZ285" i="9"/>
  <c r="GA285" i="9" s="1"/>
  <c r="GB285" i="9" s="1"/>
  <c r="GC285" i="9" s="1"/>
  <c r="GD285" i="9" s="1"/>
  <c r="GE285" i="9" s="1"/>
  <c r="GF285" i="9" s="1"/>
  <c r="GG285" i="9" s="1"/>
  <c r="GH285" i="9" s="1"/>
  <c r="GI285" i="9" s="1"/>
  <c r="BZ285" i="9" s="1"/>
  <c r="FZ268" i="9"/>
  <c r="GA268" i="9" s="1"/>
  <c r="GB268" i="9" s="1"/>
  <c r="GC268" i="9" s="1"/>
  <c r="GD268" i="9" s="1"/>
  <c r="GE268" i="9" s="1"/>
  <c r="GF268" i="9" s="1"/>
  <c r="GG268" i="9" s="1"/>
  <c r="GH268" i="9" s="1"/>
  <c r="GI268" i="9" s="1"/>
  <c r="BZ268" i="9" s="1"/>
  <c r="FT268" i="9" s="1"/>
  <c r="CA268" i="9" s="1"/>
  <c r="FZ195" i="9"/>
  <c r="GA195" i="9" s="1"/>
  <c r="GB195" i="9" s="1"/>
  <c r="GC195" i="9" s="1"/>
  <c r="GD195" i="9" s="1"/>
  <c r="GE195" i="9" s="1"/>
  <c r="GF195" i="9" s="1"/>
  <c r="GG195" i="9" s="1"/>
  <c r="GH195" i="9" s="1"/>
  <c r="FZ170" i="9"/>
  <c r="GA170" i="9" s="1"/>
  <c r="GB170" i="9" s="1"/>
  <c r="GC170" i="9" s="1"/>
  <c r="GD170" i="9" s="1"/>
  <c r="GE170" i="9" s="1"/>
  <c r="GF170" i="9" s="1"/>
  <c r="GG170" i="9" s="1"/>
  <c r="FZ165" i="9"/>
  <c r="GA165" i="9" s="1"/>
  <c r="GB165" i="9" s="1"/>
  <c r="GC165" i="9" s="1"/>
  <c r="GD165" i="9" s="1"/>
  <c r="GE165" i="9" s="1"/>
  <c r="GF165" i="9" s="1"/>
  <c r="GG165" i="9" s="1"/>
  <c r="GH165" i="9" s="1"/>
  <c r="GI165" i="9" s="1"/>
  <c r="BZ165" i="9" s="1"/>
  <c r="FZ136" i="9"/>
  <c r="GA136" i="9" s="1"/>
  <c r="GB136" i="9" s="1"/>
  <c r="GC136" i="9" s="1"/>
  <c r="GD136" i="9" s="1"/>
  <c r="GE136" i="9" s="1"/>
  <c r="GF136" i="9" s="1"/>
  <c r="GG136" i="9" s="1"/>
  <c r="GH136" i="9" s="1"/>
  <c r="GI136" i="9" s="1"/>
  <c r="BZ136" i="9" s="1"/>
  <c r="FT136" i="9" s="1"/>
  <c r="CA136" i="9" s="1"/>
  <c r="FZ75" i="9"/>
  <c r="GA75" i="9" s="1"/>
  <c r="GB75" i="9" s="1"/>
  <c r="GC75" i="9" s="1"/>
  <c r="GD75" i="9" s="1"/>
  <c r="GE75" i="9" s="1"/>
  <c r="GF75" i="9" s="1"/>
  <c r="GG75" i="9" s="1"/>
  <c r="GH75" i="9" s="1"/>
  <c r="GI75" i="9" s="1"/>
  <c r="BZ75" i="9" s="1"/>
  <c r="FT75" i="9" s="1"/>
  <c r="CA75" i="9" s="1"/>
  <c r="FZ61" i="9"/>
  <c r="GA61" i="9" s="1"/>
  <c r="GB61" i="9" s="1"/>
  <c r="GC61" i="9" s="1"/>
  <c r="GD61" i="9" s="1"/>
  <c r="GE61" i="9" s="1"/>
  <c r="GF61" i="9" s="1"/>
  <c r="GG61" i="9" s="1"/>
  <c r="GH61" i="9" s="1"/>
  <c r="GI61" i="9" s="1"/>
  <c r="BZ61" i="9" s="1"/>
  <c r="FZ448" i="9"/>
  <c r="GA448" i="9" s="1"/>
  <c r="GB448" i="9" s="1"/>
  <c r="GC448" i="9" s="1"/>
  <c r="GD448" i="9" s="1"/>
  <c r="GE448" i="9" s="1"/>
  <c r="GF448" i="9" s="1"/>
  <c r="GG448" i="9" s="1"/>
  <c r="GH448" i="9" s="1"/>
  <c r="GI448" i="9" s="1"/>
  <c r="BZ448" i="9" s="1"/>
  <c r="FZ442" i="9"/>
  <c r="GA442" i="9" s="1"/>
  <c r="GB442" i="9" s="1"/>
  <c r="GC442" i="9" s="1"/>
  <c r="GD442" i="9" s="1"/>
  <c r="GE442" i="9" s="1"/>
  <c r="GF442" i="9" s="1"/>
  <c r="GG442" i="9" s="1"/>
  <c r="FZ432" i="9"/>
  <c r="GA432" i="9" s="1"/>
  <c r="GB432" i="9" s="1"/>
  <c r="GC432" i="9" s="1"/>
  <c r="GD432" i="9" s="1"/>
  <c r="GE432" i="9" s="1"/>
  <c r="GF432" i="9" s="1"/>
  <c r="GG432" i="9" s="1"/>
  <c r="GH432" i="9" s="1"/>
  <c r="GI432" i="9" s="1"/>
  <c r="BZ432" i="9" s="1"/>
  <c r="FZ420" i="9"/>
  <c r="GA420" i="9" s="1"/>
  <c r="GB420" i="9" s="1"/>
  <c r="GC420" i="9" s="1"/>
  <c r="GD420" i="9" s="1"/>
  <c r="GE420" i="9" s="1"/>
  <c r="GF420" i="9" s="1"/>
  <c r="GG420" i="9" s="1"/>
  <c r="GH420" i="9" s="1"/>
  <c r="GI420" i="9" s="1"/>
  <c r="BZ420" i="9" s="1"/>
  <c r="FT420" i="9" s="1"/>
  <c r="CA420" i="9" s="1"/>
  <c r="FZ413" i="9"/>
  <c r="GA413" i="9" s="1"/>
  <c r="GB413" i="9" s="1"/>
  <c r="GC413" i="9" s="1"/>
  <c r="GD413" i="9" s="1"/>
  <c r="GE413" i="9" s="1"/>
  <c r="GF413" i="9" s="1"/>
  <c r="GG413" i="9" s="1"/>
  <c r="GH413" i="9" s="1"/>
  <c r="GI413" i="9" s="1"/>
  <c r="BZ413" i="9" s="1"/>
  <c r="FT413" i="9" s="1"/>
  <c r="CA413" i="9" s="1"/>
  <c r="FZ406" i="9"/>
  <c r="GA406" i="9" s="1"/>
  <c r="GB406" i="9" s="1"/>
  <c r="GC406" i="9" s="1"/>
  <c r="GD406" i="9" s="1"/>
  <c r="GE406" i="9" s="1"/>
  <c r="GF406" i="9" s="1"/>
  <c r="GG406" i="9" s="1"/>
  <c r="FZ400" i="9"/>
  <c r="GA400" i="9" s="1"/>
  <c r="GB400" i="9" s="1"/>
  <c r="GC400" i="9" s="1"/>
  <c r="GD400" i="9" s="1"/>
  <c r="GE400" i="9" s="1"/>
  <c r="GF400" i="9" s="1"/>
  <c r="GG400" i="9" s="1"/>
  <c r="GH400" i="9" s="1"/>
  <c r="GI400" i="9" s="1"/>
  <c r="BZ400" i="9" s="1"/>
  <c r="FZ395" i="9"/>
  <c r="GA395" i="9" s="1"/>
  <c r="GB395" i="9" s="1"/>
  <c r="GC395" i="9" s="1"/>
  <c r="GD395" i="9" s="1"/>
  <c r="GE395" i="9" s="1"/>
  <c r="GF395" i="9" s="1"/>
  <c r="GG395" i="9" s="1"/>
  <c r="FZ391" i="9"/>
  <c r="GA391" i="9" s="1"/>
  <c r="GB391" i="9" s="1"/>
  <c r="GC391" i="9" s="1"/>
  <c r="GD391" i="9" s="1"/>
  <c r="GE391" i="9" s="1"/>
  <c r="GF391" i="9" s="1"/>
  <c r="GG391" i="9" s="1"/>
  <c r="GH391" i="9" s="1"/>
  <c r="GI391" i="9" s="1"/>
  <c r="BZ391" i="9" s="1"/>
  <c r="FT391" i="9" s="1"/>
  <c r="CA391" i="9" s="1"/>
  <c r="FZ323" i="9"/>
  <c r="GA323" i="9" s="1"/>
  <c r="GB323" i="9" s="1"/>
  <c r="GC323" i="9" s="1"/>
  <c r="GD323" i="9" s="1"/>
  <c r="GE323" i="9" s="1"/>
  <c r="GF323" i="9" s="1"/>
  <c r="GG323" i="9" s="1"/>
  <c r="GH323" i="9" s="1"/>
  <c r="GI323" i="9" s="1"/>
  <c r="BZ323" i="9" s="1"/>
  <c r="FT323" i="9" s="1"/>
  <c r="CA323" i="9" s="1"/>
  <c r="FZ312" i="9"/>
  <c r="GA312" i="9" s="1"/>
  <c r="GB312" i="9" s="1"/>
  <c r="GC312" i="9" s="1"/>
  <c r="GD312" i="9" s="1"/>
  <c r="GE312" i="9" s="1"/>
  <c r="GF312" i="9" s="1"/>
  <c r="GG312" i="9" s="1"/>
  <c r="GH312" i="9" s="1"/>
  <c r="GI312" i="9" s="1"/>
  <c r="BZ312" i="9" s="1"/>
  <c r="FT312" i="9" s="1"/>
  <c r="CA312" i="9" s="1"/>
  <c r="FZ305" i="9"/>
  <c r="GA305" i="9" s="1"/>
  <c r="GB305" i="9" s="1"/>
  <c r="GC305" i="9" s="1"/>
  <c r="GD305" i="9" s="1"/>
  <c r="GE305" i="9" s="1"/>
  <c r="GF305" i="9" s="1"/>
  <c r="GG305" i="9" s="1"/>
  <c r="GH305" i="9" s="1"/>
  <c r="GI305" i="9" s="1"/>
  <c r="BZ305" i="9" s="1"/>
  <c r="FZ301" i="9"/>
  <c r="GA301" i="9" s="1"/>
  <c r="GB301" i="9" s="1"/>
  <c r="GC301" i="9" s="1"/>
  <c r="GD301" i="9" s="1"/>
  <c r="GE301" i="9" s="1"/>
  <c r="GF301" i="9" s="1"/>
  <c r="GG301" i="9" s="1"/>
  <c r="GH301" i="9" s="1"/>
  <c r="GI301" i="9" s="1"/>
  <c r="BZ301" i="9" s="1"/>
  <c r="FT301" i="9" s="1"/>
  <c r="CA301" i="9" s="1"/>
  <c r="FZ290" i="9"/>
  <c r="GA290" i="9" s="1"/>
  <c r="GB290" i="9" s="1"/>
  <c r="GC290" i="9" s="1"/>
  <c r="GD290" i="9" s="1"/>
  <c r="GE290" i="9" s="1"/>
  <c r="GF290" i="9" s="1"/>
  <c r="GG290" i="9" s="1"/>
  <c r="GH290" i="9" s="1"/>
  <c r="GI290" i="9" s="1"/>
  <c r="BZ290" i="9" s="1"/>
  <c r="FT290" i="9" s="1"/>
  <c r="CA290" i="9" s="1"/>
  <c r="FZ284" i="9"/>
  <c r="GA284" i="9" s="1"/>
  <c r="GB284" i="9" s="1"/>
  <c r="GC284" i="9" s="1"/>
  <c r="GD284" i="9" s="1"/>
  <c r="GE284" i="9" s="1"/>
  <c r="GF284" i="9" s="1"/>
  <c r="GG284" i="9" s="1"/>
  <c r="GH284" i="9" s="1"/>
  <c r="GI284" i="9" s="1"/>
  <c r="BZ284" i="9" s="1"/>
  <c r="FT284" i="9" s="1"/>
  <c r="CA284" i="9" s="1"/>
  <c r="FZ278" i="9"/>
  <c r="GA278" i="9" s="1"/>
  <c r="GB278" i="9" s="1"/>
  <c r="GC278" i="9" s="1"/>
  <c r="GD278" i="9" s="1"/>
  <c r="GE278" i="9" s="1"/>
  <c r="GF278" i="9" s="1"/>
  <c r="GG278" i="9" s="1"/>
  <c r="GH278" i="9" s="1"/>
  <c r="GI278" i="9" s="1"/>
  <c r="BZ278" i="9" s="1"/>
  <c r="FZ272" i="9"/>
  <c r="GA272" i="9" s="1"/>
  <c r="GB272" i="9" s="1"/>
  <c r="GC272" i="9" s="1"/>
  <c r="GD272" i="9" s="1"/>
  <c r="GE272" i="9" s="1"/>
  <c r="GF272" i="9" s="1"/>
  <c r="GG272" i="9" s="1"/>
  <c r="GH272" i="9" s="1"/>
  <c r="GI272" i="9" s="1"/>
  <c r="BZ272" i="9" s="1"/>
  <c r="FZ267" i="9"/>
  <c r="GA267" i="9" s="1"/>
  <c r="GB267" i="9" s="1"/>
  <c r="GC267" i="9" s="1"/>
  <c r="GD267" i="9" s="1"/>
  <c r="GE267" i="9" s="1"/>
  <c r="GF267" i="9" s="1"/>
  <c r="GG267" i="9" s="1"/>
  <c r="FZ200" i="9"/>
  <c r="GA200" i="9" s="1"/>
  <c r="GB200" i="9" s="1"/>
  <c r="GC200" i="9" s="1"/>
  <c r="GD200" i="9" s="1"/>
  <c r="GE200" i="9" s="1"/>
  <c r="GF200" i="9" s="1"/>
  <c r="GG200" i="9" s="1"/>
  <c r="GH200" i="9" s="1"/>
  <c r="GI200" i="9" s="1"/>
  <c r="BZ200" i="9" s="1"/>
  <c r="FZ189" i="9"/>
  <c r="GA189" i="9" s="1"/>
  <c r="GB189" i="9" s="1"/>
  <c r="GC189" i="9" s="1"/>
  <c r="GD189" i="9" s="1"/>
  <c r="GE189" i="9" s="1"/>
  <c r="GF189" i="9" s="1"/>
  <c r="GG189" i="9" s="1"/>
  <c r="GH189" i="9" s="1"/>
  <c r="GI189" i="9" s="1"/>
  <c r="BZ189" i="9" s="1"/>
  <c r="FZ184" i="9"/>
  <c r="GA184" i="9" s="1"/>
  <c r="GB184" i="9" s="1"/>
  <c r="GC184" i="9" s="1"/>
  <c r="GD184" i="9" s="1"/>
  <c r="GE184" i="9" s="1"/>
  <c r="GF184" i="9" s="1"/>
  <c r="GG184" i="9" s="1"/>
  <c r="GH184" i="9" s="1"/>
  <c r="FZ180" i="9"/>
  <c r="GA180" i="9" s="1"/>
  <c r="GB180" i="9" s="1"/>
  <c r="GC180" i="9" s="1"/>
  <c r="GD180" i="9" s="1"/>
  <c r="GE180" i="9" s="1"/>
  <c r="GF180" i="9" s="1"/>
  <c r="GG180" i="9" s="1"/>
  <c r="GH180" i="9" s="1"/>
  <c r="FZ169" i="9"/>
  <c r="GA169" i="9" s="1"/>
  <c r="GB169" i="9" s="1"/>
  <c r="GC169" i="9" s="1"/>
  <c r="GD169" i="9" s="1"/>
  <c r="GE169" i="9" s="1"/>
  <c r="GF169" i="9" s="1"/>
  <c r="GG169" i="9" s="1"/>
  <c r="GH169" i="9" s="1"/>
  <c r="FZ159" i="9"/>
  <c r="GA159" i="9" s="1"/>
  <c r="GB159" i="9" s="1"/>
  <c r="GC159" i="9" s="1"/>
  <c r="GD159" i="9" s="1"/>
  <c r="GE159" i="9" s="1"/>
  <c r="GF159" i="9" s="1"/>
  <c r="GG159" i="9" s="1"/>
  <c r="GH159" i="9" s="1"/>
  <c r="FZ80" i="9"/>
  <c r="GA80" i="9" s="1"/>
  <c r="GB80" i="9" s="1"/>
  <c r="GC80" i="9" s="1"/>
  <c r="GD80" i="9" s="1"/>
  <c r="GE80" i="9" s="1"/>
  <c r="GF80" i="9" s="1"/>
  <c r="GG80" i="9" s="1"/>
  <c r="GH80" i="9" s="1"/>
  <c r="GI80" i="9" s="1"/>
  <c r="BZ80" i="9" s="1"/>
  <c r="FT80" i="9" s="1"/>
  <c r="CA80" i="9" s="1"/>
  <c r="FZ74" i="9"/>
  <c r="GA74" i="9" s="1"/>
  <c r="GB74" i="9" s="1"/>
  <c r="GC74" i="9" s="1"/>
  <c r="GD74" i="9" s="1"/>
  <c r="GE74" i="9" s="1"/>
  <c r="GF74" i="9" s="1"/>
  <c r="GG74" i="9" s="1"/>
  <c r="GH74" i="9" s="1"/>
  <c r="GI74" i="9" s="1"/>
  <c r="BZ74" i="9" s="1"/>
  <c r="FT74" i="9" s="1"/>
  <c r="CA74" i="9" s="1"/>
  <c r="FZ69" i="9"/>
  <c r="GA69" i="9" s="1"/>
  <c r="GB69" i="9" s="1"/>
  <c r="GC69" i="9" s="1"/>
  <c r="GD69" i="9" s="1"/>
  <c r="GE69" i="9" s="1"/>
  <c r="GF69" i="9" s="1"/>
  <c r="GG69" i="9" s="1"/>
  <c r="GW69" i="9" s="1"/>
  <c r="HF69" i="9" s="1"/>
  <c r="CD69" i="9" s="1"/>
  <c r="FZ60" i="9"/>
  <c r="GA60" i="9" s="1"/>
  <c r="GB60" i="9" s="1"/>
  <c r="GC60" i="9" s="1"/>
  <c r="GD60" i="9" s="1"/>
  <c r="GE60" i="9" s="1"/>
  <c r="GF60" i="9" s="1"/>
  <c r="GG60" i="9" s="1"/>
  <c r="FZ56" i="9"/>
  <c r="GA56" i="9" s="1"/>
  <c r="GB56" i="9" s="1"/>
  <c r="GC56" i="9" s="1"/>
  <c r="GD56" i="9" s="1"/>
  <c r="GE56" i="9" s="1"/>
  <c r="GF56" i="9" s="1"/>
  <c r="GG56" i="9" s="1"/>
  <c r="GH56" i="9" s="1"/>
  <c r="GI56" i="9" s="1"/>
  <c r="BZ56" i="9" s="1"/>
  <c r="FZ17" i="9"/>
  <c r="GA17" i="9" s="1"/>
  <c r="GB17" i="9" s="1"/>
  <c r="GC17" i="9" s="1"/>
  <c r="GD17" i="9" s="1"/>
  <c r="GE17" i="9" s="1"/>
  <c r="GF17" i="9" s="1"/>
  <c r="GG17" i="9" s="1"/>
  <c r="GH17" i="9" s="1"/>
  <c r="GI17" i="9" s="1"/>
  <c r="BZ17" i="9" s="1"/>
  <c r="GQ137" i="9"/>
  <c r="GR137" i="9" s="1"/>
  <c r="GS137" i="9" s="1"/>
  <c r="GT137" i="9" s="1"/>
  <c r="GU137" i="9" s="1"/>
  <c r="GV137" i="9" s="1"/>
  <c r="FZ686" i="9"/>
  <c r="GA686" i="9" s="1"/>
  <c r="GB686" i="9" s="1"/>
  <c r="GC686" i="9" s="1"/>
  <c r="GD686" i="9" s="1"/>
  <c r="GE686" i="9" s="1"/>
  <c r="GF686" i="9" s="1"/>
  <c r="GG686" i="9" s="1"/>
  <c r="FZ659" i="9"/>
  <c r="GA659" i="9" s="1"/>
  <c r="GB659" i="9" s="1"/>
  <c r="GC659" i="9" s="1"/>
  <c r="GD659" i="9" s="1"/>
  <c r="GE659" i="9" s="1"/>
  <c r="GF659" i="9" s="1"/>
  <c r="GG659" i="9" s="1"/>
  <c r="GH659" i="9" s="1"/>
  <c r="GI659" i="9" s="1"/>
  <c r="BZ659" i="9" s="1"/>
  <c r="FT659" i="9" s="1"/>
  <c r="CA659" i="9" s="1"/>
  <c r="FZ654" i="9"/>
  <c r="GA654" i="9" s="1"/>
  <c r="GB654" i="9" s="1"/>
  <c r="GC654" i="9" s="1"/>
  <c r="GD654" i="9" s="1"/>
  <c r="GE654" i="9" s="1"/>
  <c r="GF654" i="9" s="1"/>
  <c r="GG654" i="9" s="1"/>
  <c r="FZ638" i="9"/>
  <c r="GA638" i="9" s="1"/>
  <c r="GB638" i="9" s="1"/>
  <c r="GC638" i="9" s="1"/>
  <c r="GD638" i="9" s="1"/>
  <c r="GE638" i="9" s="1"/>
  <c r="GF638" i="9" s="1"/>
  <c r="GG638" i="9" s="1"/>
  <c r="FZ632" i="9"/>
  <c r="GA632" i="9" s="1"/>
  <c r="GB632" i="9" s="1"/>
  <c r="GC632" i="9" s="1"/>
  <c r="GD632" i="9" s="1"/>
  <c r="GE632" i="9" s="1"/>
  <c r="GF632" i="9" s="1"/>
  <c r="GG632" i="9" s="1"/>
  <c r="FZ620" i="9"/>
  <c r="GA620" i="9" s="1"/>
  <c r="GB620" i="9" s="1"/>
  <c r="GC620" i="9" s="1"/>
  <c r="GD620" i="9" s="1"/>
  <c r="GE620" i="9" s="1"/>
  <c r="GF620" i="9" s="1"/>
  <c r="GG620" i="9" s="1"/>
  <c r="FZ567" i="9"/>
  <c r="GA567" i="9" s="1"/>
  <c r="GB567" i="9" s="1"/>
  <c r="GC567" i="9" s="1"/>
  <c r="GD567" i="9" s="1"/>
  <c r="GE567" i="9" s="1"/>
  <c r="GF567" i="9" s="1"/>
  <c r="GG567" i="9" s="1"/>
  <c r="GH567" i="9" s="1"/>
  <c r="GI567" i="9" s="1"/>
  <c r="BZ567" i="9" s="1"/>
  <c r="FT567" i="9" s="1"/>
  <c r="CA567" i="9" s="1"/>
  <c r="FZ538" i="9"/>
  <c r="GA538" i="9" s="1"/>
  <c r="GB538" i="9" s="1"/>
  <c r="GC538" i="9" s="1"/>
  <c r="GD538" i="9" s="1"/>
  <c r="GE538" i="9" s="1"/>
  <c r="GF538" i="9" s="1"/>
  <c r="GG538" i="9" s="1"/>
  <c r="FZ528" i="9"/>
  <c r="GA528" i="9" s="1"/>
  <c r="GB528" i="9" s="1"/>
  <c r="GC528" i="9" s="1"/>
  <c r="GD528" i="9" s="1"/>
  <c r="GE528" i="9" s="1"/>
  <c r="GF528" i="9" s="1"/>
  <c r="GG528" i="9" s="1"/>
  <c r="GH528" i="9" s="1"/>
  <c r="GI528" i="9" s="1"/>
  <c r="BZ528" i="9" s="1"/>
  <c r="FZ502" i="9"/>
  <c r="GA502" i="9" s="1"/>
  <c r="GB502" i="9" s="1"/>
  <c r="GC502" i="9" s="1"/>
  <c r="GD502" i="9" s="1"/>
  <c r="GE502" i="9" s="1"/>
  <c r="GF502" i="9" s="1"/>
  <c r="GG502" i="9" s="1"/>
  <c r="FZ426" i="9"/>
  <c r="GA426" i="9" s="1"/>
  <c r="GB426" i="9" s="1"/>
  <c r="GC426" i="9" s="1"/>
  <c r="GD426" i="9" s="1"/>
  <c r="GE426" i="9" s="1"/>
  <c r="GF426" i="9" s="1"/>
  <c r="GG426" i="9" s="1"/>
  <c r="FZ387" i="9"/>
  <c r="GA387" i="9" s="1"/>
  <c r="GB387" i="9" s="1"/>
  <c r="GC387" i="9" s="1"/>
  <c r="GD387" i="9" s="1"/>
  <c r="GE387" i="9" s="1"/>
  <c r="GF387" i="9" s="1"/>
  <c r="GG387" i="9" s="1"/>
  <c r="FZ328" i="9"/>
  <c r="GA328" i="9" s="1"/>
  <c r="GB328" i="9" s="1"/>
  <c r="GC328" i="9" s="1"/>
  <c r="GD328" i="9" s="1"/>
  <c r="GE328" i="9" s="1"/>
  <c r="GF328" i="9" s="1"/>
  <c r="GG328" i="9" s="1"/>
  <c r="GH328" i="9" s="1"/>
  <c r="GI328" i="9" s="1"/>
  <c r="BZ328" i="9" s="1"/>
  <c r="FT328" i="9" s="1"/>
  <c r="CA328" i="9" s="1"/>
  <c r="FZ317" i="9"/>
  <c r="GA317" i="9" s="1"/>
  <c r="GB317" i="9" s="1"/>
  <c r="GC317" i="9" s="1"/>
  <c r="GD317" i="9" s="1"/>
  <c r="GE317" i="9" s="1"/>
  <c r="GF317" i="9" s="1"/>
  <c r="GG317" i="9" s="1"/>
  <c r="GH317" i="9" s="1"/>
  <c r="GI317" i="9" s="1"/>
  <c r="BZ317" i="9" s="1"/>
  <c r="FZ311" i="9"/>
  <c r="GA311" i="9" s="1"/>
  <c r="GB311" i="9" s="1"/>
  <c r="GC311" i="9" s="1"/>
  <c r="GD311" i="9" s="1"/>
  <c r="GE311" i="9" s="1"/>
  <c r="GF311" i="9" s="1"/>
  <c r="GG311" i="9" s="1"/>
  <c r="GH311" i="9" s="1"/>
  <c r="GI311" i="9" s="1"/>
  <c r="BZ311" i="9" s="1"/>
  <c r="FT311" i="9" s="1"/>
  <c r="CA311" i="9" s="1"/>
  <c r="FZ300" i="9"/>
  <c r="GA300" i="9" s="1"/>
  <c r="GB300" i="9" s="1"/>
  <c r="GC300" i="9" s="1"/>
  <c r="GD300" i="9" s="1"/>
  <c r="GE300" i="9" s="1"/>
  <c r="GF300" i="9" s="1"/>
  <c r="GG300" i="9" s="1"/>
  <c r="GH300" i="9" s="1"/>
  <c r="GI300" i="9" s="1"/>
  <c r="BZ300" i="9" s="1"/>
  <c r="FZ294" i="9"/>
  <c r="GA294" i="9" s="1"/>
  <c r="GB294" i="9" s="1"/>
  <c r="GC294" i="9" s="1"/>
  <c r="GD294" i="9" s="1"/>
  <c r="GE294" i="9" s="1"/>
  <c r="GF294" i="9" s="1"/>
  <c r="GG294" i="9" s="1"/>
  <c r="FZ277" i="9"/>
  <c r="GA277" i="9" s="1"/>
  <c r="GB277" i="9" s="1"/>
  <c r="GC277" i="9" s="1"/>
  <c r="GD277" i="9" s="1"/>
  <c r="GE277" i="9" s="1"/>
  <c r="GF277" i="9" s="1"/>
  <c r="GG277" i="9" s="1"/>
  <c r="GH277" i="9" s="1"/>
  <c r="GI277" i="9" s="1"/>
  <c r="BZ277" i="9" s="1"/>
  <c r="FZ266" i="9"/>
  <c r="GA266" i="9" s="1"/>
  <c r="GB266" i="9" s="1"/>
  <c r="GC266" i="9" s="1"/>
  <c r="GD266" i="9" s="1"/>
  <c r="GE266" i="9" s="1"/>
  <c r="GF266" i="9" s="1"/>
  <c r="GG266" i="9" s="1"/>
  <c r="FZ188" i="9"/>
  <c r="GA188" i="9" s="1"/>
  <c r="GB188" i="9" s="1"/>
  <c r="GC188" i="9" s="1"/>
  <c r="GD188" i="9" s="1"/>
  <c r="GE188" i="9" s="1"/>
  <c r="GF188" i="9" s="1"/>
  <c r="GG188" i="9" s="1"/>
  <c r="GH188" i="9" s="1"/>
  <c r="FZ174" i="9"/>
  <c r="GA174" i="9" s="1"/>
  <c r="GB174" i="9" s="1"/>
  <c r="GC174" i="9" s="1"/>
  <c r="GD174" i="9" s="1"/>
  <c r="GE174" i="9" s="1"/>
  <c r="GF174" i="9" s="1"/>
  <c r="GG174" i="9" s="1"/>
  <c r="GH174" i="9" s="1"/>
  <c r="GI174" i="9" s="1"/>
  <c r="BZ174" i="9" s="1"/>
  <c r="FZ153" i="9"/>
  <c r="GA153" i="9" s="1"/>
  <c r="GB153" i="9" s="1"/>
  <c r="GC153" i="9" s="1"/>
  <c r="GD153" i="9" s="1"/>
  <c r="GE153" i="9" s="1"/>
  <c r="GF153" i="9" s="1"/>
  <c r="GG153" i="9" s="1"/>
  <c r="GH153" i="9" s="1"/>
  <c r="GI153" i="9" s="1"/>
  <c r="BZ153" i="9" s="1"/>
  <c r="FZ73" i="9"/>
  <c r="GA73" i="9" s="1"/>
  <c r="GB73" i="9" s="1"/>
  <c r="GC73" i="9" s="1"/>
  <c r="GD73" i="9" s="1"/>
  <c r="GE73" i="9" s="1"/>
  <c r="GF73" i="9" s="1"/>
  <c r="GG73" i="9" s="1"/>
  <c r="GH73" i="9" s="1"/>
  <c r="GI73" i="9" s="1"/>
  <c r="BZ73" i="9" s="1"/>
  <c r="FT73" i="9" s="1"/>
  <c r="CA73" i="9" s="1"/>
  <c r="FZ68" i="9"/>
  <c r="GA68" i="9" s="1"/>
  <c r="GB68" i="9" s="1"/>
  <c r="GC68" i="9" s="1"/>
  <c r="GD68" i="9" s="1"/>
  <c r="GE68" i="9" s="1"/>
  <c r="GF68" i="9" s="1"/>
  <c r="GG68" i="9" s="1"/>
  <c r="FZ55" i="9"/>
  <c r="GA55" i="9" s="1"/>
  <c r="GB55" i="9" s="1"/>
  <c r="GC55" i="9" s="1"/>
  <c r="GD55" i="9" s="1"/>
  <c r="GE55" i="9" s="1"/>
  <c r="GF55" i="9" s="1"/>
  <c r="GG55" i="9" s="1"/>
  <c r="GH55" i="9" s="1"/>
  <c r="GI55" i="9" s="1"/>
  <c r="BZ55" i="9" s="1"/>
  <c r="Z37" i="12"/>
  <c r="BL11" i="12"/>
  <c r="AI34" i="12"/>
  <c r="Z11" i="12"/>
  <c r="BM11" i="12" s="1"/>
  <c r="DC18" i="12"/>
  <c r="DA18" i="12"/>
  <c r="DB18" i="12"/>
  <c r="DA17" i="12"/>
  <c r="DC17" i="12"/>
  <c r="DB17" i="12"/>
  <c r="DC16" i="12"/>
  <c r="DB16" i="12"/>
  <c r="DA16" i="12"/>
  <c r="DA20" i="12"/>
  <c r="DC20" i="12"/>
  <c r="DB20" i="12"/>
  <c r="DO232" i="5"/>
  <c r="DO330" i="5"/>
  <c r="DO294" i="5"/>
  <c r="DO261" i="5"/>
  <c r="DO235" i="5"/>
  <c r="DO40" i="5"/>
  <c r="DO171" i="5"/>
  <c r="DO234" i="5"/>
  <c r="DO19" i="5"/>
  <c r="DO170" i="5"/>
  <c r="DR170" i="5" s="1"/>
  <c r="DO230" i="5"/>
  <c r="DO627" i="5"/>
  <c r="DO18" i="5"/>
  <c r="DR18" i="5" s="1"/>
  <c r="DO295" i="5"/>
  <c r="DO41" i="5"/>
  <c r="DO328" i="5"/>
  <c r="DO624" i="5"/>
  <c r="DO289" i="5"/>
  <c r="DO39" i="5"/>
  <c r="DR39" i="5" s="1"/>
  <c r="DO622" i="5"/>
  <c r="DR622" i="5" s="1"/>
  <c r="DO20" i="5"/>
  <c r="DO327" i="5"/>
  <c r="DO262" i="5"/>
  <c r="DO296" i="5"/>
  <c r="DO173" i="5"/>
  <c r="DO37" i="5"/>
  <c r="DO290" i="5"/>
  <c r="DO172" i="5"/>
  <c r="DO321" i="5"/>
  <c r="DO325" i="5"/>
  <c r="DO292" i="5"/>
  <c r="DO377" i="5"/>
  <c r="DO111" i="5"/>
  <c r="DR111" i="5" s="1"/>
  <c r="DO597" i="5"/>
  <c r="DO115" i="5"/>
  <c r="DO113" i="5"/>
  <c r="DO210" i="5"/>
  <c r="DO148" i="5"/>
  <c r="DO147" i="5"/>
  <c r="DO372" i="5"/>
  <c r="DO742" i="5"/>
  <c r="DO168" i="5"/>
  <c r="DR168" i="5" s="1"/>
  <c r="DO666" i="5"/>
  <c r="DR666" i="5" s="1"/>
  <c r="DO73" i="5"/>
  <c r="DO203" i="5"/>
  <c r="DO112" i="5"/>
  <c r="DO669" i="5"/>
  <c r="DO522" i="5"/>
  <c r="DO17" i="5"/>
  <c r="DO151" i="5"/>
  <c r="DO744" i="5"/>
  <c r="DO77" i="5"/>
  <c r="DO450" i="5"/>
  <c r="DO561" i="5"/>
  <c r="DO16" i="5"/>
  <c r="DR16" i="5" s="1"/>
  <c r="DO601" i="5"/>
  <c r="DO169" i="5"/>
  <c r="DO665" i="5"/>
  <c r="DO670" i="5"/>
  <c r="DO667" i="5"/>
  <c r="DO595" i="5"/>
  <c r="DR595" i="5" s="1"/>
  <c r="DO373" i="5"/>
  <c r="DO36" i="5"/>
  <c r="DR36" i="5" s="1"/>
  <c r="DO484" i="5"/>
  <c r="DR484" i="5" s="1"/>
  <c r="DO411" i="5"/>
  <c r="DO741" i="5"/>
  <c r="DO559" i="5"/>
  <c r="DO739" i="5"/>
  <c r="DO704" i="5"/>
  <c r="DO447" i="5"/>
  <c r="DO560" i="5"/>
  <c r="DO78" i="5"/>
  <c r="DO212" i="5"/>
  <c r="DO523" i="5"/>
  <c r="DO668" i="5"/>
  <c r="DO258" i="5"/>
  <c r="DO562" i="5"/>
  <c r="DO596" i="5"/>
  <c r="DO74" i="5"/>
  <c r="DR74" i="5" s="1"/>
  <c r="DO706" i="5"/>
  <c r="DO375" i="5"/>
  <c r="DO150" i="5"/>
  <c r="DO488" i="5"/>
  <c r="DO449" i="5"/>
  <c r="DO525" i="5"/>
  <c r="DO451" i="5"/>
  <c r="DO410" i="5"/>
  <c r="DR410" i="5" s="1"/>
  <c r="DO558" i="5"/>
  <c r="DR558" i="5" s="1"/>
  <c r="DO412" i="5"/>
  <c r="DO557" i="5"/>
  <c r="DO485" i="5"/>
  <c r="DO76" i="5"/>
  <c r="DO152" i="5"/>
  <c r="DO374" i="5"/>
  <c r="DO602" i="5"/>
  <c r="DO703" i="5"/>
  <c r="DR703" i="5" s="1"/>
  <c r="DO413" i="5"/>
  <c r="DO414" i="5"/>
  <c r="DO149" i="5"/>
  <c r="DO740" i="5"/>
  <c r="DR740" i="5" s="1"/>
  <c r="DO598" i="5"/>
  <c r="DO209" i="5"/>
  <c r="DO35" i="5"/>
  <c r="DO114" i="5"/>
  <c r="DO524" i="5"/>
  <c r="DO446" i="5"/>
  <c r="DO211" i="5"/>
  <c r="DO743" i="5"/>
  <c r="DO594" i="5"/>
  <c r="DO206" i="5"/>
  <c r="DO204" i="5"/>
  <c r="DR204" i="5" s="1"/>
  <c r="DO521" i="5"/>
  <c r="DR521" i="5" s="1"/>
  <c r="DO207" i="5"/>
  <c r="DO487" i="5"/>
  <c r="DO259" i="5"/>
  <c r="DR259" i="5" s="1"/>
  <c r="DO600" i="5"/>
  <c r="DO208" i="5"/>
  <c r="DO110" i="5"/>
  <c r="DO205" i="5"/>
  <c r="DO486" i="5"/>
  <c r="DO705" i="5"/>
  <c r="DO707" i="5"/>
  <c r="DO75" i="5"/>
  <c r="DO520" i="5"/>
  <c r="DO376" i="5"/>
  <c r="DO409" i="5"/>
  <c r="DO599" i="5"/>
  <c r="DO483" i="5"/>
  <c r="DO448" i="5"/>
  <c r="DO702" i="5"/>
  <c r="DO603" i="5"/>
  <c r="DJ330" i="5"/>
  <c r="DJ41" i="5"/>
  <c r="DJ291" i="5"/>
  <c r="DM291" i="5" s="1"/>
  <c r="DJ264" i="5"/>
  <c r="DJ321" i="5"/>
  <c r="DJ625" i="5"/>
  <c r="DJ324" i="5"/>
  <c r="DJ260" i="5"/>
  <c r="DJ626" i="5"/>
  <c r="DJ233" i="5"/>
  <c r="DJ296" i="5"/>
  <c r="DJ40" i="5"/>
  <c r="DJ624" i="5"/>
  <c r="DJ322" i="5"/>
  <c r="DJ261" i="5"/>
  <c r="DJ38" i="5"/>
  <c r="DJ172" i="5"/>
  <c r="DJ326" i="5"/>
  <c r="DJ39" i="5"/>
  <c r="DM39" i="5" s="1"/>
  <c r="DJ623" i="5"/>
  <c r="DR394" i="5"/>
  <c r="DJ18" i="5"/>
  <c r="DM18" i="5" s="1"/>
  <c r="DJ170" i="5"/>
  <c r="DM170" i="5" s="1"/>
  <c r="DJ295" i="5"/>
  <c r="DJ627" i="5"/>
  <c r="DJ229" i="5"/>
  <c r="DJ328" i="5"/>
  <c r="DJ234" i="5"/>
  <c r="DJ329" i="5"/>
  <c r="DJ327" i="5"/>
  <c r="DJ21" i="5"/>
  <c r="DJ323" i="5"/>
  <c r="DM323" i="5" s="1"/>
  <c r="DJ19" i="5"/>
  <c r="DJ290" i="5"/>
  <c r="Z14" i="12"/>
  <c r="Z15" i="12" s="1"/>
  <c r="E103" i="15"/>
  <c r="E74" i="15"/>
  <c r="E82" i="15"/>
  <c r="E104" i="15"/>
  <c r="E71" i="15"/>
  <c r="E75" i="15"/>
  <c r="E79" i="15"/>
  <c r="E83" i="15"/>
  <c r="E87" i="15"/>
  <c r="E91" i="15"/>
  <c r="E95" i="15"/>
  <c r="E99" i="15"/>
  <c r="E107" i="15"/>
  <c r="E98" i="15"/>
  <c r="E68" i="15"/>
  <c r="E72" i="15"/>
  <c r="E76" i="15"/>
  <c r="E80" i="15"/>
  <c r="E84" i="15"/>
  <c r="E88" i="15"/>
  <c r="E92" i="15"/>
  <c r="E96" i="15"/>
  <c r="E100" i="15"/>
  <c r="E105" i="15"/>
  <c r="E102" i="15"/>
  <c r="E90" i="15"/>
  <c r="E69" i="15"/>
  <c r="E73" i="15"/>
  <c r="E77" i="15"/>
  <c r="E81" i="15"/>
  <c r="E85" i="15"/>
  <c r="E89" i="15"/>
  <c r="E93" i="15"/>
  <c r="E97" i="15"/>
  <c r="E101" i="15"/>
  <c r="E106" i="15"/>
  <c r="E70" i="15"/>
  <c r="E78" i="15"/>
  <c r="E86" i="15"/>
  <c r="E94" i="15"/>
  <c r="AO33" i="10"/>
  <c r="CS212" i="10" s="1"/>
  <c r="CO187" i="10"/>
  <c r="CO263" i="10"/>
  <c r="DJ61" i="5"/>
  <c r="DM61" i="5" s="1"/>
  <c r="DJ658" i="5"/>
  <c r="DJ653" i="5"/>
  <c r="DM653" i="5" s="1"/>
  <c r="DE96" i="5" a="1"/>
  <c r="DE96" i="5" s="1"/>
  <c r="DE104" i="5" a="1"/>
  <c r="DE104" i="5" s="1"/>
  <c r="DE79" i="5" a="1"/>
  <c r="DE79" i="5" s="1"/>
  <c r="DE696" i="5" a="1"/>
  <c r="DE696" i="5" s="1"/>
  <c r="DE67" i="5" a="1"/>
  <c r="DE67" i="5" s="1"/>
  <c r="DE659" i="5" a="1"/>
  <c r="DE659" i="5" s="1"/>
  <c r="DE514" i="5" a="1"/>
  <c r="DE514" i="5" s="1"/>
  <c r="BC76" i="5"/>
  <c r="DE341" i="5" a="1"/>
  <c r="DE341" i="5" s="1"/>
  <c r="DE331" i="5" a="1"/>
  <c r="DE331" i="5" s="1"/>
  <c r="DE584" i="5" a="1"/>
  <c r="DE584" i="5" s="1"/>
  <c r="DE671" i="5" a="1"/>
  <c r="DE671" i="5" s="1"/>
  <c r="DE725" i="5" a="1"/>
  <c r="DE725" i="5" s="1"/>
  <c r="DE526" i="5" a="1"/>
  <c r="DE526" i="5" s="1"/>
  <c r="DE432" i="5" a="1"/>
  <c r="DE432" i="5" s="1"/>
  <c r="BW61" i="5"/>
  <c r="DE702" i="5" a="1"/>
  <c r="DE702" i="5" s="1"/>
  <c r="DE688" i="5" a="1"/>
  <c r="DE688" i="5" s="1"/>
  <c r="DE506" i="5" a="1"/>
  <c r="DE506" i="5" s="1"/>
  <c r="DE563" i="5" a="1"/>
  <c r="DE563" i="5" s="1"/>
  <c r="DE620" i="5" a="1"/>
  <c r="DE620" i="5" s="1"/>
  <c r="DE440" i="5" a="1"/>
  <c r="DE440" i="5" s="1"/>
  <c r="DE366" i="5" a="1"/>
  <c r="DE366" i="5" s="1"/>
  <c r="DE636" i="5" a="1"/>
  <c r="DE636" i="5" s="1"/>
  <c r="DE604" i="5" a="1"/>
  <c r="DE604" i="5" s="1"/>
  <c r="DE520" i="5" a="1"/>
  <c r="DE520" i="5" s="1"/>
  <c r="DE409" i="5" a="1"/>
  <c r="DE409" i="5" s="1"/>
  <c r="DE651" i="5" a="1"/>
  <c r="DE651" i="5" s="1"/>
  <c r="DE489" i="5" a="1"/>
  <c r="DE489" i="5" s="1"/>
  <c r="DE378" i="5" a="1"/>
  <c r="DE378" i="5" s="1"/>
  <c r="DE280" i="5" a="1"/>
  <c r="DE280" i="5" s="1"/>
  <c r="DE477" i="5" a="1"/>
  <c r="DE477" i="5" s="1"/>
  <c r="DE551" i="5" a="1"/>
  <c r="DE551" i="5" s="1"/>
  <c r="DE415" i="5" a="1"/>
  <c r="DE415" i="5" s="1"/>
  <c r="DE285" i="5" a="1"/>
  <c r="DE285" i="5" s="1"/>
  <c r="DE403" i="5" a="1"/>
  <c r="DE403" i="5" s="1"/>
  <c r="DE395" i="5" a="1"/>
  <c r="DE395" i="5" s="1"/>
  <c r="DE297" i="5" a="1"/>
  <c r="DE297" i="5" s="1"/>
  <c r="DE321" i="5" a="1"/>
  <c r="DE321" i="5" s="1"/>
  <c r="DE153" i="5" a="1"/>
  <c r="DE153" i="5" s="1"/>
  <c r="DE289" i="5" a="1"/>
  <c r="DE289" i="5" s="1"/>
  <c r="DE708" i="5" a="1"/>
  <c r="DE708" i="5" s="1"/>
  <c r="DE469" i="5" a="1"/>
  <c r="DE469" i="5" s="1"/>
  <c r="DE452" i="5" a="1"/>
  <c r="DE452" i="5" s="1"/>
  <c r="DE256" i="5" a="1"/>
  <c r="DE256" i="5" s="1"/>
  <c r="DE260" i="5" a="1"/>
  <c r="DE260" i="5" s="1"/>
  <c r="DE314" i="5" a="1"/>
  <c r="DE314" i="5" s="1"/>
  <c r="DE305" i="5" a="1"/>
  <c r="DE305" i="5" s="1"/>
  <c r="DE193" i="5" a="1"/>
  <c r="DE193" i="5" s="1"/>
  <c r="DE110" i="5" a="1"/>
  <c r="DE110" i="5" s="1"/>
  <c r="DE37" i="5" a="1"/>
  <c r="DE37" i="5" s="1"/>
  <c r="DE358" i="5" a="1"/>
  <c r="DE358" i="5" s="1"/>
  <c r="DE270" i="5" a="1"/>
  <c r="DE270" i="5" s="1"/>
  <c r="DE133" i="5" a="1"/>
  <c r="DE133" i="5" s="1"/>
  <c r="DE245" i="5" a="1"/>
  <c r="DE245" i="5" s="1"/>
  <c r="DE237" i="5" a="1"/>
  <c r="DE237" i="5" s="1"/>
  <c r="DE116" i="5" a="1"/>
  <c r="DE116" i="5" s="1"/>
  <c r="DE733" i="5" a="1"/>
  <c r="DE733" i="5" s="1"/>
  <c r="DE33" i="5" a="1"/>
  <c r="DE33" i="5" s="1"/>
  <c r="DE543" i="5" a="1"/>
  <c r="DE543" i="5" s="1"/>
  <c r="DE141" i="5" a="1"/>
  <c r="DE141" i="5" s="1"/>
  <c r="DE229" i="5" a="1"/>
  <c r="DE229" i="5" s="1"/>
  <c r="DE213" i="5" a="1"/>
  <c r="DE213" i="5" s="1"/>
  <c r="DE42" i="5" a="1"/>
  <c r="DE42" i="5" s="1"/>
  <c r="DE265" i="5" a="1"/>
  <c r="DE265" i="5" s="1"/>
  <c r="DE59" i="5" a="1"/>
  <c r="DE59" i="5" s="1"/>
  <c r="DE745" i="5" a="1"/>
  <c r="DE745" i="5" s="1"/>
  <c r="DE47" i="5" a="1"/>
  <c r="DE47" i="5" s="1"/>
  <c r="DE628" i="5" a="1"/>
  <c r="DE628" i="5" s="1"/>
  <c r="DJ182" i="5"/>
  <c r="DM182" i="5" s="1"/>
  <c r="DJ465" i="5"/>
  <c r="DJ646" i="5"/>
  <c r="DJ719" i="5"/>
  <c r="DJ253" i="5"/>
  <c r="DJ128" i="5"/>
  <c r="DJ718" i="5"/>
  <c r="DM718" i="5" s="1"/>
  <c r="DJ577" i="5"/>
  <c r="DJ31" i="5"/>
  <c r="DJ52" i="5"/>
  <c r="DM52" i="5" s="1"/>
  <c r="DJ392" i="5"/>
  <c r="DJ720" i="5"/>
  <c r="DJ722" i="5"/>
  <c r="DJ580" i="5"/>
  <c r="DJ430" i="5"/>
  <c r="DJ278" i="5"/>
  <c r="DJ721" i="5"/>
  <c r="DJ55" i="5"/>
  <c r="DR11" i="5"/>
  <c r="DR163" i="5"/>
  <c r="DJ644" i="5"/>
  <c r="DM644" i="5" s="1"/>
  <c r="DJ96" i="5"/>
  <c r="DJ273" i="5"/>
  <c r="DJ249" i="5"/>
  <c r="DJ289" i="5"/>
  <c r="DJ235" i="5"/>
  <c r="DM235" i="5" s="1"/>
  <c r="DJ232" i="5"/>
  <c r="DJ293" i="5"/>
  <c r="DJ262" i="5"/>
  <c r="DJ236" i="5"/>
  <c r="DJ292" i="5"/>
  <c r="DJ20" i="5"/>
  <c r="DJ325" i="5"/>
  <c r="DJ621" i="5"/>
  <c r="DJ173" i="5"/>
  <c r="DJ294" i="5"/>
  <c r="DJ171" i="5"/>
  <c r="AM76" i="5"/>
  <c r="DD52" i="5" a="1"/>
  <c r="DD52" i="5" s="1"/>
  <c r="BV61" i="5"/>
  <c r="DE670" i="5" a="1"/>
  <c r="DE670" i="5" s="1"/>
  <c r="DE685" i="5" a="1"/>
  <c r="DE685" i="5" s="1"/>
  <c r="DE686" i="5" s="1"/>
  <c r="DE707" i="5" a="1"/>
  <c r="DE707" i="5" s="1"/>
  <c r="DE657" i="5" a="1"/>
  <c r="DE657" i="5" s="1"/>
  <c r="DE377" i="5" a="1"/>
  <c r="DE377" i="5" s="1"/>
  <c r="DE664" i="5" a="1"/>
  <c r="DE664" i="5" s="1"/>
  <c r="DE722" i="5" a="1"/>
  <c r="DE722" i="5" s="1"/>
  <c r="DE723" i="5" s="1"/>
  <c r="DE694" i="5" a="1"/>
  <c r="DE694" i="5" s="1"/>
  <c r="DE634" i="5" a="1"/>
  <c r="DE634" i="5" s="1"/>
  <c r="DE744" i="5" a="1"/>
  <c r="DE744" i="5" s="1"/>
  <c r="DE597" i="5" a="1"/>
  <c r="DE597" i="5" s="1"/>
  <c r="DE701" i="5" a="1"/>
  <c r="DE701" i="5" s="1"/>
  <c r="DE549" i="5" a="1"/>
  <c r="DE549" i="5" s="1"/>
  <c r="BW50" i="5"/>
  <c r="DE626" i="5" a="1"/>
  <c r="DE626" i="5" s="1"/>
  <c r="DE540" i="5" a="1"/>
  <c r="DE540" i="5" s="1"/>
  <c r="DE541" i="5" s="1"/>
  <c r="DE575" i="5" a="1"/>
  <c r="DE575" i="5" s="1"/>
  <c r="DE576" i="5" s="1"/>
  <c r="DE562" i="5" a="1"/>
  <c r="DE562" i="5" s="1"/>
  <c r="DE642" i="5" a="1"/>
  <c r="DE642" i="5" s="1"/>
  <c r="DE488" i="5" a="1"/>
  <c r="DE488" i="5" s="1"/>
  <c r="DE587" i="5" a="1"/>
  <c r="DE587" i="5" s="1"/>
  <c r="DE438" i="5" a="1"/>
  <c r="DE438" i="5" s="1"/>
  <c r="DE738" i="5" a="1"/>
  <c r="DE738" i="5" s="1"/>
  <c r="BC65" i="5"/>
  <c r="DE503" i="5" a="1"/>
  <c r="DE503" i="5" s="1"/>
  <c r="DE504" i="5" s="1"/>
  <c r="DE512" i="5" a="1"/>
  <c r="DE512" i="5" s="1"/>
  <c r="DE475" i="5" a="1"/>
  <c r="DE475" i="5" s="1"/>
  <c r="DE525" i="5" a="1"/>
  <c r="DE525" i="5" s="1"/>
  <c r="DE556" i="5" a="1"/>
  <c r="DE556" i="5" s="1"/>
  <c r="DE519" i="5" a="1"/>
  <c r="DE519" i="5" s="1"/>
  <c r="DE466" i="5" a="1"/>
  <c r="DE466" i="5" s="1"/>
  <c r="DE467" i="5" s="1"/>
  <c r="DE371" i="5" a="1"/>
  <c r="DE371" i="5" s="1"/>
  <c r="DE429" i="5" a="1"/>
  <c r="DE429" i="5" s="1"/>
  <c r="DE430" i="5" s="1"/>
  <c r="DE401" i="5" a="1"/>
  <c r="DE401" i="5" s="1"/>
  <c r="DE445" i="5" a="1"/>
  <c r="DE445" i="5" s="1"/>
  <c r="DE414" i="5" a="1"/>
  <c r="DE414" i="5" s="1"/>
  <c r="DE482" i="5" a="1"/>
  <c r="DE482" i="5" s="1"/>
  <c r="DE451" i="5" a="1"/>
  <c r="DE451" i="5" s="1"/>
  <c r="DE392" i="5" a="1"/>
  <c r="DE392" i="5" s="1"/>
  <c r="DE393" i="5" s="1"/>
  <c r="DE152" i="5" a="1"/>
  <c r="DE152" i="5" s="1"/>
  <c r="DE139" i="5" a="1"/>
  <c r="DE139" i="5" s="1"/>
  <c r="DE235" i="5" a="1"/>
  <c r="DE235" i="5" s="1"/>
  <c r="DE355" i="5" a="1"/>
  <c r="DE355" i="5" s="1"/>
  <c r="DE356" i="5" s="1"/>
  <c r="DE251" i="5" a="1"/>
  <c r="DE251" i="5" s="1"/>
  <c r="DE408" i="5" a="1"/>
  <c r="DE408" i="5" s="1"/>
  <c r="DE146" i="5" a="1"/>
  <c r="DE146" i="5" s="1"/>
  <c r="DE243" i="5" a="1"/>
  <c r="DE243" i="5" s="1"/>
  <c r="DE115" i="5" a="1"/>
  <c r="DE115" i="5" s="1"/>
  <c r="DE364" i="5" a="1"/>
  <c r="DE364" i="5" s="1"/>
  <c r="DE109" i="5" a="1"/>
  <c r="DE109" i="5" s="1"/>
  <c r="DE93" i="5" a="1"/>
  <c r="DE93" i="5" s="1"/>
  <c r="DE94" i="5" s="1"/>
  <c r="DE130" i="5" a="1"/>
  <c r="DE130" i="5" s="1"/>
  <c r="DE131" i="5" s="1"/>
  <c r="DE206" i="5" a="1"/>
  <c r="DE206" i="5" s="1"/>
  <c r="DE196" i="5" a="1"/>
  <c r="DE196" i="5" s="1"/>
  <c r="DE102" i="5" a="1"/>
  <c r="DE102" i="5" s="1"/>
  <c r="DE78" i="5" a="1"/>
  <c r="DE78" i="5" s="1"/>
  <c r="DE72" i="5" a="1"/>
  <c r="DE72" i="5" s="1"/>
  <c r="DE65" i="5" a="1"/>
  <c r="DE65" i="5" s="1"/>
  <c r="DE184" i="5" a="1"/>
  <c r="DE184" i="5" s="1"/>
  <c r="DE185" i="5" s="1"/>
  <c r="DE56" i="5" a="1"/>
  <c r="DE56" i="5" s="1"/>
  <c r="DE57" i="5" s="1"/>
  <c r="DE731" i="5" a="1"/>
  <c r="DE731" i="5" s="1"/>
  <c r="DE648" i="5" a="1"/>
  <c r="DE648" i="5" s="1"/>
  <c r="DE649" i="5" s="1"/>
  <c r="DR58" i="5"/>
  <c r="DJ359" i="5"/>
  <c r="DJ539" i="5"/>
  <c r="DJ536" i="5"/>
  <c r="BV55" i="5"/>
  <c r="AM70" i="5"/>
  <c r="U58" i="5"/>
  <c r="S58" i="5"/>
  <c r="R58" i="5"/>
  <c r="Q58" i="5"/>
  <c r="P58" i="5"/>
  <c r="J58" i="5"/>
  <c r="T55" i="5"/>
  <c r="S55" i="5"/>
  <c r="R55" i="5"/>
  <c r="Q55" i="5"/>
  <c r="P55" i="5"/>
  <c r="O55" i="5"/>
  <c r="J55" i="5"/>
  <c r="U56" i="5"/>
  <c r="T56" i="5"/>
  <c r="S56" i="5"/>
  <c r="R56" i="5"/>
  <c r="Q56" i="5"/>
  <c r="P56" i="5"/>
  <c r="J56" i="5"/>
  <c r="R57" i="5"/>
  <c r="P57" i="5"/>
  <c r="O57" i="5"/>
  <c r="J57" i="5"/>
  <c r="U57" i="5"/>
  <c r="T57" i="5"/>
  <c r="S57" i="5"/>
  <c r="CT345" i="5"/>
  <c r="AE97" i="5"/>
  <c r="S52" i="5"/>
  <c r="R52" i="5"/>
  <c r="Q52" i="5"/>
  <c r="O52" i="5"/>
  <c r="P52" i="5"/>
  <c r="T52" i="5"/>
  <c r="U55" i="5"/>
  <c r="T58" i="5"/>
  <c r="DM279" i="5"/>
  <c r="AM78" i="5"/>
  <c r="BV63" i="5"/>
  <c r="U54" i="5"/>
  <c r="T54" i="5"/>
  <c r="R54" i="5"/>
  <c r="Q54" i="5"/>
  <c r="P54" i="5"/>
  <c r="O54" i="5"/>
  <c r="W76" i="5"/>
  <c r="BU61" i="5"/>
  <c r="U52" i="5"/>
  <c r="O56" i="5"/>
  <c r="O58" i="5"/>
  <c r="CS158" i="5"/>
  <c r="T91" i="5"/>
  <c r="CS201" i="5" s="1"/>
  <c r="CS551" i="5"/>
  <c r="CS542" i="5"/>
  <c r="CS544" i="5"/>
  <c r="CS545" i="5"/>
  <c r="CS550" i="5"/>
  <c r="CS131" i="5"/>
  <c r="CS164" i="5"/>
  <c r="CS207" i="5"/>
  <c r="CS181" i="5"/>
  <c r="CS155" i="5"/>
  <c r="T88" i="5"/>
  <c r="CS198" i="5" s="1"/>
  <c r="CS172" i="5"/>
  <c r="CS215" i="5"/>
  <c r="CS555" i="5"/>
  <c r="CS359" i="5"/>
  <c r="CS360" i="5"/>
  <c r="CS361" i="5"/>
  <c r="CS362" i="5"/>
  <c r="CS363" i="5"/>
  <c r="CS364" i="5"/>
  <c r="CS365" i="5"/>
  <c r="CS366" i="5"/>
  <c r="CS367" i="5"/>
  <c r="CS368" i="5"/>
  <c r="CS369" i="5"/>
  <c r="CS370" i="5"/>
  <c r="DO224" i="5"/>
  <c r="U128" i="5"/>
  <c r="CS132" i="5"/>
  <c r="CS178" i="5"/>
  <c r="CS152" i="5"/>
  <c r="T85" i="5"/>
  <c r="CS195" i="5" s="1"/>
  <c r="CS169" i="5"/>
  <c r="CS212" i="5"/>
  <c r="CS186" i="5"/>
  <c r="CS160" i="5"/>
  <c r="CS373" i="5"/>
  <c r="CS374" i="5"/>
  <c r="CS375" i="5"/>
  <c r="CS376" i="5"/>
  <c r="CS377" i="5"/>
  <c r="CS378" i="5"/>
  <c r="CS379" i="5"/>
  <c r="CS380" i="5"/>
  <c r="CS381" i="5"/>
  <c r="CS382" i="5"/>
  <c r="CS383" i="5"/>
  <c r="CS384" i="5"/>
  <c r="CS149" i="5"/>
  <c r="T82" i="5"/>
  <c r="CS192" i="5" s="1"/>
  <c r="CS166" i="5"/>
  <c r="CS209" i="5"/>
  <c r="CS183" i="5"/>
  <c r="CS157" i="5"/>
  <c r="T90" i="5"/>
  <c r="CS200" i="5" s="1"/>
  <c r="CS174" i="5"/>
  <c r="CS583" i="5"/>
  <c r="CS584" i="5"/>
  <c r="CS585" i="5"/>
  <c r="CS586" i="5"/>
  <c r="CS587" i="5"/>
  <c r="CS588" i="5"/>
  <c r="CS589" i="5"/>
  <c r="CS590" i="5"/>
  <c r="CS591" i="5"/>
  <c r="CS592" i="5"/>
  <c r="CS593" i="5"/>
  <c r="CS594" i="5"/>
  <c r="CS387" i="5"/>
  <c r="CS388" i="5"/>
  <c r="CS389" i="5"/>
  <c r="CS390" i="5"/>
  <c r="CS391" i="5"/>
  <c r="CS392" i="5"/>
  <c r="CS393" i="5"/>
  <c r="CS394" i="5"/>
  <c r="CS395" i="5"/>
  <c r="CS396" i="5"/>
  <c r="CS397" i="5"/>
  <c r="CS398" i="5"/>
  <c r="S54" i="5"/>
  <c r="T87" i="5"/>
  <c r="CS197" i="5" s="1"/>
  <c r="CS171" i="5"/>
  <c r="CS214" i="5"/>
  <c r="CS188" i="5"/>
  <c r="CS597" i="5"/>
  <c r="CS598" i="5"/>
  <c r="CS599" i="5"/>
  <c r="CS600" i="5"/>
  <c r="CS601" i="5"/>
  <c r="CS602" i="5"/>
  <c r="CS603" i="5"/>
  <c r="CS604" i="5"/>
  <c r="CS605" i="5"/>
  <c r="CS606" i="5"/>
  <c r="CS607" i="5"/>
  <c r="CS608" i="5"/>
  <c r="CS401" i="5"/>
  <c r="CS402" i="5"/>
  <c r="CS403" i="5"/>
  <c r="CS404" i="5"/>
  <c r="CS405" i="5"/>
  <c r="CS406" i="5"/>
  <c r="CS407" i="5"/>
  <c r="CS408" i="5"/>
  <c r="CS409" i="5"/>
  <c r="CS410" i="5"/>
  <c r="CS411" i="5"/>
  <c r="CS412" i="5"/>
  <c r="R128" i="5"/>
  <c r="X128" i="5" s="1"/>
  <c r="P53" i="5" s="1"/>
  <c r="T81" i="5"/>
  <c r="CS191" i="5" s="1"/>
  <c r="CS165" i="5"/>
  <c r="CS208" i="5"/>
  <c r="CS182" i="5"/>
  <c r="CS156" i="5"/>
  <c r="T89" i="5"/>
  <c r="CS199" i="5" s="1"/>
  <c r="CS173" i="5"/>
  <c r="CS216" i="5"/>
  <c r="CS513" i="5"/>
  <c r="CS514" i="5"/>
  <c r="CS317" i="5"/>
  <c r="CS318" i="5"/>
  <c r="CS320" i="5"/>
  <c r="CS321" i="5"/>
  <c r="CS322" i="5"/>
  <c r="CS324" i="5"/>
  <c r="CS325" i="5"/>
  <c r="CS326" i="5"/>
  <c r="BL48" i="12"/>
  <c r="Y33" i="12"/>
  <c r="AI80" i="12"/>
  <c r="Z80" i="12"/>
  <c r="BL13" i="12"/>
  <c r="BL15" i="12" s="1"/>
  <c r="Y83" i="12"/>
  <c r="DR155" i="5"/>
  <c r="BL21" i="12"/>
  <c r="Y81" i="12"/>
  <c r="DR148" i="5"/>
  <c r="DR447" i="5"/>
  <c r="Y70" i="12"/>
  <c r="AI79" i="12"/>
  <c r="DR262" i="5"/>
  <c r="DR687" i="5"/>
  <c r="DR468" i="5"/>
  <c r="DR279" i="5"/>
  <c r="DR373" i="5"/>
  <c r="DR192" i="5"/>
  <c r="BL20" i="12"/>
  <c r="Z79" i="12"/>
  <c r="BL22" i="12"/>
  <c r="AI69" i="12"/>
  <c r="BL23" i="12"/>
  <c r="DR638" i="5"/>
  <c r="Z69" i="12"/>
  <c r="Y86" i="12"/>
  <c r="BL29" i="11"/>
  <c r="L137" i="11"/>
  <c r="BJ29" i="11" s="1"/>
  <c r="L187" i="11"/>
  <c r="BK29" i="11" s="1"/>
  <c r="BL50" i="11"/>
  <c r="BM50" i="11"/>
  <c r="BK50" i="11"/>
  <c r="BJ50" i="11"/>
  <c r="U174" i="11"/>
  <c r="BK88" i="11" s="1"/>
  <c r="U124" i="11"/>
  <c r="BJ88" i="11" s="1"/>
  <c r="BL88" i="11"/>
  <c r="BF36" i="11"/>
  <c r="BI36" i="11"/>
  <c r="BH36" i="11"/>
  <c r="BG36" i="11"/>
  <c r="BK78" i="11"/>
  <c r="BM78" i="11"/>
  <c r="BL78" i="11"/>
  <c r="BJ78" i="11"/>
  <c r="T18" i="11"/>
  <c r="R68" i="11"/>
  <c r="BM68" i="11" s="1"/>
  <c r="BI68" i="11"/>
  <c r="T68" i="11"/>
  <c r="K200" i="11"/>
  <c r="BG40" i="11" s="1"/>
  <c r="K150" i="11"/>
  <c r="BF40" i="11" s="1"/>
  <c r="BH40" i="11"/>
  <c r="BI84" i="11"/>
  <c r="U70" i="11"/>
  <c r="BM84" i="11" s="1"/>
  <c r="L155" i="11"/>
  <c r="BJ45" i="11" s="1"/>
  <c r="BL45" i="11"/>
  <c r="L205" i="11"/>
  <c r="BK45" i="11" s="1"/>
  <c r="T117" i="11"/>
  <c r="BF81" i="11" s="1"/>
  <c r="T167" i="11"/>
  <c r="BG81" i="11" s="1"/>
  <c r="BH81" i="11"/>
  <c r="U17" i="11"/>
  <c r="L54" i="11"/>
  <c r="BL16" i="11"/>
  <c r="L172" i="11"/>
  <c r="BK16" i="11" s="1"/>
  <c r="L122" i="11"/>
  <c r="BJ16" i="11" s="1"/>
  <c r="L38" i="11"/>
  <c r="R15" i="11"/>
  <c r="BH65" i="11"/>
  <c r="Q165" i="11"/>
  <c r="BG65" i="11" s="1"/>
  <c r="Q115" i="11"/>
  <c r="BF65" i="11" s="1"/>
  <c r="BB339" i="11"/>
  <c r="H331" i="11"/>
  <c r="BL37" i="11"/>
  <c r="L147" i="11"/>
  <c r="BJ37" i="11" s="1"/>
  <c r="L197" i="11"/>
  <c r="BK37" i="11" s="1"/>
  <c r="R71" i="11"/>
  <c r="BM71" i="11" s="1"/>
  <c r="T71" i="11"/>
  <c r="BI71" i="11"/>
  <c r="T21" i="11"/>
  <c r="T25" i="11"/>
  <c r="BI75" i="11"/>
  <c r="R75" i="11"/>
  <c r="BM75" i="11" s="1"/>
  <c r="T75" i="11"/>
  <c r="H336" i="11"/>
  <c r="BB343" i="11"/>
  <c r="BM92" i="11"/>
  <c r="BK92" i="11"/>
  <c r="BL92" i="11"/>
  <c r="BJ92" i="11"/>
  <c r="O177" i="11"/>
  <c r="BK63" i="11" s="1"/>
  <c r="BL63" i="11"/>
  <c r="O127" i="11"/>
  <c r="BJ63" i="11" s="1"/>
  <c r="L156" i="11"/>
  <c r="BJ46" i="11" s="1"/>
  <c r="BL46" i="11"/>
  <c r="L206" i="11"/>
  <c r="BK46" i="11" s="1"/>
  <c r="R24" i="11"/>
  <c r="Q174" i="11"/>
  <c r="BG74" i="11" s="1"/>
  <c r="BH74" i="11"/>
  <c r="Q124" i="11"/>
  <c r="BF74" i="11" s="1"/>
  <c r="BH47" i="11"/>
  <c r="K207" i="11"/>
  <c r="BG47" i="11" s="1"/>
  <c r="K157" i="11"/>
  <c r="BF47" i="11" s="1"/>
  <c r="T73" i="11"/>
  <c r="T23" i="11"/>
  <c r="BI73" i="11"/>
  <c r="R73" i="11"/>
  <c r="BM73" i="11" s="1"/>
  <c r="Q116" i="11"/>
  <c r="BF66" i="11" s="1"/>
  <c r="H317" i="11"/>
  <c r="BC325" i="11" s="1"/>
  <c r="G323" i="11"/>
  <c r="G333" i="11"/>
  <c r="G337" i="11"/>
  <c r="L115" i="11"/>
  <c r="BJ9" i="11" s="1"/>
  <c r="Q166" i="11"/>
  <c r="BG66" i="11" s="1"/>
  <c r="G312" i="11"/>
  <c r="G322" i="11"/>
  <c r="G318" i="11"/>
  <c r="R16" i="11"/>
  <c r="BH91" i="11"/>
  <c r="G327" i="11"/>
  <c r="U27" i="11"/>
  <c r="G313" i="11"/>
  <c r="G319" i="11"/>
  <c r="G315" i="11"/>
  <c r="T177" i="11"/>
  <c r="BG91" i="11" s="1"/>
  <c r="G314" i="11"/>
  <c r="G320" i="11"/>
  <c r="DD179" i="10"/>
  <c r="DD404" i="10" s="1"/>
  <c r="CW157" i="10"/>
  <c r="CW39" i="10"/>
  <c r="DD36" i="10"/>
  <c r="DD313" i="10"/>
  <c r="DF313" i="10" s="1"/>
  <c r="CW316" i="10"/>
  <c r="DD186" i="10"/>
  <c r="DD411" i="10" s="1"/>
  <c r="DD21" i="10"/>
  <c r="DD229" i="10"/>
  <c r="CW323" i="10"/>
  <c r="CW351" i="10"/>
  <c r="AC71" i="10"/>
  <c r="DD239" i="10"/>
  <c r="DD266" i="10"/>
  <c r="DD307" i="10"/>
  <c r="DF307" i="10" s="1"/>
  <c r="U80" i="10"/>
  <c r="V71" i="10"/>
  <c r="DD254" i="10"/>
  <c r="DD142" i="10"/>
  <c r="DD367" i="10" s="1"/>
  <c r="CW261" i="10"/>
  <c r="DD204" i="10"/>
  <c r="DD429" i="10" s="1"/>
  <c r="Z81" i="10"/>
  <c r="DD316" i="10"/>
  <c r="DF316" i="10" s="1"/>
  <c r="DD247" i="10"/>
  <c r="DD271" i="10"/>
  <c r="X83" i="10"/>
  <c r="DD42" i="10"/>
  <c r="AC69" i="10"/>
  <c r="DD118" i="10"/>
  <c r="W73" i="10"/>
  <c r="S77" i="10"/>
  <c r="CW60" i="10"/>
  <c r="DD155" i="10"/>
  <c r="DD380" i="10" s="1"/>
  <c r="DD241" i="10"/>
  <c r="DD125" i="10"/>
  <c r="DD193" i="10"/>
  <c r="DD418" i="10" s="1"/>
  <c r="AA63" i="10"/>
  <c r="X66" i="10"/>
  <c r="DD134" i="10" s="1"/>
  <c r="DD359" i="10" s="1"/>
  <c r="CW175" i="10"/>
  <c r="CW257" i="10"/>
  <c r="DD297" i="10"/>
  <c r="DD117" i="10"/>
  <c r="DD23" i="10"/>
  <c r="AA70" i="10"/>
  <c r="Z82" i="10"/>
  <c r="AC75" i="10"/>
  <c r="DD124" i="10"/>
  <c r="CW218" i="10"/>
  <c r="Z76" i="10"/>
  <c r="U76" i="10"/>
  <c r="DD274" i="10"/>
  <c r="DD201" i="10"/>
  <c r="DD426" i="10" s="1"/>
  <c r="AC76" i="10"/>
  <c r="Z70" i="10"/>
  <c r="U77" i="10"/>
  <c r="AF75" i="10"/>
  <c r="AE64" i="10"/>
  <c r="AF74" i="10"/>
  <c r="DD169" i="10"/>
  <c r="DD394" i="10" s="1"/>
  <c r="DD50" i="10"/>
  <c r="Z74" i="10"/>
  <c r="Z71" i="10"/>
  <c r="AA73" i="10"/>
  <c r="BI7" i="4"/>
  <c r="BI11" i="4"/>
  <c r="T27" i="4"/>
  <c r="BT11" i="4" s="1"/>
  <c r="BG7" i="4"/>
  <c r="N17" i="4"/>
  <c r="BR7" i="4" s="1"/>
  <c r="Q12" i="4"/>
  <c r="BQ10" i="4" s="1"/>
  <c r="AI34" i="10"/>
  <c r="CS63" i="10" s="1"/>
  <c r="P27" i="4"/>
  <c r="N13" i="4"/>
  <c r="BQ8" i="4" s="1"/>
  <c r="N27" i="4"/>
  <c r="BT7" i="4" s="1"/>
  <c r="N29" i="4"/>
  <c r="BT9" i="4" s="1"/>
  <c r="V27" i="4"/>
  <c r="GI240" i="9"/>
  <c r="GI204" i="9"/>
  <c r="BZ204" i="9" s="1"/>
  <c r="GI142" i="9"/>
  <c r="BZ142" i="9" s="1"/>
  <c r="FT142" i="9" s="1"/>
  <c r="CA142" i="9" s="1"/>
  <c r="GI141" i="9"/>
  <c r="BZ141" i="9" s="1"/>
  <c r="FT141" i="9" s="1"/>
  <c r="CA141" i="9" s="1"/>
  <c r="GI250" i="9"/>
  <c r="GI242" i="9"/>
  <c r="GI237" i="9"/>
  <c r="GI232" i="9"/>
  <c r="GI227" i="9"/>
  <c r="GI217" i="9"/>
  <c r="GI208" i="9"/>
  <c r="BZ208" i="9" s="1"/>
  <c r="GI197" i="9"/>
  <c r="BZ197" i="9" s="1"/>
  <c r="FT197" i="9" s="1"/>
  <c r="CA197" i="9" s="1"/>
  <c r="GI191" i="9"/>
  <c r="BZ191" i="9" s="1"/>
  <c r="GI177" i="9"/>
  <c r="BZ177" i="9" s="1"/>
  <c r="GI156" i="9"/>
  <c r="BZ156" i="9" s="1"/>
  <c r="GI241" i="9"/>
  <c r="GI195" i="9"/>
  <c r="BZ195" i="9" s="1"/>
  <c r="GI202" i="9"/>
  <c r="BZ202" i="9" s="1"/>
  <c r="GI190" i="9"/>
  <c r="BZ190" i="9" s="1"/>
  <c r="FT190" i="9" s="1"/>
  <c r="CA190" i="9" s="1"/>
  <c r="GI171" i="9"/>
  <c r="BZ171" i="9" s="1"/>
  <c r="FT171" i="9" s="1"/>
  <c r="CA171" i="9" s="1"/>
  <c r="GI166" i="9"/>
  <c r="BZ166" i="9" s="1"/>
  <c r="GI150" i="9"/>
  <c r="BZ150" i="9" s="1"/>
  <c r="FT150" i="9" s="1"/>
  <c r="CA150" i="9" s="1"/>
  <c r="GI143" i="9"/>
  <c r="BZ143" i="9" s="1"/>
  <c r="GI246" i="9"/>
  <c r="GI239" i="9"/>
  <c r="GI222" i="9"/>
  <c r="GI199" i="9"/>
  <c r="BZ199" i="9" s="1"/>
  <c r="GI192" i="9"/>
  <c r="BZ192" i="9" s="1"/>
  <c r="FT192" i="9" s="1"/>
  <c r="CA192" i="9" s="1"/>
  <c r="GI172" i="9"/>
  <c r="BZ172" i="9" s="1"/>
  <c r="GI253" i="9"/>
  <c r="GI201" i="9"/>
  <c r="BZ201" i="9" s="1"/>
  <c r="GI185" i="9"/>
  <c r="BZ185" i="9" s="1"/>
  <c r="FT185" i="9" s="1"/>
  <c r="CA185" i="9" s="1"/>
  <c r="GI176" i="9"/>
  <c r="BZ176" i="9" s="1"/>
  <c r="FT176" i="9" s="1"/>
  <c r="CA176" i="9" s="1"/>
  <c r="GI137" i="9"/>
  <c r="BZ137" i="9" s="1"/>
  <c r="GI226" i="9"/>
  <c r="GI206" i="9"/>
  <c r="BZ206" i="9" s="1"/>
  <c r="GI175" i="9"/>
  <c r="BZ175" i="9" s="1"/>
  <c r="GI256" i="9"/>
  <c r="GI211" i="9"/>
  <c r="GI203" i="9"/>
  <c r="BZ203" i="9" s="1"/>
  <c r="GI187" i="9"/>
  <c r="BZ187" i="9" s="1"/>
  <c r="GI194" i="9"/>
  <c r="GI180" i="9"/>
  <c r="BZ180" i="9" s="1"/>
  <c r="FT180" i="9" s="1"/>
  <c r="CA180" i="9" s="1"/>
  <c r="GI134" i="9"/>
  <c r="GI230" i="9"/>
  <c r="GI186" i="9"/>
  <c r="BZ186" i="9" s="1"/>
  <c r="GI160" i="9"/>
  <c r="BZ160" i="9" s="1"/>
  <c r="GI159" i="9"/>
  <c r="BZ159" i="9" s="1"/>
  <c r="GI251" i="9"/>
  <c r="GI248" i="9"/>
  <c r="GI243" i="9"/>
  <c r="GI234" i="9"/>
  <c r="GI229" i="9"/>
  <c r="GI224" i="9"/>
  <c r="GI219" i="9"/>
  <c r="GI205" i="9"/>
  <c r="BZ205" i="9" s="1"/>
  <c r="GI193" i="9"/>
  <c r="BZ193" i="9" s="1"/>
  <c r="GI188" i="9"/>
  <c r="BZ188" i="9" s="1"/>
  <c r="GI183" i="9"/>
  <c r="BZ183" i="9" s="1"/>
  <c r="GI158" i="9"/>
  <c r="BZ158" i="9" s="1"/>
  <c r="CS19" i="12"/>
  <c r="CQ19" i="12"/>
  <c r="CP19" i="12"/>
  <c r="CR19" i="12"/>
  <c r="BN20" i="12"/>
  <c r="BN23" i="12"/>
  <c r="AG71" i="12"/>
  <c r="AG69" i="12"/>
  <c r="BF19" i="12" s="1"/>
  <c r="BG19" i="12" s="1"/>
  <c r="AG73" i="12"/>
  <c r="BF23" i="12" s="1"/>
  <c r="BG23" i="12" s="1"/>
  <c r="DM394" i="5"/>
  <c r="AG72" i="12"/>
  <c r="BN21" i="12"/>
  <c r="BO21" i="12"/>
  <c r="BO19" i="12"/>
  <c r="BN22" i="12"/>
  <c r="AG70" i="12"/>
  <c r="AG29" i="12"/>
  <c r="BF44" i="12"/>
  <c r="AH65" i="12"/>
  <c r="AH42" i="12"/>
  <c r="BF47" i="12"/>
  <c r="DM565" i="5"/>
  <c r="DM215" i="5"/>
  <c r="DM11" i="5"/>
  <c r="DM126" i="5"/>
  <c r="DM192" i="5"/>
  <c r="DM58" i="5"/>
  <c r="DM163" i="5"/>
  <c r="DM536" i="5"/>
  <c r="DM622" i="5"/>
  <c r="DM262" i="5"/>
  <c r="DM253" i="5"/>
  <c r="DM583" i="5"/>
  <c r="DM360" i="5"/>
  <c r="DM687" i="5"/>
  <c r="DM95" i="5"/>
  <c r="DM545" i="5"/>
  <c r="DM313" i="5"/>
  <c r="DM118" i="5"/>
  <c r="AS34" i="10"/>
  <c r="CS338" i="10" s="1"/>
  <c r="DM272" i="5"/>
  <c r="DR565" i="5"/>
  <c r="DM247" i="5"/>
  <c r="DR307" i="5"/>
  <c r="DR178" i="5"/>
  <c r="Z67" i="12"/>
  <c r="BM43" i="12"/>
  <c r="BL43" i="12"/>
  <c r="BL46" i="12" s="1"/>
  <c r="AI62" i="12"/>
  <c r="DO57" i="5"/>
  <c r="DO645" i="5"/>
  <c r="DO187" i="5"/>
  <c r="DO646" i="5"/>
  <c r="DO55" i="5"/>
  <c r="DO428" i="5"/>
  <c r="DO685" i="5"/>
  <c r="DO253" i="5"/>
  <c r="DR253" i="5" s="1"/>
  <c r="DO188" i="5"/>
  <c r="DO462" i="5"/>
  <c r="DR462" i="5" s="1"/>
  <c r="DO429" i="5"/>
  <c r="DO31" i="5"/>
  <c r="DO463" i="5"/>
  <c r="DO684" i="5"/>
  <c r="DO392" i="5"/>
  <c r="DO183" i="5"/>
  <c r="DO388" i="5"/>
  <c r="DR388" i="5" s="1"/>
  <c r="DO649" i="5"/>
  <c r="DO127" i="5"/>
  <c r="DO275" i="5"/>
  <c r="DR275" i="5" s="1"/>
  <c r="DO128" i="5"/>
  <c r="DO541" i="5"/>
  <c r="DO277" i="5"/>
  <c r="DO579" i="5"/>
  <c r="DO500" i="5"/>
  <c r="DO351" i="5"/>
  <c r="DR351" i="5" s="1"/>
  <c r="DO580" i="5"/>
  <c r="DO184" i="5"/>
  <c r="DO537" i="5"/>
  <c r="DO720" i="5"/>
  <c r="DO389" i="5"/>
  <c r="DO254" i="5"/>
  <c r="DO182" i="5"/>
  <c r="DR182" i="5" s="1"/>
  <c r="DO718" i="5"/>
  <c r="DR718" i="5" s="1"/>
  <c r="DO427" i="5"/>
  <c r="DO501" i="5"/>
  <c r="DO574" i="5"/>
  <c r="DO130" i="5"/>
  <c r="DO465" i="5"/>
  <c r="DO131" i="5"/>
  <c r="DO352" i="5"/>
  <c r="DO578" i="5"/>
  <c r="DO390" i="5"/>
  <c r="DO503" i="5"/>
  <c r="DO129" i="5"/>
  <c r="DO126" i="5"/>
  <c r="DR126" i="5" s="1"/>
  <c r="DO539" i="5"/>
  <c r="DO30" i="5"/>
  <c r="DR30" i="5" s="1"/>
  <c r="DO536" i="5"/>
  <c r="DR536" i="5" s="1"/>
  <c r="DO189" i="5"/>
  <c r="DO686" i="5"/>
  <c r="DO582" i="5"/>
  <c r="DO426" i="5"/>
  <c r="DO354" i="5"/>
  <c r="DO464" i="5"/>
  <c r="DO91" i="5"/>
  <c r="DO681" i="5"/>
  <c r="DR681" i="5" s="1"/>
  <c r="DO425" i="5"/>
  <c r="DR425" i="5" s="1"/>
  <c r="DO573" i="5"/>
  <c r="DR573" i="5" s="1"/>
  <c r="DO581" i="5"/>
  <c r="DO504" i="5"/>
  <c r="BQ20" i="12"/>
  <c r="CH19" i="12"/>
  <c r="BP20" i="12"/>
  <c r="CG19" i="12"/>
  <c r="CK19" i="12" s="1"/>
  <c r="AH33" i="10"/>
  <c r="CS37" i="10" s="1"/>
  <c r="BH101" i="12"/>
  <c r="BH109" i="12"/>
  <c r="BH113" i="12" s="1"/>
  <c r="BH117" i="12" s="1"/>
  <c r="BH121" i="12" s="1"/>
  <c r="BH125" i="12" s="1"/>
  <c r="BH129" i="12" s="1"/>
  <c r="BH133" i="12" s="1"/>
  <c r="BH137" i="12" s="1"/>
  <c r="BH141" i="12" s="1"/>
  <c r="BH145" i="12" s="1"/>
  <c r="BH108" i="12"/>
  <c r="BH112" i="12" s="1"/>
  <c r="BH116" i="12" s="1"/>
  <c r="BH120" i="12" s="1"/>
  <c r="BH124" i="12" s="1"/>
  <c r="BH128" i="12" s="1"/>
  <c r="BH132" i="12" s="1"/>
  <c r="BH136" i="12" s="1"/>
  <c r="BH140" i="12" s="1"/>
  <c r="BH144" i="12" s="1"/>
  <c r="BH100" i="12"/>
  <c r="AB119" i="3"/>
  <c r="BO161" i="3" s="1" a="1"/>
  <c r="BO161" i="3" s="1"/>
  <c r="BL161" i="3" s="1"/>
  <c r="BI154" i="3" a="1"/>
  <c r="BI154" i="3" s="1"/>
  <c r="BI309" i="3" a="1"/>
  <c r="BI309" i="3" s="1"/>
  <c r="BI339" i="3" a="1"/>
  <c r="BI339" i="3" s="1"/>
  <c r="BS182" i="3" a="1"/>
  <c r="BS182" i="3" s="1"/>
  <c r="BI276" i="3" a="1"/>
  <c r="BI276" i="3" s="1"/>
  <c r="BI234" i="3" a="1"/>
  <c r="BI234" i="3" s="1"/>
  <c r="BI318" i="3" a="1"/>
  <c r="BI318" i="3" s="1"/>
  <c r="BI322" i="3" a="1"/>
  <c r="BI322" i="3" s="1"/>
  <c r="BI202" i="3" a="1"/>
  <c r="BI202" i="3" s="1"/>
  <c r="BI247" i="3" a="1"/>
  <c r="BI247" i="3" s="1"/>
  <c r="BS155" i="3" a="1"/>
  <c r="BS155" i="3" s="1"/>
  <c r="BS237" i="3" a="1"/>
  <c r="BS237" i="3" s="1"/>
  <c r="BS245" i="3" a="1"/>
  <c r="BS245" i="3" s="1"/>
  <c r="BS277" i="3" a="1"/>
  <c r="BS277" i="3" s="1"/>
  <c r="BI190" i="3" a="1"/>
  <c r="BI190" i="3" s="1"/>
  <c r="BI173" i="3" a="1"/>
  <c r="BI173" i="3" s="1"/>
  <c r="BI159" i="3" a="1"/>
  <c r="BI159" i="3" s="1"/>
  <c r="BI271" i="3" a="1"/>
  <c r="BI271" i="3" s="1"/>
  <c r="BI320" i="3" a="1"/>
  <c r="BI320" i="3" s="1"/>
  <c r="BI216" i="3" a="1"/>
  <c r="BI216" i="3" s="1"/>
  <c r="BI169" i="3" a="1"/>
  <c r="BI169" i="3" s="1"/>
  <c r="BS203" i="3" a="1"/>
  <c r="BS203" i="3" s="1"/>
  <c r="BI226" i="3" a="1"/>
  <c r="BI226" i="3" s="1"/>
  <c r="BS282" i="3" a="1"/>
  <c r="BS282" i="3" s="1"/>
  <c r="BS164" i="3" a="1"/>
  <c r="BS164" i="3" s="1"/>
  <c r="BS126" i="3" a="1"/>
  <c r="BS126" i="3" s="1"/>
  <c r="BI185" i="3" a="1"/>
  <c r="BI185" i="3" s="1"/>
  <c r="BI267" i="3" a="1"/>
  <c r="BI267" i="3" s="1"/>
  <c r="BI337" i="3" a="1"/>
  <c r="BI337" i="3" s="1"/>
  <c r="BI121" i="3" a="1"/>
  <c r="BI121" i="3" s="1"/>
  <c r="BS186" i="3" a="1"/>
  <c r="BS186" i="3" s="1"/>
  <c r="BS123" i="3" a="1"/>
  <c r="BS123" i="3" s="1"/>
  <c r="BI235" i="3" a="1"/>
  <c r="BI235" i="3" s="1"/>
  <c r="BI229" i="3" a="1"/>
  <c r="BI229" i="3" s="1"/>
  <c r="BS305" i="3" a="1"/>
  <c r="BS305" i="3" s="1"/>
  <c r="BI193" i="3" a="1"/>
  <c r="BI193" i="3" s="1"/>
  <c r="BS270" i="3" a="1"/>
  <c r="BS270" i="3" s="1"/>
  <c r="BS172" i="3" a="1"/>
  <c r="BS172" i="3" s="1"/>
  <c r="BS275" i="3" a="1"/>
  <c r="BS275" i="3" s="1"/>
  <c r="BS255" i="3" a="1"/>
  <c r="BS255" i="3" s="1"/>
  <c r="BS179" i="3" a="1"/>
  <c r="BS179" i="3" s="1"/>
  <c r="BI145" i="3" a="1"/>
  <c r="BI145" i="3" s="1"/>
  <c r="BI161" i="3" a="1"/>
  <c r="BI161" i="3" s="1"/>
  <c r="BI303" i="3" a="1"/>
  <c r="BI303" i="3" s="1"/>
  <c r="BS185" i="3" a="1"/>
  <c r="BS185" i="3" s="1"/>
  <c r="BS201" i="3" a="1"/>
  <c r="BS201" i="3" s="1"/>
  <c r="BS217" i="3" a="1"/>
  <c r="BS217" i="3" s="1"/>
  <c r="BS297" i="3" a="1"/>
  <c r="BS297" i="3" s="1"/>
  <c r="BS314" i="3" a="1"/>
  <c r="BS314" i="3" s="1"/>
  <c r="BI221" i="3" a="1"/>
  <c r="BI221" i="3" s="1"/>
  <c r="BS159" i="3" a="1"/>
  <c r="BS159" i="3" s="1"/>
  <c r="BI178" i="3" a="1"/>
  <c r="BI178" i="3" s="1"/>
  <c r="BI316" i="3" a="1"/>
  <c r="BI316" i="3" s="1"/>
  <c r="BI224" i="3" a="1"/>
  <c r="BI224" i="3" s="1"/>
  <c r="BS335" i="3" a="1"/>
  <c r="BS335" i="3" s="1"/>
  <c r="BS236" i="3" a="1"/>
  <c r="BS236" i="3" s="1"/>
  <c r="BS176" i="3" a="1"/>
  <c r="BS176" i="3" s="1"/>
  <c r="BS200" i="3" a="1"/>
  <c r="BS200" i="3" s="1"/>
  <c r="BS301" i="3" a="1"/>
  <c r="BS301" i="3" s="1"/>
  <c r="BS333" i="3" a="1"/>
  <c r="BS333" i="3" s="1"/>
  <c r="BS140" i="3" a="1"/>
  <c r="BS140" i="3" s="1"/>
  <c r="BS128" i="3" a="1"/>
  <c r="BS128" i="3" s="1"/>
  <c r="BS177" i="3" a="1"/>
  <c r="BS177" i="3" s="1"/>
  <c r="BI182" i="3" a="1"/>
  <c r="BI182" i="3" s="1"/>
  <c r="BI218" i="3" a="1"/>
  <c r="BI218" i="3" s="1"/>
  <c r="BI272" i="3" a="1"/>
  <c r="BI272" i="3" s="1"/>
  <c r="BI237" i="3" a="1"/>
  <c r="BI237" i="3" s="1"/>
  <c r="BI280" i="3" a="1"/>
  <c r="BI280" i="3" s="1"/>
  <c r="BS133" i="3" a="1"/>
  <c r="BS133" i="3" s="1"/>
  <c r="BI262" i="3" a="1"/>
  <c r="BI262" i="3" s="1"/>
  <c r="BS178" i="3" a="1"/>
  <c r="BS178" i="3" s="1"/>
  <c r="BI212" i="3" a="1"/>
  <c r="BI212" i="3" s="1"/>
  <c r="BI227" i="3" a="1"/>
  <c r="BI227" i="3" s="1"/>
  <c r="BI279" i="3" a="1"/>
  <c r="BI279" i="3" s="1"/>
  <c r="BI266" i="3" a="1"/>
  <c r="BI266" i="3" s="1"/>
  <c r="BI165" i="3" a="1"/>
  <c r="BI165" i="3" s="1"/>
  <c r="BI219" i="3" a="1"/>
  <c r="BI219" i="3" s="1"/>
  <c r="BS296" i="3" a="1"/>
  <c r="BS296" i="3" s="1"/>
  <c r="BI311" i="3" a="1"/>
  <c r="BI311" i="3" s="1"/>
  <c r="BI241" i="3" a="1"/>
  <c r="BI241" i="3" s="1"/>
  <c r="BI139" i="3" a="1"/>
  <c r="BI139" i="3" s="1"/>
  <c r="BI143" i="3" a="1"/>
  <c r="BI143" i="3" s="1"/>
  <c r="BI132" i="3" a="1"/>
  <c r="BI132" i="3" s="1"/>
  <c r="BS154" i="3" a="1"/>
  <c r="BS154" i="3" s="1"/>
  <c r="BI179" i="3" a="1"/>
  <c r="BI179" i="3" s="1"/>
  <c r="BI238" i="3" a="1"/>
  <c r="BI238" i="3" s="1"/>
  <c r="BS312" i="3" a="1"/>
  <c r="BS312" i="3" s="1"/>
  <c r="BS274" i="3" a="1"/>
  <c r="BS274" i="3" s="1"/>
  <c r="BI325" i="3" a="1"/>
  <c r="BI325" i="3" s="1"/>
  <c r="BS252" i="3" a="1"/>
  <c r="BS252" i="3" s="1"/>
  <c r="BI250" i="3" a="1"/>
  <c r="BI250" i="3" s="1"/>
  <c r="BS136" i="3" a="1"/>
  <c r="BS136" i="3" s="1"/>
  <c r="BS139" i="3" a="1"/>
  <c r="BS139" i="3" s="1"/>
  <c r="BI240" i="3" a="1"/>
  <c r="BI240" i="3" s="1"/>
  <c r="BS292" i="3" a="1"/>
  <c r="BS292" i="3" s="1"/>
  <c r="BI319" i="3" a="1"/>
  <c r="BI319" i="3" s="1"/>
  <c r="BI167" i="3" a="1"/>
  <c r="BI167" i="3" s="1"/>
  <c r="BI265" i="3" a="1"/>
  <c r="BI265" i="3" s="1"/>
  <c r="BI137" i="3" a="1"/>
  <c r="BI137" i="3" s="1"/>
  <c r="BI148" i="3" a="1"/>
  <c r="BI148" i="3" s="1"/>
  <c r="BS218" i="3" a="1"/>
  <c r="BS218" i="3" s="1"/>
  <c r="BS248" i="3" a="1"/>
  <c r="BS248" i="3" s="1"/>
  <c r="BI230" i="3" a="1"/>
  <c r="BI230" i="3" s="1"/>
  <c r="BS122" i="3" a="1"/>
  <c r="BS122" i="3" s="1"/>
  <c r="BS135" i="3" a="1"/>
  <c r="BS135" i="3" s="1"/>
  <c r="BS267" i="3" a="1"/>
  <c r="BS267" i="3" s="1"/>
  <c r="BS204" i="3" a="1"/>
  <c r="BS204" i="3" s="1"/>
  <c r="BS220" i="3" a="1"/>
  <c r="BS220" i="3" s="1"/>
  <c r="BS283" i="3" a="1"/>
  <c r="BS283" i="3" s="1"/>
  <c r="BS148" i="3" a="1"/>
  <c r="BS148" i="3" s="1"/>
  <c r="BS271" i="3" a="1"/>
  <c r="BS271" i="3" s="1"/>
  <c r="BS119" i="3" a="1"/>
  <c r="BS119" i="3" s="1"/>
  <c r="BS231" i="3" a="1"/>
  <c r="BS231" i="3" s="1"/>
  <c r="BS263" i="3" a="1"/>
  <c r="BS263" i="3" s="1"/>
  <c r="AB120" i="3"/>
  <c r="BO162" i="3" s="1" a="1"/>
  <c r="BO162" i="3" s="1"/>
  <c r="BL162" i="3" s="1"/>
  <c r="W123" i="3"/>
  <c r="BO151" i="3" s="1" a="1"/>
  <c r="BO151" i="3" s="1"/>
  <c r="BL151" i="3" s="1"/>
  <c r="BS232" i="3" a="1"/>
  <c r="BS232" i="3" s="1"/>
  <c r="BS189" i="3" a="1"/>
  <c r="BS189" i="3" s="1"/>
  <c r="BI231" i="3" a="1"/>
  <c r="BI231" i="3" s="1"/>
  <c r="BI295" i="3" a="1"/>
  <c r="BI295" i="3" s="1"/>
  <c r="BI170" i="3" a="1"/>
  <c r="BI170" i="3" s="1"/>
  <c r="BS171" i="3" a="1"/>
  <c r="BS171" i="3" s="1"/>
  <c r="BI207" i="3" a="1"/>
  <c r="BI207" i="3" s="1"/>
  <c r="BI312" i="3" a="1"/>
  <c r="BI312" i="3" s="1"/>
  <c r="BI323" i="3" a="1"/>
  <c r="BI323" i="3" s="1"/>
  <c r="BI306" i="3" a="1"/>
  <c r="BI306" i="3" s="1"/>
  <c r="R121" i="3"/>
  <c r="BO135" i="3" s="1" a="1"/>
  <c r="BO135" i="3" s="1"/>
  <c r="BL135" i="3" s="1"/>
  <c r="BS229" i="3" a="1"/>
  <c r="BS229" i="3" s="1"/>
  <c r="BS269" i="3" a="1"/>
  <c r="BS269" i="3" s="1"/>
  <c r="BS293" i="3" a="1"/>
  <c r="BS293" i="3" s="1"/>
  <c r="W120" i="3"/>
  <c r="BO148" i="3" s="1" a="1"/>
  <c r="BO148" i="3" s="1"/>
  <c r="BL148" i="3" s="1"/>
  <c r="BS284" i="3" a="1"/>
  <c r="BS284" i="3" s="1"/>
  <c r="BI133" i="3" a="1"/>
  <c r="BI133" i="3" s="1"/>
  <c r="BI188" i="3" a="1"/>
  <c r="BI188" i="3" s="1"/>
  <c r="BI291" i="3" a="1"/>
  <c r="BI291" i="3" s="1"/>
  <c r="BS214" i="3" a="1"/>
  <c r="BS214" i="3" s="1"/>
  <c r="BS324" i="3" a="1"/>
  <c r="BS324" i="3" s="1"/>
  <c r="BI195" i="3" a="1"/>
  <c r="BI195" i="3" s="1"/>
  <c r="BS180" i="3" a="1"/>
  <c r="BS180" i="3" s="1"/>
  <c r="BI164" i="3" a="1"/>
  <c r="BI164" i="3" s="1"/>
  <c r="BI341" i="3" a="1"/>
  <c r="BI341" i="3" s="1"/>
  <c r="BI141" i="3" a="1"/>
  <c r="BI141" i="3" s="1"/>
  <c r="BI147" i="3" a="1"/>
  <c r="BI147" i="3" s="1"/>
  <c r="BI171" i="3" a="1"/>
  <c r="BI171" i="3" s="1"/>
  <c r="BI301" i="3" a="1"/>
  <c r="BI301" i="3" s="1"/>
  <c r="BS337" i="3" a="1"/>
  <c r="BS337" i="3" s="1"/>
  <c r="BI217" i="3" a="1"/>
  <c r="BI217" i="3" s="1"/>
  <c r="BS160" i="3" a="1"/>
  <c r="BS160" i="3" s="1"/>
  <c r="BI210" i="3" a="1"/>
  <c r="BI210" i="3" s="1"/>
  <c r="BS300" i="3" a="1"/>
  <c r="BS300" i="3" s="1"/>
  <c r="BS125" i="3" a="1"/>
  <c r="BS125" i="3" s="1"/>
  <c r="BI140" i="3" a="1"/>
  <c r="BI140" i="3" s="1"/>
  <c r="BS286" i="3" a="1"/>
  <c r="BS286" i="3" s="1"/>
  <c r="BS318" i="3" a="1"/>
  <c r="BS318" i="3" s="1"/>
  <c r="BS334" i="3" a="1"/>
  <c r="BS334" i="3" s="1"/>
  <c r="BS241" i="3" a="1"/>
  <c r="BS241" i="3" s="1"/>
  <c r="M123" i="3"/>
  <c r="BO123" i="3" s="1" a="1"/>
  <c r="BO123" i="3" s="1"/>
  <c r="BL123" i="3" s="1"/>
  <c r="BS207" i="3" a="1"/>
  <c r="BS207" i="3" s="1"/>
  <c r="BS247" i="3" a="1"/>
  <c r="BS247" i="3" s="1"/>
  <c r="BI119" i="3" a="1"/>
  <c r="BI119" i="3" s="1"/>
  <c r="M121" i="3"/>
  <c r="BO121" i="3" s="1" a="1"/>
  <c r="BO121" i="3" s="1"/>
  <c r="BL121" i="3" s="1"/>
  <c r="BI146" i="3" a="1"/>
  <c r="BI146" i="3" s="1"/>
  <c r="BS339" i="3" a="1"/>
  <c r="BS339" i="3" s="1"/>
  <c r="BS167" i="3" a="1"/>
  <c r="BS167" i="3" s="1"/>
  <c r="BI254" i="3" a="1"/>
  <c r="BI254" i="3" s="1"/>
  <c r="BS198" i="3" a="1"/>
  <c r="BS198" i="3" s="1"/>
  <c r="BS280" i="3" a="1"/>
  <c r="BS280" i="3" s="1"/>
  <c r="BI289" i="3" a="1"/>
  <c r="BI289" i="3" s="1"/>
  <c r="BI135" i="3" a="1"/>
  <c r="BI135" i="3" s="1"/>
  <c r="BI292" i="3" a="1"/>
  <c r="BI292" i="3" s="1"/>
  <c r="BI313" i="3" a="1"/>
  <c r="BI313" i="3" s="1"/>
  <c r="BS268" i="3" a="1"/>
  <c r="BS268" i="3" s="1"/>
  <c r="BS285" i="3" a="1"/>
  <c r="BS285" i="3" s="1"/>
  <c r="BI138" i="3" a="1"/>
  <c r="BI138" i="3" s="1"/>
  <c r="BI260" i="3" a="1"/>
  <c r="BI260" i="3" s="1"/>
  <c r="BI315" i="3" a="1"/>
  <c r="BI315" i="3" s="1"/>
  <c r="BI236" i="3" a="1"/>
  <c r="BI236" i="3" s="1"/>
  <c r="BS137" i="3" a="1"/>
  <c r="BS137" i="3" s="1"/>
  <c r="BI160" i="3" a="1"/>
  <c r="BI160" i="3" s="1"/>
  <c r="BI118" i="3" a="1"/>
  <c r="BI118" i="3" s="1"/>
  <c r="BI288" i="3" a="1"/>
  <c r="BI288" i="3" s="1"/>
  <c r="BI314" i="3" a="1"/>
  <c r="BI314" i="3" s="1"/>
  <c r="BS276" i="3" a="1"/>
  <c r="BS276" i="3" s="1"/>
  <c r="BI232" i="3" a="1"/>
  <c r="BI232" i="3" s="1"/>
  <c r="BS152" i="3" a="1"/>
  <c r="BS152" i="3" s="1"/>
  <c r="BI220" i="3" a="1"/>
  <c r="BI220" i="3" s="1"/>
  <c r="BS262" i="3" a="1"/>
  <c r="BS262" i="3" s="1"/>
  <c r="BI282" i="3" a="1"/>
  <c r="BI282" i="3" s="1"/>
  <c r="BS194" i="3" a="1"/>
  <c r="BS194" i="3" s="1"/>
  <c r="BI186" i="3" a="1"/>
  <c r="BI186" i="3" s="1"/>
  <c r="BI205" i="3" a="1"/>
  <c r="BI205" i="3" s="1"/>
  <c r="BI336" i="3" a="1"/>
  <c r="BI336" i="3" s="1"/>
  <c r="BS222" i="3" a="1"/>
  <c r="BS222" i="3" s="1"/>
  <c r="BI269" i="3" a="1"/>
  <c r="BI269" i="3" s="1"/>
  <c r="BS143" i="3" a="1"/>
  <c r="BS143" i="3" s="1"/>
  <c r="BS239" i="3" a="1"/>
  <c r="BS239" i="3" s="1"/>
  <c r="BS311" i="3" a="1"/>
  <c r="BS311" i="3" s="1"/>
  <c r="BS259" i="3" a="1"/>
  <c r="BS259" i="3" s="1"/>
  <c r="BS199" i="3" a="1"/>
  <c r="BS199" i="3" s="1"/>
  <c r="BS208" i="3" a="1"/>
  <c r="BS208" i="3" s="1"/>
  <c r="BS224" i="3" a="1"/>
  <c r="BS224" i="3" s="1"/>
  <c r="BS256" i="3" a="1"/>
  <c r="BS256" i="3" s="1"/>
  <c r="BI177" i="3" a="1"/>
  <c r="BI177" i="3" s="1"/>
  <c r="BI310" i="3" a="1"/>
  <c r="BI310" i="3" s="1"/>
  <c r="BS328" i="3" a="1"/>
  <c r="BS328" i="3" s="1"/>
  <c r="BI244" i="3" a="1"/>
  <c r="BI244" i="3" s="1"/>
  <c r="BI215" i="3" a="1"/>
  <c r="BI215" i="3" s="1"/>
  <c r="BS124" i="3" a="1"/>
  <c r="BS124" i="3" s="1"/>
  <c r="BI264" i="3" a="1"/>
  <c r="BI264" i="3" s="1"/>
  <c r="BI251" i="3" a="1"/>
  <c r="BI251" i="3" s="1"/>
  <c r="BS221" i="3" a="1"/>
  <c r="BS221" i="3" s="1"/>
  <c r="BI127" i="3" a="1"/>
  <c r="BI127" i="3" s="1"/>
  <c r="BI124" i="3" a="1"/>
  <c r="BI124" i="3" s="1"/>
  <c r="BS258" i="3" a="1"/>
  <c r="BS258" i="3" s="1"/>
  <c r="BI211" i="3" a="1"/>
  <c r="BI211" i="3" s="1"/>
  <c r="BS290" i="3" a="1"/>
  <c r="BS290" i="3" s="1"/>
  <c r="BS216" i="3" a="1"/>
  <c r="BS216" i="3" s="1"/>
  <c r="BI333" i="3" a="1"/>
  <c r="BI333" i="3" s="1"/>
  <c r="BI285" i="3" a="1"/>
  <c r="BI285" i="3" s="1"/>
  <c r="BS226" i="3" a="1"/>
  <c r="BS226" i="3" s="1"/>
  <c r="BI242" i="3" a="1"/>
  <c r="BI242" i="3" s="1"/>
  <c r="BS151" i="3" a="1"/>
  <c r="BS151" i="3" s="1"/>
  <c r="BI175" i="3" a="1"/>
  <c r="BI175" i="3" s="1"/>
  <c r="BI329" i="3" a="1"/>
  <c r="BI329" i="3" s="1"/>
  <c r="BI200" i="3" a="1"/>
  <c r="BI200" i="3" s="1"/>
  <c r="BI214" i="3" a="1"/>
  <c r="BI214" i="3" s="1"/>
  <c r="BI158" i="3" a="1"/>
  <c r="BI158" i="3" s="1"/>
  <c r="BI176" i="3" a="1"/>
  <c r="BI176" i="3" s="1"/>
  <c r="BI317" i="3" a="1"/>
  <c r="BI317" i="3" s="1"/>
  <c r="BS330" i="3" a="1"/>
  <c r="BS330" i="3" s="1"/>
  <c r="BI290" i="3" a="1"/>
  <c r="BI290" i="3" s="1"/>
  <c r="BS162" i="3" a="1"/>
  <c r="BS162" i="3" s="1"/>
  <c r="BI142" i="3" a="1"/>
  <c r="BI142" i="3" s="1"/>
  <c r="BS121" i="3" a="1"/>
  <c r="BS121" i="3" s="1"/>
  <c r="BS238" i="3" a="1"/>
  <c r="BS238" i="3" s="1"/>
  <c r="BI268" i="3" a="1"/>
  <c r="BI268" i="3" s="1"/>
  <c r="BI263" i="3" a="1"/>
  <c r="BI263" i="3" s="1"/>
  <c r="BI223" i="3" a="1"/>
  <c r="BI223" i="3" s="1"/>
  <c r="BI321" i="3" a="1"/>
  <c r="BI321" i="3" s="1"/>
  <c r="BI334" i="3" a="1"/>
  <c r="BI334" i="3" s="1"/>
  <c r="BI162" i="3" a="1"/>
  <c r="BI162" i="3" s="1"/>
  <c r="BI243" i="3" a="1"/>
  <c r="BI243" i="3" s="1"/>
  <c r="BS134" i="3" a="1"/>
  <c r="BS134" i="3" s="1"/>
  <c r="BI209" i="3" a="1"/>
  <c r="BI209" i="3" s="1"/>
  <c r="BI222" i="3" a="1"/>
  <c r="BI222" i="3" s="1"/>
  <c r="BS332" i="3" a="1"/>
  <c r="BS332" i="3" s="1"/>
  <c r="BI249" i="3" a="1"/>
  <c r="BI249" i="3" s="1"/>
  <c r="BI246" i="3" a="1"/>
  <c r="BI246" i="3" s="1"/>
  <c r="BS291" i="3" a="1"/>
  <c r="BS291" i="3" s="1"/>
  <c r="BS322" i="3" a="1"/>
  <c r="BS322" i="3" s="1"/>
  <c r="BI256" i="3" a="1"/>
  <c r="BI256" i="3" s="1"/>
  <c r="BS130" i="3" a="1"/>
  <c r="BS130" i="3" s="1"/>
  <c r="BS127" i="3" a="1"/>
  <c r="BS127" i="3" s="1"/>
  <c r="BS170" i="3" a="1"/>
  <c r="BS170" i="3" s="1"/>
  <c r="BS212" i="3" a="1"/>
  <c r="BS212" i="3" s="1"/>
  <c r="BS153" i="3" a="1"/>
  <c r="BS153" i="3" s="1"/>
  <c r="BS223" i="3" a="1"/>
  <c r="BS223" i="3" s="1"/>
  <c r="BS287" i="3" a="1"/>
  <c r="BS287" i="3" s="1"/>
  <c r="BS219" i="3" a="1"/>
  <c r="BS219" i="3" s="1"/>
  <c r="BS131" i="3" a="1"/>
  <c r="BS131" i="3" s="1"/>
  <c r="BS161" i="3" a="1"/>
  <c r="BS161" i="3" s="1"/>
  <c r="BS303" i="3" a="1"/>
  <c r="BS303" i="3" s="1"/>
  <c r="BS146" i="3" a="1"/>
  <c r="BS146" i="3" s="1"/>
  <c r="BS183" i="3" a="1"/>
  <c r="BS183" i="3" s="1"/>
  <c r="BS192" i="3" a="1"/>
  <c r="BS192" i="3" s="1"/>
  <c r="BS265" i="3" a="1"/>
  <c r="BS265" i="3" s="1"/>
  <c r="BS288" i="3" a="1"/>
  <c r="BS288" i="3" s="1"/>
  <c r="BS304" i="3" a="1"/>
  <c r="BS304" i="3" s="1"/>
  <c r="BI259" i="3" a="1"/>
  <c r="BI259" i="3" s="1"/>
  <c r="BS266" i="3" a="1"/>
  <c r="BS266" i="3" s="1"/>
  <c r="BI144" i="3" a="1"/>
  <c r="BI144" i="3" s="1"/>
  <c r="BI328" i="3" a="1"/>
  <c r="BI328" i="3" s="1"/>
  <c r="BS209" i="3" a="1"/>
  <c r="BS209" i="3" s="1"/>
  <c r="BI277" i="3" a="1"/>
  <c r="BI277" i="3" s="1"/>
  <c r="BS319" i="3" a="1"/>
  <c r="BS319" i="3" s="1"/>
  <c r="BS242" i="3" a="1"/>
  <c r="BS242" i="3" s="1"/>
  <c r="BS157" i="3" a="1"/>
  <c r="BS157" i="3" s="1"/>
  <c r="BS234" i="3" a="1"/>
  <c r="BS234" i="3" s="1"/>
  <c r="BS210" i="3" a="1"/>
  <c r="BS210" i="3" s="1"/>
  <c r="BS138" i="3" a="1"/>
  <c r="BS138" i="3" s="1"/>
  <c r="BS168" i="3" a="1"/>
  <c r="BS168" i="3" s="1"/>
  <c r="BS213" i="3" a="1"/>
  <c r="BS213" i="3" s="1"/>
  <c r="BS317" i="3" a="1"/>
  <c r="BS317" i="3" s="1"/>
  <c r="BI153" i="3" a="1"/>
  <c r="BI153" i="3" s="1"/>
  <c r="BI239" i="3" a="1"/>
  <c r="BI239" i="3" s="1"/>
  <c r="BS289" i="3" a="1"/>
  <c r="BS289" i="3" s="1"/>
  <c r="BI278" i="3" a="1"/>
  <c r="BI278" i="3" s="1"/>
  <c r="BS230" i="3" a="1"/>
  <c r="BS230" i="3" s="1"/>
  <c r="BI293" i="3" a="1"/>
  <c r="BI293" i="3" s="1"/>
  <c r="BS142" i="3" a="1"/>
  <c r="BS142" i="3" s="1"/>
  <c r="BS206" i="3" a="1"/>
  <c r="BS206" i="3" s="1"/>
  <c r="BI297" i="3" a="1"/>
  <c r="BI297" i="3" s="1"/>
  <c r="BI307" i="3" a="1"/>
  <c r="BI307" i="3" s="1"/>
  <c r="BI196" i="3" a="1"/>
  <c r="BI196" i="3" s="1"/>
  <c r="M119" i="3"/>
  <c r="BO119" i="3" s="1" a="1"/>
  <c r="BO119" i="3" s="1"/>
  <c r="BL119" i="3" s="1"/>
  <c r="BI157" i="3" a="1"/>
  <c r="BI157" i="3" s="1"/>
  <c r="BS244" i="3" a="1"/>
  <c r="BS244" i="3" s="1"/>
  <c r="BI302" i="3" a="1"/>
  <c r="BI302" i="3" s="1"/>
  <c r="BS306" i="3" a="1"/>
  <c r="BS306" i="3" s="1"/>
  <c r="BI192" i="3" a="1"/>
  <c r="BI192" i="3" s="1"/>
  <c r="BI156" i="3" a="1"/>
  <c r="BI156" i="3" s="1"/>
  <c r="BI172" i="3" a="1"/>
  <c r="BI172" i="3" s="1"/>
  <c r="BI300" i="3" a="1"/>
  <c r="BI300" i="3" s="1"/>
  <c r="BI281" i="3" a="1"/>
  <c r="BI281" i="3" s="1"/>
  <c r="BS196" i="3" a="1"/>
  <c r="BS196" i="3" s="1"/>
  <c r="BS173" i="3" a="1"/>
  <c r="BS173" i="3" s="1"/>
  <c r="BS235" i="3" a="1"/>
  <c r="BS235" i="3" s="1"/>
  <c r="BS278" i="3" a="1"/>
  <c r="BS278" i="3" s="1"/>
  <c r="BS310" i="3" a="1"/>
  <c r="BS310" i="3" s="1"/>
  <c r="BS326" i="3" a="1"/>
  <c r="BS326" i="3" s="1"/>
  <c r="BS175" i="3" a="1"/>
  <c r="BS175" i="3" s="1"/>
  <c r="BS228" i="3" a="1"/>
  <c r="BS228" i="3" s="1"/>
  <c r="BI150" i="3" a="1"/>
  <c r="BI150" i="3" s="1"/>
  <c r="BI275" i="3" a="1"/>
  <c r="BI275" i="3" s="1"/>
  <c r="BI283" i="3" a="1"/>
  <c r="BI283" i="3" s="1"/>
  <c r="BS191" i="3" a="1"/>
  <c r="BS191" i="3" s="1"/>
  <c r="BS211" i="3" a="1"/>
  <c r="BS211" i="3" s="1"/>
  <c r="BS251" i="3" a="1"/>
  <c r="BS251" i="3" s="1"/>
  <c r="BS145" i="3" a="1"/>
  <c r="BS145" i="3" s="1"/>
  <c r="BS320" i="3" a="1"/>
  <c r="BS320" i="3" s="1"/>
  <c r="W119" i="3"/>
  <c r="BO147" i="3" s="1" a="1"/>
  <c r="BO147" i="3" s="1"/>
  <c r="BL147" i="3" s="1"/>
  <c r="R124" i="3"/>
  <c r="BO138" i="3" s="1" a="1"/>
  <c r="BO138" i="3" s="1"/>
  <c r="BL138" i="3" s="1"/>
  <c r="BI257" i="3" a="1"/>
  <c r="BI257" i="3" s="1"/>
  <c r="BS132" i="3" a="1"/>
  <c r="BS132" i="3" s="1"/>
  <c r="BS181" i="3" a="1"/>
  <c r="BS181" i="3" s="1"/>
  <c r="BI296" i="3" a="1"/>
  <c r="BI296" i="3" s="1"/>
  <c r="BS340" i="3" a="1"/>
  <c r="BS340" i="3" s="1"/>
  <c r="BI335" i="3" a="1"/>
  <c r="BI335" i="3" s="1"/>
  <c r="BI197" i="3" a="1"/>
  <c r="BI197" i="3" s="1"/>
  <c r="BI149" i="3" a="1"/>
  <c r="BI149" i="3" s="1"/>
  <c r="BI183" i="3" a="1"/>
  <c r="BI183" i="3" s="1"/>
  <c r="BS205" i="3" a="1"/>
  <c r="BS205" i="3" s="1"/>
  <c r="BS253" i="3" a="1"/>
  <c r="BS253" i="3" s="1"/>
  <c r="BS309" i="3" a="1"/>
  <c r="BS309" i="3" s="1"/>
  <c r="BI126" i="3" a="1"/>
  <c r="BI126" i="3" s="1"/>
  <c r="BI166" i="3" a="1"/>
  <c r="BI166" i="3" s="1"/>
  <c r="BI174" i="3" a="1"/>
  <c r="BI174" i="3" s="1"/>
  <c r="BI258" i="3" a="1"/>
  <c r="BI258" i="3" s="1"/>
  <c r="BI299" i="3" a="1"/>
  <c r="BI299" i="3" s="1"/>
  <c r="BS299" i="3" a="1"/>
  <c r="BS299" i="3" s="1"/>
  <c r="BS321" i="3" a="1"/>
  <c r="BS321" i="3" s="1"/>
  <c r="BS246" i="3" a="1"/>
  <c r="BS246" i="3" s="1"/>
  <c r="BI198" i="3" a="1"/>
  <c r="BI198" i="3" s="1"/>
  <c r="BS147" i="3" a="1"/>
  <c r="BS147" i="3" s="1"/>
  <c r="BS163" i="3" a="1"/>
  <c r="BS163" i="3" s="1"/>
  <c r="BI298" i="3" a="1"/>
  <c r="BI298" i="3" s="1"/>
  <c r="BI332" i="3" a="1"/>
  <c r="BI332" i="3" s="1"/>
  <c r="BI286" i="3" a="1"/>
  <c r="BI286" i="3" s="1"/>
  <c r="BI151" i="3" a="1"/>
  <c r="BI151" i="3" s="1"/>
  <c r="BI253" i="3" a="1"/>
  <c r="BI253" i="3" s="1"/>
  <c r="BI270" i="3" a="1"/>
  <c r="BI270" i="3" s="1"/>
  <c r="BS323" i="3" a="1"/>
  <c r="BS323" i="3" s="1"/>
  <c r="BS260" i="3" a="1"/>
  <c r="BS260" i="3" s="1"/>
  <c r="BS307" i="3" a="1"/>
  <c r="BS307" i="3" s="1"/>
  <c r="BS169" i="3" a="1"/>
  <c r="BS169" i="3" s="1"/>
  <c r="BI130" i="3" a="1"/>
  <c r="BI130" i="3" s="1"/>
  <c r="BI155" i="3" a="1"/>
  <c r="BI155" i="3" s="1"/>
  <c r="BI168" i="3" a="1"/>
  <c r="BI168" i="3" s="1"/>
  <c r="BI208" i="3" a="1"/>
  <c r="BI208" i="3" s="1"/>
  <c r="BI294" i="3" a="1"/>
  <c r="BI294" i="3" s="1"/>
  <c r="BS315" i="3" a="1"/>
  <c r="BS315" i="3" s="1"/>
  <c r="BS338" i="3" a="1"/>
  <c r="BS338" i="3" s="1"/>
  <c r="BI308" i="3" a="1"/>
  <c r="BI308" i="3" s="1"/>
  <c r="BI203" i="3" a="1"/>
  <c r="BI203" i="3" s="1"/>
  <c r="BI191" i="3" a="1"/>
  <c r="BI191" i="3" s="1"/>
  <c r="BS174" i="3" a="1"/>
  <c r="BS174" i="3" s="1"/>
  <c r="BI204" i="3" a="1"/>
  <c r="BI204" i="3" s="1"/>
  <c r="BS273" i="3" a="1"/>
  <c r="BS273" i="3" s="1"/>
  <c r="BS250" i="3" a="1"/>
  <c r="BS250" i="3" s="1"/>
  <c r="BS225" i="3" a="1"/>
  <c r="BS225" i="3" s="1"/>
  <c r="BI125" i="3" a="1"/>
  <c r="BI125" i="3" s="1"/>
  <c r="BI181" i="3" a="1"/>
  <c r="BI181" i="3" s="1"/>
  <c r="BI273" i="3" a="1"/>
  <c r="BI273" i="3" s="1"/>
  <c r="BS331" i="3" a="1"/>
  <c r="BS331" i="3" s="1"/>
  <c r="BI255" i="3" a="1"/>
  <c r="BI255" i="3" s="1"/>
  <c r="BS294" i="3" a="1"/>
  <c r="BS294" i="3" s="1"/>
  <c r="BS257" i="3" a="1"/>
  <c r="BS257" i="3" s="1"/>
  <c r="BS158" i="3" a="1"/>
  <c r="BS158" i="3" s="1"/>
  <c r="BS215" i="3" a="1"/>
  <c r="BS215" i="3" s="1"/>
  <c r="BS166" i="3" a="1"/>
  <c r="BS166" i="3" s="1"/>
  <c r="BS279" i="3" a="1"/>
  <c r="BS279" i="3" s="1"/>
  <c r="BS187" i="3" a="1"/>
  <c r="BS187" i="3" s="1"/>
  <c r="BS195" i="3" a="1"/>
  <c r="BS195" i="3" s="1"/>
  <c r="BS243" i="3" a="1"/>
  <c r="BS243" i="3" s="1"/>
  <c r="BS129" i="3" a="1"/>
  <c r="BS129" i="3" s="1"/>
  <c r="BS233" i="3" a="1"/>
  <c r="BS233" i="3" s="1"/>
  <c r="BS249" i="3" a="1"/>
  <c r="BS249" i="3" s="1"/>
  <c r="W121" i="3"/>
  <c r="BO149" i="3" s="1" a="1"/>
  <c r="BO149" i="3" s="1"/>
  <c r="BL149" i="3" s="1"/>
  <c r="W126" i="3"/>
  <c r="BO154" i="3" s="1" a="1"/>
  <c r="BO154" i="3" s="1"/>
  <c r="BL154" i="3" s="1"/>
  <c r="GW545" i="9"/>
  <c r="HF545" i="9" s="1"/>
  <c r="CD545" i="9" s="1"/>
  <c r="FT329" i="9"/>
  <c r="CA329" i="9" s="1"/>
  <c r="FT173" i="9"/>
  <c r="CA173" i="9" s="1"/>
  <c r="FT399" i="9"/>
  <c r="CA399" i="9" s="1"/>
  <c r="GW686" i="9"/>
  <c r="HF686" i="9" s="1"/>
  <c r="FT145" i="9"/>
  <c r="CA145" i="9" s="1"/>
  <c r="FT282" i="9"/>
  <c r="CA282" i="9" s="1"/>
  <c r="FT147" i="9"/>
  <c r="CA147" i="9" s="1"/>
  <c r="FT58" i="9"/>
  <c r="CA58" i="9" s="1"/>
  <c r="FT564" i="9"/>
  <c r="CA564" i="9" s="1"/>
  <c r="GW658" i="9"/>
  <c r="HF658" i="9" s="1"/>
  <c r="GW635" i="9"/>
  <c r="HF635" i="9" s="1"/>
  <c r="FT275" i="9"/>
  <c r="CA275" i="9" s="1"/>
  <c r="GW626" i="9"/>
  <c r="HF626" i="9" s="1"/>
  <c r="FT181" i="9"/>
  <c r="CA181" i="9" s="1"/>
  <c r="FT400" i="9"/>
  <c r="CA400" i="9" s="1"/>
  <c r="FT279" i="9"/>
  <c r="CA279" i="9" s="1"/>
  <c r="FT390" i="9"/>
  <c r="CA390" i="9" s="1"/>
  <c r="FT165" i="9"/>
  <c r="CA165" i="9" s="1"/>
  <c r="FT177" i="9"/>
  <c r="CA177" i="9" s="1"/>
  <c r="FT174" i="9"/>
  <c r="CA174" i="9" s="1"/>
  <c r="FT520" i="9"/>
  <c r="CA520" i="9" s="1"/>
  <c r="FT305" i="9"/>
  <c r="CA305" i="9" s="1"/>
  <c r="FT618" i="9"/>
  <c r="CA618" i="9" s="1"/>
  <c r="FT320" i="9"/>
  <c r="CA320" i="9" s="1"/>
  <c r="GW533" i="9"/>
  <c r="HF533" i="9" s="1"/>
  <c r="CD533" i="9" s="1"/>
  <c r="FT552" i="9"/>
  <c r="CA552" i="9" s="1"/>
  <c r="FT438" i="9"/>
  <c r="CA438" i="9" s="1"/>
  <c r="FT280" i="9"/>
  <c r="CA280" i="9" s="1"/>
  <c r="FT138" i="9"/>
  <c r="CA138" i="9" s="1"/>
  <c r="FT259" i="9"/>
  <c r="CA259" i="9" s="1"/>
  <c r="FT445" i="9"/>
  <c r="CA445" i="9" s="1"/>
  <c r="FT189" i="9"/>
  <c r="CA189" i="9" s="1"/>
  <c r="FT178" i="9"/>
  <c r="CA178" i="9" s="1"/>
  <c r="FT153" i="9"/>
  <c r="CA153" i="9" s="1"/>
  <c r="FT56" i="9"/>
  <c r="CA56" i="9" s="1"/>
  <c r="FT146" i="9"/>
  <c r="CA146" i="9" s="1"/>
  <c r="FT278" i="9"/>
  <c r="CA278" i="9" s="1"/>
  <c r="FT623" i="9"/>
  <c r="CA623" i="9" s="1"/>
  <c r="FT651" i="9"/>
  <c r="CA651" i="9" s="1"/>
  <c r="FT379" i="9"/>
  <c r="CA379" i="9" s="1"/>
  <c r="FT317" i="9"/>
  <c r="CA317" i="9" s="1"/>
  <c r="FT313" i="9"/>
  <c r="CA313" i="9" s="1"/>
  <c r="FT277" i="9"/>
  <c r="CA277" i="9" s="1"/>
  <c r="FT535" i="9"/>
  <c r="CA535" i="9" s="1"/>
  <c r="FT627" i="9"/>
  <c r="CA627" i="9" s="1"/>
  <c r="FT285" i="9"/>
  <c r="CA285" i="9" s="1"/>
  <c r="FT270" i="9"/>
  <c r="CA270" i="9" s="1"/>
  <c r="FT646" i="9"/>
  <c r="CA646" i="9" s="1"/>
  <c r="FT500" i="9"/>
  <c r="CA500" i="9" s="1"/>
  <c r="FT378" i="9"/>
  <c r="CA378" i="9" s="1"/>
  <c r="FT548" i="9"/>
  <c r="CA548" i="9" s="1"/>
  <c r="FT435" i="9"/>
  <c r="CA435" i="9" s="1"/>
  <c r="FT547" i="9"/>
  <c r="CA547" i="9" s="1"/>
  <c r="FT448" i="9"/>
  <c r="CA448" i="9" s="1"/>
  <c r="GQ22" i="9"/>
  <c r="GR22" i="9" s="1"/>
  <c r="GS22" i="9" s="1"/>
  <c r="GT22" i="9" s="1"/>
  <c r="GU22" i="9" s="1"/>
  <c r="GV22" i="9" s="1"/>
  <c r="GW22" i="9" s="1"/>
  <c r="HF22" i="9" s="1"/>
  <c r="CD22" i="9" s="1"/>
  <c r="FT388" i="9"/>
  <c r="CA388" i="9" s="1"/>
  <c r="FT402" i="9"/>
  <c r="CA402" i="9" s="1"/>
  <c r="FT315" i="9"/>
  <c r="CA315" i="9" s="1"/>
  <c r="FT78" i="9"/>
  <c r="CA78" i="9" s="1"/>
  <c r="FT53" i="9"/>
  <c r="CA53" i="9" s="1"/>
  <c r="FT326" i="9"/>
  <c r="CA326" i="9" s="1"/>
  <c r="FT81" i="9"/>
  <c r="CA81" i="9" s="1"/>
  <c r="FT501" i="9"/>
  <c r="CA501" i="9" s="1"/>
  <c r="FT31" i="9"/>
  <c r="CA31" i="9" s="1"/>
  <c r="FT204" i="9"/>
  <c r="CA204" i="9" s="1"/>
  <c r="FT196" i="9"/>
  <c r="CA196" i="9" s="1"/>
  <c r="FT167" i="9"/>
  <c r="CA167" i="9" s="1"/>
  <c r="FT160" i="9"/>
  <c r="CA160" i="9" s="1"/>
  <c r="FT656" i="9"/>
  <c r="CA656" i="9" s="1"/>
  <c r="FT524" i="9"/>
  <c r="CA524" i="9" s="1"/>
  <c r="FT503" i="9"/>
  <c r="CA503" i="9" s="1"/>
  <c r="FT432" i="9"/>
  <c r="CA432" i="9" s="1"/>
  <c r="FT403" i="9"/>
  <c r="CA403" i="9" s="1"/>
  <c r="FT55" i="9"/>
  <c r="CA55" i="9" s="1"/>
  <c r="FT641" i="9"/>
  <c r="CA641" i="9" s="1"/>
  <c r="FT542" i="9"/>
  <c r="CA542" i="9" s="1"/>
  <c r="FT398" i="9"/>
  <c r="CA398" i="9" s="1"/>
  <c r="FT297" i="9"/>
  <c r="CA297" i="9" s="1"/>
  <c r="FT281" i="9"/>
  <c r="CA281" i="9" s="1"/>
  <c r="FT274" i="9"/>
  <c r="CA274" i="9" s="1"/>
  <c r="FT191" i="9"/>
  <c r="CA191" i="9" s="1"/>
  <c r="FT684" i="9"/>
  <c r="CA684" i="9" s="1"/>
  <c r="FT617" i="9"/>
  <c r="CA617" i="9" s="1"/>
  <c r="FT549" i="9"/>
  <c r="CA549" i="9" s="1"/>
  <c r="FT528" i="9"/>
  <c r="CA528" i="9" s="1"/>
  <c r="FT497" i="9"/>
  <c r="CA497" i="9" s="1"/>
  <c r="FT419" i="9"/>
  <c r="CA419" i="9" s="1"/>
  <c r="FT314" i="9"/>
  <c r="CA314" i="9" s="1"/>
  <c r="FT61" i="9"/>
  <c r="CA61" i="9" s="1"/>
  <c r="FT272" i="9"/>
  <c r="CA272" i="9" s="1"/>
  <c r="FT172" i="9"/>
  <c r="CA172" i="9" s="1"/>
  <c r="FT159" i="9"/>
  <c r="CA159" i="9" s="1"/>
  <c r="FT633" i="9"/>
  <c r="CA633" i="9" s="1"/>
  <c r="FT286" i="9"/>
  <c r="CA286" i="9" s="1"/>
  <c r="FT199" i="9"/>
  <c r="CA199" i="9" s="1"/>
  <c r="FT187" i="9"/>
  <c r="CA187" i="9" s="1"/>
  <c r="FT186" i="9"/>
  <c r="CA186" i="9" s="1"/>
  <c r="FT676" i="9"/>
  <c r="CA676" i="9" s="1"/>
  <c r="FT621" i="9"/>
  <c r="CA621" i="9" s="1"/>
  <c r="FT531" i="9"/>
  <c r="CA531" i="9" s="1"/>
  <c r="FT405" i="9"/>
  <c r="CA405" i="9" s="1"/>
  <c r="FT382" i="9"/>
  <c r="CA382" i="9" s="1"/>
  <c r="FT306" i="9"/>
  <c r="CA306" i="9" s="1"/>
  <c r="FT77" i="9"/>
  <c r="CA77" i="9" s="1"/>
  <c r="FT25" i="9"/>
  <c r="CA25" i="9" s="1"/>
  <c r="FT17" i="9"/>
  <c r="CA17" i="9" s="1"/>
  <c r="FT71" i="9"/>
  <c r="CA71" i="9" s="1"/>
  <c r="DM51" i="9" a="1"/>
  <c r="DM51" i="9" s="1"/>
  <c r="FT203" i="9"/>
  <c r="CA203" i="9" s="1"/>
  <c r="FT509" i="9"/>
  <c r="CA509" i="9" s="1"/>
  <c r="FT411" i="9"/>
  <c r="CA411" i="9" s="1"/>
  <c r="FT195" i="9"/>
  <c r="CA195" i="9" s="1"/>
  <c r="FT163" i="9"/>
  <c r="CA163" i="9" s="1"/>
  <c r="FT653" i="9"/>
  <c r="CA653" i="9" s="1"/>
  <c r="FT648" i="9"/>
  <c r="CA648" i="9" s="1"/>
  <c r="FT644" i="9"/>
  <c r="CA644" i="9" s="1"/>
  <c r="FT637" i="9"/>
  <c r="CA637" i="9" s="1"/>
  <c r="FT394" i="9"/>
  <c r="CA394" i="9" s="1"/>
  <c r="FT300" i="9"/>
  <c r="CA300" i="9" s="1"/>
  <c r="FT200" i="9"/>
  <c r="CA200" i="9" s="1"/>
  <c r="FT687" i="9"/>
  <c r="CA687" i="9" s="1"/>
  <c r="FT427" i="9"/>
  <c r="CA427" i="9" s="1"/>
  <c r="FT421" i="9"/>
  <c r="CA421" i="9" s="1"/>
  <c r="FT386" i="9"/>
  <c r="CA386" i="9" s="1"/>
  <c r="FT316" i="9"/>
  <c r="CA316" i="9" s="1"/>
  <c r="FT269" i="9"/>
  <c r="CA269" i="9" s="1"/>
  <c r="FT206" i="9"/>
  <c r="CA206" i="9" s="1"/>
  <c r="FT201" i="9"/>
  <c r="CA201" i="9" s="1"/>
  <c r="FT182" i="9"/>
  <c r="CA182" i="9" s="1"/>
  <c r="FT162" i="9"/>
  <c r="CA162" i="9" s="1"/>
  <c r="FT83" i="9"/>
  <c r="CA83" i="9" s="1"/>
  <c r="FT156" i="9"/>
  <c r="CA156" i="9" s="1"/>
  <c r="FT52" i="9"/>
  <c r="CA52" i="9" s="1"/>
  <c r="FT205" i="9"/>
  <c r="CA205" i="9" s="1"/>
  <c r="FT166" i="9"/>
  <c r="CA166" i="9" s="1"/>
  <c r="FT143" i="9"/>
  <c r="CA143" i="9" s="1"/>
  <c r="FT137" i="9"/>
  <c r="CA137" i="9" s="1"/>
  <c r="FT70" i="9"/>
  <c r="CA70" i="9" s="1"/>
  <c r="FT151" i="9"/>
  <c r="CA151" i="9" s="1"/>
  <c r="FT193" i="9"/>
  <c r="CA193" i="9" s="1"/>
  <c r="FT208" i="9"/>
  <c r="CA208" i="9" s="1"/>
  <c r="FT298" i="9"/>
  <c r="CA298" i="9" s="1"/>
  <c r="FT289" i="9"/>
  <c r="CA289" i="9" s="1"/>
  <c r="FT260" i="9"/>
  <c r="CA260" i="9" s="1"/>
  <c r="FT188" i="9"/>
  <c r="CA188" i="9" s="1"/>
  <c r="FT183" i="9"/>
  <c r="CA183" i="9" s="1"/>
  <c r="FT158" i="9"/>
  <c r="CA158" i="9" s="1"/>
  <c r="FT202" i="9"/>
  <c r="CA202" i="9" s="1"/>
  <c r="FT59" i="9"/>
  <c r="CA59" i="9" s="1"/>
  <c r="EW86" i="9"/>
  <c r="FW86" i="9" s="1"/>
  <c r="FX86" i="9" s="1"/>
  <c r="FY86" i="9" s="1"/>
  <c r="FZ86" i="9" s="1"/>
  <c r="GA86" i="9" s="1"/>
  <c r="GB86" i="9" s="1"/>
  <c r="GC86" i="9" s="1"/>
  <c r="GD86" i="9" s="1"/>
  <c r="GE86" i="9" s="1"/>
  <c r="GF86" i="9" s="1"/>
  <c r="GG86" i="9" s="1"/>
  <c r="GH86" i="9" s="1"/>
  <c r="GI86" i="9" s="1"/>
  <c r="BZ86" i="9" s="1"/>
  <c r="FT86" i="9" s="1"/>
  <c r="CA86" i="9" s="1"/>
  <c r="EW66" i="9"/>
  <c r="FW66" i="9" s="1"/>
  <c r="FX66" i="9" s="1"/>
  <c r="FY66" i="9" s="1"/>
  <c r="EW50" i="9"/>
  <c r="FW50" i="9" s="1"/>
  <c r="FX50" i="9" s="1"/>
  <c r="FY50" i="9" s="1"/>
  <c r="EW45" i="9"/>
  <c r="FW45" i="9" s="1"/>
  <c r="FX45" i="9" s="1"/>
  <c r="FY45" i="9" s="1"/>
  <c r="EW43" i="9"/>
  <c r="FW43" i="9" s="1"/>
  <c r="FX43" i="9" s="1"/>
  <c r="FY43" i="9" s="1"/>
  <c r="EW38" i="9"/>
  <c r="FW38" i="9" s="1"/>
  <c r="FX38" i="9" s="1"/>
  <c r="FY38" i="9" s="1"/>
  <c r="EW33" i="9"/>
  <c r="FW33" i="9" s="1"/>
  <c r="FX33" i="9" s="1"/>
  <c r="FY33" i="9" s="1"/>
  <c r="EW28" i="9"/>
  <c r="FW28" i="9" s="1"/>
  <c r="FX28" i="9" s="1"/>
  <c r="FY28" i="9" s="1"/>
  <c r="EW24" i="9"/>
  <c r="FW24" i="9" s="1"/>
  <c r="FX24" i="9" s="1"/>
  <c r="FY24" i="9" s="1"/>
  <c r="EW47" i="9"/>
  <c r="FW47" i="9" s="1"/>
  <c r="FX47" i="9" s="1"/>
  <c r="FY47" i="9" s="1"/>
  <c r="EW30" i="9"/>
  <c r="FW30" i="9" s="1"/>
  <c r="FX30" i="9" s="1"/>
  <c r="FY30" i="9" s="1"/>
  <c r="EW20" i="9"/>
  <c r="FW20" i="9" s="1"/>
  <c r="FX20" i="9" s="1"/>
  <c r="FY20" i="9" s="1"/>
  <c r="EW16" i="9"/>
  <c r="FW16" i="9" s="1"/>
  <c r="FX16" i="9" s="1"/>
  <c r="FY16" i="9" s="1"/>
  <c r="EW40" i="9"/>
  <c r="FW40" i="9" s="1"/>
  <c r="FX40" i="9" s="1"/>
  <c r="FY40" i="9" s="1"/>
  <c r="EW35" i="9"/>
  <c r="FW35" i="9" s="1"/>
  <c r="FX35" i="9" s="1"/>
  <c r="FY35" i="9" s="1"/>
  <c r="EW23" i="9"/>
  <c r="FW23" i="9" s="1"/>
  <c r="FX23" i="9" s="1"/>
  <c r="FY23" i="9" s="1"/>
  <c r="FT175" i="9"/>
  <c r="CA175" i="9" s="1"/>
  <c r="EW49" i="9"/>
  <c r="FW49" i="9" s="1"/>
  <c r="FX49" i="9" s="1"/>
  <c r="FY49" i="9" s="1"/>
  <c r="EW44" i="9"/>
  <c r="FW44" i="9" s="1"/>
  <c r="FX44" i="9" s="1"/>
  <c r="FY44" i="9" s="1"/>
  <c r="EW37" i="9"/>
  <c r="FW37" i="9" s="1"/>
  <c r="FX37" i="9" s="1"/>
  <c r="FY37" i="9" s="1"/>
  <c r="EW32" i="9"/>
  <c r="FW32" i="9" s="1"/>
  <c r="FX32" i="9" s="1"/>
  <c r="FY32" i="9" s="1"/>
  <c r="EW19" i="9"/>
  <c r="FW19" i="9" s="1"/>
  <c r="FX19" i="9" s="1"/>
  <c r="FY19" i="9" s="1"/>
  <c r="EW144" i="9"/>
  <c r="FW144" i="9" s="1"/>
  <c r="FX144" i="9" s="1"/>
  <c r="FY144" i="9" s="1"/>
  <c r="EW135" i="9"/>
  <c r="FW135" i="9" s="1"/>
  <c r="FX135" i="9" s="1"/>
  <c r="FY135" i="9" s="1"/>
  <c r="EW85" i="9"/>
  <c r="FW85" i="9" s="1"/>
  <c r="FX85" i="9" s="1"/>
  <c r="FY85" i="9" s="1"/>
  <c r="EW54" i="9"/>
  <c r="FW54" i="9" s="1"/>
  <c r="FX54" i="9" s="1"/>
  <c r="FY54" i="9" s="1"/>
  <c r="FZ54" i="9" s="1"/>
  <c r="GA54" i="9" s="1"/>
  <c r="GB54" i="9" s="1"/>
  <c r="GC54" i="9" s="1"/>
  <c r="GD54" i="9" s="1"/>
  <c r="GE54" i="9" s="1"/>
  <c r="GF54" i="9" s="1"/>
  <c r="GG54" i="9" s="1"/>
  <c r="EW46" i="9"/>
  <c r="FW46" i="9" s="1"/>
  <c r="FX46" i="9" s="1"/>
  <c r="FY46" i="9" s="1"/>
  <c r="FZ46" i="9" s="1"/>
  <c r="GA46" i="9" s="1"/>
  <c r="GB46" i="9" s="1"/>
  <c r="GC46" i="9" s="1"/>
  <c r="GD46" i="9" s="1"/>
  <c r="GE46" i="9" s="1"/>
  <c r="GF46" i="9" s="1"/>
  <c r="GG46" i="9" s="1"/>
  <c r="GH46" i="9" s="1"/>
  <c r="GI46" i="9" s="1"/>
  <c r="BZ46" i="9" s="1"/>
  <c r="FT46" i="9" s="1"/>
  <c r="CA46" i="9" s="1"/>
  <c r="EW29" i="9"/>
  <c r="FW29" i="9" s="1"/>
  <c r="FX29" i="9" s="1"/>
  <c r="FY29" i="9" s="1"/>
  <c r="EW26" i="9"/>
  <c r="FW26" i="9" s="1"/>
  <c r="FX26" i="9" s="1"/>
  <c r="FY26" i="9" s="1"/>
  <c r="EW15" i="9"/>
  <c r="EW39" i="9"/>
  <c r="FW39" i="9" s="1"/>
  <c r="FX39" i="9" s="1"/>
  <c r="FY39" i="9" s="1"/>
  <c r="EW34" i="9"/>
  <c r="FW34" i="9" s="1"/>
  <c r="FX34" i="9" s="1"/>
  <c r="FY34" i="9" s="1"/>
  <c r="EW22" i="9"/>
  <c r="FW22" i="9" s="1"/>
  <c r="FX22" i="9" s="1"/>
  <c r="FY22" i="9" s="1"/>
  <c r="FZ22" i="9" s="1"/>
  <c r="GA22" i="9" s="1"/>
  <c r="GB22" i="9" s="1"/>
  <c r="GC22" i="9" s="1"/>
  <c r="GD22" i="9" s="1"/>
  <c r="GE22" i="9" s="1"/>
  <c r="GF22" i="9" s="1"/>
  <c r="GG22" i="9" s="1"/>
  <c r="GH22" i="9" s="1"/>
  <c r="GI22" i="9" s="1"/>
  <c r="BZ22" i="9" s="1"/>
  <c r="FT22" i="9" s="1"/>
  <c r="CA22" i="9" s="1"/>
  <c r="EW18" i="9"/>
  <c r="FW18" i="9" s="1"/>
  <c r="FX18" i="9" s="1"/>
  <c r="FY18" i="9" s="1"/>
  <c r="EW14" i="9"/>
  <c r="FW14" i="9" s="1"/>
  <c r="FX14" i="9" s="1"/>
  <c r="FY14" i="9" s="1"/>
  <c r="FT152" i="9"/>
  <c r="CA152" i="9" s="1"/>
  <c r="EW36" i="9"/>
  <c r="FW36" i="9" s="1"/>
  <c r="FX36" i="9" s="1"/>
  <c r="FY36" i="9" s="1"/>
  <c r="EW21" i="9"/>
  <c r="FW21" i="9" s="1"/>
  <c r="FX21" i="9" s="1"/>
  <c r="FY21" i="9" s="1"/>
  <c r="BC333" i="11"/>
  <c r="DH19" i="10"/>
  <c r="DH44" i="10" s="1"/>
  <c r="DH69" i="10" s="1"/>
  <c r="DH94" i="10" s="1"/>
  <c r="DH119" i="10" s="1"/>
  <c r="DH144" i="10" s="1"/>
  <c r="DH169" i="10" s="1"/>
  <c r="DH194" i="10" s="1"/>
  <c r="DH219" i="10" s="1"/>
  <c r="DH244" i="10" s="1"/>
  <c r="DH269" i="10" s="1"/>
  <c r="DH294" i="10" s="1"/>
  <c r="DH319" i="10" s="1"/>
  <c r="DH344" i="10" s="1"/>
  <c r="DH369" i="10" s="1"/>
  <c r="DH394" i="10" s="1"/>
  <c r="DH419" i="10" s="1"/>
  <c r="BF109" i="12"/>
  <c r="BF113" i="12" s="1"/>
  <c r="BF117" i="12" s="1"/>
  <c r="BF121" i="12" s="1"/>
  <c r="BF125" i="12" s="1"/>
  <c r="BF129" i="12" s="1"/>
  <c r="BF133" i="12" s="1"/>
  <c r="BF137" i="12" s="1"/>
  <c r="BF141" i="12" s="1"/>
  <c r="BF145" i="12" s="1"/>
  <c r="BF101" i="12"/>
  <c r="BF99" i="12"/>
  <c r="BF107" i="12"/>
  <c r="BF111" i="12" s="1"/>
  <c r="BF115" i="12" s="1"/>
  <c r="BF119" i="12" s="1"/>
  <c r="BF123" i="12" s="1"/>
  <c r="BF127" i="12" s="1"/>
  <c r="BF131" i="12" s="1"/>
  <c r="BF135" i="12" s="1"/>
  <c r="BF139" i="12" s="1"/>
  <c r="BF143" i="12" s="1"/>
  <c r="BF100" i="12"/>
  <c r="Y20" i="21"/>
  <c r="BJ64" i="11"/>
  <c r="BM64" i="11"/>
  <c r="BK64" i="11"/>
  <c r="BL64" i="11"/>
  <c r="DO248" i="5"/>
  <c r="DO251" i="5"/>
  <c r="L208" i="11"/>
  <c r="BK48" i="11" s="1"/>
  <c r="L158" i="11"/>
  <c r="BJ48" i="11" s="1"/>
  <c r="BL48" i="11"/>
  <c r="DO264" i="5"/>
  <c r="DO21" i="5"/>
  <c r="DO324" i="5"/>
  <c r="DO329" i="5"/>
  <c r="DO623" i="5"/>
  <c r="DO293" i="5"/>
  <c r="DO326" i="5"/>
  <c r="DO233" i="5"/>
  <c r="DO260" i="5"/>
  <c r="DO621" i="5"/>
  <c r="DO263" i="5"/>
  <c r="DO236" i="5"/>
  <c r="DO323" i="5"/>
  <c r="DR323" i="5" s="1"/>
  <c r="DO291" i="5"/>
  <c r="DR291" i="5" s="1"/>
  <c r="DO231" i="5"/>
  <c r="DR231" i="5" s="1"/>
  <c r="DO38" i="5"/>
  <c r="DO626" i="5"/>
  <c r="DO322" i="5"/>
  <c r="DO620" i="5"/>
  <c r="DO229" i="5"/>
  <c r="DO625" i="5"/>
  <c r="CQ24" i="12"/>
  <c r="CS24" i="12"/>
  <c r="CR24" i="12"/>
  <c r="CP24" i="12"/>
  <c r="Y17" i="21"/>
  <c r="Y15" i="21"/>
  <c r="T21" i="21"/>
  <c r="Y18" i="21"/>
  <c r="AB66" i="10"/>
  <c r="CS287" i="10"/>
  <c r="AC66" i="10"/>
  <c r="S66" i="10"/>
  <c r="CW12" i="10" s="1"/>
  <c r="AF66" i="10"/>
  <c r="CW237" i="10" s="1"/>
  <c r="Y25" i="21"/>
  <c r="Y26" i="21"/>
  <c r="Y14" i="21"/>
  <c r="GH51" i="9"/>
  <c r="GI51" i="9" s="1"/>
  <c r="BZ51" i="9" s="1"/>
  <c r="FT51" i="9" s="1"/>
  <c r="CA51" i="9" s="1"/>
  <c r="AL33" i="10"/>
  <c r="CS137" i="10" s="1"/>
  <c r="Y19" i="21"/>
  <c r="Y11" i="21"/>
  <c r="GH686" i="9"/>
  <c r="GI686" i="9" s="1"/>
  <c r="BZ686" i="9" s="1"/>
  <c r="FT686" i="9" s="1"/>
  <c r="CA686" i="9" s="1"/>
  <c r="GW298" i="9"/>
  <c r="HF298" i="9" s="1"/>
  <c r="CD298" i="9" s="1"/>
  <c r="Y10" i="21"/>
  <c r="Y21" i="21"/>
  <c r="Y27" i="21"/>
  <c r="Y24" i="21"/>
  <c r="GW335" i="9"/>
  <c r="HF335" i="9" s="1"/>
  <c r="Y23" i="21"/>
  <c r="Y13" i="21"/>
  <c r="AR34" i="10"/>
  <c r="AR18" i="10" s="1"/>
  <c r="CR306" i="10" s="1"/>
  <c r="GW484" i="9"/>
  <c r="HF484" i="9" s="1"/>
  <c r="GW462" i="9"/>
  <c r="HF462" i="9" s="1"/>
  <c r="GW394" i="9"/>
  <c r="HF394" i="9" s="1"/>
  <c r="CD394" i="9" s="1"/>
  <c r="CO287" i="10"/>
  <c r="Y22" i="21"/>
  <c r="Y16" i="21"/>
  <c r="GW576" i="9"/>
  <c r="HF576" i="9" s="1"/>
  <c r="GW498" i="9"/>
  <c r="HF498" i="9" s="1"/>
  <c r="CD498" i="9" s="1"/>
  <c r="GW348" i="9"/>
  <c r="HF348" i="9" s="1"/>
  <c r="Y12" i="21"/>
  <c r="GW525" i="9"/>
  <c r="HF525" i="9" s="1"/>
  <c r="CD525" i="9" s="1"/>
  <c r="GW682" i="9"/>
  <c r="HF682" i="9" s="1"/>
  <c r="GW564" i="9"/>
  <c r="HF564" i="9" s="1"/>
  <c r="CD564" i="9" s="1"/>
  <c r="GW563" i="9"/>
  <c r="HF563" i="9" s="1"/>
  <c r="CD563" i="9" s="1"/>
  <c r="GW532" i="9"/>
  <c r="HF532" i="9" s="1"/>
  <c r="CD532" i="9" s="1"/>
  <c r="GW681" i="9"/>
  <c r="HF681" i="9" s="1"/>
  <c r="GW667" i="9"/>
  <c r="HF667" i="9" s="1"/>
  <c r="GW121" i="9"/>
  <c r="GH396" i="9"/>
  <c r="GI396" i="9" s="1"/>
  <c r="BZ396" i="9" s="1"/>
  <c r="FT396" i="9" s="1"/>
  <c r="CA396" i="9" s="1"/>
  <c r="GW396" i="9"/>
  <c r="HF396" i="9" s="1"/>
  <c r="CD396" i="9" s="1"/>
  <c r="GH461" i="9"/>
  <c r="GI461" i="9" s="1"/>
  <c r="GW461" i="9"/>
  <c r="HF461" i="9" s="1"/>
  <c r="GW668" i="9"/>
  <c r="HF668" i="9" s="1"/>
  <c r="GH668" i="9"/>
  <c r="GI668" i="9" s="1"/>
  <c r="BZ668" i="9" s="1"/>
  <c r="FT668" i="9" s="1"/>
  <c r="CA668" i="9" s="1"/>
  <c r="GH479" i="9"/>
  <c r="GI479" i="9" s="1"/>
  <c r="GW479" i="9"/>
  <c r="HF479" i="9" s="1"/>
  <c r="GH667" i="9"/>
  <c r="GI667" i="9" s="1"/>
  <c r="BZ667" i="9" s="1"/>
  <c r="FT667" i="9" s="1"/>
  <c r="CA667" i="9" s="1"/>
  <c r="GW643" i="9"/>
  <c r="HF643" i="9" s="1"/>
  <c r="GW649" i="9"/>
  <c r="HF649" i="9" s="1"/>
  <c r="GW320" i="9"/>
  <c r="HF320" i="9" s="1"/>
  <c r="CD320" i="9" s="1"/>
  <c r="DK320" i="9" s="1" a="1"/>
  <c r="DK320" i="9" s="1"/>
  <c r="CG320" i="9" s="1"/>
  <c r="CO163" i="10"/>
  <c r="GW97" i="9"/>
  <c r="GW415" i="9"/>
  <c r="HF415" i="9" s="1"/>
  <c r="CD415" i="9" s="1"/>
  <c r="DK415" i="9" s="1" a="1"/>
  <c r="DK415" i="9" s="1"/>
  <c r="CG415" i="9" s="1"/>
  <c r="GW409" i="9"/>
  <c r="HF409" i="9" s="1"/>
  <c r="CD409" i="9" s="1"/>
  <c r="GW494" i="9"/>
  <c r="HF494" i="9" s="1"/>
  <c r="GW120" i="9"/>
  <c r="GW585" i="9"/>
  <c r="HF585" i="9" s="1"/>
  <c r="GW369" i="9"/>
  <c r="HF369" i="9" s="1"/>
  <c r="CO62" i="10"/>
  <c r="AK34" i="10"/>
  <c r="CS113" i="10" s="1"/>
  <c r="FT67" i="9"/>
  <c r="CA67" i="9" s="1"/>
  <c r="GW87" i="9"/>
  <c r="HF87" i="9" s="1"/>
  <c r="GW318" i="9"/>
  <c r="HF318" i="9" s="1"/>
  <c r="FZ9" i="9"/>
  <c r="GW679" i="9"/>
  <c r="HF679" i="9" s="1"/>
  <c r="GW441" i="9"/>
  <c r="HF441" i="9" s="1"/>
  <c r="CD441" i="9" s="1"/>
  <c r="DK441" i="9" s="1" a="1"/>
  <c r="DK441" i="9" s="1"/>
  <c r="CG441" i="9" s="1"/>
  <c r="GW521" i="9"/>
  <c r="HF521" i="9" s="1"/>
  <c r="CD521" i="9" s="1"/>
  <c r="GW439" i="9"/>
  <c r="HF439" i="9" s="1"/>
  <c r="CD439" i="9" s="1"/>
  <c r="GW442" i="9"/>
  <c r="HF442" i="9" s="1"/>
  <c r="CD442" i="9" s="1"/>
  <c r="GW333" i="9"/>
  <c r="HF333" i="9" s="1"/>
  <c r="GW618" i="9"/>
  <c r="HF618" i="9" s="1"/>
  <c r="GW77" i="9"/>
  <c r="HF77" i="9" s="1"/>
  <c r="CD77" i="9" s="1"/>
  <c r="DK77" i="9" s="1" a="1"/>
  <c r="DK77" i="9" s="1"/>
  <c r="CG77" i="9" s="1"/>
  <c r="GW641" i="9"/>
  <c r="HF641" i="9" s="1"/>
  <c r="GW336" i="9"/>
  <c r="HF336" i="9" s="1"/>
  <c r="CO237" i="10"/>
  <c r="GW529" i="9"/>
  <c r="HF529" i="9" s="1"/>
  <c r="CD529" i="9" s="1"/>
  <c r="DN529" i="9" s="1" a="1"/>
  <c r="DN529" i="9" s="1"/>
  <c r="GW464" i="9"/>
  <c r="HF464" i="9" s="1"/>
  <c r="GW440" i="9"/>
  <c r="HF440" i="9" s="1"/>
  <c r="CD440" i="9" s="1"/>
  <c r="DN440" i="9" s="1" a="1"/>
  <c r="DN440" i="9" s="1"/>
  <c r="GW67" i="9"/>
  <c r="HF67" i="9" s="1"/>
  <c r="CD67" i="9" s="1"/>
  <c r="DK67" i="9" s="1" a="1"/>
  <c r="DK67" i="9" s="1"/>
  <c r="CG67" i="9" s="1"/>
  <c r="GW94" i="9"/>
  <c r="GW455" i="9"/>
  <c r="HF455" i="9" s="1"/>
  <c r="GH124" i="9"/>
  <c r="GI124" i="9" s="1"/>
  <c r="GW124" i="9"/>
  <c r="GW343" i="9"/>
  <c r="HF343" i="9" s="1"/>
  <c r="GH343" i="9"/>
  <c r="GI343" i="9" s="1"/>
  <c r="GH422" i="9"/>
  <c r="GI422" i="9" s="1"/>
  <c r="GW422" i="9"/>
  <c r="HF422" i="9" s="1"/>
  <c r="GW401" i="9"/>
  <c r="HF401" i="9" s="1"/>
  <c r="CD401" i="9" s="1"/>
  <c r="DM401" i="9" s="1" a="1"/>
  <c r="DM401" i="9" s="1"/>
  <c r="GH401" i="9"/>
  <c r="GI401" i="9" s="1"/>
  <c r="BZ401" i="9" s="1"/>
  <c r="FT401" i="9" s="1"/>
  <c r="CA401" i="9" s="1"/>
  <c r="GW514" i="9"/>
  <c r="HF514" i="9" s="1"/>
  <c r="CD514" i="9" s="1"/>
  <c r="GH514" i="9"/>
  <c r="GI514" i="9" s="1"/>
  <c r="BZ514" i="9" s="1"/>
  <c r="FT514" i="9" s="1"/>
  <c r="CA514" i="9" s="1"/>
  <c r="GH672" i="9"/>
  <c r="GI672" i="9" s="1"/>
  <c r="BZ672" i="9" s="1"/>
  <c r="FT672" i="9" s="1"/>
  <c r="CA672" i="9" s="1"/>
  <c r="GW672" i="9"/>
  <c r="HF672" i="9" s="1"/>
  <c r="GH647" i="9"/>
  <c r="GI647" i="9" s="1"/>
  <c r="BZ647" i="9" s="1"/>
  <c r="FT647" i="9" s="1"/>
  <c r="CA647" i="9" s="1"/>
  <c r="GW647" i="9"/>
  <c r="HF647" i="9" s="1"/>
  <c r="GW636" i="9"/>
  <c r="HF636" i="9" s="1"/>
  <c r="GH636" i="9"/>
  <c r="GI636" i="9" s="1"/>
  <c r="BZ636" i="9" s="1"/>
  <c r="FT636" i="9" s="1"/>
  <c r="CA636" i="9" s="1"/>
  <c r="GH554" i="9"/>
  <c r="GI554" i="9" s="1"/>
  <c r="BZ554" i="9" s="1"/>
  <c r="FT554" i="9" s="1"/>
  <c r="CA554" i="9" s="1"/>
  <c r="GW554" i="9"/>
  <c r="HF554" i="9" s="1"/>
  <c r="CD554" i="9" s="1"/>
  <c r="GW538" i="9"/>
  <c r="HF538" i="9" s="1"/>
  <c r="CD538" i="9" s="1"/>
  <c r="GH538" i="9"/>
  <c r="GI538" i="9" s="1"/>
  <c r="BZ538" i="9" s="1"/>
  <c r="FT538" i="9" s="1"/>
  <c r="CA538" i="9" s="1"/>
  <c r="GH510" i="9"/>
  <c r="GI510" i="9" s="1"/>
  <c r="BZ510" i="9" s="1"/>
  <c r="FT510" i="9" s="1"/>
  <c r="CA510" i="9" s="1"/>
  <c r="GW510" i="9"/>
  <c r="HF510" i="9" s="1"/>
  <c r="CD510" i="9" s="1"/>
  <c r="DN510" i="9" s="1" a="1"/>
  <c r="DN510" i="9" s="1"/>
  <c r="DO440" i="9" a="1"/>
  <c r="DO440" i="9" s="1"/>
  <c r="DP440" i="9" s="1"/>
  <c r="DL440" i="9" s="1" a="1"/>
  <c r="DL440" i="9" s="1"/>
  <c r="DK440" i="9" a="1"/>
  <c r="DK440" i="9" s="1"/>
  <c r="CG440" i="9" s="1"/>
  <c r="DM440" i="9" a="1"/>
  <c r="DM440" i="9" s="1"/>
  <c r="GW344" i="9"/>
  <c r="HF344" i="9" s="1"/>
  <c r="DM529" i="9" a="1"/>
  <c r="DM529" i="9" s="1"/>
  <c r="GH69" i="9"/>
  <c r="GI69" i="9" s="1"/>
  <c r="BZ69" i="9" s="1"/>
  <c r="FT69" i="9" s="1"/>
  <c r="CA69" i="9" s="1"/>
  <c r="GW331" i="9"/>
  <c r="HF331" i="9" s="1"/>
  <c r="CD331" i="9" s="1"/>
  <c r="GW673" i="9"/>
  <c r="HF673" i="9" s="1"/>
  <c r="GW535" i="9"/>
  <c r="HF535" i="9" s="1"/>
  <c r="CD535" i="9" s="1"/>
  <c r="GW404" i="9"/>
  <c r="HF404" i="9" s="1"/>
  <c r="CD404" i="9" s="1"/>
  <c r="DN404" i="9" s="1" a="1"/>
  <c r="DN404" i="9" s="1"/>
  <c r="GW444" i="9"/>
  <c r="HF444" i="9" s="1"/>
  <c r="CD444" i="9" s="1"/>
  <c r="DN444" i="9" s="1" a="1"/>
  <c r="DN444" i="9" s="1"/>
  <c r="GW559" i="9"/>
  <c r="HF559" i="9" s="1"/>
  <c r="CD559" i="9" s="1"/>
  <c r="DM559" i="9" s="1" a="1"/>
  <c r="DM559" i="9" s="1"/>
  <c r="GW472" i="9"/>
  <c r="HF472" i="9" s="1"/>
  <c r="GW459" i="9"/>
  <c r="HF459" i="9" s="1"/>
  <c r="GW445" i="9"/>
  <c r="HF445" i="9" s="1"/>
  <c r="CD445" i="9" s="1"/>
  <c r="DO445" i="9" s="1" a="1"/>
  <c r="DO445" i="9" s="1"/>
  <c r="DP445" i="9" s="1"/>
  <c r="DL445" i="9" s="1" a="1"/>
  <c r="DL445" i="9" s="1"/>
  <c r="GW299" i="9"/>
  <c r="HF299" i="9" s="1"/>
  <c r="CD299" i="9" s="1"/>
  <c r="DM299" i="9" s="1" a="1"/>
  <c r="DM299" i="9" s="1"/>
  <c r="GW375" i="9"/>
  <c r="HF375" i="9" s="1"/>
  <c r="GW315" i="9"/>
  <c r="HF315" i="9" s="1"/>
  <c r="CD315" i="9" s="1"/>
  <c r="GW437" i="9"/>
  <c r="HF437" i="9" s="1"/>
  <c r="GW61" i="9"/>
  <c r="HF61" i="9" s="1"/>
  <c r="CD61" i="9" s="1"/>
  <c r="GH682" i="9"/>
  <c r="GI682" i="9" s="1"/>
  <c r="BZ682" i="9" s="1"/>
  <c r="FT682" i="9" s="1"/>
  <c r="CA682" i="9" s="1"/>
  <c r="GW74" i="9"/>
  <c r="HF74" i="9" s="1"/>
  <c r="CD74" i="9" s="1"/>
  <c r="GW467" i="9"/>
  <c r="HF467" i="9" s="1"/>
  <c r="GW355" i="9"/>
  <c r="HF355" i="9" s="1"/>
  <c r="GW391" i="9"/>
  <c r="HF391" i="9" s="1"/>
  <c r="CD391" i="9" s="1"/>
  <c r="GW382" i="9"/>
  <c r="HF382" i="9" s="1"/>
  <c r="CD382" i="9" s="1"/>
  <c r="DK382" i="9" s="1" a="1"/>
  <c r="DK382" i="9" s="1"/>
  <c r="CG382" i="9" s="1"/>
  <c r="GW104" i="9"/>
  <c r="GW25" i="9"/>
  <c r="HF25" i="9" s="1"/>
  <c r="CD25" i="9" s="1"/>
  <c r="GW486" i="9"/>
  <c r="HF486" i="9" s="1"/>
  <c r="GW78" i="9"/>
  <c r="HF78" i="9" s="1"/>
  <c r="CD78" i="9" s="1"/>
  <c r="GW612" i="9"/>
  <c r="HF612" i="9" s="1"/>
  <c r="GW122" i="9"/>
  <c r="GH415" i="9"/>
  <c r="GI415" i="9" s="1"/>
  <c r="BZ415" i="9" s="1"/>
  <c r="FT415" i="9" s="1"/>
  <c r="CA415" i="9" s="1"/>
  <c r="GW606" i="9"/>
  <c r="HF606" i="9" s="1"/>
  <c r="GW310" i="9"/>
  <c r="HF310" i="9" s="1"/>
  <c r="CD310" i="9" s="1"/>
  <c r="GW432" i="9"/>
  <c r="HF432" i="9" s="1"/>
  <c r="CD432" i="9" s="1"/>
  <c r="DN432" i="9" s="1" a="1"/>
  <c r="DN432" i="9" s="1"/>
  <c r="GW350" i="9"/>
  <c r="HF350" i="9" s="1"/>
  <c r="DF314" i="10"/>
  <c r="GW403" i="9"/>
  <c r="HF403" i="9" s="1"/>
  <c r="CD403" i="9" s="1"/>
  <c r="DK403" i="9" s="1" a="1"/>
  <c r="DK403" i="9" s="1"/>
  <c r="CG403" i="9" s="1"/>
  <c r="GW483" i="9"/>
  <c r="HF483" i="9" s="1"/>
  <c r="GW83" i="9"/>
  <c r="HF83" i="9" s="1"/>
  <c r="CD83" i="9" s="1"/>
  <c r="GW359" i="9"/>
  <c r="HF359" i="9" s="1"/>
  <c r="DF308" i="10"/>
  <c r="GW639" i="9"/>
  <c r="HF639" i="9" s="1"/>
  <c r="GW531" i="9"/>
  <c r="HF531" i="9" s="1"/>
  <c r="CD531" i="9" s="1"/>
  <c r="DN531" i="9" s="1" a="1"/>
  <c r="DN531" i="9" s="1"/>
  <c r="GW628" i="9"/>
  <c r="HF628" i="9" s="1"/>
  <c r="GW17" i="9"/>
  <c r="HF17" i="9" s="1"/>
  <c r="CD17" i="9" s="1"/>
  <c r="GW478" i="9"/>
  <c r="HF478" i="9" s="1"/>
  <c r="GW295" i="9"/>
  <c r="HF295" i="9" s="1"/>
  <c r="CD295" i="9" s="1"/>
  <c r="DN295" i="9" s="1" a="1"/>
  <c r="DN295" i="9" s="1"/>
  <c r="GW602" i="9"/>
  <c r="HF602" i="9" s="1"/>
  <c r="GW181" i="9"/>
  <c r="HF181" i="9" s="1"/>
  <c r="CD181" i="9" s="1"/>
  <c r="DO181" i="9" s="1" a="1"/>
  <c r="DO181" i="9" s="1"/>
  <c r="DP181" i="9" s="1"/>
  <c r="DL181" i="9" s="1" a="1"/>
  <c r="DL181" i="9" s="1"/>
  <c r="GH433" i="9"/>
  <c r="GI433" i="9" s="1"/>
  <c r="BZ433" i="9" s="1"/>
  <c r="FT433" i="9" s="1"/>
  <c r="CA433" i="9" s="1"/>
  <c r="GW433" i="9"/>
  <c r="HF433" i="9" s="1"/>
  <c r="CD433" i="9" s="1"/>
  <c r="GH624" i="9"/>
  <c r="GI624" i="9" s="1"/>
  <c r="BZ624" i="9" s="1"/>
  <c r="FT624" i="9" s="1"/>
  <c r="CA624" i="9" s="1"/>
  <c r="GW624" i="9"/>
  <c r="HF624" i="9" s="1"/>
  <c r="GH559" i="9"/>
  <c r="GI559" i="9" s="1"/>
  <c r="BZ559" i="9" s="1"/>
  <c r="FT559" i="9" s="1"/>
  <c r="CA559" i="9" s="1"/>
  <c r="GH550" i="9"/>
  <c r="GI550" i="9" s="1"/>
  <c r="BZ550" i="9" s="1"/>
  <c r="FT550" i="9" s="1"/>
  <c r="CA550" i="9" s="1"/>
  <c r="GW550" i="9"/>
  <c r="HF550" i="9" s="1"/>
  <c r="CD550" i="9" s="1"/>
  <c r="DO550" i="9" s="1" a="1"/>
  <c r="DO550" i="9" s="1"/>
  <c r="DP550" i="9" s="1"/>
  <c r="DL550" i="9" s="1" a="1"/>
  <c r="DL550" i="9" s="1"/>
  <c r="GH265" i="9"/>
  <c r="GI265" i="9" s="1"/>
  <c r="BZ265" i="9" s="1"/>
  <c r="FT265" i="9" s="1"/>
  <c r="CA265" i="9" s="1"/>
  <c r="GW265" i="9"/>
  <c r="HF265" i="9" s="1"/>
  <c r="CD265" i="9" s="1"/>
  <c r="DM265" i="9" s="1" a="1"/>
  <c r="DM265" i="9" s="1"/>
  <c r="GH406" i="9"/>
  <c r="GI406" i="9" s="1"/>
  <c r="BZ406" i="9" s="1"/>
  <c r="FT406" i="9" s="1"/>
  <c r="CA406" i="9" s="1"/>
  <c r="GW406" i="9"/>
  <c r="HF406" i="9" s="1"/>
  <c r="CD406" i="9" s="1"/>
  <c r="DN406" i="9" s="1" a="1"/>
  <c r="DN406" i="9" s="1"/>
  <c r="DM445" i="9" a="1"/>
  <c r="DM445" i="9" s="1"/>
  <c r="GH491" i="9"/>
  <c r="GI491" i="9" s="1"/>
  <c r="GW491" i="9"/>
  <c r="HF491" i="9" s="1"/>
  <c r="GW431" i="9"/>
  <c r="HF431" i="9" s="1"/>
  <c r="CD431" i="9" s="1"/>
  <c r="GH431" i="9"/>
  <c r="GI431" i="9" s="1"/>
  <c r="BZ431" i="9" s="1"/>
  <c r="FT431" i="9" s="1"/>
  <c r="CA431" i="9" s="1"/>
  <c r="GH287" i="9"/>
  <c r="GI287" i="9" s="1"/>
  <c r="BZ287" i="9" s="1"/>
  <c r="FT287" i="9" s="1"/>
  <c r="CA287" i="9" s="1"/>
  <c r="GW287" i="9"/>
  <c r="HF287" i="9" s="1"/>
  <c r="CD287" i="9" s="1"/>
  <c r="DK287" i="9" s="1" a="1"/>
  <c r="DK287" i="9" s="1"/>
  <c r="CG287" i="9" s="1"/>
  <c r="GH111" i="9"/>
  <c r="GI111" i="9" s="1"/>
  <c r="GW111" i="9"/>
  <c r="GH42" i="9"/>
  <c r="GI42" i="9" s="1"/>
  <c r="GW42" i="9"/>
  <c r="HF42" i="9" s="1"/>
  <c r="GW482" i="9"/>
  <c r="HF482" i="9" s="1"/>
  <c r="GH551" i="9"/>
  <c r="GI551" i="9" s="1"/>
  <c r="BZ551" i="9" s="1"/>
  <c r="FT551" i="9" s="1"/>
  <c r="CA551" i="9" s="1"/>
  <c r="GW551" i="9"/>
  <c r="HF551" i="9" s="1"/>
  <c r="CD551" i="9" s="1"/>
  <c r="GH527" i="9"/>
  <c r="GI527" i="9" s="1"/>
  <c r="BZ527" i="9" s="1"/>
  <c r="FT527" i="9" s="1"/>
  <c r="CA527" i="9" s="1"/>
  <c r="GW527" i="9"/>
  <c r="HF527" i="9" s="1"/>
  <c r="CD527" i="9" s="1"/>
  <c r="GH384" i="9"/>
  <c r="GI384" i="9" s="1"/>
  <c r="BZ384" i="9" s="1"/>
  <c r="FT384" i="9" s="1"/>
  <c r="CA384" i="9" s="1"/>
  <c r="GW384" i="9"/>
  <c r="HF384" i="9" s="1"/>
  <c r="CD384" i="9" s="1"/>
  <c r="GW254" i="9"/>
  <c r="HF254" i="9" s="1"/>
  <c r="GH254" i="9"/>
  <c r="GI254" i="9" s="1"/>
  <c r="DN514" i="9" a="1"/>
  <c r="DN514" i="9" s="1"/>
  <c r="DO514" i="9" a="1"/>
  <c r="DO514" i="9" s="1"/>
  <c r="DP514" i="9" s="1"/>
  <c r="DL514" i="9" s="1" a="1"/>
  <c r="DL514" i="9" s="1"/>
  <c r="GH441" i="9"/>
  <c r="GI441" i="9" s="1"/>
  <c r="BZ441" i="9" s="1"/>
  <c r="FT441" i="9" s="1"/>
  <c r="CA441" i="9" s="1"/>
  <c r="GH452" i="9"/>
  <c r="GI452" i="9" s="1"/>
  <c r="GW452" i="9"/>
  <c r="HF452" i="9" s="1"/>
  <c r="GH409" i="9"/>
  <c r="GI409" i="9" s="1"/>
  <c r="BZ409" i="9" s="1"/>
  <c r="FT409" i="9" s="1"/>
  <c r="CA409" i="9" s="1"/>
  <c r="GH442" i="9"/>
  <c r="GI442" i="9" s="1"/>
  <c r="BZ442" i="9" s="1"/>
  <c r="FT442" i="9" s="1"/>
  <c r="CA442" i="9" s="1"/>
  <c r="GH530" i="9"/>
  <c r="GI530" i="9" s="1"/>
  <c r="BZ530" i="9" s="1"/>
  <c r="FT530" i="9" s="1"/>
  <c r="CA530" i="9" s="1"/>
  <c r="GW530" i="9"/>
  <c r="HF530" i="9" s="1"/>
  <c r="CD530" i="9" s="1"/>
  <c r="DK530" i="9" s="1" a="1"/>
  <c r="DK530" i="9" s="1"/>
  <c r="CG530" i="9" s="1"/>
  <c r="GW685" i="9"/>
  <c r="HF685" i="9" s="1"/>
  <c r="GH685" i="9"/>
  <c r="GI685" i="9" s="1"/>
  <c r="BZ685" i="9" s="1"/>
  <c r="FT685" i="9" s="1"/>
  <c r="CA685" i="9" s="1"/>
  <c r="GW665" i="9"/>
  <c r="HF665" i="9" s="1"/>
  <c r="GH665" i="9"/>
  <c r="GI665" i="9" s="1"/>
  <c r="BZ665" i="9" s="1"/>
  <c r="FT665" i="9" s="1"/>
  <c r="CA665" i="9" s="1"/>
  <c r="DO25" i="9" a="1"/>
  <c r="DO25" i="9" s="1"/>
  <c r="DP25" i="9" s="1"/>
  <c r="DL25" i="9" s="1" a="1"/>
  <c r="DL25" i="9" s="1"/>
  <c r="DK25" i="9" a="1"/>
  <c r="DK25" i="9" s="1"/>
  <c r="CG25" i="9" s="1"/>
  <c r="DN25" i="9" a="1"/>
  <c r="DN25" i="9" s="1"/>
  <c r="DM25" i="9" a="1"/>
  <c r="DM25" i="9" s="1"/>
  <c r="GH562" i="9"/>
  <c r="GI562" i="9" s="1"/>
  <c r="BZ562" i="9" s="1"/>
  <c r="FT562" i="9" s="1"/>
  <c r="CA562" i="9" s="1"/>
  <c r="GW562" i="9"/>
  <c r="HF562" i="9" s="1"/>
  <c r="CD562" i="9" s="1"/>
  <c r="GW59" i="9"/>
  <c r="HF59" i="9" s="1"/>
  <c r="CD59" i="9" s="1"/>
  <c r="DM59" i="9" s="1" a="1"/>
  <c r="DM59" i="9" s="1"/>
  <c r="DK510" i="9" a="1"/>
  <c r="DK510" i="9" s="1"/>
  <c r="CG510" i="9" s="1"/>
  <c r="DM510" i="9" a="1"/>
  <c r="DM510" i="9" s="1"/>
  <c r="GH683" i="9"/>
  <c r="GI683" i="9" s="1"/>
  <c r="BZ683" i="9" s="1"/>
  <c r="FT683" i="9" s="1"/>
  <c r="CA683" i="9" s="1"/>
  <c r="GW683" i="9"/>
  <c r="HF683" i="9" s="1"/>
  <c r="GH557" i="9"/>
  <c r="GI557" i="9" s="1"/>
  <c r="BZ557" i="9" s="1"/>
  <c r="FT557" i="9" s="1"/>
  <c r="CA557" i="9" s="1"/>
  <c r="GW557" i="9"/>
  <c r="HF557" i="9" s="1"/>
  <c r="CD557" i="9" s="1"/>
  <c r="GH353" i="9"/>
  <c r="GI353" i="9" s="1"/>
  <c r="GW353" i="9"/>
  <c r="HF353" i="9" s="1"/>
  <c r="GH575" i="9"/>
  <c r="GI575" i="9" s="1"/>
  <c r="GW575" i="9"/>
  <c r="HF575" i="9" s="1"/>
  <c r="GH571" i="9"/>
  <c r="GI571" i="9" s="1"/>
  <c r="GW571" i="9"/>
  <c r="HF571" i="9" s="1"/>
  <c r="GH84" i="9"/>
  <c r="GI84" i="9" s="1"/>
  <c r="BZ84" i="9" s="1"/>
  <c r="FT84" i="9" s="1"/>
  <c r="CA84" i="9" s="1"/>
  <c r="GW84" i="9"/>
  <c r="HF84" i="9" s="1"/>
  <c r="CD84" i="9" s="1"/>
  <c r="GH657" i="9"/>
  <c r="GI657" i="9" s="1"/>
  <c r="BZ657" i="9" s="1"/>
  <c r="FT657" i="9" s="1"/>
  <c r="CA657" i="9" s="1"/>
  <c r="GW657" i="9"/>
  <c r="HF657" i="9" s="1"/>
  <c r="GH620" i="9"/>
  <c r="GI620" i="9" s="1"/>
  <c r="BZ620" i="9" s="1"/>
  <c r="FT620" i="9" s="1"/>
  <c r="CA620" i="9" s="1"/>
  <c r="GW620" i="9"/>
  <c r="HF620" i="9" s="1"/>
  <c r="DM316" i="9" a="1"/>
  <c r="DM316" i="9" s="1"/>
  <c r="DO316" i="9" a="1"/>
  <c r="DO316" i="9" s="1"/>
  <c r="DP316" i="9" s="1"/>
  <c r="DL316" i="9" s="1" a="1"/>
  <c r="DL316" i="9" s="1"/>
  <c r="DN316" i="9" a="1"/>
  <c r="DN316" i="9" s="1"/>
  <c r="DK316" i="9" a="1"/>
  <c r="DK316" i="9" s="1"/>
  <c r="CG316" i="9" s="1"/>
  <c r="GH601" i="9"/>
  <c r="GI601" i="9" s="1"/>
  <c r="GW601" i="9"/>
  <c r="HF601" i="9" s="1"/>
  <c r="GH688" i="9"/>
  <c r="GI688" i="9" s="1"/>
  <c r="BZ688" i="9" s="1"/>
  <c r="FT688" i="9" s="1"/>
  <c r="CA688" i="9" s="1"/>
  <c r="GW688" i="9"/>
  <c r="HF688" i="9" s="1"/>
  <c r="GW680" i="9"/>
  <c r="HF680" i="9" s="1"/>
  <c r="GH680" i="9"/>
  <c r="GI680" i="9" s="1"/>
  <c r="BZ680" i="9" s="1"/>
  <c r="FT680" i="9" s="1"/>
  <c r="CA680" i="9" s="1"/>
  <c r="DO538" i="9" a="1"/>
  <c r="DO538" i="9" s="1"/>
  <c r="DP538" i="9" s="1"/>
  <c r="DL538" i="9" s="1" a="1"/>
  <c r="DL538" i="9" s="1"/>
  <c r="DN538" i="9" a="1"/>
  <c r="DN538" i="9" s="1"/>
  <c r="DM538" i="9" a="1"/>
  <c r="DM538" i="9" s="1"/>
  <c r="GH519" i="9"/>
  <c r="GI519" i="9" s="1"/>
  <c r="BZ519" i="9" s="1"/>
  <c r="FT519" i="9" s="1"/>
  <c r="CA519" i="9" s="1"/>
  <c r="GW519" i="9"/>
  <c r="HF519" i="9" s="1"/>
  <c r="CD519" i="9" s="1"/>
  <c r="DM519" i="9" s="1" a="1"/>
  <c r="DM519" i="9" s="1"/>
  <c r="DK538" i="9" a="1"/>
  <c r="DK538" i="9" s="1"/>
  <c r="CG538" i="9" s="1"/>
  <c r="GH515" i="9"/>
  <c r="GI515" i="9" s="1"/>
  <c r="BZ515" i="9" s="1"/>
  <c r="FT515" i="9" s="1"/>
  <c r="CA515" i="9" s="1"/>
  <c r="GW515" i="9"/>
  <c r="HF515" i="9" s="1"/>
  <c r="CD515" i="9" s="1"/>
  <c r="DO529" i="9" a="1"/>
  <c r="DO529" i="9" s="1"/>
  <c r="DP529" i="9" s="1"/>
  <c r="DL529" i="9" s="1" a="1"/>
  <c r="DL529" i="9" s="1"/>
  <c r="DK529" i="9" a="1"/>
  <c r="DK529" i="9" s="1"/>
  <c r="CG529" i="9" s="1"/>
  <c r="DK295" i="9" a="1"/>
  <c r="DK295" i="9" s="1"/>
  <c r="CG295" i="9" s="1"/>
  <c r="DM295" i="9" a="1"/>
  <c r="DM295" i="9" s="1"/>
  <c r="DO295" i="9" a="1"/>
  <c r="DO295" i="9" s="1"/>
  <c r="DP295" i="9" s="1"/>
  <c r="DL295" i="9" s="1" a="1"/>
  <c r="DL295" i="9" s="1"/>
  <c r="GW534" i="9"/>
  <c r="HF534" i="9" s="1"/>
  <c r="CD534" i="9" s="1"/>
  <c r="DN534" i="9" s="1" a="1"/>
  <c r="DN534" i="9" s="1"/>
  <c r="GW540" i="9"/>
  <c r="HF540" i="9" s="1"/>
  <c r="CD540" i="9" s="1"/>
  <c r="DO540" i="9" s="1" a="1"/>
  <c r="DO540" i="9" s="1"/>
  <c r="DP540" i="9" s="1"/>
  <c r="DL540" i="9" s="1" a="1"/>
  <c r="DL540" i="9" s="1"/>
  <c r="GW552" i="9"/>
  <c r="HF552" i="9" s="1"/>
  <c r="CD552" i="9" s="1"/>
  <c r="DO552" i="9" s="1" a="1"/>
  <c r="DO552" i="9" s="1"/>
  <c r="DP552" i="9" s="1"/>
  <c r="DL552" i="9" s="1" a="1"/>
  <c r="DL552" i="9" s="1"/>
  <c r="GW684" i="9"/>
  <c r="HF684" i="9" s="1"/>
  <c r="GW512" i="9"/>
  <c r="HF512" i="9" s="1"/>
  <c r="CD512" i="9" s="1"/>
  <c r="DK512" i="9" s="1" a="1"/>
  <c r="DK512" i="9" s="1"/>
  <c r="CG512" i="9" s="1"/>
  <c r="GW373" i="9"/>
  <c r="HF373" i="9" s="1"/>
  <c r="GW648" i="9"/>
  <c r="HF648" i="9" s="1"/>
  <c r="GW116" i="9"/>
  <c r="GW569" i="9"/>
  <c r="HF569" i="9" s="1"/>
  <c r="CD569" i="9" s="1"/>
  <c r="DK569" i="9" s="1" a="1"/>
  <c r="DK569" i="9" s="1"/>
  <c r="CG569" i="9" s="1"/>
  <c r="GW566" i="9"/>
  <c r="HF566" i="9" s="1"/>
  <c r="CD566" i="9" s="1"/>
  <c r="DM17" i="9" a="1"/>
  <c r="DM17" i="9" s="1"/>
  <c r="GW402" i="9"/>
  <c r="HF402" i="9" s="1"/>
  <c r="CD402" i="9" s="1"/>
  <c r="DO402" i="9" s="1" a="1"/>
  <c r="DO402" i="9" s="1"/>
  <c r="DP402" i="9" s="1"/>
  <c r="DL402" i="9" s="1" a="1"/>
  <c r="DL402" i="9" s="1"/>
  <c r="GW372" i="9"/>
  <c r="HF372" i="9" s="1"/>
  <c r="GW477" i="9"/>
  <c r="HF477" i="9" s="1"/>
  <c r="GW580" i="9"/>
  <c r="HF580" i="9" s="1"/>
  <c r="GW211" i="9"/>
  <c r="HF211" i="9" s="1"/>
  <c r="GW634" i="9"/>
  <c r="HF634" i="9" s="1"/>
  <c r="GW70" i="9"/>
  <c r="HF70" i="9" s="1"/>
  <c r="CD70" i="9" s="1"/>
  <c r="DK70" i="9" s="1" a="1"/>
  <c r="DK70" i="9" s="1"/>
  <c r="CG70" i="9" s="1"/>
  <c r="GW568" i="9"/>
  <c r="HF568" i="9" s="1"/>
  <c r="CD568" i="9" s="1"/>
  <c r="GW447" i="9"/>
  <c r="HF447" i="9" s="1"/>
  <c r="CD447" i="9" s="1"/>
  <c r="DK447" i="9" s="1" a="1"/>
  <c r="DK447" i="9" s="1"/>
  <c r="CG447" i="9" s="1"/>
  <c r="GW595" i="9"/>
  <c r="HF595" i="9" s="1"/>
  <c r="GW330" i="9"/>
  <c r="HF330" i="9" s="1"/>
  <c r="CD330" i="9" s="1"/>
  <c r="GW435" i="9"/>
  <c r="HF435" i="9" s="1"/>
  <c r="CD435" i="9" s="1"/>
  <c r="GW27" i="9"/>
  <c r="HF27" i="9" s="1"/>
  <c r="GW288" i="9"/>
  <c r="HF288" i="9" s="1"/>
  <c r="GW93" i="9"/>
  <c r="GW127" i="9"/>
  <c r="GW645" i="9"/>
  <c r="HF645" i="9" s="1"/>
  <c r="GW572" i="9"/>
  <c r="HF572" i="9" s="1"/>
  <c r="GW274" i="9"/>
  <c r="HF274" i="9" s="1"/>
  <c r="CD274" i="9" s="1"/>
  <c r="DN274" i="9" s="1" a="1"/>
  <c r="DN274" i="9" s="1"/>
  <c r="GW379" i="9"/>
  <c r="HF379" i="9" s="1"/>
  <c r="CD379" i="9" s="1"/>
  <c r="GW131" i="9"/>
  <c r="GW577" i="9"/>
  <c r="HF577" i="9" s="1"/>
  <c r="GW487" i="9"/>
  <c r="HF487" i="9" s="1"/>
  <c r="GW614" i="9"/>
  <c r="HF614" i="9" s="1"/>
  <c r="GW367" i="9"/>
  <c r="HF367" i="9" s="1"/>
  <c r="GH444" i="9"/>
  <c r="GI444" i="9" s="1"/>
  <c r="BZ444" i="9" s="1"/>
  <c r="FT444" i="9" s="1"/>
  <c r="CA444" i="9" s="1"/>
  <c r="GW662" i="9"/>
  <c r="HF662" i="9" s="1"/>
  <c r="GW548" i="9"/>
  <c r="HF548" i="9" s="1"/>
  <c r="CD548" i="9" s="1"/>
  <c r="GW500" i="9"/>
  <c r="HF500" i="9" s="1"/>
  <c r="CD500" i="9" s="1"/>
  <c r="DM500" i="9" s="1" a="1"/>
  <c r="DM500" i="9" s="1"/>
  <c r="GW526" i="9"/>
  <c r="HF526" i="9" s="1"/>
  <c r="GW272" i="9"/>
  <c r="HF272" i="9" s="1"/>
  <c r="CD272" i="9" s="1"/>
  <c r="DM272" i="9" s="1" a="1"/>
  <c r="DM272" i="9" s="1"/>
  <c r="GW98" i="9"/>
  <c r="GW611" i="9"/>
  <c r="HF611" i="9" s="1"/>
  <c r="GW279" i="9"/>
  <c r="HF279" i="9" s="1"/>
  <c r="CD279" i="9" s="1"/>
  <c r="GW308" i="9"/>
  <c r="HF308" i="9" s="1"/>
  <c r="CD308" i="9" s="1"/>
  <c r="GW58" i="9"/>
  <c r="HF58" i="9" s="1"/>
  <c r="CD58" i="9" s="1"/>
  <c r="DN58" i="9" s="1" a="1"/>
  <c r="DN58" i="9" s="1"/>
  <c r="GH470" i="9"/>
  <c r="GI470" i="9" s="1"/>
  <c r="GW492" i="9"/>
  <c r="HF492" i="9" s="1"/>
  <c r="DF312" i="10"/>
  <c r="CO262" i="10"/>
  <c r="Q56" i="10"/>
  <c r="Q57" i="10" s="1"/>
  <c r="N56" i="10"/>
  <c r="N57" i="10" s="1"/>
  <c r="CO238" i="10"/>
  <c r="AS33" i="10"/>
  <c r="CS337" i="10" s="1"/>
  <c r="GW259" i="9"/>
  <c r="HF259" i="9" s="1"/>
  <c r="CD259" i="9" s="1"/>
  <c r="DM259" i="9" s="1" a="1"/>
  <c r="DM259" i="9" s="1"/>
  <c r="GW633" i="9"/>
  <c r="HF633" i="9" s="1"/>
  <c r="GW371" i="9"/>
  <c r="HF371" i="9" s="1"/>
  <c r="GW341" i="9"/>
  <c r="HF341" i="9" s="1"/>
  <c r="GW516" i="9"/>
  <c r="HF516" i="9" s="1"/>
  <c r="CD516" i="9" s="1"/>
  <c r="DK516" i="9" s="1" a="1"/>
  <c r="DK516" i="9" s="1"/>
  <c r="CG516" i="9" s="1"/>
  <c r="GW448" i="9"/>
  <c r="HF448" i="9" s="1"/>
  <c r="CD448" i="9" s="1"/>
  <c r="GW650" i="9"/>
  <c r="HF650" i="9" s="1"/>
  <c r="GH446" i="9"/>
  <c r="GI446" i="9" s="1"/>
  <c r="BZ446" i="9" s="1"/>
  <c r="FT446" i="9" s="1"/>
  <c r="CA446" i="9" s="1"/>
  <c r="GW446" i="9"/>
  <c r="HF446" i="9" s="1"/>
  <c r="CD446" i="9" s="1"/>
  <c r="GW99" i="9"/>
  <c r="GH99" i="9"/>
  <c r="GI99" i="9" s="1"/>
  <c r="GH426" i="9"/>
  <c r="GI426" i="9" s="1"/>
  <c r="BZ426" i="9" s="1"/>
  <c r="FT426" i="9" s="1"/>
  <c r="CA426" i="9" s="1"/>
  <c r="GW426" i="9"/>
  <c r="HF426" i="9" s="1"/>
  <c r="CD426" i="9" s="1"/>
  <c r="DK426" i="9" s="1" a="1"/>
  <c r="DK426" i="9" s="1"/>
  <c r="CG426" i="9" s="1"/>
  <c r="GW13" i="9"/>
  <c r="HF13" i="9" s="1"/>
  <c r="CD13" i="9" s="1"/>
  <c r="DK13" i="9" s="1" a="1"/>
  <c r="DK13" i="9" s="1"/>
  <c r="CG13" i="9" s="1"/>
  <c r="GH13" i="9"/>
  <c r="GI13" i="9" s="1"/>
  <c r="BZ13" i="9" s="1"/>
  <c r="FT13" i="9" s="1"/>
  <c r="CA13" i="9" s="1"/>
  <c r="GH267" i="9"/>
  <c r="GI267" i="9" s="1"/>
  <c r="BZ267" i="9" s="1"/>
  <c r="FT267" i="9" s="1"/>
  <c r="CA267" i="9" s="1"/>
  <c r="GW267" i="9"/>
  <c r="HF267" i="9" s="1"/>
  <c r="CD267" i="9" s="1"/>
  <c r="GH449" i="9"/>
  <c r="GI449" i="9" s="1"/>
  <c r="BZ449" i="9" s="1"/>
  <c r="FT449" i="9" s="1"/>
  <c r="CA449" i="9" s="1"/>
  <c r="GW449" i="9"/>
  <c r="HF449" i="9" s="1"/>
  <c r="CD449" i="9" s="1"/>
  <c r="DM449" i="9" s="1" a="1"/>
  <c r="DM449" i="9" s="1"/>
  <c r="GH555" i="9"/>
  <c r="GI555" i="9" s="1"/>
  <c r="BZ555" i="9" s="1"/>
  <c r="FT555" i="9" s="1"/>
  <c r="CA555" i="9" s="1"/>
  <c r="GW555" i="9"/>
  <c r="HF555" i="9" s="1"/>
  <c r="CD555" i="9" s="1"/>
  <c r="DN555" i="9" s="1" a="1"/>
  <c r="DN555" i="9" s="1"/>
  <c r="GW546" i="9"/>
  <c r="HF546" i="9" s="1"/>
  <c r="CD546" i="9" s="1"/>
  <c r="DO546" i="9" s="1" a="1"/>
  <c r="DO546" i="9" s="1"/>
  <c r="DP546" i="9" s="1"/>
  <c r="DL546" i="9" s="1" a="1"/>
  <c r="DL546" i="9" s="1"/>
  <c r="GH546" i="9"/>
  <c r="GI546" i="9" s="1"/>
  <c r="BZ546" i="9" s="1"/>
  <c r="FT546" i="9" s="1"/>
  <c r="CA546" i="9" s="1"/>
  <c r="GH630" i="9"/>
  <c r="GI630" i="9" s="1"/>
  <c r="GW630" i="9"/>
  <c r="HF630" i="9" s="1"/>
  <c r="GH654" i="9"/>
  <c r="GI654" i="9" s="1"/>
  <c r="BZ654" i="9" s="1"/>
  <c r="FT654" i="9" s="1"/>
  <c r="CA654" i="9" s="1"/>
  <c r="GW654" i="9"/>
  <c r="HF654" i="9" s="1"/>
  <c r="GH626" i="9"/>
  <c r="GI626" i="9" s="1"/>
  <c r="BZ626" i="9" s="1"/>
  <c r="FT626" i="9" s="1"/>
  <c r="CA626" i="9" s="1"/>
  <c r="GW629" i="9"/>
  <c r="HF629" i="9" s="1"/>
  <c r="GW625" i="9"/>
  <c r="HF625" i="9" s="1"/>
  <c r="GW123" i="9"/>
  <c r="DM554" i="9" a="1"/>
  <c r="DM554" i="9" s="1"/>
  <c r="DD428" i="5"/>
  <c r="GW451" i="9"/>
  <c r="HF451" i="9" s="1"/>
  <c r="CD451" i="9" s="1"/>
  <c r="GH679" i="9"/>
  <c r="GI679" i="9" s="1"/>
  <c r="BZ679" i="9" s="1"/>
  <c r="FT679" i="9" s="1"/>
  <c r="CA679" i="9" s="1"/>
  <c r="GW354" i="9"/>
  <c r="HF354" i="9" s="1"/>
  <c r="GW126" i="9"/>
  <c r="DO554" i="9" a="1"/>
  <c r="DO554" i="9" s="1"/>
  <c r="DP554" i="9" s="1"/>
  <c r="DL554" i="9" s="1" a="1"/>
  <c r="DL554" i="9" s="1"/>
  <c r="GH373" i="9"/>
  <c r="GI373" i="9" s="1"/>
  <c r="GW414" i="9"/>
  <c r="HF414" i="9" s="1"/>
  <c r="CD414" i="9" s="1"/>
  <c r="DO414" i="9" s="1" a="1"/>
  <c r="DO414" i="9" s="1"/>
  <c r="DP414" i="9" s="1"/>
  <c r="DL414" i="9" s="1" a="1"/>
  <c r="DL414" i="9" s="1"/>
  <c r="GW434" i="9"/>
  <c r="HF434" i="9" s="1"/>
  <c r="CD434" i="9" s="1"/>
  <c r="DN434" i="9" s="1" a="1"/>
  <c r="DN434" i="9" s="1"/>
  <c r="GW366" i="9"/>
  <c r="HF366" i="9" s="1"/>
  <c r="GW263" i="9"/>
  <c r="HF263" i="9" s="1"/>
  <c r="CD263" i="9" s="1"/>
  <c r="DO263" i="9" s="1" a="1"/>
  <c r="DO263" i="9" s="1"/>
  <c r="DP263" i="9" s="1"/>
  <c r="DL263" i="9" s="1" a="1"/>
  <c r="DL263" i="9" s="1"/>
  <c r="GW133" i="9"/>
  <c r="HF133" i="9" s="1"/>
  <c r="GW207" i="9"/>
  <c r="HF207" i="9" s="1"/>
  <c r="CD207" i="9" s="1"/>
  <c r="GW565" i="9"/>
  <c r="HF565" i="9" s="1"/>
  <c r="CD565" i="9" s="1"/>
  <c r="DM565" i="9" s="1" a="1"/>
  <c r="DM565" i="9" s="1"/>
  <c r="GW687" i="9"/>
  <c r="HF687" i="9" s="1"/>
  <c r="GH525" i="9"/>
  <c r="GI525" i="9" s="1"/>
  <c r="BZ525" i="9" s="1"/>
  <c r="FT525" i="9" s="1"/>
  <c r="CA525" i="9" s="1"/>
  <c r="GW113" i="9"/>
  <c r="GW504" i="9"/>
  <c r="HF504" i="9" s="1"/>
  <c r="CD504" i="9" s="1"/>
  <c r="GW466" i="9"/>
  <c r="HF466" i="9" s="1"/>
  <c r="GH533" i="9"/>
  <c r="GI533" i="9" s="1"/>
  <c r="BZ533" i="9" s="1"/>
  <c r="FT533" i="9" s="1"/>
  <c r="CA533" i="9" s="1"/>
  <c r="GW91" i="9"/>
  <c r="DM569" i="9" a="1"/>
  <c r="DM569" i="9" s="1"/>
  <c r="GW539" i="9"/>
  <c r="HF539" i="9" s="1"/>
  <c r="CD539" i="9" s="1"/>
  <c r="DO539" i="9" s="1" a="1"/>
  <c r="DO539" i="9" s="1"/>
  <c r="DP539" i="9" s="1"/>
  <c r="DL539" i="9" s="1" a="1"/>
  <c r="DL539" i="9" s="1"/>
  <c r="GW420" i="9"/>
  <c r="HF420" i="9" s="1"/>
  <c r="CD420" i="9" s="1"/>
  <c r="DN420" i="9" s="1" a="1"/>
  <c r="DN420" i="9" s="1"/>
  <c r="U66" i="10"/>
  <c r="CW62" i="10" s="1"/>
  <c r="GW501" i="9"/>
  <c r="HF501" i="9" s="1"/>
  <c r="CD501" i="9" s="1"/>
  <c r="DN501" i="9" s="1" a="1"/>
  <c r="DN501" i="9" s="1"/>
  <c r="Z15" i="21"/>
  <c r="GH544" i="9"/>
  <c r="GI544" i="9" s="1"/>
  <c r="BZ544" i="9" s="1"/>
  <c r="FT544" i="9" s="1"/>
  <c r="CA544" i="9" s="1"/>
  <c r="GW544" i="9"/>
  <c r="HF544" i="9" s="1"/>
  <c r="CD544" i="9" s="1"/>
  <c r="DN544" i="9" s="1" a="1"/>
  <c r="DN544" i="9" s="1"/>
  <c r="GH553" i="9"/>
  <c r="GI553" i="9" s="1"/>
  <c r="BZ553" i="9" s="1"/>
  <c r="FT553" i="9" s="1"/>
  <c r="CA553" i="9" s="1"/>
  <c r="GW553" i="9"/>
  <c r="HF553" i="9" s="1"/>
  <c r="CD553" i="9" s="1"/>
  <c r="DO67" i="9" a="1"/>
  <c r="DO67" i="9" s="1"/>
  <c r="DP67" i="9" s="1"/>
  <c r="DL67" i="9" s="1" a="1"/>
  <c r="DL67" i="9" s="1"/>
  <c r="GW210" i="9"/>
  <c r="HF210" i="9" s="1"/>
  <c r="GH210" i="9"/>
  <c r="GI210" i="9" s="1"/>
  <c r="GW666" i="9"/>
  <c r="HF666" i="9" s="1"/>
  <c r="GH666" i="9"/>
  <c r="GI666" i="9" s="1"/>
  <c r="BZ666" i="9" s="1"/>
  <c r="FT666" i="9" s="1"/>
  <c r="CA666" i="9" s="1"/>
  <c r="GH613" i="9"/>
  <c r="GI613" i="9" s="1"/>
  <c r="GW613" i="9"/>
  <c r="HF613" i="9" s="1"/>
  <c r="GH594" i="9"/>
  <c r="GI594" i="9" s="1"/>
  <c r="GW594" i="9"/>
  <c r="HF594" i="9" s="1"/>
  <c r="GH588" i="9"/>
  <c r="GI588" i="9" s="1"/>
  <c r="GW588" i="9"/>
  <c r="HF588" i="9" s="1"/>
  <c r="GW505" i="9"/>
  <c r="HF505" i="9" s="1"/>
  <c r="CD505" i="9" s="1"/>
  <c r="GH505" i="9"/>
  <c r="GI505" i="9" s="1"/>
  <c r="BZ505" i="9" s="1"/>
  <c r="FT505" i="9" s="1"/>
  <c r="CA505" i="9" s="1"/>
  <c r="GH453" i="9"/>
  <c r="GI453" i="9" s="1"/>
  <c r="GW453" i="9"/>
  <c r="HF453" i="9" s="1"/>
  <c r="GH334" i="9"/>
  <c r="GI334" i="9" s="1"/>
  <c r="GW334" i="9"/>
  <c r="HF334" i="9" s="1"/>
  <c r="GH262" i="9"/>
  <c r="GI262" i="9" s="1"/>
  <c r="BZ262" i="9" s="1"/>
  <c r="FT262" i="9" s="1"/>
  <c r="CA262" i="9" s="1"/>
  <c r="GW262" i="9"/>
  <c r="HF262" i="9" s="1"/>
  <c r="CD262" i="9" s="1"/>
  <c r="GH57" i="9"/>
  <c r="GI57" i="9" s="1"/>
  <c r="GW57" i="9"/>
  <c r="HF57" i="9" s="1"/>
  <c r="DM514" i="9" a="1"/>
  <c r="DM514" i="9" s="1"/>
  <c r="DK562" i="9" a="1"/>
  <c r="DK562" i="9" s="1"/>
  <c r="CG562" i="9" s="1"/>
  <c r="GH536" i="9"/>
  <c r="GI536" i="9" s="1"/>
  <c r="BZ536" i="9" s="1"/>
  <c r="FT536" i="9" s="1"/>
  <c r="CA536" i="9" s="1"/>
  <c r="GW536" i="9"/>
  <c r="HF536" i="9" s="1"/>
  <c r="CD536" i="9" s="1"/>
  <c r="DN536" i="9" s="1" a="1"/>
  <c r="DN536" i="9" s="1"/>
  <c r="GW337" i="9"/>
  <c r="HF337" i="9" s="1"/>
  <c r="GH337" i="9"/>
  <c r="GI337" i="9" s="1"/>
  <c r="DK435" i="9" a="1"/>
  <c r="DK435" i="9" s="1"/>
  <c r="CG435" i="9" s="1"/>
  <c r="DN435" i="9" a="1"/>
  <c r="DN435" i="9" s="1"/>
  <c r="DO435" i="9" a="1"/>
  <c r="DO435" i="9" s="1"/>
  <c r="DP435" i="9" s="1"/>
  <c r="DL435" i="9" s="1" a="1"/>
  <c r="DL435" i="9" s="1"/>
  <c r="DM435" i="9" a="1"/>
  <c r="DM435" i="9" s="1"/>
  <c r="GH475" i="9"/>
  <c r="GI475" i="9" s="1"/>
  <c r="GW475" i="9"/>
  <c r="HF475" i="9" s="1"/>
  <c r="DK514" i="9" a="1"/>
  <c r="DK514" i="9" s="1"/>
  <c r="CG514" i="9" s="1"/>
  <c r="DM562" i="9" a="1"/>
  <c r="DM562" i="9" s="1"/>
  <c r="GW677" i="9"/>
  <c r="HF677" i="9" s="1"/>
  <c r="GH677" i="9"/>
  <c r="GI677" i="9" s="1"/>
  <c r="BZ677" i="9" s="1"/>
  <c r="FT677" i="9" s="1"/>
  <c r="CA677" i="9" s="1"/>
  <c r="GH309" i="9"/>
  <c r="GI309" i="9" s="1"/>
  <c r="BZ309" i="9" s="1"/>
  <c r="FT309" i="9" s="1"/>
  <c r="CA309" i="9" s="1"/>
  <c r="GW309" i="9"/>
  <c r="HF309" i="9" s="1"/>
  <c r="CD309" i="9" s="1"/>
  <c r="GW481" i="9"/>
  <c r="HF481" i="9" s="1"/>
  <c r="DO446" i="9" a="1"/>
  <c r="DO446" i="9" s="1"/>
  <c r="DP446" i="9" s="1"/>
  <c r="DL446" i="9" s="1" a="1"/>
  <c r="DL446" i="9" s="1"/>
  <c r="GH434" i="9"/>
  <c r="GI434" i="9" s="1"/>
  <c r="BZ434" i="9" s="1"/>
  <c r="FT434" i="9" s="1"/>
  <c r="CA434" i="9" s="1"/>
  <c r="GH397" i="9"/>
  <c r="GI397" i="9" s="1"/>
  <c r="BZ397" i="9" s="1"/>
  <c r="FT397" i="9" s="1"/>
  <c r="CA397" i="9" s="1"/>
  <c r="GW397" i="9"/>
  <c r="HF397" i="9" s="1"/>
  <c r="CD397" i="9" s="1"/>
  <c r="DN397" i="9" s="1" a="1"/>
  <c r="DN397" i="9" s="1"/>
  <c r="GH155" i="9"/>
  <c r="GI155" i="9" s="1"/>
  <c r="BZ155" i="9" s="1"/>
  <c r="FT155" i="9" s="1"/>
  <c r="CA155" i="9" s="1"/>
  <c r="DM446" i="9" a="1"/>
  <c r="DM446" i="9" s="1"/>
  <c r="GH639" i="9"/>
  <c r="GI639" i="9" s="1"/>
  <c r="BZ639" i="9" s="1"/>
  <c r="FT639" i="9" s="1"/>
  <c r="CA639" i="9" s="1"/>
  <c r="GW507" i="9"/>
  <c r="HF507" i="9" s="1"/>
  <c r="CD507" i="9" s="1"/>
  <c r="GH507" i="9"/>
  <c r="GI507" i="9" s="1"/>
  <c r="BZ507" i="9" s="1"/>
  <c r="FT507" i="9" s="1"/>
  <c r="CA507" i="9" s="1"/>
  <c r="GH407" i="9"/>
  <c r="GI407" i="9" s="1"/>
  <c r="GW407" i="9"/>
  <c r="HF407" i="9" s="1"/>
  <c r="GH610" i="9"/>
  <c r="GI610" i="9" s="1"/>
  <c r="GW610" i="9"/>
  <c r="HF610" i="9" s="1"/>
  <c r="DN540" i="9" a="1"/>
  <c r="DN540" i="9" s="1"/>
  <c r="DO498" i="9" a="1"/>
  <c r="DO498" i="9" s="1"/>
  <c r="DP498" i="9" s="1"/>
  <c r="DL498" i="9" s="1" a="1"/>
  <c r="DL498" i="9" s="1"/>
  <c r="DK498" i="9" a="1"/>
  <c r="DK498" i="9" s="1"/>
  <c r="CG498" i="9" s="1"/>
  <c r="DM498" i="9" a="1"/>
  <c r="DM498" i="9" s="1"/>
  <c r="DN498" i="9" a="1"/>
  <c r="DN498" i="9" s="1"/>
  <c r="GH307" i="9"/>
  <c r="GI307" i="9" s="1"/>
  <c r="BZ307" i="9" s="1"/>
  <c r="FT307" i="9" s="1"/>
  <c r="CA307" i="9" s="1"/>
  <c r="GW307" i="9"/>
  <c r="HF307" i="9" s="1"/>
  <c r="CD307" i="9" s="1"/>
  <c r="GW52" i="9"/>
  <c r="HF52" i="9" s="1"/>
  <c r="CD52" i="9" s="1"/>
  <c r="DO61" i="9" a="1"/>
  <c r="DO61" i="9" s="1"/>
  <c r="DP61" i="9" s="1"/>
  <c r="DL61" i="9" s="1" a="1"/>
  <c r="DL61" i="9" s="1"/>
  <c r="DK61" i="9" a="1"/>
  <c r="DK61" i="9" s="1"/>
  <c r="CG61" i="9" s="1"/>
  <c r="DN61" i="9" a="1"/>
  <c r="DN61" i="9" s="1"/>
  <c r="DM61" i="9" a="1"/>
  <c r="DM61" i="9" s="1"/>
  <c r="DM181" i="9" a="1"/>
  <c r="DM181" i="9" s="1"/>
  <c r="DN181" i="9" a="1"/>
  <c r="DN181" i="9" s="1"/>
  <c r="DK181" i="9" a="1"/>
  <c r="DK181" i="9" s="1"/>
  <c r="CG181" i="9" s="1"/>
  <c r="GH471" i="9"/>
  <c r="GI471" i="9" s="1"/>
  <c r="GW471" i="9"/>
  <c r="HF471" i="9" s="1"/>
  <c r="GH578" i="9"/>
  <c r="GI578" i="9" s="1"/>
  <c r="GW578" i="9"/>
  <c r="HF578" i="9" s="1"/>
  <c r="GW252" i="9"/>
  <c r="HF252" i="9" s="1"/>
  <c r="GH252" i="9"/>
  <c r="GI252" i="9" s="1"/>
  <c r="GW247" i="9"/>
  <c r="HF247" i="9" s="1"/>
  <c r="GH247" i="9"/>
  <c r="GI247" i="9" s="1"/>
  <c r="GW245" i="9"/>
  <c r="HF245" i="9" s="1"/>
  <c r="GH245" i="9"/>
  <c r="GI245" i="9" s="1"/>
  <c r="DN379" i="9" a="1"/>
  <c r="DN379" i="9" s="1"/>
  <c r="DK379" i="9" a="1"/>
  <c r="DK379" i="9" s="1"/>
  <c r="CG379" i="9" s="1"/>
  <c r="DM379" i="9" a="1"/>
  <c r="DM379" i="9" s="1"/>
  <c r="DO379" i="9" a="1"/>
  <c r="DO379" i="9" s="1"/>
  <c r="DP379" i="9" s="1"/>
  <c r="DL379" i="9" s="1" a="1"/>
  <c r="DL379" i="9" s="1"/>
  <c r="GH502" i="9"/>
  <c r="GI502" i="9" s="1"/>
  <c r="BZ502" i="9" s="1"/>
  <c r="FT502" i="9" s="1"/>
  <c r="CA502" i="9" s="1"/>
  <c r="GW502" i="9"/>
  <c r="HF502" i="9" s="1"/>
  <c r="CD502" i="9" s="1"/>
  <c r="DN502" i="9" s="1" a="1"/>
  <c r="DN502" i="9" s="1"/>
  <c r="GW385" i="9"/>
  <c r="HF385" i="9" s="1"/>
  <c r="CD385" i="9" s="1"/>
  <c r="DN385" i="9" s="1" a="1"/>
  <c r="DN385" i="9" s="1"/>
  <c r="GH385" i="9"/>
  <c r="GI385" i="9" s="1"/>
  <c r="BZ385" i="9" s="1"/>
  <c r="FT385" i="9" s="1"/>
  <c r="CA385" i="9" s="1"/>
  <c r="GH360" i="9"/>
  <c r="GI360" i="9" s="1"/>
  <c r="GW360" i="9"/>
  <c r="HF360" i="9" s="1"/>
  <c r="GW497" i="9"/>
  <c r="HF497" i="9" s="1"/>
  <c r="CD497" i="9" s="1"/>
  <c r="DN272" i="9" a="1"/>
  <c r="DN272" i="9" s="1"/>
  <c r="DO272" i="9" a="1"/>
  <c r="DO272" i="9" s="1"/>
  <c r="DP272" i="9" s="1"/>
  <c r="DL272" i="9" s="1" a="1"/>
  <c r="DL272" i="9" s="1"/>
  <c r="DK272" i="9" a="1"/>
  <c r="DK272" i="9" s="1"/>
  <c r="CG272" i="9" s="1"/>
  <c r="GW363" i="9"/>
  <c r="HF363" i="9" s="1"/>
  <c r="GW277" i="9"/>
  <c r="HF277" i="9" s="1"/>
  <c r="CD277" i="9" s="1"/>
  <c r="GW378" i="9"/>
  <c r="HF378" i="9" s="1"/>
  <c r="CD378" i="9" s="1"/>
  <c r="GW305" i="9"/>
  <c r="HF305" i="9" s="1"/>
  <c r="CD305" i="9" s="1"/>
  <c r="DM305" i="9" s="1" a="1"/>
  <c r="DM305" i="9" s="1"/>
  <c r="GW303" i="9"/>
  <c r="HF303" i="9" s="1"/>
  <c r="GW542" i="9"/>
  <c r="HF542" i="9" s="1"/>
  <c r="CD542" i="9" s="1"/>
  <c r="DM542" i="9" s="1" a="1"/>
  <c r="DM542" i="9" s="1"/>
  <c r="GW644" i="9"/>
  <c r="HF644" i="9" s="1"/>
  <c r="GW361" i="9"/>
  <c r="HF361" i="9" s="1"/>
  <c r="GW365" i="9"/>
  <c r="HF365" i="9" s="1"/>
  <c r="GW312" i="9"/>
  <c r="HF312" i="9" s="1"/>
  <c r="CD312" i="9" s="1"/>
  <c r="GW31" i="9"/>
  <c r="HF31" i="9" s="1"/>
  <c r="CD31" i="9" s="1"/>
  <c r="GW269" i="9"/>
  <c r="HF269" i="9" s="1"/>
  <c r="CD269" i="9" s="1"/>
  <c r="GW119" i="9"/>
  <c r="GW669" i="9"/>
  <c r="HF669" i="9" s="1"/>
  <c r="GW593" i="9"/>
  <c r="HF593" i="9" s="1"/>
  <c r="GW485" i="9"/>
  <c r="HF485" i="9" s="1"/>
  <c r="GW604" i="9"/>
  <c r="HF604" i="9" s="1"/>
  <c r="T19" i="21"/>
  <c r="GW260" i="9"/>
  <c r="HF260" i="9" s="1"/>
  <c r="CD260" i="9" s="1"/>
  <c r="DK260" i="9" s="1" a="1"/>
  <c r="DK260" i="9" s="1"/>
  <c r="CG260" i="9" s="1"/>
  <c r="GW311" i="9"/>
  <c r="HF311" i="9" s="1"/>
  <c r="CD311" i="9" s="1"/>
  <c r="GW297" i="9"/>
  <c r="HF297" i="9" s="1"/>
  <c r="CD297" i="9" s="1"/>
  <c r="GW285" i="9"/>
  <c r="HF285" i="9" s="1"/>
  <c r="CD285" i="9" s="1"/>
  <c r="DN285" i="9" s="1" a="1"/>
  <c r="DN285" i="9" s="1"/>
  <c r="DF311" i="10"/>
  <c r="GW436" i="9"/>
  <c r="HF436" i="9" s="1"/>
  <c r="CD436" i="9" s="1"/>
  <c r="GW622" i="9"/>
  <c r="HF622" i="9" s="1"/>
  <c r="GW332" i="9"/>
  <c r="HF332" i="9" s="1"/>
  <c r="CD332" i="9" s="1"/>
  <c r="GW368" i="9"/>
  <c r="HF368" i="9" s="1"/>
  <c r="GW411" i="9"/>
  <c r="HF411" i="9" s="1"/>
  <c r="CD411" i="9" s="1"/>
  <c r="DO411" i="9" s="1" a="1"/>
  <c r="DO411" i="9" s="1"/>
  <c r="DP411" i="9" s="1"/>
  <c r="DL411" i="9" s="1" a="1"/>
  <c r="DL411" i="9" s="1"/>
  <c r="GW286" i="9"/>
  <c r="HF286" i="9" s="1"/>
  <c r="CD286" i="9" s="1"/>
  <c r="GW306" i="9"/>
  <c r="HF306" i="9" s="1"/>
  <c r="CD306" i="9" s="1"/>
  <c r="DM306" i="9" s="1" a="1"/>
  <c r="DM306" i="9" s="1"/>
  <c r="GW345" i="9"/>
  <c r="HF345" i="9" s="1"/>
  <c r="GW342" i="9"/>
  <c r="HF342" i="9" s="1"/>
  <c r="GW377" i="9"/>
  <c r="HF377" i="9" s="1"/>
  <c r="GW458" i="9"/>
  <c r="HF458" i="9" s="1"/>
  <c r="GW598" i="9"/>
  <c r="HF598" i="9" s="1"/>
  <c r="GW474" i="9"/>
  <c r="HF474" i="9" s="1"/>
  <c r="GW584" i="9"/>
  <c r="HF584" i="9" s="1"/>
  <c r="GW130" i="9"/>
  <c r="GW101" i="9"/>
  <c r="GW429" i="9"/>
  <c r="HF429" i="9" s="1"/>
  <c r="CD429" i="9" s="1"/>
  <c r="GW386" i="9"/>
  <c r="HF386" i="9" s="1"/>
  <c r="CD386" i="9" s="1"/>
  <c r="DN386" i="9" s="1" a="1"/>
  <c r="DN386" i="9" s="1"/>
  <c r="GW132" i="9"/>
  <c r="GW675" i="9"/>
  <c r="HF675" i="9" s="1"/>
  <c r="GW556" i="9"/>
  <c r="HF556" i="9" s="1"/>
  <c r="GW517" i="9"/>
  <c r="HF517" i="9" s="1"/>
  <c r="CD517" i="9" s="1"/>
  <c r="GW381" i="9"/>
  <c r="HF381" i="9" s="1"/>
  <c r="CD381" i="9" s="1"/>
  <c r="DO381" i="9" s="1" a="1"/>
  <c r="DO381" i="9" s="1"/>
  <c r="DP381" i="9" s="1"/>
  <c r="DL381" i="9" s="1" a="1"/>
  <c r="DL381" i="9" s="1"/>
  <c r="GW549" i="9"/>
  <c r="HF549" i="9" s="1"/>
  <c r="CD549" i="9" s="1"/>
  <c r="GW314" i="9"/>
  <c r="HF314" i="9" s="1"/>
  <c r="CD314" i="9" s="1"/>
  <c r="GW592" i="9"/>
  <c r="HF592" i="9" s="1"/>
  <c r="GW71" i="9"/>
  <c r="HF71" i="9" s="1"/>
  <c r="CD71" i="9" s="1"/>
  <c r="DN71" i="9" s="1" a="1"/>
  <c r="DN71" i="9" s="1"/>
  <c r="DK545" i="9" a="1"/>
  <c r="DK545" i="9" s="1"/>
  <c r="CG545" i="9" s="1"/>
  <c r="DM545" i="9" a="1"/>
  <c r="DM545" i="9" s="1"/>
  <c r="DN545" i="9" a="1"/>
  <c r="DN545" i="9" s="1"/>
  <c r="DO545" i="9" a="1"/>
  <c r="DO545" i="9" s="1"/>
  <c r="DP545" i="9" s="1"/>
  <c r="DL545" i="9" s="1" a="1"/>
  <c r="DL545" i="9" s="1"/>
  <c r="DN516" i="9" a="1"/>
  <c r="DN516" i="9" s="1"/>
  <c r="DO406" i="9" a="1"/>
  <c r="DO406" i="9" s="1"/>
  <c r="DP406" i="9" s="1"/>
  <c r="DL406" i="9" s="1" a="1"/>
  <c r="DL406" i="9" s="1"/>
  <c r="GW347" i="9"/>
  <c r="HF347" i="9" s="1"/>
  <c r="GH347" i="9"/>
  <c r="GI347" i="9" s="1"/>
  <c r="GH493" i="9"/>
  <c r="GI493" i="9" s="1"/>
  <c r="GW493" i="9"/>
  <c r="HF493" i="9" s="1"/>
  <c r="GH115" i="9"/>
  <c r="GI115" i="9" s="1"/>
  <c r="GW115" i="9"/>
  <c r="DK406" i="9" a="1"/>
  <c r="DK406" i="9" s="1"/>
  <c r="CG406" i="9" s="1"/>
  <c r="GH629" i="9"/>
  <c r="GI629" i="9" s="1"/>
  <c r="BZ629" i="9" s="1"/>
  <c r="FT629" i="9" s="1"/>
  <c r="CA629" i="9" s="1"/>
  <c r="DM78" i="9" a="1"/>
  <c r="DM78" i="9" s="1"/>
  <c r="DN78" i="9" a="1"/>
  <c r="DN78" i="9" s="1"/>
  <c r="GH292" i="9"/>
  <c r="GI292" i="9" s="1"/>
  <c r="BZ292" i="9" s="1"/>
  <c r="FT292" i="9" s="1"/>
  <c r="CA292" i="9" s="1"/>
  <c r="GW292" i="9"/>
  <c r="HF292" i="9" s="1"/>
  <c r="CD292" i="9" s="1"/>
  <c r="DO292" i="9" s="1" a="1"/>
  <c r="DO292" i="9" s="1"/>
  <c r="DP292" i="9" s="1"/>
  <c r="DL292" i="9" s="1" a="1"/>
  <c r="DL292" i="9" s="1"/>
  <c r="GH489" i="9"/>
  <c r="GI489" i="9" s="1"/>
  <c r="GW473" i="9"/>
  <c r="HF473" i="9" s="1"/>
  <c r="GH473" i="9"/>
  <c r="GI473" i="9" s="1"/>
  <c r="GH118" i="9"/>
  <c r="GI118" i="9" s="1"/>
  <c r="GH54" i="9"/>
  <c r="GI54" i="9" s="1"/>
  <c r="BZ54" i="9" s="1"/>
  <c r="FT54" i="9" s="1"/>
  <c r="CA54" i="9" s="1"/>
  <c r="DM406" i="9" a="1"/>
  <c r="DM406" i="9" s="1"/>
  <c r="GH393" i="9"/>
  <c r="GI393" i="9" s="1"/>
  <c r="BZ393" i="9" s="1"/>
  <c r="FT393" i="9" s="1"/>
  <c r="CA393" i="9" s="1"/>
  <c r="GW393" i="9"/>
  <c r="HF393" i="9" s="1"/>
  <c r="CD393" i="9" s="1"/>
  <c r="DO393" i="9" s="1" a="1"/>
  <c r="DO393" i="9" s="1"/>
  <c r="DP393" i="9" s="1"/>
  <c r="DL393" i="9" s="1" a="1"/>
  <c r="DL393" i="9" s="1"/>
  <c r="GH465" i="9"/>
  <c r="GI465" i="9" s="1"/>
  <c r="GW465" i="9"/>
  <c r="HF465" i="9" s="1"/>
  <c r="GH63" i="9"/>
  <c r="GI63" i="9" s="1"/>
  <c r="BZ63" i="9" s="1"/>
  <c r="FT63" i="9" s="1"/>
  <c r="CA63" i="9" s="1"/>
  <c r="GW63" i="9"/>
  <c r="HF63" i="9" s="1"/>
  <c r="CD63" i="9" s="1"/>
  <c r="GH109" i="9"/>
  <c r="GI109" i="9" s="1"/>
  <c r="GW109" i="9"/>
  <c r="DK386" i="9" a="1"/>
  <c r="DK386" i="9" s="1"/>
  <c r="CG386" i="9" s="1"/>
  <c r="DM386" i="9" a="1"/>
  <c r="DM386" i="9" s="1"/>
  <c r="GH108" i="9"/>
  <c r="GI108" i="9" s="1"/>
  <c r="GW108" i="9"/>
  <c r="GW457" i="9"/>
  <c r="HF457" i="9" s="1"/>
  <c r="GH457" i="9"/>
  <c r="GI457" i="9" s="1"/>
  <c r="GH490" i="9"/>
  <c r="GI490" i="9" s="1"/>
  <c r="GW490" i="9"/>
  <c r="HF490" i="9" s="1"/>
  <c r="DK299" i="9" a="1"/>
  <c r="DK299" i="9" s="1"/>
  <c r="CG299" i="9" s="1"/>
  <c r="DO299" i="9" a="1"/>
  <c r="DO299" i="9" s="1"/>
  <c r="DP299" i="9" s="1"/>
  <c r="DL299" i="9" s="1" a="1"/>
  <c r="DL299" i="9" s="1"/>
  <c r="DN299" i="9" a="1"/>
  <c r="DN299" i="9" s="1"/>
  <c r="GH65" i="9"/>
  <c r="GI65" i="9" s="1"/>
  <c r="BZ65" i="9" s="1"/>
  <c r="FT65" i="9" s="1"/>
  <c r="CA65" i="9" s="1"/>
  <c r="GW65" i="9"/>
  <c r="HF65" i="9" s="1"/>
  <c r="CD65" i="9" s="1"/>
  <c r="DM65" i="9" s="1" a="1"/>
  <c r="DM65" i="9" s="1"/>
  <c r="DO500" i="9" a="1"/>
  <c r="DO500" i="9" s="1"/>
  <c r="DP500" i="9" s="1"/>
  <c r="DL500" i="9" s="1" a="1"/>
  <c r="DL500" i="9" s="1"/>
  <c r="GW48" i="9"/>
  <c r="HF48" i="9" s="1"/>
  <c r="CD48" i="9" s="1"/>
  <c r="GH48" i="9"/>
  <c r="GI48" i="9" s="1"/>
  <c r="BZ48" i="9" s="1"/>
  <c r="FT48" i="9" s="1"/>
  <c r="CA48" i="9" s="1"/>
  <c r="GH389" i="9"/>
  <c r="GI389" i="9" s="1"/>
  <c r="BZ389" i="9" s="1"/>
  <c r="FT389" i="9" s="1"/>
  <c r="CA389" i="9" s="1"/>
  <c r="GW389" i="9"/>
  <c r="HF389" i="9" s="1"/>
  <c r="CD389" i="9" s="1"/>
  <c r="GW653" i="9"/>
  <c r="HF653" i="9" s="1"/>
  <c r="GW659" i="9"/>
  <c r="HF659" i="9" s="1"/>
  <c r="GW528" i="9"/>
  <c r="HF528" i="9" s="1"/>
  <c r="CD528" i="9" s="1"/>
  <c r="DM528" i="9" s="1" a="1"/>
  <c r="DM528" i="9" s="1"/>
  <c r="GW627" i="9"/>
  <c r="HF627" i="9" s="1"/>
  <c r="GW617" i="9"/>
  <c r="HF617" i="9" s="1"/>
  <c r="GW284" i="9"/>
  <c r="HF284" i="9" s="1"/>
  <c r="CD284" i="9" s="1"/>
  <c r="GW340" i="9"/>
  <c r="HF340" i="9" s="1"/>
  <c r="GW351" i="9"/>
  <c r="HF351" i="9" s="1"/>
  <c r="GW503" i="9"/>
  <c r="HF503" i="9" s="1"/>
  <c r="CD503" i="9" s="1"/>
  <c r="GW380" i="9"/>
  <c r="HF380" i="9" s="1"/>
  <c r="CD380" i="9" s="1"/>
  <c r="GQ54" i="9"/>
  <c r="GR54" i="9" s="1"/>
  <c r="GS54" i="9" s="1"/>
  <c r="GT54" i="9" s="1"/>
  <c r="GU54" i="9" s="1"/>
  <c r="GV54" i="9" s="1"/>
  <c r="GW54" i="9" s="1"/>
  <c r="HF54" i="9" s="1"/>
  <c r="CD54" i="9" s="1"/>
  <c r="FZ463" i="9"/>
  <c r="GA463" i="9" s="1"/>
  <c r="GB463" i="9" s="1"/>
  <c r="GC463" i="9" s="1"/>
  <c r="GD463" i="9" s="1"/>
  <c r="GE463" i="9" s="1"/>
  <c r="GF463" i="9" s="1"/>
  <c r="GG463" i="9" s="1"/>
  <c r="GQ463" i="9"/>
  <c r="GR463" i="9" s="1"/>
  <c r="GS463" i="9" s="1"/>
  <c r="GT463" i="9" s="1"/>
  <c r="GU463" i="9" s="1"/>
  <c r="GV463" i="9" s="1"/>
  <c r="FZ327" i="9"/>
  <c r="GA327" i="9" s="1"/>
  <c r="GB327" i="9" s="1"/>
  <c r="GC327" i="9" s="1"/>
  <c r="GD327" i="9" s="1"/>
  <c r="GE327" i="9" s="1"/>
  <c r="GF327" i="9" s="1"/>
  <c r="GG327" i="9" s="1"/>
  <c r="GQ327" i="9"/>
  <c r="GR327" i="9" s="1"/>
  <c r="GS327" i="9" s="1"/>
  <c r="GT327" i="9" s="1"/>
  <c r="GU327" i="9" s="1"/>
  <c r="GV327" i="9" s="1"/>
  <c r="FZ148" i="9"/>
  <c r="GA148" i="9" s="1"/>
  <c r="GB148" i="9" s="1"/>
  <c r="GC148" i="9" s="1"/>
  <c r="GD148" i="9" s="1"/>
  <c r="GE148" i="9" s="1"/>
  <c r="GF148" i="9" s="1"/>
  <c r="GG148" i="9" s="1"/>
  <c r="GH148" i="9" s="1"/>
  <c r="GI148" i="9" s="1"/>
  <c r="BZ148" i="9" s="1"/>
  <c r="FT148" i="9" s="1"/>
  <c r="CA148" i="9" s="1"/>
  <c r="GQ148" i="9"/>
  <c r="GR148" i="9" s="1"/>
  <c r="GS148" i="9" s="1"/>
  <c r="GT148" i="9" s="1"/>
  <c r="GU148" i="9" s="1"/>
  <c r="GV148" i="9" s="1"/>
  <c r="DK394" i="9" a="1"/>
  <c r="DK394" i="9" s="1"/>
  <c r="CG394" i="9" s="1"/>
  <c r="GR400" i="9"/>
  <c r="GS400" i="9" s="1"/>
  <c r="GT400" i="9" s="1"/>
  <c r="GU400" i="9" s="1"/>
  <c r="GV400" i="9" s="1"/>
  <c r="GW400" i="9" s="1"/>
  <c r="HF400" i="9" s="1"/>
  <c r="CD400" i="9" s="1"/>
  <c r="FZ264" i="9"/>
  <c r="GA264" i="9" s="1"/>
  <c r="GB264" i="9" s="1"/>
  <c r="GC264" i="9" s="1"/>
  <c r="GD264" i="9" s="1"/>
  <c r="GE264" i="9" s="1"/>
  <c r="GF264" i="9" s="1"/>
  <c r="GG264" i="9" s="1"/>
  <c r="GQ264" i="9"/>
  <c r="GR264" i="9" s="1"/>
  <c r="GS264" i="9" s="1"/>
  <c r="GT264" i="9" s="1"/>
  <c r="GU264" i="9" s="1"/>
  <c r="GV264" i="9" s="1"/>
  <c r="FZ283" i="9"/>
  <c r="GA283" i="9" s="1"/>
  <c r="GB283" i="9" s="1"/>
  <c r="GC283" i="9" s="1"/>
  <c r="GD283" i="9" s="1"/>
  <c r="GE283" i="9" s="1"/>
  <c r="GF283" i="9" s="1"/>
  <c r="GG283" i="9" s="1"/>
  <c r="GQ283" i="9"/>
  <c r="FZ72" i="9"/>
  <c r="GA72" i="9" s="1"/>
  <c r="GB72" i="9" s="1"/>
  <c r="GC72" i="9" s="1"/>
  <c r="GD72" i="9" s="1"/>
  <c r="GE72" i="9" s="1"/>
  <c r="GF72" i="9" s="1"/>
  <c r="GG72" i="9" s="1"/>
  <c r="GH72" i="9" s="1"/>
  <c r="GI72" i="9" s="1"/>
  <c r="GQ72" i="9"/>
  <c r="GR72" i="9" s="1"/>
  <c r="GS72" i="9" s="1"/>
  <c r="GT72" i="9" s="1"/>
  <c r="GU72" i="9" s="1"/>
  <c r="GV72" i="9" s="1"/>
  <c r="DN51" i="9" a="1"/>
  <c r="DN51" i="9" s="1"/>
  <c r="GW509" i="9"/>
  <c r="HF509" i="9" s="1"/>
  <c r="CD509" i="9" s="1"/>
  <c r="GW110" i="9"/>
  <c r="GQ118" i="9"/>
  <c r="GR118" i="9" s="1"/>
  <c r="GS118" i="9" s="1"/>
  <c r="GT118" i="9" s="1"/>
  <c r="GU118" i="9" s="1"/>
  <c r="GV118" i="9" s="1"/>
  <c r="GW118" i="9" s="1"/>
  <c r="GR283" i="9"/>
  <c r="GS283" i="9" s="1"/>
  <c r="GT283" i="9" s="1"/>
  <c r="GU283" i="9" s="1"/>
  <c r="GV283" i="9" s="1"/>
  <c r="FZ276" i="9"/>
  <c r="GA276" i="9" s="1"/>
  <c r="GB276" i="9" s="1"/>
  <c r="GC276" i="9" s="1"/>
  <c r="GD276" i="9" s="1"/>
  <c r="GE276" i="9" s="1"/>
  <c r="GF276" i="9" s="1"/>
  <c r="GG276" i="9" s="1"/>
  <c r="GR276" i="9"/>
  <c r="GS276" i="9" s="1"/>
  <c r="GT276" i="9" s="1"/>
  <c r="GU276" i="9" s="1"/>
  <c r="GV276" i="9" s="1"/>
  <c r="DK51" i="9" a="1"/>
  <c r="DK51" i="9" s="1"/>
  <c r="CG51" i="9" s="1"/>
  <c r="GW114" i="9"/>
  <c r="GW631" i="9"/>
  <c r="HF631" i="9" s="1"/>
  <c r="GW413" i="9"/>
  <c r="HF413" i="9" s="1"/>
  <c r="CD413" i="9" s="1"/>
  <c r="GW117" i="9"/>
  <c r="GW53" i="9"/>
  <c r="HF53" i="9" s="1"/>
  <c r="CD53" i="9" s="1"/>
  <c r="GW623" i="9"/>
  <c r="HF623" i="9" s="1"/>
  <c r="FZ586" i="9"/>
  <c r="GA586" i="9" s="1"/>
  <c r="GB586" i="9" s="1"/>
  <c r="GC586" i="9" s="1"/>
  <c r="GD586" i="9" s="1"/>
  <c r="GE586" i="9" s="1"/>
  <c r="GF586" i="9" s="1"/>
  <c r="GG586" i="9" s="1"/>
  <c r="GQ586" i="9"/>
  <c r="GR586" i="9" s="1"/>
  <c r="GS586" i="9" s="1"/>
  <c r="GT586" i="9" s="1"/>
  <c r="GU586" i="9" s="1"/>
  <c r="GV586" i="9" s="1"/>
  <c r="FZ476" i="9"/>
  <c r="GA476" i="9" s="1"/>
  <c r="GB476" i="9" s="1"/>
  <c r="GC476" i="9" s="1"/>
  <c r="GD476" i="9" s="1"/>
  <c r="GE476" i="9" s="1"/>
  <c r="GF476" i="9" s="1"/>
  <c r="GG476" i="9" s="1"/>
  <c r="GH476" i="9" s="1"/>
  <c r="GI476" i="9" s="1"/>
  <c r="GQ476" i="9"/>
  <c r="GR476" i="9" s="1"/>
  <c r="GS476" i="9" s="1"/>
  <c r="GT476" i="9" s="1"/>
  <c r="GU476" i="9" s="1"/>
  <c r="GV476" i="9" s="1"/>
  <c r="FZ273" i="9"/>
  <c r="GA273" i="9" s="1"/>
  <c r="GB273" i="9" s="1"/>
  <c r="GC273" i="9" s="1"/>
  <c r="GD273" i="9" s="1"/>
  <c r="GE273" i="9" s="1"/>
  <c r="GF273" i="9" s="1"/>
  <c r="GG273" i="9" s="1"/>
  <c r="GQ273" i="9"/>
  <c r="GR273" i="9" s="1"/>
  <c r="GS273" i="9" s="1"/>
  <c r="GT273" i="9" s="1"/>
  <c r="GU273" i="9" s="1"/>
  <c r="GV273" i="9" s="1"/>
  <c r="FZ140" i="9"/>
  <c r="GA140" i="9" s="1"/>
  <c r="GB140" i="9" s="1"/>
  <c r="GC140" i="9" s="1"/>
  <c r="GD140" i="9" s="1"/>
  <c r="GE140" i="9" s="1"/>
  <c r="GF140" i="9" s="1"/>
  <c r="GG140" i="9" s="1"/>
  <c r="GH140" i="9" s="1"/>
  <c r="GI140" i="9" s="1"/>
  <c r="BZ140" i="9" s="1"/>
  <c r="FT140" i="9" s="1"/>
  <c r="CA140" i="9" s="1"/>
  <c r="GQ140" i="9"/>
  <c r="GR140" i="9" s="1"/>
  <c r="GS140" i="9" s="1"/>
  <c r="GT140" i="9" s="1"/>
  <c r="GU140" i="9" s="1"/>
  <c r="GV140" i="9" s="1"/>
  <c r="FZ129" i="9"/>
  <c r="GA129" i="9" s="1"/>
  <c r="GB129" i="9" s="1"/>
  <c r="GC129" i="9" s="1"/>
  <c r="GD129" i="9" s="1"/>
  <c r="GE129" i="9" s="1"/>
  <c r="GF129" i="9" s="1"/>
  <c r="GG129" i="9" s="1"/>
  <c r="GQ129" i="9"/>
  <c r="GR129" i="9" s="1"/>
  <c r="GS129" i="9" s="1"/>
  <c r="GT129" i="9" s="1"/>
  <c r="GU129" i="9" s="1"/>
  <c r="GV129" i="9" s="1"/>
  <c r="FZ64" i="9"/>
  <c r="GA64" i="9" s="1"/>
  <c r="GB64" i="9" s="1"/>
  <c r="GC64" i="9" s="1"/>
  <c r="GD64" i="9" s="1"/>
  <c r="GE64" i="9" s="1"/>
  <c r="GF64" i="9" s="1"/>
  <c r="GG64" i="9" s="1"/>
  <c r="GR64" i="9"/>
  <c r="GS64" i="9" s="1"/>
  <c r="GT64" i="9" s="1"/>
  <c r="GU64" i="9" s="1"/>
  <c r="GV64" i="9" s="1"/>
  <c r="DO51" i="9" a="1"/>
  <c r="DO51" i="9" s="1"/>
  <c r="DP51" i="9" s="1"/>
  <c r="DL51" i="9" s="1" a="1"/>
  <c r="DL51" i="9" s="1"/>
  <c r="GW107" i="9"/>
  <c r="GW410" i="9"/>
  <c r="HF410" i="9" s="1"/>
  <c r="CD410" i="9" s="1"/>
  <c r="FZ660" i="9"/>
  <c r="GA660" i="9" s="1"/>
  <c r="GB660" i="9" s="1"/>
  <c r="GC660" i="9" s="1"/>
  <c r="GD660" i="9" s="1"/>
  <c r="GE660" i="9" s="1"/>
  <c r="GF660" i="9" s="1"/>
  <c r="GG660" i="9" s="1"/>
  <c r="GH660" i="9" s="1"/>
  <c r="GI660" i="9" s="1"/>
  <c r="GQ660" i="9"/>
  <c r="GR660" i="9" s="1"/>
  <c r="GS660" i="9" s="1"/>
  <c r="GT660" i="9" s="1"/>
  <c r="GU660" i="9" s="1"/>
  <c r="GV660" i="9" s="1"/>
  <c r="FZ460" i="9"/>
  <c r="GA460" i="9" s="1"/>
  <c r="GB460" i="9" s="1"/>
  <c r="GC460" i="9" s="1"/>
  <c r="GD460" i="9" s="1"/>
  <c r="GE460" i="9" s="1"/>
  <c r="GF460" i="9" s="1"/>
  <c r="GG460" i="9" s="1"/>
  <c r="GQ460" i="9"/>
  <c r="GR460" i="9" s="1"/>
  <c r="GS460" i="9" s="1"/>
  <c r="GT460" i="9" s="1"/>
  <c r="GU460" i="9" s="1"/>
  <c r="GV460" i="9" s="1"/>
  <c r="FZ144" i="9"/>
  <c r="GA144" i="9" s="1"/>
  <c r="GB144" i="9" s="1"/>
  <c r="GC144" i="9" s="1"/>
  <c r="GD144" i="9" s="1"/>
  <c r="GE144" i="9" s="1"/>
  <c r="GF144" i="9" s="1"/>
  <c r="GG144" i="9" s="1"/>
  <c r="GH144" i="9" s="1"/>
  <c r="GI144" i="9" s="1"/>
  <c r="BZ144" i="9" s="1"/>
  <c r="FT144" i="9" s="1"/>
  <c r="CA144" i="9" s="1"/>
  <c r="GQ144" i="9"/>
  <c r="GR144" i="9"/>
  <c r="GS144" i="9" s="1"/>
  <c r="GT144" i="9" s="1"/>
  <c r="GU144" i="9" s="1"/>
  <c r="GV144" i="9" s="1"/>
  <c r="GW270" i="9"/>
  <c r="HF270" i="9" s="1"/>
  <c r="CD270" i="9" s="1"/>
  <c r="GH126" i="9"/>
  <c r="GI126" i="9" s="1"/>
  <c r="FZ21" i="9"/>
  <c r="GA21" i="9" s="1"/>
  <c r="GB21" i="9" s="1"/>
  <c r="GC21" i="9" s="1"/>
  <c r="GD21" i="9" s="1"/>
  <c r="GE21" i="9" s="1"/>
  <c r="GF21" i="9" s="1"/>
  <c r="GG21" i="9" s="1"/>
  <c r="GQ21" i="9"/>
  <c r="GR21" i="9" s="1"/>
  <c r="GS21" i="9" s="1"/>
  <c r="GT21" i="9" s="1"/>
  <c r="GU21" i="9" s="1"/>
  <c r="GV21" i="9" s="1"/>
  <c r="GW281" i="9"/>
  <c r="HF281" i="9" s="1"/>
  <c r="CD281" i="9" s="1"/>
  <c r="GQ400" i="9"/>
  <c r="GQ489" i="9"/>
  <c r="GR489" i="9" s="1"/>
  <c r="GS489" i="9" s="1"/>
  <c r="GT489" i="9" s="1"/>
  <c r="GU489" i="9" s="1"/>
  <c r="GV489" i="9" s="1"/>
  <c r="GW489" i="9" s="1"/>
  <c r="HF489" i="9" s="1"/>
  <c r="GQ46" i="9"/>
  <c r="GR46" i="9" s="1"/>
  <c r="GS46" i="9" s="1"/>
  <c r="GT46" i="9" s="1"/>
  <c r="GU46" i="9" s="1"/>
  <c r="GV46" i="9" s="1"/>
  <c r="GW46" i="9" s="1"/>
  <c r="HF46" i="9" s="1"/>
  <c r="CD46" i="9" s="1"/>
  <c r="FZ135" i="9"/>
  <c r="GA135" i="9" s="1"/>
  <c r="GB135" i="9" s="1"/>
  <c r="GC135" i="9" s="1"/>
  <c r="GD135" i="9" s="1"/>
  <c r="GE135" i="9" s="1"/>
  <c r="GF135" i="9" s="1"/>
  <c r="GG135" i="9" s="1"/>
  <c r="GH135" i="9" s="1"/>
  <c r="GI135" i="9" s="1"/>
  <c r="BZ135" i="9" s="1"/>
  <c r="FT135" i="9" s="1"/>
  <c r="CA135" i="9" s="1"/>
  <c r="GQ135" i="9"/>
  <c r="GR135" i="9" s="1"/>
  <c r="GS135" i="9" s="1"/>
  <c r="GT135" i="9" s="1"/>
  <c r="GU135" i="9" s="1"/>
  <c r="GV135" i="9" s="1"/>
  <c r="FZ47" i="9"/>
  <c r="GA47" i="9" s="1"/>
  <c r="GB47" i="9" s="1"/>
  <c r="GC47" i="9" s="1"/>
  <c r="GD47" i="9" s="1"/>
  <c r="GE47" i="9" s="1"/>
  <c r="GF47" i="9" s="1"/>
  <c r="GG47" i="9" s="1"/>
  <c r="GQ47" i="9"/>
  <c r="GR47" i="9" s="1"/>
  <c r="GS47" i="9" s="1"/>
  <c r="GT47" i="9" s="1"/>
  <c r="GU47" i="9" s="1"/>
  <c r="GV47" i="9" s="1"/>
  <c r="GW468" i="9"/>
  <c r="HF468" i="9" s="1"/>
  <c r="GW166" i="9"/>
  <c r="HF166" i="9" s="1"/>
  <c r="CD166" i="9" s="1"/>
  <c r="GW139" i="9"/>
  <c r="HF139" i="9" s="1"/>
  <c r="CD139" i="9" s="1"/>
  <c r="GW241" i="9"/>
  <c r="HF241" i="9" s="1"/>
  <c r="GW230" i="9"/>
  <c r="HF230" i="9" s="1"/>
  <c r="GW141" i="9"/>
  <c r="HF141" i="9" s="1"/>
  <c r="CD141" i="9" s="1"/>
  <c r="GW222" i="9"/>
  <c r="HF222" i="9" s="1"/>
  <c r="GW81" i="9"/>
  <c r="HF81" i="9" s="1"/>
  <c r="CD81" i="9" s="1"/>
  <c r="GW253" i="9"/>
  <c r="HF253" i="9" s="1"/>
  <c r="GW237" i="9"/>
  <c r="HF237" i="9" s="1"/>
  <c r="GQ206" i="9"/>
  <c r="GR206" i="9" s="1"/>
  <c r="GS206" i="9" s="1"/>
  <c r="GT206" i="9" s="1"/>
  <c r="GU206" i="9" s="1"/>
  <c r="GV206" i="9" s="1"/>
  <c r="GW209" i="9"/>
  <c r="HF209" i="9" s="1"/>
  <c r="GQ134" i="9"/>
  <c r="GR134" i="9" s="1"/>
  <c r="GS134" i="9" s="1"/>
  <c r="GT134" i="9" s="1"/>
  <c r="GU134" i="9" s="1"/>
  <c r="GV134" i="9" s="1"/>
  <c r="GW134" i="9" s="1"/>
  <c r="HF134" i="9" s="1"/>
  <c r="GW195" i="9"/>
  <c r="HF195" i="9" s="1"/>
  <c r="CD195" i="9" s="1"/>
  <c r="GW249" i="9"/>
  <c r="HF249" i="9" s="1"/>
  <c r="GW217" i="9"/>
  <c r="HF217" i="9" s="1"/>
  <c r="DM447" i="9" a="1"/>
  <c r="DM447" i="9" s="1"/>
  <c r="DO502" i="9" a="1"/>
  <c r="DO502" i="9" s="1"/>
  <c r="DP502" i="9" s="1"/>
  <c r="DL502" i="9" s="1" a="1"/>
  <c r="DL502" i="9" s="1"/>
  <c r="DN533" i="9" a="1"/>
  <c r="DN533" i="9" s="1"/>
  <c r="DK533" i="9" a="1"/>
  <c r="DK533" i="9" s="1"/>
  <c r="CG533" i="9" s="1"/>
  <c r="DM533" i="9" a="1"/>
  <c r="DM533" i="9" s="1"/>
  <c r="DO533" i="9" a="1"/>
  <c r="DO533" i="9" s="1"/>
  <c r="DP533" i="9" s="1"/>
  <c r="DL533" i="9" s="1" a="1"/>
  <c r="DL533" i="9" s="1"/>
  <c r="DM532" i="9" a="1"/>
  <c r="DM532" i="9" s="1"/>
  <c r="DO532" i="9" a="1"/>
  <c r="DO532" i="9" s="1"/>
  <c r="DP532" i="9" s="1"/>
  <c r="DL532" i="9" s="1" a="1"/>
  <c r="DL532" i="9" s="1"/>
  <c r="DN532" i="9" a="1"/>
  <c r="DN532" i="9" s="1"/>
  <c r="DK532" i="9" a="1"/>
  <c r="DK532" i="9" s="1"/>
  <c r="CG532" i="9" s="1"/>
  <c r="DM515" i="9" a="1"/>
  <c r="DM515" i="9" s="1"/>
  <c r="DN515" i="9" a="1"/>
  <c r="DN515" i="9" s="1"/>
  <c r="DK515" i="9" a="1"/>
  <c r="DK515" i="9" s="1"/>
  <c r="CG515" i="9" s="1"/>
  <c r="DO515" i="9" a="1"/>
  <c r="DO515" i="9" s="1"/>
  <c r="DP515" i="9" s="1"/>
  <c r="DL515" i="9" s="1" a="1"/>
  <c r="DL515" i="9" s="1"/>
  <c r="DK442" i="9" a="1"/>
  <c r="DK442" i="9" s="1"/>
  <c r="CG442" i="9" s="1"/>
  <c r="DN442" i="9" a="1"/>
  <c r="DN442" i="9" s="1"/>
  <c r="DO442" i="9" a="1"/>
  <c r="DO442" i="9" s="1"/>
  <c r="DP442" i="9" s="1"/>
  <c r="DL442" i="9" s="1" a="1"/>
  <c r="DL442" i="9" s="1"/>
  <c r="DM442" i="9" a="1"/>
  <c r="DM442" i="9" s="1"/>
  <c r="DN525" i="9" a="1"/>
  <c r="DN525" i="9" s="1"/>
  <c r="DM525" i="9" a="1"/>
  <c r="DM525" i="9" s="1"/>
  <c r="DK525" i="9" a="1"/>
  <c r="DK525" i="9" s="1"/>
  <c r="CG525" i="9" s="1"/>
  <c r="DO525" i="9" a="1"/>
  <c r="DO525" i="9" s="1"/>
  <c r="DP525" i="9" s="1"/>
  <c r="DL525" i="9" s="1" a="1"/>
  <c r="DL525" i="9" s="1"/>
  <c r="DN310" i="9" a="1"/>
  <c r="DN310" i="9" s="1"/>
  <c r="DO310" i="9" a="1"/>
  <c r="DO310" i="9" s="1"/>
  <c r="DP310" i="9" s="1"/>
  <c r="DL310" i="9" s="1" a="1"/>
  <c r="DL310" i="9" s="1"/>
  <c r="DM310" i="9" a="1"/>
  <c r="DM310" i="9" s="1"/>
  <c r="DK310" i="9" a="1"/>
  <c r="DK310" i="9" s="1"/>
  <c r="CG310" i="9" s="1"/>
  <c r="DO564" i="9" a="1"/>
  <c r="DO564" i="9" s="1"/>
  <c r="DP564" i="9" s="1"/>
  <c r="DL564" i="9" s="1" a="1"/>
  <c r="DL564" i="9" s="1"/>
  <c r="DN564" i="9" a="1"/>
  <c r="DN564" i="9" s="1"/>
  <c r="DM564" i="9" a="1"/>
  <c r="DM564" i="9" s="1"/>
  <c r="DK564" i="9" a="1"/>
  <c r="DK564" i="9" s="1"/>
  <c r="CG564" i="9" s="1"/>
  <c r="DO557" i="9" a="1"/>
  <c r="DO557" i="9" s="1"/>
  <c r="DP557" i="9" s="1"/>
  <c r="DL557" i="9" s="1" a="1"/>
  <c r="DL557" i="9" s="1"/>
  <c r="DM557" i="9" a="1"/>
  <c r="DM557" i="9" s="1"/>
  <c r="DN557" i="9" a="1"/>
  <c r="DN557" i="9" s="1"/>
  <c r="DK557" i="9" a="1"/>
  <c r="DK557" i="9" s="1"/>
  <c r="CG557" i="9" s="1"/>
  <c r="GW418" i="9"/>
  <c r="HF418" i="9" s="1"/>
  <c r="CD418" i="9" s="1"/>
  <c r="DM418" i="9" s="1" a="1"/>
  <c r="DM418" i="9" s="1"/>
  <c r="GW358" i="9"/>
  <c r="HF358" i="9" s="1"/>
  <c r="GW582" i="9"/>
  <c r="HF582" i="9" s="1"/>
  <c r="GW573" i="9"/>
  <c r="HF573" i="9" s="1"/>
  <c r="GW676" i="9"/>
  <c r="HF676" i="9" s="1"/>
  <c r="GW520" i="9"/>
  <c r="HF520" i="9" s="1"/>
  <c r="CD520" i="9" s="1"/>
  <c r="GW567" i="9"/>
  <c r="HF567" i="9" s="1"/>
  <c r="CD567" i="9" s="1"/>
  <c r="GW689" i="9"/>
  <c r="HF689" i="9" s="1"/>
  <c r="GW652" i="9"/>
  <c r="HF652" i="9" s="1"/>
  <c r="GW637" i="9"/>
  <c r="HF637" i="9" s="1"/>
  <c r="GW438" i="9"/>
  <c r="HF438" i="9" s="1"/>
  <c r="CD438" i="9" s="1"/>
  <c r="DK83" i="9" a="1"/>
  <c r="DK83" i="9" s="1"/>
  <c r="CG83" i="9" s="1"/>
  <c r="DO83" i="9" a="1"/>
  <c r="DO83" i="9" s="1"/>
  <c r="DP83" i="9" s="1"/>
  <c r="DL83" i="9" s="1" a="1"/>
  <c r="DL83" i="9" s="1"/>
  <c r="DM83" i="9" a="1"/>
  <c r="DM83" i="9" s="1"/>
  <c r="DN83" i="9" a="1"/>
  <c r="DN83" i="9" s="1"/>
  <c r="DK552" i="9" a="1"/>
  <c r="DK552" i="9" s="1"/>
  <c r="CG552" i="9" s="1"/>
  <c r="DN69" i="9" a="1"/>
  <c r="DN69" i="9" s="1"/>
  <c r="DK69" i="9" a="1"/>
  <c r="DK69" i="9" s="1"/>
  <c r="CG69" i="9" s="1"/>
  <c r="DO69" i="9" a="1"/>
  <c r="DO69" i="9" s="1"/>
  <c r="DP69" i="9" s="1"/>
  <c r="DL69" i="9" s="1" a="1"/>
  <c r="DL69" i="9" s="1"/>
  <c r="DM555" i="9" a="1"/>
  <c r="DM555" i="9" s="1"/>
  <c r="DK259" i="9" a="1"/>
  <c r="DK259" i="9" s="1"/>
  <c r="CG259" i="9" s="1"/>
  <c r="DO259" i="9" a="1"/>
  <c r="DO259" i="9" s="1"/>
  <c r="DP259" i="9" s="1"/>
  <c r="DL259" i="9" s="1" a="1"/>
  <c r="DL259" i="9" s="1"/>
  <c r="DN259" i="9" a="1"/>
  <c r="DN259" i="9" s="1"/>
  <c r="DM409" i="9" a="1"/>
  <c r="DM409" i="9" s="1"/>
  <c r="DK409" i="9" a="1"/>
  <c r="DK409" i="9" s="1"/>
  <c r="CG409" i="9" s="1"/>
  <c r="DO409" i="9" a="1"/>
  <c r="DO409" i="9" s="1"/>
  <c r="DP409" i="9" s="1"/>
  <c r="DL409" i="9" s="1" a="1"/>
  <c r="DL409" i="9" s="1"/>
  <c r="DN409" i="9" a="1"/>
  <c r="DN409" i="9" s="1"/>
  <c r="DM331" i="9" a="1"/>
  <c r="DM331" i="9" s="1"/>
  <c r="DK331" i="9" a="1"/>
  <c r="DK331" i="9" s="1"/>
  <c r="CG331" i="9" s="1"/>
  <c r="DO331" i="9" a="1"/>
  <c r="DO331" i="9" s="1"/>
  <c r="DP331" i="9" s="1"/>
  <c r="DL331" i="9" s="1" a="1"/>
  <c r="DL331" i="9" s="1"/>
  <c r="DN331" i="9" a="1"/>
  <c r="DN331" i="9" s="1"/>
  <c r="GH266" i="9"/>
  <c r="GI266" i="9" s="1"/>
  <c r="BZ266" i="9" s="1"/>
  <c r="FT266" i="9" s="1"/>
  <c r="CA266" i="9" s="1"/>
  <c r="GW266" i="9"/>
  <c r="HF266" i="9" s="1"/>
  <c r="CD266" i="9" s="1"/>
  <c r="GH100" i="9"/>
  <c r="GI100" i="9" s="1"/>
  <c r="GW100" i="9"/>
  <c r="GH92" i="9"/>
  <c r="GI92" i="9" s="1"/>
  <c r="GW92" i="9"/>
  <c r="GH105" i="9"/>
  <c r="GI105" i="9" s="1"/>
  <c r="GW105" i="9"/>
  <c r="GH68" i="9"/>
  <c r="GI68" i="9" s="1"/>
  <c r="BZ68" i="9" s="1"/>
  <c r="FT68" i="9" s="1"/>
  <c r="CA68" i="9" s="1"/>
  <c r="GW68" i="9"/>
  <c r="HF68" i="9" s="1"/>
  <c r="CD68" i="9" s="1"/>
  <c r="DM563" i="9" a="1"/>
  <c r="DM563" i="9" s="1"/>
  <c r="DO563" i="9" a="1"/>
  <c r="DO563" i="9" s="1"/>
  <c r="DP563" i="9" s="1"/>
  <c r="DL563" i="9" s="1" a="1"/>
  <c r="DL563" i="9" s="1"/>
  <c r="DN563" i="9" a="1"/>
  <c r="DN563" i="9" s="1"/>
  <c r="DK563" i="9" a="1"/>
  <c r="DK563" i="9" s="1"/>
  <c r="CG563" i="9" s="1"/>
  <c r="DM69" i="9" a="1"/>
  <c r="DM69" i="9" s="1"/>
  <c r="DO535" i="9" a="1"/>
  <c r="DO535" i="9" s="1"/>
  <c r="DP535" i="9" s="1"/>
  <c r="DL535" i="9" s="1" a="1"/>
  <c r="DL535" i="9" s="1"/>
  <c r="DN535" i="9" a="1"/>
  <c r="DN535" i="9" s="1"/>
  <c r="DK535" i="9" a="1"/>
  <c r="DK535" i="9" s="1"/>
  <c r="CG535" i="9" s="1"/>
  <c r="DM535" i="9" a="1"/>
  <c r="DM535" i="9" s="1"/>
  <c r="DN65" i="9" a="1"/>
  <c r="DN65" i="9" s="1"/>
  <c r="DK65" i="9" a="1"/>
  <c r="DK65" i="9" s="1"/>
  <c r="CG65" i="9" s="1"/>
  <c r="DK84" i="9" a="1"/>
  <c r="DK84" i="9" s="1"/>
  <c r="CG84" i="9" s="1"/>
  <c r="DN84" i="9" a="1"/>
  <c r="DN84" i="9" s="1"/>
  <c r="DM84" i="9" a="1"/>
  <c r="DM84" i="9" s="1"/>
  <c r="DO84" i="9" a="1"/>
  <c r="DO84" i="9" s="1"/>
  <c r="DP84" i="9" s="1"/>
  <c r="DL84" i="9" s="1" a="1"/>
  <c r="DL84" i="9" s="1"/>
  <c r="DO404" i="9" a="1"/>
  <c r="DO404" i="9" s="1"/>
  <c r="DP404" i="9" s="1"/>
  <c r="DL404" i="9" s="1" a="1"/>
  <c r="DL404" i="9" s="1"/>
  <c r="DM404" i="9" a="1"/>
  <c r="DM404" i="9" s="1"/>
  <c r="DK449" i="9" a="1"/>
  <c r="DK449" i="9" s="1"/>
  <c r="CG449" i="9" s="1"/>
  <c r="DO449" i="9" a="1"/>
  <c r="DO449" i="9" s="1"/>
  <c r="DP449" i="9" s="1"/>
  <c r="DL449" i="9" s="1" a="1"/>
  <c r="DL449" i="9" s="1"/>
  <c r="DN449" i="9" a="1"/>
  <c r="DN449" i="9" s="1"/>
  <c r="GH632" i="9"/>
  <c r="GI632" i="9" s="1"/>
  <c r="BZ632" i="9" s="1"/>
  <c r="FT632" i="9" s="1"/>
  <c r="CA632" i="9" s="1"/>
  <c r="GW632" i="9"/>
  <c r="HF632" i="9" s="1"/>
  <c r="GH616" i="9"/>
  <c r="GI616" i="9" s="1"/>
  <c r="BZ616" i="9" s="1"/>
  <c r="FT616" i="9" s="1"/>
  <c r="CA616" i="9" s="1"/>
  <c r="GW616" i="9"/>
  <c r="HF616" i="9" s="1"/>
  <c r="GW425" i="9"/>
  <c r="HF425" i="9" s="1"/>
  <c r="CD425" i="9" s="1"/>
  <c r="GH425" i="9"/>
  <c r="GI425" i="9" s="1"/>
  <c r="BZ425" i="9" s="1"/>
  <c r="FT425" i="9" s="1"/>
  <c r="CA425" i="9" s="1"/>
  <c r="GW547" i="9"/>
  <c r="HF547" i="9" s="1"/>
  <c r="CD547" i="9" s="1"/>
  <c r="GW646" i="9"/>
  <c r="HF646" i="9" s="1"/>
  <c r="GH395" i="9"/>
  <c r="GI395" i="9" s="1"/>
  <c r="BZ395" i="9" s="1"/>
  <c r="FT395" i="9" s="1"/>
  <c r="CA395" i="9" s="1"/>
  <c r="GW395" i="9"/>
  <c r="HF395" i="9" s="1"/>
  <c r="CD395" i="9" s="1"/>
  <c r="GW62" i="9"/>
  <c r="HF62" i="9" s="1"/>
  <c r="CD62" i="9" s="1"/>
  <c r="GH62" i="9"/>
  <c r="GI62" i="9" s="1"/>
  <c r="BZ62" i="9" s="1"/>
  <c r="FT62" i="9" s="1"/>
  <c r="CA62" i="9" s="1"/>
  <c r="GW651" i="9"/>
  <c r="HF651" i="9" s="1"/>
  <c r="GH596" i="9"/>
  <c r="GI596" i="9" s="1"/>
  <c r="GW596" i="9"/>
  <c r="HF596" i="9" s="1"/>
  <c r="GH128" i="9"/>
  <c r="GI128" i="9" s="1"/>
  <c r="GW128" i="9"/>
  <c r="GH387" i="9"/>
  <c r="GI387" i="9" s="1"/>
  <c r="BZ387" i="9" s="1"/>
  <c r="FT387" i="9" s="1"/>
  <c r="CA387" i="9" s="1"/>
  <c r="GW387" i="9"/>
  <c r="HF387" i="9" s="1"/>
  <c r="CD387" i="9" s="1"/>
  <c r="GH591" i="9"/>
  <c r="GI591" i="9" s="1"/>
  <c r="GW591" i="9"/>
  <c r="HF591" i="9" s="1"/>
  <c r="GW663" i="9"/>
  <c r="HF663" i="9" s="1"/>
  <c r="GW621" i="9"/>
  <c r="HF621" i="9" s="1"/>
  <c r="GW374" i="9"/>
  <c r="HF374" i="9" s="1"/>
  <c r="GW326" i="9"/>
  <c r="HF326" i="9" s="1"/>
  <c r="CD326" i="9" s="1"/>
  <c r="GW398" i="9"/>
  <c r="HF398" i="9" s="1"/>
  <c r="CD398" i="9" s="1"/>
  <c r="GW338" i="9"/>
  <c r="HF338" i="9" s="1"/>
  <c r="GW405" i="9"/>
  <c r="HF405" i="9" s="1"/>
  <c r="CD405" i="9" s="1"/>
  <c r="DN405" i="9" s="1" a="1"/>
  <c r="DN405" i="9" s="1"/>
  <c r="GW427" i="9"/>
  <c r="HF427" i="9" s="1"/>
  <c r="CD427" i="9" s="1"/>
  <c r="GW203" i="9"/>
  <c r="HF203" i="9" s="1"/>
  <c r="CD203" i="9" s="1"/>
  <c r="GW419" i="9"/>
  <c r="HF419" i="9" s="1"/>
  <c r="CD419" i="9" s="1"/>
  <c r="GW317" i="9"/>
  <c r="HF317" i="9" s="1"/>
  <c r="CD317" i="9" s="1"/>
  <c r="GW524" i="9"/>
  <c r="HF524" i="9" s="1"/>
  <c r="CD524" i="9" s="1"/>
  <c r="GW508" i="9"/>
  <c r="HF508" i="9" s="1"/>
  <c r="CD508" i="9" s="1"/>
  <c r="GW356" i="9"/>
  <c r="HF356" i="9" s="1"/>
  <c r="GW233" i="9"/>
  <c r="HF233" i="9" s="1"/>
  <c r="GW370" i="9"/>
  <c r="HF370" i="9" s="1"/>
  <c r="GW323" i="9"/>
  <c r="HF323" i="9" s="1"/>
  <c r="CD323" i="9" s="1"/>
  <c r="GW102" i="9"/>
  <c r="GW513" i="9"/>
  <c r="HF513" i="9" s="1"/>
  <c r="CD513" i="9" s="1"/>
  <c r="GW589" i="9"/>
  <c r="HF589" i="9" s="1"/>
  <c r="GW300" i="9"/>
  <c r="HF300" i="9" s="1"/>
  <c r="CD300" i="9" s="1"/>
  <c r="DM300" i="9" s="1" a="1"/>
  <c r="DM300" i="9" s="1"/>
  <c r="GW289" i="9"/>
  <c r="HF289" i="9" s="1"/>
  <c r="CD289" i="9" s="1"/>
  <c r="DN289" i="9" s="1" a="1"/>
  <c r="DN289" i="9" s="1"/>
  <c r="GQ244" i="9"/>
  <c r="GR244" i="9" s="1"/>
  <c r="GS244" i="9" s="1"/>
  <c r="GT244" i="9" s="1"/>
  <c r="GU244" i="9" s="1"/>
  <c r="GV244" i="9" s="1"/>
  <c r="GW244" i="9" s="1"/>
  <c r="HF244" i="9" s="1"/>
  <c r="GQ232" i="9"/>
  <c r="GR232" i="9" s="1"/>
  <c r="GS232" i="9" s="1"/>
  <c r="GT232" i="9" s="1"/>
  <c r="GU232" i="9" s="1"/>
  <c r="GV232" i="9" s="1"/>
  <c r="GW232" i="9" s="1"/>
  <c r="HF232" i="9" s="1"/>
  <c r="GQ157" i="9"/>
  <c r="GR157" i="9" s="1"/>
  <c r="GS157" i="9" s="1"/>
  <c r="GT157" i="9" s="1"/>
  <c r="GU157" i="9" s="1"/>
  <c r="GV157" i="9" s="1"/>
  <c r="GW157" i="9" s="1"/>
  <c r="HF157" i="9" s="1"/>
  <c r="CD157" i="9" s="1"/>
  <c r="GQ146" i="9"/>
  <c r="GR146" i="9" s="1"/>
  <c r="GS146" i="9" s="1"/>
  <c r="GT146" i="9" s="1"/>
  <c r="GU146" i="9" s="1"/>
  <c r="GV146" i="9" s="1"/>
  <c r="GW146" i="9" s="1"/>
  <c r="HF146" i="9" s="1"/>
  <c r="CD146" i="9" s="1"/>
  <c r="GQ220" i="9"/>
  <c r="GR220" i="9" s="1"/>
  <c r="GS220" i="9" s="1"/>
  <c r="GT220" i="9" s="1"/>
  <c r="GU220" i="9" s="1"/>
  <c r="GV220" i="9" s="1"/>
  <c r="GW220" i="9" s="1"/>
  <c r="HF220" i="9" s="1"/>
  <c r="GQ608" i="9"/>
  <c r="GR608" i="9" s="1"/>
  <c r="GS608" i="9" s="1"/>
  <c r="GT608" i="9" s="1"/>
  <c r="GU608" i="9" s="1"/>
  <c r="GV608" i="9" s="1"/>
  <c r="GW608" i="9" s="1"/>
  <c r="HF608" i="9" s="1"/>
  <c r="GQ587" i="9"/>
  <c r="GR587" i="9" s="1"/>
  <c r="GS587" i="9" s="1"/>
  <c r="GT587" i="9" s="1"/>
  <c r="GU587" i="9" s="1"/>
  <c r="GV587" i="9" s="1"/>
  <c r="GW587" i="9" s="1"/>
  <c r="HF587" i="9" s="1"/>
  <c r="GQ248" i="9"/>
  <c r="GR248" i="9" s="1"/>
  <c r="GS248" i="9" s="1"/>
  <c r="GT248" i="9" s="1"/>
  <c r="GU248" i="9" s="1"/>
  <c r="GV248" i="9" s="1"/>
  <c r="GW248" i="9" s="1"/>
  <c r="HF248" i="9" s="1"/>
  <c r="GW239" i="9"/>
  <c r="HF239" i="9" s="1"/>
  <c r="GW214" i="9"/>
  <c r="HF214" i="9" s="1"/>
  <c r="GQ180" i="9"/>
  <c r="GR180" i="9" s="1"/>
  <c r="GS180" i="9" s="1"/>
  <c r="GT180" i="9" s="1"/>
  <c r="GU180" i="9" s="1"/>
  <c r="GV180" i="9" s="1"/>
  <c r="GW180" i="9" s="1"/>
  <c r="HF180" i="9" s="1"/>
  <c r="CD180" i="9" s="1"/>
  <c r="GQ165" i="9"/>
  <c r="GR165" i="9" s="1"/>
  <c r="GS165" i="9" s="1"/>
  <c r="GT165" i="9" s="1"/>
  <c r="GU165" i="9" s="1"/>
  <c r="GV165" i="9" s="1"/>
  <c r="GW165" i="9" s="1"/>
  <c r="HF165" i="9" s="1"/>
  <c r="CD165" i="9" s="1"/>
  <c r="GQ161" i="9"/>
  <c r="GR161" i="9" s="1"/>
  <c r="GS161" i="9" s="1"/>
  <c r="GT161" i="9" s="1"/>
  <c r="GU161" i="9" s="1"/>
  <c r="GV161" i="9" s="1"/>
  <c r="GW161" i="9" s="1"/>
  <c r="HF161" i="9" s="1"/>
  <c r="CD161" i="9" s="1"/>
  <c r="GQ153" i="9"/>
  <c r="GR153" i="9" s="1"/>
  <c r="GS153" i="9" s="1"/>
  <c r="GT153" i="9" s="1"/>
  <c r="GU153" i="9" s="1"/>
  <c r="GV153" i="9" s="1"/>
  <c r="GW153" i="9" s="1"/>
  <c r="HF153" i="9" s="1"/>
  <c r="CD153" i="9" s="1"/>
  <c r="GQ138" i="9"/>
  <c r="GR138" i="9" s="1"/>
  <c r="GS138" i="9" s="1"/>
  <c r="GT138" i="9" s="1"/>
  <c r="GU138" i="9" s="1"/>
  <c r="GV138" i="9" s="1"/>
  <c r="GW138" i="9" s="1"/>
  <c r="HF138" i="9" s="1"/>
  <c r="CD138" i="9" s="1"/>
  <c r="GQ236" i="9"/>
  <c r="GR236" i="9" s="1"/>
  <c r="GS236" i="9" s="1"/>
  <c r="GT236" i="9" s="1"/>
  <c r="GU236" i="9" s="1"/>
  <c r="GV236" i="9" s="1"/>
  <c r="GW236" i="9" s="1"/>
  <c r="HF236" i="9" s="1"/>
  <c r="GQ224" i="9"/>
  <c r="GR224" i="9" s="1"/>
  <c r="GS224" i="9" s="1"/>
  <c r="GT224" i="9" s="1"/>
  <c r="GU224" i="9" s="1"/>
  <c r="GV224" i="9" s="1"/>
  <c r="GW224" i="9" s="1"/>
  <c r="HF224" i="9" s="1"/>
  <c r="GW204" i="9"/>
  <c r="HF204" i="9" s="1"/>
  <c r="CD204" i="9" s="1"/>
  <c r="GQ177" i="9"/>
  <c r="GR177" i="9" s="1"/>
  <c r="GS177" i="9" s="1"/>
  <c r="GT177" i="9" s="1"/>
  <c r="GU177" i="9" s="1"/>
  <c r="GV177" i="9" s="1"/>
  <c r="GW177" i="9" s="1"/>
  <c r="HF177" i="9" s="1"/>
  <c r="CD177" i="9" s="1"/>
  <c r="GW174" i="9"/>
  <c r="HF174" i="9" s="1"/>
  <c r="CD174" i="9" s="1"/>
  <c r="GW150" i="9"/>
  <c r="HF150" i="9" s="1"/>
  <c r="CD150" i="9" s="1"/>
  <c r="DM150" i="9" s="1" a="1"/>
  <c r="DM150" i="9" s="1"/>
  <c r="GW255" i="9"/>
  <c r="HF255" i="9" s="1"/>
  <c r="GW219" i="9"/>
  <c r="HF219" i="9" s="1"/>
  <c r="GW218" i="9"/>
  <c r="HF218" i="9" s="1"/>
  <c r="GQ212" i="9"/>
  <c r="GR212" i="9" s="1"/>
  <c r="GS212" i="9" s="1"/>
  <c r="GT212" i="9" s="1"/>
  <c r="GU212" i="9" s="1"/>
  <c r="GV212" i="9" s="1"/>
  <c r="GW212" i="9" s="1"/>
  <c r="HF212" i="9" s="1"/>
  <c r="GQ208" i="9"/>
  <c r="GR208" i="9" s="1"/>
  <c r="GS208" i="9" s="1"/>
  <c r="GT208" i="9" s="1"/>
  <c r="GU208" i="9" s="1"/>
  <c r="GV208" i="9" s="1"/>
  <c r="GW208" i="9" s="1"/>
  <c r="HF208" i="9" s="1"/>
  <c r="CD208" i="9" s="1"/>
  <c r="GW193" i="9"/>
  <c r="HF193" i="9" s="1"/>
  <c r="CD193" i="9" s="1"/>
  <c r="GW182" i="9"/>
  <c r="HF182" i="9" s="1"/>
  <c r="CD182" i="9" s="1"/>
  <c r="GW175" i="9"/>
  <c r="HF175" i="9" s="1"/>
  <c r="CD175" i="9" s="1"/>
  <c r="GW160" i="9"/>
  <c r="HF160" i="9" s="1"/>
  <c r="CD160" i="9" s="1"/>
  <c r="GW583" i="9"/>
  <c r="HF583" i="9" s="1"/>
  <c r="S19" i="21"/>
  <c r="GQ240" i="9"/>
  <c r="GR240" i="9" s="1"/>
  <c r="GS240" i="9" s="1"/>
  <c r="GT240" i="9" s="1"/>
  <c r="GU240" i="9" s="1"/>
  <c r="GV240" i="9" s="1"/>
  <c r="GW240" i="9" s="1"/>
  <c r="HF240" i="9" s="1"/>
  <c r="GQ202" i="9"/>
  <c r="GR202" i="9" s="1"/>
  <c r="GS202" i="9" s="1"/>
  <c r="GT202" i="9" s="1"/>
  <c r="GU202" i="9" s="1"/>
  <c r="GV202" i="9" s="1"/>
  <c r="GW202" i="9" s="1"/>
  <c r="HF202" i="9" s="1"/>
  <c r="CD202" i="9" s="1"/>
  <c r="GW176" i="9"/>
  <c r="HF176" i="9" s="1"/>
  <c r="CD176" i="9" s="1"/>
  <c r="GW145" i="9"/>
  <c r="HF145" i="9" s="1"/>
  <c r="CD145" i="9" s="1"/>
  <c r="GW136" i="9"/>
  <c r="HF136" i="9" s="1"/>
  <c r="CD136" i="9" s="1"/>
  <c r="GR257" i="9"/>
  <c r="GS257" i="9" s="1"/>
  <c r="GT257" i="9" s="1"/>
  <c r="GU257" i="9" s="1"/>
  <c r="GV257" i="9" s="1"/>
  <c r="GW257" i="9" s="1"/>
  <c r="HF257" i="9" s="1"/>
  <c r="GQ228" i="9"/>
  <c r="GR228" i="9" s="1"/>
  <c r="GS228" i="9" s="1"/>
  <c r="GT228" i="9" s="1"/>
  <c r="GU228" i="9" s="1"/>
  <c r="GV228" i="9" s="1"/>
  <c r="GW228" i="9" s="1"/>
  <c r="HF228" i="9" s="1"/>
  <c r="GQ216" i="9"/>
  <c r="GR216" i="9" s="1"/>
  <c r="GS216" i="9" s="1"/>
  <c r="GT216" i="9" s="1"/>
  <c r="GU216" i="9" s="1"/>
  <c r="GV216" i="9" s="1"/>
  <c r="GW216" i="9" s="1"/>
  <c r="HF216" i="9" s="1"/>
  <c r="GQ194" i="9"/>
  <c r="GR194" i="9" s="1"/>
  <c r="GS194" i="9" s="1"/>
  <c r="GT194" i="9" s="1"/>
  <c r="GU194" i="9" s="1"/>
  <c r="GV194" i="9" s="1"/>
  <c r="GW194" i="9" s="1"/>
  <c r="HF194" i="9" s="1"/>
  <c r="GQ188" i="9"/>
  <c r="GR188" i="9" s="1"/>
  <c r="GS188" i="9" s="1"/>
  <c r="GT188" i="9" s="1"/>
  <c r="GU188" i="9" s="1"/>
  <c r="GV188" i="9" s="1"/>
  <c r="GW188" i="9" s="1"/>
  <c r="HF188" i="9" s="1"/>
  <c r="CD188" i="9" s="1"/>
  <c r="GQ168" i="9"/>
  <c r="GR168" i="9" s="1"/>
  <c r="GS168" i="9" s="1"/>
  <c r="GT168" i="9" s="1"/>
  <c r="GU168" i="9" s="1"/>
  <c r="GV168" i="9" s="1"/>
  <c r="GW168" i="9" s="1"/>
  <c r="HF168" i="9" s="1"/>
  <c r="CD168" i="9" s="1"/>
  <c r="GW156" i="9"/>
  <c r="HF156" i="9" s="1"/>
  <c r="CD156" i="9" s="1"/>
  <c r="GR149" i="9"/>
  <c r="GS149" i="9" s="1"/>
  <c r="GT149" i="9" s="1"/>
  <c r="GU149" i="9" s="1"/>
  <c r="GV149" i="9" s="1"/>
  <c r="GW149" i="9" s="1"/>
  <c r="HF149" i="9" s="1"/>
  <c r="DM13" i="9" a="1"/>
  <c r="DM13" i="9" s="1"/>
  <c r="DM420" i="9" a="1"/>
  <c r="DM420" i="9" s="1"/>
  <c r="DK418" i="9" a="1"/>
  <c r="DK418" i="9" s="1"/>
  <c r="CG418" i="9" s="1"/>
  <c r="DM320" i="9" a="1"/>
  <c r="DM320" i="9" s="1"/>
  <c r="DN320" i="9" a="1"/>
  <c r="DN320" i="9" s="1"/>
  <c r="DO320" i="9" a="1"/>
  <c r="DO320" i="9" s="1"/>
  <c r="DP320" i="9" s="1"/>
  <c r="DL320" i="9" s="1" a="1"/>
  <c r="DL320" i="9" s="1"/>
  <c r="DK383" i="9" a="1"/>
  <c r="DK383" i="9" s="1"/>
  <c r="CG383" i="9" s="1"/>
  <c r="DN383" i="9" a="1"/>
  <c r="DN383" i="9" s="1"/>
  <c r="DM383" i="9" a="1"/>
  <c r="DM383" i="9" s="1"/>
  <c r="DO528" i="9" a="1"/>
  <c r="DO528" i="9" s="1"/>
  <c r="DP528" i="9" s="1"/>
  <c r="DL528" i="9" s="1" a="1"/>
  <c r="DL528" i="9" s="1"/>
  <c r="DM396" i="9" a="1"/>
  <c r="DM396" i="9" s="1"/>
  <c r="DN396" i="9" a="1"/>
  <c r="DN396" i="9" s="1"/>
  <c r="DO396" i="9" a="1"/>
  <c r="DO396" i="9" s="1"/>
  <c r="DP396" i="9" s="1"/>
  <c r="DL396" i="9" s="1" a="1"/>
  <c r="DL396" i="9" s="1"/>
  <c r="DK396" i="9" a="1"/>
  <c r="DK396" i="9" s="1"/>
  <c r="CG396" i="9" s="1"/>
  <c r="DK385" i="9" a="1"/>
  <c r="DK385" i="9" s="1"/>
  <c r="CG385" i="9" s="1"/>
  <c r="DO385" i="9" a="1"/>
  <c r="DO385" i="9" s="1"/>
  <c r="DP385" i="9" s="1"/>
  <c r="DL385" i="9" s="1" a="1"/>
  <c r="DL385" i="9" s="1"/>
  <c r="DM385" i="9" a="1"/>
  <c r="DM385" i="9" s="1"/>
  <c r="DM403" i="9" a="1"/>
  <c r="DM403" i="9" s="1"/>
  <c r="DO307" i="9" a="1"/>
  <c r="DO307" i="9" s="1"/>
  <c r="DP307" i="9" s="1"/>
  <c r="DL307" i="9" s="1" a="1"/>
  <c r="DL307" i="9" s="1"/>
  <c r="DM307" i="9" a="1"/>
  <c r="DM307" i="9" s="1"/>
  <c r="DK265" i="9" a="1"/>
  <c r="DK265" i="9" s="1"/>
  <c r="CG265" i="9" s="1"/>
  <c r="DO265" i="9" a="1"/>
  <c r="DO265" i="9" s="1"/>
  <c r="DP265" i="9" s="1"/>
  <c r="DL265" i="9" s="1" a="1"/>
  <c r="DL265" i="9" s="1"/>
  <c r="DN265" i="9" a="1"/>
  <c r="DN265" i="9" s="1"/>
  <c r="DK559" i="9" a="1"/>
  <c r="DK559" i="9" s="1"/>
  <c r="CG559" i="9" s="1"/>
  <c r="DN559" i="9" a="1"/>
  <c r="DN559" i="9" s="1"/>
  <c r="DM426" i="9" a="1"/>
  <c r="DM426" i="9" s="1"/>
  <c r="DM284" i="9" a="1"/>
  <c r="DM284" i="9" s="1"/>
  <c r="DO284" i="9" a="1"/>
  <c r="DO284" i="9" s="1"/>
  <c r="DP284" i="9" s="1"/>
  <c r="DL284" i="9" s="1" a="1"/>
  <c r="DL284" i="9" s="1"/>
  <c r="DO305" i="9" a="1"/>
  <c r="DO305" i="9" s="1"/>
  <c r="DP305" i="9" s="1"/>
  <c r="DL305" i="9" s="1" a="1"/>
  <c r="DL305" i="9" s="1"/>
  <c r="DN305" i="9" a="1"/>
  <c r="DN305" i="9" s="1"/>
  <c r="DK305" i="9" a="1"/>
  <c r="DK305" i="9" s="1"/>
  <c r="CG305" i="9" s="1"/>
  <c r="DM432" i="9" a="1"/>
  <c r="DM432" i="9" s="1"/>
  <c r="DO432" i="9" a="1"/>
  <c r="DO432" i="9" s="1"/>
  <c r="DP432" i="9" s="1"/>
  <c r="DL432" i="9" s="1" a="1"/>
  <c r="DL432" i="9" s="1"/>
  <c r="DK432" i="9" a="1"/>
  <c r="DK432" i="9" s="1"/>
  <c r="CG432" i="9" s="1"/>
  <c r="GW450" i="9"/>
  <c r="HF450" i="9" s="1"/>
  <c r="CD450" i="9" s="1"/>
  <c r="GH450" i="9"/>
  <c r="GI450" i="9" s="1"/>
  <c r="BZ450" i="9" s="1"/>
  <c r="FT450" i="9" s="1"/>
  <c r="CA450" i="9" s="1"/>
  <c r="GW428" i="9"/>
  <c r="HF428" i="9" s="1"/>
  <c r="CD428" i="9" s="1"/>
  <c r="GH428" i="9"/>
  <c r="GI428" i="9" s="1"/>
  <c r="BZ428" i="9" s="1"/>
  <c r="FT428" i="9" s="1"/>
  <c r="CA428" i="9" s="1"/>
  <c r="GH655" i="9"/>
  <c r="GI655" i="9" s="1"/>
  <c r="BZ655" i="9" s="1"/>
  <c r="FT655" i="9" s="1"/>
  <c r="CA655" i="9" s="1"/>
  <c r="GW655" i="9"/>
  <c r="HF655" i="9" s="1"/>
  <c r="GW561" i="9"/>
  <c r="HF561" i="9" s="1"/>
  <c r="CD561" i="9" s="1"/>
  <c r="GH561" i="9"/>
  <c r="GI561" i="9" s="1"/>
  <c r="BZ561" i="9" s="1"/>
  <c r="FT561" i="9" s="1"/>
  <c r="CA561" i="9" s="1"/>
  <c r="GW640" i="9"/>
  <c r="HF640" i="9" s="1"/>
  <c r="GH640" i="9"/>
  <c r="GI640" i="9" s="1"/>
  <c r="BZ640" i="9" s="1"/>
  <c r="FT640" i="9" s="1"/>
  <c r="CA640" i="9" s="1"/>
  <c r="GH558" i="9"/>
  <c r="GI558" i="9" s="1"/>
  <c r="BZ558" i="9" s="1"/>
  <c r="FT558" i="9" s="1"/>
  <c r="CA558" i="9" s="1"/>
  <c r="GW558" i="9"/>
  <c r="HF558" i="9" s="1"/>
  <c r="CD558" i="9" s="1"/>
  <c r="GH408" i="9"/>
  <c r="GI408" i="9" s="1"/>
  <c r="BZ408" i="9" s="1"/>
  <c r="FT408" i="9" s="1"/>
  <c r="CA408" i="9" s="1"/>
  <c r="GW408" i="9"/>
  <c r="HF408" i="9" s="1"/>
  <c r="CD408" i="9" s="1"/>
  <c r="GW417" i="9"/>
  <c r="HF417" i="9" s="1"/>
  <c r="CD417" i="9" s="1"/>
  <c r="GH417" i="9"/>
  <c r="GI417" i="9" s="1"/>
  <c r="BZ417" i="9" s="1"/>
  <c r="FT417" i="9" s="1"/>
  <c r="CA417" i="9" s="1"/>
  <c r="GH412" i="9"/>
  <c r="GI412" i="9" s="1"/>
  <c r="BZ412" i="9" s="1"/>
  <c r="FT412" i="9" s="1"/>
  <c r="CA412" i="9" s="1"/>
  <c r="GW412" i="9"/>
  <c r="HF412" i="9" s="1"/>
  <c r="CD412" i="9" s="1"/>
  <c r="GW661" i="9"/>
  <c r="HF661" i="9" s="1"/>
  <c r="GH661" i="9"/>
  <c r="GI661" i="9" s="1"/>
  <c r="BZ661" i="9" s="1"/>
  <c r="FT661" i="9" s="1"/>
  <c r="CA661" i="9" s="1"/>
  <c r="GW570" i="9"/>
  <c r="HF570" i="9" s="1"/>
  <c r="CD570" i="9" s="1"/>
  <c r="GH570" i="9"/>
  <c r="GI570" i="9" s="1"/>
  <c r="BZ570" i="9" s="1"/>
  <c r="FT570" i="9" s="1"/>
  <c r="CA570" i="9" s="1"/>
  <c r="DN411" i="9" a="1"/>
  <c r="DN411" i="9" s="1"/>
  <c r="DK411" i="9" a="1"/>
  <c r="DK411" i="9" s="1"/>
  <c r="CG411" i="9" s="1"/>
  <c r="DM411" i="9" a="1"/>
  <c r="DM411" i="9" s="1"/>
  <c r="DD741" i="5"/>
  <c r="DD742" i="5" s="1"/>
  <c r="GH276" i="9"/>
  <c r="GI276" i="9" s="1"/>
  <c r="BZ276" i="9" s="1"/>
  <c r="FT276" i="9" s="1"/>
  <c r="CA276" i="9" s="1"/>
  <c r="GH423" i="9"/>
  <c r="GI423" i="9" s="1"/>
  <c r="BZ423" i="9" s="1"/>
  <c r="FT423" i="9" s="1"/>
  <c r="CA423" i="9" s="1"/>
  <c r="GW423" i="9"/>
  <c r="HF423" i="9" s="1"/>
  <c r="CD423" i="9" s="1"/>
  <c r="GW597" i="9"/>
  <c r="HF597" i="9" s="1"/>
  <c r="GH597" i="9"/>
  <c r="GI597" i="9" s="1"/>
  <c r="GW112" i="9"/>
  <c r="GW261" i="9"/>
  <c r="HF261" i="9" s="1"/>
  <c r="CD261" i="9" s="1"/>
  <c r="GW454" i="9"/>
  <c r="HF454" i="9" s="1"/>
  <c r="HF109" i="9"/>
  <c r="GW251" i="9"/>
  <c r="HF251" i="9" s="1"/>
  <c r="GW250" i="9"/>
  <c r="HF250" i="9" s="1"/>
  <c r="GW223" i="9"/>
  <c r="HF223" i="9" s="1"/>
  <c r="GW221" i="9"/>
  <c r="HF221" i="9" s="1"/>
  <c r="GW256" i="9"/>
  <c r="HF256" i="9" s="1"/>
  <c r="GW238" i="9"/>
  <c r="HF238" i="9" s="1"/>
  <c r="GW227" i="9"/>
  <c r="HF227" i="9" s="1"/>
  <c r="GW226" i="9"/>
  <c r="HF226" i="9" s="1"/>
  <c r="GW205" i="9"/>
  <c r="HF205" i="9" s="1"/>
  <c r="CD205" i="9" s="1"/>
  <c r="GW243" i="9"/>
  <c r="HF243" i="9" s="1"/>
  <c r="GW242" i="9"/>
  <c r="HF242" i="9" s="1"/>
  <c r="GW215" i="9"/>
  <c r="HF215" i="9" s="1"/>
  <c r="GW213" i="9"/>
  <c r="HF213" i="9" s="1"/>
  <c r="GW206" i="9"/>
  <c r="HF206" i="9" s="1"/>
  <c r="CD206" i="9" s="1"/>
  <c r="GW231" i="9"/>
  <c r="HF231" i="9" s="1"/>
  <c r="GW229" i="9"/>
  <c r="HF229" i="9" s="1"/>
  <c r="GW225" i="9"/>
  <c r="HF225" i="9" s="1"/>
  <c r="GW246" i="9"/>
  <c r="HF246" i="9" s="1"/>
  <c r="GW235" i="9"/>
  <c r="HF235" i="9" s="1"/>
  <c r="GW234" i="9"/>
  <c r="HF234" i="9" s="1"/>
  <c r="GI139" i="9"/>
  <c r="BZ139" i="9" s="1"/>
  <c r="FT139" i="9" s="1"/>
  <c r="CA139" i="9" s="1"/>
  <c r="GW201" i="9"/>
  <c r="HF201" i="9" s="1"/>
  <c r="CD201" i="9" s="1"/>
  <c r="GW200" i="9"/>
  <c r="HF200" i="9" s="1"/>
  <c r="CD200" i="9" s="1"/>
  <c r="GW178" i="9"/>
  <c r="HF178" i="9" s="1"/>
  <c r="CD178" i="9" s="1"/>
  <c r="GW162" i="9"/>
  <c r="HF162" i="9" s="1"/>
  <c r="CD162" i="9" s="1"/>
  <c r="GW184" i="9"/>
  <c r="HF184" i="9" s="1"/>
  <c r="CD184" i="9" s="1"/>
  <c r="GW183" i="9"/>
  <c r="HF183" i="9" s="1"/>
  <c r="CD183" i="9" s="1"/>
  <c r="GW179" i="9"/>
  <c r="HF179" i="9" s="1"/>
  <c r="GW172" i="9"/>
  <c r="HF172" i="9" s="1"/>
  <c r="CD172" i="9" s="1"/>
  <c r="GI154" i="9"/>
  <c r="BZ154" i="9" s="1"/>
  <c r="FT154" i="9" s="1"/>
  <c r="CA154" i="9" s="1"/>
  <c r="GI184" i="9"/>
  <c r="BZ184" i="9" s="1"/>
  <c r="FT184" i="9" s="1"/>
  <c r="CA184" i="9" s="1"/>
  <c r="GW191" i="9"/>
  <c r="HF191" i="9" s="1"/>
  <c r="CD191" i="9" s="1"/>
  <c r="GW189" i="9"/>
  <c r="HF189" i="9" s="1"/>
  <c r="CD189" i="9" s="1"/>
  <c r="GW173" i="9"/>
  <c r="HF173" i="9" s="1"/>
  <c r="CD173" i="9" s="1"/>
  <c r="GW167" i="9"/>
  <c r="HF167" i="9" s="1"/>
  <c r="CD167" i="9" s="1"/>
  <c r="GW197" i="9"/>
  <c r="HF197" i="9" s="1"/>
  <c r="CD197" i="9" s="1"/>
  <c r="GI169" i="9"/>
  <c r="BZ169" i="9" s="1"/>
  <c r="FT169" i="9" s="1"/>
  <c r="CA169" i="9" s="1"/>
  <c r="GW198" i="9"/>
  <c r="HF198" i="9" s="1"/>
  <c r="CD198" i="9" s="1"/>
  <c r="GW196" i="9"/>
  <c r="HF196" i="9" s="1"/>
  <c r="CD196" i="9" s="1"/>
  <c r="GW171" i="9"/>
  <c r="HF171" i="9" s="1"/>
  <c r="CD171" i="9" s="1"/>
  <c r="K56" i="10"/>
  <c r="K57" i="10" s="1"/>
  <c r="GW199" i="9"/>
  <c r="HF199" i="9" s="1"/>
  <c r="CD199" i="9" s="1"/>
  <c r="GW192" i="9"/>
  <c r="HF192" i="9" s="1"/>
  <c r="CD192" i="9" s="1"/>
  <c r="GW190" i="9"/>
  <c r="HF190" i="9" s="1"/>
  <c r="CD190" i="9" s="1"/>
  <c r="GW187" i="9"/>
  <c r="HF187" i="9" s="1"/>
  <c r="CD187" i="9" s="1"/>
  <c r="GW185" i="9"/>
  <c r="HF185" i="9" s="1"/>
  <c r="CD185" i="9" s="1"/>
  <c r="GW169" i="9"/>
  <c r="HF169" i="9" s="1"/>
  <c r="CD169" i="9" s="1"/>
  <c r="GW152" i="9"/>
  <c r="HF152" i="9" s="1"/>
  <c r="CD152" i="9" s="1"/>
  <c r="GW151" i="9"/>
  <c r="HF151" i="9" s="1"/>
  <c r="CD151" i="9" s="1"/>
  <c r="GW147" i="9"/>
  <c r="HF147" i="9" s="1"/>
  <c r="CD147" i="9" s="1"/>
  <c r="GW137" i="9"/>
  <c r="HF137" i="9" s="1"/>
  <c r="CD137" i="9" s="1"/>
  <c r="GW154" i="9"/>
  <c r="HF154" i="9" s="1"/>
  <c r="CD154" i="9" s="1"/>
  <c r="GW159" i="9"/>
  <c r="HF159" i="9" s="1"/>
  <c r="CD159" i="9" s="1"/>
  <c r="GW258" i="9"/>
  <c r="HF258" i="9" s="1"/>
  <c r="GW163" i="9"/>
  <c r="HF163" i="9" s="1"/>
  <c r="CD163" i="9" s="1"/>
  <c r="GW143" i="9"/>
  <c r="HF143" i="9" s="1"/>
  <c r="CD143" i="9" s="1"/>
  <c r="GW142" i="9"/>
  <c r="HF142" i="9" s="1"/>
  <c r="CD142" i="9" s="1"/>
  <c r="GW158" i="9"/>
  <c r="HF158" i="9" s="1"/>
  <c r="CD158" i="9" s="1"/>
  <c r="GW164" i="9"/>
  <c r="HF164" i="9" s="1"/>
  <c r="FW15" i="9"/>
  <c r="FX15" i="9" s="1"/>
  <c r="FY15" i="9" s="1"/>
  <c r="DF317" i="10"/>
  <c r="DF322" i="10"/>
  <c r="T16" i="21"/>
  <c r="CO112" i="10"/>
  <c r="T31" i="21"/>
  <c r="T22" i="21"/>
  <c r="Y66" i="10"/>
  <c r="AP18" i="10"/>
  <c r="CR256" i="10" s="1"/>
  <c r="T13" i="21"/>
  <c r="DF324" i="10"/>
  <c r="DF320" i="10"/>
  <c r="I56" i="10"/>
  <c r="I57" i="10" s="1"/>
  <c r="T26" i="21"/>
  <c r="T15" i="21"/>
  <c r="T28" i="21"/>
  <c r="T14" i="21"/>
  <c r="T29" i="21"/>
  <c r="T23" i="21"/>
  <c r="T20" i="21"/>
  <c r="T24" i="21"/>
  <c r="T12" i="21"/>
  <c r="T10" i="21"/>
  <c r="DD184" i="5"/>
  <c r="DD185" i="5" s="1"/>
  <c r="CS262" i="10"/>
  <c r="T27" i="21"/>
  <c r="T17" i="21"/>
  <c r="J56" i="10"/>
  <c r="J57" i="10" s="1"/>
  <c r="T30" i="21"/>
  <c r="T25" i="21"/>
  <c r="T18" i="21"/>
  <c r="AL34" i="10"/>
  <c r="CS138" i="10" s="1"/>
  <c r="DD129" i="5"/>
  <c r="AJ33" i="10"/>
  <c r="CS87" i="10" s="1"/>
  <c r="T11" i="21"/>
  <c r="DD448" i="5"/>
  <c r="DD449" i="5" s="1"/>
  <c r="W66" i="10"/>
  <c r="S25" i="21"/>
  <c r="AE66" i="10"/>
  <c r="CW337" i="10" s="1"/>
  <c r="T66" i="10"/>
  <c r="S27" i="21"/>
  <c r="CO162" i="10"/>
  <c r="DF330" i="10"/>
  <c r="DD667" i="5"/>
  <c r="DD668" i="5" s="1"/>
  <c r="Z66" i="10"/>
  <c r="V66" i="10"/>
  <c r="CW87" i="10" s="1"/>
  <c r="M56" i="10"/>
  <c r="M57" i="10" s="1"/>
  <c r="S26" i="21"/>
  <c r="CS187" i="10"/>
  <c r="P56" i="10"/>
  <c r="P57" i="10" s="1"/>
  <c r="AM33" i="10"/>
  <c r="DF318" i="10"/>
  <c r="DF315" i="10"/>
  <c r="AA66" i="10"/>
  <c r="DF321" i="10"/>
  <c r="AO34" i="10"/>
  <c r="CS213" i="10" s="1"/>
  <c r="CO88" i="10"/>
  <c r="AJ34" i="10"/>
  <c r="H56" i="10"/>
  <c r="H57" i="10" s="1"/>
  <c r="DD402" i="10"/>
  <c r="DF327" i="10"/>
  <c r="CO288" i="10"/>
  <c r="AQ34" i="10"/>
  <c r="O56" i="10"/>
  <c r="O57" i="10" s="1"/>
  <c r="Z11" i="21"/>
  <c r="Z10" i="21"/>
  <c r="Z22" i="21"/>
  <c r="Z16" i="21"/>
  <c r="Z27" i="21"/>
  <c r="Z19" i="21"/>
  <c r="Z25" i="21"/>
  <c r="Z23" i="21"/>
  <c r="Z12" i="21"/>
  <c r="Z21" i="21"/>
  <c r="Z20" i="21"/>
  <c r="Z13" i="21"/>
  <c r="Z17" i="21"/>
  <c r="Z26" i="21"/>
  <c r="Z18" i="21"/>
  <c r="Z24" i="21"/>
  <c r="Z14" i="21"/>
  <c r="CO12" i="10"/>
  <c r="E56" i="10"/>
  <c r="E57" i="10" s="1"/>
  <c r="AG33" i="10"/>
  <c r="CO38" i="10"/>
  <c r="F56" i="10"/>
  <c r="F57" i="10" s="1"/>
  <c r="AH34" i="10"/>
  <c r="CS38" i="10" s="1"/>
  <c r="S30" i="21"/>
  <c r="S10" i="21"/>
  <c r="S20" i="21"/>
  <c r="S11" i="21"/>
  <c r="S21" i="21"/>
  <c r="S12" i="21"/>
  <c r="S16" i="21"/>
  <c r="S17" i="21"/>
  <c r="S29" i="21"/>
  <c r="S15" i="21"/>
  <c r="S23" i="21"/>
  <c r="S31" i="21"/>
  <c r="S28" i="21"/>
  <c r="S24" i="21"/>
  <c r="S13" i="21"/>
  <c r="S22" i="21"/>
  <c r="S14" i="21"/>
  <c r="S18" i="21"/>
  <c r="AG34" i="10"/>
  <c r="CS13" i="10" s="1"/>
  <c r="CO13" i="10"/>
  <c r="DE735" i="5"/>
  <c r="DD381" i="5"/>
  <c r="DD382" i="5" s="1"/>
  <c r="DD383" i="5" s="1"/>
  <c r="DD575" i="5"/>
  <c r="DD576" i="5" s="1"/>
  <c r="CO312" i="10"/>
  <c r="DD485" i="5"/>
  <c r="DD486" i="5" s="1"/>
  <c r="G56" i="10"/>
  <c r="G57" i="10" s="1"/>
  <c r="DF323" i="10"/>
  <c r="DF325" i="10"/>
  <c r="DF306" i="10"/>
  <c r="L56" i="10"/>
  <c r="L57" i="10" s="1"/>
  <c r="DF326" i="10"/>
  <c r="AN34" i="10"/>
  <c r="DE442" i="5"/>
  <c r="DD205" i="5"/>
  <c r="DD559" i="5"/>
  <c r="DD539" i="5"/>
  <c r="DD149" i="5"/>
  <c r="DD721" i="5"/>
  <c r="E44" i="15"/>
  <c r="E40" i="15"/>
  <c r="E59" i="15"/>
  <c r="E60" i="15"/>
  <c r="E62" i="15"/>
  <c r="E48" i="15"/>
  <c r="E64" i="15"/>
  <c r="E32" i="15"/>
  <c r="E49" i="15"/>
  <c r="E43" i="15"/>
  <c r="E51" i="15"/>
  <c r="E55" i="15"/>
  <c r="E67" i="15"/>
  <c r="E33" i="15"/>
  <c r="E52" i="15"/>
  <c r="E38" i="15"/>
  <c r="E34" i="15"/>
  <c r="E53" i="15"/>
  <c r="E36" i="15"/>
  <c r="E63" i="15"/>
  <c r="E42" i="15"/>
  <c r="E61" i="15"/>
  <c r="E45" i="15"/>
  <c r="E57" i="15"/>
  <c r="E54" i="15"/>
  <c r="E66" i="15"/>
  <c r="E35" i="15"/>
  <c r="E37" i="15"/>
  <c r="E29" i="15"/>
  <c r="E65" i="15"/>
  <c r="E41" i="15"/>
  <c r="E39" i="15"/>
  <c r="E30" i="15"/>
  <c r="E56" i="15"/>
  <c r="E46" i="15"/>
  <c r="E50" i="15"/>
  <c r="E31" i="15"/>
  <c r="E58" i="15"/>
  <c r="E47" i="15"/>
  <c r="DD596" i="5"/>
  <c r="DD597" i="5" s="1"/>
  <c r="DD75" i="5"/>
  <c r="DD374" i="5"/>
  <c r="DD375" i="5" s="1"/>
  <c r="AD66" i="10"/>
  <c r="CS312" i="10"/>
  <c r="DD398" i="10"/>
  <c r="Z38" i="12" l="1"/>
  <c r="BM34" i="12" s="1"/>
  <c r="BM36" i="12" s="1"/>
  <c r="AI16" i="12"/>
  <c r="AI38" i="12"/>
  <c r="BL40" i="12"/>
  <c r="BL42" i="12" s="1"/>
  <c r="DW17" i="12"/>
  <c r="DZ17" i="12" s="1"/>
  <c r="CC33" i="12"/>
  <c r="DM355" i="5"/>
  <c r="CA11" i="12"/>
  <c r="DW20" i="12"/>
  <c r="DZ20" i="12" s="1"/>
  <c r="CC42" i="12"/>
  <c r="CC49" i="12"/>
  <c r="CE39" i="12"/>
  <c r="DM575" i="5"/>
  <c r="DV19" i="12"/>
  <c r="DY19" i="12" s="1"/>
  <c r="CA39" i="12"/>
  <c r="DM549" i="5"/>
  <c r="Z18" i="12"/>
  <c r="Z20" i="12" s="1"/>
  <c r="BY19" i="12"/>
  <c r="BY20" i="12" s="1"/>
  <c r="BY21" i="12" s="1"/>
  <c r="BY22" i="12" s="1"/>
  <c r="BY23" i="12" s="1"/>
  <c r="BL47" i="12"/>
  <c r="BL49" i="12" s="1"/>
  <c r="Z42" i="12"/>
  <c r="CE42" i="12"/>
  <c r="DM731" i="5"/>
  <c r="CC52" i="12"/>
  <c r="DW23" i="12"/>
  <c r="DZ23" i="12" s="1"/>
  <c r="BL50" i="12"/>
  <c r="BL52" i="12" s="1"/>
  <c r="Z47" i="12"/>
  <c r="BM50" i="12" s="1"/>
  <c r="BM52" i="12" s="1"/>
  <c r="AI47" i="12"/>
  <c r="Y41" i="12"/>
  <c r="Z39" i="12"/>
  <c r="Z41" i="12" s="1"/>
  <c r="DO745" i="5"/>
  <c r="DO87" i="5"/>
  <c r="DO612" i="5"/>
  <c r="DO159" i="5"/>
  <c r="DO672" i="5"/>
  <c r="DO456" i="5"/>
  <c r="DO83" i="5"/>
  <c r="DO461" i="5"/>
  <c r="DO422" i="5"/>
  <c r="DO85" i="5"/>
  <c r="DO678" i="5"/>
  <c r="DO568" i="5"/>
  <c r="DO614" i="5"/>
  <c r="DO710" i="5"/>
  <c r="DR710" i="5" s="1"/>
  <c r="DO383" i="5"/>
  <c r="DO417" i="5"/>
  <c r="DR417" i="5" s="1"/>
  <c r="DO616" i="5"/>
  <c r="DO454" i="5"/>
  <c r="DR454" i="5" s="1"/>
  <c r="DO528" i="5"/>
  <c r="DR528" i="5" s="1"/>
  <c r="DO457" i="5"/>
  <c r="CA42" i="12"/>
  <c r="DV20" i="12"/>
  <c r="DY20" i="12" s="1"/>
  <c r="CC11" i="12"/>
  <c r="DW12" i="12"/>
  <c r="DZ12" i="12" s="1"/>
  <c r="DM56" i="5"/>
  <c r="BM27" i="12"/>
  <c r="Z58" i="12"/>
  <c r="DM184" i="5"/>
  <c r="BM24" i="12"/>
  <c r="Z77" i="12"/>
  <c r="BS22" i="12"/>
  <c r="CJ21" i="12"/>
  <c r="DM392" i="5"/>
  <c r="DM364" i="5"/>
  <c r="DM503" i="5"/>
  <c r="DD28" i="5"/>
  <c r="X10" i="21"/>
  <c r="R10" i="21"/>
  <c r="R11" i="21"/>
  <c r="R12" i="21" s="1"/>
  <c r="DD180" i="5"/>
  <c r="DM648" i="5"/>
  <c r="DM139" i="5"/>
  <c r="DM466" i="5"/>
  <c r="CS580" i="5"/>
  <c r="CS562" i="5"/>
  <c r="CS579" i="5"/>
  <c r="CS556" i="5"/>
  <c r="CS552" i="5"/>
  <c r="CS573" i="5"/>
  <c r="CS572" i="5"/>
  <c r="CS571" i="5"/>
  <c r="CS543" i="5"/>
  <c r="CS564" i="5"/>
  <c r="CS574" i="5"/>
  <c r="CS563" i="5"/>
  <c r="DM401" i="5"/>
  <c r="DM102" i="5"/>
  <c r="DM685" i="5"/>
  <c r="DM512" i="5"/>
  <c r="DM722" i="5"/>
  <c r="DM438" i="5"/>
  <c r="CS522" i="5"/>
  <c r="CS521" i="5"/>
  <c r="CS520" i="5"/>
  <c r="DM626" i="5"/>
  <c r="Q72" i="5"/>
  <c r="CR156" i="5" s="1"/>
  <c r="CQ575" i="5"/>
  <c r="AY71" i="5"/>
  <c r="CR575" i="5" s="1"/>
  <c r="GH170" i="9"/>
  <c r="GI170" i="9" s="1"/>
  <c r="BZ170" i="9" s="1"/>
  <c r="FT170" i="9" s="1"/>
  <c r="CA170" i="9" s="1"/>
  <c r="GW170" i="9"/>
  <c r="HF170" i="9" s="1"/>
  <c r="CD170" i="9" s="1"/>
  <c r="GQ86" i="9"/>
  <c r="GR86" i="9" s="1"/>
  <c r="GS86" i="9" s="1"/>
  <c r="GT86" i="9" s="1"/>
  <c r="GU86" i="9" s="1"/>
  <c r="GV86" i="9" s="1"/>
  <c r="GW86" i="9" s="1"/>
  <c r="HF86" i="9" s="1"/>
  <c r="CD86" i="9" s="1"/>
  <c r="GH294" i="9"/>
  <c r="GI294" i="9" s="1"/>
  <c r="BZ294" i="9" s="1"/>
  <c r="FT294" i="9" s="1"/>
  <c r="CA294" i="9" s="1"/>
  <c r="GW294" i="9"/>
  <c r="HF294" i="9" s="1"/>
  <c r="CD294" i="9" s="1"/>
  <c r="GW518" i="9"/>
  <c r="HF518" i="9" s="1"/>
  <c r="CD518" i="9" s="1"/>
  <c r="GH518" i="9"/>
  <c r="GI518" i="9" s="1"/>
  <c r="BZ518" i="9" s="1"/>
  <c r="FT518" i="9" s="1"/>
  <c r="CA518" i="9" s="1"/>
  <c r="GH522" i="9"/>
  <c r="GI522" i="9" s="1"/>
  <c r="BZ522" i="9" s="1"/>
  <c r="FT522" i="9" s="1"/>
  <c r="CA522" i="9" s="1"/>
  <c r="GW522" i="9"/>
  <c r="HF522" i="9" s="1"/>
  <c r="CD522" i="9" s="1"/>
  <c r="GH619" i="9"/>
  <c r="GI619" i="9" s="1"/>
  <c r="BZ619" i="9" s="1"/>
  <c r="FT619" i="9" s="1"/>
  <c r="CA619" i="9" s="1"/>
  <c r="GW619" i="9"/>
  <c r="HF619" i="9" s="1"/>
  <c r="GW82" i="9"/>
  <c r="HF82" i="9" s="1"/>
  <c r="CD82" i="9" s="1"/>
  <c r="DN676" i="9" a="1"/>
  <c r="DN676" i="9" s="1"/>
  <c r="DO676" i="9" a="1"/>
  <c r="DO676" i="9" s="1"/>
  <c r="DP676" i="9" s="1"/>
  <c r="DL676" i="9" s="1" a="1"/>
  <c r="DL676" i="9" s="1"/>
  <c r="DM676" i="9" a="1"/>
  <c r="DM676" i="9" s="1"/>
  <c r="DK676" i="9" a="1"/>
  <c r="DK676" i="9" s="1"/>
  <c r="CG676" i="9" s="1"/>
  <c r="GW322" i="9"/>
  <c r="HF322" i="9" s="1"/>
  <c r="CD322" i="9" s="1"/>
  <c r="GW275" i="9"/>
  <c r="HF275" i="9" s="1"/>
  <c r="CD275" i="9" s="1"/>
  <c r="GW282" i="9"/>
  <c r="HF282" i="9" s="1"/>
  <c r="CD282" i="9" s="1"/>
  <c r="DM682" i="9" a="1"/>
  <c r="DM682" i="9" s="1"/>
  <c r="DN682" i="9" a="1"/>
  <c r="DN682" i="9" s="1"/>
  <c r="DO682" i="9" a="1"/>
  <c r="DO682" i="9" s="1"/>
  <c r="DP682" i="9" s="1"/>
  <c r="DL682" i="9" s="1" a="1"/>
  <c r="DL682" i="9" s="1"/>
  <c r="DK682" i="9" a="1"/>
  <c r="DK682" i="9" s="1"/>
  <c r="CG682" i="9" s="1"/>
  <c r="GW75" i="9"/>
  <c r="HF75" i="9" s="1"/>
  <c r="CD75" i="9" s="1"/>
  <c r="DO638" i="9" a="1"/>
  <c r="DO638" i="9" s="1"/>
  <c r="DP638" i="9" s="1"/>
  <c r="DL638" i="9" s="1" a="1"/>
  <c r="DL638" i="9" s="1"/>
  <c r="DK638" i="9" a="1"/>
  <c r="DK638" i="9" s="1"/>
  <c r="CG638" i="9" s="1"/>
  <c r="DN638" i="9" a="1"/>
  <c r="DN638" i="9" s="1"/>
  <c r="DM638" i="9" a="1"/>
  <c r="DM638" i="9" s="1"/>
  <c r="GW301" i="9"/>
  <c r="HF301" i="9" s="1"/>
  <c r="CD301" i="9" s="1"/>
  <c r="GW399" i="9"/>
  <c r="HF399" i="9" s="1"/>
  <c r="CD399" i="9" s="1"/>
  <c r="GW41" i="9"/>
  <c r="HF41" i="9" s="1"/>
  <c r="CD41" i="9" s="1"/>
  <c r="DM672" i="9" a="1"/>
  <c r="DM672" i="9" s="1"/>
  <c r="DO672" i="9" a="1"/>
  <c r="DO672" i="9" s="1"/>
  <c r="DP672" i="9" s="1"/>
  <c r="DL672" i="9" s="1" a="1"/>
  <c r="DL672" i="9" s="1"/>
  <c r="DN672" i="9" a="1"/>
  <c r="DN672" i="9" s="1"/>
  <c r="DK672" i="9" a="1"/>
  <c r="DK672" i="9" s="1"/>
  <c r="CG672" i="9" s="1"/>
  <c r="DM631" i="9" a="1"/>
  <c r="DM631" i="9" s="1"/>
  <c r="DM534" i="9" a="1"/>
  <c r="DM534" i="9" s="1"/>
  <c r="GW325" i="9"/>
  <c r="HF325" i="9" s="1"/>
  <c r="CD325" i="9" s="1"/>
  <c r="GH325" i="9"/>
  <c r="GI325" i="9" s="1"/>
  <c r="BZ325" i="9" s="1"/>
  <c r="FT325" i="9" s="1"/>
  <c r="CA325" i="9" s="1"/>
  <c r="GW671" i="9"/>
  <c r="HF671" i="9" s="1"/>
  <c r="GH671" i="9"/>
  <c r="GI671" i="9" s="1"/>
  <c r="BZ671" i="9" s="1"/>
  <c r="FT671" i="9" s="1"/>
  <c r="CA671" i="9" s="1"/>
  <c r="GW268" i="9"/>
  <c r="HF268" i="9" s="1"/>
  <c r="CD268" i="9" s="1"/>
  <c r="GW319" i="9"/>
  <c r="HF319" i="9" s="1"/>
  <c r="CD319" i="9" s="1"/>
  <c r="GW291" i="9"/>
  <c r="HF291" i="9" s="1"/>
  <c r="CD291" i="9" s="1"/>
  <c r="GH324" i="9"/>
  <c r="GI324" i="9" s="1"/>
  <c r="BZ324" i="9" s="1"/>
  <c r="FT324" i="9" s="1"/>
  <c r="CA324" i="9" s="1"/>
  <c r="GW324" i="9"/>
  <c r="HF324" i="9" s="1"/>
  <c r="CD324" i="9" s="1"/>
  <c r="GH537" i="9"/>
  <c r="GI537" i="9" s="1"/>
  <c r="BZ537" i="9" s="1"/>
  <c r="FT537" i="9" s="1"/>
  <c r="CA537" i="9" s="1"/>
  <c r="GW537" i="9"/>
  <c r="HF537" i="9" s="1"/>
  <c r="CD537" i="9" s="1"/>
  <c r="GH642" i="9"/>
  <c r="GI642" i="9" s="1"/>
  <c r="BZ642" i="9" s="1"/>
  <c r="FT642" i="9" s="1"/>
  <c r="CA642" i="9" s="1"/>
  <c r="GW642" i="9"/>
  <c r="HF642" i="9" s="1"/>
  <c r="GW293" i="9"/>
  <c r="HF293" i="9" s="1"/>
  <c r="CD293" i="9" s="1"/>
  <c r="GW499" i="9"/>
  <c r="HF499" i="9" s="1"/>
  <c r="CD499" i="9" s="1"/>
  <c r="GW80" i="9"/>
  <c r="HF80" i="9" s="1"/>
  <c r="CD80" i="9" s="1"/>
  <c r="DO657" i="9" a="1"/>
  <c r="DO657" i="9" s="1"/>
  <c r="DP657" i="9" s="1"/>
  <c r="DL657" i="9" s="1" a="1"/>
  <c r="DL657" i="9" s="1"/>
  <c r="DN657" i="9" a="1"/>
  <c r="DN657" i="9" s="1"/>
  <c r="DK657" i="9" a="1"/>
  <c r="DK657" i="9" s="1"/>
  <c r="CG657" i="9" s="1"/>
  <c r="DM657" i="9" a="1"/>
  <c r="DM657" i="9" s="1"/>
  <c r="GW443" i="9"/>
  <c r="HF443" i="9" s="1"/>
  <c r="CD443" i="9" s="1"/>
  <c r="GW60" i="9"/>
  <c r="HF60" i="9" s="1"/>
  <c r="CD60" i="9" s="1"/>
  <c r="GH60" i="9"/>
  <c r="GI60" i="9" s="1"/>
  <c r="BZ60" i="9" s="1"/>
  <c r="FT60" i="9" s="1"/>
  <c r="CA60" i="9" s="1"/>
  <c r="GH430" i="9"/>
  <c r="GI430" i="9" s="1"/>
  <c r="BZ430" i="9" s="1"/>
  <c r="FT430" i="9" s="1"/>
  <c r="CA430" i="9" s="1"/>
  <c r="GW430" i="9"/>
  <c r="HF430" i="9" s="1"/>
  <c r="CD430" i="9" s="1"/>
  <c r="GH678" i="9"/>
  <c r="GI678" i="9" s="1"/>
  <c r="BZ678" i="9" s="1"/>
  <c r="FT678" i="9" s="1"/>
  <c r="CA678" i="9" s="1"/>
  <c r="GW678" i="9"/>
  <c r="HF678" i="9" s="1"/>
  <c r="GH560" i="9"/>
  <c r="GI560" i="9" s="1"/>
  <c r="BZ560" i="9" s="1"/>
  <c r="FT560" i="9" s="1"/>
  <c r="CA560" i="9" s="1"/>
  <c r="GW560" i="9"/>
  <c r="HF560" i="9" s="1"/>
  <c r="CD560" i="9" s="1"/>
  <c r="GW271" i="9"/>
  <c r="HF271" i="9" s="1"/>
  <c r="CD271" i="9" s="1"/>
  <c r="GH271" i="9"/>
  <c r="GI271" i="9" s="1"/>
  <c r="BZ271" i="9" s="1"/>
  <c r="FT271" i="9" s="1"/>
  <c r="CA271" i="9" s="1"/>
  <c r="GH543" i="9"/>
  <c r="GI543" i="9" s="1"/>
  <c r="BZ543" i="9" s="1"/>
  <c r="FT543" i="9" s="1"/>
  <c r="CA543" i="9" s="1"/>
  <c r="GW543" i="9"/>
  <c r="HF543" i="9" s="1"/>
  <c r="CD543" i="9" s="1"/>
  <c r="GW73" i="9"/>
  <c r="HF73" i="9" s="1"/>
  <c r="CD73" i="9" s="1"/>
  <c r="GW329" i="9"/>
  <c r="HF329" i="9" s="1"/>
  <c r="CD329" i="9" s="1"/>
  <c r="GW390" i="9"/>
  <c r="HF390" i="9" s="1"/>
  <c r="CD390" i="9" s="1"/>
  <c r="DN651" i="9" a="1"/>
  <c r="DN651" i="9" s="1"/>
  <c r="DK651" i="9" a="1"/>
  <c r="DK651" i="9" s="1"/>
  <c r="CG651" i="9" s="1"/>
  <c r="DO651" i="9" a="1"/>
  <c r="DO651" i="9" s="1"/>
  <c r="DP651" i="9" s="1"/>
  <c r="DL651" i="9" s="1" a="1"/>
  <c r="DL651" i="9" s="1"/>
  <c r="DM651" i="9" a="1"/>
  <c r="DM651" i="9" s="1"/>
  <c r="GW421" i="9"/>
  <c r="HF421" i="9" s="1"/>
  <c r="CD421" i="9" s="1"/>
  <c r="GW302" i="9"/>
  <c r="HF302" i="9" s="1"/>
  <c r="CD302" i="9" s="1"/>
  <c r="GW55" i="9"/>
  <c r="HF55" i="9" s="1"/>
  <c r="CD55" i="9" s="1"/>
  <c r="GW280" i="9"/>
  <c r="HF280" i="9" s="1"/>
  <c r="CD280" i="9" s="1"/>
  <c r="GH638" i="9"/>
  <c r="GI638" i="9" s="1"/>
  <c r="BZ638" i="9" s="1"/>
  <c r="FT638" i="9" s="1"/>
  <c r="CA638" i="9" s="1"/>
  <c r="GW638" i="9"/>
  <c r="HF638" i="9" s="1"/>
  <c r="GH674" i="9"/>
  <c r="GI674" i="9" s="1"/>
  <c r="BZ674" i="9" s="1"/>
  <c r="FT674" i="9" s="1"/>
  <c r="CA674" i="9" s="1"/>
  <c r="GW674" i="9"/>
  <c r="HF674" i="9" s="1"/>
  <c r="GH664" i="9"/>
  <c r="GI664" i="9" s="1"/>
  <c r="BZ664" i="9" s="1"/>
  <c r="FT664" i="9" s="1"/>
  <c r="CA664" i="9" s="1"/>
  <c r="GW664" i="9"/>
  <c r="HF664" i="9" s="1"/>
  <c r="GH523" i="9"/>
  <c r="GI523" i="9" s="1"/>
  <c r="BZ523" i="9" s="1"/>
  <c r="FT523" i="9" s="1"/>
  <c r="CA523" i="9" s="1"/>
  <c r="GW523" i="9"/>
  <c r="HF523" i="9" s="1"/>
  <c r="CD523" i="9" s="1"/>
  <c r="GW56" i="9"/>
  <c r="HF56" i="9" s="1"/>
  <c r="CD56" i="9" s="1"/>
  <c r="DO671" i="9" a="1"/>
  <c r="DO671" i="9" s="1"/>
  <c r="DP671" i="9" s="1"/>
  <c r="DL671" i="9" s="1" a="1"/>
  <c r="DL671" i="9" s="1"/>
  <c r="DN671" i="9" a="1"/>
  <c r="DN671" i="9" s="1"/>
  <c r="DM671" i="9" a="1"/>
  <c r="DM671" i="9" s="1"/>
  <c r="DK671" i="9" a="1"/>
  <c r="DK671" i="9" s="1"/>
  <c r="CG671" i="9" s="1"/>
  <c r="GW296" i="9"/>
  <c r="HF296" i="9" s="1"/>
  <c r="CD296" i="9" s="1"/>
  <c r="DK670" i="9" a="1"/>
  <c r="DK670" i="9" s="1"/>
  <c r="CG670" i="9" s="1"/>
  <c r="DM670" i="9" a="1"/>
  <c r="DM670" i="9" s="1"/>
  <c r="DO670" i="9" a="1"/>
  <c r="DO670" i="9" s="1"/>
  <c r="DP670" i="9" s="1"/>
  <c r="DL670" i="9" s="1" a="1"/>
  <c r="DL670" i="9" s="1"/>
  <c r="DN670" i="9" a="1"/>
  <c r="DN670" i="9" s="1"/>
  <c r="GW670" i="9"/>
  <c r="HF670" i="9" s="1"/>
  <c r="GW424" i="9"/>
  <c r="HF424" i="9" s="1"/>
  <c r="CD424" i="9" s="1"/>
  <c r="DO665" i="9" a="1"/>
  <c r="DO665" i="9" s="1"/>
  <c r="DP665" i="9" s="1"/>
  <c r="DL665" i="9" s="1" a="1"/>
  <c r="DL665" i="9" s="1"/>
  <c r="DK665" i="9" a="1"/>
  <c r="DK665" i="9" s="1"/>
  <c r="CG665" i="9" s="1"/>
  <c r="DM665" i="9" a="1"/>
  <c r="DM665" i="9" s="1"/>
  <c r="DN665" i="9" a="1"/>
  <c r="DN665" i="9" s="1"/>
  <c r="DN661" i="9" a="1"/>
  <c r="DN661" i="9" s="1"/>
  <c r="DO661" i="9" a="1"/>
  <c r="DO661" i="9" s="1"/>
  <c r="DP661" i="9" s="1"/>
  <c r="DL661" i="9" s="1" a="1"/>
  <c r="DL661" i="9" s="1"/>
  <c r="DK661" i="9" a="1"/>
  <c r="DK661" i="9" s="1"/>
  <c r="CG661" i="9" s="1"/>
  <c r="DM661" i="9" a="1"/>
  <c r="DM661" i="9" s="1"/>
  <c r="GW388" i="9"/>
  <c r="HF388" i="9" s="1"/>
  <c r="CD388" i="9" s="1"/>
  <c r="GW328" i="9"/>
  <c r="HF328" i="9" s="1"/>
  <c r="CD328" i="9" s="1"/>
  <c r="GW321" i="9"/>
  <c r="HF321" i="9" s="1"/>
  <c r="CD321" i="9" s="1"/>
  <c r="GW79" i="9"/>
  <c r="HF79" i="9" s="1"/>
  <c r="CD79" i="9" s="1"/>
  <c r="GW656" i="9"/>
  <c r="HF656" i="9" s="1"/>
  <c r="GW290" i="9"/>
  <c r="HF290" i="9" s="1"/>
  <c r="CD290" i="9" s="1"/>
  <c r="GW278" i="9"/>
  <c r="HF278" i="9" s="1"/>
  <c r="CD278" i="9" s="1"/>
  <c r="GW313" i="9"/>
  <c r="HF313" i="9" s="1"/>
  <c r="CD313" i="9" s="1"/>
  <c r="GW76" i="9"/>
  <c r="HF76" i="9" s="1"/>
  <c r="CD76" i="9" s="1"/>
  <c r="GW416" i="9"/>
  <c r="HF416" i="9" s="1"/>
  <c r="CD416" i="9" s="1"/>
  <c r="GW506" i="9"/>
  <c r="HF506" i="9" s="1"/>
  <c r="CD506" i="9" s="1"/>
  <c r="GW304" i="9"/>
  <c r="HF304" i="9" s="1"/>
  <c r="CD304" i="9" s="1"/>
  <c r="DO631" i="9" a="1"/>
  <c r="DO631" i="9" s="1"/>
  <c r="DP631" i="9" s="1"/>
  <c r="DL631" i="9" s="1" a="1"/>
  <c r="DL631" i="9" s="1"/>
  <c r="CS237" i="10"/>
  <c r="DF319" i="10"/>
  <c r="DF329" i="10"/>
  <c r="CW137" i="10"/>
  <c r="AI18" i="10"/>
  <c r="CR56" i="10" s="1"/>
  <c r="DC308" i="5" a="1"/>
  <c r="DC308" i="5" s="1"/>
  <c r="DF308" i="5" s="1"/>
  <c r="DC309" i="5" a="1"/>
  <c r="DC309" i="5" s="1"/>
  <c r="DF309" i="5" s="1"/>
  <c r="DC307" i="5" a="1"/>
  <c r="DC307" i="5" s="1"/>
  <c r="DF307" i="5" s="1"/>
  <c r="CQ138" i="5"/>
  <c r="P68" i="5"/>
  <c r="CR138" i="5" s="1"/>
  <c r="DC306" i="5" a="1"/>
  <c r="DC306" i="5" s="1"/>
  <c r="DF306" i="5" s="1"/>
  <c r="DC310" i="5" a="1"/>
  <c r="DC310" i="5" s="1"/>
  <c r="DF310" i="5" s="1"/>
  <c r="DC312" i="5" a="1"/>
  <c r="DC312" i="5" s="1"/>
  <c r="DF312" i="5" s="1"/>
  <c r="DC305" i="5" a="1"/>
  <c r="DC305" i="5" s="1"/>
  <c r="DF305" i="5" s="1"/>
  <c r="DC311" i="5" a="1"/>
  <c r="DC311" i="5" s="1"/>
  <c r="DF311" i="5" s="1"/>
  <c r="CS328" i="5"/>
  <c r="CS524" i="5"/>
  <c r="CS327" i="5"/>
  <c r="CS523" i="5"/>
  <c r="CS319" i="5"/>
  <c r="CS515" i="5"/>
  <c r="CS323" i="5"/>
  <c r="CS519" i="5"/>
  <c r="CS575" i="5"/>
  <c r="AJ72" i="5"/>
  <c r="CR394" i="5" s="1"/>
  <c r="CQ394" i="5"/>
  <c r="DD338" i="5" a="1"/>
  <c r="DD338" i="5" s="1"/>
  <c r="DD268" i="5" a="1"/>
  <c r="DD268" i="5" s="1"/>
  <c r="DD632" i="5" a="1"/>
  <c r="DD632" i="5" s="1"/>
  <c r="DD269" i="5" a="1"/>
  <c r="DD269" i="5" s="1"/>
  <c r="DD45" i="5" a="1"/>
  <c r="DD45" i="5" s="1"/>
  <c r="DD240" i="5" a="1"/>
  <c r="DD240" i="5" s="1"/>
  <c r="DD241" i="5" a="1"/>
  <c r="DD241" i="5" s="1"/>
  <c r="DD337" i="5" a="1"/>
  <c r="DD337" i="5" s="1"/>
  <c r="DD46" i="5" a="1"/>
  <c r="DD46" i="5" s="1"/>
  <c r="DD303" i="5" a="1"/>
  <c r="DD303" i="5" s="1"/>
  <c r="DD177" i="5" a="1"/>
  <c r="DD177" i="5" s="1"/>
  <c r="DD631" i="5" a="1"/>
  <c r="DD631" i="5" s="1"/>
  <c r="DD25" i="5" a="1"/>
  <c r="DD25" i="5" s="1"/>
  <c r="DD304" i="5" a="1"/>
  <c r="DD304" i="5" s="1"/>
  <c r="CS565" i="5"/>
  <c r="CS557" i="5"/>
  <c r="CS353" i="5"/>
  <c r="CS345" i="5"/>
  <c r="DC197" i="5" a="1"/>
  <c r="DC197" i="5" s="1"/>
  <c r="DC591" i="5" a="1"/>
  <c r="DC591" i="5" s="1"/>
  <c r="DC199" i="5" a="1"/>
  <c r="DC199" i="5" s="1"/>
  <c r="DF199" i="5" s="1"/>
  <c r="DC587" i="5" a="1"/>
  <c r="DC587" i="5" s="1"/>
  <c r="DF587" i="5" s="1"/>
  <c r="DC196" i="5" a="1"/>
  <c r="DC196" i="5" s="1"/>
  <c r="DF196" i="5" s="1"/>
  <c r="DC585" i="5" a="1"/>
  <c r="DC585" i="5" s="1"/>
  <c r="DF585" i="5" s="1"/>
  <c r="DC584" i="5" a="1"/>
  <c r="DC584" i="5" s="1"/>
  <c r="DF584" i="5" s="1"/>
  <c r="DC590" i="5" a="1"/>
  <c r="DC590" i="5" s="1"/>
  <c r="DF590" i="5" s="1"/>
  <c r="DC593" i="5" a="1"/>
  <c r="DC593" i="5" s="1"/>
  <c r="DC193" i="5" a="1"/>
  <c r="DC193" i="5" s="1"/>
  <c r="DF193" i="5" s="1"/>
  <c r="DC194" i="5" a="1"/>
  <c r="DC194" i="5" s="1"/>
  <c r="DF194" i="5" s="1"/>
  <c r="DC588" i="5" a="1"/>
  <c r="DC588" i="5" s="1"/>
  <c r="DC202" i="5" a="1"/>
  <c r="DC202" i="5" s="1"/>
  <c r="CQ199" i="5"/>
  <c r="DC198" i="5" a="1"/>
  <c r="DC198" i="5" s="1"/>
  <c r="DC195" i="5" a="1"/>
  <c r="DC195" i="5" s="1"/>
  <c r="DF195" i="5" s="1"/>
  <c r="DC200" i="5" a="1"/>
  <c r="DC200" i="5" s="1"/>
  <c r="DC586" i="5" a="1"/>
  <c r="DC586" i="5" s="1"/>
  <c r="DF586" i="5" s="1"/>
  <c r="DC589" i="5" a="1"/>
  <c r="DC589" i="5" s="1"/>
  <c r="T73" i="5"/>
  <c r="CR199" i="5" s="1"/>
  <c r="DC201" i="5" a="1"/>
  <c r="DC201" i="5" s="1"/>
  <c r="DF201" i="5" s="1"/>
  <c r="DC592" i="5" a="1"/>
  <c r="DC592" i="5" s="1"/>
  <c r="DF592" i="5" s="1"/>
  <c r="DC320" i="5" a="1"/>
  <c r="DC320" i="5" s="1"/>
  <c r="DF320" i="5" s="1"/>
  <c r="DC317" i="5" a="1"/>
  <c r="DC317" i="5" s="1"/>
  <c r="DF317" i="5" s="1"/>
  <c r="DC319" i="5" a="1"/>
  <c r="DC319" i="5" s="1"/>
  <c r="DF319" i="5" s="1"/>
  <c r="DC315" i="5" a="1"/>
  <c r="DC315" i="5" s="1"/>
  <c r="DF315" i="5" s="1"/>
  <c r="DC314" i="5" a="1"/>
  <c r="DC314" i="5" s="1"/>
  <c r="DF314" i="5" s="1"/>
  <c r="DC318" i="5" a="1"/>
  <c r="DC318" i="5" s="1"/>
  <c r="DF318" i="5" s="1"/>
  <c r="CQ165" i="5"/>
  <c r="R67" i="5"/>
  <c r="CR165" i="5" s="1"/>
  <c r="DC316" i="5" a="1"/>
  <c r="DC316" i="5" s="1"/>
  <c r="DF316" i="5" s="1"/>
  <c r="O72" i="5"/>
  <c r="CR128" i="5" s="1"/>
  <c r="CQ128" i="5"/>
  <c r="CQ197" i="5"/>
  <c r="T71" i="5"/>
  <c r="CR197" i="5" s="1"/>
  <c r="DC142" i="5" a="1"/>
  <c r="DC142" i="5" s="1"/>
  <c r="DF142" i="5" s="1"/>
  <c r="DC735" i="5" a="1"/>
  <c r="DC735" i="5" s="1"/>
  <c r="DF735" i="5" s="1"/>
  <c r="DC552" i="5" a="1"/>
  <c r="DC552" i="5" s="1"/>
  <c r="DF552" i="5" s="1"/>
  <c r="DC444" i="5" a="1"/>
  <c r="DC444" i="5" s="1"/>
  <c r="DF444" i="5" s="1"/>
  <c r="DC733" i="5" a="1"/>
  <c r="DC733" i="5" s="1"/>
  <c r="DF733" i="5" s="1"/>
  <c r="DC737" i="5" a="1"/>
  <c r="DC737" i="5" s="1"/>
  <c r="DF737" i="5" s="1"/>
  <c r="DC146" i="5" a="1"/>
  <c r="DC146" i="5" s="1"/>
  <c r="DF146" i="5" s="1"/>
  <c r="DC736" i="5" a="1"/>
  <c r="DC736" i="5" s="1"/>
  <c r="DF736" i="5" s="1"/>
  <c r="DC143" i="5" a="1"/>
  <c r="DC143" i="5" s="1"/>
  <c r="DF143" i="5" s="1"/>
  <c r="DC551" i="5" a="1"/>
  <c r="DC551" i="5" s="1"/>
  <c r="DF551" i="5" s="1"/>
  <c r="DC145" i="5" a="1"/>
  <c r="DC145" i="5" s="1"/>
  <c r="DF145" i="5" s="1"/>
  <c r="DC445" i="5" a="1"/>
  <c r="DC445" i="5" s="1"/>
  <c r="DF445" i="5" s="1"/>
  <c r="DC553" i="5" a="1"/>
  <c r="DC553" i="5" s="1"/>
  <c r="DF553" i="5" s="1"/>
  <c r="DC442" i="5" a="1"/>
  <c r="DC442" i="5" s="1"/>
  <c r="DF442" i="5" s="1"/>
  <c r="DC556" i="5" a="1"/>
  <c r="DC556" i="5" s="1"/>
  <c r="DF556" i="5" s="1"/>
  <c r="DC440" i="5" a="1"/>
  <c r="DC440" i="5" s="1"/>
  <c r="DF440" i="5" s="1"/>
  <c r="DC144" i="5" a="1"/>
  <c r="DC144" i="5" s="1"/>
  <c r="DF144" i="5" s="1"/>
  <c r="DC554" i="5" a="1"/>
  <c r="DC554" i="5" s="1"/>
  <c r="DF554" i="5" s="1"/>
  <c r="DC141" i="5" a="1"/>
  <c r="DC141" i="5" s="1"/>
  <c r="DF141" i="5" s="1"/>
  <c r="DC555" i="5" a="1"/>
  <c r="DC555" i="5" s="1"/>
  <c r="DF555" i="5" s="1"/>
  <c r="DC443" i="5" a="1"/>
  <c r="DC443" i="5" s="1"/>
  <c r="DF443" i="5" s="1"/>
  <c r="DC734" i="5" a="1"/>
  <c r="DC734" i="5" s="1"/>
  <c r="DF734" i="5" s="1"/>
  <c r="DC738" i="5" a="1"/>
  <c r="DC738" i="5" s="1"/>
  <c r="DF738" i="5" s="1"/>
  <c r="DC441" i="5" a="1"/>
  <c r="DC441" i="5" s="1"/>
  <c r="DF441" i="5" s="1"/>
  <c r="CQ196" i="5"/>
  <c r="T70" i="5"/>
  <c r="CR196" i="5" s="1"/>
  <c r="DC368" i="5" a="1"/>
  <c r="DC368" i="5" s="1"/>
  <c r="DF368" i="5" s="1"/>
  <c r="DC68" i="5" a="1"/>
  <c r="DC68" i="5" s="1"/>
  <c r="DF68" i="5" s="1"/>
  <c r="DC480" i="5" a="1"/>
  <c r="DC480" i="5" s="1"/>
  <c r="DF480" i="5" s="1"/>
  <c r="DC661" i="5" a="1"/>
  <c r="DC661" i="5" s="1"/>
  <c r="DF661" i="5" s="1"/>
  <c r="DC481" i="5" a="1"/>
  <c r="DC481" i="5" s="1"/>
  <c r="DF481" i="5" s="1"/>
  <c r="DC370" i="5" a="1"/>
  <c r="DC370" i="5" s="1"/>
  <c r="DF370" i="5" s="1"/>
  <c r="DC660" i="5" a="1"/>
  <c r="DC660" i="5" s="1"/>
  <c r="DF660" i="5" s="1"/>
  <c r="DC482" i="5" a="1"/>
  <c r="DC482" i="5" s="1"/>
  <c r="DF482" i="5" s="1"/>
  <c r="DC479" i="5" a="1"/>
  <c r="DC479" i="5" s="1"/>
  <c r="DF479" i="5" s="1"/>
  <c r="DC477" i="5" a="1"/>
  <c r="DC477" i="5" s="1"/>
  <c r="DF477" i="5" s="1"/>
  <c r="DC72" i="5" a="1"/>
  <c r="DC72" i="5" s="1"/>
  <c r="DF72" i="5" s="1"/>
  <c r="DC662" i="5" a="1"/>
  <c r="DC662" i="5" s="1"/>
  <c r="DF662" i="5" s="1"/>
  <c r="DC659" i="5" a="1"/>
  <c r="DC659" i="5" s="1"/>
  <c r="DF659" i="5" s="1"/>
  <c r="DC371" i="5" a="1"/>
  <c r="DC371" i="5" s="1"/>
  <c r="DF371" i="5" s="1"/>
  <c r="DC367" i="5" a="1"/>
  <c r="DC367" i="5" s="1"/>
  <c r="DF367" i="5" s="1"/>
  <c r="DC67" i="5" a="1"/>
  <c r="DC67" i="5" s="1"/>
  <c r="DF67" i="5" s="1"/>
  <c r="DC664" i="5" a="1"/>
  <c r="DC664" i="5" s="1"/>
  <c r="DF664" i="5" s="1"/>
  <c r="DC369" i="5" a="1"/>
  <c r="DC369" i="5" s="1"/>
  <c r="DF369" i="5" s="1"/>
  <c r="DC70" i="5" a="1"/>
  <c r="DC70" i="5" s="1"/>
  <c r="DF70" i="5" s="1"/>
  <c r="DC69" i="5" a="1"/>
  <c r="DC69" i="5" s="1"/>
  <c r="DF69" i="5" s="1"/>
  <c r="DC366" i="5" a="1"/>
  <c r="DC366" i="5" s="1"/>
  <c r="DF366" i="5" s="1"/>
  <c r="DC71" i="5" a="1"/>
  <c r="DC71" i="5" s="1"/>
  <c r="DF71" i="5" s="1"/>
  <c r="DC478" i="5" a="1"/>
  <c r="DC478" i="5" s="1"/>
  <c r="DF478" i="5" s="1"/>
  <c r="DC663" i="5" a="1"/>
  <c r="DC663" i="5" s="1"/>
  <c r="DF663" i="5" s="1"/>
  <c r="U53" i="5"/>
  <c r="CS352" i="5"/>
  <c r="CQ179" i="5"/>
  <c r="S67" i="5"/>
  <c r="CR179" i="5" s="1"/>
  <c r="CQ142" i="5"/>
  <c r="P72" i="5"/>
  <c r="CR142" i="5" s="1"/>
  <c r="U71" i="5"/>
  <c r="CR211" i="5" s="1"/>
  <c r="CQ211" i="5"/>
  <c r="DC537" i="5" a="1"/>
  <c r="DC537" i="5" s="1"/>
  <c r="DF537" i="5" s="1"/>
  <c r="DC425" i="5" a="1"/>
  <c r="DC425" i="5" s="1"/>
  <c r="DF425" i="5" s="1"/>
  <c r="DC430" i="5" a="1"/>
  <c r="DC430" i="5" s="1"/>
  <c r="DF430" i="5" s="1"/>
  <c r="DC429" i="5" a="1"/>
  <c r="DC429" i="5" s="1"/>
  <c r="DF429" i="5" s="1"/>
  <c r="DC130" i="5" a="1"/>
  <c r="DC130" i="5" s="1"/>
  <c r="DF130" i="5" s="1"/>
  <c r="DC719" i="5" a="1"/>
  <c r="DC719" i="5" s="1"/>
  <c r="DF719" i="5" s="1"/>
  <c r="DC539" i="5" a="1"/>
  <c r="DC539" i="5" s="1"/>
  <c r="DF539" i="5" s="1"/>
  <c r="DC541" i="5" a="1"/>
  <c r="DC541" i="5" s="1"/>
  <c r="DF541" i="5" s="1"/>
  <c r="DC540" i="5" a="1"/>
  <c r="DC540" i="5" s="1"/>
  <c r="DF540" i="5" s="1"/>
  <c r="DC718" i="5" a="1"/>
  <c r="DC718" i="5" s="1"/>
  <c r="DF718" i="5" s="1"/>
  <c r="DC426" i="5" a="1"/>
  <c r="DC426" i="5" s="1"/>
  <c r="DF426" i="5" s="1"/>
  <c r="DC721" i="5" a="1"/>
  <c r="DC721" i="5" s="1"/>
  <c r="DF721" i="5" s="1"/>
  <c r="DC722" i="5" a="1"/>
  <c r="DC722" i="5" s="1"/>
  <c r="DF722" i="5" s="1"/>
  <c r="DC538" i="5" a="1"/>
  <c r="DC538" i="5" s="1"/>
  <c r="DF538" i="5" s="1"/>
  <c r="DC128" i="5" a="1"/>
  <c r="DC128" i="5" s="1"/>
  <c r="DF128" i="5" s="1"/>
  <c r="DC428" i="5" a="1"/>
  <c r="DC428" i="5" s="1"/>
  <c r="DF428" i="5" s="1"/>
  <c r="DC131" i="5" a="1"/>
  <c r="DC131" i="5" s="1"/>
  <c r="DF131" i="5" s="1"/>
  <c r="DC127" i="5" a="1"/>
  <c r="DC127" i="5" s="1"/>
  <c r="DF127" i="5" s="1"/>
  <c r="DC129" i="5" a="1"/>
  <c r="DC129" i="5" s="1"/>
  <c r="DF129" i="5" s="1"/>
  <c r="DC427" i="5" a="1"/>
  <c r="DC427" i="5" s="1"/>
  <c r="DF427" i="5" s="1"/>
  <c r="DC720" i="5" a="1"/>
  <c r="DC720" i="5" s="1"/>
  <c r="DF720" i="5" s="1"/>
  <c r="DC536" i="5" a="1"/>
  <c r="DC536" i="5" s="1"/>
  <c r="DF536" i="5" s="1"/>
  <c r="DC126" i="5" a="1"/>
  <c r="DC126" i="5" s="1"/>
  <c r="DF126" i="5" s="1"/>
  <c r="DC723" i="5" a="1"/>
  <c r="DC723" i="5" s="1"/>
  <c r="DF723" i="5" s="1"/>
  <c r="DC216" i="5" a="1"/>
  <c r="DC216" i="5" s="1"/>
  <c r="DF216" i="5" s="1"/>
  <c r="DC606" i="5" a="1"/>
  <c r="DC606" i="5" s="1"/>
  <c r="DF606" i="5" s="1"/>
  <c r="DC224" i="5" a="1"/>
  <c r="DC224" i="5" s="1"/>
  <c r="DC616" i="5" a="1"/>
  <c r="DC616" i="5" s="1"/>
  <c r="J73" i="5"/>
  <c r="CR59" i="5" s="1"/>
  <c r="DC225" i="5" a="1"/>
  <c r="DC225" i="5" s="1"/>
  <c r="DC605" i="5" a="1"/>
  <c r="DC605" i="5" s="1"/>
  <c r="DF605" i="5" s="1"/>
  <c r="DC218" i="5" a="1"/>
  <c r="DC218" i="5" s="1"/>
  <c r="DF218" i="5" s="1"/>
  <c r="DC222" i="5" a="1"/>
  <c r="DC222" i="5" s="1"/>
  <c r="DC219" i="5" a="1"/>
  <c r="DC219" i="5" s="1"/>
  <c r="DF219" i="5" s="1"/>
  <c r="DC611" i="5" a="1"/>
  <c r="DC611" i="5" s="1"/>
  <c r="DC617" i="5" a="1"/>
  <c r="DC617" i="5" s="1"/>
  <c r="DF617" i="5" s="1"/>
  <c r="DC610" i="5" a="1"/>
  <c r="DC610" i="5" s="1"/>
  <c r="DF610" i="5" s="1"/>
  <c r="DC614" i="5" a="1"/>
  <c r="DC614" i="5" s="1"/>
  <c r="DF614" i="5" s="1"/>
  <c r="DC226" i="5" a="1"/>
  <c r="DC226" i="5" s="1"/>
  <c r="DF226" i="5" s="1"/>
  <c r="DC215" i="5" a="1"/>
  <c r="DC215" i="5" s="1"/>
  <c r="DF215" i="5" s="1"/>
  <c r="DC615" i="5" a="1"/>
  <c r="DC615" i="5" s="1"/>
  <c r="DC227" i="5" a="1"/>
  <c r="DC227" i="5" s="1"/>
  <c r="DC213" i="5" a="1"/>
  <c r="DC213" i="5" s="1"/>
  <c r="DF213" i="5" s="1"/>
  <c r="DC220" i="5" a="1"/>
  <c r="DC220" i="5" s="1"/>
  <c r="DC612" i="5" a="1"/>
  <c r="DC612" i="5" s="1"/>
  <c r="DC214" i="5" a="1"/>
  <c r="DC214" i="5" s="1"/>
  <c r="DF214" i="5" s="1"/>
  <c r="DC221" i="5" a="1"/>
  <c r="DC221" i="5" s="1"/>
  <c r="DC613" i="5" a="1"/>
  <c r="DC613" i="5" s="1"/>
  <c r="DC608" i="5" a="1"/>
  <c r="DC608" i="5" s="1"/>
  <c r="DF608" i="5" s="1"/>
  <c r="CQ59" i="5"/>
  <c r="DC217" i="5" a="1"/>
  <c r="DC217" i="5" s="1"/>
  <c r="DF217" i="5" s="1"/>
  <c r="DC618" i="5" a="1"/>
  <c r="DC618" i="5" s="1"/>
  <c r="DC607" i="5" a="1"/>
  <c r="DC607" i="5" s="1"/>
  <c r="DF607" i="5" s="1"/>
  <c r="DC619" i="5" a="1"/>
  <c r="DC619" i="5" s="1"/>
  <c r="DC609" i="5" a="1"/>
  <c r="DC609" i="5" s="1"/>
  <c r="DF609" i="5" s="1"/>
  <c r="DC223" i="5" a="1"/>
  <c r="DC223" i="5" s="1"/>
  <c r="DF223" i="5" s="1"/>
  <c r="DC228" i="5" a="1"/>
  <c r="DC228" i="5" s="1"/>
  <c r="DC604" i="5" a="1"/>
  <c r="DC604" i="5" s="1"/>
  <c r="DF604" i="5" s="1"/>
  <c r="X58" i="5"/>
  <c r="BU58" i="5" s="1"/>
  <c r="CS351" i="5"/>
  <c r="T53" i="5"/>
  <c r="S53" i="5"/>
  <c r="Q53" i="5"/>
  <c r="O53" i="5"/>
  <c r="O69" i="5"/>
  <c r="CR125" i="5" s="1"/>
  <c r="CQ125" i="5"/>
  <c r="X54" i="5"/>
  <c r="BU54" i="5" s="1"/>
  <c r="DC173" i="5" a="1"/>
  <c r="DC173" i="5" s="1"/>
  <c r="DF173" i="5" s="1"/>
  <c r="DC19" i="5" a="1"/>
  <c r="DC19" i="5" s="1"/>
  <c r="DF19" i="5" s="1"/>
  <c r="DC20" i="5" a="1"/>
  <c r="DC20" i="5" s="1"/>
  <c r="DF20" i="5" s="1"/>
  <c r="DC21" i="5" a="1"/>
  <c r="DC21" i="5" s="1"/>
  <c r="DF21" i="5" s="1"/>
  <c r="DC170" i="5" a="1"/>
  <c r="DC170" i="5" s="1"/>
  <c r="DF170" i="5" s="1"/>
  <c r="DC18" i="5" a="1"/>
  <c r="DC18" i="5" s="1"/>
  <c r="DF18" i="5" s="1"/>
  <c r="DC172" i="5" a="1"/>
  <c r="DC172" i="5" s="1"/>
  <c r="DF172" i="5" s="1"/>
  <c r="DC171" i="5" a="1"/>
  <c r="DC171" i="5" s="1"/>
  <c r="DF171" i="5" s="1"/>
  <c r="Q51" i="5"/>
  <c r="P51" i="5"/>
  <c r="O51" i="5"/>
  <c r="T51" i="5"/>
  <c r="R51" i="5"/>
  <c r="CQ210" i="5"/>
  <c r="U70" i="5"/>
  <c r="CR210" i="5" s="1"/>
  <c r="DC648" i="5" a="1"/>
  <c r="DC648" i="5" s="1"/>
  <c r="DF648" i="5" s="1"/>
  <c r="DC464" i="5" a="1"/>
  <c r="DC464" i="5" s="1"/>
  <c r="DF464" i="5" s="1"/>
  <c r="DC353" i="5" a="1"/>
  <c r="DC353" i="5" s="1"/>
  <c r="DF353" i="5" s="1"/>
  <c r="DC53" i="5" a="1"/>
  <c r="DC53" i="5" s="1"/>
  <c r="DF53" i="5" s="1"/>
  <c r="DC352" i="5" a="1"/>
  <c r="DC352" i="5" s="1"/>
  <c r="DF352" i="5" s="1"/>
  <c r="DC355" i="5" a="1"/>
  <c r="DC355" i="5" s="1"/>
  <c r="DF355" i="5" s="1"/>
  <c r="DC462" i="5" a="1"/>
  <c r="DC462" i="5" s="1"/>
  <c r="DC54" i="5" a="1"/>
  <c r="DC54" i="5" s="1"/>
  <c r="DF54" i="5" s="1"/>
  <c r="DC354" i="5" a="1"/>
  <c r="DC354" i="5" s="1"/>
  <c r="DF354" i="5" s="1"/>
  <c r="DC356" i="5" a="1"/>
  <c r="DC356" i="5" s="1"/>
  <c r="DF356" i="5" s="1"/>
  <c r="DC57" i="5" a="1"/>
  <c r="DC57" i="5" s="1"/>
  <c r="DF57" i="5" s="1"/>
  <c r="DC644" i="5" a="1"/>
  <c r="DC644" i="5" s="1"/>
  <c r="DC465" i="5" a="1"/>
  <c r="DC465" i="5" s="1"/>
  <c r="DF465" i="5" s="1"/>
  <c r="DC467" i="5" a="1"/>
  <c r="DC467" i="5" s="1"/>
  <c r="DF467" i="5" s="1"/>
  <c r="DC55" i="5" a="1"/>
  <c r="DC55" i="5" s="1"/>
  <c r="DF55" i="5" s="1"/>
  <c r="DC649" i="5" a="1"/>
  <c r="DC649" i="5" s="1"/>
  <c r="DF649" i="5" s="1"/>
  <c r="DC351" i="5" a="1"/>
  <c r="DC351" i="5" s="1"/>
  <c r="DC647" i="5" a="1"/>
  <c r="DC647" i="5" s="1"/>
  <c r="DF647" i="5" s="1"/>
  <c r="DC463" i="5" a="1"/>
  <c r="DC463" i="5" s="1"/>
  <c r="DF463" i="5" s="1"/>
  <c r="DC52" i="5" a="1"/>
  <c r="DC52" i="5" s="1"/>
  <c r="DC645" i="5" a="1"/>
  <c r="DC645" i="5" s="1"/>
  <c r="DF645" i="5" s="1"/>
  <c r="DC56" i="5" a="1"/>
  <c r="DC56" i="5" s="1"/>
  <c r="DF56" i="5" s="1"/>
  <c r="DC466" i="5" a="1"/>
  <c r="DC466" i="5" s="1"/>
  <c r="DF466" i="5" s="1"/>
  <c r="DC646" i="5" a="1"/>
  <c r="DC646" i="5" s="1"/>
  <c r="DF646" i="5" s="1"/>
  <c r="CT317" i="5"/>
  <c r="AU97" i="5"/>
  <c r="CT513" i="5" s="1"/>
  <c r="CQ170" i="5"/>
  <c r="R72" i="5"/>
  <c r="CR170" i="5" s="1"/>
  <c r="J70" i="5"/>
  <c r="CR56" i="5" s="1"/>
  <c r="X55" i="5"/>
  <c r="BU55" i="5" s="1"/>
  <c r="CQ56" i="5"/>
  <c r="DC88" i="5" a="1"/>
  <c r="DC88" i="5" s="1"/>
  <c r="DF88" i="5" s="1"/>
  <c r="DC387" i="5" a="1"/>
  <c r="DC387" i="5" s="1"/>
  <c r="DF387" i="5" s="1"/>
  <c r="DC679" i="5" a="1"/>
  <c r="DC679" i="5" s="1"/>
  <c r="DF679" i="5" s="1"/>
  <c r="DC380" i="5" a="1"/>
  <c r="DC380" i="5" s="1"/>
  <c r="DF380" i="5" s="1"/>
  <c r="DC677" i="5" a="1"/>
  <c r="DC677" i="5" s="1"/>
  <c r="DF677" i="5" s="1"/>
  <c r="DC385" i="5" a="1"/>
  <c r="DC385" i="5" s="1"/>
  <c r="DF385" i="5" s="1"/>
  <c r="DC496" i="5" a="1"/>
  <c r="DC496" i="5" s="1"/>
  <c r="DF496" i="5" s="1"/>
  <c r="DC80" i="5" a="1"/>
  <c r="DC80" i="5" s="1"/>
  <c r="DF80" i="5" s="1"/>
  <c r="DC490" i="5" a="1"/>
  <c r="DC490" i="5" s="1"/>
  <c r="DF490" i="5" s="1"/>
  <c r="DC491" i="5" a="1"/>
  <c r="DC491" i="5" s="1"/>
  <c r="DF491" i="5" s="1"/>
  <c r="DC674" i="5" a="1"/>
  <c r="DC674" i="5" s="1"/>
  <c r="DF674" i="5" s="1"/>
  <c r="DC672" i="5" a="1"/>
  <c r="DC672" i="5" s="1"/>
  <c r="DF672" i="5" s="1"/>
  <c r="DC676" i="5" a="1"/>
  <c r="DC676" i="5" s="1"/>
  <c r="DC675" i="5" a="1"/>
  <c r="DC675" i="5" s="1"/>
  <c r="DF675" i="5" s="1"/>
  <c r="DC384" i="5" a="1"/>
  <c r="DC384" i="5" s="1"/>
  <c r="DF384" i="5" s="1"/>
  <c r="DC494" i="5" a="1"/>
  <c r="DC494" i="5" s="1"/>
  <c r="DC79" i="5" a="1"/>
  <c r="DC79" i="5" s="1"/>
  <c r="DF79" i="5" s="1"/>
  <c r="DC378" i="5" a="1"/>
  <c r="DC378" i="5" s="1"/>
  <c r="DF378" i="5" s="1"/>
  <c r="DC673" i="5" a="1"/>
  <c r="DC673" i="5" s="1"/>
  <c r="DF673" i="5" s="1"/>
  <c r="DC379" i="5" a="1"/>
  <c r="DC379" i="5" s="1"/>
  <c r="DF379" i="5" s="1"/>
  <c r="DC383" i="5" a="1"/>
  <c r="DC383" i="5" s="1"/>
  <c r="DF383" i="5" s="1"/>
  <c r="DC84" i="5" a="1"/>
  <c r="DC84" i="5" s="1"/>
  <c r="DF84" i="5" s="1"/>
  <c r="DC678" i="5" a="1"/>
  <c r="DC678" i="5" s="1"/>
  <c r="DF678" i="5" s="1"/>
  <c r="DC81" i="5" a="1"/>
  <c r="DC81" i="5" s="1"/>
  <c r="DF81" i="5" s="1"/>
  <c r="DC498" i="5" a="1"/>
  <c r="DC498" i="5" s="1"/>
  <c r="DF498" i="5" s="1"/>
  <c r="DC87" i="5" a="1"/>
  <c r="DC87" i="5" s="1"/>
  <c r="DF87" i="5" s="1"/>
  <c r="DC680" i="5" a="1"/>
  <c r="DC680" i="5" s="1"/>
  <c r="DF680" i="5" s="1"/>
  <c r="DC382" i="5" a="1"/>
  <c r="DC382" i="5" s="1"/>
  <c r="DF382" i="5" s="1"/>
  <c r="DC495" i="5" a="1"/>
  <c r="DC495" i="5" s="1"/>
  <c r="DF495" i="5" s="1"/>
  <c r="DC86" i="5" a="1"/>
  <c r="DC86" i="5" s="1"/>
  <c r="DF86" i="5" s="1"/>
  <c r="DC497" i="5" a="1"/>
  <c r="DC497" i="5" s="1"/>
  <c r="DF497" i="5" s="1"/>
  <c r="DC489" i="5" a="1"/>
  <c r="DC489" i="5" s="1"/>
  <c r="DF489" i="5" s="1"/>
  <c r="DC85" i="5" a="1"/>
  <c r="DC85" i="5" s="1"/>
  <c r="DF85" i="5" s="1"/>
  <c r="DC492" i="5" a="1"/>
  <c r="DC492" i="5" s="1"/>
  <c r="DF492" i="5" s="1"/>
  <c r="DC671" i="5" a="1"/>
  <c r="DC671" i="5" s="1"/>
  <c r="DF671" i="5" s="1"/>
  <c r="DC83" i="5" a="1"/>
  <c r="DC83" i="5" s="1"/>
  <c r="DF83" i="5" s="1"/>
  <c r="DC386" i="5" a="1"/>
  <c r="DC386" i="5" s="1"/>
  <c r="DF386" i="5" s="1"/>
  <c r="DC493" i="5" a="1"/>
  <c r="DC493" i="5" s="1"/>
  <c r="DC381" i="5" a="1"/>
  <c r="DC381" i="5" s="1"/>
  <c r="DF381" i="5" s="1"/>
  <c r="DC82" i="5" a="1"/>
  <c r="DC82" i="5" s="1"/>
  <c r="DF82" i="5" s="1"/>
  <c r="DC247" i="5" a="1"/>
  <c r="DC247" i="5" s="1"/>
  <c r="DF247" i="5" s="1"/>
  <c r="DC640" i="5" a="1"/>
  <c r="DC640" i="5" s="1"/>
  <c r="DF640" i="5" s="1"/>
  <c r="DC252" i="5" a="1"/>
  <c r="DC252" i="5" s="1"/>
  <c r="DC639" i="5" a="1"/>
  <c r="DC639" i="5" s="1"/>
  <c r="DF639" i="5" s="1"/>
  <c r="DC245" i="5" a="1"/>
  <c r="DC245" i="5" s="1"/>
  <c r="DF245" i="5" s="1"/>
  <c r="DC246" i="5" a="1"/>
  <c r="DC246" i="5" s="1"/>
  <c r="DF246" i="5" s="1"/>
  <c r="DC251" i="5" a="1"/>
  <c r="DC251" i="5" s="1"/>
  <c r="CQ143" i="5"/>
  <c r="DC250" i="5" a="1"/>
  <c r="DC250" i="5" s="1"/>
  <c r="DF250" i="5" s="1"/>
  <c r="DC641" i="5" a="1"/>
  <c r="DC641" i="5" s="1"/>
  <c r="DF641" i="5" s="1"/>
  <c r="P73" i="5"/>
  <c r="CR143" i="5" s="1"/>
  <c r="DC249" i="5" a="1"/>
  <c r="DC249" i="5" s="1"/>
  <c r="DF249" i="5" s="1"/>
  <c r="DC637" i="5" a="1"/>
  <c r="DC637" i="5" s="1"/>
  <c r="DF637" i="5" s="1"/>
  <c r="DC248" i="5" a="1"/>
  <c r="DC248" i="5" s="1"/>
  <c r="DF248" i="5" s="1"/>
  <c r="DC638" i="5" a="1"/>
  <c r="DC638" i="5" s="1"/>
  <c r="DF638" i="5" s="1"/>
  <c r="DC636" i="5" a="1"/>
  <c r="DC636" i="5" s="1"/>
  <c r="DF636" i="5" s="1"/>
  <c r="DC642" i="5" a="1"/>
  <c r="DC642" i="5" s="1"/>
  <c r="DF642" i="5" s="1"/>
  <c r="DC643" i="5" a="1"/>
  <c r="DC643" i="5" s="1"/>
  <c r="DF643" i="5" s="1"/>
  <c r="CQ590" i="5"/>
  <c r="DE225" i="5" a="1"/>
  <c r="DE225" i="5" s="1"/>
  <c r="DE580" i="5" a="1"/>
  <c r="DE580" i="5" s="1"/>
  <c r="DE616" i="5" a="1"/>
  <c r="DE616" i="5" s="1"/>
  <c r="DE189" i="5" a="1"/>
  <c r="DE189" i="5" s="1"/>
  <c r="AZ72" i="5"/>
  <c r="CR590" i="5" s="1"/>
  <c r="CQ548" i="5"/>
  <c r="AW72" i="5"/>
  <c r="CR548" i="5" s="1"/>
  <c r="CS350" i="5"/>
  <c r="DC231" i="5" a="1"/>
  <c r="DC231" i="5" s="1"/>
  <c r="DF231" i="5" s="1"/>
  <c r="CQ129" i="5"/>
  <c r="DC230" i="5" a="1"/>
  <c r="DC230" i="5" s="1"/>
  <c r="DF230" i="5" s="1"/>
  <c r="O73" i="5"/>
  <c r="CR129" i="5" s="1"/>
  <c r="DC625" i="5" a="1"/>
  <c r="DC625" i="5" s="1"/>
  <c r="DF625" i="5" s="1"/>
  <c r="DC627" i="5" a="1"/>
  <c r="DC627" i="5" s="1"/>
  <c r="DF627" i="5" s="1"/>
  <c r="DC621" i="5" a="1"/>
  <c r="DC621" i="5" s="1"/>
  <c r="DF621" i="5" s="1"/>
  <c r="DC622" i="5" a="1"/>
  <c r="DC622" i="5" s="1"/>
  <c r="DF622" i="5" s="1"/>
  <c r="DC235" i="5" a="1"/>
  <c r="DC235" i="5" s="1"/>
  <c r="DF235" i="5" s="1"/>
  <c r="DC233" i="5" a="1"/>
  <c r="DC233" i="5" s="1"/>
  <c r="DF233" i="5" s="1"/>
  <c r="DC232" i="5" a="1"/>
  <c r="DC232" i="5" s="1"/>
  <c r="DF232" i="5" s="1"/>
  <c r="DC623" i="5" a="1"/>
  <c r="DC623" i="5" s="1"/>
  <c r="DF623" i="5" s="1"/>
  <c r="DC236" i="5" a="1"/>
  <c r="DC236" i="5" s="1"/>
  <c r="DF236" i="5" s="1"/>
  <c r="DC624" i="5" a="1"/>
  <c r="DC624" i="5" s="1"/>
  <c r="DF624" i="5" s="1"/>
  <c r="DC620" i="5" a="1"/>
  <c r="DC620" i="5" s="1"/>
  <c r="DF620" i="5" s="1"/>
  <c r="DC234" i="5" a="1"/>
  <c r="DC234" i="5" s="1"/>
  <c r="DF234" i="5" s="1"/>
  <c r="DC229" i="5" a="1"/>
  <c r="DC229" i="5" s="1"/>
  <c r="DF229" i="5" s="1"/>
  <c r="DC626" i="5" a="1"/>
  <c r="DC626" i="5" s="1"/>
  <c r="DF626" i="5" s="1"/>
  <c r="P69" i="5"/>
  <c r="CR139" i="5" s="1"/>
  <c r="CQ139" i="5"/>
  <c r="DC26" i="5" a="1"/>
  <c r="DC26" i="5" s="1"/>
  <c r="DF26" i="5" s="1"/>
  <c r="DC179" i="5" a="1"/>
  <c r="DC179" i="5" s="1"/>
  <c r="DF179" i="5" s="1"/>
  <c r="DC27" i="5" a="1"/>
  <c r="DC27" i="5" s="1"/>
  <c r="DF27" i="5" s="1"/>
  <c r="DC180" i="5" a="1"/>
  <c r="DC180" i="5" s="1"/>
  <c r="DC178" i="5" a="1"/>
  <c r="DC178" i="5" s="1"/>
  <c r="DF178" i="5" s="1"/>
  <c r="DC181" i="5" a="1"/>
  <c r="DC181" i="5" s="1"/>
  <c r="DF181" i="5" s="1"/>
  <c r="DC29" i="5" a="1"/>
  <c r="DC29" i="5" s="1"/>
  <c r="DF29" i="5" s="1"/>
  <c r="DC28" i="5" a="1"/>
  <c r="DC28" i="5" s="1"/>
  <c r="DF28" i="5" s="1"/>
  <c r="U51" i="5"/>
  <c r="CQ57" i="5"/>
  <c r="J71" i="5"/>
  <c r="CR57" i="5" s="1"/>
  <c r="X56" i="5"/>
  <c r="BU56" i="5" s="1"/>
  <c r="DC160" i="5" a="1"/>
  <c r="DC160" i="5" s="1"/>
  <c r="DF160" i="5" s="1"/>
  <c r="DC156" i="5" a="1"/>
  <c r="DC156" i="5" s="1"/>
  <c r="DF156" i="5" s="1"/>
  <c r="DC159" i="5" a="1"/>
  <c r="DC159" i="5" s="1"/>
  <c r="DF159" i="5" s="1"/>
  <c r="DC563" i="5" a="1"/>
  <c r="DC563" i="5" s="1"/>
  <c r="DF563" i="5" s="1"/>
  <c r="DC748" i="5" a="1"/>
  <c r="DC748" i="5" s="1"/>
  <c r="DF748" i="5" s="1"/>
  <c r="DC747" i="5" a="1"/>
  <c r="DC747" i="5" s="1"/>
  <c r="DF747" i="5" s="1"/>
  <c r="DC569" i="5" a="1"/>
  <c r="DC569" i="5" s="1"/>
  <c r="DF569" i="5" s="1"/>
  <c r="DC751" i="5" a="1"/>
  <c r="DC751" i="5" s="1"/>
  <c r="DF751" i="5" s="1"/>
  <c r="DC749" i="5" a="1"/>
  <c r="DC749" i="5" s="1"/>
  <c r="DF749" i="5" s="1"/>
  <c r="DC461" i="5" a="1"/>
  <c r="DC461" i="5" s="1"/>
  <c r="DF461" i="5" s="1"/>
  <c r="DC746" i="5" a="1"/>
  <c r="DC746" i="5" s="1"/>
  <c r="DF746" i="5" s="1"/>
  <c r="DC453" i="5" a="1"/>
  <c r="DC453" i="5" s="1"/>
  <c r="DF453" i="5" s="1"/>
  <c r="DC154" i="5" a="1"/>
  <c r="DC154" i="5" s="1"/>
  <c r="DF154" i="5" s="1"/>
  <c r="DC571" i="5" a="1"/>
  <c r="DC571" i="5" s="1"/>
  <c r="DF571" i="5" s="1"/>
  <c r="DC155" i="5" a="1"/>
  <c r="DC155" i="5" s="1"/>
  <c r="DF155" i="5" s="1"/>
  <c r="DC455" i="5" a="1"/>
  <c r="DC455" i="5" s="1"/>
  <c r="DF455" i="5" s="1"/>
  <c r="DC454" i="5" a="1"/>
  <c r="DC454" i="5" s="1"/>
  <c r="DF454" i="5" s="1"/>
  <c r="DC566" i="5" a="1"/>
  <c r="DC566" i="5" s="1"/>
  <c r="DF566" i="5" s="1"/>
  <c r="DC567" i="5" a="1"/>
  <c r="DC567" i="5" s="1"/>
  <c r="DC158" i="5" a="1"/>
  <c r="DC158" i="5" s="1"/>
  <c r="DF158" i="5" s="1"/>
  <c r="DC456" i="5" a="1"/>
  <c r="DC456" i="5" s="1"/>
  <c r="DF456" i="5" s="1"/>
  <c r="DC564" i="5" a="1"/>
  <c r="DC564" i="5" s="1"/>
  <c r="DF564" i="5" s="1"/>
  <c r="DC752" i="5" a="1"/>
  <c r="DC752" i="5" s="1"/>
  <c r="DF752" i="5" s="1"/>
  <c r="DC457" i="5" a="1"/>
  <c r="DC457" i="5" s="1"/>
  <c r="DF457" i="5" s="1"/>
  <c r="DC565" i="5" a="1"/>
  <c r="DC565" i="5" s="1"/>
  <c r="DF565" i="5" s="1"/>
  <c r="DC753" i="5" a="1"/>
  <c r="DC753" i="5" s="1"/>
  <c r="DF753" i="5" s="1"/>
  <c r="DC754" i="5" a="1"/>
  <c r="DC754" i="5" s="1"/>
  <c r="DF754" i="5" s="1"/>
  <c r="DC568" i="5" a="1"/>
  <c r="DC568" i="5" s="1"/>
  <c r="DF568" i="5" s="1"/>
  <c r="DC157" i="5" a="1"/>
  <c r="DC157" i="5" s="1"/>
  <c r="DC570" i="5" a="1"/>
  <c r="DC570" i="5" s="1"/>
  <c r="DF570" i="5" s="1"/>
  <c r="DC745" i="5" a="1"/>
  <c r="DC745" i="5" s="1"/>
  <c r="DF745" i="5" s="1"/>
  <c r="DC572" i="5" a="1"/>
  <c r="DC572" i="5" s="1"/>
  <c r="DF572" i="5" s="1"/>
  <c r="DC458" i="5" a="1"/>
  <c r="DC458" i="5" s="1"/>
  <c r="DF458" i="5" s="1"/>
  <c r="DC153" i="5" a="1"/>
  <c r="DC153" i="5" s="1"/>
  <c r="DF153" i="5" s="1"/>
  <c r="DC161" i="5" a="1"/>
  <c r="DC161" i="5" s="1"/>
  <c r="DF161" i="5" s="1"/>
  <c r="DC459" i="5" a="1"/>
  <c r="DC459" i="5" s="1"/>
  <c r="DF459" i="5" s="1"/>
  <c r="DC460" i="5" a="1"/>
  <c r="DC460" i="5" s="1"/>
  <c r="DF460" i="5" s="1"/>
  <c r="DC452" i="5" a="1"/>
  <c r="DC452" i="5" s="1"/>
  <c r="DF452" i="5" s="1"/>
  <c r="DC750" i="5" a="1"/>
  <c r="DC750" i="5" s="1"/>
  <c r="DF750" i="5" s="1"/>
  <c r="DC162" i="5" a="1"/>
  <c r="DC162" i="5" s="1"/>
  <c r="DF162" i="5" s="1"/>
  <c r="O70" i="5"/>
  <c r="CR126" i="5" s="1"/>
  <c r="CQ126" i="5"/>
  <c r="DC237" i="5" a="1"/>
  <c r="DC237" i="5" s="1"/>
  <c r="DC241" i="5" a="1"/>
  <c r="DC241" i="5" s="1"/>
  <c r="DC239" i="5" a="1"/>
  <c r="DC239" i="5" s="1"/>
  <c r="DC628" i="5" a="1"/>
  <c r="DC628" i="5" s="1"/>
  <c r="DC240" i="5" a="1"/>
  <c r="DC240" i="5" s="1"/>
  <c r="DC238" i="5" a="1"/>
  <c r="DC238" i="5" s="1"/>
  <c r="DC243" i="5" a="1"/>
  <c r="DC243" i="5" s="1"/>
  <c r="DC632" i="5" a="1"/>
  <c r="DC632" i="5" s="1"/>
  <c r="DC630" i="5" a="1"/>
  <c r="DC630" i="5" s="1"/>
  <c r="DC244" i="5" a="1"/>
  <c r="DC244" i="5" s="1"/>
  <c r="DC634" i="5" a="1"/>
  <c r="DC634" i="5" s="1"/>
  <c r="DC635" i="5" a="1"/>
  <c r="DC635" i="5" s="1"/>
  <c r="Q73" i="5"/>
  <c r="CR157" i="5" s="1"/>
  <c r="DC631" i="5" a="1"/>
  <c r="DC631" i="5" s="1"/>
  <c r="DC242" i="5" a="1"/>
  <c r="DC242" i="5" s="1"/>
  <c r="CQ157" i="5"/>
  <c r="DC629" i="5" a="1"/>
  <c r="DC629" i="5" s="1"/>
  <c r="DC633" i="5" a="1"/>
  <c r="DC633" i="5" s="1"/>
  <c r="CQ338" i="5"/>
  <c r="AF72" i="5"/>
  <c r="CR338" i="5" s="1"/>
  <c r="S69" i="5"/>
  <c r="CR181" i="5" s="1"/>
  <c r="CQ181" i="5"/>
  <c r="DC169" i="5" a="1"/>
  <c r="DC169" i="5" s="1"/>
  <c r="DF169" i="5" s="1"/>
  <c r="DC168" i="5" a="1"/>
  <c r="DC168" i="5" s="1"/>
  <c r="DF168" i="5" s="1"/>
  <c r="DC17" i="5" a="1"/>
  <c r="DC17" i="5" s="1"/>
  <c r="DF17" i="5" s="1"/>
  <c r="DC16" i="5" a="1"/>
  <c r="DC16" i="5" s="1"/>
  <c r="DF16" i="5" s="1"/>
  <c r="CS561" i="5"/>
  <c r="CQ408" i="5"/>
  <c r="AK72" i="5"/>
  <c r="CR408" i="5" s="1"/>
  <c r="DD238" i="5" a="1"/>
  <c r="DD238" i="5" s="1"/>
  <c r="DD297" i="5" a="1"/>
  <c r="DD297" i="5" s="1"/>
  <c r="DD629" i="5" a="1"/>
  <c r="DD629" i="5" s="1"/>
  <c r="DD332" i="5" a="1"/>
  <c r="DD332" i="5" s="1"/>
  <c r="DD628" i="5" a="1"/>
  <c r="DD628" i="5" s="1"/>
  <c r="DD237" i="5" a="1"/>
  <c r="DD237" i="5" s="1"/>
  <c r="DD298" i="5" a="1"/>
  <c r="DD298" i="5" s="1"/>
  <c r="DD331" i="5" a="1"/>
  <c r="DD331" i="5" s="1"/>
  <c r="CS349" i="5"/>
  <c r="CS549" i="5"/>
  <c r="CS541" i="5"/>
  <c r="CQ127" i="5"/>
  <c r="O71" i="5"/>
  <c r="CR127" i="5" s="1"/>
  <c r="Q69" i="5"/>
  <c r="CR153" i="5" s="1"/>
  <c r="CQ153" i="5"/>
  <c r="DC174" i="5" a="1"/>
  <c r="DC174" i="5" s="1"/>
  <c r="DC22" i="5" a="1"/>
  <c r="DC22" i="5" s="1"/>
  <c r="DC177" i="5" a="1"/>
  <c r="DC177" i="5" s="1"/>
  <c r="DC23" i="5" a="1"/>
  <c r="DC23" i="5" s="1"/>
  <c r="DC175" i="5" a="1"/>
  <c r="DC175" i="5" s="1"/>
  <c r="DC24" i="5" a="1"/>
  <c r="DC24" i="5" s="1"/>
  <c r="DC25" i="5" a="1"/>
  <c r="DC25" i="5" s="1"/>
  <c r="DC176" i="5" a="1"/>
  <c r="DC176" i="5" s="1"/>
  <c r="CQ193" i="5"/>
  <c r="T67" i="5"/>
  <c r="CR193" i="5" s="1"/>
  <c r="CQ184" i="5"/>
  <c r="S72" i="5"/>
  <c r="CR184" i="5" s="1"/>
  <c r="DC702" i="5" a="1"/>
  <c r="DC702" i="5" s="1"/>
  <c r="DF702" i="5" s="1"/>
  <c r="DC705" i="5" a="1"/>
  <c r="DC705" i="5" s="1"/>
  <c r="DF705" i="5" s="1"/>
  <c r="DC525" i="5" a="1"/>
  <c r="DC525" i="5" s="1"/>
  <c r="DF525" i="5" s="1"/>
  <c r="DC703" i="5" a="1"/>
  <c r="DC703" i="5" s="1"/>
  <c r="DF703" i="5" s="1"/>
  <c r="DC115" i="5" a="1"/>
  <c r="DC115" i="5" s="1"/>
  <c r="DF115" i="5" s="1"/>
  <c r="DC521" i="5" a="1"/>
  <c r="DC521" i="5" s="1"/>
  <c r="DF521" i="5" s="1"/>
  <c r="DC524" i="5" a="1"/>
  <c r="DC524" i="5" s="1"/>
  <c r="DF524" i="5" s="1"/>
  <c r="DC412" i="5" a="1"/>
  <c r="DC412" i="5" s="1"/>
  <c r="DF412" i="5" s="1"/>
  <c r="DC410" i="5" a="1"/>
  <c r="DC410" i="5" s="1"/>
  <c r="DF410" i="5" s="1"/>
  <c r="DC522" i="5" a="1"/>
  <c r="DC522" i="5" s="1"/>
  <c r="DF522" i="5" s="1"/>
  <c r="DC704" i="5" a="1"/>
  <c r="DC704" i="5" s="1"/>
  <c r="DF704" i="5" s="1"/>
  <c r="DC110" i="5" a="1"/>
  <c r="DC110" i="5" s="1"/>
  <c r="DF110" i="5" s="1"/>
  <c r="DC413" i="5" a="1"/>
  <c r="DC413" i="5" s="1"/>
  <c r="DF413" i="5" s="1"/>
  <c r="DC520" i="5" a="1"/>
  <c r="DC520" i="5" s="1"/>
  <c r="DF520" i="5" s="1"/>
  <c r="DC411" i="5" a="1"/>
  <c r="DC411" i="5" s="1"/>
  <c r="DF411" i="5" s="1"/>
  <c r="DC112" i="5" a="1"/>
  <c r="DC112" i="5" s="1"/>
  <c r="DF112" i="5" s="1"/>
  <c r="DC706" i="5" a="1"/>
  <c r="DC706" i="5" s="1"/>
  <c r="DF706" i="5" s="1"/>
  <c r="DC114" i="5" a="1"/>
  <c r="DC114" i="5" s="1"/>
  <c r="DF114" i="5" s="1"/>
  <c r="DC414" i="5" a="1"/>
  <c r="DC414" i="5" s="1"/>
  <c r="DF414" i="5" s="1"/>
  <c r="DC111" i="5" a="1"/>
  <c r="DC111" i="5" s="1"/>
  <c r="DF111" i="5" s="1"/>
  <c r="DC113" i="5" a="1"/>
  <c r="DC113" i="5" s="1"/>
  <c r="DF113" i="5" s="1"/>
  <c r="DC409" i="5" a="1"/>
  <c r="DC409" i="5" s="1"/>
  <c r="DF409" i="5" s="1"/>
  <c r="DC707" i="5" a="1"/>
  <c r="DC707" i="5" s="1"/>
  <c r="DF707" i="5" s="1"/>
  <c r="DC523" i="5" a="1"/>
  <c r="DC523" i="5" s="1"/>
  <c r="DF523" i="5" s="1"/>
  <c r="CQ141" i="5"/>
  <c r="P71" i="5"/>
  <c r="CR141" i="5" s="1"/>
  <c r="CQ140" i="5"/>
  <c r="P70" i="5"/>
  <c r="CR140" i="5" s="1"/>
  <c r="CQ171" i="5"/>
  <c r="R73" i="5"/>
  <c r="CR171" i="5" s="1"/>
  <c r="CS518" i="5"/>
  <c r="R53" i="5"/>
  <c r="AU72" i="5"/>
  <c r="CR520" i="5" s="1"/>
  <c r="CQ520" i="5"/>
  <c r="CS578" i="5"/>
  <c r="CS570" i="5"/>
  <c r="CS560" i="5"/>
  <c r="CS356" i="5"/>
  <c r="CS348" i="5"/>
  <c r="CS548" i="5"/>
  <c r="CQ562" i="5"/>
  <c r="AX72" i="5"/>
  <c r="CR562" i="5" s="1"/>
  <c r="CQ207" i="5"/>
  <c r="U67" i="5"/>
  <c r="CR207" i="5" s="1"/>
  <c r="CQ167" i="5"/>
  <c r="R69" i="5"/>
  <c r="CR167" i="5" s="1"/>
  <c r="DC164" i="5" a="1"/>
  <c r="DC164" i="5" s="1"/>
  <c r="DF164" i="5" s="1"/>
  <c r="DC13" i="5" a="1"/>
  <c r="DC13" i="5" s="1"/>
  <c r="DF13" i="5" s="1"/>
  <c r="DC165" i="5" a="1"/>
  <c r="DC165" i="5" s="1"/>
  <c r="DF165" i="5" s="1"/>
  <c r="DC12" i="5" a="1"/>
  <c r="DC12" i="5" s="1"/>
  <c r="DF12" i="5" s="1"/>
  <c r="DC346" i="5" a="1"/>
  <c r="DC346" i="5" s="1"/>
  <c r="DF346" i="5" s="1"/>
  <c r="DC350" i="5" a="1"/>
  <c r="DC350" i="5" s="1"/>
  <c r="DF350" i="5" s="1"/>
  <c r="DC347" i="5" a="1"/>
  <c r="DC347" i="5" s="1"/>
  <c r="DF347" i="5" s="1"/>
  <c r="DC344" i="5" a="1"/>
  <c r="DC344" i="5" s="1"/>
  <c r="DF344" i="5" s="1"/>
  <c r="DC343" i="5" a="1"/>
  <c r="DC343" i="5" s="1"/>
  <c r="DF343" i="5" s="1"/>
  <c r="DC342" i="5" a="1"/>
  <c r="DC342" i="5" s="1"/>
  <c r="DF342" i="5" s="1"/>
  <c r="DC341" i="5" a="1"/>
  <c r="DC341" i="5" s="1"/>
  <c r="DF341" i="5" s="1"/>
  <c r="DC349" i="5" a="1"/>
  <c r="DC349" i="5" s="1"/>
  <c r="DF349" i="5" s="1"/>
  <c r="DC345" i="5" a="1"/>
  <c r="DC345" i="5" s="1"/>
  <c r="DF345" i="5" s="1"/>
  <c r="DC348" i="5" a="1"/>
  <c r="DC348" i="5" s="1"/>
  <c r="DF348" i="5" s="1"/>
  <c r="P67" i="5"/>
  <c r="CR137" i="5" s="1"/>
  <c r="CQ137" i="5"/>
  <c r="CQ198" i="5"/>
  <c r="T72" i="5"/>
  <c r="CR198" i="5" s="1"/>
  <c r="DC406" i="5" a="1"/>
  <c r="DC406" i="5" s="1"/>
  <c r="DF406" i="5" s="1"/>
  <c r="DC404" i="5" a="1"/>
  <c r="DC404" i="5" s="1"/>
  <c r="DF404" i="5" s="1"/>
  <c r="DC407" i="5" a="1"/>
  <c r="DC407" i="5" s="1"/>
  <c r="DF407" i="5" s="1"/>
  <c r="DC697" i="5" a="1"/>
  <c r="DC697" i="5" s="1"/>
  <c r="DF697" i="5" s="1"/>
  <c r="DC405" i="5" a="1"/>
  <c r="DC405" i="5" s="1"/>
  <c r="DF405" i="5" s="1"/>
  <c r="DC108" i="5" a="1"/>
  <c r="DC108" i="5" s="1"/>
  <c r="DF108" i="5" s="1"/>
  <c r="DC408" i="5" a="1"/>
  <c r="DC408" i="5" s="1"/>
  <c r="DF408" i="5" s="1"/>
  <c r="DC517" i="5" a="1"/>
  <c r="DC517" i="5" s="1"/>
  <c r="DF517" i="5" s="1"/>
  <c r="DC109" i="5" a="1"/>
  <c r="DC109" i="5" s="1"/>
  <c r="DF109" i="5" s="1"/>
  <c r="DC514" i="5" a="1"/>
  <c r="DC514" i="5" s="1"/>
  <c r="DF514" i="5" s="1"/>
  <c r="DC106" i="5" a="1"/>
  <c r="DC106" i="5" s="1"/>
  <c r="DF106" i="5" s="1"/>
  <c r="DC699" i="5" a="1"/>
  <c r="DC699" i="5" s="1"/>
  <c r="DF699" i="5" s="1"/>
  <c r="DC519" i="5" a="1"/>
  <c r="DC519" i="5" s="1"/>
  <c r="DF519" i="5" s="1"/>
  <c r="DC104" i="5" a="1"/>
  <c r="DC104" i="5" s="1"/>
  <c r="DF104" i="5" s="1"/>
  <c r="DC701" i="5" a="1"/>
  <c r="DC701" i="5" s="1"/>
  <c r="DF701" i="5" s="1"/>
  <c r="DC518" i="5" a="1"/>
  <c r="DC518" i="5" s="1"/>
  <c r="DF518" i="5" s="1"/>
  <c r="DC105" i="5" a="1"/>
  <c r="DC105" i="5" s="1"/>
  <c r="DF105" i="5" s="1"/>
  <c r="DC696" i="5" a="1"/>
  <c r="DC696" i="5" s="1"/>
  <c r="DF696" i="5" s="1"/>
  <c r="DC515" i="5" a="1"/>
  <c r="DC515" i="5" s="1"/>
  <c r="DF515" i="5" s="1"/>
  <c r="DC698" i="5" a="1"/>
  <c r="DC698" i="5" s="1"/>
  <c r="DF698" i="5" s="1"/>
  <c r="DC700" i="5" a="1"/>
  <c r="DC700" i="5" s="1"/>
  <c r="DF700" i="5" s="1"/>
  <c r="DC403" i="5" a="1"/>
  <c r="DC403" i="5" s="1"/>
  <c r="DF403" i="5" s="1"/>
  <c r="DC107" i="5" a="1"/>
  <c r="DC107" i="5" s="1"/>
  <c r="DF107" i="5" s="1"/>
  <c r="DC516" i="5" a="1"/>
  <c r="DC516" i="5" s="1"/>
  <c r="DF516" i="5" s="1"/>
  <c r="CQ155" i="5"/>
  <c r="Q71" i="5"/>
  <c r="CR155" i="5" s="1"/>
  <c r="CQ154" i="5"/>
  <c r="Q70" i="5"/>
  <c r="CR154" i="5" s="1"/>
  <c r="DC203" i="5" a="1"/>
  <c r="DC203" i="5" s="1"/>
  <c r="DF203" i="5" s="1"/>
  <c r="DC204" i="5" a="1"/>
  <c r="DC204" i="5" s="1"/>
  <c r="DF204" i="5" s="1"/>
  <c r="DC208" i="5" a="1"/>
  <c r="DC208" i="5" s="1"/>
  <c r="DC207" i="5" a="1"/>
  <c r="DC207" i="5" s="1"/>
  <c r="DC600" i="5" a="1"/>
  <c r="DC600" i="5" s="1"/>
  <c r="DC597" i="5" a="1"/>
  <c r="DC597" i="5" s="1"/>
  <c r="DF597" i="5" s="1"/>
  <c r="DC211" i="5" a="1"/>
  <c r="DC211" i="5" s="1"/>
  <c r="DC598" i="5" a="1"/>
  <c r="DC598" i="5" s="1"/>
  <c r="DC210" i="5" a="1"/>
  <c r="DC210" i="5" s="1"/>
  <c r="DC205" i="5" a="1"/>
  <c r="DC205" i="5" s="1"/>
  <c r="DF205" i="5" s="1"/>
  <c r="DC602" i="5" a="1"/>
  <c r="DC602" i="5" s="1"/>
  <c r="DC209" i="5" a="1"/>
  <c r="DC209" i="5" s="1"/>
  <c r="DC601" i="5" a="1"/>
  <c r="DC601" i="5" s="1"/>
  <c r="DC594" i="5" a="1"/>
  <c r="DC594" i="5" s="1"/>
  <c r="DF594" i="5" s="1"/>
  <c r="DC206" i="5" a="1"/>
  <c r="DC206" i="5" s="1"/>
  <c r="DC596" i="5" a="1"/>
  <c r="DC596" i="5" s="1"/>
  <c r="DF596" i="5" s="1"/>
  <c r="DC212" i="5" a="1"/>
  <c r="DC212" i="5" s="1"/>
  <c r="DC595" i="5" a="1"/>
  <c r="DC595" i="5" s="1"/>
  <c r="DF595" i="5" s="1"/>
  <c r="S73" i="5"/>
  <c r="CR185" i="5" s="1"/>
  <c r="DC599" i="5" a="1"/>
  <c r="DC599" i="5" s="1"/>
  <c r="DC603" i="5" a="1"/>
  <c r="DC603" i="5" s="1"/>
  <c r="CQ185" i="5"/>
  <c r="CS517" i="5"/>
  <c r="BD57" i="5"/>
  <c r="CQ450" i="5"/>
  <c r="AP72" i="5"/>
  <c r="CR450" i="5" s="1"/>
  <c r="AI72" i="5"/>
  <c r="CR380" i="5" s="1"/>
  <c r="CQ380" i="5"/>
  <c r="DD339" i="5" a="1"/>
  <c r="DD339" i="5" s="1"/>
  <c r="DD340" i="5" a="1"/>
  <c r="DD340" i="5" s="1"/>
  <c r="CS577" i="5"/>
  <c r="CS569" i="5"/>
  <c r="CS559" i="5"/>
  <c r="CS355" i="5"/>
  <c r="CS347" i="5"/>
  <c r="CS547" i="5"/>
  <c r="CQ602" i="5"/>
  <c r="BA70" i="5"/>
  <c r="CR602" i="5" s="1"/>
  <c r="DE197" i="5" a="1"/>
  <c r="DE197" i="5" s="1"/>
  <c r="DE588" i="5" a="1"/>
  <c r="DE588" i="5" s="1"/>
  <c r="CQ195" i="5"/>
  <c r="T69" i="5"/>
  <c r="CR195" i="5" s="1"/>
  <c r="DC167" i="5" a="1"/>
  <c r="DC167" i="5" s="1"/>
  <c r="DF167" i="5" s="1"/>
  <c r="DC15" i="5" a="1"/>
  <c r="DC15" i="5" s="1"/>
  <c r="DF15" i="5" s="1"/>
  <c r="DC14" i="5" a="1"/>
  <c r="DC14" i="5" s="1"/>
  <c r="DF14" i="5" s="1"/>
  <c r="DC166" i="5" a="1"/>
  <c r="DC166" i="5" s="1"/>
  <c r="DF166" i="5" s="1"/>
  <c r="DC323" i="5" a="1"/>
  <c r="DC323" i="5" s="1"/>
  <c r="DF323" i="5" s="1"/>
  <c r="DC325" i="5" a="1"/>
  <c r="DC325" i="5" s="1"/>
  <c r="DF325" i="5" s="1"/>
  <c r="DC328" i="5" a="1"/>
  <c r="DC328" i="5" s="1"/>
  <c r="DF328" i="5" s="1"/>
  <c r="DC324" i="5" a="1"/>
  <c r="DC324" i="5" s="1"/>
  <c r="DF324" i="5" s="1"/>
  <c r="DC329" i="5" a="1"/>
  <c r="DC329" i="5" s="1"/>
  <c r="DF329" i="5" s="1"/>
  <c r="DC321" i="5" a="1"/>
  <c r="DC321" i="5" s="1"/>
  <c r="DF321" i="5" s="1"/>
  <c r="DC327" i="5" a="1"/>
  <c r="DC327" i="5" s="1"/>
  <c r="DF327" i="5" s="1"/>
  <c r="DC330" i="5" a="1"/>
  <c r="DC330" i="5" s="1"/>
  <c r="DF330" i="5" s="1"/>
  <c r="X52" i="5"/>
  <c r="O67" i="5"/>
  <c r="CR123" i="5" s="1"/>
  <c r="DC322" i="5" a="1"/>
  <c r="DC322" i="5" s="1"/>
  <c r="DF322" i="5" s="1"/>
  <c r="CQ123" i="5"/>
  <c r="DC326" i="5" a="1"/>
  <c r="DC326" i="5" s="1"/>
  <c r="DF326" i="5" s="1"/>
  <c r="CQ212" i="5"/>
  <c r="U72" i="5"/>
  <c r="CR212" i="5" s="1"/>
  <c r="DC683" i="5" a="1"/>
  <c r="DC683" i="5" s="1"/>
  <c r="DF683" i="5" s="1"/>
  <c r="DC389" i="5" a="1"/>
  <c r="DC389" i="5" s="1"/>
  <c r="DF389" i="5" s="1"/>
  <c r="DC500" i="5" a="1"/>
  <c r="DC500" i="5" s="1"/>
  <c r="DF500" i="5" s="1"/>
  <c r="DC91" i="5" a="1"/>
  <c r="DC91" i="5" s="1"/>
  <c r="DF91" i="5" s="1"/>
  <c r="DC499" i="5" a="1"/>
  <c r="DC499" i="5" s="1"/>
  <c r="DC94" i="5" a="1"/>
  <c r="DC94" i="5" s="1"/>
  <c r="DF94" i="5" s="1"/>
  <c r="DC685" i="5" a="1"/>
  <c r="DC685" i="5" s="1"/>
  <c r="DF685" i="5" s="1"/>
  <c r="DC390" i="5" a="1"/>
  <c r="DC390" i="5" s="1"/>
  <c r="DF390" i="5" s="1"/>
  <c r="DC684" i="5" a="1"/>
  <c r="DC684" i="5" s="1"/>
  <c r="DF684" i="5" s="1"/>
  <c r="DC502" i="5" a="1"/>
  <c r="DC502" i="5" s="1"/>
  <c r="DF502" i="5" s="1"/>
  <c r="DC504" i="5" a="1"/>
  <c r="DC504" i="5" s="1"/>
  <c r="DF504" i="5" s="1"/>
  <c r="DC392" i="5" a="1"/>
  <c r="DC392" i="5" s="1"/>
  <c r="DF392" i="5" s="1"/>
  <c r="DC388" i="5" a="1"/>
  <c r="DC388" i="5" s="1"/>
  <c r="DC391" i="5" a="1"/>
  <c r="DC391" i="5" s="1"/>
  <c r="DF391" i="5" s="1"/>
  <c r="DC89" i="5" a="1"/>
  <c r="DC89" i="5" s="1"/>
  <c r="DC90" i="5" a="1"/>
  <c r="DC90" i="5" s="1"/>
  <c r="DF90" i="5" s="1"/>
  <c r="DC503" i="5" a="1"/>
  <c r="DC503" i="5" s="1"/>
  <c r="DF503" i="5" s="1"/>
  <c r="DC92" i="5" a="1"/>
  <c r="DC92" i="5" s="1"/>
  <c r="DF92" i="5" s="1"/>
  <c r="DC93" i="5" a="1"/>
  <c r="DC93" i="5" s="1"/>
  <c r="DF93" i="5" s="1"/>
  <c r="DC681" i="5" a="1"/>
  <c r="DC681" i="5" s="1"/>
  <c r="DC393" i="5" a="1"/>
  <c r="DC393" i="5" s="1"/>
  <c r="DF393" i="5" s="1"/>
  <c r="DC682" i="5" a="1"/>
  <c r="DC682" i="5" s="1"/>
  <c r="DF682" i="5" s="1"/>
  <c r="DC686" i="5" a="1"/>
  <c r="DC686" i="5" s="1"/>
  <c r="DF686" i="5" s="1"/>
  <c r="DC501" i="5" a="1"/>
  <c r="DC501" i="5" s="1"/>
  <c r="DF501" i="5" s="1"/>
  <c r="CQ169" i="5"/>
  <c r="R71" i="5"/>
  <c r="CR169" i="5" s="1"/>
  <c r="DC544" i="5" a="1"/>
  <c r="DC544" i="5" s="1"/>
  <c r="DF544" i="5" s="1"/>
  <c r="DC730" i="5" a="1"/>
  <c r="DC730" i="5" s="1"/>
  <c r="DF730" i="5" s="1"/>
  <c r="DC729" i="5" a="1"/>
  <c r="DC729" i="5" s="1"/>
  <c r="DF729" i="5" s="1"/>
  <c r="DC546" i="5" a="1"/>
  <c r="DC546" i="5" s="1"/>
  <c r="DF546" i="5" s="1"/>
  <c r="DC726" i="5" a="1"/>
  <c r="DC726" i="5" s="1"/>
  <c r="DF726" i="5" s="1"/>
  <c r="DC435" i="5" a="1"/>
  <c r="DC435" i="5" s="1"/>
  <c r="DF435" i="5" s="1"/>
  <c r="DC728" i="5" a="1"/>
  <c r="DC728" i="5" s="1"/>
  <c r="DF728" i="5" s="1"/>
  <c r="DC438" i="5" a="1"/>
  <c r="DC438" i="5" s="1"/>
  <c r="DF438" i="5" s="1"/>
  <c r="DC138" i="5" a="1"/>
  <c r="DC138" i="5" s="1"/>
  <c r="DF138" i="5" s="1"/>
  <c r="DC140" i="5" a="1"/>
  <c r="DC140" i="5" s="1"/>
  <c r="DC549" i="5" a="1"/>
  <c r="DC549" i="5" s="1"/>
  <c r="DF549" i="5" s="1"/>
  <c r="DC436" i="5" a="1"/>
  <c r="DC436" i="5" s="1"/>
  <c r="DF436" i="5" s="1"/>
  <c r="DC136" i="5" a="1"/>
  <c r="DC136" i="5" s="1"/>
  <c r="DF136" i="5" s="1"/>
  <c r="DC434" i="5" a="1"/>
  <c r="DC434" i="5" s="1"/>
  <c r="DF434" i="5" s="1"/>
  <c r="DC732" i="5" a="1"/>
  <c r="DC732" i="5" s="1"/>
  <c r="DC725" i="5" a="1"/>
  <c r="DC725" i="5" s="1"/>
  <c r="DF725" i="5" s="1"/>
  <c r="DC547" i="5" a="1"/>
  <c r="DC547" i="5" s="1"/>
  <c r="DF547" i="5" s="1"/>
  <c r="DC548" i="5" a="1"/>
  <c r="DC548" i="5" s="1"/>
  <c r="DF548" i="5" s="1"/>
  <c r="DC433" i="5" a="1"/>
  <c r="DC433" i="5" s="1"/>
  <c r="DF433" i="5" s="1"/>
  <c r="DC727" i="5" a="1"/>
  <c r="DC727" i="5" s="1"/>
  <c r="DF727" i="5" s="1"/>
  <c r="DC437" i="5" a="1"/>
  <c r="DC437" i="5" s="1"/>
  <c r="DF437" i="5" s="1"/>
  <c r="DC432" i="5" a="1"/>
  <c r="DC432" i="5" s="1"/>
  <c r="DF432" i="5" s="1"/>
  <c r="DC133" i="5" a="1"/>
  <c r="DC133" i="5" s="1"/>
  <c r="DF133" i="5" s="1"/>
  <c r="DC135" i="5" a="1"/>
  <c r="DC135" i="5" s="1"/>
  <c r="DF135" i="5" s="1"/>
  <c r="DC543" i="5" a="1"/>
  <c r="DC543" i="5" s="1"/>
  <c r="DF543" i="5" s="1"/>
  <c r="DC731" i="5" a="1"/>
  <c r="DC731" i="5" s="1"/>
  <c r="DF731" i="5" s="1"/>
  <c r="DC137" i="5" a="1"/>
  <c r="DC137" i="5" s="1"/>
  <c r="DF137" i="5" s="1"/>
  <c r="DC550" i="5" a="1"/>
  <c r="DC550" i="5" s="1"/>
  <c r="DF550" i="5" s="1"/>
  <c r="DC545" i="5" a="1"/>
  <c r="DC545" i="5" s="1"/>
  <c r="DF545" i="5" s="1"/>
  <c r="DC139" i="5" a="1"/>
  <c r="DC139" i="5" s="1"/>
  <c r="DC134" i="5" a="1"/>
  <c r="DC134" i="5" s="1"/>
  <c r="DF134" i="5" s="1"/>
  <c r="DC439" i="5" a="1"/>
  <c r="DC439" i="5" s="1"/>
  <c r="DF439" i="5" s="1"/>
  <c r="CQ168" i="5"/>
  <c r="R70" i="5"/>
  <c r="CR168" i="5" s="1"/>
  <c r="DC190" i="5" a="1"/>
  <c r="DC190" i="5" s="1"/>
  <c r="DC183" i="5" a="1"/>
  <c r="DC183" i="5" s="1"/>
  <c r="DF183" i="5" s="1"/>
  <c r="DC185" i="5" a="1"/>
  <c r="DC185" i="5" s="1"/>
  <c r="DF185" i="5" s="1"/>
  <c r="DC578" i="5" a="1"/>
  <c r="DC578" i="5" s="1"/>
  <c r="DC581" i="5" a="1"/>
  <c r="DC581" i="5" s="1"/>
  <c r="DC188" i="5" a="1"/>
  <c r="DC188" i="5" s="1"/>
  <c r="DC576" i="5" a="1"/>
  <c r="DC576" i="5" s="1"/>
  <c r="DF576" i="5" s="1"/>
  <c r="CQ213" i="5"/>
  <c r="DC187" i="5" a="1"/>
  <c r="DC187" i="5" s="1"/>
  <c r="DC582" i="5" a="1"/>
  <c r="DC582" i="5" s="1"/>
  <c r="DC575" i="5" a="1"/>
  <c r="DC575" i="5" s="1"/>
  <c r="DF575" i="5" s="1"/>
  <c r="U73" i="5"/>
  <c r="CR213" i="5" s="1"/>
  <c r="DC573" i="5" a="1"/>
  <c r="DC573" i="5" s="1"/>
  <c r="DF573" i="5" s="1"/>
  <c r="DC184" i="5" a="1"/>
  <c r="DC184" i="5" s="1"/>
  <c r="DF184" i="5" s="1"/>
  <c r="DC182" i="5" a="1"/>
  <c r="DC182" i="5" s="1"/>
  <c r="DF182" i="5" s="1"/>
  <c r="DC580" i="5" a="1"/>
  <c r="DC580" i="5" s="1"/>
  <c r="DC189" i="5" a="1"/>
  <c r="DC189" i="5" s="1"/>
  <c r="DC186" i="5" a="1"/>
  <c r="DC186" i="5" s="1"/>
  <c r="DC577" i="5" a="1"/>
  <c r="DC577" i="5" s="1"/>
  <c r="DC191" i="5" a="1"/>
  <c r="DC191" i="5" s="1"/>
  <c r="DC574" i="5" a="1"/>
  <c r="DC574" i="5" s="1"/>
  <c r="DF574" i="5" s="1"/>
  <c r="DC579" i="5" a="1"/>
  <c r="DC579" i="5" s="1"/>
  <c r="CS516" i="5"/>
  <c r="CQ366" i="5"/>
  <c r="AH72" i="5"/>
  <c r="CR366" i="5" s="1"/>
  <c r="DD334" i="5" a="1"/>
  <c r="DD334" i="5" s="1"/>
  <c r="DD335" i="5" a="1"/>
  <c r="DD335" i="5" s="1"/>
  <c r="DD336" i="5" a="1"/>
  <c r="DD336" i="5" s="1"/>
  <c r="CS576" i="5"/>
  <c r="AV72" i="5"/>
  <c r="CR534" i="5" s="1"/>
  <c r="CQ534" i="5"/>
  <c r="CS566" i="5"/>
  <c r="CS558" i="5"/>
  <c r="CS354" i="5"/>
  <c r="CS346" i="5"/>
  <c r="CS546" i="5"/>
  <c r="AN57" i="5"/>
  <c r="BV57" i="5" s="1"/>
  <c r="Z72" i="5"/>
  <c r="CR254" i="5" s="1"/>
  <c r="CQ254" i="5"/>
  <c r="U69" i="5"/>
  <c r="CR209" i="5" s="1"/>
  <c r="CQ209" i="5"/>
  <c r="S51" i="5"/>
  <c r="DC336" i="5" a="1"/>
  <c r="DC336" i="5" s="1"/>
  <c r="DC340" i="5" a="1"/>
  <c r="DC340" i="5" s="1"/>
  <c r="DC333" i="5" a="1"/>
  <c r="DC333" i="5" s="1"/>
  <c r="DC332" i="5" a="1"/>
  <c r="DC332" i="5" s="1"/>
  <c r="DC339" i="5" a="1"/>
  <c r="DC339" i="5" s="1"/>
  <c r="DC335" i="5" a="1"/>
  <c r="DC335" i="5" s="1"/>
  <c r="CQ151" i="5"/>
  <c r="DC337" i="5" a="1"/>
  <c r="DC337" i="5" s="1"/>
  <c r="DC334" i="5" a="1"/>
  <c r="DC334" i="5" s="1"/>
  <c r="DC338" i="5" a="1"/>
  <c r="DC338" i="5" s="1"/>
  <c r="DC331" i="5" a="1"/>
  <c r="DC331" i="5" s="1"/>
  <c r="Q67" i="5"/>
  <c r="CR151" i="5" s="1"/>
  <c r="CQ58" i="5"/>
  <c r="X57" i="5"/>
  <c r="BU57" i="5" s="1"/>
  <c r="J72" i="5"/>
  <c r="CR58" i="5" s="1"/>
  <c r="DC417" i="5" a="1"/>
  <c r="DC417" i="5" s="1"/>
  <c r="DF417" i="5" s="1"/>
  <c r="DC422" i="5" a="1"/>
  <c r="DC422" i="5" s="1"/>
  <c r="DF422" i="5" s="1"/>
  <c r="DC715" i="5" a="1"/>
  <c r="DC715" i="5" s="1"/>
  <c r="DF715" i="5" s="1"/>
  <c r="DC123" i="5" a="1"/>
  <c r="DC123" i="5" s="1"/>
  <c r="DF123" i="5" s="1"/>
  <c r="DC424" i="5" a="1"/>
  <c r="DC424" i="5" s="1"/>
  <c r="DF424" i="5" s="1"/>
  <c r="DC415" i="5" a="1"/>
  <c r="DC415" i="5" s="1"/>
  <c r="DF415" i="5" s="1"/>
  <c r="DC711" i="5" a="1"/>
  <c r="DC711" i="5" s="1"/>
  <c r="DF711" i="5" s="1"/>
  <c r="DC713" i="5" a="1"/>
  <c r="DC713" i="5" s="1"/>
  <c r="DC125" i="5" a="1"/>
  <c r="DC125" i="5" s="1"/>
  <c r="DF125" i="5" s="1"/>
  <c r="DC122" i="5" a="1"/>
  <c r="DC122" i="5" s="1"/>
  <c r="DF122" i="5" s="1"/>
  <c r="DC716" i="5" a="1"/>
  <c r="DC716" i="5" s="1"/>
  <c r="DF716" i="5" s="1"/>
  <c r="DC530" i="5" a="1"/>
  <c r="DC530" i="5" s="1"/>
  <c r="DF530" i="5" s="1"/>
  <c r="DC419" i="5" a="1"/>
  <c r="DC419" i="5" s="1"/>
  <c r="DC423" i="5" a="1"/>
  <c r="DC423" i="5" s="1"/>
  <c r="DF423" i="5" s="1"/>
  <c r="DC710" i="5" a="1"/>
  <c r="DC710" i="5" s="1"/>
  <c r="DF710" i="5" s="1"/>
  <c r="DC416" i="5" a="1"/>
  <c r="DC416" i="5" s="1"/>
  <c r="DF416" i="5" s="1"/>
  <c r="DC708" i="5" a="1"/>
  <c r="DC708" i="5" s="1"/>
  <c r="DF708" i="5" s="1"/>
  <c r="DC534" i="5" a="1"/>
  <c r="DC534" i="5" s="1"/>
  <c r="DF534" i="5" s="1"/>
  <c r="DC529" i="5" a="1"/>
  <c r="DC529" i="5" s="1"/>
  <c r="DF529" i="5" s="1"/>
  <c r="DC535" i="5" a="1"/>
  <c r="DC535" i="5" s="1"/>
  <c r="DF535" i="5" s="1"/>
  <c r="DC118" i="5" a="1"/>
  <c r="DC118" i="5" s="1"/>
  <c r="DF118" i="5" s="1"/>
  <c r="DC124" i="5" a="1"/>
  <c r="DC124" i="5" s="1"/>
  <c r="DF124" i="5" s="1"/>
  <c r="DC116" i="5" a="1"/>
  <c r="DC116" i="5" s="1"/>
  <c r="DF116" i="5" s="1"/>
  <c r="DC526" i="5" a="1"/>
  <c r="DC526" i="5" s="1"/>
  <c r="DF526" i="5" s="1"/>
  <c r="DC121" i="5" a="1"/>
  <c r="DC121" i="5" s="1"/>
  <c r="DC712" i="5" a="1"/>
  <c r="DC712" i="5" s="1"/>
  <c r="DF712" i="5" s="1"/>
  <c r="DC532" i="5" a="1"/>
  <c r="DC532" i="5" s="1"/>
  <c r="DF532" i="5" s="1"/>
  <c r="DC717" i="5" a="1"/>
  <c r="DC717" i="5" s="1"/>
  <c r="DF717" i="5" s="1"/>
  <c r="DC120" i="5" a="1"/>
  <c r="DC120" i="5" s="1"/>
  <c r="DF120" i="5" s="1"/>
  <c r="DC533" i="5" a="1"/>
  <c r="DC533" i="5" s="1"/>
  <c r="DF533" i="5" s="1"/>
  <c r="DC714" i="5" a="1"/>
  <c r="DC714" i="5" s="1"/>
  <c r="DF714" i="5" s="1"/>
  <c r="DC527" i="5" a="1"/>
  <c r="DC527" i="5" s="1"/>
  <c r="DF527" i="5" s="1"/>
  <c r="DC418" i="5" a="1"/>
  <c r="DC418" i="5" s="1"/>
  <c r="DF418" i="5" s="1"/>
  <c r="DC421" i="5" a="1"/>
  <c r="DC421" i="5" s="1"/>
  <c r="DF421" i="5" s="1"/>
  <c r="DC709" i="5" a="1"/>
  <c r="DC709" i="5" s="1"/>
  <c r="DF709" i="5" s="1"/>
  <c r="DC528" i="5" a="1"/>
  <c r="DC528" i="5" s="1"/>
  <c r="DF528" i="5" s="1"/>
  <c r="DC119" i="5" a="1"/>
  <c r="DC119" i="5" s="1"/>
  <c r="DF119" i="5" s="1"/>
  <c r="DC420" i="5" a="1"/>
  <c r="DC420" i="5" s="1"/>
  <c r="DC117" i="5" a="1"/>
  <c r="DC117" i="5" s="1"/>
  <c r="DF117" i="5" s="1"/>
  <c r="DC531" i="5" a="1"/>
  <c r="DC531" i="5" s="1"/>
  <c r="CQ183" i="5"/>
  <c r="S71" i="5"/>
  <c r="CR183" i="5" s="1"/>
  <c r="DC741" i="5" a="1"/>
  <c r="DC741" i="5" s="1"/>
  <c r="DF741" i="5" s="1"/>
  <c r="DC560" i="5" a="1"/>
  <c r="DC560" i="5" s="1"/>
  <c r="DC447" i="5" a="1"/>
  <c r="DC447" i="5" s="1"/>
  <c r="DF447" i="5" s="1"/>
  <c r="DC743" i="5" a="1"/>
  <c r="DC743" i="5" s="1"/>
  <c r="DF743" i="5" s="1"/>
  <c r="DC451" i="5" a="1"/>
  <c r="DC451" i="5" s="1"/>
  <c r="DF451" i="5" s="1"/>
  <c r="DC557" i="5" a="1"/>
  <c r="DC557" i="5" s="1"/>
  <c r="DF557" i="5" s="1"/>
  <c r="DC148" i="5" a="1"/>
  <c r="DC148" i="5" s="1"/>
  <c r="DF148" i="5" s="1"/>
  <c r="DC149" i="5" a="1"/>
  <c r="DC149" i="5" s="1"/>
  <c r="DF149" i="5" s="1"/>
  <c r="DC561" i="5" a="1"/>
  <c r="DC561" i="5" s="1"/>
  <c r="DF561" i="5" s="1"/>
  <c r="DC150" i="5" a="1"/>
  <c r="DC150" i="5" s="1"/>
  <c r="DC448" i="5" a="1"/>
  <c r="DC448" i="5" s="1"/>
  <c r="DF448" i="5" s="1"/>
  <c r="DC742" i="5" a="1"/>
  <c r="DC742" i="5" s="1"/>
  <c r="DF742" i="5" s="1"/>
  <c r="DC744" i="5" a="1"/>
  <c r="DC744" i="5" s="1"/>
  <c r="DF744" i="5" s="1"/>
  <c r="DC559" i="5" a="1"/>
  <c r="DC559" i="5" s="1"/>
  <c r="DF559" i="5" s="1"/>
  <c r="DC450" i="5" a="1"/>
  <c r="DC450" i="5" s="1"/>
  <c r="DF450" i="5" s="1"/>
  <c r="DC152" i="5" a="1"/>
  <c r="DC152" i="5" s="1"/>
  <c r="DF152" i="5" s="1"/>
  <c r="DC739" i="5" a="1"/>
  <c r="DC739" i="5" s="1"/>
  <c r="DF739" i="5" s="1"/>
  <c r="DC558" i="5" a="1"/>
  <c r="DC558" i="5" s="1"/>
  <c r="DF558" i="5" s="1"/>
  <c r="DC740" i="5" a="1"/>
  <c r="DC740" i="5" s="1"/>
  <c r="DF740" i="5" s="1"/>
  <c r="DC449" i="5" a="1"/>
  <c r="DC449" i="5" s="1"/>
  <c r="DF449" i="5" s="1"/>
  <c r="DC562" i="5" a="1"/>
  <c r="DC562" i="5" s="1"/>
  <c r="DF562" i="5" s="1"/>
  <c r="DC147" i="5" a="1"/>
  <c r="DC147" i="5" s="1"/>
  <c r="DF147" i="5" s="1"/>
  <c r="DC151" i="5" a="1"/>
  <c r="DC151" i="5" s="1"/>
  <c r="DF151" i="5" s="1"/>
  <c r="DC446" i="5" a="1"/>
  <c r="DC446" i="5" s="1"/>
  <c r="DF446" i="5" s="1"/>
  <c r="CQ182" i="5"/>
  <c r="S70" i="5"/>
  <c r="CR182" i="5" s="1"/>
  <c r="DC77" i="5" a="1"/>
  <c r="DC77" i="5" s="1"/>
  <c r="DF77" i="5" s="1"/>
  <c r="DC487" i="5" a="1"/>
  <c r="DC487" i="5" s="1"/>
  <c r="DF487" i="5" s="1"/>
  <c r="DC666" i="5" a="1"/>
  <c r="DC666" i="5" s="1"/>
  <c r="DF666" i="5" s="1"/>
  <c r="DC483" i="5" a="1"/>
  <c r="DC483" i="5" s="1"/>
  <c r="DF483" i="5" s="1"/>
  <c r="DC488" i="5" a="1"/>
  <c r="DC488" i="5" s="1"/>
  <c r="DF488" i="5" s="1"/>
  <c r="DC73" i="5" a="1"/>
  <c r="DC73" i="5" s="1"/>
  <c r="DF73" i="5" s="1"/>
  <c r="DC486" i="5" a="1"/>
  <c r="DC486" i="5" s="1"/>
  <c r="DF486" i="5" s="1"/>
  <c r="DC76" i="5" a="1"/>
  <c r="DC76" i="5" s="1"/>
  <c r="DC667" i="5" a="1"/>
  <c r="DC667" i="5" s="1"/>
  <c r="DF667" i="5" s="1"/>
  <c r="DC373" i="5" a="1"/>
  <c r="DC373" i="5" s="1"/>
  <c r="DF373" i="5" s="1"/>
  <c r="DC670" i="5" a="1"/>
  <c r="DC670" i="5" s="1"/>
  <c r="DF670" i="5" s="1"/>
  <c r="DC377" i="5" a="1"/>
  <c r="DC377" i="5" s="1"/>
  <c r="DF377" i="5" s="1"/>
  <c r="DC372" i="5" a="1"/>
  <c r="DC372" i="5" s="1"/>
  <c r="DF372" i="5" s="1"/>
  <c r="DC665" i="5" a="1"/>
  <c r="DC665" i="5" s="1"/>
  <c r="DF665" i="5" s="1"/>
  <c r="DC75" i="5" a="1"/>
  <c r="DC75" i="5" s="1"/>
  <c r="DF75" i="5" s="1"/>
  <c r="DC374" i="5" a="1"/>
  <c r="DC374" i="5" s="1"/>
  <c r="DF374" i="5" s="1"/>
  <c r="DC78" i="5" a="1"/>
  <c r="DC78" i="5" s="1"/>
  <c r="DF78" i="5" s="1"/>
  <c r="DC375" i="5" a="1"/>
  <c r="DC375" i="5" s="1"/>
  <c r="DF375" i="5" s="1"/>
  <c r="DC669" i="5" a="1"/>
  <c r="DC669" i="5" s="1"/>
  <c r="DF669" i="5" s="1"/>
  <c r="DC376" i="5" a="1"/>
  <c r="DC376" i="5" s="1"/>
  <c r="DF376" i="5" s="1"/>
  <c r="DC74" i="5" a="1"/>
  <c r="DC74" i="5" s="1"/>
  <c r="DF74" i="5" s="1"/>
  <c r="DC484" i="5" a="1"/>
  <c r="DC484" i="5" s="1"/>
  <c r="DF484" i="5" s="1"/>
  <c r="DC485" i="5" a="1"/>
  <c r="DC485" i="5" s="1"/>
  <c r="DF485" i="5" s="1"/>
  <c r="DC668" i="5" a="1"/>
  <c r="DC668" i="5" s="1"/>
  <c r="DF668" i="5" s="1"/>
  <c r="Z70" i="12"/>
  <c r="AI70" i="12"/>
  <c r="Y71" i="12"/>
  <c r="BL17" i="12"/>
  <c r="Y88" i="12"/>
  <c r="AI86" i="12"/>
  <c r="Z86" i="12"/>
  <c r="Z81" i="12"/>
  <c r="BM12" i="12"/>
  <c r="BM13" i="12"/>
  <c r="BM15" i="12" s="1"/>
  <c r="Z83" i="12"/>
  <c r="BM21" i="12"/>
  <c r="Z76" i="12"/>
  <c r="BM19" i="12"/>
  <c r="BM26" i="12" s="1"/>
  <c r="BM23" i="12"/>
  <c r="BM22" i="12"/>
  <c r="BM20" i="12"/>
  <c r="H315" i="11"/>
  <c r="H332" i="11" s="1"/>
  <c r="G332" i="11"/>
  <c r="BB340" i="11" s="1"/>
  <c r="BB323" i="11"/>
  <c r="G335" i="11"/>
  <c r="H322" i="11"/>
  <c r="BB330" i="11"/>
  <c r="U75" i="11"/>
  <c r="BM89" i="11" s="1"/>
  <c r="BI89" i="11"/>
  <c r="R115" i="11"/>
  <c r="BJ65" i="11" s="1"/>
  <c r="BL65" i="11"/>
  <c r="R165" i="11"/>
  <c r="BK65" i="11" s="1"/>
  <c r="H319" i="11"/>
  <c r="BB327" i="11"/>
  <c r="BB320" i="11"/>
  <c r="H312" i="11"/>
  <c r="L188" i="11"/>
  <c r="BK30" i="11" s="1"/>
  <c r="L138" i="11"/>
  <c r="BJ30" i="11" s="1"/>
  <c r="BL30" i="11"/>
  <c r="BB321" i="11"/>
  <c r="H313" i="11"/>
  <c r="U68" i="11"/>
  <c r="BM82" i="11" s="1"/>
  <c r="BI82" i="11"/>
  <c r="BL91" i="11"/>
  <c r="U177" i="11"/>
  <c r="BK91" i="11" s="1"/>
  <c r="U127" i="11"/>
  <c r="BJ91" i="11" s="1"/>
  <c r="T123" i="11"/>
  <c r="BF87" i="11" s="1"/>
  <c r="T173" i="11"/>
  <c r="BG87" i="11" s="1"/>
  <c r="BH87" i="11"/>
  <c r="U23" i="11"/>
  <c r="R174" i="11"/>
  <c r="BK74" i="11" s="1"/>
  <c r="BL74" i="11"/>
  <c r="R124" i="11"/>
  <c r="BJ74" i="11" s="1"/>
  <c r="T175" i="11"/>
  <c r="BG89" i="11" s="1"/>
  <c r="T125" i="11"/>
  <c r="BF89" i="11" s="1"/>
  <c r="BH89" i="11"/>
  <c r="U25" i="11"/>
  <c r="H327" i="11"/>
  <c r="BB335" i="11"/>
  <c r="BB344" i="11"/>
  <c r="H337" i="11"/>
  <c r="U73" i="11"/>
  <c r="BM87" i="11" s="1"/>
  <c r="BI87" i="11"/>
  <c r="T171" i="11"/>
  <c r="BG85" i="11" s="1"/>
  <c r="BH85" i="11"/>
  <c r="U21" i="11"/>
  <c r="T121" i="11"/>
  <c r="BF85" i="11" s="1"/>
  <c r="BC339" i="11"/>
  <c r="DH25" i="10"/>
  <c r="DH50" i="10" s="1"/>
  <c r="DH75" i="10" s="1"/>
  <c r="DH100" i="10" s="1"/>
  <c r="DH125" i="10" s="1"/>
  <c r="DH150" i="10" s="1"/>
  <c r="DH175" i="10" s="1"/>
  <c r="DH200" i="10" s="1"/>
  <c r="DH225" i="10" s="1"/>
  <c r="DH250" i="10" s="1"/>
  <c r="DH275" i="10" s="1"/>
  <c r="DH300" i="10" s="1"/>
  <c r="DH325" i="10" s="1"/>
  <c r="DH350" i="10" s="1"/>
  <c r="DH375" i="10" s="1"/>
  <c r="DH400" i="10" s="1"/>
  <c r="DH425" i="10" s="1"/>
  <c r="H320" i="11"/>
  <c r="BB328" i="11"/>
  <c r="BB341" i="11"/>
  <c r="H333" i="11"/>
  <c r="L204" i="11"/>
  <c r="BK44" i="11" s="1"/>
  <c r="L154" i="11"/>
  <c r="BJ44" i="11" s="1"/>
  <c r="BL44" i="11"/>
  <c r="T168" i="11"/>
  <c r="BG82" i="11" s="1"/>
  <c r="BH82" i="11"/>
  <c r="U18" i="11"/>
  <c r="T118" i="11"/>
  <c r="BF82" i="11" s="1"/>
  <c r="H314" i="11"/>
  <c r="BB322" i="11"/>
  <c r="BL66" i="11"/>
  <c r="R116" i="11"/>
  <c r="BJ66" i="11" s="1"/>
  <c r="R166" i="11"/>
  <c r="BK66" i="11" s="1"/>
  <c r="G324" i="11"/>
  <c r="H323" i="11"/>
  <c r="BB331" i="11"/>
  <c r="G330" i="11"/>
  <c r="DH29" i="10"/>
  <c r="DH54" i="10" s="1"/>
  <c r="DH79" i="10" s="1"/>
  <c r="DH104" i="10" s="1"/>
  <c r="DH129" i="10" s="1"/>
  <c r="DH154" i="10" s="1"/>
  <c r="DH179" i="10" s="1"/>
  <c r="DH204" i="10" s="1"/>
  <c r="DH229" i="10" s="1"/>
  <c r="DH254" i="10" s="1"/>
  <c r="DH279" i="10" s="1"/>
  <c r="DH304" i="10" s="1"/>
  <c r="DH329" i="10" s="1"/>
  <c r="DH354" i="10" s="1"/>
  <c r="DH379" i="10" s="1"/>
  <c r="DH404" i="10" s="1"/>
  <c r="DH429" i="10" s="1"/>
  <c r="BC343" i="11"/>
  <c r="BI85" i="11"/>
  <c r="U71" i="11"/>
  <c r="BM85" i="11" s="1"/>
  <c r="U117" i="11"/>
  <c r="BJ81" i="11" s="1"/>
  <c r="U167" i="11"/>
  <c r="BK81" i="11" s="1"/>
  <c r="BL81" i="11"/>
  <c r="G328" i="11"/>
  <c r="H318" i="11"/>
  <c r="BB326" i="11"/>
  <c r="CW219" i="10"/>
  <c r="DD216" i="10"/>
  <c r="CW73" i="10"/>
  <c r="DD70" i="10"/>
  <c r="CW23" i="10"/>
  <c r="DD20" i="10"/>
  <c r="CW76" i="10"/>
  <c r="DD73" i="10"/>
  <c r="DD192" i="10"/>
  <c r="DD417" i="10" s="1"/>
  <c r="CW195" i="10"/>
  <c r="CW297" i="10"/>
  <c r="DD294" i="10"/>
  <c r="CW203" i="10"/>
  <c r="DD200" i="10"/>
  <c r="DD425" i="10" s="1"/>
  <c r="DD206" i="10"/>
  <c r="CW209" i="10"/>
  <c r="CW216" i="10"/>
  <c r="DD213" i="10"/>
  <c r="DD287" i="10"/>
  <c r="CW290" i="10"/>
  <c r="CW292" i="10"/>
  <c r="DD289" i="10"/>
  <c r="CW246" i="10"/>
  <c r="DD243" i="10"/>
  <c r="CW192" i="10"/>
  <c r="DD189" i="10"/>
  <c r="DD414" i="10" s="1"/>
  <c r="DD188" i="10"/>
  <c r="DD413" i="10" s="1"/>
  <c r="CW191" i="10"/>
  <c r="DD293" i="10"/>
  <c r="CW296" i="10"/>
  <c r="CW119" i="10"/>
  <c r="DD116" i="10"/>
  <c r="DD199" i="10"/>
  <c r="DD424" i="10" s="1"/>
  <c r="CW202" i="10"/>
  <c r="CW245" i="10"/>
  <c r="DD242" i="10"/>
  <c r="DD69" i="10"/>
  <c r="CW72" i="10"/>
  <c r="CW154" i="10"/>
  <c r="DD151" i="10"/>
  <c r="DD376" i="10" s="1"/>
  <c r="DD332" i="10"/>
  <c r="CW335" i="10"/>
  <c r="DD194" i="10"/>
  <c r="DD419" i="10" s="1"/>
  <c r="CW197" i="10"/>
  <c r="DD89" i="10"/>
  <c r="CW92" i="10"/>
  <c r="Q27" i="4"/>
  <c r="BT10" i="4" s="1"/>
  <c r="BI10" i="4"/>
  <c r="W27" i="4"/>
  <c r="BT12" i="4" s="1"/>
  <c r="BI12" i="4"/>
  <c r="BF22" i="12"/>
  <c r="BG22" i="12" s="1"/>
  <c r="BF21" i="12"/>
  <c r="BG21" i="12" s="1"/>
  <c r="BF20" i="12"/>
  <c r="BG20" i="12" s="1"/>
  <c r="DK534" i="9" a="1"/>
  <c r="DK534" i="9" s="1"/>
  <c r="CG534" i="9" s="1"/>
  <c r="DM502" i="9" a="1"/>
  <c r="DM502" i="9" s="1"/>
  <c r="DO415" i="9" a="1"/>
  <c r="DO415" i="9" s="1"/>
  <c r="DP415" i="9" s="1"/>
  <c r="DL415" i="9" s="1" a="1"/>
  <c r="DL415" i="9" s="1"/>
  <c r="DN415" i="9" a="1"/>
  <c r="DN415" i="9" s="1"/>
  <c r="DM260" i="9" a="1"/>
  <c r="DM260" i="9" s="1"/>
  <c r="DM415" i="9" a="1"/>
  <c r="DM415" i="9" s="1"/>
  <c r="AJ42" i="12"/>
  <c r="AI42" i="12"/>
  <c r="BE47" i="12"/>
  <c r="BG47" i="12" s="1"/>
  <c r="AI65" i="12"/>
  <c r="AJ65" i="12"/>
  <c r="CO44" i="12" s="1"/>
  <c r="BE44" i="12"/>
  <c r="BG44" i="12" s="1"/>
  <c r="AH29" i="12"/>
  <c r="BF37" i="12"/>
  <c r="BQ21" i="12"/>
  <c r="CH20" i="12"/>
  <c r="CG20" i="12"/>
  <c r="CK20" i="12" s="1"/>
  <c r="BP21" i="12"/>
  <c r="AK18" i="10"/>
  <c r="CR106" i="10" s="1"/>
  <c r="DD9" i="10"/>
  <c r="FZ14" i="9"/>
  <c r="GA14" i="9" s="1"/>
  <c r="GB14" i="9" s="1"/>
  <c r="GC14" i="9" s="1"/>
  <c r="GD14" i="9" s="1"/>
  <c r="GE14" i="9" s="1"/>
  <c r="GF14" i="9" s="1"/>
  <c r="GG14" i="9" s="1"/>
  <c r="GQ14" i="9"/>
  <c r="GR14" i="9" s="1"/>
  <c r="GS14" i="9" s="1"/>
  <c r="GT14" i="9" s="1"/>
  <c r="GU14" i="9" s="1"/>
  <c r="GV14" i="9" s="1"/>
  <c r="DN22" i="9" a="1"/>
  <c r="DN22" i="9" s="1"/>
  <c r="DK22" i="9" a="1"/>
  <c r="DK22" i="9" s="1"/>
  <c r="CG22" i="9" s="1"/>
  <c r="DO22" i="9" a="1"/>
  <c r="DO22" i="9" s="1"/>
  <c r="DP22" i="9" s="1"/>
  <c r="DL22" i="9" s="1" a="1"/>
  <c r="DL22" i="9" s="1"/>
  <c r="DM22" i="9" a="1"/>
  <c r="DM22" i="9" s="1"/>
  <c r="FZ34" i="9"/>
  <c r="GA34" i="9" s="1"/>
  <c r="GB34" i="9" s="1"/>
  <c r="GC34" i="9" s="1"/>
  <c r="GD34" i="9" s="1"/>
  <c r="GE34" i="9" s="1"/>
  <c r="GF34" i="9" s="1"/>
  <c r="GG34" i="9" s="1"/>
  <c r="GR34" i="9"/>
  <c r="GS34" i="9" s="1"/>
  <c r="GT34" i="9" s="1"/>
  <c r="GU34" i="9" s="1"/>
  <c r="GV34" i="9" s="1"/>
  <c r="GQ34" i="9"/>
  <c r="FZ23" i="9"/>
  <c r="GA23" i="9" s="1"/>
  <c r="GB23" i="9" s="1"/>
  <c r="GC23" i="9" s="1"/>
  <c r="GD23" i="9" s="1"/>
  <c r="GE23" i="9" s="1"/>
  <c r="GF23" i="9" s="1"/>
  <c r="GG23" i="9" s="1"/>
  <c r="GQ23" i="9"/>
  <c r="GR23" i="9" s="1"/>
  <c r="GS23" i="9" s="1"/>
  <c r="GT23" i="9" s="1"/>
  <c r="GU23" i="9" s="1"/>
  <c r="GV23" i="9" s="1"/>
  <c r="FZ24" i="9"/>
  <c r="GA24" i="9" s="1"/>
  <c r="GB24" i="9" s="1"/>
  <c r="GC24" i="9" s="1"/>
  <c r="GD24" i="9" s="1"/>
  <c r="GE24" i="9" s="1"/>
  <c r="GF24" i="9" s="1"/>
  <c r="GG24" i="9" s="1"/>
  <c r="GQ24" i="9"/>
  <c r="GR24" i="9" s="1"/>
  <c r="GS24" i="9" s="1"/>
  <c r="GT24" i="9" s="1"/>
  <c r="GU24" i="9" s="1"/>
  <c r="GV24" i="9" s="1"/>
  <c r="FZ39" i="9"/>
  <c r="GA39" i="9" s="1"/>
  <c r="GB39" i="9" s="1"/>
  <c r="GC39" i="9" s="1"/>
  <c r="GD39" i="9" s="1"/>
  <c r="GE39" i="9" s="1"/>
  <c r="GF39" i="9" s="1"/>
  <c r="GG39" i="9" s="1"/>
  <c r="GH39" i="9" s="1"/>
  <c r="GI39" i="9" s="1"/>
  <c r="BZ39" i="9" s="1"/>
  <c r="FT39" i="9" s="1"/>
  <c r="CA39" i="9" s="1"/>
  <c r="GQ39" i="9"/>
  <c r="GR39" i="9" s="1"/>
  <c r="GS39" i="9" s="1"/>
  <c r="GT39" i="9" s="1"/>
  <c r="GU39" i="9" s="1"/>
  <c r="GV39" i="9" s="1"/>
  <c r="FZ35" i="9"/>
  <c r="GA35" i="9" s="1"/>
  <c r="GB35" i="9" s="1"/>
  <c r="GC35" i="9" s="1"/>
  <c r="GD35" i="9" s="1"/>
  <c r="GE35" i="9" s="1"/>
  <c r="GF35" i="9" s="1"/>
  <c r="GG35" i="9" s="1"/>
  <c r="GQ35" i="9"/>
  <c r="GR35" i="9" s="1"/>
  <c r="GS35" i="9" s="1"/>
  <c r="GT35" i="9" s="1"/>
  <c r="GU35" i="9" s="1"/>
  <c r="GV35" i="9" s="1"/>
  <c r="FZ28" i="9"/>
  <c r="GA28" i="9" s="1"/>
  <c r="GB28" i="9" s="1"/>
  <c r="GC28" i="9" s="1"/>
  <c r="GD28" i="9" s="1"/>
  <c r="GE28" i="9" s="1"/>
  <c r="GF28" i="9" s="1"/>
  <c r="GG28" i="9" s="1"/>
  <c r="GQ28" i="9"/>
  <c r="GR28" i="9" s="1"/>
  <c r="GS28" i="9" s="1"/>
  <c r="GT28" i="9" s="1"/>
  <c r="GU28" i="9" s="1"/>
  <c r="GV28" i="9" s="1"/>
  <c r="DO386" i="9" a="1"/>
  <c r="DO386" i="9" s="1"/>
  <c r="DP386" i="9" s="1"/>
  <c r="DL386" i="9" s="1" a="1"/>
  <c r="DL386" i="9" s="1"/>
  <c r="FZ19" i="9"/>
  <c r="GA19" i="9" s="1"/>
  <c r="GB19" i="9" s="1"/>
  <c r="GC19" i="9" s="1"/>
  <c r="GD19" i="9" s="1"/>
  <c r="GE19" i="9" s="1"/>
  <c r="GF19" i="9" s="1"/>
  <c r="GG19" i="9" s="1"/>
  <c r="GR19" i="9"/>
  <c r="GS19" i="9" s="1"/>
  <c r="GT19" i="9" s="1"/>
  <c r="GU19" i="9" s="1"/>
  <c r="GV19" i="9" s="1"/>
  <c r="GQ19" i="9"/>
  <c r="FZ40" i="9"/>
  <c r="GA40" i="9" s="1"/>
  <c r="GB40" i="9" s="1"/>
  <c r="GC40" i="9" s="1"/>
  <c r="GD40" i="9" s="1"/>
  <c r="GE40" i="9" s="1"/>
  <c r="GF40" i="9" s="1"/>
  <c r="GG40" i="9" s="1"/>
  <c r="GQ40" i="9"/>
  <c r="GR40" i="9" s="1"/>
  <c r="GS40" i="9" s="1"/>
  <c r="GT40" i="9" s="1"/>
  <c r="GU40" i="9" s="1"/>
  <c r="GV40" i="9" s="1"/>
  <c r="FZ33" i="9"/>
  <c r="GA33" i="9" s="1"/>
  <c r="GB33" i="9" s="1"/>
  <c r="GC33" i="9" s="1"/>
  <c r="GD33" i="9" s="1"/>
  <c r="GE33" i="9" s="1"/>
  <c r="GF33" i="9" s="1"/>
  <c r="GG33" i="9" s="1"/>
  <c r="GQ33" i="9"/>
  <c r="GR33" i="9" s="1"/>
  <c r="GS33" i="9" s="1"/>
  <c r="GT33" i="9" s="1"/>
  <c r="GU33" i="9" s="1"/>
  <c r="GV33" i="9" s="1"/>
  <c r="FZ36" i="9"/>
  <c r="GA36" i="9" s="1"/>
  <c r="GB36" i="9" s="1"/>
  <c r="GC36" i="9" s="1"/>
  <c r="GD36" i="9" s="1"/>
  <c r="GE36" i="9" s="1"/>
  <c r="GF36" i="9" s="1"/>
  <c r="GG36" i="9" s="1"/>
  <c r="GQ36" i="9"/>
  <c r="GR36" i="9" s="1"/>
  <c r="GS36" i="9" s="1"/>
  <c r="GT36" i="9" s="1"/>
  <c r="GU36" i="9" s="1"/>
  <c r="GV36" i="9" s="1"/>
  <c r="FZ26" i="9"/>
  <c r="GA26" i="9" s="1"/>
  <c r="GB26" i="9" s="1"/>
  <c r="GC26" i="9" s="1"/>
  <c r="GD26" i="9" s="1"/>
  <c r="GE26" i="9" s="1"/>
  <c r="GF26" i="9" s="1"/>
  <c r="GG26" i="9" s="1"/>
  <c r="GH26" i="9" s="1"/>
  <c r="GI26" i="9" s="1"/>
  <c r="BZ26" i="9" s="1"/>
  <c r="FT26" i="9" s="1"/>
  <c r="CA26" i="9" s="1"/>
  <c r="GQ26" i="9"/>
  <c r="GR26" i="9" s="1"/>
  <c r="GS26" i="9" s="1"/>
  <c r="GT26" i="9" s="1"/>
  <c r="GU26" i="9" s="1"/>
  <c r="GV26" i="9" s="1"/>
  <c r="FZ32" i="9"/>
  <c r="GA32" i="9" s="1"/>
  <c r="GB32" i="9" s="1"/>
  <c r="GC32" i="9" s="1"/>
  <c r="GD32" i="9" s="1"/>
  <c r="GE32" i="9" s="1"/>
  <c r="GF32" i="9" s="1"/>
  <c r="GG32" i="9" s="1"/>
  <c r="GQ32" i="9"/>
  <c r="GR32" i="9" s="1"/>
  <c r="GS32" i="9" s="1"/>
  <c r="GT32" i="9" s="1"/>
  <c r="GU32" i="9" s="1"/>
  <c r="GV32" i="9" s="1"/>
  <c r="FZ38" i="9"/>
  <c r="GA38" i="9" s="1"/>
  <c r="GB38" i="9" s="1"/>
  <c r="GC38" i="9" s="1"/>
  <c r="GD38" i="9" s="1"/>
  <c r="GE38" i="9" s="1"/>
  <c r="GF38" i="9" s="1"/>
  <c r="GG38" i="9" s="1"/>
  <c r="GQ38" i="9"/>
  <c r="GR38" i="9" s="1"/>
  <c r="GS38" i="9" s="1"/>
  <c r="GT38" i="9" s="1"/>
  <c r="GU38" i="9" s="1"/>
  <c r="GV38" i="9" s="1"/>
  <c r="FZ29" i="9"/>
  <c r="GA29" i="9" s="1"/>
  <c r="GB29" i="9" s="1"/>
  <c r="GC29" i="9" s="1"/>
  <c r="GD29" i="9" s="1"/>
  <c r="GE29" i="9" s="1"/>
  <c r="GF29" i="9" s="1"/>
  <c r="GG29" i="9" s="1"/>
  <c r="GQ29" i="9"/>
  <c r="GR29" i="9" s="1"/>
  <c r="GS29" i="9" s="1"/>
  <c r="GT29" i="9" s="1"/>
  <c r="GU29" i="9" s="1"/>
  <c r="GV29" i="9" s="1"/>
  <c r="FZ37" i="9"/>
  <c r="GA37" i="9" s="1"/>
  <c r="GB37" i="9" s="1"/>
  <c r="GC37" i="9" s="1"/>
  <c r="GD37" i="9" s="1"/>
  <c r="GE37" i="9" s="1"/>
  <c r="GF37" i="9" s="1"/>
  <c r="GG37" i="9" s="1"/>
  <c r="GQ37" i="9"/>
  <c r="GR37" i="9" s="1"/>
  <c r="GS37" i="9" s="1"/>
  <c r="GT37" i="9" s="1"/>
  <c r="GU37" i="9" s="1"/>
  <c r="GV37" i="9" s="1"/>
  <c r="FZ16" i="9"/>
  <c r="GA16" i="9" s="1"/>
  <c r="GB16" i="9" s="1"/>
  <c r="GC16" i="9" s="1"/>
  <c r="GD16" i="9" s="1"/>
  <c r="GE16" i="9" s="1"/>
  <c r="GF16" i="9" s="1"/>
  <c r="GG16" i="9" s="1"/>
  <c r="GQ16" i="9"/>
  <c r="GR16" i="9" s="1"/>
  <c r="GS16" i="9" s="1"/>
  <c r="GT16" i="9" s="1"/>
  <c r="GU16" i="9" s="1"/>
  <c r="GV16" i="9" s="1"/>
  <c r="FZ43" i="9"/>
  <c r="GA43" i="9" s="1"/>
  <c r="GB43" i="9" s="1"/>
  <c r="GC43" i="9" s="1"/>
  <c r="GD43" i="9" s="1"/>
  <c r="GE43" i="9" s="1"/>
  <c r="GF43" i="9" s="1"/>
  <c r="GG43" i="9" s="1"/>
  <c r="GQ43" i="9"/>
  <c r="GR43" i="9"/>
  <c r="GS43" i="9" s="1"/>
  <c r="GT43" i="9" s="1"/>
  <c r="GU43" i="9" s="1"/>
  <c r="GV43" i="9" s="1"/>
  <c r="DK502" i="9" a="1"/>
  <c r="DK502" i="9" s="1"/>
  <c r="CG502" i="9" s="1"/>
  <c r="FZ44" i="9"/>
  <c r="GA44" i="9" s="1"/>
  <c r="GB44" i="9" s="1"/>
  <c r="GC44" i="9" s="1"/>
  <c r="GD44" i="9" s="1"/>
  <c r="GE44" i="9" s="1"/>
  <c r="GF44" i="9" s="1"/>
  <c r="GG44" i="9" s="1"/>
  <c r="GQ44" i="9"/>
  <c r="GR44" i="9" s="1"/>
  <c r="GS44" i="9" s="1"/>
  <c r="GT44" i="9" s="1"/>
  <c r="GU44" i="9" s="1"/>
  <c r="GV44" i="9" s="1"/>
  <c r="FZ20" i="9"/>
  <c r="GA20" i="9" s="1"/>
  <c r="GB20" i="9" s="1"/>
  <c r="GC20" i="9" s="1"/>
  <c r="GD20" i="9" s="1"/>
  <c r="GE20" i="9" s="1"/>
  <c r="GF20" i="9" s="1"/>
  <c r="GG20" i="9" s="1"/>
  <c r="GQ20" i="9"/>
  <c r="GR20" i="9" s="1"/>
  <c r="GS20" i="9" s="1"/>
  <c r="GT20" i="9" s="1"/>
  <c r="GU20" i="9" s="1"/>
  <c r="GV20" i="9" s="1"/>
  <c r="FZ45" i="9"/>
  <c r="GA45" i="9" s="1"/>
  <c r="GB45" i="9" s="1"/>
  <c r="GC45" i="9" s="1"/>
  <c r="GD45" i="9" s="1"/>
  <c r="GE45" i="9" s="1"/>
  <c r="GF45" i="9" s="1"/>
  <c r="GG45" i="9" s="1"/>
  <c r="GH45" i="9" s="1"/>
  <c r="GI45" i="9" s="1"/>
  <c r="BZ45" i="9" s="1"/>
  <c r="FT45" i="9" s="1"/>
  <c r="CA45" i="9" s="1"/>
  <c r="GQ45" i="9"/>
  <c r="GR45" i="9" s="1"/>
  <c r="GS45" i="9" s="1"/>
  <c r="GT45" i="9" s="1"/>
  <c r="GU45" i="9" s="1"/>
  <c r="GV45" i="9" s="1"/>
  <c r="GW45" i="9" s="1"/>
  <c r="HF45" i="9" s="1"/>
  <c r="CD45" i="9" s="1"/>
  <c r="FZ18" i="9"/>
  <c r="GA18" i="9" s="1"/>
  <c r="GB18" i="9" s="1"/>
  <c r="GC18" i="9" s="1"/>
  <c r="GD18" i="9" s="1"/>
  <c r="GE18" i="9" s="1"/>
  <c r="GF18" i="9" s="1"/>
  <c r="GG18" i="9" s="1"/>
  <c r="GH18" i="9" s="1"/>
  <c r="GI18" i="9" s="1"/>
  <c r="BZ18" i="9" s="1"/>
  <c r="FT18" i="9" s="1"/>
  <c r="CA18" i="9" s="1"/>
  <c r="GQ18" i="9"/>
  <c r="GR18" i="9" s="1"/>
  <c r="GS18" i="9" s="1"/>
  <c r="GT18" i="9" s="1"/>
  <c r="GU18" i="9" s="1"/>
  <c r="GV18" i="9" s="1"/>
  <c r="FZ49" i="9"/>
  <c r="GA49" i="9" s="1"/>
  <c r="GB49" i="9" s="1"/>
  <c r="GC49" i="9" s="1"/>
  <c r="GD49" i="9" s="1"/>
  <c r="GE49" i="9" s="1"/>
  <c r="GF49" i="9" s="1"/>
  <c r="GG49" i="9" s="1"/>
  <c r="GQ49" i="9"/>
  <c r="GR49" i="9"/>
  <c r="GS49" i="9" s="1"/>
  <c r="GT49" i="9" s="1"/>
  <c r="GU49" i="9" s="1"/>
  <c r="GV49" i="9" s="1"/>
  <c r="FZ30" i="9"/>
  <c r="GA30" i="9" s="1"/>
  <c r="GB30" i="9" s="1"/>
  <c r="GC30" i="9" s="1"/>
  <c r="GD30" i="9" s="1"/>
  <c r="GE30" i="9" s="1"/>
  <c r="GF30" i="9" s="1"/>
  <c r="GG30" i="9" s="1"/>
  <c r="GQ30" i="9"/>
  <c r="GR30" i="9" s="1"/>
  <c r="GS30" i="9" s="1"/>
  <c r="GT30" i="9" s="1"/>
  <c r="GU30" i="9" s="1"/>
  <c r="GV30" i="9" s="1"/>
  <c r="FZ50" i="9"/>
  <c r="GA50" i="9" s="1"/>
  <c r="GB50" i="9" s="1"/>
  <c r="GC50" i="9" s="1"/>
  <c r="GD50" i="9" s="1"/>
  <c r="GE50" i="9" s="1"/>
  <c r="GF50" i="9" s="1"/>
  <c r="GG50" i="9" s="1"/>
  <c r="GQ50" i="9"/>
  <c r="GR50" i="9" s="1"/>
  <c r="GS50" i="9" s="1"/>
  <c r="GT50" i="9" s="1"/>
  <c r="GU50" i="9" s="1"/>
  <c r="GV50" i="9" s="1"/>
  <c r="FZ85" i="9"/>
  <c r="GA85" i="9" s="1"/>
  <c r="GB85" i="9" s="1"/>
  <c r="GC85" i="9" s="1"/>
  <c r="GD85" i="9" s="1"/>
  <c r="GE85" i="9" s="1"/>
  <c r="GF85" i="9" s="1"/>
  <c r="GG85" i="9" s="1"/>
  <c r="GQ85" i="9"/>
  <c r="GR85" i="9" s="1"/>
  <c r="GS85" i="9" s="1"/>
  <c r="GT85" i="9" s="1"/>
  <c r="GU85" i="9" s="1"/>
  <c r="GV85" i="9" s="1"/>
  <c r="FZ66" i="9"/>
  <c r="GA66" i="9" s="1"/>
  <c r="GB66" i="9" s="1"/>
  <c r="GC66" i="9" s="1"/>
  <c r="GD66" i="9" s="1"/>
  <c r="GE66" i="9" s="1"/>
  <c r="GF66" i="9" s="1"/>
  <c r="GG66" i="9" s="1"/>
  <c r="GQ66" i="9"/>
  <c r="GR66" i="9" s="1"/>
  <c r="GS66" i="9" s="1"/>
  <c r="GT66" i="9" s="1"/>
  <c r="GU66" i="9" s="1"/>
  <c r="GV66" i="9" s="1"/>
  <c r="DD234" i="10"/>
  <c r="DN414" i="9" a="1"/>
  <c r="DN414" i="9" s="1"/>
  <c r="DO542" i="9" a="1"/>
  <c r="DO542" i="9" s="1"/>
  <c r="DP542" i="9" s="1"/>
  <c r="DL542" i="9" s="1" a="1"/>
  <c r="DL542" i="9" s="1"/>
  <c r="DM516" i="9" a="1"/>
  <c r="DM516" i="9" s="1"/>
  <c r="DM67" i="9" a="1"/>
  <c r="DM67" i="9" s="1"/>
  <c r="DO510" i="9" a="1"/>
  <c r="DO510" i="9" s="1"/>
  <c r="DP510" i="9" s="1"/>
  <c r="DL510" i="9" s="1" a="1"/>
  <c r="DL510" i="9" s="1"/>
  <c r="CS313" i="10"/>
  <c r="AD67" i="10"/>
  <c r="GW476" i="9"/>
  <c r="HF476" i="9" s="1"/>
  <c r="DK306" i="9" a="1"/>
  <c r="DK306" i="9" s="1"/>
  <c r="CG306" i="9" s="1"/>
  <c r="DO71" i="9" a="1"/>
  <c r="DO71" i="9" s="1"/>
  <c r="DP71" i="9" s="1"/>
  <c r="DL71" i="9" s="1" a="1"/>
  <c r="DL71" i="9" s="1"/>
  <c r="DK536" i="9" a="1"/>
  <c r="DK536" i="9" s="1"/>
  <c r="CG536" i="9" s="1"/>
  <c r="DO77" i="9" a="1"/>
  <c r="DO77" i="9" s="1"/>
  <c r="DP77" i="9" s="1"/>
  <c r="DL77" i="9" s="1" a="1"/>
  <c r="DL77" i="9" s="1"/>
  <c r="DO516" i="9" a="1"/>
  <c r="DO516" i="9" s="1"/>
  <c r="DP516" i="9" s="1"/>
  <c r="DL516" i="9" s="1" a="1"/>
  <c r="DL516" i="9" s="1"/>
  <c r="DK274" i="9" a="1"/>
  <c r="DK274" i="9" s="1"/>
  <c r="CG274" i="9" s="1"/>
  <c r="DN67" i="9" a="1"/>
  <c r="DN67" i="9" s="1"/>
  <c r="DO401" i="9" a="1"/>
  <c r="DO401" i="9" s="1"/>
  <c r="DP401" i="9" s="1"/>
  <c r="DL401" i="9" s="1" a="1"/>
  <c r="DL401" i="9" s="1"/>
  <c r="DM531" i="9" a="1"/>
  <c r="DM531" i="9" s="1"/>
  <c r="DK501" i="9" a="1"/>
  <c r="DK501" i="9" s="1"/>
  <c r="CG501" i="9" s="1"/>
  <c r="DM77" i="9" a="1"/>
  <c r="DM77" i="9" s="1"/>
  <c r="DO274" i="9" a="1"/>
  <c r="DO274" i="9" s="1"/>
  <c r="DP274" i="9" s="1"/>
  <c r="DL274" i="9" s="1" a="1"/>
  <c r="DL274" i="9" s="1"/>
  <c r="DM539" i="9" a="1"/>
  <c r="DM539" i="9" s="1"/>
  <c r="DO70" i="9" a="1"/>
  <c r="DO70" i="9" s="1"/>
  <c r="DP70" i="9" s="1"/>
  <c r="DL70" i="9" s="1" a="1"/>
  <c r="DL70" i="9" s="1"/>
  <c r="DO298" i="9" a="1"/>
  <c r="DO298" i="9" s="1"/>
  <c r="DP298" i="9" s="1"/>
  <c r="DL298" i="9" s="1" a="1"/>
  <c r="DL298" i="9" s="1"/>
  <c r="DN298" i="9" a="1"/>
  <c r="DN298" i="9" s="1"/>
  <c r="DM298" i="9" a="1"/>
  <c r="DM298" i="9" s="1"/>
  <c r="DK298" i="9" a="1"/>
  <c r="DK298" i="9" s="1"/>
  <c r="CG298" i="9" s="1"/>
  <c r="DK531" i="9" a="1"/>
  <c r="DK531" i="9" s="1"/>
  <c r="CG531" i="9" s="1"/>
  <c r="DO536" i="9" a="1"/>
  <c r="DO536" i="9" s="1"/>
  <c r="DP536" i="9" s="1"/>
  <c r="DL536" i="9" s="1" a="1"/>
  <c r="DL536" i="9" s="1"/>
  <c r="GW660" i="9"/>
  <c r="HF660" i="9" s="1"/>
  <c r="DO65" i="9" a="1"/>
  <c r="DO65" i="9" s="1"/>
  <c r="DP65" i="9" s="1"/>
  <c r="DL65" i="9" s="1" a="1"/>
  <c r="DL65" i="9" s="1"/>
  <c r="DM536" i="9" a="1"/>
  <c r="DM536" i="9" s="1"/>
  <c r="DN77" i="9" a="1"/>
  <c r="DN77" i="9" s="1"/>
  <c r="DM274" i="9" a="1"/>
  <c r="DM274" i="9" s="1"/>
  <c r="DM70" i="9" a="1"/>
  <c r="DM70" i="9" s="1"/>
  <c r="DN70" i="9" a="1"/>
  <c r="DN70" i="9" s="1"/>
  <c r="DD284" i="10"/>
  <c r="CW287" i="10"/>
  <c r="DK397" i="9" a="1"/>
  <c r="DK397" i="9" s="1"/>
  <c r="CG397" i="9" s="1"/>
  <c r="DD59" i="10"/>
  <c r="DK404" i="9" a="1"/>
  <c r="DK404" i="9" s="1"/>
  <c r="CG404" i="9" s="1"/>
  <c r="DO260" i="9" a="1"/>
  <c r="DO260" i="9" s="1"/>
  <c r="DP260" i="9" s="1"/>
  <c r="DL260" i="9" s="1" a="1"/>
  <c r="DL260" i="9" s="1"/>
  <c r="DO534" i="9" a="1"/>
  <c r="DO534" i="9" s="1"/>
  <c r="DP534" i="9" s="1"/>
  <c r="DL534" i="9" s="1" a="1"/>
  <c r="DL534" i="9" s="1"/>
  <c r="DO444" i="9" a="1"/>
  <c r="DO444" i="9" s="1"/>
  <c r="DP444" i="9" s="1"/>
  <c r="DL444" i="9" s="1" a="1"/>
  <c r="DL444" i="9" s="1"/>
  <c r="DO394" i="9" a="1"/>
  <c r="DO394" i="9" s="1"/>
  <c r="DP394" i="9" s="1"/>
  <c r="DL394" i="9" s="1" a="1"/>
  <c r="DL394" i="9" s="1"/>
  <c r="DM394" i="9" a="1"/>
  <c r="DM394" i="9" s="1"/>
  <c r="DN394" i="9" a="1"/>
  <c r="DN394" i="9" s="1"/>
  <c r="CW262" i="10"/>
  <c r="DD259" i="10"/>
  <c r="DN441" i="9" a="1"/>
  <c r="DN441" i="9" s="1"/>
  <c r="DO441" i="9" a="1"/>
  <c r="DO441" i="9" s="1"/>
  <c r="DP441" i="9" s="1"/>
  <c r="DL441" i="9" s="1" a="1"/>
  <c r="DL441" i="9" s="1"/>
  <c r="DM444" i="9" a="1"/>
  <c r="DM444" i="9" s="1"/>
  <c r="DM441" i="9" a="1"/>
  <c r="DM441" i="9" s="1"/>
  <c r="DK401" i="9" a="1"/>
  <c r="DK401" i="9" s="1"/>
  <c r="CG401" i="9" s="1"/>
  <c r="DN382" i="9" a="1"/>
  <c r="DN382" i="9" s="1"/>
  <c r="DK444" i="9" a="1"/>
  <c r="DK444" i="9" s="1"/>
  <c r="CG444" i="9" s="1"/>
  <c r="DN401" i="9" a="1"/>
  <c r="DN401" i="9" s="1"/>
  <c r="DN445" i="9" a="1"/>
  <c r="DN445" i="9" s="1"/>
  <c r="DO531" i="9" a="1"/>
  <c r="DO531" i="9" s="1"/>
  <c r="DP531" i="9" s="1"/>
  <c r="DL531" i="9" s="1" a="1"/>
  <c r="DL531" i="9" s="1"/>
  <c r="DN550" i="9" a="1"/>
  <c r="DN550" i="9" s="1"/>
  <c r="DO306" i="9" a="1"/>
  <c r="DO306" i="9" s="1"/>
  <c r="DP306" i="9" s="1"/>
  <c r="DL306" i="9" s="1" a="1"/>
  <c r="DL306" i="9" s="1"/>
  <c r="DM512" i="9" a="1"/>
  <c r="DM512" i="9" s="1"/>
  <c r="DK550" i="9" a="1"/>
  <c r="DK550" i="9" s="1"/>
  <c r="CG550" i="9" s="1"/>
  <c r="DN530" i="9" a="1"/>
  <c r="DN530" i="9" s="1"/>
  <c r="DM550" i="9" a="1"/>
  <c r="DM550" i="9" s="1"/>
  <c r="DK289" i="9" a="1"/>
  <c r="DK289" i="9" s="1"/>
  <c r="CG289" i="9" s="1"/>
  <c r="DO512" i="9" a="1"/>
  <c r="DO512" i="9" s="1"/>
  <c r="DP512" i="9" s="1"/>
  <c r="DL512" i="9" s="1" a="1"/>
  <c r="DL512" i="9" s="1"/>
  <c r="DK445" i="9" a="1"/>
  <c r="DK445" i="9" s="1"/>
  <c r="CG445" i="9" s="1"/>
  <c r="DK439" i="9" a="1"/>
  <c r="DK439" i="9" s="1"/>
  <c r="CG439" i="9" s="1"/>
  <c r="DO439" i="9" a="1"/>
  <c r="DO439" i="9" s="1"/>
  <c r="DP439" i="9" s="1"/>
  <c r="DL439" i="9" s="1" a="1"/>
  <c r="DL439" i="9" s="1"/>
  <c r="DN439" i="9" a="1"/>
  <c r="DN439" i="9" s="1"/>
  <c r="DM439" i="9" a="1"/>
  <c r="DM439" i="9" s="1"/>
  <c r="DN521" i="9" a="1"/>
  <c r="DN521" i="9" s="1"/>
  <c r="DK521" i="9" a="1"/>
  <c r="DK521" i="9" s="1"/>
  <c r="CG521" i="9" s="1"/>
  <c r="DO521" i="9" a="1"/>
  <c r="DO521" i="9" s="1"/>
  <c r="DP521" i="9" s="1"/>
  <c r="DL521" i="9" s="1" a="1"/>
  <c r="DL521" i="9" s="1"/>
  <c r="DM521" i="9" a="1"/>
  <c r="DM521" i="9" s="1"/>
  <c r="DN74" i="9" a="1"/>
  <c r="DN74" i="9" s="1"/>
  <c r="DK74" i="9" a="1"/>
  <c r="DK74" i="9" s="1"/>
  <c r="CG74" i="9" s="1"/>
  <c r="DO74" i="9" a="1"/>
  <c r="DO74" i="9" s="1"/>
  <c r="DP74" i="9" s="1"/>
  <c r="DL74" i="9" s="1" a="1"/>
  <c r="DL74" i="9" s="1"/>
  <c r="DO420" i="9" a="1"/>
  <c r="DO420" i="9" s="1"/>
  <c r="DP420" i="9" s="1"/>
  <c r="DL420" i="9" s="1" a="1"/>
  <c r="DL420" i="9" s="1"/>
  <c r="DK414" i="9" a="1"/>
  <c r="DK414" i="9" s="1"/>
  <c r="CG414" i="9" s="1"/>
  <c r="DN403" i="9" a="1"/>
  <c r="DN403" i="9" s="1"/>
  <c r="DO382" i="9" a="1"/>
  <c r="DO382" i="9" s="1"/>
  <c r="DP382" i="9" s="1"/>
  <c r="DL382" i="9" s="1" a="1"/>
  <c r="DL382" i="9" s="1"/>
  <c r="DM382" i="9" a="1"/>
  <c r="DM382" i="9" s="1"/>
  <c r="DM414" i="9" a="1"/>
  <c r="DM414" i="9" s="1"/>
  <c r="DN402" i="9" a="1"/>
  <c r="DN402" i="9" s="1"/>
  <c r="DK542" i="9" a="1"/>
  <c r="DK542" i="9" s="1"/>
  <c r="CG542" i="9" s="1"/>
  <c r="DN542" i="9" a="1"/>
  <c r="DN542" i="9" s="1"/>
  <c r="DK59" i="9" a="1"/>
  <c r="DK59" i="9" s="1"/>
  <c r="CG59" i="9" s="1"/>
  <c r="DK539" i="9" a="1"/>
  <c r="DK539" i="9" s="1"/>
  <c r="CG539" i="9" s="1"/>
  <c r="DN512" i="9" a="1"/>
  <c r="DN512" i="9" s="1"/>
  <c r="DN391" i="9" a="1"/>
  <c r="DN391" i="9" s="1"/>
  <c r="DM391" i="9" a="1"/>
  <c r="DM391" i="9" s="1"/>
  <c r="DK391" i="9" a="1"/>
  <c r="DK391" i="9" s="1"/>
  <c r="CG391" i="9" s="1"/>
  <c r="DO391" i="9" a="1"/>
  <c r="DO391" i="9" s="1"/>
  <c r="DP391" i="9" s="1"/>
  <c r="DL391" i="9" s="1" a="1"/>
  <c r="DL391" i="9" s="1"/>
  <c r="DO403" i="9" a="1"/>
  <c r="DO403" i="9" s="1"/>
  <c r="DP403" i="9" s="1"/>
  <c r="DL403" i="9" s="1" a="1"/>
  <c r="DL403" i="9" s="1"/>
  <c r="DO59" i="9" a="1"/>
  <c r="DO59" i="9" s="1"/>
  <c r="DP59" i="9" s="1"/>
  <c r="DL59" i="9" s="1" a="1"/>
  <c r="DL59" i="9" s="1"/>
  <c r="DK402" i="9" a="1"/>
  <c r="DK402" i="9" s="1"/>
  <c r="CG402" i="9" s="1"/>
  <c r="DN59" i="9" a="1"/>
  <c r="DN59" i="9" s="1"/>
  <c r="DK540" i="9" a="1"/>
  <c r="DK540" i="9" s="1"/>
  <c r="CG540" i="9" s="1"/>
  <c r="DM402" i="9" a="1"/>
  <c r="DM402" i="9" s="1"/>
  <c r="DO559" i="9" a="1"/>
  <c r="DO559" i="9" s="1"/>
  <c r="DP559" i="9" s="1"/>
  <c r="DL559" i="9" s="1" a="1"/>
  <c r="DL559" i="9" s="1"/>
  <c r="DM74" i="9" a="1"/>
  <c r="DM74" i="9" s="1"/>
  <c r="DK78" i="9" a="1"/>
  <c r="DK78" i="9" s="1"/>
  <c r="CG78" i="9" s="1"/>
  <c r="DO78" i="9" a="1"/>
  <c r="DO78" i="9" s="1"/>
  <c r="DP78" i="9" s="1"/>
  <c r="DL78" i="9" s="1" a="1"/>
  <c r="DL78" i="9" s="1"/>
  <c r="DK381" i="9" a="1"/>
  <c r="DK381" i="9" s="1"/>
  <c r="CG381" i="9" s="1"/>
  <c r="DM530" i="9" a="1"/>
  <c r="DM530" i="9" s="1"/>
  <c r="GW276" i="9"/>
  <c r="HF276" i="9" s="1"/>
  <c r="CD276" i="9" s="1"/>
  <c r="GW148" i="9"/>
  <c r="HF148" i="9" s="1"/>
  <c r="CD148" i="9" s="1"/>
  <c r="DN539" i="9" a="1"/>
  <c r="DN539" i="9" s="1"/>
  <c r="DM86" i="9" a="1"/>
  <c r="DM86" i="9" s="1"/>
  <c r="DO86" i="9" a="1"/>
  <c r="DO86" i="9" s="1"/>
  <c r="DP86" i="9" s="1"/>
  <c r="DL86" i="9" s="1" a="1"/>
  <c r="DL86" i="9" s="1"/>
  <c r="DK86" i="9" a="1"/>
  <c r="DK86" i="9" s="1"/>
  <c r="CG86" i="9" s="1"/>
  <c r="DN86" i="9" a="1"/>
  <c r="DN86" i="9" s="1"/>
  <c r="DM315" i="9" a="1"/>
  <c r="DM315" i="9" s="1"/>
  <c r="DN315" i="9" a="1"/>
  <c r="DN315" i="9" s="1"/>
  <c r="DO315" i="9" a="1"/>
  <c r="DO315" i="9" s="1"/>
  <c r="DP315" i="9" s="1"/>
  <c r="DL315" i="9" s="1" a="1"/>
  <c r="DL315" i="9" s="1"/>
  <c r="DK315" i="9" a="1"/>
  <c r="DK315" i="9" s="1"/>
  <c r="CG315" i="9" s="1"/>
  <c r="DK554" i="9" a="1"/>
  <c r="DK554" i="9" s="1"/>
  <c r="CG554" i="9" s="1"/>
  <c r="DN554" i="9" a="1"/>
  <c r="DN554" i="9" s="1"/>
  <c r="DO530" i="9" a="1"/>
  <c r="DO530" i="9" s="1"/>
  <c r="DP530" i="9" s="1"/>
  <c r="DL530" i="9" s="1" a="1"/>
  <c r="DL530" i="9" s="1"/>
  <c r="DK420" i="9" a="1"/>
  <c r="DK420" i="9" s="1"/>
  <c r="CG420" i="9" s="1"/>
  <c r="GW135" i="9"/>
  <c r="HF135" i="9" s="1"/>
  <c r="CD135" i="9" s="1"/>
  <c r="DN17" i="9" a="1"/>
  <c r="DN17" i="9" s="1"/>
  <c r="DO17" i="9" a="1"/>
  <c r="DO17" i="9" s="1"/>
  <c r="DP17" i="9" s="1"/>
  <c r="DL17" i="9" s="1" a="1"/>
  <c r="DL17" i="9" s="1"/>
  <c r="DK17" i="9" a="1"/>
  <c r="DK17" i="9" s="1"/>
  <c r="CG17" i="9" s="1"/>
  <c r="DO551" i="9" a="1"/>
  <c r="DO551" i="9" s="1"/>
  <c r="DP551" i="9" s="1"/>
  <c r="DL551" i="9" s="1" a="1"/>
  <c r="DL551" i="9" s="1"/>
  <c r="DN551" i="9" a="1"/>
  <c r="DN551" i="9" s="1"/>
  <c r="DK551" i="9" a="1"/>
  <c r="DK551" i="9" s="1"/>
  <c r="CG551" i="9" s="1"/>
  <c r="DM551" i="9" a="1"/>
  <c r="DM551" i="9" s="1"/>
  <c r="DK292" i="9" a="1"/>
  <c r="DK292" i="9" s="1"/>
  <c r="CG292" i="9" s="1"/>
  <c r="DM501" i="9" a="1"/>
  <c r="DM501" i="9" s="1"/>
  <c r="DN447" i="9" a="1"/>
  <c r="DN447" i="9" s="1"/>
  <c r="DK500" i="9" a="1"/>
  <c r="DK500" i="9" s="1"/>
  <c r="CG500" i="9" s="1"/>
  <c r="DO287" i="9" a="1"/>
  <c r="DO287" i="9" s="1"/>
  <c r="DP287" i="9" s="1"/>
  <c r="DL287" i="9" s="1" a="1"/>
  <c r="DL287" i="9" s="1"/>
  <c r="DN306" i="9" a="1"/>
  <c r="DN306" i="9" s="1"/>
  <c r="DM279" i="9" a="1"/>
  <c r="DM279" i="9" s="1"/>
  <c r="DO279" i="9" a="1"/>
  <c r="DO279" i="9" s="1"/>
  <c r="DP279" i="9" s="1"/>
  <c r="DL279" i="9" s="1" a="1"/>
  <c r="DL279" i="9" s="1"/>
  <c r="DK279" i="9" a="1"/>
  <c r="DK279" i="9" s="1"/>
  <c r="CG279" i="9" s="1"/>
  <c r="DN279" i="9" a="1"/>
  <c r="DN279" i="9" s="1"/>
  <c r="DN552" i="9" a="1"/>
  <c r="DN552" i="9" s="1"/>
  <c r="DN500" i="9" a="1"/>
  <c r="DN500" i="9" s="1"/>
  <c r="DO548" i="9" a="1"/>
  <c r="DO548" i="9" s="1"/>
  <c r="DP548" i="9" s="1"/>
  <c r="DL548" i="9" s="1" a="1"/>
  <c r="DL548" i="9" s="1"/>
  <c r="DK548" i="9" a="1"/>
  <c r="DK548" i="9" s="1"/>
  <c r="CG548" i="9" s="1"/>
  <c r="DM548" i="9" a="1"/>
  <c r="DM548" i="9" s="1"/>
  <c r="DN548" i="9" a="1"/>
  <c r="DN548" i="9" s="1"/>
  <c r="DN292" i="9" a="1"/>
  <c r="DN292" i="9" s="1"/>
  <c r="DK393" i="9" a="1"/>
  <c r="DK393" i="9" s="1"/>
  <c r="CG393" i="9" s="1"/>
  <c r="DM546" i="9" a="1"/>
  <c r="DM546" i="9" s="1"/>
  <c r="DO501" i="9" a="1"/>
  <c r="DO501" i="9" s="1"/>
  <c r="DP501" i="9" s="1"/>
  <c r="DL501" i="9" s="1" a="1"/>
  <c r="DL501" i="9" s="1"/>
  <c r="DM292" i="9" a="1"/>
  <c r="DM292" i="9" s="1"/>
  <c r="DO447" i="9" a="1"/>
  <c r="DO447" i="9" s="1"/>
  <c r="DP447" i="9" s="1"/>
  <c r="DL447" i="9" s="1" a="1"/>
  <c r="DL447" i="9" s="1"/>
  <c r="DK58" i="9" a="1"/>
  <c r="DK58" i="9" s="1"/>
  <c r="CG58" i="9" s="1"/>
  <c r="DM287" i="9" a="1"/>
  <c r="DM287" i="9" s="1"/>
  <c r="DO285" i="9" a="1"/>
  <c r="DO285" i="9" s="1"/>
  <c r="DP285" i="9" s="1"/>
  <c r="DL285" i="9" s="1" a="1"/>
  <c r="DL285" i="9" s="1"/>
  <c r="DM544" i="9" a="1"/>
  <c r="DM544" i="9" s="1"/>
  <c r="DK568" i="9" a="1"/>
  <c r="DK568" i="9" s="1"/>
  <c r="CG568" i="9" s="1"/>
  <c r="DN568" i="9" a="1"/>
  <c r="DN568" i="9" s="1"/>
  <c r="DO568" i="9" a="1"/>
  <c r="DO568" i="9" s="1"/>
  <c r="DP568" i="9" s="1"/>
  <c r="DL568" i="9" s="1" a="1"/>
  <c r="DL568" i="9" s="1"/>
  <c r="DM568" i="9" a="1"/>
  <c r="DM568" i="9" s="1"/>
  <c r="DN566" i="9" a="1"/>
  <c r="DN566" i="9" s="1"/>
  <c r="DO566" i="9" a="1"/>
  <c r="DO566" i="9" s="1"/>
  <c r="DP566" i="9" s="1"/>
  <c r="DL566" i="9" s="1" a="1"/>
  <c r="DL566" i="9" s="1"/>
  <c r="DM566" i="9" a="1"/>
  <c r="DM566" i="9" s="1"/>
  <c r="DK566" i="9" a="1"/>
  <c r="DK566" i="9" s="1"/>
  <c r="CG566" i="9" s="1"/>
  <c r="DO519" i="9" a="1"/>
  <c r="DO519" i="9" s="1"/>
  <c r="DP519" i="9" s="1"/>
  <c r="DL519" i="9" s="1" a="1"/>
  <c r="DL519" i="9" s="1"/>
  <c r="DN519" i="9" a="1"/>
  <c r="DN519" i="9" s="1"/>
  <c r="DM393" i="9" a="1"/>
  <c r="DM393" i="9" s="1"/>
  <c r="DN565" i="9" a="1"/>
  <c r="DN565" i="9" s="1"/>
  <c r="DO555" i="9" a="1"/>
  <c r="DO555" i="9" s="1"/>
  <c r="DP555" i="9" s="1"/>
  <c r="DL555" i="9" s="1" a="1"/>
  <c r="DL555" i="9" s="1"/>
  <c r="DM58" i="9" a="1"/>
  <c r="DM58" i="9" s="1"/>
  <c r="DM285" i="9" a="1"/>
  <c r="DM285" i="9" s="1"/>
  <c r="DO431" i="9" a="1"/>
  <c r="DO431" i="9" s="1"/>
  <c r="DP431" i="9" s="1"/>
  <c r="DL431" i="9" s="1" a="1"/>
  <c r="DL431" i="9" s="1"/>
  <c r="DK431" i="9" a="1"/>
  <c r="DK431" i="9" s="1"/>
  <c r="CG431" i="9" s="1"/>
  <c r="DN431" i="9" a="1"/>
  <c r="DN431" i="9" s="1"/>
  <c r="DM431" i="9" a="1"/>
  <c r="DM431" i="9" s="1"/>
  <c r="DM433" i="9" a="1"/>
  <c r="DM433" i="9" s="1"/>
  <c r="DK433" i="9" a="1"/>
  <c r="DK433" i="9" s="1"/>
  <c r="CG433" i="9" s="1"/>
  <c r="DO433" i="9" a="1"/>
  <c r="DO433" i="9" s="1"/>
  <c r="DP433" i="9" s="1"/>
  <c r="DL433" i="9" s="1" a="1"/>
  <c r="DL433" i="9" s="1"/>
  <c r="DN433" i="9" a="1"/>
  <c r="DN433" i="9" s="1"/>
  <c r="DN393" i="9" a="1"/>
  <c r="DN393" i="9" s="1"/>
  <c r="DO565" i="9" a="1"/>
  <c r="DO565" i="9" s="1"/>
  <c r="DP565" i="9" s="1"/>
  <c r="DL565" i="9" s="1" a="1"/>
  <c r="DL565" i="9" s="1"/>
  <c r="DN13" i="9" a="1"/>
  <c r="DN13" i="9" s="1"/>
  <c r="DK71" i="9" a="1"/>
  <c r="DK71" i="9" s="1"/>
  <c r="CG71" i="9" s="1"/>
  <c r="DK555" i="9" a="1"/>
  <c r="DK555" i="9" s="1"/>
  <c r="CG555" i="9" s="1"/>
  <c r="DO58" i="9" a="1"/>
  <c r="DO58" i="9" s="1"/>
  <c r="DP58" i="9" s="1"/>
  <c r="DL58" i="9" s="1" a="1"/>
  <c r="DL58" i="9" s="1"/>
  <c r="DK285" i="9" a="1"/>
  <c r="DK285" i="9" s="1"/>
  <c r="CG285" i="9" s="1"/>
  <c r="DK544" i="9" a="1"/>
  <c r="DK544" i="9" s="1"/>
  <c r="CG544" i="9" s="1"/>
  <c r="DN569" i="9" a="1"/>
  <c r="DN569" i="9" s="1"/>
  <c r="DN287" i="9" a="1"/>
  <c r="DN287" i="9" s="1"/>
  <c r="DN384" i="9" a="1"/>
  <c r="DN384" i="9" s="1"/>
  <c r="DK384" i="9" a="1"/>
  <c r="DK384" i="9" s="1"/>
  <c r="CG384" i="9" s="1"/>
  <c r="DM384" i="9" a="1"/>
  <c r="DM384" i="9" s="1"/>
  <c r="DO384" i="9" a="1"/>
  <c r="DO384" i="9" s="1"/>
  <c r="DP384" i="9" s="1"/>
  <c r="DL384" i="9" s="1" a="1"/>
  <c r="DL384" i="9" s="1"/>
  <c r="DM552" i="9" a="1"/>
  <c r="DM552" i="9" s="1"/>
  <c r="DD334" i="10"/>
  <c r="DK565" i="9" a="1"/>
  <c r="DK565" i="9" s="1"/>
  <c r="CG565" i="9" s="1"/>
  <c r="DO13" i="9" a="1"/>
  <c r="DO13" i="9" s="1"/>
  <c r="DP13" i="9" s="1"/>
  <c r="DL13" i="9" s="1" a="1"/>
  <c r="DL13" i="9" s="1"/>
  <c r="DM71" i="9" a="1"/>
  <c r="DM71" i="9" s="1"/>
  <c r="DO544" i="9" a="1"/>
  <c r="DO544" i="9" s="1"/>
  <c r="DP544" i="9" s="1"/>
  <c r="DL544" i="9" s="1" a="1"/>
  <c r="DL544" i="9" s="1"/>
  <c r="DM540" i="9" a="1"/>
  <c r="DM540" i="9" s="1"/>
  <c r="DO569" i="9" a="1"/>
  <c r="DO569" i="9" s="1"/>
  <c r="DP569" i="9" s="1"/>
  <c r="DL569" i="9" s="1" a="1"/>
  <c r="DL569" i="9" s="1"/>
  <c r="DN263" i="9" a="1"/>
  <c r="DN263" i="9" s="1"/>
  <c r="DO308" i="9" a="1"/>
  <c r="DO308" i="9" s="1"/>
  <c r="DP308" i="9" s="1"/>
  <c r="DL308" i="9" s="1" a="1"/>
  <c r="DL308" i="9" s="1"/>
  <c r="DM308" i="9" a="1"/>
  <c r="DM308" i="9" s="1"/>
  <c r="DN308" i="9" a="1"/>
  <c r="DN308" i="9" s="1"/>
  <c r="DK308" i="9" a="1"/>
  <c r="DK308" i="9" s="1"/>
  <c r="CG308" i="9" s="1"/>
  <c r="DN260" i="9" a="1"/>
  <c r="DN260" i="9" s="1"/>
  <c r="DK519" i="9" a="1"/>
  <c r="DK519" i="9" s="1"/>
  <c r="CG519" i="9" s="1"/>
  <c r="DK330" i="9" a="1"/>
  <c r="DK330" i="9" s="1"/>
  <c r="CG330" i="9" s="1"/>
  <c r="DO330" i="9" a="1"/>
  <c r="DO330" i="9" s="1"/>
  <c r="DP330" i="9" s="1"/>
  <c r="DL330" i="9" s="1" a="1"/>
  <c r="DL330" i="9" s="1"/>
  <c r="DM330" i="9" a="1"/>
  <c r="DM330" i="9" s="1"/>
  <c r="DN330" i="9" a="1"/>
  <c r="DN330" i="9" s="1"/>
  <c r="DN562" i="9" a="1"/>
  <c r="DN562" i="9" s="1"/>
  <c r="DO562" i="9" a="1"/>
  <c r="DO562" i="9" s="1"/>
  <c r="DP562" i="9" s="1"/>
  <c r="DL562" i="9" s="1" a="1"/>
  <c r="DL562" i="9" s="1"/>
  <c r="DK527" i="9" a="1"/>
  <c r="DK527" i="9" s="1"/>
  <c r="CG527" i="9" s="1"/>
  <c r="DO527" i="9" a="1"/>
  <c r="DO527" i="9" s="1"/>
  <c r="DP527" i="9" s="1"/>
  <c r="DL527" i="9" s="1" a="1"/>
  <c r="DL527" i="9" s="1"/>
  <c r="DM527" i="9" a="1"/>
  <c r="DM527" i="9" s="1"/>
  <c r="DN527" i="9" a="1"/>
  <c r="DN527" i="9" s="1"/>
  <c r="DD402" i="5"/>
  <c r="AS18" i="10"/>
  <c r="DM263" i="9" a="1"/>
  <c r="DM263" i="9" s="1"/>
  <c r="DK448" i="9" a="1"/>
  <c r="DK448" i="9" s="1"/>
  <c r="CG448" i="9" s="1"/>
  <c r="DM448" i="9" a="1"/>
  <c r="DM448" i="9" s="1"/>
  <c r="DN448" i="9" a="1"/>
  <c r="DN448" i="9" s="1"/>
  <c r="DO448" i="9" a="1"/>
  <c r="DO448" i="9" s="1"/>
  <c r="DP448" i="9" s="1"/>
  <c r="DL448" i="9" s="1" a="1"/>
  <c r="DL448" i="9" s="1"/>
  <c r="DK263" i="9" a="1"/>
  <c r="DK263" i="9" s="1"/>
  <c r="CG263" i="9" s="1"/>
  <c r="DM434" i="9" a="1"/>
  <c r="DM434" i="9" s="1"/>
  <c r="DK434" i="9" a="1"/>
  <c r="DK434" i="9" s="1"/>
  <c r="CG434" i="9" s="1"/>
  <c r="DD102" i="5"/>
  <c r="DN426" i="9" a="1"/>
  <c r="DN426" i="9" s="1"/>
  <c r="DO426" i="9" a="1"/>
  <c r="DO426" i="9" s="1"/>
  <c r="DP426" i="9" s="1"/>
  <c r="DL426" i="9" s="1" a="1"/>
  <c r="DL426" i="9" s="1"/>
  <c r="DK504" i="9" a="1"/>
  <c r="DK504" i="9" s="1"/>
  <c r="CG504" i="9" s="1"/>
  <c r="DN504" i="9" a="1"/>
  <c r="DN504" i="9" s="1"/>
  <c r="DO504" i="9" a="1"/>
  <c r="DO504" i="9" s="1"/>
  <c r="DP504" i="9" s="1"/>
  <c r="DL504" i="9" s="1" a="1"/>
  <c r="DL504" i="9" s="1"/>
  <c r="DM504" i="9" a="1"/>
  <c r="DM504" i="9" s="1"/>
  <c r="DN207" i="9" a="1"/>
  <c r="DN207" i="9" s="1"/>
  <c r="DK207" i="9" a="1"/>
  <c r="DK207" i="9" s="1"/>
  <c r="CG207" i="9" s="1"/>
  <c r="DO207" i="9" a="1"/>
  <c r="DO207" i="9" s="1"/>
  <c r="DP207" i="9" s="1"/>
  <c r="DL207" i="9" s="1" a="1"/>
  <c r="DL207" i="9" s="1"/>
  <c r="DM207" i="9" a="1"/>
  <c r="DM207" i="9" s="1"/>
  <c r="CS238" i="10"/>
  <c r="AO18" i="10"/>
  <c r="AA86" i="10" s="1"/>
  <c r="DO434" i="9" a="1"/>
  <c r="DO434" i="9" s="1"/>
  <c r="DP434" i="9" s="1"/>
  <c r="DL434" i="9" s="1" a="1"/>
  <c r="DL434" i="9" s="1"/>
  <c r="DN451" i="9" a="1"/>
  <c r="DN451" i="9" s="1"/>
  <c r="DO451" i="9" a="1"/>
  <c r="DO451" i="9" s="1"/>
  <c r="DP451" i="9" s="1"/>
  <c r="DL451" i="9" s="1" a="1"/>
  <c r="DL451" i="9" s="1"/>
  <c r="DM451" i="9" a="1"/>
  <c r="DM451" i="9" s="1"/>
  <c r="DK451" i="9" a="1"/>
  <c r="DK451" i="9" s="1"/>
  <c r="CG451" i="9" s="1"/>
  <c r="DO267" i="9" a="1"/>
  <c r="DO267" i="9" s="1"/>
  <c r="DP267" i="9" s="1"/>
  <c r="DL267" i="9" s="1" a="1"/>
  <c r="DL267" i="9" s="1"/>
  <c r="DM267" i="9" a="1"/>
  <c r="DM267" i="9" s="1"/>
  <c r="DK267" i="9" a="1"/>
  <c r="DK267" i="9" s="1"/>
  <c r="CG267" i="9" s="1"/>
  <c r="DN267" i="9" a="1"/>
  <c r="DN267" i="9" s="1"/>
  <c r="DK186" i="9" a="1"/>
  <c r="DK186" i="9" s="1"/>
  <c r="CG186" i="9" s="1"/>
  <c r="DO186" i="9" a="1"/>
  <c r="DO186" i="9" s="1"/>
  <c r="DP186" i="9" s="1"/>
  <c r="DL186" i="9" s="1" a="1"/>
  <c r="DL186" i="9" s="1"/>
  <c r="DM186" i="9" a="1"/>
  <c r="DM186" i="9" s="1"/>
  <c r="DN186" i="9" a="1"/>
  <c r="DN186" i="9" s="1"/>
  <c r="DN446" i="9" a="1"/>
  <c r="DN446" i="9" s="1"/>
  <c r="DK446" i="9" a="1"/>
  <c r="DK446" i="9" s="1"/>
  <c r="CG446" i="9" s="1"/>
  <c r="DK546" i="9" a="1"/>
  <c r="DK546" i="9" s="1"/>
  <c r="CG546" i="9" s="1"/>
  <c r="DN546" i="9" a="1"/>
  <c r="DN546" i="9" s="1"/>
  <c r="GW144" i="9"/>
  <c r="HF144" i="9" s="1"/>
  <c r="CD144" i="9" s="1"/>
  <c r="DK144" i="9" s="1" a="1"/>
  <c r="DK144" i="9" s="1"/>
  <c r="CG144" i="9" s="1"/>
  <c r="DO52" i="9" a="1"/>
  <c r="DO52" i="9" s="1"/>
  <c r="DP52" i="9" s="1"/>
  <c r="DL52" i="9" s="1" a="1"/>
  <c r="DL52" i="9" s="1"/>
  <c r="DK52" i="9" a="1"/>
  <c r="DK52" i="9" s="1"/>
  <c r="CG52" i="9" s="1"/>
  <c r="DM52" i="9" a="1"/>
  <c r="DM52" i="9" s="1"/>
  <c r="DN52" i="9" a="1"/>
  <c r="DN52" i="9" s="1"/>
  <c r="DO155" i="9" a="1"/>
  <c r="DO155" i="9" s="1"/>
  <c r="DP155" i="9" s="1"/>
  <c r="DL155" i="9" s="1" a="1"/>
  <c r="DL155" i="9" s="1"/>
  <c r="DN155" i="9" a="1"/>
  <c r="DN155" i="9" s="1"/>
  <c r="DK155" i="9" a="1"/>
  <c r="DK155" i="9" s="1"/>
  <c r="CG155" i="9" s="1"/>
  <c r="DM155" i="9" a="1"/>
  <c r="DM155" i="9" s="1"/>
  <c r="DN286" i="9" a="1"/>
  <c r="DN286" i="9" s="1"/>
  <c r="DK286" i="9" a="1"/>
  <c r="DK286" i="9" s="1"/>
  <c r="CG286" i="9" s="1"/>
  <c r="DM286" i="9" a="1"/>
  <c r="DM286" i="9" s="1"/>
  <c r="DO286" i="9" a="1"/>
  <c r="DO286" i="9" s="1"/>
  <c r="DP286" i="9" s="1"/>
  <c r="DL286" i="9" s="1" a="1"/>
  <c r="DL286" i="9" s="1"/>
  <c r="DN297" i="9" a="1"/>
  <c r="DN297" i="9" s="1"/>
  <c r="DO297" i="9" a="1"/>
  <c r="DO297" i="9" s="1"/>
  <c r="DP297" i="9" s="1"/>
  <c r="DL297" i="9" s="1" a="1"/>
  <c r="DL297" i="9" s="1"/>
  <c r="DK297" i="9" a="1"/>
  <c r="DK297" i="9" s="1"/>
  <c r="CG297" i="9" s="1"/>
  <c r="DM297" i="9" a="1"/>
  <c r="DM297" i="9" s="1"/>
  <c r="DO397" i="9" a="1"/>
  <c r="DO397" i="9" s="1"/>
  <c r="DP397" i="9" s="1"/>
  <c r="DL397" i="9" s="1" a="1"/>
  <c r="DL397" i="9" s="1"/>
  <c r="DM397" i="9" a="1"/>
  <c r="DM397" i="9" s="1"/>
  <c r="DK553" i="9" a="1"/>
  <c r="DK553" i="9" s="1"/>
  <c r="CG553" i="9" s="1"/>
  <c r="DM553" i="9" a="1"/>
  <c r="DM553" i="9" s="1"/>
  <c r="DN553" i="9" a="1"/>
  <c r="DN553" i="9" s="1"/>
  <c r="DO553" i="9" a="1"/>
  <c r="DO553" i="9" s="1"/>
  <c r="DP553" i="9" s="1"/>
  <c r="DL553" i="9" s="1" a="1"/>
  <c r="DL553" i="9" s="1"/>
  <c r="DK314" i="9" a="1"/>
  <c r="DK314" i="9" s="1"/>
  <c r="CG314" i="9" s="1"/>
  <c r="DO314" i="9" a="1"/>
  <c r="DO314" i="9" s="1"/>
  <c r="DP314" i="9" s="1"/>
  <c r="DL314" i="9" s="1" a="1"/>
  <c r="DL314" i="9" s="1"/>
  <c r="DM314" i="9" a="1"/>
  <c r="DM314" i="9" s="1"/>
  <c r="DN314" i="9" a="1"/>
  <c r="DN314" i="9" s="1"/>
  <c r="DK311" i="9" a="1"/>
  <c r="DK311" i="9" s="1"/>
  <c r="CG311" i="9" s="1"/>
  <c r="DO311" i="9" a="1"/>
  <c r="DO311" i="9" s="1"/>
  <c r="DP311" i="9" s="1"/>
  <c r="DL311" i="9" s="1" a="1"/>
  <c r="DL311" i="9" s="1"/>
  <c r="DM311" i="9" a="1"/>
  <c r="DM311" i="9" s="1"/>
  <c r="DN311" i="9" a="1"/>
  <c r="DN311" i="9" s="1"/>
  <c r="DO497" i="9" a="1"/>
  <c r="DO497" i="9" s="1"/>
  <c r="DP497" i="9" s="1"/>
  <c r="DL497" i="9" s="1" a="1"/>
  <c r="DL497" i="9" s="1"/>
  <c r="DM497" i="9" a="1"/>
  <c r="DM497" i="9" s="1"/>
  <c r="DK497" i="9" a="1"/>
  <c r="DK497" i="9" s="1"/>
  <c r="CG497" i="9" s="1"/>
  <c r="DN497" i="9" a="1"/>
  <c r="DN497" i="9" s="1"/>
  <c r="DO505" i="9" a="1"/>
  <c r="DO505" i="9" s="1"/>
  <c r="DP505" i="9" s="1"/>
  <c r="DL505" i="9" s="1" a="1"/>
  <c r="DL505" i="9" s="1"/>
  <c r="DN505" i="9" a="1"/>
  <c r="DN505" i="9" s="1"/>
  <c r="DK505" i="9" a="1"/>
  <c r="DK505" i="9" s="1"/>
  <c r="CG505" i="9" s="1"/>
  <c r="DM505" i="9" a="1"/>
  <c r="DM505" i="9" s="1"/>
  <c r="GW140" i="9"/>
  <c r="HF140" i="9" s="1"/>
  <c r="CD140" i="9" s="1"/>
  <c r="DK549" i="9" a="1"/>
  <c r="DK549" i="9" s="1"/>
  <c r="CG549" i="9" s="1"/>
  <c r="DM549" i="9" a="1"/>
  <c r="DM549" i="9" s="1"/>
  <c r="DN549" i="9" a="1"/>
  <c r="DN549" i="9" s="1"/>
  <c r="DO549" i="9" a="1"/>
  <c r="DO549" i="9" s="1"/>
  <c r="DP549" i="9" s="1"/>
  <c r="DL549" i="9" s="1" a="1"/>
  <c r="DL549" i="9" s="1"/>
  <c r="DK269" i="9" a="1"/>
  <c r="DK269" i="9" s="1"/>
  <c r="CG269" i="9" s="1"/>
  <c r="DO269" i="9" a="1"/>
  <c r="DO269" i="9" s="1"/>
  <c r="DP269" i="9" s="1"/>
  <c r="DL269" i="9" s="1" a="1"/>
  <c r="DL269" i="9" s="1"/>
  <c r="DN269" i="9" a="1"/>
  <c r="DN269" i="9" s="1"/>
  <c r="DM269" i="9" a="1"/>
  <c r="DM269" i="9" s="1"/>
  <c r="DN262" i="9" a="1"/>
  <c r="DN262" i="9" s="1"/>
  <c r="DM262" i="9" a="1"/>
  <c r="DM262" i="9" s="1"/>
  <c r="DK262" i="9" a="1"/>
  <c r="DK262" i="9" s="1"/>
  <c r="CG262" i="9" s="1"/>
  <c r="DO262" i="9" a="1"/>
  <c r="DO262" i="9" s="1"/>
  <c r="DP262" i="9" s="1"/>
  <c r="DL262" i="9" s="1" a="1"/>
  <c r="DL262" i="9" s="1"/>
  <c r="DM381" i="9" a="1"/>
  <c r="DM381" i="9" s="1"/>
  <c r="DN381" i="9" a="1"/>
  <c r="DN381" i="9" s="1"/>
  <c r="DO332" i="9" a="1"/>
  <c r="DO332" i="9" s="1"/>
  <c r="DP332" i="9" s="1"/>
  <c r="DL332" i="9" s="1" a="1"/>
  <c r="DL332" i="9" s="1"/>
  <c r="DK332" i="9" a="1"/>
  <c r="DK332" i="9" s="1"/>
  <c r="CG332" i="9" s="1"/>
  <c r="DN332" i="9" a="1"/>
  <c r="DN332" i="9" s="1"/>
  <c r="DM332" i="9" a="1"/>
  <c r="DM332" i="9" s="1"/>
  <c r="DO31" i="9" a="1"/>
  <c r="DO31" i="9" s="1"/>
  <c r="DP31" i="9" s="1"/>
  <c r="DL31" i="9" s="1" a="1"/>
  <c r="DL31" i="9" s="1"/>
  <c r="DK31" i="9" a="1"/>
  <c r="DK31" i="9" s="1"/>
  <c r="CG31" i="9" s="1"/>
  <c r="DN31" i="9" a="1"/>
  <c r="DN31" i="9" s="1"/>
  <c r="DM31" i="9" a="1"/>
  <c r="DM31" i="9" s="1"/>
  <c r="DK378" i="9" a="1"/>
  <c r="DK378" i="9" s="1"/>
  <c r="CG378" i="9" s="1"/>
  <c r="DN378" i="9" a="1"/>
  <c r="DN378" i="9" s="1"/>
  <c r="DM378" i="9" a="1"/>
  <c r="DM378" i="9" s="1"/>
  <c r="DO378" i="9" a="1"/>
  <c r="DO378" i="9" s="1"/>
  <c r="DP378" i="9" s="1"/>
  <c r="DL378" i="9" s="1" a="1"/>
  <c r="DL378" i="9" s="1"/>
  <c r="DM517" i="9" a="1"/>
  <c r="DM517" i="9" s="1"/>
  <c r="DN517" i="9" a="1"/>
  <c r="DN517" i="9" s="1"/>
  <c r="DK517" i="9" a="1"/>
  <c r="DK517" i="9" s="1"/>
  <c r="CG517" i="9" s="1"/>
  <c r="DO517" i="9" a="1"/>
  <c r="DO517" i="9" s="1"/>
  <c r="DP517" i="9" s="1"/>
  <c r="DL517" i="9" s="1" a="1"/>
  <c r="DL517" i="9" s="1"/>
  <c r="DK312" i="9" a="1"/>
  <c r="DK312" i="9" s="1"/>
  <c r="CG312" i="9" s="1"/>
  <c r="DM312" i="9" a="1"/>
  <c r="DM312" i="9" s="1"/>
  <c r="DN312" i="9" a="1"/>
  <c r="DN312" i="9" s="1"/>
  <c r="DO312" i="9" a="1"/>
  <c r="DO312" i="9" s="1"/>
  <c r="DP312" i="9" s="1"/>
  <c r="DL312" i="9" s="1" a="1"/>
  <c r="DL312" i="9" s="1"/>
  <c r="DO277" i="9" a="1"/>
  <c r="DO277" i="9" s="1"/>
  <c r="DP277" i="9" s="1"/>
  <c r="DL277" i="9" s="1" a="1"/>
  <c r="DL277" i="9" s="1"/>
  <c r="DK277" i="9" a="1"/>
  <c r="DK277" i="9" s="1"/>
  <c r="CG277" i="9" s="1"/>
  <c r="DM277" i="9" a="1"/>
  <c r="DM277" i="9" s="1"/>
  <c r="DN277" i="9" a="1"/>
  <c r="DN277" i="9" s="1"/>
  <c r="DK307" i="9" a="1"/>
  <c r="DK307" i="9" s="1"/>
  <c r="CG307" i="9" s="1"/>
  <c r="DN307" i="9" a="1"/>
  <c r="DN307" i="9" s="1"/>
  <c r="DN429" i="9" a="1"/>
  <c r="DN429" i="9" s="1"/>
  <c r="DM429" i="9" a="1"/>
  <c r="DM429" i="9" s="1"/>
  <c r="DK429" i="9" a="1"/>
  <c r="DK429" i="9" s="1"/>
  <c r="CG429" i="9" s="1"/>
  <c r="DO429" i="9" a="1"/>
  <c r="DO429" i="9" s="1"/>
  <c r="DP429" i="9" s="1"/>
  <c r="DL429" i="9" s="1" a="1"/>
  <c r="DL429" i="9" s="1"/>
  <c r="DO436" i="9" a="1"/>
  <c r="DO436" i="9" s="1"/>
  <c r="DP436" i="9" s="1"/>
  <c r="DL436" i="9" s="1" a="1"/>
  <c r="DL436" i="9" s="1"/>
  <c r="DK436" i="9" a="1"/>
  <c r="DK436" i="9" s="1"/>
  <c r="CG436" i="9" s="1"/>
  <c r="DN436" i="9" a="1"/>
  <c r="DN436" i="9" s="1"/>
  <c r="DM436" i="9" a="1"/>
  <c r="DM436" i="9" s="1"/>
  <c r="DM507" i="9" a="1"/>
  <c r="DM507" i="9" s="1"/>
  <c r="DO507" i="9" a="1"/>
  <c r="DO507" i="9" s="1"/>
  <c r="DP507" i="9" s="1"/>
  <c r="DL507" i="9" s="1" a="1"/>
  <c r="DL507" i="9" s="1"/>
  <c r="DN507" i="9" a="1"/>
  <c r="DN507" i="9" s="1"/>
  <c r="DK507" i="9" a="1"/>
  <c r="DK507" i="9" s="1"/>
  <c r="CG507" i="9" s="1"/>
  <c r="DM309" i="9" a="1"/>
  <c r="DM309" i="9" s="1"/>
  <c r="DO309" i="9" a="1"/>
  <c r="DO309" i="9" s="1"/>
  <c r="DP309" i="9" s="1"/>
  <c r="DL309" i="9" s="1" a="1"/>
  <c r="DL309" i="9" s="1"/>
  <c r="DN309" i="9" a="1"/>
  <c r="DN309" i="9" s="1"/>
  <c r="DK309" i="9" a="1"/>
  <c r="DK309" i="9" s="1"/>
  <c r="CG309" i="9" s="1"/>
  <c r="DM400" i="9" a="1"/>
  <c r="DM400" i="9" s="1"/>
  <c r="DO400" i="9" a="1"/>
  <c r="DO400" i="9" s="1"/>
  <c r="DP400" i="9" s="1"/>
  <c r="DL400" i="9" s="1" a="1"/>
  <c r="DL400" i="9" s="1"/>
  <c r="DN400" i="9" a="1"/>
  <c r="DN400" i="9" s="1"/>
  <c r="DK400" i="9" a="1"/>
  <c r="DK400" i="9" s="1"/>
  <c r="CG400" i="9" s="1"/>
  <c r="DM54" i="9" a="1"/>
  <c r="DM54" i="9" s="1"/>
  <c r="DK54" i="9" a="1"/>
  <c r="DK54" i="9" s="1"/>
  <c r="CG54" i="9" s="1"/>
  <c r="DN54" i="9" a="1"/>
  <c r="DN54" i="9" s="1"/>
  <c r="DO54" i="9" a="1"/>
  <c r="DO54" i="9" s="1"/>
  <c r="DP54" i="9" s="1"/>
  <c r="DL54" i="9" s="1" a="1"/>
  <c r="DL54" i="9" s="1"/>
  <c r="DN46" i="9" a="1"/>
  <c r="DN46" i="9" s="1"/>
  <c r="DO46" i="9" a="1"/>
  <c r="DO46" i="9" s="1"/>
  <c r="DP46" i="9" s="1"/>
  <c r="DL46" i="9" s="1" a="1"/>
  <c r="DL46" i="9" s="1"/>
  <c r="DK46" i="9" a="1"/>
  <c r="DK46" i="9" s="1"/>
  <c r="CG46" i="9" s="1"/>
  <c r="DM46" i="9" a="1"/>
  <c r="DM46" i="9" s="1"/>
  <c r="DO410" i="9" a="1"/>
  <c r="DO410" i="9" s="1"/>
  <c r="DP410" i="9" s="1"/>
  <c r="DL410" i="9" s="1" a="1"/>
  <c r="DL410" i="9" s="1"/>
  <c r="DN410" i="9" a="1"/>
  <c r="DN410" i="9" s="1"/>
  <c r="DK410" i="9" a="1"/>
  <c r="DK410" i="9" s="1"/>
  <c r="CG410" i="9" s="1"/>
  <c r="DM410" i="9" a="1"/>
  <c r="DM410" i="9" s="1"/>
  <c r="DN380" i="9" a="1"/>
  <c r="DN380" i="9" s="1"/>
  <c r="DK380" i="9" a="1"/>
  <c r="DK380" i="9" s="1"/>
  <c r="CG380" i="9" s="1"/>
  <c r="DM380" i="9" a="1"/>
  <c r="DM380" i="9" s="1"/>
  <c r="DO380" i="9" a="1"/>
  <c r="DO380" i="9" s="1"/>
  <c r="DP380" i="9" s="1"/>
  <c r="DL380" i="9" s="1" a="1"/>
  <c r="DL380" i="9" s="1"/>
  <c r="DK150" i="9" a="1"/>
  <c r="DK150" i="9" s="1"/>
  <c r="CG150" i="9" s="1"/>
  <c r="DM195" i="9" a="1"/>
  <c r="DM195" i="9" s="1"/>
  <c r="DK195" i="9" a="1"/>
  <c r="DK195" i="9" s="1"/>
  <c r="CG195" i="9" s="1"/>
  <c r="DN195" i="9" a="1"/>
  <c r="DN195" i="9" s="1"/>
  <c r="DO195" i="9" a="1"/>
  <c r="DO195" i="9" s="1"/>
  <c r="DP195" i="9" s="1"/>
  <c r="DL195" i="9" s="1" a="1"/>
  <c r="DL195" i="9" s="1"/>
  <c r="DO141" i="9" a="1"/>
  <c r="DO141" i="9" s="1"/>
  <c r="DP141" i="9" s="1"/>
  <c r="DL141" i="9" s="1" a="1"/>
  <c r="DL141" i="9" s="1"/>
  <c r="DN141" i="9" a="1"/>
  <c r="DN141" i="9" s="1"/>
  <c r="DM141" i="9" a="1"/>
  <c r="DM141" i="9" s="1"/>
  <c r="DK141" i="9" a="1"/>
  <c r="DK141" i="9" s="1"/>
  <c r="CG141" i="9" s="1"/>
  <c r="GH47" i="9"/>
  <c r="GI47" i="9" s="1"/>
  <c r="BZ47" i="9" s="1"/>
  <c r="FT47" i="9" s="1"/>
  <c r="CA47" i="9" s="1"/>
  <c r="GW47" i="9"/>
  <c r="HF47" i="9" s="1"/>
  <c r="CD47" i="9" s="1"/>
  <c r="DN281" i="9" a="1"/>
  <c r="DN281" i="9" s="1"/>
  <c r="DK281" i="9" a="1"/>
  <c r="DK281" i="9" s="1"/>
  <c r="CG281" i="9" s="1"/>
  <c r="DO281" i="9" a="1"/>
  <c r="DO281" i="9" s="1"/>
  <c r="DP281" i="9" s="1"/>
  <c r="DL281" i="9" s="1" a="1"/>
  <c r="DL281" i="9" s="1"/>
  <c r="DM281" i="9" a="1"/>
  <c r="DM281" i="9" s="1"/>
  <c r="DO53" i="9" a="1"/>
  <c r="DO53" i="9" s="1"/>
  <c r="DP53" i="9" s="1"/>
  <c r="DL53" i="9" s="1" a="1"/>
  <c r="DL53" i="9" s="1"/>
  <c r="DN53" i="9" a="1"/>
  <c r="DN53" i="9" s="1"/>
  <c r="DK53" i="9" a="1"/>
  <c r="DK53" i="9" s="1"/>
  <c r="CG53" i="9" s="1"/>
  <c r="DM53" i="9" a="1"/>
  <c r="DM53" i="9" s="1"/>
  <c r="DO503" i="9" a="1"/>
  <c r="DO503" i="9" s="1"/>
  <c r="DP503" i="9" s="1"/>
  <c r="DL503" i="9" s="1" a="1"/>
  <c r="DL503" i="9" s="1"/>
  <c r="DK503" i="9" a="1"/>
  <c r="DK503" i="9" s="1"/>
  <c r="CG503" i="9" s="1"/>
  <c r="DN503" i="9" a="1"/>
  <c r="DN503" i="9" s="1"/>
  <c r="DM503" i="9" a="1"/>
  <c r="DM503" i="9" s="1"/>
  <c r="GH283" i="9"/>
  <c r="GI283" i="9" s="1"/>
  <c r="BZ283" i="9" s="1"/>
  <c r="FT283" i="9" s="1"/>
  <c r="CA283" i="9" s="1"/>
  <c r="GW283" i="9"/>
  <c r="HF283" i="9" s="1"/>
  <c r="CD283" i="9" s="1"/>
  <c r="DK389" i="9" a="1"/>
  <c r="DK389" i="9" s="1"/>
  <c r="CG389" i="9" s="1"/>
  <c r="DO389" i="9" a="1"/>
  <c r="DO389" i="9" s="1"/>
  <c r="DP389" i="9" s="1"/>
  <c r="DL389" i="9" s="1" a="1"/>
  <c r="DL389" i="9" s="1"/>
  <c r="DN389" i="9" a="1"/>
  <c r="DN389" i="9" s="1"/>
  <c r="DM389" i="9" a="1"/>
  <c r="DM389" i="9" s="1"/>
  <c r="AD86" i="10"/>
  <c r="DD328" i="10" s="1"/>
  <c r="GH21" i="9"/>
  <c r="GI21" i="9" s="1"/>
  <c r="BZ21" i="9" s="1"/>
  <c r="FT21" i="9" s="1"/>
  <c r="CA21" i="9" s="1"/>
  <c r="GW21" i="9"/>
  <c r="HF21" i="9" s="1"/>
  <c r="CD21" i="9" s="1"/>
  <c r="GH273" i="9"/>
  <c r="GI273" i="9" s="1"/>
  <c r="GW273" i="9"/>
  <c r="HF273" i="9" s="1"/>
  <c r="DM413" i="9" a="1"/>
  <c r="DM413" i="9" s="1"/>
  <c r="DN413" i="9" a="1"/>
  <c r="DN413" i="9" s="1"/>
  <c r="DK413" i="9" a="1"/>
  <c r="DK413" i="9" s="1"/>
  <c r="CG413" i="9" s="1"/>
  <c r="DO413" i="9" a="1"/>
  <c r="DO413" i="9" s="1"/>
  <c r="DP413" i="9" s="1"/>
  <c r="DL413" i="9" s="1" a="1"/>
  <c r="DL413" i="9" s="1"/>
  <c r="DK509" i="9" a="1"/>
  <c r="DK509" i="9" s="1"/>
  <c r="CG509" i="9" s="1"/>
  <c r="DM509" i="9" a="1"/>
  <c r="DM509" i="9" s="1"/>
  <c r="DN509" i="9" a="1"/>
  <c r="DN509" i="9" s="1"/>
  <c r="DO509" i="9" a="1"/>
  <c r="DO509" i="9" s="1"/>
  <c r="DP509" i="9" s="1"/>
  <c r="DL509" i="9" s="1" a="1"/>
  <c r="DL509" i="9" s="1"/>
  <c r="GH264" i="9"/>
  <c r="GI264" i="9" s="1"/>
  <c r="BZ264" i="9" s="1"/>
  <c r="FT264" i="9" s="1"/>
  <c r="CA264" i="9" s="1"/>
  <c r="GW264" i="9"/>
  <c r="HF264" i="9" s="1"/>
  <c r="CD264" i="9" s="1"/>
  <c r="GH327" i="9"/>
  <c r="GI327" i="9" s="1"/>
  <c r="BZ327" i="9" s="1"/>
  <c r="FT327" i="9" s="1"/>
  <c r="CA327" i="9" s="1"/>
  <c r="GW327" i="9"/>
  <c r="HF327" i="9" s="1"/>
  <c r="CD327" i="9" s="1"/>
  <c r="DN284" i="9" a="1"/>
  <c r="DN284" i="9" s="1"/>
  <c r="DK284" i="9" a="1"/>
  <c r="DK284" i="9" s="1"/>
  <c r="CG284" i="9" s="1"/>
  <c r="DO139" i="9" a="1"/>
  <c r="DO139" i="9" s="1"/>
  <c r="DP139" i="9" s="1"/>
  <c r="DL139" i="9" s="1" a="1"/>
  <c r="DL139" i="9" s="1"/>
  <c r="DN139" i="9" a="1"/>
  <c r="DN139" i="9" s="1"/>
  <c r="DM139" i="9" a="1"/>
  <c r="DM139" i="9" s="1"/>
  <c r="DK139" i="9" a="1"/>
  <c r="DK139" i="9" s="1"/>
  <c r="CG139" i="9" s="1"/>
  <c r="GH460" i="9"/>
  <c r="GI460" i="9" s="1"/>
  <c r="GW460" i="9"/>
  <c r="HF460" i="9" s="1"/>
  <c r="GH64" i="9"/>
  <c r="GI64" i="9" s="1"/>
  <c r="BZ64" i="9" s="1"/>
  <c r="FT64" i="9" s="1"/>
  <c r="CA64" i="9" s="1"/>
  <c r="GW64" i="9"/>
  <c r="HF64" i="9" s="1"/>
  <c r="CD64" i="9" s="1"/>
  <c r="AL18" i="10"/>
  <c r="CR131" i="10" s="1"/>
  <c r="DN166" i="9" a="1"/>
  <c r="DN166" i="9" s="1"/>
  <c r="DO166" i="9" a="1"/>
  <c r="DO166" i="9" s="1"/>
  <c r="DP166" i="9" s="1"/>
  <c r="DL166" i="9" s="1" a="1"/>
  <c r="DL166" i="9" s="1"/>
  <c r="DK166" i="9" a="1"/>
  <c r="DK166" i="9" s="1"/>
  <c r="CG166" i="9" s="1"/>
  <c r="DM166" i="9" a="1"/>
  <c r="DM166" i="9" s="1"/>
  <c r="GH463" i="9"/>
  <c r="GI463" i="9" s="1"/>
  <c r="GW463" i="9"/>
  <c r="HF463" i="9" s="1"/>
  <c r="DN81" i="9" a="1"/>
  <c r="DN81" i="9" s="1"/>
  <c r="DM81" i="9" a="1"/>
  <c r="DM81" i="9" s="1"/>
  <c r="DK81" i="9" a="1"/>
  <c r="DK81" i="9" s="1"/>
  <c r="CG81" i="9" s="1"/>
  <c r="DO81" i="9" a="1"/>
  <c r="DO81" i="9" s="1"/>
  <c r="DP81" i="9" s="1"/>
  <c r="DL81" i="9" s="1" a="1"/>
  <c r="DL81" i="9" s="1"/>
  <c r="DN270" i="9" a="1"/>
  <c r="DN270" i="9" s="1"/>
  <c r="DO270" i="9" a="1"/>
  <c r="DO270" i="9" s="1"/>
  <c r="DP270" i="9" s="1"/>
  <c r="DL270" i="9" s="1" a="1"/>
  <c r="DL270" i="9" s="1"/>
  <c r="DM270" i="9" a="1"/>
  <c r="DM270" i="9" s="1"/>
  <c r="DK270" i="9" a="1"/>
  <c r="DK270" i="9" s="1"/>
  <c r="CG270" i="9" s="1"/>
  <c r="GH129" i="9"/>
  <c r="GI129" i="9" s="1"/>
  <c r="GW129" i="9"/>
  <c r="GH586" i="9"/>
  <c r="GI586" i="9" s="1"/>
  <c r="GW586" i="9"/>
  <c r="HF586" i="9" s="1"/>
  <c r="GW72" i="9"/>
  <c r="HF72" i="9" s="1"/>
  <c r="DK528" i="9" a="1"/>
  <c r="DK528" i="9" s="1"/>
  <c r="CG528" i="9" s="1"/>
  <c r="DN528" i="9" a="1"/>
  <c r="DN528" i="9" s="1"/>
  <c r="DK48" i="9" a="1"/>
  <c r="DK48" i="9" s="1"/>
  <c r="CG48" i="9" s="1"/>
  <c r="DO48" i="9" a="1"/>
  <c r="DO48" i="9" s="1"/>
  <c r="DP48" i="9" s="1"/>
  <c r="DL48" i="9" s="1" a="1"/>
  <c r="DL48" i="9" s="1"/>
  <c r="DM48" i="9" a="1"/>
  <c r="DM48" i="9" s="1"/>
  <c r="DN48" i="9" a="1"/>
  <c r="DN48" i="9" s="1"/>
  <c r="DK63" i="9" a="1"/>
  <c r="DK63" i="9" s="1"/>
  <c r="CG63" i="9" s="1"/>
  <c r="DN63" i="9" a="1"/>
  <c r="DN63" i="9" s="1"/>
  <c r="DO63" i="9" a="1"/>
  <c r="DO63" i="9" s="1"/>
  <c r="DP63" i="9" s="1"/>
  <c r="DL63" i="9" s="1" a="1"/>
  <c r="DL63" i="9" s="1"/>
  <c r="DM63" i="9" a="1"/>
  <c r="DM63" i="9" s="1"/>
  <c r="DO418" i="9" a="1"/>
  <c r="DO418" i="9" s="1"/>
  <c r="DP418" i="9" s="1"/>
  <c r="DL418" i="9" s="1" a="1"/>
  <c r="DL418" i="9" s="1"/>
  <c r="DN418" i="9" a="1"/>
  <c r="DN418" i="9" s="1"/>
  <c r="DM567" i="9" a="1"/>
  <c r="DM567" i="9" s="1"/>
  <c r="DO567" i="9" a="1"/>
  <c r="DO567" i="9" s="1"/>
  <c r="DP567" i="9" s="1"/>
  <c r="DL567" i="9" s="1" a="1"/>
  <c r="DL567" i="9" s="1"/>
  <c r="DK567" i="9" a="1"/>
  <c r="DK567" i="9" s="1"/>
  <c r="CG567" i="9" s="1"/>
  <c r="DN567" i="9" a="1"/>
  <c r="DN567" i="9" s="1"/>
  <c r="DK520" i="9" a="1"/>
  <c r="DK520" i="9" s="1"/>
  <c r="CG520" i="9" s="1"/>
  <c r="DO520" i="9" a="1"/>
  <c r="DO520" i="9" s="1"/>
  <c r="DP520" i="9" s="1"/>
  <c r="DL520" i="9" s="1" a="1"/>
  <c r="DL520" i="9" s="1"/>
  <c r="DN520" i="9" a="1"/>
  <c r="DN520" i="9" s="1"/>
  <c r="DM520" i="9" a="1"/>
  <c r="DM520" i="9" s="1"/>
  <c r="DD512" i="5"/>
  <c r="DK438" i="9" a="1"/>
  <c r="DK438" i="9" s="1"/>
  <c r="CG438" i="9" s="1"/>
  <c r="DM438" i="9" a="1"/>
  <c r="DM438" i="9" s="1"/>
  <c r="DO438" i="9" a="1"/>
  <c r="DO438" i="9" s="1"/>
  <c r="DP438" i="9" s="1"/>
  <c r="DL438" i="9" s="1" a="1"/>
  <c r="DL438" i="9" s="1"/>
  <c r="DN438" i="9" a="1"/>
  <c r="DN438" i="9" s="1"/>
  <c r="DM165" i="9" a="1"/>
  <c r="DM165" i="9" s="1"/>
  <c r="DK165" i="9" a="1"/>
  <c r="DK165" i="9" s="1"/>
  <c r="CG165" i="9" s="1"/>
  <c r="DO165" i="9" a="1"/>
  <c r="DO165" i="9" s="1"/>
  <c r="DP165" i="9" s="1"/>
  <c r="DL165" i="9" s="1" a="1"/>
  <c r="DL165" i="9" s="1"/>
  <c r="DN165" i="9" a="1"/>
  <c r="DN165" i="9" s="1"/>
  <c r="DN177" i="9" a="1"/>
  <c r="DN177" i="9" s="1"/>
  <c r="DM177" i="9" a="1"/>
  <c r="DM177" i="9" s="1"/>
  <c r="DO177" i="9" a="1"/>
  <c r="DO177" i="9" s="1"/>
  <c r="DP177" i="9" s="1"/>
  <c r="DL177" i="9" s="1" a="1"/>
  <c r="DL177" i="9" s="1"/>
  <c r="DK177" i="9" a="1"/>
  <c r="DK177" i="9" s="1"/>
  <c r="CG177" i="9" s="1"/>
  <c r="DN138" i="9" a="1"/>
  <c r="DN138" i="9" s="1"/>
  <c r="DK138" i="9" a="1"/>
  <c r="DK138" i="9" s="1"/>
  <c r="CG138" i="9" s="1"/>
  <c r="DO138" i="9" a="1"/>
  <c r="DO138" i="9" s="1"/>
  <c r="DP138" i="9" s="1"/>
  <c r="DL138" i="9" s="1" a="1"/>
  <c r="DL138" i="9" s="1"/>
  <c r="DM138" i="9" a="1"/>
  <c r="DM138" i="9" s="1"/>
  <c r="DM161" i="9" a="1"/>
  <c r="DM161" i="9" s="1"/>
  <c r="DN161" i="9" a="1"/>
  <c r="DN161" i="9" s="1"/>
  <c r="DO161" i="9" a="1"/>
  <c r="DO161" i="9" s="1"/>
  <c r="DP161" i="9" s="1"/>
  <c r="DL161" i="9" s="1" a="1"/>
  <c r="DL161" i="9" s="1"/>
  <c r="DK161" i="9" a="1"/>
  <c r="DK161" i="9" s="1"/>
  <c r="CG161" i="9" s="1"/>
  <c r="DN160" i="9" a="1"/>
  <c r="DN160" i="9" s="1"/>
  <c r="DM160" i="9" a="1"/>
  <c r="DM160" i="9" s="1"/>
  <c r="DO160" i="9" a="1"/>
  <c r="DO160" i="9" s="1"/>
  <c r="DP160" i="9" s="1"/>
  <c r="DL160" i="9" s="1" a="1"/>
  <c r="DL160" i="9" s="1"/>
  <c r="DK160" i="9" a="1"/>
  <c r="DK160" i="9" s="1"/>
  <c r="CG160" i="9" s="1"/>
  <c r="DO289" i="9" a="1"/>
  <c r="DO289" i="9" s="1"/>
  <c r="DP289" i="9" s="1"/>
  <c r="DL289" i="9" s="1" a="1"/>
  <c r="DL289" i="9" s="1"/>
  <c r="DM289" i="9" a="1"/>
  <c r="DM289" i="9" s="1"/>
  <c r="DK524" i="9" a="1"/>
  <c r="DK524" i="9" s="1"/>
  <c r="CG524" i="9" s="1"/>
  <c r="DM524" i="9" a="1"/>
  <c r="DM524" i="9" s="1"/>
  <c r="DN524" i="9" a="1"/>
  <c r="DN524" i="9" s="1"/>
  <c r="DO524" i="9" a="1"/>
  <c r="DO524" i="9" s="1"/>
  <c r="DP524" i="9" s="1"/>
  <c r="DL524" i="9" s="1" a="1"/>
  <c r="DL524" i="9" s="1"/>
  <c r="DN387" i="9" a="1"/>
  <c r="DN387" i="9" s="1"/>
  <c r="DM387" i="9" a="1"/>
  <c r="DM387" i="9" s="1"/>
  <c r="DO387" i="9" a="1"/>
  <c r="DO387" i="9" s="1"/>
  <c r="DP387" i="9" s="1"/>
  <c r="DL387" i="9" s="1" a="1"/>
  <c r="DL387" i="9" s="1"/>
  <c r="DK387" i="9" a="1"/>
  <c r="DK387" i="9" s="1"/>
  <c r="CG387" i="9" s="1"/>
  <c r="DK68" i="9" a="1"/>
  <c r="DK68" i="9" s="1"/>
  <c r="CG68" i="9" s="1"/>
  <c r="DN68" i="9" a="1"/>
  <c r="DN68" i="9" s="1"/>
  <c r="DM68" i="9" a="1"/>
  <c r="DM68" i="9" s="1"/>
  <c r="DO68" i="9" a="1"/>
  <c r="DO68" i="9" s="1"/>
  <c r="DP68" i="9" s="1"/>
  <c r="DL68" i="9" s="1" a="1"/>
  <c r="DL68" i="9" s="1"/>
  <c r="DO300" i="9" a="1"/>
  <c r="DO300" i="9" s="1"/>
  <c r="DP300" i="9" s="1"/>
  <c r="DL300" i="9" s="1" a="1"/>
  <c r="DL300" i="9" s="1"/>
  <c r="DK300" i="9" a="1"/>
  <c r="DK300" i="9" s="1"/>
  <c r="CG300" i="9" s="1"/>
  <c r="DN300" i="9" a="1"/>
  <c r="DN300" i="9" s="1"/>
  <c r="DN317" i="9" a="1"/>
  <c r="DN317" i="9" s="1"/>
  <c r="DO317" i="9" a="1"/>
  <c r="DO317" i="9" s="1"/>
  <c r="DP317" i="9" s="1"/>
  <c r="DL317" i="9" s="1" a="1"/>
  <c r="DL317" i="9" s="1"/>
  <c r="DK317" i="9" a="1"/>
  <c r="DK317" i="9" s="1"/>
  <c r="CG317" i="9" s="1"/>
  <c r="DM317" i="9" a="1"/>
  <c r="DM317" i="9" s="1"/>
  <c r="DK398" i="9" a="1"/>
  <c r="DK398" i="9" s="1"/>
  <c r="CG398" i="9" s="1"/>
  <c r="DN398" i="9" a="1"/>
  <c r="DN398" i="9" s="1"/>
  <c r="DM398" i="9" a="1"/>
  <c r="DM398" i="9" s="1"/>
  <c r="DO398" i="9" a="1"/>
  <c r="DO398" i="9" s="1"/>
  <c r="DP398" i="9" s="1"/>
  <c r="DL398" i="9" s="1" a="1"/>
  <c r="DL398" i="9" s="1"/>
  <c r="DO176" i="9" a="1"/>
  <c r="DO176" i="9" s="1"/>
  <c r="DP176" i="9" s="1"/>
  <c r="DL176" i="9" s="1" a="1"/>
  <c r="DL176" i="9" s="1"/>
  <c r="DM176" i="9" a="1"/>
  <c r="DM176" i="9" s="1"/>
  <c r="DN176" i="9" a="1"/>
  <c r="DN176" i="9" s="1"/>
  <c r="DK176" i="9" a="1"/>
  <c r="DK176" i="9" s="1"/>
  <c r="CG176" i="9" s="1"/>
  <c r="DN175" i="9" a="1"/>
  <c r="DN175" i="9" s="1"/>
  <c r="DO175" i="9" a="1"/>
  <c r="DO175" i="9" s="1"/>
  <c r="DP175" i="9" s="1"/>
  <c r="DL175" i="9" s="1" a="1"/>
  <c r="DL175" i="9" s="1"/>
  <c r="DK175" i="9" a="1"/>
  <c r="DK175" i="9" s="1"/>
  <c r="CG175" i="9" s="1"/>
  <c r="DM175" i="9" a="1"/>
  <c r="DM175" i="9" s="1"/>
  <c r="DO419" i="9" a="1"/>
  <c r="DO419" i="9" s="1"/>
  <c r="DP419" i="9" s="1"/>
  <c r="DL419" i="9" s="1" a="1"/>
  <c r="DL419" i="9" s="1"/>
  <c r="DM419" i="9" a="1"/>
  <c r="DM419" i="9" s="1"/>
  <c r="DK419" i="9" a="1"/>
  <c r="DK419" i="9" s="1"/>
  <c r="CG419" i="9" s="1"/>
  <c r="DN419" i="9" a="1"/>
  <c r="DN419" i="9" s="1"/>
  <c r="DK326" i="9" a="1"/>
  <c r="DK326" i="9" s="1"/>
  <c r="CG326" i="9" s="1"/>
  <c r="DM326" i="9" a="1"/>
  <c r="DM326" i="9" s="1"/>
  <c r="DO326" i="9" a="1"/>
  <c r="DO326" i="9" s="1"/>
  <c r="DP326" i="9" s="1"/>
  <c r="DL326" i="9" s="1" a="1"/>
  <c r="DL326" i="9" s="1"/>
  <c r="DN326" i="9" a="1"/>
  <c r="DN326" i="9" s="1"/>
  <c r="DN62" i="9" a="1"/>
  <c r="DN62" i="9" s="1"/>
  <c r="DO62" i="9" a="1"/>
  <c r="DO62" i="9" s="1"/>
  <c r="DP62" i="9" s="1"/>
  <c r="DL62" i="9" s="1" a="1"/>
  <c r="DL62" i="9" s="1"/>
  <c r="DK62" i="9" a="1"/>
  <c r="DK62" i="9" s="1"/>
  <c r="CG62" i="9" s="1"/>
  <c r="DM62" i="9" a="1"/>
  <c r="DM62" i="9" s="1"/>
  <c r="DN425" i="9" a="1"/>
  <c r="DN425" i="9" s="1"/>
  <c r="DM425" i="9" a="1"/>
  <c r="DM425" i="9" s="1"/>
  <c r="DK425" i="9" a="1"/>
  <c r="DK425" i="9" s="1"/>
  <c r="CG425" i="9" s="1"/>
  <c r="DO425" i="9" a="1"/>
  <c r="DO425" i="9" s="1"/>
  <c r="DP425" i="9" s="1"/>
  <c r="DL425" i="9" s="1" a="1"/>
  <c r="DL425" i="9" s="1"/>
  <c r="DK182" i="9" a="1"/>
  <c r="DK182" i="9" s="1"/>
  <c r="CG182" i="9" s="1"/>
  <c r="DM182" i="9" a="1"/>
  <c r="DM182" i="9" s="1"/>
  <c r="DO182" i="9" a="1"/>
  <c r="DO182" i="9" s="1"/>
  <c r="DP182" i="9" s="1"/>
  <c r="DL182" i="9" s="1" a="1"/>
  <c r="DL182" i="9" s="1"/>
  <c r="DN182" i="9" a="1"/>
  <c r="DN182" i="9" s="1"/>
  <c r="DN323" i="9" a="1"/>
  <c r="DN323" i="9" s="1"/>
  <c r="DO323" i="9" a="1"/>
  <c r="DO323" i="9" s="1"/>
  <c r="DP323" i="9" s="1"/>
  <c r="DL323" i="9" s="1" a="1"/>
  <c r="DL323" i="9" s="1"/>
  <c r="DK323" i="9" a="1"/>
  <c r="DK323" i="9" s="1"/>
  <c r="CG323" i="9" s="1"/>
  <c r="DM323" i="9" a="1"/>
  <c r="DM323" i="9" s="1"/>
  <c r="DM395" i="9" a="1"/>
  <c r="DM395" i="9" s="1"/>
  <c r="DN395" i="9" a="1"/>
  <c r="DN395" i="9" s="1"/>
  <c r="DO395" i="9" a="1"/>
  <c r="DO395" i="9" s="1"/>
  <c r="DP395" i="9" s="1"/>
  <c r="DL395" i="9" s="1" a="1"/>
  <c r="DL395" i="9" s="1"/>
  <c r="DK395" i="9" a="1"/>
  <c r="DK395" i="9" s="1"/>
  <c r="CG395" i="9" s="1"/>
  <c r="DN193" i="9" a="1"/>
  <c r="DN193" i="9" s="1"/>
  <c r="DM193" i="9" a="1"/>
  <c r="DM193" i="9" s="1"/>
  <c r="DO193" i="9" a="1"/>
  <c r="DO193" i="9" s="1"/>
  <c r="DP193" i="9" s="1"/>
  <c r="DL193" i="9" s="1" a="1"/>
  <c r="DL193" i="9" s="1"/>
  <c r="DK193" i="9" a="1"/>
  <c r="DK193" i="9" s="1"/>
  <c r="CG193" i="9" s="1"/>
  <c r="DO150" i="9" a="1"/>
  <c r="DO150" i="9" s="1"/>
  <c r="DP150" i="9" s="1"/>
  <c r="DL150" i="9" s="1" a="1"/>
  <c r="DL150" i="9" s="1"/>
  <c r="DN150" i="9" a="1"/>
  <c r="DN150" i="9" s="1"/>
  <c r="DN203" i="9" a="1"/>
  <c r="DN203" i="9" s="1"/>
  <c r="DO203" i="9" a="1"/>
  <c r="DO203" i="9" s="1"/>
  <c r="DP203" i="9" s="1"/>
  <c r="DL203" i="9" s="1" a="1"/>
  <c r="DL203" i="9" s="1"/>
  <c r="DM203" i="9" a="1"/>
  <c r="DM203" i="9" s="1"/>
  <c r="DK203" i="9" a="1"/>
  <c r="DK203" i="9" s="1"/>
  <c r="CG203" i="9" s="1"/>
  <c r="DN136" i="9" a="1"/>
  <c r="DN136" i="9" s="1"/>
  <c r="DK136" i="9" a="1"/>
  <c r="DK136" i="9" s="1"/>
  <c r="CG136" i="9" s="1"/>
  <c r="DO136" i="9" a="1"/>
  <c r="DO136" i="9" s="1"/>
  <c r="DP136" i="9" s="1"/>
  <c r="DL136" i="9" s="1" a="1"/>
  <c r="DL136" i="9" s="1"/>
  <c r="DM136" i="9" a="1"/>
  <c r="DM136" i="9" s="1"/>
  <c r="DK174" i="9" a="1"/>
  <c r="DK174" i="9" s="1"/>
  <c r="CG174" i="9" s="1"/>
  <c r="DO174" i="9" a="1"/>
  <c r="DO174" i="9" s="1"/>
  <c r="DP174" i="9" s="1"/>
  <c r="DL174" i="9" s="1" a="1"/>
  <c r="DL174" i="9" s="1"/>
  <c r="DN174" i="9" a="1"/>
  <c r="DN174" i="9" s="1"/>
  <c r="DM174" i="9" a="1"/>
  <c r="DM174" i="9" s="1"/>
  <c r="DM427" i="9" a="1"/>
  <c r="DM427" i="9" s="1"/>
  <c r="DN427" i="9" a="1"/>
  <c r="DN427" i="9" s="1"/>
  <c r="DO427" i="9" a="1"/>
  <c r="DO427" i="9" s="1"/>
  <c r="DP427" i="9" s="1"/>
  <c r="DL427" i="9" s="1" a="1"/>
  <c r="DL427" i="9" s="1"/>
  <c r="DK427" i="9" a="1"/>
  <c r="DK427" i="9" s="1"/>
  <c r="CG427" i="9" s="1"/>
  <c r="DM156" i="9" a="1"/>
  <c r="DM156" i="9" s="1"/>
  <c r="DN156" i="9" a="1"/>
  <c r="DN156" i="9" s="1"/>
  <c r="DK156" i="9" a="1"/>
  <c r="DK156" i="9" s="1"/>
  <c r="CG156" i="9" s="1"/>
  <c r="DO156" i="9" a="1"/>
  <c r="DO156" i="9" s="1"/>
  <c r="DP156" i="9" s="1"/>
  <c r="DL156" i="9" s="1" a="1"/>
  <c r="DL156" i="9" s="1"/>
  <c r="DK145" i="9" a="1"/>
  <c r="DK145" i="9" s="1"/>
  <c r="CG145" i="9" s="1"/>
  <c r="DN145" i="9" a="1"/>
  <c r="DN145" i="9" s="1"/>
  <c r="DO145" i="9" a="1"/>
  <c r="DO145" i="9" s="1"/>
  <c r="DP145" i="9" s="1"/>
  <c r="DL145" i="9" s="1" a="1"/>
  <c r="DL145" i="9" s="1"/>
  <c r="DM145" i="9" a="1"/>
  <c r="DM145" i="9" s="1"/>
  <c r="DN144" i="9" a="1"/>
  <c r="DN144" i="9" s="1"/>
  <c r="DN180" i="9" a="1"/>
  <c r="DN180" i="9" s="1"/>
  <c r="DO180" i="9" a="1"/>
  <c r="DO180" i="9" s="1"/>
  <c r="DP180" i="9" s="1"/>
  <c r="DL180" i="9" s="1" a="1"/>
  <c r="DL180" i="9" s="1"/>
  <c r="DM180" i="9" a="1"/>
  <c r="DM180" i="9" s="1"/>
  <c r="DK180" i="9" a="1"/>
  <c r="DK180" i="9" s="1"/>
  <c r="CG180" i="9" s="1"/>
  <c r="DK266" i="9" a="1"/>
  <c r="DK266" i="9" s="1"/>
  <c r="CG266" i="9" s="1"/>
  <c r="DO266" i="9" a="1"/>
  <c r="DO266" i="9" s="1"/>
  <c r="DP266" i="9" s="1"/>
  <c r="DL266" i="9" s="1" a="1"/>
  <c r="DL266" i="9" s="1"/>
  <c r="DM266" i="9" a="1"/>
  <c r="DM266" i="9" s="1"/>
  <c r="DN266" i="9" a="1"/>
  <c r="DN266" i="9" s="1"/>
  <c r="DN148" i="9" a="1"/>
  <c r="DN148" i="9" s="1"/>
  <c r="DO148" i="9" a="1"/>
  <c r="DO148" i="9" s="1"/>
  <c r="DP148" i="9" s="1"/>
  <c r="DL148" i="9" s="1" a="1"/>
  <c r="DL148" i="9" s="1"/>
  <c r="DK148" i="9" a="1"/>
  <c r="DK148" i="9" s="1"/>
  <c r="CG148" i="9" s="1"/>
  <c r="DM148" i="9" a="1"/>
  <c r="DM148" i="9" s="1"/>
  <c r="DO204" i="9" a="1"/>
  <c r="DO204" i="9" s="1"/>
  <c r="DP204" i="9" s="1"/>
  <c r="DL204" i="9" s="1" a="1"/>
  <c r="DL204" i="9" s="1"/>
  <c r="DM204" i="9" a="1"/>
  <c r="DM204" i="9" s="1"/>
  <c r="DK204" i="9" a="1"/>
  <c r="DK204" i="9" s="1"/>
  <c r="CG204" i="9" s="1"/>
  <c r="DN204" i="9" a="1"/>
  <c r="DN204" i="9" s="1"/>
  <c r="DK513" i="9" a="1"/>
  <c r="DK513" i="9" s="1"/>
  <c r="CG513" i="9" s="1"/>
  <c r="DN513" i="9" a="1"/>
  <c r="DN513" i="9" s="1"/>
  <c r="DO513" i="9" a="1"/>
  <c r="DO513" i="9" s="1"/>
  <c r="DP513" i="9" s="1"/>
  <c r="DL513" i="9" s="1" a="1"/>
  <c r="DL513" i="9" s="1"/>
  <c r="DM513" i="9" a="1"/>
  <c r="DM513" i="9" s="1"/>
  <c r="DM508" i="9" a="1"/>
  <c r="DM508" i="9" s="1"/>
  <c r="DO508" i="9" a="1"/>
  <c r="DO508" i="9" s="1"/>
  <c r="DP508" i="9" s="1"/>
  <c r="DL508" i="9" s="1" a="1"/>
  <c r="DL508" i="9" s="1"/>
  <c r="DN508" i="9" a="1"/>
  <c r="DN508" i="9" s="1"/>
  <c r="DK508" i="9" a="1"/>
  <c r="DK508" i="9" s="1"/>
  <c r="CG508" i="9" s="1"/>
  <c r="DM405" i="9" a="1"/>
  <c r="DM405" i="9" s="1"/>
  <c r="DK405" i="9" a="1"/>
  <c r="DK405" i="9" s="1"/>
  <c r="CG405" i="9" s="1"/>
  <c r="DO405" i="9" a="1"/>
  <c r="DO405" i="9" s="1"/>
  <c r="DP405" i="9" s="1"/>
  <c r="DL405" i="9" s="1" a="1"/>
  <c r="DL405" i="9" s="1"/>
  <c r="DM547" i="9" a="1"/>
  <c r="DM547" i="9" s="1"/>
  <c r="DK547" i="9" a="1"/>
  <c r="DK547" i="9" s="1"/>
  <c r="CG547" i="9" s="1"/>
  <c r="DO547" i="9" a="1"/>
  <c r="DO547" i="9" s="1"/>
  <c r="DP547" i="9" s="1"/>
  <c r="DL547" i="9" s="1" a="1"/>
  <c r="DL547" i="9" s="1"/>
  <c r="DN547" i="9" a="1"/>
  <c r="DN547" i="9" s="1"/>
  <c r="DO142" i="9" a="1"/>
  <c r="DO142" i="9" s="1"/>
  <c r="DP142" i="9" s="1"/>
  <c r="DL142" i="9" s="1" a="1"/>
  <c r="DL142" i="9" s="1"/>
  <c r="DN142" i="9" a="1"/>
  <c r="DN142" i="9" s="1"/>
  <c r="DK142" i="9" a="1"/>
  <c r="DK142" i="9" s="1"/>
  <c r="CG142" i="9" s="1"/>
  <c r="DM142" i="9" a="1"/>
  <c r="DM142" i="9" s="1"/>
  <c r="DO154" i="9" a="1"/>
  <c r="DO154" i="9" s="1"/>
  <c r="DP154" i="9" s="1"/>
  <c r="DL154" i="9" s="1" a="1"/>
  <c r="DL154" i="9" s="1"/>
  <c r="DN154" i="9" a="1"/>
  <c r="DN154" i="9" s="1"/>
  <c r="DM154" i="9" a="1"/>
  <c r="DM154" i="9" s="1"/>
  <c r="DK154" i="9" a="1"/>
  <c r="DK154" i="9" s="1"/>
  <c r="CG154" i="9" s="1"/>
  <c r="DM185" i="9" a="1"/>
  <c r="DM185" i="9" s="1"/>
  <c r="DO185" i="9" a="1"/>
  <c r="DO185" i="9" s="1"/>
  <c r="DP185" i="9" s="1"/>
  <c r="DL185" i="9" s="1" a="1"/>
  <c r="DL185" i="9" s="1"/>
  <c r="DN185" i="9" a="1"/>
  <c r="DN185" i="9" s="1"/>
  <c r="DK185" i="9" a="1"/>
  <c r="DK185" i="9" s="1"/>
  <c r="CG185" i="9" s="1"/>
  <c r="DO196" i="9" a="1"/>
  <c r="DO196" i="9" s="1"/>
  <c r="DP196" i="9" s="1"/>
  <c r="DL196" i="9" s="1" a="1"/>
  <c r="DL196" i="9" s="1"/>
  <c r="DM196" i="9" a="1"/>
  <c r="DM196" i="9" s="1"/>
  <c r="DK196" i="9" a="1"/>
  <c r="DK196" i="9" s="1"/>
  <c r="CG196" i="9" s="1"/>
  <c r="DN196" i="9" a="1"/>
  <c r="DN196" i="9" s="1"/>
  <c r="DM191" i="9" a="1"/>
  <c r="DM191" i="9" s="1"/>
  <c r="DK191" i="9" a="1"/>
  <c r="DK191" i="9" s="1"/>
  <c r="CG191" i="9" s="1"/>
  <c r="DN191" i="9" a="1"/>
  <c r="DN191" i="9" s="1"/>
  <c r="DO191" i="9" a="1"/>
  <c r="DO191" i="9" s="1"/>
  <c r="DP191" i="9" s="1"/>
  <c r="DL191" i="9" s="1" a="1"/>
  <c r="DL191" i="9" s="1"/>
  <c r="DO162" i="9" a="1"/>
  <c r="DO162" i="9" s="1"/>
  <c r="DP162" i="9" s="1"/>
  <c r="DL162" i="9" s="1" a="1"/>
  <c r="DL162" i="9" s="1"/>
  <c r="DK162" i="9" a="1"/>
  <c r="DK162" i="9" s="1"/>
  <c r="CG162" i="9" s="1"/>
  <c r="DM162" i="9" a="1"/>
  <c r="DM162" i="9" s="1"/>
  <c r="DN162" i="9" a="1"/>
  <c r="DN162" i="9" s="1"/>
  <c r="DN412" i="9" a="1"/>
  <c r="DN412" i="9" s="1"/>
  <c r="DK412" i="9" a="1"/>
  <c r="DK412" i="9" s="1"/>
  <c r="CG412" i="9" s="1"/>
  <c r="DM412" i="9" a="1"/>
  <c r="DM412" i="9" s="1"/>
  <c r="DO412" i="9" a="1"/>
  <c r="DO412" i="9" s="1"/>
  <c r="DP412" i="9" s="1"/>
  <c r="DL412" i="9" s="1" a="1"/>
  <c r="DL412" i="9" s="1"/>
  <c r="DK143" i="9" a="1"/>
  <c r="DK143" i="9" s="1"/>
  <c r="CG143" i="9" s="1"/>
  <c r="DN143" i="9" a="1"/>
  <c r="DN143" i="9" s="1"/>
  <c r="DO143" i="9" a="1"/>
  <c r="DO143" i="9" s="1"/>
  <c r="DP143" i="9" s="1"/>
  <c r="DL143" i="9" s="1" a="1"/>
  <c r="DL143" i="9" s="1"/>
  <c r="DM143" i="9" a="1"/>
  <c r="DM143" i="9" s="1"/>
  <c r="DN135" i="9" a="1"/>
  <c r="DN135" i="9" s="1"/>
  <c r="DK135" i="9" a="1"/>
  <c r="DK135" i="9" s="1"/>
  <c r="CG135" i="9" s="1"/>
  <c r="DM135" i="9" a="1"/>
  <c r="DM135" i="9" s="1"/>
  <c r="DO135" i="9" a="1"/>
  <c r="DO135" i="9" s="1"/>
  <c r="DP135" i="9" s="1"/>
  <c r="DL135" i="9" s="1" a="1"/>
  <c r="DL135" i="9" s="1"/>
  <c r="DK187" i="9" a="1"/>
  <c r="DK187" i="9" s="1"/>
  <c r="CG187" i="9" s="1"/>
  <c r="DN187" i="9" a="1"/>
  <c r="DN187" i="9" s="1"/>
  <c r="DM187" i="9" a="1"/>
  <c r="DM187" i="9" s="1"/>
  <c r="DO187" i="9" a="1"/>
  <c r="DO187" i="9" s="1"/>
  <c r="DP187" i="9" s="1"/>
  <c r="DL187" i="9" s="1" a="1"/>
  <c r="DL187" i="9" s="1"/>
  <c r="DM198" i="9" a="1"/>
  <c r="DM198" i="9" s="1"/>
  <c r="DN198" i="9" a="1"/>
  <c r="DN198" i="9" s="1"/>
  <c r="DO198" i="9" a="1"/>
  <c r="DO198" i="9" s="1"/>
  <c r="DP198" i="9" s="1"/>
  <c r="DL198" i="9" s="1" a="1"/>
  <c r="DL198" i="9" s="1"/>
  <c r="DK198" i="9" a="1"/>
  <c r="DK198" i="9" s="1"/>
  <c r="CG198" i="9" s="1"/>
  <c r="DN178" i="9" a="1"/>
  <c r="DN178" i="9" s="1"/>
  <c r="DM178" i="9" a="1"/>
  <c r="DM178" i="9" s="1"/>
  <c r="DO178" i="9" a="1"/>
  <c r="DO178" i="9" s="1"/>
  <c r="DP178" i="9" s="1"/>
  <c r="DL178" i="9" s="1" a="1"/>
  <c r="DL178" i="9" s="1"/>
  <c r="DK178" i="9" a="1"/>
  <c r="DK178" i="9" s="1"/>
  <c r="CG178" i="9" s="1"/>
  <c r="DO450" i="9" a="1"/>
  <c r="DO450" i="9" s="1"/>
  <c r="DP450" i="9" s="1"/>
  <c r="DL450" i="9" s="1" a="1"/>
  <c r="DL450" i="9" s="1"/>
  <c r="DK450" i="9" a="1"/>
  <c r="DK450" i="9" s="1"/>
  <c r="CG450" i="9" s="1"/>
  <c r="DM450" i="9" a="1"/>
  <c r="DM450" i="9" s="1"/>
  <c r="DN450" i="9" a="1"/>
  <c r="DN450" i="9" s="1"/>
  <c r="DN146" i="9" a="1"/>
  <c r="DN146" i="9" s="1"/>
  <c r="DK146" i="9" a="1"/>
  <c r="DK146" i="9" s="1"/>
  <c r="CG146" i="9" s="1"/>
  <c r="DM146" i="9" a="1"/>
  <c r="DM146" i="9" s="1"/>
  <c r="DO146" i="9" a="1"/>
  <c r="DO146" i="9" s="1"/>
  <c r="DP146" i="9" s="1"/>
  <c r="DL146" i="9" s="1" a="1"/>
  <c r="DL146" i="9" s="1"/>
  <c r="DM137" i="9" a="1"/>
  <c r="DM137" i="9" s="1"/>
  <c r="DO137" i="9" a="1"/>
  <c r="DO137" i="9" s="1"/>
  <c r="DP137" i="9" s="1"/>
  <c r="DL137" i="9" s="1" a="1"/>
  <c r="DL137" i="9" s="1"/>
  <c r="DK137" i="9" a="1"/>
  <c r="DK137" i="9" s="1"/>
  <c r="CG137" i="9" s="1"/>
  <c r="DN137" i="9" a="1"/>
  <c r="DN137" i="9" s="1"/>
  <c r="DO188" i="9" a="1"/>
  <c r="DO188" i="9" s="1"/>
  <c r="DP188" i="9" s="1"/>
  <c r="DL188" i="9" s="1" a="1"/>
  <c r="DL188" i="9" s="1"/>
  <c r="DN188" i="9" a="1"/>
  <c r="DN188" i="9" s="1"/>
  <c r="DK188" i="9" a="1"/>
  <c r="DK188" i="9" s="1"/>
  <c r="CG188" i="9" s="1"/>
  <c r="DM188" i="9" a="1"/>
  <c r="DM188" i="9" s="1"/>
  <c r="DN200" i="9" a="1"/>
  <c r="DN200" i="9" s="1"/>
  <c r="DO200" i="9" a="1"/>
  <c r="DO200" i="9" s="1"/>
  <c r="DP200" i="9" s="1"/>
  <c r="DL200" i="9" s="1" a="1"/>
  <c r="DL200" i="9" s="1"/>
  <c r="DK200" i="9" a="1"/>
  <c r="DK200" i="9" s="1"/>
  <c r="CG200" i="9" s="1"/>
  <c r="DM200" i="9" a="1"/>
  <c r="DM200" i="9" s="1"/>
  <c r="DN163" i="9" a="1"/>
  <c r="DN163" i="9" s="1"/>
  <c r="DO163" i="9" a="1"/>
  <c r="DO163" i="9" s="1"/>
  <c r="DP163" i="9" s="1"/>
  <c r="DL163" i="9" s="1" a="1"/>
  <c r="DL163" i="9" s="1"/>
  <c r="DK163" i="9" a="1"/>
  <c r="DK163" i="9" s="1"/>
  <c r="CG163" i="9" s="1"/>
  <c r="DM163" i="9" a="1"/>
  <c r="DM163" i="9" s="1"/>
  <c r="DN190" i="9" a="1"/>
  <c r="DN190" i="9" s="1"/>
  <c r="DO190" i="9" a="1"/>
  <c r="DO190" i="9" s="1"/>
  <c r="DP190" i="9" s="1"/>
  <c r="DL190" i="9" s="1" a="1"/>
  <c r="DL190" i="9" s="1"/>
  <c r="DM190" i="9" a="1"/>
  <c r="DM190" i="9" s="1"/>
  <c r="DK190" i="9" a="1"/>
  <c r="DK190" i="9" s="1"/>
  <c r="CG190" i="9" s="1"/>
  <c r="DM197" i="9" a="1"/>
  <c r="DM197" i="9" s="1"/>
  <c r="DK197" i="9" a="1"/>
  <c r="DK197" i="9" s="1"/>
  <c r="CG197" i="9" s="1"/>
  <c r="DO197" i="9" a="1"/>
  <c r="DO197" i="9" s="1"/>
  <c r="DP197" i="9" s="1"/>
  <c r="DL197" i="9" s="1" a="1"/>
  <c r="DL197" i="9" s="1"/>
  <c r="DN197" i="9" a="1"/>
  <c r="DN197" i="9" s="1"/>
  <c r="DN168" i="9" a="1"/>
  <c r="DN168" i="9" s="1"/>
  <c r="DK168" i="9" a="1"/>
  <c r="DK168" i="9" s="1"/>
  <c r="CG168" i="9" s="1"/>
  <c r="DM168" i="9" a="1"/>
  <c r="DM168" i="9" s="1"/>
  <c r="DO168" i="9" a="1"/>
  <c r="DO168" i="9" s="1"/>
  <c r="DP168" i="9" s="1"/>
  <c r="DL168" i="9" s="1" a="1"/>
  <c r="DL168" i="9" s="1"/>
  <c r="DK201" i="9" a="1"/>
  <c r="DK201" i="9" s="1"/>
  <c r="CG201" i="9" s="1"/>
  <c r="DN201" i="9" a="1"/>
  <c r="DN201" i="9" s="1"/>
  <c r="DO201" i="9" a="1"/>
  <c r="DO201" i="9" s="1"/>
  <c r="DP201" i="9" s="1"/>
  <c r="DL201" i="9" s="1" a="1"/>
  <c r="DL201" i="9" s="1"/>
  <c r="DM201" i="9" a="1"/>
  <c r="DM201" i="9" s="1"/>
  <c r="DO417" i="9" a="1"/>
  <c r="DO417" i="9" s="1"/>
  <c r="DP417" i="9" s="1"/>
  <c r="DL417" i="9" s="1" a="1"/>
  <c r="DL417" i="9" s="1"/>
  <c r="DM417" i="9" a="1"/>
  <c r="DM417" i="9" s="1"/>
  <c r="DN417" i="9" a="1"/>
  <c r="DN417" i="9" s="1"/>
  <c r="DK417" i="9" a="1"/>
  <c r="DK417" i="9" s="1"/>
  <c r="CG417" i="9" s="1"/>
  <c r="DN561" i="9" a="1"/>
  <c r="DN561" i="9" s="1"/>
  <c r="DM561" i="9" a="1"/>
  <c r="DM561" i="9" s="1"/>
  <c r="DK561" i="9" a="1"/>
  <c r="DK561" i="9" s="1"/>
  <c r="CG561" i="9" s="1"/>
  <c r="DO561" i="9" a="1"/>
  <c r="DO561" i="9" s="1"/>
  <c r="DP561" i="9" s="1"/>
  <c r="DL561" i="9" s="1" a="1"/>
  <c r="DL561" i="9" s="1"/>
  <c r="DO147" i="9" a="1"/>
  <c r="DO147" i="9" s="1"/>
  <c r="DP147" i="9" s="1"/>
  <c r="DL147" i="9" s="1" a="1"/>
  <c r="DL147" i="9" s="1"/>
  <c r="DM147" i="9" a="1"/>
  <c r="DM147" i="9" s="1"/>
  <c r="DK147" i="9" a="1"/>
  <c r="DK147" i="9" s="1"/>
  <c r="CG147" i="9" s="1"/>
  <c r="DN147" i="9" a="1"/>
  <c r="DN147" i="9" s="1"/>
  <c r="DK151" i="9" a="1"/>
  <c r="DK151" i="9" s="1"/>
  <c r="CG151" i="9" s="1"/>
  <c r="DO151" i="9" a="1"/>
  <c r="DO151" i="9" s="1"/>
  <c r="DP151" i="9" s="1"/>
  <c r="DL151" i="9" s="1" a="1"/>
  <c r="DL151" i="9" s="1"/>
  <c r="DM151" i="9" a="1"/>
  <c r="DM151" i="9" s="1"/>
  <c r="DN151" i="9" a="1"/>
  <c r="DN151" i="9" s="1"/>
  <c r="DK192" i="9" a="1"/>
  <c r="DK192" i="9" s="1"/>
  <c r="CG192" i="9" s="1"/>
  <c r="DN192" i="9" a="1"/>
  <c r="DN192" i="9" s="1"/>
  <c r="DM192" i="9" a="1"/>
  <c r="DM192" i="9" s="1"/>
  <c r="DO192" i="9" a="1"/>
  <c r="DO192" i="9" s="1"/>
  <c r="DP192" i="9" s="1"/>
  <c r="DL192" i="9" s="1" a="1"/>
  <c r="DL192" i="9" s="1"/>
  <c r="DM202" i="9" a="1"/>
  <c r="DM202" i="9" s="1"/>
  <c r="DO202" i="9" a="1"/>
  <c r="DO202" i="9" s="1"/>
  <c r="DP202" i="9" s="1"/>
  <c r="DL202" i="9" s="1" a="1"/>
  <c r="DL202" i="9" s="1"/>
  <c r="DN202" i="9" a="1"/>
  <c r="DN202" i="9" s="1"/>
  <c r="DK202" i="9" a="1"/>
  <c r="DK202" i="9" s="1"/>
  <c r="CG202" i="9" s="1"/>
  <c r="DM172" i="9" a="1"/>
  <c r="DM172" i="9" s="1"/>
  <c r="DO172" i="9" a="1"/>
  <c r="DO172" i="9" s="1"/>
  <c r="DP172" i="9" s="1"/>
  <c r="DL172" i="9" s="1" a="1"/>
  <c r="DL172" i="9" s="1"/>
  <c r="DK172" i="9" a="1"/>
  <c r="DK172" i="9" s="1"/>
  <c r="CG172" i="9" s="1"/>
  <c r="DN172" i="9" a="1"/>
  <c r="DN172" i="9" s="1"/>
  <c r="DN261" i="9" a="1"/>
  <c r="DN261" i="9" s="1"/>
  <c r="DK261" i="9" a="1"/>
  <c r="DK261" i="9" s="1"/>
  <c r="CG261" i="9" s="1"/>
  <c r="DM261" i="9" a="1"/>
  <c r="DM261" i="9" s="1"/>
  <c r="DO261" i="9" a="1"/>
  <c r="DO261" i="9" s="1"/>
  <c r="DP261" i="9" s="1"/>
  <c r="DL261" i="9" s="1" a="1"/>
  <c r="DL261" i="9" s="1"/>
  <c r="DM423" i="9" a="1"/>
  <c r="DM423" i="9" s="1"/>
  <c r="DO423" i="9" a="1"/>
  <c r="DO423" i="9" s="1"/>
  <c r="DP423" i="9" s="1"/>
  <c r="DL423" i="9" s="1" a="1"/>
  <c r="DL423" i="9" s="1"/>
  <c r="DK423" i="9" a="1"/>
  <c r="DK423" i="9" s="1"/>
  <c r="CG423" i="9" s="1"/>
  <c r="DN423" i="9" a="1"/>
  <c r="DN423" i="9" s="1"/>
  <c r="DN408" i="9" a="1"/>
  <c r="DN408" i="9" s="1"/>
  <c r="DO408" i="9" a="1"/>
  <c r="DO408" i="9" s="1"/>
  <c r="DP408" i="9" s="1"/>
  <c r="DL408" i="9" s="1" a="1"/>
  <c r="DL408" i="9" s="1"/>
  <c r="DM408" i="9" a="1"/>
  <c r="DM408" i="9" s="1"/>
  <c r="DK408" i="9" a="1"/>
  <c r="DK408" i="9" s="1"/>
  <c r="CG408" i="9" s="1"/>
  <c r="FZ15" i="9"/>
  <c r="GA15" i="9" s="1"/>
  <c r="GB15" i="9" s="1"/>
  <c r="GC15" i="9" s="1"/>
  <c r="GD15" i="9" s="1"/>
  <c r="GE15" i="9" s="1"/>
  <c r="GF15" i="9" s="1"/>
  <c r="GG15" i="9" s="1"/>
  <c r="GQ15" i="9"/>
  <c r="GR15" i="9" s="1"/>
  <c r="GS15" i="9" s="1"/>
  <c r="GT15" i="9" s="1"/>
  <c r="GU15" i="9" s="1"/>
  <c r="GV15" i="9" s="1"/>
  <c r="DK157" i="9" a="1"/>
  <c r="DK157" i="9" s="1"/>
  <c r="CG157" i="9" s="1"/>
  <c r="DN157" i="9" a="1"/>
  <c r="DN157" i="9" s="1"/>
  <c r="DM157" i="9" a="1"/>
  <c r="DM157" i="9" s="1"/>
  <c r="DO157" i="9" a="1"/>
  <c r="DO157" i="9" s="1"/>
  <c r="DP157" i="9" s="1"/>
  <c r="DL157" i="9" s="1" a="1"/>
  <c r="DL157" i="9" s="1"/>
  <c r="DK153" i="9" a="1"/>
  <c r="DK153" i="9" s="1"/>
  <c r="CG153" i="9" s="1"/>
  <c r="DN153" i="9" a="1"/>
  <c r="DN153" i="9" s="1"/>
  <c r="DO153" i="9" a="1"/>
  <c r="DO153" i="9" s="1"/>
  <c r="DP153" i="9" s="1"/>
  <c r="DL153" i="9" s="1" a="1"/>
  <c r="DL153" i="9" s="1"/>
  <c r="DM153" i="9" a="1"/>
  <c r="DM153" i="9" s="1"/>
  <c r="DN152" i="9" a="1"/>
  <c r="DN152" i="9" s="1"/>
  <c r="DM152" i="9" a="1"/>
  <c r="DM152" i="9" s="1"/>
  <c r="DK152" i="9" a="1"/>
  <c r="DK152" i="9" s="1"/>
  <c r="CG152" i="9" s="1"/>
  <c r="DO152" i="9" a="1"/>
  <c r="DO152" i="9" s="1"/>
  <c r="DP152" i="9" s="1"/>
  <c r="DL152" i="9" s="1" a="1"/>
  <c r="DL152" i="9" s="1"/>
  <c r="DM199" i="9" a="1"/>
  <c r="DM199" i="9" s="1"/>
  <c r="DK199" i="9" a="1"/>
  <c r="DK199" i="9" s="1"/>
  <c r="CG199" i="9" s="1"/>
  <c r="DN199" i="9" a="1"/>
  <c r="DN199" i="9" s="1"/>
  <c r="DO199" i="9" a="1"/>
  <c r="DO199" i="9" s="1"/>
  <c r="DP199" i="9" s="1"/>
  <c r="DL199" i="9" s="1" a="1"/>
  <c r="DL199" i="9" s="1"/>
  <c r="DM167" i="9" a="1"/>
  <c r="DM167" i="9" s="1"/>
  <c r="DK167" i="9" a="1"/>
  <c r="DK167" i="9" s="1"/>
  <c r="CG167" i="9" s="1"/>
  <c r="DO167" i="9" a="1"/>
  <c r="DO167" i="9" s="1"/>
  <c r="DP167" i="9" s="1"/>
  <c r="DL167" i="9" s="1" a="1"/>
  <c r="DL167" i="9" s="1"/>
  <c r="DN167" i="9" a="1"/>
  <c r="DN167" i="9" s="1"/>
  <c r="DN208" i="9" a="1"/>
  <c r="DN208" i="9" s="1"/>
  <c r="DM208" i="9" a="1"/>
  <c r="DM208" i="9" s="1"/>
  <c r="DO208" i="9" a="1"/>
  <c r="DO208" i="9" s="1"/>
  <c r="DP208" i="9" s="1"/>
  <c r="DL208" i="9" s="1" a="1"/>
  <c r="DL208" i="9" s="1"/>
  <c r="DK208" i="9" a="1"/>
  <c r="DK208" i="9" s="1"/>
  <c r="CG208" i="9" s="1"/>
  <c r="DO570" i="9" a="1"/>
  <c r="DO570" i="9" s="1"/>
  <c r="DP570" i="9" s="1"/>
  <c r="DL570" i="9" s="1" a="1"/>
  <c r="DL570" i="9" s="1"/>
  <c r="DM570" i="9" a="1"/>
  <c r="DM570" i="9" s="1"/>
  <c r="DN570" i="9" a="1"/>
  <c r="DN570" i="9" s="1"/>
  <c r="DK570" i="9" a="1"/>
  <c r="DK570" i="9" s="1"/>
  <c r="CG570" i="9" s="1"/>
  <c r="DD694" i="5"/>
  <c r="AB86" i="10"/>
  <c r="DD278" i="10" s="1"/>
  <c r="DO158" i="9" a="1"/>
  <c r="DO158" i="9" s="1"/>
  <c r="DP158" i="9" s="1"/>
  <c r="DL158" i="9" s="1" a="1"/>
  <c r="DL158" i="9" s="1"/>
  <c r="DK158" i="9" a="1"/>
  <c r="DK158" i="9" s="1"/>
  <c r="CG158" i="9" s="1"/>
  <c r="DM158" i="9" a="1"/>
  <c r="DM158" i="9" s="1"/>
  <c r="DN158" i="9" a="1"/>
  <c r="DN158" i="9" s="1"/>
  <c r="DK159" i="9" a="1"/>
  <c r="DK159" i="9" s="1"/>
  <c r="CG159" i="9" s="1"/>
  <c r="DO159" i="9" a="1"/>
  <c r="DO159" i="9" s="1"/>
  <c r="DP159" i="9" s="1"/>
  <c r="DL159" i="9" s="1" a="1"/>
  <c r="DL159" i="9" s="1"/>
  <c r="DN159" i="9" a="1"/>
  <c r="DN159" i="9" s="1"/>
  <c r="DM159" i="9" a="1"/>
  <c r="DM159" i="9" s="1"/>
  <c r="DO169" i="9" a="1"/>
  <c r="DO169" i="9" s="1"/>
  <c r="DP169" i="9" s="1"/>
  <c r="DL169" i="9" s="1" a="1"/>
  <c r="DL169" i="9" s="1"/>
  <c r="DK169" i="9" a="1"/>
  <c r="DK169" i="9" s="1"/>
  <c r="CG169" i="9" s="1"/>
  <c r="DN169" i="9" a="1"/>
  <c r="DN169" i="9" s="1"/>
  <c r="DM169" i="9" a="1"/>
  <c r="DM169" i="9" s="1"/>
  <c r="DN173" i="9" a="1"/>
  <c r="DN173" i="9" s="1"/>
  <c r="DO173" i="9" a="1"/>
  <c r="DO173" i="9" s="1"/>
  <c r="DP173" i="9" s="1"/>
  <c r="DL173" i="9" s="1" a="1"/>
  <c r="DL173" i="9" s="1"/>
  <c r="DM173" i="9" a="1"/>
  <c r="DM173" i="9" s="1"/>
  <c r="DK173" i="9" a="1"/>
  <c r="DK173" i="9" s="1"/>
  <c r="CG173" i="9" s="1"/>
  <c r="DO183" i="9" a="1"/>
  <c r="DO183" i="9" s="1"/>
  <c r="DP183" i="9" s="1"/>
  <c r="DL183" i="9" s="1" a="1"/>
  <c r="DL183" i="9" s="1"/>
  <c r="DM183" i="9" a="1"/>
  <c r="DM183" i="9" s="1"/>
  <c r="DN183" i="9" a="1"/>
  <c r="DN183" i="9" s="1"/>
  <c r="DK183" i="9" a="1"/>
  <c r="DK183" i="9" s="1"/>
  <c r="CG183" i="9" s="1"/>
  <c r="DM205" i="9" a="1"/>
  <c r="DM205" i="9" s="1"/>
  <c r="DO205" i="9" a="1"/>
  <c r="DO205" i="9" s="1"/>
  <c r="DP205" i="9" s="1"/>
  <c r="DL205" i="9" s="1" a="1"/>
  <c r="DL205" i="9" s="1"/>
  <c r="DK205" i="9" a="1"/>
  <c r="DK205" i="9" s="1"/>
  <c r="CG205" i="9" s="1"/>
  <c r="DN205" i="9" a="1"/>
  <c r="DN205" i="9" s="1"/>
  <c r="DK276" i="9" a="1"/>
  <c r="DK276" i="9" s="1"/>
  <c r="CG276" i="9" s="1"/>
  <c r="DN276" i="9" a="1"/>
  <c r="DN276" i="9" s="1"/>
  <c r="DM276" i="9" a="1"/>
  <c r="DM276" i="9" s="1"/>
  <c r="DO276" i="9" a="1"/>
  <c r="DO276" i="9" s="1"/>
  <c r="DP276" i="9" s="1"/>
  <c r="DL276" i="9" s="1" a="1"/>
  <c r="DL276" i="9" s="1"/>
  <c r="DO558" i="9" a="1"/>
  <c r="DO558" i="9" s="1"/>
  <c r="DP558" i="9" s="1"/>
  <c r="DL558" i="9" s="1" a="1"/>
  <c r="DL558" i="9" s="1"/>
  <c r="DM558" i="9" a="1"/>
  <c r="DM558" i="9" s="1"/>
  <c r="DN558" i="9" a="1"/>
  <c r="DN558" i="9" s="1"/>
  <c r="DK558" i="9" a="1"/>
  <c r="DK558" i="9" s="1"/>
  <c r="CG558" i="9" s="1"/>
  <c r="DK140" i="9" a="1"/>
  <c r="DK140" i="9" s="1"/>
  <c r="CG140" i="9" s="1"/>
  <c r="DM140" i="9" a="1"/>
  <c r="DM140" i="9" s="1"/>
  <c r="DN140" i="9" a="1"/>
  <c r="DN140" i="9" s="1"/>
  <c r="DO140" i="9" a="1"/>
  <c r="DO140" i="9" s="1"/>
  <c r="DP140" i="9" s="1"/>
  <c r="DL140" i="9" s="1" a="1"/>
  <c r="DL140" i="9" s="1"/>
  <c r="DM170" i="9" a="1"/>
  <c r="DM170" i="9" s="1"/>
  <c r="DN170" i="9" a="1"/>
  <c r="DN170" i="9" s="1"/>
  <c r="DO170" i="9" a="1"/>
  <c r="DO170" i="9" s="1"/>
  <c r="DP170" i="9" s="1"/>
  <c r="DL170" i="9" s="1" a="1"/>
  <c r="DL170" i="9" s="1"/>
  <c r="DK170" i="9" a="1"/>
  <c r="DK170" i="9" s="1"/>
  <c r="CG170" i="9" s="1"/>
  <c r="DM171" i="9" a="1"/>
  <c r="DM171" i="9" s="1"/>
  <c r="DK171" i="9" a="1"/>
  <c r="DK171" i="9" s="1"/>
  <c r="CG171" i="9" s="1"/>
  <c r="DN171" i="9" a="1"/>
  <c r="DN171" i="9" s="1"/>
  <c r="DO171" i="9" a="1"/>
  <c r="DO171" i="9" s="1"/>
  <c r="DP171" i="9" s="1"/>
  <c r="DL171" i="9" s="1" a="1"/>
  <c r="DL171" i="9" s="1"/>
  <c r="DK189" i="9" a="1"/>
  <c r="DK189" i="9" s="1"/>
  <c r="CG189" i="9" s="1"/>
  <c r="DN189" i="9" a="1"/>
  <c r="DN189" i="9" s="1"/>
  <c r="DM189" i="9" a="1"/>
  <c r="DM189" i="9" s="1"/>
  <c r="DO189" i="9" a="1"/>
  <c r="DO189" i="9" s="1"/>
  <c r="DP189" i="9" s="1"/>
  <c r="DL189" i="9" s="1" a="1"/>
  <c r="DL189" i="9" s="1"/>
  <c r="DM184" i="9" a="1"/>
  <c r="DM184" i="9" s="1"/>
  <c r="DN184" i="9" a="1"/>
  <c r="DN184" i="9" s="1"/>
  <c r="DO184" i="9" a="1"/>
  <c r="DO184" i="9" s="1"/>
  <c r="DP184" i="9" s="1"/>
  <c r="DL184" i="9" s="1" a="1"/>
  <c r="DL184" i="9" s="1"/>
  <c r="DK184" i="9" a="1"/>
  <c r="DK184" i="9" s="1"/>
  <c r="CG184" i="9" s="1"/>
  <c r="DN206" i="9" a="1"/>
  <c r="DN206" i="9" s="1"/>
  <c r="DM206" i="9" a="1"/>
  <c r="DM206" i="9" s="1"/>
  <c r="DK206" i="9" a="1"/>
  <c r="DK206" i="9" s="1"/>
  <c r="CG206" i="9" s="1"/>
  <c r="DO206" i="9" a="1"/>
  <c r="DO206" i="9" s="1"/>
  <c r="DP206" i="9" s="1"/>
  <c r="DL206" i="9" s="1" a="1"/>
  <c r="DL206" i="9" s="1"/>
  <c r="DM428" i="9" a="1"/>
  <c r="DM428" i="9" s="1"/>
  <c r="DO428" i="9" a="1"/>
  <c r="DO428" i="9" s="1"/>
  <c r="DP428" i="9" s="1"/>
  <c r="DL428" i="9" s="1" a="1"/>
  <c r="DL428" i="9" s="1"/>
  <c r="DK428" i="9" a="1"/>
  <c r="DK428" i="9" s="1"/>
  <c r="CG428" i="9" s="1"/>
  <c r="DN428" i="9" a="1"/>
  <c r="DN428" i="9" s="1"/>
  <c r="DD159" i="10"/>
  <c r="DD384" i="10" s="1"/>
  <c r="CW162" i="10"/>
  <c r="DD560" i="5"/>
  <c r="DD84" i="10"/>
  <c r="DD206" i="5"/>
  <c r="CS162" i="10"/>
  <c r="AM18" i="10"/>
  <c r="CW187" i="10"/>
  <c r="DD184" i="10"/>
  <c r="DD409" i="10" s="1"/>
  <c r="CW37" i="10"/>
  <c r="DD34" i="10"/>
  <c r="DD109" i="10"/>
  <c r="CW112" i="10"/>
  <c r="CW212" i="10"/>
  <c r="DD209" i="10"/>
  <c r="AB67" i="10"/>
  <c r="CS288" i="10"/>
  <c r="S67" i="10"/>
  <c r="AC67" i="10"/>
  <c r="AQ18" i="10"/>
  <c r="AF67" i="10"/>
  <c r="AH18" i="10"/>
  <c r="Y67" i="10"/>
  <c r="AE67" i="10"/>
  <c r="T67" i="10"/>
  <c r="U67" i="10"/>
  <c r="Z67" i="10"/>
  <c r="X67" i="10"/>
  <c r="V67" i="10"/>
  <c r="W67" i="10"/>
  <c r="AN18" i="10"/>
  <c r="CS188" i="10"/>
  <c r="AA67" i="10"/>
  <c r="CS12" i="10"/>
  <c r="AG18" i="10"/>
  <c r="CS88" i="10"/>
  <c r="AJ18" i="10"/>
  <c r="DD139" i="5"/>
  <c r="DD419" i="5"/>
  <c r="DD157" i="5"/>
  <c r="DD150" i="5"/>
  <c r="DD732" i="5"/>
  <c r="DD251" i="5"/>
  <c r="DD713" i="5"/>
  <c r="DD676" i="5"/>
  <c r="DD76" i="5"/>
  <c r="DD121" i="5"/>
  <c r="DD493" i="5"/>
  <c r="CW312" i="10"/>
  <c r="DD309" i="10"/>
  <c r="DD567" i="5"/>
  <c r="DD531" i="5"/>
  <c r="BM47" i="12" l="1"/>
  <c r="BM49" i="12" s="1"/>
  <c r="BM48" i="12"/>
  <c r="DP475" i="5"/>
  <c r="DP700" i="5"/>
  <c r="DP524" i="5"/>
  <c r="DP438" i="5"/>
  <c r="DP93" i="5"/>
  <c r="DR93" i="5" s="1"/>
  <c r="DP445" i="5"/>
  <c r="DP250" i="5"/>
  <c r="DP664" i="5"/>
  <c r="DP108" i="5"/>
  <c r="DP488" i="5"/>
  <c r="DR488" i="5" s="1"/>
  <c r="DP641" i="5"/>
  <c r="DP549" i="5"/>
  <c r="DP139" i="5"/>
  <c r="DP512" i="5"/>
  <c r="DP109" i="5"/>
  <c r="DP466" i="5"/>
  <c r="DR466" i="5" s="1"/>
  <c r="DP131" i="5"/>
  <c r="DP587" i="5"/>
  <c r="DP251" i="5"/>
  <c r="DR251" i="5" s="1"/>
  <c r="DP511" i="5"/>
  <c r="DP206" i="5"/>
  <c r="DR206" i="5" s="1"/>
  <c r="DP114" i="5"/>
  <c r="DP450" i="5"/>
  <c r="DP744" i="5"/>
  <c r="DR744" i="5" s="1"/>
  <c r="DP140" i="5"/>
  <c r="DP596" i="5"/>
  <c r="DP234" i="5"/>
  <c r="DP730" i="5"/>
  <c r="DP244" i="5"/>
  <c r="DP686" i="5"/>
  <c r="DP195" i="5"/>
  <c r="DP235" i="5"/>
  <c r="DR235" i="5" s="1"/>
  <c r="DP643" i="5"/>
  <c r="DP556" i="5"/>
  <c r="DP685" i="5"/>
  <c r="DR685" i="5" s="1"/>
  <c r="DP437" i="5"/>
  <c r="DP575" i="5"/>
  <c r="DR575" i="5" s="1"/>
  <c r="DP503" i="5"/>
  <c r="DR503" i="5" s="1"/>
  <c r="DP66" i="5"/>
  <c r="DP184" i="5"/>
  <c r="DR184" i="5" s="1"/>
  <c r="DP402" i="5"/>
  <c r="DP130" i="5"/>
  <c r="DR130" i="5" s="1"/>
  <c r="DP56" i="5"/>
  <c r="DR56" i="5" s="1"/>
  <c r="DP392" i="5"/>
  <c r="DR392" i="5" s="1"/>
  <c r="DP400" i="5"/>
  <c r="DP476" i="5"/>
  <c r="DP706" i="5"/>
  <c r="DP626" i="5"/>
  <c r="DR626" i="5" s="1"/>
  <c r="DP481" i="5"/>
  <c r="DP467" i="5"/>
  <c r="DP586" i="5"/>
  <c r="DP138" i="5"/>
  <c r="DP701" i="5"/>
  <c r="DP146" i="5"/>
  <c r="DP377" i="5"/>
  <c r="DR377" i="5" s="1"/>
  <c r="DP633" i="5"/>
  <c r="DP365" i="5"/>
  <c r="DP393" i="5"/>
  <c r="DP513" i="5"/>
  <c r="DP145" i="5"/>
  <c r="DP152" i="5"/>
  <c r="DR152" i="5" s="1"/>
  <c r="DP71" i="5"/>
  <c r="DP101" i="5"/>
  <c r="DP656" i="5"/>
  <c r="DP597" i="5"/>
  <c r="DR597" i="5" s="1"/>
  <c r="DP64" i="5"/>
  <c r="DP407" i="5"/>
  <c r="DP642" i="5"/>
  <c r="DR642" i="5" s="1"/>
  <c r="DP504" i="5"/>
  <c r="DP723" i="5"/>
  <c r="DP649" i="5"/>
  <c r="DP525" i="5"/>
  <c r="DR525" i="5" s="1"/>
  <c r="DP474" i="5"/>
  <c r="DP555" i="5"/>
  <c r="DP541" i="5"/>
  <c r="DP115" i="5"/>
  <c r="DR115" i="5" s="1"/>
  <c r="DP634" i="5"/>
  <c r="DP540" i="5"/>
  <c r="DR540" i="5" s="1"/>
  <c r="DP562" i="5"/>
  <c r="DR562" i="5" s="1"/>
  <c r="DP576" i="5"/>
  <c r="DP78" i="5"/>
  <c r="DR78" i="5" s="1"/>
  <c r="DP196" i="5"/>
  <c r="DP550" i="5"/>
  <c r="DP658" i="5"/>
  <c r="DP242" i="5"/>
  <c r="DP627" i="5"/>
  <c r="DP57" i="5"/>
  <c r="DP487" i="5"/>
  <c r="DP243" i="5"/>
  <c r="DP663" i="5"/>
  <c r="DP408" i="5"/>
  <c r="DP548" i="5"/>
  <c r="DP657" i="5"/>
  <c r="DP648" i="5"/>
  <c r="DR648" i="5" s="1"/>
  <c r="DP722" i="5"/>
  <c r="DR722" i="5" s="1"/>
  <c r="DP451" i="5"/>
  <c r="DR451" i="5" s="1"/>
  <c r="DP635" i="5"/>
  <c r="DP94" i="5"/>
  <c r="DP205" i="5"/>
  <c r="DP743" i="5"/>
  <c r="DP356" i="5"/>
  <c r="DP185" i="5"/>
  <c r="DP738" i="5"/>
  <c r="DP430" i="5"/>
  <c r="DP72" i="5"/>
  <c r="DP236" i="5"/>
  <c r="DP444" i="5"/>
  <c r="DP561" i="5"/>
  <c r="DP370" i="5"/>
  <c r="DP65" i="5"/>
  <c r="DP376" i="5"/>
  <c r="DP737" i="5"/>
  <c r="DP695" i="5"/>
  <c r="DP371" i="5"/>
  <c r="DP694" i="5"/>
  <c r="DP252" i="5"/>
  <c r="DP731" i="5"/>
  <c r="DP401" i="5"/>
  <c r="DP364" i="5"/>
  <c r="DP518" i="5"/>
  <c r="DP732" i="5"/>
  <c r="DP439" i="5"/>
  <c r="DP707" i="5"/>
  <c r="DR707" i="5" s="1"/>
  <c r="DP102" i="5"/>
  <c r="DP151" i="5"/>
  <c r="DP670" i="5"/>
  <c r="DR670" i="5" s="1"/>
  <c r="DP414" i="5"/>
  <c r="DR414" i="5" s="1"/>
  <c r="DP482" i="5"/>
  <c r="DP413" i="5"/>
  <c r="DP429" i="5"/>
  <c r="DR429" i="5" s="1"/>
  <c r="DP625" i="5"/>
  <c r="DP77" i="5"/>
  <c r="DP693" i="5"/>
  <c r="DP355" i="5"/>
  <c r="DR355" i="5" s="1"/>
  <c r="DP363" i="5"/>
  <c r="DP669" i="5"/>
  <c r="DP519" i="5"/>
  <c r="DP103" i="5"/>
  <c r="DO655" i="5"/>
  <c r="DO474" i="5"/>
  <c r="DO59" i="5"/>
  <c r="DO60" i="5"/>
  <c r="DO62" i="5"/>
  <c r="DO318" i="5"/>
  <c r="DO725" i="5"/>
  <c r="DO688" i="5"/>
  <c r="DO438" i="5"/>
  <c r="DR438" i="5" s="1"/>
  <c r="DO548" i="5"/>
  <c r="DO397" i="5"/>
  <c r="DR397" i="5" s="1"/>
  <c r="DO99" i="5"/>
  <c r="DO471" i="5"/>
  <c r="DR471" i="5" s="1"/>
  <c r="DO549" i="5"/>
  <c r="DR549" i="5" s="1"/>
  <c r="DO507" i="5"/>
  <c r="DO140" i="5"/>
  <c r="DO508" i="5"/>
  <c r="DR508" i="5" s="1"/>
  <c r="DO359" i="5"/>
  <c r="DO513" i="5"/>
  <c r="DO96" i="5"/>
  <c r="DO476" i="5"/>
  <c r="DO402" i="5"/>
  <c r="DO692" i="5"/>
  <c r="DO475" i="5"/>
  <c r="DR475" i="5" s="1"/>
  <c r="DO401" i="5"/>
  <c r="DO164" i="5"/>
  <c r="DR164" i="5" s="1"/>
  <c r="DO396" i="5"/>
  <c r="DO280" i="5"/>
  <c r="DO133" i="5"/>
  <c r="DO433" i="5"/>
  <c r="DO689" i="5"/>
  <c r="DO63" i="5"/>
  <c r="DO435" i="5"/>
  <c r="DO66" i="5"/>
  <c r="DO361" i="5"/>
  <c r="DO363" i="5"/>
  <c r="DO316" i="5"/>
  <c r="DR316" i="5" s="1"/>
  <c r="DO436" i="5"/>
  <c r="DO314" i="5"/>
  <c r="DO694" i="5"/>
  <c r="DO472" i="5"/>
  <c r="DO315" i="5"/>
  <c r="DO319" i="5"/>
  <c r="DO729" i="5"/>
  <c r="DO283" i="5"/>
  <c r="DO61" i="5"/>
  <c r="DR61" i="5" s="1"/>
  <c r="DO360" i="5"/>
  <c r="DR360" i="5" s="1"/>
  <c r="DO282" i="5"/>
  <c r="DR282" i="5" s="1"/>
  <c r="DO652" i="5"/>
  <c r="DO362" i="5"/>
  <c r="DO512" i="5"/>
  <c r="DO97" i="5"/>
  <c r="DO726" i="5"/>
  <c r="DO400" i="5"/>
  <c r="DO134" i="5"/>
  <c r="DO653" i="5"/>
  <c r="DR653" i="5" s="1"/>
  <c r="DO727" i="5"/>
  <c r="DR727" i="5" s="1"/>
  <c r="DO439" i="5"/>
  <c r="DO470" i="5"/>
  <c r="DO731" i="5"/>
  <c r="DO543" i="5"/>
  <c r="DO65" i="5"/>
  <c r="DO730" i="5"/>
  <c r="DO691" i="5"/>
  <c r="DO358" i="5"/>
  <c r="DO550" i="5"/>
  <c r="DO544" i="5"/>
  <c r="DO284" i="5"/>
  <c r="DO395" i="5"/>
  <c r="DO139" i="5"/>
  <c r="DO695" i="5"/>
  <c r="DO101" i="5"/>
  <c r="DO728" i="5"/>
  <c r="DO365" i="5"/>
  <c r="DO399" i="5"/>
  <c r="DO64" i="5"/>
  <c r="DO506" i="5"/>
  <c r="DO100" i="5"/>
  <c r="DO690" i="5"/>
  <c r="DR690" i="5" s="1"/>
  <c r="DO317" i="5"/>
  <c r="DO138" i="5"/>
  <c r="DO510" i="5"/>
  <c r="DO432" i="5"/>
  <c r="DO103" i="5"/>
  <c r="DO511" i="5"/>
  <c r="DO13" i="5"/>
  <c r="DO364" i="5"/>
  <c r="DO98" i="5"/>
  <c r="DR98" i="5" s="1"/>
  <c r="DO545" i="5"/>
  <c r="DR545" i="5" s="1"/>
  <c r="DO135" i="5"/>
  <c r="DR135" i="5" s="1"/>
  <c r="DO281" i="5"/>
  <c r="DO547" i="5"/>
  <c r="DO657" i="5"/>
  <c r="DO473" i="5"/>
  <c r="DO102" i="5"/>
  <c r="DR102" i="5" s="1"/>
  <c r="DO469" i="5"/>
  <c r="DO654" i="5"/>
  <c r="DO509" i="5"/>
  <c r="DO732" i="5"/>
  <c r="DO656" i="5"/>
  <c r="DO434" i="5"/>
  <c r="DR434" i="5" s="1"/>
  <c r="DO398" i="5"/>
  <c r="DO658" i="5"/>
  <c r="DO546" i="5"/>
  <c r="DO651" i="5"/>
  <c r="DO136" i="5"/>
  <c r="DO437" i="5"/>
  <c r="DO137" i="5"/>
  <c r="DO693" i="5"/>
  <c r="DO165" i="5"/>
  <c r="DO320" i="5"/>
  <c r="DO12" i="5"/>
  <c r="DR12" i="5" s="1"/>
  <c r="BS23" i="12"/>
  <c r="CJ23" i="12" s="1"/>
  <c r="CJ22" i="12"/>
  <c r="DF180" i="5"/>
  <c r="R13" i="21"/>
  <c r="X11" i="21"/>
  <c r="DO506" i="9" a="1"/>
  <c r="DO506" i="9" s="1"/>
  <c r="DP506" i="9" s="1"/>
  <c r="DL506" i="9" s="1" a="1"/>
  <c r="DL506" i="9" s="1"/>
  <c r="DM506" i="9" a="1"/>
  <c r="DM506" i="9" s="1"/>
  <c r="DN506" i="9" a="1"/>
  <c r="DN506" i="9" s="1"/>
  <c r="DK506" i="9" a="1"/>
  <c r="DK506" i="9" s="1"/>
  <c r="CG506" i="9" s="1"/>
  <c r="DK321" i="9" a="1"/>
  <c r="DK321" i="9" s="1"/>
  <c r="CG321" i="9" s="1"/>
  <c r="DO321" i="9" a="1"/>
  <c r="DO321" i="9" s="1"/>
  <c r="DP321" i="9" s="1"/>
  <c r="DL321" i="9" s="1" a="1"/>
  <c r="DL321" i="9" s="1"/>
  <c r="DN321" i="9" a="1"/>
  <c r="DN321" i="9" s="1"/>
  <c r="DM321" i="9" a="1"/>
  <c r="DM321" i="9" s="1"/>
  <c r="DM55" i="9" a="1"/>
  <c r="DM55" i="9" s="1"/>
  <c r="DN55" i="9" a="1"/>
  <c r="DN55" i="9" s="1"/>
  <c r="DO55" i="9" a="1"/>
  <c r="DO55" i="9" s="1"/>
  <c r="DP55" i="9" s="1"/>
  <c r="DL55" i="9" s="1" a="1"/>
  <c r="DL55" i="9" s="1"/>
  <c r="DK55" i="9" a="1"/>
  <c r="DK55" i="9" s="1"/>
  <c r="CG55" i="9" s="1"/>
  <c r="DN329" i="9" a="1"/>
  <c r="DN329" i="9" s="1"/>
  <c r="DM329" i="9" a="1"/>
  <c r="DM329" i="9" s="1"/>
  <c r="DK329" i="9" a="1"/>
  <c r="DK329" i="9" s="1"/>
  <c r="CG329" i="9" s="1"/>
  <c r="DO329" i="9" a="1"/>
  <c r="DO329" i="9" s="1"/>
  <c r="DP329" i="9" s="1"/>
  <c r="DL329" i="9" s="1" a="1"/>
  <c r="DL329" i="9" s="1"/>
  <c r="DN537" i="9" a="1"/>
  <c r="DN537" i="9" s="1"/>
  <c r="DM537" i="9" a="1"/>
  <c r="DM537" i="9" s="1"/>
  <c r="DK537" i="9" a="1"/>
  <c r="DK537" i="9" s="1"/>
  <c r="CG537" i="9" s="1"/>
  <c r="DO537" i="9" a="1"/>
  <c r="DO537" i="9" s="1"/>
  <c r="DP537" i="9" s="1"/>
  <c r="DL537" i="9" s="1" a="1"/>
  <c r="DL537" i="9" s="1"/>
  <c r="DO75" i="9" a="1"/>
  <c r="DO75" i="9" s="1"/>
  <c r="DP75" i="9" s="1"/>
  <c r="DL75" i="9" s="1" a="1"/>
  <c r="DL75" i="9" s="1"/>
  <c r="DM75" i="9" a="1"/>
  <c r="DM75" i="9" s="1"/>
  <c r="DK75" i="9" a="1"/>
  <c r="DK75" i="9" s="1"/>
  <c r="CG75" i="9" s="1"/>
  <c r="DN75" i="9" a="1"/>
  <c r="DN75" i="9" s="1"/>
  <c r="DM416" i="9" a="1"/>
  <c r="DM416" i="9" s="1"/>
  <c r="DK416" i="9" a="1"/>
  <c r="DK416" i="9" s="1"/>
  <c r="CG416" i="9" s="1"/>
  <c r="DN416" i="9" a="1"/>
  <c r="DN416" i="9" s="1"/>
  <c r="DO416" i="9" a="1"/>
  <c r="DO416" i="9" s="1"/>
  <c r="DP416" i="9" s="1"/>
  <c r="DL416" i="9" s="1" a="1"/>
  <c r="DL416" i="9" s="1"/>
  <c r="DM328" i="9" a="1"/>
  <c r="DM328" i="9" s="1"/>
  <c r="DN328" i="9" a="1"/>
  <c r="DN328" i="9" s="1"/>
  <c r="DK328" i="9" a="1"/>
  <c r="DK328" i="9" s="1"/>
  <c r="CG328" i="9" s="1"/>
  <c r="DO328" i="9" a="1"/>
  <c r="DO328" i="9" s="1"/>
  <c r="DP328" i="9" s="1"/>
  <c r="DL328" i="9" s="1" a="1"/>
  <c r="DL328" i="9" s="1"/>
  <c r="DK296" i="9" a="1"/>
  <c r="DK296" i="9" s="1"/>
  <c r="CG296" i="9" s="1"/>
  <c r="DO296" i="9" a="1"/>
  <c r="DO296" i="9" s="1"/>
  <c r="DP296" i="9" s="1"/>
  <c r="DL296" i="9" s="1" a="1"/>
  <c r="DL296" i="9" s="1"/>
  <c r="DM296" i="9" a="1"/>
  <c r="DM296" i="9" s="1"/>
  <c r="DN296" i="9" a="1"/>
  <c r="DN296" i="9" s="1"/>
  <c r="DM302" i="9" a="1"/>
  <c r="DM302" i="9" s="1"/>
  <c r="DK302" i="9" a="1"/>
  <c r="DK302" i="9" s="1"/>
  <c r="CG302" i="9" s="1"/>
  <c r="DO302" i="9" a="1"/>
  <c r="DO302" i="9" s="1"/>
  <c r="DP302" i="9" s="1"/>
  <c r="DL302" i="9" s="1" a="1"/>
  <c r="DL302" i="9" s="1"/>
  <c r="DN302" i="9" a="1"/>
  <c r="DN302" i="9" s="1"/>
  <c r="DN73" i="9" a="1"/>
  <c r="DN73" i="9" s="1"/>
  <c r="DM73" i="9" a="1"/>
  <c r="DM73" i="9" s="1"/>
  <c r="DO73" i="9" a="1"/>
  <c r="DO73" i="9" s="1"/>
  <c r="DP73" i="9" s="1"/>
  <c r="DL73" i="9" s="1" a="1"/>
  <c r="DL73" i="9" s="1"/>
  <c r="DK73" i="9" a="1"/>
  <c r="DK73" i="9" s="1"/>
  <c r="CG73" i="9" s="1"/>
  <c r="DN41" i="9" a="1"/>
  <c r="DN41" i="9" s="1"/>
  <c r="DM41" i="9" a="1"/>
  <c r="DM41" i="9" s="1"/>
  <c r="DO41" i="9" a="1"/>
  <c r="DO41" i="9" s="1"/>
  <c r="DP41" i="9" s="1"/>
  <c r="DL41" i="9" s="1" a="1"/>
  <c r="DL41" i="9" s="1"/>
  <c r="DK41" i="9" a="1"/>
  <c r="DK41" i="9" s="1"/>
  <c r="CG41" i="9" s="1"/>
  <c r="DN421" i="9" a="1"/>
  <c r="DN421" i="9" s="1"/>
  <c r="DO421" i="9" a="1"/>
  <c r="DO421" i="9" s="1"/>
  <c r="DP421" i="9" s="1"/>
  <c r="DL421" i="9" s="1" a="1"/>
  <c r="DL421" i="9" s="1"/>
  <c r="DM421" i="9" a="1"/>
  <c r="DM421" i="9" s="1"/>
  <c r="DK421" i="9" a="1"/>
  <c r="DK421" i="9" s="1"/>
  <c r="CG421" i="9" s="1"/>
  <c r="DK543" i="9" a="1"/>
  <c r="DK543" i="9" s="1"/>
  <c r="CG543" i="9" s="1"/>
  <c r="DN543" i="9" a="1"/>
  <c r="DN543" i="9" s="1"/>
  <c r="DO543" i="9" a="1"/>
  <c r="DO543" i="9" s="1"/>
  <c r="DP543" i="9" s="1"/>
  <c r="DL543" i="9" s="1" a="1"/>
  <c r="DL543" i="9" s="1"/>
  <c r="DM543" i="9" a="1"/>
  <c r="DM543" i="9" s="1"/>
  <c r="DN313" i="9" a="1"/>
  <c r="DN313" i="9" s="1"/>
  <c r="DM313" i="9" a="1"/>
  <c r="DM313" i="9" s="1"/>
  <c r="DO313" i="9" a="1"/>
  <c r="DO313" i="9" s="1"/>
  <c r="DP313" i="9" s="1"/>
  <c r="DL313" i="9" s="1" a="1"/>
  <c r="DL313" i="9" s="1"/>
  <c r="DK313" i="9" a="1"/>
  <c r="DK313" i="9" s="1"/>
  <c r="CG313" i="9" s="1"/>
  <c r="DO424" i="9" a="1"/>
  <c r="DO424" i="9" s="1"/>
  <c r="DP424" i="9" s="1"/>
  <c r="DL424" i="9" s="1" a="1"/>
  <c r="DL424" i="9" s="1"/>
  <c r="DK424" i="9" a="1"/>
  <c r="DK424" i="9" s="1"/>
  <c r="CG424" i="9" s="1"/>
  <c r="DM424" i="9" a="1"/>
  <c r="DM424" i="9" s="1"/>
  <c r="DN424" i="9" a="1"/>
  <c r="DN424" i="9" s="1"/>
  <c r="DK80" i="9" a="1"/>
  <c r="DK80" i="9" s="1"/>
  <c r="CG80" i="9" s="1"/>
  <c r="DN80" i="9" a="1"/>
  <c r="DN80" i="9" s="1"/>
  <c r="DO80" i="9" a="1"/>
  <c r="DO80" i="9" s="1"/>
  <c r="DP80" i="9" s="1"/>
  <c r="DL80" i="9" s="1" a="1"/>
  <c r="DL80" i="9" s="1"/>
  <c r="DM80" i="9" a="1"/>
  <c r="DM80" i="9" s="1"/>
  <c r="DN301" i="9" a="1"/>
  <c r="DN301" i="9" s="1"/>
  <c r="DM301" i="9" a="1"/>
  <c r="DM301" i="9" s="1"/>
  <c r="DO301" i="9" a="1"/>
  <c r="DO301" i="9" s="1"/>
  <c r="DP301" i="9" s="1"/>
  <c r="DL301" i="9" s="1" a="1"/>
  <c r="DL301" i="9" s="1"/>
  <c r="DK301" i="9" a="1"/>
  <c r="DK301" i="9" s="1"/>
  <c r="CG301" i="9" s="1"/>
  <c r="DK294" i="9" a="1"/>
  <c r="DK294" i="9" s="1"/>
  <c r="CG294" i="9" s="1"/>
  <c r="DM294" i="9" a="1"/>
  <c r="DM294" i="9" s="1"/>
  <c r="DO294" i="9" a="1"/>
  <c r="DO294" i="9" s="1"/>
  <c r="DP294" i="9" s="1"/>
  <c r="DL294" i="9" s="1" a="1"/>
  <c r="DL294" i="9" s="1"/>
  <c r="DN294" i="9" a="1"/>
  <c r="DN294" i="9" s="1"/>
  <c r="DN278" i="9" a="1"/>
  <c r="DN278" i="9" s="1"/>
  <c r="DO278" i="9" a="1"/>
  <c r="DO278" i="9" s="1"/>
  <c r="DP278" i="9" s="1"/>
  <c r="DL278" i="9" s="1" a="1"/>
  <c r="DL278" i="9" s="1"/>
  <c r="DM278" i="9" a="1"/>
  <c r="DM278" i="9" s="1"/>
  <c r="DK278" i="9" a="1"/>
  <c r="DK278" i="9" s="1"/>
  <c r="CG278" i="9" s="1"/>
  <c r="DM499" i="9" a="1"/>
  <c r="DM499" i="9" s="1"/>
  <c r="DN499" i="9" a="1"/>
  <c r="DN499" i="9" s="1"/>
  <c r="DO499" i="9" a="1"/>
  <c r="DO499" i="9" s="1"/>
  <c r="DP499" i="9" s="1"/>
  <c r="DL499" i="9" s="1" a="1"/>
  <c r="DL499" i="9" s="1"/>
  <c r="DK499" i="9" a="1"/>
  <c r="DK499" i="9" s="1"/>
  <c r="CG499" i="9" s="1"/>
  <c r="DN291" i="9" a="1"/>
  <c r="DN291" i="9" s="1"/>
  <c r="DK291" i="9" a="1"/>
  <c r="DK291" i="9" s="1"/>
  <c r="CG291" i="9" s="1"/>
  <c r="DM291" i="9" a="1"/>
  <c r="DM291" i="9" s="1"/>
  <c r="DO291" i="9" a="1"/>
  <c r="DO291" i="9" s="1"/>
  <c r="DP291" i="9" s="1"/>
  <c r="DL291" i="9" s="1" a="1"/>
  <c r="DL291" i="9" s="1"/>
  <c r="DK82" i="9" a="1"/>
  <c r="DK82" i="9" s="1"/>
  <c r="CG82" i="9" s="1"/>
  <c r="DM82" i="9" a="1"/>
  <c r="DM82" i="9" s="1"/>
  <c r="DO82" i="9" a="1"/>
  <c r="DO82" i="9" s="1"/>
  <c r="DP82" i="9" s="1"/>
  <c r="DL82" i="9" s="1" a="1"/>
  <c r="DL82" i="9" s="1"/>
  <c r="DN82" i="9" a="1"/>
  <c r="DN82" i="9" s="1"/>
  <c r="DO76" i="9" a="1"/>
  <c r="DO76" i="9" s="1"/>
  <c r="DP76" i="9" s="1"/>
  <c r="DL76" i="9" s="1" a="1"/>
  <c r="DL76" i="9" s="1"/>
  <c r="DK76" i="9" a="1"/>
  <c r="DK76" i="9" s="1"/>
  <c r="CG76" i="9" s="1"/>
  <c r="DN76" i="9" a="1"/>
  <c r="DN76" i="9" s="1"/>
  <c r="DM76" i="9" a="1"/>
  <c r="DM76" i="9" s="1"/>
  <c r="DN388" i="9" a="1"/>
  <c r="DN388" i="9" s="1"/>
  <c r="DO388" i="9" a="1"/>
  <c r="DO388" i="9" s="1"/>
  <c r="DP388" i="9" s="1"/>
  <c r="DL388" i="9" s="1" a="1"/>
  <c r="DL388" i="9" s="1"/>
  <c r="DM388" i="9" a="1"/>
  <c r="DM388" i="9" s="1"/>
  <c r="DK388" i="9" a="1"/>
  <c r="DK388" i="9" s="1"/>
  <c r="CG388" i="9" s="1"/>
  <c r="DK324" i="9" a="1"/>
  <c r="DK324" i="9" s="1"/>
  <c r="CG324" i="9" s="1"/>
  <c r="DN324" i="9" a="1"/>
  <c r="DN324" i="9" s="1"/>
  <c r="DM324" i="9" a="1"/>
  <c r="DM324" i="9" s="1"/>
  <c r="DO324" i="9" a="1"/>
  <c r="DO324" i="9" s="1"/>
  <c r="DP324" i="9" s="1"/>
  <c r="DL324" i="9" s="1" a="1"/>
  <c r="DL324" i="9" s="1"/>
  <c r="DM325" i="9" a="1"/>
  <c r="DM325" i="9" s="1"/>
  <c r="DN325" i="9" a="1"/>
  <c r="DN325" i="9" s="1"/>
  <c r="DK325" i="9" a="1"/>
  <c r="DK325" i="9" s="1"/>
  <c r="CG325" i="9" s="1"/>
  <c r="DO325" i="9" a="1"/>
  <c r="DO325" i="9" s="1"/>
  <c r="DP325" i="9" s="1"/>
  <c r="DL325" i="9" s="1" a="1"/>
  <c r="DL325" i="9" s="1"/>
  <c r="DO399" i="9" a="1"/>
  <c r="DO399" i="9" s="1"/>
  <c r="DP399" i="9" s="1"/>
  <c r="DL399" i="9" s="1" a="1"/>
  <c r="DL399" i="9" s="1"/>
  <c r="DK399" i="9" a="1"/>
  <c r="DK399" i="9" s="1"/>
  <c r="CG399" i="9" s="1"/>
  <c r="DN399" i="9" a="1"/>
  <c r="DN399" i="9" s="1"/>
  <c r="DM399" i="9" a="1"/>
  <c r="DM399" i="9" s="1"/>
  <c r="DO518" i="9" a="1"/>
  <c r="DO518" i="9" s="1"/>
  <c r="DP518" i="9" s="1"/>
  <c r="DL518" i="9" s="1" a="1"/>
  <c r="DL518" i="9" s="1"/>
  <c r="DK518" i="9" a="1"/>
  <c r="DK518" i="9" s="1"/>
  <c r="CG518" i="9" s="1"/>
  <c r="DN518" i="9" a="1"/>
  <c r="DN518" i="9" s="1"/>
  <c r="DM518" i="9" a="1"/>
  <c r="DM518" i="9" s="1"/>
  <c r="DK290" i="9" a="1"/>
  <c r="DK290" i="9" s="1"/>
  <c r="CG290" i="9" s="1"/>
  <c r="DN290" i="9" a="1"/>
  <c r="DN290" i="9" s="1"/>
  <c r="DM290" i="9" a="1"/>
  <c r="DM290" i="9" s="1"/>
  <c r="DO290" i="9" a="1"/>
  <c r="DO290" i="9" s="1"/>
  <c r="DP290" i="9" s="1"/>
  <c r="DL290" i="9" s="1" a="1"/>
  <c r="DL290" i="9" s="1"/>
  <c r="DN271" i="9" a="1"/>
  <c r="DN271" i="9" s="1"/>
  <c r="DK271" i="9" a="1"/>
  <c r="DK271" i="9" s="1"/>
  <c r="CG271" i="9" s="1"/>
  <c r="DO271" i="9" a="1"/>
  <c r="DO271" i="9" s="1"/>
  <c r="DP271" i="9" s="1"/>
  <c r="DL271" i="9" s="1" a="1"/>
  <c r="DL271" i="9" s="1"/>
  <c r="DM271" i="9" a="1"/>
  <c r="DM271" i="9" s="1"/>
  <c r="DM60" i="9" a="1"/>
  <c r="DM60" i="9" s="1"/>
  <c r="DN60" i="9" a="1"/>
  <c r="DN60" i="9" s="1"/>
  <c r="DK60" i="9" a="1"/>
  <c r="DK60" i="9" s="1"/>
  <c r="CG60" i="9" s="1"/>
  <c r="DO60" i="9" a="1"/>
  <c r="DO60" i="9" s="1"/>
  <c r="DP60" i="9" s="1"/>
  <c r="DL60" i="9" s="1" a="1"/>
  <c r="DL60" i="9" s="1"/>
  <c r="DK293" i="9" a="1"/>
  <c r="DK293" i="9" s="1"/>
  <c r="CG293" i="9" s="1"/>
  <c r="DO293" i="9" a="1"/>
  <c r="DO293" i="9" s="1"/>
  <c r="DP293" i="9" s="1"/>
  <c r="DL293" i="9" s="1" a="1"/>
  <c r="DL293" i="9" s="1"/>
  <c r="DN293" i="9" a="1"/>
  <c r="DN293" i="9" s="1"/>
  <c r="DM293" i="9" a="1"/>
  <c r="DM293" i="9" s="1"/>
  <c r="DN319" i="9" a="1"/>
  <c r="DN319" i="9" s="1"/>
  <c r="DM319" i="9" a="1"/>
  <c r="DM319" i="9" s="1"/>
  <c r="DK319" i="9" a="1"/>
  <c r="DK319" i="9" s="1"/>
  <c r="CG319" i="9" s="1"/>
  <c r="DO319" i="9" a="1"/>
  <c r="DO319" i="9" s="1"/>
  <c r="DP319" i="9" s="1"/>
  <c r="DL319" i="9" s="1" a="1"/>
  <c r="DL319" i="9" s="1"/>
  <c r="DN282" i="9" a="1"/>
  <c r="DN282" i="9" s="1"/>
  <c r="DO282" i="9" a="1"/>
  <c r="DO282" i="9" s="1"/>
  <c r="DP282" i="9" s="1"/>
  <c r="DL282" i="9" s="1" a="1"/>
  <c r="DL282" i="9" s="1"/>
  <c r="DM282" i="9" a="1"/>
  <c r="DM282" i="9" s="1"/>
  <c r="DK282" i="9" a="1"/>
  <c r="DK282" i="9" s="1"/>
  <c r="CG282" i="9" s="1"/>
  <c r="DN56" i="9" a="1"/>
  <c r="DN56" i="9" s="1"/>
  <c r="DM56" i="9" a="1"/>
  <c r="DM56" i="9" s="1"/>
  <c r="DO56" i="9" a="1"/>
  <c r="DO56" i="9" s="1"/>
  <c r="DP56" i="9" s="1"/>
  <c r="DL56" i="9" s="1" a="1"/>
  <c r="DL56" i="9" s="1"/>
  <c r="DK56" i="9" a="1"/>
  <c r="DK56" i="9" s="1"/>
  <c r="CG56" i="9" s="1"/>
  <c r="DM560" i="9" a="1"/>
  <c r="DM560" i="9" s="1"/>
  <c r="DN560" i="9" a="1"/>
  <c r="DN560" i="9" s="1"/>
  <c r="DK560" i="9" a="1"/>
  <c r="DK560" i="9" s="1"/>
  <c r="CG560" i="9" s="1"/>
  <c r="DO560" i="9" a="1"/>
  <c r="DO560" i="9" s="1"/>
  <c r="DP560" i="9" s="1"/>
  <c r="DL560" i="9" s="1" a="1"/>
  <c r="DL560" i="9" s="1"/>
  <c r="DN443" i="9" a="1"/>
  <c r="DN443" i="9" s="1"/>
  <c r="DO443" i="9" a="1"/>
  <c r="DO443" i="9" s="1"/>
  <c r="DP443" i="9" s="1"/>
  <c r="DL443" i="9" s="1" a="1"/>
  <c r="DL443" i="9" s="1"/>
  <c r="DK443" i="9" a="1"/>
  <c r="DK443" i="9" s="1"/>
  <c r="CG443" i="9" s="1"/>
  <c r="DM443" i="9" a="1"/>
  <c r="DM443" i="9" s="1"/>
  <c r="DN268" i="9" a="1"/>
  <c r="DN268" i="9" s="1"/>
  <c r="DO268" i="9" a="1"/>
  <c r="DO268" i="9" s="1"/>
  <c r="DP268" i="9" s="1"/>
  <c r="DL268" i="9" s="1" a="1"/>
  <c r="DL268" i="9" s="1"/>
  <c r="DK268" i="9" a="1"/>
  <c r="DK268" i="9" s="1"/>
  <c r="CG268" i="9" s="1"/>
  <c r="DM268" i="9" a="1"/>
  <c r="DM268" i="9" s="1"/>
  <c r="DM275" i="9" a="1"/>
  <c r="DM275" i="9" s="1"/>
  <c r="DK275" i="9" a="1"/>
  <c r="DK275" i="9" s="1"/>
  <c r="CG275" i="9" s="1"/>
  <c r="DN275" i="9" a="1"/>
  <c r="DN275" i="9" s="1"/>
  <c r="DO275" i="9" a="1"/>
  <c r="DO275" i="9" s="1"/>
  <c r="DP275" i="9" s="1"/>
  <c r="DL275" i="9" s="1" a="1"/>
  <c r="DL275" i="9" s="1"/>
  <c r="DO430" i="9" a="1"/>
  <c r="DO430" i="9" s="1"/>
  <c r="DP430" i="9" s="1"/>
  <c r="DL430" i="9" s="1" a="1"/>
  <c r="DL430" i="9" s="1"/>
  <c r="DN430" i="9" a="1"/>
  <c r="DN430" i="9" s="1"/>
  <c r="DM430" i="9" a="1"/>
  <c r="DM430" i="9" s="1"/>
  <c r="DK430" i="9" a="1"/>
  <c r="DK430" i="9" s="1"/>
  <c r="CG430" i="9" s="1"/>
  <c r="DK304" i="9" a="1"/>
  <c r="DK304" i="9" s="1"/>
  <c r="CG304" i="9" s="1"/>
  <c r="DO304" i="9" a="1"/>
  <c r="DO304" i="9" s="1"/>
  <c r="DP304" i="9" s="1"/>
  <c r="DL304" i="9" s="1" a="1"/>
  <c r="DL304" i="9" s="1"/>
  <c r="DN304" i="9" a="1"/>
  <c r="DN304" i="9" s="1"/>
  <c r="DM304" i="9" a="1"/>
  <c r="DM304" i="9" s="1"/>
  <c r="DN79" i="9" a="1"/>
  <c r="DN79" i="9" s="1"/>
  <c r="DK79" i="9" a="1"/>
  <c r="DK79" i="9" s="1"/>
  <c r="CG79" i="9" s="1"/>
  <c r="DM79" i="9" a="1"/>
  <c r="DM79" i="9" s="1"/>
  <c r="DO79" i="9" a="1"/>
  <c r="DO79" i="9" s="1"/>
  <c r="DP79" i="9" s="1"/>
  <c r="DL79" i="9" s="1" a="1"/>
  <c r="DL79" i="9" s="1"/>
  <c r="DO523" i="9" a="1"/>
  <c r="DO523" i="9" s="1"/>
  <c r="DP523" i="9" s="1"/>
  <c r="DL523" i="9" s="1" a="1"/>
  <c r="DL523" i="9" s="1"/>
  <c r="DN523" i="9" a="1"/>
  <c r="DN523" i="9" s="1"/>
  <c r="DM523" i="9" a="1"/>
  <c r="DM523" i="9" s="1"/>
  <c r="DK523" i="9" a="1"/>
  <c r="DK523" i="9" s="1"/>
  <c r="CG523" i="9" s="1"/>
  <c r="DK280" i="9" a="1"/>
  <c r="DK280" i="9" s="1"/>
  <c r="CG280" i="9" s="1"/>
  <c r="DM280" i="9" a="1"/>
  <c r="DM280" i="9" s="1"/>
  <c r="DN280" i="9" a="1"/>
  <c r="DN280" i="9" s="1"/>
  <c r="DO280" i="9" a="1"/>
  <c r="DO280" i="9" s="1"/>
  <c r="DP280" i="9" s="1"/>
  <c r="DL280" i="9" s="1" a="1"/>
  <c r="DL280" i="9" s="1"/>
  <c r="DO390" i="9" a="1"/>
  <c r="DO390" i="9" s="1"/>
  <c r="DP390" i="9" s="1"/>
  <c r="DL390" i="9" s="1" a="1"/>
  <c r="DL390" i="9" s="1"/>
  <c r="DN390" i="9" a="1"/>
  <c r="DN390" i="9" s="1"/>
  <c r="DM390" i="9" a="1"/>
  <c r="DM390" i="9" s="1"/>
  <c r="DK390" i="9" a="1"/>
  <c r="DK390" i="9" s="1"/>
  <c r="CG390" i="9" s="1"/>
  <c r="DN322" i="9" a="1"/>
  <c r="DN322" i="9" s="1"/>
  <c r="DK322" i="9" a="1"/>
  <c r="DK322" i="9" s="1"/>
  <c r="CG322" i="9" s="1"/>
  <c r="DO322" i="9" a="1"/>
  <c r="DO322" i="9" s="1"/>
  <c r="DP322" i="9" s="1"/>
  <c r="DL322" i="9" s="1" a="1"/>
  <c r="DL322" i="9" s="1"/>
  <c r="DM322" i="9" a="1"/>
  <c r="DM322" i="9" s="1"/>
  <c r="DM522" i="9" a="1"/>
  <c r="DM522" i="9" s="1"/>
  <c r="DO522" i="9" a="1"/>
  <c r="DO522" i="9" s="1"/>
  <c r="DP522" i="9" s="1"/>
  <c r="DL522" i="9" s="1" a="1"/>
  <c r="DL522" i="9" s="1"/>
  <c r="DK522" i="9" a="1"/>
  <c r="DK522" i="9" s="1"/>
  <c r="CG522" i="9" s="1"/>
  <c r="DN522" i="9" a="1"/>
  <c r="DN522" i="9" s="1"/>
  <c r="U86" i="10"/>
  <c r="CW56" i="10" s="1"/>
  <c r="DF567" i="5"/>
  <c r="DF177" i="5"/>
  <c r="DF632" i="5"/>
  <c r="DF121" i="5"/>
  <c r="DF189" i="5"/>
  <c r="DF76" i="5"/>
  <c r="DF150" i="5"/>
  <c r="DF25" i="5"/>
  <c r="DF157" i="5"/>
  <c r="DF560" i="5"/>
  <c r="DF676" i="5"/>
  <c r="DF206" i="5"/>
  <c r="DF631" i="5"/>
  <c r="DF335" i="5"/>
  <c r="DF240" i="5"/>
  <c r="DF340" i="5"/>
  <c r="DF580" i="5"/>
  <c r="DF339" i="5"/>
  <c r="DF332" i="5"/>
  <c r="DF337" i="5"/>
  <c r="DF531" i="5"/>
  <c r="DF713" i="5"/>
  <c r="DF334" i="5"/>
  <c r="DF331" i="5"/>
  <c r="DF241" i="5"/>
  <c r="DF629" i="5"/>
  <c r="CS536" i="5"/>
  <c r="CS340" i="5"/>
  <c r="CQ561" i="5"/>
  <c r="AX71" i="5"/>
  <c r="CR561" i="5" s="1"/>
  <c r="DF238" i="5"/>
  <c r="DF351" i="5"/>
  <c r="DF225" i="5"/>
  <c r="DF588" i="5"/>
  <c r="CS531" i="5"/>
  <c r="CS335" i="5"/>
  <c r="DF89" i="5"/>
  <c r="CQ448" i="5"/>
  <c r="AP70" i="5"/>
  <c r="CR448" i="5" s="1"/>
  <c r="BD55" i="5"/>
  <c r="DC724" i="5" a="1"/>
  <c r="DC724" i="5" s="1"/>
  <c r="DF724" i="5" s="1"/>
  <c r="DH724" i="5" s="1"/>
  <c r="DI724" i="5" s="1"/>
  <c r="W71" i="5"/>
  <c r="DC132" i="5" a="1"/>
  <c r="DC132" i="5" s="1"/>
  <c r="DF132" i="5" s="1"/>
  <c r="DH132" i="5" s="1"/>
  <c r="DI132" i="5" s="1"/>
  <c r="DC542" i="5" a="1"/>
  <c r="DC542" i="5" s="1"/>
  <c r="DF542" i="5" s="1"/>
  <c r="DH542" i="5" s="1"/>
  <c r="DI542" i="5" s="1"/>
  <c r="DC431" i="5" a="1"/>
  <c r="DC431" i="5" s="1"/>
  <c r="DF431" i="5" s="1"/>
  <c r="DH431" i="5" s="1"/>
  <c r="DI431" i="5" s="1"/>
  <c r="CS532" i="5"/>
  <c r="CS336" i="5"/>
  <c r="W69" i="5"/>
  <c r="DC11" i="5" a="1"/>
  <c r="DC11" i="5" s="1"/>
  <c r="DF11" i="5" s="1"/>
  <c r="DH11" i="5" s="1"/>
  <c r="DI11" i="5" s="1"/>
  <c r="DC163" i="5" a="1"/>
  <c r="DC163" i="5" s="1"/>
  <c r="DF163" i="5" s="1"/>
  <c r="DH163" i="5" s="1"/>
  <c r="DI163" i="5" s="1"/>
  <c r="CS533" i="5"/>
  <c r="CS337" i="5"/>
  <c r="BD56" i="5"/>
  <c r="CQ449" i="5"/>
  <c r="AP71" i="5"/>
  <c r="CR449" i="5" s="1"/>
  <c r="CQ518" i="5"/>
  <c r="AU70" i="5"/>
  <c r="CR518" i="5" s="1"/>
  <c r="DF628" i="5"/>
  <c r="DF462" i="5"/>
  <c r="DC583" i="5" a="1"/>
  <c r="DC583" i="5" s="1"/>
  <c r="DF583" i="5" s="1"/>
  <c r="DH583" i="5" s="1"/>
  <c r="DI583" i="5" s="1"/>
  <c r="DC192" i="5" a="1"/>
  <c r="DC192" i="5" s="1"/>
  <c r="DF192" i="5" s="1"/>
  <c r="DH192" i="5" s="1"/>
  <c r="DI192" i="5" s="1"/>
  <c r="W73" i="5"/>
  <c r="DF616" i="5"/>
  <c r="DF338" i="5"/>
  <c r="AM72" i="5"/>
  <c r="DD174" i="5" a="1"/>
  <c r="DD174" i="5" s="1"/>
  <c r="DD176" i="5" s="1"/>
  <c r="DD333" i="5" a="1"/>
  <c r="DD333" i="5" s="1"/>
  <c r="DF333" i="5" s="1"/>
  <c r="DD267" i="5" a="1"/>
  <c r="DD267" i="5" s="1"/>
  <c r="DD630" i="5" a="1"/>
  <c r="DD630" i="5" s="1"/>
  <c r="DD633" i="5" s="1"/>
  <c r="DD44" i="5" a="1"/>
  <c r="DD44" i="5" s="1"/>
  <c r="DD22" i="5" a="1"/>
  <c r="DD22" i="5" s="1"/>
  <c r="DD24" i="5" s="1"/>
  <c r="DD299" i="5" a="1"/>
  <c r="DD299" i="5" s="1"/>
  <c r="DD300" i="5" s="1"/>
  <c r="DD301" i="5" s="1"/>
  <c r="DD302" i="5" s="1"/>
  <c r="DD239" i="5" a="1"/>
  <c r="DD239" i="5" s="1"/>
  <c r="DD242" i="5" s="1"/>
  <c r="DD243" i="5" s="1"/>
  <c r="DD244" i="5" s="1"/>
  <c r="DF244" i="5" s="1"/>
  <c r="DF388" i="5"/>
  <c r="DF499" i="5"/>
  <c r="BC72" i="5"/>
  <c r="DE591" i="5" a="1"/>
  <c r="DE591" i="5" s="1"/>
  <c r="DF591" i="5" s="1"/>
  <c r="DE224" i="5" a="1"/>
  <c r="DE224" i="5" s="1"/>
  <c r="DF224" i="5" s="1"/>
  <c r="DE615" i="5" a="1"/>
  <c r="DE615" i="5" s="1"/>
  <c r="DF615" i="5" s="1"/>
  <c r="DE210" i="5" a="1"/>
  <c r="DE210" i="5" s="1"/>
  <c r="DE209" i="5" s="1"/>
  <c r="DF209" i="5" s="1"/>
  <c r="DE579" i="5" a="1"/>
  <c r="DE579" i="5" s="1"/>
  <c r="DF579" i="5" s="1"/>
  <c r="DE601" i="5" a="1"/>
  <c r="DE601" i="5" s="1"/>
  <c r="DE600" i="5" s="1"/>
  <c r="DF600" i="5" s="1"/>
  <c r="DE200" i="5" a="1"/>
  <c r="DE200" i="5" s="1"/>
  <c r="DF200" i="5" s="1"/>
  <c r="DE188" i="5" a="1"/>
  <c r="DE188" i="5" s="1"/>
  <c r="DF188" i="5" s="1"/>
  <c r="CS530" i="5"/>
  <c r="CS334" i="5"/>
  <c r="CQ519" i="5"/>
  <c r="AU71" i="5"/>
  <c r="CR519" i="5" s="1"/>
  <c r="DC58" i="5" a="1"/>
  <c r="DC58" i="5" s="1"/>
  <c r="DF58" i="5" s="1"/>
  <c r="DH58" i="5" s="1"/>
  <c r="DI58" i="5" s="1"/>
  <c r="DC650" i="5" a="1"/>
  <c r="DC650" i="5" s="1"/>
  <c r="DF650" i="5" s="1"/>
  <c r="DH650" i="5" s="1"/>
  <c r="DI650" i="5" s="1"/>
  <c r="W70" i="5"/>
  <c r="DC357" i="5" a="1"/>
  <c r="DC357" i="5" s="1"/>
  <c r="DF357" i="5" s="1"/>
  <c r="DH357" i="5" s="1"/>
  <c r="DI357" i="5" s="1"/>
  <c r="DC468" i="5" a="1"/>
  <c r="DC468" i="5" s="1"/>
  <c r="DF468" i="5" s="1"/>
  <c r="DH468" i="5" s="1"/>
  <c r="DI468" i="5" s="1"/>
  <c r="CQ164" i="5"/>
  <c r="R66" i="5"/>
  <c r="CR164" i="5" s="1"/>
  <c r="DF197" i="5"/>
  <c r="DC313" i="5" a="1"/>
  <c r="DC313" i="5" s="1"/>
  <c r="DF313" i="5" s="1"/>
  <c r="W67" i="5"/>
  <c r="DC285" i="5" a="1"/>
  <c r="DC285" i="5" s="1"/>
  <c r="DF285" i="5" s="1"/>
  <c r="DC287" i="5" a="1"/>
  <c r="DC287" i="5" s="1"/>
  <c r="DF287" i="5" s="1"/>
  <c r="DC286" i="5" a="1"/>
  <c r="DC286" i="5" s="1"/>
  <c r="DF286" i="5" s="1"/>
  <c r="CQ194" i="5"/>
  <c r="T68" i="5"/>
  <c r="CR194" i="5" s="1"/>
  <c r="DC288" i="5" a="1"/>
  <c r="DC288" i="5" s="1"/>
  <c r="DF288" i="5" s="1"/>
  <c r="DF336" i="5"/>
  <c r="DF681" i="5"/>
  <c r="CS529" i="5"/>
  <c r="CS333" i="5"/>
  <c r="DC31" i="5" a="1"/>
  <c r="DC31" i="5" s="1"/>
  <c r="DF31" i="5" s="1"/>
  <c r="DC30" i="5" a="1"/>
  <c r="DC30" i="5" s="1"/>
  <c r="DF30" i="5" s="1"/>
  <c r="DC253" i="5" a="1"/>
  <c r="DC253" i="5" s="1"/>
  <c r="DF253" i="5" s="1"/>
  <c r="DC254" i="5" a="1"/>
  <c r="DC254" i="5" s="1"/>
  <c r="DF254" i="5" s="1"/>
  <c r="CQ206" i="5"/>
  <c r="U66" i="5"/>
  <c r="CR206" i="5" s="1"/>
  <c r="AZ70" i="5"/>
  <c r="CR588" i="5" s="1"/>
  <c r="DE613" i="5" a="1"/>
  <c r="DE613" i="5" s="1"/>
  <c r="DF613" i="5" s="1"/>
  <c r="DE222" i="5" a="1"/>
  <c r="DE222" i="5" s="1"/>
  <c r="DF222" i="5" s="1"/>
  <c r="CQ588" i="5"/>
  <c r="DE578" i="5" a="1"/>
  <c r="DE578" i="5" s="1"/>
  <c r="DF578" i="5" s="1"/>
  <c r="DE187" i="5" a="1"/>
  <c r="DE187" i="5" s="1"/>
  <c r="DF187" i="5" s="1"/>
  <c r="DC257" i="5" a="1"/>
  <c r="DC257" i="5" s="1"/>
  <c r="DF257" i="5" s="1"/>
  <c r="T66" i="5"/>
  <c r="CR192" i="5" s="1"/>
  <c r="DC34" i="5" a="1"/>
  <c r="DC34" i="5" s="1"/>
  <c r="DF34" i="5" s="1"/>
  <c r="DC256" i="5" a="1"/>
  <c r="DC256" i="5" s="1"/>
  <c r="DF256" i="5" s="1"/>
  <c r="CQ192" i="5"/>
  <c r="DC33" i="5" a="1"/>
  <c r="DC33" i="5" s="1"/>
  <c r="DF33" i="5" s="1"/>
  <c r="CQ124" i="5"/>
  <c r="O68" i="5"/>
  <c r="CR124" i="5" s="1"/>
  <c r="DC289" i="5" a="1"/>
  <c r="DC289" i="5" s="1"/>
  <c r="DF289" i="5" s="1"/>
  <c r="DC292" i="5" a="1"/>
  <c r="DC292" i="5" s="1"/>
  <c r="DF292" i="5" s="1"/>
  <c r="DC290" i="5" a="1"/>
  <c r="DC290" i="5" s="1"/>
  <c r="DF290" i="5" s="1"/>
  <c r="X53" i="5"/>
  <c r="DC295" i="5" a="1"/>
  <c r="DC295" i="5" s="1"/>
  <c r="DF295" i="5" s="1"/>
  <c r="DC293" i="5" a="1"/>
  <c r="DC293" i="5" s="1"/>
  <c r="DF293" i="5" s="1"/>
  <c r="DC291" i="5" a="1"/>
  <c r="DC291" i="5" s="1"/>
  <c r="DF291" i="5" s="1"/>
  <c r="DC294" i="5" a="1"/>
  <c r="DC294" i="5" s="1"/>
  <c r="DF294" i="5" s="1"/>
  <c r="DC296" i="5" a="1"/>
  <c r="DC296" i="5" s="1"/>
  <c r="DF296" i="5" s="1"/>
  <c r="BU53" i="5"/>
  <c r="AX70" i="5"/>
  <c r="CR560" i="5" s="1"/>
  <c r="CQ560" i="5"/>
  <c r="DC265" i="5" a="1"/>
  <c r="DC265" i="5" s="1"/>
  <c r="Q66" i="5"/>
  <c r="CR150" i="5" s="1"/>
  <c r="DC43" i="5" a="1"/>
  <c r="DC43" i="5" s="1"/>
  <c r="DC45" i="5" a="1"/>
  <c r="DC45" i="5" s="1"/>
  <c r="DF45" i="5" s="1"/>
  <c r="DC266" i="5" a="1"/>
  <c r="DC266" i="5" s="1"/>
  <c r="DC42" i="5" a="1"/>
  <c r="DC42" i="5" s="1"/>
  <c r="DC268" i="5" a="1"/>
  <c r="DC268" i="5" s="1"/>
  <c r="DF268" i="5" s="1"/>
  <c r="DC267" i="5" a="1"/>
  <c r="DC267" i="5" s="1"/>
  <c r="DC46" i="5" a="1"/>
  <c r="DC46" i="5" s="1"/>
  <c r="DF46" i="5" s="1"/>
  <c r="DC269" i="5" a="1"/>
  <c r="DC269" i="5" s="1"/>
  <c r="DF269" i="5" s="1"/>
  <c r="DC44" i="5" a="1"/>
  <c r="DC44" i="5" s="1"/>
  <c r="CQ150" i="5"/>
  <c r="DF732" i="5"/>
  <c r="DC258" i="5" a="1"/>
  <c r="DC258" i="5" s="1"/>
  <c r="DF258" i="5" s="1"/>
  <c r="DC36" i="5" a="1"/>
  <c r="DC36" i="5" s="1"/>
  <c r="DF36" i="5" s="1"/>
  <c r="DC259" i="5" a="1"/>
  <c r="DC259" i="5" s="1"/>
  <c r="DF259" i="5" s="1"/>
  <c r="DC35" i="5" a="1"/>
  <c r="DC35" i="5" s="1"/>
  <c r="DF35" i="5" s="1"/>
  <c r="CQ178" i="5"/>
  <c r="S66" i="5"/>
  <c r="CR178" i="5" s="1"/>
  <c r="CQ532" i="5"/>
  <c r="AV70" i="5"/>
  <c r="CR532" i="5" s="1"/>
  <c r="BU52" i="5"/>
  <c r="CS538" i="5"/>
  <c r="CS342" i="5"/>
  <c r="R68" i="5"/>
  <c r="CR166" i="5" s="1"/>
  <c r="CQ166" i="5"/>
  <c r="DC280" i="5" a="1"/>
  <c r="DC280" i="5" s="1"/>
  <c r="DF280" i="5" s="1"/>
  <c r="DC283" i="5" a="1"/>
  <c r="DC283" i="5" s="1"/>
  <c r="DF283" i="5" s="1"/>
  <c r="DC281" i="5" a="1"/>
  <c r="DC281" i="5" s="1"/>
  <c r="DF281" i="5" s="1"/>
  <c r="DC282" i="5" a="1"/>
  <c r="DC282" i="5" s="1"/>
  <c r="DF282" i="5" s="1"/>
  <c r="DC284" i="5" a="1"/>
  <c r="DC284" i="5" s="1"/>
  <c r="DF284" i="5" s="1"/>
  <c r="DF237" i="5"/>
  <c r="CQ546" i="5"/>
  <c r="AW70" i="5"/>
  <c r="CR546" i="5" s="1"/>
  <c r="DE619" i="5" a="1"/>
  <c r="DE619" i="5" s="1"/>
  <c r="DF619" i="5" s="1"/>
  <c r="AZ71" i="5"/>
  <c r="CR589" i="5" s="1"/>
  <c r="DE191" i="5" a="1"/>
  <c r="DE191" i="5" s="1"/>
  <c r="DF191" i="5" s="1"/>
  <c r="DE228" i="5" a="1"/>
  <c r="DE228" i="5" s="1"/>
  <c r="DF228" i="5" s="1"/>
  <c r="CQ589" i="5"/>
  <c r="DE582" i="5" a="1"/>
  <c r="DE582" i="5" s="1"/>
  <c r="DF582" i="5" s="1"/>
  <c r="DF52" i="5"/>
  <c r="DF644" i="5"/>
  <c r="DC39" i="5" a="1"/>
  <c r="DC39" i="5" s="1"/>
  <c r="DF39" i="5" s="1"/>
  <c r="DC264" i="5" a="1"/>
  <c r="DC264" i="5" s="1"/>
  <c r="DF264" i="5" s="1"/>
  <c r="DC263" i="5" a="1"/>
  <c r="DC263" i="5" s="1"/>
  <c r="DF263" i="5" s="1"/>
  <c r="DC260" i="5" a="1"/>
  <c r="DC260" i="5" s="1"/>
  <c r="DF260" i="5" s="1"/>
  <c r="DC37" i="5" a="1"/>
  <c r="DC37" i="5" s="1"/>
  <c r="DF37" i="5" s="1"/>
  <c r="DC38" i="5" a="1"/>
  <c r="DC38" i="5" s="1"/>
  <c r="DF38" i="5" s="1"/>
  <c r="DC261" i="5" a="1"/>
  <c r="DC261" i="5" s="1"/>
  <c r="DF261" i="5" s="1"/>
  <c r="DC40" i="5" a="1"/>
  <c r="DC40" i="5" s="1"/>
  <c r="DF40" i="5" s="1"/>
  <c r="CQ122" i="5"/>
  <c r="X51" i="5"/>
  <c r="BU51" i="5" s="1"/>
  <c r="O66" i="5"/>
  <c r="CR122" i="5" s="1"/>
  <c r="DC262" i="5" a="1"/>
  <c r="DC262" i="5" s="1"/>
  <c r="DF262" i="5" s="1"/>
  <c r="DC41" i="5" a="1"/>
  <c r="DC41" i="5" s="1"/>
  <c r="DF41" i="5" s="1"/>
  <c r="Q68" i="5"/>
  <c r="CR152" i="5" s="1"/>
  <c r="DC297" i="5" a="1"/>
  <c r="DC297" i="5" s="1"/>
  <c r="DF297" i="5" s="1"/>
  <c r="DC300" i="5" a="1"/>
  <c r="DC300" i="5" s="1"/>
  <c r="DC304" i="5" a="1"/>
  <c r="DC304" i="5" s="1"/>
  <c r="DF304" i="5" s="1"/>
  <c r="CQ152" i="5"/>
  <c r="DC303" i="5" a="1"/>
  <c r="DC303" i="5" s="1"/>
  <c r="DF303" i="5" s="1"/>
  <c r="DC298" i="5" a="1"/>
  <c r="DC298" i="5" s="1"/>
  <c r="DF298" i="5" s="1"/>
  <c r="DC299" i="5" a="1"/>
  <c r="DC299" i="5" s="1"/>
  <c r="DC301" i="5" a="1"/>
  <c r="DC301" i="5" s="1"/>
  <c r="DC302" i="5" a="1"/>
  <c r="DC302" i="5" s="1"/>
  <c r="CS534" i="5"/>
  <c r="CS338" i="5"/>
  <c r="CS527" i="5"/>
  <c r="CS331" i="5"/>
  <c r="W72" i="5"/>
  <c r="DC687" i="5" a="1"/>
  <c r="DC687" i="5" s="1"/>
  <c r="DF687" i="5" s="1"/>
  <c r="DH687" i="5" s="1"/>
  <c r="DI687" i="5" s="1"/>
  <c r="DC505" i="5" a="1"/>
  <c r="DC505" i="5" s="1"/>
  <c r="DF505" i="5" s="1"/>
  <c r="DH505" i="5" s="1"/>
  <c r="DI505" i="5" s="1"/>
  <c r="DC394" i="5" a="1"/>
  <c r="DC394" i="5" s="1"/>
  <c r="DF394" i="5" s="1"/>
  <c r="DH394" i="5" s="1"/>
  <c r="DI394" i="5" s="1"/>
  <c r="DC95" i="5" a="1"/>
  <c r="DC95" i="5" s="1"/>
  <c r="DF95" i="5" s="1"/>
  <c r="DH95" i="5" s="1"/>
  <c r="DI95" i="5" s="1"/>
  <c r="CS528" i="5"/>
  <c r="CS332" i="5"/>
  <c r="AV71" i="5"/>
  <c r="CR533" i="5" s="1"/>
  <c r="CQ533" i="5"/>
  <c r="CS537" i="5"/>
  <c r="CS341" i="5"/>
  <c r="BW57" i="5"/>
  <c r="CQ547" i="5"/>
  <c r="AW71" i="5"/>
  <c r="CR547" i="5" s="1"/>
  <c r="DC271" i="5" a="1"/>
  <c r="DC271" i="5" s="1"/>
  <c r="DF271" i="5" s="1"/>
  <c r="DC47" i="5" a="1"/>
  <c r="DC47" i="5" s="1"/>
  <c r="DF47" i="5" s="1"/>
  <c r="DC49" i="5" a="1"/>
  <c r="DC49" i="5" s="1"/>
  <c r="DF49" i="5" s="1"/>
  <c r="DC274" i="5" a="1"/>
  <c r="DC274" i="5" s="1"/>
  <c r="DF274" i="5" s="1"/>
  <c r="DC50" i="5" a="1"/>
  <c r="DC50" i="5" s="1"/>
  <c r="DF50" i="5" s="1"/>
  <c r="DC273" i="5" a="1"/>
  <c r="DC273" i="5" s="1"/>
  <c r="DF273" i="5" s="1"/>
  <c r="DC48" i="5" a="1"/>
  <c r="DC48" i="5" s="1"/>
  <c r="DF48" i="5" s="1"/>
  <c r="DC270" i="5" a="1"/>
  <c r="DC270" i="5" s="1"/>
  <c r="DF270" i="5" s="1"/>
  <c r="P66" i="5"/>
  <c r="CR136" i="5" s="1"/>
  <c r="CQ136" i="5"/>
  <c r="DC272" i="5" a="1"/>
  <c r="DC272" i="5" s="1"/>
  <c r="DF272" i="5" s="1"/>
  <c r="DC51" i="5" a="1"/>
  <c r="DC51" i="5" s="1"/>
  <c r="DF51" i="5" s="1"/>
  <c r="S68" i="5"/>
  <c r="CR180" i="5" s="1"/>
  <c r="CQ180" i="5"/>
  <c r="DC278" i="5" a="1"/>
  <c r="DC278" i="5" s="1"/>
  <c r="DF278" i="5" s="1"/>
  <c r="DC276" i="5" a="1"/>
  <c r="DC276" i="5" s="1"/>
  <c r="DF276" i="5" s="1"/>
  <c r="U68" i="5"/>
  <c r="CR208" i="5" s="1"/>
  <c r="DC277" i="5" a="1"/>
  <c r="DC277" i="5" s="1"/>
  <c r="DF277" i="5" s="1"/>
  <c r="DC275" i="5" a="1"/>
  <c r="DC275" i="5" s="1"/>
  <c r="DF275" i="5" s="1"/>
  <c r="CQ208" i="5"/>
  <c r="CS535" i="5"/>
  <c r="CS339" i="5"/>
  <c r="W86" i="10"/>
  <c r="CW106" i="10" s="1"/>
  <c r="BM17" i="12"/>
  <c r="Z88" i="12"/>
  <c r="AI71" i="12"/>
  <c r="Y72" i="12"/>
  <c r="Z71" i="12"/>
  <c r="DH30" i="10"/>
  <c r="DH55" i="10" s="1"/>
  <c r="DH80" i="10" s="1"/>
  <c r="DH105" i="10" s="1"/>
  <c r="DH130" i="10" s="1"/>
  <c r="DH155" i="10" s="1"/>
  <c r="DH180" i="10" s="1"/>
  <c r="DH205" i="10" s="1"/>
  <c r="DH230" i="10" s="1"/>
  <c r="DH255" i="10" s="1"/>
  <c r="DH280" i="10" s="1"/>
  <c r="DH305" i="10" s="1"/>
  <c r="DH330" i="10" s="1"/>
  <c r="DH355" i="10" s="1"/>
  <c r="DH380" i="10" s="1"/>
  <c r="DH405" i="10" s="1"/>
  <c r="DH430" i="10" s="1"/>
  <c r="BC344" i="11"/>
  <c r="DH21" i="10"/>
  <c r="DH46" i="10" s="1"/>
  <c r="DH71" i="10" s="1"/>
  <c r="DH96" i="10" s="1"/>
  <c r="DH121" i="10" s="1"/>
  <c r="DH146" i="10" s="1"/>
  <c r="DH171" i="10" s="1"/>
  <c r="DH196" i="10" s="1"/>
  <c r="DH221" i="10" s="1"/>
  <c r="DH246" i="10" s="1"/>
  <c r="DH271" i="10" s="1"/>
  <c r="DH296" i="10" s="1"/>
  <c r="DH321" i="10" s="1"/>
  <c r="DH346" i="10" s="1"/>
  <c r="DH371" i="10" s="1"/>
  <c r="DH396" i="10" s="1"/>
  <c r="DH421" i="10" s="1"/>
  <c r="BC335" i="11"/>
  <c r="DH6" i="10"/>
  <c r="DH31" i="10" s="1"/>
  <c r="DH56" i="10" s="1"/>
  <c r="DH81" i="10" s="1"/>
  <c r="DH106" i="10" s="1"/>
  <c r="DH131" i="10" s="1"/>
  <c r="DH156" i="10" s="1"/>
  <c r="DH181" i="10" s="1"/>
  <c r="DH206" i="10" s="1"/>
  <c r="DH231" i="10" s="1"/>
  <c r="DH256" i="10" s="1"/>
  <c r="DH281" i="10" s="1"/>
  <c r="DH306" i="10" s="1"/>
  <c r="DH331" i="10" s="1"/>
  <c r="DH356" i="10" s="1"/>
  <c r="DH381" i="10" s="1"/>
  <c r="DH406" i="10" s="1"/>
  <c r="BC320" i="11"/>
  <c r="DH8" i="10"/>
  <c r="DH33" i="10" s="1"/>
  <c r="DH58" i="10" s="1"/>
  <c r="DH83" i="10" s="1"/>
  <c r="DH108" i="10" s="1"/>
  <c r="DH133" i="10" s="1"/>
  <c r="DH158" i="10" s="1"/>
  <c r="DH183" i="10" s="1"/>
  <c r="DH208" i="10" s="1"/>
  <c r="DH233" i="10" s="1"/>
  <c r="DH258" i="10" s="1"/>
  <c r="DH283" i="10" s="1"/>
  <c r="DH308" i="10" s="1"/>
  <c r="DH333" i="10" s="1"/>
  <c r="DH358" i="10" s="1"/>
  <c r="DH383" i="10" s="1"/>
  <c r="DH408" i="10" s="1"/>
  <c r="BC322" i="11"/>
  <c r="U171" i="11"/>
  <c r="BK85" i="11" s="1"/>
  <c r="BL85" i="11"/>
  <c r="U121" i="11"/>
  <c r="BJ85" i="11" s="1"/>
  <c r="U173" i="11"/>
  <c r="BK87" i="11" s="1"/>
  <c r="BL87" i="11"/>
  <c r="U123" i="11"/>
  <c r="BJ87" i="11" s="1"/>
  <c r="DH13" i="10"/>
  <c r="DH38" i="10" s="1"/>
  <c r="DH63" i="10" s="1"/>
  <c r="DH88" i="10" s="1"/>
  <c r="DH113" i="10" s="1"/>
  <c r="DH138" i="10" s="1"/>
  <c r="DH163" i="10" s="1"/>
  <c r="DH188" i="10" s="1"/>
  <c r="DH213" i="10" s="1"/>
  <c r="DH238" i="10" s="1"/>
  <c r="DH263" i="10" s="1"/>
  <c r="DH288" i="10" s="1"/>
  <c r="DH313" i="10" s="1"/>
  <c r="DH338" i="10" s="1"/>
  <c r="DH363" i="10" s="1"/>
  <c r="DH388" i="10" s="1"/>
  <c r="DH413" i="10" s="1"/>
  <c r="BC327" i="11"/>
  <c r="BC326" i="11"/>
  <c r="DH12" i="10"/>
  <c r="DH37" i="10" s="1"/>
  <c r="DH62" i="10" s="1"/>
  <c r="DH87" i="10" s="1"/>
  <c r="DH112" i="10" s="1"/>
  <c r="DH137" i="10" s="1"/>
  <c r="DH162" i="10" s="1"/>
  <c r="DH187" i="10" s="1"/>
  <c r="DH212" i="10" s="1"/>
  <c r="DH237" i="10" s="1"/>
  <c r="DH262" i="10" s="1"/>
  <c r="DH287" i="10" s="1"/>
  <c r="DH312" i="10" s="1"/>
  <c r="DH337" i="10" s="1"/>
  <c r="DH362" i="10" s="1"/>
  <c r="DH387" i="10" s="1"/>
  <c r="DH412" i="10" s="1"/>
  <c r="H328" i="11"/>
  <c r="BB336" i="11"/>
  <c r="BB338" i="11"/>
  <c r="H330" i="11"/>
  <c r="BL89" i="11"/>
  <c r="U125" i="11"/>
  <c r="BJ89" i="11" s="1"/>
  <c r="U175" i="11"/>
  <c r="BK89" i="11" s="1"/>
  <c r="BB342" i="11"/>
  <c r="H335" i="11"/>
  <c r="DH17" i="10"/>
  <c r="DH42" i="10" s="1"/>
  <c r="DH67" i="10" s="1"/>
  <c r="DH92" i="10" s="1"/>
  <c r="DH117" i="10" s="1"/>
  <c r="DH142" i="10" s="1"/>
  <c r="DH167" i="10" s="1"/>
  <c r="DH192" i="10" s="1"/>
  <c r="DH217" i="10" s="1"/>
  <c r="DH242" i="10" s="1"/>
  <c r="DH267" i="10" s="1"/>
  <c r="DH292" i="10" s="1"/>
  <c r="DH317" i="10" s="1"/>
  <c r="DH342" i="10" s="1"/>
  <c r="DH367" i="10" s="1"/>
  <c r="DH392" i="10" s="1"/>
  <c r="DH417" i="10" s="1"/>
  <c r="BC331" i="11"/>
  <c r="DH27" i="10"/>
  <c r="DH52" i="10" s="1"/>
  <c r="DH77" i="10" s="1"/>
  <c r="DH102" i="10" s="1"/>
  <c r="DH127" i="10" s="1"/>
  <c r="DH152" i="10" s="1"/>
  <c r="DH177" i="10" s="1"/>
  <c r="DH202" i="10" s="1"/>
  <c r="DH227" i="10" s="1"/>
  <c r="DH252" i="10" s="1"/>
  <c r="DH277" i="10" s="1"/>
  <c r="DH302" i="10" s="1"/>
  <c r="DH327" i="10" s="1"/>
  <c r="DH352" i="10" s="1"/>
  <c r="DH377" i="10" s="1"/>
  <c r="DH402" i="10" s="1"/>
  <c r="DH427" i="10" s="1"/>
  <c r="BC341" i="11"/>
  <c r="DH7" i="10"/>
  <c r="DH32" i="10" s="1"/>
  <c r="DH57" i="10" s="1"/>
  <c r="DH82" i="10" s="1"/>
  <c r="DH107" i="10" s="1"/>
  <c r="DH132" i="10" s="1"/>
  <c r="DH157" i="10" s="1"/>
  <c r="DH182" i="10" s="1"/>
  <c r="DH207" i="10" s="1"/>
  <c r="DH232" i="10" s="1"/>
  <c r="DH257" i="10" s="1"/>
  <c r="DH282" i="10" s="1"/>
  <c r="DH307" i="10" s="1"/>
  <c r="DH332" i="10" s="1"/>
  <c r="DH357" i="10" s="1"/>
  <c r="DH382" i="10" s="1"/>
  <c r="DH407" i="10" s="1"/>
  <c r="BC321" i="11"/>
  <c r="DH9" i="10"/>
  <c r="DH34" i="10" s="1"/>
  <c r="DH59" i="10" s="1"/>
  <c r="DH84" i="10" s="1"/>
  <c r="DH109" i="10" s="1"/>
  <c r="DH134" i="10" s="1"/>
  <c r="DH159" i="10" s="1"/>
  <c r="DH184" i="10" s="1"/>
  <c r="DH209" i="10" s="1"/>
  <c r="DH234" i="10" s="1"/>
  <c r="DH259" i="10" s="1"/>
  <c r="DH284" i="10" s="1"/>
  <c r="DH309" i="10" s="1"/>
  <c r="DH334" i="10" s="1"/>
  <c r="DH359" i="10" s="1"/>
  <c r="DH384" i="10" s="1"/>
  <c r="DH409" i="10" s="1"/>
  <c r="BC323" i="11"/>
  <c r="BC330" i="11"/>
  <c r="DH16" i="10"/>
  <c r="DH41" i="10" s="1"/>
  <c r="DH66" i="10" s="1"/>
  <c r="DH91" i="10" s="1"/>
  <c r="DH116" i="10" s="1"/>
  <c r="DH141" i="10" s="1"/>
  <c r="DH166" i="10" s="1"/>
  <c r="DH191" i="10" s="1"/>
  <c r="DH216" i="10" s="1"/>
  <c r="DH241" i="10" s="1"/>
  <c r="DH266" i="10" s="1"/>
  <c r="DH291" i="10" s="1"/>
  <c r="DH316" i="10" s="1"/>
  <c r="DH341" i="10" s="1"/>
  <c r="DH366" i="10" s="1"/>
  <c r="DH391" i="10" s="1"/>
  <c r="DH416" i="10" s="1"/>
  <c r="U168" i="11"/>
  <c r="BK82" i="11" s="1"/>
  <c r="BL82" i="11"/>
  <c r="U118" i="11"/>
  <c r="BJ82" i="11" s="1"/>
  <c r="DH14" i="10"/>
  <c r="DH39" i="10" s="1"/>
  <c r="DH64" i="10" s="1"/>
  <c r="DH89" i="10" s="1"/>
  <c r="DH114" i="10" s="1"/>
  <c r="DH139" i="10" s="1"/>
  <c r="DH164" i="10" s="1"/>
  <c r="DH189" i="10" s="1"/>
  <c r="DH214" i="10" s="1"/>
  <c r="DH239" i="10" s="1"/>
  <c r="DH264" i="10" s="1"/>
  <c r="DH289" i="10" s="1"/>
  <c r="DH314" i="10" s="1"/>
  <c r="DH339" i="10" s="1"/>
  <c r="DH364" i="10" s="1"/>
  <c r="DH389" i="10" s="1"/>
  <c r="DH414" i="10" s="1"/>
  <c r="BC328" i="11"/>
  <c r="DH26" i="10"/>
  <c r="DH51" i="10" s="1"/>
  <c r="DH76" i="10" s="1"/>
  <c r="DH101" i="10" s="1"/>
  <c r="DH126" i="10" s="1"/>
  <c r="DH151" i="10" s="1"/>
  <c r="DH176" i="10" s="1"/>
  <c r="DH201" i="10" s="1"/>
  <c r="DH226" i="10" s="1"/>
  <c r="DH251" i="10" s="1"/>
  <c r="DH276" i="10" s="1"/>
  <c r="DH301" i="10" s="1"/>
  <c r="DH326" i="10" s="1"/>
  <c r="DH351" i="10" s="1"/>
  <c r="DH376" i="10" s="1"/>
  <c r="DH401" i="10" s="1"/>
  <c r="DH426" i="10" s="1"/>
  <c r="BC340" i="11"/>
  <c r="H324" i="11"/>
  <c r="BB332" i="11"/>
  <c r="X86" i="10"/>
  <c r="CW131" i="10" s="1"/>
  <c r="AJ29" i="12"/>
  <c r="AI29" i="12"/>
  <c r="BE37" i="12"/>
  <c r="BG37" i="12" s="1"/>
  <c r="CR44" i="12"/>
  <c r="CR53" i="12" s="1"/>
  <c r="CQ44" i="12"/>
  <c r="CQ53" i="12" s="1"/>
  <c r="CS44" i="12"/>
  <c r="CS53" i="12" s="1"/>
  <c r="CP44" i="12"/>
  <c r="CP53" i="12" s="1"/>
  <c r="AJ44" i="12"/>
  <c r="CO47" i="12"/>
  <c r="AJ43" i="12"/>
  <c r="BP22" i="12"/>
  <c r="CG21" i="12"/>
  <c r="CK21" i="12" s="1"/>
  <c r="BQ22" i="12"/>
  <c r="CH21" i="12"/>
  <c r="CW306" i="10"/>
  <c r="DO45" i="9" a="1"/>
  <c r="DO45" i="9" s="1"/>
  <c r="DP45" i="9" s="1"/>
  <c r="DL45" i="9" s="1" a="1"/>
  <c r="DL45" i="9" s="1"/>
  <c r="DK45" i="9" a="1"/>
  <c r="DK45" i="9" s="1"/>
  <c r="CG45" i="9" s="1"/>
  <c r="DN45" i="9" a="1"/>
  <c r="DN45" i="9" s="1"/>
  <c r="DM45" i="9" a="1"/>
  <c r="DM45" i="9" s="1"/>
  <c r="GH19" i="9"/>
  <c r="GI19" i="9" s="1"/>
  <c r="BZ19" i="9" s="1"/>
  <c r="FT19" i="9" s="1"/>
  <c r="CA19" i="9" s="1"/>
  <c r="GW19" i="9"/>
  <c r="HF19" i="9" s="1"/>
  <c r="CD19" i="9" s="1"/>
  <c r="GH34" i="9"/>
  <c r="GI34" i="9" s="1"/>
  <c r="BZ34" i="9" s="1"/>
  <c r="FT34" i="9" s="1"/>
  <c r="CA34" i="9" s="1"/>
  <c r="GW34" i="9"/>
  <c r="HF34" i="9" s="1"/>
  <c r="CD34" i="9" s="1"/>
  <c r="GW30" i="9"/>
  <c r="HF30" i="9" s="1"/>
  <c r="CD30" i="9" s="1"/>
  <c r="GH30" i="9"/>
  <c r="GI30" i="9" s="1"/>
  <c r="BZ30" i="9" s="1"/>
  <c r="FT30" i="9" s="1"/>
  <c r="CA30" i="9" s="1"/>
  <c r="GH29" i="9"/>
  <c r="GI29" i="9" s="1"/>
  <c r="BZ29" i="9" s="1"/>
  <c r="FT29" i="9" s="1"/>
  <c r="CA29" i="9" s="1"/>
  <c r="GW29" i="9"/>
  <c r="HF29" i="9" s="1"/>
  <c r="CD29" i="9" s="1"/>
  <c r="GW36" i="9"/>
  <c r="HF36" i="9" s="1"/>
  <c r="CD36" i="9" s="1"/>
  <c r="GH36" i="9"/>
  <c r="GI36" i="9" s="1"/>
  <c r="BZ36" i="9" s="1"/>
  <c r="FT36" i="9" s="1"/>
  <c r="CA36" i="9" s="1"/>
  <c r="GW66" i="9"/>
  <c r="HF66" i="9" s="1"/>
  <c r="CD66" i="9" s="1"/>
  <c r="GH66" i="9"/>
  <c r="GI66" i="9" s="1"/>
  <c r="BZ66" i="9" s="1"/>
  <c r="FT66" i="9" s="1"/>
  <c r="CA66" i="9" s="1"/>
  <c r="GH43" i="9"/>
  <c r="GI43" i="9" s="1"/>
  <c r="BZ43" i="9" s="1"/>
  <c r="FT43" i="9" s="1"/>
  <c r="CA43" i="9" s="1"/>
  <c r="GW43" i="9"/>
  <c r="HF43" i="9" s="1"/>
  <c r="CD43" i="9" s="1"/>
  <c r="GH20" i="9"/>
  <c r="GI20" i="9" s="1"/>
  <c r="BZ20" i="9" s="1"/>
  <c r="FT20" i="9" s="1"/>
  <c r="CA20" i="9" s="1"/>
  <c r="GW20" i="9"/>
  <c r="HF20" i="9" s="1"/>
  <c r="CD20" i="9" s="1"/>
  <c r="GW38" i="9"/>
  <c r="HF38" i="9" s="1"/>
  <c r="CD38" i="9" s="1"/>
  <c r="GH38" i="9"/>
  <c r="GI38" i="9" s="1"/>
  <c r="BZ38" i="9" s="1"/>
  <c r="FT38" i="9" s="1"/>
  <c r="CA38" i="9" s="1"/>
  <c r="GH33" i="9"/>
  <c r="GI33" i="9" s="1"/>
  <c r="BZ33" i="9" s="1"/>
  <c r="FT33" i="9" s="1"/>
  <c r="CA33" i="9" s="1"/>
  <c r="GW33" i="9"/>
  <c r="HF33" i="9" s="1"/>
  <c r="CD33" i="9" s="1"/>
  <c r="GH24" i="9"/>
  <c r="GI24" i="9" s="1"/>
  <c r="BZ24" i="9" s="1"/>
  <c r="FT24" i="9" s="1"/>
  <c r="CA24" i="9" s="1"/>
  <c r="GW24" i="9"/>
  <c r="HF24" i="9" s="1"/>
  <c r="CD24" i="9" s="1"/>
  <c r="GH85" i="9"/>
  <c r="GI85" i="9" s="1"/>
  <c r="BZ85" i="9" s="1"/>
  <c r="FT85" i="9" s="1"/>
  <c r="CA85" i="9" s="1"/>
  <c r="GW85" i="9"/>
  <c r="HF85" i="9" s="1"/>
  <c r="CD85" i="9" s="1"/>
  <c r="GH49" i="9"/>
  <c r="GI49" i="9" s="1"/>
  <c r="BZ49" i="9" s="1"/>
  <c r="FT49" i="9" s="1"/>
  <c r="CA49" i="9" s="1"/>
  <c r="GW49" i="9"/>
  <c r="HF49" i="9" s="1"/>
  <c r="CD49" i="9" s="1"/>
  <c r="GH16" i="9"/>
  <c r="GI16" i="9" s="1"/>
  <c r="BZ16" i="9" s="1"/>
  <c r="FT16" i="9" s="1"/>
  <c r="CA16" i="9" s="1"/>
  <c r="GW16" i="9"/>
  <c r="HF16" i="9" s="1"/>
  <c r="CD16" i="9" s="1"/>
  <c r="GH28" i="9"/>
  <c r="GI28" i="9" s="1"/>
  <c r="BZ28" i="9" s="1"/>
  <c r="FT28" i="9" s="1"/>
  <c r="CA28" i="9" s="1"/>
  <c r="GW28" i="9"/>
  <c r="HF28" i="9" s="1"/>
  <c r="CD28" i="9" s="1"/>
  <c r="GW18" i="9"/>
  <c r="HF18" i="9" s="1"/>
  <c r="CD18" i="9" s="1"/>
  <c r="GH32" i="9"/>
  <c r="GI32" i="9" s="1"/>
  <c r="BZ32" i="9" s="1"/>
  <c r="FT32" i="9" s="1"/>
  <c r="CA32" i="9" s="1"/>
  <c r="GW32" i="9"/>
  <c r="HF32" i="9" s="1"/>
  <c r="CD32" i="9" s="1"/>
  <c r="GW40" i="9"/>
  <c r="HF40" i="9" s="1"/>
  <c r="CD40" i="9" s="1"/>
  <c r="GH40" i="9"/>
  <c r="GI40" i="9" s="1"/>
  <c r="BZ40" i="9" s="1"/>
  <c r="FT40" i="9" s="1"/>
  <c r="CA40" i="9" s="1"/>
  <c r="GH23" i="9"/>
  <c r="GI23" i="9" s="1"/>
  <c r="BZ23" i="9" s="1"/>
  <c r="FT23" i="9" s="1"/>
  <c r="CA23" i="9" s="1"/>
  <c r="GW23" i="9"/>
  <c r="HF23" i="9" s="1"/>
  <c r="CD23" i="9" s="1"/>
  <c r="GH50" i="9"/>
  <c r="GI50" i="9" s="1"/>
  <c r="BZ50" i="9" s="1"/>
  <c r="FT50" i="9" s="1"/>
  <c r="CA50" i="9" s="1"/>
  <c r="GW50" i="9"/>
  <c r="HF50" i="9" s="1"/>
  <c r="CD50" i="9" s="1"/>
  <c r="GH44" i="9"/>
  <c r="GI44" i="9" s="1"/>
  <c r="BZ44" i="9" s="1"/>
  <c r="FT44" i="9" s="1"/>
  <c r="CA44" i="9" s="1"/>
  <c r="GW44" i="9"/>
  <c r="HF44" i="9" s="1"/>
  <c r="CD44" i="9" s="1"/>
  <c r="GW26" i="9"/>
  <c r="HF26" i="9" s="1"/>
  <c r="CD26" i="9" s="1"/>
  <c r="GH35" i="9"/>
  <c r="GI35" i="9" s="1"/>
  <c r="BZ35" i="9" s="1"/>
  <c r="FT35" i="9" s="1"/>
  <c r="CA35" i="9" s="1"/>
  <c r="GW35" i="9"/>
  <c r="HF35" i="9" s="1"/>
  <c r="CD35" i="9" s="1"/>
  <c r="GH37" i="9"/>
  <c r="GI37" i="9" s="1"/>
  <c r="BZ37" i="9" s="1"/>
  <c r="FT37" i="9" s="1"/>
  <c r="CA37" i="9" s="1"/>
  <c r="GW37" i="9"/>
  <c r="HF37" i="9" s="1"/>
  <c r="CD37" i="9" s="1"/>
  <c r="GW39" i="9"/>
  <c r="HF39" i="9" s="1"/>
  <c r="CD39" i="9" s="1"/>
  <c r="GH14" i="9"/>
  <c r="GI14" i="9" s="1"/>
  <c r="BZ14" i="9" s="1"/>
  <c r="FT14" i="9" s="1"/>
  <c r="CA14" i="9" s="1"/>
  <c r="GW14" i="9"/>
  <c r="HF14" i="9" s="1"/>
  <c r="CD14" i="9" s="1"/>
  <c r="CR206" i="10"/>
  <c r="CR231" i="10"/>
  <c r="DD310" i="10"/>
  <c r="CW313" i="10"/>
  <c r="DO144" i="9" a="1"/>
  <c r="DO144" i="9" s="1"/>
  <c r="DP144" i="9" s="1"/>
  <c r="DL144" i="9" s="1" a="1"/>
  <c r="DL144" i="9" s="1"/>
  <c r="DM144" i="9" a="1"/>
  <c r="DM144" i="9" s="1"/>
  <c r="CR331" i="10"/>
  <c r="AE86" i="10"/>
  <c r="CW256" i="10"/>
  <c r="DK47" i="9" a="1"/>
  <c r="DK47" i="9" s="1"/>
  <c r="CG47" i="9" s="1"/>
  <c r="DO47" i="9" a="1"/>
  <c r="DO47" i="9" s="1"/>
  <c r="DP47" i="9" s="1"/>
  <c r="DL47" i="9" s="1" a="1"/>
  <c r="DL47" i="9" s="1"/>
  <c r="DM47" i="9" a="1"/>
  <c r="DM47" i="9" s="1"/>
  <c r="DN47" i="9" a="1"/>
  <c r="DN47" i="9" s="1"/>
  <c r="DN283" i="9" a="1"/>
  <c r="DN283" i="9" s="1"/>
  <c r="DM283" i="9" a="1"/>
  <c r="DM283" i="9" s="1"/>
  <c r="DK283" i="9" a="1"/>
  <c r="DK283" i="9" s="1"/>
  <c r="CG283" i="9" s="1"/>
  <c r="DO283" i="9" a="1"/>
  <c r="DO283" i="9" s="1"/>
  <c r="DP283" i="9" s="1"/>
  <c r="DL283" i="9" s="1" a="1"/>
  <c r="DL283" i="9" s="1"/>
  <c r="DM327" i="9" a="1"/>
  <c r="DM327" i="9" s="1"/>
  <c r="DN327" i="9" a="1"/>
  <c r="DN327" i="9" s="1"/>
  <c r="DO327" i="9" a="1"/>
  <c r="DO327" i="9" s="1"/>
  <c r="DP327" i="9" s="1"/>
  <c r="DL327" i="9" s="1" a="1"/>
  <c r="DL327" i="9" s="1"/>
  <c r="DK327" i="9" a="1"/>
  <c r="DK327" i="9" s="1"/>
  <c r="CG327" i="9" s="1"/>
  <c r="DM64" i="9" a="1"/>
  <c r="DM64" i="9" s="1"/>
  <c r="DO64" i="9" a="1"/>
  <c r="DO64" i="9" s="1"/>
  <c r="DP64" i="9" s="1"/>
  <c r="DL64" i="9" s="1" a="1"/>
  <c r="DL64" i="9" s="1"/>
  <c r="DN64" i="9" a="1"/>
  <c r="DN64" i="9" s="1"/>
  <c r="DK64" i="9" a="1"/>
  <c r="DK64" i="9" s="1"/>
  <c r="CG64" i="9" s="1"/>
  <c r="DN264" i="9" a="1"/>
  <c r="DN264" i="9" s="1"/>
  <c r="DM264" i="9" a="1"/>
  <c r="DM264" i="9" s="1"/>
  <c r="DK264" i="9" a="1"/>
  <c r="DK264" i="9" s="1"/>
  <c r="CG264" i="9" s="1"/>
  <c r="DO264" i="9" a="1"/>
  <c r="DO264" i="9" s="1"/>
  <c r="DP264" i="9" s="1"/>
  <c r="DL264" i="9" s="1" a="1"/>
  <c r="DL264" i="9" s="1"/>
  <c r="DM21" i="9" a="1"/>
  <c r="DM21" i="9" s="1"/>
  <c r="DN21" i="9" a="1"/>
  <c r="DN21" i="9" s="1"/>
  <c r="DK21" i="9" a="1"/>
  <c r="DK21" i="9" s="1"/>
  <c r="CG21" i="9" s="1"/>
  <c r="DO21" i="9" a="1"/>
  <c r="DO21" i="9" s="1"/>
  <c r="DP21" i="9" s="1"/>
  <c r="DL21" i="9" s="1" a="1"/>
  <c r="DL21" i="9" s="1"/>
  <c r="GH15" i="9"/>
  <c r="GI15" i="9" s="1"/>
  <c r="BZ15" i="9" s="1"/>
  <c r="FT15" i="9" s="1"/>
  <c r="CA15" i="9" s="1"/>
  <c r="GW15" i="9"/>
  <c r="HF15" i="9" s="1"/>
  <c r="CD15" i="9" s="1"/>
  <c r="CR156" i="10"/>
  <c r="Y86" i="10"/>
  <c r="CW206" i="10"/>
  <c r="DD228" i="10"/>
  <c r="DD253" i="10"/>
  <c r="CW88" i="10"/>
  <c r="DD85" i="10"/>
  <c r="T86" i="10"/>
  <c r="CR31" i="10"/>
  <c r="CW138" i="10"/>
  <c r="DD135" i="10"/>
  <c r="DD360" i="10" s="1"/>
  <c r="CW263" i="10"/>
  <c r="DD260" i="10"/>
  <c r="DD185" i="10"/>
  <c r="DD410" i="10" s="1"/>
  <c r="CW188" i="10"/>
  <c r="CW63" i="10"/>
  <c r="DD60" i="10"/>
  <c r="CW213" i="10"/>
  <c r="DD210" i="10"/>
  <c r="CW38" i="10"/>
  <c r="DD35" i="10"/>
  <c r="CW238" i="10"/>
  <c r="DD235" i="10"/>
  <c r="V86" i="10"/>
  <c r="CR81" i="10"/>
  <c r="CW338" i="10"/>
  <c r="DD335" i="10"/>
  <c r="AC86" i="10"/>
  <c r="CR281" i="10"/>
  <c r="AF86" i="10"/>
  <c r="CW231" i="10" s="1"/>
  <c r="Z86" i="10"/>
  <c r="CR181" i="10"/>
  <c r="CW163" i="10"/>
  <c r="DD160" i="10"/>
  <c r="DD285" i="10"/>
  <c r="CW288" i="10"/>
  <c r="S86" i="10"/>
  <c r="CR6" i="10"/>
  <c r="CW113" i="10"/>
  <c r="DD110" i="10"/>
  <c r="CW13" i="10"/>
  <c r="DD10" i="10"/>
  <c r="DF419" i="5"/>
  <c r="DD420" i="5"/>
  <c r="DF420" i="5" s="1"/>
  <c r="DD140" i="5"/>
  <c r="DF140" i="5" s="1"/>
  <c r="DF139" i="5"/>
  <c r="DF309" i="10"/>
  <c r="DD494" i="5"/>
  <c r="DF494" i="5" s="1"/>
  <c r="DF493" i="5"/>
  <c r="DD252" i="5"/>
  <c r="DF252" i="5" s="1"/>
  <c r="DF251" i="5"/>
  <c r="DR731" i="5" l="1"/>
  <c r="DR657" i="5"/>
  <c r="DR401" i="5"/>
  <c r="DR364" i="5"/>
  <c r="DR65" i="5"/>
  <c r="DR512" i="5"/>
  <c r="DR139" i="5"/>
  <c r="DR694" i="5"/>
  <c r="R14" i="21"/>
  <c r="X12" i="21"/>
  <c r="R15" i="21"/>
  <c r="DD78" i="10"/>
  <c r="DF299" i="5"/>
  <c r="DG721" i="5"/>
  <c r="DH721" i="5" s="1"/>
  <c r="DI721" i="5" s="1"/>
  <c r="DG733" i="5"/>
  <c r="DH733" i="5" s="1"/>
  <c r="DI733" i="5" s="1"/>
  <c r="DF243" i="5"/>
  <c r="DF301" i="5"/>
  <c r="DD128" i="10"/>
  <c r="DG449" i="5"/>
  <c r="DH449" i="5" s="1"/>
  <c r="DI449" i="5" s="1"/>
  <c r="DG741" i="5"/>
  <c r="DH741" i="5" s="1"/>
  <c r="DI741" i="5" s="1"/>
  <c r="DG425" i="5"/>
  <c r="DH425" i="5" s="1"/>
  <c r="DI425" i="5" s="1"/>
  <c r="DG571" i="5"/>
  <c r="DH571" i="5" s="1"/>
  <c r="DI571" i="5" s="1"/>
  <c r="DG722" i="5"/>
  <c r="DH722" i="5" s="1"/>
  <c r="DI722" i="5" s="1"/>
  <c r="DD153" i="10"/>
  <c r="DD378" i="10" s="1"/>
  <c r="DG429" i="5"/>
  <c r="DH429" i="5" s="1"/>
  <c r="DI429" i="5" s="1"/>
  <c r="DG432" i="5"/>
  <c r="DH432" i="5" s="1"/>
  <c r="DI432" i="5" s="1"/>
  <c r="DG747" i="5"/>
  <c r="DH747" i="5" s="1"/>
  <c r="DI747" i="5" s="1"/>
  <c r="DG458" i="5"/>
  <c r="DH458" i="5" s="1"/>
  <c r="DI458" i="5" s="1"/>
  <c r="DG737" i="5"/>
  <c r="DH737" i="5" s="1"/>
  <c r="DI737" i="5" s="1"/>
  <c r="DG447" i="5"/>
  <c r="DH447" i="5" s="1"/>
  <c r="DI447" i="5" s="1"/>
  <c r="DG436" i="5"/>
  <c r="DH436" i="5" s="1"/>
  <c r="DI436" i="5" s="1"/>
  <c r="DG451" i="5"/>
  <c r="DH451" i="5" s="1"/>
  <c r="DI451" i="5" s="1"/>
  <c r="DG440" i="5"/>
  <c r="DH440" i="5" s="1"/>
  <c r="DI440" i="5" s="1"/>
  <c r="DG459" i="5"/>
  <c r="DH459" i="5" s="1"/>
  <c r="DI459" i="5" s="1"/>
  <c r="DG731" i="5"/>
  <c r="DH731" i="5" s="1"/>
  <c r="DI731" i="5" s="1"/>
  <c r="DG430" i="5"/>
  <c r="DH430" i="5" s="1"/>
  <c r="DI430" i="5" s="1"/>
  <c r="DG460" i="5"/>
  <c r="DH460" i="5" s="1"/>
  <c r="DI460" i="5" s="1"/>
  <c r="DG434" i="5"/>
  <c r="DH434" i="5" s="1"/>
  <c r="DI434" i="5" s="1"/>
  <c r="DG433" i="5"/>
  <c r="DH433" i="5" s="1"/>
  <c r="DI433" i="5" s="1"/>
  <c r="DG437" i="5"/>
  <c r="DH437" i="5" s="1"/>
  <c r="DI437" i="5" s="1"/>
  <c r="DC651" i="5"/>
  <c r="DC652" i="5" s="1"/>
  <c r="DG450" i="5"/>
  <c r="DH450" i="5" s="1"/>
  <c r="DI450" i="5" s="1"/>
  <c r="DG749" i="5"/>
  <c r="DH749" i="5" s="1"/>
  <c r="DI749" i="5" s="1"/>
  <c r="DG718" i="5"/>
  <c r="DH718" i="5" s="1"/>
  <c r="DI718" i="5" s="1"/>
  <c r="DG457" i="5"/>
  <c r="DH457" i="5" s="1"/>
  <c r="DI457" i="5" s="1"/>
  <c r="DG446" i="5"/>
  <c r="DH446" i="5" s="1"/>
  <c r="DI446" i="5" s="1"/>
  <c r="DG443" i="5"/>
  <c r="DH443" i="5" s="1"/>
  <c r="DI443" i="5" s="1"/>
  <c r="DG728" i="5"/>
  <c r="DH728" i="5" s="1"/>
  <c r="DI728" i="5" s="1"/>
  <c r="DG431" i="5"/>
  <c r="DG754" i="5"/>
  <c r="DH754" i="5" s="1"/>
  <c r="DI754" i="5" s="1"/>
  <c r="DG752" i="5"/>
  <c r="DH752" i="5" s="1"/>
  <c r="DI752" i="5" s="1"/>
  <c r="DG426" i="5"/>
  <c r="DH426" i="5" s="1"/>
  <c r="DI426" i="5" s="1"/>
  <c r="DG442" i="5"/>
  <c r="DH442" i="5" s="1"/>
  <c r="DI442" i="5" s="1"/>
  <c r="DG427" i="5"/>
  <c r="DH427" i="5" s="1"/>
  <c r="DI427" i="5" s="1"/>
  <c r="DG454" i="5"/>
  <c r="DH454" i="5" s="1"/>
  <c r="DI454" i="5" s="1"/>
  <c r="DG456" i="5"/>
  <c r="DH456" i="5" s="1"/>
  <c r="DI456" i="5" s="1"/>
  <c r="DG751" i="5"/>
  <c r="DH751" i="5" s="1"/>
  <c r="DI751" i="5" s="1"/>
  <c r="DG452" i="5"/>
  <c r="DH452" i="5" s="1"/>
  <c r="DI452" i="5" s="1"/>
  <c r="DG729" i="5"/>
  <c r="DH729" i="5" s="1"/>
  <c r="DI729" i="5" s="1"/>
  <c r="DG732" i="5"/>
  <c r="DH732" i="5" s="1"/>
  <c r="DI732" i="5" s="1"/>
  <c r="DG444" i="5"/>
  <c r="DH444" i="5" s="1"/>
  <c r="DI444" i="5" s="1"/>
  <c r="DG439" i="5"/>
  <c r="DH439" i="5" s="1"/>
  <c r="DI439" i="5" s="1"/>
  <c r="DG428" i="5"/>
  <c r="DH428" i="5" s="1"/>
  <c r="DI428" i="5" s="1"/>
  <c r="DG455" i="5"/>
  <c r="DH455" i="5" s="1"/>
  <c r="DI455" i="5" s="1"/>
  <c r="DG441" i="5"/>
  <c r="DH441" i="5" s="1"/>
  <c r="DI441" i="5" s="1"/>
  <c r="DG448" i="5"/>
  <c r="DH448" i="5" s="1"/>
  <c r="DI448" i="5" s="1"/>
  <c r="DG748" i="5"/>
  <c r="DH748" i="5" s="1"/>
  <c r="DI748" i="5" s="1"/>
  <c r="DG753" i="5"/>
  <c r="DH753" i="5" s="1"/>
  <c r="DI753" i="5" s="1"/>
  <c r="DG727" i="5"/>
  <c r="DH727" i="5" s="1"/>
  <c r="DI727" i="5" s="1"/>
  <c r="DG445" i="5"/>
  <c r="DH445" i="5" s="1"/>
  <c r="DI445" i="5" s="1"/>
  <c r="DG564" i="5"/>
  <c r="DH564" i="5" s="1"/>
  <c r="DI564" i="5" s="1"/>
  <c r="DG453" i="5"/>
  <c r="DH453" i="5" s="1"/>
  <c r="DI453" i="5" s="1"/>
  <c r="DG435" i="5"/>
  <c r="DH435" i="5" s="1"/>
  <c r="DI435" i="5" s="1"/>
  <c r="DG438" i="5"/>
  <c r="DH438" i="5" s="1"/>
  <c r="DI438" i="5" s="1"/>
  <c r="DG461" i="5"/>
  <c r="DH461" i="5" s="1"/>
  <c r="DI461" i="5" s="1"/>
  <c r="DG750" i="5"/>
  <c r="DH750" i="5" s="1"/>
  <c r="DI750" i="5" s="1"/>
  <c r="DG725" i="5"/>
  <c r="DH725" i="5" s="1"/>
  <c r="DI725" i="5" s="1"/>
  <c r="DG730" i="5"/>
  <c r="DH730" i="5" s="1"/>
  <c r="DI730" i="5" s="1"/>
  <c r="DG720" i="5"/>
  <c r="DH720" i="5" s="1"/>
  <c r="DI720" i="5" s="1"/>
  <c r="DG719" i="5"/>
  <c r="DH719" i="5" s="1"/>
  <c r="DI719" i="5" s="1"/>
  <c r="DG742" i="5"/>
  <c r="DH742" i="5" s="1"/>
  <c r="DI742" i="5" s="1"/>
  <c r="DG738" i="5"/>
  <c r="DH738" i="5" s="1"/>
  <c r="DI738" i="5" s="1"/>
  <c r="DG746" i="5"/>
  <c r="DH746" i="5" s="1"/>
  <c r="DI746" i="5" s="1"/>
  <c r="DG743" i="5"/>
  <c r="DH743" i="5" s="1"/>
  <c r="DI743" i="5" s="1"/>
  <c r="DG736" i="5"/>
  <c r="DH736" i="5" s="1"/>
  <c r="DI736" i="5" s="1"/>
  <c r="DG735" i="5"/>
  <c r="DH735" i="5" s="1"/>
  <c r="DI735" i="5" s="1"/>
  <c r="DG740" i="5"/>
  <c r="DH740" i="5" s="1"/>
  <c r="DI740" i="5" s="1"/>
  <c r="DG723" i="5"/>
  <c r="DH723" i="5" s="1"/>
  <c r="DI723" i="5" s="1"/>
  <c r="DG744" i="5"/>
  <c r="DH744" i="5" s="1"/>
  <c r="DI744" i="5" s="1"/>
  <c r="DG726" i="5"/>
  <c r="DH726" i="5" s="1"/>
  <c r="DI726" i="5" s="1"/>
  <c r="DG734" i="5"/>
  <c r="DH734" i="5" s="1"/>
  <c r="DI734" i="5" s="1"/>
  <c r="DG745" i="5"/>
  <c r="DH745" i="5" s="1"/>
  <c r="DI745" i="5" s="1"/>
  <c r="DG739" i="5"/>
  <c r="DH739" i="5" s="1"/>
  <c r="DI739" i="5" s="1"/>
  <c r="DG724" i="5"/>
  <c r="DF239" i="5"/>
  <c r="DG538" i="5"/>
  <c r="DH538" i="5" s="1"/>
  <c r="DI538" i="5" s="1"/>
  <c r="DF630" i="5"/>
  <c r="DG570" i="5"/>
  <c r="DH570" i="5" s="1"/>
  <c r="DI570" i="5" s="1"/>
  <c r="DG543" i="5"/>
  <c r="DH543" i="5" s="1"/>
  <c r="DI543" i="5" s="1"/>
  <c r="DF300" i="5"/>
  <c r="DG559" i="5"/>
  <c r="DH559" i="5" s="1"/>
  <c r="DI559" i="5" s="1"/>
  <c r="DG541" i="5"/>
  <c r="DH541" i="5" s="1"/>
  <c r="DI541" i="5" s="1"/>
  <c r="DF302" i="5"/>
  <c r="DF44" i="5"/>
  <c r="DG561" i="5"/>
  <c r="DH561" i="5" s="1"/>
  <c r="DI561" i="5" s="1"/>
  <c r="DG560" i="5"/>
  <c r="DH560" i="5" s="1"/>
  <c r="DI560" i="5" s="1"/>
  <c r="DG556" i="5"/>
  <c r="DH556" i="5" s="1"/>
  <c r="DI556" i="5" s="1"/>
  <c r="DG554" i="5"/>
  <c r="DH554" i="5" s="1"/>
  <c r="DI554" i="5" s="1"/>
  <c r="DG545" i="5"/>
  <c r="DH545" i="5" s="1"/>
  <c r="DI545" i="5" s="1"/>
  <c r="DF601" i="5"/>
  <c r="DF267" i="5"/>
  <c r="DG566" i="5"/>
  <c r="DH566" i="5" s="1"/>
  <c r="DI566" i="5" s="1"/>
  <c r="DG548" i="5"/>
  <c r="DH548" i="5" s="1"/>
  <c r="DI548" i="5" s="1"/>
  <c r="DG540" i="5"/>
  <c r="DH540" i="5" s="1"/>
  <c r="DI540" i="5" s="1"/>
  <c r="DG550" i="5"/>
  <c r="DH550" i="5" s="1"/>
  <c r="DI550" i="5" s="1"/>
  <c r="DG555" i="5"/>
  <c r="DH555" i="5" s="1"/>
  <c r="DI555" i="5" s="1"/>
  <c r="DG551" i="5"/>
  <c r="DH551" i="5" s="1"/>
  <c r="DI551" i="5" s="1"/>
  <c r="DG565" i="5"/>
  <c r="DH565" i="5" s="1"/>
  <c r="DI565" i="5" s="1"/>
  <c r="DG542" i="5"/>
  <c r="DG568" i="5"/>
  <c r="DH568" i="5" s="1"/>
  <c r="DI568" i="5" s="1"/>
  <c r="DG563" i="5"/>
  <c r="DH563" i="5" s="1"/>
  <c r="DI563" i="5" s="1"/>
  <c r="DG544" i="5"/>
  <c r="DH544" i="5" s="1"/>
  <c r="DI544" i="5" s="1"/>
  <c r="DG558" i="5"/>
  <c r="DH558" i="5" s="1"/>
  <c r="DI558" i="5" s="1"/>
  <c r="DG539" i="5"/>
  <c r="DH539" i="5" s="1"/>
  <c r="DI539" i="5" s="1"/>
  <c r="DG536" i="5"/>
  <c r="DH536" i="5" s="1"/>
  <c r="DI536" i="5" s="1"/>
  <c r="DG549" i="5"/>
  <c r="DH549" i="5" s="1"/>
  <c r="DI549" i="5" s="1"/>
  <c r="DG569" i="5"/>
  <c r="DH569" i="5" s="1"/>
  <c r="DI569" i="5" s="1"/>
  <c r="DG537" i="5"/>
  <c r="DH537" i="5" s="1"/>
  <c r="DI537" i="5" s="1"/>
  <c r="DC59" i="5"/>
  <c r="DF59" i="5" s="1"/>
  <c r="DG552" i="5"/>
  <c r="DH552" i="5" s="1"/>
  <c r="DI552" i="5" s="1"/>
  <c r="DG547" i="5"/>
  <c r="DH547" i="5" s="1"/>
  <c r="DI547" i="5" s="1"/>
  <c r="DG572" i="5"/>
  <c r="DH572" i="5" s="1"/>
  <c r="DI572" i="5" s="1"/>
  <c r="DG546" i="5"/>
  <c r="DH546" i="5" s="1"/>
  <c r="DI546" i="5" s="1"/>
  <c r="DG557" i="5"/>
  <c r="DH557" i="5" s="1"/>
  <c r="DI557" i="5" s="1"/>
  <c r="DG562" i="5"/>
  <c r="DH562" i="5" s="1"/>
  <c r="DI562" i="5" s="1"/>
  <c r="DG553" i="5"/>
  <c r="DH553" i="5" s="1"/>
  <c r="DI553" i="5" s="1"/>
  <c r="DG567" i="5"/>
  <c r="DH567" i="5" s="1"/>
  <c r="DI567" i="5" s="1"/>
  <c r="DC688" i="5"/>
  <c r="DE612" i="5" a="1"/>
  <c r="DE612" i="5" s="1"/>
  <c r="DE577" i="5" a="1"/>
  <c r="DE577" i="5" s="1"/>
  <c r="DF577" i="5" s="1"/>
  <c r="DE589" i="5" a="1"/>
  <c r="DE589" i="5" s="1"/>
  <c r="DF589" i="5" s="1"/>
  <c r="DE208" i="5" a="1"/>
  <c r="DE208" i="5" s="1"/>
  <c r="DE221" i="5" a="1"/>
  <c r="DE221" i="5" s="1"/>
  <c r="DE198" i="5" a="1"/>
  <c r="DE198" i="5" s="1"/>
  <c r="DF198" i="5" s="1"/>
  <c r="DE599" i="5" a="1"/>
  <c r="DE599" i="5" s="1"/>
  <c r="DE186" i="5" a="1"/>
  <c r="DE186" i="5" s="1"/>
  <c r="DF186" i="5" s="1"/>
  <c r="BC70" i="5"/>
  <c r="DE593" i="5" a="1"/>
  <c r="DE593" i="5" s="1"/>
  <c r="DF593" i="5" s="1"/>
  <c r="DE618" i="5" a="1"/>
  <c r="DE618" i="5" s="1"/>
  <c r="DF618" i="5" s="1"/>
  <c r="DE227" i="5" a="1"/>
  <c r="DE227" i="5" s="1"/>
  <c r="DF227" i="5" s="1"/>
  <c r="DE603" i="5" a="1"/>
  <c r="DE603" i="5" s="1"/>
  <c r="DE202" i="5" a="1"/>
  <c r="DE202" i="5" s="1"/>
  <c r="DF202" i="5" s="1"/>
  <c r="DE212" i="5" a="1"/>
  <c r="DE212" i="5" s="1"/>
  <c r="BC71" i="5"/>
  <c r="DE190" i="5" a="1"/>
  <c r="DE190" i="5" s="1"/>
  <c r="DF190" i="5" s="1"/>
  <c r="DE581" i="5" a="1"/>
  <c r="DE581" i="5" s="1"/>
  <c r="DF581" i="5" s="1"/>
  <c r="DC469" i="5"/>
  <c r="DC96" i="5"/>
  <c r="DC358" i="5"/>
  <c r="DC506" i="5"/>
  <c r="DD23" i="5"/>
  <c r="DF23" i="5" s="1"/>
  <c r="DF24" i="5"/>
  <c r="DF22" i="5"/>
  <c r="BW56" i="5"/>
  <c r="W66" i="5"/>
  <c r="DC32" i="5" a="1"/>
  <c r="DC32" i="5" s="1"/>
  <c r="DF32" i="5" s="1"/>
  <c r="DC255" i="5" a="1"/>
  <c r="DC255" i="5" s="1"/>
  <c r="DF255" i="5" s="1"/>
  <c r="DH313" i="5"/>
  <c r="DI313" i="5" s="1"/>
  <c r="DG333" i="5"/>
  <c r="DH333" i="5" s="1"/>
  <c r="DI333" i="5" s="1"/>
  <c r="DG316" i="5"/>
  <c r="DH316" i="5" s="1"/>
  <c r="DI316" i="5" s="1"/>
  <c r="DG335" i="5"/>
  <c r="DH335" i="5" s="1"/>
  <c r="DI335" i="5" s="1"/>
  <c r="DG346" i="5"/>
  <c r="DH346" i="5" s="1"/>
  <c r="DI346" i="5" s="1"/>
  <c r="DG347" i="5"/>
  <c r="DH347" i="5" s="1"/>
  <c r="DI347" i="5" s="1"/>
  <c r="DG321" i="5"/>
  <c r="DH321" i="5" s="1"/>
  <c r="DI321" i="5" s="1"/>
  <c r="DG325" i="5"/>
  <c r="DH325" i="5" s="1"/>
  <c r="DI325" i="5" s="1"/>
  <c r="DG339" i="5"/>
  <c r="DH339" i="5" s="1"/>
  <c r="DI339" i="5" s="1"/>
  <c r="DG313" i="5"/>
  <c r="DG341" i="5"/>
  <c r="DH341" i="5" s="1"/>
  <c r="DI341" i="5" s="1"/>
  <c r="DG322" i="5"/>
  <c r="DH322" i="5" s="1"/>
  <c r="DI322" i="5" s="1"/>
  <c r="DG340" i="5"/>
  <c r="DH340" i="5" s="1"/>
  <c r="DI340" i="5" s="1"/>
  <c r="DG350" i="5"/>
  <c r="DH350" i="5" s="1"/>
  <c r="DI350" i="5" s="1"/>
  <c r="DG336" i="5"/>
  <c r="DH336" i="5" s="1"/>
  <c r="DI336" i="5" s="1"/>
  <c r="DG332" i="5"/>
  <c r="DH332" i="5" s="1"/>
  <c r="DI332" i="5" s="1"/>
  <c r="DG318" i="5"/>
  <c r="DH318" i="5" s="1"/>
  <c r="DI318" i="5" s="1"/>
  <c r="DG348" i="5"/>
  <c r="DH348" i="5" s="1"/>
  <c r="DI348" i="5" s="1"/>
  <c r="DG320" i="5"/>
  <c r="DH320" i="5" s="1"/>
  <c r="DI320" i="5" s="1"/>
  <c r="DG345" i="5"/>
  <c r="DH345" i="5" s="1"/>
  <c r="DI345" i="5" s="1"/>
  <c r="DG324" i="5"/>
  <c r="DH324" i="5" s="1"/>
  <c r="DI324" i="5" s="1"/>
  <c r="DG334" i="5"/>
  <c r="DH334" i="5" s="1"/>
  <c r="DI334" i="5" s="1"/>
  <c r="DG337" i="5"/>
  <c r="DH337" i="5" s="1"/>
  <c r="DI337" i="5" s="1"/>
  <c r="DG349" i="5"/>
  <c r="DH349" i="5" s="1"/>
  <c r="DI349" i="5" s="1"/>
  <c r="DG343" i="5"/>
  <c r="DH343" i="5" s="1"/>
  <c r="DI343" i="5" s="1"/>
  <c r="DG344" i="5"/>
  <c r="DH344" i="5" s="1"/>
  <c r="DI344" i="5" s="1"/>
  <c r="DG323" i="5"/>
  <c r="DH323" i="5" s="1"/>
  <c r="DI323" i="5" s="1"/>
  <c r="DG328" i="5"/>
  <c r="DH328" i="5" s="1"/>
  <c r="DI328" i="5" s="1"/>
  <c r="DG330" i="5"/>
  <c r="DH330" i="5" s="1"/>
  <c r="DI330" i="5" s="1"/>
  <c r="DG327" i="5"/>
  <c r="DH327" i="5" s="1"/>
  <c r="DI327" i="5" s="1"/>
  <c r="DG315" i="5"/>
  <c r="DH315" i="5" s="1"/>
  <c r="DI315" i="5" s="1"/>
  <c r="DG326" i="5"/>
  <c r="DH326" i="5" s="1"/>
  <c r="DI326" i="5" s="1"/>
  <c r="DG329" i="5"/>
  <c r="DH329" i="5" s="1"/>
  <c r="DI329" i="5" s="1"/>
  <c r="DG342" i="5"/>
  <c r="DH342" i="5" s="1"/>
  <c r="DI342" i="5" s="1"/>
  <c r="DG319" i="5"/>
  <c r="DH319" i="5" s="1"/>
  <c r="DI319" i="5" s="1"/>
  <c r="DG317" i="5"/>
  <c r="DH317" i="5" s="1"/>
  <c r="DI317" i="5" s="1"/>
  <c r="DG314" i="5"/>
  <c r="DH314" i="5" s="1"/>
  <c r="DI314" i="5" s="1"/>
  <c r="DG338" i="5"/>
  <c r="DH338" i="5" s="1"/>
  <c r="DI338" i="5" s="1"/>
  <c r="DG331" i="5"/>
  <c r="DH331" i="5" s="1"/>
  <c r="DI331" i="5" s="1"/>
  <c r="DD43" i="5"/>
  <c r="DF43" i="5" s="1"/>
  <c r="DD42" i="5"/>
  <c r="DF42" i="5" s="1"/>
  <c r="DD634" i="5"/>
  <c r="DF633" i="5"/>
  <c r="DF174" i="5"/>
  <c r="W68" i="5"/>
  <c r="DC279" i="5" a="1"/>
  <c r="DC279" i="5" s="1"/>
  <c r="DF279" i="5" s="1"/>
  <c r="DC395" i="5"/>
  <c r="DD266" i="5"/>
  <c r="DF266" i="5" s="1"/>
  <c r="DD265" i="5"/>
  <c r="DF265" i="5" s="1"/>
  <c r="DF210" i="5"/>
  <c r="BW55" i="5"/>
  <c r="DD175" i="5"/>
  <c r="DF175" i="5" s="1"/>
  <c r="DF176" i="5"/>
  <c r="DF242" i="5"/>
  <c r="Y73" i="12"/>
  <c r="AI72" i="12"/>
  <c r="Z72" i="12"/>
  <c r="DH24" i="10"/>
  <c r="DH49" i="10" s="1"/>
  <c r="DH74" i="10" s="1"/>
  <c r="DH99" i="10" s="1"/>
  <c r="DH124" i="10" s="1"/>
  <c r="DH149" i="10" s="1"/>
  <c r="DH174" i="10" s="1"/>
  <c r="DH199" i="10" s="1"/>
  <c r="DH224" i="10" s="1"/>
  <c r="DH249" i="10" s="1"/>
  <c r="DH274" i="10" s="1"/>
  <c r="DH299" i="10" s="1"/>
  <c r="DH324" i="10" s="1"/>
  <c r="DH349" i="10" s="1"/>
  <c r="DH374" i="10" s="1"/>
  <c r="DH399" i="10" s="1"/>
  <c r="DH424" i="10" s="1"/>
  <c r="BC338" i="11"/>
  <c r="BC336" i="11"/>
  <c r="DH22" i="10"/>
  <c r="DH47" i="10" s="1"/>
  <c r="DH72" i="10" s="1"/>
  <c r="DH97" i="10" s="1"/>
  <c r="DH122" i="10" s="1"/>
  <c r="DH147" i="10" s="1"/>
  <c r="DH172" i="10" s="1"/>
  <c r="DH197" i="10" s="1"/>
  <c r="DH222" i="10" s="1"/>
  <c r="DH247" i="10" s="1"/>
  <c r="DH272" i="10" s="1"/>
  <c r="DH297" i="10" s="1"/>
  <c r="DH322" i="10" s="1"/>
  <c r="DH347" i="10" s="1"/>
  <c r="DH372" i="10" s="1"/>
  <c r="DH397" i="10" s="1"/>
  <c r="DH422" i="10" s="1"/>
  <c r="DH18" i="10"/>
  <c r="DH43" i="10" s="1"/>
  <c r="DH68" i="10" s="1"/>
  <c r="DH93" i="10" s="1"/>
  <c r="DH118" i="10" s="1"/>
  <c r="DH143" i="10" s="1"/>
  <c r="DH168" i="10" s="1"/>
  <c r="DH193" i="10" s="1"/>
  <c r="DH218" i="10" s="1"/>
  <c r="DH243" i="10" s="1"/>
  <c r="DH268" i="10" s="1"/>
  <c r="DH293" i="10" s="1"/>
  <c r="DH318" i="10" s="1"/>
  <c r="DH343" i="10" s="1"/>
  <c r="DH368" i="10" s="1"/>
  <c r="DH393" i="10" s="1"/>
  <c r="DH418" i="10" s="1"/>
  <c r="BC332" i="11"/>
  <c r="DH28" i="10"/>
  <c r="DH53" i="10" s="1"/>
  <c r="DH78" i="10" s="1"/>
  <c r="DH103" i="10" s="1"/>
  <c r="DH128" i="10" s="1"/>
  <c r="DH153" i="10" s="1"/>
  <c r="DH178" i="10" s="1"/>
  <c r="DH203" i="10" s="1"/>
  <c r="DH228" i="10" s="1"/>
  <c r="DH253" i="10" s="1"/>
  <c r="DH278" i="10" s="1"/>
  <c r="DH303" i="10" s="1"/>
  <c r="DH328" i="10" s="1"/>
  <c r="DH353" i="10" s="1"/>
  <c r="DH378" i="10" s="1"/>
  <c r="DH403" i="10" s="1"/>
  <c r="DH428" i="10" s="1"/>
  <c r="BC342" i="11"/>
  <c r="CP47" i="12"/>
  <c r="CR47" i="12"/>
  <c r="CS47" i="12"/>
  <c r="CQ47" i="12"/>
  <c r="DJ203" i="5"/>
  <c r="DJ525" i="5"/>
  <c r="DM525" i="5" s="1"/>
  <c r="DJ595" i="5"/>
  <c r="DM595" i="5" s="1"/>
  <c r="DJ447" i="5"/>
  <c r="DM447" i="5" s="1"/>
  <c r="DJ208" i="5"/>
  <c r="DJ602" i="5"/>
  <c r="DJ377" i="5"/>
  <c r="DM377" i="5" s="1"/>
  <c r="DJ524" i="5"/>
  <c r="DJ702" i="5"/>
  <c r="DJ376" i="5"/>
  <c r="DJ375" i="5"/>
  <c r="DJ110" i="5"/>
  <c r="DJ599" i="5"/>
  <c r="DJ559" i="5"/>
  <c r="DJ704" i="5"/>
  <c r="DJ409" i="5"/>
  <c r="DJ78" i="5"/>
  <c r="DM78" i="5" s="1"/>
  <c r="DJ450" i="5"/>
  <c r="DJ209" i="5"/>
  <c r="DJ706" i="5"/>
  <c r="DJ668" i="5"/>
  <c r="DJ483" i="5"/>
  <c r="DJ372" i="5"/>
  <c r="DJ114" i="5"/>
  <c r="DJ523" i="5"/>
  <c r="DJ596" i="5"/>
  <c r="DJ210" i="5"/>
  <c r="DJ16" i="5"/>
  <c r="DM16" i="5" s="1"/>
  <c r="DJ258" i="5"/>
  <c r="DJ522" i="5"/>
  <c r="DJ410" i="5"/>
  <c r="DM410" i="5" s="1"/>
  <c r="DJ670" i="5"/>
  <c r="DM670" i="5" s="1"/>
  <c r="DJ151" i="5"/>
  <c r="DJ77" i="5"/>
  <c r="DJ115" i="5"/>
  <c r="DM115" i="5" s="1"/>
  <c r="DJ147" i="5"/>
  <c r="DJ741" i="5"/>
  <c r="DJ414" i="5"/>
  <c r="DM414" i="5" s="1"/>
  <c r="DJ206" i="5"/>
  <c r="DM206" i="5" s="1"/>
  <c r="DJ451" i="5"/>
  <c r="DM451" i="5" s="1"/>
  <c r="DJ487" i="5"/>
  <c r="DJ74" i="5"/>
  <c r="DM74" i="5" s="1"/>
  <c r="DJ207" i="5"/>
  <c r="DJ75" i="5"/>
  <c r="DJ707" i="5"/>
  <c r="DM707" i="5" s="1"/>
  <c r="DJ669" i="5"/>
  <c r="DJ211" i="5"/>
  <c r="DJ666" i="5"/>
  <c r="DM666" i="5" s="1"/>
  <c r="DJ603" i="5"/>
  <c r="DJ562" i="5"/>
  <c r="DM562" i="5" s="1"/>
  <c r="DJ486" i="5"/>
  <c r="DJ743" i="5"/>
  <c r="DJ488" i="5"/>
  <c r="DM488" i="5" s="1"/>
  <c r="DJ35" i="5"/>
  <c r="DJ520" i="5"/>
  <c r="DJ740" i="5"/>
  <c r="DM740" i="5" s="1"/>
  <c r="DJ484" i="5"/>
  <c r="DM484" i="5" s="1"/>
  <c r="DJ169" i="5"/>
  <c r="DJ560" i="5"/>
  <c r="DJ485" i="5"/>
  <c r="DJ73" i="5"/>
  <c r="DJ703" i="5"/>
  <c r="DM703" i="5" s="1"/>
  <c r="DJ561" i="5"/>
  <c r="DJ449" i="5"/>
  <c r="DJ594" i="5"/>
  <c r="DJ112" i="5"/>
  <c r="DJ152" i="5"/>
  <c r="DM152" i="5" s="1"/>
  <c r="DJ259" i="5"/>
  <c r="DM259" i="5" s="1"/>
  <c r="DJ597" i="5"/>
  <c r="DM597" i="5" s="1"/>
  <c r="DJ168" i="5"/>
  <c r="DM168" i="5" s="1"/>
  <c r="DJ600" i="5"/>
  <c r="DJ113" i="5"/>
  <c r="DJ204" i="5"/>
  <c r="DM204" i="5" s="1"/>
  <c r="DJ744" i="5"/>
  <c r="DM744" i="5" s="1"/>
  <c r="DJ212" i="5"/>
  <c r="DJ412" i="5"/>
  <c r="DJ205" i="5"/>
  <c r="DJ739" i="5"/>
  <c r="DJ111" i="5"/>
  <c r="DM111" i="5" s="1"/>
  <c r="DJ446" i="5"/>
  <c r="DJ742" i="5"/>
  <c r="DJ667" i="5"/>
  <c r="DJ374" i="5"/>
  <c r="DJ76" i="5"/>
  <c r="DJ598" i="5"/>
  <c r="DJ413" i="5"/>
  <c r="DJ558" i="5"/>
  <c r="DM558" i="5" s="1"/>
  <c r="DJ521" i="5"/>
  <c r="DM521" i="5" s="1"/>
  <c r="DJ150" i="5"/>
  <c r="DJ17" i="5"/>
  <c r="DJ373" i="5"/>
  <c r="DM373" i="5" s="1"/>
  <c r="DJ601" i="5"/>
  <c r="DJ36" i="5"/>
  <c r="DM36" i="5" s="1"/>
  <c r="DJ705" i="5"/>
  <c r="DJ148" i="5"/>
  <c r="DM148" i="5" s="1"/>
  <c r="DJ411" i="5"/>
  <c r="DJ149" i="5"/>
  <c r="DJ665" i="5"/>
  <c r="DJ448" i="5"/>
  <c r="DJ557" i="5"/>
  <c r="AJ30" i="12"/>
  <c r="CO37" i="12"/>
  <c r="AJ31" i="12"/>
  <c r="CH22" i="12"/>
  <c r="BQ23" i="12"/>
  <c r="CH23" i="12" s="1"/>
  <c r="CG22" i="12"/>
  <c r="CK22" i="12" s="1"/>
  <c r="BP23" i="12"/>
  <c r="CG23" i="12" s="1"/>
  <c r="CK23" i="12" s="1"/>
  <c r="DM35" i="9" a="1"/>
  <c r="DM35" i="9" s="1"/>
  <c r="DO35" i="9" a="1"/>
  <c r="DO35" i="9" s="1"/>
  <c r="DP35" i="9" s="1"/>
  <c r="DL35" i="9" s="1" a="1"/>
  <c r="DL35" i="9" s="1"/>
  <c r="DK35" i="9" a="1"/>
  <c r="DK35" i="9" s="1"/>
  <c r="CG35" i="9" s="1"/>
  <c r="DN35" i="9" a="1"/>
  <c r="DN35" i="9" s="1"/>
  <c r="DO16" i="9" a="1"/>
  <c r="DO16" i="9" s="1"/>
  <c r="DP16" i="9" s="1"/>
  <c r="DL16" i="9" s="1" a="1"/>
  <c r="DL16" i="9" s="1"/>
  <c r="DN16" i="9" a="1"/>
  <c r="DN16" i="9" s="1"/>
  <c r="DK16" i="9" a="1"/>
  <c r="DK16" i="9" s="1"/>
  <c r="CG16" i="9" s="1"/>
  <c r="DM16" i="9" a="1"/>
  <c r="DM16" i="9" s="1"/>
  <c r="DO33" i="9" a="1"/>
  <c r="DO33" i="9" s="1"/>
  <c r="DP33" i="9" s="1"/>
  <c r="DL33" i="9" s="1" a="1"/>
  <c r="DL33" i="9" s="1"/>
  <c r="DN33" i="9" a="1"/>
  <c r="DN33" i="9" s="1"/>
  <c r="DK33" i="9" a="1"/>
  <c r="DK33" i="9" s="1"/>
  <c r="CG33" i="9" s="1"/>
  <c r="DM33" i="9" a="1"/>
  <c r="DM33" i="9" s="1"/>
  <c r="DM34" i="9" a="1"/>
  <c r="DM34" i="9" s="1"/>
  <c r="DK34" i="9" a="1"/>
  <c r="DK34" i="9" s="1"/>
  <c r="CG34" i="9" s="1"/>
  <c r="DO34" i="9" a="1"/>
  <c r="DO34" i="9" s="1"/>
  <c r="DP34" i="9" s="1"/>
  <c r="DL34" i="9" s="1" a="1"/>
  <c r="DL34" i="9" s="1"/>
  <c r="DN34" i="9" a="1"/>
  <c r="DN34" i="9" s="1"/>
  <c r="DM66" i="9" a="1"/>
  <c r="DM66" i="9" s="1"/>
  <c r="DK66" i="9" a="1"/>
  <c r="DK66" i="9" s="1"/>
  <c r="CG66" i="9" s="1"/>
  <c r="DO66" i="9" a="1"/>
  <c r="DO66" i="9" s="1"/>
  <c r="DP66" i="9" s="1"/>
  <c r="DL66" i="9" s="1" a="1"/>
  <c r="DL66" i="9" s="1"/>
  <c r="DN66" i="9" a="1"/>
  <c r="DN66" i="9" s="1"/>
  <c r="DK26" i="9" a="1"/>
  <c r="DK26" i="9" s="1"/>
  <c r="CG26" i="9" s="1"/>
  <c r="DN26" i="9" a="1"/>
  <c r="DN26" i="9" s="1"/>
  <c r="DO26" i="9" a="1"/>
  <c r="DO26" i="9" s="1"/>
  <c r="DP26" i="9" s="1"/>
  <c r="DL26" i="9" s="1" a="1"/>
  <c r="DL26" i="9" s="1"/>
  <c r="DM26" i="9" a="1"/>
  <c r="DM26" i="9" s="1"/>
  <c r="DM40" i="9" a="1"/>
  <c r="DM40" i="9" s="1"/>
  <c r="DN40" i="9" a="1"/>
  <c r="DN40" i="9" s="1"/>
  <c r="DK40" i="9" a="1"/>
  <c r="DK40" i="9" s="1"/>
  <c r="CG40" i="9" s="1"/>
  <c r="DO40" i="9" a="1"/>
  <c r="DO40" i="9" s="1"/>
  <c r="DP40" i="9" s="1"/>
  <c r="DL40" i="9" s="1" a="1"/>
  <c r="DL40" i="9" s="1"/>
  <c r="DN49" i="9" a="1"/>
  <c r="DN49" i="9" s="1"/>
  <c r="DO49" i="9" a="1"/>
  <c r="DO49" i="9" s="1"/>
  <c r="DP49" i="9" s="1"/>
  <c r="DL49" i="9" s="1" a="1"/>
  <c r="DL49" i="9" s="1"/>
  <c r="DK49" i="9" a="1"/>
  <c r="DK49" i="9" s="1"/>
  <c r="CG49" i="9" s="1"/>
  <c r="DM49" i="9" a="1"/>
  <c r="DM49" i="9" s="1"/>
  <c r="DO19" i="9" a="1"/>
  <c r="DO19" i="9" s="1"/>
  <c r="DP19" i="9" s="1"/>
  <c r="DL19" i="9" s="1" a="1"/>
  <c r="DL19" i="9" s="1"/>
  <c r="DN19" i="9" a="1"/>
  <c r="DN19" i="9" s="1"/>
  <c r="DK19" i="9" a="1"/>
  <c r="DK19" i="9" s="1"/>
  <c r="CG19" i="9" s="1"/>
  <c r="DM19" i="9" a="1"/>
  <c r="DM19" i="9" s="1"/>
  <c r="DN14" i="9" a="1"/>
  <c r="DN14" i="9" s="1"/>
  <c r="DK14" i="9" a="1"/>
  <c r="DK14" i="9" s="1"/>
  <c r="CG14" i="9" s="1"/>
  <c r="DO14" i="9" a="1"/>
  <c r="DO14" i="9" s="1"/>
  <c r="DP14" i="9" s="1"/>
  <c r="DL14" i="9" s="1" a="1"/>
  <c r="DL14" i="9" s="1"/>
  <c r="DM14" i="9" a="1"/>
  <c r="DM14" i="9" s="1"/>
  <c r="DM44" i="9" a="1"/>
  <c r="DM44" i="9" s="1"/>
  <c r="DK44" i="9" a="1"/>
  <c r="DK44" i="9" s="1"/>
  <c r="CG44" i="9" s="1"/>
  <c r="DO44" i="9" a="1"/>
  <c r="DO44" i="9" s="1"/>
  <c r="DP44" i="9" s="1"/>
  <c r="DL44" i="9" s="1" a="1"/>
  <c r="DL44" i="9" s="1"/>
  <c r="DN44" i="9" a="1"/>
  <c r="DN44" i="9" s="1"/>
  <c r="DN32" i="9" a="1"/>
  <c r="DN32" i="9" s="1"/>
  <c r="DK32" i="9" a="1"/>
  <c r="DK32" i="9" s="1"/>
  <c r="CG32" i="9" s="1"/>
  <c r="DM32" i="9" a="1"/>
  <c r="DM32" i="9" s="1"/>
  <c r="DO32" i="9" a="1"/>
  <c r="DO32" i="9" s="1"/>
  <c r="DP32" i="9" s="1"/>
  <c r="DL32" i="9" s="1" a="1"/>
  <c r="DL32" i="9" s="1"/>
  <c r="DK38" i="9" a="1"/>
  <c r="DK38" i="9" s="1"/>
  <c r="CG38" i="9" s="1"/>
  <c r="DO38" i="9" a="1"/>
  <c r="DO38" i="9" s="1"/>
  <c r="DP38" i="9" s="1"/>
  <c r="DL38" i="9" s="1" a="1"/>
  <c r="DL38" i="9" s="1"/>
  <c r="DM38" i="9" a="1"/>
  <c r="DM38" i="9" s="1"/>
  <c r="DN38" i="9" a="1"/>
  <c r="DN38" i="9" s="1"/>
  <c r="DO36" i="9" a="1"/>
  <c r="DO36" i="9" s="1"/>
  <c r="DP36" i="9" s="1"/>
  <c r="DL36" i="9" s="1" a="1"/>
  <c r="DL36" i="9" s="1"/>
  <c r="DN36" i="9" a="1"/>
  <c r="DN36" i="9" s="1"/>
  <c r="DK36" i="9" a="1"/>
  <c r="DK36" i="9" s="1"/>
  <c r="CG36" i="9" s="1"/>
  <c r="DM36" i="9" a="1"/>
  <c r="DM36" i="9" s="1"/>
  <c r="DM85" i="9" a="1"/>
  <c r="DM85" i="9" s="1"/>
  <c r="DN85" i="9" a="1"/>
  <c r="DN85" i="9" s="1"/>
  <c r="DK85" i="9" a="1"/>
  <c r="DK85" i="9" s="1"/>
  <c r="CG85" i="9" s="1"/>
  <c r="DO85" i="9" a="1"/>
  <c r="DO85" i="9" s="1"/>
  <c r="DP85" i="9" s="1"/>
  <c r="DL85" i="9" s="1" a="1"/>
  <c r="DL85" i="9" s="1"/>
  <c r="DK20" i="9" a="1"/>
  <c r="DK20" i="9" s="1"/>
  <c r="CG20" i="9" s="1"/>
  <c r="DN20" i="9" a="1"/>
  <c r="DN20" i="9" s="1"/>
  <c r="DM20" i="9" a="1"/>
  <c r="DM20" i="9" s="1"/>
  <c r="DO20" i="9" a="1"/>
  <c r="DO20" i="9" s="1"/>
  <c r="DP20" i="9" s="1"/>
  <c r="DL20" i="9" s="1" a="1"/>
  <c r="DL20" i="9" s="1"/>
  <c r="DK29" i="9" a="1"/>
  <c r="DK29" i="9" s="1"/>
  <c r="CG29" i="9" s="1"/>
  <c r="DN29" i="9" a="1"/>
  <c r="DN29" i="9" s="1"/>
  <c r="DO29" i="9" a="1"/>
  <c r="DO29" i="9" s="1"/>
  <c r="DP29" i="9" s="1"/>
  <c r="DL29" i="9" s="1" a="1"/>
  <c r="DL29" i="9" s="1"/>
  <c r="DM29" i="9" a="1"/>
  <c r="DM29" i="9" s="1"/>
  <c r="DM39" i="9" a="1"/>
  <c r="DM39" i="9" s="1"/>
  <c r="DN39" i="9" a="1"/>
  <c r="DN39" i="9" s="1"/>
  <c r="DO39" i="9" a="1"/>
  <c r="DO39" i="9" s="1"/>
  <c r="DP39" i="9" s="1"/>
  <c r="DL39" i="9" s="1" a="1"/>
  <c r="DL39" i="9" s="1"/>
  <c r="DK39" i="9" a="1"/>
  <c r="DK39" i="9" s="1"/>
  <c r="CG39" i="9" s="1"/>
  <c r="DM50" i="9" a="1"/>
  <c r="DM50" i="9" s="1"/>
  <c r="DO50" i="9" a="1"/>
  <c r="DO50" i="9" s="1"/>
  <c r="DP50" i="9" s="1"/>
  <c r="DL50" i="9" s="1" a="1"/>
  <c r="DL50" i="9" s="1"/>
  <c r="DK50" i="9" a="1"/>
  <c r="DK50" i="9" s="1"/>
  <c r="CG50" i="9" s="1"/>
  <c r="DN50" i="9" a="1"/>
  <c r="DN50" i="9" s="1"/>
  <c r="DN18" i="9" a="1"/>
  <c r="DN18" i="9" s="1"/>
  <c r="DO18" i="9" a="1"/>
  <c r="DO18" i="9" s="1"/>
  <c r="DP18" i="9" s="1"/>
  <c r="DL18" i="9" s="1" a="1"/>
  <c r="DL18" i="9" s="1"/>
  <c r="DM18" i="9" a="1"/>
  <c r="DM18" i="9" s="1"/>
  <c r="DK18" i="9" a="1"/>
  <c r="DK18" i="9" s="1"/>
  <c r="CG18" i="9" s="1"/>
  <c r="DN37" i="9" a="1"/>
  <c r="DN37" i="9" s="1"/>
  <c r="DM37" i="9" a="1"/>
  <c r="DM37" i="9" s="1"/>
  <c r="DO37" i="9" a="1"/>
  <c r="DO37" i="9" s="1"/>
  <c r="DP37" i="9" s="1"/>
  <c r="DL37" i="9" s="1" a="1"/>
  <c r="DL37" i="9" s="1"/>
  <c r="DK37" i="9" a="1"/>
  <c r="DK37" i="9" s="1"/>
  <c r="CG37" i="9" s="1"/>
  <c r="DO28" i="9" a="1"/>
  <c r="DO28" i="9" s="1"/>
  <c r="DP28" i="9" s="1"/>
  <c r="DL28" i="9" s="1" a="1"/>
  <c r="DL28" i="9" s="1"/>
  <c r="DN28" i="9" a="1"/>
  <c r="DN28" i="9" s="1"/>
  <c r="DK28" i="9" a="1"/>
  <c r="DK28" i="9" s="1"/>
  <c r="CG28" i="9" s="1"/>
  <c r="DM28" i="9" a="1"/>
  <c r="DM28" i="9" s="1"/>
  <c r="DO24" i="9" a="1"/>
  <c r="DO24" i="9" s="1"/>
  <c r="DP24" i="9" s="1"/>
  <c r="DL24" i="9" s="1" a="1"/>
  <c r="DL24" i="9" s="1"/>
  <c r="DK24" i="9" a="1"/>
  <c r="DK24" i="9" s="1"/>
  <c r="CG24" i="9" s="1"/>
  <c r="DN24" i="9" a="1"/>
  <c r="DN24" i="9" s="1"/>
  <c r="DM24" i="9" a="1"/>
  <c r="DM24" i="9" s="1"/>
  <c r="DM43" i="9" a="1"/>
  <c r="DM43" i="9" s="1"/>
  <c r="DO43" i="9" a="1"/>
  <c r="DO43" i="9" s="1"/>
  <c r="DP43" i="9" s="1"/>
  <c r="DL43" i="9" s="1" a="1"/>
  <c r="DL43" i="9" s="1"/>
  <c r="DK43" i="9" a="1"/>
  <c r="DK43" i="9" s="1"/>
  <c r="CG43" i="9" s="1"/>
  <c r="DN43" i="9" a="1"/>
  <c r="DN43" i="9" s="1"/>
  <c r="DO23" i="9" a="1"/>
  <c r="DO23" i="9" s="1"/>
  <c r="DP23" i="9" s="1"/>
  <c r="DL23" i="9" s="1" a="1"/>
  <c r="DL23" i="9" s="1"/>
  <c r="DM23" i="9" a="1"/>
  <c r="DM23" i="9" s="1"/>
  <c r="DN23" i="9" a="1"/>
  <c r="DN23" i="9" s="1"/>
  <c r="DK23" i="9" a="1"/>
  <c r="DK23" i="9" s="1"/>
  <c r="CG23" i="9" s="1"/>
  <c r="DM30" i="9" a="1"/>
  <c r="DM30" i="9" s="1"/>
  <c r="DK30" i="9" a="1"/>
  <c r="DK30" i="9" s="1"/>
  <c r="CG30" i="9" s="1"/>
  <c r="DN30" i="9" a="1"/>
  <c r="DN30" i="9" s="1"/>
  <c r="DO30" i="9" a="1"/>
  <c r="DO30" i="9" s="1"/>
  <c r="DP30" i="9" s="1"/>
  <c r="DL30" i="9" s="1" a="1"/>
  <c r="DL30" i="9" s="1"/>
  <c r="DD353" i="10"/>
  <c r="CW331" i="10"/>
  <c r="DM15" i="9" a="1"/>
  <c r="DM15" i="9" s="1"/>
  <c r="DO15" i="9" a="1"/>
  <c r="DO15" i="9" s="1"/>
  <c r="DP15" i="9" s="1"/>
  <c r="DL15" i="9" s="1" a="1"/>
  <c r="DL15" i="9" s="1"/>
  <c r="DK15" i="9" a="1"/>
  <c r="DK15" i="9" s="1"/>
  <c r="CG15" i="9" s="1"/>
  <c r="DN15" i="9" a="1"/>
  <c r="DN15" i="9" s="1"/>
  <c r="DD178" i="10"/>
  <c r="CW156" i="10"/>
  <c r="DD28" i="10"/>
  <c r="CW6" i="10"/>
  <c r="DD203" i="10"/>
  <c r="DD428" i="10" s="1"/>
  <c r="CW181" i="10"/>
  <c r="DD53" i="10"/>
  <c r="CW31" i="10"/>
  <c r="DD103" i="10"/>
  <c r="CW81" i="10"/>
  <c r="DD303" i="10"/>
  <c r="CW281" i="10"/>
  <c r="DD385" i="10"/>
  <c r="DF310" i="10"/>
  <c r="DG158" i="5"/>
  <c r="DH158" i="5" s="1"/>
  <c r="DI158" i="5" s="1"/>
  <c r="DG155" i="5"/>
  <c r="DH155" i="5" s="1"/>
  <c r="DI155" i="5" s="1"/>
  <c r="DG159" i="5"/>
  <c r="DH159" i="5" s="1"/>
  <c r="DI159" i="5" s="1"/>
  <c r="DG139" i="5"/>
  <c r="DH139" i="5" s="1"/>
  <c r="DI139" i="5" s="1"/>
  <c r="DG150" i="5"/>
  <c r="DH150" i="5" s="1"/>
  <c r="DI150" i="5" s="1"/>
  <c r="DG127" i="5"/>
  <c r="DH127" i="5" s="1"/>
  <c r="DI127" i="5" s="1"/>
  <c r="DG151" i="5"/>
  <c r="DH151" i="5" s="1"/>
  <c r="DI151" i="5" s="1"/>
  <c r="DG160" i="5"/>
  <c r="DH160" i="5" s="1"/>
  <c r="DI160" i="5" s="1"/>
  <c r="DG146" i="5"/>
  <c r="DH146" i="5" s="1"/>
  <c r="DI146" i="5" s="1"/>
  <c r="DG144" i="5"/>
  <c r="DH144" i="5" s="1"/>
  <c r="DI144" i="5" s="1"/>
  <c r="DG136" i="5"/>
  <c r="DH136" i="5" s="1"/>
  <c r="DI136" i="5" s="1"/>
  <c r="DG148" i="5"/>
  <c r="DH148" i="5" s="1"/>
  <c r="DI148" i="5" s="1"/>
  <c r="DG132" i="5"/>
  <c r="DG129" i="5"/>
  <c r="DH129" i="5" s="1"/>
  <c r="DI129" i="5" s="1"/>
  <c r="DG138" i="5"/>
  <c r="DH138" i="5" s="1"/>
  <c r="DI138" i="5" s="1"/>
  <c r="DG161" i="5"/>
  <c r="DH161" i="5" s="1"/>
  <c r="DI161" i="5" s="1"/>
  <c r="DG149" i="5"/>
  <c r="DH149" i="5" s="1"/>
  <c r="DI149" i="5" s="1"/>
  <c r="DG152" i="5"/>
  <c r="DH152" i="5" s="1"/>
  <c r="DI152" i="5" s="1"/>
  <c r="DG126" i="5"/>
  <c r="DH126" i="5" s="1"/>
  <c r="DI126" i="5" s="1"/>
  <c r="DG133" i="5"/>
  <c r="DH133" i="5" s="1"/>
  <c r="DI133" i="5" s="1"/>
  <c r="DG134" i="5"/>
  <c r="DH134" i="5" s="1"/>
  <c r="DI134" i="5" s="1"/>
  <c r="DG162" i="5"/>
  <c r="DH162" i="5" s="1"/>
  <c r="DI162" i="5" s="1"/>
  <c r="DG137" i="5"/>
  <c r="DH137" i="5" s="1"/>
  <c r="DI137" i="5" s="1"/>
  <c r="DG143" i="5"/>
  <c r="DH143" i="5" s="1"/>
  <c r="DI143" i="5" s="1"/>
  <c r="DG131" i="5"/>
  <c r="DH131" i="5" s="1"/>
  <c r="DI131" i="5" s="1"/>
  <c r="DG140" i="5"/>
  <c r="DH140" i="5" s="1"/>
  <c r="DI140" i="5" s="1"/>
  <c r="DG154" i="5"/>
  <c r="DH154" i="5" s="1"/>
  <c r="DI154" i="5" s="1"/>
  <c r="DG157" i="5"/>
  <c r="DH157" i="5" s="1"/>
  <c r="DI157" i="5" s="1"/>
  <c r="DG135" i="5"/>
  <c r="DH135" i="5" s="1"/>
  <c r="DI135" i="5" s="1"/>
  <c r="DG141" i="5"/>
  <c r="DH141" i="5" s="1"/>
  <c r="DI141" i="5" s="1"/>
  <c r="DG147" i="5"/>
  <c r="DH147" i="5" s="1"/>
  <c r="DI147" i="5" s="1"/>
  <c r="DG156" i="5"/>
  <c r="DH156" i="5" s="1"/>
  <c r="DI156" i="5" s="1"/>
  <c r="DG130" i="5"/>
  <c r="DH130" i="5" s="1"/>
  <c r="DI130" i="5" s="1"/>
  <c r="DG142" i="5"/>
  <c r="DH142" i="5" s="1"/>
  <c r="DI142" i="5" s="1"/>
  <c r="DG145" i="5"/>
  <c r="DH145" i="5" s="1"/>
  <c r="DI145" i="5" s="1"/>
  <c r="DG128" i="5"/>
  <c r="DH128" i="5" s="1"/>
  <c r="DI128" i="5" s="1"/>
  <c r="DG153" i="5"/>
  <c r="DH153" i="5" s="1"/>
  <c r="DI153" i="5" s="1"/>
  <c r="X13" i="21" l="1"/>
  <c r="X14" i="21"/>
  <c r="R16" i="21"/>
  <c r="DF651" i="5"/>
  <c r="DC60" i="5"/>
  <c r="DF60" i="5" s="1"/>
  <c r="DG164" i="5"/>
  <c r="DH164" i="5" s="1"/>
  <c r="DI164" i="5" s="1"/>
  <c r="DG48" i="5"/>
  <c r="DH48" i="5" s="1"/>
  <c r="DI48" i="5" s="1"/>
  <c r="DG14" i="5"/>
  <c r="DH14" i="5" s="1"/>
  <c r="DI14" i="5" s="1"/>
  <c r="DF506" i="5"/>
  <c r="DC507" i="5"/>
  <c r="DE598" i="5"/>
  <c r="DF598" i="5" s="1"/>
  <c r="DF599" i="5"/>
  <c r="DH255" i="5"/>
  <c r="DI255" i="5" s="1"/>
  <c r="DG274" i="5"/>
  <c r="DH274" i="5" s="1"/>
  <c r="DI274" i="5" s="1"/>
  <c r="DG255" i="5"/>
  <c r="DG253" i="5"/>
  <c r="DH253" i="5" s="1"/>
  <c r="DI253" i="5" s="1"/>
  <c r="DG256" i="5"/>
  <c r="DH256" i="5" s="1"/>
  <c r="DI256" i="5" s="1"/>
  <c r="DG261" i="5"/>
  <c r="DH261" i="5" s="1"/>
  <c r="DI261" i="5" s="1"/>
  <c r="DG262" i="5"/>
  <c r="DH262" i="5" s="1"/>
  <c r="DI262" i="5" s="1"/>
  <c r="DG258" i="5"/>
  <c r="DH258" i="5" s="1"/>
  <c r="DI258" i="5" s="1"/>
  <c r="DG269" i="5"/>
  <c r="DH269" i="5" s="1"/>
  <c r="DI269" i="5" s="1"/>
  <c r="DG264" i="5"/>
  <c r="DH264" i="5" s="1"/>
  <c r="DI264" i="5" s="1"/>
  <c r="DG260" i="5"/>
  <c r="DH260" i="5" s="1"/>
  <c r="DI260" i="5" s="1"/>
  <c r="DG265" i="5"/>
  <c r="DH265" i="5" s="1"/>
  <c r="DI265" i="5" s="1"/>
  <c r="DG272" i="5"/>
  <c r="DH272" i="5" s="1"/>
  <c r="DI272" i="5" s="1"/>
  <c r="DG273" i="5"/>
  <c r="DH273" i="5" s="1"/>
  <c r="DI273" i="5" s="1"/>
  <c r="DG254" i="5"/>
  <c r="DH254" i="5" s="1"/>
  <c r="DI254" i="5" s="1"/>
  <c r="DG270" i="5"/>
  <c r="DH270" i="5" s="1"/>
  <c r="DI270" i="5" s="1"/>
  <c r="DG266" i="5"/>
  <c r="DH266" i="5" s="1"/>
  <c r="DI266" i="5" s="1"/>
  <c r="DG267" i="5"/>
  <c r="DH267" i="5" s="1"/>
  <c r="DI267" i="5" s="1"/>
  <c r="DG268" i="5"/>
  <c r="DH268" i="5" s="1"/>
  <c r="DI268" i="5" s="1"/>
  <c r="DG263" i="5"/>
  <c r="DH263" i="5" s="1"/>
  <c r="DI263" i="5" s="1"/>
  <c r="DG257" i="5"/>
  <c r="DH257" i="5" s="1"/>
  <c r="DI257" i="5" s="1"/>
  <c r="DG259" i="5"/>
  <c r="DH259" i="5" s="1"/>
  <c r="DI259" i="5" s="1"/>
  <c r="DF358" i="5"/>
  <c r="DC359" i="5"/>
  <c r="DE602" i="5"/>
  <c r="DF602" i="5" s="1"/>
  <c r="DF603" i="5"/>
  <c r="DE220" i="5"/>
  <c r="DF220" i="5" s="1"/>
  <c r="DF221" i="5"/>
  <c r="DH279" i="5"/>
  <c r="DI279" i="5" s="1"/>
  <c r="DG300" i="5"/>
  <c r="DH300" i="5" s="1"/>
  <c r="DI300" i="5" s="1"/>
  <c r="DG281" i="5"/>
  <c r="DH281" i="5" s="1"/>
  <c r="DI281" i="5" s="1"/>
  <c r="DG303" i="5"/>
  <c r="DH303" i="5" s="1"/>
  <c r="DI303" i="5" s="1"/>
  <c r="DG305" i="5"/>
  <c r="DH305" i="5" s="1"/>
  <c r="DI305" i="5" s="1"/>
  <c r="DG309" i="5"/>
  <c r="DH309" i="5" s="1"/>
  <c r="DI309" i="5" s="1"/>
  <c r="DG277" i="5"/>
  <c r="DH277" i="5" s="1"/>
  <c r="DI277" i="5" s="1"/>
  <c r="DG289" i="5"/>
  <c r="DH289" i="5" s="1"/>
  <c r="DI289" i="5" s="1"/>
  <c r="DG291" i="5"/>
  <c r="DH291" i="5" s="1"/>
  <c r="DI291" i="5" s="1"/>
  <c r="DG312" i="5"/>
  <c r="DH312" i="5" s="1"/>
  <c r="DI312" i="5" s="1"/>
  <c r="DG283" i="5"/>
  <c r="DH283" i="5" s="1"/>
  <c r="DI283" i="5" s="1"/>
  <c r="DG284" i="5"/>
  <c r="DH284" i="5" s="1"/>
  <c r="DI284" i="5" s="1"/>
  <c r="DG299" i="5"/>
  <c r="DH299" i="5" s="1"/>
  <c r="DI299" i="5" s="1"/>
  <c r="DG298" i="5"/>
  <c r="DH298" i="5" s="1"/>
  <c r="DI298" i="5" s="1"/>
  <c r="DG295" i="5"/>
  <c r="DH295" i="5" s="1"/>
  <c r="DI295" i="5" s="1"/>
  <c r="DG297" i="5"/>
  <c r="DH297" i="5" s="1"/>
  <c r="DI297" i="5" s="1"/>
  <c r="DG276" i="5"/>
  <c r="DH276" i="5" s="1"/>
  <c r="DI276" i="5" s="1"/>
  <c r="DG287" i="5"/>
  <c r="DH287" i="5" s="1"/>
  <c r="DI287" i="5" s="1"/>
  <c r="DG302" i="5"/>
  <c r="DH302" i="5" s="1"/>
  <c r="DI302" i="5" s="1"/>
  <c r="DG293" i="5"/>
  <c r="DH293" i="5" s="1"/>
  <c r="DI293" i="5" s="1"/>
  <c r="DG285" i="5"/>
  <c r="DH285" i="5" s="1"/>
  <c r="DI285" i="5" s="1"/>
  <c r="DG294" i="5"/>
  <c r="DH294" i="5" s="1"/>
  <c r="DI294" i="5" s="1"/>
  <c r="DG279" i="5"/>
  <c r="DG292" i="5"/>
  <c r="DH292" i="5" s="1"/>
  <c r="DI292" i="5" s="1"/>
  <c r="DG308" i="5"/>
  <c r="DH308" i="5" s="1"/>
  <c r="DI308" i="5" s="1"/>
  <c r="DG286" i="5"/>
  <c r="DH286" i="5" s="1"/>
  <c r="DI286" i="5" s="1"/>
  <c r="DG290" i="5"/>
  <c r="DH290" i="5" s="1"/>
  <c r="DI290" i="5" s="1"/>
  <c r="DG301" i="5"/>
  <c r="DH301" i="5" s="1"/>
  <c r="DI301" i="5" s="1"/>
  <c r="DG311" i="5"/>
  <c r="DH311" i="5" s="1"/>
  <c r="DI311" i="5" s="1"/>
  <c r="DG304" i="5"/>
  <c r="DH304" i="5" s="1"/>
  <c r="DI304" i="5" s="1"/>
  <c r="DG280" i="5"/>
  <c r="DH280" i="5" s="1"/>
  <c r="DI280" i="5" s="1"/>
  <c r="DG310" i="5"/>
  <c r="DH310" i="5" s="1"/>
  <c r="DI310" i="5" s="1"/>
  <c r="DG307" i="5"/>
  <c r="DH307" i="5" s="1"/>
  <c r="DI307" i="5" s="1"/>
  <c r="DG296" i="5"/>
  <c r="DH296" i="5" s="1"/>
  <c r="DI296" i="5" s="1"/>
  <c r="DG278" i="5"/>
  <c r="DH278" i="5" s="1"/>
  <c r="DI278" i="5" s="1"/>
  <c r="DG282" i="5"/>
  <c r="DH282" i="5" s="1"/>
  <c r="DI282" i="5" s="1"/>
  <c r="DG288" i="5"/>
  <c r="DH288" i="5" s="1"/>
  <c r="DI288" i="5" s="1"/>
  <c r="DG306" i="5"/>
  <c r="DH306" i="5" s="1"/>
  <c r="DI306" i="5" s="1"/>
  <c r="DG275" i="5"/>
  <c r="DH275" i="5" s="1"/>
  <c r="DI275" i="5" s="1"/>
  <c r="DF469" i="5"/>
  <c r="DC470" i="5"/>
  <c r="DE207" i="5"/>
  <c r="DF207" i="5" s="1"/>
  <c r="DF208" i="5"/>
  <c r="DC396" i="5"/>
  <c r="DF395" i="5"/>
  <c r="DH32" i="5"/>
  <c r="DI32" i="5" s="1"/>
  <c r="DG35" i="5"/>
  <c r="DH35" i="5" s="1"/>
  <c r="DI35" i="5" s="1"/>
  <c r="DG32" i="5"/>
  <c r="DG38" i="5"/>
  <c r="DH38" i="5" s="1"/>
  <c r="DI38" i="5" s="1"/>
  <c r="DG33" i="5"/>
  <c r="DH33" i="5" s="1"/>
  <c r="DI33" i="5" s="1"/>
  <c r="DG49" i="5"/>
  <c r="DH49" i="5" s="1"/>
  <c r="DI49" i="5" s="1"/>
  <c r="DG43" i="5"/>
  <c r="DH43" i="5" s="1"/>
  <c r="DI43" i="5" s="1"/>
  <c r="DG40" i="5"/>
  <c r="DH40" i="5" s="1"/>
  <c r="DI40" i="5" s="1"/>
  <c r="DG50" i="5"/>
  <c r="DH50" i="5" s="1"/>
  <c r="DI50" i="5" s="1"/>
  <c r="DG46" i="5"/>
  <c r="DH46" i="5" s="1"/>
  <c r="DI46" i="5" s="1"/>
  <c r="DG51" i="5"/>
  <c r="DH51" i="5" s="1"/>
  <c r="DI51" i="5" s="1"/>
  <c r="DG36" i="5"/>
  <c r="DH36" i="5" s="1"/>
  <c r="DI36" i="5" s="1"/>
  <c r="DG30" i="5"/>
  <c r="DH30" i="5" s="1"/>
  <c r="DI30" i="5" s="1"/>
  <c r="DG44" i="5"/>
  <c r="DH44" i="5" s="1"/>
  <c r="DI44" i="5" s="1"/>
  <c r="DG37" i="5"/>
  <c r="DH37" i="5" s="1"/>
  <c r="DI37" i="5" s="1"/>
  <c r="DG47" i="5"/>
  <c r="DH47" i="5" s="1"/>
  <c r="DI47" i="5" s="1"/>
  <c r="DG45" i="5"/>
  <c r="DH45" i="5" s="1"/>
  <c r="DI45" i="5" s="1"/>
  <c r="DG34" i="5"/>
  <c r="DH34" i="5" s="1"/>
  <c r="DI34" i="5" s="1"/>
  <c r="DG42" i="5"/>
  <c r="DH42" i="5" s="1"/>
  <c r="DI42" i="5" s="1"/>
  <c r="DG31" i="5"/>
  <c r="DH31" i="5" s="1"/>
  <c r="DI31" i="5" s="1"/>
  <c r="DG41" i="5"/>
  <c r="DH41" i="5" s="1"/>
  <c r="DI41" i="5" s="1"/>
  <c r="DG39" i="5"/>
  <c r="DH39" i="5" s="1"/>
  <c r="DI39" i="5" s="1"/>
  <c r="DC653" i="5"/>
  <c r="DF652" i="5"/>
  <c r="DG181" i="5"/>
  <c r="DH181" i="5" s="1"/>
  <c r="DI181" i="5" s="1"/>
  <c r="DG179" i="5"/>
  <c r="DH179" i="5" s="1"/>
  <c r="DI179" i="5" s="1"/>
  <c r="DG171" i="5"/>
  <c r="DH171" i="5" s="1"/>
  <c r="DI171" i="5" s="1"/>
  <c r="DG174" i="5"/>
  <c r="DH174" i="5" s="1"/>
  <c r="DI174" i="5" s="1"/>
  <c r="DG172" i="5"/>
  <c r="DH172" i="5" s="1"/>
  <c r="DI172" i="5" s="1"/>
  <c r="DG165" i="5"/>
  <c r="DH165" i="5" s="1"/>
  <c r="DI165" i="5" s="1"/>
  <c r="DG167" i="5"/>
  <c r="DH167" i="5" s="1"/>
  <c r="DI167" i="5" s="1"/>
  <c r="DG175" i="5"/>
  <c r="DH175" i="5" s="1"/>
  <c r="DI175" i="5" s="1"/>
  <c r="DG169" i="5"/>
  <c r="DH169" i="5" s="1"/>
  <c r="DI169" i="5" s="1"/>
  <c r="DG178" i="5"/>
  <c r="DH178" i="5" s="1"/>
  <c r="DI178" i="5" s="1"/>
  <c r="DG170" i="5"/>
  <c r="DH170" i="5" s="1"/>
  <c r="DI170" i="5" s="1"/>
  <c r="DG177" i="5"/>
  <c r="DH177" i="5" s="1"/>
  <c r="DI177" i="5" s="1"/>
  <c r="DG166" i="5"/>
  <c r="DH166" i="5" s="1"/>
  <c r="DI166" i="5" s="1"/>
  <c r="DG168" i="5"/>
  <c r="DH168" i="5" s="1"/>
  <c r="DI168" i="5" s="1"/>
  <c r="DG176" i="5"/>
  <c r="DH176" i="5" s="1"/>
  <c r="DI176" i="5" s="1"/>
  <c r="DG173" i="5"/>
  <c r="DH173" i="5" s="1"/>
  <c r="DI173" i="5" s="1"/>
  <c r="DG180" i="5"/>
  <c r="DH180" i="5" s="1"/>
  <c r="DI180" i="5" s="1"/>
  <c r="DG163" i="5"/>
  <c r="DG19" i="5"/>
  <c r="DH19" i="5" s="1"/>
  <c r="DI19" i="5" s="1"/>
  <c r="DG26" i="5"/>
  <c r="DH26" i="5" s="1"/>
  <c r="DI26" i="5" s="1"/>
  <c r="DG13" i="5"/>
  <c r="DH13" i="5" s="1"/>
  <c r="DI13" i="5" s="1"/>
  <c r="DG23" i="5"/>
  <c r="DH23" i="5" s="1"/>
  <c r="DI23" i="5" s="1"/>
  <c r="DG29" i="5"/>
  <c r="DH29" i="5" s="1"/>
  <c r="DI29" i="5" s="1"/>
  <c r="DG21" i="5"/>
  <c r="DH21" i="5" s="1"/>
  <c r="DI21" i="5" s="1"/>
  <c r="DG24" i="5"/>
  <c r="DH24" i="5" s="1"/>
  <c r="DI24" i="5" s="1"/>
  <c r="DG22" i="5"/>
  <c r="DH22" i="5" s="1"/>
  <c r="DI22" i="5" s="1"/>
  <c r="DG27" i="5"/>
  <c r="DH27" i="5" s="1"/>
  <c r="DI27" i="5" s="1"/>
  <c r="DG16" i="5"/>
  <c r="DH16" i="5" s="1"/>
  <c r="DI16" i="5" s="1"/>
  <c r="DG28" i="5"/>
  <c r="DH28" i="5" s="1"/>
  <c r="DI28" i="5" s="1"/>
  <c r="DG15" i="5"/>
  <c r="DH15" i="5" s="1"/>
  <c r="DI15" i="5" s="1"/>
  <c r="DG18" i="5"/>
  <c r="DH18" i="5" s="1"/>
  <c r="DI18" i="5" s="1"/>
  <c r="DG17" i="5"/>
  <c r="DH17" i="5" s="1"/>
  <c r="DI17" i="5" s="1"/>
  <c r="DG20" i="5"/>
  <c r="DH20" i="5" s="1"/>
  <c r="DI20" i="5" s="1"/>
  <c r="DG11" i="5"/>
  <c r="DG12" i="5"/>
  <c r="DH12" i="5" s="1"/>
  <c r="DI12" i="5" s="1"/>
  <c r="DG25" i="5"/>
  <c r="DH25" i="5" s="1"/>
  <c r="DI25" i="5" s="1"/>
  <c r="DG271" i="5"/>
  <c r="DH271" i="5" s="1"/>
  <c r="DI271" i="5" s="1"/>
  <c r="DC97" i="5"/>
  <c r="DF96" i="5"/>
  <c r="DE611" i="5"/>
  <c r="DF611" i="5" s="1"/>
  <c r="DF612" i="5"/>
  <c r="DD635" i="5"/>
  <c r="DF635" i="5" s="1"/>
  <c r="DF634" i="5"/>
  <c r="DE211" i="5"/>
  <c r="DF211" i="5" s="1"/>
  <c r="DF212" i="5"/>
  <c r="DC689" i="5"/>
  <c r="DF688" i="5"/>
  <c r="AI73" i="12"/>
  <c r="Z73" i="12"/>
  <c r="CP37" i="12"/>
  <c r="CR37" i="12"/>
  <c r="CQ37" i="12"/>
  <c r="CS37" i="12"/>
  <c r="DD403" i="10"/>
  <c r="DO6" i="10" s="1" a="1"/>
  <c r="DO6" i="10" s="1"/>
  <c r="DT377" i="5" s="1"/>
  <c r="DF328" i="10"/>
  <c r="DC61" i="5" l="1"/>
  <c r="X15" i="21"/>
  <c r="R17" i="21"/>
  <c r="DG605" i="5"/>
  <c r="DH605" i="5" s="1"/>
  <c r="DI605" i="5" s="1"/>
  <c r="DG636" i="5"/>
  <c r="DH636" i="5" s="1"/>
  <c r="DI636" i="5" s="1"/>
  <c r="DG634" i="5"/>
  <c r="DH634" i="5" s="1"/>
  <c r="DI634" i="5" s="1"/>
  <c r="DG613" i="5"/>
  <c r="DH613" i="5" s="1"/>
  <c r="DI613" i="5" s="1"/>
  <c r="DG610" i="5"/>
  <c r="DH610" i="5" s="1"/>
  <c r="DI610" i="5" s="1"/>
  <c r="DG594" i="5"/>
  <c r="DH594" i="5" s="1"/>
  <c r="DI594" i="5" s="1"/>
  <c r="DG616" i="5"/>
  <c r="DH616" i="5" s="1"/>
  <c r="DI616" i="5" s="1"/>
  <c r="DG593" i="5"/>
  <c r="DH593" i="5" s="1"/>
  <c r="DI593" i="5" s="1"/>
  <c r="DG621" i="5"/>
  <c r="DH621" i="5" s="1"/>
  <c r="DI621" i="5" s="1"/>
  <c r="DG638" i="5"/>
  <c r="DH638" i="5" s="1"/>
  <c r="DI638" i="5" s="1"/>
  <c r="DG608" i="5"/>
  <c r="DH608" i="5" s="1"/>
  <c r="DI608" i="5" s="1"/>
  <c r="DG604" i="5"/>
  <c r="DH604" i="5" s="1"/>
  <c r="DI604" i="5" s="1"/>
  <c r="DG626" i="5"/>
  <c r="DH626" i="5" s="1"/>
  <c r="DI626" i="5" s="1"/>
  <c r="DG623" i="5"/>
  <c r="DH623" i="5" s="1"/>
  <c r="DI623" i="5" s="1"/>
  <c r="DG599" i="5"/>
  <c r="DH599" i="5" s="1"/>
  <c r="DI599" i="5" s="1"/>
  <c r="DG614" i="5"/>
  <c r="DH614" i="5" s="1"/>
  <c r="DI614" i="5" s="1"/>
  <c r="DG637" i="5"/>
  <c r="DH637" i="5" s="1"/>
  <c r="DI637" i="5" s="1"/>
  <c r="DG609" i="5"/>
  <c r="DH609" i="5" s="1"/>
  <c r="DI609" i="5" s="1"/>
  <c r="DG573" i="5"/>
  <c r="DH573" i="5" s="1"/>
  <c r="DI573" i="5" s="1"/>
  <c r="DG588" i="5"/>
  <c r="DH588" i="5" s="1"/>
  <c r="DI588" i="5" s="1"/>
  <c r="DG628" i="5"/>
  <c r="DH628" i="5" s="1"/>
  <c r="DI628" i="5" s="1"/>
  <c r="DG580" i="5"/>
  <c r="DH580" i="5" s="1"/>
  <c r="DI580" i="5" s="1"/>
  <c r="DG640" i="5"/>
  <c r="DH640" i="5" s="1"/>
  <c r="DI640" i="5" s="1"/>
  <c r="DG632" i="5"/>
  <c r="DH632" i="5" s="1"/>
  <c r="DI632" i="5" s="1"/>
  <c r="DG579" i="5"/>
  <c r="DH579" i="5" s="1"/>
  <c r="DI579" i="5" s="1"/>
  <c r="DG630" i="5"/>
  <c r="DH630" i="5" s="1"/>
  <c r="DI630" i="5" s="1"/>
  <c r="DG627" i="5"/>
  <c r="DH627" i="5" s="1"/>
  <c r="DI627" i="5" s="1"/>
  <c r="DG590" i="5"/>
  <c r="DH590" i="5" s="1"/>
  <c r="DI590" i="5" s="1"/>
  <c r="DC654" i="5"/>
  <c r="DF653" i="5"/>
  <c r="DC397" i="5"/>
  <c r="DF396" i="5"/>
  <c r="DG643" i="5"/>
  <c r="DH643" i="5" s="1"/>
  <c r="DI643" i="5" s="1"/>
  <c r="DG600" i="5"/>
  <c r="DH600" i="5" s="1"/>
  <c r="DI600" i="5" s="1"/>
  <c r="DG582" i="5"/>
  <c r="DH582" i="5" s="1"/>
  <c r="DI582" i="5" s="1"/>
  <c r="DG611" i="5"/>
  <c r="DH611" i="5" s="1"/>
  <c r="DI611" i="5" s="1"/>
  <c r="DG603" i="5"/>
  <c r="DH603" i="5" s="1"/>
  <c r="DI603" i="5" s="1"/>
  <c r="DG624" i="5"/>
  <c r="DH624" i="5" s="1"/>
  <c r="DI624" i="5" s="1"/>
  <c r="DG622" i="5"/>
  <c r="DH622" i="5" s="1"/>
  <c r="DI622" i="5" s="1"/>
  <c r="DG595" i="5"/>
  <c r="DH595" i="5" s="1"/>
  <c r="DI595" i="5" s="1"/>
  <c r="DG639" i="5"/>
  <c r="DH639" i="5" s="1"/>
  <c r="DI639" i="5" s="1"/>
  <c r="DC62" i="5"/>
  <c r="DF61" i="5"/>
  <c r="DF689" i="5"/>
  <c r="DC690" i="5"/>
  <c r="DC98" i="5"/>
  <c r="DF97" i="5"/>
  <c r="DG615" i="5"/>
  <c r="DH615" i="5" s="1"/>
  <c r="DI615" i="5" s="1"/>
  <c r="DG606" i="5"/>
  <c r="DH606" i="5" s="1"/>
  <c r="DI606" i="5" s="1"/>
  <c r="DG583" i="5"/>
  <c r="DG607" i="5"/>
  <c r="DH607" i="5" s="1"/>
  <c r="DI607" i="5" s="1"/>
  <c r="DG575" i="5"/>
  <c r="DH575" i="5" s="1"/>
  <c r="DI575" i="5" s="1"/>
  <c r="DG620" i="5"/>
  <c r="DH620" i="5" s="1"/>
  <c r="DI620" i="5" s="1"/>
  <c r="DG625" i="5"/>
  <c r="DH625" i="5" s="1"/>
  <c r="DI625" i="5" s="1"/>
  <c r="DG577" i="5"/>
  <c r="DH577" i="5" s="1"/>
  <c r="DI577" i="5" s="1"/>
  <c r="DC360" i="5"/>
  <c r="DF359" i="5"/>
  <c r="DG578" i="5"/>
  <c r="DH578" i="5" s="1"/>
  <c r="DI578" i="5" s="1"/>
  <c r="DG601" i="5"/>
  <c r="DH601" i="5" s="1"/>
  <c r="DI601" i="5" s="1"/>
  <c r="DG586" i="5"/>
  <c r="DH586" i="5" s="1"/>
  <c r="DI586" i="5" s="1"/>
  <c r="DG618" i="5"/>
  <c r="DH618" i="5" s="1"/>
  <c r="DI618" i="5" s="1"/>
  <c r="DG585" i="5"/>
  <c r="DH585" i="5" s="1"/>
  <c r="DI585" i="5" s="1"/>
  <c r="DG576" i="5"/>
  <c r="DH576" i="5" s="1"/>
  <c r="DI576" i="5" s="1"/>
  <c r="DG596" i="5"/>
  <c r="DH596" i="5" s="1"/>
  <c r="DI596" i="5" s="1"/>
  <c r="DG591" i="5"/>
  <c r="DH591" i="5" s="1"/>
  <c r="DI591" i="5" s="1"/>
  <c r="DG589" i="5"/>
  <c r="DH589" i="5" s="1"/>
  <c r="DI589" i="5" s="1"/>
  <c r="DG635" i="5"/>
  <c r="DH635" i="5" s="1"/>
  <c r="DI635" i="5" s="1"/>
  <c r="DG587" i="5"/>
  <c r="DH587" i="5" s="1"/>
  <c r="DI587" i="5" s="1"/>
  <c r="DG631" i="5"/>
  <c r="DH631" i="5" s="1"/>
  <c r="DI631" i="5" s="1"/>
  <c r="DG612" i="5"/>
  <c r="DH612" i="5" s="1"/>
  <c r="DI612" i="5" s="1"/>
  <c r="DG597" i="5"/>
  <c r="DH597" i="5" s="1"/>
  <c r="DI597" i="5" s="1"/>
  <c r="DG584" i="5"/>
  <c r="DH584" i="5" s="1"/>
  <c r="DI584" i="5" s="1"/>
  <c r="DG642" i="5"/>
  <c r="DH642" i="5" s="1"/>
  <c r="DI642" i="5" s="1"/>
  <c r="DG617" i="5"/>
  <c r="DH617" i="5" s="1"/>
  <c r="DI617" i="5" s="1"/>
  <c r="DG629" i="5"/>
  <c r="DH629" i="5" s="1"/>
  <c r="DI629" i="5" s="1"/>
  <c r="DG193" i="5"/>
  <c r="DH193" i="5" s="1"/>
  <c r="DI193" i="5" s="1"/>
  <c r="DG229" i="5"/>
  <c r="DH229" i="5" s="1"/>
  <c r="DI229" i="5" s="1"/>
  <c r="DG220" i="5"/>
  <c r="DH220" i="5" s="1"/>
  <c r="DI220" i="5" s="1"/>
  <c r="DG234" i="5"/>
  <c r="DH234" i="5" s="1"/>
  <c r="DI234" i="5" s="1"/>
  <c r="DG196" i="5"/>
  <c r="DH196" i="5" s="1"/>
  <c r="DI196" i="5" s="1"/>
  <c r="DG232" i="5"/>
  <c r="DH232" i="5" s="1"/>
  <c r="DI232" i="5" s="1"/>
  <c r="DG249" i="5"/>
  <c r="DH249" i="5" s="1"/>
  <c r="DI249" i="5" s="1"/>
  <c r="DG241" i="5"/>
  <c r="DH241" i="5" s="1"/>
  <c r="DI241" i="5" s="1"/>
  <c r="DG243" i="5"/>
  <c r="DH243" i="5" s="1"/>
  <c r="DI243" i="5" s="1"/>
  <c r="DG221" i="5"/>
  <c r="DH221" i="5" s="1"/>
  <c r="DI221" i="5" s="1"/>
  <c r="DG186" i="5"/>
  <c r="DH186" i="5" s="1"/>
  <c r="DI186" i="5" s="1"/>
  <c r="DG211" i="5"/>
  <c r="DH211" i="5" s="1"/>
  <c r="DI211" i="5" s="1"/>
  <c r="DG199" i="5"/>
  <c r="DH199" i="5" s="1"/>
  <c r="DI199" i="5" s="1"/>
  <c r="DG183" i="5"/>
  <c r="DH183" i="5" s="1"/>
  <c r="DI183" i="5" s="1"/>
  <c r="DG236" i="5"/>
  <c r="DH236" i="5" s="1"/>
  <c r="DI236" i="5" s="1"/>
  <c r="DG191" i="5"/>
  <c r="DH191" i="5" s="1"/>
  <c r="DI191" i="5" s="1"/>
  <c r="DG225" i="5"/>
  <c r="DH225" i="5" s="1"/>
  <c r="DI225" i="5" s="1"/>
  <c r="DG226" i="5"/>
  <c r="DH226" i="5" s="1"/>
  <c r="DI226" i="5" s="1"/>
  <c r="DG184" i="5"/>
  <c r="DH184" i="5" s="1"/>
  <c r="DI184" i="5" s="1"/>
  <c r="DG246" i="5"/>
  <c r="DH246" i="5" s="1"/>
  <c r="DI246" i="5" s="1"/>
  <c r="DG208" i="5"/>
  <c r="DH208" i="5" s="1"/>
  <c r="DI208" i="5" s="1"/>
  <c r="DG224" i="5"/>
  <c r="DH224" i="5" s="1"/>
  <c r="DI224" i="5" s="1"/>
  <c r="DG238" i="5"/>
  <c r="DH238" i="5" s="1"/>
  <c r="DI238" i="5" s="1"/>
  <c r="DG190" i="5"/>
  <c r="DH190" i="5" s="1"/>
  <c r="DI190" i="5" s="1"/>
  <c r="DG201" i="5"/>
  <c r="DH201" i="5" s="1"/>
  <c r="DI201" i="5" s="1"/>
  <c r="DG231" i="5"/>
  <c r="DH231" i="5" s="1"/>
  <c r="DI231" i="5" s="1"/>
  <c r="DG194" i="5"/>
  <c r="DH194" i="5" s="1"/>
  <c r="DI194" i="5" s="1"/>
  <c r="DG210" i="5"/>
  <c r="DH210" i="5" s="1"/>
  <c r="DI210" i="5" s="1"/>
  <c r="DG209" i="5"/>
  <c r="DH209" i="5" s="1"/>
  <c r="DI209" i="5" s="1"/>
  <c r="DG218" i="5"/>
  <c r="DH218" i="5" s="1"/>
  <c r="DI218" i="5" s="1"/>
  <c r="DG227" i="5"/>
  <c r="DH227" i="5" s="1"/>
  <c r="DI227" i="5" s="1"/>
  <c r="DG216" i="5"/>
  <c r="DH216" i="5" s="1"/>
  <c r="DI216" i="5" s="1"/>
  <c r="DG195" i="5"/>
  <c r="DH195" i="5" s="1"/>
  <c r="DI195" i="5" s="1"/>
  <c r="DG204" i="5"/>
  <c r="DH204" i="5" s="1"/>
  <c r="DI204" i="5" s="1"/>
  <c r="DG219" i="5"/>
  <c r="DH219" i="5" s="1"/>
  <c r="DI219" i="5" s="1"/>
  <c r="DG200" i="5"/>
  <c r="DH200" i="5" s="1"/>
  <c r="DI200" i="5" s="1"/>
  <c r="DG233" i="5"/>
  <c r="DH233" i="5" s="1"/>
  <c r="DI233" i="5" s="1"/>
  <c r="DG206" i="5"/>
  <c r="DH206" i="5" s="1"/>
  <c r="DI206" i="5" s="1"/>
  <c r="DG182" i="5"/>
  <c r="DH182" i="5" s="1"/>
  <c r="DI182" i="5" s="1"/>
  <c r="DG212" i="5"/>
  <c r="DH212" i="5" s="1"/>
  <c r="DI212" i="5" s="1"/>
  <c r="DG248" i="5"/>
  <c r="DH248" i="5" s="1"/>
  <c r="DI248" i="5" s="1"/>
  <c r="DG202" i="5"/>
  <c r="DH202" i="5" s="1"/>
  <c r="DI202" i="5" s="1"/>
  <c r="DG251" i="5"/>
  <c r="DH251" i="5" s="1"/>
  <c r="DI251" i="5" s="1"/>
  <c r="DG217" i="5"/>
  <c r="DH217" i="5" s="1"/>
  <c r="DI217" i="5" s="1"/>
  <c r="DG192" i="5"/>
  <c r="DG228" i="5"/>
  <c r="DH228" i="5" s="1"/>
  <c r="DI228" i="5" s="1"/>
  <c r="DG240" i="5"/>
  <c r="DH240" i="5" s="1"/>
  <c r="DI240" i="5" s="1"/>
  <c r="DG185" i="5"/>
  <c r="DH185" i="5" s="1"/>
  <c r="DI185" i="5" s="1"/>
  <c r="DG213" i="5"/>
  <c r="DH213" i="5" s="1"/>
  <c r="DI213" i="5" s="1"/>
  <c r="DG197" i="5"/>
  <c r="DH197" i="5" s="1"/>
  <c r="DI197" i="5" s="1"/>
  <c r="DG198" i="5"/>
  <c r="DH198" i="5" s="1"/>
  <c r="DI198" i="5" s="1"/>
  <c r="DG223" i="5"/>
  <c r="DH223" i="5" s="1"/>
  <c r="DI223" i="5" s="1"/>
  <c r="DG207" i="5"/>
  <c r="DH207" i="5" s="1"/>
  <c r="DI207" i="5" s="1"/>
  <c r="DG239" i="5"/>
  <c r="DH239" i="5" s="1"/>
  <c r="DI239" i="5" s="1"/>
  <c r="DG189" i="5"/>
  <c r="DH189" i="5" s="1"/>
  <c r="DI189" i="5" s="1"/>
  <c r="DG252" i="5"/>
  <c r="DH252" i="5" s="1"/>
  <c r="DI252" i="5" s="1"/>
  <c r="DG237" i="5"/>
  <c r="DH237" i="5" s="1"/>
  <c r="DI237" i="5" s="1"/>
  <c r="DG235" i="5"/>
  <c r="DH235" i="5" s="1"/>
  <c r="DI235" i="5" s="1"/>
  <c r="DG222" i="5"/>
  <c r="DH222" i="5" s="1"/>
  <c r="DI222" i="5" s="1"/>
  <c r="DG247" i="5"/>
  <c r="DH247" i="5" s="1"/>
  <c r="DI247" i="5" s="1"/>
  <c r="DG230" i="5"/>
  <c r="DH230" i="5" s="1"/>
  <c r="DI230" i="5" s="1"/>
  <c r="DG215" i="5"/>
  <c r="DH215" i="5" s="1"/>
  <c r="DI215" i="5" s="1"/>
  <c r="DG244" i="5"/>
  <c r="DH244" i="5" s="1"/>
  <c r="DI244" i="5" s="1"/>
  <c r="DG250" i="5"/>
  <c r="DH250" i="5" s="1"/>
  <c r="DI250" i="5" s="1"/>
  <c r="DG205" i="5"/>
  <c r="DH205" i="5" s="1"/>
  <c r="DI205" i="5" s="1"/>
  <c r="DG245" i="5"/>
  <c r="DH245" i="5" s="1"/>
  <c r="DI245" i="5" s="1"/>
  <c r="DG188" i="5"/>
  <c r="DH188" i="5" s="1"/>
  <c r="DI188" i="5" s="1"/>
  <c r="DG214" i="5"/>
  <c r="DH214" i="5" s="1"/>
  <c r="DI214" i="5" s="1"/>
  <c r="DG203" i="5"/>
  <c r="DH203" i="5" s="1"/>
  <c r="DI203" i="5" s="1"/>
  <c r="DG242" i="5"/>
  <c r="DH242" i="5" s="1"/>
  <c r="DI242" i="5" s="1"/>
  <c r="DG187" i="5"/>
  <c r="DH187" i="5" s="1"/>
  <c r="DI187" i="5" s="1"/>
  <c r="DF507" i="5"/>
  <c r="DC508" i="5"/>
  <c r="DG592" i="5"/>
  <c r="DH592" i="5" s="1"/>
  <c r="DI592" i="5" s="1"/>
  <c r="DG581" i="5"/>
  <c r="DH581" i="5" s="1"/>
  <c r="DI581" i="5" s="1"/>
  <c r="DG602" i="5"/>
  <c r="DH602" i="5" s="1"/>
  <c r="DI602" i="5" s="1"/>
  <c r="DG574" i="5"/>
  <c r="DH574" i="5" s="1"/>
  <c r="DI574" i="5" s="1"/>
  <c r="DG598" i="5"/>
  <c r="DH598" i="5" s="1"/>
  <c r="DI598" i="5" s="1"/>
  <c r="DG619" i="5"/>
  <c r="DH619" i="5" s="1"/>
  <c r="DI619" i="5" s="1"/>
  <c r="DG633" i="5"/>
  <c r="DH633" i="5" s="1"/>
  <c r="DI633" i="5" s="1"/>
  <c r="DG641" i="5"/>
  <c r="DH641" i="5" s="1"/>
  <c r="DI641" i="5" s="1"/>
  <c r="DF470" i="5"/>
  <c r="DC471" i="5"/>
  <c r="DN14" i="10" a="1"/>
  <c r="DN14" i="10" s="1"/>
  <c r="DM17" i="10" a="1"/>
  <c r="DM17" i="10" s="1"/>
  <c r="DN9" i="10" a="1"/>
  <c r="DN9" i="10" s="1"/>
  <c r="DN18" i="10" a="1"/>
  <c r="DN18" i="10" s="1"/>
  <c r="DT115" i="5"/>
  <c r="DT196" i="5"/>
  <c r="DT445" i="5"/>
  <c r="DT744" i="5"/>
  <c r="DT525" i="5"/>
  <c r="DT664" i="5"/>
  <c r="DT482" i="5"/>
  <c r="DT371" i="5"/>
  <c r="DT670" i="5"/>
  <c r="DO11" i="10" a="1"/>
  <c r="DO11" i="10" s="1"/>
  <c r="DT170" i="5" s="1"/>
  <c r="DN17" i="10" a="1"/>
  <c r="DN17" i="10" s="1"/>
  <c r="DM15" i="10" a="1"/>
  <c r="DM15" i="10" s="1"/>
  <c r="DS424" i="5" s="1"/>
  <c r="DN13" i="10" a="1"/>
  <c r="DN13" i="10" s="1"/>
  <c r="DN12" i="10" a="1"/>
  <c r="DN12" i="10" s="1"/>
  <c r="DM12" i="10" a="1"/>
  <c r="DM12" i="10" s="1"/>
  <c r="DS307" i="5" s="1"/>
  <c r="DT56" i="5"/>
  <c r="DT587" i="5"/>
  <c r="DT451" i="5"/>
  <c r="DT109" i="5"/>
  <c r="DT519" i="5"/>
  <c r="DT488" i="5"/>
  <c r="DT562" i="5"/>
  <c r="DO9" i="10" a="1"/>
  <c r="DO9" i="10" s="1"/>
  <c r="DN10" i="10" a="1"/>
  <c r="DN10" i="10" s="1"/>
  <c r="DM13" i="10" a="1"/>
  <c r="DM13" i="10" s="1"/>
  <c r="DS174" i="5" s="1"/>
  <c r="DM10" i="10" a="1"/>
  <c r="DM10" i="10" s="1"/>
  <c r="DN8" i="10" a="1"/>
  <c r="DN8" i="10" s="1"/>
  <c r="DO15" i="10" a="1"/>
  <c r="DO15" i="10" s="1"/>
  <c r="DT424" i="5" s="1"/>
  <c r="DT78" i="5"/>
  <c r="DT206" i="5"/>
  <c r="DT392" i="5"/>
  <c r="DT146" i="5"/>
  <c r="DT648" i="5"/>
  <c r="DN15" i="10" a="1"/>
  <c r="DN15" i="10" s="1"/>
  <c r="DO14" i="10" a="1"/>
  <c r="DO14" i="10" s="1"/>
  <c r="DO16" i="10" a="1"/>
  <c r="DO16" i="10" s="1"/>
  <c r="DT541" i="5" s="1"/>
  <c r="DO17" i="10" a="1"/>
  <c r="DO17" i="10" s="1"/>
  <c r="DT737" i="5" s="1"/>
  <c r="DN7" i="10" a="1"/>
  <c r="DN7" i="10" s="1"/>
  <c r="DM7" i="10" a="1"/>
  <c r="DM7" i="10" s="1"/>
  <c r="DT414" i="5"/>
  <c r="DT738" i="5"/>
  <c r="DT72" i="5"/>
  <c r="DT685" i="5"/>
  <c r="DM11" i="10" a="1"/>
  <c r="DM11" i="10" s="1"/>
  <c r="DO13" i="10" a="1"/>
  <c r="DO13" i="10" s="1"/>
  <c r="DT333" i="5" s="1"/>
  <c r="DM6" i="10" a="1"/>
  <c r="DM6" i="10" s="1"/>
  <c r="DM14" i="10" a="1"/>
  <c r="DM14" i="10" s="1"/>
  <c r="DS508" i="5" s="1"/>
  <c r="DM18" i="10" a="1"/>
  <c r="DM18" i="10" s="1"/>
  <c r="DO12" i="10" a="1"/>
  <c r="DO12" i="10" s="1"/>
  <c r="DT642" i="5" s="1"/>
  <c r="DT556" i="5"/>
  <c r="DT466" i="5"/>
  <c r="DT707" i="5"/>
  <c r="DT503" i="5"/>
  <c r="DT152" i="5"/>
  <c r="DT701" i="5"/>
  <c r="DO10" i="10" a="1"/>
  <c r="DO10" i="10" s="1"/>
  <c r="DN16" i="10" a="1"/>
  <c r="DN16" i="10" s="1"/>
  <c r="DO18" i="10" a="1"/>
  <c r="DO18" i="10" s="1"/>
  <c r="DM16" i="10" a="1"/>
  <c r="DM16" i="10" s="1"/>
  <c r="DM8" i="10" a="1"/>
  <c r="DM8" i="10" s="1"/>
  <c r="DT130" i="5"/>
  <c r="DT429" i="5"/>
  <c r="DT408" i="5"/>
  <c r="DT93" i="5"/>
  <c r="DT722" i="5"/>
  <c r="DT355" i="5"/>
  <c r="DT540" i="5"/>
  <c r="DT575" i="5"/>
  <c r="DT184" i="5"/>
  <c r="DT597" i="5"/>
  <c r="DO8" i="10" a="1"/>
  <c r="DO8" i="10" s="1"/>
  <c r="DM9" i="10" a="1"/>
  <c r="DM9" i="10" s="1"/>
  <c r="DN6" i="10" a="1"/>
  <c r="DN6" i="10" s="1"/>
  <c r="DN11" i="10" a="1"/>
  <c r="DN11" i="10" s="1"/>
  <c r="DO7" i="10" a="1"/>
  <c r="DO7" i="10" s="1"/>
  <c r="X16" i="21" l="1"/>
  <c r="R18" i="21"/>
  <c r="DT19" i="5"/>
  <c r="DT272" i="5"/>
  <c r="DT39" i="5"/>
  <c r="DS610" i="5"/>
  <c r="DS535" i="5"/>
  <c r="DT717" i="5"/>
  <c r="DS680" i="5"/>
  <c r="DT535" i="5"/>
  <c r="DT754" i="5"/>
  <c r="DT55" i="5"/>
  <c r="DT123" i="5"/>
  <c r="DS343" i="5"/>
  <c r="DT183" i="5"/>
  <c r="DT572" i="5"/>
  <c r="DT160" i="5"/>
  <c r="DS753" i="5"/>
  <c r="DT219" i="5"/>
  <c r="DT125" i="5"/>
  <c r="DT222" i="5"/>
  <c r="DT539" i="5"/>
  <c r="DS125" i="5"/>
  <c r="DS498" i="5"/>
  <c r="DT610" i="5"/>
  <c r="DT162" i="5"/>
  <c r="DT428" i="5"/>
  <c r="DT385" i="5"/>
  <c r="DS461" i="5"/>
  <c r="DS88" i="5"/>
  <c r="DS247" i="5"/>
  <c r="DT387" i="5"/>
  <c r="DT680" i="5"/>
  <c r="DT616" i="5"/>
  <c r="DT187" i="5"/>
  <c r="DS572" i="5"/>
  <c r="DS178" i="5"/>
  <c r="DT498" i="5"/>
  <c r="DT254" i="5"/>
  <c r="DS717" i="5"/>
  <c r="DS162" i="5"/>
  <c r="DS638" i="5"/>
  <c r="DT88" i="5"/>
  <c r="DT422" i="5"/>
  <c r="DS219" i="5"/>
  <c r="DS387" i="5"/>
  <c r="DT461" i="5"/>
  <c r="DT181" i="5"/>
  <c r="DT189" i="5"/>
  <c r="DS754" i="5"/>
  <c r="DS452" i="5"/>
  <c r="DS47" i="5"/>
  <c r="DS104" i="5"/>
  <c r="DS218" i="5"/>
  <c r="DS520" i="5"/>
  <c r="DS609" i="5"/>
  <c r="DS551" i="5"/>
  <c r="DS611" i="5"/>
  <c r="DS590" i="5"/>
  <c r="DS588" i="5"/>
  <c r="DS659" i="5"/>
  <c r="DS245" i="5"/>
  <c r="DS378" i="5"/>
  <c r="DS415" i="5"/>
  <c r="DS33" i="5"/>
  <c r="DS285" i="5"/>
  <c r="DS665" i="5"/>
  <c r="DS526" i="5"/>
  <c r="DS477" i="5"/>
  <c r="DS207" i="5"/>
  <c r="DS161" i="5"/>
  <c r="DS124" i="5"/>
  <c r="DS534" i="5"/>
  <c r="DS270" i="5"/>
  <c r="DS592" i="5"/>
  <c r="DS594" i="5"/>
  <c r="DS600" i="5"/>
  <c r="DS409" i="5"/>
  <c r="DS386" i="5"/>
  <c r="DS614" i="5"/>
  <c r="DS193" i="5"/>
  <c r="DS211" i="5"/>
  <c r="DS489" i="5"/>
  <c r="DS305" i="5"/>
  <c r="DS201" i="5"/>
  <c r="DS702" i="5"/>
  <c r="DS745" i="5"/>
  <c r="DS446" i="5"/>
  <c r="DS598" i="5"/>
  <c r="DS557" i="5"/>
  <c r="DS223" i="5"/>
  <c r="DS604" i="5"/>
  <c r="DS571" i="5"/>
  <c r="DS226" i="5"/>
  <c r="DS708" i="5"/>
  <c r="DS153" i="5"/>
  <c r="DS403" i="5"/>
  <c r="DS256" i="5"/>
  <c r="DS87" i="5"/>
  <c r="DS258" i="5"/>
  <c r="DS372" i="5"/>
  <c r="DS733" i="5"/>
  <c r="DS220" i="5"/>
  <c r="DS716" i="5"/>
  <c r="DS73" i="5"/>
  <c r="DS602" i="5"/>
  <c r="DS199" i="5"/>
  <c r="DS79" i="5"/>
  <c r="DS440" i="5"/>
  <c r="DS147" i="5"/>
  <c r="DS203" i="5"/>
  <c r="DS67" i="5"/>
  <c r="DS671" i="5"/>
  <c r="DS617" i="5"/>
  <c r="DS696" i="5"/>
  <c r="DS110" i="5"/>
  <c r="DS679" i="5"/>
  <c r="DS497" i="5"/>
  <c r="DS483" i="5"/>
  <c r="DS584" i="5"/>
  <c r="DS209" i="5"/>
  <c r="DS141" i="5"/>
  <c r="DS460" i="5"/>
  <c r="DS423" i="5"/>
  <c r="DS341" i="5"/>
  <c r="DS213" i="5"/>
  <c r="DS35" i="5"/>
  <c r="DS366" i="5"/>
  <c r="DS739" i="5"/>
  <c r="DS197" i="5"/>
  <c r="DS563" i="5"/>
  <c r="DS116" i="5"/>
  <c r="DS514" i="5"/>
  <c r="DT613" i="5"/>
  <c r="DT459" i="5"/>
  <c r="DT752" i="5"/>
  <c r="DF360" i="5"/>
  <c r="DC361" i="5"/>
  <c r="DT574" i="5"/>
  <c r="DT228" i="5"/>
  <c r="DT580" i="5"/>
  <c r="DF397" i="5"/>
  <c r="DC398" i="5"/>
  <c r="DC472" i="5"/>
  <c r="DF471" i="5"/>
  <c r="DF98" i="5"/>
  <c r="DC99" i="5"/>
  <c r="DT643" i="5"/>
  <c r="DT129" i="5"/>
  <c r="DT570" i="5"/>
  <c r="DT217" i="5"/>
  <c r="DC691" i="5"/>
  <c r="DF690" i="5"/>
  <c r="DC655" i="5"/>
  <c r="DF654" i="5"/>
  <c r="DF508" i="5"/>
  <c r="DC509" i="5"/>
  <c r="DC63" i="5"/>
  <c r="DF62" i="5"/>
  <c r="DT157" i="5"/>
  <c r="DT18" i="5"/>
  <c r="DT622" i="5"/>
  <c r="DT150" i="5"/>
  <c r="DT262" i="5"/>
  <c r="DT120" i="5"/>
  <c r="DT291" i="5"/>
  <c r="DT90" i="5"/>
  <c r="DT626" i="5"/>
  <c r="DT235" i="5"/>
  <c r="DT330" i="5"/>
  <c r="DT323" i="5"/>
  <c r="DT231" i="5"/>
  <c r="DS49" i="5"/>
  <c r="DT54" i="5"/>
  <c r="DT463" i="5"/>
  <c r="DT91" i="5"/>
  <c r="DT486" i="5"/>
  <c r="DT609" i="5"/>
  <c r="DT477" i="5"/>
  <c r="DT124" i="5"/>
  <c r="DT276" i="5"/>
  <c r="DT720" i="5"/>
  <c r="DT736" i="5"/>
  <c r="DT554" i="5"/>
  <c r="DT412" i="5"/>
  <c r="DT382" i="5"/>
  <c r="DT742" i="5"/>
  <c r="DT567" i="5"/>
  <c r="DT84" i="5"/>
  <c r="DT346" i="5"/>
  <c r="DT121" i="5"/>
  <c r="DT76" i="5"/>
  <c r="DT719" i="5"/>
  <c r="DT465" i="5"/>
  <c r="DT502" i="5"/>
  <c r="DT31" i="5"/>
  <c r="DT464" i="5"/>
  <c r="DT456" i="5"/>
  <c r="DT645" i="5"/>
  <c r="DT530" i="5"/>
  <c r="DT15" i="5"/>
  <c r="DT640" i="5"/>
  <c r="DT493" i="5"/>
  <c r="DT500" i="5"/>
  <c r="DT83" i="5"/>
  <c r="DT53" i="5"/>
  <c r="DT517" i="5"/>
  <c r="DT389" i="5"/>
  <c r="DT427" i="5"/>
  <c r="DT457" i="5"/>
  <c r="DT750" i="5"/>
  <c r="DS471" i="5"/>
  <c r="DS12" i="5"/>
  <c r="DT178" i="5"/>
  <c r="DT531" i="5"/>
  <c r="DT107" i="5"/>
  <c r="DT668" i="5"/>
  <c r="DT449" i="5"/>
  <c r="DT375" i="5"/>
  <c r="DS135" i="5"/>
  <c r="DS320" i="5"/>
  <c r="DT158" i="5"/>
  <c r="DT406" i="5"/>
  <c r="DT523" i="5"/>
  <c r="DT113" i="5"/>
  <c r="DT646" i="5"/>
  <c r="DS653" i="5"/>
  <c r="DT550" i="5"/>
  <c r="DT29" i="5"/>
  <c r="DT662" i="5"/>
  <c r="DT699" i="5"/>
  <c r="DT501" i="5"/>
  <c r="DT288" i="5"/>
  <c r="DT537" i="5"/>
  <c r="DT169" i="5"/>
  <c r="DS397" i="5"/>
  <c r="DS239" i="5"/>
  <c r="DS331" i="5"/>
  <c r="DS43" i="5"/>
  <c r="DT51" i="5"/>
  <c r="DT309" i="5"/>
  <c r="DT249" i="5"/>
  <c r="DS340" i="5"/>
  <c r="DS333" i="5"/>
  <c r="DS628" i="5"/>
  <c r="DT27" i="5"/>
  <c r="DT310" i="5"/>
  <c r="DT274" i="5"/>
  <c r="DT252" i="5"/>
  <c r="DS44" i="5"/>
  <c r="DS297" i="5"/>
  <c r="DS300" i="5"/>
  <c r="DT312" i="5"/>
  <c r="DT638" i="5"/>
  <c r="DS299" i="5"/>
  <c r="DS265" i="5"/>
  <c r="DT28" i="5"/>
  <c r="DT343" i="5"/>
  <c r="DT348" i="5"/>
  <c r="DT350" i="5"/>
  <c r="DT70" i="5"/>
  <c r="DT419" i="5"/>
  <c r="DT144" i="5"/>
  <c r="DT480" i="5"/>
  <c r="DT712" i="5"/>
  <c r="DT352" i="5"/>
  <c r="DS630" i="5"/>
  <c r="DS22" i="5"/>
  <c r="DS243" i="5"/>
  <c r="DT26" i="5"/>
  <c r="DT179" i="5"/>
  <c r="DT180" i="5"/>
  <c r="DT345" i="5"/>
  <c r="DT307" i="5"/>
  <c r="DT49" i="5"/>
  <c r="DS237" i="5"/>
  <c r="DS339" i="5"/>
  <c r="DS42" i="5"/>
  <c r="DT247" i="5"/>
  <c r="DT251" i="5"/>
  <c r="DS267" i="5"/>
  <c r="DS122" i="5"/>
  <c r="DS709" i="5"/>
  <c r="DS422" i="5"/>
  <c r="DS225" i="5"/>
  <c r="DS384" i="5"/>
  <c r="DS85" i="5"/>
  <c r="DS134" i="5"/>
  <c r="DS361" i="5"/>
  <c r="DT282" i="5"/>
  <c r="DT65" i="5"/>
  <c r="DT12" i="5"/>
  <c r="DT365" i="5"/>
  <c r="DS347" i="5"/>
  <c r="DS608" i="5"/>
  <c r="DS721" i="5"/>
  <c r="DS582" i="5"/>
  <c r="DT399" i="5"/>
  <c r="DT362" i="5"/>
  <c r="DS416" i="5"/>
  <c r="DS80" i="5"/>
  <c r="DS278" i="5"/>
  <c r="DS578" i="5"/>
  <c r="DS348" i="5"/>
  <c r="DS605" i="5"/>
  <c r="DS574" i="5"/>
  <c r="DS55" i="5"/>
  <c r="DS217" i="5"/>
  <c r="DS570" i="5"/>
  <c r="DS222" i="5"/>
  <c r="DS616" i="5"/>
  <c r="DS187" i="5"/>
  <c r="DS318" i="5"/>
  <c r="DS654" i="5"/>
  <c r="DT98" i="5"/>
  <c r="DT475" i="5"/>
  <c r="DT439" i="5"/>
  <c r="DT727" i="5"/>
  <c r="DS246" i="5"/>
  <c r="DS312" i="5"/>
  <c r="DS647" i="5"/>
  <c r="DS189" i="5"/>
  <c r="DS216" i="5"/>
  <c r="DS254" i="5"/>
  <c r="DS92" i="5"/>
  <c r="DS532" i="5"/>
  <c r="DS752" i="5"/>
  <c r="DS433" i="5"/>
  <c r="DT135" i="5"/>
  <c r="DT137" i="5"/>
  <c r="DT732" i="5"/>
  <c r="DT549" i="5"/>
  <c r="DS527" i="5"/>
  <c r="DS569" i="5"/>
  <c r="DS31" i="5"/>
  <c r="DS315" i="5"/>
  <c r="DT690" i="5"/>
  <c r="DT731" i="5"/>
  <c r="DT512" i="5"/>
  <c r="DS273" i="5"/>
  <c r="DS672" i="5"/>
  <c r="DS354" i="5"/>
  <c r="DS619" i="5"/>
  <c r="DS359" i="5"/>
  <c r="DT364" i="5"/>
  <c r="DT476" i="5"/>
  <c r="DT397" i="5"/>
  <c r="DT66" i="5"/>
  <c r="DS607" i="5"/>
  <c r="DS274" i="5"/>
  <c r="DS214" i="5"/>
  <c r="DS490" i="5"/>
  <c r="DS684" i="5"/>
  <c r="DS613" i="5"/>
  <c r="DS123" i="5"/>
  <c r="DS391" i="5"/>
  <c r="DS183" i="5"/>
  <c r="DS458" i="5"/>
  <c r="DT103" i="5"/>
  <c r="DT102" i="5"/>
  <c r="DT402" i="5"/>
  <c r="DT360" i="5"/>
  <c r="DS639" i="5"/>
  <c r="DS342" i="5"/>
  <c r="DS677" i="5"/>
  <c r="DS533" i="5"/>
  <c r="DS428" i="5"/>
  <c r="DS48" i="5"/>
  <c r="DS249" i="5"/>
  <c r="DS29" i="5"/>
  <c r="DS564" i="5"/>
  <c r="DS117" i="5"/>
  <c r="DS459" i="5"/>
  <c r="DS678" i="5"/>
  <c r="DS421" i="5"/>
  <c r="DS539" i="5"/>
  <c r="DS715" i="5"/>
  <c r="DS129" i="5"/>
  <c r="DS652" i="5"/>
  <c r="DT545" i="5"/>
  <c r="DT657" i="5"/>
  <c r="DT140" i="5"/>
  <c r="DT401" i="5"/>
  <c r="DT61" i="5"/>
  <c r="DS637" i="5"/>
  <c r="DS271" i="5"/>
  <c r="DS746" i="5"/>
  <c r="DS154" i="5"/>
  <c r="DS159" i="5"/>
  <c r="DS751" i="5"/>
  <c r="DS502" i="5"/>
  <c r="DS191" i="5"/>
  <c r="DS465" i="5"/>
  <c r="DS580" i="5"/>
  <c r="DS472" i="5"/>
  <c r="DT164" i="5"/>
  <c r="DT655" i="5"/>
  <c r="DT100" i="5"/>
  <c r="DT438" i="5"/>
  <c r="DS233" i="5"/>
  <c r="DT390" i="5"/>
  <c r="DT568" i="5"/>
  <c r="DT676" i="5"/>
  <c r="DT538" i="5"/>
  <c r="DT494" i="5"/>
  <c r="DT619" i="5"/>
  <c r="DT578" i="5"/>
  <c r="DT721" i="5"/>
  <c r="DT647" i="5"/>
  <c r="DT547" i="5"/>
  <c r="DT695" i="5"/>
  <c r="DT513" i="5"/>
  <c r="DT436" i="5"/>
  <c r="DT391" i="5"/>
  <c r="DT86" i="5"/>
  <c r="DT63" i="5"/>
  <c r="DT729" i="5"/>
  <c r="DS398" i="5"/>
  <c r="DS311" i="5"/>
  <c r="DS248" i="5"/>
  <c r="DS453" i="5"/>
  <c r="DS379" i="5"/>
  <c r="DS714" i="5"/>
  <c r="DS495" i="5"/>
  <c r="DS496" i="5"/>
  <c r="DS160" i="5"/>
  <c r="DS228" i="5"/>
  <c r="DS86" i="5"/>
  <c r="DS385" i="5"/>
  <c r="DT277" i="5"/>
  <c r="DT383" i="5"/>
  <c r="DT683" i="5"/>
  <c r="DS543" i="5"/>
  <c r="DS137" i="5"/>
  <c r="DT225" i="5"/>
  <c r="DT191" i="5"/>
  <c r="DT678" i="5"/>
  <c r="DT582" i="5"/>
  <c r="DT139" i="5"/>
  <c r="DT510" i="5"/>
  <c r="DT471" i="5"/>
  <c r="DT434" i="5"/>
  <c r="DT316" i="5"/>
  <c r="DS50" i="5"/>
  <c r="DS636" i="5"/>
  <c r="DS306" i="5"/>
  <c r="DS349" i="5"/>
  <c r="DS136" i="5"/>
  <c r="DS470" i="5"/>
  <c r="DS509" i="5"/>
  <c r="DS164" i="5"/>
  <c r="DS133" i="5"/>
  <c r="DS282" i="5"/>
  <c r="DS434" i="5"/>
  <c r="DS358" i="5"/>
  <c r="DS63" i="5"/>
  <c r="DS181" i="5"/>
  <c r="DS272" i="5"/>
  <c r="DS26" i="5"/>
  <c r="DS640" i="5"/>
  <c r="DS547" i="5"/>
  <c r="DS726" i="5"/>
  <c r="DS165" i="5"/>
  <c r="DS436" i="5"/>
  <c r="DS510" i="5"/>
  <c r="DS59" i="5"/>
  <c r="DS506" i="5"/>
  <c r="DS100" i="5"/>
  <c r="DS97" i="5"/>
  <c r="DS727" i="5"/>
  <c r="DS473" i="5"/>
  <c r="DS691" i="5"/>
  <c r="DS98" i="5"/>
  <c r="DS319" i="5"/>
  <c r="DS432" i="5"/>
  <c r="DS728" i="5"/>
  <c r="DS314" i="5"/>
  <c r="DS655" i="5"/>
  <c r="DS469" i="5"/>
  <c r="DS360" i="5"/>
  <c r="DS692" i="5"/>
  <c r="DS13" i="5"/>
  <c r="DS281" i="5"/>
  <c r="DS61" i="5"/>
  <c r="DS283" i="5"/>
  <c r="DS690" i="5"/>
  <c r="DS729" i="5"/>
  <c r="DS317" i="5"/>
  <c r="DS435" i="5"/>
  <c r="DS96" i="5"/>
  <c r="DS651" i="5"/>
  <c r="DS688" i="5"/>
  <c r="DS362" i="5"/>
  <c r="DS350" i="5"/>
  <c r="DS51" i="5"/>
  <c r="DS725" i="5"/>
  <c r="DS689" i="5"/>
  <c r="DS62" i="5"/>
  <c r="DS284" i="5"/>
  <c r="DS316" i="5"/>
  <c r="DS395" i="5"/>
  <c r="DS280" i="5"/>
  <c r="DS545" i="5"/>
  <c r="DT299" i="5"/>
  <c r="DT751" i="5"/>
  <c r="DT23" i="5"/>
  <c r="DT658" i="5"/>
  <c r="DT635" i="5"/>
  <c r="DS322" i="5"/>
  <c r="DT167" i="5"/>
  <c r="DT713" i="5"/>
  <c r="DT426" i="5"/>
  <c r="DT353" i="5"/>
  <c r="DT749" i="5"/>
  <c r="DT420" i="5"/>
  <c r="DT326" i="5"/>
  <c r="DT318" i="5"/>
  <c r="DS624" i="5"/>
  <c r="DS99" i="5"/>
  <c r="DS544" i="5"/>
  <c r="DS396" i="5"/>
  <c r="DS546" i="5"/>
  <c r="DS60" i="5"/>
  <c r="DS507" i="5"/>
  <c r="DS230" i="5"/>
  <c r="DT354" i="5"/>
  <c r="DT684" i="5"/>
  <c r="DT715" i="5"/>
  <c r="DT677" i="5"/>
  <c r="DT496" i="5"/>
  <c r="DT694" i="5"/>
  <c r="DT165" i="5"/>
  <c r="DT653" i="5"/>
  <c r="DT692" i="5"/>
  <c r="DT508" i="5"/>
  <c r="DT320" i="5"/>
  <c r="DT296" i="5"/>
  <c r="DS399" i="5"/>
  <c r="DT624" i="5"/>
  <c r="DT17" i="5"/>
  <c r="DT369" i="5"/>
  <c r="DT127" i="5"/>
  <c r="DT128" i="5"/>
  <c r="DT443" i="5"/>
  <c r="DT675" i="5"/>
  <c r="DT682" i="5"/>
  <c r="DT705" i="5"/>
  <c r="DT560" i="5"/>
  <c r="DT335" i="5"/>
  <c r="DS170" i="5"/>
  <c r="DT41" i="5"/>
  <c r="DT236" i="5"/>
  <c r="DT233" i="5"/>
  <c r="DT328" i="5"/>
  <c r="DT185" i="5"/>
  <c r="DT92" i="5"/>
  <c r="DT278" i="5"/>
  <c r="DT608" i="5"/>
  <c r="DT533" i="5"/>
  <c r="DT284" i="5"/>
  <c r="DT473" i="5"/>
  <c r="DT13" i="5"/>
  <c r="DT21" i="5"/>
  <c r="DT20" i="5"/>
  <c r="DT504" i="5"/>
  <c r="DT627" i="5"/>
  <c r="DT264" i="5"/>
  <c r="DT173" i="5"/>
  <c r="DS332" i="5"/>
  <c r="DS304" i="5"/>
  <c r="DS57" i="5"/>
  <c r="DS78" i="5"/>
  <c r="DS575" i="5"/>
  <c r="DS152" i="5"/>
  <c r="DS743" i="5"/>
  <c r="DS185" i="5"/>
  <c r="DS77" i="5"/>
  <c r="DS686" i="5"/>
  <c r="DS596" i="5"/>
  <c r="DS723" i="5"/>
  <c r="DT301" i="5"/>
  <c r="DT634" i="5"/>
  <c r="DT239" i="5"/>
  <c r="DT546" i="5"/>
  <c r="DS250" i="5"/>
  <c r="DS251" i="5"/>
  <c r="DS252" i="5"/>
  <c r="DT748" i="5"/>
  <c r="DS365" i="5"/>
  <c r="DS549" i="5"/>
  <c r="DS550" i="5"/>
  <c r="DS363" i="5"/>
  <c r="DS732" i="5"/>
  <c r="DS693" i="5"/>
  <c r="DS656" i="5"/>
  <c r="DS701" i="5"/>
  <c r="DS407" i="5"/>
  <c r="DS576" i="5"/>
  <c r="DS488" i="5"/>
  <c r="DS450" i="5"/>
  <c r="DS71" i="5"/>
  <c r="DS392" i="5"/>
  <c r="DS145" i="5"/>
  <c r="DS356" i="5"/>
  <c r="DS481" i="5"/>
  <c r="DT304" i="5"/>
  <c r="DT269" i="5"/>
  <c r="DT266" i="5"/>
  <c r="DT268" i="5"/>
  <c r="DT73" i="5"/>
  <c r="DT159" i="5"/>
  <c r="DS634" i="5"/>
  <c r="DS103" i="5"/>
  <c r="DS555" i="5"/>
  <c r="DS541" i="5"/>
  <c r="DS641" i="5"/>
  <c r="DT704" i="5"/>
  <c r="DT735" i="5"/>
  <c r="DS437" i="5"/>
  <c r="DS512" i="5"/>
  <c r="DS511" i="5"/>
  <c r="DS402" i="5"/>
  <c r="DS649" i="5"/>
  <c r="DS93" i="5"/>
  <c r="DS737" i="5"/>
  <c r="DS467" i="5"/>
  <c r="DS196" i="5"/>
  <c r="DS444" i="5"/>
  <c r="DS206" i="5"/>
  <c r="DS664" i="5"/>
  <c r="DS466" i="5"/>
  <c r="DS355" i="5"/>
  <c r="DT267" i="5"/>
  <c r="DT25" i="5"/>
  <c r="DT244" i="5"/>
  <c r="DT338" i="5"/>
  <c r="DT586" i="5"/>
  <c r="DT361" i="5"/>
  <c r="DT374" i="5"/>
  <c r="DS138" i="5"/>
  <c r="DS474" i="5"/>
  <c r="DS513" i="5"/>
  <c r="DS438" i="5"/>
  <c r="DS371" i="5"/>
  <c r="DS445" i="5"/>
  <c r="DS109" i="5"/>
  <c r="DS670" i="5"/>
  <c r="DS663" i="5"/>
  <c r="DS108" i="5"/>
  <c r="DS482" i="5"/>
  <c r="DS525" i="5"/>
  <c r="DS519" i="5"/>
  <c r="DS587" i="5"/>
  <c r="DS413" i="5"/>
  <c r="DT243" i="5"/>
  <c r="DT302" i="5"/>
  <c r="DT340" i="5"/>
  <c r="DT22" i="5"/>
  <c r="DT440" i="5"/>
  <c r="DT256" i="5"/>
  <c r="DT726" i="5"/>
  <c r="DS475" i="5"/>
  <c r="DS101" i="5"/>
  <c r="DS556" i="5"/>
  <c r="DS370" i="5"/>
  <c r="DS414" i="5"/>
  <c r="DS722" i="5"/>
  <c r="DS401" i="5"/>
  <c r="DS364" i="5"/>
  <c r="DS140" i="5"/>
  <c r="DS694" i="5"/>
  <c r="DS658" i="5"/>
  <c r="DS451" i="5"/>
  <c r="DS597" i="5"/>
  <c r="DS487" i="5"/>
  <c r="DS648" i="5"/>
  <c r="DS195" i="5"/>
  <c r="DS669" i="5"/>
  <c r="DS738" i="5"/>
  <c r="DS94" i="5"/>
  <c r="DS115" i="5"/>
  <c r="DS706" i="5"/>
  <c r="DS56" i="5"/>
  <c r="DT24" i="5"/>
  <c r="DT628" i="5"/>
  <c r="DT632" i="5"/>
  <c r="DT175" i="5"/>
  <c r="DT487" i="5"/>
  <c r="DT669" i="5"/>
  <c r="DS102" i="5"/>
  <c r="DS66" i="5"/>
  <c r="DS408" i="5"/>
  <c r="DS393" i="5"/>
  <c r="DS130" i="5"/>
  <c r="DS146" i="5"/>
  <c r="DT241" i="5"/>
  <c r="DT483" i="5"/>
  <c r="DS642" i="5"/>
  <c r="DT349" i="5"/>
  <c r="DS731" i="5"/>
  <c r="DS139" i="5"/>
  <c r="DS730" i="5"/>
  <c r="DS400" i="5"/>
  <c r="DS700" i="5"/>
  <c r="DS504" i="5"/>
  <c r="DS131" i="5"/>
  <c r="DS562" i="5"/>
  <c r="DS205" i="5"/>
  <c r="DS685" i="5"/>
  <c r="DS430" i="5"/>
  <c r="DS429" i="5"/>
  <c r="DS561" i="5"/>
  <c r="DS184" i="5"/>
  <c r="DT177" i="5"/>
  <c r="DT630" i="5"/>
  <c r="DT174" i="5"/>
  <c r="DT44" i="5"/>
  <c r="DS626" i="5"/>
  <c r="DT596" i="5"/>
  <c r="DT563" i="5"/>
  <c r="DT506" i="5"/>
  <c r="DS633" i="5"/>
  <c r="DT324" i="5"/>
  <c r="DS65" i="5"/>
  <c r="DS503" i="5"/>
  <c r="DS518" i="5"/>
  <c r="DS643" i="5"/>
  <c r="DT667" i="5"/>
  <c r="DS695" i="5"/>
  <c r="DS439" i="5"/>
  <c r="DS548" i="5"/>
  <c r="DS657" i="5"/>
  <c r="DS476" i="5"/>
  <c r="DS64" i="5"/>
  <c r="DS586" i="5"/>
  <c r="DS540" i="5"/>
  <c r="DS72" i="5"/>
  <c r="DS114" i="5"/>
  <c r="DS151" i="5"/>
  <c r="DS707" i="5"/>
  <c r="DS376" i="5"/>
  <c r="DS524" i="5"/>
  <c r="DS377" i="5"/>
  <c r="DS744" i="5"/>
  <c r="DT176" i="5"/>
  <c r="DT336" i="5"/>
  <c r="DT46" i="5"/>
  <c r="DT33" i="5"/>
  <c r="DT35" i="5"/>
  <c r="DS303" i="5"/>
  <c r="DS629" i="5"/>
  <c r="DS242" i="5"/>
  <c r="DS346" i="5"/>
  <c r="DS40" i="5"/>
  <c r="DS240" i="5"/>
  <c r="DS298" i="5"/>
  <c r="DS23" i="5"/>
  <c r="DS179" i="5"/>
  <c r="DS27" i="5"/>
  <c r="DS28" i="5"/>
  <c r="DS172" i="5"/>
  <c r="DS345" i="5"/>
  <c r="DS308" i="5"/>
  <c r="DS309" i="5"/>
  <c r="DS310" i="5"/>
  <c r="DS344" i="5"/>
  <c r="DS180" i="5"/>
  <c r="DS335" i="5"/>
  <c r="DS266" i="5"/>
  <c r="DS238" i="5"/>
  <c r="DT294" i="5"/>
  <c r="DT77" i="5"/>
  <c r="DT342" i="5"/>
  <c r="DT386" i="5"/>
  <c r="DT341" i="5"/>
  <c r="DT347" i="5"/>
  <c r="DT308" i="5"/>
  <c r="DT522" i="5"/>
  <c r="DT553" i="5"/>
  <c r="DT442" i="5"/>
  <c r="DT337" i="5"/>
  <c r="DT631" i="5"/>
  <c r="DS290" i="5"/>
  <c r="DS231" i="5"/>
  <c r="DS173" i="5"/>
  <c r="DS328" i="5"/>
  <c r="DS295" i="5"/>
  <c r="DS321" i="5"/>
  <c r="DT197" i="5"/>
  <c r="DT199" i="5"/>
  <c r="DT116" i="5"/>
  <c r="DT590" i="5"/>
  <c r="DT114" i="5"/>
  <c r="DT745" i="5"/>
  <c r="DT592" i="5"/>
  <c r="DT564" i="5"/>
  <c r="DT520" i="5"/>
  <c r="DT739" i="5"/>
  <c r="DT551" i="5"/>
  <c r="DT490" i="5"/>
  <c r="DT526" i="5"/>
  <c r="DT607" i="5"/>
  <c r="DT216" i="5"/>
  <c r="DT654" i="5"/>
  <c r="DT691" i="5"/>
  <c r="DT511" i="5"/>
  <c r="DT435" i="5"/>
  <c r="DT280" i="5"/>
  <c r="DS632" i="5"/>
  <c r="DT261" i="5"/>
  <c r="DT321" i="5"/>
  <c r="DT232" i="5"/>
  <c r="DT576" i="5"/>
  <c r="DT433" i="5"/>
  <c r="DT497" i="5"/>
  <c r="DT50" i="5"/>
  <c r="DT636" i="5"/>
  <c r="DT246" i="5"/>
  <c r="DT271" i="5"/>
  <c r="DT674" i="5"/>
  <c r="DT566" i="5"/>
  <c r="DT287" i="5"/>
  <c r="DT303" i="5"/>
  <c r="DT331" i="5"/>
  <c r="DT242" i="5"/>
  <c r="DT240" i="5"/>
  <c r="DS622" i="5"/>
  <c r="DS39" i="5"/>
  <c r="DS21" i="5"/>
  <c r="DS325" i="5"/>
  <c r="DS20" i="5"/>
  <c r="DS330" i="5"/>
  <c r="DT370" i="5"/>
  <c r="DT108" i="5"/>
  <c r="DT706" i="5"/>
  <c r="DT584" i="5"/>
  <c r="DT409" i="5"/>
  <c r="DT67" i="5"/>
  <c r="DT79" i="5"/>
  <c r="DT258" i="5"/>
  <c r="DT80" i="5"/>
  <c r="DT671" i="5"/>
  <c r="DT403" i="5"/>
  <c r="DT617" i="5"/>
  <c r="DT444" i="5"/>
  <c r="DT532" i="5"/>
  <c r="DT283" i="5"/>
  <c r="DT470" i="5"/>
  <c r="DT509" i="5"/>
  <c r="DT656" i="5"/>
  <c r="DT134" i="5"/>
  <c r="DT292" i="5"/>
  <c r="DT229" i="5"/>
  <c r="DT621" i="5"/>
  <c r="DT730" i="5"/>
  <c r="DT395" i="5"/>
  <c r="DT263" i="5"/>
  <c r="DT151" i="5"/>
  <c r="DT423" i="5"/>
  <c r="DT571" i="5"/>
  <c r="DT637" i="5"/>
  <c r="DT270" i="5"/>
  <c r="DT250" i="5"/>
  <c r="DT311" i="5"/>
  <c r="DT69" i="5"/>
  <c r="DT741" i="5"/>
  <c r="DT418" i="5"/>
  <c r="DT711" i="5"/>
  <c r="DT485" i="5"/>
  <c r="DT381" i="5"/>
  <c r="DT45" i="5"/>
  <c r="DT237" i="5"/>
  <c r="DS229" i="5"/>
  <c r="DS326" i="5"/>
  <c r="DS171" i="5"/>
  <c r="DS38" i="5"/>
  <c r="DS324" i="5"/>
  <c r="DS623" i="5"/>
  <c r="DS293" i="5"/>
  <c r="DT154" i="5"/>
  <c r="DT746" i="5"/>
  <c r="DT195" i="5"/>
  <c r="DT588" i="5"/>
  <c r="DT415" i="5"/>
  <c r="DT614" i="5"/>
  <c r="DT110" i="5"/>
  <c r="DT672" i="5"/>
  <c r="DT557" i="5"/>
  <c r="DT213" i="5"/>
  <c r="DT709" i="5"/>
  <c r="DT153" i="5"/>
  <c r="DT85" i="5"/>
  <c r="DT548" i="5"/>
  <c r="DT97" i="5"/>
  <c r="DT138" i="5"/>
  <c r="DT437" i="5"/>
  <c r="DT358" i="5"/>
  <c r="DT728" i="5"/>
  <c r="DT472" i="5"/>
  <c r="DT314" i="5"/>
  <c r="DT295" i="5"/>
  <c r="DT290" i="5"/>
  <c r="DT620" i="5"/>
  <c r="DT40" i="5"/>
  <c r="DT411" i="5"/>
  <c r="DT82" i="5"/>
  <c r="DT368" i="5"/>
  <c r="DT112" i="5"/>
  <c r="DT492" i="5"/>
  <c r="DT334" i="5"/>
  <c r="DT297" i="5"/>
  <c r="DT43" i="5"/>
  <c r="DS261" i="5"/>
  <c r="DS327" i="5"/>
  <c r="DS292" i="5"/>
  <c r="DS236" i="5"/>
  <c r="DS625" i="5"/>
  <c r="DS263" i="5"/>
  <c r="DS260" i="5"/>
  <c r="DT555" i="5"/>
  <c r="DT376" i="5"/>
  <c r="DT372" i="5"/>
  <c r="DT147" i="5"/>
  <c r="DT602" i="5"/>
  <c r="DT453" i="5"/>
  <c r="DT226" i="5"/>
  <c r="DT702" i="5"/>
  <c r="DT696" i="5"/>
  <c r="DT117" i="5"/>
  <c r="DT446" i="5"/>
  <c r="DT733" i="5"/>
  <c r="DT421" i="5"/>
  <c r="DT384" i="5"/>
  <c r="DT99" i="5"/>
  <c r="DT652" i="5"/>
  <c r="DT133" i="5"/>
  <c r="DT136" i="5"/>
  <c r="DT400" i="5"/>
  <c r="DT363" i="5"/>
  <c r="DT693" i="5"/>
  <c r="DT260" i="5"/>
  <c r="DT327" i="5"/>
  <c r="DT329" i="5"/>
  <c r="DT306" i="5"/>
  <c r="DT218" i="5"/>
  <c r="DT48" i="5"/>
  <c r="DT639" i="5"/>
  <c r="DT47" i="5"/>
  <c r="DT663" i="5"/>
  <c r="DT143" i="5"/>
  <c r="DT455" i="5"/>
  <c r="DT559" i="5"/>
  <c r="DT448" i="5"/>
  <c r="DT698" i="5"/>
  <c r="DT633" i="5"/>
  <c r="DT629" i="5"/>
  <c r="DS627" i="5"/>
  <c r="DS294" i="5"/>
  <c r="DS37" i="5"/>
  <c r="DS41" i="5"/>
  <c r="DS323" i="5"/>
  <c r="DS19" i="5"/>
  <c r="DS264" i="5"/>
  <c r="DT605" i="5"/>
  <c r="DT193" i="5"/>
  <c r="DT743" i="5"/>
  <c r="DT379" i="5"/>
  <c r="DT604" i="5"/>
  <c r="DT285" i="5"/>
  <c r="DT209" i="5"/>
  <c r="DT223" i="5"/>
  <c r="DT659" i="5"/>
  <c r="DT201" i="5"/>
  <c r="DT141" i="5"/>
  <c r="DT378" i="5"/>
  <c r="DT458" i="5"/>
  <c r="DT569" i="5"/>
  <c r="DT396" i="5"/>
  <c r="DT544" i="5"/>
  <c r="DT96" i="5"/>
  <c r="DT725" i="5"/>
  <c r="DT689" i="5"/>
  <c r="DT651" i="5"/>
  <c r="DT38" i="5"/>
  <c r="DT625" i="5"/>
  <c r="DT234" i="5"/>
  <c r="DT94" i="5"/>
  <c r="DT59" i="5"/>
  <c r="DT161" i="5"/>
  <c r="DT344" i="5"/>
  <c r="DT87" i="5"/>
  <c r="DT534" i="5"/>
  <c r="DT149" i="5"/>
  <c r="DT156" i="5"/>
  <c r="DT661" i="5"/>
  <c r="DT238" i="5"/>
  <c r="DT265" i="5"/>
  <c r="DS234" i="5"/>
  <c r="DS329" i="5"/>
  <c r="DS621" i="5"/>
  <c r="DS620" i="5"/>
  <c r="DS296" i="5"/>
  <c r="DS262" i="5"/>
  <c r="DT700" i="5"/>
  <c r="DT220" i="5"/>
  <c r="DT561" i="5"/>
  <c r="DT214" i="5"/>
  <c r="DT594" i="5"/>
  <c r="DT600" i="5"/>
  <c r="DT211" i="5"/>
  <c r="DT205" i="5"/>
  <c r="DT203" i="5"/>
  <c r="DT366" i="5"/>
  <c r="DT708" i="5"/>
  <c r="DT413" i="5"/>
  <c r="DT104" i="5"/>
  <c r="DT714" i="5"/>
  <c r="DT495" i="5"/>
  <c r="DT122" i="5"/>
  <c r="DT62" i="5"/>
  <c r="DT60" i="5"/>
  <c r="DT688" i="5"/>
  <c r="DT317" i="5"/>
  <c r="DT359" i="5"/>
  <c r="DT469" i="5"/>
  <c r="DT315" i="5"/>
  <c r="DT398" i="5"/>
  <c r="DT474" i="5"/>
  <c r="DT64" i="5"/>
  <c r="DT623" i="5"/>
  <c r="DT37" i="5"/>
  <c r="DT641" i="5"/>
  <c r="DT679" i="5"/>
  <c r="DT753" i="5"/>
  <c r="DT305" i="5"/>
  <c r="DT245" i="5"/>
  <c r="DT516" i="5"/>
  <c r="DT106" i="5"/>
  <c r="DT716" i="5"/>
  <c r="DT460" i="5"/>
  <c r="DT273" i="5"/>
  <c r="DT248" i="5"/>
  <c r="DT75" i="5"/>
  <c r="DT405" i="5"/>
  <c r="DT529" i="5"/>
  <c r="DT119" i="5"/>
  <c r="DT479" i="5"/>
  <c r="DT298" i="5"/>
  <c r="DT339" i="5"/>
  <c r="DT42" i="5"/>
  <c r="DT300" i="5"/>
  <c r="DT332" i="5"/>
  <c r="DS289" i="5"/>
  <c r="DS291" i="5"/>
  <c r="DS18" i="5"/>
  <c r="DS235" i="5"/>
  <c r="DS232" i="5"/>
  <c r="DT71" i="5"/>
  <c r="DT518" i="5"/>
  <c r="DT524" i="5"/>
  <c r="DT416" i="5"/>
  <c r="DT145" i="5"/>
  <c r="DT611" i="5"/>
  <c r="DT207" i="5"/>
  <c r="DT514" i="5"/>
  <c r="DT452" i="5"/>
  <c r="DT527" i="5"/>
  <c r="DT665" i="5"/>
  <c r="DT489" i="5"/>
  <c r="DT598" i="5"/>
  <c r="DT432" i="5"/>
  <c r="DT543" i="5"/>
  <c r="DT281" i="5"/>
  <c r="DT507" i="5"/>
  <c r="DT101" i="5"/>
  <c r="DT319" i="5"/>
  <c r="DS176" i="5"/>
  <c r="DS302" i="5"/>
  <c r="DT322" i="5"/>
  <c r="DT289" i="5"/>
  <c r="DT230" i="5"/>
  <c r="DS24" i="5"/>
  <c r="DS334" i="5"/>
  <c r="DS301" i="5"/>
  <c r="DS269" i="5"/>
  <c r="DS45" i="5"/>
  <c r="DS336" i="5"/>
  <c r="DS175" i="5"/>
  <c r="DT172" i="5"/>
  <c r="DT450" i="5"/>
  <c r="DS177" i="5"/>
  <c r="DS241" i="5"/>
  <c r="DT481" i="5"/>
  <c r="DS46" i="5"/>
  <c r="DS244" i="5"/>
  <c r="DS635" i="5"/>
  <c r="DS631" i="5"/>
  <c r="DS25" i="5"/>
  <c r="DT325" i="5"/>
  <c r="DT293" i="5"/>
  <c r="DT430" i="5"/>
  <c r="DT467" i="5"/>
  <c r="DS268" i="5"/>
  <c r="DS337" i="5"/>
  <c r="DS338" i="5"/>
  <c r="DT171" i="5"/>
  <c r="DS418" i="5"/>
  <c r="DS427" i="5"/>
  <c r="DS668" i="5"/>
  <c r="DS382" i="5"/>
  <c r="DS405" i="5"/>
  <c r="DS560" i="5"/>
  <c r="DS455" i="5"/>
  <c r="DS646" i="5"/>
  <c r="DS750" i="5"/>
  <c r="DS352" i="5"/>
  <c r="DS375" i="5"/>
  <c r="DS559" i="5"/>
  <c r="DS674" i="5"/>
  <c r="DS736" i="5"/>
  <c r="DS667" i="5"/>
  <c r="DS426" i="5"/>
  <c r="DS485" i="5"/>
  <c r="DS675" i="5"/>
  <c r="DS353" i="5"/>
  <c r="DS492" i="5"/>
  <c r="DS522" i="5"/>
  <c r="DS741" i="5"/>
  <c r="DS493" i="5"/>
  <c r="DS120" i="5"/>
  <c r="DS411" i="5"/>
  <c r="DS720" i="5"/>
  <c r="DS15" i="5"/>
  <c r="DS464" i="5"/>
  <c r="DS82" i="5"/>
  <c r="DS645" i="5"/>
  <c r="DS705" i="5"/>
  <c r="DS75" i="5"/>
  <c r="DS389" i="5"/>
  <c r="DS276" i="5"/>
  <c r="DS704" i="5"/>
  <c r="DS406" i="5"/>
  <c r="DS749" i="5"/>
  <c r="DS748" i="5"/>
  <c r="DS553" i="5"/>
  <c r="DS91" i="5"/>
  <c r="DS517" i="5"/>
  <c r="DS167" i="5"/>
  <c r="DS112" i="5"/>
  <c r="DS374" i="5"/>
  <c r="DS113" i="5"/>
  <c r="DS479" i="5"/>
  <c r="DS420" i="5"/>
  <c r="DS412" i="5"/>
  <c r="DS516" i="5"/>
  <c r="DS107" i="5"/>
  <c r="DS121" i="5"/>
  <c r="DS537" i="5"/>
  <c r="DS735" i="5"/>
  <c r="DS698" i="5"/>
  <c r="DS712" i="5"/>
  <c r="DS719" i="5"/>
  <c r="DS486" i="5"/>
  <c r="DS158" i="5"/>
  <c r="DS383" i="5"/>
  <c r="DS381" i="5"/>
  <c r="DS711" i="5"/>
  <c r="DS682" i="5"/>
  <c r="DS127" i="5"/>
  <c r="DS419" i="5"/>
  <c r="DS54" i="5"/>
  <c r="DS457" i="5"/>
  <c r="DS390" i="5"/>
  <c r="DS494" i="5"/>
  <c r="DS156" i="5"/>
  <c r="DS53" i="5"/>
  <c r="DS529" i="5"/>
  <c r="DS144" i="5"/>
  <c r="DS442" i="5"/>
  <c r="DS456" i="5"/>
  <c r="DS90" i="5"/>
  <c r="DS443" i="5"/>
  <c r="DS119" i="5"/>
  <c r="DS554" i="5"/>
  <c r="DS661" i="5"/>
  <c r="DS83" i="5"/>
  <c r="DS742" i="5"/>
  <c r="DS566" i="5"/>
  <c r="DS287" i="5"/>
  <c r="DS568" i="5"/>
  <c r="DS369" i="5"/>
  <c r="DS699" i="5"/>
  <c r="DS69" i="5"/>
  <c r="DS463" i="5"/>
  <c r="DS76" i="5"/>
  <c r="DS106" i="5"/>
  <c r="DS169" i="5"/>
  <c r="DS288" i="5"/>
  <c r="DS713" i="5"/>
  <c r="DS150" i="5"/>
  <c r="DS143" i="5"/>
  <c r="DS480" i="5"/>
  <c r="DS501" i="5"/>
  <c r="DS128" i="5"/>
  <c r="DS149" i="5"/>
  <c r="DS277" i="5"/>
  <c r="DS567" i="5"/>
  <c r="DS538" i="5"/>
  <c r="DS530" i="5"/>
  <c r="DS676" i="5"/>
  <c r="DS448" i="5"/>
  <c r="DS84" i="5"/>
  <c r="DS683" i="5"/>
  <c r="DS531" i="5"/>
  <c r="DS523" i="5"/>
  <c r="DS368" i="5"/>
  <c r="DS157" i="5"/>
  <c r="DS500" i="5"/>
  <c r="DS449" i="5"/>
  <c r="DS662" i="5"/>
  <c r="DS70" i="5"/>
  <c r="DS17" i="5"/>
  <c r="DT356" i="5"/>
  <c r="DT649" i="5"/>
  <c r="DT723" i="5"/>
  <c r="DT131" i="5"/>
  <c r="DT686" i="5"/>
  <c r="DT57" i="5"/>
  <c r="DT407" i="5"/>
  <c r="DT393" i="5"/>
  <c r="R19" i="21" l="1"/>
  <c r="R20" i="21"/>
  <c r="R21" i="21" s="1"/>
  <c r="R22" i="21" s="1"/>
  <c r="R23" i="21" s="1"/>
  <c r="R24" i="21" s="1"/>
  <c r="R25" i="21" s="1"/>
  <c r="R26" i="21" s="1"/>
  <c r="R27" i="21" s="1"/>
  <c r="R28" i="21" s="1"/>
  <c r="R29" i="21" s="1"/>
  <c r="R30" i="21" s="1"/>
  <c r="R31" i="21" s="1"/>
  <c r="N32" i="21" s="1"/>
  <c r="X17" i="21"/>
  <c r="DF509" i="5"/>
  <c r="DC510" i="5"/>
  <c r="DF655" i="5"/>
  <c r="DC656" i="5"/>
  <c r="DC362" i="5"/>
  <c r="DF361" i="5"/>
  <c r="DF99" i="5"/>
  <c r="DC100" i="5"/>
  <c r="DF691" i="5"/>
  <c r="DC692" i="5"/>
  <c r="DF472" i="5"/>
  <c r="DC473" i="5"/>
  <c r="DC399" i="5"/>
  <c r="DF398" i="5"/>
  <c r="DF63" i="5"/>
  <c r="DC64" i="5"/>
  <c r="X18" i="21" l="1"/>
  <c r="X19" i="21" s="1"/>
  <c r="X20" i="21" s="1"/>
  <c r="X21" i="21"/>
  <c r="X22" i="21" s="1"/>
  <c r="X23" i="21" s="1"/>
  <c r="X24" i="21" s="1"/>
  <c r="X25" i="21" s="1"/>
  <c r="X26" i="21" s="1"/>
  <c r="X27" i="21" s="1"/>
  <c r="P32" i="21"/>
  <c r="M32" i="21"/>
  <c r="O32" i="21"/>
  <c r="DC400" i="5"/>
  <c r="DF399" i="5"/>
  <c r="DC693" i="5"/>
  <c r="DF692" i="5"/>
  <c r="DF510" i="5"/>
  <c r="DC511" i="5"/>
  <c r="DF64" i="5"/>
  <c r="DC65" i="5"/>
  <c r="DF362" i="5"/>
  <c r="DC363" i="5"/>
  <c r="DF100" i="5"/>
  <c r="DC101" i="5"/>
  <c r="DF656" i="5"/>
  <c r="DC657" i="5"/>
  <c r="DF473" i="5"/>
  <c r="DC474" i="5"/>
  <c r="V32" i="21" l="1"/>
  <c r="U32" i="21"/>
  <c r="M33" i="21"/>
  <c r="N33" i="21" s="1"/>
  <c r="T32" i="21"/>
  <c r="AH85" i="12" s="1"/>
  <c r="S32" i="21"/>
  <c r="DF101" i="5"/>
  <c r="DC102" i="5"/>
  <c r="DC694" i="5"/>
  <c r="DF693" i="5"/>
  <c r="DF65" i="5"/>
  <c r="DC66" i="5"/>
  <c r="DF66" i="5" s="1"/>
  <c r="DF474" i="5"/>
  <c r="DC475" i="5"/>
  <c r="DF400" i="5"/>
  <c r="DC401" i="5"/>
  <c r="DC364" i="5"/>
  <c r="DF363" i="5"/>
  <c r="DF511" i="5"/>
  <c r="DC512" i="5"/>
  <c r="DC658" i="5"/>
  <c r="DF658" i="5" s="1"/>
  <c r="DF657" i="5"/>
  <c r="DG664" i="5" s="1"/>
  <c r="DH664" i="5" s="1"/>
  <c r="DI664" i="5" s="1"/>
  <c r="DG661" i="5"/>
  <c r="DH661" i="5" s="1"/>
  <c r="DI661" i="5" s="1"/>
  <c r="DG665" i="5" l="1"/>
  <c r="DH665" i="5" s="1"/>
  <c r="DI665" i="5" s="1"/>
  <c r="AG85" i="12"/>
  <c r="BF16" i="12" s="1"/>
  <c r="S34" i="21"/>
  <c r="BE16" i="12"/>
  <c r="AJ85" i="12"/>
  <c r="AI85" i="12"/>
  <c r="U33" i="21"/>
  <c r="Y32" i="21"/>
  <c r="Z32" i="21"/>
  <c r="AH87" i="12" s="1"/>
  <c r="DG666" i="5"/>
  <c r="DH666" i="5" s="1"/>
  <c r="DI666" i="5" s="1"/>
  <c r="DG675" i="5"/>
  <c r="DH675" i="5" s="1"/>
  <c r="DI675" i="5" s="1"/>
  <c r="DG671" i="5"/>
  <c r="DH671" i="5" s="1"/>
  <c r="DI671" i="5" s="1"/>
  <c r="DG663" i="5"/>
  <c r="DH663" i="5" s="1"/>
  <c r="DI663" i="5" s="1"/>
  <c r="DG654" i="5"/>
  <c r="DH654" i="5" s="1"/>
  <c r="DI654" i="5" s="1"/>
  <c r="DG674" i="5"/>
  <c r="DH674" i="5" s="1"/>
  <c r="DI674" i="5" s="1"/>
  <c r="DG678" i="5"/>
  <c r="DH678" i="5" s="1"/>
  <c r="DI678" i="5" s="1"/>
  <c r="DG647" i="5"/>
  <c r="DH647" i="5" s="1"/>
  <c r="DI647" i="5" s="1"/>
  <c r="DG662" i="5"/>
  <c r="DH662" i="5" s="1"/>
  <c r="DI662" i="5" s="1"/>
  <c r="DG653" i="5"/>
  <c r="DH653" i="5" s="1"/>
  <c r="DI653" i="5" s="1"/>
  <c r="DG652" i="5"/>
  <c r="DH652" i="5" s="1"/>
  <c r="DI652" i="5" s="1"/>
  <c r="DG680" i="5"/>
  <c r="DH680" i="5" s="1"/>
  <c r="DI680" i="5" s="1"/>
  <c r="DG645" i="5"/>
  <c r="DH645" i="5" s="1"/>
  <c r="DI645" i="5" s="1"/>
  <c r="DG672" i="5"/>
  <c r="DH672" i="5" s="1"/>
  <c r="DI672" i="5" s="1"/>
  <c r="DG659" i="5"/>
  <c r="DH659" i="5" s="1"/>
  <c r="DI659" i="5" s="1"/>
  <c r="DG657" i="5"/>
  <c r="DH657" i="5" s="1"/>
  <c r="DI657" i="5" s="1"/>
  <c r="DG668" i="5"/>
  <c r="DH668" i="5" s="1"/>
  <c r="DI668" i="5" s="1"/>
  <c r="DG670" i="5"/>
  <c r="DH670" i="5" s="1"/>
  <c r="DI670" i="5" s="1"/>
  <c r="DG649" i="5"/>
  <c r="DH649" i="5" s="1"/>
  <c r="DI649" i="5" s="1"/>
  <c r="DG656" i="5"/>
  <c r="DH656" i="5" s="1"/>
  <c r="DI656" i="5" s="1"/>
  <c r="DG676" i="5"/>
  <c r="DH676" i="5" s="1"/>
  <c r="DI676" i="5" s="1"/>
  <c r="DG667" i="5"/>
  <c r="DH667" i="5" s="1"/>
  <c r="DI667" i="5" s="1"/>
  <c r="DG673" i="5"/>
  <c r="DH673" i="5" s="1"/>
  <c r="DI673" i="5" s="1"/>
  <c r="DG648" i="5"/>
  <c r="DH648" i="5" s="1"/>
  <c r="DI648" i="5" s="1"/>
  <c r="DG644" i="5"/>
  <c r="DH644" i="5" s="1"/>
  <c r="DI644" i="5" s="1"/>
  <c r="DG650" i="5"/>
  <c r="DG669" i="5"/>
  <c r="DH669" i="5" s="1"/>
  <c r="DI669" i="5" s="1"/>
  <c r="DF364" i="5"/>
  <c r="DC365" i="5"/>
  <c r="DF365" i="5" s="1"/>
  <c r="DG655" i="5"/>
  <c r="DH655" i="5" s="1"/>
  <c r="DI655" i="5" s="1"/>
  <c r="DG677" i="5"/>
  <c r="DH677" i="5" s="1"/>
  <c r="DI677" i="5" s="1"/>
  <c r="DC103" i="5"/>
  <c r="DF103" i="5" s="1"/>
  <c r="DF102" i="5"/>
  <c r="DG651" i="5"/>
  <c r="DH651" i="5" s="1"/>
  <c r="DI651" i="5" s="1"/>
  <c r="DG679" i="5"/>
  <c r="DH679" i="5" s="1"/>
  <c r="DI679" i="5" s="1"/>
  <c r="DC402" i="5"/>
  <c r="DF402" i="5" s="1"/>
  <c r="DF401" i="5"/>
  <c r="DG82" i="5"/>
  <c r="DH82" i="5" s="1"/>
  <c r="DI82" i="5" s="1"/>
  <c r="DG62" i="5"/>
  <c r="DH62" i="5" s="1"/>
  <c r="DI62" i="5" s="1"/>
  <c r="DG52" i="5"/>
  <c r="DH52" i="5" s="1"/>
  <c r="DI52" i="5" s="1"/>
  <c r="DG81" i="5"/>
  <c r="DH81" i="5" s="1"/>
  <c r="DI81" i="5" s="1"/>
  <c r="DG83" i="5"/>
  <c r="DH83" i="5" s="1"/>
  <c r="DI83" i="5" s="1"/>
  <c r="DG55" i="5"/>
  <c r="DH55" i="5" s="1"/>
  <c r="DI55" i="5" s="1"/>
  <c r="DG87" i="5"/>
  <c r="DH87" i="5" s="1"/>
  <c r="DI87" i="5" s="1"/>
  <c r="DG64" i="5"/>
  <c r="DH64" i="5" s="1"/>
  <c r="DI64" i="5" s="1"/>
  <c r="DG65" i="5"/>
  <c r="DH65" i="5" s="1"/>
  <c r="DI65" i="5" s="1"/>
  <c r="DG75" i="5"/>
  <c r="DH75" i="5" s="1"/>
  <c r="DI75" i="5" s="1"/>
  <c r="DG77" i="5"/>
  <c r="DH77" i="5" s="1"/>
  <c r="DI77" i="5" s="1"/>
  <c r="DG78" i="5"/>
  <c r="DH78" i="5" s="1"/>
  <c r="DI78" i="5" s="1"/>
  <c r="DG84" i="5"/>
  <c r="DH84" i="5" s="1"/>
  <c r="DI84" i="5" s="1"/>
  <c r="DG88" i="5"/>
  <c r="DH88" i="5" s="1"/>
  <c r="DI88" i="5" s="1"/>
  <c r="DG68" i="5"/>
  <c r="DH68" i="5" s="1"/>
  <c r="DI68" i="5" s="1"/>
  <c r="DG72" i="5"/>
  <c r="DH72" i="5" s="1"/>
  <c r="DI72" i="5" s="1"/>
  <c r="DG57" i="5"/>
  <c r="DH57" i="5" s="1"/>
  <c r="DI57" i="5" s="1"/>
  <c r="DG66" i="5"/>
  <c r="DH66" i="5" s="1"/>
  <c r="DI66" i="5" s="1"/>
  <c r="DG54" i="5"/>
  <c r="DH54" i="5" s="1"/>
  <c r="DI54" i="5" s="1"/>
  <c r="DG61" i="5"/>
  <c r="DH61" i="5" s="1"/>
  <c r="DI61" i="5" s="1"/>
  <c r="DG80" i="5"/>
  <c r="DH80" i="5" s="1"/>
  <c r="DI80" i="5" s="1"/>
  <c r="DG74" i="5"/>
  <c r="DH74" i="5" s="1"/>
  <c r="DI74" i="5" s="1"/>
  <c r="DG60" i="5"/>
  <c r="DH60" i="5" s="1"/>
  <c r="DI60" i="5" s="1"/>
  <c r="DG63" i="5"/>
  <c r="DH63" i="5" s="1"/>
  <c r="DI63" i="5" s="1"/>
  <c r="DG56" i="5"/>
  <c r="DH56" i="5" s="1"/>
  <c r="DI56" i="5" s="1"/>
  <c r="DG71" i="5"/>
  <c r="DH71" i="5" s="1"/>
  <c r="DI71" i="5" s="1"/>
  <c r="DG86" i="5"/>
  <c r="DH86" i="5" s="1"/>
  <c r="DI86" i="5" s="1"/>
  <c r="DG70" i="5"/>
  <c r="DH70" i="5" s="1"/>
  <c r="DI70" i="5" s="1"/>
  <c r="DG79" i="5"/>
  <c r="DH79" i="5" s="1"/>
  <c r="DI79" i="5" s="1"/>
  <c r="DG58" i="5"/>
  <c r="DG53" i="5"/>
  <c r="DH53" i="5" s="1"/>
  <c r="DI53" i="5" s="1"/>
  <c r="DG76" i="5"/>
  <c r="DH76" i="5" s="1"/>
  <c r="DI76" i="5" s="1"/>
  <c r="DG73" i="5"/>
  <c r="DH73" i="5" s="1"/>
  <c r="DI73" i="5" s="1"/>
  <c r="DG59" i="5"/>
  <c r="DH59" i="5" s="1"/>
  <c r="DI59" i="5" s="1"/>
  <c r="DG85" i="5"/>
  <c r="DH85" i="5" s="1"/>
  <c r="DI85" i="5" s="1"/>
  <c r="DG67" i="5"/>
  <c r="DH67" i="5" s="1"/>
  <c r="DI67" i="5" s="1"/>
  <c r="DG69" i="5"/>
  <c r="DH69" i="5" s="1"/>
  <c r="DI69" i="5" s="1"/>
  <c r="DG646" i="5"/>
  <c r="DH646" i="5" s="1"/>
  <c r="DI646" i="5" s="1"/>
  <c r="DG658" i="5"/>
  <c r="DH658" i="5" s="1"/>
  <c r="DI658" i="5" s="1"/>
  <c r="DF512" i="5"/>
  <c r="DC513" i="5"/>
  <c r="DF513" i="5" s="1"/>
  <c r="DF475" i="5"/>
  <c r="DC476" i="5"/>
  <c r="DF476" i="5" s="1"/>
  <c r="DC695" i="5"/>
  <c r="DF695" i="5" s="1"/>
  <c r="DG660" i="5" s="1"/>
  <c r="DH660" i="5" s="1"/>
  <c r="DI660" i="5" s="1"/>
  <c r="DF694" i="5"/>
  <c r="BE18" i="12" l="1"/>
  <c r="AJ87" i="12"/>
  <c r="CO18" i="12" s="1"/>
  <c r="AI87" i="12"/>
  <c r="AI89" i="12" s="1"/>
  <c r="Y34" i="21"/>
  <c r="AG87" i="12"/>
  <c r="BF18" i="12" s="1"/>
  <c r="CO16" i="12"/>
  <c r="BG16" i="12"/>
  <c r="DG388" i="5"/>
  <c r="DH388" i="5" s="1"/>
  <c r="DI388" i="5" s="1"/>
  <c r="DG394" i="5"/>
  <c r="DG379" i="5"/>
  <c r="DH379" i="5" s="1"/>
  <c r="DI379" i="5" s="1"/>
  <c r="DG716" i="5"/>
  <c r="DH716" i="5" s="1"/>
  <c r="DI716" i="5" s="1"/>
  <c r="DG422" i="5"/>
  <c r="DH422" i="5" s="1"/>
  <c r="DI422" i="5" s="1"/>
  <c r="DG383" i="5"/>
  <c r="DH383" i="5" s="1"/>
  <c r="DI383" i="5" s="1"/>
  <c r="DG89" i="5"/>
  <c r="DH89" i="5" s="1"/>
  <c r="DI89" i="5" s="1"/>
  <c r="DG506" i="5"/>
  <c r="DH506" i="5" s="1"/>
  <c r="DI506" i="5" s="1"/>
  <c r="DG401" i="5"/>
  <c r="DH401" i="5" s="1"/>
  <c r="DI401" i="5" s="1"/>
  <c r="DG397" i="5"/>
  <c r="DH397" i="5" s="1"/>
  <c r="DI397" i="5" s="1"/>
  <c r="DG395" i="5"/>
  <c r="DH395" i="5" s="1"/>
  <c r="DI395" i="5" s="1"/>
  <c r="DG380" i="5"/>
  <c r="DH380" i="5" s="1"/>
  <c r="DI380" i="5" s="1"/>
  <c r="DG685" i="5"/>
  <c r="DH685" i="5" s="1"/>
  <c r="DI685" i="5" s="1"/>
  <c r="DG409" i="5"/>
  <c r="DH409" i="5" s="1"/>
  <c r="DI409" i="5" s="1"/>
  <c r="DG102" i="5"/>
  <c r="DH102" i="5" s="1"/>
  <c r="DI102" i="5" s="1"/>
  <c r="DG715" i="5"/>
  <c r="DH715" i="5" s="1"/>
  <c r="DI715" i="5" s="1"/>
  <c r="DG693" i="5"/>
  <c r="DH693" i="5" s="1"/>
  <c r="DI693" i="5" s="1"/>
  <c r="DG475" i="5"/>
  <c r="DH475" i="5" s="1"/>
  <c r="DI475" i="5" s="1"/>
  <c r="DG713" i="5"/>
  <c r="DH713" i="5" s="1"/>
  <c r="DI713" i="5" s="1"/>
  <c r="DG91" i="5"/>
  <c r="DH91" i="5" s="1"/>
  <c r="DI91" i="5" s="1"/>
  <c r="DG405" i="5"/>
  <c r="DH405" i="5" s="1"/>
  <c r="DI405" i="5" s="1"/>
  <c r="DG360" i="5"/>
  <c r="DH360" i="5" s="1"/>
  <c r="DI360" i="5" s="1"/>
  <c r="DG686" i="5"/>
  <c r="DH686" i="5" s="1"/>
  <c r="DI686" i="5" s="1"/>
  <c r="DG92" i="5"/>
  <c r="DH92" i="5" s="1"/>
  <c r="DI92" i="5" s="1"/>
  <c r="DG406" i="5"/>
  <c r="DH406" i="5" s="1"/>
  <c r="DI406" i="5" s="1"/>
  <c r="DG352" i="5"/>
  <c r="DH352" i="5" s="1"/>
  <c r="DI352" i="5" s="1"/>
  <c r="DG696" i="5"/>
  <c r="DH696" i="5" s="1"/>
  <c r="DI696" i="5" s="1"/>
  <c r="DG714" i="5"/>
  <c r="DH714" i="5" s="1"/>
  <c r="DI714" i="5" s="1"/>
  <c r="DG118" i="5"/>
  <c r="DH118" i="5" s="1"/>
  <c r="DI118" i="5" s="1"/>
  <c r="DG381" i="5"/>
  <c r="DH381" i="5" s="1"/>
  <c r="DI381" i="5" s="1"/>
  <c r="DG684" i="5"/>
  <c r="DH684" i="5" s="1"/>
  <c r="DI684" i="5" s="1"/>
  <c r="DG711" i="5"/>
  <c r="DH711" i="5" s="1"/>
  <c r="DI711" i="5" s="1"/>
  <c r="DG389" i="5"/>
  <c r="DH389" i="5" s="1"/>
  <c r="DI389" i="5" s="1"/>
  <c r="DG403" i="5"/>
  <c r="DH403" i="5" s="1"/>
  <c r="DI403" i="5" s="1"/>
  <c r="DG363" i="5"/>
  <c r="DH363" i="5" s="1"/>
  <c r="DI363" i="5" s="1"/>
  <c r="DG689" i="5"/>
  <c r="DH689" i="5" s="1"/>
  <c r="DI689" i="5" s="1"/>
  <c r="DG417" i="5"/>
  <c r="DH417" i="5" s="1"/>
  <c r="DI417" i="5" s="1"/>
  <c r="DG390" i="5"/>
  <c r="DH390" i="5" s="1"/>
  <c r="DI390" i="5" s="1"/>
  <c r="DG376" i="5"/>
  <c r="DH376" i="5" s="1"/>
  <c r="DI376" i="5" s="1"/>
  <c r="DG469" i="5"/>
  <c r="DH469" i="5" s="1"/>
  <c r="DI469" i="5" s="1"/>
  <c r="DG703" i="5"/>
  <c r="DH703" i="5" s="1"/>
  <c r="DI703" i="5" s="1"/>
  <c r="DG410" i="5"/>
  <c r="DH410" i="5" s="1"/>
  <c r="DI410" i="5" s="1"/>
  <c r="DG351" i="5"/>
  <c r="DH351" i="5" s="1"/>
  <c r="DI351" i="5" s="1"/>
  <c r="DG463" i="5"/>
  <c r="DH463" i="5" s="1"/>
  <c r="DI463" i="5" s="1"/>
  <c r="DG493" i="5"/>
  <c r="DH493" i="5" s="1"/>
  <c r="DI493" i="5" s="1"/>
  <c r="DG474" i="5"/>
  <c r="DH474" i="5" s="1"/>
  <c r="DI474" i="5" s="1"/>
  <c r="DG513" i="5"/>
  <c r="DH513" i="5" s="1"/>
  <c r="DI513" i="5" s="1"/>
  <c r="DG529" i="5"/>
  <c r="DH529" i="5" s="1"/>
  <c r="DI529" i="5" s="1"/>
  <c r="DG523" i="5"/>
  <c r="DH523" i="5" s="1"/>
  <c r="DI523" i="5" s="1"/>
  <c r="DG505" i="5"/>
  <c r="DG354" i="5"/>
  <c r="DH354" i="5" s="1"/>
  <c r="DI354" i="5" s="1"/>
  <c r="DG361" i="5"/>
  <c r="DH361" i="5" s="1"/>
  <c r="DI361" i="5" s="1"/>
  <c r="DG479" i="5"/>
  <c r="DH479" i="5" s="1"/>
  <c r="DI479" i="5" s="1"/>
  <c r="DG467" i="5"/>
  <c r="DH467" i="5" s="1"/>
  <c r="DI467" i="5" s="1"/>
  <c r="DG488" i="5"/>
  <c r="DH488" i="5" s="1"/>
  <c r="DI488" i="5" s="1"/>
  <c r="DG477" i="5"/>
  <c r="DH477" i="5" s="1"/>
  <c r="DI477" i="5" s="1"/>
  <c r="DG480" i="5"/>
  <c r="DH480" i="5" s="1"/>
  <c r="DI480" i="5" s="1"/>
  <c r="DG532" i="5"/>
  <c r="DH532" i="5" s="1"/>
  <c r="DI532" i="5" s="1"/>
  <c r="DG517" i="5"/>
  <c r="DH517" i="5" s="1"/>
  <c r="DI517" i="5" s="1"/>
  <c r="DG504" i="5"/>
  <c r="DH504" i="5" s="1"/>
  <c r="DI504" i="5" s="1"/>
  <c r="DG510" i="5"/>
  <c r="DH510" i="5" s="1"/>
  <c r="DI510" i="5" s="1"/>
  <c r="DG114" i="5"/>
  <c r="DH114" i="5" s="1"/>
  <c r="DI114" i="5" s="1"/>
  <c r="DG700" i="5"/>
  <c r="DH700" i="5" s="1"/>
  <c r="DI700" i="5" s="1"/>
  <c r="DG682" i="5"/>
  <c r="DH682" i="5" s="1"/>
  <c r="DI682" i="5" s="1"/>
  <c r="DG124" i="5"/>
  <c r="DH124" i="5" s="1"/>
  <c r="DI124" i="5" s="1"/>
  <c r="DG121" i="5"/>
  <c r="DH121" i="5" s="1"/>
  <c r="DI121" i="5" s="1"/>
  <c r="DG95" i="5"/>
  <c r="DG420" i="5"/>
  <c r="DH420" i="5" s="1"/>
  <c r="DI420" i="5" s="1"/>
  <c r="DG385" i="5"/>
  <c r="DH385" i="5" s="1"/>
  <c r="DI385" i="5" s="1"/>
  <c r="DG365" i="5"/>
  <c r="DH365" i="5" s="1"/>
  <c r="DI365" i="5" s="1"/>
  <c r="DG378" i="5"/>
  <c r="DH378" i="5" s="1"/>
  <c r="DI378" i="5" s="1"/>
  <c r="DG476" i="5"/>
  <c r="DH476" i="5" s="1"/>
  <c r="DI476" i="5" s="1"/>
  <c r="DG402" i="5"/>
  <c r="DH402" i="5" s="1"/>
  <c r="DI402" i="5" s="1"/>
  <c r="DG702" i="5"/>
  <c r="DH702" i="5" s="1"/>
  <c r="DI702" i="5" s="1"/>
  <c r="DG704" i="5"/>
  <c r="DH704" i="5" s="1"/>
  <c r="DI704" i="5" s="1"/>
  <c r="DG412" i="5"/>
  <c r="DH412" i="5" s="1"/>
  <c r="DI412" i="5" s="1"/>
  <c r="DG107" i="5"/>
  <c r="DH107" i="5" s="1"/>
  <c r="DI107" i="5" s="1"/>
  <c r="DG108" i="5"/>
  <c r="DH108" i="5" s="1"/>
  <c r="DI108" i="5" s="1"/>
  <c r="DG101" i="5"/>
  <c r="DH101" i="5" s="1"/>
  <c r="DI101" i="5" s="1"/>
  <c r="DG423" i="5"/>
  <c r="DH423" i="5" s="1"/>
  <c r="DI423" i="5" s="1"/>
  <c r="DG367" i="5"/>
  <c r="DH367" i="5" s="1"/>
  <c r="DI367" i="5" s="1"/>
  <c r="DG399" i="5"/>
  <c r="DH399" i="5" s="1"/>
  <c r="DI399" i="5" s="1"/>
  <c r="DG706" i="5"/>
  <c r="DH706" i="5" s="1"/>
  <c r="DI706" i="5" s="1"/>
  <c r="DG404" i="5"/>
  <c r="DH404" i="5" s="1"/>
  <c r="DI404" i="5" s="1"/>
  <c r="DG391" i="5"/>
  <c r="DH391" i="5" s="1"/>
  <c r="DI391" i="5" s="1"/>
  <c r="DG109" i="5"/>
  <c r="DH109" i="5" s="1"/>
  <c r="DI109" i="5" s="1"/>
  <c r="DG94" i="5"/>
  <c r="DH94" i="5" s="1"/>
  <c r="DI94" i="5" s="1"/>
  <c r="DG116" i="5"/>
  <c r="DH116" i="5" s="1"/>
  <c r="DI116" i="5" s="1"/>
  <c r="DG97" i="5"/>
  <c r="DH97" i="5" s="1"/>
  <c r="DI97" i="5" s="1"/>
  <c r="DG122" i="5"/>
  <c r="DH122" i="5" s="1"/>
  <c r="DI122" i="5" s="1"/>
  <c r="DG364" i="5"/>
  <c r="DH364" i="5" s="1"/>
  <c r="DI364" i="5" s="1"/>
  <c r="DG358" i="5"/>
  <c r="DH358" i="5" s="1"/>
  <c r="DI358" i="5" s="1"/>
  <c r="DG362" i="5"/>
  <c r="DH362" i="5" s="1"/>
  <c r="DI362" i="5" s="1"/>
  <c r="DG355" i="5"/>
  <c r="DH355" i="5" s="1"/>
  <c r="DI355" i="5" s="1"/>
  <c r="DG371" i="5"/>
  <c r="DH371" i="5" s="1"/>
  <c r="DI371" i="5" s="1"/>
  <c r="DG424" i="5"/>
  <c r="DH424" i="5" s="1"/>
  <c r="DI424" i="5" s="1"/>
  <c r="DG496" i="5"/>
  <c r="DH496" i="5" s="1"/>
  <c r="DI496" i="5" s="1"/>
  <c r="DG485" i="5"/>
  <c r="DH485" i="5" s="1"/>
  <c r="DI485" i="5" s="1"/>
  <c r="DG494" i="5"/>
  <c r="DH494" i="5" s="1"/>
  <c r="DI494" i="5" s="1"/>
  <c r="DG492" i="5"/>
  <c r="DH492" i="5" s="1"/>
  <c r="DI492" i="5" s="1"/>
  <c r="DG530" i="5"/>
  <c r="DH530" i="5" s="1"/>
  <c r="DI530" i="5" s="1"/>
  <c r="DG531" i="5"/>
  <c r="DH531" i="5" s="1"/>
  <c r="DI531" i="5" s="1"/>
  <c r="DG501" i="5"/>
  <c r="DH501" i="5" s="1"/>
  <c r="DI501" i="5" s="1"/>
  <c r="DG508" i="5"/>
  <c r="DH508" i="5" s="1"/>
  <c r="DI508" i="5" s="1"/>
  <c r="DG499" i="5"/>
  <c r="DH499" i="5" s="1"/>
  <c r="DI499" i="5" s="1"/>
  <c r="DG103" i="5"/>
  <c r="DH103" i="5" s="1"/>
  <c r="DI103" i="5" s="1"/>
  <c r="DG90" i="5"/>
  <c r="DH90" i="5" s="1"/>
  <c r="DI90" i="5" s="1"/>
  <c r="DG694" i="5"/>
  <c r="DH694" i="5" s="1"/>
  <c r="DI694" i="5" s="1"/>
  <c r="DG106" i="5"/>
  <c r="DH106" i="5" s="1"/>
  <c r="DI106" i="5" s="1"/>
  <c r="DG99" i="5"/>
  <c r="DH99" i="5" s="1"/>
  <c r="DI99" i="5" s="1"/>
  <c r="DG372" i="5"/>
  <c r="DH372" i="5" s="1"/>
  <c r="DI372" i="5" s="1"/>
  <c r="DG717" i="5"/>
  <c r="DH717" i="5" s="1"/>
  <c r="DI717" i="5" s="1"/>
  <c r="DG691" i="5"/>
  <c r="DH691" i="5" s="1"/>
  <c r="DI691" i="5" s="1"/>
  <c r="DG120" i="5"/>
  <c r="DH120" i="5" s="1"/>
  <c r="DI120" i="5" s="1"/>
  <c r="DG115" i="5"/>
  <c r="DH115" i="5" s="1"/>
  <c r="DI115" i="5" s="1"/>
  <c r="DG369" i="5"/>
  <c r="DH369" i="5" s="1"/>
  <c r="DI369" i="5" s="1"/>
  <c r="DG708" i="5"/>
  <c r="DH708" i="5" s="1"/>
  <c r="DI708" i="5" s="1"/>
  <c r="DG707" i="5"/>
  <c r="DH707" i="5" s="1"/>
  <c r="DI707" i="5" s="1"/>
  <c r="DG710" i="5"/>
  <c r="DH710" i="5" s="1"/>
  <c r="DI710" i="5" s="1"/>
  <c r="DG400" i="5"/>
  <c r="DH400" i="5" s="1"/>
  <c r="DI400" i="5" s="1"/>
  <c r="DG695" i="5"/>
  <c r="DH695" i="5" s="1"/>
  <c r="DI695" i="5" s="1"/>
  <c r="DG699" i="5"/>
  <c r="DH699" i="5" s="1"/>
  <c r="DI699" i="5" s="1"/>
  <c r="DG701" i="5"/>
  <c r="DH701" i="5" s="1"/>
  <c r="DI701" i="5" s="1"/>
  <c r="DG690" i="5"/>
  <c r="DH690" i="5" s="1"/>
  <c r="DI690" i="5" s="1"/>
  <c r="DG681" i="5"/>
  <c r="DH681" i="5" s="1"/>
  <c r="DI681" i="5" s="1"/>
  <c r="DG413" i="5"/>
  <c r="DH413" i="5" s="1"/>
  <c r="DI413" i="5" s="1"/>
  <c r="DG111" i="5"/>
  <c r="DH111" i="5" s="1"/>
  <c r="DI111" i="5" s="1"/>
  <c r="DG113" i="5"/>
  <c r="DH113" i="5" s="1"/>
  <c r="DI113" i="5" s="1"/>
  <c r="DG119" i="5"/>
  <c r="DH119" i="5" s="1"/>
  <c r="DI119" i="5" s="1"/>
  <c r="DG100" i="5"/>
  <c r="DH100" i="5" s="1"/>
  <c r="DI100" i="5" s="1"/>
  <c r="DG104" i="5"/>
  <c r="DH104" i="5" s="1"/>
  <c r="DI104" i="5" s="1"/>
  <c r="DG411" i="5"/>
  <c r="DH411" i="5" s="1"/>
  <c r="DI411" i="5" s="1"/>
  <c r="DG357" i="5"/>
  <c r="DG382" i="5"/>
  <c r="DH382" i="5" s="1"/>
  <c r="DI382" i="5" s="1"/>
  <c r="DG353" i="5"/>
  <c r="DH353" i="5" s="1"/>
  <c r="DI353" i="5" s="1"/>
  <c r="DG386" i="5"/>
  <c r="DH386" i="5" s="1"/>
  <c r="DI386" i="5" s="1"/>
  <c r="DG387" i="5"/>
  <c r="DH387" i="5" s="1"/>
  <c r="DI387" i="5" s="1"/>
  <c r="DG416" i="5"/>
  <c r="DH416" i="5" s="1"/>
  <c r="DI416" i="5" s="1"/>
  <c r="DG497" i="5"/>
  <c r="DH497" i="5" s="1"/>
  <c r="DI497" i="5" s="1"/>
  <c r="DG490" i="5"/>
  <c r="DH490" i="5" s="1"/>
  <c r="DI490" i="5" s="1"/>
  <c r="DG465" i="5"/>
  <c r="DH465" i="5" s="1"/>
  <c r="DI465" i="5" s="1"/>
  <c r="DG466" i="5"/>
  <c r="DH466" i="5" s="1"/>
  <c r="DI466" i="5" s="1"/>
  <c r="DG512" i="5"/>
  <c r="DH512" i="5" s="1"/>
  <c r="DI512" i="5" s="1"/>
  <c r="DG507" i="5"/>
  <c r="DH507" i="5" s="1"/>
  <c r="DI507" i="5" s="1"/>
  <c r="DG502" i="5"/>
  <c r="DH502" i="5" s="1"/>
  <c r="DI502" i="5" s="1"/>
  <c r="DG514" i="5"/>
  <c r="DH514" i="5" s="1"/>
  <c r="DI514" i="5" s="1"/>
  <c r="DG534" i="5"/>
  <c r="DH534" i="5" s="1"/>
  <c r="DI534" i="5" s="1"/>
  <c r="DG366" i="5"/>
  <c r="DH366" i="5" s="1"/>
  <c r="DI366" i="5" s="1"/>
  <c r="DG491" i="5"/>
  <c r="DH491" i="5" s="1"/>
  <c r="DI491" i="5" s="1"/>
  <c r="DG462" i="5"/>
  <c r="DH462" i="5" s="1"/>
  <c r="DI462" i="5" s="1"/>
  <c r="DG484" i="5"/>
  <c r="DH484" i="5" s="1"/>
  <c r="DI484" i="5" s="1"/>
  <c r="DG478" i="5"/>
  <c r="DH478" i="5" s="1"/>
  <c r="DI478" i="5" s="1"/>
  <c r="DG521" i="5"/>
  <c r="DH521" i="5" s="1"/>
  <c r="DI521" i="5" s="1"/>
  <c r="DG518" i="5"/>
  <c r="DH518" i="5" s="1"/>
  <c r="DI518" i="5" s="1"/>
  <c r="DG515" i="5"/>
  <c r="DH515" i="5" s="1"/>
  <c r="DI515" i="5" s="1"/>
  <c r="DG522" i="5"/>
  <c r="DH522" i="5" s="1"/>
  <c r="DI522" i="5" s="1"/>
  <c r="DG503" i="5"/>
  <c r="DH503" i="5" s="1"/>
  <c r="DI503" i="5" s="1"/>
  <c r="DG377" i="5"/>
  <c r="DH377" i="5" s="1"/>
  <c r="DI377" i="5" s="1"/>
  <c r="DG483" i="5"/>
  <c r="DH483" i="5" s="1"/>
  <c r="DI483" i="5" s="1"/>
  <c r="DG486" i="5"/>
  <c r="DH486" i="5" s="1"/>
  <c r="DI486" i="5" s="1"/>
  <c r="DG470" i="5"/>
  <c r="DH470" i="5" s="1"/>
  <c r="DI470" i="5" s="1"/>
  <c r="DG468" i="5"/>
  <c r="DG482" i="5"/>
  <c r="DH482" i="5" s="1"/>
  <c r="DI482" i="5" s="1"/>
  <c r="DG533" i="5"/>
  <c r="DH533" i="5" s="1"/>
  <c r="DI533" i="5" s="1"/>
  <c r="DG509" i="5"/>
  <c r="DH509" i="5" s="1"/>
  <c r="DI509" i="5" s="1"/>
  <c r="DG500" i="5"/>
  <c r="DH500" i="5" s="1"/>
  <c r="DI500" i="5" s="1"/>
  <c r="DG525" i="5"/>
  <c r="DH525" i="5" s="1"/>
  <c r="DI525" i="5" s="1"/>
  <c r="DG524" i="5"/>
  <c r="DH524" i="5" s="1"/>
  <c r="DI524" i="5" s="1"/>
  <c r="DG392" i="5"/>
  <c r="DH392" i="5" s="1"/>
  <c r="DI392" i="5" s="1"/>
  <c r="DG373" i="5"/>
  <c r="DH373" i="5" s="1"/>
  <c r="DI373" i="5" s="1"/>
  <c r="DG384" i="5"/>
  <c r="DH384" i="5" s="1"/>
  <c r="DI384" i="5" s="1"/>
  <c r="DG368" i="5"/>
  <c r="DH368" i="5" s="1"/>
  <c r="DI368" i="5" s="1"/>
  <c r="DG370" i="5"/>
  <c r="DH370" i="5" s="1"/>
  <c r="DI370" i="5" s="1"/>
  <c r="DG473" i="5"/>
  <c r="DH473" i="5" s="1"/>
  <c r="DI473" i="5" s="1"/>
  <c r="DG498" i="5"/>
  <c r="DH498" i="5" s="1"/>
  <c r="DI498" i="5" s="1"/>
  <c r="DG495" i="5"/>
  <c r="DH495" i="5" s="1"/>
  <c r="DI495" i="5" s="1"/>
  <c r="DG481" i="5"/>
  <c r="DH481" i="5" s="1"/>
  <c r="DI481" i="5" s="1"/>
  <c r="DG472" i="5"/>
  <c r="DH472" i="5" s="1"/>
  <c r="DI472" i="5" s="1"/>
  <c r="DG516" i="5"/>
  <c r="DH516" i="5" s="1"/>
  <c r="DI516" i="5" s="1"/>
  <c r="DG520" i="5"/>
  <c r="DH520" i="5" s="1"/>
  <c r="DI520" i="5" s="1"/>
  <c r="DG535" i="5"/>
  <c r="DH535" i="5" s="1"/>
  <c r="DI535" i="5" s="1"/>
  <c r="DG526" i="5"/>
  <c r="DH526" i="5" s="1"/>
  <c r="DI526" i="5" s="1"/>
  <c r="DG110" i="5"/>
  <c r="DH110" i="5" s="1"/>
  <c r="DI110" i="5" s="1"/>
  <c r="DG692" i="5"/>
  <c r="DH692" i="5" s="1"/>
  <c r="DI692" i="5" s="1"/>
  <c r="DG698" i="5"/>
  <c r="DH698" i="5" s="1"/>
  <c r="DI698" i="5" s="1"/>
  <c r="DG705" i="5"/>
  <c r="DH705" i="5" s="1"/>
  <c r="DI705" i="5" s="1"/>
  <c r="DG687" i="5"/>
  <c r="DG712" i="5"/>
  <c r="DH712" i="5" s="1"/>
  <c r="DI712" i="5" s="1"/>
  <c r="DG396" i="5"/>
  <c r="DH396" i="5" s="1"/>
  <c r="DI396" i="5" s="1"/>
  <c r="DG105" i="5"/>
  <c r="DH105" i="5" s="1"/>
  <c r="DI105" i="5" s="1"/>
  <c r="DG98" i="5"/>
  <c r="DH98" i="5" s="1"/>
  <c r="DI98" i="5" s="1"/>
  <c r="DG96" i="5"/>
  <c r="DH96" i="5" s="1"/>
  <c r="DI96" i="5" s="1"/>
  <c r="DG117" i="5"/>
  <c r="DH117" i="5" s="1"/>
  <c r="DI117" i="5" s="1"/>
  <c r="DG414" i="5"/>
  <c r="DH414" i="5" s="1"/>
  <c r="DI414" i="5" s="1"/>
  <c r="DG511" i="5"/>
  <c r="DH511" i="5" s="1"/>
  <c r="DI511" i="5" s="1"/>
  <c r="DG709" i="5"/>
  <c r="DH709" i="5" s="1"/>
  <c r="DI709" i="5" s="1"/>
  <c r="DG688" i="5"/>
  <c r="DH688" i="5" s="1"/>
  <c r="DI688" i="5" s="1"/>
  <c r="DG683" i="5"/>
  <c r="DH683" i="5" s="1"/>
  <c r="DI683" i="5" s="1"/>
  <c r="DG697" i="5"/>
  <c r="DH697" i="5" s="1"/>
  <c r="DI697" i="5" s="1"/>
  <c r="DG123" i="5"/>
  <c r="DH123" i="5" s="1"/>
  <c r="DI123" i="5" s="1"/>
  <c r="DG125" i="5"/>
  <c r="DH125" i="5" s="1"/>
  <c r="DI125" i="5" s="1"/>
  <c r="DG93" i="5"/>
  <c r="DH93" i="5" s="1"/>
  <c r="DI93" i="5" s="1"/>
  <c r="DG112" i="5"/>
  <c r="DH112" i="5" s="1"/>
  <c r="DI112" i="5" s="1"/>
  <c r="DG398" i="5"/>
  <c r="DH398" i="5" s="1"/>
  <c r="DI398" i="5" s="1"/>
  <c r="DG415" i="5"/>
  <c r="DH415" i="5" s="1"/>
  <c r="DI415" i="5" s="1"/>
  <c r="DG421" i="5"/>
  <c r="DH421" i="5" s="1"/>
  <c r="DI421" i="5" s="1"/>
  <c r="DG419" i="5"/>
  <c r="DH419" i="5" s="1"/>
  <c r="DI419" i="5" s="1"/>
  <c r="DG408" i="5"/>
  <c r="DH408" i="5" s="1"/>
  <c r="DI408" i="5" s="1"/>
  <c r="DG393" i="5"/>
  <c r="DH393" i="5" s="1"/>
  <c r="DI393" i="5" s="1"/>
  <c r="DG418" i="5"/>
  <c r="DH418" i="5" s="1"/>
  <c r="DI418" i="5" s="1"/>
  <c r="DG374" i="5"/>
  <c r="DH374" i="5" s="1"/>
  <c r="DI374" i="5" s="1"/>
  <c r="DG359" i="5"/>
  <c r="DH359" i="5" s="1"/>
  <c r="DI359" i="5" s="1"/>
  <c r="DG356" i="5"/>
  <c r="DH356" i="5" s="1"/>
  <c r="DI356" i="5" s="1"/>
  <c r="DG375" i="5"/>
  <c r="DH375" i="5" s="1"/>
  <c r="DI375" i="5" s="1"/>
  <c r="DG471" i="5"/>
  <c r="DH471" i="5" s="1"/>
  <c r="DI471" i="5" s="1"/>
  <c r="DG487" i="5"/>
  <c r="DH487" i="5" s="1"/>
  <c r="DI487" i="5" s="1"/>
  <c r="DG464" i="5"/>
  <c r="DH464" i="5" s="1"/>
  <c r="DI464" i="5" s="1"/>
  <c r="DG489" i="5"/>
  <c r="DH489" i="5" s="1"/>
  <c r="DI489" i="5" s="1"/>
  <c r="DG527" i="5"/>
  <c r="DH527" i="5" s="1"/>
  <c r="DI527" i="5" s="1"/>
  <c r="DG528" i="5"/>
  <c r="DH528" i="5" s="1"/>
  <c r="DI528" i="5" s="1"/>
  <c r="DG519" i="5"/>
  <c r="DH519" i="5" s="1"/>
  <c r="DI519" i="5" s="1"/>
  <c r="DG407" i="5"/>
  <c r="DH407" i="5" s="1"/>
  <c r="DI407" i="5" s="1"/>
  <c r="AJ89" i="12" l="1"/>
  <c r="BG18" i="12"/>
  <c r="CP16" i="12"/>
  <c r="CQ16" i="12"/>
  <c r="CS16" i="12"/>
  <c r="CR16" i="12"/>
  <c r="CP18" i="12"/>
  <c r="CQ18" i="12"/>
  <c r="CS18" i="12"/>
  <c r="CR18" i="12"/>
  <c r="EB77" i="5" a="1"/>
  <c r="EB77" i="5" s="1"/>
  <c r="EB66" i="5" a="1"/>
  <c r="EB66" i="5" s="1"/>
  <c r="EB79" i="5" a="1"/>
  <c r="EB79" i="5" s="1"/>
  <c r="EC47" i="5" a="1"/>
  <c r="EC47" i="5" s="1"/>
  <c r="EC57" i="5" a="1"/>
  <c r="EC57" i="5" s="1"/>
  <c r="EB62" i="5" a="1"/>
  <c r="EB62" i="5" s="1"/>
  <c r="EB31" i="5" a="1"/>
  <c r="EB31" i="5" s="1"/>
  <c r="EC28" i="5" a="1"/>
  <c r="EC28" i="5" s="1"/>
  <c r="EB51" i="5" a="1"/>
  <c r="EB51" i="5" s="1"/>
  <c r="EB56" i="5" a="1"/>
  <c r="EB56" i="5" s="1"/>
  <c r="EC45" i="5" a="1"/>
  <c r="EC45" i="5" s="1"/>
  <c r="EB30" i="5" a="1"/>
  <c r="EB30" i="5" s="1"/>
  <c r="EC33" i="5" a="1"/>
  <c r="EC33" i="5" s="1"/>
  <c r="EC39" i="5" a="1"/>
  <c r="EC39" i="5" s="1"/>
  <c r="EB37" i="5" a="1"/>
  <c r="EB37" i="5" s="1"/>
  <c r="EC31" i="5" a="1"/>
  <c r="EC31" i="5" s="1"/>
  <c r="EB60" i="5" a="1"/>
  <c r="EB60" i="5" s="1"/>
  <c r="EB46" i="5" a="1"/>
  <c r="EB46" i="5" s="1"/>
  <c r="EC77" i="5" a="1"/>
  <c r="EC77" i="5" s="1"/>
  <c r="EC46" i="5" a="1"/>
  <c r="EC46" i="5" s="1"/>
  <c r="EB64" i="5" a="1"/>
  <c r="EB64" i="5" s="1"/>
  <c r="EC79" i="5" a="1"/>
  <c r="EC79" i="5" s="1"/>
  <c r="EC70" i="5" a="1"/>
  <c r="EC70" i="5" s="1"/>
  <c r="EB38" i="5" a="1"/>
  <c r="EB38" i="5" s="1"/>
  <c r="EB65" i="5" a="1"/>
  <c r="EB65" i="5" s="1"/>
  <c r="EC78" i="5" a="1"/>
  <c r="EC78" i="5" s="1"/>
  <c r="EB34" i="5" a="1"/>
  <c r="EB34" i="5" s="1"/>
  <c r="EB45" i="5" a="1"/>
  <c r="EB45" i="5" s="1"/>
  <c r="EB82" i="5" a="1"/>
  <c r="EB82" i="5" s="1"/>
  <c r="EC41" i="5" a="1"/>
  <c r="EC41" i="5" s="1"/>
  <c r="EB53" i="5" a="1"/>
  <c r="EB53" i="5" s="1"/>
  <c r="EB49" i="5" a="1"/>
  <c r="EB49" i="5" s="1"/>
  <c r="EB75" i="5" a="1"/>
  <c r="EB75" i="5" s="1"/>
  <c r="EB63" i="5" a="1"/>
  <c r="EB63" i="5" s="1"/>
  <c r="EC51" i="5" a="1"/>
  <c r="EC51" i="5" s="1"/>
  <c r="EC32" i="5" a="1"/>
  <c r="EC32" i="5" s="1"/>
  <c r="EB50" i="5" a="1"/>
  <c r="EB50" i="5" s="1"/>
  <c r="EC59" i="5" a="1"/>
  <c r="EC59" i="5" s="1"/>
  <c r="EC73" i="5" a="1"/>
  <c r="EC73" i="5" s="1"/>
  <c r="EC64" i="5" a="1"/>
  <c r="EC64" i="5" s="1"/>
  <c r="EB54" i="5" a="1"/>
  <c r="EB54" i="5" s="1"/>
  <c r="EC53" i="5" a="1"/>
  <c r="EC53" i="5" s="1"/>
  <c r="EB68" i="5" a="1"/>
  <c r="EB68" i="5" s="1"/>
  <c r="EC37" i="5" a="1"/>
  <c r="EC37" i="5" s="1"/>
  <c r="EB71" i="5" a="1"/>
  <c r="EB71" i="5" s="1"/>
  <c r="EC30" i="5" a="1"/>
  <c r="EC30" i="5" s="1"/>
  <c r="EC80" i="5" a="1"/>
  <c r="EC80" i="5" s="1"/>
  <c r="EC68" i="5" a="1"/>
  <c r="EC68" i="5" s="1"/>
  <c r="EC82" i="5" a="1"/>
  <c r="EC82" i="5" s="1"/>
  <c r="EB67" i="5" a="1"/>
  <c r="EB67" i="5" s="1"/>
  <c r="EB28" i="5" a="1"/>
  <c r="EB28" i="5" s="1"/>
  <c r="EB29" i="5" a="1"/>
  <c r="EB29" i="5" s="1"/>
  <c r="EC72" i="5" a="1"/>
  <c r="EC72" i="5" s="1"/>
  <c r="EB42" i="5" a="1"/>
  <c r="EB42" i="5" s="1"/>
  <c r="EC43" i="5" a="1"/>
  <c r="EC43" i="5" s="1"/>
  <c r="EB61" i="5" a="1"/>
  <c r="EB61" i="5" s="1"/>
  <c r="EB83" i="5" a="1"/>
  <c r="EB83" i="5" s="1"/>
  <c r="EB52" i="5" a="1"/>
  <c r="EB52" i="5" s="1"/>
  <c r="EC75" i="5" a="1"/>
  <c r="EC75" i="5" s="1"/>
  <c r="EC36" i="5" a="1"/>
  <c r="EC36" i="5" s="1"/>
  <c r="EB80" i="5" a="1"/>
  <c r="EB80" i="5" s="1"/>
  <c r="EB44" i="5" a="1"/>
  <c r="EB44" i="5" s="1"/>
  <c r="EB81" i="5" a="1"/>
  <c r="EB81" i="5" s="1"/>
  <c r="EC50" i="5" a="1"/>
  <c r="EC50" i="5" s="1"/>
  <c r="EC65" i="5" a="1"/>
  <c r="EC65" i="5" s="1"/>
  <c r="EC66" i="5" a="1"/>
  <c r="EC66" i="5" s="1"/>
  <c r="EB47" i="5" a="1"/>
  <c r="EB47" i="5" s="1"/>
  <c r="EB39" i="5" a="1"/>
  <c r="EB39" i="5" s="1"/>
  <c r="EB76" i="5" a="1"/>
  <c r="EB76" i="5" s="1"/>
  <c r="EB70" i="5" a="1"/>
  <c r="EB70" i="5" s="1"/>
  <c r="EB59" i="5" a="1"/>
  <c r="EB59" i="5" s="1"/>
  <c r="EC52" i="5" a="1"/>
  <c r="EC52" i="5" s="1"/>
  <c r="EC76" i="5" a="1"/>
  <c r="EC76" i="5" s="1"/>
  <c r="EC48" i="5" a="1"/>
  <c r="EC48" i="5" s="1"/>
  <c r="EB43" i="5" a="1"/>
  <c r="EB43" i="5" s="1"/>
  <c r="EB73" i="5" a="1"/>
  <c r="EB73" i="5" s="1"/>
  <c r="EB78" i="5" a="1"/>
  <c r="EB78" i="5" s="1"/>
  <c r="EC35" i="5" a="1"/>
  <c r="EC35" i="5" s="1"/>
  <c r="EC40" i="5" a="1"/>
  <c r="EC40" i="5" s="1"/>
  <c r="EC71" i="5" a="1"/>
  <c r="EC71" i="5" s="1"/>
  <c r="EB33" i="5" a="1"/>
  <c r="EB33" i="5" s="1"/>
  <c r="EB57" i="5" a="1"/>
  <c r="EB57" i="5" s="1"/>
  <c r="EC83" i="5" a="1"/>
  <c r="EC83" i="5" s="1"/>
  <c r="EC55" i="5" a="1"/>
  <c r="EC55" i="5" s="1"/>
  <c r="EC56" i="5" a="1"/>
  <c r="EC56" i="5" s="1"/>
  <c r="EB48" i="5" a="1"/>
  <c r="EB48" i="5" s="1"/>
  <c r="EB32" i="5" a="1"/>
  <c r="EB32" i="5" s="1"/>
  <c r="EC34" i="5" a="1"/>
  <c r="EC34" i="5" s="1"/>
  <c r="EB35" i="5" a="1"/>
  <c r="EB35" i="5" s="1"/>
  <c r="EC60" i="5" a="1"/>
  <c r="EC60" i="5" s="1"/>
  <c r="EC44" i="5" a="1"/>
  <c r="EC44" i="5" s="1"/>
  <c r="EC42" i="5" a="1"/>
  <c r="EC42" i="5" s="1"/>
  <c r="EB72" i="5" a="1"/>
  <c r="EB72" i="5" s="1"/>
  <c r="EC69" i="5" a="1"/>
  <c r="EC69" i="5" s="1"/>
  <c r="EB40" i="5" a="1"/>
  <c r="EB40" i="5" s="1"/>
  <c r="EB58" i="5" a="1"/>
  <c r="EB58" i="5" s="1"/>
  <c r="EB69" i="5" a="1"/>
  <c r="EB69" i="5" s="1"/>
  <c r="EC54" i="5" a="1"/>
  <c r="EC54" i="5" s="1"/>
  <c r="EC49" i="5" a="1"/>
  <c r="EC49" i="5" s="1"/>
  <c r="EB41" i="5" a="1"/>
  <c r="EB41" i="5" s="1"/>
  <c r="EC29" i="5" a="1"/>
  <c r="EC29" i="5" s="1"/>
  <c r="EC74" i="5" a="1"/>
  <c r="EC74" i="5" s="1"/>
  <c r="EC61" i="5" a="1"/>
  <c r="EC61" i="5" s="1"/>
  <c r="EC62" i="5" a="1"/>
  <c r="EC62" i="5" s="1"/>
  <c r="EB74" i="5" a="1"/>
  <c r="EB74" i="5" s="1"/>
  <c r="EB55" i="5" a="1"/>
  <c r="EB55" i="5" s="1"/>
  <c r="EC81" i="5" a="1"/>
  <c r="EC81" i="5" s="1"/>
  <c r="EC58" i="5" a="1"/>
  <c r="EC58" i="5" s="1"/>
  <c r="EB36" i="5" a="1"/>
  <c r="EB36" i="5" s="1"/>
  <c r="EC63" i="5" a="1"/>
  <c r="EC63" i="5" s="1"/>
  <c r="EC38" i="5" a="1"/>
  <c r="EC38" i="5" s="1"/>
  <c r="EC67" i="5" a="1"/>
  <c r="EC67" i="5" s="1"/>
  <c r="EC20" i="5" l="1" a="1"/>
  <c r="EC20" i="5" s="1"/>
  <c r="EA19" i="5" a="1"/>
  <c r="EA19" i="5" s="1"/>
  <c r="EA20" i="5" a="1"/>
  <c r="EA20" i="5" s="1"/>
  <c r="EA21" i="5" a="1"/>
  <c r="EA21" i="5" s="1"/>
  <c r="DP261" i="5" s="1"/>
  <c r="EC17" i="5" a="1"/>
  <c r="EC17" i="5" s="1"/>
  <c r="EC19" i="5" a="1"/>
  <c r="EC19" i="5" s="1"/>
  <c r="EC16" i="5" a="1"/>
  <c r="EC16" i="5" s="1"/>
  <c r="EC21" i="5" a="1"/>
  <c r="EC21" i="5" s="1"/>
  <c r="DY17" i="5" a="1"/>
  <c r="DY17" i="5" s="1"/>
  <c r="EC18" i="5" a="1"/>
  <c r="EC18" i="5" s="1"/>
  <c r="EA18" i="5" a="1"/>
  <c r="EA18" i="5" s="1"/>
  <c r="DP675" i="5" s="1"/>
  <c r="DR675" i="5" s="1"/>
  <c r="EA15" i="5" a="1"/>
  <c r="EA15" i="5" s="1"/>
  <c r="DK588" i="5" s="1"/>
  <c r="EA17" i="5" a="1"/>
  <c r="EA17" i="5" s="1"/>
  <c r="DK224" i="5" s="1"/>
  <c r="DM224" i="5" s="1"/>
  <c r="DY20" i="5" a="1"/>
  <c r="DY20" i="5" s="1"/>
  <c r="DO701" i="5" s="1"/>
  <c r="DR701" i="5" s="1"/>
  <c r="EB15" i="5" a="1"/>
  <c r="EB15" i="5"/>
  <c r="EA16" i="5" a="1"/>
  <c r="EA16" i="5" s="1"/>
  <c r="DP581" i="5" s="1"/>
  <c r="DR581" i="5" s="1"/>
  <c r="DP436" i="5"/>
  <c r="DR436" i="5" s="1"/>
  <c r="DQ746" i="5"/>
  <c r="DQ676" i="5"/>
  <c r="DP25" i="5"/>
  <c r="DP254" i="5"/>
  <c r="DR254" i="5" s="1"/>
  <c r="DP62" i="5"/>
  <c r="DQ396" i="5"/>
  <c r="DP384" i="5"/>
  <c r="DP173" i="5"/>
  <c r="DR173" i="5" s="1"/>
  <c r="DQ140" i="5"/>
  <c r="DR140" i="5" s="1"/>
  <c r="DP45" i="5"/>
  <c r="DQ580" i="5"/>
  <c r="DQ723" i="5"/>
  <c r="DR723" i="5" s="1"/>
  <c r="DP86" i="5"/>
  <c r="DR86" i="5" s="1"/>
  <c r="DQ635" i="5"/>
  <c r="DQ457" i="5"/>
  <c r="DK191" i="5"/>
  <c r="EC15" i="5" a="1"/>
  <c r="EC15" i="5" s="1"/>
  <c r="ED15" i="5" a="1"/>
  <c r="ED15" i="5"/>
  <c r="DP647" i="5"/>
  <c r="DR647" i="5" s="1"/>
  <c r="DP691" i="5"/>
  <c r="DP295" i="5"/>
  <c r="DP354" i="5"/>
  <c r="DR354" i="5" s="1"/>
  <c r="DQ582" i="5"/>
  <c r="DP241" i="5"/>
  <c r="DP85" i="5"/>
  <c r="DP385" i="5"/>
  <c r="DR385" i="5" s="1"/>
  <c r="DP632" i="5"/>
  <c r="DP278" i="5"/>
  <c r="DR278" i="5" s="1"/>
  <c r="DP421" i="5"/>
  <c r="DP311" i="5"/>
  <c r="DP509" i="5"/>
  <c r="DP312" i="5"/>
  <c r="DR312" i="5" s="1"/>
  <c r="DQ720" i="5"/>
  <c r="DQ501" i="5"/>
  <c r="DP232" i="5"/>
  <c r="DP435" i="5"/>
  <c r="DP40" i="5"/>
  <c r="DP546" i="5"/>
  <c r="DP296" i="5"/>
  <c r="DR296" i="5" s="1"/>
  <c r="DP13" i="5"/>
  <c r="DR13" i="5" s="1"/>
  <c r="DP729" i="5"/>
  <c r="DR729" i="5" s="1"/>
  <c r="DP268" i="5"/>
  <c r="DP21" i="5"/>
  <c r="DR21" i="5" s="1"/>
  <c r="DQ613" i="5"/>
  <c r="DQ686" i="5"/>
  <c r="DR686" i="5" s="1"/>
  <c r="DQ379" i="5"/>
  <c r="DP165" i="5"/>
  <c r="DR165" i="5" s="1"/>
  <c r="DP362" i="5"/>
  <c r="DR362" i="5" s="1"/>
  <c r="DP264" i="5"/>
  <c r="DR264" i="5" s="1"/>
  <c r="DP29" i="5"/>
  <c r="DR29" i="5" s="1"/>
  <c r="DP122" i="5"/>
  <c r="DP721" i="5"/>
  <c r="DR721" i="5" s="1"/>
  <c r="DP100" i="5"/>
  <c r="DR100" i="5" s="1"/>
  <c r="DP159" i="5"/>
  <c r="DP539" i="5"/>
  <c r="DR539" i="5" s="1"/>
  <c r="DQ616" i="5"/>
  <c r="DP361" i="5"/>
  <c r="DP655" i="5"/>
  <c r="DR655" i="5" s="1"/>
  <c r="DP347" i="5"/>
  <c r="DP216" i="5"/>
  <c r="DP233" i="5"/>
  <c r="DR233" i="5" s="1"/>
  <c r="DP714" i="5"/>
  <c r="DP160" i="5"/>
  <c r="DP338" i="5"/>
  <c r="DP92" i="5"/>
  <c r="DR92" i="5" s="1"/>
  <c r="DQ646" i="5"/>
  <c r="DQ315" i="5"/>
  <c r="DP50" i="5"/>
  <c r="DP532" i="5"/>
  <c r="DP136" i="5"/>
  <c r="DP263" i="5"/>
  <c r="DP715" i="5"/>
  <c r="DR715" i="5" s="1"/>
  <c r="DP183" i="5"/>
  <c r="DR183" i="5" s="1"/>
  <c r="DP465" i="5"/>
  <c r="DR465" i="5" s="1"/>
  <c r="DP327" i="5"/>
  <c r="DP692" i="5"/>
  <c r="DR692" i="5" s="1"/>
  <c r="DP547" i="5"/>
  <c r="DR547" i="5" s="1"/>
  <c r="DQ57" i="5"/>
  <c r="DR57" i="5" s="1"/>
  <c r="DQ94" i="5"/>
  <c r="DR94" i="5" s="1"/>
  <c r="DP240" i="5"/>
  <c r="DP570" i="5"/>
  <c r="DR570" i="5" s="1"/>
  <c r="DP422" i="5"/>
  <c r="DR422" i="5" s="1"/>
  <c r="DP472" i="5"/>
  <c r="DP569" i="5"/>
  <c r="DP283" i="5"/>
  <c r="DP318" i="5"/>
  <c r="DR318" i="5" s="1"/>
  <c r="DP284" i="5"/>
  <c r="DR284" i="5" s="1"/>
  <c r="DP63" i="5"/>
  <c r="DR63" i="5" s="1"/>
  <c r="DQ302" i="5"/>
  <c r="DQ356" i="5"/>
  <c r="DR356" i="5" s="1"/>
  <c r="DQ342" i="5"/>
  <c r="DP538" i="5"/>
  <c r="DP607" i="5"/>
  <c r="DP623" i="5"/>
  <c r="DP639" i="5"/>
  <c r="DP640" i="5"/>
  <c r="DR640" i="5" s="1"/>
  <c r="DP502" i="5"/>
  <c r="DR502" i="5" s="1"/>
  <c r="DP677" i="5"/>
  <c r="DP496" i="5"/>
  <c r="DR496" i="5" s="1"/>
  <c r="DP510" i="5"/>
  <c r="DR510" i="5" s="1"/>
  <c r="DP317" i="5"/>
  <c r="DQ117" i="5"/>
  <c r="DQ643" i="5"/>
  <c r="DR643" i="5" s="1"/>
  <c r="DQ290" i="5"/>
  <c r="DQ97" i="5"/>
  <c r="DQ550" i="5"/>
  <c r="DR550" i="5" s="1"/>
  <c r="DQ393" i="5"/>
  <c r="DR393" i="5" s="1"/>
  <c r="DQ531" i="5"/>
  <c r="DQ427" i="5"/>
  <c r="DQ544" i="5"/>
  <c r="DP578" i="5"/>
  <c r="DQ578" i="5"/>
  <c r="DR160" i="5"/>
  <c r="DQ134" i="5"/>
  <c r="DQ54" i="5"/>
  <c r="DQ732" i="5"/>
  <c r="DR732" i="5" s="1"/>
  <c r="DQ298" i="5"/>
  <c r="DQ158" i="5"/>
  <c r="DQ131" i="5"/>
  <c r="DR131" i="5" s="1"/>
  <c r="DP220" i="5"/>
  <c r="DQ658" i="5"/>
  <c r="DR658" i="5" s="1"/>
  <c r="DQ336" i="5"/>
  <c r="DQ439" i="5"/>
  <c r="DR439" i="5" s="1"/>
  <c r="DQ230" i="5"/>
  <c r="DQ306" i="5"/>
  <c r="DQ277" i="5"/>
  <c r="DP197" i="5"/>
  <c r="DQ28" i="5"/>
  <c r="DQ172" i="5"/>
  <c r="DQ346" i="5"/>
  <c r="DQ322" i="5"/>
  <c r="DQ326" i="5"/>
  <c r="DQ470" i="5"/>
  <c r="DQ222" i="5"/>
  <c r="DQ20" i="5"/>
  <c r="DQ187" i="5"/>
  <c r="DQ252" i="5"/>
  <c r="DR252" i="5" s="1"/>
  <c r="DQ80" i="5"/>
  <c r="DQ244" i="5"/>
  <c r="DQ453" i="5"/>
  <c r="DQ236" i="5"/>
  <c r="DR236" i="5" s="1"/>
  <c r="DQ390" i="5"/>
  <c r="DQ689" i="5"/>
  <c r="DQ191" i="5"/>
  <c r="DQ619" i="5"/>
  <c r="DP480" i="5"/>
  <c r="DQ180" i="5"/>
  <c r="DQ695" i="5"/>
  <c r="DR695" i="5" s="1"/>
  <c r="DQ464" i="5"/>
  <c r="DQ43" i="5"/>
  <c r="DQ494" i="5"/>
  <c r="DQ420" i="5"/>
  <c r="DQ538" i="5"/>
  <c r="DQ238" i="5"/>
  <c r="DQ649" i="5"/>
  <c r="DR649" i="5" s="1"/>
  <c r="DQ261" i="5"/>
  <c r="DP611" i="5"/>
  <c r="DQ294" i="5"/>
  <c r="DL302" i="5"/>
  <c r="DL750" i="5"/>
  <c r="DL467" i="5"/>
  <c r="DM467" i="5" s="1"/>
  <c r="DL494" i="5"/>
  <c r="DL616" i="5"/>
  <c r="DL726" i="5"/>
  <c r="DL457" i="5"/>
  <c r="DL709" i="5"/>
  <c r="DL544" i="5"/>
  <c r="DL57" i="5"/>
  <c r="DM57" i="5" s="1"/>
  <c r="DL294" i="5"/>
  <c r="DL176" i="5"/>
  <c r="DL230" i="5"/>
  <c r="DL470" i="5"/>
  <c r="DL576" i="5"/>
  <c r="DM576" i="5" s="1"/>
  <c r="DL246" i="5"/>
  <c r="DK677" i="5"/>
  <c r="DK123" i="5"/>
  <c r="DM123" i="5" s="1"/>
  <c r="DK173" i="5"/>
  <c r="DM173" i="5" s="1"/>
  <c r="DK254" i="5"/>
  <c r="DM254" i="5" s="1"/>
  <c r="DK248" i="5"/>
  <c r="DK391" i="5"/>
  <c r="DM391" i="5" s="1"/>
  <c r="DK263" i="5"/>
  <c r="DK21" i="5"/>
  <c r="DM21" i="5" s="1"/>
  <c r="DK312" i="5"/>
  <c r="DM312" i="5" s="1"/>
  <c r="DK304" i="5"/>
  <c r="DK122" i="5"/>
  <c r="DK574" i="5"/>
  <c r="DM574" i="5" s="1"/>
  <c r="DK99" i="5"/>
  <c r="DK62" i="5"/>
  <c r="DL281" i="5"/>
  <c r="DL379" i="5"/>
  <c r="DL464" i="5"/>
  <c r="DL214" i="5"/>
  <c r="DL695" i="5"/>
  <c r="DM695" i="5" s="1"/>
  <c r="DL225" i="5"/>
  <c r="DL501" i="5"/>
  <c r="DL117" i="5"/>
  <c r="DL621" i="5"/>
  <c r="DL332" i="5"/>
  <c r="DL298" i="5"/>
  <c r="DL746" i="5"/>
  <c r="DL121" i="5"/>
  <c r="DL185" i="5"/>
  <c r="DM185" i="5" s="1"/>
  <c r="DL326" i="5"/>
  <c r="DL619" i="5"/>
  <c r="DK165" i="5"/>
  <c r="DM165" i="5" s="1"/>
  <c r="DK422" i="5"/>
  <c r="DM422" i="5" s="1"/>
  <c r="DK278" i="5"/>
  <c r="DM278" i="5" s="1"/>
  <c r="DK655" i="5"/>
  <c r="DM655" i="5" s="1"/>
  <c r="DK532" i="5"/>
  <c r="DK129" i="5"/>
  <c r="DM129" i="5" s="1"/>
  <c r="DK495" i="5"/>
  <c r="DK268" i="5"/>
  <c r="DK241" i="5"/>
  <c r="DK384" i="5"/>
  <c r="DK92" i="5"/>
  <c r="DM92" i="5" s="1"/>
  <c r="DK354" i="5"/>
  <c r="DM354" i="5" s="1"/>
  <c r="DK85" i="5"/>
  <c r="DK347" i="5"/>
  <c r="DL635" i="5"/>
  <c r="DL238" i="5"/>
  <c r="DL402" i="5"/>
  <c r="DM402" i="5" s="1"/>
  <c r="DL476" i="5"/>
  <c r="DM476" i="5" s="1"/>
  <c r="DL359" i="5"/>
  <c r="DL439" i="5"/>
  <c r="DM439" i="5" s="1"/>
  <c r="DL236" i="5"/>
  <c r="DM236" i="5" s="1"/>
  <c r="DL310" i="5"/>
  <c r="DL507" i="5"/>
  <c r="DL637" i="5"/>
  <c r="DL433" i="5"/>
  <c r="DL613" i="5"/>
  <c r="DL103" i="5"/>
  <c r="DM103" i="5" s="1"/>
  <c r="DL80" i="5"/>
  <c r="DL396" i="5"/>
  <c r="DK385" i="5"/>
  <c r="DM385" i="5" s="1"/>
  <c r="DK348" i="5"/>
  <c r="DM348" i="5" s="1"/>
  <c r="DK691" i="5"/>
  <c r="DK55" i="5"/>
  <c r="DM55" i="5" s="1"/>
  <c r="DK678" i="5"/>
  <c r="DM678" i="5" s="1"/>
  <c r="DK715" i="5"/>
  <c r="DM715" i="5" s="1"/>
  <c r="DK136" i="5"/>
  <c r="DK183" i="5"/>
  <c r="DM183" i="5" s="1"/>
  <c r="DK362" i="5"/>
  <c r="DM362" i="5" s="1"/>
  <c r="DK421" i="5"/>
  <c r="DK31" i="5"/>
  <c r="DM31" i="5" s="1"/>
  <c r="DK692" i="5"/>
  <c r="DM692" i="5" s="1"/>
  <c r="DK29" i="5"/>
  <c r="DM29" i="5" s="1"/>
  <c r="DK361" i="5"/>
  <c r="DK63" i="5"/>
  <c r="DM63" i="5" s="1"/>
  <c r="DL390" i="5"/>
  <c r="DL420" i="5"/>
  <c r="DL66" i="5"/>
  <c r="DM66" i="5" s="1"/>
  <c r="DL430" i="5"/>
  <c r="DM430" i="5" s="1"/>
  <c r="DL490" i="5"/>
  <c r="DL315" i="5"/>
  <c r="DL427" i="5"/>
  <c r="DL649" i="5"/>
  <c r="DM649" i="5" s="1"/>
  <c r="DL689" i="5"/>
  <c r="DL228" i="5"/>
  <c r="DL568" i="5"/>
  <c r="DL140" i="5"/>
  <c r="DM140" i="5" s="1"/>
  <c r="DL252" i="5"/>
  <c r="DM252" i="5" s="1"/>
  <c r="DL191" i="5"/>
  <c r="DL541" i="5"/>
  <c r="DM541" i="5" s="1"/>
  <c r="DL383" i="5"/>
  <c r="DK337" i="5"/>
  <c r="DK533" i="5"/>
  <c r="DM533" i="5" s="1"/>
  <c r="DK509" i="5"/>
  <c r="DK86" i="5"/>
  <c r="DM86" i="5" s="1"/>
  <c r="DK177" i="5"/>
  <c r="DK50" i="5"/>
  <c r="DK232" i="5"/>
  <c r="DK249" i="5"/>
  <c r="DM249" i="5" s="1"/>
  <c r="DK160" i="5"/>
  <c r="DM160" i="5" s="1"/>
  <c r="DK233" i="5"/>
  <c r="DM233" i="5" s="1"/>
  <c r="DK284" i="5"/>
  <c r="DM284" i="5" s="1"/>
  <c r="DK338" i="5"/>
  <c r="DK624" i="5"/>
  <c r="DM624" i="5" s="1"/>
  <c r="DK510" i="5"/>
  <c r="DM510" i="5" s="1"/>
  <c r="DK399" i="5"/>
  <c r="DM399" i="5" s="1"/>
  <c r="DL627" i="5"/>
  <c r="DM627" i="5" s="1"/>
  <c r="DL180" i="5"/>
  <c r="DL683" i="5"/>
  <c r="DL154" i="5"/>
  <c r="DL605" i="5"/>
  <c r="DL652" i="5"/>
  <c r="DL732" i="5"/>
  <c r="DM732" i="5" s="1"/>
  <c r="DL277" i="5"/>
  <c r="DL43" i="5"/>
  <c r="DL128" i="5"/>
  <c r="DL38" i="5"/>
  <c r="DL266" i="5"/>
  <c r="DL189" i="5"/>
  <c r="DL54" i="5"/>
  <c r="DL513" i="5"/>
  <c r="DM513" i="5" s="1"/>
  <c r="DL676" i="5"/>
  <c r="DK436" i="5"/>
  <c r="DM436" i="5" s="1"/>
  <c r="DK721" i="5"/>
  <c r="DM721" i="5" s="1"/>
  <c r="DK159" i="5"/>
  <c r="DK458" i="5"/>
  <c r="DK570" i="5"/>
  <c r="DM570" i="5" s="1"/>
  <c r="DK502" i="5"/>
  <c r="DM502" i="5" s="1"/>
  <c r="DK240" i="5"/>
  <c r="DK45" i="5"/>
  <c r="DK547" i="5"/>
  <c r="DM547" i="5" s="1"/>
  <c r="DK459" i="5"/>
  <c r="DM459" i="5" s="1"/>
  <c r="DK473" i="5"/>
  <c r="DM473" i="5" s="1"/>
  <c r="DK269" i="5"/>
  <c r="DK640" i="5"/>
  <c r="DM640" i="5" s="1"/>
  <c r="DK303" i="5"/>
  <c r="DK623" i="5"/>
  <c r="DL60" i="5"/>
  <c r="DL158" i="5"/>
  <c r="DL97" i="5"/>
  <c r="DL244" i="5"/>
  <c r="DL271" i="5"/>
  <c r="DL672" i="5"/>
  <c r="DL527" i="5"/>
  <c r="DL531" i="5"/>
  <c r="DL24" i="5"/>
  <c r="DL393" i="5"/>
  <c r="DM393" i="5" s="1"/>
  <c r="DL342" i="5"/>
  <c r="DL720" i="5"/>
  <c r="DL353" i="5"/>
  <c r="DL20" i="5"/>
  <c r="DL564" i="5"/>
  <c r="DL322" i="5"/>
  <c r="DK100" i="5"/>
  <c r="DM100" i="5" s="1"/>
  <c r="DK40" i="5"/>
  <c r="DK217" i="5"/>
  <c r="DM217" i="5" s="1"/>
  <c r="DK632" i="5"/>
  <c r="DK264" i="5"/>
  <c r="DM264" i="5" s="1"/>
  <c r="DK137" i="5"/>
  <c r="DM137" i="5" s="1"/>
  <c r="DK318" i="5"/>
  <c r="DM318" i="5" s="1"/>
  <c r="DK398" i="5"/>
  <c r="DK751" i="5"/>
  <c r="DK608" i="5"/>
  <c r="DM608" i="5" s="1"/>
  <c r="DK728" i="5"/>
  <c r="DK465" i="5"/>
  <c r="DM465" i="5" s="1"/>
  <c r="DK546" i="5"/>
  <c r="DK472" i="5"/>
  <c r="DK435" i="5"/>
  <c r="DL94" i="5"/>
  <c r="DM94" i="5" s="1"/>
  <c r="DL306" i="5"/>
  <c r="DL222" i="5"/>
  <c r="DL582" i="5"/>
  <c r="DL187" i="5"/>
  <c r="DL365" i="5"/>
  <c r="DM365" i="5" s="1"/>
  <c r="DL504" i="5"/>
  <c r="DM504" i="5" s="1"/>
  <c r="DL723" i="5"/>
  <c r="DM723" i="5" s="1"/>
  <c r="DL643" i="5"/>
  <c r="DM643" i="5" s="1"/>
  <c r="DL172" i="5"/>
  <c r="DL538" i="5"/>
  <c r="DL91" i="5"/>
  <c r="DL713" i="5"/>
  <c r="DL646" i="5"/>
  <c r="DL578" i="5"/>
  <c r="DL261" i="5"/>
  <c r="DK752" i="5"/>
  <c r="DM752" i="5" s="1"/>
  <c r="DK714" i="5"/>
  <c r="DK631" i="5"/>
  <c r="DK607" i="5"/>
  <c r="DK46" i="5"/>
  <c r="DK647" i="5"/>
  <c r="DM647" i="5" s="1"/>
  <c r="DK654" i="5"/>
  <c r="DK639" i="5"/>
  <c r="DK684" i="5"/>
  <c r="DM684" i="5" s="1"/>
  <c r="DK181" i="5"/>
  <c r="DM181" i="5" s="1"/>
  <c r="DK428" i="5"/>
  <c r="DM428" i="5" s="1"/>
  <c r="DK25" i="5"/>
  <c r="DK729" i="5"/>
  <c r="DM729" i="5" s="1"/>
  <c r="DK327" i="5"/>
  <c r="DK311" i="5"/>
  <c r="DL658" i="5"/>
  <c r="DM658" i="5" s="1"/>
  <c r="DL28" i="5"/>
  <c r="DL346" i="5"/>
  <c r="DL290" i="5"/>
  <c r="DL580" i="5"/>
  <c r="DL356" i="5"/>
  <c r="DM356" i="5" s="1"/>
  <c r="DL48" i="5"/>
  <c r="DL629" i="5"/>
  <c r="DL336" i="5"/>
  <c r="DL131" i="5"/>
  <c r="DM131" i="5" s="1"/>
  <c r="DL686" i="5"/>
  <c r="DM686" i="5" s="1"/>
  <c r="DL134" i="5"/>
  <c r="DL453" i="5"/>
  <c r="DL550" i="5"/>
  <c r="DM550" i="5" s="1"/>
  <c r="DL416" i="5"/>
  <c r="DL84" i="5"/>
  <c r="DK13" i="5"/>
  <c r="DM13" i="5" s="1"/>
  <c r="DK295" i="5"/>
  <c r="DK216" i="5"/>
  <c r="DK296" i="5"/>
  <c r="DM296" i="5" s="1"/>
  <c r="DK274" i="5"/>
  <c r="DM274" i="5" s="1"/>
  <c r="DK51" i="5"/>
  <c r="DM51" i="5" s="1"/>
  <c r="DK539" i="5"/>
  <c r="DM539" i="5" s="1"/>
  <c r="DK569" i="5"/>
  <c r="DK273" i="5"/>
  <c r="DK41" i="5"/>
  <c r="DM41" i="5" s="1"/>
  <c r="DK317" i="5"/>
  <c r="DK283" i="5"/>
  <c r="DK496" i="5"/>
  <c r="DM496" i="5" s="1"/>
  <c r="DK328" i="5"/>
  <c r="DM328" i="5" s="1"/>
  <c r="DK225" i="5"/>
  <c r="DP591" i="5" l="1"/>
  <c r="DO733" i="5"/>
  <c r="DM225" i="5"/>
  <c r="DJ104" i="5"/>
  <c r="DJ403" i="5"/>
  <c r="DJ516" i="5"/>
  <c r="DJ197" i="5"/>
  <c r="DJ585" i="5"/>
  <c r="DM585" i="5" s="1"/>
  <c r="DO444" i="5"/>
  <c r="DO481" i="5"/>
  <c r="DO167" i="5"/>
  <c r="DJ72" i="5"/>
  <c r="DM72" i="5" s="1"/>
  <c r="DJ200" i="5"/>
  <c r="DJ256" i="5"/>
  <c r="DO514" i="5"/>
  <c r="DJ287" i="5"/>
  <c r="DJ107" i="5"/>
  <c r="DO403" i="5"/>
  <c r="DJ701" i="5"/>
  <c r="DM701" i="5" s="1"/>
  <c r="DJ663" i="5"/>
  <c r="DO288" i="5"/>
  <c r="DO366" i="5"/>
  <c r="DJ167" i="5"/>
  <c r="DJ662" i="5"/>
  <c r="DJ106" i="5"/>
  <c r="DO556" i="5"/>
  <c r="DR556" i="5" s="1"/>
  <c r="DO367" i="5"/>
  <c r="DR367" i="5" s="1"/>
  <c r="DO33" i="5"/>
  <c r="DO592" i="5"/>
  <c r="DJ443" i="5"/>
  <c r="DJ285" i="5"/>
  <c r="DJ286" i="5"/>
  <c r="DM286" i="5" s="1"/>
  <c r="DJ733" i="5"/>
  <c r="DJ202" i="5"/>
  <c r="DJ555" i="5"/>
  <c r="DJ477" i="5"/>
  <c r="DJ592" i="5"/>
  <c r="DJ481" i="5"/>
  <c r="DJ15" i="5"/>
  <c r="DJ195" i="5"/>
  <c r="DJ367" i="5"/>
  <c r="DM367" i="5" s="1"/>
  <c r="DJ69" i="5"/>
  <c r="DO143" i="5"/>
  <c r="DO697" i="5"/>
  <c r="DR697" i="5" s="1"/>
  <c r="DO589" i="5"/>
  <c r="DO735" i="5"/>
  <c r="DO197" i="5"/>
  <c r="DO166" i="5"/>
  <c r="DR166" i="5" s="1"/>
  <c r="DO408" i="5"/>
  <c r="DR408" i="5" s="1"/>
  <c r="DO194" i="5"/>
  <c r="DR194" i="5" s="1"/>
  <c r="DJ408" i="5"/>
  <c r="DM408" i="5" s="1"/>
  <c r="DJ369" i="5"/>
  <c r="DJ143" i="5"/>
  <c r="DJ146" i="5"/>
  <c r="DM146" i="5" s="1"/>
  <c r="DJ700" i="5"/>
  <c r="DJ697" i="5"/>
  <c r="DM697" i="5" s="1"/>
  <c r="DJ440" i="5"/>
  <c r="DJ194" i="5"/>
  <c r="DM194" i="5" s="1"/>
  <c r="DJ109" i="5"/>
  <c r="DM109" i="5" s="1"/>
  <c r="DJ166" i="5"/>
  <c r="DM166" i="5" s="1"/>
  <c r="DJ556" i="5"/>
  <c r="DM556" i="5" s="1"/>
  <c r="DJ553" i="5"/>
  <c r="DJ593" i="5"/>
  <c r="DO285" i="5"/>
  <c r="DO202" i="5"/>
  <c r="DO551" i="5"/>
  <c r="DO257" i="5"/>
  <c r="DR257" i="5" s="1"/>
  <c r="DO199" i="5"/>
  <c r="DO369" i="5"/>
  <c r="DO34" i="5"/>
  <c r="DR34" i="5" s="1"/>
  <c r="DO371" i="5"/>
  <c r="DR371" i="5" s="1"/>
  <c r="DO586" i="5"/>
  <c r="DO554" i="5"/>
  <c r="DO664" i="5"/>
  <c r="DR664" i="5" s="1"/>
  <c r="DO145" i="5"/>
  <c r="DJ480" i="5"/>
  <c r="DJ442" i="5"/>
  <c r="DJ405" i="5"/>
  <c r="DJ518" i="5"/>
  <c r="DJ478" i="5"/>
  <c r="DM478" i="5" s="1"/>
  <c r="DJ588" i="5"/>
  <c r="DJ696" i="5"/>
  <c r="DJ193" i="5"/>
  <c r="DJ108" i="5"/>
  <c r="DJ554" i="5"/>
  <c r="DJ370" i="5"/>
  <c r="DJ105" i="5"/>
  <c r="DM105" i="5" s="1"/>
  <c r="DO368" i="5"/>
  <c r="DO480" i="5"/>
  <c r="DR480" i="5" s="1"/>
  <c r="DO141" i="5"/>
  <c r="DO518" i="5"/>
  <c r="DO663" i="5"/>
  <c r="DO584" i="5"/>
  <c r="DO67" i="5"/>
  <c r="DO478" i="5"/>
  <c r="DR478" i="5" s="1"/>
  <c r="DO440" i="5"/>
  <c r="DJ736" i="5"/>
  <c r="DJ661" i="5"/>
  <c r="DJ738" i="5"/>
  <c r="DM738" i="5" s="1"/>
  <c r="DJ144" i="5"/>
  <c r="DJ552" i="5"/>
  <c r="DM552" i="5" s="1"/>
  <c r="DJ407" i="5"/>
  <c r="DJ371" i="5"/>
  <c r="DM371" i="5" s="1"/>
  <c r="DJ584" i="5"/>
  <c r="DJ33" i="5"/>
  <c r="DJ196" i="5"/>
  <c r="DM196" i="5" s="1"/>
  <c r="DJ737" i="5"/>
  <c r="DO662" i="5"/>
  <c r="DO404" i="5"/>
  <c r="DR404" i="5" s="1"/>
  <c r="DO146" i="5"/>
  <c r="DR146" i="5" s="1"/>
  <c r="DO105" i="5"/>
  <c r="DR105" i="5" s="1"/>
  <c r="DO515" i="5"/>
  <c r="DR515" i="5" s="1"/>
  <c r="DO443" i="5"/>
  <c r="DO555" i="5"/>
  <c r="DO588" i="5"/>
  <c r="DO700" i="5"/>
  <c r="DR261" i="5"/>
  <c r="DJ734" i="5"/>
  <c r="DM734" i="5" s="1"/>
  <c r="DJ514" i="5"/>
  <c r="DJ660" i="5"/>
  <c r="DM660" i="5" s="1"/>
  <c r="DJ586" i="5"/>
  <c r="DJ406" i="5"/>
  <c r="DJ664" i="5"/>
  <c r="DM664" i="5" s="1"/>
  <c r="DJ698" i="5"/>
  <c r="DJ515" i="5"/>
  <c r="DM515" i="5" s="1"/>
  <c r="DJ366" i="5"/>
  <c r="DJ368" i="5"/>
  <c r="DJ659" i="5"/>
  <c r="DJ201" i="5"/>
  <c r="DO142" i="5"/>
  <c r="DR142" i="5" s="1"/>
  <c r="DO734" i="5"/>
  <c r="DR734" i="5" s="1"/>
  <c r="DO72" i="5"/>
  <c r="DR72" i="5" s="1"/>
  <c r="DO104" i="5"/>
  <c r="DO698" i="5"/>
  <c r="DO482" i="5"/>
  <c r="DR482" i="5" s="1"/>
  <c r="DO106" i="5"/>
  <c r="DO660" i="5"/>
  <c r="DR660" i="5" s="1"/>
  <c r="DO71" i="5"/>
  <c r="DK207" i="5"/>
  <c r="DJ482" i="5"/>
  <c r="DM482" i="5" s="1"/>
  <c r="DJ445" i="5"/>
  <c r="DM445" i="5" s="1"/>
  <c r="DJ257" i="5"/>
  <c r="DM257" i="5" s="1"/>
  <c r="DJ68" i="5"/>
  <c r="DM68" i="5" s="1"/>
  <c r="DJ699" i="5"/>
  <c r="DJ199" i="5"/>
  <c r="DJ517" i="5"/>
  <c r="DJ591" i="5"/>
  <c r="DJ71" i="5"/>
  <c r="DJ288" i="5"/>
  <c r="DJ198" i="5"/>
  <c r="DJ587" i="5"/>
  <c r="DM587" i="5" s="1"/>
  <c r="DJ589" i="5"/>
  <c r="DJ70" i="5"/>
  <c r="DJ404" i="5"/>
  <c r="DM404" i="5" s="1"/>
  <c r="DO68" i="5"/>
  <c r="DR68" i="5" s="1"/>
  <c r="DO736" i="5"/>
  <c r="DO552" i="5"/>
  <c r="DR552" i="5" s="1"/>
  <c r="DO198" i="5"/>
  <c r="DO256" i="5"/>
  <c r="DO553" i="5"/>
  <c r="DO69" i="5"/>
  <c r="DO445" i="5"/>
  <c r="DR445" i="5" s="1"/>
  <c r="DO479" i="5"/>
  <c r="DO200" i="5"/>
  <c r="DO585" i="5"/>
  <c r="DR585" i="5" s="1"/>
  <c r="DJ67" i="5"/>
  <c r="DJ14" i="5"/>
  <c r="DM14" i="5" s="1"/>
  <c r="DJ441" i="5"/>
  <c r="DM441" i="5" s="1"/>
  <c r="DJ735" i="5"/>
  <c r="DJ444" i="5"/>
  <c r="DJ590" i="5"/>
  <c r="DJ519" i="5"/>
  <c r="DM519" i="5" s="1"/>
  <c r="DJ34" i="5"/>
  <c r="DM34" i="5" s="1"/>
  <c r="DJ479" i="5"/>
  <c r="DJ142" i="5"/>
  <c r="DM142" i="5" s="1"/>
  <c r="DJ551" i="5"/>
  <c r="DJ141" i="5"/>
  <c r="DJ145" i="5"/>
  <c r="DO70" i="5"/>
  <c r="DO286" i="5"/>
  <c r="DR286" i="5" s="1"/>
  <c r="DO193" i="5"/>
  <c r="DO659" i="5"/>
  <c r="DO144" i="5"/>
  <c r="DO441" i="5"/>
  <c r="DR441" i="5" s="1"/>
  <c r="DO661" i="5"/>
  <c r="DO737" i="5"/>
  <c r="DL339" i="5"/>
  <c r="DQ609" i="5"/>
  <c r="DQ308" i="5"/>
  <c r="DL143" i="5"/>
  <c r="DL654" i="5"/>
  <c r="DM654" i="5" s="1"/>
  <c r="DL497" i="5"/>
  <c r="DL641" i="5"/>
  <c r="DM641" i="5" s="1"/>
  <c r="DL716" i="5"/>
  <c r="DL450" i="5"/>
  <c r="DM450" i="5" s="1"/>
  <c r="DL40" i="5"/>
  <c r="DQ472" i="5"/>
  <c r="DQ548" i="5"/>
  <c r="DR548" i="5" s="1"/>
  <c r="DQ223" i="5"/>
  <c r="DQ295" i="5"/>
  <c r="DR295" i="5" s="1"/>
  <c r="DL77" i="5"/>
  <c r="DM77" i="5" s="1"/>
  <c r="DL205" i="5"/>
  <c r="DM205" i="5" s="1"/>
  <c r="DL295" i="5"/>
  <c r="DL639" i="5"/>
  <c r="DL598" i="5"/>
  <c r="DQ156" i="5"/>
  <c r="DQ450" i="5"/>
  <c r="DR450" i="5" s="1"/>
  <c r="DQ641" i="5"/>
  <c r="DR641" i="5" s="1"/>
  <c r="DL693" i="5"/>
  <c r="DM693" i="5" s="1"/>
  <c r="DQ50" i="5"/>
  <c r="DR50" i="5" s="1"/>
  <c r="DL197" i="5"/>
  <c r="DL349" i="5"/>
  <c r="DL106" i="5"/>
  <c r="DL384" i="5"/>
  <c r="DM384" i="5" s="1"/>
  <c r="DQ122" i="5"/>
  <c r="DR122" i="5" s="1"/>
  <c r="DQ374" i="5"/>
  <c r="DQ209" i="5"/>
  <c r="DQ112" i="5"/>
  <c r="DL226" i="5"/>
  <c r="DL71" i="5"/>
  <c r="DQ753" i="5"/>
  <c r="DQ532" i="5"/>
  <c r="DR532" i="5" s="1"/>
  <c r="DL518" i="5"/>
  <c r="DL363" i="5"/>
  <c r="DM363" i="5" s="1"/>
  <c r="DQ263" i="5"/>
  <c r="DR263" i="5" s="1"/>
  <c r="DQ553" i="5"/>
  <c r="DQ376" i="5"/>
  <c r="DR376" i="5" s="1"/>
  <c r="DQ327" i="5"/>
  <c r="DL75" i="5"/>
  <c r="DL413" i="5"/>
  <c r="DM413" i="5" s="1"/>
  <c r="DQ631" i="5"/>
  <c r="DL156" i="5"/>
  <c r="DQ411" i="5"/>
  <c r="DL474" i="5"/>
  <c r="DM474" i="5" s="1"/>
  <c r="DL263" i="5"/>
  <c r="DL611" i="5"/>
  <c r="DQ218" i="5"/>
  <c r="DL122" i="5"/>
  <c r="DM122" i="5" s="1"/>
  <c r="DQ571" i="5"/>
  <c r="DQ588" i="5"/>
  <c r="DQ106" i="5"/>
  <c r="DQ704" i="5"/>
  <c r="DQ344" i="5"/>
  <c r="DL398" i="5"/>
  <c r="DL300" i="5"/>
  <c r="DL455" i="5"/>
  <c r="DL458" i="5"/>
  <c r="DM458" i="5" s="1"/>
  <c r="DQ347" i="5"/>
  <c r="DR347" i="5" s="1"/>
  <c r="DQ596" i="5"/>
  <c r="DR596" i="5" s="1"/>
  <c r="DL751" i="5"/>
  <c r="DM751" i="5" s="1"/>
  <c r="DQ384" i="5"/>
  <c r="DR384" i="5" s="1"/>
  <c r="DL633" i="5"/>
  <c r="DQ234" i="5"/>
  <c r="DR234" i="5" s="1"/>
  <c r="DQ405" i="5"/>
  <c r="DQ487" i="5"/>
  <c r="DR487" i="5" s="1"/>
  <c r="DQ623" i="5"/>
  <c r="DR623" i="5" s="1"/>
  <c r="DL691" i="5"/>
  <c r="DM691" i="5" s="1"/>
  <c r="DL714" i="5"/>
  <c r="DM714" i="5" s="1"/>
  <c r="DL308" i="5"/>
  <c r="DL232" i="5"/>
  <c r="DL448" i="5"/>
  <c r="DL421" i="5"/>
  <c r="DL492" i="5"/>
  <c r="DQ674" i="5"/>
  <c r="DP188" i="5"/>
  <c r="DR188" i="5" s="1"/>
  <c r="DK591" i="5"/>
  <c r="DP368" i="5"/>
  <c r="DP157" i="5"/>
  <c r="DR157" i="5" s="1"/>
  <c r="DP559" i="5"/>
  <c r="DK199" i="5"/>
  <c r="DP207" i="5"/>
  <c r="DK612" i="5"/>
  <c r="DM612" i="5" s="1"/>
  <c r="DP225" i="5"/>
  <c r="DM639" i="5"/>
  <c r="DK601" i="5"/>
  <c r="DM601" i="5" s="1"/>
  <c r="DP598" i="5"/>
  <c r="DK189" i="5"/>
  <c r="DK600" i="5"/>
  <c r="DP70" i="5"/>
  <c r="DM71" i="5"/>
  <c r="DO45" i="5"/>
  <c r="DJ239" i="5"/>
  <c r="DM239" i="5" s="1"/>
  <c r="DJ302" i="5"/>
  <c r="DO237" i="5"/>
  <c r="DJ242" i="5"/>
  <c r="DJ299" i="5"/>
  <c r="DM299" i="5" s="1"/>
  <c r="DJ297" i="5"/>
  <c r="DJ301" i="5"/>
  <c r="DJ23" i="5"/>
  <c r="DO339" i="5"/>
  <c r="DJ237" i="5"/>
  <c r="DJ24" i="5"/>
  <c r="DO266" i="5"/>
  <c r="DJ44" i="5"/>
  <c r="DM44" i="5" s="1"/>
  <c r="DJ631" i="5"/>
  <c r="DJ332" i="5"/>
  <c r="DO23" i="5"/>
  <c r="DP609" i="5"/>
  <c r="DR609" i="5" s="1"/>
  <c r="DP87" i="5"/>
  <c r="DP460" i="5"/>
  <c r="DP424" i="5"/>
  <c r="DR424" i="5" s="1"/>
  <c r="DP461" i="5"/>
  <c r="DR461" i="5" s="1"/>
  <c r="DP161" i="5"/>
  <c r="DK350" i="5"/>
  <c r="DM350" i="5" s="1"/>
  <c r="DK460" i="5"/>
  <c r="DK124" i="5"/>
  <c r="DK461" i="5"/>
  <c r="DM461" i="5" s="1"/>
  <c r="DK717" i="5"/>
  <c r="DM717" i="5" s="1"/>
  <c r="DP387" i="5"/>
  <c r="DR387" i="5" s="1"/>
  <c r="DK716" i="5"/>
  <c r="DP219" i="5"/>
  <c r="DR219" i="5" s="1"/>
  <c r="DP716" i="5"/>
  <c r="DP680" i="5"/>
  <c r="DR680" i="5" s="1"/>
  <c r="DP88" i="5"/>
  <c r="DR88" i="5" s="1"/>
  <c r="DP162" i="5"/>
  <c r="DR162" i="5" s="1"/>
  <c r="DP320" i="5"/>
  <c r="DR320" i="5" s="1"/>
  <c r="DK534" i="5"/>
  <c r="DK679" i="5"/>
  <c r="DK535" i="5"/>
  <c r="DM535" i="5" s="1"/>
  <c r="DK320" i="5"/>
  <c r="DM320" i="5" s="1"/>
  <c r="DK609" i="5"/>
  <c r="DP329" i="5"/>
  <c r="DP340" i="5"/>
  <c r="DP679" i="5"/>
  <c r="DP534" i="5"/>
  <c r="DP497" i="5"/>
  <c r="DP717" i="5"/>
  <c r="DR717" i="5" s="1"/>
  <c r="DK754" i="5"/>
  <c r="DM754" i="5" s="1"/>
  <c r="DK218" i="5"/>
  <c r="DK571" i="5"/>
  <c r="DK498" i="5"/>
  <c r="DM498" i="5" s="1"/>
  <c r="DP753" i="5"/>
  <c r="DP330" i="5"/>
  <c r="DR330" i="5" s="1"/>
  <c r="DP350" i="5"/>
  <c r="DR350" i="5" s="1"/>
  <c r="DP339" i="5"/>
  <c r="DP423" i="5"/>
  <c r="DK329" i="5"/>
  <c r="DK349" i="5"/>
  <c r="DM349" i="5" s="1"/>
  <c r="DK497" i="5"/>
  <c r="DK340" i="5"/>
  <c r="DK339" i="5"/>
  <c r="DP498" i="5"/>
  <c r="DR498" i="5" s="1"/>
  <c r="DP125" i="5"/>
  <c r="DR125" i="5" s="1"/>
  <c r="DP218" i="5"/>
  <c r="DR218" i="5" s="1"/>
  <c r="DP572" i="5"/>
  <c r="DR572" i="5" s="1"/>
  <c r="DK423" i="5"/>
  <c r="DK87" i="5"/>
  <c r="DK330" i="5"/>
  <c r="DM330" i="5" s="1"/>
  <c r="DK680" i="5"/>
  <c r="DM680" i="5" s="1"/>
  <c r="DP124" i="5"/>
  <c r="DK386" i="5"/>
  <c r="DP754" i="5"/>
  <c r="DR754" i="5" s="1"/>
  <c r="DP571" i="5"/>
  <c r="DP535" i="5"/>
  <c r="DR535" i="5" s="1"/>
  <c r="DK610" i="5"/>
  <c r="DM610" i="5" s="1"/>
  <c r="DK88" i="5"/>
  <c r="DM88" i="5" s="1"/>
  <c r="DK572" i="5"/>
  <c r="DM572" i="5" s="1"/>
  <c r="DK125" i="5"/>
  <c r="DM125" i="5" s="1"/>
  <c r="DK162" i="5"/>
  <c r="DM162" i="5" s="1"/>
  <c r="DK387" i="5"/>
  <c r="DM387" i="5" s="1"/>
  <c r="DP386" i="5"/>
  <c r="DP349" i="5"/>
  <c r="DP319" i="5"/>
  <c r="DP610" i="5"/>
  <c r="DR610" i="5" s="1"/>
  <c r="DK319" i="5"/>
  <c r="DK424" i="5"/>
  <c r="DM424" i="5" s="1"/>
  <c r="DK161" i="5"/>
  <c r="DK219" i="5"/>
  <c r="DM219" i="5" s="1"/>
  <c r="DK753" i="5"/>
  <c r="DQ698" i="5"/>
  <c r="DQ40" i="5"/>
  <c r="DR40" i="5" s="1"/>
  <c r="DQ561" i="5"/>
  <c r="DR561" i="5" s="1"/>
  <c r="DQ569" i="5"/>
  <c r="DR569" i="5" s="1"/>
  <c r="DQ201" i="5"/>
  <c r="DQ559" i="5"/>
  <c r="DQ607" i="5"/>
  <c r="DR607" i="5" s="1"/>
  <c r="DQ737" i="5"/>
  <c r="DQ386" i="5"/>
  <c r="DQ413" i="5"/>
  <c r="DR413" i="5" s="1"/>
  <c r="DP189" i="5"/>
  <c r="DP224" i="5"/>
  <c r="DR224" i="5" s="1"/>
  <c r="DK579" i="5"/>
  <c r="DM579" i="5" s="1"/>
  <c r="DK616" i="5"/>
  <c r="DM616" i="5" s="1"/>
  <c r="DP579" i="5"/>
  <c r="DR579" i="5" s="1"/>
  <c r="DP615" i="5"/>
  <c r="DR615" i="5" s="1"/>
  <c r="DP614" i="5"/>
  <c r="DP590" i="5"/>
  <c r="DP209" i="5"/>
  <c r="DK188" i="5"/>
  <c r="DM188" i="5" s="1"/>
  <c r="DP580" i="5"/>
  <c r="DR580" i="5" s="1"/>
  <c r="DK590" i="5"/>
  <c r="DK614" i="5"/>
  <c r="DP210" i="5"/>
  <c r="DR210" i="5" s="1"/>
  <c r="DP600" i="5"/>
  <c r="DP200" i="5"/>
  <c r="DR200" i="5" s="1"/>
  <c r="DK580" i="5"/>
  <c r="DM580" i="5" s="1"/>
  <c r="DK209" i="5"/>
  <c r="DK615" i="5"/>
  <c r="DM615" i="5" s="1"/>
  <c r="DK200" i="5"/>
  <c r="DP223" i="5"/>
  <c r="DP601" i="5"/>
  <c r="DR601" i="5" s="1"/>
  <c r="DK210" i="5"/>
  <c r="DM210" i="5" s="1"/>
  <c r="DK223" i="5"/>
  <c r="DJ22" i="5"/>
  <c r="DM22" i="5" s="1"/>
  <c r="DJ298" i="5"/>
  <c r="DJ632" i="5"/>
  <c r="DM632" i="5" s="1"/>
  <c r="DJ266" i="5"/>
  <c r="DJ340" i="5"/>
  <c r="DM340" i="5" s="1"/>
  <c r="DJ238" i="5"/>
  <c r="DJ177" i="5"/>
  <c r="DM177" i="5" s="1"/>
  <c r="DJ176" i="5"/>
  <c r="DM263" i="5"/>
  <c r="DQ361" i="5"/>
  <c r="DR361" i="5" s="1"/>
  <c r="DQ64" i="5"/>
  <c r="DR64" i="5" s="1"/>
  <c r="DQ474" i="5"/>
  <c r="DR474" i="5" s="1"/>
  <c r="DQ292" i="5"/>
  <c r="DQ324" i="5"/>
  <c r="DO241" i="5"/>
  <c r="DR241" i="5" s="1"/>
  <c r="DQ370" i="5"/>
  <c r="DQ161" i="5"/>
  <c r="DQ479" i="5"/>
  <c r="DQ101" i="5"/>
  <c r="DR101" i="5" s="1"/>
  <c r="DQ592" i="5"/>
  <c r="DQ524" i="5"/>
  <c r="DR524" i="5" s="1"/>
  <c r="DL529" i="5"/>
  <c r="DL381" i="5"/>
  <c r="DL303" i="5"/>
  <c r="DL609" i="5"/>
  <c r="DL677" i="5"/>
  <c r="DM677" i="5" s="1"/>
  <c r="DL99" i="5"/>
  <c r="DM99" i="5" s="1"/>
  <c r="DL138" i="5"/>
  <c r="DM138" i="5" s="1"/>
  <c r="DL50" i="5"/>
  <c r="DM50" i="5" s="1"/>
  <c r="DL151" i="5"/>
  <c r="DM151" i="5" s="1"/>
  <c r="DL119" i="5"/>
  <c r="DL737" i="5"/>
  <c r="DL240" i="5"/>
  <c r="DL145" i="5"/>
  <c r="DL741" i="5"/>
  <c r="DL487" i="5"/>
  <c r="DM487" i="5" s="1"/>
  <c r="DL437" i="5"/>
  <c r="DM437" i="5" s="1"/>
  <c r="DL631" i="5"/>
  <c r="DL435" i="5"/>
  <c r="DL195" i="5"/>
  <c r="DP226" i="5"/>
  <c r="DK618" i="5"/>
  <c r="DM618" i="5" s="1"/>
  <c r="DO240" i="5"/>
  <c r="DL209" i="5"/>
  <c r="DQ273" i="5"/>
  <c r="DQ195" i="5"/>
  <c r="DQ555" i="5"/>
  <c r="DL418" i="5"/>
  <c r="DQ248" i="5"/>
  <c r="DL45" i="5"/>
  <c r="DQ611" i="5"/>
  <c r="DR611" i="5" s="1"/>
  <c r="DQ368" i="5"/>
  <c r="DQ400" i="5"/>
  <c r="DR400" i="5" s="1"/>
  <c r="DQ735" i="5"/>
  <c r="DL386" i="5"/>
  <c r="DQ497" i="5"/>
  <c r="DJ304" i="5"/>
  <c r="DM304" i="5" s="1"/>
  <c r="DJ300" i="5"/>
  <c r="DJ25" i="5"/>
  <c r="DM25" i="5" s="1"/>
  <c r="DJ265" i="5"/>
  <c r="DM191" i="5"/>
  <c r="DQ319" i="5"/>
  <c r="DR319" i="5" s="1"/>
  <c r="DO25" i="5"/>
  <c r="DR25" i="5" s="1"/>
  <c r="DQ216" i="5"/>
  <c r="DR216" i="5" s="1"/>
  <c r="DQ602" i="5"/>
  <c r="DQ639" i="5"/>
  <c r="DR639" i="5" s="1"/>
  <c r="DQ151" i="5"/>
  <c r="DR151" i="5" s="1"/>
  <c r="DQ418" i="5"/>
  <c r="DQ716" i="5"/>
  <c r="DL423" i="5"/>
  <c r="DL667" i="5"/>
  <c r="DL532" i="5"/>
  <c r="DM532" i="5" s="1"/>
  <c r="DL101" i="5"/>
  <c r="DM101" i="5" s="1"/>
  <c r="DL82" i="5"/>
  <c r="DR327" i="5"/>
  <c r="DL124" i="5"/>
  <c r="DL292" i="5"/>
  <c r="DL347" i="5"/>
  <c r="DM347" i="5" s="1"/>
  <c r="DL62" i="5"/>
  <c r="DM62" i="5" s="1"/>
  <c r="DL405" i="5"/>
  <c r="DL368" i="5"/>
  <c r="DL617" i="5"/>
  <c r="DL524" i="5"/>
  <c r="DM524" i="5" s="1"/>
  <c r="DL337" i="5"/>
  <c r="DL559" i="5"/>
  <c r="DL159" i="5"/>
  <c r="DM159" i="5" s="1"/>
  <c r="DL442" i="5"/>
  <c r="DL586" i="5"/>
  <c r="DL735" i="5"/>
  <c r="DL516" i="5"/>
  <c r="DP603" i="5"/>
  <c r="DR603" i="5" s="1"/>
  <c r="DQ661" i="5"/>
  <c r="DQ748" i="5"/>
  <c r="DQ743" i="5"/>
  <c r="DR743" i="5" s="1"/>
  <c r="DQ546" i="5"/>
  <c r="DR546" i="5" s="1"/>
  <c r="DQ226" i="5"/>
  <c r="DL344" i="5"/>
  <c r="DQ300" i="5"/>
  <c r="DL663" i="5"/>
  <c r="DM663" i="5" s="1"/>
  <c r="DQ667" i="5"/>
  <c r="DQ287" i="5"/>
  <c r="DQ481" i="5"/>
  <c r="DQ700" i="5"/>
  <c r="DR700" i="5" s="1"/>
  <c r="DQ691" i="5"/>
  <c r="DR691" i="5" s="1"/>
  <c r="DQ82" i="5"/>
  <c r="DQ205" i="5"/>
  <c r="DR205" i="5" s="1"/>
  <c r="DL743" i="5"/>
  <c r="DM743" i="5" s="1"/>
  <c r="DJ240" i="5"/>
  <c r="DJ629" i="5"/>
  <c r="DJ336" i="5"/>
  <c r="DJ267" i="5"/>
  <c r="DM267" i="5" s="1"/>
  <c r="DJ43" i="5"/>
  <c r="DJ333" i="5"/>
  <c r="DM333" i="5" s="1"/>
  <c r="DM421" i="5"/>
  <c r="DO299" i="5"/>
  <c r="DR299" i="5" s="1"/>
  <c r="DQ590" i="5"/>
  <c r="DO337" i="5"/>
  <c r="DQ398" i="5"/>
  <c r="DQ518" i="5"/>
  <c r="DQ566" i="5"/>
  <c r="DQ600" i="5"/>
  <c r="DR600" i="5" s="1"/>
  <c r="DQ586" i="5"/>
  <c r="DQ45" i="5"/>
  <c r="DL114" i="5"/>
  <c r="DM114" i="5" s="1"/>
  <c r="DL602" i="5"/>
  <c r="DL444" i="5"/>
  <c r="DM444" i="5" s="1"/>
  <c r="DL87" i="5"/>
  <c r="DL472" i="5"/>
  <c r="DM472" i="5" s="1"/>
  <c r="DL207" i="5"/>
  <c r="DL700" i="5"/>
  <c r="DL711" i="5"/>
  <c r="DL324" i="5"/>
  <c r="DL199" i="5"/>
  <c r="DL481" i="5"/>
  <c r="DM481" i="5" s="1"/>
  <c r="DL112" i="5"/>
  <c r="DL250" i="5"/>
  <c r="DM250" i="5" s="1"/>
  <c r="DL534" i="5"/>
  <c r="DM534" i="5" s="1"/>
  <c r="DL211" i="5"/>
  <c r="DL728" i="5"/>
  <c r="DM728" i="5" s="1"/>
  <c r="DL509" i="5"/>
  <c r="DM509" i="5" s="1"/>
  <c r="DL268" i="5"/>
  <c r="DL607" i="5"/>
  <c r="DM607" i="5" s="1"/>
  <c r="DL679" i="5"/>
  <c r="DL329" i="5"/>
  <c r="DK190" i="5"/>
  <c r="DM190" i="5" s="1"/>
  <c r="DQ669" i="5"/>
  <c r="DR669" i="5" s="1"/>
  <c r="DQ448" i="5"/>
  <c r="DQ407" i="5"/>
  <c r="DQ522" i="5"/>
  <c r="DQ145" i="5"/>
  <c r="DL85" i="5"/>
  <c r="DQ663" i="5"/>
  <c r="DR663" i="5" s="1"/>
  <c r="DQ516" i="5"/>
  <c r="DP198" i="5"/>
  <c r="DR198" i="5" s="1"/>
  <c r="DQ751" i="5"/>
  <c r="DQ492" i="5"/>
  <c r="DQ197" i="5"/>
  <c r="DQ138" i="5"/>
  <c r="DR138" i="5" s="1"/>
  <c r="DQ220" i="5"/>
  <c r="DR220" i="5" s="1"/>
  <c r="DQ444" i="5"/>
  <c r="DQ617" i="5"/>
  <c r="DL588" i="5"/>
  <c r="DJ42" i="5"/>
  <c r="DJ635" i="5"/>
  <c r="DM635" i="5" s="1"/>
  <c r="DJ339" i="5"/>
  <c r="DJ634" i="5"/>
  <c r="DM634" i="5" s="1"/>
  <c r="DJ628" i="5"/>
  <c r="DJ175" i="5"/>
  <c r="DO268" i="5"/>
  <c r="DQ534" i="5"/>
  <c r="DR534" i="5" s="1"/>
  <c r="DO176" i="5"/>
  <c r="DQ711" i="5"/>
  <c r="DQ509" i="5"/>
  <c r="DR509" i="5" s="1"/>
  <c r="DO242" i="5"/>
  <c r="DQ149" i="5"/>
  <c r="DO24" i="5"/>
  <c r="DQ423" i="5"/>
  <c r="DO42" i="5"/>
  <c r="DQ435" i="5"/>
  <c r="DR435" i="5" s="1"/>
  <c r="DO298" i="5"/>
  <c r="DQ677" i="5"/>
  <c r="DL400" i="5"/>
  <c r="DM400" i="5" s="1"/>
  <c r="DL571" i="5"/>
  <c r="DM571" i="5" s="1"/>
  <c r="DL625" i="5"/>
  <c r="DM625" i="5" s="1"/>
  <c r="DL753" i="5"/>
  <c r="DL495" i="5"/>
  <c r="DM495" i="5" s="1"/>
  <c r="DL669" i="5"/>
  <c r="DM669" i="5" s="1"/>
  <c r="DL334" i="5"/>
  <c r="DL698" i="5"/>
  <c r="DL511" i="5"/>
  <c r="DM511" i="5" s="1"/>
  <c r="DL561" i="5"/>
  <c r="DM561" i="5" s="1"/>
  <c r="DL108" i="5"/>
  <c r="DM108" i="5" s="1"/>
  <c r="DL566" i="5"/>
  <c r="DL149" i="5"/>
  <c r="DL596" i="5"/>
  <c r="DM596" i="5" s="1"/>
  <c r="DL327" i="5"/>
  <c r="DM327" i="5" s="1"/>
  <c r="DP190" i="5"/>
  <c r="DR190" i="5" s="1"/>
  <c r="DL656" i="5"/>
  <c r="DM656" i="5" s="1"/>
  <c r="DL674" i="5"/>
  <c r="DL220" i="5"/>
  <c r="DL248" i="5"/>
  <c r="DL748" i="5"/>
  <c r="DP617" i="5"/>
  <c r="DQ159" i="5"/>
  <c r="DR159" i="5" s="1"/>
  <c r="DQ714" i="5"/>
  <c r="DR714" i="5" s="1"/>
  <c r="DQ706" i="5"/>
  <c r="DR706" i="5" s="1"/>
  <c r="DQ71" i="5"/>
  <c r="DL370" i="5"/>
  <c r="DM370" i="5" s="1"/>
  <c r="DQ485" i="5"/>
  <c r="DQ211" i="5"/>
  <c r="DQ268" i="5"/>
  <c r="DQ337" i="5"/>
  <c r="DL661" i="5"/>
  <c r="DQ124" i="5"/>
  <c r="DL706" i="5"/>
  <c r="DM706" i="5" s="1"/>
  <c r="DQ654" i="5"/>
  <c r="DQ598" i="5"/>
  <c r="DR598" i="5" s="1"/>
  <c r="DQ317" i="5"/>
  <c r="DR317" i="5" s="1"/>
  <c r="DQ87" i="5"/>
  <c r="DR87" i="5" s="1"/>
  <c r="DL730" i="5"/>
  <c r="DM730" i="5" s="1"/>
  <c r="DJ269" i="5"/>
  <c r="DM269" i="5" s="1"/>
  <c r="DJ174" i="5"/>
  <c r="DM174" i="5" s="1"/>
  <c r="DJ241" i="5"/>
  <c r="DM241" i="5" s="1"/>
  <c r="DJ303" i="5"/>
  <c r="DM303" i="5" s="1"/>
  <c r="DJ338" i="5"/>
  <c r="DM338" i="5" s="1"/>
  <c r="DJ630" i="5"/>
  <c r="DM630" i="5" s="1"/>
  <c r="DJ331" i="5"/>
  <c r="DJ337" i="5"/>
  <c r="DM337" i="5" s="1"/>
  <c r="DM398" i="5"/>
  <c r="DM85" i="5"/>
  <c r="DM423" i="5"/>
  <c r="DO267" i="5"/>
  <c r="DR267" i="5" s="1"/>
  <c r="DQ437" i="5"/>
  <c r="DR437" i="5" s="1"/>
  <c r="DO334" i="5"/>
  <c r="DQ381" i="5"/>
  <c r="DO244" i="5"/>
  <c r="DR244" i="5" s="1"/>
  <c r="DQ199" i="5"/>
  <c r="DQ329" i="5"/>
  <c r="DO628" i="5"/>
  <c r="DQ242" i="5"/>
  <c r="DO175" i="5"/>
  <c r="DQ283" i="5"/>
  <c r="DR283" i="5" s="1"/>
  <c r="DO632" i="5"/>
  <c r="DR632" i="5" s="1"/>
  <c r="DQ458" i="5"/>
  <c r="DO635" i="5"/>
  <c r="DQ108" i="5"/>
  <c r="DL592" i="5"/>
  <c r="DL374" i="5"/>
  <c r="DL485" i="5"/>
  <c r="DL376" i="5"/>
  <c r="DM376" i="5" s="1"/>
  <c r="DL136" i="5"/>
  <c r="DM136" i="5" s="1"/>
  <c r="DL317" i="5"/>
  <c r="DM317" i="5" s="1"/>
  <c r="DL553" i="5"/>
  <c r="DL590" i="5"/>
  <c r="DL407" i="5"/>
  <c r="DM407" i="5" s="1"/>
  <c r="DL569" i="5"/>
  <c r="DM569" i="5" s="1"/>
  <c r="DL614" i="5"/>
  <c r="DL479" i="5"/>
  <c r="DL234" i="5"/>
  <c r="DM234" i="5" s="1"/>
  <c r="DP452" i="5"/>
  <c r="DR452" i="5" s="1"/>
  <c r="DL311" i="5"/>
  <c r="DM311" i="5" s="1"/>
  <c r="DL704" i="5"/>
  <c r="DL555" i="5"/>
  <c r="DM555" i="5" s="1"/>
  <c r="DK617" i="5"/>
  <c r="DK226" i="5"/>
  <c r="DK581" i="5"/>
  <c r="DM581" i="5" s="1"/>
  <c r="DP191" i="5"/>
  <c r="DR191" i="5" s="1"/>
  <c r="DQ250" i="5"/>
  <c r="DR250" i="5" s="1"/>
  <c r="DQ363" i="5"/>
  <c r="DR363" i="5" s="1"/>
  <c r="DQ614" i="5"/>
  <c r="DQ62" i="5"/>
  <c r="DR62" i="5" s="1"/>
  <c r="DL546" i="5"/>
  <c r="DM546" i="5" s="1"/>
  <c r="DQ69" i="5"/>
  <c r="DQ455" i="5"/>
  <c r="DQ495" i="5"/>
  <c r="DQ442" i="5"/>
  <c r="DQ625" i="5"/>
  <c r="DR625" i="5" s="1"/>
  <c r="DL623" i="5"/>
  <c r="DM623" i="5" s="1"/>
  <c r="DQ114" i="5"/>
  <c r="DR114" i="5" s="1"/>
  <c r="DQ77" i="5"/>
  <c r="DR77" i="5" s="1"/>
  <c r="DQ311" i="5"/>
  <c r="DR311" i="5" s="1"/>
  <c r="DQ741" i="5"/>
  <c r="DL600" i="5"/>
  <c r="DJ335" i="5"/>
  <c r="DJ45" i="5"/>
  <c r="DJ268" i="5"/>
  <c r="DJ244" i="5"/>
  <c r="DM244" i="5" s="1"/>
  <c r="DJ334" i="5"/>
  <c r="DJ46" i="5"/>
  <c r="DM46" i="5" s="1"/>
  <c r="DJ243" i="5"/>
  <c r="DM243" i="5" s="1"/>
  <c r="DJ633" i="5"/>
  <c r="DM633" i="5" s="1"/>
  <c r="DM435" i="5"/>
  <c r="DQ730" i="5"/>
  <c r="DR730" i="5" s="1"/>
  <c r="DQ529" i="5"/>
  <c r="DQ421" i="5"/>
  <c r="DR421" i="5" s="1"/>
  <c r="DQ679" i="5"/>
  <c r="DQ349" i="5"/>
  <c r="DO634" i="5"/>
  <c r="DR634" i="5" s="1"/>
  <c r="DO177" i="5"/>
  <c r="DQ99" i="5"/>
  <c r="DO302" i="5"/>
  <c r="DQ75" i="5"/>
  <c r="DQ240" i="5"/>
  <c r="DL64" i="5"/>
  <c r="DM64" i="5" s="1"/>
  <c r="DL361" i="5"/>
  <c r="DM361" i="5" s="1"/>
  <c r="DL411" i="5"/>
  <c r="DL273" i="5"/>
  <c r="DM273" i="5" s="1"/>
  <c r="DL287" i="5"/>
  <c r="DL460" i="5"/>
  <c r="DL201" i="5"/>
  <c r="DL218" i="5"/>
  <c r="DL319" i="5"/>
  <c r="DM319" i="5" s="1"/>
  <c r="DL522" i="5"/>
  <c r="DL69" i="5"/>
  <c r="DL161" i="5"/>
  <c r="DL223" i="5"/>
  <c r="DL548" i="5"/>
  <c r="DM548" i="5" s="1"/>
  <c r="DL216" i="5"/>
  <c r="DM216" i="5" s="1"/>
  <c r="DL283" i="5"/>
  <c r="DM283" i="5" s="1"/>
  <c r="DQ728" i="5"/>
  <c r="DQ207" i="5"/>
  <c r="DQ633" i="5"/>
  <c r="DQ136" i="5"/>
  <c r="DR136" i="5" s="1"/>
  <c r="DL242" i="5"/>
  <c r="DM242" i="5" s="1"/>
  <c r="DQ693" i="5"/>
  <c r="DR693" i="5" s="1"/>
  <c r="DQ460" i="5"/>
  <c r="DR460" i="5" s="1"/>
  <c r="DQ339" i="5"/>
  <c r="DQ232" i="5"/>
  <c r="DR232" i="5" s="1"/>
  <c r="DQ334" i="5"/>
  <c r="DQ511" i="5"/>
  <c r="DR511" i="5" s="1"/>
  <c r="DQ119" i="5"/>
  <c r="DQ85" i="5"/>
  <c r="DR85" i="5" s="1"/>
  <c r="DQ656" i="5"/>
  <c r="DR656" i="5" s="1"/>
  <c r="DQ143" i="5"/>
  <c r="DQ303" i="5"/>
  <c r="DM232" i="5"/>
  <c r="DP517" i="5"/>
  <c r="DP736" i="5"/>
  <c r="DR736" i="5" s="1"/>
  <c r="DP520" i="5"/>
  <c r="DR520" i="5" s="1"/>
  <c r="DP96" i="5"/>
  <c r="DR96" i="5" s="1"/>
  <c r="DP113" i="5"/>
  <c r="DR113" i="5" s="1"/>
  <c r="DP696" i="5"/>
  <c r="DK143" i="5"/>
  <c r="DP712" i="5"/>
  <c r="DR712" i="5" s="1"/>
  <c r="DP345" i="5"/>
  <c r="DR345" i="5" s="1"/>
  <c r="DP725" i="5"/>
  <c r="DR725" i="5" s="1"/>
  <c r="DP411" i="5"/>
  <c r="DP486" i="5"/>
  <c r="DR486" i="5" s="1"/>
  <c r="DP516" i="5"/>
  <c r="DP59" i="5"/>
  <c r="DR59" i="5" s="1"/>
  <c r="DP637" i="5"/>
  <c r="DK688" i="5"/>
  <c r="DM688" i="5" s="1"/>
  <c r="DK193" i="5"/>
  <c r="DP523" i="5"/>
  <c r="DR523" i="5" s="1"/>
  <c r="DP492" i="5"/>
  <c r="DP390" i="5"/>
  <c r="DP665" i="5"/>
  <c r="DR665" i="5" s="1"/>
  <c r="DP448" i="5"/>
  <c r="DP341" i="5"/>
  <c r="DR341" i="5" s="1"/>
  <c r="DP171" i="5"/>
  <c r="DR171" i="5" s="1"/>
  <c r="DP260" i="5"/>
  <c r="DR260" i="5" s="1"/>
  <c r="DP19" i="5"/>
  <c r="DR19" i="5" s="1"/>
  <c r="DP358" i="5"/>
  <c r="DR358" i="5" s="1"/>
  <c r="DP91" i="5"/>
  <c r="DP446" i="5"/>
  <c r="DR446" i="5" s="1"/>
  <c r="DP708" i="5"/>
  <c r="DR708" i="5" s="1"/>
  <c r="DK652" i="5"/>
  <c r="DM652" i="5" s="1"/>
  <c r="DK741" i="5"/>
  <c r="DK411" i="5"/>
  <c r="DK705" i="5"/>
  <c r="DM705" i="5" s="1"/>
  <c r="DK107" i="5"/>
  <c r="DK668" i="5"/>
  <c r="DM668" i="5" s="1"/>
  <c r="DK567" i="5"/>
  <c r="DM567" i="5" s="1"/>
  <c r="DK76" i="5"/>
  <c r="DM76" i="5" s="1"/>
  <c r="DK456" i="5"/>
  <c r="DM456" i="5" s="1"/>
  <c r="DK698" i="5"/>
  <c r="DM698" i="5" s="1"/>
  <c r="DK560" i="5"/>
  <c r="DM560" i="5" s="1"/>
  <c r="DK463" i="5"/>
  <c r="DM463" i="5" s="1"/>
  <c r="DK75" i="5"/>
  <c r="DM75" i="5" s="1"/>
  <c r="DK748" i="5"/>
  <c r="DK156" i="5"/>
  <c r="DK172" i="5"/>
  <c r="DM172" i="5" s="1"/>
  <c r="DK449" i="5"/>
  <c r="DM449" i="5" s="1"/>
  <c r="DK537" i="5"/>
  <c r="DM537" i="5" s="1"/>
  <c r="DK662" i="5"/>
  <c r="DM662" i="5" s="1"/>
  <c r="DK559" i="5"/>
  <c r="DM559" i="5" s="1"/>
  <c r="DP741" i="5"/>
  <c r="DK346" i="5"/>
  <c r="DM346" i="5" s="1"/>
  <c r="DK442" i="5"/>
  <c r="DK530" i="5"/>
  <c r="DM530" i="5" s="1"/>
  <c r="DK516" i="5"/>
  <c r="DK300" i="5"/>
  <c r="DK443" i="5"/>
  <c r="DM443" i="5" s="1"/>
  <c r="DK27" i="5"/>
  <c r="DM27" i="5" s="1"/>
  <c r="DK150" i="5"/>
  <c r="DM150" i="5" s="1"/>
  <c r="DK381" i="5"/>
  <c r="DK480" i="5"/>
  <c r="DM480" i="5" s="1"/>
  <c r="DK120" i="5"/>
  <c r="DM120" i="5" s="1"/>
  <c r="DK735" i="5"/>
  <c r="DK353" i="5"/>
  <c r="DM353" i="5" s="1"/>
  <c r="DK448" i="5"/>
  <c r="DM448" i="5" s="1"/>
  <c r="DK719" i="5"/>
  <c r="DM719" i="5" s="1"/>
  <c r="DK326" i="5"/>
  <c r="DM326" i="5" s="1"/>
  <c r="DK17" i="5"/>
  <c r="DM17" i="5" s="1"/>
  <c r="DK167" i="5"/>
  <c r="DK390" i="5"/>
  <c r="DM390" i="5" s="1"/>
  <c r="DK287" i="5"/>
  <c r="DK486" i="5"/>
  <c r="DM486" i="5" s="1"/>
  <c r="DK554" i="5"/>
  <c r="DM554" i="5" s="1"/>
  <c r="DK112" i="5"/>
  <c r="DK529" i="5"/>
  <c r="DM529" i="5" s="1"/>
  <c r="DK309" i="5"/>
  <c r="DM309" i="5" s="1"/>
  <c r="DK682" i="5"/>
  <c r="DM682" i="5" s="1"/>
  <c r="DK106" i="5"/>
  <c r="DK119" i="5"/>
  <c r="DM119" i="5" s="1"/>
  <c r="DK713" i="5"/>
  <c r="DK334" i="5"/>
  <c r="DK369" i="5"/>
  <c r="DM369" i="5" s="1"/>
  <c r="DK661" i="5"/>
  <c r="DK368" i="5"/>
  <c r="DK553" i="5"/>
  <c r="DM553" i="5" s="1"/>
  <c r="DK406" i="5"/>
  <c r="DK324" i="5"/>
  <c r="DK712" i="5"/>
  <c r="DM712" i="5" s="1"/>
  <c r="DK426" i="5"/>
  <c r="DM426" i="5" s="1"/>
  <c r="DK374" i="5"/>
  <c r="DP420" i="5"/>
  <c r="DR420" i="5" s="1"/>
  <c r="DP53" i="5"/>
  <c r="DR53" i="5" s="1"/>
  <c r="DK53" i="5"/>
  <c r="DM53" i="5" s="1"/>
  <c r="DK418" i="5"/>
  <c r="DM418" i="5" s="1"/>
  <c r="DK464" i="5"/>
  <c r="DM464" i="5" s="1"/>
  <c r="DK83" i="5"/>
  <c r="DM83" i="5" s="1"/>
  <c r="DK676" i="5"/>
  <c r="DM676" i="5" s="1"/>
  <c r="DK457" i="5"/>
  <c r="DM457" i="5" s="1"/>
  <c r="DK485" i="5"/>
  <c r="DK479" i="5"/>
  <c r="DK531" i="5"/>
  <c r="DK113" i="5"/>
  <c r="DM113" i="5" s="1"/>
  <c r="DK144" i="5"/>
  <c r="DM144" i="5" s="1"/>
  <c r="DK128" i="5"/>
  <c r="DM128" i="5" s="1"/>
  <c r="DK91" i="5"/>
  <c r="DM91" i="5" s="1"/>
  <c r="DK494" i="5"/>
  <c r="DM494" i="5" s="1"/>
  <c r="DK742" i="5"/>
  <c r="DM742" i="5" s="1"/>
  <c r="DK179" i="5"/>
  <c r="DM179" i="5" s="1"/>
  <c r="DP645" i="5"/>
  <c r="DR645" i="5" s="1"/>
  <c r="DK538" i="5"/>
  <c r="DM538" i="5" s="1"/>
  <c r="DK674" i="5"/>
  <c r="DK667" i="5"/>
  <c r="DK325" i="5"/>
  <c r="DM325" i="5" s="1"/>
  <c r="DK389" i="5"/>
  <c r="DM389" i="5" s="1"/>
  <c r="DK493" i="5"/>
  <c r="DM493" i="5" s="1"/>
  <c r="DK699" i="5"/>
  <c r="DM699" i="5" s="1"/>
  <c r="DK523" i="5"/>
  <c r="DM523" i="5" s="1"/>
  <c r="DK750" i="5"/>
  <c r="DM750" i="5" s="1"/>
  <c r="DK568" i="5"/>
  <c r="DM568" i="5" s="1"/>
  <c r="DK169" i="5"/>
  <c r="DM169" i="5" s="1"/>
  <c r="DK749" i="5"/>
  <c r="DM749" i="5" s="1"/>
  <c r="DK344" i="5"/>
  <c r="DK121" i="5"/>
  <c r="DM121" i="5" s="1"/>
  <c r="DK419" i="5"/>
  <c r="DM419" i="5" s="1"/>
  <c r="DK405" i="5"/>
  <c r="DK19" i="5"/>
  <c r="DM19" i="5" s="1"/>
  <c r="DK288" i="5"/>
  <c r="DM288" i="5" s="1"/>
  <c r="DK176" i="5"/>
  <c r="DM176" i="5" s="1"/>
  <c r="DK292" i="5"/>
  <c r="DM292" i="5" s="1"/>
  <c r="DK84" i="5"/>
  <c r="DM84" i="5" s="1"/>
  <c r="DK293" i="5"/>
  <c r="DM293" i="5" s="1"/>
  <c r="DK375" i="5"/>
  <c r="DM375" i="5" s="1"/>
  <c r="DK127" i="5"/>
  <c r="DM127" i="5" s="1"/>
  <c r="DK90" i="5"/>
  <c r="DM90" i="5" s="1"/>
  <c r="DK455" i="5"/>
  <c r="DK276" i="5"/>
  <c r="DM276" i="5" s="1"/>
  <c r="DK28" i="5"/>
  <c r="DM28" i="5" s="1"/>
  <c r="DK492" i="5"/>
  <c r="DK158" i="5"/>
  <c r="DM158" i="5" s="1"/>
  <c r="DK15" i="5"/>
  <c r="DK412" i="5"/>
  <c r="DM412" i="5" s="1"/>
  <c r="DK501" i="5"/>
  <c r="DM501" i="5" s="1"/>
  <c r="DK294" i="5"/>
  <c r="DM294" i="5" s="1"/>
  <c r="DK500" i="5"/>
  <c r="DM500" i="5" s="1"/>
  <c r="DK382" i="5"/>
  <c r="DM382" i="5" s="1"/>
  <c r="DK277" i="5"/>
  <c r="DM277" i="5" s="1"/>
  <c r="DK20" i="5"/>
  <c r="DM20" i="5" s="1"/>
  <c r="DK149" i="5"/>
  <c r="DK171" i="5"/>
  <c r="DM171" i="5" s="1"/>
  <c r="DK711" i="5"/>
  <c r="DK720" i="5"/>
  <c r="DM720" i="5" s="1"/>
  <c r="DK23" i="5"/>
  <c r="DK70" i="5"/>
  <c r="DK69" i="5"/>
  <c r="DK646" i="5"/>
  <c r="DM646" i="5" s="1"/>
  <c r="DK301" i="5"/>
  <c r="DM301" i="5" s="1"/>
  <c r="DK427" i="5"/>
  <c r="DM427" i="5" s="1"/>
  <c r="DK345" i="5"/>
  <c r="DM345" i="5" s="1"/>
  <c r="DK310" i="5"/>
  <c r="DM310" i="5" s="1"/>
  <c r="DK704" i="5"/>
  <c r="DK566" i="5"/>
  <c r="DK645" i="5"/>
  <c r="DM645" i="5" s="1"/>
  <c r="DK420" i="5"/>
  <c r="DM420" i="5" s="1"/>
  <c r="DP382" i="5"/>
  <c r="DR382" i="5" s="1"/>
  <c r="DP172" i="5"/>
  <c r="DR172" i="5" s="1"/>
  <c r="DK335" i="5"/>
  <c r="DK336" i="5"/>
  <c r="DK180" i="5"/>
  <c r="DK157" i="5"/>
  <c r="DM157" i="5" s="1"/>
  <c r="DP24" i="5"/>
  <c r="DP75" i="5"/>
  <c r="DP54" i="5"/>
  <c r="DR54" i="5" s="1"/>
  <c r="DP485" i="5"/>
  <c r="DP405" i="5"/>
  <c r="DP301" i="5"/>
  <c r="DP144" i="5"/>
  <c r="DP661" i="5"/>
  <c r="DP310" i="5"/>
  <c r="DP180" i="5"/>
  <c r="DR180" i="5" s="1"/>
  <c r="DP69" i="5"/>
  <c r="DP325" i="5"/>
  <c r="DR325" i="5" s="1"/>
  <c r="DP419" i="5"/>
  <c r="DR419" i="5" s="1"/>
  <c r="DP699" i="5"/>
  <c r="DP711" i="5"/>
  <c r="DP309" i="5"/>
  <c r="DR309" i="5" s="1"/>
  <c r="DK517" i="5"/>
  <c r="DK736" i="5"/>
  <c r="DP27" i="5"/>
  <c r="DR27" i="5" s="1"/>
  <c r="DP112" i="5"/>
  <c r="DP107" i="5"/>
  <c r="DP294" i="5"/>
  <c r="DR294" i="5" s="1"/>
  <c r="DP566" i="5"/>
  <c r="DP464" i="5"/>
  <c r="DR464" i="5" s="1"/>
  <c r="DP529" i="5"/>
  <c r="DP82" i="5"/>
  <c r="DP389" i="5"/>
  <c r="DR389" i="5" s="1"/>
  <c r="DP682" i="5"/>
  <c r="DR682" i="5" s="1"/>
  <c r="DP176" i="5"/>
  <c r="DP749" i="5"/>
  <c r="DR749" i="5" s="1"/>
  <c r="DP406" i="5"/>
  <c r="DP568" i="5"/>
  <c r="DP713" i="5"/>
  <c r="DP346" i="5"/>
  <c r="DR346" i="5" s="1"/>
  <c r="DP344" i="5"/>
  <c r="DK683" i="5"/>
  <c r="DM683" i="5" s="1"/>
  <c r="DK675" i="5"/>
  <c r="DM675" i="5" s="1"/>
  <c r="DP493" i="5"/>
  <c r="DR493" i="5" s="1"/>
  <c r="DP23" i="5"/>
  <c r="DP449" i="5"/>
  <c r="DR449" i="5" s="1"/>
  <c r="DP83" i="5"/>
  <c r="DR83" i="5" s="1"/>
  <c r="DP288" i="5"/>
  <c r="DR288" i="5" s="1"/>
  <c r="DP336" i="5"/>
  <c r="DP76" i="5"/>
  <c r="DR76" i="5" s="1"/>
  <c r="DP128" i="5"/>
  <c r="DP735" i="5"/>
  <c r="DR735" i="5" s="1"/>
  <c r="DP668" i="5"/>
  <c r="DR668" i="5" s="1"/>
  <c r="DP383" i="5"/>
  <c r="DP143" i="5"/>
  <c r="DP443" i="5"/>
  <c r="DP167" i="5"/>
  <c r="DR167" i="5" s="1"/>
  <c r="DP748" i="5"/>
  <c r="DR748" i="5" s="1"/>
  <c r="DP169" i="5"/>
  <c r="DR169" i="5" s="1"/>
  <c r="DP90" i="5"/>
  <c r="DR90" i="5" s="1"/>
  <c r="DK302" i="5"/>
  <c r="DM302" i="5" s="1"/>
  <c r="DP121" i="5"/>
  <c r="DP742" i="5"/>
  <c r="DR742" i="5" s="1"/>
  <c r="DP531" i="5"/>
  <c r="DR531" i="5" s="1"/>
  <c r="DP381" i="5"/>
  <c r="DP277" i="5"/>
  <c r="DR277" i="5" s="1"/>
  <c r="DP418" i="5"/>
  <c r="DP149" i="5"/>
  <c r="DP302" i="5"/>
  <c r="DP276" i="5"/>
  <c r="DR276" i="5" s="1"/>
  <c r="DP369" i="5"/>
  <c r="DR369" i="5" s="1"/>
  <c r="DP106" i="5"/>
  <c r="DP537" i="5"/>
  <c r="DR537" i="5" s="1"/>
  <c r="DP530" i="5"/>
  <c r="DR530" i="5" s="1"/>
  <c r="DP158" i="5"/>
  <c r="DR158" i="5" s="1"/>
  <c r="DP554" i="5"/>
  <c r="DP84" i="5"/>
  <c r="DP719" i="5"/>
  <c r="DR719" i="5" s="1"/>
  <c r="DP412" i="5"/>
  <c r="DR412" i="5" s="1"/>
  <c r="DP352" i="5"/>
  <c r="DR352" i="5" s="1"/>
  <c r="DK522" i="5"/>
  <c r="DP293" i="5"/>
  <c r="DR293" i="5" s="1"/>
  <c r="DP494" i="5"/>
  <c r="DR494" i="5" s="1"/>
  <c r="DP667" i="5"/>
  <c r="DP120" i="5"/>
  <c r="DR120" i="5" s="1"/>
  <c r="DP119" i="5"/>
  <c r="DP20" i="5"/>
  <c r="DR20" i="5" s="1"/>
  <c r="DP705" i="5"/>
  <c r="DR705" i="5" s="1"/>
  <c r="DP567" i="5"/>
  <c r="DR567" i="5" s="1"/>
  <c r="DP292" i="5"/>
  <c r="DP175" i="5"/>
  <c r="DP127" i="5"/>
  <c r="DR127" i="5" s="1"/>
  <c r="DP646" i="5"/>
  <c r="DR646" i="5" s="1"/>
  <c r="DP308" i="5"/>
  <c r="DR308" i="5" s="1"/>
  <c r="DP750" i="5"/>
  <c r="DP335" i="5"/>
  <c r="DP324" i="5"/>
  <c r="DP674" i="5"/>
  <c r="DP676" i="5"/>
  <c r="DR676" i="5" s="1"/>
  <c r="DP456" i="5"/>
  <c r="DR456" i="5" s="1"/>
  <c r="DK24" i="5"/>
  <c r="DM24" i="5" s="1"/>
  <c r="DK82" i="5"/>
  <c r="DK352" i="5"/>
  <c r="DM352" i="5" s="1"/>
  <c r="DP662" i="5"/>
  <c r="DR662" i="5" s="1"/>
  <c r="DP427" i="5"/>
  <c r="DR427" i="5" s="1"/>
  <c r="DP553" i="5"/>
  <c r="DP334" i="5"/>
  <c r="DP353" i="5"/>
  <c r="DP28" i="5"/>
  <c r="DP455" i="5"/>
  <c r="DP457" i="5"/>
  <c r="DR457" i="5" s="1"/>
  <c r="DP326" i="5"/>
  <c r="DR326" i="5" s="1"/>
  <c r="DP300" i="5"/>
  <c r="DP15" i="5"/>
  <c r="DP698" i="5"/>
  <c r="DR698" i="5" s="1"/>
  <c r="DP374" i="5"/>
  <c r="DP683" i="5"/>
  <c r="DP17" i="5"/>
  <c r="DR17" i="5" s="1"/>
  <c r="DP150" i="5"/>
  <c r="DR150" i="5" s="1"/>
  <c r="DM295" i="5"/>
  <c r="DP560" i="5"/>
  <c r="DR560" i="5" s="1"/>
  <c r="DP463" i="5"/>
  <c r="DR463" i="5" s="1"/>
  <c r="DP501" i="5"/>
  <c r="DR501" i="5" s="1"/>
  <c r="DP720" i="5"/>
  <c r="DR720" i="5" s="1"/>
  <c r="DP479" i="5"/>
  <c r="DP179" i="5"/>
  <c r="DR179" i="5" s="1"/>
  <c r="DK383" i="5"/>
  <c r="DM383" i="5" s="1"/>
  <c r="DM531" i="5"/>
  <c r="DK308" i="5"/>
  <c r="DK153" i="5"/>
  <c r="DM153" i="5" s="1"/>
  <c r="DK564" i="5"/>
  <c r="DM564" i="5" s="1"/>
  <c r="DK80" i="5"/>
  <c r="DM80" i="5" s="1"/>
  <c r="DK746" i="5"/>
  <c r="DK470" i="5"/>
  <c r="DM470" i="5" s="1"/>
  <c r="DK43" i="5"/>
  <c r="DM43" i="5" s="1"/>
  <c r="DK229" i="5"/>
  <c r="DM229" i="5" s="1"/>
  <c r="DK238" i="5"/>
  <c r="DM238" i="5" s="1"/>
  <c r="DK314" i="5"/>
  <c r="DM314" i="5" s="1"/>
  <c r="DK246" i="5"/>
  <c r="DM246" i="5" s="1"/>
  <c r="DP372" i="5"/>
  <c r="DR372" i="5" s="1"/>
  <c r="DP620" i="5"/>
  <c r="DR620" i="5" s="1"/>
  <c r="DK321" i="5"/>
  <c r="DM321" i="5" s="1"/>
  <c r="DK672" i="5"/>
  <c r="DM672" i="5" s="1"/>
  <c r="DK133" i="5"/>
  <c r="DM133" i="5" s="1"/>
  <c r="DK477" i="5"/>
  <c r="DM477" i="5" s="1"/>
  <c r="DP526" i="5"/>
  <c r="DR526" i="5" s="1"/>
  <c r="DP42" i="5"/>
  <c r="DP489" i="5"/>
  <c r="DR489" i="5" s="1"/>
  <c r="DK440" i="5"/>
  <c r="DK141" i="5"/>
  <c r="DK97" i="5"/>
  <c r="DM97" i="5" s="1"/>
  <c r="DK396" i="5"/>
  <c r="DM396" i="5" s="1"/>
  <c r="DK203" i="5"/>
  <c r="DM203" i="5" s="1"/>
  <c r="DK47" i="5"/>
  <c r="DM47" i="5" s="1"/>
  <c r="DK117" i="5"/>
  <c r="DM117" i="5" s="1"/>
  <c r="DK514" i="5"/>
  <c r="DK48" i="5"/>
  <c r="DP305" i="5"/>
  <c r="DR305" i="5" s="1"/>
  <c r="DK527" i="5"/>
  <c r="DM527" i="5" s="1"/>
  <c r="DK395" i="5"/>
  <c r="DM395" i="5" s="1"/>
  <c r="DK298" i="5"/>
  <c r="DM298" i="5" s="1"/>
  <c r="DP483" i="5"/>
  <c r="DR483" i="5" s="1"/>
  <c r="DK726" i="5"/>
  <c r="DM726" i="5" s="1"/>
  <c r="DK507" i="5"/>
  <c r="DM507" i="5" s="1"/>
  <c r="DP79" i="5"/>
  <c r="DR79" i="5" s="1"/>
  <c r="DK433" i="5"/>
  <c r="DM433" i="5" s="1"/>
  <c r="DK258" i="5"/>
  <c r="DM258" i="5" s="1"/>
  <c r="DK59" i="5"/>
  <c r="DM59" i="5" s="1"/>
  <c r="DK432" i="5"/>
  <c r="DM432" i="5" s="1"/>
  <c r="DK256" i="5"/>
  <c r="DM256" i="5" s="1"/>
  <c r="DK665" i="5"/>
  <c r="DM665" i="5" s="1"/>
  <c r="DP43" i="5"/>
  <c r="DP110" i="5"/>
  <c r="DR110" i="5" s="1"/>
  <c r="DK551" i="5"/>
  <c r="DM551" i="5" s="1"/>
  <c r="DK636" i="5"/>
  <c r="DM636" i="5" s="1"/>
  <c r="DK378" i="5"/>
  <c r="DM378" i="5" s="1"/>
  <c r="DK358" i="5"/>
  <c r="DM358" i="5" s="1"/>
  <c r="DP688" i="5"/>
  <c r="DR688" i="5" s="1"/>
  <c r="DK147" i="5"/>
  <c r="DM147" i="5" s="1"/>
  <c r="DK557" i="5"/>
  <c r="DM557" i="5" s="1"/>
  <c r="DK37" i="5"/>
  <c r="DM37" i="5" s="1"/>
  <c r="DK605" i="5"/>
  <c r="DM605" i="5" s="1"/>
  <c r="DK409" i="5"/>
  <c r="DM409" i="5" s="1"/>
  <c r="DK271" i="5"/>
  <c r="DM271" i="5" s="1"/>
  <c r="DP507" i="5"/>
  <c r="DK96" i="5"/>
  <c r="DM96" i="5" s="1"/>
  <c r="DK403" i="5"/>
  <c r="DK490" i="5"/>
  <c r="DM490" i="5" s="1"/>
  <c r="DK469" i="5"/>
  <c r="DM469" i="5" s="1"/>
  <c r="DP629" i="5"/>
  <c r="DP134" i="5"/>
  <c r="DR134" i="5" s="1"/>
  <c r="DP193" i="5"/>
  <c r="DR193" i="5" s="1"/>
  <c r="DP37" i="5"/>
  <c r="DR37" i="5" s="1"/>
  <c r="DK483" i="5"/>
  <c r="DM483" i="5" s="1"/>
  <c r="DP80" i="5"/>
  <c r="DK260" i="5"/>
  <c r="DM260" i="5" s="1"/>
  <c r="DK214" i="5"/>
  <c r="DM214" i="5" s="1"/>
  <c r="DK331" i="5"/>
  <c r="DK33" i="5"/>
  <c r="DK453" i="5"/>
  <c r="DM453" i="5" s="1"/>
  <c r="DK305" i="5"/>
  <c r="DM305" i="5" s="1"/>
  <c r="DK520" i="5"/>
  <c r="DM520" i="5" s="1"/>
  <c r="DK708" i="5"/>
  <c r="DM708" i="5" s="1"/>
  <c r="DK322" i="5"/>
  <c r="DM322" i="5" s="1"/>
  <c r="DK366" i="5"/>
  <c r="DM366" i="5" s="1"/>
  <c r="DK35" i="5"/>
  <c r="DM35" i="5" s="1"/>
  <c r="DK332" i="5"/>
  <c r="DM332" i="5" s="1"/>
  <c r="DP104" i="5"/>
  <c r="DR104" i="5" s="1"/>
  <c r="DP745" i="5"/>
  <c r="DR745" i="5" s="1"/>
  <c r="DK67" i="5"/>
  <c r="DM67" i="5" s="1"/>
  <c r="DK379" i="5"/>
  <c r="DK621" i="5"/>
  <c r="DM621" i="5" s="1"/>
  <c r="DK506" i="5"/>
  <c r="DM506" i="5" s="1"/>
  <c r="DP314" i="5"/>
  <c r="DR314" i="5" s="1"/>
  <c r="DP689" i="5"/>
  <c r="DR689" i="5" s="1"/>
  <c r="DP544" i="5"/>
  <c r="DR544" i="5" s="1"/>
  <c r="DP628" i="5"/>
  <c r="DP514" i="5"/>
  <c r="DK745" i="5"/>
  <c r="DM745" i="5" s="1"/>
  <c r="DK372" i="5"/>
  <c r="DM372" i="5" s="1"/>
  <c r="DK359" i="5"/>
  <c r="DM359" i="5" s="1"/>
  <c r="DK266" i="5"/>
  <c r="DM266" i="5" s="1"/>
  <c r="DK629" i="5"/>
  <c r="DK73" i="5"/>
  <c r="DM73" i="5" s="1"/>
  <c r="DP739" i="5"/>
  <c r="DR739" i="5" s="1"/>
  <c r="DP470" i="5"/>
  <c r="DR470" i="5" s="1"/>
  <c r="DK134" i="5"/>
  <c r="DP415" i="5"/>
  <c r="DR415" i="5" s="1"/>
  <c r="DP60" i="5"/>
  <c r="DK733" i="5"/>
  <c r="DK628" i="5"/>
  <c r="DM628" i="5" s="1"/>
  <c r="DK38" i="5"/>
  <c r="DM38" i="5" s="1"/>
  <c r="DP245" i="5"/>
  <c r="DR245" i="5" s="1"/>
  <c r="DP403" i="5"/>
  <c r="DK526" i="5"/>
  <c r="DM526" i="5" s="1"/>
  <c r="DK543" i="5"/>
  <c r="DM543" i="5" s="1"/>
  <c r="DK637" i="5"/>
  <c r="DM637" i="5" s="1"/>
  <c r="DP290" i="5"/>
  <c r="DR290" i="5" s="1"/>
  <c r="DK213" i="5"/>
  <c r="DM213" i="5" s="1"/>
  <c r="DK237" i="5"/>
  <c r="DM237" i="5" s="1"/>
  <c r="DP659" i="5"/>
  <c r="DR659" i="5" s="1"/>
  <c r="DK285" i="5"/>
  <c r="DK604" i="5"/>
  <c r="DM604" i="5" s="1"/>
  <c r="DK341" i="5"/>
  <c r="DM341" i="5" s="1"/>
  <c r="DK415" i="5"/>
  <c r="DM415" i="5" s="1"/>
  <c r="DP563" i="5"/>
  <c r="DR563" i="5" s="1"/>
  <c r="DK42" i="5"/>
  <c r="DP214" i="5"/>
  <c r="DP551" i="5"/>
  <c r="DK725" i="5"/>
  <c r="DM725" i="5" s="1"/>
  <c r="DK702" i="5"/>
  <c r="DM702" i="5" s="1"/>
  <c r="DK315" i="5"/>
  <c r="DM315" i="5" s="1"/>
  <c r="DP396" i="5"/>
  <c r="DR396" i="5" s="1"/>
  <c r="DK739" i="5"/>
  <c r="DM739" i="5" s="1"/>
  <c r="DK281" i="5"/>
  <c r="DM281" i="5" s="1"/>
  <c r="DP280" i="5"/>
  <c r="DR280" i="5" s="1"/>
  <c r="DK116" i="5"/>
  <c r="DM116" i="5" s="1"/>
  <c r="DK154" i="5"/>
  <c r="DM154" i="5" s="1"/>
  <c r="DP265" i="5"/>
  <c r="DK689" i="5"/>
  <c r="DM689" i="5" s="1"/>
  <c r="DK265" i="5"/>
  <c r="DM265" i="5" s="1"/>
  <c r="DP584" i="5"/>
  <c r="DR584" i="5" s="1"/>
  <c r="DK342" i="5"/>
  <c r="DM342" i="5" s="1"/>
  <c r="DK671" i="5"/>
  <c r="DM671" i="5" s="1"/>
  <c r="DK446" i="5"/>
  <c r="DM446" i="5" s="1"/>
  <c r="DK110" i="5"/>
  <c r="DM110" i="5" s="1"/>
  <c r="DK544" i="5"/>
  <c r="DM544" i="5" s="1"/>
  <c r="DK489" i="5"/>
  <c r="DM489" i="5" s="1"/>
  <c r="DK280" i="5"/>
  <c r="DM280" i="5" s="1"/>
  <c r="DK230" i="5"/>
  <c r="DM230" i="5" s="1"/>
  <c r="DK79" i="5"/>
  <c r="DM79" i="5" s="1"/>
  <c r="DK620" i="5"/>
  <c r="DM620" i="5" s="1"/>
  <c r="DK709" i="5"/>
  <c r="DM709" i="5" s="1"/>
  <c r="DK696" i="5"/>
  <c r="DK60" i="5"/>
  <c r="DM60" i="5" s="1"/>
  <c r="DP709" i="5"/>
  <c r="DP527" i="5"/>
  <c r="DP605" i="5"/>
  <c r="DP229" i="5"/>
  <c r="DR229" i="5" s="1"/>
  <c r="DK306" i="5"/>
  <c r="DM306" i="5" s="1"/>
  <c r="DP38" i="5"/>
  <c r="DP621" i="5"/>
  <c r="DP230" i="5"/>
  <c r="DP453" i="5"/>
  <c r="DR453" i="5" s="1"/>
  <c r="DP271" i="5"/>
  <c r="DP490" i="5"/>
  <c r="DP395" i="5"/>
  <c r="DR395" i="5" s="1"/>
  <c r="DP726" i="5"/>
  <c r="DP604" i="5"/>
  <c r="DR604" i="5" s="1"/>
  <c r="DP203" i="5"/>
  <c r="DR203" i="5" s="1"/>
  <c r="DP440" i="5"/>
  <c r="DR440" i="5" s="1"/>
  <c r="DP331" i="5"/>
  <c r="DK584" i="5"/>
  <c r="DP342" i="5"/>
  <c r="DR342" i="5" s="1"/>
  <c r="DK594" i="5"/>
  <c r="DM594" i="5" s="1"/>
  <c r="DP379" i="5"/>
  <c r="DR379" i="5" s="1"/>
  <c r="DP366" i="5"/>
  <c r="DR366" i="5" s="1"/>
  <c r="DP671" i="5"/>
  <c r="DR671" i="5" s="1"/>
  <c r="DP48" i="5"/>
  <c r="DP281" i="5"/>
  <c r="DP469" i="5"/>
  <c r="DR469" i="5" s="1"/>
  <c r="DK651" i="5"/>
  <c r="DM651" i="5" s="1"/>
  <c r="DK104" i="5"/>
  <c r="DM104" i="5" s="1"/>
  <c r="DK270" i="5"/>
  <c r="DM270" i="5" s="1"/>
  <c r="DP506" i="5"/>
  <c r="DR506" i="5" s="1"/>
  <c r="DK297" i="5"/>
  <c r="DP409" i="5"/>
  <c r="DR409" i="5" s="1"/>
  <c r="DP322" i="5"/>
  <c r="DR322" i="5" s="1"/>
  <c r="DP266" i="5"/>
  <c r="DP35" i="5"/>
  <c r="DR35" i="5" s="1"/>
  <c r="DP147" i="5"/>
  <c r="DR147" i="5" s="1"/>
  <c r="DP564" i="5"/>
  <c r="DP557" i="5"/>
  <c r="DR557" i="5" s="1"/>
  <c r="DP213" i="5"/>
  <c r="DR213" i="5" s="1"/>
  <c r="DP733" i="5"/>
  <c r="DP477" i="5"/>
  <c r="DK452" i="5"/>
  <c r="DM452" i="5" s="1"/>
  <c r="DK416" i="5"/>
  <c r="DM416" i="5" s="1"/>
  <c r="DK289" i="5"/>
  <c r="DM289" i="5" s="1"/>
  <c r="DP297" i="5"/>
  <c r="DP332" i="5"/>
  <c r="DP153" i="5"/>
  <c r="DR153" i="5" s="1"/>
  <c r="DP298" i="5"/>
  <c r="DP636" i="5"/>
  <c r="DR636" i="5" s="1"/>
  <c r="DP433" i="5"/>
  <c r="DP285" i="5"/>
  <c r="DR285" i="5" s="1"/>
  <c r="DP651" i="5"/>
  <c r="DR651" i="5" s="1"/>
  <c r="DP258" i="5"/>
  <c r="DR258" i="5" s="1"/>
  <c r="DP702" i="5"/>
  <c r="DR702" i="5" s="1"/>
  <c r="DP289" i="5"/>
  <c r="DR289" i="5" s="1"/>
  <c r="DP238" i="5"/>
  <c r="DP270" i="5"/>
  <c r="DR270" i="5" s="1"/>
  <c r="DK659" i="5"/>
  <c r="DM659" i="5" s="1"/>
  <c r="DP47" i="5"/>
  <c r="DR47" i="5" s="1"/>
  <c r="DK261" i="5"/>
  <c r="DM261" i="5" s="1"/>
  <c r="DP97" i="5"/>
  <c r="DR97" i="5" s="1"/>
  <c r="DK245" i="5"/>
  <c r="DM245" i="5" s="1"/>
  <c r="DP141" i="5"/>
  <c r="DP315" i="5"/>
  <c r="DP321" i="5"/>
  <c r="DR321" i="5" s="1"/>
  <c r="DP67" i="5"/>
  <c r="DR67" i="5" s="1"/>
  <c r="DP237" i="5"/>
  <c r="DR237" i="5" s="1"/>
  <c r="DP594" i="5"/>
  <c r="DR594" i="5" s="1"/>
  <c r="DP432" i="5"/>
  <c r="DR432" i="5" s="1"/>
  <c r="DP154" i="5"/>
  <c r="DP416" i="5"/>
  <c r="DP33" i="5"/>
  <c r="DR33" i="5" s="1"/>
  <c r="DK290" i="5"/>
  <c r="DM290" i="5" s="1"/>
  <c r="DP246" i="5"/>
  <c r="DP359" i="5"/>
  <c r="DP73" i="5"/>
  <c r="DR73" i="5" s="1"/>
  <c r="DP652" i="5"/>
  <c r="DP543" i="5"/>
  <c r="DR543" i="5" s="1"/>
  <c r="DP117" i="5"/>
  <c r="DR117" i="5" s="1"/>
  <c r="DP746" i="5"/>
  <c r="DR746" i="5" s="1"/>
  <c r="DP672" i="5"/>
  <c r="DP256" i="5"/>
  <c r="DP378" i="5"/>
  <c r="DR378" i="5" s="1"/>
  <c r="DM180" i="5"/>
  <c r="DM403" i="5"/>
  <c r="DP287" i="5"/>
  <c r="DP375" i="5"/>
  <c r="DR375" i="5" s="1"/>
  <c r="DP133" i="5"/>
  <c r="DR133" i="5" s="1"/>
  <c r="DK563" i="5"/>
  <c r="DM563" i="5" s="1"/>
  <c r="DM48" i="5"/>
  <c r="DM713" i="5"/>
  <c r="DP522" i="5"/>
  <c r="DR522" i="5" s="1"/>
  <c r="DP500" i="5"/>
  <c r="DR500" i="5" s="1"/>
  <c r="DP426" i="5"/>
  <c r="DR426" i="5" s="1"/>
  <c r="DP442" i="5"/>
  <c r="DP156" i="5"/>
  <c r="DP116" i="5"/>
  <c r="DR116" i="5" s="1"/>
  <c r="DP306" i="5"/>
  <c r="DR306" i="5" s="1"/>
  <c r="DP704" i="5"/>
  <c r="DK175" i="5"/>
  <c r="DK54" i="5"/>
  <c r="DM54" i="5" s="1"/>
  <c r="DR635" i="5"/>
  <c r="DO335" i="5"/>
  <c r="DO633" i="5"/>
  <c r="DO304" i="5"/>
  <c r="DO44" i="5"/>
  <c r="DR44" i="5" s="1"/>
  <c r="DO629" i="5"/>
  <c r="DO303" i="5"/>
  <c r="DO332" i="5"/>
  <c r="DO300" i="5"/>
  <c r="DO43" i="5"/>
  <c r="DO269" i="5"/>
  <c r="DO336" i="5"/>
  <c r="DO340" i="5"/>
  <c r="DR340" i="5" s="1"/>
  <c r="DO239" i="5"/>
  <c r="DR239" i="5" s="1"/>
  <c r="DO46" i="5"/>
  <c r="DO331" i="5"/>
  <c r="DO297" i="5"/>
  <c r="DO301" i="5"/>
  <c r="DO338" i="5"/>
  <c r="DR338" i="5" s="1"/>
  <c r="DO265" i="5"/>
  <c r="DR265" i="5" s="1"/>
  <c r="DO333" i="5"/>
  <c r="DR333" i="5" s="1"/>
  <c r="DO243" i="5"/>
  <c r="DR243" i="5" s="1"/>
  <c r="DO631" i="5"/>
  <c r="DO630" i="5"/>
  <c r="DR630" i="5" s="1"/>
  <c r="DO238" i="5"/>
  <c r="DR238" i="5" s="1"/>
  <c r="DO174" i="5"/>
  <c r="DR174" i="5" s="1"/>
  <c r="DO22" i="5"/>
  <c r="DR22" i="5" s="1"/>
  <c r="DR80" i="5"/>
  <c r="DR733" i="5"/>
  <c r="DM248" i="5"/>
  <c r="DM87" i="5"/>
  <c r="DO591" i="5"/>
  <c r="DR591" i="5" s="1"/>
  <c r="DO593" i="5"/>
  <c r="DO590" i="5"/>
  <c r="DO699" i="5"/>
  <c r="DO442" i="5"/>
  <c r="DO195" i="5"/>
  <c r="DR195" i="5" s="1"/>
  <c r="DO587" i="5"/>
  <c r="DR587" i="5" s="1"/>
  <c r="DO407" i="5"/>
  <c r="DO14" i="5"/>
  <c r="DR14" i="5" s="1"/>
  <c r="DO107" i="5"/>
  <c r="DO201" i="5"/>
  <c r="DO517" i="5"/>
  <c r="DO405" i="5"/>
  <c r="DO108" i="5"/>
  <c r="DO696" i="5"/>
  <c r="DO370" i="5"/>
  <c r="DR370" i="5" s="1"/>
  <c r="DO738" i="5"/>
  <c r="DR738" i="5" s="1"/>
  <c r="DO477" i="5"/>
  <c r="DO519" i="5"/>
  <c r="DR519" i="5" s="1"/>
  <c r="DO287" i="5"/>
  <c r="DO15" i="5"/>
  <c r="DO109" i="5"/>
  <c r="DR109" i="5" s="1"/>
  <c r="DO196" i="5"/>
  <c r="DR196" i="5" s="1"/>
  <c r="DO406" i="5"/>
  <c r="DO516" i="5"/>
  <c r="DR516" i="5" s="1"/>
  <c r="DP303" i="5"/>
  <c r="DP123" i="5"/>
  <c r="DR123" i="5" s="1"/>
  <c r="DP337" i="5"/>
  <c r="DP608" i="5"/>
  <c r="DR608" i="5" s="1"/>
  <c r="DP459" i="5"/>
  <c r="DR459" i="5" s="1"/>
  <c r="DP533" i="5"/>
  <c r="DR533" i="5" s="1"/>
  <c r="DP348" i="5"/>
  <c r="DR348" i="5" s="1"/>
  <c r="DP398" i="5"/>
  <c r="DP654" i="5"/>
  <c r="DP31" i="5"/>
  <c r="DR31" i="5" s="1"/>
  <c r="DP631" i="5"/>
  <c r="DP728" i="5"/>
  <c r="DR728" i="5" s="1"/>
  <c r="DP458" i="5"/>
  <c r="DP304" i="5"/>
  <c r="DP177" i="5"/>
  <c r="DP41" i="5"/>
  <c r="DR41" i="5" s="1"/>
  <c r="DP624" i="5"/>
  <c r="DR624" i="5" s="1"/>
  <c r="DP46" i="5"/>
  <c r="DP269" i="5"/>
  <c r="DP129" i="5"/>
  <c r="DR129" i="5" s="1"/>
  <c r="DP328" i="5"/>
  <c r="DR328" i="5" s="1"/>
  <c r="DP391" i="5"/>
  <c r="DR391" i="5" s="1"/>
  <c r="DP752" i="5"/>
  <c r="DR752" i="5" s="1"/>
  <c r="DP751" i="5"/>
  <c r="DP274" i="5"/>
  <c r="DR274" i="5" s="1"/>
  <c r="DP51" i="5"/>
  <c r="DR51" i="5" s="1"/>
  <c r="DP273" i="5"/>
  <c r="DR273" i="5" s="1"/>
  <c r="DP399" i="5"/>
  <c r="DR399" i="5" s="1"/>
  <c r="DP137" i="5"/>
  <c r="DR137" i="5" s="1"/>
  <c r="DP684" i="5"/>
  <c r="DR684" i="5" s="1"/>
  <c r="DP99" i="5"/>
  <c r="DR99" i="5" s="1"/>
  <c r="DP574" i="5"/>
  <c r="DR574" i="5" s="1"/>
  <c r="DP181" i="5"/>
  <c r="DR181" i="5" s="1"/>
  <c r="DP495" i="5"/>
  <c r="DP678" i="5"/>
  <c r="DR678" i="5" s="1"/>
  <c r="DP55" i="5"/>
  <c r="DR55" i="5" s="1"/>
  <c r="DP249" i="5"/>
  <c r="DR249" i="5" s="1"/>
  <c r="DP248" i="5"/>
  <c r="DP428" i="5"/>
  <c r="DR428" i="5" s="1"/>
  <c r="DP217" i="5"/>
  <c r="DR217" i="5" s="1"/>
  <c r="DP473" i="5"/>
  <c r="DR473" i="5" s="1"/>
  <c r="DM746" i="5"/>
  <c r="DR538" i="5"/>
  <c r="DR230" i="5"/>
  <c r="DR578" i="5"/>
  <c r="DK228" i="5"/>
  <c r="DM228" i="5" s="1"/>
  <c r="DP593" i="5"/>
  <c r="DK592" i="5"/>
  <c r="DP202" i="5"/>
  <c r="DP212" i="5"/>
  <c r="DR212" i="5" s="1"/>
  <c r="DP227" i="5"/>
  <c r="DR227" i="5" s="1"/>
  <c r="DK201" i="5"/>
  <c r="DP228" i="5"/>
  <c r="DP619" i="5"/>
  <c r="DR619" i="5" s="1"/>
  <c r="DK602" i="5"/>
  <c r="DK619" i="5"/>
  <c r="DM619" i="5" s="1"/>
  <c r="DK212" i="5"/>
  <c r="DM212" i="5" s="1"/>
  <c r="DP618" i="5"/>
  <c r="DR618" i="5" s="1"/>
  <c r="DP582" i="5"/>
  <c r="DR582" i="5" s="1"/>
  <c r="DK582" i="5"/>
  <c r="DM582" i="5" s="1"/>
  <c r="DK603" i="5"/>
  <c r="DM603" i="5" s="1"/>
  <c r="DK202" i="5"/>
  <c r="DP201" i="5"/>
  <c r="DP592" i="5"/>
  <c r="DP602" i="5"/>
  <c r="DP211" i="5"/>
  <c r="DK227" i="5"/>
  <c r="DM227" i="5" s="1"/>
  <c r="DK593" i="5"/>
  <c r="DK211" i="5"/>
  <c r="DK613" i="5"/>
  <c r="DM613" i="5" s="1"/>
  <c r="DP577" i="5"/>
  <c r="DR577" i="5" s="1"/>
  <c r="DK599" i="5"/>
  <c r="DM599" i="5" s="1"/>
  <c r="DP208" i="5"/>
  <c r="DR208" i="5" s="1"/>
  <c r="DP221" i="5"/>
  <c r="DR221" i="5" s="1"/>
  <c r="DP222" i="5"/>
  <c r="DR222" i="5" s="1"/>
  <c r="DK187" i="5"/>
  <c r="DM187" i="5" s="1"/>
  <c r="DK598" i="5"/>
  <c r="DM598" i="5" s="1"/>
  <c r="DK222" i="5"/>
  <c r="DM222" i="5" s="1"/>
  <c r="DP588" i="5"/>
  <c r="DP612" i="5"/>
  <c r="DR612" i="5" s="1"/>
  <c r="DP589" i="5"/>
  <c r="DR589" i="5" s="1"/>
  <c r="DK198" i="5"/>
  <c r="DM198" i="5" s="1"/>
  <c r="DK186" i="5"/>
  <c r="DM186" i="5" s="1"/>
  <c r="DK220" i="5"/>
  <c r="DK221" i="5"/>
  <c r="DM221" i="5" s="1"/>
  <c r="DP613" i="5"/>
  <c r="DR613" i="5" s="1"/>
  <c r="DP187" i="5"/>
  <c r="DR187" i="5" s="1"/>
  <c r="DK577" i="5"/>
  <c r="DM577" i="5" s="1"/>
  <c r="DK208" i="5"/>
  <c r="DM208" i="5" s="1"/>
  <c r="DK589" i="5"/>
  <c r="DM589" i="5" s="1"/>
  <c r="DK611" i="5"/>
  <c r="DM611" i="5" s="1"/>
  <c r="DP186" i="5"/>
  <c r="DR186" i="5" s="1"/>
  <c r="DK197" i="5"/>
  <c r="DK578" i="5"/>
  <c r="DM578" i="5" s="1"/>
  <c r="DP599" i="5"/>
  <c r="DR599" i="5" s="1"/>
  <c r="DQ430" i="5"/>
  <c r="DR430" i="5" s="1"/>
  <c r="DQ271" i="5"/>
  <c r="DQ672" i="5"/>
  <c r="DQ504" i="5"/>
  <c r="DR504" i="5" s="1"/>
  <c r="DQ128" i="5"/>
  <c r="DQ652" i="5"/>
  <c r="DQ176" i="5"/>
  <c r="DQ359" i="5"/>
  <c r="DQ310" i="5"/>
  <c r="DQ24" i="5"/>
  <c r="DQ713" i="5"/>
  <c r="DQ48" i="5"/>
  <c r="DQ709" i="5"/>
  <c r="DQ627" i="5"/>
  <c r="DR627" i="5" s="1"/>
  <c r="DQ541" i="5"/>
  <c r="DR541" i="5" s="1"/>
  <c r="DQ189" i="5"/>
  <c r="DQ507" i="5"/>
  <c r="DQ683" i="5"/>
  <c r="DQ353" i="5"/>
  <c r="DQ629" i="5"/>
  <c r="DQ266" i="5"/>
  <c r="DQ103" i="5"/>
  <c r="DR103" i="5" s="1"/>
  <c r="DQ476" i="5"/>
  <c r="DR476" i="5" s="1"/>
  <c r="DQ121" i="5"/>
  <c r="DQ365" i="5"/>
  <c r="DR365" i="5" s="1"/>
  <c r="DQ154" i="5"/>
  <c r="DQ726" i="5"/>
  <c r="DQ621" i="5"/>
  <c r="DQ564" i="5"/>
  <c r="DQ513" i="5"/>
  <c r="DR513" i="5" s="1"/>
  <c r="DQ467" i="5"/>
  <c r="DR467" i="5" s="1"/>
  <c r="DQ490" i="5"/>
  <c r="DQ91" i="5"/>
  <c r="DR91" i="5" s="1"/>
  <c r="DQ416" i="5"/>
  <c r="DR416" i="5" s="1"/>
  <c r="DQ637" i="5"/>
  <c r="DQ576" i="5"/>
  <c r="DR576" i="5" s="1"/>
  <c r="DQ527" i="5"/>
  <c r="DR527" i="5" s="1"/>
  <c r="DQ605" i="5"/>
  <c r="DQ185" i="5"/>
  <c r="DR185" i="5" s="1"/>
  <c r="DQ38" i="5"/>
  <c r="DQ750" i="5"/>
  <c r="DQ402" i="5"/>
  <c r="DR402" i="5" s="1"/>
  <c r="DQ60" i="5"/>
  <c r="DQ383" i="5"/>
  <c r="DQ281" i="5"/>
  <c r="DQ214" i="5"/>
  <c r="DQ332" i="5"/>
  <c r="DQ84" i="5"/>
  <c r="DR84" i="5" s="1"/>
  <c r="DQ568" i="5"/>
  <c r="DQ433" i="5"/>
  <c r="DQ66" i="5"/>
  <c r="DR66" i="5" s="1"/>
  <c r="DQ228" i="5"/>
  <c r="DQ246" i="5"/>
  <c r="DQ225" i="5"/>
  <c r="DP199" i="5"/>
  <c r="DR199" i="5" s="1"/>
  <c r="DP616" i="5"/>
  <c r="DR616" i="5" s="1"/>
  <c r="DR677" i="5"/>
  <c r="DR298" i="5"/>
  <c r="DM379" i="5"/>
  <c r="DM189" i="5"/>
  <c r="DM134" i="5"/>
  <c r="DM584" i="5"/>
  <c r="DM40" i="5"/>
  <c r="DR315" i="5"/>
  <c r="DR679" i="5"/>
  <c r="DR28" i="5"/>
  <c r="DR390" i="5"/>
  <c r="DM200" i="5"/>
  <c r="DR472" i="5"/>
  <c r="DR753" i="5" l="1"/>
  <c r="DM741" i="5"/>
  <c r="DR559" i="5"/>
  <c r="DR144" i="5"/>
  <c r="DR256" i="5"/>
  <c r="DM15" i="5"/>
  <c r="DM285" i="5"/>
  <c r="DR266" i="5"/>
  <c r="DR586" i="5"/>
  <c r="DR336" i="5"/>
  <c r="DM195" i="5"/>
  <c r="DM518" i="5"/>
  <c r="DM331" i="5"/>
  <c r="DM492" i="5"/>
  <c r="DR119" i="5"/>
  <c r="DR46" i="5"/>
  <c r="DM42" i="5"/>
  <c r="DR418" i="5"/>
  <c r="DM593" i="5"/>
  <c r="DR633" i="5"/>
  <c r="DR207" i="5"/>
  <c r="DM700" i="5"/>
  <c r="DM82" i="5"/>
  <c r="DR477" i="5"/>
  <c r="DM514" i="5"/>
  <c r="DR514" i="5"/>
  <c r="DM711" i="5"/>
  <c r="DR448" i="5"/>
  <c r="DM167" i="5"/>
  <c r="DM704" i="5"/>
  <c r="DR751" i="5"/>
  <c r="DR197" i="5"/>
  <c r="DR223" i="5"/>
  <c r="DR571" i="5"/>
  <c r="DM211" i="5"/>
  <c r="DR667" i="5"/>
  <c r="DM455" i="5"/>
  <c r="DM516" i="5"/>
  <c r="DM143" i="5"/>
  <c r="DR592" i="5"/>
  <c r="DM522" i="5"/>
  <c r="DM220" i="5"/>
  <c r="DR617" i="5"/>
  <c r="DR637" i="5"/>
  <c r="DR108" i="5"/>
  <c r="DM600" i="5"/>
  <c r="DR156" i="5"/>
  <c r="DM411" i="5"/>
  <c r="DR716" i="5"/>
  <c r="DR423" i="5"/>
  <c r="DM588" i="5"/>
  <c r="DR202" i="5"/>
  <c r="DM368" i="5"/>
  <c r="DR444" i="5"/>
  <c r="DM586" i="5"/>
  <c r="DR106" i="5"/>
  <c r="DR443" i="5"/>
  <c r="DR82" i="5"/>
  <c r="DM736" i="5"/>
  <c r="DR75" i="5"/>
  <c r="DM107" i="5"/>
  <c r="DR411" i="5"/>
  <c r="DM609" i="5"/>
  <c r="DR209" i="5"/>
  <c r="DM344" i="5"/>
  <c r="DR661" i="5"/>
  <c r="DM70" i="5"/>
  <c r="DM199" i="5"/>
  <c r="DR225" i="5"/>
  <c r="DM33" i="5"/>
  <c r="DR42" i="5"/>
  <c r="DM201" i="5"/>
  <c r="DM733" i="5"/>
  <c r="DM141" i="5"/>
  <c r="DR554" i="5"/>
  <c r="DR149" i="5"/>
  <c r="DM735" i="5"/>
  <c r="DM440" i="5"/>
  <c r="DR405" i="5"/>
  <c r="DM106" i="5"/>
  <c r="DR704" i="5"/>
  <c r="DR553" i="5"/>
  <c r="DR737" i="5"/>
  <c r="DM145" i="5"/>
  <c r="DM406" i="5"/>
  <c r="DR555" i="5"/>
  <c r="DR43" i="5"/>
  <c r="DR112" i="5"/>
  <c r="DM218" i="5"/>
  <c r="DM753" i="5"/>
  <c r="DR481" i="5"/>
  <c r="DM667" i="5"/>
  <c r="DR107" i="5"/>
  <c r="DR141" i="5"/>
  <c r="DM696" i="5"/>
  <c r="DR403" i="5"/>
  <c r="DM149" i="5"/>
  <c r="DZ51" i="5" s="1" a="1"/>
  <c r="DZ51" i="5" s="1"/>
  <c r="ED51" i="5" s="1"/>
  <c r="DM479" i="5"/>
  <c r="DM748" i="5"/>
  <c r="DR176" i="5"/>
  <c r="DM202" i="5"/>
  <c r="DR551" i="5"/>
  <c r="DM661" i="5"/>
  <c r="DR741" i="5"/>
  <c r="DM460" i="5"/>
  <c r="DM592" i="5"/>
  <c r="DR628" i="5"/>
  <c r="DR71" i="5"/>
  <c r="DR45" i="5"/>
  <c r="DM716" i="5"/>
  <c r="DM517" i="5"/>
  <c r="DM69" i="5"/>
  <c r="DR455" i="5"/>
  <c r="DR23" i="5"/>
  <c r="DM23" i="5"/>
  <c r="DM329" i="5"/>
  <c r="DR672" i="5"/>
  <c r="DR211" i="5"/>
  <c r="DM124" i="5"/>
  <c r="DM591" i="5"/>
  <c r="DM737" i="5"/>
  <c r="DM193" i="5"/>
  <c r="DM226" i="5"/>
  <c r="DR145" i="5"/>
  <c r="DR518" i="5"/>
  <c r="DR226" i="5"/>
  <c r="DR240" i="5"/>
  <c r="DM197" i="5"/>
  <c r="DR344" i="5"/>
  <c r="DM339" i="5"/>
  <c r="DM629" i="5"/>
  <c r="DM308" i="5"/>
  <c r="DR143" i="5"/>
  <c r="DR329" i="5"/>
  <c r="DM240" i="5"/>
  <c r="DR248" i="5"/>
  <c r="DR479" i="5"/>
  <c r="DM207" i="5"/>
  <c r="DM386" i="5"/>
  <c r="DR161" i="5"/>
  <c r="DM631" i="5"/>
  <c r="DR70" i="5"/>
  <c r="DM324" i="5"/>
  <c r="DR292" i="5"/>
  <c r="DR189" i="5"/>
  <c r="DR337" i="5"/>
  <c r="DR349" i="5"/>
  <c r="DR368" i="5"/>
  <c r="DM297" i="5"/>
  <c r="DR674" i="5"/>
  <c r="DR485" i="5"/>
  <c r="DM156" i="5"/>
  <c r="DR324" i="5"/>
  <c r="DR602" i="5"/>
  <c r="DR529" i="5"/>
  <c r="DM374" i="5"/>
  <c r="DM161" i="5"/>
  <c r="DM442" i="5"/>
  <c r="DR124" i="5"/>
  <c r="DR497" i="5"/>
  <c r="DM679" i="5"/>
  <c r="DM566" i="5"/>
  <c r="DM334" i="5"/>
  <c r="DR588" i="5"/>
  <c r="DR374" i="5"/>
  <c r="DM497" i="5"/>
  <c r="DR339" i="5"/>
  <c r="DM223" i="5"/>
  <c r="DR398" i="5"/>
  <c r="DR303" i="5"/>
  <c r="DR177" i="5"/>
  <c r="DR711" i="5"/>
  <c r="DR566" i="5"/>
  <c r="DM381" i="5"/>
  <c r="DR407" i="5"/>
  <c r="DR492" i="5"/>
  <c r="DM405" i="5"/>
  <c r="DR458" i="5"/>
  <c r="DR381" i="5"/>
  <c r="DR268" i="5"/>
  <c r="DM45" i="5"/>
  <c r="DM336" i="5"/>
  <c r="DM674" i="5"/>
  <c r="DM485" i="5"/>
  <c r="DR175" i="5"/>
  <c r="EA40" i="5" s="1" a="1"/>
  <c r="EA40" i="5" s="1"/>
  <c r="EE40" i="5" s="1"/>
  <c r="DR490" i="5"/>
  <c r="DM602" i="5"/>
  <c r="DM335" i="5"/>
  <c r="DR302" i="5"/>
  <c r="DR38" i="5"/>
  <c r="DM617" i="5"/>
  <c r="DR386" i="5"/>
  <c r="DR228" i="5"/>
  <c r="DR304" i="5"/>
  <c r="DR696" i="5"/>
  <c r="DM300" i="5"/>
  <c r="DR614" i="5"/>
  <c r="DR334" i="5"/>
  <c r="DM614" i="5"/>
  <c r="DM175" i="5"/>
  <c r="DM590" i="5"/>
  <c r="DR495" i="5"/>
  <c r="DR590" i="5"/>
  <c r="DR629" i="5"/>
  <c r="DR69" i="5"/>
  <c r="DM268" i="5"/>
  <c r="DR242" i="5"/>
  <c r="DM287" i="5"/>
  <c r="DR654" i="5"/>
  <c r="DM209" i="5"/>
  <c r="DR621" i="5"/>
  <c r="DR750" i="5"/>
  <c r="DR713" i="5"/>
  <c r="DR310" i="5"/>
  <c r="DR24" i="5"/>
  <c r="DM112" i="5"/>
  <c r="DR593" i="5"/>
  <c r="DR287" i="5"/>
  <c r="DR154" i="5"/>
  <c r="DR332" i="5"/>
  <c r="DR507" i="5"/>
  <c r="DR121" i="5"/>
  <c r="DR383" i="5"/>
  <c r="DR568" i="5"/>
  <c r="DR442" i="5"/>
  <c r="DR652" i="5"/>
  <c r="DR297" i="5"/>
  <c r="DR564" i="5"/>
  <c r="DR726" i="5"/>
  <c r="DR214" i="5"/>
  <c r="DR683" i="5"/>
  <c r="DR406" i="5"/>
  <c r="DR269" i="5"/>
  <c r="DR353" i="5"/>
  <c r="DR699" i="5"/>
  <c r="DR301" i="5"/>
  <c r="DR359" i="5"/>
  <c r="DR605" i="5"/>
  <c r="DR128" i="5"/>
  <c r="DR246" i="5"/>
  <c r="DR433" i="5"/>
  <c r="DR271" i="5"/>
  <c r="DR60" i="5"/>
  <c r="DR15" i="5"/>
  <c r="DR201" i="5"/>
  <c r="DR281" i="5"/>
  <c r="DR331" i="5"/>
  <c r="DR709" i="5"/>
  <c r="DR300" i="5"/>
  <c r="DR631" i="5"/>
  <c r="DR48" i="5"/>
  <c r="DR335" i="5"/>
  <c r="DR517" i="5"/>
  <c r="DZ81" i="5" l="1" a="1"/>
  <c r="DZ81" i="5" s="1"/>
  <c r="ED81" i="5" s="1"/>
  <c r="DZ44" i="5" a="1"/>
  <c r="DZ44" i="5" s="1"/>
  <c r="ED44" i="5" s="1"/>
  <c r="DZ48" i="5" a="1"/>
  <c r="DZ48" i="5" s="1"/>
  <c r="ED48" i="5" s="1"/>
  <c r="EA82" i="5" a="1"/>
  <c r="EA82" i="5" s="1"/>
  <c r="EE82" i="5" s="1"/>
  <c r="DZ64" i="5" a="1"/>
  <c r="DZ64" i="5" s="1"/>
  <c r="ED64" i="5" s="1"/>
  <c r="DZ70" i="5" a="1"/>
  <c r="DZ70" i="5" s="1"/>
  <c r="ED70" i="5" s="1"/>
  <c r="DZ78" i="5" a="1"/>
  <c r="DZ78" i="5" s="1"/>
  <c r="ED78" i="5" s="1"/>
  <c r="DZ28" i="5" a="1"/>
  <c r="DZ28" i="5" s="1"/>
  <c r="ED28" i="5" s="1"/>
  <c r="DZ37" i="5" a="1"/>
  <c r="DZ37" i="5" s="1"/>
  <c r="ED37" i="5" s="1"/>
  <c r="DZ79" i="5" a="1"/>
  <c r="DZ79" i="5" s="1"/>
  <c r="ED79" i="5" s="1"/>
  <c r="DZ55" i="5" a="1"/>
  <c r="DZ55" i="5" s="1"/>
  <c r="ED55" i="5" s="1"/>
  <c r="DZ36" i="5" a="1"/>
  <c r="DZ36" i="5" s="1"/>
  <c r="ED36" i="5" s="1"/>
  <c r="EA58" i="5" a="1"/>
  <c r="EA58" i="5" s="1"/>
  <c r="EE58" i="5" s="1"/>
  <c r="DZ59" i="5" a="1"/>
  <c r="DZ59" i="5" s="1"/>
  <c r="ED59" i="5" s="1"/>
  <c r="DZ66" i="5" a="1"/>
  <c r="DZ66" i="5" s="1"/>
  <c r="ED66" i="5" s="1"/>
  <c r="DZ67" i="5" a="1"/>
  <c r="DZ67" i="5" s="1"/>
  <c r="ED67" i="5" s="1"/>
  <c r="DZ60" i="5" a="1"/>
  <c r="DZ60" i="5" s="1"/>
  <c r="ED60" i="5" s="1"/>
  <c r="DZ57" i="5" a="1"/>
  <c r="DZ57" i="5" s="1"/>
  <c r="ED57" i="5" s="1"/>
  <c r="DZ49" i="5" a="1"/>
  <c r="DZ49" i="5" s="1"/>
  <c r="ED49" i="5" s="1"/>
  <c r="DZ74" i="5" a="1"/>
  <c r="DZ74" i="5" s="1"/>
  <c r="ED74" i="5" s="1"/>
  <c r="DZ75" i="5" a="1"/>
  <c r="DZ75" i="5" s="1"/>
  <c r="ED75" i="5" s="1"/>
  <c r="EA71" i="5" a="1"/>
  <c r="EA71" i="5" s="1"/>
  <c r="EE71" i="5" s="1"/>
  <c r="DZ54" i="5" a="1"/>
  <c r="DZ54" i="5" s="1"/>
  <c r="ED54" i="5" s="1"/>
  <c r="DZ82" i="5" a="1"/>
  <c r="DZ82" i="5" s="1"/>
  <c r="ED82" i="5" s="1"/>
  <c r="DZ65" i="5" a="1"/>
  <c r="DZ65" i="5" s="1"/>
  <c r="ED65" i="5" s="1"/>
  <c r="DZ34" i="5" a="1"/>
  <c r="DZ34" i="5" s="1"/>
  <c r="ED34" i="5" s="1"/>
  <c r="DZ42" i="5" a="1"/>
  <c r="DZ42" i="5" s="1"/>
  <c r="ED42" i="5" s="1"/>
  <c r="DZ35" i="5" a="1"/>
  <c r="DZ35" i="5" s="1"/>
  <c r="ED35" i="5" s="1"/>
  <c r="EA30" i="5" a="1"/>
  <c r="EA30" i="5" s="1"/>
  <c r="EE30" i="5" s="1"/>
  <c r="EA41" i="5" a="1"/>
  <c r="EA41" i="5" s="1"/>
  <c r="EE41" i="5" s="1"/>
  <c r="EA76" i="5" a="1"/>
  <c r="EA76" i="5" s="1"/>
  <c r="EE76" i="5" s="1"/>
  <c r="EA43" i="5" a="1"/>
  <c r="EA43" i="5" s="1"/>
  <c r="EE43" i="5" s="1"/>
  <c r="EA37" i="5" a="1"/>
  <c r="EA37" i="5" s="1"/>
  <c r="EE37" i="5" s="1"/>
  <c r="DZ33" i="5" a="1"/>
  <c r="DZ33" i="5" s="1"/>
  <c r="ED33" i="5" s="1"/>
  <c r="DZ62" i="5" a="1"/>
  <c r="DZ62" i="5" s="1"/>
  <c r="ED62" i="5" s="1"/>
  <c r="DZ40" i="5" a="1"/>
  <c r="DZ40" i="5" s="1"/>
  <c r="ED40" i="5" s="1"/>
  <c r="DZ68" i="5" a="1"/>
  <c r="DZ68" i="5" s="1"/>
  <c r="ED68" i="5" s="1"/>
  <c r="DZ69" i="5" a="1"/>
  <c r="DZ69" i="5" s="1"/>
  <c r="ED69" i="5" s="1"/>
  <c r="DZ52" i="5" a="1"/>
  <c r="DZ52" i="5" s="1"/>
  <c r="ED52" i="5" s="1"/>
  <c r="DZ63" i="5" a="1"/>
  <c r="DZ63" i="5" s="1"/>
  <c r="ED63" i="5" s="1"/>
  <c r="DZ53" i="5" a="1"/>
  <c r="DZ53" i="5" s="1"/>
  <c r="ED53" i="5" s="1"/>
  <c r="DZ45" i="5" a="1"/>
  <c r="DZ45" i="5" s="1"/>
  <c r="ED45" i="5" s="1"/>
  <c r="DZ83" i="5" a="1"/>
  <c r="DZ83" i="5" s="1"/>
  <c r="ED83" i="5" s="1"/>
  <c r="DZ29" i="5" a="1"/>
  <c r="DZ29" i="5" s="1"/>
  <c r="ED29" i="5" s="1"/>
  <c r="DZ56" i="5" a="1"/>
  <c r="DZ56" i="5" s="1"/>
  <c r="ED56" i="5" s="1"/>
  <c r="DZ46" i="5" a="1"/>
  <c r="DZ46" i="5" s="1"/>
  <c r="ED46" i="5" s="1"/>
  <c r="DZ32" i="5" a="1"/>
  <c r="DZ32" i="5" s="1"/>
  <c r="ED32" i="5" s="1"/>
  <c r="DZ80" i="5" a="1"/>
  <c r="DZ80" i="5" s="1"/>
  <c r="ED80" i="5" s="1"/>
  <c r="DZ61" i="5" a="1"/>
  <c r="DZ61" i="5" s="1"/>
  <c r="ED61" i="5" s="1"/>
  <c r="DZ39" i="5" a="1"/>
  <c r="DZ39" i="5" s="1"/>
  <c r="ED39" i="5" s="1"/>
  <c r="DZ30" i="5" a="1"/>
  <c r="DZ30" i="5" s="1"/>
  <c r="ED30" i="5" s="1"/>
  <c r="DZ43" i="5" a="1"/>
  <c r="DZ43" i="5" s="1"/>
  <c r="ED43" i="5" s="1"/>
  <c r="DZ76" i="5" a="1"/>
  <c r="DZ76" i="5" s="1"/>
  <c r="ED76" i="5" s="1"/>
  <c r="DZ47" i="5" a="1"/>
  <c r="DZ47" i="5" s="1"/>
  <c r="ED47" i="5" s="1"/>
  <c r="DZ72" i="5" a="1"/>
  <c r="DZ72" i="5" s="1"/>
  <c r="ED72" i="5" s="1"/>
  <c r="DZ77" i="5" a="1"/>
  <c r="DZ77" i="5" s="1"/>
  <c r="ED77" i="5" s="1"/>
  <c r="EA52" i="5" a="1"/>
  <c r="EA52" i="5" s="1"/>
  <c r="EE52" i="5" s="1"/>
  <c r="DZ58" i="5" a="1"/>
  <c r="DZ58" i="5" s="1"/>
  <c r="ED58" i="5" s="1"/>
  <c r="DZ41" i="5" a="1"/>
  <c r="DZ41" i="5" s="1"/>
  <c r="ED41" i="5" s="1"/>
  <c r="DZ73" i="5" a="1"/>
  <c r="DZ73" i="5" s="1"/>
  <c r="ED73" i="5" s="1"/>
  <c r="DZ38" i="5" a="1"/>
  <c r="DZ38" i="5" s="1"/>
  <c r="ED38" i="5" s="1"/>
  <c r="DZ50" i="5" a="1"/>
  <c r="DZ50" i="5" s="1"/>
  <c r="ED50" i="5" s="1"/>
  <c r="DZ31" i="5" a="1"/>
  <c r="DZ31" i="5" s="1"/>
  <c r="ED31" i="5" s="1"/>
  <c r="DZ71" i="5" a="1"/>
  <c r="DZ71" i="5" s="1"/>
  <c r="ED71" i="5" s="1"/>
  <c r="EA54" i="5" a="1"/>
  <c r="EA54" i="5" s="1"/>
  <c r="EE54" i="5" s="1"/>
  <c r="EA57" i="5" a="1"/>
  <c r="EA57" i="5" s="1"/>
  <c r="EE57" i="5" s="1"/>
  <c r="EA32" i="5" a="1"/>
  <c r="EA32" i="5" s="1"/>
  <c r="EE32" i="5" s="1"/>
  <c r="EA60" i="5" a="1"/>
  <c r="EA60" i="5" s="1"/>
  <c r="EE60" i="5" s="1"/>
  <c r="EA73" i="5" a="1"/>
  <c r="EA73" i="5" s="1"/>
  <c r="EE73" i="5" s="1"/>
  <c r="EA50" i="5" a="1"/>
  <c r="EA50" i="5" s="1"/>
  <c r="EE50" i="5" s="1"/>
  <c r="EA79" i="5" a="1"/>
  <c r="EA79" i="5" s="1"/>
  <c r="EE79" i="5" s="1"/>
  <c r="EA33" i="5" a="1"/>
  <c r="EA33" i="5" s="1"/>
  <c r="EE33" i="5" s="1"/>
  <c r="EA77" i="5" a="1"/>
  <c r="EA77" i="5" s="1"/>
  <c r="EE77" i="5" s="1"/>
  <c r="EA31" i="5" a="1"/>
  <c r="EA31" i="5" s="1"/>
  <c r="EE31" i="5" s="1"/>
  <c r="EA61" i="5" a="1"/>
  <c r="EA61" i="5" s="1"/>
  <c r="EE61" i="5" s="1"/>
  <c r="EA47" i="5" a="1"/>
  <c r="EA47" i="5" s="1"/>
  <c r="EE47" i="5" s="1"/>
  <c r="EA75" i="5" a="1"/>
  <c r="EA75" i="5" s="1"/>
  <c r="EE75" i="5" s="1"/>
  <c r="EA74" i="5" a="1"/>
  <c r="EA74" i="5" s="1"/>
  <c r="EE74" i="5" s="1"/>
  <c r="EA65" i="5" a="1"/>
  <c r="EA65" i="5" s="1"/>
  <c r="EE65" i="5" s="1"/>
  <c r="EA78" i="5" a="1"/>
  <c r="EA78" i="5" s="1"/>
  <c r="EE78" i="5" s="1"/>
  <c r="EA36" i="5" a="1"/>
  <c r="EA36" i="5" s="1"/>
  <c r="EE36" i="5" s="1"/>
  <c r="EA70" i="5" a="1"/>
  <c r="EA70" i="5" s="1"/>
  <c r="EE70" i="5" s="1"/>
  <c r="EA55" i="5" a="1"/>
  <c r="EA55" i="5" s="1"/>
  <c r="EE55" i="5" s="1"/>
  <c r="EA48" i="5" a="1"/>
  <c r="EA48" i="5" s="1"/>
  <c r="EE48" i="5" s="1"/>
  <c r="EA66" i="5" a="1"/>
  <c r="EA66" i="5" s="1"/>
  <c r="EE66" i="5" s="1"/>
  <c r="EA62" i="5" a="1"/>
  <c r="EA62" i="5" s="1"/>
  <c r="EE62" i="5" s="1"/>
  <c r="EA56" i="5" a="1"/>
  <c r="EA56" i="5" s="1"/>
  <c r="EE56" i="5" s="1"/>
  <c r="EA29" i="5" a="1"/>
  <c r="EA29" i="5" s="1"/>
  <c r="EE29" i="5" s="1"/>
  <c r="EA64" i="5" a="1"/>
  <c r="EA64" i="5" s="1"/>
  <c r="EE64" i="5" s="1"/>
  <c r="EA49" i="5" a="1"/>
  <c r="EA49" i="5" s="1"/>
  <c r="EE49" i="5" s="1"/>
  <c r="EA72" i="5" a="1"/>
  <c r="EA72" i="5" s="1"/>
  <c r="EE72" i="5" s="1"/>
  <c r="EA42" i="5" a="1"/>
  <c r="EA42" i="5" s="1"/>
  <c r="EE42" i="5" s="1"/>
  <c r="EA34" i="5" a="1"/>
  <c r="EA34" i="5" s="1"/>
  <c r="EE34" i="5" s="1"/>
  <c r="EA51" i="5" a="1"/>
  <c r="EA51" i="5" s="1"/>
  <c r="EE51" i="5" s="1"/>
  <c r="EA45" i="5" a="1"/>
  <c r="EA45" i="5" s="1"/>
  <c r="EE45" i="5" s="1"/>
  <c r="EA59" i="5" a="1"/>
  <c r="EA59" i="5" s="1"/>
  <c r="EE59" i="5" s="1"/>
  <c r="EA67" i="5" a="1"/>
  <c r="EA67" i="5" s="1"/>
  <c r="EE67" i="5" s="1"/>
  <c r="EA83" i="5" a="1"/>
  <c r="EA83" i="5" s="1"/>
  <c r="EE83" i="5" s="1"/>
  <c r="EA44" i="5" a="1"/>
  <c r="EA44" i="5" s="1"/>
  <c r="EE44" i="5" s="1"/>
  <c r="EA28" i="5" a="1"/>
  <c r="EA28" i="5" s="1"/>
  <c r="EE28" i="5" s="1"/>
  <c r="EA53" i="5" a="1"/>
  <c r="EA53" i="5" s="1"/>
  <c r="EE53" i="5" s="1"/>
  <c r="EA35" i="5" a="1"/>
  <c r="EA35" i="5" s="1"/>
  <c r="EE35" i="5" s="1"/>
  <c r="EA38" i="5" a="1"/>
  <c r="EA38" i="5" s="1"/>
  <c r="EE38" i="5" s="1"/>
  <c r="EA39" i="5" a="1"/>
  <c r="EA39" i="5" s="1"/>
  <c r="EE39" i="5" s="1"/>
  <c r="EA81" i="5" a="1"/>
  <c r="EA81" i="5" s="1"/>
  <c r="EE81" i="5" s="1"/>
  <c r="EA69" i="5" a="1"/>
  <c r="EA69" i="5" s="1"/>
  <c r="EE69" i="5" s="1"/>
  <c r="EA80" i="5" a="1"/>
  <c r="EA80" i="5" s="1"/>
  <c r="EE80" i="5" s="1"/>
  <c r="EA46" i="5" a="1"/>
  <c r="EA46" i="5" s="1"/>
  <c r="EE46" i="5" s="1"/>
  <c r="EA68" i="5" a="1"/>
  <c r="EA68" i="5" s="1"/>
  <c r="EE68" i="5" s="1"/>
  <c r="EA63" i="5" a="1"/>
  <c r="EA63" i="5" s="1"/>
  <c r="EE63" i="5" s="1"/>
  <c r="EC10" i="5" l="1" a="1"/>
  <c r="EC1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tc={E5B78BC2-12D0-4E80-9FED-D71E42DEB0C6}</author>
    <author>tc={4D1192F1-9E03-4634-9F98-3FA7C574AF39}</author>
    <author>tc={94539E02-9C9C-488A-B0A0-450799B5790F}</author>
    <author>tc={8CE4668C-64A6-44F2-B265-F01E16312867}</author>
    <author>tc={D7CFFB2D-9D61-4760-A1C1-387A4B260DE9}</author>
    <author>tc={D5149F90-FE33-4419-9030-F6D24D203CC1}</author>
    <author>tc={9C6A0FB5-2C74-4F78-818D-DB1482E606D4}</author>
  </authors>
  <commentList>
    <comment ref="T81" authorId="0" shapeId="0" xr:uid="{E5B78BC2-12D0-4E80-9FED-D71E42DEB0C6}">
      <text>
        <t>[Threaded comment]
Your version of Excel allows you to read this threaded comment; however, any edits to it will get removed if the file is opened in a newer version of Excel. Learn more: https://go.microsoft.com/fwlink/?linkid=870924
Comment:
    Assumed same as trial as not available in RWE</t>
      </text>
    </comment>
    <comment ref="J114" authorId="1" shapeId="0" xr:uid="{4D1192F1-9E03-4634-9F98-3FA7C574AF3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4" authorId="2" shapeId="0" xr:uid="{94539E02-9C9C-488A-B0A0-450799B5790F}">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4" authorId="3" shapeId="0" xr:uid="{8CE4668C-64A6-44F2-B265-F01E16312867}">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J119" authorId="4" shapeId="0" xr:uid="{D7CFFB2D-9D61-4760-A1C1-387A4B260DE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9" authorId="5" shapeId="0" xr:uid="{D5149F90-FE33-4419-9030-F6D24D203CC1}">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9" authorId="6" shapeId="0" xr:uid="{9C6A0FB5-2C74-4F78-818D-DB1482E606D4}">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<sst xmlns="http://schemas.openxmlformats.org/spreadsheetml/2006/main" count="21355" uniqueCount="1976">
  <si>
    <t>Colour coding</t>
  </si>
  <si>
    <t>dropdown</t>
  </si>
  <si>
    <t>user modifiable input</t>
  </si>
  <si>
    <t>calculation (non-modifiable)</t>
  </si>
  <si>
    <t>non-modifiable input</t>
  </si>
  <si>
    <t xml:space="preserve">This spreadsheet contains relevant inputs that are needed for the PATT aRCC pathways pilot economic model in R to run. </t>
  </si>
  <si>
    <t>CIC intervention</t>
  </si>
  <si>
    <t>ACIC</t>
  </si>
  <si>
    <t>'Navigation control' sheet provides the 'Go to sheet' menu which could be used to move to a specific sheet.</t>
  </si>
  <si>
    <t>User could also access the 'Navigation control' page through the link provided at the top of each sheet in the workbook.</t>
  </si>
  <si>
    <t>Proceed to:</t>
  </si>
  <si>
    <t>Navigation control</t>
  </si>
  <si>
    <t>Model diagram</t>
  </si>
  <si>
    <t>Model implementation diagram</t>
  </si>
  <si>
    <t>Some guidance regarding 'Treatment sequence' sheet</t>
  </si>
  <si>
    <t xml:space="preserve">
This sheet has been set up to consider the proportion of patients undergoing subsequent treatments both from RWE and trial data. Henceforth, based on the dropdown (dd_sub_txt_prop_sources) selection the proportions and the treatment duration changes accordingly. 
Though this sheet contains poor or intermediate risk and favourable risk population, only the All-risk group is relevant for the subsequent treatment lines.
As shown in the screenshot below, this sheet is structured as tables with rows being treatments that patients had in previous line and with columns being treatments that patients are having in the current treatment line. For instance, when the current treatment line is 3L (Row 7-&gt;  Treatment sequences sheet), then the previous treatment line is 2L and the table should be read as: treatments that patients had in 2L (Rows) x treatments that patients are having in 3L (columns).
Also, the sheet contains the following data as indicated below:
Rows 50: 63 – Mean proportions
Rows 65:78 – Standard errors of the mean proportions
Rows 81:94 – Mean duration of subsequent treatments
Rows 97:110 – Standard errors for mean duration of subsequent treatments</t>
  </si>
  <si>
    <t>Go to sheet:</t>
  </si>
  <si>
    <t>Model settings</t>
  </si>
  <si>
    <t>Patient characteristics</t>
  </si>
  <si>
    <t>Effectiveness settings</t>
  </si>
  <si>
    <t>Time on treatment</t>
  </si>
  <si>
    <t>Mortality parameters</t>
  </si>
  <si>
    <t>Safety parameters</t>
  </si>
  <si>
    <t>Utilities</t>
  </si>
  <si>
    <t>Resource use and costs</t>
  </si>
  <si>
    <t>Treatment sequence</t>
  </si>
  <si>
    <t>Scenario controls</t>
  </si>
  <si>
    <t>All parameters</t>
  </si>
  <si>
    <t>Lists</t>
  </si>
  <si>
    <t>Cover page</t>
  </si>
  <si>
    <t>Population</t>
  </si>
  <si>
    <t>All</t>
  </si>
  <si>
    <t>Time horizon (years)</t>
  </si>
  <si>
    <t>Cycle length (week)</t>
  </si>
  <si>
    <t>months to weeks</t>
  </si>
  <si>
    <t>days to weeks</t>
  </si>
  <si>
    <t>Perspective</t>
  </si>
  <si>
    <t>NHS and PSS</t>
  </si>
  <si>
    <t>Discount rate</t>
  </si>
  <si>
    <t>Costs</t>
  </si>
  <si>
    <t>QALYs</t>
  </si>
  <si>
    <t>WTP threshold</t>
  </si>
  <si>
    <t>QALY shortfall</t>
  </si>
  <si>
    <t xml:space="preserve">Proportional </t>
  </si>
  <si>
    <t>Absolute</t>
  </si>
  <si>
    <t>QALY weight</t>
  </si>
  <si>
    <t>Lower threshold</t>
  </si>
  <si>
    <t>Upper threshold</t>
  </si>
  <si>
    <t>In between</t>
  </si>
  <si>
    <t>&gt;=0.85 and &lt;=0.95</t>
  </si>
  <si>
    <t>&gt;=12 and &lt;=18</t>
  </si>
  <si>
    <t>Analyses to run</t>
  </si>
  <si>
    <t>Deterministic</t>
  </si>
  <si>
    <t>Model structure to be tested</t>
  </si>
  <si>
    <t>State transition</t>
  </si>
  <si>
    <t>Base case = State transition</t>
  </si>
  <si>
    <t>Maximum number of active treatment lines</t>
  </si>
  <si>
    <t>Base case = 4</t>
  </si>
  <si>
    <t>No</t>
  </si>
  <si>
    <t>Base case = No</t>
  </si>
  <si>
    <t xml:space="preserve">Baseline risk taken from </t>
  </si>
  <si>
    <t>RWE</t>
  </si>
  <si>
    <t>Base case = RWE</t>
  </si>
  <si>
    <t>FP_NMA</t>
  </si>
  <si>
    <t>Base case = FP NMA; trial survival analysis can only be used when baseline risks also come from the trial</t>
  </si>
  <si>
    <t>Use PH NMA results for FP NMA?</t>
  </si>
  <si>
    <t>NMA to use in prefence for 2nd line</t>
  </si>
  <si>
    <t>PH_NMA</t>
  </si>
  <si>
    <t>Base case = PH NMA</t>
  </si>
  <si>
    <t>Method to adjust crossing curves (OS vs TTD and OS vs PFS)</t>
  </si>
  <si>
    <t>Use hazards</t>
  </si>
  <si>
    <t>Base case = Use hazards</t>
  </si>
  <si>
    <t>Assume equal effectiveness for</t>
  </si>
  <si>
    <t>pazopanib and sunitinib</t>
  </si>
  <si>
    <t>Yes</t>
  </si>
  <si>
    <t>Base case = Yes</t>
  </si>
  <si>
    <t>tivozanib and sunitinib</t>
  </si>
  <si>
    <t>everolimus and axitinib</t>
  </si>
  <si>
    <t>Assume TTD same as PFS</t>
  </si>
  <si>
    <t>Apply HR for PFS vs TTD for nivo+ipi in CheckMate 214</t>
  </si>
  <si>
    <t>Proportion of PFS events which are deaths (PartSA scenario only)</t>
  </si>
  <si>
    <t>From pooled UK RWE</t>
  </si>
  <si>
    <t>Report required for survival regression?</t>
  </si>
  <si>
    <t>Base case = No, only switch to yes for first run (takes a long time!)</t>
  </si>
  <si>
    <t>Run survival regression from scratch?</t>
  </si>
  <si>
    <t>Base case = No, only switch to yes if you have access to the IPD</t>
  </si>
  <si>
    <t>Report TP matrices from scratch?</t>
  </si>
  <si>
    <t>Age/sex based on mean or PLD?</t>
  </si>
  <si>
    <t>PLD</t>
  </si>
  <si>
    <t>Base case = PLD</t>
  </si>
  <si>
    <t>Age adjust utilities?</t>
  </si>
  <si>
    <t># of admin based on</t>
  </si>
  <si>
    <t>Use TTD</t>
  </si>
  <si>
    <t>Base case = use TTD</t>
  </si>
  <si>
    <t xml:space="preserve">SE to apply for utilities </t>
  </si>
  <si>
    <t>±</t>
  </si>
  <si>
    <t>SE to apply for costs</t>
  </si>
  <si>
    <t>Drug price options</t>
  </si>
  <si>
    <t>PAS price</t>
  </si>
  <si>
    <t>Include wastage (for IV txts by weight)?</t>
  </si>
  <si>
    <t>Double cost and QALY impact for AEs</t>
  </si>
  <si>
    <t>Assume AE impact of axi same as tivo</t>
  </si>
  <si>
    <t>Survival parametric curves</t>
  </si>
  <si>
    <t>Base case</t>
  </si>
  <si>
    <t>Effectiveness settings inputs</t>
  </si>
  <si>
    <t>Use default settings</t>
  </si>
  <si>
    <t>Base case = Use default settings</t>
  </si>
  <si>
    <t>Len+Pem RDI equal to Nivo+Cabo?</t>
  </si>
  <si>
    <t>Adjust for the impact of prior adjuvant</t>
  </si>
  <si>
    <t>Scenario name</t>
  </si>
  <si>
    <t>Scenario #</t>
  </si>
  <si>
    <t>Base case = 0</t>
  </si>
  <si>
    <t>Alternative RDI assumption for nivo (ST)</t>
  </si>
  <si>
    <t>Alternative RDI assumption for nivo (PartSA)</t>
  </si>
  <si>
    <t>Treatment waning settings</t>
  </si>
  <si>
    <t>Line</t>
  </si>
  <si>
    <t>Reference treatment</t>
  </si>
  <si>
    <t>sunitinib</t>
  </si>
  <si>
    <t>cabozantinib</t>
  </si>
  <si>
    <t>everolimus</t>
  </si>
  <si>
    <t>Treatment waning scenarios</t>
  </si>
  <si>
    <t>10 years for IO/TKIs, all endpoints, based on hazards</t>
  </si>
  <si>
    <t>10 years all IO combinations, all endpoints, based on hazards</t>
  </si>
  <si>
    <t>Between 5 and 20 years all IO/TKIs, all endpoints, based on hazards</t>
  </si>
  <si>
    <t>Between 5 and 20 years all IO, all endpoints, based on hazards</t>
  </si>
  <si>
    <t>No treatment effect waning</t>
  </si>
  <si>
    <t>PartSA: 5 years for IO/TKIs, OS only, based on hazards</t>
  </si>
  <si>
    <t>Between 4 and 6 years for IO/TKIs, OS only, based on absolute survival</t>
  </si>
  <si>
    <t>The below tables define to whom treatment effect waning is applied. Start and end define the period over which the hazard (or survivor function) linearly wanes towards the reference curve. To apply instantaneously set these equal.</t>
  </si>
  <si>
    <t>Treatment line</t>
  </si>
  <si>
    <t>Treatment</t>
  </si>
  <si>
    <t>UI values</t>
  </si>
  <si>
    <t>ref trt for abs surv scenario</t>
  </si>
  <si>
    <t>TURN ON Nivo+ipi</t>
  </si>
  <si>
    <t>OS only scenarios</t>
  </si>
  <si>
    <t>Apply waning?</t>
  </si>
  <si>
    <t>apply waning to?</t>
  </si>
  <si>
    <t>Start (weeks)</t>
  </si>
  <si>
    <t>End (weeks)</t>
  </si>
  <si>
    <t>Population name</t>
  </si>
  <si>
    <t>Treatment name</t>
  </si>
  <si>
    <t>End point name</t>
  </si>
  <si>
    <t>End point</t>
  </si>
  <si>
    <t>Origin molecule</t>
  </si>
  <si>
    <t>apply waning</t>
  </si>
  <si>
    <t>apply to</t>
  </si>
  <si>
    <t>start</t>
  </si>
  <si>
    <t>end</t>
  </si>
  <si>
    <t xml:space="preserve">start </t>
  </si>
  <si>
    <t>ref trt hazard</t>
  </si>
  <si>
    <t>ref trt abs surv</t>
  </si>
  <si>
    <t>1L</t>
  </si>
  <si>
    <t>2L</t>
  </si>
  <si>
    <t>3L</t>
  </si>
  <si>
    <t>4L</t>
  </si>
  <si>
    <t>Source of patient characteristics</t>
  </si>
  <si>
    <t>Note: Base case =  RWE</t>
  </si>
  <si>
    <t>Model starting age (years)</t>
  </si>
  <si>
    <t>Mean</t>
  </si>
  <si>
    <t>SD</t>
  </si>
  <si>
    <t>n</t>
  </si>
  <si>
    <t>SE</t>
  </si>
  <si>
    <t>Source</t>
  </si>
  <si>
    <t>Starting age (years) Mean</t>
  </si>
  <si>
    <t>Starting % female Mean</t>
  </si>
  <si>
    <t>Starting % PorI risk Mean</t>
  </si>
  <si>
    <t>Body weight (kg)
Mean</t>
  </si>
  <si>
    <t>Prior IO % in 12 months
Mean</t>
  </si>
  <si>
    <t>Starting age (years) 
n</t>
  </si>
  <si>
    <t>Starting % female 
n</t>
  </si>
  <si>
    <t>Starting % PorI risk 
n</t>
  </si>
  <si>
    <t>Body weight (kg)
n</t>
  </si>
  <si>
    <t>Starting % PIR
n</t>
  </si>
  <si>
    <t>Prior IO % in 12 months
n</t>
  </si>
  <si>
    <t>Starting age (years) SE</t>
  </si>
  <si>
    <t>Starting % female 
SE</t>
  </si>
  <si>
    <t>Starting % PorI risk SE</t>
  </si>
  <si>
    <t>Body weight (kg)
SE</t>
  </si>
  <si>
    <t>Prior IO % in 12 months
SE</t>
  </si>
  <si>
    <t>Trial data: Mean age and % female from CheckMate 9ER CSR and Table 6 from clarification response (for 1L), CheckMate 025 Motzer 2020 suppl info (for 2L); Assumed same as 2L for 3L and 4L</t>
  </si>
  <si>
    <t>RWE: Mean age and % female from Challapalli et al</t>
  </si>
  <si>
    <t>Starting %  female</t>
  </si>
  <si>
    <t>Starting % with IMDC poor or intermediate risk</t>
  </si>
  <si>
    <t>Trial data: CheckMate 9ER for all risk; Assumed 100% for PorI and 0% for fav risk</t>
  </si>
  <si>
    <t>RWE: % IMDC porI has been assumed to be reflective of All population from Challapalli et al., as no subgroup specific data was available</t>
  </si>
  <si>
    <t>Body weight (kg)</t>
  </si>
  <si>
    <t>Trial data: Assumed same as CheckMate 9ER All risk for 2L/3L/4L  (note: BW was not reported in CheckMate 025)</t>
  </si>
  <si>
    <t>RWE: Challapalli et al</t>
  </si>
  <si>
    <t>Prior adjuvant treatment with IO in last 12 months (%)</t>
  </si>
  <si>
    <t>Scenarios are presented using market share uptakes from TA830. Data also input for % receiving any prior adjuvant therapy in CheckMate 9ER</t>
  </si>
  <si>
    <t>Use user defined proportion for adjuvant treatment?</t>
  </si>
  <si>
    <t>User defined proportion to be applied on RWE eligible population</t>
  </si>
  <si>
    <t>Note:</t>
  </si>
  <si>
    <t>Eligible population for RWE = Clear cell in the RWE (1092/1309) &amp; Prior nephrectomy in the RWE (715/1292) &amp; High risk (60% based on TA830)</t>
  </si>
  <si>
    <t>Txt line for RDI</t>
  </si>
  <si>
    <t>Note: only applicable for cabozantinib (in case of trial) and when RDI per RWE is selected; default value 2L (when Base case is selected)</t>
  </si>
  <si>
    <t>Drug and administration costs</t>
  </si>
  <si>
    <t>RDI scenarios</t>
  </si>
  <si>
    <t>Sources</t>
  </si>
  <si>
    <t>RDI RWE values for drug cost calculation</t>
  </si>
  <si>
    <t>Txt line</t>
  </si>
  <si>
    <t>Drug</t>
  </si>
  <si>
    <t>Molecule</t>
  </si>
  <si>
    <t>Per cycle or one-off cost</t>
  </si>
  <si>
    <t>Cost per pack (£)</t>
  </si>
  <si>
    <t>Pack size</t>
  </si>
  <si>
    <t>Dose per unit</t>
  </si>
  <si>
    <t>PAS applicable?</t>
  </si>
  <si>
    <t>PAS  discount
(%)</t>
  </si>
  <si>
    <t>PAS price
(£)</t>
  </si>
  <si>
    <t>Frequency of administration</t>
  </si>
  <si>
    <t>Route of administration</t>
  </si>
  <si>
    <t>Dose per administration (mg)</t>
  </si>
  <si>
    <t>Administration cost (£)</t>
  </si>
  <si>
    <t>Relative dose intensity (%)</t>
  </si>
  <si>
    <t>Applied every x cycles</t>
  </si>
  <si>
    <t>No.of doses when applied</t>
  </si>
  <si>
    <t>Time from (cycle)</t>
  </si>
  <si>
    <t>Time to (cycle)</t>
  </si>
  <si>
    <t>Cost per mg (list price)</t>
  </si>
  <si>
    <t>Cost per mg (PAS price)</t>
  </si>
  <si>
    <t>Cost per pack (£)
(list price)</t>
  </si>
  <si>
    <t>Cost per pack (£)
(PAS price)</t>
  </si>
  <si>
    <t>Cost per cycle with RDI</t>
  </si>
  <si>
    <t>Cost per cycle without RDI</t>
  </si>
  <si>
    <t>Source for drug cost</t>
  </si>
  <si>
    <t>Source for admin cost</t>
  </si>
  <si>
    <t>Source for RDI</t>
  </si>
  <si>
    <t>Base case (same as Trial_2L)</t>
  </si>
  <si>
    <t>Trial_1L</t>
  </si>
  <si>
    <t>Trial_2L</t>
  </si>
  <si>
    <t>Trial_3L</t>
  </si>
  <si>
    <t>Trial_4L</t>
  </si>
  <si>
    <t>RWE_1L</t>
  </si>
  <si>
    <t>RWE_2L</t>
  </si>
  <si>
    <t>RWE_3L</t>
  </si>
  <si>
    <t>RWE_4L</t>
  </si>
  <si>
    <t>RDI_updated_all</t>
  </si>
  <si>
    <t>RDI_updated_IO_combi_all lines</t>
  </si>
  <si>
    <t>Drug costs per week weighted by RDI</t>
  </si>
  <si>
    <t>Note: Only longer follow up data used</t>
  </si>
  <si>
    <t>Note: Applies only to Len for Len+Evero, Len and Pem for Len+Pem, Nivo and cabo for Nivo+Cabo, Ipi for Nivo+Ipi</t>
  </si>
  <si>
    <t>RDI RWE/trial static base case values</t>
  </si>
  <si>
    <t>Type</t>
  </si>
  <si>
    <t>Drug cost per dose</t>
  </si>
  <si>
    <t>Admin cost (per administration) Mean</t>
  </si>
  <si>
    <t>Admin cost (per administration) 
SE</t>
  </si>
  <si>
    <t>Number of doses when applied</t>
  </si>
  <si>
    <t>RDI Mean</t>
  </si>
  <si>
    <t>RDI SE</t>
  </si>
  <si>
    <t>Time from</t>
  </si>
  <si>
    <t>Time to (cycles)</t>
  </si>
  <si>
    <t>Drug costs per week without RDI from column AJ</t>
  </si>
  <si>
    <t>Drug_Costs_with_RDI_1L</t>
  </si>
  <si>
    <t>Drug_Costs_with_RDI_2L</t>
  </si>
  <si>
    <t>Drug_Costs_with_RDI_3L</t>
  </si>
  <si>
    <t>Drug_Costs_with_RDI_4L</t>
  </si>
  <si>
    <t>RDI_Mean_1L</t>
  </si>
  <si>
    <t>RDI_Mean_2L</t>
  </si>
  <si>
    <t>RDI_Mean_3L</t>
  </si>
  <si>
    <t>RDI_Mean_4L</t>
  </si>
  <si>
    <t>RDI_base case_original</t>
  </si>
  <si>
    <t>RDI_basecase_updated_all</t>
  </si>
  <si>
    <t>RDI_basecase_updated_TA858_pem_approach</t>
  </si>
  <si>
    <t>Admin cost table for subsequent treatment calculations</t>
  </si>
  <si>
    <t>RDI for per cycle admin</t>
  </si>
  <si>
    <t>Admin cost per cycle by line</t>
  </si>
  <si>
    <t>per cycle</t>
  </si>
  <si>
    <t>ml</t>
  </si>
  <si>
    <t>mg/ml</t>
  </si>
  <si>
    <t>q4w</t>
  </si>
  <si>
    <t>IV</t>
  </si>
  <si>
    <t>NA</t>
  </si>
  <si>
    <t>Opdivo® price from BNF (accessed 19 July 2023)</t>
  </si>
  <si>
    <t>CheckMate 025 company submission (as reported in NICE TA463); For 3L assumed same as 2L</t>
  </si>
  <si>
    <t>per cycle cost</t>
  </si>
  <si>
    <t>one-off cost</t>
  </si>
  <si>
    <t>linked to mean dur/TTD switch</t>
  </si>
  <si>
    <t>admin per cycle for nivolumab</t>
  </si>
  <si>
    <t>NHS reference costs 2021-22; HRG code: SB12Z</t>
  </si>
  <si>
    <t>tablets</t>
  </si>
  <si>
    <t>mg</t>
  </si>
  <si>
    <t>once daily</t>
  </si>
  <si>
    <t>Oral</t>
  </si>
  <si>
    <t>Cabometyx® price from BNF (accessed 19 July 2023)</t>
  </si>
  <si>
    <t xml:space="preserve"> CABOSUN Clinical study report (as reported in TA542); 2L/3L+ assumed same as 1L</t>
  </si>
  <si>
    <t>initial admin for cabozantinib</t>
  </si>
  <si>
    <t>one-off</t>
  </si>
  <si>
    <t>First Cycle: NHS reference costs 2021-22; HRG code: SB11Z – Deliver exclusively oral chemotherapy. Subsequent cycles: PSSRU 2022. Pharmacist time based on NICE TA645.</t>
  </si>
  <si>
    <t>subsequent admin for cabozantinib</t>
  </si>
  <si>
    <t>ipilimumab</t>
  </si>
  <si>
    <t>q3w (4 doses)</t>
  </si>
  <si>
    <t>-</t>
  </si>
  <si>
    <t>Yervoy®  price from BNF (accessed 19 July 2023)</t>
  </si>
  <si>
    <t>pembrolizumab</t>
  </si>
  <si>
    <t>q6w</t>
  </si>
  <si>
    <t>Keytruda® price from BNF</t>
  </si>
  <si>
    <t>admin per cycle for pembrolizumab</t>
  </si>
  <si>
    <t xml:space="preserve">lenvatinib </t>
  </si>
  <si>
    <t>capsules</t>
  </si>
  <si>
    <t>Kisplyx® price from BNF (accessed 19 July 2023)</t>
  </si>
  <si>
    <t>lenvatinib</t>
  </si>
  <si>
    <t>initial admin for lenvatinib</t>
  </si>
  <si>
    <t>subsequent admin for lenvatinib</t>
  </si>
  <si>
    <t>once daily (4 of 6 week cycle)</t>
  </si>
  <si>
    <t>CheckMate 9ER (clarification response; A10a); For 2L/3L assumed same as 1L</t>
  </si>
  <si>
    <t>RDI_trial</t>
  </si>
  <si>
    <t>RDI_trial_SE</t>
  </si>
  <si>
    <t>RDI_RWE</t>
  </si>
  <si>
    <t>RDI_RWE_SE</t>
  </si>
  <si>
    <t>initial admin for sunitinib</t>
  </si>
  <si>
    <t>subsequent admin for sunitinib</t>
  </si>
  <si>
    <t>nivolumab</t>
  </si>
  <si>
    <t>Votrient® price from BNF (accessed 19 July 2023)</t>
  </si>
  <si>
    <t>VEG105192 trial (as reported in NICE TA215 and TA512); For 2L/3L assumed same as 1L</t>
  </si>
  <si>
    <t>initial admin for pazopanib</t>
  </si>
  <si>
    <t>nivolumab induction</t>
  </si>
  <si>
    <t>subsequent admin for pazopanib</t>
  </si>
  <si>
    <t>nivolumab maintenance</t>
  </si>
  <si>
    <t>tivozanib</t>
  </si>
  <si>
    <t>1340 mcg orally once daily for 21 days, followed by a 7-day rest period</t>
  </si>
  <si>
    <t>Fotivda® price from BNF (accessed 19 July 2023)</t>
  </si>
  <si>
    <t>TIVO-1 study (as reported in NICE TA512); For 2L/3L assumed same as 1L</t>
  </si>
  <si>
    <t>initial admin for tivozanib</t>
  </si>
  <si>
    <t>subsequent admin for tivozanib</t>
  </si>
  <si>
    <t>METEOR clinical study report (as reported in TA542); For 3L/4L assumed same as 2L</t>
  </si>
  <si>
    <t>avelumab</t>
  </si>
  <si>
    <t>axitinib</t>
  </si>
  <si>
    <t>initial admin for everolimus</t>
  </si>
  <si>
    <t>subsequent admin for everolimus</t>
  </si>
  <si>
    <t>twice daily</t>
  </si>
  <si>
    <t>Inlyta® price from BNF (accessed 19 July 2023)</t>
  </si>
  <si>
    <t>AXIS trial: Rini et al. 2011; For 3L/4L assumed same as 2L</t>
  </si>
  <si>
    <t>lenvatinib_plus_everolimus</t>
  </si>
  <si>
    <t>initial admin for axitinib</t>
  </si>
  <si>
    <t>subsequent admin for axitinib</t>
  </si>
  <si>
    <t>q2w</t>
  </si>
  <si>
    <t>Bavencio® price from BNF (accessed 19 July 2023)</t>
  </si>
  <si>
    <t>admin per cycle for avelumab</t>
  </si>
  <si>
    <t>Motzer et al 2019</t>
  </si>
  <si>
    <t>CLEAR trial: Motzer et al 2021; For 3L assumed same as 2L</t>
  </si>
  <si>
    <t xml:space="preserve">tablets </t>
  </si>
  <si>
    <t>CLEAR trial: Motzer et al 2021</t>
  </si>
  <si>
    <t>CheckMate 9ER (company clarification response; A10a)</t>
  </si>
  <si>
    <t xml:space="preserve">nivolumab </t>
  </si>
  <si>
    <t>Motzer et al 2018; 
For nivo, same RDI as nivo+cabo to be assumed for nivo mono maintenance as data not available</t>
  </si>
  <si>
    <t>NHS reference costs 2021-22; HRG code: SB14Z</t>
  </si>
  <si>
    <t>Health state or disease management costs</t>
  </si>
  <si>
    <t>Type of cost</t>
  </si>
  <si>
    <t>Cost</t>
  </si>
  <si>
    <t>Apply to</t>
  </si>
  <si>
    <t>Death</t>
  </si>
  <si>
    <t>Health state</t>
  </si>
  <si>
    <t>Resource</t>
  </si>
  <si>
    <t>Frequency/No.of visits (per cycle)</t>
  </si>
  <si>
    <t>Unit cost (£)</t>
  </si>
  <si>
    <t>Cost to be applied from time (cycle)</t>
  </si>
  <si>
    <t>Cost to be applied to time (cycle)</t>
  </si>
  <si>
    <t>Total cost (£)</t>
  </si>
  <si>
    <t>Prog</t>
  </si>
  <si>
    <t xml:space="preserve">Source </t>
  </si>
  <si>
    <t xml:space="preserve">Treatment initiation
</t>
  </si>
  <si>
    <t>Consultant visit (outpatient) - first visit</t>
  </si>
  <si>
    <t>Resource use frequency: NICE TA858; Unit cost: NHS reference costs 2021-22; HRG code WF01B, Clinical oncology - Non-Admitted Face-to-Face Attendance, First</t>
  </si>
  <si>
    <t>Init</t>
  </si>
  <si>
    <t>Blood tests</t>
  </si>
  <si>
    <t>Resource use frequency: NICE TA858; Unit cost: NHS reference costs 20210-221; HRG code DAPS 03 - Integrated blood services</t>
  </si>
  <si>
    <t>Specialist nurse visit</t>
  </si>
  <si>
    <t>Resource use frequency: Clinical opinion to EAG (same time as consultant visit); Unit cost: PSSRU 2022,172 Section 11.2.2 Nurse specialist (Band 6), cost per working hour</t>
  </si>
  <si>
    <t>Pain medication</t>
  </si>
  <si>
    <t>Total</t>
  </si>
  <si>
    <t>Alternative cost (cumulative)</t>
  </si>
  <si>
    <t>On treatment - all lines
(from treatment initiation until 12 weeks)</t>
  </si>
  <si>
    <t>Consultant visit (outpatient) - follow up until 3 months</t>
  </si>
  <si>
    <t>Resource use frequency: NICE TA858; Unit cost: NHS reference costs 2021-22; HRG code WF01A, Clinical oncology - Non-Admitted Face-to-Face Attendance, Follow up</t>
  </si>
  <si>
    <t>CT Scan</t>
  </si>
  <si>
    <t>Resource use frequency: NICE TA542, NICE TA858; Unit cost: NHS reference costs 2021-22; HRG code Outpatient - RD27Z – CT scan of more than three areas</t>
  </si>
  <si>
    <t>Off treatment - all lines
(until 12 weeks)</t>
  </si>
  <si>
    <t>On treatment - all lines
(beyond 12 weeks)</t>
  </si>
  <si>
    <t>Consultant visit (outpatient) - follow up beyond 3 months</t>
  </si>
  <si>
    <t>Resource use frequency: Clinical opinion to EAG; Unit cost: NHS reference costs 2021-22; HRG code WF01A, Clinical oncology - Non-Admitted Face-to-Face Attendance, Follow up</t>
  </si>
  <si>
    <t>price index calculation for 2022</t>
  </si>
  <si>
    <t>HCHS/NHSCII Index for 2014/15</t>
  </si>
  <si>
    <t>Year on year increase</t>
  </si>
  <si>
    <t>2015/16</t>
  </si>
  <si>
    <t>Off treatment - all lines
(beyond 12 weeks)</t>
  </si>
  <si>
    <t>Last line of treatment (5L) - BSC</t>
  </si>
  <si>
    <t>Consultant visit (outpatient)</t>
  </si>
  <si>
    <t>Resource use frequency: Clinical opinion to EAG (assumed same time as specialist nurse visit); Unit cost: NHS reference costs 2021-22; HRG code WF01A, Clinical oncology - Non-Admitted Face-to-Face Attendance, Follow up</t>
  </si>
  <si>
    <t>Resource use frequency: Based on Edwards 2018 ; Unit cost: PSSRU 2022,172 Section 11.2.2 Nurse specialist (Band 6), cost per working hour</t>
  </si>
  <si>
    <t>2016/17</t>
  </si>
  <si>
    <t>Resource use frequency: Based on Edwards 2018 ; Unit cost: BNF; 50 mg/50 ml vial of morphine sulphate solution for infusion</t>
  </si>
  <si>
    <t>2017/18</t>
  </si>
  <si>
    <t>2018/19</t>
  </si>
  <si>
    <t>End of life (EOL) or terminal care 
(applied at death)</t>
  </si>
  <si>
    <t>GP consultation (no.of visits)</t>
  </si>
  <si>
    <t>Resource use frequency: Nuffield Trust report, 2014. [Table 1, Group: Cancer diagnosis] 
Unit cost: PSSRU 2022, Section 9.4 GP unit costs – patient contact lasting 9.22 minutes, including direct care staff and with qualification costs</t>
  </si>
  <si>
    <t>2019/20</t>
  </si>
  <si>
    <t>District nursing care (no.of hours)</t>
  </si>
  <si>
    <t>Resource use frequency: Nuffield Trust report, 2014. [Table 2, Group: Cancer diagnosis] 
Unit cost: PSSRU 2022, Section 11.2.2 Nurse specialist (Band 6), cost per working hour</t>
  </si>
  <si>
    <t>2020/21</t>
  </si>
  <si>
    <t>LA social care (overall cost)</t>
  </si>
  <si>
    <t>Overall cost: Nuffield Trust report, 2014. [Table 3, Group: Cancer diagnosis; 2010 costs]</t>
  </si>
  <si>
    <t>2021/22</t>
  </si>
  <si>
    <t>Hospital care 
(overall cost)</t>
  </si>
  <si>
    <t>Overall cost: Nuffield Trust report, 2014. [Table 4, Group: Cancer diagnosis; 2010 costs]</t>
  </si>
  <si>
    <t>Subsequent surgery cost (NHS reference costs 2021/22)</t>
  </si>
  <si>
    <t>EL</t>
  </si>
  <si>
    <t>Elective Inpatients</t>
  </si>
  <si>
    <t>LB06H</t>
  </si>
  <si>
    <t>DZ17P</t>
  </si>
  <si>
    <t>Subsequent radiotherapy (following progression)</t>
  </si>
  <si>
    <t>2* SC31Z - Deliver a Fraction of Adaptive Radiotherapy on a Megavoltage Machine (2 times based on clinical opinion to EAG)</t>
  </si>
  <si>
    <t>LB06J</t>
  </si>
  <si>
    <t>DZ17Q</t>
  </si>
  <si>
    <t>Subsequent surgery (following progression)</t>
  </si>
  <si>
    <t>Average of LB06J-M and DA17P-R (based on clinical opinion to EAG)</t>
  </si>
  <si>
    <t>LB06K</t>
  </si>
  <si>
    <t>DZ17R</t>
  </si>
  <si>
    <t>LB06L</t>
  </si>
  <si>
    <t>LB06M</t>
  </si>
  <si>
    <t>Adverse events costs</t>
  </si>
  <si>
    <t>Adverse events</t>
  </si>
  <si>
    <t>Assumptions</t>
  </si>
  <si>
    <t>Duration (weeks)</t>
  </si>
  <si>
    <t>Cost per event (£)</t>
  </si>
  <si>
    <t>Diarrhoea (G3+)</t>
  </si>
  <si>
    <t>Diarrhoea G(1/2)</t>
  </si>
  <si>
    <t xml:space="preserve">Mean </t>
  </si>
  <si>
    <t>% IO related</t>
  </si>
  <si>
    <t>% TKI related</t>
  </si>
  <si>
    <t>Grade 3+</t>
  </si>
  <si>
    <t>Assumed to be zero as regular blood test already considered in health state costs; in line with TA542</t>
  </si>
  <si>
    <t>NHS reference costs 2021/22; costing assumptions based on NICE TA542</t>
  </si>
  <si>
    <t xml:space="preserve">Weighted average SA04G-L. Iron Deficiency Anaemia, Non-elective stay + nurse (GP practice) cost per hour </t>
  </si>
  <si>
    <t>NHS reference costs 2021/22; costing assumptions based on NICE TA858</t>
  </si>
  <si>
    <t>Assumed not to incur any costs in line with TA858</t>
  </si>
  <si>
    <t>NHS reference costs 2021/22; cost assumption based on TA858</t>
  </si>
  <si>
    <t>Weighted average FD10E-H Non-Malignant Gastrointestinal Tract Disorders without Interventions, non-elective short-stay</t>
  </si>
  <si>
    <t>Weighted average FD10E-H Non-Malignant Gastrointestinal Tract Disorders without Interventions, non-elective long-stay</t>
  </si>
  <si>
    <t>NHS reference costs 2021/22; costing assumption based on clicnial opinion to EAG</t>
  </si>
  <si>
    <t>Based on clinical opinion to EAG: 3*Consultant led medical oncology service: service code 370 (blood test cost not included as it is already included in resource use) + dose lowered or stopped</t>
  </si>
  <si>
    <t>Based on clinical opinion to EAG: 50% of patients are admitted to a general medical word for a short stay, the other 50% see their oncologist (~2 x appointments) + dose reduction on treatment</t>
  </si>
  <si>
    <t>EB04Z. Non-elective short stay.</t>
  </si>
  <si>
    <t>Assumed to be zero as regular blood test already considered in health state costs; in line with TA542 and TA650</t>
  </si>
  <si>
    <t>NHS reference costs 2021/22; EAG assumption in line with TA542 and TA650</t>
  </si>
  <si>
    <t>Weighted average KC05G-N, Fluid or electrolyte disorders, non-elective short stay</t>
  </si>
  <si>
    <t>NHS reference costs 2021/22; EAG assumption in line with TA542</t>
  </si>
  <si>
    <t>Assumed same as anaemia in line with TA645</t>
  </si>
  <si>
    <t>NHS reference costs 2021/22; EAG assumption in line with TA645</t>
  </si>
  <si>
    <t>NHS reference costs 2021/22; cost assumption based on TA542</t>
  </si>
  <si>
    <t>AE</t>
  </si>
  <si>
    <t>Type_grade</t>
  </si>
  <si>
    <t>Cost per event_Mean</t>
  </si>
  <si>
    <t>Cost per event_SE</t>
  </si>
  <si>
    <t>Duration_Mean</t>
  </si>
  <si>
    <t>Duration_SE</t>
  </si>
  <si>
    <t>G3</t>
  </si>
  <si>
    <t>Weighted average of SA35A-E Agranulocytosis. Non-elective short stay + nurse (GP practice) cost per hour</t>
  </si>
  <si>
    <t>Non-elective short stay unit cost (as per TA645)</t>
  </si>
  <si>
    <t>NHS reference costs 2021/22; cost assumption based on TA645</t>
  </si>
  <si>
    <t>Non-elective short stay unit cost (as per TA498)</t>
  </si>
  <si>
    <t>NHS reference costs 2021/22; cost assumption based on TA498</t>
  </si>
  <si>
    <t>Consultant led medical oncology service: service code 370 (as per TA542)</t>
  </si>
  <si>
    <t xml:space="preserve">NHS reference costs 2021/22; costing assumption based on TA542 </t>
  </si>
  <si>
    <t>Assumed same as weight loss (EAG assumption in line with TA581)</t>
  </si>
  <si>
    <t>NHS reference costs 2021/22; EAG assumption in line with TA581</t>
  </si>
  <si>
    <t>Assumed same as nausea</t>
  </si>
  <si>
    <t>NHS reference costs 2021/22; EAG assumption</t>
  </si>
  <si>
    <t>Grade 1 and 2</t>
  </si>
  <si>
    <t xml:space="preserve">Based on clinical opinion to EAG: Outpatient appointment + blood test to rule out infection (included in resourse use) </t>
  </si>
  <si>
    <t>Based on clinical opinion to EAG: 2*Consultant led medical oncology service: service code 370 (blood test cost not included as it is already included in resource use) + dose lowered or stopped</t>
  </si>
  <si>
    <t>G1 and 2</t>
  </si>
  <si>
    <t>Calculation</t>
  </si>
  <si>
    <t>Not included in the analysis</t>
  </si>
  <si>
    <t>Destination treatment information</t>
  </si>
  <si>
    <t>Switch</t>
  </si>
  <si>
    <t>Origin treatment information</t>
  </si>
  <si>
    <t>Default settings RWE (static values)</t>
  </si>
  <si>
    <t>Default settings trial (static values)</t>
  </si>
  <si>
    <t>RWE settings Override with UI</t>
  </si>
  <si>
    <t>Trial settings Override with UI</t>
  </si>
  <si>
    <t>Switches applied?</t>
  </si>
  <si>
    <t>95% CI</t>
  </si>
  <si>
    <t>Parametric curve selection table</t>
  </si>
  <si>
    <t>For scenario analysis</t>
  </si>
  <si>
    <t>Include in this analysis?</t>
  </si>
  <si>
    <t>Effectiveness data source</t>
  </si>
  <si>
    <t>Trial name (if source data from trial)</t>
  </si>
  <si>
    <t>Origin population</t>
  </si>
  <si>
    <t>Origin treatment line</t>
  </si>
  <si>
    <t>Origin treatment</t>
  </si>
  <si>
    <t>Origin trial</t>
  </si>
  <si>
    <t>Origin end point</t>
  </si>
  <si>
    <t>Curve fit for survival analysis</t>
  </si>
  <si>
    <t>HR to apply</t>
  </si>
  <si>
    <t>LCL</t>
  </si>
  <si>
    <t>UCL</t>
  </si>
  <si>
    <t>Origin source</t>
  </si>
  <si>
    <t>R row</t>
  </si>
  <si>
    <t>Trial name if effectiveness source is trial</t>
  </si>
  <si>
    <t>Origin line</t>
  </si>
  <si>
    <t>Origin endpoint</t>
  </si>
  <si>
    <t>Curve fit (for survival analysis)</t>
  </si>
  <si>
    <t>HR 95% CI (LCL)</t>
  </si>
  <si>
    <t>HR 95% CI (UCL)</t>
  </si>
  <si>
    <t>Trial</t>
  </si>
  <si>
    <t>Trial name</t>
  </si>
  <si>
    <t>Endpoint</t>
  </si>
  <si>
    <t>Base case curve</t>
  </si>
  <si>
    <t>Scenario curve_1</t>
  </si>
  <si>
    <t>Scenario curve_2</t>
  </si>
  <si>
    <t>Scenario curve_3</t>
  </si>
  <si>
    <t>Scenario curve_selection</t>
  </si>
  <si>
    <t>Treatment applicable</t>
  </si>
  <si>
    <t>treatment applicable index</t>
  </si>
  <si>
    <t>Scenario curve</t>
  </si>
  <si>
    <t>Endpoint name</t>
  </si>
  <si>
    <t>Eff data source</t>
  </si>
  <si>
    <t>origin pop</t>
  </si>
  <si>
    <t>origin line</t>
  </si>
  <si>
    <t>origin txt</t>
  </si>
  <si>
    <t>origin trial</t>
  </si>
  <si>
    <t>origin end point</t>
  </si>
  <si>
    <t>Trial name (if eff source is trial)</t>
  </si>
  <si>
    <t>Selected method</t>
  </si>
  <si>
    <t>Adjust for NMA for 2L+</t>
  </si>
  <si>
    <t>Adjust for cabo / nivo preferred source</t>
  </si>
  <si>
    <t>Adjust for equal effectiveness pazo and suni</t>
  </si>
  <si>
    <t>Adjust for equal effectiveness tivo and suni</t>
  </si>
  <si>
    <t>Adjust for equal effectiveness axi and evo</t>
  </si>
  <si>
    <t>Adjust for pem/len preferred source</t>
  </si>
  <si>
    <t>Assume pem/len equal to cabo/nivo</t>
  </si>
  <si>
    <t>Adjust for nivo+ipi TTD switch</t>
  </si>
  <si>
    <t>Adjust for TTD = PFS switch</t>
  </si>
  <si>
    <t>Origin txt</t>
  </si>
  <si>
    <t>Origin txt adj for pazo and suni equal effectiveness</t>
  </si>
  <si>
    <t>Origin txt adj for tivo and suni equal effectiveness</t>
  </si>
  <si>
    <t>Origin txt adj for avi and evo equal effectiveness</t>
  </si>
  <si>
    <t>Origin txt adj for len/pem and cabo/nivo equal effectiveness</t>
  </si>
  <si>
    <t>Origin txt adj for nivo + ipi TTD switch</t>
  </si>
  <si>
    <t>Origin endpoint adj for nivo + ipi TTD switch</t>
  </si>
  <si>
    <t>Origin endpoint adj for assume TTD = PFS switch</t>
  </si>
  <si>
    <t>Poor/intermediate risk group</t>
  </si>
  <si>
    <t>Overall survival</t>
  </si>
  <si>
    <t>Poor / intermediate risk</t>
  </si>
  <si>
    <t>Previously untreated</t>
  </si>
  <si>
    <t>Real world evidence</t>
  </si>
  <si>
    <t>Log-normal</t>
  </si>
  <si>
    <t>Poor/intermediate risk</t>
  </si>
  <si>
    <t>Exponential</t>
  </si>
  <si>
    <t>Weibull</t>
  </si>
  <si>
    <t>Progression free survival</t>
  </si>
  <si>
    <t>Log-logistic</t>
  </si>
  <si>
    <t>Time to treatment discontinuation</t>
  </si>
  <si>
    <t>Time to progression</t>
  </si>
  <si>
    <t>Missing from FP NMA</t>
  </si>
  <si>
    <t>Post progression survival</t>
  </si>
  <si>
    <t>Missing from FP NMA, asume equal to sunitinib in base case</t>
  </si>
  <si>
    <t>Favourable risk</t>
  </si>
  <si>
    <t>Missing from FP and PH NMA, asume equal to sunitinib</t>
  </si>
  <si>
    <t>Assume equal to</t>
  </si>
  <si>
    <t>Trial survival analysis</t>
  </si>
  <si>
    <t>Generalised gamma</t>
  </si>
  <si>
    <t>CheckMate 9ER</t>
  </si>
  <si>
    <t>4th line</t>
  </si>
  <si>
    <t>placebo_BSC</t>
  </si>
  <si>
    <t>Missing from FP  NMA</t>
  </si>
  <si>
    <t>Gamma</t>
  </si>
  <si>
    <t>Data available from trial</t>
  </si>
  <si>
    <t>Data available from trials</t>
  </si>
  <si>
    <t>cabozantinib_plus_nivolumab</t>
  </si>
  <si>
    <t>Data available from trial and RWE</t>
  </si>
  <si>
    <t>Favorable risk group</t>
  </si>
  <si>
    <t>FP NMA was not run in favourable risk due to lack of data</t>
  </si>
  <si>
    <t>All risk group</t>
  </si>
  <si>
    <t>2nd line</t>
  </si>
  <si>
    <t>3rd line</t>
  </si>
  <si>
    <t>Apply HR to</t>
  </si>
  <si>
    <t>nivolumab_monotherapy</t>
  </si>
  <si>
    <t>RWE survival regression OS4 to OS3</t>
  </si>
  <si>
    <t>nivolumab_plus_ipilimumab</t>
  </si>
  <si>
    <t>lenvatinib_plus_pembrolizumab</t>
  </si>
  <si>
    <t>avelumab_plus_axitinib</t>
  </si>
  <si>
    <t>Not available in FP and PH NMA</t>
  </si>
  <si>
    <t>pazopanib</t>
  </si>
  <si>
    <t>Missing from FP and PH NMA, assume equal to sunitinib</t>
  </si>
  <si>
    <t>Not available in FP NMA</t>
  </si>
  <si>
    <t>sorafenib</t>
  </si>
  <si>
    <t>RWE survival regression PFS4 to PFS3</t>
  </si>
  <si>
    <t>RWE survival regression PFS4 to PFS4</t>
  </si>
  <si>
    <t>RWE survival regression PFS4 to PFS5</t>
  </si>
  <si>
    <t>RWE survival regression PFS4 to PFS6</t>
  </si>
  <si>
    <t>RWE survival regression PFS4 to PFS7</t>
  </si>
  <si>
    <t>RWE survival regression PFS4 to PFS8</t>
  </si>
  <si>
    <t>RWE survival regression PFS4 to PFS9</t>
  </si>
  <si>
    <t>derived from PFS vs TTD 9ER/RWE TTD HR to PFS</t>
  </si>
  <si>
    <t>cabo</t>
  </si>
  <si>
    <t>evero</t>
  </si>
  <si>
    <t>Base case assumes equal survival at 4th line treatment taken from the RWE (includes all treatments received at 4th line)</t>
  </si>
  <si>
    <t>HR</t>
  </si>
  <si>
    <t>Prior adjuvant impact</t>
  </si>
  <si>
    <t>Treatments</t>
  </si>
  <si>
    <t>Prior adj impact_HR_mean</t>
  </si>
  <si>
    <t>Prior adj impact_HR_se</t>
  </si>
  <si>
    <t>assume same as cabo+nivo</t>
  </si>
  <si>
    <t>CheckMate 025</t>
  </si>
  <si>
    <t>assume same as sunitinib</t>
  </si>
  <si>
    <t>FPNMA coefficients</t>
  </si>
  <si>
    <t>Outcome</t>
  </si>
  <si>
    <t>Risk group</t>
  </si>
  <si>
    <t>Exponent 1</t>
  </si>
  <si>
    <t>Exponent 2</t>
  </si>
  <si>
    <t>OS</t>
  </si>
  <si>
    <t>2L+</t>
  </si>
  <si>
    <t>Intermediate/poor</t>
  </si>
  <si>
    <t>PFS</t>
  </si>
  <si>
    <t xml:space="preserve">Post progression survival </t>
  </si>
  <si>
    <t>Treatment given for fixed duration? (Yes/No)</t>
  </si>
  <si>
    <t>Max. number of cycles (if yes)</t>
  </si>
  <si>
    <t>Number of administrations
Mean</t>
  </si>
  <si>
    <t>Number of administrations
SE</t>
  </si>
  <si>
    <t xml:space="preserve">Max number of cycles from CheckMate 9ER (3 year follow up data, BMS pdf) </t>
  </si>
  <si>
    <t>Induction phase handled separately</t>
  </si>
  <si>
    <t>CheckMate 214 (no.of admins not available only info given in trial is 79% of people had all 4 doses)</t>
  </si>
  <si>
    <t>CLEAR Motzer 2022</t>
  </si>
  <si>
    <t>National Life Tables, United Kingdom, period expectation of life, based on data for the years 2017-2019 (as 2018-2020 values would have been affected by COVID)</t>
  </si>
  <si>
    <t>National life tables, Males and females</t>
  </si>
  <si>
    <t>https://www.ons.gov.uk/peoplepopulationandcommunity/birthsdeathsandmarriages/lifeexpectancies/datasets/nationallifetablesunitedkingdomreferencetables</t>
  </si>
  <si>
    <t>age (x)</t>
  </si>
  <si>
    <t>qx (males)</t>
  </si>
  <si>
    <t>qx (females)</t>
  </si>
  <si>
    <t>AE one-off costs and QALY decrement calculation</t>
  </si>
  <si>
    <t>Total AE n_any grade</t>
  </si>
  <si>
    <t>Total AE n_grade3+</t>
  </si>
  <si>
    <t>Total AE pw_any grade</t>
  </si>
  <si>
    <t>Total AE pw_grade3+</t>
  </si>
  <si>
    <t>Total AE rate_any grade</t>
  </si>
  <si>
    <t>Total AE rate_grade3+</t>
  </si>
  <si>
    <t>Duration weeks_mean_totalAE</t>
  </si>
  <si>
    <t>Duration weeks_SE_totalAE</t>
  </si>
  <si>
    <t>Specific AE name</t>
  </si>
  <si>
    <t>Specific AE number</t>
  </si>
  <si>
    <t>Specific AE n_any grade</t>
  </si>
  <si>
    <t>Specific AE n_grade 3+</t>
  </si>
  <si>
    <t>Specific AE pw_any grade</t>
  </si>
  <si>
    <t>Specific AE pw_grade3+</t>
  </si>
  <si>
    <t>Specific AE rate_any grade</t>
  </si>
  <si>
    <t>Specific AE rate_grade 3+</t>
  </si>
  <si>
    <t>Applied as</t>
  </si>
  <si>
    <t>Use NMA?</t>
  </si>
  <si>
    <t>Relative effect from NMA</t>
  </si>
  <si>
    <t>Specific AE rate_NMA</t>
  </si>
  <si>
    <t>Rate per patient per week</t>
  </si>
  <si>
    <t>duration_weeks</t>
  </si>
  <si>
    <t>AE costs (from resource use sheet)</t>
  </si>
  <si>
    <t>AE disutilities (from utilities sheet)</t>
  </si>
  <si>
    <t>Duration (from utilities sheet)</t>
  </si>
  <si>
    <t>AE costs (one-off)</t>
  </si>
  <si>
    <t>AE costs (per week)</t>
  </si>
  <si>
    <t>QALY decrement (one-off)</t>
  </si>
  <si>
    <t>Use NMA results for Grade 3+/all grade AE?</t>
  </si>
  <si>
    <t>Cut-off for G3+ adverse event rates to be included</t>
  </si>
  <si>
    <t>Apply adverse events per cycle or one-off</t>
  </si>
  <si>
    <t>n (G3+)</t>
  </si>
  <si>
    <t>n (G1/2)</t>
  </si>
  <si>
    <t xml:space="preserve">CheckMAte 214 </t>
  </si>
  <si>
    <t>Adverse events (any grade)</t>
  </si>
  <si>
    <t>Number of patients experiencing the Aes (numerator)</t>
  </si>
  <si>
    <t>Patient weeks observed (denominator)</t>
  </si>
  <si>
    <t>Rates (per patient per week)</t>
  </si>
  <si>
    <t>AE duration (weeks)</t>
  </si>
  <si>
    <t>G1/2</t>
  </si>
  <si>
    <t>Dia</t>
  </si>
  <si>
    <t>Fat</t>
  </si>
  <si>
    <t>HFS</t>
  </si>
  <si>
    <t>General adverse event</t>
  </si>
  <si>
    <t>Nivo+ipi</t>
  </si>
  <si>
    <t>Specific adverse events</t>
  </si>
  <si>
    <t>Suni</t>
  </si>
  <si>
    <t>RR</t>
  </si>
  <si>
    <t>Double impact</t>
  </si>
  <si>
    <t>CheckMate 9ER (from company submission V2.0 provided on 13042023)</t>
  </si>
  <si>
    <t>CheckMate 214</t>
  </si>
  <si>
    <t>CLEAR</t>
  </si>
  <si>
    <t>JAVELIN RENAL 101</t>
  </si>
  <si>
    <t>COMPARZ</t>
  </si>
  <si>
    <t>TIVO-3</t>
  </si>
  <si>
    <t>CheckMate 9ER (from copany submission V2.0 provided on 13042023)</t>
  </si>
  <si>
    <t>CABOSUN</t>
  </si>
  <si>
    <t>NCT01136733</t>
  </si>
  <si>
    <t>AXIS</t>
  </si>
  <si>
    <t>SWITCH</t>
  </si>
  <si>
    <t>Duration mean value: CheckMate 9ER (source file: A9)</t>
  </si>
  <si>
    <t>Assumption</t>
  </si>
  <si>
    <t>Adverse events (grade 3+)</t>
  </si>
  <si>
    <t>Note the formula is different here (col DD and DE) and below (for other treatments as well) as it's sourced from G1&amp;2 user input cells</t>
  </si>
  <si>
    <t>Impact of axi same as tivo</t>
  </si>
  <si>
    <t>RECORD-1</t>
  </si>
  <si>
    <t>AXIS - Motzer 2013</t>
  </si>
  <si>
    <t>Disutility and duration mean value: CheckMate 9ER; SE: Assumption</t>
  </si>
  <si>
    <t>Diaherra</t>
  </si>
  <si>
    <t>Relative effects from NMAs</t>
  </si>
  <si>
    <t xml:space="preserve">Adverse events </t>
  </si>
  <si>
    <t>Relative effect vs CheckMate 9ER or cochrane review</t>
  </si>
  <si>
    <t>Specific adverse events (g3+)</t>
  </si>
  <si>
    <t>Specified All grade</t>
  </si>
  <si>
    <t>EAG NMA (g3+) and cochrane review (all grade) (Note: for Nivo+Ipi trial within trial relative risk from CheckMate 214 has been used as it is not available in the cochrane review)</t>
  </si>
  <si>
    <t>Cabo first line</t>
  </si>
  <si>
    <t>Cabo second line</t>
  </si>
  <si>
    <t>Note formula changes for cabo second line (only txt with different rates for second line)</t>
  </si>
  <si>
    <t>Check for axi = tivo AR scenario</t>
  </si>
  <si>
    <t>Assumed that pazo, tivo and suni have same AE rates at 2L as 1L</t>
  </si>
  <si>
    <t>Invalid sequence(s) or NA</t>
  </si>
  <si>
    <t>5L (BSC)</t>
  </si>
  <si>
    <t>Output of sequence list comes from R code: Output folder, sequences.csv</t>
  </si>
  <si>
    <t>Treatment name_prev</t>
  </si>
  <si>
    <t>Molecule_previous line</t>
  </si>
  <si>
    <t>Treatment name_current</t>
  </si>
  <si>
    <t>Molecule_current line</t>
  </si>
  <si>
    <t>Subsequent treatment proportion (%)
Mean</t>
  </si>
  <si>
    <t>Subsequent treatment proportion (%)
SE</t>
  </si>
  <si>
    <t>Treatment duration_mean</t>
  </si>
  <si>
    <t>Treatment duration_SE</t>
  </si>
  <si>
    <t>Population 1 is all risk and favourable risk, Population 2 is int/poor, Population 3 is all and favourable risk with a prior IO in adjuvant setting, Population 4 is int/poor with a prior IO in adjuvant setting</t>
  </si>
  <si>
    <t>Source of sub txt proportions</t>
  </si>
  <si>
    <t>2L treatment duration_mean</t>
  </si>
  <si>
    <t>2L treatment duration_SE</t>
  </si>
  <si>
    <t>3L treatment duration_mean</t>
  </si>
  <si>
    <t>3L treatment duration_SE</t>
  </si>
  <si>
    <t>4L treatment duration_mean</t>
  </si>
  <si>
    <t>4L treatment duration_SE</t>
  </si>
  <si>
    <t>Population number</t>
  </si>
  <si>
    <t>Component</t>
  </si>
  <si>
    <t>propor_mean</t>
  </si>
  <si>
    <t>prop_SE</t>
  </si>
  <si>
    <t>cost_mean</t>
  </si>
  <si>
    <t>cost_SE</t>
  </si>
  <si>
    <t>weighted_cost_mean</t>
  </si>
  <si>
    <t>weighted_cost_SE</t>
  </si>
  <si>
    <t>Txt match number to chk</t>
  </si>
  <si>
    <t>Line 1</t>
  </si>
  <si>
    <t>Line 2</t>
  </si>
  <si>
    <t>Line 3</t>
  </si>
  <si>
    <t>Line 4</t>
  </si>
  <si>
    <t>Line 1 to 2</t>
  </si>
  <si>
    <t>Line 2 to 3</t>
  </si>
  <si>
    <t>Line 3 to 4</t>
  </si>
  <si>
    <t>Proportion (given line 1)</t>
  </si>
  <si>
    <t>Adj factor</t>
  </si>
  <si>
    <t>Adj proportion given line 1</t>
  </si>
  <si>
    <t>drug cost_2L</t>
  </si>
  <si>
    <t>drug cost_3L</t>
  </si>
  <si>
    <t>drug cost_4L</t>
  </si>
  <si>
    <t>drug cost_cumulative</t>
  </si>
  <si>
    <t>admin cost_one off</t>
  </si>
  <si>
    <t>admin cost_per cycle_2L</t>
  </si>
  <si>
    <t>admin cost_per cycle_3L</t>
  </si>
  <si>
    <t>admin cost_per cycle_4L</t>
  </si>
  <si>
    <t>admin cost_cumulative</t>
  </si>
  <si>
    <t>AE cost</t>
  </si>
  <si>
    <t>AE QALY impact</t>
  </si>
  <si>
    <t>Poor or intermediate risk group</t>
  </si>
  <si>
    <t>Proportion of patients getting the treatment (%)</t>
  </si>
  <si>
    <t>pop0</t>
  </si>
  <si>
    <t>BSC</t>
  </si>
  <si>
    <t>1L treatment</t>
  </si>
  <si>
    <t>Weighted average drug cost of subsequent therapy as a one off</t>
  </si>
  <si>
    <t>Weighted average admin cost of subsequent therapy as a one off</t>
  </si>
  <si>
    <t>Weighted average AE cost of subsequent therapy as a one off</t>
  </si>
  <si>
    <t>Weighted average AE QALYs of subsequent therapy as a one off</t>
  </si>
  <si>
    <t>SE weighted average drug cost of subsequent therapy as a one off</t>
  </si>
  <si>
    <t>SE weighted average admin cost of subsequent therapy as a one off</t>
  </si>
  <si>
    <t>pop1</t>
  </si>
  <si>
    <t>Set to 0 after an IO in line with UK practice</t>
  </si>
  <si>
    <t>pazopanib and tivozanib assumed the same as sunitinib</t>
  </si>
  <si>
    <t xml:space="preserve">Getting currently </t>
  </si>
  <si>
    <t xml:space="preserve">Had previously
</t>
  </si>
  <si>
    <t>Source for trial proportions (2L/3L/4L)</t>
  </si>
  <si>
    <t>Source for RWE proportions</t>
  </si>
  <si>
    <t>NA/CheckMate 025/assumed same as 3L</t>
  </si>
  <si>
    <t>Challapalli et al for all treatment and lines</t>
  </si>
  <si>
    <t>CheckMate 9ER; clarification response doc R02/NA for 3L and 4L</t>
  </si>
  <si>
    <t>CheckMate 214 (Albgies 2022 Supp info)/Assumed the same for 3L and 4L</t>
  </si>
  <si>
    <t>Assumed same as RENAL 101 except no one gets LenEve/NA for 3L and 4L</t>
  </si>
  <si>
    <t>RENAL 101 (Choeuri 2020 supp info)/NA for 3L and 4L</t>
  </si>
  <si>
    <t>Assumed same as sunitinib (however adjusted) for 2L and 3L/not adjusted (as it was not needed) for 4L</t>
  </si>
  <si>
    <t>Assumed same as sunitinib for 2L/3L/ 4L</t>
  </si>
  <si>
    <t>pop2</t>
  </si>
  <si>
    <t>CheckMate 9ER; clarification response doc R01/Assumed same for 3L and 4L</t>
  </si>
  <si>
    <t>CABOSUN (Choueiri 2017)/METEOR (Choueiri 2016 Supp info)/assumed same as 3L</t>
  </si>
  <si>
    <t>NA/Assumed same as int/poor NCT01136733 (Motzer 2015 Supp info) for 3L and 4L</t>
  </si>
  <si>
    <t>NA/Assumed same as everolimus for 3L and 4L</t>
  </si>
  <si>
    <t>NA for all lines</t>
  </si>
  <si>
    <t>pop3</t>
  </si>
  <si>
    <t>Source for treatment duration</t>
  </si>
  <si>
    <t>Treatment duration (mean)</t>
  </si>
  <si>
    <t>CheckMate 9ER; clarification response doc R01 as mean duration od sub txts not available from other trials</t>
  </si>
  <si>
    <t>RWE duration from Challapalli et al</t>
  </si>
  <si>
    <t>Treatment duration (SE)</t>
  </si>
  <si>
    <t>Subsequent radiotherapy (from CheckMate 9ER)</t>
  </si>
  <si>
    <t xml:space="preserve">Poor or intermediate </t>
  </si>
  <si>
    <t>Favourable</t>
  </si>
  <si>
    <t>Proportion of patients</t>
  </si>
  <si>
    <t>Subsequent surgery (from CheckMate 9ER)</t>
  </si>
  <si>
    <t>Assumed same as ave+axi with patients receiving 2nd line cabo instead getting len/eve</t>
  </si>
  <si>
    <t>Assumed same as ave+axi with patients receiving 2nd line getting len/eve instead get cabo</t>
  </si>
  <si>
    <t>5L(BSC)</t>
  </si>
  <si>
    <t>OnTxtMean</t>
  </si>
  <si>
    <t>OffTxtMean</t>
  </si>
  <si>
    <t>PFSMean</t>
  </si>
  <si>
    <t>PDMean</t>
  </si>
  <si>
    <t>OnTxtSE</t>
  </si>
  <si>
    <t>OffTxtSE</t>
  </si>
  <si>
    <t>PFSSE</t>
  </si>
  <si>
    <t>PDSE</t>
  </si>
  <si>
    <t>For scenario</t>
  </si>
  <si>
    <t>Txt utility scenarios</t>
  </si>
  <si>
    <t>BSC scenarios</t>
  </si>
  <si>
    <t>Assume same as progressed: current line</t>
  </si>
  <si>
    <t>Utility scenarios</t>
  </si>
  <si>
    <t>Base case: Assume same as progressed: current line</t>
  </si>
  <si>
    <t>CHECKMATE 9ER utility values</t>
  </si>
  <si>
    <t>Utilities - PFS</t>
  </si>
  <si>
    <t>PD</t>
  </si>
  <si>
    <t>Fav</t>
  </si>
  <si>
    <t>Mean utility</t>
  </si>
  <si>
    <t>Poor/inter</t>
  </si>
  <si>
    <t>First line: JAVELIN Renal 101(TA645)</t>
  </si>
  <si>
    <t>All/ITT</t>
  </si>
  <si>
    <t xml:space="preserve">Second line: PFS utility assumed to reflect PD in 1st line. </t>
  </si>
  <si>
    <t>Third and Fourth line: Estimated based on % reduction from the AXIS trial (TA498)</t>
  </si>
  <si>
    <t>Utility Scenario 4 calculation</t>
  </si>
  <si>
    <t>Favorable risk</t>
  </si>
  <si>
    <t>Utilities - PD</t>
  </si>
  <si>
    <t>Second line: PD value estimated based on % reduction from the AXIS trial (TA498)</t>
  </si>
  <si>
    <t>Utilities - On treatment</t>
  </si>
  <si>
    <t>Utilities - off treatment</t>
  </si>
  <si>
    <t>AE disutilities</t>
  </si>
  <si>
    <t>Source/assumptions</t>
  </si>
  <si>
    <t>Disutility and duration mean &amp; SE value: CheckMate 9ER - clarification response doc A9; SE for disutilities: Assumption</t>
  </si>
  <si>
    <t>Specific adverse events (G3+)</t>
  </si>
  <si>
    <t>Assumed same as increased lipase in line with TA858</t>
  </si>
  <si>
    <t>CheckMate 9ER - clarification response doc A9</t>
  </si>
  <si>
    <t>Assumed same as fatigue</t>
  </si>
  <si>
    <t>Diarrhoea and fatigue values swapped and split into IO/TKI induced  based on clinical opinion to EAG (i.e. disutility Dia&gt;HFS&gt;fat)</t>
  </si>
  <si>
    <t>Diarrhoea and fatigue values swapped based on clinical opinion to EAG (i.e. disutility Dia&gt;HFS&gt;fat)</t>
  </si>
  <si>
    <t>Disutil_mean</t>
  </si>
  <si>
    <t>Disutil_SE</t>
  </si>
  <si>
    <t>Assumed to be zero as trial disutility was positive which lacks face validity</t>
  </si>
  <si>
    <t>Assumed same as platelet count decreased in line with TA858</t>
  </si>
  <si>
    <t>Assumed same as neutrophil count decreased</t>
  </si>
  <si>
    <t>Assumed same as diarrhoea</t>
  </si>
  <si>
    <t>Specific adverse events (Grade 1 and 2)</t>
  </si>
  <si>
    <t>based on clinical opinion to EAG (50% decrement to G3+ value)</t>
  </si>
  <si>
    <t>durations assumed same as G3+ value</t>
  </si>
  <si>
    <t>Age-adjustment for utilities</t>
  </si>
  <si>
    <t xml:space="preserve">Include age adjustment of utilities </t>
  </si>
  <si>
    <t>Females</t>
  </si>
  <si>
    <t>Comp / Prob</t>
  </si>
  <si>
    <t>Parameter name</t>
  </si>
  <si>
    <t>Females Coefficient</t>
  </si>
  <si>
    <t>Comp. 1</t>
  </si>
  <si>
    <t>Comp. 2</t>
  </si>
  <si>
    <t>Comp. 3</t>
  </si>
  <si>
    <t>Probability</t>
  </si>
  <si>
    <t>ln(sigma)</t>
  </si>
  <si>
    <t>Age/10</t>
  </si>
  <si>
    <t>(Age/10)^2</t>
  </si>
  <si>
    <t>intercept</t>
  </si>
  <si>
    <t>ln(sigma 1)</t>
  </si>
  <si>
    <t>ln(sigma 2)</t>
  </si>
  <si>
    <t>ln(sigma 3)</t>
  </si>
  <si>
    <t>Alava MH, Pudney S and Wailoo A. NICE DSU Report: Estimating EQ-5D by Age and Sex for the UK. 2022.</t>
  </si>
  <si>
    <t>Males</t>
  </si>
  <si>
    <t>Males Coefficient</t>
  </si>
  <si>
    <t>Scenario settings 1</t>
  </si>
  <si>
    <t>Scenario settings 2</t>
  </si>
  <si>
    <t>Scenario settings 3</t>
  </si>
  <si>
    <t>Scenario settings 4</t>
  </si>
  <si>
    <t>Scenario settings 5</t>
  </si>
  <si>
    <t>Scenario settings 6</t>
  </si>
  <si>
    <t>Base case settings 1</t>
  </si>
  <si>
    <t>Base case settings 2</t>
  </si>
  <si>
    <t>Base case settings 3</t>
  </si>
  <si>
    <t>Base case settings 4</t>
  </si>
  <si>
    <t>Base case settings 5</t>
  </si>
  <si>
    <t>Base case settings 6</t>
  </si>
  <si>
    <t>Whether scenario needs the trace running?</t>
  </si>
  <si>
    <t>Whether scenario inpacts cost or effectiveness?</t>
  </si>
  <si>
    <t>Scenario label</t>
  </si>
  <si>
    <t>Inputs required</t>
  </si>
  <si>
    <t>Sheet</t>
  </si>
  <si>
    <t>Range</t>
  </si>
  <si>
    <t>Value</t>
  </si>
  <si>
    <t>Trace_Needed</t>
  </si>
  <si>
    <t>Full_Trace_Needed</t>
  </si>
  <si>
    <t>Model structure</t>
  </si>
  <si>
    <t>PartSA 4 lines</t>
  </si>
  <si>
    <t>dd_model_struct</t>
  </si>
  <si>
    <t>Partitioned survival</t>
  </si>
  <si>
    <t>R_max_trt_lines</t>
  </si>
  <si>
    <t>State transition 3 lines</t>
  </si>
  <si>
    <t>State transition 2 lines</t>
  </si>
  <si>
    <t>ui_disc_cost</t>
  </si>
  <si>
    <t>ui_disc_qaly</t>
  </si>
  <si>
    <t>Primary data source</t>
  </si>
  <si>
    <t>Trial-based analyses, state transition model</t>
  </si>
  <si>
    <t>dd_baseline_risk_from</t>
  </si>
  <si>
    <t>Trial data</t>
  </si>
  <si>
    <t>dd_pc</t>
  </si>
  <si>
    <t>dd_sub_txt_prop_sources</t>
  </si>
  <si>
    <t>dd_age_sex_source</t>
  </si>
  <si>
    <t>Trial-based analyses, PartSA</t>
  </si>
  <si>
    <t>Pop characteristics</t>
  </si>
  <si>
    <t>Data source-CheckMate 9ER</t>
  </si>
  <si>
    <t>Age-Mean</t>
  </si>
  <si>
    <t>Effectiveness</t>
  </si>
  <si>
    <t>Baseline risk-CheckMate 9ER</t>
  </si>
  <si>
    <t>Preferred NMA 1st line-PH NMA</t>
  </si>
  <si>
    <t>dd_use_PHnma_for_Fpnma</t>
  </si>
  <si>
    <t>Preferred 2nd line NMA-FP NMA</t>
  </si>
  <si>
    <t>dd_2ndline_NMA</t>
  </si>
  <si>
    <t>Preferred NMA for pem+lenv-FP NMA</t>
  </si>
  <si>
    <t>dd_pemlen_NMA</t>
  </si>
  <si>
    <t>Method used to adjust crossing curves-Survivor function</t>
  </si>
  <si>
    <t>dd_adj_cross_curves</t>
  </si>
  <si>
    <t>Use absolute survival</t>
  </si>
  <si>
    <t>Assume pazo equal to  suni</t>
  </si>
  <si>
    <t>dd_eq_eff_pazo_suni</t>
  </si>
  <si>
    <t>Assume tivo equal to  suni</t>
  </si>
  <si>
    <t>dd_eq_eff_tivo_suni</t>
  </si>
  <si>
    <t>Assume axi equal to  evero</t>
  </si>
  <si>
    <t>dd_eq_eff_evero_axi</t>
  </si>
  <si>
    <t>Time on treatment data taken from-TTD equal to PFS, state transition model</t>
  </si>
  <si>
    <t>dd_TTD_same_as_PFS</t>
  </si>
  <si>
    <t>Time on treatment data taken from-TTD equal to PFS, PartSA</t>
  </si>
  <si>
    <t>Relative effectiveness for nivo+ipi from PFS consistent with other treatments</t>
  </si>
  <si>
    <t>dd_CheckMate214_TTD</t>
  </si>
  <si>
    <t>PartSA analysis with efficacy using the PH NMA</t>
  </si>
  <si>
    <t>dd_cabo_nivo_outcome_from</t>
  </si>
  <si>
    <t>Treatment effectiveness waning -10 years for IO/TKIs, all endpoints, based on hazards</t>
  </si>
  <si>
    <t>dd_TE_sc_10y_IO_TKI</t>
  </si>
  <si>
    <t>Treatment effectiveness waning-10 years all IO combinations, all endpoints, based on hazards</t>
  </si>
  <si>
    <t>dd_TE_sc_10y_all_IO</t>
  </si>
  <si>
    <t>Treatment effectiveness waning-Between 5 and 20 years all IO/TKIs, all endpoints, based on hazards</t>
  </si>
  <si>
    <t>dd_TE_sc_5and20y_IO_TKI</t>
  </si>
  <si>
    <t>Treatment effectiveness waning-Between 5 and 20 years all IO, all endpoints, based on hazards</t>
  </si>
  <si>
    <t>dd_TE_sc_5and20y_all_IO</t>
  </si>
  <si>
    <t>dd_no_TE_waning</t>
  </si>
  <si>
    <t>Treatment effectiveness waning-PartSA: 5 years for IO/TKIs, OS only, based on hazards</t>
  </si>
  <si>
    <t>dd_TE_sc_PartSA_5y_IO_TKI_OS</t>
  </si>
  <si>
    <t>Treatment effectiveness waning-PartSA:between 4 and 6 years for IO/TKIs, OS only, based on absolute survival</t>
  </si>
  <si>
    <t>dd_TE_sc_4and6y_IO_TKI_OS_absSurv</t>
  </si>
  <si>
    <t>Parametric curves*</t>
  </si>
  <si>
    <t>Sunitinib RWE 1L PFS all risk group: Weibull</t>
  </si>
  <si>
    <t>dd_surv_cur</t>
  </si>
  <si>
    <t>Scenario</t>
  </si>
  <si>
    <t>i_sun_RWE_1L_PFS_all_sc</t>
  </si>
  <si>
    <t>Scenario_1</t>
  </si>
  <si>
    <t>Sunitinib RWE 1L TTD int/poor and all risk: Weibull and favourable risk: gen gamma</t>
  </si>
  <si>
    <t>i_sun_RWE_1L_TTD_porI_all_sc_1</t>
  </si>
  <si>
    <t>i_sun_RWE_1L_TTD_porI_all_sc_2</t>
  </si>
  <si>
    <t>i_sun_RWE_1L_TTD_porI_all_sc_3</t>
  </si>
  <si>
    <t>Sunitinib RWE 1L TTP all risk groups: Weibull</t>
  </si>
  <si>
    <t>i_sun_RWE_1L_TTP_all_sc</t>
  </si>
  <si>
    <t>Cabozantinib RWE 2L All risk PFS: Generalised gamma</t>
  </si>
  <si>
    <t>i_cabo_RWE_2L_PFS_all_sc</t>
  </si>
  <si>
    <t>Cabozantinib RWE 2L All risk PFS: Weibull</t>
  </si>
  <si>
    <t>Scenario_2</t>
  </si>
  <si>
    <t>Cabozantinib RWE 2L All risk TTP: Weibull</t>
  </si>
  <si>
    <t>i_cabo_RWE_2L_TTP_all_sc</t>
  </si>
  <si>
    <t>Cabozantinib RWE 3L All risk PFS: Generalised gamma</t>
  </si>
  <si>
    <t>i_cabo_RWE_3L_PFS_all_sc</t>
  </si>
  <si>
    <t>Cabozantinib RWE 3L All risk PFS: Weibull</t>
  </si>
  <si>
    <t>Cabozantinib RWE 3L All risk TTP: Log-logistic</t>
  </si>
  <si>
    <t>i_cabo_RWE_3L_TTP_all_sc</t>
  </si>
  <si>
    <t>Cabozantinib RWE 3L All risk TTP: Generalised gamma</t>
  </si>
  <si>
    <t>4L PPS pooled BSC</t>
  </si>
  <si>
    <t>i_4L_PPS_pooled_BSC</t>
  </si>
  <si>
    <t>Costs/RDI</t>
  </si>
  <si>
    <t>Number of administrations for fixed duration treatments based on-Mean number of administrations</t>
  </si>
  <si>
    <t>dd_no_of_admin_options</t>
  </si>
  <si>
    <t>Mean no of admin</t>
  </si>
  <si>
    <t>All RDI to 100%</t>
  </si>
  <si>
    <t>dd_sc_RDI</t>
  </si>
  <si>
    <t>Set all RDI to 100%</t>
  </si>
  <si>
    <t>dd_txt_line_drug_cost</t>
  </si>
  <si>
    <t>RDI proportions based on RWE</t>
  </si>
  <si>
    <t>RDI per RWE</t>
  </si>
  <si>
    <t>Assume effectiveness of Pem+Len same as Nivo+cabo, with alternative RDI</t>
  </si>
  <si>
    <t>dd_pemlen_equal</t>
  </si>
  <si>
    <t>Alternative RDI_all</t>
  </si>
  <si>
    <t>dd_alt_RDI_nivo_ST</t>
  </si>
  <si>
    <t>Assume effectiveness of Pem+Len same as Nivo+cabo, without alternative RDI</t>
  </si>
  <si>
    <t>dd_alt_RDI_nivo_PartSA</t>
  </si>
  <si>
    <t>Apply all alternative RDI (state transition)</t>
  </si>
  <si>
    <t>Apply alternative RDI for IO combinations (state transition)</t>
  </si>
  <si>
    <t>Alternative RDI_IO_TKI</t>
  </si>
  <si>
    <t>Apply all alternative RDI (PartSA)</t>
  </si>
  <si>
    <t>Apply alternative RDI for IO combinations (PartSA)</t>
  </si>
  <si>
    <t>CheckMate 9ER for 1L</t>
  </si>
  <si>
    <t>dd_util_scenarios</t>
  </si>
  <si>
    <t>Trial utilities for 1L</t>
  </si>
  <si>
    <t>CheckMate 9ER for all lines (state transition)</t>
  </si>
  <si>
    <t>Trial utilities for all lines</t>
  </si>
  <si>
    <t>dd_ageadjuutilities</t>
  </si>
  <si>
    <t>CheckMate 9ER for all lines (PartSA)</t>
  </si>
  <si>
    <t>CheckMate 9ER for all lines with no age adjustment (state transition)</t>
  </si>
  <si>
    <t>CheckMate 9ER for all lines with no age adjustment (PartSA)</t>
  </si>
  <si>
    <t>Same PFS and PD utilities from 2L onwards</t>
  </si>
  <si>
    <t>Higher proportional decrease for 3L and 4L</t>
  </si>
  <si>
    <t>BSC utility same as progression free: current line</t>
  </si>
  <si>
    <t>dd_BSC_util_scenarios</t>
  </si>
  <si>
    <t>Assume same as progression free: current line</t>
  </si>
  <si>
    <t>BSC utility same as final health state</t>
  </si>
  <si>
    <t>Assume same as final health state</t>
  </si>
  <si>
    <t>AEs</t>
  </si>
  <si>
    <t>Data source used for AEs-Individual trials</t>
  </si>
  <si>
    <t>dd_incl_NMA_AEs</t>
  </si>
  <si>
    <t>AEs applied-Per cycle</t>
  </si>
  <si>
    <t>dd_apply_AE_options</t>
  </si>
  <si>
    <t>Per cycle</t>
  </si>
  <si>
    <t>AE disutilities not considered</t>
  </si>
  <si>
    <t>Double AE impact</t>
  </si>
  <si>
    <t>dd_double_AE_impact</t>
  </si>
  <si>
    <t>dd_AE_impact_axi_equal_tivo</t>
  </si>
  <si>
    <t>Sub txts</t>
  </si>
  <si>
    <t>Subsequent treatment data source-Trial</t>
  </si>
  <si>
    <t>% prior IO adjuvant</t>
  </si>
  <si>
    <t>Percentage of eligible patients receiving adjuvant pem-20%</t>
  </si>
  <si>
    <t>dd_udadj</t>
  </si>
  <si>
    <t>i_ui_prop_prior_IO_RWE</t>
  </si>
  <si>
    <t>dd_adjforprioradjuvant</t>
  </si>
  <si>
    <t>Percentage of eligible patients receiving adjuvant pem-65%</t>
  </si>
  <si>
    <t>Pem+lenv inputs</t>
  </si>
  <si>
    <t>Pem+lenv assumed to have same RDI as nivo+cabo; 
PH NMA used for all 1st line treatments</t>
  </si>
  <si>
    <t>dd_pemLen_RDI_eq_nivoCabo</t>
  </si>
  <si>
    <t>Time horizon</t>
  </si>
  <si>
    <t>Time horizon = 5 years (state transition)</t>
  </si>
  <si>
    <t>ui_time_horizon</t>
  </si>
  <si>
    <t>Time horizon = 10 years (state transition)</t>
  </si>
  <si>
    <t>Time horizon = 20 years (state transition)</t>
  </si>
  <si>
    <t>Time horizon = 5 years (PartSA)</t>
  </si>
  <si>
    <t>Time horizon = 10 years (PartSA)</t>
  </si>
  <si>
    <t>Time horizon = 20 years (PartSA)</t>
  </si>
  <si>
    <t>*Note: To change the choice of parametric curves in scenario please go to:</t>
  </si>
  <si>
    <t>i_surv_cur_sc_sel_range</t>
  </si>
  <si>
    <t>Nivo</t>
  </si>
  <si>
    <t>Ipi</t>
  </si>
  <si>
    <t>Dose</t>
  </si>
  <si>
    <t>mg/kg</t>
  </si>
  <si>
    <t>Vial size</t>
  </si>
  <si>
    <t>PAS</t>
  </si>
  <si>
    <t>Patient weights are from UK RWE</t>
  </si>
  <si>
    <t>No PAS</t>
  </si>
  <si>
    <t>Selected patient weights</t>
  </si>
  <si>
    <t>Weight squared</t>
  </si>
  <si>
    <t>Patient weight</t>
  </si>
  <si>
    <t>vial 1</t>
  </si>
  <si>
    <t>vial 2</t>
  </si>
  <si>
    <t>vial 3</t>
  </si>
  <si>
    <t>vial 4</t>
  </si>
  <si>
    <t>dose</t>
  </si>
  <si>
    <t>distribution</t>
  </si>
  <si>
    <t>Method of moments calculation</t>
  </si>
  <si>
    <t>Log</t>
  </si>
  <si>
    <t>Avg weight</t>
  </si>
  <si>
    <t>Avg - weight squared</t>
  </si>
  <si>
    <t>Mu</t>
  </si>
  <si>
    <t>Variance</t>
  </si>
  <si>
    <t>Patients</t>
  </si>
  <si>
    <t>Average Vials</t>
  </si>
  <si>
    <t>Avg dose based on avr vials</t>
  </si>
  <si>
    <t>Price without wastage</t>
  </si>
  <si>
    <t>Impact of wastage</t>
  </si>
  <si>
    <t>IPD of age and sex by population from the UK RWE</t>
  </si>
  <si>
    <t>Patient ID</t>
  </si>
  <si>
    <t>Gender</t>
  </si>
  <si>
    <t>Age</t>
  </si>
  <si>
    <t>M</t>
  </si>
  <si>
    <t>F</t>
  </si>
  <si>
    <t>Lists that are linked to look up tables below</t>
  </si>
  <si>
    <t>to be aligned with naming as per comp list</t>
  </si>
  <si>
    <t>ability to use after everolimus needs checking</t>
  </si>
  <si>
    <t>Comparator list</t>
  </si>
  <si>
    <t>Source_pc</t>
  </si>
  <si>
    <t>Effectiveness data sources</t>
  </si>
  <si>
    <t>Effectiveness Endpoints</t>
  </si>
  <si>
    <t>apply AE</t>
  </si>
  <si>
    <t>AE list (all grade)</t>
  </si>
  <si>
    <t>Trial list</t>
  </si>
  <si>
    <t>parametric curves</t>
  </si>
  <si>
    <t>adjust crossing curves</t>
  </si>
  <si>
    <t>model structure options</t>
  </si>
  <si>
    <t>cabo_nivo_outcome_from#</t>
  </si>
  <si>
    <t>cabo_nivo_outcomes</t>
  </si>
  <si>
    <t>apply waning to#</t>
  </si>
  <si>
    <t>AE list (g3+)</t>
  </si>
  <si>
    <t>age sex dp</t>
  </si>
  <si>
    <t># of admin</t>
  </si>
  <si>
    <t>Drug price</t>
  </si>
  <si>
    <t>BSC utility scenarios</t>
  </si>
  <si>
    <t>Survival curves_dd</t>
  </si>
  <si>
    <t xml:space="preserve">survival curves </t>
  </si>
  <si>
    <t>Effectiveness inputs</t>
  </si>
  <si>
    <t>Population 1:</t>
  </si>
  <si>
    <t>Population 2:</t>
  </si>
  <si>
    <t>Population 3:</t>
  </si>
  <si>
    <t>Population 4:</t>
  </si>
  <si>
    <t>Analyses</t>
  </si>
  <si>
    <t>for dropdown</t>
  </si>
  <si>
    <t>Diarrhoea</t>
  </si>
  <si>
    <t>ALT increased</t>
  </si>
  <si>
    <t>List price</t>
  </si>
  <si>
    <t>Use UI settings</t>
  </si>
  <si>
    <t>allowed treatments</t>
  </si>
  <si>
    <t>Fatigue</t>
  </si>
  <si>
    <t>Anaemia</t>
  </si>
  <si>
    <t>OWSA</t>
  </si>
  <si>
    <t>Palmar-plantar erythrodysaesthesia syndrome</t>
  </si>
  <si>
    <t>Decreased appetite</t>
  </si>
  <si>
    <t>PSA</t>
  </si>
  <si>
    <t>METEOR</t>
  </si>
  <si>
    <t>Diarrhoea _TKI induced</t>
  </si>
  <si>
    <t>Scenario_3</t>
  </si>
  <si>
    <t>Scenarios</t>
  </si>
  <si>
    <t>Diarrhoea _IO induced</t>
  </si>
  <si>
    <t>Hypertension</t>
  </si>
  <si>
    <t>Hypertriglyceridemia</t>
  </si>
  <si>
    <t>Hyponatraemia</t>
  </si>
  <si>
    <t>Hypophosphatemia</t>
  </si>
  <si>
    <t>Increase in lipase</t>
  </si>
  <si>
    <t>Increased AST</t>
  </si>
  <si>
    <t>Leukopenia</t>
  </si>
  <si>
    <t>Lymphopenia</t>
  </si>
  <si>
    <t>only after lists</t>
  </si>
  <si>
    <t>Nausea</t>
  </si>
  <si>
    <t>Neutropenia</t>
  </si>
  <si>
    <t>Platelets count decreased</t>
  </si>
  <si>
    <t>Proteinuria</t>
  </si>
  <si>
    <t>Stomatitis</t>
  </si>
  <si>
    <t>Vomiting</t>
  </si>
  <si>
    <t>Weight loss</t>
  </si>
  <si>
    <t>Populations for txt_sq</t>
  </si>
  <si>
    <t>&gt;12m since IO, favourable risk</t>
  </si>
  <si>
    <t>Not immediately after lists</t>
  </si>
  <si>
    <t>&gt;12m since IO, intermed/poor risk</t>
  </si>
  <si>
    <t>&lt;12m since IO, favourable risk</t>
  </si>
  <si>
    <t>pop4</t>
  </si>
  <si>
    <t>&lt;12m since IO, intermed/poor risk</t>
  </si>
  <si>
    <t>total populations:</t>
  </si>
  <si>
    <t>Placebo / BSC</t>
  </si>
  <si>
    <t xml:space="preserve">Look up tables </t>
  </si>
  <si>
    <t>Only one allowed lists</t>
  </si>
  <si>
    <t>Range name:</t>
  </si>
  <si>
    <t>immunotherapies</t>
  </si>
  <si>
    <t>repeat_axitinib</t>
  </si>
  <si>
    <t>repeat_nivolumab</t>
  </si>
  <si>
    <t>repeat_len</t>
  </si>
  <si>
    <t>repeat_cabozantinib</t>
  </si>
  <si>
    <t>repeat_evero</t>
  </si>
  <si>
    <t>TKIs</t>
  </si>
  <si>
    <t>Description</t>
  </si>
  <si>
    <t>RCC_input_desc</t>
  </si>
  <si>
    <t>Number</t>
  </si>
  <si>
    <t>1st line</t>
  </si>
  <si>
    <t>All risk groups</t>
  </si>
  <si>
    <t>Nivolumab monotherapy</t>
  </si>
  <si>
    <t>CheckMate_9ER</t>
  </si>
  <si>
    <t>gengamma</t>
  </si>
  <si>
    <t>PorI</t>
  </si>
  <si>
    <t>Cabozantinib plus nivolumab</t>
  </si>
  <si>
    <t>CheckMate_025</t>
  </si>
  <si>
    <t>exp</t>
  </si>
  <si>
    <t>Favourable risk group</t>
  </si>
  <si>
    <t>Nivolumab plus ipilimumab</t>
  </si>
  <si>
    <t>TTD</t>
  </si>
  <si>
    <t>weibull</t>
  </si>
  <si>
    <t>Lenvatinib plus pembrolizumab</t>
  </si>
  <si>
    <t>TTP</t>
  </si>
  <si>
    <t>lnorm</t>
  </si>
  <si>
    <t>5L</t>
  </si>
  <si>
    <t>Avelumab plus axitinib</t>
  </si>
  <si>
    <t>PPS</t>
  </si>
  <si>
    <t>gamma</t>
  </si>
  <si>
    <t>Only after one lists</t>
  </si>
  <si>
    <t>Pazopanib</t>
  </si>
  <si>
    <t>Gompertz</t>
  </si>
  <si>
    <t>gompertz</t>
  </si>
  <si>
    <t>Tivozanib</t>
  </si>
  <si>
    <t>llogis</t>
  </si>
  <si>
    <t>Sunitinib</t>
  </si>
  <si>
    <t>Cabozantinib</t>
  </si>
  <si>
    <t>Lenvatinib plus everolimus</t>
  </si>
  <si>
    <t>Everolimus</t>
  </si>
  <si>
    <t>Axitinib</t>
  </si>
  <si>
    <t>Sorafenib</t>
  </si>
  <si>
    <t>2L+ only after lists</t>
  </si>
  <si>
    <t>2L+ only immediately after lists</t>
  </si>
  <si>
    <t>Sequencing population</t>
  </si>
  <si>
    <t>Risk population</t>
  </si>
  <si>
    <t>Sequencing population number</t>
  </si>
  <si>
    <t>Risk population number</t>
  </si>
  <si>
    <t>Overall population number</t>
  </si>
  <si>
    <t>All risk and favourable risk no prior adjuvant</t>
  </si>
  <si>
    <t>All risk</t>
  </si>
  <si>
    <t>Int / poor risk no prior adjuvant</t>
  </si>
  <si>
    <t>Int/poor</t>
  </si>
  <si>
    <t>All risk and favourable risk prior adjuvant</t>
  </si>
  <si>
    <t>Int / poor risk prior adjuvant</t>
  </si>
  <si>
    <t>Parameter description</t>
  </si>
  <si>
    <t>Include cabo nivo? (1=yes, 0=no)</t>
  </si>
  <si>
    <t>cabo_nivo_include</t>
  </si>
  <si>
    <t>Include pem len? (1=yes, 0=no)</t>
  </si>
  <si>
    <t>pem_len_include</t>
  </si>
  <si>
    <t>Include panzopanib? (1=yes, 0=no)</t>
  </si>
  <si>
    <t>pazopanib_include</t>
  </si>
  <si>
    <t>Include tivozanib? (1=yes, 0=no)</t>
  </si>
  <si>
    <t>tivozanib_include</t>
  </si>
  <si>
    <t>Include sunitinib? (1=yes, 0=no)</t>
  </si>
  <si>
    <t>sunitinib_include</t>
  </si>
  <si>
    <t>Include cabo monotherapy? (1=yes, 0=no)</t>
  </si>
  <si>
    <t>cabo_include</t>
  </si>
  <si>
    <t>Include ipi nivo? (1=yes, 0=no)</t>
  </si>
  <si>
    <t>ipi_nivo_include</t>
  </si>
  <si>
    <t>Model time horizon</t>
  </si>
  <si>
    <t>R_s_num_TH</t>
  </si>
  <si>
    <t>Model population selection</t>
  </si>
  <si>
    <t>R_s_num_pop_sel</t>
  </si>
  <si>
    <t>Model cycle length</t>
  </si>
  <si>
    <t>R_s_num_CL</t>
  </si>
  <si>
    <t>Model perspective</t>
  </si>
  <si>
    <t>R_s_char_pers</t>
  </si>
  <si>
    <t>Discount rate for costs</t>
  </si>
  <si>
    <t>R_s_rate_disc_cost</t>
  </si>
  <si>
    <t>Discount rate for QALY</t>
  </si>
  <si>
    <t>R_s_rate_disc_qaly</t>
  </si>
  <si>
    <t>R_s_num_wtp</t>
  </si>
  <si>
    <t>Model analyses to run</t>
  </si>
  <si>
    <t>R_s_num_anal_to_run</t>
  </si>
  <si>
    <t>QALY shortfall - Proportional - lower threshold</t>
  </si>
  <si>
    <t>R_s_num_qalyShort_prop_LB</t>
  </si>
  <si>
    <t>QALY shortfall - Proportional - upper threshold</t>
  </si>
  <si>
    <t>R_s_num_qalyShort_prop_UB</t>
  </si>
  <si>
    <t>QALY shortfall - absolute - lower threshold</t>
  </si>
  <si>
    <t>R_s_num_qalyShort_abs_LB</t>
  </si>
  <si>
    <t>QALY shortfall - absolute - upper threshold</t>
  </si>
  <si>
    <t>R_s_num_qalyShort_abs_UB</t>
  </si>
  <si>
    <t>QAY shortfall - weight - LB</t>
  </si>
  <si>
    <t>R_s_num_qalyShort_w_LB</t>
  </si>
  <si>
    <t>QAY shortfall - weight - UB</t>
  </si>
  <si>
    <t>R_s_num_qalyShort_w_UB</t>
  </si>
  <si>
    <t>QAY shortfall - weight - bet</t>
  </si>
  <si>
    <t>R_s_num_qalyShort_w_bet</t>
  </si>
  <si>
    <t>Method to adjust crossing curves</t>
  </si>
  <si>
    <t>R_crossingcurves_adj</t>
  </si>
  <si>
    <t>Population selection</t>
  </si>
  <si>
    <t>dd_pop_sel</t>
  </si>
  <si>
    <t>Maximum active lines of treatment</t>
  </si>
  <si>
    <t>Include avelumab_plus_axitinib?</t>
  </si>
  <si>
    <t>dd_incl_ave_plus_axi</t>
  </si>
  <si>
    <t>Baseline risk source</t>
  </si>
  <si>
    <t>Nivo/cabo outcomes from</t>
  </si>
  <si>
    <t>Use PH_NMA results for FP_NMA</t>
  </si>
  <si>
    <t>Assume pazo=suni</t>
  </si>
  <si>
    <t>Assume tivo=suni</t>
  </si>
  <si>
    <t>Assume axi=evero</t>
  </si>
  <si>
    <t>Assume TTD = PFS</t>
  </si>
  <si>
    <t>dd_prop_deathinPFS</t>
  </si>
  <si>
    <t>dd_report_req_surv_reg</t>
  </si>
  <si>
    <t>Age/sex source</t>
  </si>
  <si>
    <t>Useage adjusted utilities?</t>
  </si>
  <si>
    <t xml:space="preserve">Admin based on </t>
  </si>
  <si>
    <t>i_SE_util</t>
  </si>
  <si>
    <t>i_SE_costs</t>
  </si>
  <si>
    <t xml:space="preserve">Drug price </t>
  </si>
  <si>
    <t>dd_drug_price_options</t>
  </si>
  <si>
    <t>Include IV drug wastage?</t>
  </si>
  <si>
    <t>dd_incl_wastage_IV</t>
  </si>
  <si>
    <t>Double the impact of AEs</t>
  </si>
  <si>
    <t>Assume axi AE impact equal to tivo?</t>
  </si>
  <si>
    <t>Inlude NMA for AEs?</t>
  </si>
  <si>
    <t>AE applied options</t>
  </si>
  <si>
    <t>Utility scenarios (non-BSC)</t>
  </si>
  <si>
    <t>Utility scenarios (BSC)</t>
  </si>
  <si>
    <t>Sub Txt proportion source</t>
  </si>
  <si>
    <t>Name</t>
  </si>
  <si>
    <t>Cell Range</t>
  </si>
  <si>
    <t>apply_waning_to</t>
  </si>
  <si>
    <t>=Lists!$Y$10:$Y$11</t>
  </si>
  <si>
    <t>to be updated if new named ranges are added: Formulas &gt; Use in formula &gt; Paste name &gt; Paste list</t>
  </si>
  <si>
    <t>cabo_nivo_outcome_from</t>
  </si>
  <si>
    <t>=Lists!$W$10</t>
  </si>
  <si>
    <t>=Lists!$X$10:$X$12</t>
  </si>
  <si>
    <t>='Model settings'!$G$40</t>
  </si>
  <si>
    <t>='Model settings'!$G$43</t>
  </si>
  <si>
    <t>='Model settings'!$G$60</t>
  </si>
  <si>
    <t>='Safety parameters'!$G$11</t>
  </si>
  <si>
    <t>='Model settings'!$G$37</t>
  </si>
  <si>
    <t>=Utilities!$Q$10</t>
  </si>
  <si>
    <t>='Model settings'!$G$38</t>
  </si>
  <si>
    <t>='Model settings'!$G$51</t>
  </si>
  <si>
    <t>='Model settings'!$G$67</t>
  </si>
  <si>
    <t>dd_eff_inputs_based_on</t>
  </si>
  <si>
    <t>='Model settings'!$G$48</t>
  </si>
  <si>
    <t>='Model settings'!$G$46</t>
  </si>
  <si>
    <t>='Model settings'!$G$47</t>
  </si>
  <si>
    <t>='Model settings'!$G$35</t>
  </si>
  <si>
    <t>='Safety parameters'!$G$7</t>
  </si>
  <si>
    <t>='Model settings'!$G$69</t>
  </si>
  <si>
    <t>dd_model_analyses</t>
  </si>
  <si>
    <t>='Model settings'!$G$30</t>
  </si>
  <si>
    <t>='Model settings'!$G$32</t>
  </si>
  <si>
    <t>='Patient characteristics'!$K$5</t>
  </si>
  <si>
    <t>='Model settings'!$G$42</t>
  </si>
  <si>
    <t>='Model settings'!$G$41</t>
  </si>
  <si>
    <t>='Model settings'!$G$6</t>
  </si>
  <si>
    <t>='Model settings'!$G$52</t>
  </si>
  <si>
    <t>dd_run_surv_reg</t>
  </si>
  <si>
    <t>='Model settings'!$G$55</t>
  </si>
  <si>
    <t>dd_run_TP_matrices</t>
  </si>
  <si>
    <t>='Model settings'!$G$56</t>
  </si>
  <si>
    <t>='Resource use and costs'!$Y$7</t>
  </si>
  <si>
    <t>='Treatment sequence'!$G$9</t>
  </si>
  <si>
    <t>='Model settings'!$G$101</t>
  </si>
  <si>
    <t>='Model settings'!$G$100</t>
  </si>
  <si>
    <t>='Model settings'!$G$106</t>
  </si>
  <si>
    <t>='Model settings'!$G$103</t>
  </si>
  <si>
    <t>='Model settings'!$G$102</t>
  </si>
  <si>
    <t>='Model settings'!$G$105</t>
  </si>
  <si>
    <t>='Resource use and costs'!$Y$5</t>
  </si>
  <si>
    <t>='Patient characteristics'!$K$31</t>
  </si>
  <si>
    <t>dd_use_PHnma_for_FPnma</t>
  </si>
  <si>
    <t>='Model settings'!$G$39</t>
  </si>
  <si>
    <t>=Utilities!$H$10</t>
  </si>
  <si>
    <t>='Effectiveness settings'!$DF$36</t>
  </si>
  <si>
    <t>i_adj_cross_curves</t>
  </si>
  <si>
    <t>i_admin_based_on_num</t>
  </si>
  <si>
    <t>i_AE_g3_cutoff</t>
  </si>
  <si>
    <t>='Safety parameters'!$G$9</t>
  </si>
  <si>
    <t>i_AE_impact_axi_equal_tivo</t>
  </si>
  <si>
    <t>i_AE_NMA_option_num</t>
  </si>
  <si>
    <t>='Safety parameters'!$H$7</t>
  </si>
  <si>
    <t>i_age_sex_source_num</t>
  </si>
  <si>
    <t>i_ageadjuutilities</t>
  </si>
  <si>
    <t>i_alt_RDI_nivo_PartSA_num</t>
  </si>
  <si>
    <t>i_alt_RDI_nivo_ST_num</t>
  </si>
  <si>
    <t>i_anal_pers</t>
  </si>
  <si>
    <t>='Model settings'!$G$14</t>
  </si>
  <si>
    <t>i_analyses_num</t>
  </si>
  <si>
    <t>='Model settings'!$N$30</t>
  </si>
  <si>
    <t>i_baseline_risk_from</t>
  </si>
  <si>
    <t>='Model settings'!$N$37</t>
  </si>
  <si>
    <t>i_bsc_util_num</t>
  </si>
  <si>
    <t>=Utilities!$Q$11</t>
  </si>
  <si>
    <t>='Effectiveness settings'!$DF$29</t>
  </si>
  <si>
    <t>='Effectiveness settings'!$DF$30</t>
  </si>
  <si>
    <t>='Effectiveness settings'!$DF$33</t>
  </si>
  <si>
    <t>='Effectiveness settings'!$DF$34</t>
  </si>
  <si>
    <t>i_CheckMate214_TTD</t>
  </si>
  <si>
    <t>='Model settings'!$N$51</t>
  </si>
  <si>
    <t>i_cycle_length_weeks</t>
  </si>
  <si>
    <t>='Model settings'!$G$10</t>
  </si>
  <si>
    <t>i_days_to_weeks</t>
  </si>
  <si>
    <t>='Model settings'!$G$12</t>
  </si>
  <si>
    <t>i_double_AE_impact</t>
  </si>
  <si>
    <t>i_drug_price_options</t>
  </si>
  <si>
    <t>='Model settings'!$N$67</t>
  </si>
  <si>
    <t>i_eff_inputs_based_on_num</t>
  </si>
  <si>
    <t>i_eq_eff_evero_axi_num</t>
  </si>
  <si>
    <t>i_eq_eff_pazo_suni_num</t>
  </si>
  <si>
    <t>i_eq_eff_tivo_suni_num</t>
  </si>
  <si>
    <t>i_incl_wastage_IV_num</t>
  </si>
  <si>
    <t>i_L1_ref_txt_TE_waning</t>
  </si>
  <si>
    <t>i_L2_ref_txt_TE_waning</t>
  </si>
  <si>
    <t>='Model settings'!$G$96</t>
  </si>
  <si>
    <t>i_L3_ref_txt_TE_waning</t>
  </si>
  <si>
    <t>i_L4_ref_txt_TE_waning</t>
  </si>
  <si>
    <t>i_model_struct_num</t>
  </si>
  <si>
    <t>='Model settings'!$N$32</t>
  </si>
  <si>
    <t>i_mon_to_weeks</t>
  </si>
  <si>
    <t>='Model settings'!$G$11</t>
  </si>
  <si>
    <t>i_nivo_100mg_vials</t>
  </si>
  <si>
    <t>='wastage calcs'!$N$32</t>
  </si>
  <si>
    <t>i_nivo_120mg_vials</t>
  </si>
  <si>
    <t>='wastage calcs'!$O$32</t>
  </si>
  <si>
    <t>i_nivo_240mg_vials</t>
  </si>
  <si>
    <t>='wastage calcs'!$P$32</t>
  </si>
  <si>
    <t>i_nivo_40mg_vials</t>
  </si>
  <si>
    <t>='wastage calcs'!$M$32</t>
  </si>
  <si>
    <t>i_no_TE_waning</t>
  </si>
  <si>
    <t>i_nr_populations</t>
  </si>
  <si>
    <t>=Lists!$C$44</t>
  </si>
  <si>
    <t>i_pemLen_RDI_eq_nivoCabo</t>
  </si>
  <si>
    <t>i_QALY_short_abs_LB</t>
  </si>
  <si>
    <t>='Model settings'!$J$25</t>
  </si>
  <si>
    <t>i_QALY_short_abs_UB</t>
  </si>
  <si>
    <t>='Model settings'!$J$26</t>
  </si>
  <si>
    <t>i_QALY_short_prop_LB</t>
  </si>
  <si>
    <t>='Model settings'!$G$25</t>
  </si>
  <si>
    <t>i_QALY_short_prop_UB</t>
  </si>
  <si>
    <t>='Model settings'!$G$26</t>
  </si>
  <si>
    <t>i_qaly_weight_between</t>
  </si>
  <si>
    <t>='Model settings'!$K$27</t>
  </si>
  <si>
    <t>i_qaly_weight_LB</t>
  </si>
  <si>
    <t>='Model settings'!$K$25</t>
  </si>
  <si>
    <t>i_qaly_weight_UB</t>
  </si>
  <si>
    <t>='Model settings'!$K$26</t>
  </si>
  <si>
    <t>i_sc_RDI_num</t>
  </si>
  <si>
    <t>='Resource use and costs'!$AA$7</t>
  </si>
  <si>
    <t>i_sc_util_num</t>
  </si>
  <si>
    <t>=Utilities!$H$11</t>
  </si>
  <si>
    <t>='Model settings'!$G$65</t>
  </si>
  <si>
    <t>i_sub_txt_prop_num</t>
  </si>
  <si>
    <t>='Treatment sequence'!$H$9</t>
  </si>
  <si>
    <t>='Effectiveness settings'!$DF$24</t>
  </si>
  <si>
    <t>='Effectiveness settings'!$DF$25</t>
  </si>
  <si>
    <t>='Effectiveness settings'!$DF$20</t>
  </si>
  <si>
    <t>='Effectiveness settings'!$DF$15</t>
  </si>
  <si>
    <t>='Effectiveness settings'!$DF$26</t>
  </si>
  <si>
    <t>i_sur_cur_sc_sel_range</t>
  </si>
  <si>
    <t>='Effectiveness settings'!$DF$13:$DF$70</t>
  </si>
  <si>
    <t>i_surv_cur</t>
  </si>
  <si>
    <t>i_table_AE_costs</t>
  </si>
  <si>
    <t>i_table_AE_rate_dur</t>
  </si>
  <si>
    <t>='Safety parameters'!$D$14:$AV$21</t>
  </si>
  <si>
    <t>i_table_sub_txt</t>
  </si>
  <si>
    <t>='Treatment sequence'!$CK$8:$CT$700</t>
  </si>
  <si>
    <t>i_TE_sc_10y_all_IO</t>
  </si>
  <si>
    <t>i_TE_sc_10y_IO_TKI</t>
  </si>
  <si>
    <t>i_TE_sc_4and6y_IO_TKI_OS_absSurv</t>
  </si>
  <si>
    <t>='Model settings'!$N$106</t>
  </si>
  <si>
    <t>i_TE_sc_5and20y_all_IO</t>
  </si>
  <si>
    <t>i_TE_sc_5and20y_IO_TKI</t>
  </si>
  <si>
    <t>i_TE_sc_PartSA_5y_IO_TKI_OS</t>
  </si>
  <si>
    <t>='Model settings'!$N$105</t>
  </si>
  <si>
    <t>i_TTD_same_as_PFS</t>
  </si>
  <si>
    <t>i_txt_line_drug_cost</t>
  </si>
  <si>
    <t>='Resource use and costs'!$AA$5</t>
  </si>
  <si>
    <t>='Patient characteristics'!$K$32</t>
  </si>
  <si>
    <t>i_use_PHnma_for_FPnma_num</t>
  </si>
  <si>
    <t>='Model settings'!$N$39</t>
  </si>
  <si>
    <t>i_util_range</t>
  </si>
  <si>
    <t>=Utilities!$K$15:$X$110</t>
  </si>
  <si>
    <t>i_util_range_allrisk_1L_PD</t>
  </si>
  <si>
    <t>=Utilities!$K$65:$K$77</t>
  </si>
  <si>
    <t>i_util_range_allrisk_1L_PFS</t>
  </si>
  <si>
    <t>=Utilities!$K$15:$K$27</t>
  </si>
  <si>
    <t>InReq_start</t>
  </si>
  <si>
    <t>='Scenario controls'!$E$10</t>
  </si>
  <si>
    <t>List_adj_cross_curves</t>
  </si>
  <si>
    <t>=Lists!$U$10:$U$11</t>
  </si>
  <si>
    <t>List_AEs_all_grade</t>
  </si>
  <si>
    <t>=Lists!$P$10:$P$12</t>
  </si>
  <si>
    <t>List_AEs_g3</t>
  </si>
  <si>
    <t>=Lists!$AA$10:$AA$31</t>
  </si>
  <si>
    <t>List_age_sex_source</t>
  </si>
  <si>
    <t>=Lists!$AC$10:$AC$11</t>
  </si>
  <si>
    <t>List_analyses</t>
  </si>
  <si>
    <t>=Lists!$F$11:$F$14</t>
  </si>
  <si>
    <t>List_apply_AE_options</t>
  </si>
  <si>
    <t>=Lists!$O$10:$O$11</t>
  </si>
  <si>
    <t>List_BSC_util_options</t>
  </si>
  <si>
    <t>=Lists!$AG$10:$AG$12</t>
  </si>
  <si>
    <t>List_comparators</t>
  </si>
  <si>
    <t>=Lists!$J$10:$J$23</t>
  </si>
  <si>
    <t>List_eff_datasources</t>
  </si>
  <si>
    <t>=Lists!$L$10:$L$15</t>
  </si>
  <si>
    <t>List_eff_endpoints</t>
  </si>
  <si>
    <t>=Lists!$N$10:$N$14</t>
  </si>
  <si>
    <t>List_eff_inputs_based_on</t>
  </si>
  <si>
    <t>=Lists!$AO$10:$AO$11</t>
  </si>
  <si>
    <t>List_incl_anal_1L_all</t>
  </si>
  <si>
    <t>=Lists!$AO$52:$AO$86</t>
  </si>
  <si>
    <t>List_incl_anal_1L_fav</t>
  </si>
  <si>
    <t>=Lists!$AN$52:$AN$86</t>
  </si>
  <si>
    <t>List_incl_anal_1L_PorI</t>
  </si>
  <si>
    <t>=Lists!$AM$52:$AM$86</t>
  </si>
  <si>
    <t>List_incl_anal_2L_all</t>
  </si>
  <si>
    <t>=Lists!$AP$52:$AP$86</t>
  </si>
  <si>
    <t>List_incl_anal_3L_all</t>
  </si>
  <si>
    <t>=Lists!$AQ$52:$AQ$86</t>
  </si>
  <si>
    <t>List_incl_anal_4L_all</t>
  </si>
  <si>
    <t>=Lists!$AR$52:$AR$86</t>
  </si>
  <si>
    <t>List_model_structures</t>
  </si>
  <si>
    <t>=Lists!$V$10:$V$11</t>
  </si>
  <si>
    <t>List_no_of_admin_option</t>
  </si>
  <si>
    <t>=Lists!$AD$10:$AD$11</t>
  </si>
  <si>
    <t>List_para_curves</t>
  </si>
  <si>
    <t>=Lists!$T$10:$T$16</t>
  </si>
  <si>
    <t>List_pop</t>
  </si>
  <si>
    <t>=Lists!$D$11:$D$13</t>
  </si>
  <si>
    <t>List_pop1_1L</t>
  </si>
  <si>
    <t>=Lists!$BB$11:$BB$22</t>
  </si>
  <si>
    <t>List_pop1_2L</t>
  </si>
  <si>
    <t>=Lists!$BC$11:$BC$22</t>
  </si>
  <si>
    <t>List_pop1_3L</t>
  </si>
  <si>
    <t>=Lists!$BD$11:$BD$22</t>
  </si>
  <si>
    <t>List_pop1_4L</t>
  </si>
  <si>
    <t>=Lists!$BE$11:$BE$22</t>
  </si>
  <si>
    <t>List_pop1_allowed</t>
  </si>
  <si>
    <t>=Lists!$BA$11:$BA$22</t>
  </si>
  <si>
    <t>List_pop1_axitinib_only_after</t>
  </si>
  <si>
    <t>=Lists!$BA$26:$BA$37</t>
  </si>
  <si>
    <t>List_pop1_axitinib_only_one_allowed</t>
  </si>
  <si>
    <t>=Lists!$BB$49:$BB$53</t>
  </si>
  <si>
    <t>List_pop1_cabozantinib_2L_only_after</t>
  </si>
  <si>
    <t>=Lists!$BA$69:$BA$80</t>
  </si>
  <si>
    <t>List_pop1_cabozantinib_only_one_allowed</t>
  </si>
  <si>
    <t>=Lists!$BE$49:$BE$53</t>
  </si>
  <si>
    <t>List_pop1_everolimus_only_after</t>
  </si>
  <si>
    <t>=Lists!$BB$26:$BB$37</t>
  </si>
  <si>
    <t>List_pop1_everolimus_only_one_allowed</t>
  </si>
  <si>
    <t>=Lists!$BF$49:$BF$53</t>
  </si>
  <si>
    <t>List_pop1_io_only_one_allowed</t>
  </si>
  <si>
    <t>=Lists!$BA$49:$BA$53</t>
  </si>
  <si>
    <t>List_pop1_lenvatinib_plus_everolimus_allowed</t>
  </si>
  <si>
    <t>=Lists!$BD$49:$BD$53</t>
  </si>
  <si>
    <t>List_pop1_lenvatinib_plus_everolimus_not_immediate_after</t>
  </si>
  <si>
    <t>=Lists!$BA$41:$BA$46</t>
  </si>
  <si>
    <t>List_pop1_lenvatinib_plus_everolimus_only_after_one</t>
  </si>
  <si>
    <t>=Lists!$BA$57:$BA$65</t>
  </si>
  <si>
    <t>List_pop1_nivolumab_only_one_allowed</t>
  </si>
  <si>
    <t>=Lists!$BC$49:$BC$53</t>
  </si>
  <si>
    <t>List_pop1_pazopanib_2L_only_immediate_after</t>
  </si>
  <si>
    <t>=Lists!$BB$84:$BB$87</t>
  </si>
  <si>
    <t>List_pop1_sunitinib_2L_only_immediate_after</t>
  </si>
  <si>
    <t>=Lists!$BA$84:$BA$87</t>
  </si>
  <si>
    <t>List_pop1_tivozanib_2L_only_immediate_after</t>
  </si>
  <si>
    <t>=Lists!$BC$84:$BC$87</t>
  </si>
  <si>
    <t>List_pop1_TKIs_only_one_allowed</t>
  </si>
  <si>
    <t>=Lists!$BG$49:$BG$53</t>
  </si>
  <si>
    <t>List_pop2_1L</t>
  </si>
  <si>
    <t>=Lists!$BM$11:$BM$22</t>
  </si>
  <si>
    <t>List_pop2_2L</t>
  </si>
  <si>
    <t>=Lists!$BN$11:$BN$22</t>
  </si>
  <si>
    <t>List_pop2_3L</t>
  </si>
  <si>
    <t>=Lists!$BO$11:$BO$22</t>
  </si>
  <si>
    <t>List_pop2_4L</t>
  </si>
  <si>
    <t>=Lists!$BP$11:$BP$22</t>
  </si>
  <si>
    <t>List_pop2_allowed</t>
  </si>
  <si>
    <t>=Lists!$BL$11:$BL$22</t>
  </si>
  <si>
    <t>List_pop2_axitinib_only_after</t>
  </si>
  <si>
    <t>=Lists!$BL$26:$BL$37</t>
  </si>
  <si>
    <t>List_pop2_axitinib_only_one_allowed</t>
  </si>
  <si>
    <t>=Lists!$BM$49:$BM$53</t>
  </si>
  <si>
    <t>List_pop2_cabozantinib_2L_only_after</t>
  </si>
  <si>
    <t>=Lists!$BL$69:$BL$80</t>
  </si>
  <si>
    <t>List_pop2_cabozantinib_only_one_allowed</t>
  </si>
  <si>
    <t>=Lists!$BP$49:$BP$53</t>
  </si>
  <si>
    <t>List_pop2_everolimus_only_after</t>
  </si>
  <si>
    <t>=Lists!$BM$26:$BM$37</t>
  </si>
  <si>
    <t>List_pop2_everolimus_only_one_allowed</t>
  </si>
  <si>
    <t>=Lists!$BQ$49:$BQ$53</t>
  </si>
  <si>
    <t>List_pop2_io_only_one_allowed</t>
  </si>
  <si>
    <t>=Lists!$BL$49:$BL$53</t>
  </si>
  <si>
    <t>List_pop2_lenvatinib_plus_everolimus_not_immediate_after</t>
  </si>
  <si>
    <t>=Lists!$BL$41:$BL$46</t>
  </si>
  <si>
    <t>List_pop2_lenvatinib_plus_everolimus_only_after_one</t>
  </si>
  <si>
    <t>=Lists!$BL$57:$BL$65</t>
  </si>
  <si>
    <t>List_pop2_lenvatinib_plus_everolimus_only_one_allowed</t>
  </si>
  <si>
    <t>=Lists!$BO$49:$BO$53</t>
  </si>
  <si>
    <t>List_pop2_nivolumab_only_one_allowed</t>
  </si>
  <si>
    <t>=Lists!$BN$49:$BN$53</t>
  </si>
  <si>
    <t>List_pop2_pazopanib_2L_only_immediate_after</t>
  </si>
  <si>
    <t>=Lists!$BM$84:$BM$87</t>
  </si>
  <si>
    <t>List_pop2_sunitinib_2L_only_immediate_after</t>
  </si>
  <si>
    <t>=Lists!$BL$84:$BL$87</t>
  </si>
  <si>
    <t>List_pop2_tivozanib_2L_only_immediate_after</t>
  </si>
  <si>
    <t>=Lists!$BN$84:$BN$87</t>
  </si>
  <si>
    <t>List_pop2_TKIs_only_one_allowed</t>
  </si>
  <si>
    <t>=Lists!$BR$49:$BR$53</t>
  </si>
  <si>
    <t>List_pop3_1L</t>
  </si>
  <si>
    <t>=Lists!$BX$11:$BX$22</t>
  </si>
  <si>
    <t>List_pop3_2L</t>
  </si>
  <si>
    <t>=Lists!$BY$11:$BY$22</t>
  </si>
  <si>
    <t>List_pop3_3L</t>
  </si>
  <si>
    <t>=Lists!$BZ$11:$BZ$22</t>
  </si>
  <si>
    <t>List_pop3_4L</t>
  </si>
  <si>
    <t>=Lists!$CA$11:$CA$22</t>
  </si>
  <si>
    <t>List_pop3_allowed</t>
  </si>
  <si>
    <t>=Lists!$BW$11:$BW$22</t>
  </si>
  <si>
    <t>List_pop3_axitinib_only_after</t>
  </si>
  <si>
    <t>=Lists!$BW$26:$BW$37</t>
  </si>
  <si>
    <t>List_pop3_axitinib_only_one_allowed</t>
  </si>
  <si>
    <t>=Lists!$BX$49:$BX$53</t>
  </si>
  <si>
    <t>List_pop3_cabozantinib_2L_only_after</t>
  </si>
  <si>
    <t>=Lists!$BW$69:$BW$80</t>
  </si>
  <si>
    <t>List_pop3_everolimus_only_after</t>
  </si>
  <si>
    <t>=Lists!$BX$26:$BX$37</t>
  </si>
  <si>
    <t>List_pop3_everolimus_only_one_allowed</t>
  </si>
  <si>
    <t>=Lists!$BY$49:$BY$53</t>
  </si>
  <si>
    <t>List_pop3_lenvatinib_plus_everolimus_not_immediate_after</t>
  </si>
  <si>
    <t>=Lists!$BW$41:$BW$46</t>
  </si>
  <si>
    <t>List_pop3_lenvatinib_plus_everolimus_only_after_one</t>
  </si>
  <si>
    <t>=Lists!$BW$57:$BW$65</t>
  </si>
  <si>
    <t>List_pop3_lenvatinib_plus_everolimus_only_one_allowed</t>
  </si>
  <si>
    <t>=Lists!$BW$49:$BW$53</t>
  </si>
  <si>
    <t>List_pop3_pazopanib_2L_only_immediate_after</t>
  </si>
  <si>
    <t>=Lists!$BX$84:$BX$87</t>
  </si>
  <si>
    <t>List_pop3_sunitinib_2L_only_immediate_after</t>
  </si>
  <si>
    <t>=Lists!$BW$84:$BW$87</t>
  </si>
  <si>
    <t>List_pop3_tivozanib_2L_only_immediate_after</t>
  </si>
  <si>
    <t>=Lists!$BY$84:$BY$87</t>
  </si>
  <si>
    <t>List_pop3_TKIs_only_one_allowed</t>
  </si>
  <si>
    <t>=Lists!$BZ$49:$BZ$53</t>
  </si>
  <si>
    <t>List_pop4_1L</t>
  </si>
  <si>
    <t>=Lists!$CI$11:$CI$22</t>
  </si>
  <si>
    <t>List_pop4_2L</t>
  </si>
  <si>
    <t>=Lists!$CJ$11:$CJ$22</t>
  </si>
  <si>
    <t>List_pop4_3L</t>
  </si>
  <si>
    <t>=Lists!$CK$11:$CK$22</t>
  </si>
  <si>
    <t>List_pop4_4L</t>
  </si>
  <si>
    <t>=Lists!$CL$11:$CL$22</t>
  </si>
  <si>
    <t>List_pop4_allowed</t>
  </si>
  <si>
    <t>=Lists!$CH$11:$CH$22</t>
  </si>
  <si>
    <t>List_pop4_axitinib_only_after</t>
  </si>
  <si>
    <t>=Lists!$CH$26:$CH$37</t>
  </si>
  <si>
    <t>List_pop4_axitinib_only_one_allowed</t>
  </si>
  <si>
    <t>=Lists!$CI$49:$CI$53</t>
  </si>
  <si>
    <t>List_pop4_cabozantinib_2L_only_after</t>
  </si>
  <si>
    <t>=Lists!$CH$69:$CH$80</t>
  </si>
  <si>
    <t>List_pop4_everolimus_only_after</t>
  </si>
  <si>
    <t>=Lists!$CI$26:$CI$37</t>
  </si>
  <si>
    <t>List_pop4_everolimus_only_one_allowed</t>
  </si>
  <si>
    <t>=Lists!$CJ$49:$CJ$53</t>
  </si>
  <si>
    <t>List_pop4_lenvatinib_plus_everolimus_not_immediate_after</t>
  </si>
  <si>
    <t>=Lists!$CH$41:$CH$46</t>
  </si>
  <si>
    <t>List_pop4_lenvatinib_plus_everolimus_only_after_one</t>
  </si>
  <si>
    <t>=Lists!$CH$57:$CH$65</t>
  </si>
  <si>
    <t>List_pop4_lenvatinib_plus_everolimus_only_one_allowed</t>
  </si>
  <si>
    <t>=Lists!$CH$49:$CH$53</t>
  </si>
  <si>
    <t>List_pop4_pazopanib_2L_only_immediate_after</t>
  </si>
  <si>
    <t>=Lists!$CI$84:$CI$87</t>
  </si>
  <si>
    <t>List_pop4_sunitinib_2L_only_immediate_after</t>
  </si>
  <si>
    <t>=Lists!$CH$84:$CH$87</t>
  </si>
  <si>
    <t>List_pop4_tivozanib_2L_only_immediate_after</t>
  </si>
  <si>
    <t>=Lists!$CJ$84:$CJ$87</t>
  </si>
  <si>
    <t>List_pop4_TKIs_only_one_allowed</t>
  </si>
  <si>
    <t>=Lists!$CK$49:$CK$53</t>
  </si>
  <si>
    <t>List_price_options</t>
  </si>
  <si>
    <t>=Lists!$AF$10:$AF$11</t>
  </si>
  <si>
    <t>List_RDI_scenarios</t>
  </si>
  <si>
    <t>=Lists!$R$10:$R$14</t>
  </si>
  <si>
    <t>List_sc_util</t>
  </si>
  <si>
    <t>List_surv_cur</t>
  </si>
  <si>
    <t>=Lists!$AL$10:$AL$11</t>
  </si>
  <si>
    <t>List_surv_cur_ext</t>
  </si>
  <si>
    <t>=Lists!$AM$10:$AM$13</t>
  </si>
  <si>
    <t>List_trials</t>
  </si>
  <si>
    <t>=Lists!$S$10:$S$12</t>
  </si>
  <si>
    <t>List_txt_lines</t>
  </si>
  <si>
    <t>=Lists!$G$11:$G$15</t>
  </si>
  <si>
    <t>List_YesorNo</t>
  </si>
  <si>
    <t>=Lists!$H$11:$H$12</t>
  </si>
  <si>
    <t>='Model settings'!$G$34</t>
  </si>
  <si>
    <t>r_overall_lookup_pop</t>
  </si>
  <si>
    <t>=Lists!$B$89:$F$95</t>
  </si>
  <si>
    <t>r_pld_lookup_dist</t>
  </si>
  <si>
    <t>=Lists!$V$50:$X$85</t>
  </si>
  <si>
    <t>r_pld_lookup_endpoint</t>
  </si>
  <si>
    <t>=Lists!$R$50:$T$85</t>
  </si>
  <si>
    <t>r_pld_lookup_line</t>
  </si>
  <si>
    <t>=Lists!$F$50:$H$85</t>
  </si>
  <si>
    <t>r_pld_lookup_mol</t>
  </si>
  <si>
    <t>=Lists!$J$50:$L$85</t>
  </si>
  <si>
    <t>r_pld_lookup_pop</t>
  </si>
  <si>
    <t>=Lists!$B$50:$D$85</t>
  </si>
  <si>
    <t>r_pld_lookup_trial</t>
  </si>
  <si>
    <t>=Lists!$N$50:$P$85</t>
  </si>
  <si>
    <t>='All parameters'!$E$19</t>
  </si>
  <si>
    <t>R_Scenario_name</t>
  </si>
  <si>
    <t>R_Scenario_num</t>
  </si>
  <si>
    <t>R_table_AE_costs</t>
  </si>
  <si>
    <t>R_table_AE_disutil</t>
  </si>
  <si>
    <t>=Utilities!$D$308:$J$341</t>
  </si>
  <si>
    <t>R_table_AE_effects_n_dur</t>
  </si>
  <si>
    <t>='Safety parameters'!$CA$5:$CW$444</t>
  </si>
  <si>
    <t>R_table_AE_rates</t>
  </si>
  <si>
    <t>='Safety parameters'!$CZ$5:$DE$458</t>
  </si>
  <si>
    <t>R_table_AE_util</t>
  </si>
  <si>
    <t>=Utilities!$BA$319:$BC$344</t>
  </si>
  <si>
    <t>R_table_ageadjust_util_female</t>
  </si>
  <si>
    <t>=Utilities!$E$352:$W$369</t>
  </si>
  <si>
    <t>R_table_ageadjust_util_male</t>
  </si>
  <si>
    <t>=Utilities!$E$372:$W$389</t>
  </si>
  <si>
    <t>R_table_drug_admin_costs</t>
  </si>
  <si>
    <t>R_table_duration</t>
  </si>
  <si>
    <t>=Utilities!$BE$319:$BG$344</t>
  </si>
  <si>
    <t>R_table_eff_data_settings</t>
  </si>
  <si>
    <t>='Effectiveness settings'!$BR$11:$CJ$1000</t>
  </si>
  <si>
    <t>R_table_FPNMA_coefficients</t>
  </si>
  <si>
    <t>R_table_mort_lifeTable</t>
  </si>
  <si>
    <t>='Mortality parameters'!$D$12:$F$113</t>
  </si>
  <si>
    <t>R_table_MRU</t>
  </si>
  <si>
    <t>R_table_MRU_oneoff</t>
  </si>
  <si>
    <t>R_table_param</t>
  </si>
  <si>
    <t>R_table_patientagesex</t>
  </si>
  <si>
    <t>='Age sex IPD_CIC'!$B$9:$E$2200</t>
  </si>
  <si>
    <t>R_table_prior_IO_impact_eff</t>
  </si>
  <si>
    <t>R_table_ptchar</t>
  </si>
  <si>
    <t>='Patient characteristics'!$BC$6:$BT$101</t>
  </si>
  <si>
    <t>R_table_scenarios</t>
  </si>
  <si>
    <t>R_table_sub_sur_radio_costs</t>
  </si>
  <si>
    <t>='Treatment sequence'!$EJ$9:$ER$15</t>
  </si>
  <si>
    <t>R_table_sub_txt_cum_costs</t>
  </si>
  <si>
    <t>='Treatment sequence'!$DX$27:$EE$83</t>
  </si>
  <si>
    <t>R_table_sub_txts_dur</t>
  </si>
  <si>
    <t>='Treatment sequence'!$DX$9:$ED$23</t>
  </si>
  <si>
    <t>R_table_sub_txts_prop_n_costs</t>
  </si>
  <si>
    <t>R_table_TE_waning_settings</t>
  </si>
  <si>
    <t>R_table_util</t>
  </si>
  <si>
    <t>=Utilities!$BA$8:$BM$309</t>
  </si>
  <si>
    <t>range_start</t>
  </si>
  <si>
    <t>='Scenario controls'!$G$10</t>
  </si>
  <si>
    <t>sheet_start</t>
  </si>
  <si>
    <t>='Scenario controls'!$F$10</t>
  </si>
  <si>
    <t>source_pc</t>
  </si>
  <si>
    <t>=Lists!$K$10:$K$11</t>
  </si>
  <si>
    <t>source_pc_num</t>
  </si>
  <si>
    <t>='Patient characteristics'!$L$5</t>
  </si>
  <si>
    <t>='Model settings'!$G$17</t>
  </si>
  <si>
    <t>='Model settings'!$G$18</t>
  </si>
  <si>
    <t>='Model settings'!$G$8</t>
  </si>
  <si>
    <t>value_start</t>
  </si>
  <si>
    <t>='Scenario controls'!$H$10</t>
  </si>
  <si>
    <t>wtp_threshold</t>
  </si>
  <si>
    <t>='Model settings'!$G$21</t>
  </si>
  <si>
    <t>Trt</t>
  </si>
  <si>
    <t>Reduce BSC to 0%?</t>
  </si>
  <si>
    <t>QC scenario</t>
  </si>
  <si>
    <t>Component name</t>
  </si>
  <si>
    <t>Nivolumab</t>
  </si>
  <si>
    <t>Ipilimumab</t>
  </si>
  <si>
    <t>Lenvatinib</t>
  </si>
  <si>
    <t>Pembrolizumab</t>
  </si>
  <si>
    <t>Avelumab</t>
  </si>
  <si>
    <t>List price cost per dose</t>
  </si>
  <si>
    <t>Run PAS analysis</t>
  </si>
  <si>
    <t>Base case = PFS</t>
  </si>
  <si>
    <t>Adjust for nivo+ipi PFS source</t>
  </si>
  <si>
    <t>Apply impact prior treatment HR to TKI monotherapies</t>
  </si>
  <si>
    <t>From expert elicitation (comparing cabo after TKI monotherapy to nivo+ipi)</t>
  </si>
  <si>
    <t>Impact of prior TKIs on subsequent TKI monotherapy (HR vs nivo+ipi)</t>
  </si>
  <si>
    <t>New_RDI_basecase_after 22nd Sep comp response</t>
  </si>
  <si>
    <t>RDI trial static new base case value (post 22nd Sep company response)</t>
  </si>
  <si>
    <t>cabozantinib1</t>
  </si>
  <si>
    <t>axitinib4</t>
  </si>
  <si>
    <t>everolimus9</t>
  </si>
  <si>
    <t>EAG value</t>
  </si>
  <si>
    <t>Company value</t>
  </si>
  <si>
    <t>EAG original base case value</t>
  </si>
  <si>
    <t>EAG new base case value (same as company value except for Pem in Len+Pem and Nivo in Nivo+cabo)</t>
  </si>
  <si>
    <t>Company new value</t>
  </si>
  <si>
    <t>RDI new base case</t>
  </si>
  <si>
    <t>Original base case</t>
  </si>
  <si>
    <t>RDI new base case options</t>
  </si>
  <si>
    <t>Note: Values are updated directly in R table</t>
  </si>
  <si>
    <t>RDI trial static base case values</t>
  </si>
  <si>
    <t>Set Lenv RDI to 100% for off-label titration</t>
  </si>
  <si>
    <t>Proportion of patients taking the dose (lenv)</t>
  </si>
  <si>
    <t>TA858 and RDI</t>
  </si>
  <si>
    <t>Data source to use for lenv dosing</t>
  </si>
  <si>
    <t>Limit PartSA to 2 lines of treatment</t>
  </si>
  <si>
    <t>Base case = TA858 and RDI</t>
  </si>
  <si>
    <t>Base case = EAG value</t>
  </si>
  <si>
    <t>Settings for new EAG base case (following company's TE response)</t>
  </si>
  <si>
    <t>dd_RDI_new_bc</t>
  </si>
  <si>
    <t>Scenario settings 7</t>
  </si>
  <si>
    <t>dd_PartSA_2_lines</t>
  </si>
  <si>
    <t>Company scenarios</t>
  </si>
  <si>
    <t>C1:1L treatment efficacy: proportional hazards NMA for all treatments</t>
  </si>
  <si>
    <t>C2:Limit to 2 lines of treatment</t>
  </si>
  <si>
    <t>C3:Time on treatment, TTD=PFS</t>
  </si>
  <si>
    <t>C4:Data source used for AEs-Individual trials</t>
  </si>
  <si>
    <t>C5:RDIs informed by company's alternative RDIs</t>
  </si>
  <si>
    <t>C6:1L treatment efficacy: proportional hazards NMA for all treatments, PartSA</t>
  </si>
  <si>
    <t>C7: Limit to 2 lines of treatment, PartSA</t>
  </si>
  <si>
    <t>C8:Time on treatment, TTD=PFS, PartSA</t>
  </si>
  <si>
    <t>C9:Data source used for AEs-Individual trials, PartSA</t>
  </si>
  <si>
    <t>C10:RDIs informed by company's alternative RDIs, PartSA</t>
  </si>
  <si>
    <t>Using TTNT data as a proxy for PFS for nivo+ipi</t>
  </si>
  <si>
    <t>Using estimates from NHSE for the proportion of patients using each long-term dose of lenvatinib within pembrolizumab plus lenvatinib</t>
  </si>
  <si>
    <t>dd_nivoipiPFS</t>
  </si>
  <si>
    <t>TTNT</t>
  </si>
  <si>
    <t>dd_lenv_dose_source</t>
  </si>
  <si>
    <t>NHSE</t>
  </si>
  <si>
    <t>Efficacy-TTNT</t>
  </si>
  <si>
    <t>lenvatinib1</t>
  </si>
  <si>
    <t>lenvatinib2</t>
  </si>
  <si>
    <t>lenvatinib3</t>
  </si>
  <si>
    <t>lenvatinib4</t>
  </si>
  <si>
    <t>lenvatinib5</t>
  </si>
  <si>
    <t>Dosing Lenv source</t>
  </si>
  <si>
    <t>Using TTNT data as a proxy for PFS for nivo+ipi and PH NMA</t>
  </si>
  <si>
    <t>Impact of prior TKI</t>
  </si>
  <si>
    <t>Impact of prior TKI on effectiveness included</t>
  </si>
  <si>
    <t>dd_priorTKIimpact</t>
  </si>
  <si>
    <t>Origin txt adj forTTD = PFS switch</t>
  </si>
  <si>
    <t>PAS level</t>
  </si>
  <si>
    <t>Explore impact of fav risk on 2nd line outcomes</t>
  </si>
  <si>
    <t>HR for prior fav risk vs all risk PFS at 2nd line</t>
  </si>
  <si>
    <t>None</t>
  </si>
  <si>
    <t>Base case = None</t>
  </si>
  <si>
    <t>Default value (base case settings)</t>
  </si>
  <si>
    <t>dd_impactpriorTKI</t>
  </si>
  <si>
    <t>dd_favriskimpact</t>
  </si>
  <si>
    <t>HR_favvsall</t>
  </si>
  <si>
    <t>dd_producePASanalysis</t>
  </si>
  <si>
    <t>dd_reduceBSC</t>
  </si>
  <si>
    <t>dd_lenv_RDI_100</t>
  </si>
  <si>
    <t>DF13:DF70</t>
  </si>
  <si>
    <t>Settings for updated EAG base case (following ACM)</t>
  </si>
  <si>
    <t>(int/poor risk 1st line)</t>
  </si>
  <si>
    <t>Use updated FP NMA?</t>
  </si>
  <si>
    <t>Use updated sunitinib and everolimus prices?</t>
  </si>
  <si>
    <t>eMIT national database Jul22 to Dec22; updated prices from Jul22 to Jun23 (NPC code: DHA406-408)</t>
  </si>
  <si>
    <t>eMIT national database Jul22 to Dec22;  updated prices from Jul22 to Jun23 (NPC code: DLK044-046)</t>
  </si>
  <si>
    <t>Set HR for OS pem+len?</t>
  </si>
  <si>
    <t>Adjust for equal effectiveness cabo and suni (1st line int/poor)</t>
  </si>
  <si>
    <t>Origin txt adj for cabo and suni equal effectiveness</t>
  </si>
  <si>
    <t>dd_updated_fp_nma</t>
  </si>
  <si>
    <t>dd_updated_sun_eve_price</t>
  </si>
  <si>
    <t>dd_eq_eff_cabo_suni</t>
  </si>
  <si>
    <t>dd_set_HR_pem_len</t>
  </si>
  <si>
    <t>Assume equal effectiveness for cabozantinib and sunitinib</t>
  </si>
  <si>
    <t>% PFS to PD drop in base case applied to 9ER (1L)</t>
  </si>
  <si>
    <t>Settings for additional scenarios (following ACM)</t>
  </si>
  <si>
    <t>Lenvatinib dosing based on 2 pills per person</t>
  </si>
  <si>
    <t>Apply NMA results for all risk to fav risk reference curve</t>
  </si>
  <si>
    <t>Adjust for all risk NMA applied to fav risk</t>
  </si>
  <si>
    <t>NMA all risk applied to fav risk</t>
  </si>
  <si>
    <t>dd_lenv_sc_2pills</t>
  </si>
  <si>
    <t>dd_apply_allrisk_NMA_to_favrisk</t>
  </si>
  <si>
    <t>New scenarios following ACM</t>
  </si>
  <si>
    <t>2 pills for penm+lenv</t>
  </si>
  <si>
    <t>company approach to utilities</t>
  </si>
  <si>
    <t>applying the NMA results for the all-risk NMA to the favourable risk reference curve</t>
  </si>
  <si>
    <t>x</t>
  </si>
  <si>
    <t>xxx</t>
  </si>
  <si>
    <t>Base case = FP NMA</t>
  </si>
  <si>
    <t>Redacted data are presented with red text</t>
  </si>
  <si>
    <t>bc_settings_rng</t>
  </si>
  <si>
    <t>=Lists!$B$99:$B$174</t>
  </si>
  <si>
    <t>count_bc_settings</t>
  </si>
  <si>
    <t>=Lists!$B$97</t>
  </si>
  <si>
    <t>='Model settings'!$G$44</t>
  </si>
  <si>
    <t>='Model settings'!$G$86</t>
  </si>
  <si>
    <t>='Model settings'!$G$78</t>
  </si>
  <si>
    <t>='Model settings'!$G$63</t>
  </si>
  <si>
    <t>='Model settings'!$G$94</t>
  </si>
  <si>
    <t>='Model settings'!$V$59</t>
  </si>
  <si>
    <t>='Model settings'!$G$76</t>
  </si>
  <si>
    <t>='Model settings'!$G$72</t>
  </si>
  <si>
    <t>='Model settings'!$G$82</t>
  </si>
  <si>
    <t>='Model settings'!$V$49</t>
  </si>
  <si>
    <t>='Model settings'!$G$53</t>
  </si>
  <si>
    <t>='Model settings'!$G$74</t>
  </si>
  <si>
    <t>='Model settings'!$T$38</t>
  </si>
  <si>
    <t>='Model settings'!$T$35</t>
  </si>
  <si>
    <t>='Model settings'!$V$57</t>
  </si>
  <si>
    <t>='Model settings'!$G$109</t>
  </si>
  <si>
    <t>='Model settings'!$T$40</t>
  </si>
  <si>
    <t>='Model settings'!$G$84</t>
  </si>
  <si>
    <t>='Model settings'!$G$45</t>
  </si>
  <si>
    <t>='Model settings'!$G$92</t>
  </si>
  <si>
    <t>='Model settings'!$G$57</t>
  </si>
  <si>
    <t>='Model settings'!$T$32</t>
  </si>
  <si>
    <t>='Model settings'!$T$29</t>
  </si>
  <si>
    <t>='Model settings'!$G$59</t>
  </si>
  <si>
    <t>='Model settings'!$G$61</t>
  </si>
  <si>
    <t>='Model settings'!$V$52</t>
  </si>
  <si>
    <t>='Model settings'!$G$80</t>
  </si>
  <si>
    <t>='Model settings'!$G$111</t>
  </si>
  <si>
    <t>='Model settings'!$G$108</t>
  </si>
  <si>
    <t>='Model settings'!$G$107</t>
  </si>
  <si>
    <t>='Model settings'!$G$110</t>
  </si>
  <si>
    <t>='Model settings'!$V$45</t>
  </si>
  <si>
    <t>='Model settings'!$V$47</t>
  </si>
  <si>
    <t>default_bc_settings</t>
  </si>
  <si>
    <t>=Lists!$B$98</t>
  </si>
  <si>
    <t>='Model settings'!$N$44</t>
  </si>
  <si>
    <t>='Model settings'!$N$78</t>
  </si>
  <si>
    <t>='Model settings'!$N$63</t>
  </si>
  <si>
    <t>='Model settings'!$N$65</t>
  </si>
  <si>
    <t>='Model settings'!$N$96</t>
  </si>
  <si>
    <t>='Model settings'!$N$94</t>
  </si>
  <si>
    <t>i_apply_AR_to_FR_NMA</t>
  </si>
  <si>
    <t>='Model settings'!$X$59</t>
  </si>
  <si>
    <t>='Model settings'!$N$56</t>
  </si>
  <si>
    <t>='Model settings'!$N$76</t>
  </si>
  <si>
    <t>='Model settings'!$N$72</t>
  </si>
  <si>
    <t>='Model settings'!$N$82</t>
  </si>
  <si>
    <t>i_eq_eff_cabo_suni</t>
  </si>
  <si>
    <t>='Model settings'!$X$49</t>
  </si>
  <si>
    <t>='Model settings'!$N$53</t>
  </si>
  <si>
    <t>='Model settings'!$N$52</t>
  </si>
  <si>
    <t>='Model settings'!$N$74</t>
  </si>
  <si>
    <t>i_lenv_RDI_100</t>
  </si>
  <si>
    <t>='Model settings'!$X$35</t>
  </si>
  <si>
    <t>i_lenv_sc_2pills</t>
  </si>
  <si>
    <t>='Model settings'!$X$57</t>
  </si>
  <si>
    <t>='Model settings'!$N$109</t>
  </si>
  <si>
    <t>='Model settings'!$N$84</t>
  </si>
  <si>
    <t>i_RDI_new_bc</t>
  </si>
  <si>
    <t>='Model settings'!$X$32</t>
  </si>
  <si>
    <t>='Model settings'!$G$70</t>
  </si>
  <si>
    <t>i_set_HR_pem_len</t>
  </si>
  <si>
    <t>='Model settings'!$X$52</t>
  </si>
  <si>
    <t>='Model settings'!$N$80</t>
  </si>
  <si>
    <t>='Resource use and costs'!$D$154:$N$187</t>
  </si>
  <si>
    <t>='Model settings'!$N$111</t>
  </si>
  <si>
    <t>='Model settings'!$N$108</t>
  </si>
  <si>
    <t>='Model settings'!$N$107</t>
  </si>
  <si>
    <t>='Model settings'!$N$110</t>
  </si>
  <si>
    <t>='Model settings'!$N$55</t>
  </si>
  <si>
    <t>i_updated_fp_nma</t>
  </si>
  <si>
    <t>='Model settings'!$X$45</t>
  </si>
  <si>
    <t>i_updated_sun_eve_price</t>
  </si>
  <si>
    <t>='Model settings'!$X$47</t>
  </si>
  <si>
    <t>List_RDI_new_bc</t>
  </si>
  <si>
    <t>=Lists!$AQ$10:$AQ$12</t>
  </si>
  <si>
    <t>=Lists!$Q$10:$Q$16</t>
  </si>
  <si>
    <t>='Model settings'!$G$88</t>
  </si>
  <si>
    <t>='Model settings'!$G$90</t>
  </si>
  <si>
    <t>='Resource use and costs'!$BA$170:$BI$197</t>
  </si>
  <si>
    <t>='Resource use and costs'!$BA$10:$CE$52</t>
  </si>
  <si>
    <t>R_table_drugcostperweek</t>
  </si>
  <si>
    <t>='Resource use and costs'!$CM$10:$CS$52</t>
  </si>
  <si>
    <t>='Effectiveness settings'!$HJ$400:$HN$406</t>
  </si>
  <si>
    <t>='Resource use and costs'!$BA$96:$BJ$165</t>
  </si>
  <si>
    <t>='Resource use and costs'!$BJ$96:$BO$144</t>
  </si>
  <si>
    <t>='All parameters'!$C$5:$Q$2912</t>
  </si>
  <si>
    <t>='Effectiveness settings'!$HJ$383:$HL$397</t>
  </si>
  <si>
    <t>='Scenario controls'!$B$9:$AT$102</t>
  </si>
  <si>
    <t>='Treatment sequence'!$CX$10:$DR$779</t>
  </si>
  <si>
    <t>='Model settings'!$BA$117:$BL$556</t>
  </si>
  <si>
    <t>Treatment line for RDI</t>
  </si>
  <si>
    <t>Mean/current value</t>
  </si>
  <si>
    <t>Adjustment for survival curve crossing</t>
  </si>
  <si>
    <t>Adjustment for prior adjuvant impact</t>
  </si>
  <si>
    <t>Alternative RDI for nivo (PartSA)</t>
  </si>
  <si>
    <t>Alternative RDI for nivo (ST)</t>
  </si>
  <si>
    <t>Apply all risk NMA to favorable risk NMA</t>
  </si>
  <si>
    <t>Effectiveness inputs based on</t>
  </si>
  <si>
    <t>Assume equal efficiacy for cabo and suni</t>
  </si>
  <si>
    <t>Favorable risk impact</t>
  </si>
  <si>
    <t>Prior TKI impact</t>
  </si>
  <si>
    <t xml:space="preserve">Source of lenv dose </t>
  </si>
  <si>
    <t>Assume 100% RDI for lenv</t>
  </si>
  <si>
    <t>Assume 2 pills for lenv (scenario)</t>
  </si>
  <si>
    <t>Endpoint to use to model PFS for nivo/ipi</t>
  </si>
  <si>
    <t>Consider only 2 lines for PartSA model</t>
  </si>
  <si>
    <t>Assume equal efficacy for Pemlen same as nivocabo</t>
  </si>
  <si>
    <t>Include prior TKI impact</t>
  </si>
  <si>
    <t>Produce PAS analysis?</t>
  </si>
  <si>
    <t>New basecase value for RDI</t>
  </si>
  <si>
    <t>Reduce BSC to 0%</t>
  </si>
  <si>
    <t>Run survival regression?</t>
  </si>
  <si>
    <t>Parametric survival curve selection</t>
  </si>
  <si>
    <t>Include updated FP NMA?</t>
  </si>
  <si>
    <t>Include updated sun and eve price?</t>
  </si>
  <si>
    <t>Cycle length (weeks)</t>
  </si>
  <si>
    <t>Days to weeks conversion factor</t>
  </si>
  <si>
    <t>Reference treatment for line 1 for TE waning</t>
  </si>
  <si>
    <t>Reference treatment for line 2 for TE waning</t>
  </si>
  <si>
    <t>Reference treatment for line 3 for TE waning</t>
  </si>
  <si>
    <t>Reference treatment for line 4 for TE waning</t>
  </si>
  <si>
    <t>Months to weeks conversion factor</t>
  </si>
  <si>
    <t>Scenario number</t>
  </si>
  <si>
    <t>Cut off for grade 3 AEs</t>
  </si>
  <si>
    <t>4L pooled PPS for BSC</t>
  </si>
  <si>
    <t xml:space="preserve">Note: </t>
  </si>
  <si>
    <t>Please note that the uncertainty parameters are contained within the R_tables given in the model settings and user input sheets (blue tabs)</t>
  </si>
  <si>
    <t>CIC comparators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</si>
</sst>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quot;£&quot;* #,##0.00_-;_-&quot;£&quot;* &quot;-&quot;??_-;_-@_-"/>
    <numFmt numFmtId="43" formatCode="_-* #,##0.00_-;\-* #,##0.00_-;_-* &quot;-&quot;??_-;_-@_-"/>
    <numFmt numFmtId="164" formatCode="0.0%"/>
    <numFmt numFmtId="165" formatCode="\£#,##0"/>
    <numFmt numFmtId="166" formatCode="\£#,##0.00"/>
    <numFmt numFmtId="167" formatCode="&quot;TRUE&quot;;&quot;TRUE&quot;;&quot;FALSE&quot;"/>
    <numFmt numFmtId="168" formatCode="&quot;£&quot;#,##0"/>
    <numFmt numFmtId="169" formatCode="0.0"/>
    <numFmt numFmtId="170" formatCode="&quot;£&quot;#,##0.00"/>
    <numFmt numFmtId="171" formatCode="0.000"/>
    <numFmt numFmtId="172" formatCode="0.0000"/>
    <numFmt numFmtId="173" formatCode="0.0000000"/>
    <numFmt numFmtId="174" formatCode="_-* #,##0_-;\-* #,##0_-;_-* &quot;-&quot;??_-;_-@_-"/>
    <numFmt numFmtId="175" formatCode="_-&quot;£&quot;* #,##0_-;\-&quot;£&quot;* #,##0_-;_-&quot;£&quot;* &quot;-&quot;??_-;_-@_-"/>
    <numFmt numFmtId="176" formatCode="0.00000000000000%"/>
  </numFmts>
  <fonts count="107" x14ac:knownFonts="1">
    <font>
      <sz val="11"/>
      <color rgb="FF000000"/>
      <name val="Calibri"/>
      <family val="2"/>
      <charset val="1"/>
    </font>
    <font>
      <sz val="11"/>
      <color rgb="FF000000"/>
      <name val="Arial"/>
      <family val="2"/>
      <charset val="1"/>
    </font>
    <font>
      <sz val="12"/>
      <color rgb="FF000000"/>
      <name val="Arial"/>
      <family val="2"/>
      <charset val="1"/>
    </font>
    <font>
      <sz val="9"/>
      <color rgb="FF000000"/>
      <name val="Arial"/>
      <family val="2"/>
      <charset val="1"/>
    </font>
    <font>
      <b/>
      <sz val="14"/>
      <color rgb="FF000000"/>
      <name val="Arial"/>
      <family val="2"/>
      <charset val="1"/>
    </font>
    <font>
      <u/>
      <sz val="11"/>
      <color rgb="FF0563C1"/>
      <name val="Calibri"/>
      <family val="2"/>
      <charset val="1"/>
    </font>
    <font>
      <u/>
      <sz val="14"/>
      <color rgb="FF0563C1"/>
      <name val="Arial"/>
      <family val="2"/>
      <charset val="1"/>
    </font>
    <font>
      <u/>
      <sz val="12"/>
      <color rgb="FF0563C1"/>
      <name val="Calibri"/>
      <family val="2"/>
      <charset val="1"/>
    </font>
    <font>
      <sz val="14"/>
      <color rgb="FF000000"/>
      <name val="Arial"/>
      <family val="2"/>
      <charset val="1"/>
    </font>
    <font>
      <b/>
      <sz val="12"/>
      <color rgb="FFFFFFFF"/>
      <name val="Arial"/>
      <family val="2"/>
      <charset val="1"/>
    </font>
    <font>
      <b/>
      <u/>
      <sz val="12"/>
      <color rgb="FFFFFFFF"/>
      <name val="Arial"/>
      <family val="2"/>
      <charset val="1"/>
    </font>
    <font>
      <b/>
      <u/>
      <sz val="14"/>
      <color rgb="FFFFFFFF"/>
      <name val="Arial"/>
      <family val="2"/>
      <charset val="1"/>
    </font>
    <font>
      <b/>
      <sz val="12"/>
      <color rgb="FF000000"/>
      <name val="Arial"/>
      <family val="2"/>
      <charset val="1"/>
    </font>
    <font>
      <sz val="12"/>
      <color rgb="FFFF0000"/>
      <name val="Arial"/>
      <family val="2"/>
      <charset val="1"/>
    </font>
    <font>
      <b/>
      <u/>
      <sz val="12"/>
      <color rgb="FF000000"/>
      <name val="Arial"/>
      <family val="2"/>
      <charset val="1"/>
    </font>
    <font>
      <sz val="12"/>
      <color rgb="FFFFFFFF"/>
      <name val="Arial"/>
      <family val="2"/>
      <charset val="1"/>
    </font>
    <font>
      <b/>
      <sz val="11"/>
      <color rgb="FF000000"/>
      <name val="Arial"/>
      <family val="2"/>
      <charset val="1"/>
    </font>
    <font>
      <sz val="11"/>
      <color rgb="FFFFFFFF"/>
      <name val="Calibri"/>
      <family val="2"/>
      <charset val="1"/>
    </font>
    <font>
      <b/>
      <sz val="11"/>
      <name val="Calibri"/>
      <family val="2"/>
      <charset val="1"/>
    </font>
    <font>
      <b/>
      <sz val="12"/>
      <color rgb="FF000000"/>
      <name val="Calibri"/>
      <family val="2"/>
      <charset val="1"/>
    </font>
    <font>
      <b/>
      <sz val="11"/>
      <color rgb="FF000000"/>
      <name val="Calibri"/>
      <family val="2"/>
      <charset val="1"/>
    </font>
    <font>
      <sz val="11"/>
      <color rgb="FF000000"/>
      <name val="Calibri"/>
      <family val="2"/>
      <charset val="1"/>
    </font>
    <font>
      <sz val="11"/>
      <color rgb="FFFF0000"/>
      <name val="Calibri"/>
      <family val="2"/>
      <charset val="1"/>
    </font>
    <font>
      <u/>
      <sz val="14"/>
      <color rgb="FF0563C1"/>
      <name val="Arial"/>
      <family val="2"/>
    </font>
    <font>
      <u/>
      <sz val="12"/>
      <color rgb="FF000000"/>
      <name val="Arial"/>
      <family val="2"/>
      <charset val="1"/>
    </font>
    <font>
      <sz val="12"/>
      <color rgb="FF000000"/>
      <name val="Arial"/>
      <family val="2"/>
    </font>
    <font>
      <b/>
      <u/>
      <sz val="12"/>
      <color rgb="FFFFFFFF"/>
      <name val="Arial"/>
      <family val="2"/>
    </font>
    <font>
      <b/>
      <u/>
      <sz val="14"/>
      <color rgb="FFFFFFFF"/>
      <name val="Arial"/>
      <family val="2"/>
    </font>
    <font>
      <b/>
      <sz val="12"/>
      <color rgb="FFFFFFFF"/>
      <name val="Arial"/>
      <family val="2"/>
    </font>
    <font>
      <sz val="11"/>
      <color rgb="FF000000"/>
      <name val="Arial"/>
      <family val="2"/>
    </font>
    <font>
      <b/>
      <sz val="12"/>
      <color rgb="FF000000"/>
      <name val="Arial"/>
      <family val="2"/>
    </font>
    <font>
      <u/>
      <sz val="12"/>
      <color rgb="FF000000"/>
      <name val="Arial"/>
      <family val="2"/>
    </font>
    <font>
      <b/>
      <sz val="11"/>
      <color rgb="FF000000"/>
      <name val="Arial"/>
      <family val="2"/>
    </font>
    <font>
      <b/>
      <u/>
      <sz val="11"/>
      <color rgb="FF000000"/>
      <name val="Arial"/>
      <family val="2"/>
    </font>
    <font>
      <b/>
      <u/>
      <sz val="12"/>
      <color rgb="FF000000"/>
      <name val="Arial"/>
      <family val="2"/>
    </font>
    <font>
      <i/>
      <sz val="11"/>
      <color rgb="FF000000"/>
      <name val="Arial"/>
      <family val="2"/>
    </font>
    <font>
      <sz val="11"/>
      <name val="Calibri"/>
      <family val="2"/>
      <charset val="1"/>
    </font>
    <font>
      <sz val="11"/>
      <color theme="0"/>
      <name val="Arial"/>
      <family val="2"/>
      <charset val="1"/>
    </font>
    <font>
      <i/>
      <sz val="10"/>
      <color rgb="FF000000"/>
      <name val="Arial"/>
      <family val="2"/>
    </font>
    <font>
      <sz val="12"/>
      <color theme="0"/>
      <name val="Arial"/>
      <family val="2"/>
      <charset val="1"/>
    </font>
    <font>
      <i/>
      <sz val="12"/>
      <color rgb="FF000000"/>
      <name val="Arial"/>
      <family val="2"/>
    </font>
    <font>
      <sz val="8"/>
      <name val="Calibri"/>
      <family val="2"/>
      <charset val="1"/>
    </font>
    <font>
      <b/>
      <sz val="12"/>
      <name val="Arial"/>
      <family val="2"/>
      <charset val="1"/>
    </font>
    <font>
      <sz val="12"/>
      <name val="Arial"/>
      <family val="2"/>
      <charset val="1"/>
    </font>
    <font>
      <b/>
      <sz val="15"/>
      <color theme="3"/>
      <name val="Calibri"/>
      <family val="2"/>
      <scheme val="minor"/>
    </font>
    <font>
      <b/>
      <sz val="11"/>
      <color rgb="FF000000"/>
      <name val="Calibri"/>
      <family val="2"/>
    </font>
    <font>
      <b/>
      <sz val="11"/>
      <name val="Calibri"/>
      <family val="2"/>
    </font>
    <font>
      <sz val="12"/>
      <color theme="0" tint="-0.499984740745262"/>
      <name val="Arial"/>
      <family val="2"/>
      <charset val="1"/>
    </font>
    <font>
      <sz val="12"/>
      <name val="Arial"/>
      <family val="2"/>
    </font>
    <font>
      <sz val="12"/>
      <color theme="0"/>
      <name val="Arial"/>
      <family val="2"/>
    </font>
    <font>
      <sz val="10"/>
      <color rgb="FF000000"/>
      <name val="Arial"/>
      <family val="2"/>
      <charset val="1"/>
    </font>
    <font>
      <sz val="11"/>
      <color rgb="FFFF0000"/>
      <name val="Arial"/>
      <family val="2"/>
    </font>
    <font>
      <b/>
      <sz val="12"/>
      <color rgb="FFFF0000"/>
      <name val="Arial"/>
      <family val="2"/>
      <charset val="1"/>
    </font>
    <font>
      <sz val="11"/>
      <color rgb="FFFF0000"/>
      <name val="Arial"/>
      <family val="2"/>
      <charset val="1"/>
    </font>
    <font>
      <sz val="11"/>
      <color theme="0" tint="-4.9989318521683403E-2"/>
      <name val="Arial"/>
      <family val="2"/>
    </font>
    <font>
      <sz val="11"/>
      <color rgb="FF7030A0"/>
      <name val="Calibri"/>
      <family val="2"/>
    </font>
    <font>
      <b/>
      <u/>
      <sz val="11"/>
      <color rgb="FF7030A0"/>
      <name val="Calibri"/>
      <family val="2"/>
    </font>
    <font>
      <u/>
      <sz val="11"/>
      <color rgb="FF7030A0"/>
      <name val="Calibri"/>
      <family val="2"/>
    </font>
    <font>
      <b/>
      <sz val="11"/>
      <color rgb="FF7030A0"/>
      <name val="Calibri"/>
      <family val="2"/>
    </font>
    <font>
      <sz val="11"/>
      <color rgb="FF7030A0"/>
      <name val="Calibri"/>
      <family val="2"/>
      <charset val="1"/>
    </font>
    <font>
      <sz val="11"/>
      <color theme="2"/>
      <name val="Calibri"/>
      <family val="2"/>
      <charset val="1"/>
    </font>
    <font>
      <sz val="12"/>
      <color theme="0" tint="-4.9989318521683403E-2"/>
      <name val="Arial"/>
      <family val="2"/>
      <charset val="1"/>
    </font>
    <font>
      <sz val="11"/>
      <color theme="0" tint="-0.499984740745262"/>
      <name val="Arial"/>
      <family val="2"/>
      <charset val="1"/>
    </font>
    <font>
      <b/>
      <sz val="11"/>
      <color rgb="FF7030A0"/>
      <name val="Calibri"/>
      <family val="2"/>
      <charset val="1"/>
    </font>
    <font>
      <i/>
      <sz val="11"/>
      <color rgb="FF7030A0"/>
      <name val="Calibri"/>
      <family val="2"/>
    </font>
    <font>
      <b/>
      <u/>
      <sz val="12"/>
      <color rgb="FF0563C1"/>
      <name val="Arial"/>
      <family val="2"/>
    </font>
    <font>
      <b/>
      <u/>
      <sz val="10"/>
      <color rgb="FF000000"/>
      <name val="Arial"/>
      <family val="2"/>
      <charset val="1"/>
    </font>
    <font>
      <sz val="12"/>
      <color theme="0" tint="-0.499984740745262"/>
      <name val="Arial"/>
      <family val="2"/>
    </font>
    <font>
      <sz val="12"/>
      <color theme="2"/>
      <name val="Arial"/>
      <family val="2"/>
      <charset val="1"/>
    </font>
    <font>
      <u/>
      <sz val="11"/>
      <color rgb="FF000000"/>
      <name val="Arial"/>
      <family val="2"/>
    </font>
    <font>
      <sz val="12"/>
      <color theme="1"/>
      <name val="Arial"/>
      <family val="2"/>
      <charset val="1"/>
    </font>
    <font>
      <sz val="11"/>
      <color rgb="FF006100"/>
      <name val="Calibri"/>
      <family val="2"/>
      <scheme val="minor"/>
    </font>
    <font>
      <b/>
      <sz val="11"/>
      <color rgb="FF006100"/>
      <name val="Arial"/>
      <family val="2"/>
    </font>
    <font>
      <sz val="11"/>
      <name val="Arial"/>
      <family val="2"/>
    </font>
    <font>
      <b/>
      <sz val="11"/>
      <name val="Arial"/>
      <family val="2"/>
    </font>
    <font>
      <sz val="11"/>
      <color theme="2"/>
      <name val="Arial"/>
      <family val="2"/>
    </font>
    <font>
      <b/>
      <sz val="12"/>
      <name val="Arial"/>
      <family val="2"/>
    </font>
    <font>
      <sz val="11"/>
      <color theme="1"/>
      <name val="Arial"/>
      <family val="2"/>
    </font>
    <font>
      <sz val="10"/>
      <name val="Arial"/>
      <family val="2"/>
    </font>
    <font>
      <sz val="12"/>
      <color rgb="FFFFC000"/>
      <name val="Arial"/>
      <family val="2"/>
      <charset val="1"/>
    </font>
    <font>
      <b/>
      <sz val="11"/>
      <color theme="1"/>
      <name val="Calibri"/>
      <family val="2"/>
      <scheme val="minor"/>
    </font>
    <font>
      <sz val="11"/>
      <color theme="0" tint="-4.9989318521683403E-2"/>
      <name val="Arial"/>
      <family val="2"/>
      <charset val="1"/>
    </font>
    <font>
      <sz val="11"/>
      <name val="Arial"/>
      <family val="2"/>
      <charset val="1"/>
    </font>
    <font>
      <sz val="11"/>
      <color theme="2"/>
      <name val="Arial"/>
      <family val="2"/>
      <charset val="1"/>
    </font>
    <font>
      <b/>
      <sz val="12"/>
      <color theme="2"/>
      <name val="Arial"/>
      <family val="2"/>
      <charset val="1"/>
    </font>
    <font>
      <b/>
      <u/>
      <sz val="12"/>
      <color theme="0"/>
      <name val="Arial"/>
      <family val="2"/>
    </font>
    <font>
      <b/>
      <sz val="12"/>
      <color theme="0"/>
      <name val="Arial"/>
      <family val="2"/>
    </font>
    <font>
      <sz val="12"/>
      <color theme="2"/>
      <name val="Arial"/>
      <family val="2"/>
    </font>
    <font>
      <b/>
      <sz val="12"/>
      <color theme="2"/>
      <name val="Arial"/>
      <family val="2"/>
    </font>
    <font>
      <sz val="12"/>
      <color theme="2" tint="-9.9978637043366805E-2"/>
      <name val="Arial"/>
      <family val="2"/>
    </font>
    <font>
      <sz val="12"/>
      <color theme="0" tint="-0.14999847407452621"/>
      <name val="Arial"/>
      <family val="2"/>
    </font>
    <font>
      <b/>
      <sz val="12"/>
      <color theme="0" tint="-0.14999847407452621"/>
      <name val="Arial"/>
      <family val="2"/>
    </font>
    <font>
      <sz val="11"/>
      <color theme="0" tint="-0.14999847407452621"/>
      <name val="Arial"/>
      <family val="2"/>
    </font>
    <font>
      <sz val="12"/>
      <color theme="0" tint="-4.9989318521683403E-2"/>
      <name val="Arial"/>
      <family val="2"/>
    </font>
    <font>
      <b/>
      <sz val="12"/>
      <color theme="0" tint="-4.9989318521683403E-2"/>
      <name val="Arial"/>
      <family val="2"/>
    </font>
    <font>
      <b/>
      <sz val="12"/>
      <color theme="0" tint="-0.499984740745262"/>
      <name val="Arial"/>
      <family val="2"/>
    </font>
    <font>
      <sz val="11"/>
      <name val="Calibri"/>
      <family val="2"/>
    </font>
    <font>
      <sz val="12"/>
      <color rgb="FF000000"/>
      <name val="Arial"/>
      <family val="2"/>
    </font>
    <font>
      <b/>
      <sz val="12"/>
      <color rgb="FF000000"/>
      <name val="Arial"/>
      <family val="2"/>
    </font>
    <font>
      <sz val="12"/>
      <color theme="0" tint="-0.499984740745262"/>
      <name val="Arial"/>
      <family val="2"/>
    </font>
    <font>
      <sz val="12"/>
      <name val="Arial"/>
      <family val="2"/>
    </font>
    <font>
      <sz val="11"/>
      <color rgb="FF000000"/>
      <name val="Arial"/>
      <family val="2"/>
    </font>
    <font>
      <sz val="12"/>
      <color rgb="FFFF0000"/>
      <name val="Arial"/>
      <family val="2"/>
    </font>
    <font>
      <b/>
      <sz val="11"/>
      <color rgb="FFFF0000"/>
      <name val="Arial"/>
      <family val="2"/>
    </font>
    <font>
      <i/>
      <sz val="12"/>
      <name val="Arial"/>
      <family val="2"/>
    </font>
    <font>
      <i/>
      <sz val="10"/>
      <color rgb="FFFF0000"/>
      <name val="Arial"/>
      <family val="2"/>
    </font>
    <font>
      <b/>
      <u/>
      <sz val="11"/>
      <name val="Calibri"/>
      <family val="2"/>
    </font>
  </fonts>
  <fills count="31">
    <fill>
      <patternFill patternType="none"/>
    </fill>
    <fill>
      <patternFill patternType="gray125"/>
    </fill>
    <fill>
      <patternFill patternType="solid">
        <fgColor rgb="FFE7E6E6"/>
        <bgColor rgb="FFFFFFFF"/>
      </patternFill>
    </fill>
    <fill>
      <patternFill patternType="solid">
        <fgColor rgb="FF375251"/>
        <bgColor rgb="FF002C3C"/>
      </patternFill>
    </fill>
    <fill>
      <patternFill patternType="solid">
        <fgColor rgb="FFEADA97"/>
        <bgColor rgb="FFCCFFFF"/>
      </patternFill>
    </fill>
    <fill>
      <patternFill patternType="solid">
        <fgColor rgb="FF5F99CA"/>
        <bgColor rgb="FFCCCCFF"/>
      </patternFill>
    </fill>
    <fill>
      <patternFill patternType="solid">
        <fgColor rgb="FF5F99CA"/>
        <bgColor indexed="64"/>
      </patternFill>
    </fill>
    <fill>
      <patternFill patternType="darkGray">
        <bgColor rgb="FF5F99CA"/>
      </patternFill>
    </fill>
    <fill>
      <patternFill patternType="solid">
        <fgColor theme="2"/>
        <bgColor rgb="FFCCCCFF"/>
      </patternFill>
    </fill>
    <fill>
      <patternFill patternType="solid">
        <fgColor theme="0"/>
        <bgColor rgb="FFCCCCFF"/>
      </patternFill>
    </fill>
    <fill>
      <patternFill patternType="solid">
        <fgColor rgb="FF5F99CA"/>
        <bgColor rgb="FFFFFFFF"/>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bgColor indexed="64"/>
      </patternFill>
    </fill>
    <fill>
      <patternFill patternType="solid">
        <fgColor theme="2"/>
        <bgColor rgb="FFFFFFFF"/>
      </patternFill>
    </fill>
    <fill>
      <patternFill patternType="solid">
        <fgColor theme="0"/>
        <bgColor indexed="64"/>
      </patternFill>
    </fill>
    <fill>
      <patternFill patternType="solid">
        <fgColor theme="0"/>
        <bgColor rgb="FFFFFFFF"/>
      </patternFill>
    </fill>
    <fill>
      <patternFill patternType="solid">
        <fgColor theme="0" tint="-4.9989318521683403E-2"/>
        <bgColor auto="1"/>
      </patternFill>
    </fill>
    <fill>
      <patternFill patternType="solid">
        <fgColor rgb="FFE7E6E6"/>
        <bgColor auto="1"/>
      </patternFill>
    </fill>
    <fill>
      <patternFill patternType="solid">
        <fgColor rgb="FFEADA97"/>
        <bgColor indexed="64"/>
      </patternFill>
    </fill>
    <fill>
      <patternFill patternType="solid">
        <fgColor theme="0"/>
        <bgColor rgb="FFCCFFFF"/>
      </patternFill>
    </fill>
    <fill>
      <patternFill patternType="solid">
        <fgColor rgb="FFEADA97"/>
        <bgColor rgb="FFE7E6E6"/>
      </patternFill>
    </fill>
    <fill>
      <patternFill patternType="solid">
        <fgColor rgb="FFC6EFCE"/>
      </patternFill>
    </fill>
    <fill>
      <patternFill patternType="solid">
        <fgColor theme="2"/>
        <bgColor rgb="FFCCFFFF"/>
      </patternFill>
    </fill>
    <fill>
      <patternFill patternType="solid">
        <fgColor theme="0" tint="-0.14999847407452621"/>
        <bgColor indexed="64"/>
      </patternFill>
    </fill>
    <fill>
      <patternFill patternType="solid">
        <fgColor theme="2" tint="-9.9978637043366805E-2"/>
        <bgColor rgb="FFCCFFFF"/>
      </patternFill>
    </fill>
    <fill>
      <patternFill patternType="solid">
        <fgColor rgb="FF00FFFF"/>
        <bgColor indexed="64"/>
      </patternFill>
    </fill>
    <fill>
      <patternFill patternType="solid">
        <fgColor rgb="FF00FFFF"/>
        <bgColor rgb="FFCCCCFF"/>
      </patternFill>
    </fill>
    <fill>
      <patternFill patternType="solid">
        <fgColor rgb="FF00FFFF"/>
        <bgColor rgb="FFFFFFFF"/>
      </patternFill>
    </fill>
  </fills>
  <borders count="101">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medium">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bottom style="double">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medium">
        <color auto="1"/>
      </left>
      <right/>
      <top style="thin">
        <color auto="1"/>
      </top>
      <bottom style="thin">
        <color auto="1"/>
      </bottom>
      <diagonal/>
    </border>
    <border>
      <left style="thin">
        <color auto="1"/>
      </left>
      <right/>
      <top style="medium">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style="thin">
        <color auto="1"/>
      </bottom>
      <diagonal/>
    </border>
    <border>
      <left/>
      <right/>
      <top style="medium">
        <color auto="1"/>
      </top>
      <bottom style="medium">
        <color indexed="64"/>
      </bottom>
      <diagonal/>
    </border>
    <border>
      <left/>
      <right style="medium">
        <color auto="1"/>
      </right>
      <top style="medium">
        <color auto="1"/>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auto="1"/>
      </left>
      <right style="thin">
        <color auto="1"/>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indexed="64"/>
      </left>
      <right style="medium">
        <color indexed="64"/>
      </right>
      <top style="thin">
        <color auto="1"/>
      </top>
      <bottom/>
      <diagonal/>
    </border>
    <border>
      <left style="medium">
        <color auto="1"/>
      </left>
      <right/>
      <top/>
      <bottom/>
      <diagonal/>
    </border>
    <border>
      <left/>
      <right style="medium">
        <color auto="1"/>
      </right>
      <top/>
      <bottom/>
      <diagonal/>
    </border>
    <border>
      <left/>
      <right style="thin">
        <color auto="1"/>
      </right>
      <top style="medium">
        <color indexed="64"/>
      </top>
      <bottom style="medium">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top style="medium">
        <color auto="1"/>
      </top>
      <bottom style="medium">
        <color indexed="64"/>
      </bottom>
      <diagonal/>
    </border>
    <border>
      <left/>
      <right style="medium">
        <color auto="1"/>
      </right>
      <top style="medium">
        <color auto="1"/>
      </top>
      <bottom style="medium">
        <color auto="1"/>
      </bottom>
      <diagonal/>
    </border>
    <border>
      <left style="medium">
        <color indexed="64"/>
      </left>
      <right style="medium">
        <color indexed="64"/>
      </right>
      <top/>
      <bottom style="thin">
        <color auto="1"/>
      </bottom>
      <diagonal/>
    </border>
    <border>
      <left style="thin">
        <color auto="1"/>
      </left>
      <right/>
      <top style="medium">
        <color auto="1"/>
      </top>
      <bottom style="medium">
        <color auto="1"/>
      </bottom>
      <diagonal/>
    </border>
    <border>
      <left style="thin">
        <color auto="1"/>
      </left>
      <right style="thin">
        <color auto="1"/>
      </right>
      <top/>
      <bottom style="medium">
        <color auto="1"/>
      </bottom>
      <diagonal/>
    </border>
    <border>
      <left style="medium">
        <color auto="1"/>
      </left>
      <right/>
      <top style="medium">
        <color auto="1"/>
      </top>
      <bottom style="thin">
        <color auto="1"/>
      </bottom>
      <diagonal/>
    </border>
    <border>
      <left style="thin">
        <color auto="1"/>
      </left>
      <right/>
      <top style="medium">
        <color auto="1"/>
      </top>
      <bottom/>
      <diagonal/>
    </border>
    <border>
      <left style="medium">
        <color indexed="64"/>
      </left>
      <right/>
      <top style="thin">
        <color auto="1"/>
      </top>
      <bottom/>
      <diagonal/>
    </border>
    <border>
      <left style="medium">
        <color indexed="64"/>
      </left>
      <right style="thin">
        <color auto="1"/>
      </right>
      <top style="medium">
        <color indexed="64"/>
      </top>
      <bottom/>
      <diagonal/>
    </border>
    <border>
      <left style="medium">
        <color indexed="64"/>
      </left>
      <right style="thin">
        <color auto="1"/>
      </right>
      <top/>
      <bottom style="medium">
        <color auto="1"/>
      </bottom>
      <diagonal/>
    </border>
    <border>
      <left style="thin">
        <color auto="1"/>
      </left>
      <right style="medium">
        <color indexed="64"/>
      </right>
      <top/>
      <bottom style="medium">
        <color auto="1"/>
      </bottom>
      <diagonal/>
    </border>
    <border>
      <left/>
      <right/>
      <top/>
      <bottom style="thick">
        <color theme="4"/>
      </bottom>
      <diagonal/>
    </border>
    <border>
      <left/>
      <right style="thin">
        <color auto="1"/>
      </right>
      <top/>
      <bottom style="medium">
        <color indexed="64"/>
      </bottom>
      <diagonal/>
    </border>
    <border>
      <left/>
      <right style="medium">
        <color indexed="64"/>
      </right>
      <top/>
      <bottom style="thin">
        <color indexed="64"/>
      </bottom>
      <diagonal/>
    </border>
    <border>
      <left style="thin">
        <color auto="1"/>
      </left>
      <right style="thin">
        <color auto="1"/>
      </right>
      <top/>
      <bottom/>
      <diagonal/>
    </border>
    <border>
      <left style="thin">
        <color auto="1"/>
      </left>
      <right style="medium">
        <color indexed="64"/>
      </right>
      <top/>
      <bottom/>
      <diagonal/>
    </border>
    <border>
      <left style="medium">
        <color auto="1"/>
      </left>
      <right style="thin">
        <color auto="1"/>
      </right>
      <top/>
      <bottom/>
      <diagonal/>
    </border>
    <border>
      <left/>
      <right style="medium">
        <color indexed="64"/>
      </right>
      <top style="thin">
        <color auto="1"/>
      </top>
      <bottom style="thin">
        <color auto="1"/>
      </bottom>
      <diagonal/>
    </border>
    <border>
      <left/>
      <right style="medium">
        <color indexed="64"/>
      </right>
      <top style="thin">
        <color auto="1"/>
      </top>
      <bottom/>
      <diagonal/>
    </border>
    <border>
      <left/>
      <right style="medium">
        <color indexed="64"/>
      </right>
      <top style="thin">
        <color auto="1"/>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auto="1"/>
      </bottom>
      <diagonal/>
    </border>
    <border>
      <left style="thin">
        <color auto="1"/>
      </left>
      <right style="thick">
        <color auto="1"/>
      </right>
      <top style="medium">
        <color auto="1"/>
      </top>
      <bottom style="thin">
        <color auto="1"/>
      </bottom>
      <diagonal/>
    </border>
    <border>
      <left style="thin">
        <color auto="1"/>
      </left>
      <right style="thick">
        <color auto="1"/>
      </right>
      <top style="thin">
        <color auto="1"/>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ck">
        <color indexed="64"/>
      </left>
      <right/>
      <top/>
      <bottom/>
      <diagonal/>
    </border>
    <border>
      <left/>
      <right style="thick">
        <color indexed="64"/>
      </right>
      <top/>
      <bottom/>
      <diagonal/>
    </border>
    <border>
      <left style="thick">
        <color indexed="64"/>
      </left>
      <right style="thin">
        <color auto="1"/>
      </right>
      <top style="thin">
        <color auto="1"/>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auto="1"/>
      </right>
      <top style="thin">
        <color auto="1"/>
      </top>
      <bottom style="thick">
        <color indexed="64"/>
      </bottom>
      <diagonal/>
    </border>
    <border>
      <left style="thin">
        <color auto="1"/>
      </left>
      <right style="thin">
        <color auto="1"/>
      </right>
      <top style="thin">
        <color auto="1"/>
      </top>
      <bottom style="thick">
        <color indexed="64"/>
      </bottom>
      <diagonal/>
    </border>
    <border>
      <left/>
      <right style="thick">
        <color indexed="64"/>
      </right>
      <top style="thin">
        <color auto="1"/>
      </top>
      <bottom style="thin">
        <color auto="1"/>
      </bottom>
      <diagonal/>
    </border>
    <border>
      <left style="thick">
        <color auto="1"/>
      </left>
      <right style="thin">
        <color auto="1"/>
      </right>
      <top style="thin">
        <color auto="1"/>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thin">
        <color indexed="64"/>
      </top>
      <bottom style="double">
        <color indexed="64"/>
      </bottom>
      <diagonal/>
    </border>
    <border>
      <left style="thin">
        <color auto="1"/>
      </left>
      <right style="thick">
        <color auto="1"/>
      </right>
      <top/>
      <bottom/>
      <diagonal/>
    </border>
  </borders>
  <cellStyleXfs count="6">
    <xf numFmtId="0" fontId="0" fillId="0" borderId="0"/>
    <xf numFmtId="9" fontId="21" fillId="0" borderId="0" applyBorder="0" applyProtection="0"/>
    <xf numFmtId="0" fontId="5" fillId="0" borderId="0" applyBorder="0" applyProtection="0"/>
    <xf numFmtId="0" fontId="44" fillId="0" borderId="72" applyNumberFormat="0" applyFill="0" applyAlignment="0" applyProtection="0"/>
    <xf numFmtId="0" fontId="71" fillId="24" borderId="0" applyNumberFormat="0" applyBorder="0" applyAlignment="0" applyProtection="0"/>
    <xf numFmtId="43" fontId="21" fillId="0" borderId="0" applyFont="0" applyFill="0" applyBorder="0" applyAlignment="0" applyProtection="0"/>
  </cellStyleXfs>
  <cellXfs count="1753">
    <xf numFmtId="0" fontId="0" fillId="0" borderId="0" xfId="0"/>
    <xf numFmtId="0" fontId="2" fillId="0" borderId="0" xfId="0" applyFont="1" applyAlignment="1">
      <alignment horizontal="center"/>
    </xf>
    <xf numFmtId="0" fontId="14" fillId="0" borderId="0" xfId="0" applyFont="1" applyAlignment="1">
      <alignment horizontal="center"/>
    </xf>
    <xf numFmtId="0" fontId="2" fillId="0" borderId="1" xfId="0" applyFont="1" applyBorder="1" applyAlignment="1">
      <alignment horizontal="center"/>
    </xf>
    <xf numFmtId="0" fontId="1" fillId="0" borderId="0" xfId="0" applyFont="1"/>
    <xf numFmtId="0" fontId="1" fillId="0" borderId="1" xfId="0" applyFont="1" applyBorder="1"/>
    <xf numFmtId="0" fontId="2" fillId="0" borderId="0" xfId="0" applyFont="1"/>
    <xf numFmtId="0" fontId="3" fillId="0" borderId="0" xfId="0" applyFont="1"/>
    <xf numFmtId="0" fontId="4" fillId="0" borderId="0" xfId="0" applyFont="1"/>
    <xf numFmtId="0" fontId="7" fillId="0" borderId="0" xfId="2" applyFont="1" applyBorder="1" applyProtection="1"/>
    <xf numFmtId="0" fontId="6" fillId="0" borderId="3" xfId="2" applyFont="1" applyBorder="1" applyProtection="1"/>
    <xf numFmtId="0" fontId="8" fillId="0" borderId="4" xfId="0" applyFont="1" applyBorder="1"/>
    <xf numFmtId="0" fontId="12" fillId="0" borderId="0" xfId="0" applyFont="1"/>
    <xf numFmtId="0" fontId="13" fillId="0" borderId="0" xfId="0" applyFont="1"/>
    <xf numFmtId="0" fontId="2" fillId="0" borderId="0" xfId="0" applyFont="1" applyAlignment="1">
      <alignment horizontal="left" indent="1"/>
    </xf>
    <xf numFmtId="0" fontId="12" fillId="0" borderId="0" xfId="0" applyFont="1" applyAlignment="1">
      <alignment horizontal="right"/>
    </xf>
    <xf numFmtId="0" fontId="15" fillId="0" borderId="0" xfId="0" applyFont="1"/>
    <xf numFmtId="0" fontId="2" fillId="0" borderId="1" xfId="0" applyFont="1" applyBorder="1"/>
    <xf numFmtId="0" fontId="2" fillId="0" borderId="1" xfId="0" applyFont="1" applyBorder="1" applyAlignment="1">
      <alignment wrapText="1"/>
    </xf>
    <xf numFmtId="0" fontId="2" fillId="0" borderId="11" xfId="0" applyFont="1" applyBorder="1"/>
    <xf numFmtId="0" fontId="2" fillId="0" borderId="12" xfId="0" applyFont="1" applyBorder="1" applyAlignment="1">
      <alignment horizontal="center"/>
    </xf>
    <xf numFmtId="0" fontId="9" fillId="0" borderId="0" xfId="0" applyFont="1"/>
    <xf numFmtId="0" fontId="2" fillId="0" borderId="5" xfId="0" applyFont="1" applyBorder="1"/>
    <xf numFmtId="0" fontId="12" fillId="0" borderId="7" xfId="0" applyFont="1" applyBorder="1"/>
    <xf numFmtId="0" fontId="2" fillId="0" borderId="0" xfId="0" applyFont="1" applyAlignment="1">
      <alignment horizontal="left"/>
    </xf>
    <xf numFmtId="2" fontId="2" fillId="0" borderId="1" xfId="0" applyNumberFormat="1" applyFont="1" applyBorder="1"/>
    <xf numFmtId="0" fontId="0" fillId="0" borderId="1" xfId="0" applyBorder="1"/>
    <xf numFmtId="0" fontId="17" fillId="0" borderId="0" xfId="0" applyFont="1"/>
    <xf numFmtId="0" fontId="19" fillId="0" borderId="31" xfId="0" applyFont="1" applyBorder="1" applyAlignment="1">
      <alignment horizontal="center" vertical="center" wrapText="1"/>
    </xf>
    <xf numFmtId="0" fontId="0" fillId="0" borderId="1" xfId="0" applyBorder="1" applyAlignment="1">
      <alignment wrapText="1"/>
    </xf>
    <xf numFmtId="0" fontId="0" fillId="0" borderId="0" xfId="0" applyAlignment="1">
      <alignment horizontal="center"/>
    </xf>
    <xf numFmtId="0" fontId="20" fillId="0" borderId="0" xfId="0" applyFont="1"/>
    <xf numFmtId="167" fontId="0" fillId="0" borderId="0" xfId="0" applyNumberFormat="1"/>
    <xf numFmtId="0" fontId="0" fillId="0" borderId="0" xfId="0" applyAlignment="1">
      <alignment horizontal="right"/>
    </xf>
    <xf numFmtId="0" fontId="22" fillId="0" borderId="0" xfId="0" applyFont="1"/>
    <xf numFmtId="0" fontId="23" fillId="0" borderId="2" xfId="2" applyFont="1" applyBorder="1" applyProtection="1"/>
    <xf numFmtId="0" fontId="23" fillId="0" borderId="3" xfId="2" applyFont="1" applyBorder="1" applyProtection="1"/>
    <xf numFmtId="0" fontId="2" fillId="3" borderId="0" xfId="0" applyFont="1" applyFill="1"/>
    <xf numFmtId="0" fontId="10" fillId="3" borderId="0" xfId="2" applyFont="1" applyFill="1" applyBorder="1" applyProtection="1"/>
    <xf numFmtId="0" fontId="10" fillId="3" borderId="0" xfId="0" applyFont="1" applyFill="1"/>
    <xf numFmtId="0" fontId="11" fillId="3" borderId="0" xfId="2" applyFont="1" applyFill="1" applyBorder="1" applyProtection="1"/>
    <xf numFmtId="0" fontId="9" fillId="3" borderId="0" xfId="0" applyFont="1" applyFill="1"/>
    <xf numFmtId="0" fontId="2" fillId="4" borderId="1" xfId="0" applyFont="1" applyFill="1" applyBorder="1" applyAlignment="1">
      <alignment horizontal="center"/>
    </xf>
    <xf numFmtId="0" fontId="2" fillId="5" borderId="1" xfId="0" applyFont="1" applyFill="1" applyBorder="1"/>
    <xf numFmtId="0" fontId="2" fillId="0" borderId="1" xfId="0" applyFont="1" applyBorder="1" applyAlignment="1">
      <alignment vertical="top" wrapText="1"/>
    </xf>
    <xf numFmtId="0" fontId="2" fillId="0" borderId="22" xfId="0" applyFont="1" applyBorder="1" applyAlignment="1">
      <alignment wrapText="1"/>
    </xf>
    <xf numFmtId="0" fontId="2" fillId="0" borderId="22" xfId="0" applyFont="1" applyBorder="1"/>
    <xf numFmtId="0" fontId="2" fillId="0" borderId="36" xfId="0" applyFont="1" applyBorder="1"/>
    <xf numFmtId="9" fontId="2" fillId="5" borderId="1" xfId="0" applyNumberFormat="1" applyFont="1" applyFill="1" applyBorder="1" applyAlignment="1">
      <alignment horizontal="center"/>
    </xf>
    <xf numFmtId="0" fontId="2" fillId="5" borderId="11" xfId="0" applyFont="1" applyFill="1" applyBorder="1"/>
    <xf numFmtId="0" fontId="24" fillId="0" borderId="0" xfId="0" applyFont="1" applyAlignment="1">
      <alignment horizontal="left" indent="1"/>
    </xf>
    <xf numFmtId="0" fontId="2" fillId="0" borderId="37" xfId="0" applyFont="1" applyBorder="1" applyAlignment="1">
      <alignment horizontal="center"/>
    </xf>
    <xf numFmtId="0" fontId="12" fillId="0" borderId="5" xfId="0" applyFont="1" applyBorder="1"/>
    <xf numFmtId="0" fontId="25" fillId="3" borderId="0" xfId="0" applyFont="1" applyFill="1"/>
    <xf numFmtId="0" fontId="26" fillId="3" borderId="0" xfId="2" applyFont="1" applyFill="1" applyBorder="1" applyProtection="1"/>
    <xf numFmtId="0" fontId="26" fillId="3" borderId="0" xfId="0" applyFont="1" applyFill="1"/>
    <xf numFmtId="0" fontId="27" fillId="3" borderId="0" xfId="2" applyFont="1" applyFill="1" applyBorder="1" applyProtection="1"/>
    <xf numFmtId="0" fontId="28" fillId="3" borderId="0" xfId="0" applyFont="1" applyFill="1"/>
    <xf numFmtId="0" fontId="29" fillId="0" borderId="0" xfId="0" applyFont="1"/>
    <xf numFmtId="0" fontId="30" fillId="0" borderId="0" xfId="0" applyFont="1"/>
    <xf numFmtId="0" fontId="31" fillId="0" borderId="0" xfId="0" applyFont="1" applyAlignment="1">
      <alignment vertical="top"/>
    </xf>
    <xf numFmtId="0" fontId="29" fillId="0" borderId="1" xfId="0" applyFont="1" applyBorder="1"/>
    <xf numFmtId="0" fontId="32" fillId="0" borderId="0" xfId="0" applyFont="1" applyAlignment="1">
      <alignment horizontal="center" wrapText="1"/>
    </xf>
    <xf numFmtId="0" fontId="32" fillId="0" borderId="0" xfId="0" applyFont="1" applyAlignment="1">
      <alignment horizontal="center"/>
    </xf>
    <xf numFmtId="0" fontId="25" fillId="4" borderId="1" xfId="0" applyFont="1" applyFill="1" applyBorder="1" applyAlignment="1">
      <alignment horizontal="center"/>
    </xf>
    <xf numFmtId="0" fontId="29" fillId="6" borderId="1" xfId="0" applyFont="1" applyFill="1" applyBorder="1"/>
    <xf numFmtId="0" fontId="30" fillId="0" borderId="0" xfId="0" applyFont="1" applyAlignment="1">
      <alignment horizontal="center"/>
    </xf>
    <xf numFmtId="0" fontId="25" fillId="0" borderId="0" xfId="0" applyFont="1" applyAlignment="1">
      <alignment horizontal="center"/>
    </xf>
    <xf numFmtId="0" fontId="33" fillId="0" borderId="0" xfId="0" applyFont="1"/>
    <xf numFmtId="0" fontId="34" fillId="0" borderId="0" xfId="0" applyFont="1" applyAlignment="1">
      <alignment vertical="top"/>
    </xf>
    <xf numFmtId="0" fontId="34" fillId="0" borderId="0" xfId="0" applyFont="1" applyAlignment="1">
      <alignment horizontal="left" indent="1"/>
    </xf>
    <xf numFmtId="0" fontId="16" fillId="0" borderId="0" xfId="0" applyFont="1"/>
    <xf numFmtId="0" fontId="16" fillId="0" borderId="0" xfId="0" applyFont="1" applyAlignment="1">
      <alignment horizontal="center"/>
    </xf>
    <xf numFmtId="9" fontId="1" fillId="0" borderId="0" xfId="1" applyFont="1" applyBorder="1" applyProtection="1"/>
    <xf numFmtId="0" fontId="29" fillId="0" borderId="1" xfId="0" applyFont="1" applyBorder="1" applyAlignment="1">
      <alignment wrapText="1"/>
    </xf>
    <xf numFmtId="0" fontId="16" fillId="0" borderId="0" xfId="0" applyFont="1" applyAlignment="1">
      <alignment horizontal="center" wrapText="1"/>
    </xf>
    <xf numFmtId="0" fontId="1" fillId="0" borderId="0" xfId="0" applyFont="1" applyAlignment="1">
      <alignment horizontal="center"/>
    </xf>
    <xf numFmtId="9" fontId="1" fillId="0" borderId="0" xfId="1" applyFont="1" applyBorder="1" applyAlignment="1" applyProtection="1">
      <alignment horizontal="center"/>
    </xf>
    <xf numFmtId="10" fontId="1" fillId="6" borderId="1" xfId="0" applyNumberFormat="1" applyFont="1" applyFill="1" applyBorder="1"/>
    <xf numFmtId="10" fontId="16" fillId="6" borderId="1" xfId="0" applyNumberFormat="1" applyFont="1" applyFill="1" applyBorder="1"/>
    <xf numFmtId="9" fontId="35" fillId="0" borderId="0" xfId="1" applyFont="1" applyBorder="1" applyProtection="1"/>
    <xf numFmtId="0" fontId="35" fillId="0" borderId="0" xfId="0" applyFont="1"/>
    <xf numFmtId="0" fontId="37" fillId="0" borderId="0" xfId="0" applyFont="1"/>
    <xf numFmtId="0" fontId="1" fillId="7" borderId="0" xfId="0" applyFont="1" applyFill="1"/>
    <xf numFmtId="1" fontId="37" fillId="0" borderId="0" xfId="1" applyNumberFormat="1" applyFont="1" applyBorder="1" applyProtection="1"/>
    <xf numFmtId="1" fontId="37" fillId="0" borderId="0" xfId="0" applyNumberFormat="1" applyFont="1"/>
    <xf numFmtId="0" fontId="38" fillId="0" borderId="0" xfId="0" applyFont="1"/>
    <xf numFmtId="0" fontId="36" fillId="0" borderId="0" xfId="0" applyFont="1"/>
    <xf numFmtId="0" fontId="5" fillId="0" borderId="0" xfId="2" applyBorder="1" applyProtection="1"/>
    <xf numFmtId="0" fontId="0" fillId="11" borderId="0" xfId="0" applyFill="1"/>
    <xf numFmtId="0" fontId="44" fillId="11" borderId="72" xfId="3" applyFill="1"/>
    <xf numFmtId="0" fontId="0" fillId="12" borderId="0" xfId="0" applyFill="1"/>
    <xf numFmtId="0" fontId="44" fillId="12" borderId="72" xfId="3" applyFill="1"/>
    <xf numFmtId="0" fontId="0" fillId="13" borderId="0" xfId="0" applyFill="1"/>
    <xf numFmtId="0" fontId="44" fillId="13" borderId="72" xfId="3" applyFill="1"/>
    <xf numFmtId="0" fontId="0" fillId="14" borderId="0" xfId="0" applyFill="1"/>
    <xf numFmtId="0" fontId="44" fillId="14" borderId="72" xfId="3" applyFill="1"/>
    <xf numFmtId="0" fontId="45" fillId="0" borderId="0" xfId="0" applyFont="1"/>
    <xf numFmtId="0" fontId="0" fillId="0" borderId="38" xfId="0" applyBorder="1"/>
    <xf numFmtId="0" fontId="20" fillId="12" borderId="0" xfId="0" applyFont="1" applyFill="1"/>
    <xf numFmtId="0" fontId="46" fillId="0" borderId="0" xfId="0" applyFont="1"/>
    <xf numFmtId="0" fontId="18" fillId="0" borderId="0" xfId="0" applyFont="1"/>
    <xf numFmtId="0" fontId="2" fillId="3" borderId="0" xfId="0" applyFont="1" applyFill="1" applyProtection="1">
      <protection locked="0"/>
    </xf>
    <xf numFmtId="0" fontId="10" fillId="3" borderId="0" xfId="2" applyFont="1" applyFill="1" applyBorder="1" applyProtection="1">
      <protection locked="0"/>
    </xf>
    <xf numFmtId="0" fontId="11" fillId="3" borderId="0" xfId="2" applyFont="1" applyFill="1" applyBorder="1" applyProtection="1">
      <protection locked="0"/>
    </xf>
    <xf numFmtId="0" fontId="10" fillId="3" borderId="0" xfId="0" applyFont="1" applyFill="1" applyProtection="1">
      <protection locked="0"/>
    </xf>
    <xf numFmtId="0" fontId="9" fillId="3" borderId="0" xfId="0" applyFont="1" applyFill="1" applyProtection="1">
      <protection locked="0"/>
    </xf>
    <xf numFmtId="0" fontId="2" fillId="0" borderId="0" xfId="0" applyFont="1" applyProtection="1">
      <protection locked="0"/>
    </xf>
    <xf numFmtId="0" fontId="12" fillId="0" borderId="0" xfId="0" applyFont="1" applyProtection="1">
      <protection locked="0"/>
    </xf>
    <xf numFmtId="0" fontId="30" fillId="0" borderId="2" xfId="0" applyFont="1" applyBorder="1" applyAlignment="1" applyProtection="1">
      <alignment horizontal="center"/>
      <protection locked="0"/>
    </xf>
    <xf numFmtId="0" fontId="30" fillId="0" borderId="67" xfId="0" applyFont="1" applyBorder="1" applyAlignment="1" applyProtection="1">
      <alignment horizontal="center" vertical="top" wrapText="1"/>
      <protection locked="0"/>
    </xf>
    <xf numFmtId="0" fontId="30" fillId="0" borderId="3" xfId="0" applyFont="1" applyBorder="1" applyAlignment="1" applyProtection="1">
      <alignment horizontal="center"/>
      <protection locked="0"/>
    </xf>
    <xf numFmtId="0" fontId="12" fillId="0" borderId="49" xfId="0" applyFont="1" applyBorder="1" applyAlignment="1" applyProtection="1">
      <alignment horizontal="left"/>
      <protection locked="0"/>
    </xf>
    <xf numFmtId="0" fontId="25" fillId="0" borderId="39" xfId="0" applyFont="1" applyBorder="1" applyAlignment="1" applyProtection="1">
      <alignment horizontal="left"/>
      <protection locked="0"/>
    </xf>
    <xf numFmtId="0" fontId="2" fillId="0" borderId="39" xfId="0" applyFont="1" applyBorder="1" applyAlignment="1" applyProtection="1">
      <alignment horizontal="right"/>
      <protection locked="0"/>
    </xf>
    <xf numFmtId="0" fontId="2" fillId="0" borderId="16" xfId="0" applyFont="1" applyBorder="1" applyAlignment="1" applyProtection="1">
      <alignment horizontal="left"/>
      <protection locked="0"/>
    </xf>
    <xf numFmtId="0" fontId="2" fillId="4" borderId="16" xfId="0" applyFont="1" applyFill="1" applyBorder="1" applyAlignment="1" applyProtection="1">
      <alignment horizontal="center"/>
      <protection locked="0"/>
    </xf>
    <xf numFmtId="0" fontId="2" fillId="0" borderId="21" xfId="0" applyFont="1" applyBorder="1" applyAlignment="1" applyProtection="1">
      <alignment horizontal="center"/>
      <protection locked="0"/>
    </xf>
    <xf numFmtId="170" fontId="2" fillId="6" borderId="44" xfId="0" applyNumberFormat="1" applyFont="1" applyFill="1" applyBorder="1" applyAlignment="1" applyProtection="1">
      <alignment horizontal="center"/>
      <protection locked="0"/>
    </xf>
    <xf numFmtId="170" fontId="2" fillId="15" borderId="21" xfId="0" applyNumberFormat="1" applyFont="1" applyFill="1" applyBorder="1" applyAlignment="1" applyProtection="1">
      <alignment horizontal="center"/>
      <protection locked="0"/>
    </xf>
    <xf numFmtId="0" fontId="2" fillId="15" borderId="21" xfId="0" applyFont="1" applyFill="1" applyBorder="1" applyAlignment="1" applyProtection="1">
      <alignment horizontal="center"/>
      <protection locked="0"/>
    </xf>
    <xf numFmtId="0" fontId="12" fillId="0" borderId="63" xfId="0" applyFont="1" applyBorder="1" applyAlignment="1" applyProtection="1">
      <alignment horizontal="left"/>
      <protection locked="0"/>
    </xf>
    <xf numFmtId="170" fontId="2" fillId="0" borderId="0" xfId="0" applyNumberFormat="1" applyFont="1" applyProtection="1">
      <protection locked="0"/>
    </xf>
    <xf numFmtId="0" fontId="12" fillId="0" borderId="50" xfId="0" applyFont="1" applyBorder="1" applyAlignment="1" applyProtection="1">
      <alignment horizontal="left"/>
      <protection locked="0"/>
    </xf>
    <xf numFmtId="0" fontId="25" fillId="0" borderId="29" xfId="0" applyFont="1" applyBorder="1" applyAlignment="1" applyProtection="1">
      <alignment horizontal="left"/>
      <protection locked="0"/>
    </xf>
    <xf numFmtId="0" fontId="2" fillId="0" borderId="29" xfId="0" applyFont="1" applyBorder="1" applyAlignment="1" applyProtection="1">
      <alignment horizontal="right"/>
      <protection locked="0"/>
    </xf>
    <xf numFmtId="0" fontId="2" fillId="0" borderId="1" xfId="0" applyFont="1" applyBorder="1" applyAlignment="1" applyProtection="1">
      <alignment horizontal="left"/>
      <protection locked="0"/>
    </xf>
    <xf numFmtId="0" fontId="2" fillId="4" borderId="1" xfId="0" applyFont="1" applyFill="1" applyBorder="1" applyAlignment="1" applyProtection="1">
      <alignment horizontal="center"/>
      <protection locked="0"/>
    </xf>
    <xf numFmtId="0" fontId="2" fillId="0" borderId="22" xfId="0" applyFont="1" applyBorder="1" applyAlignment="1" applyProtection="1">
      <alignment horizontal="center"/>
      <protection locked="0"/>
    </xf>
    <xf numFmtId="170" fontId="2" fillId="6" borderId="40" xfId="0" applyNumberFormat="1" applyFont="1" applyFill="1" applyBorder="1" applyAlignment="1" applyProtection="1">
      <alignment horizontal="center"/>
      <protection locked="0"/>
    </xf>
    <xf numFmtId="0" fontId="2" fillId="15" borderId="22" xfId="0" applyFont="1" applyFill="1" applyBorder="1" applyAlignment="1" applyProtection="1">
      <alignment horizontal="center"/>
      <protection locked="0"/>
    </xf>
    <xf numFmtId="0" fontId="30" fillId="0" borderId="50" xfId="0" applyFont="1" applyBorder="1" applyAlignment="1" applyProtection="1">
      <alignment horizontal="left"/>
      <protection locked="0"/>
    </xf>
    <xf numFmtId="0" fontId="25" fillId="0" borderId="34" xfId="0" applyFont="1" applyBorder="1" applyAlignment="1" applyProtection="1">
      <alignment horizontal="left"/>
      <protection locked="0"/>
    </xf>
    <xf numFmtId="0" fontId="2" fillId="0" borderId="34" xfId="0" applyFont="1" applyBorder="1" applyAlignment="1" applyProtection="1">
      <alignment horizontal="right"/>
      <protection locked="0"/>
    </xf>
    <xf numFmtId="0" fontId="2" fillId="0" borderId="26" xfId="0" applyFont="1" applyBorder="1" applyAlignment="1" applyProtection="1">
      <alignment horizontal="left"/>
      <protection locked="0"/>
    </xf>
    <xf numFmtId="0" fontId="2" fillId="4" borderId="26" xfId="0" applyFont="1" applyFill="1" applyBorder="1" applyAlignment="1" applyProtection="1">
      <alignment horizontal="center"/>
      <protection locked="0"/>
    </xf>
    <xf numFmtId="0" fontId="2" fillId="0" borderId="32" xfId="0" applyFont="1" applyBorder="1" applyAlignment="1" applyProtection="1">
      <alignment horizontal="center"/>
      <protection locked="0"/>
    </xf>
    <xf numFmtId="170" fontId="2" fillId="6" borderId="68" xfId="0" applyNumberFormat="1" applyFont="1" applyFill="1" applyBorder="1" applyAlignment="1" applyProtection="1">
      <alignment horizontal="center"/>
      <protection locked="0"/>
    </xf>
    <xf numFmtId="0" fontId="2" fillId="15" borderId="32" xfId="0" applyFont="1" applyFill="1" applyBorder="1" applyAlignment="1" applyProtection="1">
      <alignment horizontal="center"/>
      <protection locked="0"/>
    </xf>
    <xf numFmtId="0" fontId="25" fillId="0" borderId="34" xfId="0" applyFont="1" applyBorder="1" applyAlignment="1" applyProtection="1">
      <alignment horizontal="right"/>
      <protection locked="0"/>
    </xf>
    <xf numFmtId="0" fontId="30" fillId="0" borderId="55" xfId="0" applyFont="1" applyBorder="1" applyAlignment="1" applyProtection="1">
      <alignment horizontal="left"/>
      <protection locked="0"/>
    </xf>
    <xf numFmtId="0" fontId="12" fillId="0" borderId="51" xfId="0" applyFont="1" applyBorder="1" applyAlignment="1" applyProtection="1">
      <alignment horizontal="left"/>
      <protection locked="0"/>
    </xf>
    <xf numFmtId="0" fontId="25" fillId="0" borderId="30" xfId="0" applyFont="1" applyBorder="1" applyAlignment="1" applyProtection="1">
      <alignment horizontal="left"/>
      <protection locked="0"/>
    </xf>
    <xf numFmtId="0" fontId="2" fillId="0" borderId="30" xfId="0" applyFont="1" applyBorder="1" applyAlignment="1" applyProtection="1">
      <alignment horizontal="right"/>
      <protection locked="0"/>
    </xf>
    <xf numFmtId="0" fontId="2" fillId="0" borderId="11" xfId="0" applyFont="1" applyBorder="1" applyAlignment="1" applyProtection="1">
      <alignment horizontal="left"/>
      <protection locked="0"/>
    </xf>
    <xf numFmtId="0" fontId="2" fillId="4" borderId="11" xfId="0" applyFont="1" applyFill="1" applyBorder="1" applyAlignment="1" applyProtection="1">
      <alignment horizontal="center"/>
      <protection locked="0"/>
    </xf>
    <xf numFmtId="0" fontId="2" fillId="0" borderId="23" xfId="0" applyFont="1" applyBorder="1" applyAlignment="1" applyProtection="1">
      <alignment horizontal="center"/>
      <protection locked="0"/>
    </xf>
    <xf numFmtId="170" fontId="2" fillId="6" borderId="53" xfId="0" applyNumberFormat="1" applyFont="1" applyFill="1" applyBorder="1" applyAlignment="1" applyProtection="1">
      <alignment horizontal="center"/>
      <protection locked="0"/>
    </xf>
    <xf numFmtId="0" fontId="2" fillId="15" borderId="23" xfId="0" applyFont="1" applyFill="1" applyBorder="1" applyAlignment="1" applyProtection="1">
      <alignment horizontal="center"/>
      <protection locked="0"/>
    </xf>
    <xf numFmtId="0" fontId="2" fillId="0" borderId="5" xfId="0" applyFont="1" applyBorder="1" applyProtection="1">
      <protection locked="0"/>
    </xf>
    <xf numFmtId="0" fontId="30" fillId="0" borderId="69" xfId="0" applyFont="1" applyBorder="1" applyAlignment="1" applyProtection="1">
      <alignment horizontal="center" vertical="top" wrapText="1"/>
      <protection locked="0"/>
    </xf>
    <xf numFmtId="0" fontId="12" fillId="0" borderId="0" xfId="0" applyFont="1" applyAlignment="1" applyProtection="1">
      <alignment vertical="top" wrapText="1"/>
      <protection locked="0"/>
    </xf>
    <xf numFmtId="0" fontId="12" fillId="0" borderId="0" xfId="0" applyFont="1" applyAlignment="1" applyProtection="1">
      <alignment horizontal="center" vertical="top"/>
      <protection locked="0"/>
    </xf>
    <xf numFmtId="0" fontId="2" fillId="0" borderId="58"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5" fillId="0" borderId="62"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64" xfId="0" applyFont="1" applyBorder="1" applyAlignment="1" applyProtection="1">
      <alignment horizontal="center"/>
      <protection locked="0"/>
    </xf>
    <xf numFmtId="0" fontId="2" fillId="0" borderId="19" xfId="0" applyFont="1" applyBorder="1" applyAlignment="1" applyProtection="1">
      <alignment horizontal="center"/>
      <protection locked="0"/>
    </xf>
    <xf numFmtId="0" fontId="2" fillId="0" borderId="50" xfId="0" applyFont="1" applyBorder="1" applyAlignment="1" applyProtection="1">
      <alignment wrapText="1"/>
      <protection locked="0"/>
    </xf>
    <xf numFmtId="0" fontId="25" fillId="4" borderId="63" xfId="0" applyFont="1" applyFill="1" applyBorder="1" applyAlignment="1" applyProtection="1">
      <alignment horizontal="center"/>
      <protection locked="0"/>
    </xf>
    <xf numFmtId="0" fontId="2" fillId="5" borderId="28" xfId="0" applyFont="1" applyFill="1" applyBorder="1" applyProtection="1">
      <protection locked="0"/>
    </xf>
    <xf numFmtId="0" fontId="2" fillId="5" borderId="14" xfId="0" applyFont="1" applyFill="1" applyBorder="1" applyProtection="1">
      <protection locked="0"/>
    </xf>
    <xf numFmtId="170" fontId="2" fillId="5" borderId="16" xfId="0" applyNumberFormat="1" applyFont="1" applyFill="1" applyBorder="1" applyProtection="1">
      <protection locked="0"/>
    </xf>
    <xf numFmtId="170" fontId="2" fillId="8" borderId="28" xfId="0" applyNumberFormat="1" applyFont="1" applyFill="1" applyBorder="1" applyProtection="1">
      <protection locked="0"/>
    </xf>
    <xf numFmtId="0" fontId="2" fillId="0" borderId="50" xfId="0" applyFont="1" applyBorder="1" applyProtection="1">
      <protection locked="0"/>
    </xf>
    <xf numFmtId="0" fontId="2" fillId="5" borderId="29" xfId="0" applyFont="1" applyFill="1" applyBorder="1" applyProtection="1">
      <protection locked="0"/>
    </xf>
    <xf numFmtId="0" fontId="2" fillId="5" borderId="1" xfId="0" applyFont="1" applyFill="1" applyBorder="1" applyProtection="1">
      <protection locked="0"/>
    </xf>
    <xf numFmtId="170" fontId="2" fillId="5" borderId="1" xfId="0" applyNumberFormat="1" applyFont="1" applyFill="1" applyBorder="1" applyProtection="1">
      <protection locked="0"/>
    </xf>
    <xf numFmtId="170" fontId="2" fillId="8" borderId="29" xfId="0" applyNumberFormat="1" applyFont="1" applyFill="1" applyBorder="1" applyProtection="1">
      <protection locked="0"/>
    </xf>
    <xf numFmtId="0" fontId="25" fillId="5" borderId="29" xfId="0" applyFont="1" applyFill="1" applyBorder="1" applyProtection="1">
      <protection locked="0"/>
    </xf>
    <xf numFmtId="168" fontId="2" fillId="5" borderId="1" xfId="0" applyNumberFormat="1" applyFont="1" applyFill="1" applyBorder="1" applyProtection="1">
      <protection locked="0"/>
    </xf>
    <xf numFmtId="0" fontId="2" fillId="0" borderId="55" xfId="0" applyFont="1" applyBorder="1" applyProtection="1">
      <protection locked="0"/>
    </xf>
    <xf numFmtId="0" fontId="25" fillId="5" borderId="34" xfId="0" applyFont="1" applyFill="1" applyBorder="1" applyProtection="1">
      <protection locked="0"/>
    </xf>
    <xf numFmtId="0" fontId="2" fillId="5" borderId="34" xfId="0" applyFont="1" applyFill="1" applyBorder="1" applyProtection="1">
      <protection locked="0"/>
    </xf>
    <xf numFmtId="0" fontId="2" fillId="5" borderId="26" xfId="0" applyFont="1" applyFill="1" applyBorder="1" applyProtection="1">
      <protection locked="0"/>
    </xf>
    <xf numFmtId="170" fontId="2" fillId="5" borderId="26" xfId="0" applyNumberFormat="1" applyFont="1" applyFill="1" applyBorder="1" applyProtection="1">
      <protection locked="0"/>
    </xf>
    <xf numFmtId="0" fontId="30" fillId="0" borderId="51" xfId="0" applyFont="1" applyBorder="1" applyProtection="1">
      <protection locked="0"/>
    </xf>
    <xf numFmtId="0" fontId="25" fillId="4" borderId="3" xfId="0" applyFont="1" applyFill="1" applyBorder="1" applyAlignment="1" applyProtection="1">
      <alignment horizontal="center"/>
      <protection locked="0"/>
    </xf>
    <xf numFmtId="0" fontId="2" fillId="0" borderId="30" xfId="0" applyFont="1" applyBorder="1" applyProtection="1">
      <protection locked="0"/>
    </xf>
    <xf numFmtId="0" fontId="2" fillId="0" borderId="11" xfId="0" applyFont="1" applyBorder="1" applyProtection="1">
      <protection locked="0"/>
    </xf>
    <xf numFmtId="170" fontId="2" fillId="0" borderId="11" xfId="0" applyNumberFormat="1" applyFont="1" applyBorder="1" applyProtection="1">
      <protection locked="0"/>
    </xf>
    <xf numFmtId="0" fontId="2" fillId="0" borderId="53" xfId="0" applyFont="1" applyBorder="1" applyProtection="1">
      <protection locked="0"/>
    </xf>
    <xf numFmtId="0" fontId="2" fillId="0" borderId="12" xfId="0" applyFont="1" applyBorder="1" applyProtection="1">
      <protection locked="0"/>
    </xf>
    <xf numFmtId="170" fontId="30" fillId="8" borderId="30" xfId="0" applyNumberFormat="1" applyFont="1" applyFill="1" applyBorder="1" applyProtection="1">
      <protection locked="0"/>
    </xf>
    <xf numFmtId="0" fontId="12" fillId="0" borderId="47" xfId="0" applyFont="1" applyBorder="1" applyAlignment="1" applyProtection="1">
      <alignment vertical="top" wrapText="1"/>
      <protection locked="0"/>
    </xf>
    <xf numFmtId="0" fontId="12" fillId="0" borderId="5" xfId="0" applyFont="1" applyBorder="1" applyAlignment="1" applyProtection="1">
      <alignment vertical="top" wrapText="1"/>
      <protection locked="0"/>
    </xf>
    <xf numFmtId="0" fontId="12" fillId="0" borderId="48" xfId="0" applyFont="1" applyBorder="1" applyAlignment="1" applyProtection="1">
      <alignment vertical="top" wrapText="1"/>
      <protection locked="0"/>
    </xf>
    <xf numFmtId="0" fontId="40" fillId="0" borderId="24" xfId="0" applyFont="1" applyBorder="1" applyAlignment="1" applyProtection="1">
      <alignment vertical="center" wrapText="1"/>
      <protection locked="0"/>
    </xf>
    <xf numFmtId="0" fontId="25" fillId="4" borderId="24" xfId="0" applyFont="1" applyFill="1" applyBorder="1" applyAlignment="1" applyProtection="1">
      <alignment horizontal="center"/>
      <protection locked="0"/>
    </xf>
    <xf numFmtId="0" fontId="2" fillId="0" borderId="58" xfId="0" applyFont="1" applyBorder="1" applyProtection="1">
      <protection locked="0"/>
    </xf>
    <xf numFmtId="0" fontId="2" fillId="0" borderId="18" xfId="0" applyFont="1" applyBorder="1" applyProtection="1">
      <protection locked="0"/>
    </xf>
    <xf numFmtId="0" fontId="2" fillId="0" borderId="61" xfId="0" applyFont="1" applyBorder="1" applyProtection="1">
      <protection locked="0"/>
    </xf>
    <xf numFmtId="0" fontId="2" fillId="0" borderId="19" xfId="0" applyFont="1" applyBorder="1" applyProtection="1">
      <protection locked="0"/>
    </xf>
    <xf numFmtId="0" fontId="2" fillId="5" borderId="58" xfId="0" applyFont="1" applyFill="1" applyBorder="1" applyProtection="1">
      <protection locked="0"/>
    </xf>
    <xf numFmtId="0" fontId="2" fillId="5" borderId="19" xfId="0" applyFont="1" applyFill="1" applyBorder="1" applyProtection="1">
      <protection locked="0"/>
    </xf>
    <xf numFmtId="0" fontId="2" fillId="0" borderId="49" xfId="0" applyFont="1" applyBorder="1" applyAlignment="1" applyProtection="1">
      <alignment wrapText="1"/>
      <protection locked="0"/>
    </xf>
    <xf numFmtId="0" fontId="25" fillId="4" borderId="49" xfId="0" applyFont="1" applyFill="1" applyBorder="1" applyAlignment="1" applyProtection="1">
      <alignment horizontal="center"/>
      <protection locked="0"/>
    </xf>
    <xf numFmtId="0" fontId="43" fillId="5" borderId="14" xfId="0" applyFont="1" applyFill="1" applyBorder="1" applyProtection="1">
      <protection locked="0"/>
    </xf>
    <xf numFmtId="0" fontId="2" fillId="5" borderId="39" xfId="0" applyFont="1" applyFill="1" applyBorder="1" applyProtection="1">
      <protection locked="0"/>
    </xf>
    <xf numFmtId="0" fontId="43" fillId="5" borderId="16" xfId="0" applyFont="1" applyFill="1" applyBorder="1" applyProtection="1">
      <protection locked="0"/>
    </xf>
    <xf numFmtId="170" fontId="2" fillId="8" borderId="39" xfId="0" applyNumberFormat="1" applyFont="1" applyFill="1" applyBorder="1" applyProtection="1">
      <protection locked="0"/>
    </xf>
    <xf numFmtId="0" fontId="2" fillId="5" borderId="37" xfId="0" applyFont="1" applyFill="1" applyBorder="1" applyProtection="1">
      <protection locked="0"/>
    </xf>
    <xf numFmtId="0" fontId="43" fillId="5" borderId="75" xfId="0" applyFont="1" applyFill="1" applyBorder="1" applyProtection="1">
      <protection locked="0"/>
    </xf>
    <xf numFmtId="170" fontId="2" fillId="8" borderId="9" xfId="0" applyNumberFormat="1" applyFont="1" applyFill="1" applyBorder="1" applyProtection="1">
      <protection locked="0"/>
    </xf>
    <xf numFmtId="0" fontId="25" fillId="4" borderId="4" xfId="0" applyFont="1" applyFill="1" applyBorder="1" applyAlignment="1" applyProtection="1">
      <alignment horizontal="center"/>
      <protection locked="0"/>
    </xf>
    <xf numFmtId="0" fontId="2" fillId="0" borderId="73" xfId="0" applyFont="1" applyBorder="1" applyProtection="1">
      <protection locked="0"/>
    </xf>
    <xf numFmtId="0" fontId="43" fillId="0" borderId="65" xfId="0" applyFont="1" applyBorder="1" applyProtection="1">
      <protection locked="0"/>
    </xf>
    <xf numFmtId="0" fontId="2" fillId="0" borderId="47" xfId="0" applyFont="1" applyBorder="1" applyProtection="1">
      <protection locked="0"/>
    </xf>
    <xf numFmtId="0" fontId="2" fillId="0" borderId="71" xfId="0" applyFont="1" applyBorder="1" applyProtection="1">
      <protection locked="0"/>
    </xf>
    <xf numFmtId="170" fontId="30" fillId="8" borderId="73" xfId="0" applyNumberFormat="1" applyFont="1" applyFill="1" applyBorder="1" applyProtection="1">
      <protection locked="0"/>
    </xf>
    <xf numFmtId="0" fontId="12" fillId="0" borderId="56" xfId="0" applyFont="1" applyBorder="1" applyAlignment="1" applyProtection="1">
      <alignment vertical="top" wrapText="1"/>
      <protection locked="0"/>
    </xf>
    <xf numFmtId="0" fontId="12" fillId="0" borderId="57" xfId="0" applyFont="1" applyBorder="1" applyAlignment="1" applyProtection="1">
      <alignment vertical="top" wrapText="1"/>
      <protection locked="0"/>
    </xf>
    <xf numFmtId="0" fontId="2" fillId="0" borderId="63" xfId="0" applyFont="1" applyBorder="1" applyAlignment="1" applyProtection="1">
      <alignment wrapText="1"/>
      <protection locked="0"/>
    </xf>
    <xf numFmtId="0" fontId="2" fillId="5" borderId="16" xfId="0" applyFont="1" applyFill="1" applyBorder="1" applyProtection="1">
      <protection locked="0"/>
    </xf>
    <xf numFmtId="0" fontId="30" fillId="0" borderId="0" xfId="0" applyFont="1" applyProtection="1">
      <protection locked="0"/>
    </xf>
    <xf numFmtId="0" fontId="30" fillId="0" borderId="55" xfId="0" applyFont="1" applyBorder="1" applyProtection="1">
      <protection locked="0"/>
    </xf>
    <xf numFmtId="0" fontId="2" fillId="0" borderId="68" xfId="0" applyFont="1" applyBorder="1" applyProtection="1">
      <protection locked="0"/>
    </xf>
    <xf numFmtId="0" fontId="2" fillId="0" borderId="27" xfId="0" applyFont="1" applyBorder="1" applyProtection="1">
      <protection locked="0"/>
    </xf>
    <xf numFmtId="0" fontId="2" fillId="0" borderId="1" xfId="0" applyFont="1" applyBorder="1" applyProtection="1">
      <protection locked="0"/>
    </xf>
    <xf numFmtId="0" fontId="30" fillId="0" borderId="1" xfId="0" applyFont="1" applyBorder="1" applyProtection="1">
      <protection locked="0"/>
    </xf>
    <xf numFmtId="10" fontId="25" fillId="0" borderId="1" xfId="1" applyNumberFormat="1" applyFont="1" applyBorder="1" applyProtection="1">
      <protection locked="0"/>
    </xf>
    <xf numFmtId="169" fontId="2" fillId="0" borderId="1" xfId="0" applyNumberFormat="1" applyFont="1" applyBorder="1" applyProtection="1">
      <protection locked="0"/>
    </xf>
    <xf numFmtId="0" fontId="12" fillId="0" borderId="42" xfId="0" applyFont="1" applyBorder="1" applyAlignment="1" applyProtection="1">
      <alignment vertical="top"/>
      <protection locked="0"/>
    </xf>
    <xf numFmtId="0" fontId="12" fillId="0" borderId="43" xfId="0" applyFont="1" applyBorder="1" applyAlignment="1" applyProtection="1">
      <alignment vertical="top"/>
      <protection locked="0"/>
    </xf>
    <xf numFmtId="0" fontId="43" fillId="0" borderId="49" xfId="0" applyFont="1" applyBorder="1" applyAlignment="1" applyProtection="1">
      <alignment wrapText="1"/>
      <protection locked="0"/>
    </xf>
    <xf numFmtId="0" fontId="43" fillId="5" borderId="28" xfId="0" applyFont="1" applyFill="1" applyBorder="1" applyProtection="1">
      <protection locked="0"/>
    </xf>
    <xf numFmtId="0" fontId="12" fillId="0" borderId="56" xfId="0" applyFont="1" applyBorder="1" applyAlignment="1" applyProtection="1">
      <alignment vertical="top"/>
      <protection locked="0"/>
    </xf>
    <xf numFmtId="0" fontId="12" fillId="0" borderId="0" xfId="0" applyFont="1" applyAlignment="1" applyProtection="1">
      <alignment vertical="top"/>
      <protection locked="0"/>
    </xf>
    <xf numFmtId="0" fontId="12" fillId="0" borderId="57" xfId="0" applyFont="1" applyBorder="1" applyAlignment="1" applyProtection="1">
      <alignment vertical="top"/>
      <protection locked="0"/>
    </xf>
    <xf numFmtId="0" fontId="2" fillId="0" borderId="3" xfId="0" applyFont="1" applyBorder="1" applyAlignment="1" applyProtection="1">
      <alignment wrapText="1"/>
      <protection locked="0"/>
    </xf>
    <xf numFmtId="0" fontId="2" fillId="5" borderId="75" xfId="0" applyFont="1" applyFill="1" applyBorder="1" applyProtection="1">
      <protection locked="0"/>
    </xf>
    <xf numFmtId="0" fontId="12" fillId="0" borderId="44" xfId="0" applyFont="1" applyBorder="1" applyAlignment="1" applyProtection="1">
      <alignment vertical="top"/>
      <protection locked="0"/>
    </xf>
    <xf numFmtId="0" fontId="12" fillId="0" borderId="38" xfId="0" applyFont="1" applyBorder="1" applyAlignment="1" applyProtection="1">
      <alignment vertical="top"/>
      <protection locked="0"/>
    </xf>
    <xf numFmtId="0" fontId="12" fillId="0" borderId="74" xfId="0" applyFont="1" applyBorder="1" applyAlignment="1" applyProtection="1">
      <alignment vertical="top"/>
      <protection locked="0"/>
    </xf>
    <xf numFmtId="170" fontId="30" fillId="8" borderId="34" xfId="0" applyNumberFormat="1" applyFont="1" applyFill="1" applyBorder="1" applyProtection="1">
      <protection locked="0"/>
    </xf>
    <xf numFmtId="0" fontId="12" fillId="0" borderId="47" xfId="0" applyFont="1" applyBorder="1" applyAlignment="1" applyProtection="1">
      <alignment vertical="top"/>
      <protection locked="0"/>
    </xf>
    <xf numFmtId="0" fontId="12" fillId="0" borderId="5" xfId="0" applyFont="1" applyBorder="1" applyAlignment="1" applyProtection="1">
      <alignment vertical="top"/>
      <protection locked="0"/>
    </xf>
    <xf numFmtId="0" fontId="12" fillId="0" borderId="48" xfId="0" applyFont="1" applyBorder="1" applyAlignment="1" applyProtection="1">
      <alignment vertical="top"/>
      <protection locked="0"/>
    </xf>
    <xf numFmtId="168" fontId="2" fillId="5" borderId="16" xfId="0" applyNumberFormat="1" applyFont="1" applyFill="1" applyBorder="1" applyProtection="1">
      <protection locked="0"/>
    </xf>
    <xf numFmtId="0" fontId="2" fillId="0" borderId="44" xfId="0" applyFont="1" applyBorder="1" applyProtection="1">
      <protection locked="0"/>
    </xf>
    <xf numFmtId="0" fontId="2" fillId="0" borderId="17" xfId="0" applyFont="1" applyBorder="1" applyProtection="1">
      <protection locked="0"/>
    </xf>
    <xf numFmtId="168" fontId="2" fillId="8" borderId="39" xfId="0" applyNumberFormat="1" applyFont="1" applyFill="1" applyBorder="1" applyProtection="1">
      <protection locked="0"/>
    </xf>
    <xf numFmtId="0" fontId="2" fillId="0" borderId="40" xfId="0" applyFont="1" applyBorder="1" applyProtection="1">
      <protection locked="0"/>
    </xf>
    <xf numFmtId="0" fontId="2" fillId="0" borderId="8" xfId="0" applyFont="1" applyBorder="1" applyProtection="1">
      <protection locked="0"/>
    </xf>
    <xf numFmtId="168" fontId="2" fillId="8" borderId="29" xfId="0" applyNumberFormat="1" applyFont="1" applyFill="1" applyBorder="1" applyProtection="1">
      <protection locked="0"/>
    </xf>
    <xf numFmtId="0" fontId="39" fillId="9" borderId="29" xfId="0" applyFont="1" applyFill="1" applyBorder="1" applyProtection="1">
      <protection locked="0"/>
    </xf>
    <xf numFmtId="0" fontId="2" fillId="9" borderId="1" xfId="0" applyFont="1" applyFill="1" applyBorder="1" applyProtection="1">
      <protection locked="0"/>
    </xf>
    <xf numFmtId="169" fontId="30" fillId="0" borderId="1" xfId="0" applyNumberFormat="1" applyFont="1" applyBorder="1" applyProtection="1">
      <protection locked="0"/>
    </xf>
    <xf numFmtId="0" fontId="2" fillId="9" borderId="29" xfId="0" applyFont="1" applyFill="1" applyBorder="1" applyProtection="1">
      <protection locked="0"/>
    </xf>
    <xf numFmtId="168" fontId="2" fillId="9" borderId="1" xfId="0" applyNumberFormat="1" applyFont="1" applyFill="1" applyBorder="1" applyProtection="1">
      <protection locked="0"/>
    </xf>
    <xf numFmtId="168" fontId="30" fillId="8" borderId="29" xfId="0" applyNumberFormat="1" applyFont="1" applyFill="1" applyBorder="1" applyProtection="1">
      <protection locked="0"/>
    </xf>
    <xf numFmtId="0" fontId="2" fillId="0" borderId="16" xfId="0" applyFont="1" applyBorder="1"/>
    <xf numFmtId="170" fontId="2" fillId="6" borderId="9" xfId="0" applyNumberFormat="1" applyFont="1" applyFill="1" applyBorder="1" applyAlignment="1" applyProtection="1">
      <alignment horizontal="center"/>
      <protection locked="0"/>
    </xf>
    <xf numFmtId="170" fontId="2" fillId="6" borderId="52" xfId="0" applyNumberFormat="1" applyFont="1" applyFill="1" applyBorder="1" applyAlignment="1" applyProtection="1">
      <alignment horizontal="center"/>
      <protection locked="0"/>
    </xf>
    <xf numFmtId="170" fontId="2" fillId="6" borderId="10" xfId="0" applyNumberFormat="1" applyFont="1" applyFill="1" applyBorder="1" applyAlignment="1" applyProtection="1">
      <alignment horizontal="center"/>
      <protection locked="0"/>
    </xf>
    <xf numFmtId="0" fontId="25" fillId="0" borderId="28" xfId="0" applyFont="1" applyBorder="1" applyAlignment="1" applyProtection="1">
      <alignment horizontal="left"/>
      <protection locked="0"/>
    </xf>
    <xf numFmtId="0" fontId="2" fillId="0" borderId="28" xfId="0" applyFont="1" applyBorder="1" applyAlignment="1" applyProtection="1">
      <alignment horizontal="right"/>
      <protection locked="0"/>
    </xf>
    <xf numFmtId="0" fontId="2" fillId="0" borderId="14" xfId="0" applyFont="1" applyBorder="1" applyAlignment="1" applyProtection="1">
      <alignment horizontal="left"/>
      <protection locked="0"/>
    </xf>
    <xf numFmtId="0" fontId="2" fillId="4" borderId="14" xfId="0" applyFont="1" applyFill="1" applyBorder="1" applyAlignment="1" applyProtection="1">
      <alignment horizontal="center"/>
      <protection locked="0"/>
    </xf>
    <xf numFmtId="0" fontId="2" fillId="0" borderId="41" xfId="0" applyFont="1" applyBorder="1" applyAlignment="1" applyProtection="1">
      <alignment horizontal="center"/>
      <protection locked="0"/>
    </xf>
    <xf numFmtId="170" fontId="2" fillId="6" borderId="66" xfId="0" applyNumberFormat="1" applyFont="1" applyFill="1" applyBorder="1" applyAlignment="1" applyProtection="1">
      <alignment horizontal="center"/>
      <protection locked="0"/>
    </xf>
    <xf numFmtId="170" fontId="2" fillId="15" borderId="41" xfId="0" applyNumberFormat="1" applyFont="1" applyFill="1" applyBorder="1" applyAlignment="1" applyProtection="1">
      <alignment horizontal="center"/>
      <protection locked="0"/>
    </xf>
    <xf numFmtId="0" fontId="12" fillId="0" borderId="4" xfId="0" applyFont="1" applyBorder="1" applyAlignment="1" applyProtection="1">
      <alignment horizontal="left"/>
      <protection locked="0"/>
    </xf>
    <xf numFmtId="0" fontId="25" fillId="0" borderId="73" xfId="0" applyFont="1" applyBorder="1" applyAlignment="1" applyProtection="1">
      <alignment horizontal="left"/>
      <protection locked="0"/>
    </xf>
    <xf numFmtId="0" fontId="2" fillId="0" borderId="73" xfId="0" applyFont="1" applyBorder="1" applyAlignment="1" applyProtection="1">
      <alignment horizontal="right"/>
      <protection locked="0"/>
    </xf>
    <xf numFmtId="0" fontId="2" fillId="0" borderId="65" xfId="0" applyFont="1" applyBorder="1" applyAlignment="1" applyProtection="1">
      <alignment horizontal="left"/>
      <protection locked="0"/>
    </xf>
    <xf numFmtId="0" fontId="2" fillId="4" borderId="65" xfId="0"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169" fontId="2" fillId="16" borderId="29" xfId="0" applyNumberFormat="1" applyFont="1" applyFill="1" applyBorder="1"/>
    <xf numFmtId="0" fontId="2" fillId="5" borderId="9" xfId="0" applyFont="1" applyFill="1" applyBorder="1"/>
    <xf numFmtId="0" fontId="2" fillId="0" borderId="30" xfId="0" applyFont="1" applyBorder="1" applyAlignment="1">
      <alignment horizontal="center"/>
    </xf>
    <xf numFmtId="0" fontId="2" fillId="0" borderId="40" xfId="0" applyFont="1" applyBorder="1"/>
    <xf numFmtId="0" fontId="2" fillId="0" borderId="35" xfId="0" applyFont="1" applyBorder="1"/>
    <xf numFmtId="0" fontId="25" fillId="0" borderId="0" xfId="0" applyFont="1"/>
    <xf numFmtId="0" fontId="2" fillId="6" borderId="14" xfId="0" applyFont="1" applyFill="1" applyBorder="1"/>
    <xf numFmtId="0" fontId="2" fillId="0" borderId="1" xfId="0" applyFont="1" applyBorder="1" applyAlignment="1" applyProtection="1">
      <alignment horizontal="center"/>
      <protection locked="0"/>
    </xf>
    <xf numFmtId="0" fontId="2" fillId="0" borderId="8" xfId="0" applyFont="1" applyBorder="1" applyAlignment="1" applyProtection="1">
      <alignment horizontal="center" vertical="top"/>
      <protection locked="0"/>
    </xf>
    <xf numFmtId="0" fontId="2" fillId="2" borderId="12" xfId="0" applyFont="1" applyFill="1" applyBorder="1" applyAlignment="1" applyProtection="1">
      <alignment horizontal="center"/>
      <protection locked="0"/>
    </xf>
    <xf numFmtId="0" fontId="2" fillId="0" borderId="29" xfId="0" applyFont="1" applyBorder="1" applyAlignment="1" applyProtection="1">
      <alignment horizontal="center" vertical="top"/>
      <protection locked="0"/>
    </xf>
    <xf numFmtId="0" fontId="2" fillId="2" borderId="30" xfId="0" applyFont="1" applyFill="1" applyBorder="1" applyAlignment="1" applyProtection="1">
      <alignment horizontal="center"/>
      <protection locked="0"/>
    </xf>
    <xf numFmtId="0" fontId="12" fillId="0" borderId="55" xfId="0" applyFont="1" applyBorder="1" applyAlignment="1" applyProtection="1">
      <alignment horizontal="left"/>
      <protection locked="0"/>
    </xf>
    <xf numFmtId="0" fontId="25" fillId="0" borderId="37" xfId="0" applyFont="1" applyBorder="1" applyAlignment="1" applyProtection="1">
      <alignment horizontal="left"/>
      <protection locked="0"/>
    </xf>
    <xf numFmtId="0" fontId="2" fillId="0" borderId="37" xfId="0" applyFont="1" applyBorder="1" applyAlignment="1" applyProtection="1">
      <alignment horizontal="right"/>
      <protection locked="0"/>
    </xf>
    <xf numFmtId="0" fontId="2" fillId="0" borderId="75" xfId="0" applyFont="1" applyBorder="1" applyAlignment="1" applyProtection="1">
      <alignment horizontal="left"/>
      <protection locked="0"/>
    </xf>
    <xf numFmtId="0" fontId="2" fillId="4" borderId="75" xfId="0" applyFont="1" applyFill="1" applyBorder="1" applyAlignment="1" applyProtection="1">
      <alignment horizontal="center"/>
      <protection locked="0"/>
    </xf>
    <xf numFmtId="0" fontId="2" fillId="0" borderId="36" xfId="0" applyFont="1" applyBorder="1" applyAlignment="1" applyProtection="1">
      <alignment horizontal="center"/>
      <protection locked="0"/>
    </xf>
    <xf numFmtId="170" fontId="2" fillId="6" borderId="56" xfId="0" applyNumberFormat="1" applyFont="1" applyFill="1" applyBorder="1" applyAlignment="1" applyProtection="1">
      <alignment horizontal="center"/>
      <protection locked="0"/>
    </xf>
    <xf numFmtId="0" fontId="12" fillId="0" borderId="60" xfId="0" applyFont="1" applyBorder="1" applyAlignment="1" applyProtection="1">
      <alignment horizontal="center" vertical="top" wrapText="1"/>
      <protection locked="0"/>
    </xf>
    <xf numFmtId="0" fontId="30" fillId="0" borderId="36" xfId="0" applyFont="1" applyBorder="1" applyAlignment="1" applyProtection="1">
      <alignment horizontal="center" vertical="top" wrapText="1"/>
      <protection locked="0"/>
    </xf>
    <xf numFmtId="0" fontId="25" fillId="0" borderId="1" xfId="0" applyFont="1" applyBorder="1" applyAlignment="1" applyProtection="1">
      <alignment horizontal="left"/>
      <protection locked="0"/>
    </xf>
    <xf numFmtId="0" fontId="2" fillId="0" borderId="1" xfId="0" applyFont="1" applyBorder="1" applyAlignment="1" applyProtection="1">
      <alignment horizontal="right"/>
      <protection locked="0"/>
    </xf>
    <xf numFmtId="170" fontId="2" fillId="15" borderId="1" xfId="0" applyNumberFormat="1" applyFont="1" applyFill="1" applyBorder="1" applyAlignment="1" applyProtection="1">
      <alignment horizontal="center"/>
      <protection locked="0"/>
    </xf>
    <xf numFmtId="0" fontId="2" fillId="15" borderId="1" xfId="0" applyFont="1" applyFill="1" applyBorder="1" applyAlignment="1" applyProtection="1">
      <alignment horizontal="center"/>
      <protection locked="0"/>
    </xf>
    <xf numFmtId="0" fontId="25" fillId="0" borderId="14" xfId="0" applyFont="1" applyBorder="1" applyAlignment="1" applyProtection="1">
      <alignment horizontal="left"/>
      <protection locked="0"/>
    </xf>
    <xf numFmtId="0" fontId="2" fillId="0" borderId="14" xfId="0" applyFont="1" applyBorder="1" applyAlignment="1" applyProtection="1">
      <alignment horizontal="right"/>
      <protection locked="0"/>
    </xf>
    <xf numFmtId="0" fontId="2" fillId="0" borderId="14" xfId="0" applyFont="1" applyBorder="1" applyAlignment="1" applyProtection="1">
      <alignment horizontal="center"/>
      <protection locked="0"/>
    </xf>
    <xf numFmtId="170" fontId="2" fillId="15" borderId="14" xfId="0" applyNumberFormat="1" applyFont="1" applyFill="1" applyBorder="1" applyAlignment="1" applyProtection="1">
      <alignment horizontal="center"/>
      <protection locked="0"/>
    </xf>
    <xf numFmtId="0" fontId="25" fillId="0" borderId="11" xfId="0" applyFont="1" applyBorder="1" applyAlignment="1" applyProtection="1">
      <alignment horizontal="left"/>
      <protection locked="0"/>
    </xf>
    <xf numFmtId="0" fontId="2" fillId="0" borderId="11" xfId="0" applyFont="1" applyBorder="1" applyAlignment="1" applyProtection="1">
      <alignment horizontal="right"/>
      <protection locked="0"/>
    </xf>
    <xf numFmtId="0" fontId="2" fillId="0" borderId="11" xfId="0" applyFont="1" applyBorder="1" applyAlignment="1" applyProtection="1">
      <alignment horizontal="center"/>
      <protection locked="0"/>
    </xf>
    <xf numFmtId="170" fontId="2" fillId="15" borderId="11" xfId="0" applyNumberFormat="1" applyFont="1" applyFill="1" applyBorder="1" applyAlignment="1" applyProtection="1">
      <alignment horizontal="center"/>
      <protection locked="0"/>
    </xf>
    <xf numFmtId="0" fontId="25" fillId="0" borderId="26" xfId="0" applyFont="1" applyBorder="1" applyAlignment="1" applyProtection="1">
      <alignment horizontal="left"/>
      <protection locked="0"/>
    </xf>
    <xf numFmtId="0" fontId="2" fillId="0" borderId="26" xfId="0" applyFont="1" applyBorder="1" applyAlignment="1" applyProtection="1">
      <alignment horizontal="right"/>
      <protection locked="0"/>
    </xf>
    <xf numFmtId="0" fontId="2" fillId="0" borderId="26" xfId="0" applyFont="1" applyBorder="1" applyAlignment="1" applyProtection="1">
      <alignment horizontal="center"/>
      <protection locked="0"/>
    </xf>
    <xf numFmtId="170" fontId="2" fillId="15" borderId="26" xfId="0" applyNumberFormat="1" applyFont="1" applyFill="1" applyBorder="1" applyAlignment="1" applyProtection="1">
      <alignment horizontal="center"/>
      <protection locked="0"/>
    </xf>
    <xf numFmtId="0" fontId="2" fillId="15" borderId="36" xfId="0" applyFont="1" applyFill="1" applyBorder="1" applyAlignment="1" applyProtection="1">
      <alignment horizontal="center"/>
      <protection locked="0"/>
    </xf>
    <xf numFmtId="0" fontId="2" fillId="15" borderId="11" xfId="0" applyFont="1" applyFill="1" applyBorder="1" applyAlignment="1" applyProtection="1">
      <alignment horizontal="center"/>
      <protection locked="0"/>
    </xf>
    <xf numFmtId="0" fontId="2" fillId="15" borderId="20" xfId="0" applyFont="1" applyFill="1" applyBorder="1" applyAlignment="1" applyProtection="1">
      <alignment horizontal="center"/>
      <protection locked="0"/>
    </xf>
    <xf numFmtId="0" fontId="25" fillId="0" borderId="16" xfId="0" applyFont="1" applyBorder="1" applyAlignment="1" applyProtection="1">
      <alignment horizontal="left"/>
      <protection locked="0"/>
    </xf>
    <xf numFmtId="0" fontId="2" fillId="0" borderId="16" xfId="0" applyFont="1" applyBorder="1" applyAlignment="1" applyProtection="1">
      <alignment horizontal="right"/>
      <protection locked="0"/>
    </xf>
    <xf numFmtId="0" fontId="2" fillId="0" borderId="16" xfId="0" applyFont="1" applyBorder="1" applyAlignment="1" applyProtection="1">
      <alignment horizontal="center"/>
      <protection locked="0"/>
    </xf>
    <xf numFmtId="0" fontId="2" fillId="15" borderId="26" xfId="0" applyFont="1" applyFill="1" applyBorder="1" applyAlignment="1" applyProtection="1">
      <alignment horizontal="center"/>
      <protection locked="0"/>
    </xf>
    <xf numFmtId="0" fontId="43" fillId="0" borderId="1" xfId="0" applyFont="1" applyBorder="1" applyAlignment="1" applyProtection="1">
      <alignment horizontal="center"/>
      <protection locked="0"/>
    </xf>
    <xf numFmtId="0" fontId="43" fillId="0" borderId="11" xfId="0" applyFont="1" applyBorder="1" applyAlignment="1" applyProtection="1">
      <alignment horizontal="center"/>
      <protection locked="0"/>
    </xf>
    <xf numFmtId="0" fontId="30" fillId="0" borderId="63" xfId="0" applyFont="1" applyBorder="1" applyAlignment="1" applyProtection="1">
      <alignment horizontal="left"/>
      <protection locked="0"/>
    </xf>
    <xf numFmtId="0" fontId="30" fillId="0" borderId="2" xfId="0" applyFont="1" applyBorder="1" applyAlignment="1" applyProtection="1">
      <alignment horizontal="center" wrapText="1"/>
      <protection locked="0"/>
    </xf>
    <xf numFmtId="0" fontId="25" fillId="4" borderId="50" xfId="0" applyFont="1" applyFill="1" applyBorder="1" applyAlignment="1" applyProtection="1">
      <alignment horizontal="center"/>
      <protection locked="0"/>
    </xf>
    <xf numFmtId="0" fontId="25" fillId="4" borderId="55" xfId="0" applyFont="1" applyFill="1" applyBorder="1" applyAlignment="1" applyProtection="1">
      <alignment horizontal="center"/>
      <protection locked="0"/>
    </xf>
    <xf numFmtId="0" fontId="25" fillId="4" borderId="51" xfId="0" applyFont="1" applyFill="1" applyBorder="1" applyAlignment="1" applyProtection="1">
      <alignment horizontal="center"/>
      <protection locked="0"/>
    </xf>
    <xf numFmtId="0" fontId="25" fillId="0" borderId="28" xfId="0" applyFont="1" applyBorder="1" applyAlignment="1" applyProtection="1">
      <alignment horizontal="right"/>
      <protection locked="0"/>
    </xf>
    <xf numFmtId="0" fontId="25" fillId="0" borderId="29" xfId="0" applyFont="1" applyBorder="1" applyAlignment="1" applyProtection="1">
      <alignment horizontal="right"/>
      <protection locked="0"/>
    </xf>
    <xf numFmtId="0" fontId="25" fillId="0" borderId="30" xfId="0" applyFont="1" applyBorder="1" applyAlignment="1" applyProtection="1">
      <alignment horizontal="right"/>
      <protection locked="0"/>
    </xf>
    <xf numFmtId="0" fontId="25" fillId="0" borderId="39" xfId="0" applyFont="1" applyBorder="1" applyAlignment="1" applyProtection="1">
      <alignment horizontal="right"/>
      <protection locked="0"/>
    </xf>
    <xf numFmtId="0" fontId="25" fillId="0" borderId="73" xfId="0" applyFont="1" applyBorder="1" applyAlignment="1" applyProtection="1">
      <alignment horizontal="right"/>
      <protection locked="0"/>
    </xf>
    <xf numFmtId="170" fontId="2" fillId="17" borderId="6" xfId="0" applyNumberFormat="1" applyFont="1" applyFill="1" applyBorder="1" applyAlignment="1" applyProtection="1">
      <alignment horizontal="center"/>
      <protection locked="0"/>
    </xf>
    <xf numFmtId="170" fontId="2" fillId="17" borderId="9" xfId="0" applyNumberFormat="1" applyFont="1" applyFill="1" applyBorder="1" applyAlignment="1" applyProtection="1">
      <alignment horizontal="center"/>
      <protection locked="0"/>
    </xf>
    <xf numFmtId="0" fontId="2" fillId="0" borderId="28" xfId="0" applyFont="1" applyBorder="1" applyAlignment="1" applyProtection="1">
      <alignment horizontal="center"/>
      <protection locked="0"/>
    </xf>
    <xf numFmtId="0" fontId="2" fillId="0" borderId="29" xfId="0" applyFont="1" applyBorder="1" applyAlignment="1" applyProtection="1">
      <alignment horizontal="center"/>
      <protection locked="0"/>
    </xf>
    <xf numFmtId="0" fontId="2" fillId="0" borderId="34" xfId="0" applyFont="1" applyBorder="1" applyAlignment="1" applyProtection="1">
      <alignment horizontal="center"/>
      <protection locked="0"/>
    </xf>
    <xf numFmtId="0" fontId="2" fillId="0" borderId="30" xfId="0" applyFont="1" applyBorder="1" applyAlignment="1" applyProtection="1">
      <alignment horizontal="center"/>
      <protection locked="0"/>
    </xf>
    <xf numFmtId="0" fontId="2" fillId="0" borderId="38" xfId="0" applyFont="1" applyBorder="1" applyAlignment="1" applyProtection="1">
      <alignment horizontal="center"/>
      <protection locked="0"/>
    </xf>
    <xf numFmtId="0" fontId="2" fillId="0" borderId="33" xfId="0" applyFont="1" applyBorder="1" applyAlignment="1" applyProtection="1">
      <alignment horizontal="center"/>
      <protection locked="0"/>
    </xf>
    <xf numFmtId="0" fontId="2" fillId="0" borderId="5" xfId="0" applyFont="1" applyBorder="1" applyAlignment="1" applyProtection="1">
      <alignment horizontal="center"/>
      <protection locked="0"/>
    </xf>
    <xf numFmtId="0" fontId="2" fillId="0" borderId="82" xfId="0" applyFont="1" applyBorder="1" applyAlignment="1" applyProtection="1">
      <alignment horizontal="center"/>
      <protection locked="0"/>
    </xf>
    <xf numFmtId="0" fontId="2" fillId="0" borderId="35" xfId="0" applyFont="1" applyBorder="1" applyAlignment="1" applyProtection="1">
      <alignment horizontal="center"/>
      <protection locked="0"/>
    </xf>
    <xf numFmtId="0" fontId="2" fillId="0" borderId="54" xfId="0" applyFont="1" applyBorder="1" applyAlignment="1" applyProtection="1">
      <alignment horizontal="center"/>
      <protection locked="0"/>
    </xf>
    <xf numFmtId="0" fontId="2" fillId="0" borderId="0" xfId="0" applyFont="1" applyAlignment="1" applyProtection="1">
      <alignment horizontal="center"/>
      <protection locked="0"/>
    </xf>
    <xf numFmtId="170" fontId="2" fillId="17" borderId="15" xfId="0" applyNumberFormat="1" applyFont="1" applyFill="1" applyBorder="1" applyAlignment="1" applyProtection="1">
      <alignment horizontal="center"/>
      <protection locked="0"/>
    </xf>
    <xf numFmtId="170" fontId="2" fillId="17" borderId="44" xfId="0" applyNumberFormat="1" applyFont="1" applyFill="1" applyBorder="1" applyAlignment="1" applyProtection="1">
      <alignment horizontal="center"/>
      <protection locked="0"/>
    </xf>
    <xf numFmtId="170" fontId="2" fillId="17" borderId="66" xfId="0" applyNumberFormat="1" applyFont="1" applyFill="1" applyBorder="1" applyAlignment="1" applyProtection="1">
      <alignment horizontal="center"/>
      <protection locked="0"/>
    </xf>
    <xf numFmtId="170" fontId="2" fillId="17" borderId="40" xfId="0" applyNumberFormat="1" applyFont="1" applyFill="1" applyBorder="1" applyAlignment="1" applyProtection="1">
      <alignment horizontal="center"/>
      <protection locked="0"/>
    </xf>
    <xf numFmtId="170" fontId="2" fillId="15" borderId="32" xfId="0" applyNumberFormat="1" applyFont="1" applyFill="1" applyBorder="1" applyAlignment="1" applyProtection="1">
      <alignment horizontal="center"/>
      <protection locked="0"/>
    </xf>
    <xf numFmtId="170" fontId="2" fillId="15" borderId="16" xfId="0" applyNumberFormat="1" applyFont="1" applyFill="1" applyBorder="1" applyAlignment="1" applyProtection="1">
      <alignment horizontal="center"/>
      <protection locked="0"/>
    </xf>
    <xf numFmtId="2" fontId="2" fillId="15" borderId="39" xfId="0" applyNumberFormat="1" applyFont="1" applyFill="1" applyBorder="1" applyAlignment="1" applyProtection="1">
      <alignment horizontal="center"/>
      <protection locked="0"/>
    </xf>
    <xf numFmtId="2" fontId="2" fillId="15" borderId="29" xfId="0" applyNumberFormat="1" applyFont="1" applyFill="1" applyBorder="1" applyAlignment="1" applyProtection="1">
      <alignment horizontal="center"/>
      <protection locked="0"/>
    </xf>
    <xf numFmtId="0" fontId="2" fillId="15" borderId="38" xfId="0" applyFont="1" applyFill="1" applyBorder="1" applyAlignment="1" applyProtection="1">
      <alignment horizontal="center"/>
      <protection locked="0"/>
    </xf>
    <xf numFmtId="0" fontId="25" fillId="0" borderId="37" xfId="0" applyFont="1" applyBorder="1" applyAlignment="1" applyProtection="1">
      <alignment horizontal="right"/>
      <protection locked="0"/>
    </xf>
    <xf numFmtId="0" fontId="30" fillId="0" borderId="49" xfId="0" applyFont="1" applyBorder="1" applyAlignment="1" applyProtection="1">
      <alignment horizontal="left"/>
      <protection locked="0"/>
    </xf>
    <xf numFmtId="0" fontId="25" fillId="0" borderId="25" xfId="0" applyFont="1" applyBorder="1" applyAlignment="1" applyProtection="1">
      <alignment horizontal="left"/>
      <protection locked="0"/>
    </xf>
    <xf numFmtId="0" fontId="2" fillId="0" borderId="25" xfId="0" applyFont="1" applyBorder="1" applyAlignment="1" applyProtection="1">
      <alignment horizontal="right"/>
      <protection locked="0"/>
    </xf>
    <xf numFmtId="0" fontId="2" fillId="0" borderId="59" xfId="0" applyFont="1" applyBorder="1" applyAlignment="1" applyProtection="1">
      <alignment horizontal="left"/>
      <protection locked="0"/>
    </xf>
    <xf numFmtId="0" fontId="2" fillId="4" borderId="59" xfId="0" applyFont="1" applyFill="1" applyBorder="1" applyAlignment="1" applyProtection="1">
      <alignment horizontal="center"/>
      <protection locked="0"/>
    </xf>
    <xf numFmtId="0" fontId="2" fillId="0" borderId="67" xfId="0" applyFont="1" applyBorder="1" applyAlignment="1" applyProtection="1">
      <alignment horizontal="center"/>
      <protection locked="0"/>
    </xf>
    <xf numFmtId="170" fontId="2" fillId="6" borderId="42" xfId="0" applyNumberFormat="1" applyFont="1" applyFill="1" applyBorder="1" applyAlignment="1" applyProtection="1">
      <alignment horizontal="center"/>
      <protection locked="0"/>
    </xf>
    <xf numFmtId="0" fontId="2" fillId="0" borderId="43" xfId="0" applyFont="1" applyBorder="1" applyAlignment="1" applyProtection="1">
      <alignment horizontal="center"/>
      <protection locked="0"/>
    </xf>
    <xf numFmtId="0" fontId="2" fillId="15" borderId="67" xfId="0" applyFont="1" applyFill="1" applyBorder="1" applyAlignment="1" applyProtection="1">
      <alignment horizontal="center"/>
      <protection locked="0"/>
    </xf>
    <xf numFmtId="0" fontId="30" fillId="0" borderId="51" xfId="0" applyFont="1" applyBorder="1" applyAlignment="1" applyProtection="1">
      <alignment horizontal="left"/>
      <protection locked="0"/>
    </xf>
    <xf numFmtId="0" fontId="30" fillId="0" borderId="78" xfId="0" applyFont="1" applyBorder="1" applyAlignment="1" applyProtection="1">
      <alignment horizontal="left"/>
      <protection locked="0"/>
    </xf>
    <xf numFmtId="0" fontId="30" fillId="0" borderId="81" xfId="0" applyFont="1" applyBorder="1" applyAlignment="1" applyProtection="1">
      <alignment horizontal="left"/>
      <protection locked="0"/>
    </xf>
    <xf numFmtId="0" fontId="30" fillId="0" borderId="80" xfId="0" applyFont="1" applyBorder="1" applyAlignment="1" applyProtection="1">
      <alignment horizontal="left"/>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170" fontId="2" fillId="0" borderId="56" xfId="0" applyNumberFormat="1" applyFont="1" applyBorder="1" applyAlignment="1" applyProtection="1">
      <alignment horizontal="center"/>
      <protection locked="0"/>
    </xf>
    <xf numFmtId="170" fontId="2" fillId="0" borderId="68" xfId="0" applyNumberFormat="1" applyFont="1" applyBorder="1" applyAlignment="1" applyProtection="1">
      <alignment horizontal="center"/>
      <protection locked="0"/>
    </xf>
    <xf numFmtId="170" fontId="2" fillId="15" borderId="68" xfId="0" applyNumberFormat="1" applyFont="1" applyFill="1" applyBorder="1" applyAlignment="1" applyProtection="1">
      <alignment horizontal="center"/>
      <protection locked="0"/>
    </xf>
    <xf numFmtId="170" fontId="25" fillId="0" borderId="53" xfId="0" applyNumberFormat="1" applyFont="1" applyBorder="1" applyAlignment="1" applyProtection="1">
      <alignment horizontal="center"/>
      <protection locked="0"/>
    </xf>
    <xf numFmtId="170" fontId="25" fillId="0" borderId="80" xfId="0" applyNumberFormat="1" applyFont="1" applyBorder="1" applyAlignment="1" applyProtection="1">
      <alignment horizontal="center"/>
      <protection locked="0"/>
    </xf>
    <xf numFmtId="170" fontId="2" fillId="15" borderId="53" xfId="0" applyNumberFormat="1" applyFont="1" applyFill="1" applyBorder="1" applyAlignment="1" applyProtection="1">
      <alignment horizontal="center"/>
      <protection locked="0"/>
    </xf>
    <xf numFmtId="170" fontId="2" fillId="15" borderId="9" xfId="0" applyNumberFormat="1" applyFont="1" applyFill="1" applyBorder="1" applyAlignment="1" applyProtection="1">
      <alignment horizontal="center"/>
      <protection locked="0"/>
    </xf>
    <xf numFmtId="170" fontId="2" fillId="15" borderId="10" xfId="0" applyNumberFormat="1" applyFont="1" applyFill="1" applyBorder="1" applyAlignment="1" applyProtection="1">
      <alignment horizontal="center"/>
      <protection locked="0"/>
    </xf>
    <xf numFmtId="10" fontId="48" fillId="6" borderId="1" xfId="1" applyNumberFormat="1" applyFont="1" applyFill="1" applyBorder="1" applyProtection="1"/>
    <xf numFmtId="10" fontId="48" fillId="6" borderId="26" xfId="1" applyNumberFormat="1" applyFont="1" applyFill="1" applyBorder="1" applyProtection="1"/>
    <xf numFmtId="10" fontId="48" fillId="6" borderId="11" xfId="1" applyNumberFormat="1" applyFont="1" applyFill="1" applyBorder="1" applyProtection="1"/>
    <xf numFmtId="10" fontId="48" fillId="6" borderId="16" xfId="1" applyNumberFormat="1" applyFont="1" applyFill="1" applyBorder="1" applyProtection="1"/>
    <xf numFmtId="10" fontId="48" fillId="6" borderId="41" xfId="1" applyNumberFormat="1" applyFont="1" applyFill="1" applyBorder="1" applyProtection="1"/>
    <xf numFmtId="10" fontId="48" fillId="6" borderId="22" xfId="1" applyNumberFormat="1" applyFont="1" applyFill="1" applyBorder="1" applyProtection="1"/>
    <xf numFmtId="10" fontId="48" fillId="6" borderId="23" xfId="1" applyNumberFormat="1" applyFont="1" applyFill="1" applyBorder="1" applyProtection="1"/>
    <xf numFmtId="10" fontId="48" fillId="6" borderId="32" xfId="1" applyNumberFormat="1" applyFont="1" applyFill="1" applyBorder="1" applyProtection="1"/>
    <xf numFmtId="170" fontId="25" fillId="19" borderId="1" xfId="0" applyNumberFormat="1" applyFont="1" applyFill="1" applyBorder="1" applyAlignment="1" applyProtection="1">
      <alignment horizontal="center"/>
      <protection locked="0"/>
    </xf>
    <xf numFmtId="170" fontId="25" fillId="19" borderId="26" xfId="0" applyNumberFormat="1" applyFont="1" applyFill="1" applyBorder="1" applyAlignment="1" applyProtection="1">
      <alignment horizontal="center"/>
      <protection locked="0"/>
    </xf>
    <xf numFmtId="170" fontId="25" fillId="19" borderId="11" xfId="0" applyNumberFormat="1" applyFont="1" applyFill="1" applyBorder="1" applyAlignment="1" applyProtection="1">
      <alignment horizontal="center"/>
      <protection locked="0"/>
    </xf>
    <xf numFmtId="170" fontId="25" fillId="19" borderId="22" xfId="0" applyNumberFormat="1" applyFont="1" applyFill="1" applyBorder="1" applyAlignment="1" applyProtection="1">
      <alignment horizontal="center"/>
      <protection locked="0"/>
    </xf>
    <xf numFmtId="170" fontId="25" fillId="19" borderId="23" xfId="0" applyNumberFormat="1" applyFont="1" applyFill="1" applyBorder="1" applyAlignment="1" applyProtection="1">
      <alignment horizontal="center"/>
      <protection locked="0"/>
    </xf>
    <xf numFmtId="170" fontId="25" fillId="19" borderId="36" xfId="0" applyNumberFormat="1" applyFont="1" applyFill="1" applyBorder="1" applyAlignment="1" applyProtection="1">
      <alignment horizontal="center"/>
      <protection locked="0"/>
    </xf>
    <xf numFmtId="170" fontId="25" fillId="19" borderId="32" xfId="0" applyNumberFormat="1" applyFont="1" applyFill="1" applyBorder="1" applyAlignment="1" applyProtection="1">
      <alignment horizontal="center"/>
      <protection locked="0"/>
    </xf>
    <xf numFmtId="170" fontId="25" fillId="19" borderId="67" xfId="0" applyNumberFormat="1" applyFont="1" applyFill="1" applyBorder="1" applyAlignment="1" applyProtection="1">
      <alignment horizontal="center"/>
      <protection locked="0"/>
    </xf>
    <xf numFmtId="10" fontId="2" fillId="6" borderId="6" xfId="0" applyNumberFormat="1" applyFont="1" applyFill="1" applyBorder="1" applyAlignment="1" applyProtection="1">
      <alignment horizontal="center"/>
      <protection locked="0"/>
    </xf>
    <xf numFmtId="10" fontId="2" fillId="6" borderId="9" xfId="0" applyNumberFormat="1" applyFont="1" applyFill="1" applyBorder="1" applyAlignment="1" applyProtection="1">
      <alignment horizontal="center"/>
      <protection locked="0"/>
    </xf>
    <xf numFmtId="10" fontId="2" fillId="6" borderId="68" xfId="0" applyNumberFormat="1" applyFont="1" applyFill="1" applyBorder="1" applyAlignment="1" applyProtection="1">
      <alignment horizontal="center"/>
      <protection locked="0"/>
    </xf>
    <xf numFmtId="10" fontId="2" fillId="6" borderId="66" xfId="0" applyNumberFormat="1" applyFont="1" applyFill="1" applyBorder="1" applyAlignment="1" applyProtection="1">
      <alignment horizontal="center"/>
      <protection locked="0"/>
    </xf>
    <xf numFmtId="10" fontId="2" fillId="6" borderId="40" xfId="0" applyNumberFormat="1" applyFont="1" applyFill="1" applyBorder="1" applyAlignment="1" applyProtection="1">
      <alignment horizontal="center"/>
      <protection locked="0"/>
    </xf>
    <xf numFmtId="10" fontId="2" fillId="6" borderId="53" xfId="0" applyNumberFormat="1" applyFont="1" applyFill="1" applyBorder="1" applyAlignment="1" applyProtection="1">
      <alignment horizontal="center"/>
      <protection locked="0"/>
    </xf>
    <xf numFmtId="10" fontId="2" fillId="6" borderId="56" xfId="0" applyNumberFormat="1" applyFont="1" applyFill="1" applyBorder="1" applyAlignment="1" applyProtection="1">
      <alignment horizontal="center"/>
      <protection locked="0"/>
    </xf>
    <xf numFmtId="10" fontId="2" fillId="6" borderId="42" xfId="0" applyNumberFormat="1" applyFont="1" applyFill="1" applyBorder="1" applyAlignment="1" applyProtection="1">
      <alignment horizontal="center"/>
      <protection locked="0"/>
    </xf>
    <xf numFmtId="170" fontId="43" fillId="20" borderId="7" xfId="0" applyNumberFormat="1" applyFont="1" applyFill="1" applyBorder="1"/>
    <xf numFmtId="170" fontId="43" fillId="20" borderId="8" xfId="0" applyNumberFormat="1" applyFont="1" applyFill="1" applyBorder="1"/>
    <xf numFmtId="170" fontId="43" fillId="20" borderId="27" xfId="0" applyNumberFormat="1" applyFont="1" applyFill="1" applyBorder="1"/>
    <xf numFmtId="170" fontId="43" fillId="20" borderId="12" xfId="0" applyNumberFormat="1" applyFont="1" applyFill="1" applyBorder="1"/>
    <xf numFmtId="170" fontId="43" fillId="20" borderId="17" xfId="0" applyNumberFormat="1" applyFont="1" applyFill="1" applyBorder="1"/>
    <xf numFmtId="170" fontId="43" fillId="20" borderId="71" xfId="0" applyNumberFormat="1" applyFont="1" applyFill="1" applyBorder="1"/>
    <xf numFmtId="170" fontId="43" fillId="20" borderId="76" xfId="0" applyNumberFormat="1" applyFont="1" applyFill="1" applyBorder="1"/>
    <xf numFmtId="170" fontId="43" fillId="20" borderId="60" xfId="0" applyNumberFormat="1" applyFont="1" applyFill="1" applyBorder="1"/>
    <xf numFmtId="0" fontId="30" fillId="0" borderId="0" xfId="0" applyFont="1" applyAlignment="1">
      <alignment horizontal="right"/>
    </xf>
    <xf numFmtId="0" fontId="2" fillId="0" borderId="0" xfId="0" applyFont="1" applyAlignment="1">
      <alignment horizontal="center" wrapText="1"/>
    </xf>
    <xf numFmtId="0" fontId="25" fillId="0" borderId="0" xfId="0" applyFont="1" applyAlignment="1">
      <alignment horizontal="center" wrapText="1"/>
    </xf>
    <xf numFmtId="171" fontId="2" fillId="8" borderId="1" xfId="0" applyNumberFormat="1" applyFont="1" applyFill="1" applyBorder="1"/>
    <xf numFmtId="171" fontId="25" fillId="8" borderId="1" xfId="0" applyNumberFormat="1" applyFont="1" applyFill="1" applyBorder="1"/>
    <xf numFmtId="0" fontId="2" fillId="8" borderId="1" xfId="0" applyFont="1" applyFill="1" applyBorder="1"/>
    <xf numFmtId="0" fontId="49" fillId="17" borderId="0" xfId="0" applyFont="1" applyFill="1" applyAlignment="1">
      <alignment horizontal="right"/>
    </xf>
    <xf numFmtId="0" fontId="2" fillId="18" borderId="12" xfId="0" applyFont="1" applyFill="1" applyBorder="1"/>
    <xf numFmtId="0" fontId="2" fillId="9" borderId="8" xfId="0" applyFont="1" applyFill="1" applyBorder="1"/>
    <xf numFmtId="171" fontId="2" fillId="0" borderId="16" xfId="0" applyNumberFormat="1" applyFont="1" applyBorder="1"/>
    <xf numFmtId="171" fontId="2" fillId="0" borderId="1" xfId="0" applyNumberFormat="1" applyFont="1" applyBorder="1"/>
    <xf numFmtId="171" fontId="25" fillId="0" borderId="1" xfId="0" applyNumberFormat="1" applyFont="1" applyBorder="1"/>
    <xf numFmtId="171" fontId="2" fillId="0" borderId="11" xfId="0" applyNumberFormat="1" applyFont="1" applyBorder="1"/>
    <xf numFmtId="171" fontId="25" fillId="0" borderId="16" xfId="0" applyNumberFormat="1" applyFont="1" applyBorder="1"/>
    <xf numFmtId="0" fontId="47" fillId="15" borderId="0" xfId="0" applyFont="1" applyFill="1"/>
    <xf numFmtId="0" fontId="47" fillId="15" borderId="0" xfId="0" applyFont="1" applyFill="1" applyAlignment="1">
      <alignment horizontal="center"/>
    </xf>
    <xf numFmtId="0" fontId="2" fillId="0" borderId="70" xfId="0" applyFont="1" applyBorder="1" applyAlignment="1">
      <alignment vertical="top"/>
    </xf>
    <xf numFmtId="0" fontId="2" fillId="0" borderId="48" xfId="0" applyFont="1" applyBorder="1" applyAlignment="1">
      <alignment vertical="top"/>
    </xf>
    <xf numFmtId="0" fontId="12" fillId="0" borderId="42" xfId="0" applyFont="1" applyBorder="1" applyAlignment="1">
      <alignment vertical="top"/>
    </xf>
    <xf numFmtId="0" fontId="12" fillId="0" borderId="43" xfId="0" applyFont="1" applyBorder="1" applyAlignment="1">
      <alignment vertical="top"/>
    </xf>
    <xf numFmtId="0" fontId="12" fillId="0" borderId="47" xfId="0" applyFont="1" applyBorder="1" applyAlignment="1">
      <alignment vertical="top"/>
    </xf>
    <xf numFmtId="0" fontId="12" fillId="0" borderId="5" xfId="0" applyFont="1" applyBorder="1" applyAlignment="1">
      <alignment vertical="top"/>
    </xf>
    <xf numFmtId="0" fontId="12" fillId="0" borderId="69" xfId="0" applyFont="1" applyBorder="1" applyAlignment="1">
      <alignment vertical="top"/>
    </xf>
    <xf numFmtId="0" fontId="12" fillId="0" borderId="46" xfId="0" applyFont="1" applyBorder="1" applyAlignment="1">
      <alignment vertical="top"/>
    </xf>
    <xf numFmtId="0" fontId="2" fillId="9" borderId="10" xfId="0" applyFont="1" applyFill="1" applyBorder="1"/>
    <xf numFmtId="0" fontId="2" fillId="9" borderId="12" xfId="0" applyFont="1" applyFill="1" applyBorder="1"/>
    <xf numFmtId="171" fontId="2" fillId="0" borderId="0" xfId="0" applyNumberFormat="1" applyFont="1"/>
    <xf numFmtId="0" fontId="2" fillId="0" borderId="42" xfId="0" applyFont="1" applyBorder="1"/>
    <xf numFmtId="0" fontId="2" fillId="0" borderId="43" xfId="0" applyFont="1" applyBorder="1"/>
    <xf numFmtId="0" fontId="12" fillId="0" borderId="43" xfId="0" applyFont="1" applyBorder="1"/>
    <xf numFmtId="0" fontId="2" fillId="0" borderId="46" xfId="0" applyFont="1" applyBorder="1"/>
    <xf numFmtId="0" fontId="2" fillId="0" borderId="56" xfId="0" applyFont="1" applyBorder="1"/>
    <xf numFmtId="0" fontId="2" fillId="0" borderId="57" xfId="0" applyFont="1" applyBorder="1"/>
    <xf numFmtId="0" fontId="2" fillId="0" borderId="47" xfId="0" applyFont="1" applyBorder="1"/>
    <xf numFmtId="0" fontId="2" fillId="0" borderId="48" xfId="0" applyFont="1" applyBorder="1"/>
    <xf numFmtId="0" fontId="2" fillId="0" borderId="0" xfId="0" applyFont="1" applyAlignment="1" applyProtection="1">
      <alignment wrapText="1"/>
      <protection locked="0"/>
    </xf>
    <xf numFmtId="0" fontId="47" fillId="15" borderId="0" xfId="0" applyFont="1" applyFill="1" applyProtection="1">
      <protection locked="0"/>
    </xf>
    <xf numFmtId="10" fontId="2" fillId="6" borderId="7" xfId="0" applyNumberFormat="1" applyFont="1" applyFill="1" applyBorder="1" applyAlignment="1" applyProtection="1">
      <alignment horizontal="center"/>
      <protection locked="0"/>
    </xf>
    <xf numFmtId="10" fontId="2" fillId="6" borderId="8" xfId="0" applyNumberFormat="1" applyFont="1" applyFill="1" applyBorder="1" applyAlignment="1" applyProtection="1">
      <alignment horizontal="center"/>
      <protection locked="0"/>
    </xf>
    <xf numFmtId="10" fontId="2" fillId="6" borderId="27" xfId="0" applyNumberFormat="1" applyFont="1" applyFill="1" applyBorder="1" applyAlignment="1" applyProtection="1">
      <alignment horizontal="center"/>
      <protection locked="0"/>
    </xf>
    <xf numFmtId="10" fontId="2" fillId="6" borderId="12" xfId="0" applyNumberFormat="1" applyFont="1" applyFill="1" applyBorder="1" applyAlignment="1" applyProtection="1">
      <alignment horizontal="center"/>
      <protection locked="0"/>
    </xf>
    <xf numFmtId="10" fontId="2" fillId="6" borderId="17" xfId="0" applyNumberFormat="1" applyFont="1" applyFill="1" applyBorder="1" applyAlignment="1" applyProtection="1">
      <alignment horizontal="center"/>
      <protection locked="0"/>
    </xf>
    <xf numFmtId="10" fontId="2" fillId="6" borderId="76" xfId="0" applyNumberFormat="1" applyFont="1" applyFill="1" applyBorder="1" applyAlignment="1" applyProtection="1">
      <alignment horizontal="center"/>
      <protection locked="0"/>
    </xf>
    <xf numFmtId="10" fontId="2" fillId="6" borderId="60" xfId="0" applyNumberFormat="1" applyFont="1" applyFill="1" applyBorder="1" applyAlignment="1" applyProtection="1">
      <alignment horizontal="center"/>
      <protection locked="0"/>
    </xf>
    <xf numFmtId="10" fontId="2" fillId="17" borderId="9" xfId="0" applyNumberFormat="1" applyFont="1" applyFill="1" applyBorder="1" applyAlignment="1" applyProtection="1">
      <alignment horizontal="center"/>
      <protection locked="0"/>
    </xf>
    <xf numFmtId="10" fontId="2" fillId="17" borderId="8" xfId="0" applyNumberFormat="1" applyFont="1" applyFill="1" applyBorder="1" applyAlignment="1" applyProtection="1">
      <alignment horizontal="center"/>
      <protection locked="0"/>
    </xf>
    <xf numFmtId="10" fontId="2" fillId="17" borderId="10" xfId="0" applyNumberFormat="1" applyFont="1" applyFill="1" applyBorder="1" applyAlignment="1" applyProtection="1">
      <alignment horizontal="center"/>
      <protection locked="0"/>
    </xf>
    <xf numFmtId="10" fontId="2" fillId="17" borderId="12" xfId="0" applyNumberFormat="1" applyFont="1" applyFill="1" applyBorder="1" applyAlignment="1" applyProtection="1">
      <alignment horizontal="center"/>
      <protection locked="0"/>
    </xf>
    <xf numFmtId="10" fontId="2" fillId="17" borderId="52" xfId="0" applyNumberFormat="1" applyFont="1" applyFill="1" applyBorder="1" applyAlignment="1" applyProtection="1">
      <alignment horizontal="center"/>
      <protection locked="0"/>
    </xf>
    <xf numFmtId="10" fontId="2" fillId="17" borderId="27" xfId="0" applyNumberFormat="1" applyFont="1" applyFill="1" applyBorder="1" applyAlignment="1" applyProtection="1">
      <alignment horizontal="center"/>
      <protection locked="0"/>
    </xf>
    <xf numFmtId="10" fontId="2" fillId="17" borderId="17" xfId="0" applyNumberFormat="1" applyFont="1" applyFill="1" applyBorder="1" applyAlignment="1" applyProtection="1">
      <alignment horizontal="center"/>
      <protection locked="0"/>
    </xf>
    <xf numFmtId="10" fontId="2" fillId="17" borderId="40" xfId="0" applyNumberFormat="1" applyFont="1" applyFill="1" applyBorder="1" applyAlignment="1" applyProtection="1">
      <alignment horizontal="center"/>
      <protection locked="0"/>
    </xf>
    <xf numFmtId="10" fontId="2" fillId="17" borderId="53" xfId="0" applyNumberFormat="1" applyFont="1" applyFill="1" applyBorder="1" applyAlignment="1" applyProtection="1">
      <alignment horizontal="center"/>
      <protection locked="0"/>
    </xf>
    <xf numFmtId="10" fontId="2" fillId="17" borderId="68" xfId="0" applyNumberFormat="1" applyFont="1" applyFill="1" applyBorder="1" applyAlignment="1" applyProtection="1">
      <alignment horizontal="center"/>
      <protection locked="0"/>
    </xf>
    <xf numFmtId="170" fontId="48" fillId="20" borderId="27" xfId="0" applyNumberFormat="1" applyFont="1" applyFill="1" applyBorder="1"/>
    <xf numFmtId="170" fontId="2" fillId="15" borderId="22" xfId="0" applyNumberFormat="1" applyFont="1" applyFill="1" applyBorder="1" applyAlignment="1" applyProtection="1">
      <alignment horizontal="center"/>
      <protection locked="0"/>
    </xf>
    <xf numFmtId="170" fontId="48" fillId="20" borderId="8" xfId="0" applyNumberFormat="1" applyFont="1" applyFill="1" applyBorder="1"/>
    <xf numFmtId="170" fontId="48" fillId="20" borderId="60" xfId="0" applyNumberFormat="1" applyFont="1" applyFill="1" applyBorder="1"/>
    <xf numFmtId="0" fontId="2" fillId="0" borderId="14" xfId="0" applyFont="1" applyBorder="1" applyAlignment="1" applyProtection="1">
      <alignment horizontal="center" wrapText="1"/>
      <protection locked="0"/>
    </xf>
    <xf numFmtId="0" fontId="2" fillId="0" borderId="1" xfId="0" applyFont="1" applyBorder="1" applyAlignment="1" applyProtection="1">
      <alignment horizontal="center" wrapText="1"/>
      <protection locked="0"/>
    </xf>
    <xf numFmtId="170" fontId="25" fillId="15" borderId="16" xfId="0" applyNumberFormat="1" applyFont="1" applyFill="1" applyBorder="1" applyAlignment="1" applyProtection="1">
      <alignment horizontal="center"/>
      <protection locked="0"/>
    </xf>
    <xf numFmtId="170" fontId="2" fillId="0" borderId="1" xfId="0" applyNumberFormat="1" applyFont="1" applyBorder="1" applyProtection="1">
      <protection locked="0"/>
    </xf>
    <xf numFmtId="170" fontId="25" fillId="0" borderId="1" xfId="0" applyNumberFormat="1" applyFont="1" applyBorder="1" applyProtection="1">
      <protection locked="0"/>
    </xf>
    <xf numFmtId="168" fontId="2" fillId="0" borderId="1" xfId="0" applyNumberFormat="1" applyFont="1" applyBorder="1" applyProtection="1">
      <protection locked="0"/>
    </xf>
    <xf numFmtId="1" fontId="2" fillId="0" borderId="1" xfId="0" applyNumberFormat="1" applyFont="1" applyBorder="1" applyProtection="1">
      <protection locked="0"/>
    </xf>
    <xf numFmtId="1" fontId="25" fillId="0" borderId="1" xfId="0" applyNumberFormat="1" applyFont="1" applyBorder="1" applyProtection="1">
      <protection locked="0"/>
    </xf>
    <xf numFmtId="1" fontId="25" fillId="15" borderId="39" xfId="0" applyNumberFormat="1" applyFont="1" applyFill="1" applyBorder="1" applyAlignment="1" applyProtection="1">
      <alignment horizontal="center"/>
      <protection locked="0"/>
    </xf>
    <xf numFmtId="1" fontId="2" fillId="0" borderId="33" xfId="0" applyNumberFormat="1" applyFont="1" applyBorder="1" applyAlignment="1" applyProtection="1">
      <alignment horizontal="center"/>
      <protection locked="0"/>
    </xf>
    <xf numFmtId="0" fontId="2" fillId="4" borderId="34" xfId="0" applyFont="1" applyFill="1" applyBorder="1" applyAlignment="1" applyProtection="1">
      <alignment horizontal="center"/>
      <protection locked="0"/>
    </xf>
    <xf numFmtId="0" fontId="25" fillId="0" borderId="9" xfId="0" applyFont="1" applyBorder="1" applyAlignment="1" applyProtection="1">
      <alignment horizontal="right"/>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vertical="top" wrapText="1"/>
      <protection locked="0"/>
    </xf>
    <xf numFmtId="2" fontId="2" fillId="16" borderId="8" xfId="0" applyNumberFormat="1" applyFont="1" applyFill="1" applyBorder="1"/>
    <xf numFmtId="10" fontId="2" fillId="15" borderId="27" xfId="0" applyNumberFormat="1" applyFont="1" applyFill="1" applyBorder="1" applyAlignment="1" applyProtection="1">
      <alignment horizontal="center"/>
      <protection locked="0"/>
    </xf>
    <xf numFmtId="170" fontId="2" fillId="0" borderId="16" xfId="0" applyNumberFormat="1" applyFont="1" applyBorder="1" applyProtection="1">
      <protection locked="0"/>
    </xf>
    <xf numFmtId="0" fontId="51" fillId="0" borderId="0" xfId="0" applyFont="1"/>
    <xf numFmtId="170" fontId="25" fillId="8" borderId="17" xfId="0" applyNumberFormat="1" applyFont="1" applyFill="1" applyBorder="1" applyProtection="1">
      <protection locked="0"/>
    </xf>
    <xf numFmtId="170" fontId="2" fillId="8" borderId="12" xfId="0" applyNumberFormat="1" applyFont="1" applyFill="1" applyBorder="1" applyProtection="1">
      <protection locked="0"/>
    </xf>
    <xf numFmtId="170" fontId="2" fillId="8" borderId="8" xfId="0" applyNumberFormat="1" applyFont="1" applyFill="1" applyBorder="1" applyProtection="1">
      <protection locked="0"/>
    </xf>
    <xf numFmtId="0" fontId="12" fillId="0" borderId="44" xfId="0" applyFont="1" applyBorder="1" applyAlignment="1">
      <alignment horizontal="left" vertical="top"/>
    </xf>
    <xf numFmtId="0" fontId="2" fillId="0" borderId="16" xfId="0" applyFont="1" applyBorder="1" applyProtection="1">
      <protection locked="0"/>
    </xf>
    <xf numFmtId="170" fontId="2" fillId="0" borderId="65" xfId="0" applyNumberFormat="1" applyFont="1" applyBorder="1" applyProtection="1">
      <protection locked="0"/>
    </xf>
    <xf numFmtId="44" fontId="2" fillId="0" borderId="18" xfId="0" applyNumberFormat="1" applyFont="1" applyBorder="1" applyProtection="1">
      <protection locked="0"/>
    </xf>
    <xf numFmtId="0" fontId="16" fillId="0" borderId="0" xfId="0" applyFont="1" applyAlignment="1">
      <alignment horizontal="center" vertical="top"/>
    </xf>
    <xf numFmtId="0" fontId="32" fillId="0" borderId="38" xfId="0" applyFont="1" applyBorder="1" applyAlignment="1">
      <alignment horizontal="center" wrapText="1"/>
    </xf>
    <xf numFmtId="0" fontId="52" fillId="0" borderId="0" xfId="0" applyFont="1"/>
    <xf numFmtId="0" fontId="12" fillId="0" borderId="66" xfId="0" applyFont="1" applyBorder="1" applyAlignment="1">
      <alignment horizontal="left" vertical="top"/>
    </xf>
    <xf numFmtId="0" fontId="2" fillId="0" borderId="44" xfId="0" applyFont="1" applyBorder="1"/>
    <xf numFmtId="0" fontId="2" fillId="0" borderId="53" xfId="0" applyFont="1" applyBorder="1"/>
    <xf numFmtId="0" fontId="2" fillId="0" borderId="84" xfId="0" applyFont="1" applyBorder="1"/>
    <xf numFmtId="0" fontId="1" fillId="21" borderId="16" xfId="0" applyFont="1" applyFill="1" applyBorder="1"/>
    <xf numFmtId="0" fontId="25" fillId="22" borderId="0" xfId="0" applyFont="1" applyFill="1" applyAlignment="1">
      <alignment horizontal="center"/>
    </xf>
    <xf numFmtId="0" fontId="29" fillId="6" borderId="1" xfId="0" applyFont="1" applyFill="1" applyBorder="1" applyAlignment="1">
      <alignment horizontal="center"/>
    </xf>
    <xf numFmtId="0" fontId="2" fillId="3" borderId="0" xfId="0" applyFont="1" applyFill="1" applyAlignment="1">
      <alignment horizontal="center"/>
    </xf>
    <xf numFmtId="0" fontId="10" fillId="3" borderId="0" xfId="0" applyFont="1" applyFill="1" applyAlignment="1">
      <alignment horizontal="center"/>
    </xf>
    <xf numFmtId="0" fontId="9" fillId="3" borderId="0" xfId="0" applyFont="1" applyFill="1" applyAlignment="1">
      <alignment horizontal="center"/>
    </xf>
    <xf numFmtId="0" fontId="0" fillId="0" borderId="1" xfId="0" applyBorder="1" applyAlignment="1">
      <alignment horizontal="center"/>
    </xf>
    <xf numFmtId="164" fontId="2" fillId="0" borderId="1" xfId="0" applyNumberFormat="1" applyFont="1" applyBorder="1"/>
    <xf numFmtId="10" fontId="2" fillId="0" borderId="0" xfId="0" applyNumberFormat="1" applyFont="1"/>
    <xf numFmtId="1" fontId="29" fillId="15" borderId="1" xfId="0" applyNumberFormat="1" applyFont="1" applyFill="1" applyBorder="1"/>
    <xf numFmtId="0" fontId="29" fillId="0" borderId="16" xfId="0" applyFont="1" applyBorder="1"/>
    <xf numFmtId="0" fontId="29" fillId="0" borderId="11" xfId="0" applyFont="1" applyBorder="1"/>
    <xf numFmtId="0" fontId="25" fillId="3" borderId="0" xfId="0" applyFont="1" applyFill="1" applyAlignment="1">
      <alignment horizontal="center"/>
    </xf>
    <xf numFmtId="0" fontId="26" fillId="3" borderId="0" xfId="2" applyFont="1" applyFill="1" applyBorder="1" applyAlignment="1" applyProtection="1">
      <alignment horizontal="center"/>
    </xf>
    <xf numFmtId="0" fontId="26" fillId="3" borderId="0" xfId="0" applyFont="1" applyFill="1" applyAlignment="1">
      <alignment horizontal="center"/>
    </xf>
    <xf numFmtId="0" fontId="28" fillId="3" borderId="0" xfId="0" applyFont="1" applyFill="1" applyAlignment="1">
      <alignment horizontal="center"/>
    </xf>
    <xf numFmtId="0" fontId="29" fillId="0" borderId="0" xfId="0" applyFont="1" applyAlignment="1">
      <alignment horizontal="center"/>
    </xf>
    <xf numFmtId="2" fontId="2" fillId="8" borderId="1" xfId="0" applyNumberFormat="1" applyFont="1" applyFill="1" applyBorder="1"/>
    <xf numFmtId="2" fontId="2" fillId="0" borderId="22" xfId="0" applyNumberFormat="1" applyFont="1" applyBorder="1"/>
    <xf numFmtId="0" fontId="53" fillId="0" borderId="0" xfId="0" applyFont="1"/>
    <xf numFmtId="0" fontId="29" fillId="0" borderId="38" xfId="0" applyFont="1" applyBorder="1"/>
    <xf numFmtId="0" fontId="25" fillId="4" borderId="29" xfId="0" applyFont="1" applyFill="1" applyBorder="1" applyAlignment="1">
      <alignment horizontal="center"/>
    </xf>
    <xf numFmtId="0" fontId="29" fillId="0" borderId="88" xfId="0" applyFont="1" applyBorder="1"/>
    <xf numFmtId="0" fontId="32" fillId="0" borderId="88" xfId="0" applyFont="1" applyBorder="1" applyAlignment="1">
      <alignment horizontal="center"/>
    </xf>
    <xf numFmtId="0" fontId="25" fillId="4" borderId="86" xfId="0" applyFont="1" applyFill="1" applyBorder="1" applyAlignment="1">
      <alignment horizontal="center"/>
    </xf>
    <xf numFmtId="0" fontId="25" fillId="0" borderId="88" xfId="0" applyFont="1" applyBorder="1" applyAlignment="1">
      <alignment horizontal="center"/>
    </xf>
    <xf numFmtId="0" fontId="29" fillId="0" borderId="87" xfId="0" applyFont="1" applyBorder="1"/>
    <xf numFmtId="0" fontId="32" fillId="0" borderId="87" xfId="0" applyFont="1" applyBorder="1" applyAlignment="1">
      <alignment horizontal="center" wrapText="1"/>
    </xf>
    <xf numFmtId="0" fontId="32" fillId="0" borderId="88" xfId="0" applyFont="1" applyBorder="1" applyAlignment="1">
      <alignment horizontal="center" wrapText="1"/>
    </xf>
    <xf numFmtId="0" fontId="25" fillId="4" borderId="89" xfId="0" applyFont="1" applyFill="1" applyBorder="1" applyAlignment="1">
      <alignment horizontal="center"/>
    </xf>
    <xf numFmtId="0" fontId="25" fillId="0" borderId="87" xfId="0" applyFont="1" applyBorder="1" applyAlignment="1">
      <alignment horizontal="center"/>
    </xf>
    <xf numFmtId="0" fontId="32" fillId="0" borderId="90" xfId="0" applyFont="1" applyBorder="1" applyAlignment="1">
      <alignment horizontal="center" wrapText="1"/>
    </xf>
    <xf numFmtId="0" fontId="32" fillId="0" borderId="91" xfId="0" applyFont="1" applyBorder="1" applyAlignment="1">
      <alignment horizontal="center" wrapText="1"/>
    </xf>
    <xf numFmtId="0" fontId="29" fillId="0" borderId="91" xfId="0" applyFont="1" applyBorder="1"/>
    <xf numFmtId="0" fontId="29" fillId="0" borderId="39" xfId="0" applyFont="1" applyBorder="1"/>
    <xf numFmtId="0" fontId="29" fillId="0" borderId="29" xfId="0" applyFont="1" applyBorder="1"/>
    <xf numFmtId="0" fontId="29" fillId="0" borderId="86" xfId="0" applyFont="1" applyBorder="1"/>
    <xf numFmtId="0" fontId="29" fillId="0" borderId="85" xfId="0" applyFont="1" applyBorder="1"/>
    <xf numFmtId="0" fontId="29" fillId="0" borderId="90" xfId="0" applyFont="1" applyBorder="1"/>
    <xf numFmtId="0" fontId="54" fillId="17" borderId="0" xfId="0" applyFont="1" applyFill="1"/>
    <xf numFmtId="0" fontId="29" fillId="0" borderId="0" xfId="0" applyFont="1" applyAlignment="1">
      <alignment horizontal="left" indent="1"/>
    </xf>
    <xf numFmtId="0" fontId="2" fillId="0" borderId="26" xfId="0" applyFont="1" applyBorder="1"/>
    <xf numFmtId="0" fontId="0" fillId="0" borderId="22" xfId="0" applyBorder="1"/>
    <xf numFmtId="0" fontId="55" fillId="0" borderId="0" xfId="0" applyFont="1"/>
    <xf numFmtId="0" fontId="56" fillId="0" borderId="0" xfId="0" applyFont="1"/>
    <xf numFmtId="0" fontId="55" fillId="0" borderId="0" xfId="0" applyFont="1" applyAlignment="1">
      <alignment horizontal="right"/>
    </xf>
    <xf numFmtId="0" fontId="57" fillId="0" borderId="0" xfId="2" applyFont="1" applyBorder="1" applyProtection="1"/>
    <xf numFmtId="0" fontId="58" fillId="0" borderId="22" xfId="0" applyFont="1" applyBorder="1"/>
    <xf numFmtId="0" fontId="58" fillId="0" borderId="35" xfId="0" applyFont="1" applyBorder="1"/>
    <xf numFmtId="0" fontId="58" fillId="0" borderId="29" xfId="0" applyFont="1" applyBorder="1"/>
    <xf numFmtId="0" fontId="58" fillId="0" borderId="38" xfId="0" applyFont="1" applyBorder="1"/>
    <xf numFmtId="0" fontId="58" fillId="0" borderId="29" xfId="0" applyFont="1" applyBorder="1" applyAlignment="1">
      <alignment horizontal="right"/>
    </xf>
    <xf numFmtId="0" fontId="58" fillId="0" borderId="0" xfId="0" applyFont="1"/>
    <xf numFmtId="0" fontId="55" fillId="0" borderId="32" xfId="0" applyFont="1" applyBorder="1"/>
    <xf numFmtId="0" fontId="55" fillId="0" borderId="33" xfId="0" applyFont="1" applyBorder="1"/>
    <xf numFmtId="0" fontId="55" fillId="0" borderId="34" xfId="0" applyFont="1" applyBorder="1"/>
    <xf numFmtId="0" fontId="55" fillId="0" borderId="36" xfId="0" applyFont="1" applyBorder="1"/>
    <xf numFmtId="0" fontId="55" fillId="0" borderId="37" xfId="0" applyFont="1" applyBorder="1"/>
    <xf numFmtId="0" fontId="55" fillId="0" borderId="0" xfId="0" applyFont="1" applyAlignment="1">
      <alignment horizontal="left"/>
    </xf>
    <xf numFmtId="0" fontId="55" fillId="0" borderId="21" xfId="0" applyFont="1" applyBorder="1"/>
    <xf numFmtId="0" fontId="55" fillId="0" borderId="38" xfId="0" applyFont="1" applyBorder="1"/>
    <xf numFmtId="0" fontId="55" fillId="0" borderId="39" xfId="0" applyFont="1" applyBorder="1"/>
    <xf numFmtId="0" fontId="59" fillId="0" borderId="0" xfId="0" applyFont="1"/>
    <xf numFmtId="0" fontId="60" fillId="0" borderId="0" xfId="0" applyFont="1" applyAlignment="1">
      <alignment horizontal="center"/>
    </xf>
    <xf numFmtId="0" fontId="60" fillId="0" borderId="0" xfId="0" applyFont="1"/>
    <xf numFmtId="0" fontId="40" fillId="0" borderId="0" xfId="0" applyFont="1"/>
    <xf numFmtId="0" fontId="25" fillId="0" borderId="1" xfId="0" applyFont="1" applyBorder="1" applyAlignment="1">
      <alignment horizontal="center"/>
    </xf>
    <xf numFmtId="1" fontId="29" fillId="0" borderId="1" xfId="0" applyNumberFormat="1" applyFont="1" applyBorder="1"/>
    <xf numFmtId="1" fontId="2" fillId="0" borderId="21" xfId="0" applyNumberFormat="1" applyFont="1" applyBorder="1" applyAlignment="1" applyProtection="1">
      <alignment horizontal="center"/>
      <protection locked="0"/>
    </xf>
    <xf numFmtId="0" fontId="2" fillId="17" borderId="16" xfId="0" applyFont="1" applyFill="1" applyBorder="1"/>
    <xf numFmtId="0" fontId="43" fillId="6" borderId="14" xfId="0" applyFont="1" applyFill="1" applyBorder="1"/>
    <xf numFmtId="0" fontId="43" fillId="17" borderId="16" xfId="0" applyFont="1" applyFill="1" applyBorder="1"/>
    <xf numFmtId="0" fontId="43" fillId="5" borderId="16" xfId="0" applyFont="1" applyFill="1" applyBorder="1"/>
    <xf numFmtId="0" fontId="43" fillId="5" borderId="1" xfId="0" applyFont="1" applyFill="1" applyBorder="1"/>
    <xf numFmtId="0" fontId="2" fillId="0" borderId="0" xfId="0" applyFont="1" applyAlignment="1">
      <alignment wrapText="1"/>
    </xf>
    <xf numFmtId="0" fontId="2" fillId="17" borderId="21" xfId="0" applyFont="1" applyFill="1" applyBorder="1"/>
    <xf numFmtId="0" fontId="13" fillId="5" borderId="21" xfId="0" applyFont="1" applyFill="1" applyBorder="1"/>
    <xf numFmtId="0" fontId="2" fillId="17" borderId="0" xfId="0" applyFont="1" applyFill="1"/>
    <xf numFmtId="169" fontId="2" fillId="17" borderId="0" xfId="0" applyNumberFormat="1" applyFont="1" applyFill="1"/>
    <xf numFmtId="0" fontId="2" fillId="17" borderId="0" xfId="0" applyFont="1" applyFill="1" applyAlignment="1">
      <alignment horizontal="center"/>
    </xf>
    <xf numFmtId="169" fontId="2" fillId="18" borderId="0" xfId="0" applyNumberFormat="1" applyFont="1" applyFill="1"/>
    <xf numFmtId="0" fontId="2" fillId="18" borderId="0" xfId="0" applyFont="1" applyFill="1"/>
    <xf numFmtId="0" fontId="2" fillId="9" borderId="0" xfId="0" applyFont="1" applyFill="1"/>
    <xf numFmtId="0" fontId="2" fillId="17" borderId="0" xfId="0" applyFont="1" applyFill="1" applyAlignment="1">
      <alignment wrapText="1"/>
    </xf>
    <xf numFmtId="0" fontId="2" fillId="0" borderId="10" xfId="0" applyFont="1" applyBorder="1"/>
    <xf numFmtId="0" fontId="2" fillId="0" borderId="12" xfId="0" applyFont="1" applyBorder="1"/>
    <xf numFmtId="0" fontId="2" fillId="17" borderId="15" xfId="0" applyFont="1" applyFill="1" applyBorder="1"/>
    <xf numFmtId="0" fontId="61" fillId="0" borderId="0" xfId="0" applyFont="1"/>
    <xf numFmtId="169" fontId="2" fillId="0" borderId="1" xfId="0" applyNumberFormat="1" applyFont="1" applyBorder="1"/>
    <xf numFmtId="0" fontId="2" fillId="17" borderId="1" xfId="0" applyFont="1" applyFill="1" applyBorder="1"/>
    <xf numFmtId="0" fontId="43" fillId="17" borderId="1" xfId="0" applyFont="1" applyFill="1" applyBorder="1"/>
    <xf numFmtId="0" fontId="2" fillId="17" borderId="9" xfId="0" applyFont="1" applyFill="1" applyBorder="1"/>
    <xf numFmtId="0" fontId="13" fillId="6" borderId="12" xfId="0" applyFont="1" applyFill="1" applyBorder="1"/>
    <xf numFmtId="0" fontId="2" fillId="9" borderId="30" xfId="0" applyFont="1" applyFill="1" applyBorder="1"/>
    <xf numFmtId="0" fontId="2" fillId="17" borderId="22" xfId="0" applyFont="1" applyFill="1" applyBorder="1"/>
    <xf numFmtId="0" fontId="13" fillId="6" borderId="22" xfId="0" applyFont="1" applyFill="1" applyBorder="1"/>
    <xf numFmtId="0" fontId="13" fillId="6" borderId="41" xfId="0" applyFont="1" applyFill="1" applyBorder="1"/>
    <xf numFmtId="0" fontId="2" fillId="0" borderId="32" xfId="0" applyFont="1" applyBorder="1"/>
    <xf numFmtId="0" fontId="12" fillId="0" borderId="6" xfId="0" applyFont="1" applyBorder="1"/>
    <xf numFmtId="0" fontId="2" fillId="0" borderId="10" xfId="0" applyFont="1" applyBorder="1" applyAlignment="1">
      <alignment horizontal="center"/>
    </xf>
    <xf numFmtId="169" fontId="2" fillId="18" borderId="10" xfId="0" applyNumberFormat="1" applyFont="1" applyFill="1" applyBorder="1"/>
    <xf numFmtId="0" fontId="0" fillId="0" borderId="26" xfId="0" applyBorder="1"/>
    <xf numFmtId="0" fontId="62" fillId="15" borderId="0" xfId="0" applyFont="1" applyFill="1"/>
    <xf numFmtId="0" fontId="32" fillId="0" borderId="0" xfId="0" applyFont="1" applyAlignment="1">
      <alignment horizontal="right"/>
    </xf>
    <xf numFmtId="10" fontId="1" fillId="15" borderId="1" xfId="0" applyNumberFormat="1" applyFont="1" applyFill="1" applyBorder="1"/>
    <xf numFmtId="0" fontId="62" fillId="17" borderId="0" xfId="0" applyFont="1" applyFill="1"/>
    <xf numFmtId="164" fontId="29" fillId="0" borderId="1" xfId="0" applyNumberFormat="1" applyFont="1" applyBorder="1"/>
    <xf numFmtId="164" fontId="29" fillId="0" borderId="11" xfId="0" applyNumberFormat="1" applyFont="1" applyBorder="1"/>
    <xf numFmtId="164" fontId="29" fillId="0" borderId="16" xfId="0" applyNumberFormat="1" applyFont="1" applyBorder="1"/>
    <xf numFmtId="10" fontId="1" fillId="0" borderId="0" xfId="0" applyNumberFormat="1" applyFont="1"/>
    <xf numFmtId="10" fontId="16" fillId="0" borderId="0" xfId="0" applyNumberFormat="1" applyFont="1"/>
    <xf numFmtId="9" fontId="21" fillId="0" borderId="0" xfId="1" applyBorder="1" applyAlignment="1">
      <alignment horizontal="center"/>
    </xf>
    <xf numFmtId="0" fontId="63" fillId="0" borderId="22" xfId="0" applyFont="1" applyBorder="1"/>
    <xf numFmtId="0" fontId="63" fillId="0" borderId="35" xfId="0" applyFont="1" applyBorder="1"/>
    <xf numFmtId="0" fontId="63" fillId="0" borderId="29" xfId="0" applyFont="1" applyBorder="1"/>
    <xf numFmtId="0" fontId="59" fillId="0" borderId="36" xfId="0" applyFont="1" applyBorder="1"/>
    <xf numFmtId="0" fontId="59" fillId="0" borderId="37" xfId="0" applyFont="1" applyBorder="1"/>
    <xf numFmtId="0" fontId="59" fillId="0" borderId="21" xfId="0" applyFont="1" applyBorder="1"/>
    <xf numFmtId="0" fontId="59" fillId="0" borderId="38" xfId="0" applyFont="1" applyBorder="1"/>
    <xf numFmtId="0" fontId="59" fillId="0" borderId="39" xfId="0" applyFont="1" applyBorder="1"/>
    <xf numFmtId="0" fontId="59" fillId="0" borderId="0" xfId="0" applyFont="1" applyAlignment="1">
      <alignment horizontal="left"/>
    </xf>
    <xf numFmtId="0" fontId="64" fillId="0" borderId="0" xfId="0" applyFont="1"/>
    <xf numFmtId="0" fontId="16" fillId="0" borderId="88" xfId="0" applyFont="1" applyBorder="1" applyAlignment="1">
      <alignment horizontal="center" wrapText="1"/>
    </xf>
    <xf numFmtId="0" fontId="2" fillId="23" borderId="1" xfId="0" applyFont="1" applyFill="1" applyBorder="1" applyAlignment="1">
      <alignment horizontal="center"/>
    </xf>
    <xf numFmtId="0" fontId="2" fillId="23" borderId="29" xfId="0" applyFont="1" applyFill="1" applyBorder="1" applyAlignment="1">
      <alignment horizontal="center"/>
    </xf>
    <xf numFmtId="0" fontId="2" fillId="23" borderId="86" xfId="0" applyFont="1" applyFill="1" applyBorder="1" applyAlignment="1">
      <alignment horizontal="center"/>
    </xf>
    <xf numFmtId="0" fontId="29" fillId="0" borderId="93" xfId="0" applyFont="1" applyBorder="1"/>
    <xf numFmtId="0" fontId="2" fillId="0" borderId="93" xfId="0" applyFont="1" applyBorder="1"/>
    <xf numFmtId="0" fontId="29" fillId="0" borderId="92" xfId="0" applyFont="1" applyBorder="1"/>
    <xf numFmtId="0" fontId="16" fillId="0" borderId="88" xfId="0" applyFont="1" applyBorder="1" applyAlignment="1">
      <alignment horizontal="center"/>
    </xf>
    <xf numFmtId="0" fontId="2" fillId="0" borderId="88" xfId="0" applyFont="1" applyBorder="1" applyAlignment="1">
      <alignment horizontal="center"/>
    </xf>
    <xf numFmtId="0" fontId="1" fillId="0" borderId="88" xfId="0" applyFont="1" applyBorder="1"/>
    <xf numFmtId="0" fontId="2" fillId="23" borderId="94" xfId="0" applyFont="1" applyFill="1" applyBorder="1" applyAlignment="1">
      <alignment horizontal="center"/>
    </xf>
    <xf numFmtId="0" fontId="29" fillId="0" borderId="95" xfId="0" applyFont="1" applyBorder="1"/>
    <xf numFmtId="0" fontId="29" fillId="0" borderId="84" xfId="0" applyFont="1" applyBorder="1"/>
    <xf numFmtId="0" fontId="29" fillId="0" borderId="30" xfId="0" applyFont="1" applyBorder="1"/>
    <xf numFmtId="0" fontId="1" fillId="0" borderId="16" xfId="0" applyFont="1" applyBorder="1"/>
    <xf numFmtId="0" fontId="1" fillId="21" borderId="1" xfId="0" applyFont="1" applyFill="1" applyBorder="1" applyAlignment="1">
      <alignment horizontal="center"/>
    </xf>
    <xf numFmtId="0" fontId="50" fillId="0" borderId="0" xfId="0" applyFont="1"/>
    <xf numFmtId="0" fontId="50" fillId="4" borderId="1" xfId="0" applyFont="1" applyFill="1" applyBorder="1"/>
    <xf numFmtId="0" fontId="50" fillId="5" borderId="1" xfId="0" applyFont="1" applyFill="1" applyBorder="1"/>
    <xf numFmtId="0" fontId="50" fillId="2" borderId="1" xfId="0" applyFont="1" applyFill="1" applyBorder="1"/>
    <xf numFmtId="0" fontId="50" fillId="0" borderId="1" xfId="0" applyFont="1" applyBorder="1"/>
    <xf numFmtId="0" fontId="65" fillId="0" borderId="97" xfId="2" applyFont="1" applyBorder="1" applyProtection="1"/>
    <xf numFmtId="0" fontId="30" fillId="0" borderId="96" xfId="0" applyFont="1" applyBorder="1"/>
    <xf numFmtId="0" fontId="25" fillId="0" borderId="97" xfId="0" applyFont="1" applyBorder="1"/>
    <xf numFmtId="0" fontId="25" fillId="0" borderId="98" xfId="0" applyFont="1" applyBorder="1"/>
    <xf numFmtId="0" fontId="1" fillId="0" borderId="5" xfId="0" applyFont="1" applyBorder="1"/>
    <xf numFmtId="0" fontId="1" fillId="0" borderId="42" xfId="0" applyFont="1" applyBorder="1"/>
    <xf numFmtId="0" fontId="1" fillId="0" borderId="43" xfId="0" applyFont="1" applyBorder="1"/>
    <xf numFmtId="0" fontId="1" fillId="0" borderId="46" xfId="0" applyFont="1" applyBorder="1"/>
    <xf numFmtId="0" fontId="1" fillId="0" borderId="56" xfId="0" applyFont="1" applyBorder="1"/>
    <xf numFmtId="0" fontId="1" fillId="0" borderId="57" xfId="0" applyFont="1" applyBorder="1"/>
    <xf numFmtId="0" fontId="2" fillId="0" borderId="0" xfId="0" quotePrefix="1" applyFont="1"/>
    <xf numFmtId="0" fontId="1" fillId="0" borderId="47" xfId="0" applyFont="1" applyBorder="1"/>
    <xf numFmtId="0" fontId="1" fillId="0" borderId="48" xfId="0" applyFont="1" applyBorder="1"/>
    <xf numFmtId="0" fontId="66" fillId="0" borderId="0" xfId="0" applyFont="1"/>
    <xf numFmtId="0" fontId="2" fillId="21" borderId="22" xfId="0" applyFont="1" applyFill="1" applyBorder="1" applyAlignment="1">
      <alignment horizontal="center"/>
    </xf>
    <xf numFmtId="0" fontId="67" fillId="15" borderId="0" xfId="0" applyFont="1" applyFill="1"/>
    <xf numFmtId="0" fontId="2" fillId="0" borderId="0" xfId="0" applyFont="1" applyAlignment="1">
      <alignment horizontal="right"/>
    </xf>
    <xf numFmtId="0" fontId="2" fillId="6" borderId="1" xfId="0" applyFont="1" applyFill="1" applyBorder="1"/>
    <xf numFmtId="0" fontId="2" fillId="0" borderId="0" xfId="0" applyFont="1" applyAlignment="1">
      <alignment vertical="center"/>
    </xf>
    <xf numFmtId="0" fontId="68" fillId="0" borderId="0" xfId="0" applyFont="1"/>
    <xf numFmtId="0" fontId="63" fillId="0" borderId="0" xfId="0" applyFont="1"/>
    <xf numFmtId="0" fontId="51" fillId="0" borderId="38" xfId="0" applyFont="1" applyBorder="1"/>
    <xf numFmtId="0" fontId="2" fillId="21" borderId="1" xfId="0" applyFont="1" applyFill="1" applyBorder="1" applyAlignment="1">
      <alignment horizontal="center"/>
    </xf>
    <xf numFmtId="171" fontId="2" fillId="0" borderId="57" xfId="0" applyNumberFormat="1" applyFont="1" applyBorder="1"/>
    <xf numFmtId="2" fontId="29" fillId="0" borderId="0" xfId="0" applyNumberFormat="1" applyFont="1" applyAlignment="1">
      <alignment horizontal="center"/>
    </xf>
    <xf numFmtId="0" fontId="69" fillId="0" borderId="0" xfId="0" applyFont="1"/>
    <xf numFmtId="0" fontId="29" fillId="7" borderId="0" xfId="0" applyFont="1" applyFill="1"/>
    <xf numFmtId="0" fontId="38" fillId="0" borderId="0" xfId="0" applyFont="1" applyAlignment="1">
      <alignment horizontal="right"/>
    </xf>
    <xf numFmtId="0" fontId="1" fillId="0" borderId="11" xfId="0" applyFont="1" applyBorder="1"/>
    <xf numFmtId="2" fontId="1" fillId="6" borderId="1" xfId="0" applyNumberFormat="1" applyFont="1" applyFill="1" applyBorder="1"/>
    <xf numFmtId="2" fontId="1" fillId="15" borderId="1" xfId="0" applyNumberFormat="1" applyFont="1" applyFill="1" applyBorder="1"/>
    <xf numFmtId="2" fontId="29" fillId="0" borderId="16" xfId="0" applyNumberFormat="1" applyFont="1" applyBorder="1"/>
    <xf numFmtId="2" fontId="1" fillId="0" borderId="11" xfId="0" applyNumberFormat="1" applyFont="1" applyBorder="1"/>
    <xf numFmtId="2" fontId="1" fillId="0" borderId="16" xfId="0" applyNumberFormat="1" applyFont="1" applyBorder="1"/>
    <xf numFmtId="0" fontId="70" fillId="0" borderId="44" xfId="0" applyFont="1" applyBorder="1"/>
    <xf numFmtId="0" fontId="70" fillId="0" borderId="40" xfId="0" applyFont="1" applyBorder="1"/>
    <xf numFmtId="0" fontId="70" fillId="6" borderId="41" xfId="0" applyFont="1" applyFill="1" applyBorder="1"/>
    <xf numFmtId="0" fontId="70" fillId="17" borderId="16" xfId="0" applyFont="1" applyFill="1" applyBorder="1"/>
    <xf numFmtId="0" fontId="70" fillId="17" borderId="21" xfId="0" applyFont="1" applyFill="1" applyBorder="1"/>
    <xf numFmtId="0" fontId="70" fillId="5" borderId="16" xfId="0" applyFont="1" applyFill="1" applyBorder="1"/>
    <xf numFmtId="0" fontId="70" fillId="5" borderId="21" xfId="0" applyFont="1" applyFill="1" applyBorder="1"/>
    <xf numFmtId="0" fontId="70" fillId="5" borderId="1" xfId="0" applyFont="1" applyFill="1" applyBorder="1"/>
    <xf numFmtId="0" fontId="70" fillId="5" borderId="22" xfId="0" applyFont="1" applyFill="1" applyBorder="1"/>
    <xf numFmtId="0" fontId="70" fillId="6" borderId="22" xfId="0" applyFont="1" applyFill="1" applyBorder="1"/>
    <xf numFmtId="172" fontId="2" fillId="0" borderId="0" xfId="0" applyNumberFormat="1" applyFont="1"/>
    <xf numFmtId="2" fontId="1" fillId="17" borderId="1" xfId="0" applyNumberFormat="1" applyFont="1" applyFill="1" applyBorder="1"/>
    <xf numFmtId="0" fontId="1" fillId="17" borderId="0" xfId="0" applyFont="1" applyFill="1"/>
    <xf numFmtId="169" fontId="29" fillId="15" borderId="1" xfId="0" applyNumberFormat="1" applyFont="1" applyFill="1" applyBorder="1"/>
    <xf numFmtId="0" fontId="12" fillId="0" borderId="66" xfId="0" applyFont="1" applyBorder="1"/>
    <xf numFmtId="0" fontId="12" fillId="0" borderId="82" xfId="0" applyFont="1" applyBorder="1"/>
    <xf numFmtId="0" fontId="12" fillId="0" borderId="81" xfId="0" applyFont="1" applyBorder="1"/>
    <xf numFmtId="0" fontId="2" fillId="17" borderId="39" xfId="0" applyFont="1" applyFill="1" applyBorder="1"/>
    <xf numFmtId="0" fontId="2" fillId="5" borderId="29" xfId="0" applyFont="1" applyFill="1" applyBorder="1"/>
    <xf numFmtId="0" fontId="2" fillId="5" borderId="30" xfId="0" applyFont="1" applyFill="1" applyBorder="1"/>
    <xf numFmtId="0" fontId="43" fillId="5" borderId="39" xfId="0" applyFont="1" applyFill="1" applyBorder="1"/>
    <xf numFmtId="0" fontId="43" fillId="5" borderId="15" xfId="0" applyFont="1" applyFill="1" applyBorder="1"/>
    <xf numFmtId="0" fontId="43" fillId="0" borderId="40" xfId="0" applyFont="1" applyBorder="1"/>
    <xf numFmtId="1" fontId="43" fillId="6" borderId="14" xfId="0" applyNumberFormat="1" applyFont="1" applyFill="1" applyBorder="1"/>
    <xf numFmtId="1" fontId="43" fillId="6" borderId="6" xfId="0" applyNumberFormat="1" applyFont="1" applyFill="1" applyBorder="1"/>
    <xf numFmtId="1" fontId="70" fillId="15" borderId="9" xfId="0" applyNumberFormat="1" applyFont="1" applyFill="1" applyBorder="1"/>
    <xf numFmtId="1" fontId="70" fillId="15" borderId="1" xfId="0" applyNumberFormat="1" applyFont="1" applyFill="1" applyBorder="1"/>
    <xf numFmtId="0" fontId="70" fillId="15" borderId="1" xfId="0" applyFont="1" applyFill="1" applyBorder="1"/>
    <xf numFmtId="0" fontId="13" fillId="17" borderId="10" xfId="0" applyFont="1" applyFill="1" applyBorder="1"/>
    <xf numFmtId="0" fontId="43" fillId="17" borderId="11" xfId="0" applyFont="1" applyFill="1" applyBorder="1"/>
    <xf numFmtId="0" fontId="13" fillId="17" borderId="11" xfId="0" applyFont="1" applyFill="1" applyBorder="1"/>
    <xf numFmtId="1" fontId="43" fillId="15" borderId="6" xfId="0" applyNumberFormat="1" applyFont="1" applyFill="1" applyBorder="1"/>
    <xf numFmtId="1" fontId="43" fillId="15" borderId="14" xfId="0" applyNumberFormat="1" applyFont="1" applyFill="1" applyBorder="1"/>
    <xf numFmtId="0" fontId="43" fillId="15" borderId="14" xfId="0" applyFont="1" applyFill="1" applyBorder="1"/>
    <xf numFmtId="1" fontId="43" fillId="15" borderId="1" xfId="0" applyNumberFormat="1" applyFont="1" applyFill="1" applyBorder="1"/>
    <xf numFmtId="1" fontId="43" fillId="15" borderId="9" xfId="0" applyNumberFormat="1" applyFont="1" applyFill="1" applyBorder="1"/>
    <xf numFmtId="0" fontId="43" fillId="0" borderId="11" xfId="0" applyFont="1" applyBorder="1"/>
    <xf numFmtId="0" fontId="13" fillId="0" borderId="23" xfId="0" applyFont="1" applyBorder="1"/>
    <xf numFmtId="0" fontId="13" fillId="0" borderId="11" xfId="0" applyFont="1" applyBorder="1"/>
    <xf numFmtId="0" fontId="2" fillId="0" borderId="30" xfId="0" applyFont="1" applyBorder="1"/>
    <xf numFmtId="0" fontId="2" fillId="0" borderId="23" xfId="0" applyFont="1" applyBorder="1"/>
    <xf numFmtId="0" fontId="2" fillId="0" borderId="27" xfId="0" applyFont="1" applyBorder="1"/>
    <xf numFmtId="0" fontId="43" fillId="0" borderId="10" xfId="0" applyFont="1" applyBorder="1"/>
    <xf numFmtId="0" fontId="70" fillId="0" borderId="11" xfId="0" applyFont="1" applyBorder="1"/>
    <xf numFmtId="172" fontId="2" fillId="15" borderId="6" xfId="0" applyNumberFormat="1" applyFont="1" applyFill="1" applyBorder="1"/>
    <xf numFmtId="0" fontId="70" fillId="9" borderId="11" xfId="0" applyFont="1" applyFill="1" applyBorder="1"/>
    <xf numFmtId="0" fontId="70" fillId="9" borderId="23" xfId="0" applyFont="1" applyFill="1" applyBorder="1"/>
    <xf numFmtId="0" fontId="2" fillId="17" borderId="40" xfId="0" applyFont="1" applyFill="1" applyBorder="1"/>
    <xf numFmtId="0" fontId="2" fillId="0" borderId="80" xfId="0" applyFont="1" applyBorder="1"/>
    <xf numFmtId="0" fontId="2" fillId="0" borderId="68" xfId="0" applyFont="1" applyBorder="1"/>
    <xf numFmtId="0" fontId="43" fillId="9" borderId="15" xfId="0" applyFont="1" applyFill="1" applyBorder="1"/>
    <xf numFmtId="0" fontId="43" fillId="9" borderId="39" xfId="0" applyFont="1" applyFill="1" applyBorder="1"/>
    <xf numFmtId="0" fontId="43" fillId="9" borderId="16" xfId="0" applyFont="1" applyFill="1" applyBorder="1"/>
    <xf numFmtId="0" fontId="2" fillId="5" borderId="52" xfId="0" applyFont="1" applyFill="1" applyBorder="1"/>
    <xf numFmtId="0" fontId="2" fillId="5" borderId="34" xfId="0" applyFont="1" applyFill="1" applyBorder="1"/>
    <xf numFmtId="0" fontId="2" fillId="5" borderId="26" xfId="0" applyFont="1" applyFill="1" applyBorder="1"/>
    <xf numFmtId="172" fontId="2" fillId="15" borderId="15" xfId="0" applyNumberFormat="1" applyFont="1" applyFill="1" applyBorder="1"/>
    <xf numFmtId="172" fontId="2" fillId="15" borderId="9" xfId="0" applyNumberFormat="1" applyFont="1" applyFill="1" applyBorder="1"/>
    <xf numFmtId="172" fontId="2" fillId="17" borderId="9" xfId="0" applyNumberFormat="1" applyFont="1" applyFill="1" applyBorder="1"/>
    <xf numFmtId="172" fontId="2" fillId="15" borderId="40" xfId="0" applyNumberFormat="1" applyFont="1" applyFill="1" applyBorder="1"/>
    <xf numFmtId="172" fontId="2" fillId="15" borderId="1" xfId="0" applyNumberFormat="1" applyFont="1" applyFill="1" applyBorder="1"/>
    <xf numFmtId="0" fontId="72" fillId="11" borderId="1" xfId="4" applyFont="1" applyFill="1" applyBorder="1" applyAlignment="1">
      <alignment wrapText="1"/>
    </xf>
    <xf numFmtId="0" fontId="67" fillId="0" borderId="0" xfId="0" applyFont="1"/>
    <xf numFmtId="0" fontId="74" fillId="0" borderId="0" xfId="0" applyFont="1"/>
    <xf numFmtId="0" fontId="43" fillId="5" borderId="17" xfId="0" applyFont="1" applyFill="1" applyBorder="1"/>
    <xf numFmtId="0" fontId="43" fillId="17" borderId="17" xfId="0" applyFont="1" applyFill="1" applyBorder="1"/>
    <xf numFmtId="0" fontId="29" fillId="21" borderId="1" xfId="0" applyFont="1" applyFill="1" applyBorder="1" applyAlignment="1">
      <alignment horizontal="center"/>
    </xf>
    <xf numFmtId="0" fontId="25" fillId="25" borderId="1" xfId="0" applyFont="1" applyFill="1" applyBorder="1" applyAlignment="1">
      <alignment horizontal="center"/>
    </xf>
    <xf numFmtId="0" fontId="75" fillId="0" borderId="0" xfId="0" applyFont="1"/>
    <xf numFmtId="0" fontId="2" fillId="5" borderId="10" xfId="0" applyFont="1" applyFill="1" applyBorder="1"/>
    <xf numFmtId="169" fontId="2" fillId="0" borderId="16" xfId="0" applyNumberFormat="1" applyFont="1" applyBorder="1"/>
    <xf numFmtId="169" fontId="2" fillId="0" borderId="11" xfId="0" applyNumberFormat="1" applyFont="1" applyBorder="1"/>
    <xf numFmtId="169" fontId="2" fillId="0" borderId="93" xfId="0" applyNumberFormat="1" applyFont="1" applyBorder="1"/>
    <xf numFmtId="10" fontId="1" fillId="0" borderId="1" xfId="0" applyNumberFormat="1" applyFont="1" applyBorder="1"/>
    <xf numFmtId="9" fontId="21" fillId="0" borderId="1" xfId="1" applyBorder="1" applyAlignment="1">
      <alignment horizontal="center"/>
    </xf>
    <xf numFmtId="2" fontId="1" fillId="6" borderId="1" xfId="0" applyNumberFormat="1" applyFont="1" applyFill="1" applyBorder="1" applyAlignment="1">
      <alignment horizontal="center"/>
    </xf>
    <xf numFmtId="2" fontId="29" fillId="0" borderId="11" xfId="0" applyNumberFormat="1" applyFont="1" applyBorder="1"/>
    <xf numFmtId="0" fontId="12" fillId="0" borderId="81"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2" fillId="0" borderId="68" xfId="0" applyFont="1" applyBorder="1" applyAlignment="1" applyProtection="1">
      <alignment horizontal="left"/>
      <protection locked="0"/>
    </xf>
    <xf numFmtId="0" fontId="2" fillId="0" borderId="33" xfId="0" applyFont="1" applyBorder="1" applyAlignment="1" applyProtection="1">
      <alignment horizontal="left"/>
      <protection locked="0"/>
    </xf>
    <xf numFmtId="169" fontId="2" fillId="16" borderId="34" xfId="0" applyNumberFormat="1" applyFont="1" applyFill="1" applyBorder="1"/>
    <xf numFmtId="2" fontId="2" fillId="16" borderId="27" xfId="0" applyNumberFormat="1" applyFont="1" applyFill="1" applyBorder="1"/>
    <xf numFmtId="0" fontId="2" fillId="0" borderId="56" xfId="0" applyFont="1" applyBorder="1" applyAlignment="1" applyProtection="1">
      <alignment horizontal="left"/>
      <protection locked="0"/>
    </xf>
    <xf numFmtId="0" fontId="2" fillId="0" borderId="0" xfId="0" applyFont="1" applyAlignment="1" applyProtection="1">
      <alignment horizontal="left"/>
      <protection locked="0"/>
    </xf>
    <xf numFmtId="0" fontId="12" fillId="0" borderId="38" xfId="0" applyFont="1" applyBorder="1" applyAlignment="1" applyProtection="1">
      <alignment horizontal="left" vertical="top"/>
      <protection locked="0"/>
    </xf>
    <xf numFmtId="0" fontId="12" fillId="0" borderId="74" xfId="0" applyFont="1" applyBorder="1" applyAlignment="1" applyProtection="1">
      <alignment horizontal="left" vertical="top"/>
      <protection locked="0"/>
    </xf>
    <xf numFmtId="0" fontId="2" fillId="0" borderId="57" xfId="0" applyFont="1" applyBorder="1" applyAlignment="1" applyProtection="1">
      <alignment horizontal="left"/>
      <protection locked="0"/>
    </xf>
    <xf numFmtId="0" fontId="2" fillId="0" borderId="79" xfId="0" applyFont="1" applyBorder="1" applyAlignment="1" applyProtection="1">
      <alignment horizontal="left"/>
      <protection locked="0"/>
    </xf>
    <xf numFmtId="0" fontId="12" fillId="0" borderId="82" xfId="0" applyFont="1" applyBorder="1" applyAlignment="1" applyProtection="1">
      <alignment horizontal="left" vertical="top"/>
      <protection locked="0"/>
    </xf>
    <xf numFmtId="0" fontId="2" fillId="0" borderId="33" xfId="0" applyFont="1" applyBorder="1"/>
    <xf numFmtId="0" fontId="2" fillId="8" borderId="52" xfId="0" applyFont="1" applyFill="1" applyBorder="1"/>
    <xf numFmtId="0" fontId="2" fillId="8" borderId="27" xfId="0" applyFont="1" applyFill="1" applyBorder="1"/>
    <xf numFmtId="169" fontId="2" fillId="16" borderId="52" xfId="0" applyNumberFormat="1" applyFont="1" applyFill="1" applyBorder="1"/>
    <xf numFmtId="169" fontId="2" fillId="16" borderId="79" xfId="0" applyNumberFormat="1" applyFont="1" applyFill="1" applyBorder="1"/>
    <xf numFmtId="0" fontId="42" fillId="0" borderId="0" xfId="0" applyFont="1" applyAlignment="1" applyProtection="1">
      <alignment vertical="top"/>
      <protection locked="0"/>
    </xf>
    <xf numFmtId="0" fontId="42" fillId="0" borderId="56" xfId="0" applyFont="1" applyBorder="1" applyAlignment="1" applyProtection="1">
      <alignment vertical="top"/>
      <protection locked="0"/>
    </xf>
    <xf numFmtId="0" fontId="42" fillId="0" borderId="57" xfId="0" applyFont="1" applyBorder="1" applyAlignment="1" applyProtection="1">
      <alignment vertical="top"/>
      <protection locked="0"/>
    </xf>
    <xf numFmtId="0" fontId="40" fillId="0" borderId="2" xfId="0" applyFont="1" applyBorder="1" applyAlignment="1" applyProtection="1">
      <alignment vertical="center" wrapText="1"/>
      <protection locked="0"/>
    </xf>
    <xf numFmtId="0" fontId="25" fillId="4" borderId="2" xfId="0" applyFont="1" applyFill="1" applyBorder="1" applyAlignment="1" applyProtection="1">
      <alignment horizontal="center"/>
      <protection locked="0"/>
    </xf>
    <xf numFmtId="0" fontId="25" fillId="4" borderId="48" xfId="0" applyFont="1" applyFill="1" applyBorder="1" applyAlignment="1" applyProtection="1">
      <alignment horizontal="center"/>
      <protection locked="0"/>
    </xf>
    <xf numFmtId="0" fontId="25" fillId="4" borderId="81" xfId="0" applyFont="1" applyFill="1" applyBorder="1" applyAlignment="1" applyProtection="1">
      <alignment horizontal="center"/>
      <protection locked="0"/>
    </xf>
    <xf numFmtId="0" fontId="77" fillId="0" borderId="1" xfId="0" applyFont="1" applyBorder="1"/>
    <xf numFmtId="0" fontId="78" fillId="0" borderId="1" xfId="0" applyFont="1" applyBorder="1"/>
    <xf numFmtId="170" fontId="0" fillId="0" borderId="0" xfId="0" applyNumberFormat="1"/>
    <xf numFmtId="1" fontId="60" fillId="0" borderId="0" xfId="0" applyNumberFormat="1" applyFont="1"/>
    <xf numFmtId="1" fontId="25" fillId="15" borderId="29" xfId="0" applyNumberFormat="1" applyFont="1" applyFill="1" applyBorder="1" applyAlignment="1" applyProtection="1">
      <alignment horizontal="center"/>
      <protection locked="0"/>
    </xf>
    <xf numFmtId="0" fontId="2" fillId="17" borderId="22" xfId="0" applyFont="1" applyFill="1" applyBorder="1" applyAlignment="1" applyProtection="1">
      <alignment horizontal="center"/>
      <protection locked="0"/>
    </xf>
    <xf numFmtId="10" fontId="2" fillId="15" borderId="60" xfId="0" applyNumberFormat="1" applyFont="1" applyFill="1" applyBorder="1" applyAlignment="1" applyProtection="1">
      <alignment horizontal="center"/>
      <protection locked="0"/>
    </xf>
    <xf numFmtId="0" fontId="1" fillId="0" borderId="16" xfId="0" applyFont="1" applyBorder="1" applyAlignment="1">
      <alignment wrapText="1"/>
    </xf>
    <xf numFmtId="10" fontId="1" fillId="0" borderId="16" xfId="0" applyNumberFormat="1" applyFont="1" applyBorder="1"/>
    <xf numFmtId="10" fontId="1" fillId="0" borderId="11" xfId="0" applyNumberFormat="1" applyFont="1" applyBorder="1"/>
    <xf numFmtId="0" fontId="25" fillId="0" borderId="0" xfId="0" applyFont="1" applyProtection="1">
      <protection locked="0"/>
    </xf>
    <xf numFmtId="0" fontId="49" fillId="0" borderId="0" xfId="0" applyFont="1" applyProtection="1">
      <protection locked="0"/>
    </xf>
    <xf numFmtId="170" fontId="25" fillId="15" borderId="1" xfId="0" applyNumberFormat="1" applyFont="1" applyFill="1" applyBorder="1" applyAlignment="1" applyProtection="1">
      <alignment horizontal="center"/>
      <protection locked="0"/>
    </xf>
    <xf numFmtId="0" fontId="25" fillId="0" borderId="29" xfId="0" applyFont="1" applyBorder="1" applyAlignment="1" applyProtection="1">
      <alignment horizontal="center"/>
      <protection locked="0"/>
    </xf>
    <xf numFmtId="10" fontId="25" fillId="15" borderId="27" xfId="0" applyNumberFormat="1" applyFont="1" applyFill="1" applyBorder="1" applyAlignment="1" applyProtection="1">
      <alignment horizontal="center"/>
      <protection locked="0"/>
    </xf>
    <xf numFmtId="0" fontId="25" fillId="17" borderId="22" xfId="0" applyFont="1" applyFill="1" applyBorder="1" applyAlignment="1" applyProtection="1">
      <alignment horizontal="center"/>
      <protection locked="0"/>
    </xf>
    <xf numFmtId="170" fontId="25" fillId="17" borderId="9" xfId="0" applyNumberFormat="1" applyFont="1" applyFill="1" applyBorder="1" applyAlignment="1" applyProtection="1">
      <alignment horizontal="center"/>
      <protection locked="0"/>
    </xf>
    <xf numFmtId="0" fontId="25" fillId="0" borderId="22" xfId="0" applyFont="1" applyBorder="1" applyAlignment="1" applyProtection="1">
      <alignment horizontal="center"/>
      <protection locked="0"/>
    </xf>
    <xf numFmtId="0" fontId="25" fillId="0" borderId="1" xfId="0" applyFont="1" applyBorder="1" applyAlignment="1" applyProtection="1">
      <alignment horizontal="center"/>
      <protection locked="0"/>
    </xf>
    <xf numFmtId="0" fontId="25" fillId="4" borderId="1" xfId="0" applyFont="1" applyFill="1" applyBorder="1" applyAlignment="1" applyProtection="1">
      <alignment horizontal="center"/>
      <protection locked="0"/>
    </xf>
    <xf numFmtId="0" fontId="25" fillId="0" borderId="1" xfId="0" applyFont="1" applyBorder="1" applyAlignment="1" applyProtection="1">
      <alignment horizontal="right"/>
      <protection locked="0"/>
    </xf>
    <xf numFmtId="170" fontId="2" fillId="0" borderId="1" xfId="0" applyNumberFormat="1" applyFont="1" applyBorder="1" applyAlignment="1" applyProtection="1">
      <alignment vertical="top" wrapText="1"/>
      <protection locked="0"/>
    </xf>
    <xf numFmtId="0" fontId="79" fillId="0" borderId="0" xfId="0" applyFont="1" applyProtection="1">
      <protection locked="0"/>
    </xf>
    <xf numFmtId="0" fontId="25" fillId="0" borderId="1" xfId="0" applyFont="1" applyBorder="1" applyProtection="1">
      <protection locked="0"/>
    </xf>
    <xf numFmtId="0" fontId="25" fillId="0" borderId="26" xfId="0" applyFont="1" applyBorder="1" applyProtection="1">
      <protection locked="0"/>
    </xf>
    <xf numFmtId="10" fontId="48" fillId="6" borderId="22" xfId="1" applyNumberFormat="1" applyFont="1" applyFill="1" applyBorder="1"/>
    <xf numFmtId="170" fontId="25" fillId="6" borderId="40" xfId="0" applyNumberFormat="1" applyFont="1" applyFill="1" applyBorder="1" applyAlignment="1" applyProtection="1">
      <alignment horizontal="center"/>
      <protection locked="0"/>
    </xf>
    <xf numFmtId="10" fontId="25" fillId="17" borderId="40" xfId="0" applyNumberFormat="1" applyFont="1" applyFill="1" applyBorder="1" applyAlignment="1" applyProtection="1">
      <alignment horizontal="center"/>
      <protection locked="0"/>
    </xf>
    <xf numFmtId="10" fontId="25" fillId="17" borderId="8" xfId="0" applyNumberFormat="1" applyFont="1" applyFill="1" applyBorder="1" applyAlignment="1" applyProtection="1">
      <alignment horizontal="center"/>
      <protection locked="0"/>
    </xf>
    <xf numFmtId="0" fontId="25" fillId="0" borderId="35" xfId="0" applyFont="1" applyBorder="1" applyAlignment="1" applyProtection="1">
      <alignment horizontal="center"/>
      <protection locked="0"/>
    </xf>
    <xf numFmtId="0" fontId="25" fillId="15" borderId="22" xfId="0" applyFont="1" applyFill="1" applyBorder="1" applyAlignment="1" applyProtection="1">
      <alignment horizontal="center"/>
      <protection locked="0"/>
    </xf>
    <xf numFmtId="0" fontId="25" fillId="4" borderId="11" xfId="0" applyFont="1" applyFill="1" applyBorder="1" applyAlignment="1" applyProtection="1">
      <alignment horizontal="center"/>
      <protection locked="0"/>
    </xf>
    <xf numFmtId="10" fontId="48" fillId="6" borderId="23" xfId="1" applyNumberFormat="1" applyFont="1" applyFill="1" applyBorder="1"/>
    <xf numFmtId="0" fontId="25" fillId="0" borderId="23" xfId="0" applyFont="1" applyBorder="1" applyAlignment="1" applyProtection="1">
      <alignment horizontal="center"/>
      <protection locked="0"/>
    </xf>
    <xf numFmtId="170" fontId="25" fillId="6" borderId="53" xfId="0" applyNumberFormat="1" applyFont="1" applyFill="1" applyBorder="1" applyAlignment="1" applyProtection="1">
      <alignment horizontal="center"/>
      <protection locked="0"/>
    </xf>
    <xf numFmtId="10" fontId="25" fillId="17" borderId="10" xfId="0" applyNumberFormat="1" applyFont="1" applyFill="1" applyBorder="1" applyAlignment="1" applyProtection="1">
      <alignment horizontal="center"/>
      <protection locked="0"/>
    </xf>
    <xf numFmtId="10" fontId="25" fillId="17" borderId="12" xfId="0" applyNumberFormat="1" applyFont="1" applyFill="1" applyBorder="1" applyAlignment="1" applyProtection="1">
      <alignment horizontal="center"/>
      <protection locked="0"/>
    </xf>
    <xf numFmtId="0" fontId="25" fillId="0" borderId="54" xfId="0" applyFont="1" applyBorder="1" applyAlignment="1" applyProtection="1">
      <alignment horizontal="center"/>
      <protection locked="0"/>
    </xf>
    <xf numFmtId="0" fontId="25" fillId="15" borderId="23" xfId="0" applyFont="1" applyFill="1" applyBorder="1" applyAlignment="1" applyProtection="1">
      <alignment horizontal="center"/>
      <protection locked="0"/>
    </xf>
    <xf numFmtId="170" fontId="48" fillId="20" borderId="12" xfId="0" applyNumberFormat="1" applyFont="1" applyFill="1" applyBorder="1"/>
    <xf numFmtId="0" fontId="25" fillId="0" borderId="14" xfId="0" applyFont="1" applyBorder="1" applyProtection="1">
      <protection locked="0"/>
    </xf>
    <xf numFmtId="170" fontId="25" fillId="0" borderId="14" xfId="0" applyNumberFormat="1" applyFont="1" applyBorder="1" applyProtection="1">
      <protection locked="0"/>
    </xf>
    <xf numFmtId="0" fontId="48" fillId="0" borderId="1" xfId="0" applyFont="1" applyBorder="1" applyProtection="1">
      <protection locked="0"/>
    </xf>
    <xf numFmtId="0" fontId="48" fillId="0" borderId="11" xfId="0" applyFont="1" applyBorder="1" applyProtection="1">
      <protection locked="0"/>
    </xf>
    <xf numFmtId="1" fontId="48" fillId="0" borderId="11" xfId="0" applyNumberFormat="1" applyFont="1" applyBorder="1" applyProtection="1">
      <protection locked="0"/>
    </xf>
    <xf numFmtId="1" fontId="48" fillId="0" borderId="1" xfId="0" applyNumberFormat="1" applyFont="1" applyBorder="1" applyProtection="1">
      <protection locked="0"/>
    </xf>
    <xf numFmtId="0" fontId="48" fillId="0" borderId="1" xfId="0" applyFont="1" applyBorder="1" applyAlignment="1" applyProtection="1">
      <alignment vertical="top" wrapText="1"/>
      <protection locked="0"/>
    </xf>
    <xf numFmtId="0" fontId="48" fillId="0" borderId="1" xfId="0" applyFont="1" applyBorder="1" applyAlignment="1" applyProtection="1">
      <alignment vertical="top"/>
      <protection locked="0"/>
    </xf>
    <xf numFmtId="170" fontId="48" fillId="0" borderId="1" xfId="0" applyNumberFormat="1" applyFont="1" applyBorder="1" applyAlignment="1" applyProtection="1">
      <alignment vertical="top" wrapText="1"/>
      <protection locked="0"/>
    </xf>
    <xf numFmtId="1" fontId="48" fillId="0" borderId="1" xfId="0" applyNumberFormat="1" applyFont="1" applyBorder="1" applyAlignment="1" applyProtection="1">
      <alignment vertical="top"/>
      <protection locked="0"/>
    </xf>
    <xf numFmtId="10" fontId="48" fillId="0" borderId="1" xfId="0" applyNumberFormat="1" applyFont="1" applyBorder="1" applyAlignment="1" applyProtection="1">
      <alignment vertical="top"/>
      <protection locked="0"/>
    </xf>
    <xf numFmtId="170" fontId="48" fillId="0" borderId="1" xfId="0" applyNumberFormat="1" applyFont="1" applyBorder="1" applyProtection="1">
      <protection locked="0"/>
    </xf>
    <xf numFmtId="1" fontId="48" fillId="0" borderId="16" xfId="0" applyNumberFormat="1" applyFont="1" applyBorder="1" applyProtection="1">
      <protection locked="0"/>
    </xf>
    <xf numFmtId="0" fontId="48" fillId="0" borderId="16" xfId="0" applyFont="1" applyBorder="1" applyProtection="1">
      <protection locked="0"/>
    </xf>
    <xf numFmtId="10" fontId="48" fillId="0" borderId="16" xfId="0" applyNumberFormat="1" applyFont="1" applyBorder="1" applyProtection="1">
      <protection locked="0"/>
    </xf>
    <xf numFmtId="0" fontId="48" fillId="0" borderId="29" xfId="0" applyFont="1" applyBorder="1" applyProtection="1">
      <protection locked="0"/>
    </xf>
    <xf numFmtId="10" fontId="48" fillId="0" borderId="1" xfId="0" applyNumberFormat="1" applyFont="1" applyBorder="1" applyProtection="1">
      <protection locked="0"/>
    </xf>
    <xf numFmtId="170" fontId="48" fillId="0" borderId="16" xfId="0" applyNumberFormat="1" applyFont="1" applyBorder="1" applyProtection="1">
      <protection locked="0"/>
    </xf>
    <xf numFmtId="170" fontId="48" fillId="0" borderId="65" xfId="0" applyNumberFormat="1" applyFont="1" applyBorder="1" applyProtection="1">
      <protection locked="0"/>
    </xf>
    <xf numFmtId="10" fontId="48" fillId="0" borderId="11" xfId="0" applyNumberFormat="1" applyFont="1" applyBorder="1" applyProtection="1">
      <protection locked="0"/>
    </xf>
    <xf numFmtId="170" fontId="48" fillId="0" borderId="11" xfId="0" applyNumberFormat="1" applyFont="1" applyBorder="1" applyProtection="1">
      <protection locked="0"/>
    </xf>
    <xf numFmtId="9" fontId="48" fillId="0" borderId="1" xfId="0" applyNumberFormat="1" applyFont="1" applyBorder="1" applyProtection="1">
      <protection locked="0"/>
    </xf>
    <xf numFmtId="44" fontId="48" fillId="0" borderId="18" xfId="0" applyNumberFormat="1" applyFont="1" applyBorder="1" applyProtection="1">
      <protection locked="0"/>
    </xf>
    <xf numFmtId="1" fontId="48" fillId="0" borderId="18" xfId="0" applyNumberFormat="1" applyFont="1" applyBorder="1" applyProtection="1">
      <protection locked="0"/>
    </xf>
    <xf numFmtId="10" fontId="48" fillId="0" borderId="18" xfId="0" applyNumberFormat="1" applyFont="1" applyBorder="1" applyProtection="1">
      <protection locked="0"/>
    </xf>
    <xf numFmtId="0" fontId="48" fillId="0" borderId="18" xfId="0" applyFont="1" applyBorder="1" applyProtection="1">
      <protection locked="0"/>
    </xf>
    <xf numFmtId="170" fontId="48" fillId="0" borderId="14" xfId="0" applyNumberFormat="1" applyFont="1" applyBorder="1" applyProtection="1">
      <protection locked="0"/>
    </xf>
    <xf numFmtId="0" fontId="48" fillId="0" borderId="14" xfId="0" applyFont="1" applyBorder="1" applyProtection="1">
      <protection locked="0"/>
    </xf>
    <xf numFmtId="9" fontId="48" fillId="0" borderId="14" xfId="0" applyNumberFormat="1" applyFont="1" applyBorder="1" applyProtection="1">
      <protection locked="0"/>
    </xf>
    <xf numFmtId="174" fontId="2" fillId="0" borderId="0" xfId="5" applyNumberFormat="1" applyFont="1" applyBorder="1" applyProtection="1">
      <protection locked="0"/>
    </xf>
    <xf numFmtId="175" fontId="2" fillId="0" borderId="1" xfId="0" applyNumberFormat="1" applyFont="1" applyBorder="1" applyProtection="1">
      <protection locked="0"/>
    </xf>
    <xf numFmtId="0" fontId="20" fillId="0" borderId="99" xfId="0" applyFont="1" applyBorder="1"/>
    <xf numFmtId="0" fontId="0" fillId="0" borderId="99" xfId="0" applyBorder="1"/>
    <xf numFmtId="10" fontId="48" fillId="0" borderId="1" xfId="1" applyNumberFormat="1" applyFont="1" applyBorder="1" applyProtection="1"/>
    <xf numFmtId="170" fontId="25" fillId="11" borderId="16" xfId="0" applyNumberFormat="1" applyFont="1" applyFill="1" applyBorder="1" applyAlignment="1" applyProtection="1">
      <alignment horizontal="center"/>
      <protection locked="0"/>
    </xf>
    <xf numFmtId="170" fontId="25" fillId="11" borderId="32" xfId="0" applyNumberFormat="1" applyFont="1" applyFill="1" applyBorder="1" applyAlignment="1" applyProtection="1">
      <alignment horizontal="center"/>
      <protection locked="0"/>
    </xf>
    <xf numFmtId="10" fontId="48" fillId="0" borderId="26" xfId="1" applyNumberFormat="1" applyFont="1" applyBorder="1" applyProtection="1"/>
    <xf numFmtId="10" fontId="48" fillId="0" borderId="11" xfId="1" applyNumberFormat="1" applyFont="1" applyBorder="1" applyProtection="1"/>
    <xf numFmtId="170" fontId="25" fillId="0" borderId="1" xfId="0" applyNumberFormat="1" applyFont="1" applyBorder="1" applyAlignment="1" applyProtection="1">
      <alignment horizontal="center"/>
      <protection locked="0"/>
    </xf>
    <xf numFmtId="170" fontId="25" fillId="0" borderId="11" xfId="0" applyNumberFormat="1" applyFont="1" applyBorder="1" applyAlignment="1" applyProtection="1">
      <alignment horizontal="center"/>
      <protection locked="0"/>
    </xf>
    <xf numFmtId="10" fontId="48" fillId="0" borderId="21" xfId="1" applyNumberFormat="1" applyFont="1" applyBorder="1" applyProtection="1"/>
    <xf numFmtId="170" fontId="25" fillId="0" borderId="21" xfId="0" applyNumberFormat="1" applyFont="1" applyBorder="1" applyAlignment="1" applyProtection="1">
      <alignment horizontal="center"/>
      <protection locked="0"/>
    </xf>
    <xf numFmtId="10" fontId="48" fillId="0" borderId="20" xfId="1" applyNumberFormat="1" applyFont="1" applyBorder="1" applyProtection="1"/>
    <xf numFmtId="170" fontId="25" fillId="0" borderId="20" xfId="0" applyNumberFormat="1" applyFont="1" applyBorder="1" applyAlignment="1" applyProtection="1">
      <alignment horizontal="center"/>
      <protection locked="0"/>
    </xf>
    <xf numFmtId="10" fontId="48" fillId="0" borderId="22" xfId="1" applyNumberFormat="1" applyFont="1" applyBorder="1" applyProtection="1"/>
    <xf numFmtId="170" fontId="25" fillId="0" borderId="22" xfId="0" applyNumberFormat="1" applyFont="1" applyBorder="1" applyAlignment="1" applyProtection="1">
      <alignment horizontal="center"/>
      <protection locked="0"/>
    </xf>
    <xf numFmtId="10" fontId="48" fillId="0" borderId="23" xfId="1" applyNumberFormat="1" applyFont="1" applyBorder="1" applyProtection="1"/>
    <xf numFmtId="170" fontId="25" fillId="0" borderId="23" xfId="0" applyNumberFormat="1" applyFont="1" applyBorder="1" applyAlignment="1" applyProtection="1">
      <alignment horizontal="center"/>
      <protection locked="0"/>
    </xf>
    <xf numFmtId="10" fontId="48" fillId="0" borderId="32" xfId="1" applyNumberFormat="1" applyFont="1" applyBorder="1" applyProtection="1"/>
    <xf numFmtId="10" fontId="48" fillId="0" borderId="36" xfId="1" applyNumberFormat="1" applyFont="1" applyBorder="1" applyProtection="1"/>
    <xf numFmtId="10" fontId="48" fillId="0" borderId="67" xfId="1" applyNumberFormat="1" applyFont="1" applyBorder="1" applyProtection="1"/>
    <xf numFmtId="0" fontId="73" fillId="0" borderId="0" xfId="0" applyFont="1"/>
    <xf numFmtId="0" fontId="80" fillId="0" borderId="33" xfId="0" applyFont="1" applyBorder="1"/>
    <xf numFmtId="0" fontId="80" fillId="0" borderId="34" xfId="0" applyFont="1" applyBorder="1"/>
    <xf numFmtId="0" fontId="0" fillId="0" borderId="36" xfId="0" applyBorder="1"/>
    <xf numFmtId="0" fontId="0" fillId="0" borderId="37" xfId="0" applyBorder="1"/>
    <xf numFmtId="0" fontId="0" fillId="0" borderId="21" xfId="0" applyBorder="1"/>
    <xf numFmtId="0" fontId="0" fillId="0" borderId="39" xfId="0" applyBorder="1"/>
    <xf numFmtId="0" fontId="80" fillId="0" borderId="35" xfId="0" applyFont="1" applyBorder="1"/>
    <xf numFmtId="0" fontId="80" fillId="0" borderId="29" xfId="0" applyFont="1" applyBorder="1"/>
    <xf numFmtId="0" fontId="80" fillId="0" borderId="22" xfId="0" applyFont="1" applyBorder="1"/>
    <xf numFmtId="0" fontId="20" fillId="0" borderId="32" xfId="0" applyFont="1" applyBorder="1"/>
    <xf numFmtId="0" fontId="32" fillId="0" borderId="0" xfId="0" applyFont="1"/>
    <xf numFmtId="2" fontId="1" fillId="0" borderId="1" xfId="0" applyNumberFormat="1" applyFont="1" applyBorder="1"/>
    <xf numFmtId="0" fontId="5" fillId="0" borderId="0" xfId="2"/>
    <xf numFmtId="0" fontId="59" fillId="0" borderId="0" xfId="0" applyFont="1" applyAlignment="1">
      <alignment horizontal="right"/>
    </xf>
    <xf numFmtId="9" fontId="1" fillId="0" borderId="0" xfId="0" applyNumberFormat="1" applyFont="1"/>
    <xf numFmtId="10" fontId="29" fillId="0" borderId="1" xfId="0" applyNumberFormat="1" applyFont="1" applyBorder="1"/>
    <xf numFmtId="0" fontId="48" fillId="3" borderId="0" xfId="0" applyFont="1" applyFill="1" applyProtection="1">
      <protection locked="0"/>
    </xf>
    <xf numFmtId="0" fontId="76" fillId="3" borderId="0" xfId="0" applyFont="1" applyFill="1" applyProtection="1">
      <protection locked="0"/>
    </xf>
    <xf numFmtId="0" fontId="48" fillId="0" borderId="0" xfId="0" applyFont="1" applyProtection="1">
      <protection locked="0"/>
    </xf>
    <xf numFmtId="0" fontId="48" fillId="0" borderId="59" xfId="0" applyFont="1" applyBorder="1" applyAlignment="1" applyProtection="1">
      <alignment horizontal="center"/>
      <protection locked="0"/>
    </xf>
    <xf numFmtId="0" fontId="48" fillId="0" borderId="1" xfId="0" applyFont="1" applyBorder="1" applyAlignment="1" applyProtection="1">
      <alignment horizontal="center"/>
      <protection locked="0"/>
    </xf>
    <xf numFmtId="0" fontId="48" fillId="0" borderId="26" xfId="0" applyFont="1" applyBorder="1" applyAlignment="1" applyProtection="1">
      <alignment horizontal="center"/>
      <protection locked="0"/>
    </xf>
    <xf numFmtId="0" fontId="48" fillId="0" borderId="11" xfId="0" applyFont="1" applyBorder="1" applyAlignment="1" applyProtection="1">
      <alignment horizontal="center"/>
      <protection locked="0"/>
    </xf>
    <xf numFmtId="0" fontId="48" fillId="0" borderId="21" xfId="0" applyFont="1" applyBorder="1" applyAlignment="1" applyProtection="1">
      <alignment horizontal="center"/>
      <protection locked="0"/>
    </xf>
    <xf numFmtId="0" fontId="48" fillId="0" borderId="32" xfId="0" applyFont="1" applyBorder="1" applyAlignment="1" applyProtection="1">
      <alignment horizontal="center"/>
      <protection locked="0"/>
    </xf>
    <xf numFmtId="0" fontId="48" fillId="0" borderId="20" xfId="0" applyFont="1" applyBorder="1" applyAlignment="1" applyProtection="1">
      <alignment horizontal="center"/>
      <protection locked="0"/>
    </xf>
    <xf numFmtId="0" fontId="48" fillId="0" borderId="23" xfId="0" applyFont="1" applyBorder="1" applyAlignment="1" applyProtection="1">
      <alignment horizontal="center"/>
      <protection locked="0"/>
    </xf>
    <xf numFmtId="0" fontId="48" fillId="0" borderId="36" xfId="0" applyFont="1" applyBorder="1" applyAlignment="1" applyProtection="1">
      <alignment horizontal="center"/>
      <protection locked="0"/>
    </xf>
    <xf numFmtId="0" fontId="48" fillId="0" borderId="67" xfId="0" applyFont="1" applyBorder="1" applyAlignment="1" applyProtection="1">
      <alignment horizontal="center"/>
      <protection locked="0"/>
    </xf>
    <xf numFmtId="1" fontId="48" fillId="0" borderId="32" xfId="0" applyNumberFormat="1" applyFont="1" applyBorder="1" applyAlignment="1" applyProtection="1">
      <alignment horizontal="center"/>
      <protection locked="0"/>
    </xf>
    <xf numFmtId="1" fontId="48" fillId="0" borderId="1" xfId="0" applyNumberFormat="1" applyFont="1" applyBorder="1" applyAlignment="1" applyProtection="1">
      <alignment horizontal="center"/>
      <protection locked="0"/>
    </xf>
    <xf numFmtId="0" fontId="48" fillId="0" borderId="5" xfId="0" applyFont="1" applyBorder="1" applyProtection="1">
      <protection locked="0"/>
    </xf>
    <xf numFmtId="0" fontId="76" fillId="0" borderId="0" xfId="0" applyFont="1" applyAlignment="1" applyProtection="1">
      <alignment vertical="top" wrapText="1"/>
      <protection locked="0"/>
    </xf>
    <xf numFmtId="9" fontId="29" fillId="0" borderId="1" xfId="1" applyFont="1" applyBorder="1"/>
    <xf numFmtId="9" fontId="81" fillId="0" borderId="0" xfId="0" applyNumberFormat="1" applyFont="1"/>
    <xf numFmtId="0" fontId="81" fillId="0" borderId="0" xfId="0" applyFont="1" applyAlignment="1">
      <alignment horizontal="center"/>
    </xf>
    <xf numFmtId="9" fontId="81" fillId="0" borderId="0" xfId="0" applyNumberFormat="1" applyFont="1" applyAlignment="1">
      <alignment horizontal="center"/>
    </xf>
    <xf numFmtId="1" fontId="81" fillId="0" borderId="0" xfId="0" applyNumberFormat="1" applyFont="1" applyAlignment="1">
      <alignment horizontal="left"/>
    </xf>
    <xf numFmtId="0" fontId="82" fillId="0" borderId="0" xfId="0" applyFont="1"/>
    <xf numFmtId="171" fontId="1" fillId="0" borderId="0" xfId="0" applyNumberFormat="1" applyFont="1"/>
    <xf numFmtId="0" fontId="43" fillId="3" borderId="0" xfId="0" applyFont="1" applyFill="1"/>
    <xf numFmtId="0" fontId="42" fillId="3" borderId="0" xfId="0" applyFont="1" applyFill="1"/>
    <xf numFmtId="0" fontId="82" fillId="0" borderId="1" xfId="0" applyFont="1" applyBorder="1"/>
    <xf numFmtId="170" fontId="82" fillId="0" borderId="1" xfId="0" applyNumberFormat="1" applyFont="1" applyBorder="1"/>
    <xf numFmtId="2" fontId="29" fillId="0" borderId="1" xfId="0" applyNumberFormat="1" applyFont="1" applyBorder="1"/>
    <xf numFmtId="10" fontId="29" fillId="6" borderId="1" xfId="0" applyNumberFormat="1" applyFont="1" applyFill="1" applyBorder="1"/>
    <xf numFmtId="10" fontId="29" fillId="17" borderId="1" xfId="0" applyNumberFormat="1" applyFont="1" applyFill="1" applyBorder="1"/>
    <xf numFmtId="9" fontId="29" fillId="0" borderId="0" xfId="1" applyFont="1" applyAlignment="1">
      <alignment horizontal="center"/>
    </xf>
    <xf numFmtId="9" fontId="54" fillId="0" borderId="0" xfId="0" applyNumberFormat="1" applyFont="1"/>
    <xf numFmtId="9" fontId="54" fillId="0" borderId="0" xfId="0" applyNumberFormat="1" applyFont="1" applyAlignment="1">
      <alignment horizontal="center"/>
    </xf>
    <xf numFmtId="0" fontId="54" fillId="0" borderId="0" xfId="0" applyFont="1" applyAlignment="1">
      <alignment horizontal="center"/>
    </xf>
    <xf numFmtId="1" fontId="54" fillId="0" borderId="0" xfId="0" applyNumberFormat="1" applyFont="1" applyAlignment="1">
      <alignment horizontal="left"/>
    </xf>
    <xf numFmtId="10" fontId="77" fillId="17" borderId="1" xfId="0" applyNumberFormat="1" applyFont="1" applyFill="1" applyBorder="1"/>
    <xf numFmtId="10" fontId="29" fillId="0" borderId="0" xfId="0" applyNumberFormat="1" applyFont="1"/>
    <xf numFmtId="170" fontId="73" fillId="0" borderId="1" xfId="0" applyNumberFormat="1" applyFont="1" applyBorder="1"/>
    <xf numFmtId="170" fontId="1" fillId="0" borderId="1" xfId="0" applyNumberFormat="1" applyFont="1" applyBorder="1"/>
    <xf numFmtId="2" fontId="25" fillId="3" borderId="0" xfId="0" applyNumberFormat="1" applyFont="1" applyFill="1"/>
    <xf numFmtId="2" fontId="28" fillId="3" borderId="0" xfId="0" applyNumberFormat="1" applyFont="1" applyFill="1"/>
    <xf numFmtId="2" fontId="29" fillId="0" borderId="0" xfId="0" applyNumberFormat="1" applyFont="1"/>
    <xf numFmtId="0" fontId="83" fillId="0" borderId="0" xfId="0" applyFont="1"/>
    <xf numFmtId="1" fontId="83" fillId="0" borderId="0" xfId="0" applyNumberFormat="1" applyFont="1" applyAlignment="1">
      <alignment horizontal="left"/>
    </xf>
    <xf numFmtId="2" fontId="1" fillId="0" borderId="0" xfId="0" applyNumberFormat="1" applyFont="1"/>
    <xf numFmtId="2" fontId="43" fillId="8" borderId="1" xfId="0" applyNumberFormat="1" applyFont="1" applyFill="1" applyBorder="1"/>
    <xf numFmtId="2" fontId="43" fillId="8" borderId="11" xfId="0" applyNumberFormat="1" applyFont="1" applyFill="1" applyBorder="1"/>
    <xf numFmtId="0" fontId="25" fillId="0" borderId="11" xfId="0" applyFont="1" applyBorder="1" applyProtection="1">
      <protection locked="0"/>
    </xf>
    <xf numFmtId="166" fontId="25" fillId="0" borderId="16" xfId="0" applyNumberFormat="1" applyFont="1" applyBorder="1" applyProtection="1">
      <protection locked="0"/>
    </xf>
    <xf numFmtId="166" fontId="2" fillId="0" borderId="11" xfId="0" applyNumberFormat="1" applyFont="1" applyBorder="1" applyProtection="1">
      <protection locked="0"/>
    </xf>
    <xf numFmtId="166" fontId="2" fillId="0" borderId="16" xfId="0" applyNumberFormat="1" applyFont="1" applyBorder="1" applyProtection="1">
      <protection locked="0"/>
    </xf>
    <xf numFmtId="169" fontId="2" fillId="0" borderId="16" xfId="0" applyNumberFormat="1" applyFont="1" applyBorder="1" applyProtection="1">
      <protection locked="0"/>
    </xf>
    <xf numFmtId="169" fontId="2" fillId="0" borderId="11" xfId="0" applyNumberFormat="1" applyFont="1" applyBorder="1" applyProtection="1">
      <protection locked="0"/>
    </xf>
    <xf numFmtId="9" fontId="2" fillId="0" borderId="1" xfId="0" applyNumberFormat="1" applyFont="1" applyBorder="1" applyProtection="1">
      <protection locked="0"/>
    </xf>
    <xf numFmtId="170" fontId="2" fillId="0" borderId="99" xfId="0" applyNumberFormat="1" applyFont="1" applyBorder="1" applyProtection="1">
      <protection locked="0"/>
    </xf>
    <xf numFmtId="0" fontId="25" fillId="3" borderId="0" xfId="0" applyFont="1" applyFill="1" applyAlignment="1">
      <alignment horizontal="left"/>
    </xf>
    <xf numFmtId="0" fontId="28" fillId="3" borderId="0" xfId="0" applyFont="1" applyFill="1" applyAlignment="1">
      <alignment horizontal="left"/>
    </xf>
    <xf numFmtId="0" fontId="29" fillId="0" borderId="0" xfId="0" applyFont="1" applyAlignment="1">
      <alignment horizontal="left"/>
    </xf>
    <xf numFmtId="0" fontId="29" fillId="21" borderId="1" xfId="0" applyFont="1" applyFill="1" applyBorder="1" applyAlignment="1">
      <alignment horizontal="left"/>
    </xf>
    <xf numFmtId="0" fontId="29" fillId="21" borderId="16" xfId="0" applyFont="1" applyFill="1" applyBorder="1" applyAlignment="1">
      <alignment horizontal="left"/>
    </xf>
    <xf numFmtId="0" fontId="29" fillId="0" borderId="5" xfId="0" applyFont="1" applyBorder="1" applyAlignment="1">
      <alignment horizontal="left"/>
    </xf>
    <xf numFmtId="0" fontId="29" fillId="21" borderId="11" xfId="0" applyFont="1" applyFill="1" applyBorder="1" applyAlignment="1">
      <alignment horizontal="left"/>
    </xf>
    <xf numFmtId="0" fontId="29" fillId="0" borderId="5" xfId="0" applyFont="1" applyBorder="1"/>
    <xf numFmtId="0" fontId="32" fillId="0" borderId="0" xfId="0" applyFont="1" applyAlignment="1">
      <alignment horizontal="left"/>
    </xf>
    <xf numFmtId="0" fontId="29" fillId="0" borderId="20" xfId="0" applyFont="1" applyBorder="1"/>
    <xf numFmtId="9" fontId="0" fillId="0" borderId="1" xfId="0" applyNumberFormat="1" applyBorder="1" applyAlignment="1">
      <alignment horizontal="center"/>
    </xf>
    <xf numFmtId="10" fontId="0" fillId="0" borderId="1" xfId="0" applyNumberFormat="1" applyBorder="1" applyAlignment="1">
      <alignment horizontal="center"/>
    </xf>
    <xf numFmtId="0" fontId="2" fillId="0" borderId="1" xfId="0" applyFont="1" applyBorder="1" applyAlignment="1">
      <alignment vertical="top"/>
    </xf>
    <xf numFmtId="169" fontId="2" fillId="0" borderId="1" xfId="0" applyNumberFormat="1" applyFont="1" applyBorder="1" applyAlignment="1">
      <alignment vertical="top"/>
    </xf>
    <xf numFmtId="0" fontId="68" fillId="3" borderId="0" xfId="0" applyFont="1" applyFill="1"/>
    <xf numFmtId="0" fontId="84" fillId="3" borderId="0" xfId="0" applyFont="1" applyFill="1"/>
    <xf numFmtId="0" fontId="43" fillId="0" borderId="0" xfId="0" applyFont="1"/>
    <xf numFmtId="0" fontId="43" fillId="0" borderId="1" xfId="0" applyFont="1" applyBorder="1" applyAlignment="1">
      <alignment horizontal="center"/>
    </xf>
    <xf numFmtId="2" fontId="43" fillId="0" borderId="1" xfId="0" applyNumberFormat="1" applyFont="1" applyBorder="1" applyAlignment="1">
      <alignment horizontal="center"/>
    </xf>
    <xf numFmtId="1" fontId="70" fillId="5" borderId="1" xfId="0" applyNumberFormat="1" applyFont="1" applyFill="1" applyBorder="1"/>
    <xf numFmtId="0" fontId="68" fillId="0" borderId="0" xfId="0" applyFont="1" applyAlignment="1">
      <alignment horizontal="center"/>
    </xf>
    <xf numFmtId="1" fontId="68" fillId="0" borderId="0" xfId="0" applyNumberFormat="1" applyFont="1" applyAlignment="1">
      <alignment horizontal="center"/>
    </xf>
    <xf numFmtId="0" fontId="12" fillId="0" borderId="67" xfId="0" applyFont="1" applyBorder="1" applyAlignment="1" applyProtection="1">
      <alignment horizontal="center" vertical="top" wrapText="1"/>
      <protection locked="0"/>
    </xf>
    <xf numFmtId="0" fontId="2" fillId="5" borderId="23" xfId="0" applyFont="1" applyFill="1" applyBorder="1"/>
    <xf numFmtId="172" fontId="2" fillId="15" borderId="30" xfId="0" applyNumberFormat="1" applyFont="1" applyFill="1" applyBorder="1"/>
    <xf numFmtId="0" fontId="2" fillId="8" borderId="8" xfId="0" applyFont="1" applyFill="1" applyBorder="1"/>
    <xf numFmtId="164" fontId="25" fillId="0" borderId="1" xfId="1" applyNumberFormat="1" applyFont="1" applyBorder="1" applyProtection="1">
      <protection locked="0"/>
    </xf>
    <xf numFmtId="10" fontId="2" fillId="15" borderId="12" xfId="0" applyNumberFormat="1" applyFont="1" applyFill="1" applyBorder="1" applyAlignment="1" applyProtection="1">
      <alignment horizontal="center"/>
      <protection locked="0"/>
    </xf>
    <xf numFmtId="0" fontId="49" fillId="3" borderId="0" xfId="0" applyFont="1" applyFill="1" applyProtection="1">
      <protection locked="0"/>
    </xf>
    <xf numFmtId="0" fontId="85" fillId="3" borderId="0" xfId="2" applyFont="1" applyFill="1" applyBorder="1" applyProtection="1">
      <protection locked="0"/>
    </xf>
    <xf numFmtId="0" fontId="85" fillId="3" borderId="0" xfId="0" applyFont="1" applyFill="1" applyProtection="1">
      <protection locked="0"/>
    </xf>
    <xf numFmtId="0" fontId="86" fillId="3" borderId="0" xfId="0" applyFont="1" applyFill="1" applyProtection="1">
      <protection locked="0"/>
    </xf>
    <xf numFmtId="0" fontId="2" fillId="17" borderId="41" xfId="0" applyFont="1" applyFill="1" applyBorder="1" applyAlignment="1" applyProtection="1">
      <alignment horizontal="center"/>
      <protection locked="0"/>
    </xf>
    <xf numFmtId="10" fontId="2" fillId="15" borderId="8" xfId="0" applyNumberFormat="1" applyFont="1" applyFill="1" applyBorder="1" applyAlignment="1" applyProtection="1">
      <alignment horizontal="center"/>
      <protection locked="0"/>
    </xf>
    <xf numFmtId="170" fontId="2" fillId="15" borderId="23" xfId="0" applyNumberFormat="1" applyFont="1" applyFill="1" applyBorder="1" applyAlignment="1" applyProtection="1">
      <alignment horizontal="center"/>
      <protection locked="0"/>
    </xf>
    <xf numFmtId="0" fontId="2" fillId="6" borderId="21" xfId="0" applyFont="1" applyFill="1" applyBorder="1" applyAlignment="1" applyProtection="1">
      <alignment horizontal="center"/>
      <protection locked="0"/>
    </xf>
    <xf numFmtId="0" fontId="2" fillId="6" borderId="32" xfId="0" applyFont="1" applyFill="1" applyBorder="1" applyAlignment="1" applyProtection="1">
      <alignment horizontal="center"/>
      <protection locked="0"/>
    </xf>
    <xf numFmtId="0" fontId="2" fillId="17" borderId="21" xfId="0" applyFont="1" applyFill="1" applyBorder="1" applyAlignment="1" applyProtection="1">
      <alignment horizontal="center"/>
      <protection locked="0"/>
    </xf>
    <xf numFmtId="0" fontId="2" fillId="6" borderId="41" xfId="0" applyFont="1" applyFill="1" applyBorder="1" applyAlignment="1" applyProtection="1">
      <alignment horizontal="center"/>
      <protection locked="0"/>
    </xf>
    <xf numFmtId="0" fontId="2" fillId="6" borderId="22" xfId="0" applyFont="1" applyFill="1" applyBorder="1" applyAlignment="1" applyProtection="1">
      <alignment horizontal="center"/>
      <protection locked="0"/>
    </xf>
    <xf numFmtId="0" fontId="2" fillId="6" borderId="23" xfId="0" applyFont="1" applyFill="1" applyBorder="1" applyAlignment="1" applyProtection="1">
      <alignment horizontal="center"/>
      <protection locked="0"/>
    </xf>
    <xf numFmtId="170" fontId="25" fillId="15" borderId="32" xfId="0" applyNumberFormat="1" applyFont="1" applyFill="1" applyBorder="1" applyAlignment="1" applyProtection="1">
      <alignment horizontal="center"/>
      <protection locked="0"/>
    </xf>
    <xf numFmtId="170" fontId="25" fillId="15" borderId="23" xfId="0" applyNumberFormat="1" applyFont="1" applyFill="1" applyBorder="1" applyAlignment="1" applyProtection="1">
      <alignment horizontal="center"/>
      <protection locked="0"/>
    </xf>
    <xf numFmtId="0" fontId="2" fillId="6" borderId="67" xfId="0" applyFont="1" applyFill="1" applyBorder="1" applyAlignment="1" applyProtection="1">
      <alignment horizontal="center"/>
      <protection locked="0"/>
    </xf>
    <xf numFmtId="170" fontId="2" fillId="15" borderId="20" xfId="0" applyNumberFormat="1" applyFont="1" applyFill="1" applyBorder="1" applyAlignment="1" applyProtection="1">
      <alignment horizontal="center"/>
      <protection locked="0"/>
    </xf>
    <xf numFmtId="0" fontId="2" fillId="6" borderId="36" xfId="0" applyFont="1" applyFill="1" applyBorder="1" applyAlignment="1" applyProtection="1">
      <alignment horizontal="center"/>
      <protection locked="0"/>
    </xf>
    <xf numFmtId="1" fontId="2" fillId="15" borderId="28" xfId="0" applyNumberFormat="1" applyFont="1" applyFill="1" applyBorder="1" applyAlignment="1" applyProtection="1">
      <alignment horizontal="center"/>
      <protection locked="0"/>
    </xf>
    <xf numFmtId="1" fontId="25" fillId="15" borderId="28" xfId="0" applyNumberFormat="1" applyFont="1" applyFill="1" applyBorder="1" applyAlignment="1" applyProtection="1">
      <alignment horizontal="center"/>
      <protection locked="0"/>
    </xf>
    <xf numFmtId="0" fontId="25" fillId="0" borderId="82" xfId="0" applyFont="1" applyBorder="1" applyAlignment="1" applyProtection="1">
      <alignment horizontal="center"/>
      <protection locked="0"/>
    </xf>
    <xf numFmtId="0" fontId="12" fillId="0" borderId="42" xfId="0" applyFont="1" applyBorder="1" applyAlignment="1" applyProtection="1">
      <alignment horizontal="center" vertical="top" wrapText="1"/>
      <protection locked="0"/>
    </xf>
    <xf numFmtId="0" fontId="2" fillId="0" borderId="22" xfId="0" applyFont="1" applyBorder="1" applyProtection="1">
      <protection locked="0"/>
    </xf>
    <xf numFmtId="168" fontId="2" fillId="0" borderId="22" xfId="0" applyNumberFormat="1" applyFont="1" applyBorder="1" applyProtection="1">
      <protection locked="0"/>
    </xf>
    <xf numFmtId="170" fontId="25" fillId="0" borderId="22" xfId="0" applyNumberFormat="1" applyFont="1" applyBorder="1" applyProtection="1">
      <protection locked="0"/>
    </xf>
    <xf numFmtId="0" fontId="87" fillId="0" borderId="0" xfId="0" applyFont="1" applyProtection="1">
      <protection locked="0"/>
    </xf>
    <xf numFmtId="10" fontId="48" fillId="0" borderId="0" xfId="0" applyNumberFormat="1" applyFont="1" applyProtection="1">
      <protection locked="0"/>
    </xf>
    <xf numFmtId="9" fontId="48" fillId="0" borderId="0" xfId="0" applyNumberFormat="1" applyFont="1" applyProtection="1">
      <protection locked="0"/>
    </xf>
    <xf numFmtId="0" fontId="48" fillId="0" borderId="0" xfId="0" applyFont="1" applyAlignment="1" applyProtection="1">
      <alignment horizontal="center"/>
      <protection locked="0"/>
    </xf>
    <xf numFmtId="0" fontId="32" fillId="0" borderId="1" xfId="0" applyFont="1" applyBorder="1"/>
    <xf numFmtId="9" fontId="36" fillId="0" borderId="0" xfId="1" applyFont="1" applyBorder="1" applyProtection="1">
      <protection locked="0"/>
    </xf>
    <xf numFmtId="9" fontId="36" fillId="0" borderId="1" xfId="1" applyFont="1" applyBorder="1" applyProtection="1">
      <protection locked="0"/>
    </xf>
    <xf numFmtId="2" fontId="29" fillId="6" borderId="1" xfId="0" applyNumberFormat="1" applyFont="1" applyFill="1" applyBorder="1" applyAlignment="1">
      <alignment horizontal="center"/>
    </xf>
    <xf numFmtId="2" fontId="29" fillId="15" borderId="1" xfId="0" applyNumberFormat="1" applyFont="1" applyFill="1" applyBorder="1" applyAlignment="1">
      <alignment horizontal="center"/>
    </xf>
    <xf numFmtId="1" fontId="29" fillId="6" borderId="1" xfId="0" applyNumberFormat="1" applyFont="1" applyFill="1" applyBorder="1" applyAlignment="1">
      <alignment horizontal="center"/>
    </xf>
    <xf numFmtId="10" fontId="82" fillId="0" borderId="0" xfId="0" applyNumberFormat="1" applyFont="1"/>
    <xf numFmtId="176" fontId="82" fillId="0" borderId="0" xfId="0" applyNumberFormat="1" applyFont="1"/>
    <xf numFmtId="0" fontId="1" fillId="0" borderId="1" xfId="0" applyFont="1" applyBorder="1" applyAlignment="1">
      <alignment horizontal="center"/>
    </xf>
    <xf numFmtId="170" fontId="29" fillId="0" borderId="1" xfId="0" applyNumberFormat="1" applyFont="1" applyBorder="1"/>
    <xf numFmtId="170" fontId="2" fillId="0" borderId="0" xfId="0" applyNumberFormat="1" applyFont="1" applyAlignment="1">
      <alignment horizontal="left"/>
    </xf>
    <xf numFmtId="0" fontId="25" fillId="0" borderId="1" xfId="0" applyFont="1" applyBorder="1"/>
    <xf numFmtId="2" fontId="25" fillId="0" borderId="1" xfId="0" applyNumberFormat="1" applyFont="1" applyBorder="1"/>
    <xf numFmtId="170" fontId="2" fillId="0" borderId="22" xfId="0" applyNumberFormat="1" applyFont="1" applyBorder="1"/>
    <xf numFmtId="2" fontId="2" fillId="0" borderId="16" xfId="0" applyNumberFormat="1" applyFont="1" applyBorder="1"/>
    <xf numFmtId="0" fontId="2" fillId="0" borderId="52" xfId="0" applyFont="1" applyBorder="1"/>
    <xf numFmtId="0" fontId="0" fillId="0" borderId="26" xfId="0" applyBorder="1" applyAlignment="1">
      <alignment horizontal="center"/>
    </xf>
    <xf numFmtId="0" fontId="25" fillId="21" borderId="22" xfId="0" applyFont="1" applyFill="1" applyBorder="1" applyAlignment="1">
      <alignment horizontal="center"/>
    </xf>
    <xf numFmtId="0" fontId="25" fillId="0" borderId="0" xfId="0" applyFont="1" applyAlignment="1">
      <alignment horizontal="right"/>
    </xf>
    <xf numFmtId="0" fontId="2" fillId="15" borderId="1" xfId="0" applyFont="1" applyFill="1" applyBorder="1"/>
    <xf numFmtId="0" fontId="25" fillId="15" borderId="1" xfId="0" applyFont="1" applyFill="1" applyBorder="1"/>
    <xf numFmtId="0" fontId="2" fillId="0" borderId="0" xfId="0" applyFont="1" applyAlignment="1">
      <alignment horizontal="right" vertical="center"/>
    </xf>
    <xf numFmtId="10" fontId="2" fillId="11" borderId="15" xfId="0" applyNumberFormat="1" applyFont="1" applyFill="1" applyBorder="1" applyAlignment="1" applyProtection="1">
      <alignment horizontal="center"/>
      <protection locked="0"/>
    </xf>
    <xf numFmtId="10" fontId="2" fillId="11" borderId="9" xfId="0" applyNumberFormat="1" applyFont="1" applyFill="1" applyBorder="1" applyAlignment="1" applyProtection="1">
      <alignment horizontal="center"/>
      <protection locked="0"/>
    </xf>
    <xf numFmtId="10" fontId="2" fillId="11" borderId="10" xfId="0" applyNumberFormat="1" applyFont="1" applyFill="1" applyBorder="1" applyAlignment="1" applyProtection="1">
      <alignment horizontal="center"/>
      <protection locked="0"/>
    </xf>
    <xf numFmtId="10" fontId="29" fillId="11" borderId="1" xfId="0" applyNumberFormat="1" applyFont="1" applyFill="1" applyBorder="1"/>
    <xf numFmtId="2" fontId="1" fillId="14" borderId="1" xfId="0" applyNumberFormat="1" applyFont="1" applyFill="1" applyBorder="1"/>
    <xf numFmtId="0" fontId="29" fillId="0" borderId="45" xfId="0" applyFont="1" applyBorder="1" applyAlignment="1">
      <alignment horizontal="left"/>
    </xf>
    <xf numFmtId="0" fontId="29" fillId="0" borderId="45" xfId="0" applyFont="1" applyBorder="1"/>
    <xf numFmtId="0" fontId="29" fillId="17" borderId="0" xfId="0" applyFont="1" applyFill="1" applyAlignment="1">
      <alignment horizontal="left"/>
    </xf>
    <xf numFmtId="0" fontId="29" fillId="21" borderId="0" xfId="0" applyFont="1" applyFill="1" applyAlignment="1">
      <alignment horizontal="left"/>
    </xf>
    <xf numFmtId="0" fontId="87" fillId="3" borderId="0" xfId="0" applyFont="1" applyFill="1"/>
    <xf numFmtId="0" fontId="88" fillId="3" borderId="0" xfId="0" applyFont="1" applyFill="1"/>
    <xf numFmtId="0" fontId="75" fillId="0" borderId="0" xfId="0" applyFont="1" applyAlignment="1">
      <alignment horizontal="left"/>
    </xf>
    <xf numFmtId="2" fontId="73" fillId="0" borderId="1" xfId="0" applyNumberFormat="1" applyFont="1" applyBorder="1"/>
    <xf numFmtId="9" fontId="29" fillId="0" borderId="1" xfId="0" applyNumberFormat="1" applyFont="1" applyBorder="1"/>
    <xf numFmtId="1" fontId="1" fillId="0" borderId="0" xfId="0" applyNumberFormat="1" applyFont="1"/>
    <xf numFmtId="0" fontId="12" fillId="3" borderId="0" xfId="0" applyFont="1" applyFill="1"/>
    <xf numFmtId="0" fontId="20" fillId="0" borderId="1" xfId="0" applyFont="1" applyBorder="1" applyAlignment="1">
      <alignment horizontal="center" vertical="top" wrapText="1"/>
    </xf>
    <xf numFmtId="0" fontId="20" fillId="0" borderId="0" xfId="0" applyFont="1" applyAlignment="1">
      <alignment horizontal="left"/>
    </xf>
    <xf numFmtId="0" fontId="5" fillId="0" borderId="0" xfId="2" applyAlignment="1">
      <alignment horizontal="left"/>
    </xf>
    <xf numFmtId="0" fontId="2" fillId="3" borderId="0" xfId="0" applyFont="1" applyFill="1" applyAlignment="1">
      <alignment horizontal="left"/>
    </xf>
    <xf numFmtId="0" fontId="10" fillId="3" borderId="0" xfId="0" applyFont="1" applyFill="1" applyAlignment="1">
      <alignment horizontal="left"/>
    </xf>
    <xf numFmtId="0" fontId="9" fillId="3" borderId="0" xfId="0" applyFont="1" applyFill="1" applyAlignment="1">
      <alignment horizontal="left"/>
    </xf>
    <xf numFmtId="0" fontId="17" fillId="0" borderId="0" xfId="0" applyFont="1" applyAlignment="1">
      <alignment horizontal="left"/>
    </xf>
    <xf numFmtId="0" fontId="19" fillId="0" borderId="31" xfId="0" applyFont="1" applyBorder="1" applyAlignment="1">
      <alignment horizontal="left" vertical="center" wrapText="1"/>
    </xf>
    <xf numFmtId="0" fontId="0" fillId="0" borderId="1" xfId="0" applyBorder="1" applyAlignment="1">
      <alignment horizontal="left"/>
    </xf>
    <xf numFmtId="164" fontId="0" fillId="0" borderId="1" xfId="0" applyNumberFormat="1" applyBorder="1" applyAlignment="1">
      <alignment horizontal="left"/>
    </xf>
    <xf numFmtId="165" fontId="0" fillId="0" borderId="1" xfId="0" applyNumberFormat="1" applyBorder="1" applyAlignment="1">
      <alignment horizontal="left"/>
    </xf>
    <xf numFmtId="9" fontId="21" fillId="0" borderId="1" xfId="1" applyBorder="1" applyAlignment="1">
      <alignment horizontal="left"/>
    </xf>
    <xf numFmtId="10" fontId="25" fillId="0" borderId="1" xfId="1" applyNumberFormat="1" applyFont="1" applyBorder="1"/>
    <xf numFmtId="10" fontId="29" fillId="15" borderId="1" xfId="0" applyNumberFormat="1" applyFont="1" applyFill="1" applyBorder="1"/>
    <xf numFmtId="10" fontId="2" fillId="14" borderId="1" xfId="0" applyNumberFormat="1" applyFont="1" applyFill="1" applyBorder="1"/>
    <xf numFmtId="10" fontId="2" fillId="21" borderId="16" xfId="0" applyNumberFormat="1" applyFont="1" applyFill="1" applyBorder="1" applyAlignment="1">
      <alignment horizontal="center"/>
    </xf>
    <xf numFmtId="1" fontId="0" fillId="0" borderId="1" xfId="0" applyNumberFormat="1" applyBorder="1"/>
    <xf numFmtId="0" fontId="0" fillId="15" borderId="1" xfId="0" applyFill="1" applyBorder="1"/>
    <xf numFmtId="2" fontId="0" fillId="15" borderId="1" xfId="0" applyNumberFormat="1" applyFill="1" applyBorder="1"/>
    <xf numFmtId="0" fontId="0" fillId="15" borderId="22" xfId="0" applyFill="1" applyBorder="1"/>
    <xf numFmtId="173" fontId="77" fillId="15" borderId="1" xfId="0" applyNumberFormat="1" applyFont="1" applyFill="1" applyBorder="1"/>
    <xf numFmtId="173" fontId="77" fillId="15" borderId="26" xfId="0" applyNumberFormat="1" applyFont="1" applyFill="1" applyBorder="1"/>
    <xf numFmtId="171" fontId="20" fillId="15" borderId="99" xfId="0" applyNumberFormat="1" applyFont="1" applyFill="1" applyBorder="1"/>
    <xf numFmtId="9" fontId="21" fillId="15" borderId="1" xfId="1" applyFill="1" applyBorder="1"/>
    <xf numFmtId="0" fontId="29" fillId="26" borderId="0" xfId="0" applyFont="1" applyFill="1"/>
    <xf numFmtId="0" fontId="25" fillId="27" borderId="1" xfId="0" applyFont="1" applyFill="1" applyBorder="1" applyAlignment="1">
      <alignment horizontal="center"/>
    </xf>
    <xf numFmtId="0" fontId="29" fillId="15" borderId="1" xfId="0" applyFont="1" applyFill="1" applyBorder="1"/>
    <xf numFmtId="0" fontId="29" fillId="6" borderId="22" xfId="0" applyFont="1" applyFill="1" applyBorder="1"/>
    <xf numFmtId="0" fontId="29" fillId="0" borderId="0" xfId="0" applyFont="1" applyAlignment="1">
      <alignment wrapText="1"/>
    </xf>
    <xf numFmtId="0" fontId="26" fillId="3" borderId="0" xfId="2" applyFont="1" applyFill="1"/>
    <xf numFmtId="0" fontId="59" fillId="0" borderId="22" xfId="0" applyFont="1" applyBorder="1"/>
    <xf numFmtId="0" fontId="59" fillId="0" borderId="35" xfId="0" applyFont="1" applyBorder="1"/>
    <xf numFmtId="0" fontId="59" fillId="0" borderId="29" xfId="0" applyFont="1" applyBorder="1"/>
    <xf numFmtId="2" fontId="29" fillId="6" borderId="22" xfId="0" applyNumberFormat="1" applyFont="1" applyFill="1" applyBorder="1" applyAlignment="1">
      <alignment horizontal="center"/>
    </xf>
    <xf numFmtId="10" fontId="25" fillId="6" borderId="44" xfId="0" applyNumberFormat="1" applyFont="1" applyFill="1" applyBorder="1" applyAlignment="1" applyProtection="1">
      <alignment horizontal="center"/>
      <protection locked="0"/>
    </xf>
    <xf numFmtId="164" fontId="25" fillId="11" borderId="1" xfId="1" applyNumberFormat="1" applyFont="1" applyFill="1" applyBorder="1" applyProtection="1">
      <protection locked="0"/>
    </xf>
    <xf numFmtId="170" fontId="25" fillId="28" borderId="32" xfId="0" applyNumberFormat="1" applyFont="1" applyFill="1" applyBorder="1" applyAlignment="1" applyProtection="1">
      <alignment horizontal="center"/>
      <protection locked="0"/>
    </xf>
    <xf numFmtId="10" fontId="25" fillId="28" borderId="69" xfId="0" applyNumberFormat="1" applyFont="1" applyFill="1" applyBorder="1" applyAlignment="1" applyProtection="1">
      <alignment horizontal="center"/>
      <protection locked="0"/>
    </xf>
    <xf numFmtId="10" fontId="25" fillId="28" borderId="9" xfId="0" applyNumberFormat="1" applyFont="1" applyFill="1" applyBorder="1" applyAlignment="1" applyProtection="1">
      <alignment horizontal="center"/>
      <protection locked="0"/>
    </xf>
    <xf numFmtId="0" fontId="48" fillId="20" borderId="22" xfId="0" applyFont="1" applyFill="1" applyBorder="1"/>
    <xf numFmtId="0" fontId="43" fillId="20" borderId="22" xfId="0" applyFont="1" applyFill="1" applyBorder="1"/>
    <xf numFmtId="170" fontId="43" fillId="20" borderId="22" xfId="0" applyNumberFormat="1" applyFont="1" applyFill="1" applyBorder="1"/>
    <xf numFmtId="170" fontId="43" fillId="20" borderId="32" xfId="0" applyNumberFormat="1" applyFont="1" applyFill="1" applyBorder="1"/>
    <xf numFmtId="170" fontId="43" fillId="20" borderId="23" xfId="0" applyNumberFormat="1" applyFont="1" applyFill="1" applyBorder="1"/>
    <xf numFmtId="0" fontId="43" fillId="20" borderId="32" xfId="0" applyFont="1" applyFill="1" applyBorder="1"/>
    <xf numFmtId="0" fontId="43" fillId="20" borderId="23" xfId="0" applyFont="1" applyFill="1" applyBorder="1"/>
    <xf numFmtId="170" fontId="48" fillId="15" borderId="21" xfId="0" applyNumberFormat="1" applyFont="1" applyFill="1" applyBorder="1"/>
    <xf numFmtId="0" fontId="43" fillId="20" borderId="21" xfId="0" applyFont="1" applyFill="1" applyBorder="1"/>
    <xf numFmtId="0" fontId="43" fillId="20" borderId="20" xfId="0" applyFont="1" applyFill="1" applyBorder="1"/>
    <xf numFmtId="0" fontId="48" fillId="20" borderId="23" xfId="0" applyFont="1" applyFill="1" applyBorder="1"/>
    <xf numFmtId="0" fontId="43" fillId="20" borderId="36" xfId="0" applyFont="1" applyFill="1" applyBorder="1"/>
    <xf numFmtId="0" fontId="43" fillId="20" borderId="67" xfId="0" applyFont="1" applyFill="1" applyBorder="1"/>
    <xf numFmtId="170" fontId="48" fillId="20" borderId="32" xfId="0" applyNumberFormat="1" applyFont="1" applyFill="1" applyBorder="1"/>
    <xf numFmtId="0" fontId="2" fillId="0" borderId="9" xfId="0" applyFont="1" applyBorder="1" applyProtection="1">
      <protection locked="0"/>
    </xf>
    <xf numFmtId="0" fontId="25" fillId="0" borderId="9" xfId="0" applyFont="1" applyBorder="1" applyProtection="1">
      <protection locked="0"/>
    </xf>
    <xf numFmtId="170" fontId="2" fillId="0" borderId="9" xfId="0" applyNumberFormat="1" applyFont="1" applyBorder="1" applyProtection="1">
      <protection locked="0"/>
    </xf>
    <xf numFmtId="168" fontId="2" fillId="15" borderId="9" xfId="0" applyNumberFormat="1" applyFont="1" applyFill="1" applyBorder="1" applyProtection="1">
      <protection locked="0"/>
    </xf>
    <xf numFmtId="168" fontId="2" fillId="0" borderId="9" xfId="0" applyNumberFormat="1" applyFont="1" applyBorder="1" applyProtection="1">
      <protection locked="0"/>
    </xf>
    <xf numFmtId="0" fontId="20" fillId="0" borderId="1" xfId="0" applyFont="1" applyBorder="1" applyAlignment="1">
      <alignment horizontal="center" vertical="top"/>
    </xf>
    <xf numFmtId="169" fontId="2" fillId="8" borderId="1" xfId="0" applyNumberFormat="1" applyFont="1" applyFill="1" applyBorder="1"/>
    <xf numFmtId="0" fontId="60" fillId="0" borderId="1" xfId="0" applyFont="1" applyBorder="1"/>
    <xf numFmtId="0" fontId="36" fillId="0" borderId="1" xfId="0" applyFont="1" applyBorder="1"/>
    <xf numFmtId="170" fontId="25" fillId="6" borderId="56" xfId="0" applyNumberFormat="1" applyFont="1" applyFill="1" applyBorder="1" applyAlignment="1" applyProtection="1">
      <alignment horizontal="center"/>
      <protection locked="0"/>
    </xf>
    <xf numFmtId="0" fontId="30" fillId="0" borderId="0" xfId="0" applyFont="1" applyAlignment="1">
      <alignment horizontal="right" vertical="center"/>
    </xf>
    <xf numFmtId="0" fontId="87" fillId="0" borderId="0" xfId="0" applyFont="1"/>
    <xf numFmtId="0" fontId="89" fillId="0" borderId="0" xfId="0" applyFont="1"/>
    <xf numFmtId="0" fontId="89" fillId="0" borderId="1" xfId="0" applyFont="1" applyBorder="1"/>
    <xf numFmtId="170" fontId="89" fillId="0" borderId="1" xfId="0" applyNumberFormat="1" applyFont="1" applyBorder="1" applyAlignment="1">
      <alignment horizontal="center"/>
    </xf>
    <xf numFmtId="170" fontId="89" fillId="0" borderId="22" xfId="0" applyNumberFormat="1" applyFont="1" applyBorder="1" applyAlignment="1">
      <alignment horizontal="center"/>
    </xf>
    <xf numFmtId="171" fontId="89" fillId="0" borderId="1" xfId="0" applyNumberFormat="1" applyFont="1" applyBorder="1" applyAlignment="1">
      <alignment horizontal="center"/>
    </xf>
    <xf numFmtId="0" fontId="89" fillId="0" borderId="0" xfId="0" applyFont="1" applyAlignment="1">
      <alignment wrapText="1"/>
    </xf>
    <xf numFmtId="170" fontId="89" fillId="0" borderId="0" xfId="0" applyNumberFormat="1" applyFont="1" applyAlignment="1">
      <alignment horizontal="center"/>
    </xf>
    <xf numFmtId="2" fontId="89" fillId="0" borderId="0" xfId="0" applyNumberFormat="1" applyFont="1" applyAlignment="1">
      <alignment horizontal="left"/>
    </xf>
    <xf numFmtId="0" fontId="45" fillId="0" borderId="0" xfId="0" applyFont="1" applyAlignment="1">
      <alignment horizontal="center" wrapText="1"/>
    </xf>
    <xf numFmtId="0" fontId="20" fillId="0" borderId="1" xfId="0" applyFont="1" applyBorder="1"/>
    <xf numFmtId="0" fontId="29" fillId="0" borderId="5" xfId="0" applyFont="1" applyBorder="1" applyAlignment="1">
      <alignment horizontal="center"/>
    </xf>
    <xf numFmtId="10" fontId="2" fillId="0" borderId="0" xfId="0" applyNumberFormat="1" applyFont="1" applyProtection="1">
      <protection locked="0"/>
    </xf>
    <xf numFmtId="10" fontId="2" fillId="17" borderId="0" xfId="0" applyNumberFormat="1" applyFont="1" applyFill="1" applyAlignment="1" applyProtection="1">
      <alignment horizontal="center"/>
      <protection locked="0"/>
    </xf>
    <xf numFmtId="10" fontId="25" fillId="0" borderId="0" xfId="0" applyNumberFormat="1" applyFont="1" applyAlignment="1" applyProtection="1">
      <alignment horizontal="center"/>
      <protection locked="0"/>
    </xf>
    <xf numFmtId="10" fontId="2" fillId="0" borderId="0" xfId="0" applyNumberFormat="1" applyFont="1" applyAlignment="1" applyProtection="1">
      <alignment horizontal="center"/>
      <protection locked="0"/>
    </xf>
    <xf numFmtId="10" fontId="2" fillId="12" borderId="0" xfId="0" applyNumberFormat="1" applyFont="1" applyFill="1" applyAlignment="1" applyProtection="1">
      <alignment horizontal="center"/>
      <protection locked="0"/>
    </xf>
    <xf numFmtId="0" fontId="40" fillId="0" borderId="0" xfId="0" applyFont="1" applyAlignment="1" applyProtection="1">
      <alignment wrapText="1"/>
      <protection locked="0"/>
    </xf>
    <xf numFmtId="0" fontId="48" fillId="0" borderId="0" xfId="0" applyFont="1" applyAlignment="1" applyProtection="1">
      <alignment wrapText="1"/>
      <protection locked="0"/>
    </xf>
    <xf numFmtId="0" fontId="48" fillId="0" borderId="75" xfId="0" applyFont="1" applyBorder="1" applyAlignment="1" applyProtection="1">
      <alignment horizontal="center"/>
      <protection locked="0"/>
    </xf>
    <xf numFmtId="0" fontId="48" fillId="0" borderId="14" xfId="0" applyFont="1" applyBorder="1" applyAlignment="1" applyProtection="1">
      <alignment horizontal="center"/>
      <protection locked="0"/>
    </xf>
    <xf numFmtId="0" fontId="48" fillId="0" borderId="1" xfId="0" applyFont="1" applyBorder="1" applyAlignment="1" applyProtection="1">
      <alignment wrapText="1"/>
      <protection locked="0"/>
    </xf>
    <xf numFmtId="170" fontId="48" fillId="0" borderId="0" xfId="0" applyNumberFormat="1" applyFont="1" applyProtection="1">
      <protection locked="0"/>
    </xf>
    <xf numFmtId="0" fontId="90" fillId="3" borderId="0" xfId="0" applyFont="1" applyFill="1"/>
    <xf numFmtId="0" fontId="91" fillId="3" borderId="0" xfId="0" applyFont="1" applyFill="1"/>
    <xf numFmtId="0" fontId="92" fillId="0" borderId="0" xfId="0" applyFont="1"/>
    <xf numFmtId="2" fontId="92" fillId="0" borderId="0" xfId="0" applyNumberFormat="1" applyFont="1"/>
    <xf numFmtId="10" fontId="25" fillId="0" borderId="1" xfId="0" applyNumberFormat="1" applyFont="1" applyBorder="1" applyProtection="1">
      <protection locked="0"/>
    </xf>
    <xf numFmtId="0" fontId="2" fillId="0" borderId="36" xfId="0" applyFont="1" applyBorder="1" applyProtection="1">
      <protection locked="0"/>
    </xf>
    <xf numFmtId="10" fontId="25" fillId="0" borderId="36" xfId="0" applyNumberFormat="1" applyFont="1" applyBorder="1" applyProtection="1">
      <protection locked="0"/>
    </xf>
    <xf numFmtId="0" fontId="13" fillId="0" borderId="0" xfId="0" applyFont="1" applyProtection="1">
      <protection locked="0"/>
    </xf>
    <xf numFmtId="2" fontId="48" fillId="0" borderId="1" xfId="0" applyNumberFormat="1" applyFont="1" applyBorder="1" applyProtection="1">
      <protection locked="0"/>
    </xf>
    <xf numFmtId="0" fontId="48" fillId="0" borderId="0" xfId="0" applyFont="1" applyAlignment="1" applyProtection="1">
      <alignment vertical="top" wrapText="1"/>
      <protection locked="0"/>
    </xf>
    <xf numFmtId="10" fontId="48" fillId="0" borderId="0" xfId="0" applyNumberFormat="1" applyFont="1" applyAlignment="1" applyProtection="1">
      <alignment vertical="top"/>
      <protection locked="0"/>
    </xf>
    <xf numFmtId="0" fontId="48" fillId="0" borderId="0" xfId="0" applyFont="1" applyAlignment="1" applyProtection="1">
      <alignment horizontal="left"/>
      <protection locked="0"/>
    </xf>
    <xf numFmtId="0" fontId="48" fillId="0" borderId="1" xfId="0" applyFont="1" applyBorder="1" applyAlignment="1" applyProtection="1">
      <alignment horizontal="center" vertical="top" wrapText="1"/>
      <protection locked="0"/>
    </xf>
    <xf numFmtId="10" fontId="48" fillId="0" borderId="14" xfId="0" applyNumberFormat="1" applyFont="1" applyBorder="1" applyProtection="1">
      <protection locked="0"/>
    </xf>
    <xf numFmtId="2" fontId="32" fillId="0" borderId="1" xfId="0" applyNumberFormat="1" applyFont="1" applyBorder="1"/>
    <xf numFmtId="171" fontId="29" fillId="6" borderId="1" xfId="0" applyNumberFormat="1" applyFont="1" applyFill="1" applyBorder="1" applyAlignment="1">
      <alignment horizontal="center"/>
    </xf>
    <xf numFmtId="0" fontId="36" fillId="0" borderId="1" xfId="0" applyFont="1" applyBorder="1" applyAlignment="1">
      <alignment horizontal="center"/>
    </xf>
    <xf numFmtId="168" fontId="2" fillId="11" borderId="15" xfId="0" applyNumberFormat="1" applyFont="1" applyFill="1" applyBorder="1" applyProtection="1">
      <protection locked="0"/>
    </xf>
    <xf numFmtId="168" fontId="2" fillId="0" borderId="8" xfId="0" applyNumberFormat="1" applyFont="1" applyBorder="1" applyProtection="1">
      <protection locked="0"/>
    </xf>
    <xf numFmtId="168" fontId="2" fillId="15" borderId="8" xfId="0" applyNumberFormat="1" applyFont="1" applyFill="1" applyBorder="1" applyProtection="1">
      <protection locked="0"/>
    </xf>
    <xf numFmtId="0" fontId="34" fillId="0" borderId="0" xfId="0" applyFont="1"/>
    <xf numFmtId="0" fontId="25" fillId="21" borderId="1" xfId="0" applyFont="1" applyFill="1" applyBorder="1" applyAlignment="1">
      <alignment horizontal="center"/>
    </xf>
    <xf numFmtId="0" fontId="25" fillId="0" borderId="0" xfId="0" applyFont="1" applyAlignment="1">
      <alignment horizontal="center" vertical="center"/>
    </xf>
    <xf numFmtId="0" fontId="25" fillId="0" borderId="0" xfId="0" applyFont="1" applyAlignment="1">
      <alignment vertical="center" wrapText="1"/>
    </xf>
    <xf numFmtId="0" fontId="25" fillId="6" borderId="1" xfId="0" applyFont="1" applyFill="1" applyBorder="1"/>
    <xf numFmtId="2" fontId="25" fillId="8" borderId="1" xfId="0" applyNumberFormat="1" applyFont="1" applyFill="1" applyBorder="1"/>
    <xf numFmtId="0" fontId="25" fillId="5" borderId="1" xfId="0" applyFont="1" applyFill="1" applyBorder="1"/>
    <xf numFmtId="10" fontId="25" fillId="15" borderId="1" xfId="1" applyNumberFormat="1" applyFont="1" applyFill="1" applyBorder="1"/>
    <xf numFmtId="10" fontId="25" fillId="8" borderId="1" xfId="0" applyNumberFormat="1" applyFont="1" applyFill="1" applyBorder="1"/>
    <xf numFmtId="10" fontId="25" fillId="0" borderId="0" xfId="0" applyNumberFormat="1" applyFont="1"/>
    <xf numFmtId="10" fontId="25" fillId="0" borderId="0" xfId="1" applyNumberFormat="1" applyFont="1"/>
    <xf numFmtId="0" fontId="25" fillId="8" borderId="1" xfId="0" applyFont="1" applyFill="1" applyBorder="1"/>
    <xf numFmtId="2" fontId="25" fillId="0" borderId="0" xfId="0" applyNumberFormat="1" applyFont="1"/>
    <xf numFmtId="164" fontId="25" fillId="15" borderId="1" xfId="1" applyNumberFormat="1" applyFont="1" applyFill="1" applyBorder="1"/>
    <xf numFmtId="10" fontId="25" fillId="15" borderId="60" xfId="0" applyNumberFormat="1" applyFont="1" applyFill="1" applyBorder="1" applyAlignment="1" applyProtection="1">
      <alignment horizontal="center"/>
      <protection locked="0"/>
    </xf>
    <xf numFmtId="10" fontId="25" fillId="15" borderId="8" xfId="0" applyNumberFormat="1" applyFont="1" applyFill="1" applyBorder="1" applyAlignment="1" applyProtection="1">
      <alignment horizontal="center"/>
      <protection locked="0"/>
    </xf>
    <xf numFmtId="10" fontId="25" fillId="15" borderId="17" xfId="0" applyNumberFormat="1" applyFont="1" applyFill="1" applyBorder="1" applyAlignment="1" applyProtection="1">
      <alignment horizontal="center"/>
      <protection locked="0"/>
    </xf>
    <xf numFmtId="0" fontId="25" fillId="6" borderId="58" xfId="0" applyFont="1" applyFill="1" applyBorder="1" applyProtection="1">
      <protection locked="0"/>
    </xf>
    <xf numFmtId="0" fontId="25" fillId="0" borderId="58" xfId="0" applyFont="1" applyBorder="1" applyProtection="1">
      <protection locked="0"/>
    </xf>
    <xf numFmtId="0" fontId="25" fillId="0" borderId="18" xfId="0" applyFont="1" applyBorder="1" applyProtection="1">
      <protection locked="0"/>
    </xf>
    <xf numFmtId="170" fontId="25" fillId="6" borderId="18" xfId="0" applyNumberFormat="1" applyFont="1" applyFill="1" applyBorder="1" applyProtection="1">
      <protection locked="0"/>
    </xf>
    <xf numFmtId="2" fontId="25" fillId="8" borderId="19" xfId="0" applyNumberFormat="1" applyFont="1" applyFill="1" applyBorder="1" applyProtection="1">
      <protection locked="0"/>
    </xf>
    <xf numFmtId="0" fontId="25" fillId="0" borderId="61" xfId="0" applyFont="1" applyBorder="1" applyProtection="1">
      <protection locked="0"/>
    </xf>
    <xf numFmtId="0" fontId="25" fillId="0" borderId="19" xfId="0" applyFont="1" applyBorder="1" applyProtection="1">
      <protection locked="0"/>
    </xf>
    <xf numFmtId="170" fontId="25" fillId="8" borderId="58" xfId="0" applyNumberFormat="1" applyFont="1" applyFill="1" applyBorder="1" applyProtection="1">
      <protection locked="0"/>
    </xf>
    <xf numFmtId="170" fontId="25" fillId="8" borderId="19" xfId="0" applyNumberFormat="1" applyFont="1" applyFill="1" applyBorder="1" applyProtection="1">
      <protection locked="0"/>
    </xf>
    <xf numFmtId="0" fontId="40" fillId="0" borderId="4" xfId="0" applyFont="1" applyBorder="1" applyAlignment="1" applyProtection="1">
      <alignment vertical="center" wrapText="1"/>
      <protection locked="0"/>
    </xf>
    <xf numFmtId="0" fontId="25" fillId="0" borderId="44" xfId="0" applyFont="1" applyBorder="1" applyProtection="1">
      <protection locked="0"/>
    </xf>
    <xf numFmtId="0" fontId="25" fillId="0" borderId="38" xfId="0" applyFont="1" applyBorder="1" applyProtection="1">
      <protection locked="0"/>
    </xf>
    <xf numFmtId="0" fontId="25" fillId="0" borderId="74" xfId="0" applyFont="1" applyBorder="1" applyProtection="1">
      <protection locked="0"/>
    </xf>
    <xf numFmtId="169" fontId="25" fillId="16" borderId="29" xfId="0" applyNumberFormat="1" applyFont="1" applyFill="1" applyBorder="1"/>
    <xf numFmtId="2" fontId="25" fillId="16" borderId="8" xfId="0" applyNumberFormat="1" applyFont="1" applyFill="1" applyBorder="1"/>
    <xf numFmtId="0" fontId="25" fillId="0" borderId="16" xfId="0" applyFont="1" applyBorder="1" applyProtection="1">
      <protection locked="0"/>
    </xf>
    <xf numFmtId="0" fontId="30" fillId="0" borderId="44" xfId="0" applyFont="1" applyBorder="1" applyProtection="1">
      <protection locked="0"/>
    </xf>
    <xf numFmtId="169" fontId="25" fillId="16" borderId="34" xfId="0" applyNumberFormat="1" applyFont="1" applyFill="1" applyBorder="1"/>
    <xf numFmtId="2" fontId="25" fillId="16" borderId="27" xfId="0" applyNumberFormat="1" applyFont="1" applyFill="1" applyBorder="1"/>
    <xf numFmtId="0" fontId="29" fillId="21" borderId="65" xfId="0" applyFont="1" applyFill="1" applyBorder="1" applyAlignment="1">
      <alignment horizontal="left"/>
    </xf>
    <xf numFmtId="0" fontId="29" fillId="21" borderId="18" xfId="0" applyFont="1" applyFill="1" applyBorder="1" applyAlignment="1">
      <alignment horizontal="left"/>
    </xf>
    <xf numFmtId="2" fontId="25" fillId="0" borderId="16" xfId="0" applyNumberFormat="1" applyFont="1" applyBorder="1"/>
    <xf numFmtId="170" fontId="25" fillId="0" borderId="1" xfId="0" applyNumberFormat="1" applyFont="1" applyBorder="1" applyAlignment="1">
      <alignment horizontal="center"/>
    </xf>
    <xf numFmtId="170" fontId="25" fillId="0" borderId="22" xfId="0" applyNumberFormat="1" applyFont="1" applyBorder="1" applyAlignment="1">
      <alignment horizontal="center"/>
    </xf>
    <xf numFmtId="171" fontId="25" fillId="0" borderId="1" xfId="0" applyNumberFormat="1" applyFont="1" applyBorder="1" applyAlignment="1">
      <alignment horizontal="center"/>
    </xf>
    <xf numFmtId="170" fontId="25" fillId="0" borderId="0" xfId="0" applyNumberFormat="1" applyFont="1" applyAlignment="1">
      <alignment horizontal="left"/>
    </xf>
    <xf numFmtId="0" fontId="25" fillId="0" borderId="52" xfId="0" applyFont="1" applyBorder="1"/>
    <xf numFmtId="0" fontId="25" fillId="6" borderId="14" xfId="0" applyFont="1" applyFill="1" applyBorder="1"/>
    <xf numFmtId="172" fontId="25" fillId="15" borderId="14" xfId="0" applyNumberFormat="1" applyFont="1" applyFill="1" applyBorder="1"/>
    <xf numFmtId="172" fontId="25" fillId="15" borderId="7" xfId="0" applyNumberFormat="1" applyFont="1" applyFill="1" applyBorder="1"/>
    <xf numFmtId="0" fontId="25" fillId="17" borderId="16" xfId="0" applyFont="1" applyFill="1" applyBorder="1"/>
    <xf numFmtId="172" fontId="25" fillId="17" borderId="9" xfId="0" applyNumberFormat="1" applyFont="1" applyFill="1" applyBorder="1"/>
    <xf numFmtId="172" fontId="25" fillId="17" borderId="1" xfId="0" applyNumberFormat="1" applyFont="1" applyFill="1" applyBorder="1"/>
    <xf numFmtId="172" fontId="25" fillId="17" borderId="8" xfId="0" applyNumberFormat="1" applyFont="1" applyFill="1" applyBorder="1"/>
    <xf numFmtId="0" fontId="48" fillId="5" borderId="16" xfId="0" applyFont="1" applyFill="1" applyBorder="1"/>
    <xf numFmtId="172" fontId="25" fillId="15" borderId="9" xfId="0" applyNumberFormat="1" applyFont="1" applyFill="1" applyBorder="1"/>
    <xf numFmtId="172" fontId="25" fillId="15" borderId="29" xfId="0" applyNumberFormat="1" applyFont="1" applyFill="1" applyBorder="1"/>
    <xf numFmtId="172" fontId="25" fillId="15" borderId="8" xfId="0" applyNumberFormat="1" applyFont="1" applyFill="1" applyBorder="1"/>
    <xf numFmtId="0" fontId="25" fillId="0" borderId="26" xfId="0" applyFont="1" applyBorder="1"/>
    <xf numFmtId="0" fontId="48" fillId="5" borderId="1" xfId="0" applyFont="1" applyFill="1" applyBorder="1"/>
    <xf numFmtId="2" fontId="25" fillId="0" borderId="1" xfId="0" applyNumberFormat="1" applyFont="1" applyBorder="1" applyAlignment="1">
      <alignment horizontal="left"/>
    </xf>
    <xf numFmtId="170" fontId="25" fillId="0" borderId="0" xfId="0" applyNumberFormat="1" applyFont="1"/>
    <xf numFmtId="0" fontId="25" fillId="0" borderId="10" xfId="0" applyFont="1" applyBorder="1"/>
    <xf numFmtId="0" fontId="25" fillId="0" borderId="11" xfId="0" applyFont="1" applyBorder="1"/>
    <xf numFmtId="0" fontId="25" fillId="0" borderId="12" xfId="0" applyFont="1" applyBorder="1"/>
    <xf numFmtId="0" fontId="25" fillId="0" borderId="34" xfId="0" applyFont="1" applyBorder="1"/>
    <xf numFmtId="172" fontId="25" fillId="15" borderId="28" xfId="0" applyNumberFormat="1" applyFont="1" applyFill="1" applyBorder="1"/>
    <xf numFmtId="172" fontId="25" fillId="15" borderId="81" xfId="0" applyNumberFormat="1" applyFont="1" applyFill="1" applyBorder="1"/>
    <xf numFmtId="172" fontId="25" fillId="17" borderId="69" xfId="0" applyNumberFormat="1" applyFont="1" applyFill="1" applyBorder="1"/>
    <xf numFmtId="172" fontId="25" fillId="17" borderId="25" xfId="0" applyNumberFormat="1" applyFont="1" applyFill="1" applyBorder="1"/>
    <xf numFmtId="172" fontId="25" fillId="17" borderId="46" xfId="0" applyNumberFormat="1" applyFont="1" applyFill="1" applyBorder="1"/>
    <xf numFmtId="172" fontId="25" fillId="15" borderId="40" xfId="0" applyNumberFormat="1" applyFont="1" applyFill="1" applyBorder="1"/>
    <xf numFmtId="172" fontId="25" fillId="15" borderId="1" xfId="0" applyNumberFormat="1" applyFont="1" applyFill="1" applyBorder="1"/>
    <xf numFmtId="0" fontId="25" fillId="17" borderId="73" xfId="0" applyFont="1" applyFill="1" applyBorder="1"/>
    <xf numFmtId="0" fontId="25" fillId="17" borderId="48" xfId="0" applyFont="1" applyFill="1" applyBorder="1"/>
    <xf numFmtId="172" fontId="25" fillId="15" borderId="16" xfId="0" applyNumberFormat="1" applyFont="1" applyFill="1" applyBorder="1"/>
    <xf numFmtId="172" fontId="25" fillId="15" borderId="17" xfId="0" applyNumberFormat="1" applyFont="1" applyFill="1" applyBorder="1"/>
    <xf numFmtId="0" fontId="25" fillId="17" borderId="0" xfId="0" applyFont="1" applyFill="1"/>
    <xf numFmtId="172" fontId="25" fillId="15" borderId="22" xfId="0" applyNumberFormat="1" applyFont="1" applyFill="1" applyBorder="1"/>
    <xf numFmtId="0" fontId="25" fillId="8" borderId="27" xfId="0" applyFont="1" applyFill="1" applyBorder="1"/>
    <xf numFmtId="172" fontId="25" fillId="15" borderId="27" xfId="0" applyNumberFormat="1" applyFont="1" applyFill="1" applyBorder="1"/>
    <xf numFmtId="0" fontId="25" fillId="8" borderId="12" xfId="0" applyFont="1" applyFill="1" applyBorder="1"/>
    <xf numFmtId="172" fontId="25" fillId="15" borderId="11" xfId="0" applyNumberFormat="1" applyFont="1" applyFill="1" applyBorder="1"/>
    <xf numFmtId="172" fontId="25" fillId="15" borderId="23" xfId="0" applyNumberFormat="1" applyFont="1" applyFill="1" applyBorder="1"/>
    <xf numFmtId="172" fontId="25" fillId="15" borderId="12" xfId="0" applyNumberFormat="1" applyFont="1" applyFill="1" applyBorder="1"/>
    <xf numFmtId="0" fontId="73" fillId="0" borderId="1" xfId="0" applyFont="1" applyBorder="1"/>
    <xf numFmtId="1" fontId="29" fillId="0" borderId="0" xfId="0" applyNumberFormat="1" applyFont="1"/>
    <xf numFmtId="2" fontId="29" fillId="15" borderId="1" xfId="0" applyNumberFormat="1" applyFont="1" applyFill="1" applyBorder="1"/>
    <xf numFmtId="10" fontId="29" fillId="0" borderId="16" xfId="0" applyNumberFormat="1" applyFont="1" applyBorder="1"/>
    <xf numFmtId="10" fontId="29" fillId="0" borderId="11" xfId="0" applyNumberFormat="1" applyFont="1" applyBorder="1"/>
    <xf numFmtId="0" fontId="25" fillId="0" borderId="40" xfId="0" applyFont="1" applyBorder="1"/>
    <xf numFmtId="0" fontId="25" fillId="0" borderId="1" xfId="0" applyFont="1" applyBorder="1" applyAlignment="1">
      <alignment vertical="top"/>
    </xf>
    <xf numFmtId="0" fontId="25" fillId="0" borderId="35" xfId="0" applyFont="1" applyBorder="1"/>
    <xf numFmtId="0" fontId="25" fillId="0" borderId="68" xfId="0" applyFont="1" applyBorder="1"/>
    <xf numFmtId="0" fontId="25" fillId="0" borderId="75" xfId="0" applyFont="1" applyBorder="1" applyProtection="1">
      <protection locked="0"/>
    </xf>
    <xf numFmtId="0" fontId="2" fillId="17" borderId="1" xfId="0" applyFont="1" applyFill="1" applyBorder="1" applyProtection="1">
      <protection locked="0"/>
    </xf>
    <xf numFmtId="0" fontId="2" fillId="17" borderId="16" xfId="0" applyFont="1" applyFill="1" applyBorder="1" applyProtection="1">
      <protection locked="0"/>
    </xf>
    <xf numFmtId="0" fontId="2" fillId="17" borderId="11" xfId="0" applyFont="1" applyFill="1" applyBorder="1" applyProtection="1">
      <protection locked="0"/>
    </xf>
    <xf numFmtId="0" fontId="2" fillId="17" borderId="65" xfId="0" applyFont="1" applyFill="1" applyBorder="1" applyProtection="1">
      <protection locked="0"/>
    </xf>
    <xf numFmtId="0" fontId="25" fillId="17" borderId="14" xfId="0" applyFont="1" applyFill="1" applyBorder="1" applyProtection="1">
      <protection locked="0"/>
    </xf>
    <xf numFmtId="0" fontId="25" fillId="17" borderId="1" xfId="0" applyFont="1" applyFill="1" applyBorder="1" applyProtection="1">
      <protection locked="0"/>
    </xf>
    <xf numFmtId="170" fontId="1" fillId="0" borderId="0" xfId="0" applyNumberFormat="1" applyFont="1"/>
    <xf numFmtId="2" fontId="13" fillId="3" borderId="0" xfId="0" applyNumberFormat="1" applyFont="1" applyFill="1"/>
    <xf numFmtId="2" fontId="52" fillId="3" borderId="0" xfId="0" applyNumberFormat="1" applyFont="1" applyFill="1"/>
    <xf numFmtId="2" fontId="53" fillId="0" borderId="0" xfId="0" applyNumberFormat="1" applyFont="1"/>
    <xf numFmtId="0" fontId="93" fillId="3" borderId="0" xfId="0" applyFont="1" applyFill="1" applyProtection="1">
      <protection locked="0"/>
    </xf>
    <xf numFmtId="0" fontId="94" fillId="3" borderId="0" xfId="0" applyFont="1" applyFill="1" applyProtection="1">
      <protection locked="0"/>
    </xf>
    <xf numFmtId="0" fontId="93" fillId="0" borderId="0" xfId="0" applyFont="1" applyProtection="1">
      <protection locked="0"/>
    </xf>
    <xf numFmtId="0" fontId="67" fillId="3" borderId="0" xfId="0" applyFont="1" applyFill="1" applyProtection="1">
      <protection locked="0"/>
    </xf>
    <xf numFmtId="0" fontId="95" fillId="3" borderId="0" xfId="0" applyFont="1" applyFill="1" applyProtection="1">
      <protection locked="0"/>
    </xf>
    <xf numFmtId="0" fontId="67" fillId="0" borderId="0" xfId="0" applyFont="1" applyProtection="1">
      <protection locked="0"/>
    </xf>
    <xf numFmtId="10" fontId="2" fillId="15" borderId="8" xfId="0" applyNumberFormat="1" applyFont="1" applyFill="1" applyBorder="1" applyProtection="1">
      <protection locked="0"/>
    </xf>
    <xf numFmtId="0" fontId="43" fillId="20" borderId="51" xfId="0" applyFont="1" applyFill="1" applyBorder="1"/>
    <xf numFmtId="10" fontId="2" fillId="6" borderId="8" xfId="0" applyNumberFormat="1" applyFont="1" applyFill="1" applyBorder="1" applyProtection="1">
      <protection locked="0"/>
    </xf>
    <xf numFmtId="0" fontId="30" fillId="0" borderId="38" xfId="0" applyFont="1" applyBorder="1"/>
    <xf numFmtId="0" fontId="2" fillId="0" borderId="38" xfId="0" applyFont="1" applyBorder="1"/>
    <xf numFmtId="170" fontId="2" fillId="15" borderId="33" xfId="0" applyNumberFormat="1" applyFont="1" applyFill="1" applyBorder="1" applyAlignment="1" applyProtection="1">
      <alignment horizontal="center"/>
      <protection locked="0"/>
    </xf>
    <xf numFmtId="0" fontId="2" fillId="0" borderId="16" xfId="0" applyFont="1" applyBorder="1" applyAlignment="1" applyProtection="1">
      <alignment vertical="top"/>
      <protection locked="0"/>
    </xf>
    <xf numFmtId="0" fontId="20" fillId="0" borderId="16" xfId="0" applyFont="1" applyBorder="1" applyAlignment="1">
      <alignment horizontal="center" vertical="top"/>
    </xf>
    <xf numFmtId="9" fontId="29" fillId="0" borderId="0" xfId="1" applyFont="1" applyProtection="1">
      <protection locked="0"/>
    </xf>
    <xf numFmtId="9" fontId="29" fillId="0" borderId="1" xfId="1" applyFont="1" applyBorder="1" applyProtection="1">
      <protection locked="0"/>
    </xf>
    <xf numFmtId="9" fontId="29" fillId="0" borderId="16" xfId="1" applyFont="1" applyBorder="1" applyProtection="1">
      <protection locked="0"/>
    </xf>
    <xf numFmtId="9" fontId="29" fillId="0" borderId="11" xfId="1" applyFont="1" applyBorder="1" applyProtection="1">
      <protection locked="0"/>
    </xf>
    <xf numFmtId="9" fontId="2" fillId="17" borderId="16" xfId="0" applyNumberFormat="1" applyFont="1" applyFill="1" applyBorder="1" applyProtection="1">
      <protection locked="0"/>
    </xf>
    <xf numFmtId="9" fontId="2" fillId="17" borderId="65" xfId="0" applyNumberFormat="1" applyFont="1" applyFill="1" applyBorder="1" applyProtection="1">
      <protection locked="0"/>
    </xf>
    <xf numFmtId="9" fontId="2" fillId="17" borderId="11" xfId="0" applyNumberFormat="1" applyFont="1" applyFill="1" applyBorder="1" applyProtection="1">
      <protection locked="0"/>
    </xf>
    <xf numFmtId="9" fontId="2" fillId="17" borderId="1" xfId="0" applyNumberFormat="1" applyFont="1" applyFill="1" applyBorder="1" applyProtection="1">
      <protection locked="0"/>
    </xf>
    <xf numFmtId="9" fontId="25" fillId="17" borderId="14" xfId="0" applyNumberFormat="1" applyFont="1" applyFill="1" applyBorder="1" applyProtection="1">
      <protection locked="0"/>
    </xf>
    <xf numFmtId="9" fontId="25" fillId="17" borderId="1" xfId="0" applyNumberFormat="1" applyFont="1" applyFill="1" applyBorder="1" applyProtection="1">
      <protection locked="0"/>
    </xf>
    <xf numFmtId="9" fontId="2" fillId="0" borderId="16" xfId="0" applyNumberFormat="1" applyFont="1" applyBorder="1" applyProtection="1">
      <protection locked="0"/>
    </xf>
    <xf numFmtId="0" fontId="96" fillId="0" borderId="5" xfId="0" applyFont="1" applyBorder="1"/>
    <xf numFmtId="0" fontId="0" fillId="0" borderId="5" xfId="0" applyBorder="1"/>
    <xf numFmtId="0" fontId="0" fillId="0" borderId="0" xfId="0" applyAlignment="1">
      <alignment wrapText="1"/>
    </xf>
    <xf numFmtId="0" fontId="96" fillId="0" borderId="0" xfId="0" applyFont="1"/>
    <xf numFmtId="10" fontId="25" fillId="15" borderId="6" xfId="0" applyNumberFormat="1" applyFont="1" applyFill="1" applyBorder="1" applyAlignment="1" applyProtection="1">
      <alignment horizontal="center"/>
      <protection locked="0"/>
    </xf>
    <xf numFmtId="10" fontId="25" fillId="15" borderId="9" xfId="0" applyNumberFormat="1" applyFont="1" applyFill="1" applyBorder="1" applyAlignment="1" applyProtection="1">
      <alignment horizontal="center"/>
      <protection locked="0"/>
    </xf>
    <xf numFmtId="10" fontId="25" fillId="15" borderId="15" xfId="0" applyNumberFormat="1" applyFont="1" applyFill="1" applyBorder="1" applyAlignment="1" applyProtection="1">
      <alignment horizontal="center"/>
      <protection locked="0"/>
    </xf>
    <xf numFmtId="10" fontId="25" fillId="15" borderId="10" xfId="0" applyNumberFormat="1" applyFont="1" applyFill="1" applyBorder="1" applyAlignment="1" applyProtection="1">
      <alignment horizontal="center"/>
      <protection locked="0"/>
    </xf>
    <xf numFmtId="10" fontId="25" fillId="17" borderId="77" xfId="0" applyNumberFormat="1" applyFont="1" applyFill="1" applyBorder="1" applyAlignment="1" applyProtection="1">
      <alignment horizontal="center"/>
      <protection locked="0"/>
    </xf>
    <xf numFmtId="10" fontId="25" fillId="28" borderId="10" xfId="0" applyNumberFormat="1" applyFont="1" applyFill="1" applyBorder="1" applyAlignment="1" applyProtection="1">
      <alignment horizontal="center"/>
      <protection locked="0"/>
    </xf>
    <xf numFmtId="10" fontId="2" fillId="11" borderId="6" xfId="0" applyNumberFormat="1" applyFont="1" applyFill="1" applyBorder="1" applyAlignment="1" applyProtection="1">
      <alignment horizontal="center"/>
      <protection locked="0"/>
    </xf>
    <xf numFmtId="10" fontId="25" fillId="15" borderId="7" xfId="0" applyNumberFormat="1" applyFont="1" applyFill="1" applyBorder="1" applyAlignment="1" applyProtection="1">
      <alignment horizontal="center"/>
      <protection locked="0"/>
    </xf>
    <xf numFmtId="10" fontId="25" fillId="15" borderId="77" xfId="0" applyNumberFormat="1" applyFont="1" applyFill="1" applyBorder="1" applyAlignment="1" applyProtection="1">
      <alignment horizontal="center"/>
      <protection locked="0"/>
    </xf>
    <xf numFmtId="10" fontId="2" fillId="15" borderId="7" xfId="0" applyNumberFormat="1" applyFont="1" applyFill="1" applyBorder="1" applyAlignment="1" applyProtection="1">
      <alignment horizontal="center"/>
      <protection locked="0"/>
    </xf>
    <xf numFmtId="171" fontId="97" fillId="8" borderId="1" xfId="0" applyNumberFormat="1" applyFont="1" applyFill="1" applyBorder="1"/>
    <xf numFmtId="0" fontId="98" fillId="0" borderId="38" xfId="0" applyFont="1" applyBorder="1"/>
    <xf numFmtId="0" fontId="97" fillId="21" borderId="1" xfId="0" applyFont="1" applyFill="1" applyBorder="1" applyAlignment="1">
      <alignment horizontal="center"/>
    </xf>
    <xf numFmtId="0" fontId="99" fillId="15" borderId="0" xfId="0" applyFont="1" applyFill="1"/>
    <xf numFmtId="170" fontId="97" fillId="15" borderId="16" xfId="0" applyNumberFormat="1" applyFont="1" applyFill="1" applyBorder="1" applyAlignment="1" applyProtection="1">
      <alignment horizontal="center"/>
      <protection locked="0"/>
    </xf>
    <xf numFmtId="170" fontId="2" fillId="15" borderId="28" xfId="0" applyNumberFormat="1" applyFont="1" applyFill="1" applyBorder="1" applyAlignment="1" applyProtection="1">
      <alignment horizontal="center"/>
      <protection locked="0"/>
    </xf>
    <xf numFmtId="0" fontId="98" fillId="0" borderId="0" xfId="0" applyFont="1"/>
    <xf numFmtId="170" fontId="100" fillId="20" borderId="27" xfId="0" applyNumberFormat="1" applyFont="1" applyFill="1" applyBorder="1"/>
    <xf numFmtId="169" fontId="48" fillId="0" borderId="16" xfId="0" applyNumberFormat="1" applyFont="1" applyBorder="1" applyProtection="1">
      <protection locked="0"/>
    </xf>
    <xf numFmtId="170" fontId="100" fillId="20" borderId="17" xfId="0" applyNumberFormat="1" applyFont="1" applyFill="1" applyBorder="1"/>
    <xf numFmtId="170" fontId="43" fillId="20" borderId="81" xfId="0" applyNumberFormat="1" applyFont="1" applyFill="1" applyBorder="1"/>
    <xf numFmtId="0" fontId="101" fillId="0" borderId="29" xfId="0" applyFont="1" applyBorder="1"/>
    <xf numFmtId="0" fontId="101" fillId="0" borderId="1" xfId="0" applyFont="1" applyBorder="1"/>
    <xf numFmtId="0" fontId="101" fillId="0" borderId="30" xfId="0" applyFont="1" applyBorder="1"/>
    <xf numFmtId="0" fontId="29" fillId="0" borderId="35" xfId="0" applyFont="1" applyBorder="1"/>
    <xf numFmtId="0" fontId="101" fillId="0" borderId="22" xfId="0" applyFont="1" applyBorder="1"/>
    <xf numFmtId="0" fontId="101" fillId="0" borderId="35" xfId="0" applyFont="1" applyBorder="1"/>
    <xf numFmtId="0" fontId="101" fillId="0" borderId="54" xfId="0" applyFont="1" applyBorder="1"/>
    <xf numFmtId="0" fontId="29" fillId="0" borderId="54" xfId="0" applyFont="1" applyBorder="1"/>
    <xf numFmtId="0" fontId="29" fillId="0" borderId="100" xfId="0" applyFont="1" applyBorder="1"/>
    <xf numFmtId="0" fontId="101" fillId="0" borderId="86" xfId="0" applyFont="1" applyBorder="1"/>
    <xf numFmtId="0" fontId="101" fillId="0" borderId="84" xfId="0" applyFont="1" applyBorder="1"/>
    <xf numFmtId="0" fontId="101" fillId="0" borderId="85" xfId="0" applyFont="1" applyBorder="1"/>
    <xf numFmtId="0" fontId="20" fillId="0" borderId="16" xfId="0" applyFont="1" applyBorder="1" applyAlignment="1">
      <alignment horizontal="center"/>
    </xf>
    <xf numFmtId="0" fontId="53" fillId="11" borderId="1" xfId="0" applyFont="1" applyFill="1" applyBorder="1" applyAlignment="1">
      <alignment horizontal="center"/>
    </xf>
    <xf numFmtId="10" fontId="102" fillId="11" borderId="44" xfId="1" applyNumberFormat="1" applyFont="1" applyFill="1" applyBorder="1" applyProtection="1"/>
    <xf numFmtId="170" fontId="102" fillId="11" borderId="17" xfId="0" applyNumberFormat="1" applyFont="1" applyFill="1" applyBorder="1" applyAlignment="1" applyProtection="1">
      <alignment horizontal="center"/>
      <protection locked="0"/>
    </xf>
    <xf numFmtId="10" fontId="102" fillId="11" borderId="9" xfId="1" applyNumberFormat="1" applyFont="1" applyFill="1" applyBorder="1" applyProtection="1"/>
    <xf numFmtId="170" fontId="102" fillId="11" borderId="8" xfId="0" applyNumberFormat="1" applyFont="1" applyFill="1" applyBorder="1" applyAlignment="1" applyProtection="1">
      <alignment horizontal="center"/>
      <protection locked="0"/>
    </xf>
    <xf numFmtId="10" fontId="102" fillId="11" borderId="21" xfId="1" applyNumberFormat="1" applyFont="1" applyFill="1" applyBorder="1" applyProtection="1"/>
    <xf numFmtId="170" fontId="102" fillId="11" borderId="16" xfId="0" applyNumberFormat="1" applyFont="1" applyFill="1" applyBorder="1" applyAlignment="1" applyProtection="1">
      <alignment horizontal="center"/>
      <protection locked="0"/>
    </xf>
    <xf numFmtId="10" fontId="102" fillId="11" borderId="36" xfId="1" applyNumberFormat="1" applyFont="1" applyFill="1" applyBorder="1" applyProtection="1"/>
    <xf numFmtId="170" fontId="102" fillId="11" borderId="75" xfId="0" applyNumberFormat="1" applyFont="1" applyFill="1" applyBorder="1" applyAlignment="1" applyProtection="1">
      <alignment horizontal="center"/>
      <protection locked="0"/>
    </xf>
    <xf numFmtId="10" fontId="102" fillId="11" borderId="14" xfId="1" applyNumberFormat="1" applyFont="1" applyFill="1" applyBorder="1" applyProtection="1"/>
    <xf numFmtId="170" fontId="102" fillId="11" borderId="14" xfId="0" applyNumberFormat="1" applyFont="1" applyFill="1" applyBorder="1" applyAlignment="1" applyProtection="1">
      <alignment horizontal="center"/>
      <protection locked="0"/>
    </xf>
    <xf numFmtId="10" fontId="102" fillId="11" borderId="1" xfId="1" applyNumberFormat="1" applyFont="1" applyFill="1" applyBorder="1" applyProtection="1"/>
    <xf numFmtId="170" fontId="102" fillId="11" borderId="1" xfId="0" applyNumberFormat="1" applyFont="1" applyFill="1" applyBorder="1" applyAlignment="1" applyProtection="1">
      <alignment horizontal="center"/>
      <protection locked="0"/>
    </xf>
    <xf numFmtId="10" fontId="102" fillId="11" borderId="16" xfId="1" applyNumberFormat="1" applyFont="1" applyFill="1" applyBorder="1" applyProtection="1"/>
    <xf numFmtId="10" fontId="102" fillId="11" borderId="67" xfId="1" applyNumberFormat="1" applyFont="1" applyFill="1" applyBorder="1" applyProtection="1"/>
    <xf numFmtId="170" fontId="102" fillId="11" borderId="32" xfId="0" applyNumberFormat="1" applyFont="1" applyFill="1" applyBorder="1" applyAlignment="1" applyProtection="1">
      <alignment horizontal="center"/>
      <protection locked="0"/>
    </xf>
    <xf numFmtId="0" fontId="13" fillId="11" borderId="0" xfId="0" applyFont="1" applyFill="1" applyProtection="1">
      <protection locked="0"/>
    </xf>
    <xf numFmtId="164" fontId="102" fillId="11" borderId="1" xfId="1" applyNumberFormat="1" applyFont="1" applyFill="1" applyBorder="1" applyProtection="1">
      <protection locked="0"/>
    </xf>
    <xf numFmtId="164" fontId="102" fillId="0" borderId="1" xfId="1" applyNumberFormat="1" applyFont="1" applyBorder="1" applyProtection="1">
      <protection locked="0"/>
    </xf>
    <xf numFmtId="10" fontId="102" fillId="11" borderId="1" xfId="0" applyNumberFormat="1" applyFont="1" applyFill="1" applyBorder="1" applyProtection="1">
      <protection locked="0"/>
    </xf>
    <xf numFmtId="10" fontId="102" fillId="11" borderId="0" xfId="0" applyNumberFormat="1" applyFont="1" applyFill="1" applyAlignment="1" applyProtection="1">
      <alignment vertical="top"/>
      <protection locked="0"/>
    </xf>
    <xf numFmtId="10" fontId="102" fillId="11" borderId="0" xfId="0" applyNumberFormat="1" applyFont="1" applyFill="1" applyProtection="1">
      <protection locked="0"/>
    </xf>
    <xf numFmtId="10" fontId="48" fillId="0" borderId="26" xfId="0" applyNumberFormat="1" applyFont="1" applyBorder="1" applyProtection="1">
      <protection locked="0"/>
    </xf>
    <xf numFmtId="10" fontId="48" fillId="0" borderId="75" xfId="0" applyNumberFormat="1" applyFont="1" applyBorder="1" applyProtection="1">
      <protection locked="0"/>
    </xf>
    <xf numFmtId="10" fontId="48" fillId="0" borderId="11" xfId="0" applyNumberFormat="1" applyFont="1" applyBorder="1" applyAlignment="1" applyProtection="1">
      <alignment vertical="top"/>
      <protection locked="0"/>
    </xf>
    <xf numFmtId="10" fontId="48" fillId="0" borderId="16" xfId="0" applyNumberFormat="1" applyFont="1" applyBorder="1" applyAlignment="1" applyProtection="1">
      <alignment vertical="top"/>
      <protection locked="0"/>
    </xf>
    <xf numFmtId="10" fontId="48" fillId="0" borderId="26" xfId="0" applyNumberFormat="1" applyFont="1" applyBorder="1" applyAlignment="1" applyProtection="1">
      <alignment vertical="top"/>
      <protection locked="0"/>
    </xf>
    <xf numFmtId="10" fontId="48" fillId="0" borderId="13" xfId="0" applyNumberFormat="1" applyFont="1" applyBorder="1" applyAlignment="1" applyProtection="1">
      <alignment vertical="top"/>
      <protection locked="0"/>
    </xf>
    <xf numFmtId="10" fontId="48" fillId="0" borderId="18" xfId="0" applyNumberFormat="1" applyFont="1" applyBorder="1" applyAlignment="1" applyProtection="1">
      <alignment vertical="top"/>
      <protection locked="0"/>
    </xf>
    <xf numFmtId="10" fontId="2" fillId="0" borderId="43" xfId="0" applyNumberFormat="1" applyFont="1" applyBorder="1" applyAlignment="1" applyProtection="1">
      <alignment horizontal="center"/>
      <protection locked="0"/>
    </xf>
    <xf numFmtId="10" fontId="2" fillId="0" borderId="1" xfId="0" applyNumberFormat="1" applyFont="1" applyBorder="1" applyAlignment="1" applyProtection="1">
      <alignment horizontal="center"/>
      <protection locked="0"/>
    </xf>
    <xf numFmtId="10" fontId="48" fillId="0" borderId="29" xfId="0" applyNumberFormat="1" applyFont="1" applyBorder="1" applyProtection="1">
      <protection locked="0"/>
    </xf>
    <xf numFmtId="10" fontId="2" fillId="0" borderId="11" xfId="0" applyNumberFormat="1" applyFont="1" applyBorder="1" applyAlignment="1" applyProtection="1">
      <alignment horizontal="center"/>
      <protection locked="0"/>
    </xf>
    <xf numFmtId="10" fontId="48" fillId="0" borderId="30" xfId="0" applyNumberFormat="1" applyFont="1" applyBorder="1" applyProtection="1">
      <protection locked="0"/>
    </xf>
    <xf numFmtId="170" fontId="13" fillId="11" borderId="1" xfId="0" applyNumberFormat="1" applyFont="1" applyFill="1" applyBorder="1" applyAlignment="1" applyProtection="1">
      <alignment vertical="top"/>
      <protection locked="0"/>
    </xf>
    <xf numFmtId="170" fontId="13" fillId="11" borderId="1" xfId="0" applyNumberFormat="1" applyFont="1" applyFill="1" applyBorder="1" applyAlignment="1" applyProtection="1">
      <alignment vertical="top" wrapText="1"/>
      <protection locked="0"/>
    </xf>
    <xf numFmtId="9" fontId="13" fillId="11" borderId="1" xfId="0" applyNumberFormat="1" applyFont="1" applyFill="1" applyBorder="1" applyAlignment="1" applyProtection="1">
      <alignment vertical="top" wrapText="1"/>
      <protection locked="0"/>
    </xf>
    <xf numFmtId="170" fontId="13" fillId="11" borderId="16" xfId="0" applyNumberFormat="1" applyFont="1" applyFill="1" applyBorder="1" applyProtection="1">
      <protection locked="0"/>
    </xf>
    <xf numFmtId="9" fontId="13" fillId="11" borderId="16" xfId="0" applyNumberFormat="1" applyFont="1" applyFill="1" applyBorder="1" applyProtection="1">
      <protection locked="0"/>
    </xf>
    <xf numFmtId="170" fontId="13" fillId="11" borderId="11" xfId="0" applyNumberFormat="1" applyFont="1" applyFill="1" applyBorder="1" applyProtection="1">
      <protection locked="0"/>
    </xf>
    <xf numFmtId="9" fontId="13" fillId="11" borderId="11" xfId="0" applyNumberFormat="1" applyFont="1" applyFill="1" applyBorder="1" applyProtection="1">
      <protection locked="0"/>
    </xf>
    <xf numFmtId="170" fontId="13" fillId="11" borderId="18" xfId="0" applyNumberFormat="1" applyFont="1" applyFill="1" applyBorder="1" applyProtection="1">
      <protection locked="0"/>
    </xf>
    <xf numFmtId="9" fontId="13" fillId="11" borderId="18" xfId="0" applyNumberFormat="1" applyFont="1" applyFill="1" applyBorder="1" applyProtection="1">
      <protection locked="0"/>
    </xf>
    <xf numFmtId="170" fontId="13" fillId="11" borderId="1" xfId="0" applyNumberFormat="1" applyFont="1" applyFill="1" applyBorder="1" applyProtection="1">
      <protection locked="0"/>
    </xf>
    <xf numFmtId="9" fontId="13" fillId="11" borderId="1" xfId="0" applyNumberFormat="1" applyFont="1" applyFill="1" applyBorder="1" applyProtection="1">
      <protection locked="0"/>
    </xf>
    <xf numFmtId="170" fontId="13" fillId="11" borderId="21" xfId="0" applyNumberFormat="1" applyFont="1" applyFill="1" applyBorder="1"/>
    <xf numFmtId="168" fontId="2" fillId="11" borderId="6" xfId="0" applyNumberFormat="1" applyFont="1" applyFill="1" applyBorder="1" applyProtection="1">
      <protection locked="0"/>
    </xf>
    <xf numFmtId="168" fontId="2" fillId="11" borderId="49" xfId="0" applyNumberFormat="1" applyFont="1" applyFill="1" applyBorder="1" applyProtection="1">
      <protection locked="0"/>
    </xf>
    <xf numFmtId="168" fontId="2" fillId="11" borderId="63" xfId="0" applyNumberFormat="1" applyFont="1" applyFill="1" applyBorder="1" applyProtection="1">
      <protection locked="0"/>
    </xf>
    <xf numFmtId="168" fontId="13" fillId="11" borderId="21" xfId="0" applyNumberFormat="1" applyFont="1" applyFill="1" applyBorder="1"/>
    <xf numFmtId="168" fontId="13" fillId="11" borderId="8" xfId="0" applyNumberFormat="1" applyFont="1" applyFill="1" applyBorder="1" applyProtection="1">
      <protection locked="0"/>
    </xf>
    <xf numFmtId="170" fontId="13" fillId="11" borderId="32" xfId="0" applyNumberFormat="1" applyFont="1" applyFill="1" applyBorder="1"/>
    <xf numFmtId="0" fontId="13" fillId="0" borderId="9" xfId="0" applyFont="1" applyBorder="1" applyProtection="1">
      <protection locked="0"/>
    </xf>
    <xf numFmtId="168" fontId="13" fillId="0" borderId="8" xfId="0" applyNumberFormat="1" applyFont="1" applyBorder="1" applyProtection="1">
      <protection locked="0"/>
    </xf>
    <xf numFmtId="170" fontId="13" fillId="11" borderId="41" xfId="0" applyNumberFormat="1" applyFont="1" applyFill="1" applyBorder="1"/>
    <xf numFmtId="170" fontId="102" fillId="11" borderId="41" xfId="0" applyNumberFormat="1" applyFont="1" applyFill="1" applyBorder="1"/>
    <xf numFmtId="170" fontId="102" fillId="11" borderId="21" xfId="0" applyNumberFormat="1" applyFont="1" applyFill="1" applyBorder="1"/>
    <xf numFmtId="168" fontId="13" fillId="11" borderId="9" xfId="0" applyNumberFormat="1" applyFont="1" applyFill="1" applyBorder="1" applyProtection="1">
      <protection locked="0"/>
    </xf>
    <xf numFmtId="0" fontId="13" fillId="20" borderId="22" xfId="0" applyFont="1" applyFill="1" applyBorder="1"/>
    <xf numFmtId="168" fontId="2" fillId="0" borderId="52" xfId="0" applyNumberFormat="1" applyFont="1" applyBorder="1" applyProtection="1">
      <protection locked="0"/>
    </xf>
    <xf numFmtId="168" fontId="2" fillId="0" borderId="27" xfId="0" applyNumberFormat="1" applyFont="1" applyBorder="1" applyProtection="1">
      <protection locked="0"/>
    </xf>
    <xf numFmtId="170" fontId="13" fillId="11" borderId="1" xfId="0" applyNumberFormat="1" applyFont="1" applyFill="1" applyBorder="1"/>
    <xf numFmtId="168" fontId="2" fillId="11" borderId="1" xfId="0" applyNumberFormat="1" applyFont="1" applyFill="1" applyBorder="1" applyProtection="1">
      <protection locked="0"/>
    </xf>
    <xf numFmtId="170" fontId="43" fillId="12" borderId="32" xfId="0" applyNumberFormat="1" applyFont="1" applyFill="1" applyBorder="1"/>
    <xf numFmtId="168" fontId="43" fillId="12" borderId="9" xfId="0" applyNumberFormat="1" applyFont="1" applyFill="1" applyBorder="1" applyProtection="1">
      <protection locked="0"/>
    </xf>
    <xf numFmtId="168" fontId="43" fillId="12" borderId="8" xfId="0" applyNumberFormat="1" applyFont="1" applyFill="1" applyBorder="1" applyProtection="1">
      <protection locked="0"/>
    </xf>
    <xf numFmtId="170" fontId="102" fillId="11" borderId="32" xfId="0" applyNumberFormat="1" applyFont="1" applyFill="1" applyBorder="1"/>
    <xf numFmtId="168" fontId="102" fillId="11" borderId="9" xfId="0" applyNumberFormat="1" applyFont="1" applyFill="1" applyBorder="1" applyProtection="1">
      <protection locked="0"/>
    </xf>
    <xf numFmtId="168" fontId="102" fillId="11" borderId="8" xfId="0" applyNumberFormat="1" applyFont="1" applyFill="1" applyBorder="1" applyProtection="1">
      <protection locked="0"/>
    </xf>
    <xf numFmtId="168" fontId="13" fillId="11" borderId="10" xfId="0" applyNumberFormat="1" applyFont="1" applyFill="1" applyBorder="1" applyProtection="1">
      <protection locked="0"/>
    </xf>
    <xf numFmtId="168" fontId="13" fillId="11" borderId="12" xfId="0" applyNumberFormat="1" applyFont="1" applyFill="1" applyBorder="1" applyProtection="1">
      <protection locked="0"/>
    </xf>
    <xf numFmtId="0" fontId="51" fillId="11" borderId="1" xfId="0" applyFont="1" applyFill="1" applyBorder="1"/>
    <xf numFmtId="2" fontId="102" fillId="11" borderId="16" xfId="0" applyNumberFormat="1" applyFont="1" applyFill="1" applyBorder="1" applyAlignment="1" applyProtection="1">
      <alignment horizontal="center"/>
      <protection locked="0"/>
    </xf>
    <xf numFmtId="2" fontId="53" fillId="11" borderId="1" xfId="0" applyNumberFormat="1" applyFont="1" applyFill="1" applyBorder="1"/>
    <xf numFmtId="170" fontId="22" fillId="11" borderId="1" xfId="0" applyNumberFormat="1" applyFont="1" applyFill="1" applyBorder="1"/>
    <xf numFmtId="170" fontId="22" fillId="11" borderId="99" xfId="0" applyNumberFormat="1" applyFont="1" applyFill="1" applyBorder="1"/>
    <xf numFmtId="170" fontId="22" fillId="11" borderId="33" xfId="0" applyNumberFormat="1" applyFont="1" applyFill="1" applyBorder="1"/>
    <xf numFmtId="0" fontId="103" fillId="11" borderId="1" xfId="4" applyFont="1" applyFill="1" applyBorder="1" applyAlignment="1">
      <alignment wrapText="1"/>
    </xf>
    <xf numFmtId="2" fontId="22" fillId="11" borderId="0" xfId="0" applyNumberFormat="1" applyFont="1" applyFill="1" applyAlignment="1">
      <alignment wrapText="1"/>
    </xf>
    <xf numFmtId="9" fontId="22" fillId="11" borderId="0" xfId="0" applyNumberFormat="1" applyFont="1" applyFill="1" applyAlignment="1">
      <alignment wrapText="1"/>
    </xf>
    <xf numFmtId="10" fontId="48" fillId="28" borderId="26" xfId="0" applyNumberFormat="1" applyFont="1" applyFill="1" applyBorder="1" applyProtection="1">
      <protection locked="0"/>
    </xf>
    <xf numFmtId="0" fontId="53" fillId="28" borderId="1" xfId="0" applyFont="1" applyFill="1" applyBorder="1" applyAlignment="1">
      <alignment horizontal="center"/>
    </xf>
    <xf numFmtId="10" fontId="102" fillId="28" borderId="14" xfId="1" applyNumberFormat="1" applyFont="1" applyFill="1" applyBorder="1" applyProtection="1"/>
    <xf numFmtId="170" fontId="102" fillId="28" borderId="14" xfId="0" applyNumberFormat="1" applyFont="1" applyFill="1" applyBorder="1" applyAlignment="1" applyProtection="1">
      <alignment horizontal="center"/>
      <protection locked="0"/>
    </xf>
    <xf numFmtId="10" fontId="102" fillId="28" borderId="1" xfId="1" applyNumberFormat="1" applyFont="1" applyFill="1" applyBorder="1" applyProtection="1"/>
    <xf numFmtId="170" fontId="102" fillId="28" borderId="1" xfId="0" applyNumberFormat="1" applyFont="1" applyFill="1" applyBorder="1" applyAlignment="1" applyProtection="1">
      <alignment horizontal="center"/>
      <protection locked="0"/>
    </xf>
    <xf numFmtId="170" fontId="102" fillId="28" borderId="41" xfId="0" applyNumberFormat="1" applyFont="1" applyFill="1" applyBorder="1"/>
    <xf numFmtId="168" fontId="102" fillId="28" borderId="9" xfId="0" applyNumberFormat="1" applyFont="1" applyFill="1" applyBorder="1" applyProtection="1">
      <protection locked="0"/>
    </xf>
    <xf numFmtId="168" fontId="102" fillId="28" borderId="8" xfId="0" applyNumberFormat="1" applyFont="1" applyFill="1" applyBorder="1" applyProtection="1">
      <protection locked="0"/>
    </xf>
    <xf numFmtId="170" fontId="102" fillId="28" borderId="22" xfId="0" applyNumberFormat="1" applyFont="1" applyFill="1" applyBorder="1"/>
    <xf numFmtId="0" fontId="102" fillId="0" borderId="9" xfId="0" applyFont="1" applyBorder="1" applyProtection="1">
      <protection locked="0"/>
    </xf>
    <xf numFmtId="170" fontId="13" fillId="28" borderId="16" xfId="0" applyNumberFormat="1" applyFont="1" applyFill="1" applyBorder="1" applyProtection="1">
      <protection locked="0"/>
    </xf>
    <xf numFmtId="9" fontId="13" fillId="28" borderId="16" xfId="0" applyNumberFormat="1" applyFont="1" applyFill="1" applyBorder="1" applyProtection="1">
      <protection locked="0"/>
    </xf>
    <xf numFmtId="0" fontId="102" fillId="28" borderId="0" xfId="0" applyFont="1" applyFill="1" applyProtection="1">
      <protection locked="0"/>
    </xf>
    <xf numFmtId="10" fontId="43" fillId="11" borderId="1" xfId="0" applyNumberFormat="1" applyFont="1" applyFill="1" applyBorder="1" applyAlignment="1" applyProtection="1">
      <alignment horizontal="right"/>
      <protection locked="0"/>
    </xf>
    <xf numFmtId="10" fontId="43" fillId="11" borderId="11" xfId="0" applyNumberFormat="1" applyFont="1" applyFill="1" applyBorder="1" applyAlignment="1" applyProtection="1">
      <alignment horizontal="right"/>
      <protection locked="0"/>
    </xf>
    <xf numFmtId="10" fontId="102" fillId="28" borderId="1" xfId="0" applyNumberFormat="1" applyFont="1" applyFill="1" applyBorder="1" applyAlignment="1" applyProtection="1">
      <alignment vertical="top"/>
      <protection locked="0"/>
    </xf>
    <xf numFmtId="10" fontId="102" fillId="0" borderId="26" xfId="0" applyNumberFormat="1" applyFont="1" applyBorder="1" applyProtection="1">
      <protection locked="0"/>
    </xf>
    <xf numFmtId="164" fontId="102" fillId="28" borderId="1" xfId="1" applyNumberFormat="1" applyFont="1" applyFill="1" applyBorder="1" applyProtection="1">
      <protection locked="0"/>
    </xf>
    <xf numFmtId="10" fontId="102" fillId="28" borderId="0" xfId="0" applyNumberFormat="1" applyFont="1" applyFill="1" applyProtection="1">
      <protection locked="0"/>
    </xf>
    <xf numFmtId="10" fontId="102" fillId="28" borderId="0" xfId="0" applyNumberFormat="1" applyFont="1" applyFill="1" applyAlignment="1" applyProtection="1">
      <alignment horizontal="center"/>
      <protection locked="0"/>
    </xf>
    <xf numFmtId="10" fontId="13" fillId="28" borderId="0" xfId="0" applyNumberFormat="1" applyFont="1" applyFill="1" applyAlignment="1" applyProtection="1">
      <alignment horizontal="center"/>
      <protection locked="0"/>
    </xf>
    <xf numFmtId="9" fontId="13" fillId="28" borderId="1" xfId="0" applyNumberFormat="1" applyFont="1" applyFill="1" applyBorder="1" applyProtection="1">
      <protection locked="0"/>
    </xf>
    <xf numFmtId="1" fontId="51" fillId="28" borderId="1" xfId="0" applyNumberFormat="1" applyFont="1" applyFill="1" applyBorder="1"/>
    <xf numFmtId="169" fontId="51" fillId="28" borderId="1" xfId="0" applyNumberFormat="1" applyFont="1" applyFill="1" applyBorder="1"/>
    <xf numFmtId="169" fontId="13" fillId="30" borderId="39" xfId="0" applyNumberFormat="1" applyFont="1" applyFill="1" applyBorder="1"/>
    <xf numFmtId="169" fontId="13" fillId="30" borderId="17" xfId="0" applyNumberFormat="1" applyFont="1" applyFill="1" applyBorder="1"/>
    <xf numFmtId="169" fontId="2" fillId="17" borderId="29" xfId="0" applyNumberFormat="1" applyFont="1" applyFill="1" applyBorder="1"/>
    <xf numFmtId="169" fontId="2" fillId="17" borderId="8" xfId="0" applyNumberFormat="1" applyFont="1" applyFill="1" applyBorder="1"/>
    <xf numFmtId="169" fontId="13" fillId="30" borderId="29" xfId="0" applyNumberFormat="1" applyFont="1" applyFill="1" applyBorder="1"/>
    <xf numFmtId="169" fontId="13" fillId="30" borderId="8" xfId="0" applyNumberFormat="1" applyFont="1" applyFill="1" applyBorder="1"/>
    <xf numFmtId="10" fontId="51" fillId="28" borderId="1" xfId="0" applyNumberFormat="1" applyFont="1" applyFill="1" applyBorder="1"/>
    <xf numFmtId="2" fontId="53" fillId="28" borderId="1" xfId="0" applyNumberFormat="1" applyFont="1" applyFill="1" applyBorder="1"/>
    <xf numFmtId="2" fontId="29" fillId="14" borderId="1" xfId="0" applyNumberFormat="1" applyFont="1" applyFill="1" applyBorder="1"/>
    <xf numFmtId="0" fontId="102" fillId="29" borderId="15" xfId="0" applyFont="1" applyFill="1" applyBorder="1"/>
    <xf numFmtId="0" fontId="102" fillId="29" borderId="17" xfId="0" applyFont="1" applyFill="1" applyBorder="1"/>
    <xf numFmtId="169" fontId="102" fillId="30" borderId="15" xfId="0" applyNumberFormat="1" applyFont="1" applyFill="1" applyBorder="1"/>
    <xf numFmtId="169" fontId="102" fillId="30" borderId="74" xfId="0" applyNumberFormat="1" applyFont="1" applyFill="1" applyBorder="1"/>
    <xf numFmtId="0" fontId="102" fillId="9" borderId="9" xfId="0" applyFont="1" applyFill="1" applyBorder="1"/>
    <xf numFmtId="0" fontId="102" fillId="0" borderId="8" xfId="0" applyFont="1" applyBorder="1"/>
    <xf numFmtId="169" fontId="102" fillId="18" borderId="9" xfId="0" applyNumberFormat="1" applyFont="1" applyFill="1" applyBorder="1"/>
    <xf numFmtId="0" fontId="102" fillId="18" borderId="8" xfId="0" applyFont="1" applyFill="1" applyBorder="1"/>
    <xf numFmtId="0" fontId="102" fillId="29" borderId="9" xfId="0" applyFont="1" applyFill="1" applyBorder="1"/>
    <xf numFmtId="169" fontId="102" fillId="30" borderId="9" xfId="0" applyNumberFormat="1" applyFont="1" applyFill="1" applyBorder="1"/>
    <xf numFmtId="169" fontId="102" fillId="30" borderId="78" xfId="0" applyNumberFormat="1" applyFont="1" applyFill="1" applyBorder="1"/>
    <xf numFmtId="0" fontId="102" fillId="29" borderId="52" xfId="0" applyFont="1" applyFill="1" applyBorder="1"/>
    <xf numFmtId="0" fontId="102" fillId="29" borderId="50" xfId="0" applyFont="1" applyFill="1" applyBorder="1"/>
    <xf numFmtId="169" fontId="102" fillId="29" borderId="52" xfId="0" applyNumberFormat="1" applyFont="1" applyFill="1" applyBorder="1"/>
    <xf numFmtId="0" fontId="102" fillId="9" borderId="52" xfId="0" applyFont="1" applyFill="1" applyBorder="1"/>
    <xf numFmtId="0" fontId="102" fillId="9" borderId="27" xfId="0" applyFont="1" applyFill="1" applyBorder="1"/>
    <xf numFmtId="169" fontId="102" fillId="18" borderId="52" xfId="0" applyNumberFormat="1" applyFont="1" applyFill="1" applyBorder="1"/>
    <xf numFmtId="169" fontId="102" fillId="18" borderId="79" xfId="0" applyNumberFormat="1" applyFont="1" applyFill="1" applyBorder="1"/>
    <xf numFmtId="171" fontId="102" fillId="29" borderId="9" xfId="0" applyNumberFormat="1" applyFont="1" applyFill="1" applyBorder="1"/>
    <xf numFmtId="0" fontId="102" fillId="29" borderId="8" xfId="0" applyFont="1" applyFill="1" applyBorder="1"/>
    <xf numFmtId="169" fontId="102" fillId="30" borderId="52" xfId="0" applyNumberFormat="1" applyFont="1" applyFill="1" applyBorder="1"/>
    <xf numFmtId="169" fontId="102" fillId="30" borderId="79" xfId="0" applyNumberFormat="1" applyFont="1" applyFill="1" applyBorder="1"/>
    <xf numFmtId="170" fontId="22" fillId="28" borderId="1" xfId="0" applyNumberFormat="1" applyFont="1" applyFill="1" applyBorder="1"/>
    <xf numFmtId="170" fontId="22" fillId="28" borderId="33" xfId="0" applyNumberFormat="1" applyFont="1" applyFill="1" applyBorder="1"/>
    <xf numFmtId="0" fontId="53" fillId="12" borderId="1" xfId="0" applyFont="1" applyFill="1" applyBorder="1" applyAlignment="1">
      <alignment horizontal="center"/>
    </xf>
    <xf numFmtId="0" fontId="13" fillId="12" borderId="0" xfId="0" applyFont="1" applyFill="1" applyAlignment="1">
      <alignment horizontal="center"/>
    </xf>
    <xf numFmtId="0" fontId="13" fillId="12" borderId="0" xfId="0" applyFont="1" applyFill="1" applyProtection="1">
      <protection locked="0"/>
    </xf>
    <xf numFmtId="10" fontId="13" fillId="12" borderId="0" xfId="0" applyNumberFormat="1" applyFont="1" applyFill="1" applyAlignment="1" applyProtection="1">
      <alignment horizontal="center"/>
      <protection locked="0"/>
    </xf>
    <xf numFmtId="10" fontId="13" fillId="17" borderId="0" xfId="0" applyNumberFormat="1" applyFont="1" applyFill="1" applyAlignment="1" applyProtection="1">
      <alignment horizontal="center"/>
      <protection locked="0"/>
    </xf>
    <xf numFmtId="10" fontId="102" fillId="12" borderId="1" xfId="0" applyNumberFormat="1" applyFont="1" applyFill="1" applyBorder="1" applyAlignment="1" applyProtection="1">
      <alignment vertical="top"/>
      <protection locked="0"/>
    </xf>
    <xf numFmtId="10" fontId="13" fillId="11" borderId="9" xfId="0" applyNumberFormat="1" applyFont="1" applyFill="1" applyBorder="1" applyAlignment="1" applyProtection="1">
      <alignment horizontal="center"/>
      <protection locked="0"/>
    </xf>
    <xf numFmtId="10" fontId="13" fillId="11" borderId="10" xfId="0" applyNumberFormat="1" applyFont="1" applyFill="1" applyBorder="1" applyAlignment="1" applyProtection="1">
      <alignment horizontal="center"/>
      <protection locked="0"/>
    </xf>
    <xf numFmtId="0" fontId="104" fillId="0" borderId="0" xfId="0" applyFont="1"/>
    <xf numFmtId="0" fontId="105" fillId="0" borderId="0" xfId="0" applyFont="1"/>
    <xf numFmtId="0" fontId="13" fillId="28" borderId="0" xfId="0" applyFont="1" applyFill="1" applyProtection="1">
      <protection locked="0"/>
    </xf>
    <xf numFmtId="10" fontId="48" fillId="28" borderId="11" xfId="0" applyNumberFormat="1" applyFont="1" applyFill="1" applyBorder="1" applyProtection="1">
      <protection locked="0"/>
    </xf>
    <xf numFmtId="10" fontId="48" fillId="0" borderId="65" xfId="0" applyNumberFormat="1" applyFont="1" applyBorder="1" applyProtection="1">
      <protection locked="0"/>
    </xf>
    <xf numFmtId="0" fontId="106" fillId="0" borderId="0" xfId="0" applyFont="1"/>
    <xf numFmtId="0" fontId="0" fillId="0" borderId="26" xfId="0" applyBorder="1" applyAlignment="1">
      <alignment horizontal="left"/>
    </xf>
    <xf numFmtId="0" fontId="0" fillId="0" borderId="0" xfId="0" applyAlignment="1">
      <alignment horizontal="left"/>
    </xf>
    <xf numFmtId="2" fontId="48" fillId="17" borderId="16" xfId="0" applyNumberFormat="1" applyFont="1" applyFill="1" applyBorder="1" applyAlignment="1" applyProtection="1">
      <alignment horizontal="center"/>
      <protection locked="0"/>
    </xf>
    <xf numFmtId="2" fontId="29" fillId="11" borderId="1" xfId="0" applyNumberFormat="1" applyFont="1" applyFill="1" applyBorder="1"/>
    <xf numFmtId="2" fontId="73" fillId="11" borderId="1" xfId="0" applyNumberFormat="1" applyFont="1" applyFill="1" applyBorder="1"/>
    <xf numFmtId="2" fontId="82" fillId="14" borderId="1" xfId="0" applyNumberFormat="1" applyFont="1" applyFill="1" applyBorder="1"/>
    <xf numFmtId="10" fontId="51" fillId="11" borderId="1" xfId="0" applyNumberFormat="1" applyFont="1" applyFill="1" applyBorder="1"/>
    <xf numFmtId="10" fontId="102" fillId="14" borderId="1" xfId="0" applyNumberFormat="1" applyFont="1" applyFill="1" applyBorder="1"/>
    <xf numFmtId="0" fontId="0" fillId="11" borderId="1" xfId="0" applyFill="1" applyBorder="1"/>
    <xf numFmtId="0" fontId="2" fillId="0" borderId="0" xfId="0" applyFont="1" applyAlignment="1">
      <alignment horizontal="left" vertical="top" wrapText="1"/>
    </xf>
    <xf numFmtId="0" fontId="2" fillId="0" borderId="0" xfId="0" applyFont="1" applyAlignment="1">
      <alignment horizontal="left" vertical="top"/>
    </xf>
    <xf numFmtId="0" fontId="2" fillId="0" borderId="57" xfId="0" applyFont="1" applyBorder="1" applyAlignment="1">
      <alignment horizontal="left" vertical="top"/>
    </xf>
    <xf numFmtId="0" fontId="14" fillId="0" borderId="0" xfId="0" applyFont="1" applyAlignment="1">
      <alignment horizontal="center"/>
    </xf>
    <xf numFmtId="0" fontId="2" fillId="0" borderId="1" xfId="0" applyFont="1" applyBorder="1" applyAlignment="1">
      <alignment horizontal="center"/>
    </xf>
    <xf numFmtId="0" fontId="25" fillId="21" borderId="1" xfId="0" applyFont="1" applyFill="1" applyBorder="1" applyAlignment="1">
      <alignment horizontal="center"/>
    </xf>
    <xf numFmtId="0" fontId="25" fillId="4" borderId="1" xfId="0" applyFont="1" applyFill="1" applyBorder="1" applyAlignment="1">
      <alignment horizontal="center"/>
    </xf>
    <xf numFmtId="0" fontId="2" fillId="4" borderId="1" xfId="0" applyFont="1" applyFill="1" applyBorder="1" applyAlignment="1">
      <alignment horizontal="center"/>
    </xf>
    <xf numFmtId="0" fontId="25" fillId="0" borderId="0" xfId="0" applyFont="1" applyAlignment="1">
      <alignment horizontal="center" vertical="center"/>
    </xf>
    <xf numFmtId="0" fontId="2" fillId="5" borderId="1" xfId="0" applyFont="1" applyFill="1" applyBorder="1" applyAlignment="1">
      <alignment horizontal="center"/>
    </xf>
    <xf numFmtId="164" fontId="2" fillId="5" borderId="1" xfId="1" applyNumberFormat="1" applyFont="1" applyFill="1" applyBorder="1" applyAlignment="1" applyProtection="1">
      <alignment horizontal="center"/>
    </xf>
    <xf numFmtId="2" fontId="2" fillId="15" borderId="1" xfId="0" applyNumberFormat="1" applyFont="1" applyFill="1" applyBorder="1" applyAlignment="1">
      <alignment horizontal="center"/>
    </xf>
    <xf numFmtId="0" fontId="2" fillId="6" borderId="1" xfId="0" applyFont="1" applyFill="1" applyBorder="1" applyAlignment="1">
      <alignment horizontal="center"/>
    </xf>
    <xf numFmtId="164" fontId="2" fillId="9" borderId="0" xfId="1" applyNumberFormat="1" applyFont="1" applyFill="1" applyBorder="1" applyAlignment="1" applyProtection="1">
      <alignment horizontal="center"/>
    </xf>
    <xf numFmtId="165" fontId="2" fillId="5" borderId="1" xfId="0" applyNumberFormat="1" applyFont="1" applyFill="1" applyBorder="1" applyAlignment="1">
      <alignment horizontal="center"/>
    </xf>
    <xf numFmtId="0" fontId="2" fillId="0" borderId="38" xfId="0" applyFont="1" applyBorder="1" applyAlignment="1">
      <alignment horizontal="center"/>
    </xf>
    <xf numFmtId="0" fontId="2" fillId="21" borderId="1" xfId="0" applyFont="1" applyFill="1" applyBorder="1" applyAlignment="1">
      <alignment horizontal="center"/>
    </xf>
    <xf numFmtId="0" fontId="25" fillId="15" borderId="22" xfId="0" applyFont="1" applyFill="1" applyBorder="1" applyAlignment="1">
      <alignment horizontal="center" vertical="center" wrapText="1"/>
    </xf>
    <xf numFmtId="0" fontId="25" fillId="15" borderId="35" xfId="0" applyFont="1" applyFill="1" applyBorder="1" applyAlignment="1">
      <alignment horizontal="center" vertical="center" wrapText="1"/>
    </xf>
    <xf numFmtId="0" fontId="25" fillId="15" borderId="29" xfId="0" applyFont="1" applyFill="1" applyBorder="1" applyAlignment="1">
      <alignment horizontal="center" vertical="center" wrapText="1"/>
    </xf>
    <xf numFmtId="0" fontId="25" fillId="21" borderId="22" xfId="0" applyFont="1" applyFill="1" applyBorder="1" applyAlignment="1">
      <alignment horizontal="center"/>
    </xf>
    <xf numFmtId="0" fontId="25" fillId="21" borderId="35" xfId="0" applyFont="1" applyFill="1" applyBorder="1" applyAlignment="1">
      <alignment horizontal="center"/>
    </xf>
    <xf numFmtId="0" fontId="25" fillId="21" borderId="29" xfId="0" applyFont="1" applyFill="1" applyBorder="1" applyAlignment="1">
      <alignment horizontal="center"/>
    </xf>
    <xf numFmtId="2" fontId="2" fillId="6" borderId="1" xfId="0" applyNumberFormat="1" applyFont="1" applyFill="1" applyBorder="1" applyAlignment="1">
      <alignment horizontal="center"/>
    </xf>
    <xf numFmtId="2" fontId="25" fillId="11" borderId="1" xfId="1" applyNumberFormat="1" applyFont="1" applyFill="1" applyBorder="1" applyAlignment="1">
      <alignment horizontal="center"/>
    </xf>
    <xf numFmtId="9" fontId="25" fillId="11" borderId="1" xfId="1" applyFont="1" applyFill="1" applyBorder="1" applyAlignment="1">
      <alignment horizontal="center"/>
    </xf>
    <xf numFmtId="9" fontId="25" fillId="6" borderId="1" xfId="1" applyFont="1" applyFill="1" applyBorder="1" applyAlignment="1">
      <alignment horizontal="center"/>
    </xf>
    <xf numFmtId="0" fontId="2" fillId="21" borderId="22" xfId="0" applyFont="1" applyFill="1" applyBorder="1" applyAlignment="1">
      <alignment horizontal="center"/>
    </xf>
    <xf numFmtId="0" fontId="2" fillId="21" borderId="35" xfId="0" applyFont="1" applyFill="1" applyBorder="1" applyAlignment="1">
      <alignment horizontal="center"/>
    </xf>
    <xf numFmtId="0" fontId="2" fillId="21" borderId="29" xfId="0" applyFont="1" applyFill="1" applyBorder="1" applyAlignment="1">
      <alignment horizontal="center"/>
    </xf>
    <xf numFmtId="0" fontId="12" fillId="0" borderId="5" xfId="0" applyFont="1" applyBorder="1" applyAlignment="1">
      <alignment horizontal="center"/>
    </xf>
    <xf numFmtId="0" fontId="2" fillId="0" borderId="0" xfId="0" applyFont="1" applyAlignment="1">
      <alignment horizontal="center"/>
    </xf>
    <xf numFmtId="170" fontId="25" fillId="16" borderId="9" xfId="0" applyNumberFormat="1" applyFont="1" applyFill="1" applyBorder="1" applyAlignment="1" applyProtection="1">
      <alignment horizontal="center"/>
      <protection locked="0"/>
    </xf>
    <xf numFmtId="170" fontId="25" fillId="16" borderId="22" xfId="0" applyNumberFormat="1" applyFont="1" applyFill="1" applyBorder="1" applyAlignment="1" applyProtection="1">
      <alignment horizontal="center"/>
      <protection locked="0"/>
    </xf>
    <xf numFmtId="0" fontId="50" fillId="21" borderId="1" xfId="0" applyFont="1" applyFill="1" applyBorder="1" applyAlignment="1" applyProtection="1">
      <alignment horizontal="center"/>
      <protection locked="0"/>
    </xf>
    <xf numFmtId="0" fontId="76" fillId="0" borderId="0" xfId="0" applyFont="1" applyAlignment="1" applyProtection="1">
      <alignment horizontal="center"/>
      <protection locked="0"/>
    </xf>
    <xf numFmtId="0" fontId="48" fillId="0" borderId="38" xfId="0" applyFont="1" applyBorder="1" applyAlignment="1" applyProtection="1">
      <alignment horizontal="center"/>
      <protection locked="0"/>
    </xf>
    <xf numFmtId="170" fontId="2" fillId="0" borderId="38" xfId="0" applyNumberFormat="1" applyFont="1" applyBorder="1" applyAlignment="1" applyProtection="1">
      <alignment horizontal="center"/>
      <protection locked="0"/>
    </xf>
    <xf numFmtId="0" fontId="30" fillId="0" borderId="5" xfId="0" applyFont="1" applyBorder="1" applyAlignment="1" applyProtection="1">
      <alignment horizontal="center"/>
      <protection locked="0"/>
    </xf>
    <xf numFmtId="0" fontId="12" fillId="0" borderId="64" xfId="0" applyFont="1" applyBorder="1" applyAlignment="1" applyProtection="1">
      <alignment vertical="top" wrapText="1"/>
      <protection locked="0"/>
    </xf>
    <xf numFmtId="0" fontId="12" fillId="0" borderId="19" xfId="0" applyFont="1" applyBorder="1" applyAlignment="1" applyProtection="1">
      <alignment vertical="top" wrapText="1"/>
      <protection locked="0"/>
    </xf>
    <xf numFmtId="0" fontId="30" fillId="0" borderId="25" xfId="0" applyFont="1" applyBorder="1" applyAlignment="1" applyProtection="1">
      <alignment horizontal="center" vertical="top" wrapText="1"/>
      <protection locked="0"/>
    </xf>
    <xf numFmtId="0" fontId="30" fillId="0" borderId="59" xfId="0" applyFont="1" applyBorder="1" applyAlignment="1" applyProtection="1">
      <alignment horizontal="center" vertical="top" wrapText="1"/>
      <protection locked="0"/>
    </xf>
    <xf numFmtId="0" fontId="76" fillId="0" borderId="59" xfId="0" applyFont="1" applyBorder="1" applyAlignment="1" applyProtection="1">
      <alignment horizontal="center" vertical="top" wrapText="1"/>
      <protection locked="0"/>
    </xf>
    <xf numFmtId="0" fontId="12" fillId="0" borderId="13" xfId="0" applyFont="1" applyBorder="1" applyAlignment="1" applyProtection="1">
      <alignment horizontal="center" vertical="top" wrapText="1"/>
      <protection locked="0"/>
    </xf>
    <xf numFmtId="0" fontId="30" fillId="0" borderId="69" xfId="0" applyFont="1" applyBorder="1" applyAlignment="1" applyProtection="1">
      <alignment horizontal="center" vertical="top" wrapText="1"/>
      <protection locked="0"/>
    </xf>
    <xf numFmtId="0" fontId="30" fillId="0" borderId="70" xfId="0" applyFont="1" applyBorder="1" applyAlignment="1" applyProtection="1">
      <alignment horizontal="center" vertical="top" wrapText="1"/>
      <protection locked="0"/>
    </xf>
    <xf numFmtId="0" fontId="30" fillId="0" borderId="60" xfId="0" applyFont="1" applyBorder="1" applyAlignment="1" applyProtection="1">
      <alignment horizontal="center" vertical="top" wrapText="1"/>
      <protection locked="0"/>
    </xf>
    <xf numFmtId="0" fontId="30" fillId="0" borderId="71" xfId="0" applyFont="1" applyBorder="1" applyAlignment="1" applyProtection="1">
      <alignment horizontal="center" vertical="top" wrapText="1"/>
      <protection locked="0"/>
    </xf>
    <xf numFmtId="0" fontId="76" fillId="0" borderId="0" xfId="0" applyFont="1" applyAlignment="1" applyProtection="1">
      <alignment horizontal="left"/>
      <protection locked="0"/>
    </xf>
    <xf numFmtId="0" fontId="76" fillId="0" borderId="38" xfId="0" applyFont="1" applyBorder="1" applyAlignment="1" applyProtection="1">
      <alignment horizontal="left"/>
      <protection locked="0"/>
    </xf>
    <xf numFmtId="166" fontId="25" fillId="2" borderId="78" xfId="0" applyNumberFormat="1" applyFont="1" applyFill="1" applyBorder="1" applyAlignment="1" applyProtection="1">
      <alignment horizontal="center"/>
      <protection locked="0"/>
    </xf>
    <xf numFmtId="166" fontId="25" fillId="2" borderId="8" xfId="0" applyNumberFormat="1" applyFont="1" applyFill="1" applyBorder="1" applyAlignment="1" applyProtection="1">
      <alignment horizontal="center"/>
      <protection locked="0"/>
    </xf>
    <xf numFmtId="166" fontId="25" fillId="10" borderId="78" xfId="0" applyNumberFormat="1" applyFont="1" applyFill="1" applyBorder="1" applyAlignment="1" applyProtection="1">
      <alignment horizontal="center"/>
      <protection locked="0"/>
    </xf>
    <xf numFmtId="166" fontId="25" fillId="10" borderId="8" xfId="0" applyNumberFormat="1" applyFont="1" applyFill="1" applyBorder="1" applyAlignment="1" applyProtection="1">
      <alignment horizontal="center"/>
      <protection locked="0"/>
    </xf>
    <xf numFmtId="0" fontId="12" fillId="0" borderId="81" xfId="0" applyFont="1" applyBorder="1" applyAlignment="1" applyProtection="1">
      <alignment horizontal="left" vertical="top"/>
      <protection locked="0"/>
    </xf>
    <xf numFmtId="0" fontId="12" fillId="0" borderId="7" xfId="0" applyFont="1" applyBorder="1" applyAlignment="1" applyProtection="1">
      <alignment horizontal="left" vertical="top"/>
      <protection locked="0"/>
    </xf>
    <xf numFmtId="0" fontId="30" fillId="0" borderId="61" xfId="0" applyFont="1" applyBorder="1" applyAlignment="1" applyProtection="1">
      <alignment horizontal="center" vertical="top" wrapText="1"/>
      <protection locked="0"/>
    </xf>
    <xf numFmtId="0" fontId="30" fillId="0" borderId="62" xfId="0" applyFont="1" applyBorder="1" applyAlignment="1" applyProtection="1">
      <alignment horizontal="center" vertical="top" wrapText="1"/>
      <protection locked="0"/>
    </xf>
    <xf numFmtId="2" fontId="2" fillId="0" borderId="60" xfId="0" applyNumberFormat="1" applyFont="1" applyBorder="1" applyAlignment="1" applyProtection="1">
      <alignment horizontal="center"/>
      <protection locked="0"/>
    </xf>
    <xf numFmtId="2" fontId="2" fillId="0" borderId="76" xfId="0" applyNumberFormat="1" applyFont="1" applyBorder="1" applyAlignment="1" applyProtection="1">
      <alignment horizontal="center"/>
      <protection locked="0"/>
    </xf>
    <xf numFmtId="2" fontId="2" fillId="0" borderId="17" xfId="0" applyNumberFormat="1" applyFont="1" applyBorder="1" applyAlignment="1" applyProtection="1">
      <alignment horizontal="center"/>
      <protection locked="0"/>
    </xf>
    <xf numFmtId="2" fontId="2" fillId="0" borderId="69" xfId="0" applyNumberFormat="1" applyFont="1" applyBorder="1" applyAlignment="1" applyProtection="1">
      <alignment horizontal="center"/>
      <protection locked="0"/>
    </xf>
    <xf numFmtId="2" fontId="2" fillId="0" borderId="77" xfId="0" applyNumberFormat="1" applyFont="1" applyBorder="1" applyAlignment="1" applyProtection="1">
      <alignment horizontal="center"/>
      <protection locked="0"/>
    </xf>
    <xf numFmtId="2" fontId="2" fillId="0" borderId="15" xfId="0" applyNumberFormat="1" applyFont="1" applyBorder="1" applyAlignment="1" applyProtection="1">
      <alignment horizontal="center"/>
      <protection locked="0"/>
    </xf>
    <xf numFmtId="0" fontId="25" fillId="0" borderId="33" xfId="0" applyFont="1" applyBorder="1" applyAlignment="1" applyProtection="1">
      <alignment vertical="top" wrapText="1"/>
      <protection locked="0"/>
    </xf>
    <xf numFmtId="0" fontId="25" fillId="0" borderId="79" xfId="0" applyFont="1" applyBorder="1" applyAlignment="1" applyProtection="1">
      <alignment vertical="top" wrapText="1"/>
      <protection locked="0"/>
    </xf>
    <xf numFmtId="0" fontId="25" fillId="0" borderId="33" xfId="0" applyFont="1" applyBorder="1" applyAlignment="1" applyProtection="1">
      <alignment horizontal="center" vertical="top" wrapText="1"/>
      <protection locked="0"/>
    </xf>
    <xf numFmtId="0" fontId="25" fillId="0" borderId="79" xfId="0" applyFont="1" applyBorder="1" applyAlignment="1" applyProtection="1">
      <alignment horizontal="center" vertical="top" wrapText="1"/>
      <protection locked="0"/>
    </xf>
    <xf numFmtId="0" fontId="25" fillId="0" borderId="40" xfId="0" applyFont="1" applyBorder="1" applyAlignment="1" applyProtection="1">
      <alignment horizontal="center" vertical="top" wrapText="1"/>
      <protection locked="0"/>
    </xf>
    <xf numFmtId="0" fontId="25" fillId="0" borderId="78" xfId="0" applyFont="1" applyBorder="1" applyAlignment="1" applyProtection="1">
      <alignment horizontal="center" vertical="top" wrapText="1"/>
      <protection locked="0"/>
    </xf>
    <xf numFmtId="0" fontId="25" fillId="0" borderId="40" xfId="0" applyFont="1" applyBorder="1" applyAlignment="1" applyProtection="1">
      <alignment vertical="top" wrapText="1"/>
      <protection locked="0"/>
    </xf>
    <xf numFmtId="0" fontId="25" fillId="0" borderId="78" xfId="0" applyFont="1" applyBorder="1" applyAlignment="1" applyProtection="1">
      <alignment vertical="top" wrapText="1"/>
      <protection locked="0"/>
    </xf>
    <xf numFmtId="0" fontId="25" fillId="0" borderId="33" xfId="0" applyFont="1" applyBorder="1" applyAlignment="1" applyProtection="1">
      <alignment horizontal="left" vertical="top" wrapText="1"/>
      <protection locked="0"/>
    </xf>
    <xf numFmtId="0" fontId="25" fillId="0" borderId="79" xfId="0" applyFont="1" applyBorder="1" applyAlignment="1" applyProtection="1">
      <alignment horizontal="left" vertical="top" wrapText="1"/>
      <protection locked="0"/>
    </xf>
    <xf numFmtId="0" fontId="25" fillId="0" borderId="35" xfId="0" applyFont="1" applyBorder="1" applyAlignment="1" applyProtection="1">
      <alignment vertical="top" wrapText="1"/>
      <protection locked="0"/>
    </xf>
    <xf numFmtId="0" fontId="12" fillId="0" borderId="6" xfId="0" applyFont="1" applyBorder="1" applyAlignment="1" applyProtection="1">
      <alignment horizontal="left"/>
      <protection locked="0"/>
    </xf>
    <xf numFmtId="0" fontId="12" fillId="0" borderId="66" xfId="0" applyFont="1" applyBorder="1" applyAlignment="1" applyProtection="1">
      <alignment horizontal="left"/>
      <protection locked="0"/>
    </xf>
    <xf numFmtId="0" fontId="30" fillId="0" borderId="15" xfId="0" applyFont="1" applyBorder="1" applyAlignment="1" applyProtection="1">
      <alignment horizontal="left"/>
      <protection locked="0"/>
    </xf>
    <xf numFmtId="0" fontId="30" fillId="0" borderId="44" xfId="0" applyFont="1" applyBorder="1" applyAlignment="1" applyProtection="1">
      <alignment horizontal="left"/>
      <protection locked="0"/>
    </xf>
    <xf numFmtId="0" fontId="30" fillId="0" borderId="6" xfId="0" applyFont="1" applyBorder="1" applyAlignment="1" applyProtection="1">
      <alignment horizontal="left"/>
      <protection locked="0"/>
    </xf>
    <xf numFmtId="0" fontId="30" fillId="0" borderId="66" xfId="0" applyFont="1" applyBorder="1" applyAlignment="1" applyProtection="1">
      <alignment horizontal="left"/>
      <protection locked="0"/>
    </xf>
    <xf numFmtId="0" fontId="30" fillId="0" borderId="49" xfId="0" applyFont="1" applyBorder="1" applyAlignment="1" applyProtection="1">
      <alignment horizontal="left"/>
      <protection locked="0"/>
    </xf>
    <xf numFmtId="0" fontId="12" fillId="0" borderId="15" xfId="0" applyFont="1" applyBorder="1" applyAlignment="1" applyProtection="1">
      <alignment horizontal="left"/>
      <protection locked="0"/>
    </xf>
    <xf numFmtId="0" fontId="12" fillId="0" borderId="44" xfId="0" applyFont="1" applyBorder="1" applyAlignment="1" applyProtection="1">
      <alignment horizontal="left"/>
      <protection locked="0"/>
    </xf>
    <xf numFmtId="0" fontId="12" fillId="0" borderId="9" xfId="0" applyFont="1" applyBorder="1" applyAlignment="1" applyProtection="1">
      <alignment horizontal="left"/>
      <protection locked="0"/>
    </xf>
    <xf numFmtId="0" fontId="12" fillId="0" borderId="40" xfId="0" applyFont="1" applyBorder="1" applyAlignment="1" applyProtection="1">
      <alignment horizontal="left"/>
      <protection locked="0"/>
    </xf>
    <xf numFmtId="0" fontId="12" fillId="0" borderId="10" xfId="0" applyFont="1" applyBorder="1" applyAlignment="1" applyProtection="1">
      <alignment horizontal="left"/>
      <protection locked="0"/>
    </xf>
    <xf numFmtId="0" fontId="12" fillId="0" borderId="53" xfId="0" applyFont="1" applyBorder="1" applyAlignment="1" applyProtection="1">
      <alignment horizontal="left"/>
      <protection locked="0"/>
    </xf>
    <xf numFmtId="0" fontId="30" fillId="0" borderId="9" xfId="0" applyFont="1" applyBorder="1" applyAlignment="1" applyProtection="1">
      <alignment horizontal="left" indent="1"/>
      <protection locked="0"/>
    </xf>
    <xf numFmtId="0" fontId="30" fillId="0" borderId="40" xfId="0" applyFont="1" applyBorder="1" applyAlignment="1" applyProtection="1">
      <alignment horizontal="left" indent="1"/>
      <protection locked="0"/>
    </xf>
    <xf numFmtId="0" fontId="30" fillId="0" borderId="50" xfId="0" applyFont="1" applyBorder="1" applyAlignment="1" applyProtection="1">
      <alignment horizontal="left" indent="1"/>
      <protection locked="0"/>
    </xf>
    <xf numFmtId="0" fontId="30" fillId="0" borderId="35" xfId="0" applyFont="1" applyBorder="1" applyAlignment="1" applyProtection="1">
      <alignment horizontal="left" indent="1"/>
      <protection locked="0"/>
    </xf>
    <xf numFmtId="0" fontId="30" fillId="0" borderId="78" xfId="0" applyFont="1" applyBorder="1" applyAlignment="1" applyProtection="1">
      <alignment horizontal="left" indent="1"/>
      <protection locked="0"/>
    </xf>
    <xf numFmtId="0" fontId="30" fillId="0" borderId="68" xfId="0" applyFont="1" applyBorder="1" applyAlignment="1" applyProtection="1">
      <alignment horizontal="left" indent="1"/>
      <protection locked="0"/>
    </xf>
    <xf numFmtId="0" fontId="30" fillId="0" borderId="33" xfId="0" applyFont="1" applyBorder="1" applyAlignment="1" applyProtection="1">
      <alignment horizontal="left" indent="1"/>
      <protection locked="0"/>
    </xf>
    <xf numFmtId="0" fontId="30" fillId="0" borderId="79" xfId="0" applyFont="1" applyBorder="1" applyAlignment="1" applyProtection="1">
      <alignment horizontal="left" indent="1"/>
      <protection locked="0"/>
    </xf>
    <xf numFmtId="0" fontId="12" fillId="0" borderId="9" xfId="0" applyFont="1" applyBorder="1" applyAlignment="1" applyProtection="1">
      <alignment horizontal="left" indent="1"/>
      <protection locked="0"/>
    </xf>
    <xf numFmtId="0" fontId="12" fillId="0" borderId="1" xfId="0" applyFont="1" applyBorder="1" applyAlignment="1" applyProtection="1">
      <alignment horizontal="left" indent="1"/>
      <protection locked="0"/>
    </xf>
    <xf numFmtId="0" fontId="12" fillId="0" borderId="22" xfId="0" applyFont="1" applyBorder="1" applyAlignment="1" applyProtection="1">
      <alignment horizontal="left" indent="1"/>
      <protection locked="0"/>
    </xf>
    <xf numFmtId="0" fontId="12" fillId="0" borderId="70" xfId="0" applyFont="1" applyBorder="1" applyAlignment="1" applyProtection="1">
      <alignment horizontal="left"/>
      <protection locked="0"/>
    </xf>
    <xf numFmtId="0" fontId="12" fillId="0" borderId="47" xfId="0" applyFont="1" applyBorder="1" applyAlignment="1" applyProtection="1">
      <alignment horizontal="left"/>
      <protection locked="0"/>
    </xf>
    <xf numFmtId="170" fontId="25" fillId="18" borderId="53" xfId="0" applyNumberFormat="1" applyFont="1" applyFill="1" applyBorder="1" applyAlignment="1" applyProtection="1">
      <alignment horizontal="center"/>
      <protection locked="0"/>
    </xf>
    <xf numFmtId="170" fontId="25" fillId="18" borderId="80" xfId="0" applyNumberFormat="1" applyFont="1" applyFill="1" applyBorder="1" applyAlignment="1" applyProtection="1">
      <alignment horizontal="center"/>
      <protection locked="0"/>
    </xf>
    <xf numFmtId="170" fontId="25" fillId="10" borderId="40" xfId="0" applyNumberFormat="1" applyFont="1" applyFill="1" applyBorder="1" applyAlignment="1" applyProtection="1">
      <alignment horizontal="center"/>
      <protection locked="0"/>
    </xf>
    <xf numFmtId="170" fontId="25" fillId="10" borderId="78" xfId="0" applyNumberFormat="1" applyFont="1" applyFill="1" applyBorder="1" applyAlignment="1" applyProtection="1">
      <alignment horizontal="center"/>
      <protection locked="0"/>
    </xf>
    <xf numFmtId="0" fontId="12" fillId="0" borderId="8" xfId="0" applyFont="1" applyBorder="1" applyAlignment="1" applyProtection="1">
      <alignment horizontal="left" indent="1"/>
      <protection locked="0"/>
    </xf>
    <xf numFmtId="170" fontId="25" fillId="18" borderId="40" xfId="0" applyNumberFormat="1" applyFont="1" applyFill="1" applyBorder="1" applyAlignment="1" applyProtection="1">
      <alignment horizontal="center"/>
      <protection locked="0"/>
    </xf>
    <xf numFmtId="170" fontId="25" fillId="18" borderId="78" xfId="0" applyNumberFormat="1" applyFont="1" applyFill="1" applyBorder="1" applyAlignment="1" applyProtection="1">
      <alignment horizontal="center"/>
      <protection locked="0"/>
    </xf>
    <xf numFmtId="170" fontId="25" fillId="0" borderId="15" xfId="0" applyNumberFormat="1" applyFont="1" applyBorder="1" applyAlignment="1" applyProtection="1">
      <alignment horizontal="center"/>
      <protection locked="0"/>
    </xf>
    <xf numFmtId="170" fontId="25" fillId="0" borderId="17" xfId="0" applyNumberFormat="1" applyFont="1" applyBorder="1" applyAlignment="1" applyProtection="1">
      <alignment horizontal="center"/>
      <protection locked="0"/>
    </xf>
    <xf numFmtId="170" fontId="25" fillId="0" borderId="6" xfId="0" applyNumberFormat="1" applyFont="1" applyBorder="1" applyAlignment="1" applyProtection="1">
      <alignment horizontal="center"/>
      <protection locked="0"/>
    </xf>
    <xf numFmtId="170" fontId="25" fillId="0" borderId="7" xfId="0" applyNumberFormat="1" applyFont="1" applyBorder="1" applyAlignment="1" applyProtection="1">
      <alignment horizontal="center"/>
      <protection locked="0"/>
    </xf>
    <xf numFmtId="170" fontId="25" fillId="16" borderId="40" xfId="0" applyNumberFormat="1" applyFont="1" applyFill="1" applyBorder="1" applyAlignment="1" applyProtection="1">
      <alignment horizontal="center"/>
      <protection locked="0"/>
    </xf>
    <xf numFmtId="170" fontId="25" fillId="16" borderId="78" xfId="0" applyNumberFormat="1" applyFont="1" applyFill="1" applyBorder="1" applyAlignment="1" applyProtection="1">
      <alignment horizontal="center"/>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0" fontId="12" fillId="0" borderId="1" xfId="0" applyFont="1" applyBorder="1" applyAlignment="1" applyProtection="1">
      <alignment horizontal="left"/>
      <protection locked="0"/>
    </xf>
    <xf numFmtId="0" fontId="12" fillId="0" borderId="22" xfId="0" applyFont="1" applyBorder="1" applyAlignment="1" applyProtection="1">
      <alignment horizontal="left"/>
      <protection locked="0"/>
    </xf>
    <xf numFmtId="170" fontId="25" fillId="10" borderId="9" xfId="0" applyNumberFormat="1" applyFont="1" applyFill="1" applyBorder="1" applyAlignment="1" applyProtection="1">
      <alignment horizontal="center"/>
      <protection locked="0"/>
    </xf>
    <xf numFmtId="170" fontId="25" fillId="10" borderId="8" xfId="0" applyNumberFormat="1" applyFont="1" applyFill="1" applyBorder="1" applyAlignment="1" applyProtection="1">
      <alignment horizontal="center"/>
      <protection locked="0"/>
    </xf>
    <xf numFmtId="0" fontId="12" fillId="0" borderId="11" xfId="0" applyFont="1" applyBorder="1" applyAlignment="1" applyProtection="1">
      <alignment horizontal="left"/>
      <protection locked="0"/>
    </xf>
    <xf numFmtId="0" fontId="12" fillId="0" borderId="23" xfId="0" applyFont="1" applyBorder="1" applyAlignment="1" applyProtection="1">
      <alignment horizontal="left"/>
      <protection locked="0"/>
    </xf>
    <xf numFmtId="170" fontId="25" fillId="10" borderId="15" xfId="0" applyNumberFormat="1" applyFont="1" applyFill="1" applyBorder="1" applyAlignment="1" applyProtection="1">
      <alignment horizontal="center"/>
      <protection locked="0"/>
    </xf>
    <xf numFmtId="170" fontId="25" fillId="10" borderId="17" xfId="0" applyNumberFormat="1" applyFont="1" applyFill="1" applyBorder="1" applyAlignment="1" applyProtection="1">
      <alignment horizontal="center"/>
      <protection locked="0"/>
    </xf>
    <xf numFmtId="0" fontId="12" fillId="0" borderId="16" xfId="0" applyFont="1" applyBorder="1" applyAlignment="1" applyProtection="1">
      <alignment horizontal="left"/>
      <protection locked="0"/>
    </xf>
    <xf numFmtId="0" fontId="12" fillId="0" borderId="21" xfId="0" applyFont="1" applyBorder="1" applyAlignment="1" applyProtection="1">
      <alignment horizontal="left"/>
      <protection locked="0"/>
    </xf>
    <xf numFmtId="0" fontId="25" fillId="0" borderId="68" xfId="0" applyFont="1" applyBorder="1" applyAlignment="1" applyProtection="1">
      <alignment horizontal="center" vertical="top"/>
      <protection locked="0"/>
    </xf>
    <xf numFmtId="0" fontId="25" fillId="0" borderId="55" xfId="0" applyFont="1" applyBorder="1" applyAlignment="1" applyProtection="1">
      <alignment horizontal="center" vertical="top"/>
      <protection locked="0"/>
    </xf>
    <xf numFmtId="0" fontId="12" fillId="0" borderId="58" xfId="0" applyFont="1" applyBorder="1" applyAlignment="1" applyProtection="1">
      <alignment vertical="top" wrapText="1"/>
      <protection locked="0"/>
    </xf>
    <xf numFmtId="0" fontId="12" fillId="0" borderId="52" xfId="0" applyFont="1" applyBorder="1" applyAlignment="1" applyProtection="1">
      <alignment horizontal="left"/>
      <protection locked="0"/>
    </xf>
    <xf numFmtId="0" fontId="12" fillId="0" borderId="26" xfId="0" applyFont="1" applyBorder="1" applyAlignment="1" applyProtection="1">
      <alignment horizontal="left"/>
      <protection locked="0"/>
    </xf>
    <xf numFmtId="0" fontId="12" fillId="0" borderId="32" xfId="0" applyFont="1" applyBorder="1" applyAlignment="1" applyProtection="1">
      <alignment horizontal="left"/>
      <protection locked="0"/>
    </xf>
    <xf numFmtId="0" fontId="12" fillId="0" borderId="43" xfId="0" applyFont="1" applyBorder="1" applyAlignment="1" applyProtection="1">
      <alignment horizontal="center" vertical="top" wrapText="1"/>
      <protection locked="0"/>
    </xf>
    <xf numFmtId="0" fontId="12" fillId="0" borderId="67" xfId="0" applyFont="1" applyBorder="1" applyAlignment="1" applyProtection="1">
      <alignment horizontal="center" vertical="top" wrapText="1"/>
      <protection locked="0"/>
    </xf>
    <xf numFmtId="0" fontId="12" fillId="0" borderId="14" xfId="0" applyFont="1" applyBorder="1" applyAlignment="1" applyProtection="1">
      <alignment horizontal="left"/>
      <protection locked="0"/>
    </xf>
    <xf numFmtId="0" fontId="12" fillId="0" borderId="41" xfId="0" applyFont="1" applyBorder="1" applyAlignment="1" applyProtection="1">
      <alignment horizontal="left"/>
      <protection locked="0"/>
    </xf>
    <xf numFmtId="0" fontId="30" fillId="0" borderId="42" xfId="0" applyFont="1" applyBorder="1" applyAlignment="1" applyProtection="1">
      <alignment horizontal="center" vertical="top" wrapText="1"/>
      <protection locked="0"/>
    </xf>
    <xf numFmtId="170" fontId="25" fillId="10" borderId="6" xfId="0" applyNumberFormat="1" applyFont="1" applyFill="1" applyBorder="1" applyAlignment="1" applyProtection="1">
      <alignment horizontal="center"/>
      <protection locked="0"/>
    </xf>
    <xf numFmtId="170" fontId="25" fillId="10" borderId="49" xfId="0" applyNumberFormat="1" applyFont="1" applyFill="1" applyBorder="1" applyAlignment="1" applyProtection="1">
      <alignment horizontal="center"/>
      <protection locked="0"/>
    </xf>
    <xf numFmtId="170" fontId="25" fillId="10" borderId="7" xfId="0" applyNumberFormat="1" applyFont="1" applyFill="1" applyBorder="1" applyAlignment="1" applyProtection="1">
      <alignment horizontal="center"/>
      <protection locked="0"/>
    </xf>
    <xf numFmtId="0" fontId="25" fillId="0" borderId="59" xfId="0" applyFont="1" applyBorder="1" applyAlignment="1" applyProtection="1">
      <alignment horizontal="center" vertical="center"/>
      <protection locked="0"/>
    </xf>
    <xf numFmtId="0" fontId="25" fillId="0" borderId="75" xfId="0" applyFont="1" applyBorder="1" applyAlignment="1" applyProtection="1">
      <alignment horizontal="center" vertical="center"/>
      <protection locked="0"/>
    </xf>
    <xf numFmtId="0" fontId="12" fillId="0" borderId="18" xfId="0" applyFont="1" applyBorder="1" applyAlignment="1" applyProtection="1">
      <alignment vertical="top" wrapText="1"/>
      <protection locked="0"/>
    </xf>
    <xf numFmtId="0" fontId="12" fillId="0" borderId="13" xfId="0" applyFont="1" applyBorder="1" applyAlignment="1" applyProtection="1">
      <alignment horizontal="center"/>
      <protection locked="0"/>
    </xf>
    <xf numFmtId="0" fontId="12" fillId="0" borderId="6" xfId="0" applyFont="1" applyBorder="1" applyAlignment="1" applyProtection="1">
      <alignment horizontal="center" vertical="top"/>
      <protection locked="0"/>
    </xf>
    <xf numFmtId="0" fontId="12" fillId="0" borderId="49" xfId="0" applyFont="1" applyBorder="1" applyAlignment="1" applyProtection="1">
      <alignment horizontal="center" vertical="top"/>
      <protection locked="0"/>
    </xf>
    <xf numFmtId="0" fontId="30" fillId="0" borderId="2" xfId="0" applyFont="1" applyBorder="1" applyAlignment="1" applyProtection="1">
      <alignment horizontal="center" vertical="top" wrapText="1"/>
      <protection locked="0"/>
    </xf>
    <xf numFmtId="0" fontId="30" fillId="0" borderId="24" xfId="0" applyFont="1" applyBorder="1" applyAlignment="1" applyProtection="1">
      <alignment horizontal="center" vertical="top" wrapText="1"/>
      <protection locked="0"/>
    </xf>
    <xf numFmtId="0" fontId="2" fillId="0" borderId="53" xfId="0" applyFont="1" applyBorder="1" applyAlignment="1" applyProtection="1">
      <alignment horizontal="left"/>
      <protection locked="0"/>
    </xf>
    <xf numFmtId="0" fontId="2" fillId="0" borderId="54" xfId="0" applyFont="1" applyBorder="1" applyAlignment="1" applyProtection="1">
      <alignment horizontal="left"/>
      <protection locked="0"/>
    </xf>
    <xf numFmtId="0" fontId="2" fillId="0" borderId="80" xfId="0" applyFont="1" applyBorder="1" applyAlignment="1" applyProtection="1">
      <alignment horizontal="left"/>
      <protection locked="0"/>
    </xf>
    <xf numFmtId="0" fontId="2" fillId="0" borderId="73" xfId="0" applyFont="1" applyBorder="1" applyAlignment="1" applyProtection="1">
      <alignment horizontal="center"/>
      <protection locked="0"/>
    </xf>
    <xf numFmtId="0" fontId="2" fillId="0" borderId="71" xfId="0" applyFont="1" applyBorder="1" applyAlignment="1" applyProtection="1">
      <alignment horizontal="center"/>
      <protection locked="0"/>
    </xf>
    <xf numFmtId="166" fontId="2" fillId="2" borderId="80" xfId="0" applyNumberFormat="1" applyFont="1" applyFill="1" applyBorder="1" applyAlignment="1" applyProtection="1">
      <alignment horizontal="center"/>
      <protection locked="0"/>
    </xf>
    <xf numFmtId="166" fontId="2" fillId="2" borderId="12" xfId="0" applyNumberFormat="1" applyFont="1" applyFill="1" applyBorder="1" applyAlignment="1" applyProtection="1">
      <alignment horizontal="center"/>
      <protection locked="0"/>
    </xf>
    <xf numFmtId="0" fontId="2" fillId="0" borderId="35" xfId="0" applyFont="1" applyBorder="1" applyAlignment="1" applyProtection="1">
      <alignment vertical="top" wrapText="1"/>
      <protection locked="0"/>
    </xf>
    <xf numFmtId="0" fontId="2" fillId="0" borderId="78" xfId="0" applyFont="1" applyBorder="1" applyAlignment="1" applyProtection="1">
      <alignment vertical="top" wrapText="1"/>
      <protection locked="0"/>
    </xf>
    <xf numFmtId="0" fontId="2" fillId="0" borderId="35" xfId="0" applyFont="1" applyBorder="1" applyAlignment="1" applyProtection="1">
      <alignment vertical="top"/>
      <protection locked="0"/>
    </xf>
    <xf numFmtId="0" fontId="2" fillId="0" borderId="78" xfId="0" applyFont="1" applyBorder="1" applyAlignment="1" applyProtection="1">
      <alignment vertical="top"/>
      <protection locked="0"/>
    </xf>
    <xf numFmtId="0" fontId="12" fillId="0" borderId="10" xfId="0" applyFont="1" applyBorder="1" applyAlignment="1" applyProtection="1">
      <alignment horizontal="left" indent="1"/>
      <protection locked="0"/>
    </xf>
    <xf numFmtId="0" fontId="12" fillId="0" borderId="11" xfId="0" applyFont="1" applyBorder="1" applyAlignment="1" applyProtection="1">
      <alignment horizontal="left" indent="1"/>
      <protection locked="0"/>
    </xf>
    <xf numFmtId="0" fontId="12" fillId="0" borderId="23" xfId="0" applyFont="1" applyBorder="1" applyAlignment="1" applyProtection="1">
      <alignment horizontal="left" indent="1"/>
      <protection locked="0"/>
    </xf>
    <xf numFmtId="166" fontId="2" fillId="10" borderId="78" xfId="0" applyNumberFormat="1" applyFont="1" applyFill="1" applyBorder="1" applyAlignment="1" applyProtection="1">
      <alignment horizontal="center"/>
      <protection locked="0"/>
    </xf>
    <xf numFmtId="166" fontId="2" fillId="10" borderId="8" xfId="0" applyNumberFormat="1" applyFont="1" applyFill="1" applyBorder="1" applyAlignment="1" applyProtection="1">
      <alignment horizontal="center"/>
      <protection locked="0"/>
    </xf>
    <xf numFmtId="0" fontId="12" fillId="0" borderId="6"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12" fillId="0" borderId="69" xfId="0" applyFont="1" applyBorder="1" applyAlignment="1" applyProtection="1">
      <alignment horizontal="left" vertical="top"/>
      <protection locked="0"/>
    </xf>
    <xf numFmtId="0" fontId="12" fillId="0" borderId="42" xfId="0" applyFont="1" applyBorder="1" applyAlignment="1" applyProtection="1">
      <alignment horizontal="left" vertical="top"/>
      <protection locked="0"/>
    </xf>
    <xf numFmtId="0" fontId="12" fillId="0" borderId="13" xfId="0" applyFont="1" applyBorder="1" applyAlignment="1" applyProtection="1">
      <alignment horizontal="left" vertical="top"/>
      <protection locked="0"/>
    </xf>
    <xf numFmtId="0" fontId="12" fillId="0" borderId="19" xfId="0" applyFont="1" applyBorder="1" applyAlignment="1" applyProtection="1">
      <alignment horizontal="left" vertical="top"/>
      <protection locked="0"/>
    </xf>
    <xf numFmtId="0" fontId="12" fillId="0" borderId="28" xfId="0" applyFont="1" applyBorder="1" applyAlignment="1" applyProtection="1">
      <alignment horizontal="center" vertical="top"/>
      <protection locked="0"/>
    </xf>
    <xf numFmtId="0" fontId="12" fillId="0" borderId="7" xfId="0" applyFont="1" applyBorder="1" applyAlignment="1" applyProtection="1">
      <alignment horizontal="center" vertical="top"/>
      <protection locked="0"/>
    </xf>
    <xf numFmtId="0" fontId="12" fillId="0" borderId="24" xfId="0" applyFont="1" applyBorder="1" applyAlignment="1" applyProtection="1">
      <alignment horizontal="left" vertical="top" wrapText="1"/>
      <protection locked="0"/>
    </xf>
    <xf numFmtId="0" fontId="30" fillId="0" borderId="4" xfId="0" applyFont="1" applyBorder="1" applyAlignment="1" applyProtection="1">
      <alignment horizontal="center" vertical="top" wrapText="1"/>
      <protection locked="0"/>
    </xf>
    <xf numFmtId="0" fontId="12" fillId="0" borderId="42" xfId="0" applyFont="1" applyBorder="1" applyAlignment="1" applyProtection="1">
      <alignment horizontal="left" vertical="top" wrapText="1"/>
      <protection locked="0"/>
    </xf>
    <xf numFmtId="0" fontId="12" fillId="0" borderId="43" xfId="0" applyFont="1" applyBorder="1" applyAlignment="1" applyProtection="1">
      <alignment horizontal="left" vertical="top" wrapText="1"/>
      <protection locked="0"/>
    </xf>
    <xf numFmtId="0" fontId="12" fillId="0" borderId="46" xfId="0" applyFont="1" applyBorder="1" applyAlignment="1" applyProtection="1">
      <alignment horizontal="left" vertical="top" wrapText="1"/>
      <protection locked="0"/>
    </xf>
    <xf numFmtId="0" fontId="12" fillId="0" borderId="56" xfId="0" applyFont="1" applyBorder="1" applyAlignment="1" applyProtection="1">
      <alignment horizontal="left" vertical="top" wrapText="1"/>
      <protection locked="0"/>
    </xf>
    <xf numFmtId="0" fontId="12" fillId="0" borderId="0" xfId="0" applyFont="1" applyAlignment="1" applyProtection="1">
      <alignment horizontal="left" vertical="top" wrapText="1"/>
      <protection locked="0"/>
    </xf>
    <xf numFmtId="0" fontId="12" fillId="0" borderId="57" xfId="0" applyFont="1" applyBorder="1" applyAlignment="1" applyProtection="1">
      <alignment horizontal="left" vertical="top" wrapText="1"/>
      <protection locked="0"/>
    </xf>
    <xf numFmtId="0" fontId="12" fillId="0" borderId="44" xfId="0" applyFont="1" applyBorder="1" applyAlignment="1" applyProtection="1">
      <alignment horizontal="left" vertical="top" wrapText="1"/>
      <protection locked="0"/>
    </xf>
    <xf numFmtId="0" fontId="12" fillId="0" borderId="38" xfId="0" applyFont="1" applyBorder="1" applyAlignment="1" applyProtection="1">
      <alignment horizontal="left" vertical="top" wrapText="1"/>
      <protection locked="0"/>
    </xf>
    <xf numFmtId="0" fontId="12" fillId="0" borderId="74" xfId="0" applyFont="1" applyBorder="1" applyAlignment="1" applyProtection="1">
      <alignment horizontal="left" vertical="top" wrapText="1"/>
      <protection locked="0"/>
    </xf>
    <xf numFmtId="0" fontId="30" fillId="0" borderId="40" xfId="0" applyFont="1" applyBorder="1" applyAlignment="1" applyProtection="1">
      <alignment horizontal="center" vertical="top"/>
      <protection locked="0"/>
    </xf>
    <xf numFmtId="0" fontId="30" fillId="0" borderId="78" xfId="0" applyFont="1" applyBorder="1" applyAlignment="1" applyProtection="1">
      <alignment horizontal="center" vertical="top"/>
      <protection locked="0"/>
    </xf>
    <xf numFmtId="0" fontId="76" fillId="0" borderId="42" xfId="0" applyFont="1" applyBorder="1" applyAlignment="1" applyProtection="1">
      <alignment horizontal="left" vertical="top"/>
      <protection locked="0"/>
    </xf>
    <xf numFmtId="0" fontId="76" fillId="0" borderId="43" xfId="0" applyFont="1" applyBorder="1" applyAlignment="1" applyProtection="1">
      <alignment horizontal="left" vertical="top"/>
      <protection locked="0"/>
    </xf>
    <xf numFmtId="0" fontId="76" fillId="0" borderId="61" xfId="0" applyFont="1" applyBorder="1" applyAlignment="1" applyProtection="1">
      <alignment horizontal="left" vertical="top"/>
      <protection locked="0"/>
    </xf>
    <xf numFmtId="0" fontId="76" fillId="0" borderId="45" xfId="0" applyFont="1" applyBorder="1" applyAlignment="1" applyProtection="1">
      <alignment horizontal="left" vertical="top"/>
      <protection locked="0"/>
    </xf>
    <xf numFmtId="0" fontId="42" fillId="0" borderId="42" xfId="0" applyFont="1" applyBorder="1" applyAlignment="1" applyProtection="1">
      <alignment horizontal="left" vertical="top" wrapText="1"/>
      <protection locked="0"/>
    </xf>
    <xf numFmtId="0" fontId="42" fillId="0" borderId="43" xfId="0" applyFont="1" applyBorder="1" applyAlignment="1" applyProtection="1">
      <alignment horizontal="left" vertical="top" wrapText="1"/>
      <protection locked="0"/>
    </xf>
    <xf numFmtId="0" fontId="42" fillId="0" borderId="46" xfId="0" applyFont="1" applyBorder="1" applyAlignment="1" applyProtection="1">
      <alignment horizontal="left" vertical="top" wrapText="1"/>
      <protection locked="0"/>
    </xf>
    <xf numFmtId="0" fontId="42" fillId="0" borderId="56" xfId="0" applyFont="1" applyBorder="1" applyAlignment="1" applyProtection="1">
      <alignment horizontal="left" vertical="top" wrapText="1"/>
      <protection locked="0"/>
    </xf>
    <xf numFmtId="0" fontId="42" fillId="0" borderId="0" xfId="0" applyFont="1" applyAlignment="1" applyProtection="1">
      <alignment horizontal="left" vertical="top" wrapText="1"/>
      <protection locked="0"/>
    </xf>
    <xf numFmtId="0" fontId="42" fillId="0" borderId="57" xfId="0" applyFont="1" applyBorder="1" applyAlignment="1" applyProtection="1">
      <alignment horizontal="left" vertical="top" wrapText="1"/>
      <protection locked="0"/>
    </xf>
    <xf numFmtId="0" fontId="42" fillId="0" borderId="44" xfId="0" applyFont="1" applyBorder="1" applyAlignment="1" applyProtection="1">
      <alignment horizontal="left" vertical="top" wrapText="1"/>
      <protection locked="0"/>
    </xf>
    <xf numFmtId="0" fontId="42" fillId="0" borderId="38" xfId="0" applyFont="1" applyBorder="1" applyAlignment="1" applyProtection="1">
      <alignment horizontal="left" vertical="top" wrapText="1"/>
      <protection locked="0"/>
    </xf>
    <xf numFmtId="0" fontId="42" fillId="0" borderId="74" xfId="0" applyFont="1" applyBorder="1" applyAlignment="1" applyProtection="1">
      <alignment horizontal="left" vertical="top" wrapText="1"/>
      <protection locked="0"/>
    </xf>
    <xf numFmtId="0" fontId="2" fillId="0" borderId="35" xfId="0" applyFont="1" applyBorder="1" applyAlignment="1" applyProtection="1">
      <alignment vertical="center"/>
      <protection locked="0"/>
    </xf>
    <xf numFmtId="0" fontId="2" fillId="0" borderId="78" xfId="0" applyFont="1" applyBorder="1" applyAlignment="1" applyProtection="1">
      <alignment vertical="center"/>
      <protection locked="0"/>
    </xf>
    <xf numFmtId="0" fontId="12" fillId="0" borderId="12" xfId="0" applyFont="1" applyBorder="1" applyAlignment="1" applyProtection="1">
      <alignment horizontal="left" indent="1"/>
      <protection locked="0"/>
    </xf>
    <xf numFmtId="0" fontId="30" fillId="0" borderId="61" xfId="0" applyFont="1" applyBorder="1" applyAlignment="1" applyProtection="1">
      <alignment horizontal="center" vertical="top"/>
      <protection locked="0"/>
    </xf>
    <xf numFmtId="0" fontId="30" fillId="0" borderId="45" xfId="0" applyFont="1" applyBorder="1" applyAlignment="1" applyProtection="1">
      <alignment horizontal="center" vertical="top"/>
      <protection locked="0"/>
    </xf>
    <xf numFmtId="0" fontId="30" fillId="0" borderId="62" xfId="0" applyFont="1" applyBorder="1" applyAlignment="1" applyProtection="1">
      <alignment horizontal="center" vertical="top"/>
      <protection locked="0"/>
    </xf>
    <xf numFmtId="0" fontId="12" fillId="0" borderId="2" xfId="0" applyFont="1" applyBorder="1" applyAlignment="1" applyProtection="1">
      <alignment horizontal="center" vertical="top"/>
      <protection locked="0"/>
    </xf>
    <xf numFmtId="0" fontId="12" fillId="0" borderId="24" xfId="0" applyFont="1" applyBorder="1" applyAlignment="1" applyProtection="1">
      <alignment horizontal="center" vertical="top"/>
      <protection locked="0"/>
    </xf>
    <xf numFmtId="170" fontId="25" fillId="16" borderId="8" xfId="0" applyNumberFormat="1" applyFont="1" applyFill="1" applyBorder="1" applyAlignment="1" applyProtection="1">
      <alignment horizontal="center"/>
      <protection locked="0"/>
    </xf>
    <xf numFmtId="170" fontId="25" fillId="0" borderId="10" xfId="0" applyNumberFormat="1" applyFont="1" applyBorder="1" applyAlignment="1" applyProtection="1">
      <alignment horizontal="center"/>
      <protection locked="0"/>
    </xf>
    <xf numFmtId="170" fontId="25" fillId="0" borderId="12" xfId="0" applyNumberFormat="1" applyFont="1" applyBorder="1" applyAlignment="1" applyProtection="1">
      <alignment horizontal="center"/>
      <protection locked="0"/>
    </xf>
    <xf numFmtId="0" fontId="12" fillId="0" borderId="68" xfId="0" applyFont="1" applyBorder="1" applyAlignment="1" applyProtection="1">
      <alignment horizontal="left"/>
      <protection locked="0"/>
    </xf>
    <xf numFmtId="0" fontId="12" fillId="0" borderId="33" xfId="0" applyFont="1" applyBorder="1" applyAlignment="1" applyProtection="1">
      <alignment horizontal="left"/>
      <protection locked="0"/>
    </xf>
    <xf numFmtId="170" fontId="25" fillId="10" borderId="53" xfId="0" applyNumberFormat="1" applyFont="1" applyFill="1" applyBorder="1" applyAlignment="1" applyProtection="1">
      <alignment horizontal="center"/>
      <protection locked="0"/>
    </xf>
    <xf numFmtId="170" fontId="25" fillId="10" borderId="80" xfId="0" applyNumberFormat="1" applyFont="1" applyFill="1" applyBorder="1" applyAlignment="1" applyProtection="1">
      <alignment horizontal="center"/>
      <protection locked="0"/>
    </xf>
    <xf numFmtId="0" fontId="30" fillId="0" borderId="70" xfId="0" applyFont="1" applyBorder="1" applyAlignment="1" applyProtection="1">
      <alignment horizontal="left"/>
      <protection locked="0"/>
    </xf>
    <xf numFmtId="0" fontId="30" fillId="0" borderId="47" xfId="0" applyFont="1" applyBorder="1" applyAlignment="1" applyProtection="1">
      <alignment horizontal="left"/>
      <protection locked="0"/>
    </xf>
    <xf numFmtId="170" fontId="25" fillId="10" borderId="68" xfId="0" applyNumberFormat="1" applyFont="1" applyFill="1" applyBorder="1" applyAlignment="1" applyProtection="1">
      <alignment horizontal="center"/>
      <protection locked="0"/>
    </xf>
    <xf numFmtId="170" fontId="25" fillId="10" borderId="79" xfId="0" applyNumberFormat="1" applyFont="1" applyFill="1" applyBorder="1" applyAlignment="1" applyProtection="1">
      <alignment horizontal="center"/>
      <protection locked="0"/>
    </xf>
    <xf numFmtId="0" fontId="25" fillId="0" borderId="59" xfId="0" applyFont="1" applyBorder="1" applyAlignment="1" applyProtection="1">
      <alignment horizontal="center" wrapText="1"/>
      <protection locked="0"/>
    </xf>
    <xf numFmtId="0" fontId="25" fillId="0" borderId="16" xfId="0" applyFont="1" applyBorder="1" applyAlignment="1" applyProtection="1">
      <alignment horizontal="center" wrapText="1"/>
      <protection locked="0"/>
    </xf>
    <xf numFmtId="0" fontId="30" fillId="0" borderId="9" xfId="0" applyFont="1" applyBorder="1" applyAlignment="1" applyProtection="1">
      <alignment horizontal="left"/>
      <protection locked="0"/>
    </xf>
    <xf numFmtId="0" fontId="30" fillId="0" borderId="1" xfId="0" applyFont="1" applyBorder="1" applyAlignment="1" applyProtection="1">
      <alignment horizontal="left"/>
      <protection locked="0"/>
    </xf>
    <xf numFmtId="0" fontId="30" fillId="0" borderId="22" xfId="0" applyFont="1" applyBorder="1" applyAlignment="1" applyProtection="1">
      <alignment horizontal="left"/>
      <protection locked="0"/>
    </xf>
    <xf numFmtId="170" fontId="25" fillId="18" borderId="52" xfId="0" applyNumberFormat="1" applyFont="1" applyFill="1" applyBorder="1" applyAlignment="1" applyProtection="1">
      <alignment horizontal="center"/>
      <protection locked="0"/>
    </xf>
    <xf numFmtId="170" fontId="25" fillId="18" borderId="27" xfId="0" applyNumberFormat="1" applyFont="1" applyFill="1" applyBorder="1" applyAlignment="1" applyProtection="1">
      <alignment horizontal="center"/>
      <protection locked="0"/>
    </xf>
    <xf numFmtId="0" fontId="101" fillId="0" borderId="0" xfId="0" applyFont="1" applyAlignment="1">
      <alignment horizontal="center"/>
    </xf>
    <xf numFmtId="0" fontId="32" fillId="0" borderId="5" xfId="0" applyFont="1" applyBorder="1" applyAlignment="1">
      <alignment horizontal="center"/>
    </xf>
    <xf numFmtId="0" fontId="32" fillId="0" borderId="38" xfId="0" applyFont="1" applyBorder="1" applyAlignment="1">
      <alignment horizontal="center" wrapText="1"/>
    </xf>
    <xf numFmtId="0" fontId="33" fillId="0" borderId="0" xfId="0" applyFont="1" applyAlignment="1">
      <alignment horizontal="center"/>
    </xf>
    <xf numFmtId="0" fontId="33" fillId="0" borderId="88" xfId="0" applyFont="1" applyBorder="1" applyAlignment="1">
      <alignment horizontal="center"/>
    </xf>
    <xf numFmtId="0" fontId="33" fillId="0" borderId="87" xfId="0" applyFont="1" applyBorder="1" applyAlignment="1">
      <alignment horizontal="center"/>
    </xf>
    <xf numFmtId="0" fontId="32" fillId="0" borderId="87" xfId="0" applyFont="1" applyBorder="1" applyAlignment="1">
      <alignment horizontal="center"/>
    </xf>
    <xf numFmtId="0" fontId="32" fillId="0" borderId="0" xfId="0" applyFont="1" applyAlignment="1">
      <alignment horizontal="center"/>
    </xf>
    <xf numFmtId="0" fontId="32" fillId="0" borderId="88" xfId="0" applyFont="1" applyBorder="1" applyAlignment="1">
      <alignment horizontal="center"/>
    </xf>
    <xf numFmtId="0" fontId="30" fillId="0" borderId="5" xfId="0" applyFont="1" applyBorder="1" applyAlignment="1">
      <alignment horizontal="center"/>
    </xf>
    <xf numFmtId="0" fontId="29" fillId="0" borderId="5" xfId="0" applyFont="1" applyBorder="1" applyAlignment="1">
      <alignment horizontal="center"/>
    </xf>
    <xf numFmtId="0" fontId="2" fillId="0" borderId="22" xfId="0" applyFont="1" applyBorder="1" applyAlignment="1">
      <alignment horizontal="center" wrapText="1"/>
    </xf>
    <xf numFmtId="0" fontId="2" fillId="0" borderId="35" xfId="0" applyFont="1" applyBorder="1" applyAlignment="1">
      <alignment horizontal="center" wrapText="1"/>
    </xf>
    <xf numFmtId="0" fontId="2" fillId="0" borderId="29" xfId="0" applyFont="1" applyBorder="1" applyAlignment="1">
      <alignment horizontal="center" wrapText="1"/>
    </xf>
    <xf numFmtId="0" fontId="12" fillId="0" borderId="61" xfId="0" applyFont="1" applyBorder="1" applyAlignment="1">
      <alignment horizontal="left" vertical="top"/>
    </xf>
    <xf numFmtId="0" fontId="12" fillId="17" borderId="0" xfId="0" applyFont="1" applyFill="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0" fontId="12" fillId="0" borderId="46" xfId="0" applyFont="1" applyBorder="1" applyAlignment="1">
      <alignment horizontal="center"/>
    </xf>
    <xf numFmtId="0" fontId="12" fillId="0" borderId="14" xfId="0" applyFont="1" applyBorder="1" applyAlignment="1">
      <alignment horizontal="center"/>
    </xf>
    <xf numFmtId="0" fontId="12" fillId="0" borderId="83" xfId="0" applyFont="1" applyBorder="1" applyAlignment="1">
      <alignment horizontal="center"/>
    </xf>
    <xf numFmtId="0" fontId="30" fillId="0" borderId="28" xfId="0" applyFont="1" applyBorder="1" applyAlignment="1">
      <alignment horizontal="center"/>
    </xf>
    <xf numFmtId="0" fontId="30" fillId="0" borderId="14" xfId="0" applyFont="1" applyBorder="1" applyAlignment="1">
      <alignment horizontal="center"/>
    </xf>
    <xf numFmtId="0" fontId="30" fillId="0" borderId="41"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center"/>
    </xf>
    <xf numFmtId="0" fontId="30" fillId="0" borderId="7" xfId="0" applyFont="1" applyBorder="1" applyAlignment="1">
      <alignment horizontal="center"/>
    </xf>
    <xf numFmtId="0" fontId="25" fillId="0" borderId="22" xfId="0" applyFont="1" applyBorder="1" applyAlignment="1">
      <alignment horizontal="center"/>
    </xf>
    <xf numFmtId="0" fontId="25" fillId="0" borderId="35" xfId="0" applyFont="1" applyBorder="1" applyAlignment="1">
      <alignment horizontal="center"/>
    </xf>
    <xf numFmtId="0" fontId="25" fillId="0" borderId="29" xfId="0" applyFont="1" applyBorder="1" applyAlignment="1">
      <alignment horizontal="center"/>
    </xf>
    <xf numFmtId="0" fontId="12" fillId="0" borderId="81" xfId="0" applyFont="1" applyBorder="1" applyAlignment="1">
      <alignment horizontal="center"/>
    </xf>
    <xf numFmtId="0" fontId="12" fillId="0" borderId="41" xfId="0" applyFont="1" applyBorder="1" applyAlignment="1">
      <alignment horizontal="center"/>
    </xf>
    <xf numFmtId="0" fontId="30" fillId="0" borderId="6" xfId="0" applyFont="1" applyBorder="1" applyAlignment="1">
      <alignment horizontal="center"/>
    </xf>
    <xf numFmtId="0" fontId="16" fillId="0" borderId="0" xfId="0" applyFont="1" applyAlignment="1">
      <alignment horizontal="center" wrapText="1"/>
    </xf>
    <xf numFmtId="0" fontId="16" fillId="0" borderId="0" xfId="0" applyFont="1" applyAlignment="1">
      <alignment horizontal="center" vertical="top"/>
    </xf>
    <xf numFmtId="0" fontId="16" fillId="0" borderId="0" xfId="0" applyFont="1" applyAlignment="1">
      <alignment horizontal="center"/>
    </xf>
    <xf numFmtId="0" fontId="50" fillId="21" borderId="1" xfId="0" applyFont="1" applyFill="1" applyBorder="1" applyAlignment="1">
      <alignment horizontal="left" vertical="center"/>
    </xf>
    <xf numFmtId="0" fontId="2" fillId="0" borderId="1" xfId="0" applyFont="1" applyBorder="1" applyAlignment="1">
      <alignment horizontal="center" vertical="top" wrapText="1"/>
    </xf>
    <xf numFmtId="0" fontId="2" fillId="0" borderId="10" xfId="0" applyFont="1" applyBorder="1" applyAlignment="1">
      <alignment horizontal="left"/>
    </xf>
    <xf numFmtId="0" fontId="2" fillId="0" borderId="53" xfId="0" applyFont="1" applyBorder="1" applyAlignment="1">
      <alignment horizontal="left"/>
    </xf>
    <xf numFmtId="0" fontId="2" fillId="0" borderId="22" xfId="0" applyFont="1" applyBorder="1" applyAlignment="1">
      <alignment horizontal="center"/>
    </xf>
    <xf numFmtId="0" fontId="2" fillId="0" borderId="35" xfId="0" applyFont="1" applyBorder="1" applyAlignment="1">
      <alignment horizontal="center"/>
    </xf>
    <xf numFmtId="0" fontId="2" fillId="0" borderId="29" xfId="0" applyFont="1" applyBorder="1" applyAlignment="1">
      <alignment horizontal="center"/>
    </xf>
    <xf numFmtId="0" fontId="12" fillId="0" borderId="44" xfId="0" applyFont="1" applyBorder="1" applyAlignment="1">
      <alignment horizontal="left" vertical="top"/>
    </xf>
    <xf numFmtId="0" fontId="12" fillId="0" borderId="38" xfId="0" applyFont="1" applyBorder="1" applyAlignment="1">
      <alignment horizontal="left" vertical="top"/>
    </xf>
    <xf numFmtId="0" fontId="12" fillId="0" borderId="40" xfId="0" applyFont="1" applyBorder="1" applyAlignment="1">
      <alignment horizontal="left" vertical="top"/>
    </xf>
    <xf numFmtId="0" fontId="12" fillId="0" borderId="35" xfId="0" applyFont="1" applyBorder="1" applyAlignment="1">
      <alignment horizontal="left" vertical="top"/>
    </xf>
    <xf numFmtId="0" fontId="30" fillId="0" borderId="40" xfId="0" applyFont="1" applyBorder="1" applyAlignment="1">
      <alignment horizontal="left" vertical="top"/>
    </xf>
    <xf numFmtId="0" fontId="30" fillId="0" borderId="35" xfId="0" applyFont="1" applyBorder="1" applyAlignment="1">
      <alignment horizontal="left" vertical="top"/>
    </xf>
    <xf numFmtId="0" fontId="20" fillId="0" borderId="26" xfId="0" applyFont="1" applyBorder="1" applyAlignment="1">
      <alignment horizontal="center"/>
    </xf>
    <xf numFmtId="0" fontId="20" fillId="0" borderId="75" xfId="0" applyFont="1" applyBorder="1" applyAlignment="1">
      <alignment horizontal="center"/>
    </xf>
    <xf numFmtId="0" fontId="20" fillId="0" borderId="16" xfId="0" applyFont="1" applyBorder="1" applyAlignment="1">
      <alignment horizontal="center"/>
    </xf>
    <xf numFmtId="0" fontId="20" fillId="0" borderId="26" xfId="0" applyFont="1" applyBorder="1" applyAlignment="1">
      <alignment horizontal="center" vertical="top"/>
    </xf>
    <xf numFmtId="0" fontId="20" fillId="0" borderId="16" xfId="0" applyFont="1" applyBorder="1" applyAlignment="1">
      <alignment horizontal="center" vertical="top"/>
    </xf>
    <xf numFmtId="0" fontId="45" fillId="0" borderId="38" xfId="0" applyFont="1" applyBorder="1" applyAlignment="1">
      <alignment horizontal="center"/>
    </xf>
    <xf numFmtId="0" fontId="20" fillId="0" borderId="26" xfId="0" applyFont="1" applyBorder="1" applyAlignment="1">
      <alignment horizontal="center" vertical="top" wrapText="1"/>
    </xf>
    <xf numFmtId="0" fontId="20" fillId="0" borderId="75" xfId="0" applyFont="1" applyBorder="1" applyAlignment="1">
      <alignment horizontal="center" vertical="top" wrapText="1"/>
    </xf>
    <xf numFmtId="0" fontId="20" fillId="0" borderId="38" xfId="0" applyFont="1" applyBorder="1" applyAlignment="1">
      <alignment horizontal="center"/>
    </xf>
    <xf numFmtId="0" fontId="20" fillId="0" borderId="75" xfId="0" applyFont="1" applyBorder="1" applyAlignment="1">
      <alignment horizontal="center" vertical="top"/>
    </xf>
    <xf numFmtId="0" fontId="20" fillId="0" borderId="16" xfId="0" applyFont="1" applyBorder="1" applyAlignment="1">
      <alignment horizontal="center" vertical="top" wrapText="1"/>
    </xf>
  </cellXfs>
  <cellStyles count="6">
    <cellStyle name="Comma" xfId="5" builtinId="3"/>
    <cellStyle name="Good" xfId="4" builtinId="26"/>
    <cellStyle name="Heading 1" xfId="3" builtinId="16"/>
    <cellStyle name="Hyperlink" xfId="2" builtinId="8"/>
    <cellStyle name="Normal" xfId="0" builtinId="0"/>
    <cellStyle name="Percent" xfId="1" builtinId="5"/>
  </cellStyles>
  <dxfs count="292">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rgb="FF92D050"/>
        </patternFill>
      </fill>
    </dxf>
    <dxf>
      <fill>
        <patternFill>
          <bgColor theme="2"/>
        </patternFill>
      </fill>
    </dxf>
    <dxf>
      <fill>
        <patternFill>
          <bgColor rgb="FF00FFFF"/>
        </patternFill>
      </fill>
    </dxf>
    <dxf>
      <fill>
        <patternFill>
          <bgColor rgb="FF92D050"/>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rgb="FF00FFFF"/>
        </patternFill>
      </fill>
    </dxf>
    <dxf>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006100"/>
      </font>
      <fill>
        <patternFill>
          <bgColor rgb="FFC6EFCE"/>
        </patternFill>
      </fill>
    </dxf>
    <dxf>
      <font>
        <color theme="0"/>
      </font>
      <fill>
        <patternFill>
          <bgColor theme="0"/>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rgb="FF00FFFF"/>
        </patternFill>
      </fill>
    </dxf>
    <dxf>
      <fill>
        <patternFill>
          <bgColor rgb="FF00FFFF"/>
        </patternFill>
      </fill>
    </dxf>
    <dxf>
      <fill>
        <patternFill>
          <bgColor rgb="FF00FFFF"/>
        </patternFill>
      </fill>
    </dxf>
    <dxf>
      <font>
        <color rgb="FFFF0000"/>
      </font>
      <fill>
        <patternFill>
          <bgColor rgb="FFFFFF00"/>
        </patternFill>
      </fill>
    </dxf>
    <dxf>
      <font>
        <color auto="1"/>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FFFF00"/>
        </patternFill>
      </fill>
    </dxf>
    <dxf>
      <fill>
        <patternFill>
          <bgColor theme="2"/>
        </patternFill>
      </fill>
    </dxf>
    <dxf>
      <font>
        <color rgb="FFFF0000"/>
      </font>
      <fill>
        <patternFill>
          <bgColor rgb="FF92D050"/>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8000"/>
      <rgbColor rgb="FF000080"/>
      <rgbColor rgb="FF808000"/>
      <rgbColor rgb="FF800080"/>
      <rgbColor rgb="FF008080"/>
      <rgbColor rgb="FFC0C0C0"/>
      <rgbColor rgb="FF808080"/>
      <rgbColor rgb="FF9999FF"/>
      <rgbColor rgb="FF993366"/>
      <rgbColor rgb="FFE7E6E6"/>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8F7BB"/>
      <rgbColor rgb="FFFFFF99"/>
      <rgbColor rgb="FF9ADDE8"/>
      <rgbColor rgb="FFFF99CC"/>
      <rgbColor rgb="FFCC99FF"/>
      <rgbColor rgb="FFFFCC99"/>
      <rgbColor rgb="FF3366FF"/>
      <rgbColor rgb="FF33CCCC"/>
      <rgbColor rgb="FF99CC00"/>
      <rgbColor rgb="FFFFCC00"/>
      <rgbColor rgb="FFFF9900"/>
      <rgbColor rgb="FFFF6600"/>
      <rgbColor rgb="FF666699"/>
      <rgbColor rgb="FF969696"/>
      <rgbColor rgb="FF002C3C"/>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00FFFF"/>
      <color rgb="FF5F99CA"/>
      <color rgb="FFEADA97"/>
      <color rgb="FF375251"/>
      <color rgb="FF1E3664"/>
      <color rgb="FF6C5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328083</xdr:colOff>
      <xdr:row>19</xdr:row>
      <xdr:rowOff>133772</xdr:rowOff>
    </xdr:from>
    <xdr:to>
      <xdr:col>10</xdr:col>
      <xdr:colOff>427144</xdr:colOff>
      <xdr:row>27</xdr:row>
      <xdr:rowOff>81808</xdr:rowOff>
    </xdr:to>
    <xdr:grpSp>
      <xdr:nvGrpSpPr>
        <xdr:cNvPr id="4" name="Group 3">
          <a:extLst>
            <a:ext uri="{FF2B5EF4-FFF2-40B4-BE49-F238E27FC236}">
              <a16:creationId xmlns:a16="http://schemas.microsoft.com/office/drawing/2014/main" id="{04005D86-76C6-A845-07D8-BAB0FC0B5AAC}"/>
            </a:ext>
          </a:extLst>
        </xdr:cNvPr>
        <xdr:cNvGrpSpPr/>
      </xdr:nvGrpSpPr>
      <xdr:grpSpPr>
        <a:xfrm>
          <a:off x="1494896" y="3467522"/>
          <a:ext cx="4766311" cy="1150567"/>
          <a:chOff x="0" y="2502217"/>
          <a:chExt cx="4341971" cy="1061085"/>
        </a:xfrm>
      </xdr:grpSpPr>
      <xdr:pic>
        <xdr:nvPicPr>
          <xdr:cNvPr id="2" name="Picture 1">
            <a:extLst>
              <a:ext uri="{FF2B5EF4-FFF2-40B4-BE49-F238E27FC236}">
                <a16:creationId xmlns:a16="http://schemas.microsoft.com/office/drawing/2014/main" id="{B6C3A741-E19A-DFFA-976B-74885B092E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02217"/>
            <a:ext cx="4341971" cy="106108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 name="Arrow: Down 2">
            <a:extLst>
              <a:ext uri="{FF2B5EF4-FFF2-40B4-BE49-F238E27FC236}">
                <a16:creationId xmlns:a16="http://schemas.microsoft.com/office/drawing/2014/main" id="{1B8AC714-930E-43D9-E148-6BEF713B4B97}"/>
              </a:ext>
            </a:extLst>
          </xdr:cNvPr>
          <xdr:cNvSpPr/>
        </xdr:nvSpPr>
        <xdr:spPr>
          <a:xfrm rot="4161756">
            <a:off x="2079140" y="2465501"/>
            <a:ext cx="375285" cy="65951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xdr:col>
      <xdr:colOff>47625</xdr:colOff>
      <xdr:row>33</xdr:row>
      <xdr:rowOff>23812</xdr:rowOff>
    </xdr:from>
    <xdr:to>
      <xdr:col>9</xdr:col>
      <xdr:colOff>358141</xdr:colOff>
      <xdr:row>36</xdr:row>
      <xdr:rowOff>20003</xdr:rowOff>
    </xdr:to>
    <xdr:pic>
      <xdr:nvPicPr>
        <xdr:cNvPr id="5" name="Picture 4">
          <a:extLst>
            <a:ext uri="{FF2B5EF4-FFF2-40B4-BE49-F238E27FC236}">
              <a16:creationId xmlns:a16="http://schemas.microsoft.com/office/drawing/2014/main" id="{9C23D8AA-607D-E589-56E7-F67142DFB8B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844" y="4333875"/>
          <a:ext cx="4564856" cy="500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250031</xdr:colOff>
      <xdr:row>2</xdr:row>
      <xdr:rowOff>158590</xdr:rowOff>
    </xdr:from>
    <xdr:to>
      <xdr:col>8</xdr:col>
      <xdr:colOff>245269</xdr:colOff>
      <xdr:row>8</xdr:row>
      <xdr:rowOff>58260</xdr:rowOff>
    </xdr:to>
    <xdr:pic>
      <xdr:nvPicPr>
        <xdr:cNvPr id="6" name="Picture 5">
          <a:extLst>
            <a:ext uri="{FF2B5EF4-FFF2-40B4-BE49-F238E27FC236}">
              <a16:creationId xmlns:a16="http://schemas.microsoft.com/office/drawing/2014/main" id="{5B6D5283-7D1B-47D6-FAD7-4D70BC7980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7250" y="825340"/>
          <a:ext cx="3646170" cy="903605"/>
        </a:xfrm>
        <a:prstGeom prst="rect">
          <a:avLst/>
        </a:prstGeom>
      </xdr:spPr>
    </xdr:pic>
    <xdr:clientData/>
  </xdr:twoCellAnchor>
  <xdr:twoCellAnchor editAs="oneCell">
    <xdr:from>
      <xdr:col>10</xdr:col>
      <xdr:colOff>35719</xdr:colOff>
      <xdr:row>2</xdr:row>
      <xdr:rowOff>95251</xdr:rowOff>
    </xdr:from>
    <xdr:to>
      <xdr:col>11</xdr:col>
      <xdr:colOff>308304</xdr:colOff>
      <xdr:row>9</xdr:row>
      <xdr:rowOff>20860</xdr:rowOff>
    </xdr:to>
    <xdr:pic>
      <xdr:nvPicPr>
        <xdr:cNvPr id="7" name="Picture 6">
          <a:extLst>
            <a:ext uri="{FF2B5EF4-FFF2-40B4-BE49-F238E27FC236}">
              <a16:creationId xmlns:a16="http://schemas.microsoft.com/office/drawing/2014/main" id="{AB988C61-7F1D-E7EE-ACB2-9B4E4797B4C0}"/>
            </a:ext>
          </a:extLst>
        </xdr:cNvPr>
        <xdr:cNvPicPr>
          <a:picLocks noChangeAspect="1"/>
        </xdr:cNvPicPr>
      </xdr:nvPicPr>
      <xdr:blipFill>
        <a:blip xmlns:r="http://schemas.openxmlformats.org/officeDocument/2006/relationships" r:embed="rId4"/>
        <a:stretch>
          <a:fillRect/>
        </a:stretch>
      </xdr:blipFill>
      <xdr:spPr>
        <a:xfrm>
          <a:off x="5500688" y="762001"/>
          <a:ext cx="879805" cy="1079086"/>
        </a:xfrm>
        <a:prstGeom prst="rect">
          <a:avLst/>
        </a:prstGeom>
      </xdr:spPr>
    </xdr:pic>
    <xdr:clientData/>
  </xdr:twoCellAnchor>
  <xdr:twoCellAnchor editAs="oneCell">
    <xdr:from>
      <xdr:col>2</xdr:col>
      <xdr:colOff>10001</xdr:colOff>
      <xdr:row>44</xdr:row>
      <xdr:rowOff>6191</xdr:rowOff>
    </xdr:from>
    <xdr:to>
      <xdr:col>15</xdr:col>
      <xdr:colOff>1692116</xdr:colOff>
      <xdr:row>74</xdr:row>
      <xdr:rowOff>57626</xdr:rowOff>
    </xdr:to>
    <xdr:pic>
      <xdr:nvPicPr>
        <xdr:cNvPr id="10" name="Picture 9">
          <a:extLst>
            <a:ext uri="{FF2B5EF4-FFF2-40B4-BE49-F238E27FC236}">
              <a16:creationId xmlns:a16="http://schemas.microsoft.com/office/drawing/2014/main" id="{36DA7E40-42BA-6D37-875E-6F5075FDBDD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00626" y="7352347"/>
          <a:ext cx="9409748" cy="5042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511967</xdr:colOff>
      <xdr:row>81</xdr:row>
      <xdr:rowOff>69532</xdr:rowOff>
    </xdr:from>
    <xdr:to>
      <xdr:col>15</xdr:col>
      <xdr:colOff>1867375</xdr:colOff>
      <xdr:row>112</xdr:row>
      <xdr:rowOff>134303</xdr:rowOff>
    </xdr:to>
    <xdr:pic>
      <xdr:nvPicPr>
        <xdr:cNvPr id="11" name="Picture 10">
          <a:extLst>
            <a:ext uri="{FF2B5EF4-FFF2-40B4-BE49-F238E27FC236}">
              <a16:creationId xmlns:a16="http://schemas.microsoft.com/office/drawing/2014/main" id="{57F65965-9D16-3204-2192-F67C89C671E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7280" y="13618845"/>
          <a:ext cx="9689783" cy="52282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12224</xdr:colOff>
      <xdr:row>122</xdr:row>
      <xdr:rowOff>130333</xdr:rowOff>
    </xdr:from>
    <xdr:to>
      <xdr:col>15</xdr:col>
      <xdr:colOff>955676</xdr:colOff>
      <xdr:row>136</xdr:row>
      <xdr:rowOff>20371</xdr:rowOff>
    </xdr:to>
    <xdr:pic>
      <xdr:nvPicPr>
        <xdr:cNvPr id="8" name="Picture 7">
          <a:extLst>
            <a:ext uri="{FF2B5EF4-FFF2-40B4-BE49-F238E27FC236}">
              <a16:creationId xmlns:a16="http://schemas.microsoft.com/office/drawing/2014/main" id="{607687A2-A883-99D6-6C7A-DE37B89085C7}"/>
            </a:ext>
          </a:extLst>
        </xdr:cNvPr>
        <xdr:cNvPicPr>
          <a:picLocks noChangeAspect="1"/>
        </xdr:cNvPicPr>
      </xdr:nvPicPr>
      <xdr:blipFill>
        <a:blip xmlns:r="http://schemas.openxmlformats.org/officeDocument/2006/relationships" r:embed="rId7"/>
        <a:stretch>
          <a:fillRect/>
        </a:stretch>
      </xdr:blipFill>
      <xdr:spPr>
        <a:xfrm>
          <a:off x="1186974" y="22188646"/>
          <a:ext cx="8579327" cy="24382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823788</xdr:colOff>
      <xdr:row>4</xdr:row>
      <xdr:rowOff>136331</xdr:rowOff>
    </xdr:from>
    <xdr:to>
      <xdr:col>1</xdr:col>
      <xdr:colOff>3245734</xdr:colOff>
      <xdr:row>8</xdr:row>
      <xdr:rowOff>19326</xdr:rowOff>
    </xdr:to>
    <xdr:sp macro="[0]!reset_to_bc" textlink="">
      <xdr:nvSpPr>
        <xdr:cNvPr id="2" name="Rectangle 1">
          <a:extLst>
            <a:ext uri="{FF2B5EF4-FFF2-40B4-BE49-F238E27FC236}">
              <a16:creationId xmlns:a16="http://schemas.microsoft.com/office/drawing/2014/main" id="{AD707F87-8E5F-8B6E-A47B-4E8AA89EB20E}"/>
            </a:ext>
          </a:extLst>
        </xdr:cNvPr>
        <xdr:cNvSpPr/>
      </xdr:nvSpPr>
      <xdr:spPr>
        <a:xfrm>
          <a:off x="1420136" y="931461"/>
          <a:ext cx="2421946" cy="667082"/>
        </a:xfrm>
        <a:prstGeom prst="rect">
          <a:avLst/>
        </a:prstGeom>
        <a:solidFill>
          <a:srgbClr val="375251"/>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b="1"/>
            <a:t>Restore</a:t>
          </a:r>
          <a:r>
            <a:rPr lang="en-GB" sz="1600" b="1" baseline="0"/>
            <a:t> default base case settings for all sheets</a:t>
          </a:r>
          <a:endParaRPr lang="en-GB" sz="16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48</xdr:row>
      <xdr:rowOff>77153</xdr:rowOff>
    </xdr:from>
    <xdr:to>
      <xdr:col>2</xdr:col>
      <xdr:colOff>125730</xdr:colOff>
      <xdr:row>49</xdr:row>
      <xdr:rowOff>50482</xdr:rowOff>
    </xdr:to>
    <xdr:cxnSp macro="">
      <xdr:nvCxnSpPr>
        <xdr:cNvPr id="3" name="Straight Arrow Connector 2">
          <a:extLst>
            <a:ext uri="{FF2B5EF4-FFF2-40B4-BE49-F238E27FC236}">
              <a16:creationId xmlns:a16="http://schemas.microsoft.com/office/drawing/2014/main" id="{A25DFBC0-B28A-673A-8C3F-B80C43C9AB6D}"/>
            </a:ext>
          </a:extLst>
        </xdr:cNvPr>
        <xdr:cNvCxnSpPr/>
      </xdr:nvCxnSpPr>
      <xdr:spPr>
        <a:xfrm>
          <a:off x="1328738" y="10328434"/>
          <a:ext cx="11430" cy="17573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300990</xdr:colOff>
      <xdr:row>46</xdr:row>
      <xdr:rowOff>114300</xdr:rowOff>
    </xdr:from>
    <xdr:to>
      <xdr:col>10</xdr:col>
      <xdr:colOff>453390</xdr:colOff>
      <xdr:row>46</xdr:row>
      <xdr:rowOff>114300</xdr:rowOff>
    </xdr:to>
    <xdr:cxnSp macro="">
      <xdr:nvCxnSpPr>
        <xdr:cNvPr id="5" name="Straight Arrow Connector 4">
          <a:extLst>
            <a:ext uri="{FF2B5EF4-FFF2-40B4-BE49-F238E27FC236}">
              <a16:creationId xmlns:a16="http://schemas.microsoft.com/office/drawing/2014/main" id="{A7A45C58-D9CF-1EAD-4454-1A2E547BDC2D}"/>
            </a:ext>
          </a:extLst>
        </xdr:cNvPr>
        <xdr:cNvCxnSpPr/>
      </xdr:nvCxnSpPr>
      <xdr:spPr>
        <a:xfrm>
          <a:off x="15743396" y="9829800"/>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205741</xdr:colOff>
      <xdr:row>46</xdr:row>
      <xdr:rowOff>102394</xdr:rowOff>
    </xdr:from>
    <xdr:to>
      <xdr:col>26</xdr:col>
      <xdr:colOff>358141</xdr:colOff>
      <xdr:row>46</xdr:row>
      <xdr:rowOff>102394</xdr:rowOff>
    </xdr:to>
    <xdr:cxnSp macro="">
      <xdr:nvCxnSpPr>
        <xdr:cNvPr id="6" name="Straight Arrow Connector 5">
          <a:extLst>
            <a:ext uri="{FF2B5EF4-FFF2-40B4-BE49-F238E27FC236}">
              <a16:creationId xmlns:a16="http://schemas.microsoft.com/office/drawing/2014/main" id="{96A40F6B-C977-4A10-8C11-BC3198D33575}"/>
            </a:ext>
          </a:extLst>
        </xdr:cNvPr>
        <xdr:cNvCxnSpPr/>
      </xdr:nvCxnSpPr>
      <xdr:spPr>
        <a:xfrm>
          <a:off x="27316272" y="9794082"/>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277178</xdr:colOff>
      <xdr:row>46</xdr:row>
      <xdr:rowOff>90487</xdr:rowOff>
    </xdr:from>
    <xdr:to>
      <xdr:col>42</xdr:col>
      <xdr:colOff>429578</xdr:colOff>
      <xdr:row>46</xdr:row>
      <xdr:rowOff>90487</xdr:rowOff>
    </xdr:to>
    <xdr:cxnSp macro="">
      <xdr:nvCxnSpPr>
        <xdr:cNvPr id="7" name="Straight Arrow Connector 6">
          <a:extLst>
            <a:ext uri="{FF2B5EF4-FFF2-40B4-BE49-F238E27FC236}">
              <a16:creationId xmlns:a16="http://schemas.microsoft.com/office/drawing/2014/main" id="{632B1E83-8BA8-4679-A33C-8B78A7BA4B26}"/>
            </a:ext>
          </a:extLst>
        </xdr:cNvPr>
        <xdr:cNvCxnSpPr/>
      </xdr:nvCxnSpPr>
      <xdr:spPr>
        <a:xfrm>
          <a:off x="42139553" y="9782175"/>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Muthukumar, Madhusubramanian" id="{1B77378B-3FCC-4CE5-9E6E-8167DE02272B}" userId="S::M.Muthukumar@exeter.ac.uk::002e659f-9ea9-48b0-af78-2470d125956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T81" dT="2023-07-07T06:17:37.26" personId="{1B77378B-3FCC-4CE5-9E6E-8167DE02272B}" id="{E5B78BC2-12D0-4E80-9FED-D71E42DEB0C6}">
    <text>Assumed same as trial as not available in RWE</text>
  </threadedComment>
  <threadedComment ref="J114" dT="2023-07-02T22:21:22.71" personId="{1B77378B-3FCC-4CE5-9E6E-8167DE02272B}" id="{4D1192F1-9E03-4634-9F98-3FA7C574AF39}">
    <text>Nivo+Cabo and Suni data combined</text>
  </threadedComment>
  <threadedComment ref="L114" dT="2023-07-02T22:21:22.71" personId="{1B77378B-3FCC-4CE5-9E6E-8167DE02272B}" id="{94539E02-9C9C-488A-B0A0-450799B5790F}">
    <text>Nivo+Cabo and Suni data combined</text>
  </threadedComment>
  <threadedComment ref="N114" dT="2023-07-02T22:21:22.71" personId="{1B77378B-3FCC-4CE5-9E6E-8167DE02272B}" id="{8CE4668C-64A6-44F2-B265-F01E16312867}">
    <text>Nivo+Cabo and Suni data combined</text>
  </threadedComment>
  <threadedComment ref="J119" dT="2023-07-02T22:21:22.71" personId="{1B77378B-3FCC-4CE5-9E6E-8167DE02272B}" id="{D7CFFB2D-9D61-4760-A1C1-387A4B260DE9}">
    <text>Nivo+Cabo and Suni data combined</text>
  </threadedComment>
  <threadedComment ref="L119" dT="2023-07-02T22:21:22.71" personId="{1B77378B-3FCC-4CE5-9E6E-8167DE02272B}" id="{D5149F90-FE33-4419-9030-F6D24D203CC1}">
    <text>Nivo+Cabo and Suni data combined</text>
  </threadedComment>
  <threadedComment ref="N119" dT="2023-07-02T22:21:22.71" personId="{1B77378B-3FCC-4CE5-9E6E-8167DE02272B}" id="{9C6A0FB5-2C74-4F78-818D-DB1482E606D4}">
    <text>Nivo+Cabo and Suni data combined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hyperlink" Target="https://www.ons.gov.uk/peoplepopulationandcommunity/birthsdeathsandmarriages/lifeexpectancies/datasets/nationallifetablesunitedkingdomreferencetables"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79998168889431442"/>
  </sheetPr>
  <dimension ref="B2:T158"/>
  <sheetViews>
    <sheetView showGridLines="0" tabSelected="1" zoomScale="80" zoomScaleNormal="80" workbookViewId="0"/>
  </sheetViews>
  <sheetFormatPr defaultColWidth="8.7109375" defaultRowHeight="14.25" x14ac:dyDescent="0.2"/>
  <cols>
    <col min="1" max="15" width="8.7109375" style="4"/>
    <col min="16" max="16" width="39.7109375" style="4" customWidth="1"/>
    <col min="17" max="17" width="8.7109375" style="4"/>
    <col min="18" max="18" width="21.5703125" style="4" bestFit="1" customWidth="1"/>
    <col min="19" max="1999" width="8.7109375" style="4"/>
    <col min="2000" max="2000" width="2.42578125" style="4" customWidth="1"/>
    <col min="2001" max="16384" width="8.7109375" style="4"/>
  </cols>
  <sheetData>
    <row r="2" spans="2:20" ht="15" thickBot="1" x14ac:dyDescent="0.25"/>
    <row r="3" spans="2:20" x14ac:dyDescent="0.2">
      <c r="B3" s="643"/>
      <c r="C3" s="644"/>
      <c r="D3" s="644"/>
      <c r="E3" s="644"/>
      <c r="F3" s="644"/>
      <c r="G3" s="644"/>
      <c r="H3" s="644"/>
      <c r="I3" s="644"/>
      <c r="J3" s="644"/>
      <c r="K3" s="644"/>
      <c r="L3" s="644"/>
      <c r="M3" s="644"/>
      <c r="N3" s="644"/>
      <c r="O3" s="644"/>
      <c r="P3" s="645"/>
    </row>
    <row r="4" spans="2:20" x14ac:dyDescent="0.2">
      <c r="B4" s="646"/>
      <c r="P4" s="647"/>
      <c r="S4" s="651" t="s">
        <v>0</v>
      </c>
      <c r="T4" s="633"/>
    </row>
    <row r="5" spans="2:20" x14ac:dyDescent="0.2">
      <c r="B5" s="646"/>
      <c r="P5" s="647"/>
      <c r="S5" s="633"/>
      <c r="T5" s="633"/>
    </row>
    <row r="6" spans="2:20" x14ac:dyDescent="0.2">
      <c r="B6" s="646"/>
      <c r="P6" s="647"/>
      <c r="S6" s="634"/>
      <c r="T6" s="633" t="s">
        <v>1</v>
      </c>
    </row>
    <row r="7" spans="2:20" x14ac:dyDescent="0.2">
      <c r="B7" s="646"/>
      <c r="P7" s="647"/>
      <c r="S7" s="633"/>
      <c r="T7" s="633"/>
    </row>
    <row r="8" spans="2:20" x14ac:dyDescent="0.2">
      <c r="B8" s="646"/>
      <c r="P8" s="647"/>
      <c r="S8" s="635"/>
      <c r="T8" s="633" t="s">
        <v>2</v>
      </c>
    </row>
    <row r="9" spans="2:20" x14ac:dyDescent="0.2">
      <c r="B9" s="646"/>
      <c r="P9" s="647"/>
      <c r="S9" s="633"/>
      <c r="T9" s="633"/>
    </row>
    <row r="10" spans="2:20" x14ac:dyDescent="0.2">
      <c r="B10" s="646"/>
      <c r="P10" s="647"/>
      <c r="S10" s="636"/>
      <c r="T10" s="633" t="s">
        <v>3</v>
      </c>
    </row>
    <row r="11" spans="2:20" x14ac:dyDescent="0.2">
      <c r="B11" s="646"/>
      <c r="P11" s="647"/>
      <c r="S11" s="633"/>
      <c r="T11" s="633"/>
    </row>
    <row r="12" spans="2:20" x14ac:dyDescent="0.2">
      <c r="B12" s="646"/>
      <c r="P12" s="647"/>
      <c r="S12" s="637"/>
      <c r="T12" s="633" t="s">
        <v>4</v>
      </c>
    </row>
    <row r="13" spans="2:20" ht="16.899999999999999" customHeight="1" x14ac:dyDescent="0.25">
      <c r="B13" s="646"/>
      <c r="C13" s="59" t="s">
        <v>5</v>
      </c>
      <c r="P13" s="647"/>
    </row>
    <row r="14" spans="2:20" ht="12.6" customHeight="1" x14ac:dyDescent="0.2">
      <c r="B14" s="646"/>
      <c r="P14" s="647"/>
      <c r="S14" s="1386" t="s">
        <v>1839</v>
      </c>
      <c r="T14" s="633" t="s">
        <v>6</v>
      </c>
    </row>
    <row r="15" spans="2:20" ht="12.6" customHeight="1" x14ac:dyDescent="0.2">
      <c r="B15" s="646"/>
      <c r="P15" s="647"/>
    </row>
    <row r="16" spans="2:20" ht="12.6" customHeight="1" x14ac:dyDescent="0.2">
      <c r="B16" s="646"/>
      <c r="P16" s="647"/>
      <c r="S16" s="1305" t="s">
        <v>1839</v>
      </c>
      <c r="T16" s="633" t="s">
        <v>1975</v>
      </c>
    </row>
    <row r="17" spans="2:20" ht="12.6" customHeight="1" x14ac:dyDescent="0.2">
      <c r="B17" s="646"/>
      <c r="P17" s="647"/>
    </row>
    <row r="18" spans="2:20" ht="12.6" customHeight="1" x14ac:dyDescent="0.2">
      <c r="B18" s="646"/>
      <c r="P18" s="647"/>
      <c r="S18" s="1443" t="s">
        <v>1839</v>
      </c>
      <c r="T18" s="633" t="s">
        <v>7</v>
      </c>
    </row>
    <row r="19" spans="2:20" ht="15" customHeight="1" x14ac:dyDescent="0.2">
      <c r="B19" s="646"/>
      <c r="C19" s="648" t="s">
        <v>8</v>
      </c>
      <c r="P19" s="647"/>
    </row>
    <row r="20" spans="2:20" x14ac:dyDescent="0.2">
      <c r="B20" s="646"/>
      <c r="P20" s="647"/>
      <c r="S20" s="1452" t="s">
        <v>1842</v>
      </c>
    </row>
    <row r="21" spans="2:20" ht="4.5" customHeight="1" x14ac:dyDescent="0.2">
      <c r="B21" s="646"/>
      <c r="P21" s="647"/>
    </row>
    <row r="22" spans="2:20" x14ac:dyDescent="0.2">
      <c r="B22" s="646"/>
      <c r="P22" s="647"/>
    </row>
    <row r="23" spans="2:20" ht="6" customHeight="1" x14ac:dyDescent="0.2">
      <c r="B23" s="646"/>
      <c r="P23" s="647"/>
    </row>
    <row r="24" spans="2:20" x14ac:dyDescent="0.2">
      <c r="B24" s="646"/>
      <c r="P24" s="647"/>
    </row>
    <row r="25" spans="2:20" x14ac:dyDescent="0.2">
      <c r="B25" s="646"/>
      <c r="P25" s="647"/>
    </row>
    <row r="26" spans="2:20" x14ac:dyDescent="0.2">
      <c r="B26" s="646"/>
      <c r="P26" s="647"/>
    </row>
    <row r="27" spans="2:20" x14ac:dyDescent="0.2">
      <c r="B27" s="646"/>
      <c r="P27" s="647"/>
    </row>
    <row r="28" spans="2:20" x14ac:dyDescent="0.2">
      <c r="B28" s="646"/>
      <c r="P28" s="647"/>
    </row>
    <row r="29" spans="2:20" x14ac:dyDescent="0.2">
      <c r="B29" s="646"/>
      <c r="P29" s="647"/>
    </row>
    <row r="30" spans="2:20" x14ac:dyDescent="0.2">
      <c r="B30" s="646"/>
      <c r="P30" s="647"/>
    </row>
    <row r="31" spans="2:20" x14ac:dyDescent="0.2">
      <c r="B31" s="646"/>
      <c r="P31" s="647"/>
    </row>
    <row r="32" spans="2:20" ht="15" x14ac:dyDescent="0.2">
      <c r="B32" s="646"/>
      <c r="C32" s="6" t="s">
        <v>9</v>
      </c>
      <c r="P32" s="647"/>
    </row>
    <row r="33" spans="2:16" x14ac:dyDescent="0.2">
      <c r="B33" s="646"/>
      <c r="P33" s="647"/>
    </row>
    <row r="34" spans="2:16" x14ac:dyDescent="0.2">
      <c r="B34" s="646"/>
      <c r="P34" s="647"/>
    </row>
    <row r="35" spans="2:16" x14ac:dyDescent="0.2">
      <c r="B35" s="646"/>
      <c r="P35" s="647"/>
    </row>
    <row r="36" spans="2:16" x14ac:dyDescent="0.2">
      <c r="B36" s="646"/>
      <c r="P36" s="647"/>
    </row>
    <row r="37" spans="2:16" x14ac:dyDescent="0.2">
      <c r="B37" s="646"/>
      <c r="P37" s="647"/>
    </row>
    <row r="38" spans="2:16" ht="15" thickBot="1" x14ac:dyDescent="0.25">
      <c r="B38" s="646"/>
      <c r="P38" s="647"/>
    </row>
    <row r="39" spans="2:16" ht="17.25" thickTop="1" thickBot="1" x14ac:dyDescent="0.3">
      <c r="B39" s="646"/>
      <c r="C39" s="639" t="s">
        <v>10</v>
      </c>
      <c r="D39" s="640"/>
      <c r="E39" s="638" t="s">
        <v>11</v>
      </c>
      <c r="F39" s="640"/>
      <c r="G39" s="641"/>
      <c r="P39" s="647"/>
    </row>
    <row r="40" spans="2:16" ht="15" thickTop="1" x14ac:dyDescent="0.2">
      <c r="B40" s="646"/>
      <c r="P40" s="647"/>
    </row>
    <row r="41" spans="2:16" x14ac:dyDescent="0.2">
      <c r="B41" s="646"/>
      <c r="P41" s="647"/>
    </row>
    <row r="42" spans="2:16" ht="15.75" x14ac:dyDescent="0.25">
      <c r="B42" s="646"/>
      <c r="C42" s="1140" t="s">
        <v>12</v>
      </c>
      <c r="P42" s="647"/>
    </row>
    <row r="43" spans="2:16" x14ac:dyDescent="0.2">
      <c r="B43" s="646"/>
      <c r="P43" s="647"/>
    </row>
    <row r="44" spans="2:16" x14ac:dyDescent="0.2">
      <c r="B44" s="646"/>
      <c r="P44" s="647"/>
    </row>
    <row r="45" spans="2:16" x14ac:dyDescent="0.2">
      <c r="B45" s="646"/>
      <c r="P45" s="647"/>
    </row>
    <row r="46" spans="2:16" x14ac:dyDescent="0.2">
      <c r="B46" s="646"/>
      <c r="P46" s="647"/>
    </row>
    <row r="47" spans="2:16" x14ac:dyDescent="0.2">
      <c r="B47" s="646"/>
      <c r="P47" s="647"/>
    </row>
    <row r="48" spans="2:16" x14ac:dyDescent="0.2">
      <c r="B48" s="646"/>
      <c r="P48" s="647"/>
    </row>
    <row r="49" spans="2:16" x14ac:dyDescent="0.2">
      <c r="B49" s="646"/>
      <c r="P49" s="647"/>
    </row>
    <row r="50" spans="2:16" x14ac:dyDescent="0.2">
      <c r="B50" s="646"/>
      <c r="P50" s="647"/>
    </row>
    <row r="51" spans="2:16" x14ac:dyDescent="0.2">
      <c r="B51" s="646"/>
      <c r="P51" s="647"/>
    </row>
    <row r="52" spans="2:16" x14ac:dyDescent="0.2">
      <c r="B52" s="646"/>
      <c r="P52" s="647"/>
    </row>
    <row r="53" spans="2:16" x14ac:dyDescent="0.2">
      <c r="B53" s="646"/>
      <c r="P53" s="647"/>
    </row>
    <row r="54" spans="2:16" x14ac:dyDescent="0.2">
      <c r="B54" s="646"/>
      <c r="P54" s="647"/>
    </row>
    <row r="55" spans="2:16" x14ac:dyDescent="0.2">
      <c r="B55" s="646"/>
      <c r="P55" s="647"/>
    </row>
    <row r="56" spans="2:16" x14ac:dyDescent="0.2">
      <c r="B56" s="646"/>
      <c r="P56" s="647"/>
    </row>
    <row r="57" spans="2:16" x14ac:dyDescent="0.2">
      <c r="B57" s="646"/>
      <c r="P57" s="647"/>
    </row>
    <row r="58" spans="2:16" x14ac:dyDescent="0.2">
      <c r="B58" s="646"/>
      <c r="P58" s="647"/>
    </row>
    <row r="59" spans="2:16" x14ac:dyDescent="0.2">
      <c r="B59" s="646"/>
      <c r="P59" s="647"/>
    </row>
    <row r="60" spans="2:16" x14ac:dyDescent="0.2">
      <c r="B60" s="646"/>
      <c r="P60" s="647"/>
    </row>
    <row r="61" spans="2:16" x14ac:dyDescent="0.2">
      <c r="B61" s="646"/>
      <c r="P61" s="647"/>
    </row>
    <row r="62" spans="2:16" x14ac:dyDescent="0.2">
      <c r="B62" s="646"/>
      <c r="P62" s="647"/>
    </row>
    <row r="63" spans="2:16" x14ac:dyDescent="0.2">
      <c r="B63" s="646"/>
      <c r="P63" s="647"/>
    </row>
    <row r="64" spans="2:16" x14ac:dyDescent="0.2">
      <c r="B64" s="646"/>
      <c r="P64" s="647"/>
    </row>
    <row r="65" spans="2:16" x14ac:dyDescent="0.2">
      <c r="B65" s="646"/>
      <c r="P65" s="647"/>
    </row>
    <row r="66" spans="2:16" x14ac:dyDescent="0.2">
      <c r="B66" s="646"/>
      <c r="P66" s="647"/>
    </row>
    <row r="67" spans="2:16" x14ac:dyDescent="0.2">
      <c r="B67" s="646"/>
      <c r="P67" s="647"/>
    </row>
    <row r="68" spans="2:16" x14ac:dyDescent="0.2">
      <c r="B68" s="646"/>
      <c r="P68" s="647"/>
    </row>
    <row r="69" spans="2:16" x14ac:dyDescent="0.2">
      <c r="B69" s="646"/>
      <c r="P69" s="647"/>
    </row>
    <row r="70" spans="2:16" x14ac:dyDescent="0.2">
      <c r="B70" s="646"/>
      <c r="P70" s="647"/>
    </row>
    <row r="71" spans="2:16" x14ac:dyDescent="0.2">
      <c r="B71" s="646"/>
      <c r="P71" s="647"/>
    </row>
    <row r="72" spans="2:16" x14ac:dyDescent="0.2">
      <c r="B72" s="646"/>
      <c r="P72" s="647"/>
    </row>
    <row r="73" spans="2:16" x14ac:dyDescent="0.2">
      <c r="B73" s="646"/>
      <c r="P73" s="647"/>
    </row>
    <row r="74" spans="2:16" x14ac:dyDescent="0.2">
      <c r="B74" s="646"/>
      <c r="P74" s="647"/>
    </row>
    <row r="75" spans="2:16" x14ac:dyDescent="0.2">
      <c r="B75" s="646"/>
      <c r="P75" s="647"/>
    </row>
    <row r="76" spans="2:16" x14ac:dyDescent="0.2">
      <c r="B76" s="646"/>
      <c r="P76" s="647"/>
    </row>
    <row r="77" spans="2:16" x14ac:dyDescent="0.2">
      <c r="B77" s="646"/>
      <c r="P77" s="647"/>
    </row>
    <row r="78" spans="2:16" x14ac:dyDescent="0.2">
      <c r="B78" s="646"/>
      <c r="P78" s="647"/>
    </row>
    <row r="79" spans="2:16" ht="15.75" x14ac:dyDescent="0.25">
      <c r="B79" s="646"/>
      <c r="C79" s="1140" t="s">
        <v>13</v>
      </c>
      <c r="P79" s="647"/>
    </row>
    <row r="80" spans="2:16" x14ac:dyDescent="0.2">
      <c r="B80" s="646"/>
      <c r="P80" s="647"/>
    </row>
    <row r="81" spans="2:16" x14ac:dyDescent="0.2">
      <c r="B81" s="646"/>
      <c r="P81" s="647"/>
    </row>
    <row r="82" spans="2:16" x14ac:dyDescent="0.2">
      <c r="B82" s="646"/>
      <c r="P82" s="647"/>
    </row>
    <row r="83" spans="2:16" x14ac:dyDescent="0.2">
      <c r="B83" s="646"/>
      <c r="P83" s="647"/>
    </row>
    <row r="84" spans="2:16" x14ac:dyDescent="0.2">
      <c r="B84" s="646"/>
      <c r="P84" s="647"/>
    </row>
    <row r="85" spans="2:16" x14ac:dyDescent="0.2">
      <c r="B85" s="646"/>
      <c r="P85" s="647"/>
    </row>
    <row r="86" spans="2:16" x14ac:dyDescent="0.2">
      <c r="B86" s="646"/>
      <c r="P86" s="647"/>
    </row>
    <row r="87" spans="2:16" x14ac:dyDescent="0.2">
      <c r="B87" s="646"/>
      <c r="P87" s="647"/>
    </row>
    <row r="88" spans="2:16" x14ac:dyDescent="0.2">
      <c r="B88" s="646"/>
      <c r="P88" s="647"/>
    </row>
    <row r="89" spans="2:16" x14ac:dyDescent="0.2">
      <c r="B89" s="646"/>
      <c r="P89" s="647"/>
    </row>
    <row r="90" spans="2:16" x14ac:dyDescent="0.2">
      <c r="B90" s="646"/>
      <c r="P90" s="647"/>
    </row>
    <row r="91" spans="2:16" x14ac:dyDescent="0.2">
      <c r="B91" s="646"/>
      <c r="P91" s="647"/>
    </row>
    <row r="92" spans="2:16" x14ac:dyDescent="0.2">
      <c r="B92" s="646"/>
      <c r="P92" s="647"/>
    </row>
    <row r="93" spans="2:16" x14ac:dyDescent="0.2">
      <c r="B93" s="646"/>
      <c r="P93" s="647"/>
    </row>
    <row r="94" spans="2:16" x14ac:dyDescent="0.2">
      <c r="B94" s="646"/>
      <c r="P94" s="647"/>
    </row>
    <row r="95" spans="2:16" x14ac:dyDescent="0.2">
      <c r="B95" s="646"/>
      <c r="P95" s="647"/>
    </row>
    <row r="96" spans="2:16" x14ac:dyDescent="0.2">
      <c r="B96" s="646"/>
      <c r="P96" s="647"/>
    </row>
    <row r="97" spans="2:16" x14ac:dyDescent="0.2">
      <c r="B97" s="646"/>
      <c r="P97" s="647"/>
    </row>
    <row r="98" spans="2:16" x14ac:dyDescent="0.2">
      <c r="B98" s="646"/>
      <c r="P98" s="647"/>
    </row>
    <row r="99" spans="2:16" x14ac:dyDescent="0.2">
      <c r="B99" s="646"/>
      <c r="P99" s="647"/>
    </row>
    <row r="100" spans="2:16" x14ac:dyDescent="0.2">
      <c r="B100" s="646"/>
      <c r="P100" s="647"/>
    </row>
    <row r="101" spans="2:16" x14ac:dyDescent="0.2">
      <c r="B101" s="646"/>
      <c r="P101" s="647"/>
    </row>
    <row r="102" spans="2:16" x14ac:dyDescent="0.2">
      <c r="B102" s="646"/>
      <c r="P102" s="647"/>
    </row>
    <row r="103" spans="2:16" x14ac:dyDescent="0.2">
      <c r="B103" s="646"/>
      <c r="P103" s="647"/>
    </row>
    <row r="104" spans="2:16" x14ac:dyDescent="0.2">
      <c r="B104" s="646"/>
      <c r="P104" s="647"/>
    </row>
    <row r="105" spans="2:16" x14ac:dyDescent="0.2">
      <c r="B105" s="646"/>
      <c r="P105" s="647"/>
    </row>
    <row r="106" spans="2:16" x14ac:dyDescent="0.2">
      <c r="B106" s="646"/>
      <c r="P106" s="647"/>
    </row>
    <row r="107" spans="2:16" x14ac:dyDescent="0.2">
      <c r="B107" s="646"/>
      <c r="P107" s="647"/>
    </row>
    <row r="108" spans="2:16" x14ac:dyDescent="0.2">
      <c r="B108" s="646"/>
      <c r="P108" s="647"/>
    </row>
    <row r="109" spans="2:16" x14ac:dyDescent="0.2">
      <c r="B109" s="646"/>
      <c r="P109" s="647"/>
    </row>
    <row r="110" spans="2:16" x14ac:dyDescent="0.2">
      <c r="B110" s="646"/>
      <c r="P110" s="647"/>
    </row>
    <row r="111" spans="2:16" x14ac:dyDescent="0.2">
      <c r="B111" s="646"/>
      <c r="P111" s="647"/>
    </row>
    <row r="112" spans="2:16" x14ac:dyDescent="0.2">
      <c r="B112" s="646"/>
      <c r="P112" s="647"/>
    </row>
    <row r="113" spans="2:16" x14ac:dyDescent="0.2">
      <c r="B113" s="646"/>
      <c r="P113" s="647"/>
    </row>
    <row r="114" spans="2:16" x14ac:dyDescent="0.2">
      <c r="B114" s="646"/>
      <c r="P114" s="647"/>
    </row>
    <row r="115" spans="2:16" x14ac:dyDescent="0.2">
      <c r="B115" s="646"/>
      <c r="P115" s="647"/>
    </row>
    <row r="116" spans="2:16" ht="15.75" x14ac:dyDescent="0.25">
      <c r="B116" s="646"/>
      <c r="C116" s="1140" t="s">
        <v>14</v>
      </c>
      <c r="P116" s="647"/>
    </row>
    <row r="117" spans="2:16" x14ac:dyDescent="0.2">
      <c r="B117" s="646"/>
      <c r="C117" s="1466" t="s">
        <v>15</v>
      </c>
      <c r="D117" s="1467"/>
      <c r="E117" s="1467"/>
      <c r="F117" s="1467"/>
      <c r="G117" s="1467"/>
      <c r="H117" s="1467"/>
      <c r="I117" s="1467"/>
      <c r="J117" s="1467"/>
      <c r="K117" s="1467"/>
      <c r="L117" s="1467"/>
      <c r="M117" s="1467"/>
      <c r="N117" s="1467"/>
      <c r="O117" s="1467"/>
      <c r="P117" s="1468"/>
    </row>
    <row r="118" spans="2:16" x14ac:dyDescent="0.2">
      <c r="B118" s="646"/>
      <c r="C118" s="1467"/>
      <c r="D118" s="1467"/>
      <c r="E118" s="1467"/>
      <c r="F118" s="1467"/>
      <c r="G118" s="1467"/>
      <c r="H118" s="1467"/>
      <c r="I118" s="1467"/>
      <c r="J118" s="1467"/>
      <c r="K118" s="1467"/>
      <c r="L118" s="1467"/>
      <c r="M118" s="1467"/>
      <c r="N118" s="1467"/>
      <c r="O118" s="1467"/>
      <c r="P118" s="1468"/>
    </row>
    <row r="119" spans="2:16" x14ac:dyDescent="0.2">
      <c r="B119" s="646"/>
      <c r="C119" s="1467"/>
      <c r="D119" s="1467"/>
      <c r="E119" s="1467"/>
      <c r="F119" s="1467"/>
      <c r="G119" s="1467"/>
      <c r="H119" s="1467"/>
      <c r="I119" s="1467"/>
      <c r="J119" s="1467"/>
      <c r="K119" s="1467"/>
      <c r="L119" s="1467"/>
      <c r="M119" s="1467"/>
      <c r="N119" s="1467"/>
      <c r="O119" s="1467"/>
      <c r="P119" s="1468"/>
    </row>
    <row r="120" spans="2:16" x14ac:dyDescent="0.2">
      <c r="B120" s="646"/>
      <c r="C120" s="1467"/>
      <c r="D120" s="1467"/>
      <c r="E120" s="1467"/>
      <c r="F120" s="1467"/>
      <c r="G120" s="1467"/>
      <c r="H120" s="1467"/>
      <c r="I120" s="1467"/>
      <c r="J120" s="1467"/>
      <c r="K120" s="1467"/>
      <c r="L120" s="1467"/>
      <c r="M120" s="1467"/>
      <c r="N120" s="1467"/>
      <c r="O120" s="1467"/>
      <c r="P120" s="1468"/>
    </row>
    <row r="121" spans="2:16" x14ac:dyDescent="0.2">
      <c r="B121" s="646"/>
      <c r="C121" s="1467"/>
      <c r="D121" s="1467"/>
      <c r="E121" s="1467"/>
      <c r="F121" s="1467"/>
      <c r="G121" s="1467"/>
      <c r="H121" s="1467"/>
      <c r="I121" s="1467"/>
      <c r="J121" s="1467"/>
      <c r="K121" s="1467"/>
      <c r="L121" s="1467"/>
      <c r="M121" s="1467"/>
      <c r="N121" s="1467"/>
      <c r="O121" s="1467"/>
      <c r="P121" s="1468"/>
    </row>
    <row r="122" spans="2:16" x14ac:dyDescent="0.2">
      <c r="B122" s="646"/>
      <c r="C122" s="1467"/>
      <c r="D122" s="1467"/>
      <c r="E122" s="1467"/>
      <c r="F122" s="1467"/>
      <c r="G122" s="1467"/>
      <c r="H122" s="1467"/>
      <c r="I122" s="1467"/>
      <c r="J122" s="1467"/>
      <c r="K122" s="1467"/>
      <c r="L122" s="1467"/>
      <c r="M122" s="1467"/>
      <c r="N122" s="1467"/>
      <c r="O122" s="1467"/>
      <c r="P122" s="1468"/>
    </row>
    <row r="123" spans="2:16" x14ac:dyDescent="0.2">
      <c r="B123" s="646"/>
      <c r="C123" s="1467"/>
      <c r="D123" s="1467"/>
      <c r="E123" s="1467"/>
      <c r="F123" s="1467"/>
      <c r="G123" s="1467"/>
      <c r="H123" s="1467"/>
      <c r="I123" s="1467"/>
      <c r="J123" s="1467"/>
      <c r="K123" s="1467"/>
      <c r="L123" s="1467"/>
      <c r="M123" s="1467"/>
      <c r="N123" s="1467"/>
      <c r="O123" s="1467"/>
      <c r="P123" s="1468"/>
    </row>
    <row r="124" spans="2:16" x14ac:dyDescent="0.2">
      <c r="B124" s="646"/>
      <c r="C124" s="1467"/>
      <c r="D124" s="1467"/>
      <c r="E124" s="1467"/>
      <c r="F124" s="1467"/>
      <c r="G124" s="1467"/>
      <c r="H124" s="1467"/>
      <c r="I124" s="1467"/>
      <c r="J124" s="1467"/>
      <c r="K124" s="1467"/>
      <c r="L124" s="1467"/>
      <c r="M124" s="1467"/>
      <c r="N124" s="1467"/>
      <c r="O124" s="1467"/>
      <c r="P124" s="1468"/>
    </row>
    <row r="125" spans="2:16" x14ac:dyDescent="0.2">
      <c r="B125" s="646"/>
      <c r="C125" s="1467"/>
      <c r="D125" s="1467"/>
      <c r="E125" s="1467"/>
      <c r="F125" s="1467"/>
      <c r="G125" s="1467"/>
      <c r="H125" s="1467"/>
      <c r="I125" s="1467"/>
      <c r="J125" s="1467"/>
      <c r="K125" s="1467"/>
      <c r="L125" s="1467"/>
      <c r="M125" s="1467"/>
      <c r="N125" s="1467"/>
      <c r="O125" s="1467"/>
      <c r="P125" s="1468"/>
    </row>
    <row r="126" spans="2:16" x14ac:dyDescent="0.2">
      <c r="B126" s="646"/>
      <c r="C126" s="1467"/>
      <c r="D126" s="1467"/>
      <c r="E126" s="1467"/>
      <c r="F126" s="1467"/>
      <c r="G126" s="1467"/>
      <c r="H126" s="1467"/>
      <c r="I126" s="1467"/>
      <c r="J126" s="1467"/>
      <c r="K126" s="1467"/>
      <c r="L126" s="1467"/>
      <c r="M126" s="1467"/>
      <c r="N126" s="1467"/>
      <c r="O126" s="1467"/>
      <c r="P126" s="1468"/>
    </row>
    <row r="127" spans="2:16" x14ac:dyDescent="0.2">
      <c r="B127" s="646"/>
      <c r="C127" s="1467"/>
      <c r="D127" s="1467"/>
      <c r="E127" s="1467"/>
      <c r="F127" s="1467"/>
      <c r="G127" s="1467"/>
      <c r="H127" s="1467"/>
      <c r="I127" s="1467"/>
      <c r="J127" s="1467"/>
      <c r="K127" s="1467"/>
      <c r="L127" s="1467"/>
      <c r="M127" s="1467"/>
      <c r="N127" s="1467"/>
      <c r="O127" s="1467"/>
      <c r="P127" s="1468"/>
    </row>
    <row r="128" spans="2:16" x14ac:dyDescent="0.2">
      <c r="B128" s="646"/>
      <c r="C128" s="1467"/>
      <c r="D128" s="1467"/>
      <c r="E128" s="1467"/>
      <c r="F128" s="1467"/>
      <c r="G128" s="1467"/>
      <c r="H128" s="1467"/>
      <c r="I128" s="1467"/>
      <c r="J128" s="1467"/>
      <c r="K128" s="1467"/>
      <c r="L128" s="1467"/>
      <c r="M128" s="1467"/>
      <c r="N128" s="1467"/>
      <c r="O128" s="1467"/>
      <c r="P128" s="1468"/>
    </row>
    <row r="129" spans="2:16" x14ac:dyDescent="0.2">
      <c r="B129" s="646"/>
      <c r="C129" s="1467"/>
      <c r="D129" s="1467"/>
      <c r="E129" s="1467"/>
      <c r="F129" s="1467"/>
      <c r="G129" s="1467"/>
      <c r="H129" s="1467"/>
      <c r="I129" s="1467"/>
      <c r="J129" s="1467"/>
      <c r="K129" s="1467"/>
      <c r="L129" s="1467"/>
      <c r="M129" s="1467"/>
      <c r="N129" s="1467"/>
      <c r="O129" s="1467"/>
      <c r="P129" s="1468"/>
    </row>
    <row r="130" spans="2:16" x14ac:dyDescent="0.2">
      <c r="B130" s="646"/>
      <c r="C130" s="1467"/>
      <c r="D130" s="1467"/>
      <c r="E130" s="1467"/>
      <c r="F130" s="1467"/>
      <c r="G130" s="1467"/>
      <c r="H130" s="1467"/>
      <c r="I130" s="1467"/>
      <c r="J130" s="1467"/>
      <c r="K130" s="1467"/>
      <c r="L130" s="1467"/>
      <c r="M130" s="1467"/>
      <c r="N130" s="1467"/>
      <c r="O130" s="1467"/>
      <c r="P130" s="1468"/>
    </row>
    <row r="131" spans="2:16" x14ac:dyDescent="0.2">
      <c r="B131" s="646"/>
      <c r="C131" s="1467"/>
      <c r="D131" s="1467"/>
      <c r="E131" s="1467"/>
      <c r="F131" s="1467"/>
      <c r="G131" s="1467"/>
      <c r="H131" s="1467"/>
      <c r="I131" s="1467"/>
      <c r="J131" s="1467"/>
      <c r="K131" s="1467"/>
      <c r="L131" s="1467"/>
      <c r="M131" s="1467"/>
      <c r="N131" s="1467"/>
      <c r="O131" s="1467"/>
      <c r="P131" s="1468"/>
    </row>
    <row r="132" spans="2:16" x14ac:dyDescent="0.2">
      <c r="B132" s="646"/>
      <c r="C132" s="1467"/>
      <c r="D132" s="1467"/>
      <c r="E132" s="1467"/>
      <c r="F132" s="1467"/>
      <c r="G132" s="1467"/>
      <c r="H132" s="1467"/>
      <c r="I132" s="1467"/>
      <c r="J132" s="1467"/>
      <c r="K132" s="1467"/>
      <c r="L132" s="1467"/>
      <c r="M132" s="1467"/>
      <c r="N132" s="1467"/>
      <c r="O132" s="1467"/>
      <c r="P132" s="1468"/>
    </row>
    <row r="133" spans="2:16" x14ac:dyDescent="0.2">
      <c r="B133" s="646"/>
      <c r="C133" s="1467"/>
      <c r="D133" s="1467"/>
      <c r="E133" s="1467"/>
      <c r="F133" s="1467"/>
      <c r="G133" s="1467"/>
      <c r="H133" s="1467"/>
      <c r="I133" s="1467"/>
      <c r="J133" s="1467"/>
      <c r="K133" s="1467"/>
      <c r="L133" s="1467"/>
      <c r="M133" s="1467"/>
      <c r="N133" s="1467"/>
      <c r="O133" s="1467"/>
      <c r="P133" s="1468"/>
    </row>
    <row r="134" spans="2:16" x14ac:dyDescent="0.2">
      <c r="B134" s="646"/>
      <c r="C134" s="1467"/>
      <c r="D134" s="1467"/>
      <c r="E134" s="1467"/>
      <c r="F134" s="1467"/>
      <c r="G134" s="1467"/>
      <c r="H134" s="1467"/>
      <c r="I134" s="1467"/>
      <c r="J134" s="1467"/>
      <c r="K134" s="1467"/>
      <c r="L134" s="1467"/>
      <c r="M134" s="1467"/>
      <c r="N134" s="1467"/>
      <c r="O134" s="1467"/>
      <c r="P134" s="1468"/>
    </row>
    <row r="135" spans="2:16" x14ac:dyDescent="0.2">
      <c r="B135" s="646"/>
      <c r="C135" s="1467"/>
      <c r="D135" s="1467"/>
      <c r="E135" s="1467"/>
      <c r="F135" s="1467"/>
      <c r="G135" s="1467"/>
      <c r="H135" s="1467"/>
      <c r="I135" s="1467"/>
      <c r="J135" s="1467"/>
      <c r="K135" s="1467"/>
      <c r="L135" s="1467"/>
      <c r="M135" s="1467"/>
      <c r="N135" s="1467"/>
      <c r="O135" s="1467"/>
      <c r="P135" s="1468"/>
    </row>
    <row r="136" spans="2:16" x14ac:dyDescent="0.2">
      <c r="B136" s="646"/>
      <c r="C136" s="1467"/>
      <c r="D136" s="1467"/>
      <c r="E136" s="1467"/>
      <c r="F136" s="1467"/>
      <c r="G136" s="1467"/>
      <c r="H136" s="1467"/>
      <c r="I136" s="1467"/>
      <c r="J136" s="1467"/>
      <c r="K136" s="1467"/>
      <c r="L136" s="1467"/>
      <c r="M136" s="1467"/>
      <c r="N136" s="1467"/>
      <c r="O136" s="1467"/>
      <c r="P136" s="1468"/>
    </row>
    <row r="137" spans="2:16" x14ac:dyDescent="0.2">
      <c r="B137" s="646"/>
      <c r="C137" s="1467"/>
      <c r="D137" s="1467"/>
      <c r="E137" s="1467"/>
      <c r="F137" s="1467"/>
      <c r="G137" s="1467"/>
      <c r="H137" s="1467"/>
      <c r="I137" s="1467"/>
      <c r="J137" s="1467"/>
      <c r="K137" s="1467"/>
      <c r="L137" s="1467"/>
      <c r="M137" s="1467"/>
      <c r="N137" s="1467"/>
      <c r="O137" s="1467"/>
      <c r="P137" s="1468"/>
    </row>
    <row r="138" spans="2:16" x14ac:dyDescent="0.2">
      <c r="B138" s="646"/>
      <c r="C138" s="1467"/>
      <c r="D138" s="1467"/>
      <c r="E138" s="1467"/>
      <c r="F138" s="1467"/>
      <c r="G138" s="1467"/>
      <c r="H138" s="1467"/>
      <c r="I138" s="1467"/>
      <c r="J138" s="1467"/>
      <c r="K138" s="1467"/>
      <c r="L138" s="1467"/>
      <c r="M138" s="1467"/>
      <c r="N138" s="1467"/>
      <c r="O138" s="1467"/>
      <c r="P138" s="1468"/>
    </row>
    <row r="139" spans="2:16" x14ac:dyDescent="0.2">
      <c r="B139" s="646"/>
      <c r="C139" s="1467"/>
      <c r="D139" s="1467"/>
      <c r="E139" s="1467"/>
      <c r="F139" s="1467"/>
      <c r="G139" s="1467"/>
      <c r="H139" s="1467"/>
      <c r="I139" s="1467"/>
      <c r="J139" s="1467"/>
      <c r="K139" s="1467"/>
      <c r="L139" s="1467"/>
      <c r="M139" s="1467"/>
      <c r="N139" s="1467"/>
      <c r="O139" s="1467"/>
      <c r="P139" s="1468"/>
    </row>
    <row r="140" spans="2:16" x14ac:dyDescent="0.2">
      <c r="B140" s="646"/>
      <c r="C140" s="1467"/>
      <c r="D140" s="1467"/>
      <c r="E140" s="1467"/>
      <c r="F140" s="1467"/>
      <c r="G140" s="1467"/>
      <c r="H140" s="1467"/>
      <c r="I140" s="1467"/>
      <c r="J140" s="1467"/>
      <c r="K140" s="1467"/>
      <c r="L140" s="1467"/>
      <c r="M140" s="1467"/>
      <c r="N140" s="1467"/>
      <c r="O140" s="1467"/>
      <c r="P140" s="1468"/>
    </row>
    <row r="141" spans="2:16" x14ac:dyDescent="0.2">
      <c r="B141" s="646"/>
      <c r="C141" s="1467"/>
      <c r="D141" s="1467"/>
      <c r="E141" s="1467"/>
      <c r="F141" s="1467"/>
      <c r="G141" s="1467"/>
      <c r="H141" s="1467"/>
      <c r="I141" s="1467"/>
      <c r="J141" s="1467"/>
      <c r="K141" s="1467"/>
      <c r="L141" s="1467"/>
      <c r="M141" s="1467"/>
      <c r="N141" s="1467"/>
      <c r="O141" s="1467"/>
      <c r="P141" s="1468"/>
    </row>
    <row r="142" spans="2:16" x14ac:dyDescent="0.2">
      <c r="B142" s="646"/>
      <c r="C142" s="1467"/>
      <c r="D142" s="1467"/>
      <c r="E142" s="1467"/>
      <c r="F142" s="1467"/>
      <c r="G142" s="1467"/>
      <c r="H142" s="1467"/>
      <c r="I142" s="1467"/>
      <c r="J142" s="1467"/>
      <c r="K142" s="1467"/>
      <c r="L142" s="1467"/>
      <c r="M142" s="1467"/>
      <c r="N142" s="1467"/>
      <c r="O142" s="1467"/>
      <c r="P142" s="1468"/>
    </row>
    <row r="143" spans="2:16" x14ac:dyDescent="0.2">
      <c r="B143" s="646"/>
      <c r="C143" s="1467"/>
      <c r="D143" s="1467"/>
      <c r="E143" s="1467"/>
      <c r="F143" s="1467"/>
      <c r="G143" s="1467"/>
      <c r="H143" s="1467"/>
      <c r="I143" s="1467"/>
      <c r="J143" s="1467"/>
      <c r="K143" s="1467"/>
      <c r="L143" s="1467"/>
      <c r="M143" s="1467"/>
      <c r="N143" s="1467"/>
      <c r="O143" s="1467"/>
      <c r="P143" s="1468"/>
    </row>
    <row r="144" spans="2:16" x14ac:dyDescent="0.2">
      <c r="B144" s="646"/>
      <c r="C144" s="1467"/>
      <c r="D144" s="1467"/>
      <c r="E144" s="1467"/>
      <c r="F144" s="1467"/>
      <c r="G144" s="1467"/>
      <c r="H144" s="1467"/>
      <c r="I144" s="1467"/>
      <c r="J144" s="1467"/>
      <c r="K144" s="1467"/>
      <c r="L144" s="1467"/>
      <c r="M144" s="1467"/>
      <c r="N144" s="1467"/>
      <c r="O144" s="1467"/>
      <c r="P144" s="1468"/>
    </row>
    <row r="145" spans="2:16" x14ac:dyDescent="0.2">
      <c r="B145" s="646"/>
      <c r="C145" s="1467"/>
      <c r="D145" s="1467"/>
      <c r="E145" s="1467"/>
      <c r="F145" s="1467"/>
      <c r="G145" s="1467"/>
      <c r="H145" s="1467"/>
      <c r="I145" s="1467"/>
      <c r="J145" s="1467"/>
      <c r="K145" s="1467"/>
      <c r="L145" s="1467"/>
      <c r="M145" s="1467"/>
      <c r="N145" s="1467"/>
      <c r="O145" s="1467"/>
      <c r="P145" s="1468"/>
    </row>
    <row r="146" spans="2:16" x14ac:dyDescent="0.2">
      <c r="B146" s="646"/>
      <c r="C146" s="1467"/>
      <c r="D146" s="1467"/>
      <c r="E146" s="1467"/>
      <c r="F146" s="1467"/>
      <c r="G146" s="1467"/>
      <c r="H146" s="1467"/>
      <c r="I146" s="1467"/>
      <c r="J146" s="1467"/>
      <c r="K146" s="1467"/>
      <c r="L146" s="1467"/>
      <c r="M146" s="1467"/>
      <c r="N146" s="1467"/>
      <c r="O146" s="1467"/>
      <c r="P146" s="1468"/>
    </row>
    <row r="147" spans="2:16" ht="147.6" customHeight="1" x14ac:dyDescent="0.2">
      <c r="B147" s="646"/>
      <c r="C147" s="1467"/>
      <c r="D147" s="1467"/>
      <c r="E147" s="1467"/>
      <c r="F147" s="1467"/>
      <c r="G147" s="1467"/>
      <c r="H147" s="1467"/>
      <c r="I147" s="1467"/>
      <c r="J147" s="1467"/>
      <c r="K147" s="1467"/>
      <c r="L147" s="1467"/>
      <c r="M147" s="1467"/>
      <c r="N147" s="1467"/>
      <c r="O147" s="1467"/>
      <c r="P147" s="1468"/>
    </row>
    <row r="148" spans="2:16" ht="15" thickBot="1" x14ac:dyDescent="0.25">
      <c r="B148" s="649"/>
      <c r="C148" s="642"/>
      <c r="D148" s="642"/>
      <c r="E148" s="642"/>
      <c r="F148" s="642"/>
      <c r="G148" s="642"/>
      <c r="H148" s="642"/>
      <c r="I148" s="642"/>
      <c r="J148" s="642"/>
      <c r="K148" s="642"/>
      <c r="L148" s="642"/>
      <c r="M148" s="642"/>
      <c r="N148" s="642"/>
      <c r="O148" s="642"/>
      <c r="P148" s="650"/>
    </row>
    <row r="149" spans="2:16" x14ac:dyDescent="0.2">
      <c r="B149" s="644"/>
      <c r="C149" s="644"/>
      <c r="D149" s="644"/>
      <c r="E149" s="644"/>
      <c r="F149" s="644"/>
      <c r="G149" s="644"/>
      <c r="H149" s="644"/>
      <c r="I149" s="644"/>
      <c r="J149" s="644"/>
      <c r="K149" s="644"/>
      <c r="L149" s="644"/>
      <c r="M149" s="644"/>
      <c r="N149" s="644"/>
      <c r="O149" s="644"/>
      <c r="P149" s="644"/>
    </row>
    <row r="150" spans="2:16" ht="11.65" customHeight="1" x14ac:dyDescent="0.2">
      <c r="E150" s="633"/>
    </row>
    <row r="151" spans="2:16" ht="11.65" customHeight="1" x14ac:dyDescent="0.2">
      <c r="E151" s="633"/>
    </row>
    <row r="152" spans="2:16" ht="11.65" customHeight="1" x14ac:dyDescent="0.2">
      <c r="E152" s="633"/>
    </row>
    <row r="153" spans="2:16" ht="11.65" customHeight="1" x14ac:dyDescent="0.2">
      <c r="E153" s="633"/>
    </row>
    <row r="154" spans="2:16" ht="11.65" customHeight="1" x14ac:dyDescent="0.2">
      <c r="E154" s="633"/>
    </row>
    <row r="155" spans="2:16" ht="11.65" customHeight="1" x14ac:dyDescent="0.2">
      <c r="E155" s="633"/>
    </row>
    <row r="156" spans="2:16" ht="11.65" customHeight="1" x14ac:dyDescent="0.2">
      <c r="E156" s="633"/>
    </row>
    <row r="157" spans="2:16" ht="11.65" customHeight="1" x14ac:dyDescent="0.2">
      <c r="E157" s="633"/>
    </row>
    <row r="158" spans="2:16" ht="11.65" customHeight="1" x14ac:dyDescent="0.2">
      <c r="E158" s="633"/>
    </row>
  </sheetData>
  <mergeCells count="1">
    <mergeCell ref="C117:P147"/>
  </mergeCells>
  <hyperlinks>
    <hyperlink ref="E39" location="'Navigation control'!A1" display="Navigation control" xr:uid="{C884F57C-F159-4340-9CDF-97C581EA9FA5}"/>
  </hyperlinks>
  <pageMargins left="0.7" right="0.7" top="0.75" bottom="0.75" header="0.511811023622047" footer="0.511811023622047"/>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sheetPr>
  <dimension ref="B4:D28"/>
  <sheetViews>
    <sheetView showGridLines="0" topLeftCell="A10" zoomScale="80" zoomScaleNormal="80" workbookViewId="0">
      <selection activeCell="C17" sqref="C17"/>
    </sheetView>
  </sheetViews>
  <sheetFormatPr defaultColWidth="8.7109375" defaultRowHeight="15" x14ac:dyDescent="0.2"/>
  <cols>
    <col min="1" max="1" width="8.7109375" style="6"/>
    <col min="2" max="2" width="8.7109375" style="7"/>
    <col min="3" max="3" width="32.28515625" style="6" customWidth="1"/>
    <col min="4" max="16384" width="8.7109375" style="6"/>
  </cols>
  <sheetData>
    <row r="4" spans="3:4" ht="18" x14ac:dyDescent="0.25">
      <c r="C4" s="8" t="s">
        <v>16</v>
      </c>
    </row>
    <row r="5" spans="3:4" ht="22.5" customHeight="1" x14ac:dyDescent="0.25">
      <c r="C5" s="35" t="s">
        <v>11</v>
      </c>
      <c r="D5" s="9"/>
    </row>
    <row r="6" spans="3:4" ht="22.5" customHeight="1" x14ac:dyDescent="0.25">
      <c r="C6" s="36" t="s">
        <v>17</v>
      </c>
    </row>
    <row r="7" spans="3:4" ht="22.5" customHeight="1" x14ac:dyDescent="0.25">
      <c r="C7" s="10" t="s">
        <v>18</v>
      </c>
    </row>
    <row r="8" spans="3:4" ht="22.5" customHeight="1" x14ac:dyDescent="0.25">
      <c r="C8" s="10" t="s">
        <v>19</v>
      </c>
    </row>
    <row r="9" spans="3:4" ht="22.5" customHeight="1" x14ac:dyDescent="0.25">
      <c r="C9" s="10" t="s">
        <v>20</v>
      </c>
    </row>
    <row r="10" spans="3:4" ht="22.5" customHeight="1" x14ac:dyDescent="0.25">
      <c r="C10" s="10" t="s">
        <v>21</v>
      </c>
    </row>
    <row r="11" spans="3:4" ht="22.5" customHeight="1" x14ac:dyDescent="0.25">
      <c r="C11" s="10" t="s">
        <v>22</v>
      </c>
    </row>
    <row r="12" spans="3:4" ht="22.5" customHeight="1" x14ac:dyDescent="0.25">
      <c r="C12" s="10" t="s">
        <v>23</v>
      </c>
    </row>
    <row r="13" spans="3:4" ht="22.5" customHeight="1" x14ac:dyDescent="0.25">
      <c r="C13" s="10" t="s">
        <v>24</v>
      </c>
    </row>
    <row r="14" spans="3:4" ht="22.5" customHeight="1" x14ac:dyDescent="0.25">
      <c r="C14" s="10" t="s">
        <v>25</v>
      </c>
    </row>
    <row r="15" spans="3:4" ht="22.5" customHeight="1" x14ac:dyDescent="0.25">
      <c r="C15" s="10" t="s">
        <v>26</v>
      </c>
    </row>
    <row r="16" spans="3:4" ht="22.5" customHeight="1" x14ac:dyDescent="0.25">
      <c r="C16" s="10" t="s">
        <v>27</v>
      </c>
    </row>
    <row r="17" spans="3:3" ht="22.5" customHeight="1" x14ac:dyDescent="0.25">
      <c r="C17" s="10" t="s">
        <v>28</v>
      </c>
    </row>
    <row r="18" spans="3:3" ht="22.5" customHeight="1" x14ac:dyDescent="0.25">
      <c r="C18" s="36" t="s">
        <v>29</v>
      </c>
    </row>
    <row r="19" spans="3:3" ht="22.5" customHeight="1" x14ac:dyDescent="0.25">
      <c r="C19" s="10"/>
    </row>
    <row r="20" spans="3:3" ht="22.5" customHeight="1" x14ac:dyDescent="0.25">
      <c r="C20" s="10"/>
    </row>
    <row r="21" spans="3:3" ht="22.5" customHeight="1" x14ac:dyDescent="0.25">
      <c r="C21" s="10"/>
    </row>
    <row r="22" spans="3:3" ht="22.5" customHeight="1" x14ac:dyDescent="0.25">
      <c r="C22" s="10"/>
    </row>
    <row r="23" spans="3:3" ht="22.5" customHeight="1" x14ac:dyDescent="0.25">
      <c r="C23" s="10"/>
    </row>
    <row r="24" spans="3:3" ht="22.5" customHeight="1" x14ac:dyDescent="0.25">
      <c r="C24" s="10"/>
    </row>
    <row r="25" spans="3:3" ht="22.5" customHeight="1" x14ac:dyDescent="0.25">
      <c r="C25" s="10"/>
    </row>
    <row r="26" spans="3:3" ht="22.5" customHeight="1" x14ac:dyDescent="0.25">
      <c r="C26" s="10"/>
    </row>
    <row r="27" spans="3:3" ht="22.5" customHeight="1" thickBot="1" x14ac:dyDescent="0.3">
      <c r="C27" s="11"/>
    </row>
    <row r="28" spans="3:3" ht="22.5" customHeight="1" x14ac:dyDescent="0.2"/>
  </sheetData>
  <hyperlinks>
    <hyperlink ref="C7" location="'Patient characteristics'!A1" display="Patient characteristics" xr:uid="{00000000-0004-0000-0100-000002000000}"/>
    <hyperlink ref="C14" location="'Treatment sequence'!A1" display="Treatment sequence" xr:uid="{00000000-0004-0000-0100-000003000000}"/>
    <hyperlink ref="C9" location="'Time on treatment'!A1" display="Time on treatment" xr:uid="{00000000-0004-0000-0100-000004000000}"/>
    <hyperlink ref="C10" location="'Mortality parameters'!A1" display="Mortality parameters" xr:uid="{00000000-0004-0000-0100-000006000000}"/>
    <hyperlink ref="C8" location="'Effectiveness settings'!A1" display="Effectiveness settings" xr:uid="{00000000-0004-0000-0100-000007000000}"/>
    <hyperlink ref="C11" location="'Safety parameters'!A1" display="Safety parameters" xr:uid="{00000000-0004-0000-0100-000008000000}"/>
    <hyperlink ref="C12" location="Utilities!A1" display="Utilities" xr:uid="{00000000-0004-0000-0100-000009000000}"/>
    <hyperlink ref="C13" location="'Resource use and costs'!A1" display="Resource use and costs" xr:uid="{00000000-0004-0000-0100-00000A000000}"/>
    <hyperlink ref="C15" location="'Scenario controls'!A1" display="Scenario controls" xr:uid="{00000000-0004-0000-0100-00000C000000}"/>
    <hyperlink ref="C16" location="'All parameters'!A1" display="All parameters" xr:uid="{00000000-0004-0000-0100-00000D000000}"/>
    <hyperlink ref="C17" location="Lists!A1" display="Lists" xr:uid="{00000000-0004-0000-0100-00000F000000}"/>
    <hyperlink ref="C5" location="'Navigation control'!A1" display="Navigation control" xr:uid="{95A57FE5-2C07-45A2-A3E1-6C9C3F02EDF4}"/>
    <hyperlink ref="C6" location="'Model settings'!A1" display="Model settings" xr:uid="{00BAB1C5-08C6-40B4-ADE9-0B4AF670E9C1}"/>
    <hyperlink ref="C18" location="Cover!A1" display="Cover page" xr:uid="{B2896B76-331D-4FC2-BE22-D7101D16EFDB}"/>
  </hyperlinks>
  <pageMargins left="0.7" right="0.7" top="0.75" bottom="0.75" header="0.511811023622047" footer="0.511811023622047"/>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B1:BT830"/>
  <sheetViews>
    <sheetView showGridLines="0" topLeftCell="B2" zoomScale="69" zoomScaleNormal="69" workbookViewId="0">
      <pane xSplit="5" topLeftCell="G1" activePane="topRight" state="frozen"/>
      <selection activeCell="B1" sqref="B1"/>
      <selection pane="topRight" activeCell="G6" sqref="G6:I6"/>
    </sheetView>
  </sheetViews>
  <sheetFormatPr defaultColWidth="8.7109375" defaultRowHeight="15" x14ac:dyDescent="0.2"/>
  <cols>
    <col min="1" max="1" width="8.7109375" style="6"/>
    <col min="2" max="2" width="48.42578125" style="6" customWidth="1"/>
    <col min="3" max="8" width="8.7109375" style="6"/>
    <col min="9" max="9" width="12.5703125" style="6" customWidth="1"/>
    <col min="10" max="10" width="18.7109375" style="6" customWidth="1"/>
    <col min="11" max="11" width="17.28515625" style="6" customWidth="1"/>
    <col min="12" max="13" width="13.7109375" style="6" customWidth="1"/>
    <col min="14" max="14" width="10.28515625" style="6" bestFit="1" customWidth="1"/>
    <col min="15" max="15" width="16.42578125" style="6" bestFit="1" customWidth="1"/>
    <col min="16" max="16" width="15.42578125" style="6" customWidth="1"/>
    <col min="17" max="17" width="15.28515625" style="6" bestFit="1" customWidth="1"/>
    <col min="18" max="18" width="12.7109375" style="6" customWidth="1"/>
    <col min="19" max="19" width="8.7109375" style="6"/>
    <col min="20" max="20" width="21.28515625" style="6" customWidth="1"/>
    <col min="21" max="23" width="15" style="6" customWidth="1"/>
    <col min="24" max="24" width="8.7109375" style="6"/>
    <col min="25" max="25" width="14.7109375" style="6" customWidth="1"/>
    <col min="26" max="26" width="17.5703125" style="6" customWidth="1"/>
    <col min="27" max="28" width="14.7109375" style="6" customWidth="1"/>
    <col min="29" max="29" width="8.7109375" style="6"/>
    <col min="30" max="32" width="14.7109375" style="6" customWidth="1"/>
    <col min="33" max="42" width="8.7109375" style="6"/>
    <col min="43" max="43" width="14.5703125" style="6" customWidth="1"/>
    <col min="44" max="44" width="29.28515625" style="6" customWidth="1"/>
    <col min="45" max="45" width="25.7109375" style="6" customWidth="1"/>
    <col min="46" max="52" width="8.7109375" style="6"/>
    <col min="53" max="53" width="11.7109375" style="6" bestFit="1" customWidth="1"/>
    <col min="54" max="54" width="11.7109375" style="6" customWidth="1"/>
    <col min="55" max="55" width="15.5703125" style="6" bestFit="1" customWidth="1"/>
    <col min="56" max="56" width="33.28515625" style="6" bestFit="1" customWidth="1"/>
    <col min="57" max="58" width="33.28515625" style="6" customWidth="1"/>
    <col min="59" max="59" width="10.5703125" style="6" bestFit="1" customWidth="1"/>
    <col min="60" max="60" width="14.42578125" style="6" bestFit="1" customWidth="1"/>
    <col min="61" max="61" width="8.7109375" style="6"/>
    <col min="62" max="62" width="15" style="6" bestFit="1" customWidth="1"/>
    <col min="63" max="64" width="10.28515625" style="6" bestFit="1" customWidth="1"/>
    <col min="65" max="70" width="8.7109375" style="6"/>
    <col min="71" max="71" width="20.28515625" style="6" bestFit="1" customWidth="1"/>
    <col min="72" max="1999" width="8.7109375" style="6"/>
    <col min="2000" max="2000" width="2.7109375" style="6" customWidth="1"/>
    <col min="2001" max="16384" width="8.7109375" style="6"/>
  </cols>
  <sheetData>
    <row r="1" spans="2:23" s="37" customFormat="1" x14ac:dyDescent="0.2"/>
    <row r="2" spans="2:23" s="41" customFormat="1" ht="18" x14ac:dyDescent="0.25">
      <c r="B2" s="38"/>
      <c r="C2" s="39"/>
      <c r="D2" s="40" t="s">
        <v>11</v>
      </c>
      <c r="E2" s="39"/>
      <c r="F2" s="39"/>
      <c r="G2" s="38"/>
      <c r="H2" s="39"/>
      <c r="I2" s="39"/>
      <c r="J2" s="38"/>
      <c r="K2" s="39"/>
      <c r="L2" s="39"/>
      <c r="M2" s="39"/>
      <c r="N2" s="38"/>
      <c r="O2" s="39"/>
      <c r="P2" s="38"/>
      <c r="Q2" s="38"/>
      <c r="R2" s="38"/>
      <c r="S2" s="39"/>
      <c r="T2" s="39"/>
      <c r="U2" s="38"/>
      <c r="V2" s="39"/>
      <c r="W2" s="39"/>
    </row>
    <row r="3" spans="2:23" s="41" customFormat="1" ht="15.75" x14ac:dyDescent="0.25"/>
    <row r="6" spans="2:23" ht="15.75" x14ac:dyDescent="0.25">
      <c r="D6" s="12" t="s">
        <v>30</v>
      </c>
      <c r="G6" s="1473" t="s">
        <v>31</v>
      </c>
      <c r="H6" s="1473"/>
      <c r="I6" s="1473"/>
      <c r="K6" s="1451" t="str">
        <f>IF(Lists!D9 &lt;&gt;3,"Note: Poor or intermediate risk and favorable risk groups are considered only for 1L","")</f>
        <v>Note: Poor or intermediate risk and favorable risk groups are considered only for 1L</v>
      </c>
    </row>
    <row r="7" spans="2:23" ht="15.75" x14ac:dyDescent="0.25">
      <c r="D7" s="12"/>
    </row>
    <row r="8" spans="2:23" ht="15.75" x14ac:dyDescent="0.25">
      <c r="D8" s="12" t="s">
        <v>32</v>
      </c>
      <c r="G8" s="1475">
        <v>40</v>
      </c>
      <c r="H8" s="1475"/>
      <c r="I8" s="1475"/>
    </row>
    <row r="9" spans="2:23" ht="15.75" x14ac:dyDescent="0.25">
      <c r="D9" s="12"/>
    </row>
    <row r="10" spans="2:23" ht="15.75" x14ac:dyDescent="0.25">
      <c r="D10" s="12" t="s">
        <v>33</v>
      </c>
      <c r="G10" s="1470">
        <v>1</v>
      </c>
      <c r="H10" s="1470"/>
      <c r="I10" s="1470"/>
    </row>
    <row r="11" spans="2:23" ht="15.75" x14ac:dyDescent="0.25">
      <c r="E11" s="405" t="s">
        <v>34</v>
      </c>
      <c r="G11" s="1477">
        <f>30.4375/7</f>
        <v>4.3482142857142856</v>
      </c>
      <c r="H11" s="1477"/>
      <c r="I11" s="1477"/>
      <c r="K11" s="682"/>
    </row>
    <row r="12" spans="2:23" ht="15.75" x14ac:dyDescent="0.25">
      <c r="E12" s="405" t="s">
        <v>35</v>
      </c>
      <c r="G12" s="1477">
        <f>1/7</f>
        <v>0.14285714285714285</v>
      </c>
      <c r="H12" s="1477"/>
      <c r="I12" s="1477"/>
    </row>
    <row r="13" spans="2:23" ht="15.75" x14ac:dyDescent="0.25">
      <c r="D13" s="12"/>
    </row>
    <row r="14" spans="2:23" ht="15.75" x14ac:dyDescent="0.25">
      <c r="D14" s="12" t="s">
        <v>36</v>
      </c>
      <c r="G14" s="1470" t="s">
        <v>37</v>
      </c>
      <c r="H14" s="1470"/>
      <c r="I14" s="1470"/>
    </row>
    <row r="15" spans="2:23" ht="15.75" x14ac:dyDescent="0.25">
      <c r="D15" s="12"/>
    </row>
    <row r="16" spans="2:23" ht="15.75" x14ac:dyDescent="0.25">
      <c r="D16" s="12" t="s">
        <v>38</v>
      </c>
    </row>
    <row r="17" spans="4:45" x14ac:dyDescent="0.2">
      <c r="D17" s="14" t="s">
        <v>39</v>
      </c>
      <c r="G17" s="1476">
        <v>3.5000000000000003E-2</v>
      </c>
      <c r="H17" s="1476"/>
      <c r="I17" s="1476"/>
    </row>
    <row r="18" spans="4:45" x14ac:dyDescent="0.2">
      <c r="D18" s="14" t="s">
        <v>40</v>
      </c>
      <c r="G18" s="1476">
        <v>3.5000000000000003E-2</v>
      </c>
      <c r="H18" s="1476"/>
      <c r="I18" s="1476"/>
    </row>
    <row r="19" spans="4:45" x14ac:dyDescent="0.2">
      <c r="D19" s="14"/>
      <c r="G19" s="1479"/>
      <c r="H19" s="1479"/>
      <c r="I19" s="1479"/>
    </row>
    <row r="21" spans="4:45" ht="15.75" x14ac:dyDescent="0.25">
      <c r="D21" s="12" t="s">
        <v>41</v>
      </c>
      <c r="G21" s="1480">
        <v>30000</v>
      </c>
      <c r="H21" s="1480"/>
      <c r="I21" s="1480"/>
    </row>
    <row r="23" spans="4:45" ht="15.75" x14ac:dyDescent="0.25">
      <c r="D23" s="12" t="s">
        <v>42</v>
      </c>
    </row>
    <row r="24" spans="4:45" ht="15.75" x14ac:dyDescent="0.25">
      <c r="D24" s="12"/>
      <c r="G24" s="1469" t="s">
        <v>43</v>
      </c>
      <c r="H24" s="1469"/>
      <c r="I24" s="1469"/>
      <c r="J24" s="2" t="s">
        <v>44</v>
      </c>
      <c r="K24" s="2" t="s">
        <v>45</v>
      </c>
      <c r="AQ24" s="1"/>
      <c r="AR24" s="1"/>
      <c r="AS24" s="1"/>
    </row>
    <row r="25" spans="4:45" x14ac:dyDescent="0.2">
      <c r="D25" s="14"/>
      <c r="E25" s="6" t="s">
        <v>46</v>
      </c>
      <c r="G25" s="1470">
        <v>0.85</v>
      </c>
      <c r="H25" s="1470"/>
      <c r="I25" s="1470"/>
      <c r="J25" s="3">
        <v>12</v>
      </c>
      <c r="K25" s="3">
        <v>1</v>
      </c>
      <c r="AQ25" s="1"/>
      <c r="AR25" s="1"/>
      <c r="AS25" s="1"/>
    </row>
    <row r="26" spans="4:45" x14ac:dyDescent="0.2">
      <c r="D26" s="14"/>
      <c r="E26" s="6" t="s">
        <v>47</v>
      </c>
      <c r="G26" s="1470">
        <v>0.95</v>
      </c>
      <c r="H26" s="1470"/>
      <c r="I26" s="1470"/>
      <c r="J26" s="3">
        <v>18</v>
      </c>
      <c r="K26" s="3">
        <v>1.7</v>
      </c>
      <c r="AQ26" s="1"/>
      <c r="AR26" s="1"/>
      <c r="AS26" s="1"/>
    </row>
    <row r="27" spans="4:45" ht="15.75" x14ac:dyDescent="0.25">
      <c r="D27" s="14"/>
      <c r="E27" s="6" t="s">
        <v>48</v>
      </c>
      <c r="G27" s="1470" t="s">
        <v>49</v>
      </c>
      <c r="H27" s="1470"/>
      <c r="I27" s="1470"/>
      <c r="J27" s="3" t="s">
        <v>50</v>
      </c>
      <c r="K27" s="3">
        <v>1.2</v>
      </c>
      <c r="Q27" s="59" t="s">
        <v>1731</v>
      </c>
      <c r="AQ27" s="1"/>
      <c r="AR27" s="1"/>
      <c r="AS27" s="1"/>
    </row>
    <row r="28" spans="4:45" x14ac:dyDescent="0.2">
      <c r="D28" s="14"/>
    </row>
    <row r="29" spans="4:45" ht="15.75" x14ac:dyDescent="0.25">
      <c r="D29" s="14"/>
      <c r="Q29" s="71" t="s">
        <v>1730</v>
      </c>
      <c r="T29" s="1473" t="s">
        <v>58</v>
      </c>
      <c r="U29" s="1473"/>
      <c r="V29" s="1473"/>
    </row>
    <row r="30" spans="4:45" ht="15.75" x14ac:dyDescent="0.25">
      <c r="D30" s="12" t="s">
        <v>51</v>
      </c>
      <c r="G30" s="1473" t="s">
        <v>52</v>
      </c>
      <c r="H30" s="1473"/>
      <c r="I30" s="1473"/>
      <c r="N30" s="419">
        <f>MATCH(dd_model_analyses,List_analyses,0)</f>
        <v>1</v>
      </c>
    </row>
    <row r="31" spans="4:45" ht="15.75" x14ac:dyDescent="0.25">
      <c r="Q31" s="1251" t="s">
        <v>1767</v>
      </c>
      <c r="R31" s="1252"/>
      <c r="S31" s="1252"/>
      <c r="T31" s="1252"/>
      <c r="U31" s="1252"/>
      <c r="V31" s="1252"/>
      <c r="W31" s="1252"/>
      <c r="X31" s="1252"/>
      <c r="Y31" s="1252"/>
      <c r="Z31" s="1252"/>
    </row>
    <row r="32" spans="4:45" ht="15.75" x14ac:dyDescent="0.25">
      <c r="E32" s="405" t="s">
        <v>53</v>
      </c>
      <c r="G32" s="1471" t="s">
        <v>54</v>
      </c>
      <c r="H32" s="1471"/>
      <c r="I32" s="1471"/>
      <c r="J32" s="6" t="s">
        <v>55</v>
      </c>
      <c r="N32" s="653">
        <f>MATCH(dd_model_struct,List_model_structures,0)</f>
        <v>1</v>
      </c>
      <c r="Q32" s="59" t="s">
        <v>1757</v>
      </c>
      <c r="T32" s="660" t="s">
        <v>1750</v>
      </c>
      <c r="X32" s="653">
        <f>MATCH(dd_RDI_new_bc,List_RDI_new_bc,0)</f>
        <v>1</v>
      </c>
      <c r="Y32" s="6" t="s">
        <v>1766</v>
      </c>
    </row>
    <row r="33" spans="5:26" x14ac:dyDescent="0.2">
      <c r="Q33" s="560" t="s">
        <v>1758</v>
      </c>
    </row>
    <row r="34" spans="5:26" ht="15.75" x14ac:dyDescent="0.25">
      <c r="E34" s="15" t="s">
        <v>56</v>
      </c>
      <c r="G34" s="1478">
        <v>4</v>
      </c>
      <c r="H34" s="1478"/>
      <c r="I34" s="1478"/>
      <c r="J34" s="6" t="s">
        <v>57</v>
      </c>
    </row>
    <row r="35" spans="5:26" ht="15.75" x14ac:dyDescent="0.25">
      <c r="E35" s="405" t="str">
        <f>"Include " &amp; INDEX(List_comparators,5)&amp;"?"</f>
        <v>Include avelumab_plus_axitinib?</v>
      </c>
      <c r="G35" s="1472" t="s">
        <v>58</v>
      </c>
      <c r="H35" s="1472"/>
      <c r="I35" s="1472"/>
      <c r="J35" s="6" t="s">
        <v>59</v>
      </c>
      <c r="Q35" s="59" t="s">
        <v>1760</v>
      </c>
      <c r="T35" s="660" t="s">
        <v>74</v>
      </c>
      <c r="X35" s="653">
        <f>MATCH(dd_lenv_RDI_100,List_YesorNo,0)</f>
        <v>1</v>
      </c>
      <c r="Y35" s="6" t="s">
        <v>75</v>
      </c>
    </row>
    <row r="37" spans="5:26" ht="15.75" x14ac:dyDescent="0.25">
      <c r="E37" s="405" t="s">
        <v>60</v>
      </c>
      <c r="G37" s="1471" t="s">
        <v>61</v>
      </c>
      <c r="H37" s="1471"/>
      <c r="I37" s="1471"/>
      <c r="J37" s="6" t="s">
        <v>62</v>
      </c>
      <c r="N37" s="653">
        <f>MATCH(dd_baseline_risk_from,source_pc,0)</f>
        <v>2</v>
      </c>
    </row>
    <row r="38" spans="5:26" ht="18.75" customHeight="1" x14ac:dyDescent="0.25">
      <c r="E38" s="405" t="str">
        <f>INDEX(List_comparators,2) &amp; " outcomes taken from"</f>
        <v>cabozantinib_plus_nivolumab outcomes taken from</v>
      </c>
      <c r="G38" s="1471" t="s">
        <v>63</v>
      </c>
      <c r="H38" s="1471"/>
      <c r="I38" s="1471"/>
      <c r="J38" s="6" t="s">
        <v>64</v>
      </c>
      <c r="K38" s="657"/>
      <c r="Q38" s="59" t="s">
        <v>1763</v>
      </c>
      <c r="T38" s="660" t="s">
        <v>1762</v>
      </c>
      <c r="Y38" s="6" t="s">
        <v>1765</v>
      </c>
    </row>
    <row r="39" spans="5:26" ht="15.75" x14ac:dyDescent="0.25">
      <c r="E39" s="405" t="s">
        <v>65</v>
      </c>
      <c r="G39" s="1471" t="s">
        <v>58</v>
      </c>
      <c r="H39" s="1471"/>
      <c r="I39" s="1471"/>
      <c r="J39" s="6" t="s">
        <v>59</v>
      </c>
      <c r="N39" s="653">
        <f>MATCH(dd_use_PHnma_for_FPnma,List_YesorNo,0)</f>
        <v>2</v>
      </c>
    </row>
    <row r="40" spans="5:26" ht="15.75" x14ac:dyDescent="0.25">
      <c r="E40" s="405" t="s">
        <v>66</v>
      </c>
      <c r="G40" s="1471" t="s">
        <v>67</v>
      </c>
      <c r="H40" s="1471"/>
      <c r="I40" s="1471"/>
      <c r="J40" s="6" t="s">
        <v>68</v>
      </c>
      <c r="Q40" s="59" t="s">
        <v>1764</v>
      </c>
      <c r="T40" s="660" t="s">
        <v>58</v>
      </c>
      <c r="Y40" s="6" t="s">
        <v>59</v>
      </c>
    </row>
    <row r="41" spans="5:26" ht="15.75" x14ac:dyDescent="0.25">
      <c r="E41" s="405" t="str">
        <f>INDEX(List_comparators,4) &amp; " outcomes taken from"</f>
        <v>lenvatinib_plus_pembrolizumab outcomes taken from</v>
      </c>
      <c r="G41" s="1471" t="s">
        <v>63</v>
      </c>
      <c r="H41" s="1471"/>
      <c r="I41" s="1471"/>
      <c r="J41" s="6" t="s">
        <v>1841</v>
      </c>
    </row>
    <row r="42" spans="5:26" ht="15.75" x14ac:dyDescent="0.25">
      <c r="E42" s="405" t="str">
        <f>INDEX(List_comparators,4) &amp; " set equal to cabo+nivo"</f>
        <v>lenvatinib_plus_pembrolizumab set equal to cabo+nivo</v>
      </c>
      <c r="G42" s="1472" t="s">
        <v>58</v>
      </c>
      <c r="H42" s="1472"/>
      <c r="I42" s="1472"/>
      <c r="J42" s="6" t="s">
        <v>59</v>
      </c>
    </row>
    <row r="43" spans="5:26" ht="15.75" x14ac:dyDescent="0.25">
      <c r="E43" s="405" t="str">
        <f>INDEX(List_comparators,2) &amp; " endpoint to use to model PFS"</f>
        <v>cabozantinib_plus_nivolumab endpoint to use to model PFS</v>
      </c>
      <c r="G43" s="1472" t="s">
        <v>616</v>
      </c>
      <c r="H43" s="1472"/>
      <c r="I43" s="1472"/>
      <c r="J43" s="6" t="s">
        <v>1740</v>
      </c>
      <c r="Q43" s="1251" t="s">
        <v>1813</v>
      </c>
      <c r="R43" s="1252"/>
      <c r="S43" s="1252"/>
      <c r="T43" s="1252"/>
      <c r="U43" s="1252"/>
      <c r="V43" s="1252"/>
      <c r="W43" s="1252"/>
      <c r="X43" s="1252"/>
      <c r="Y43" s="1252"/>
      <c r="Z43" s="1252"/>
    </row>
    <row r="44" spans="5:26" ht="15.75" x14ac:dyDescent="0.25">
      <c r="E44" s="405" t="s">
        <v>69</v>
      </c>
      <c r="G44" s="1482" t="s">
        <v>70</v>
      </c>
      <c r="H44" s="1482"/>
      <c r="I44" s="1482"/>
      <c r="J44" s="6" t="s">
        <v>71</v>
      </c>
      <c r="N44" s="419">
        <f>MATCH(dd_adj_cross_curves,List_adj_cross_curves,0)-1</f>
        <v>0</v>
      </c>
    </row>
    <row r="45" spans="5:26" ht="15.75" x14ac:dyDescent="0.25">
      <c r="E45" s="405" t="s">
        <v>1742</v>
      </c>
      <c r="G45" s="1471" t="s">
        <v>58</v>
      </c>
      <c r="H45" s="1471"/>
      <c r="I45" s="1471"/>
      <c r="J45" s="6" t="s">
        <v>59</v>
      </c>
      <c r="N45" s="419"/>
      <c r="Q45" s="59" t="s">
        <v>1815</v>
      </c>
      <c r="V45" s="660" t="s">
        <v>74</v>
      </c>
      <c r="X45" s="653">
        <f>MATCH(dd_updated_fp_nma,List_YesorNo,0)</f>
        <v>1</v>
      </c>
      <c r="Y45" s="6" t="s">
        <v>75</v>
      </c>
    </row>
    <row r="46" spans="5:26" ht="15.75" x14ac:dyDescent="0.25">
      <c r="E46" s="405" t="s">
        <v>1744</v>
      </c>
      <c r="G46" s="1489">
        <v>1.59</v>
      </c>
      <c r="H46" s="1489"/>
      <c r="I46" s="1489"/>
      <c r="J46" s="274" t="s">
        <v>1743</v>
      </c>
      <c r="N46" s="419"/>
    </row>
    <row r="47" spans="5:26" ht="15.75" x14ac:dyDescent="0.25">
      <c r="E47" s="405" t="s">
        <v>1801</v>
      </c>
      <c r="G47" s="1472" t="s">
        <v>1803</v>
      </c>
      <c r="H47" s="1472"/>
      <c r="I47" s="1472"/>
      <c r="J47" s="6" t="s">
        <v>1804</v>
      </c>
      <c r="N47" s="419"/>
      <c r="Q47" s="59" t="s">
        <v>1816</v>
      </c>
      <c r="V47" s="660" t="s">
        <v>74</v>
      </c>
      <c r="X47" s="653">
        <f>MATCH(dd_updated_sun_eve_price,List_YesorNo,0)</f>
        <v>1</v>
      </c>
      <c r="Y47" s="6" t="s">
        <v>75</v>
      </c>
    </row>
    <row r="48" spans="5:26" ht="15.75" x14ac:dyDescent="0.25">
      <c r="E48" s="405" t="s">
        <v>1802</v>
      </c>
      <c r="G48" s="1490">
        <v>0.78500000000000003</v>
      </c>
      <c r="H48" s="1490"/>
      <c r="I48" s="1490"/>
      <c r="J48" s="274" t="s">
        <v>81</v>
      </c>
      <c r="N48" s="274"/>
    </row>
    <row r="49" spans="5:26" ht="15.75" x14ac:dyDescent="0.25">
      <c r="Q49" s="59" t="s">
        <v>1826</v>
      </c>
      <c r="V49" s="660" t="s">
        <v>74</v>
      </c>
      <c r="X49" s="653">
        <f>MATCH(dd_eq_eff_cabo_suni,List_YesorNo,0)</f>
        <v>1</v>
      </c>
      <c r="Y49" s="6" t="s">
        <v>75</v>
      </c>
    </row>
    <row r="50" spans="5:26" ht="15.75" x14ac:dyDescent="0.25">
      <c r="E50" s="405" t="s">
        <v>72</v>
      </c>
      <c r="Q50" s="560" t="s">
        <v>1814</v>
      </c>
      <c r="V50" s="13"/>
    </row>
    <row r="51" spans="5:26" ht="15.75" x14ac:dyDescent="0.25">
      <c r="E51" s="405" t="s">
        <v>73</v>
      </c>
      <c r="G51" s="1471" t="s">
        <v>74</v>
      </c>
      <c r="H51" s="1471"/>
      <c r="I51" s="1471"/>
      <c r="J51" s="6" t="s">
        <v>75</v>
      </c>
      <c r="K51" s="13"/>
      <c r="N51" s="653">
        <f>MATCH(dd_eq_eff_pazo_suni,List_YesorNo,0)</f>
        <v>1</v>
      </c>
    </row>
    <row r="52" spans="5:26" ht="15.75" x14ac:dyDescent="0.25">
      <c r="E52" s="405" t="s">
        <v>76</v>
      </c>
      <c r="G52" s="1471" t="s">
        <v>74</v>
      </c>
      <c r="H52" s="1471"/>
      <c r="I52" s="1471"/>
      <c r="J52" s="6" t="s">
        <v>75</v>
      </c>
      <c r="N52" s="653">
        <f>MATCH(dd_eq_eff_tivo_suni,List_YesorNo,0)</f>
        <v>1</v>
      </c>
      <c r="Q52" s="59" t="s">
        <v>1819</v>
      </c>
      <c r="V52" s="660" t="s">
        <v>74</v>
      </c>
      <c r="X52" s="653">
        <f>MATCH(dd_set_HR_pem_len,List_YesorNo,0)</f>
        <v>1</v>
      </c>
      <c r="Y52" s="6" t="s">
        <v>75</v>
      </c>
    </row>
    <row r="53" spans="5:26" ht="15.75" x14ac:dyDescent="0.25">
      <c r="E53" s="405" t="s">
        <v>77</v>
      </c>
      <c r="G53" s="1471" t="s">
        <v>58</v>
      </c>
      <c r="H53" s="1471"/>
      <c r="I53" s="1471"/>
      <c r="J53" s="6" t="s">
        <v>59</v>
      </c>
      <c r="K53" s="13"/>
      <c r="N53" s="653">
        <f>MATCH(dd_eq_eff_evero_axi,List_YesorNo,0)</f>
        <v>2</v>
      </c>
      <c r="Q53" s="560" t="s">
        <v>1814</v>
      </c>
    </row>
    <row r="55" spans="5:26" ht="15.75" x14ac:dyDescent="0.25">
      <c r="E55" s="405" t="s">
        <v>78</v>
      </c>
      <c r="G55" s="1471" t="s">
        <v>58</v>
      </c>
      <c r="H55" s="1471"/>
      <c r="I55" s="1471"/>
      <c r="J55" s="6" t="s">
        <v>59</v>
      </c>
      <c r="N55" s="653">
        <f>MATCH(dd_TTD_same_as_PFS,List_YesorNo,0)</f>
        <v>2</v>
      </c>
      <c r="Q55" s="1282" t="s">
        <v>1828</v>
      </c>
      <c r="R55" s="1252"/>
      <c r="S55" s="1252"/>
      <c r="T55" s="1252"/>
      <c r="U55" s="1252"/>
      <c r="V55" s="1252"/>
      <c r="W55" s="1252"/>
      <c r="X55" s="1252"/>
      <c r="Y55" s="1252"/>
      <c r="Z55" s="1252"/>
    </row>
    <row r="56" spans="5:26" ht="15.75" x14ac:dyDescent="0.25">
      <c r="E56" s="405" t="s">
        <v>79</v>
      </c>
      <c r="G56" s="1471" t="s">
        <v>58</v>
      </c>
      <c r="H56" s="1471"/>
      <c r="I56" s="1471"/>
      <c r="J56" s="6" t="s">
        <v>59</v>
      </c>
      <c r="N56" s="653">
        <f>MATCH(dd_CheckMate214_TTD,List_YesorNo,0)</f>
        <v>2</v>
      </c>
    </row>
    <row r="57" spans="5:26" ht="15.75" x14ac:dyDescent="0.25">
      <c r="E57" s="405" t="s">
        <v>80</v>
      </c>
      <c r="G57" s="1491">
        <v>0.17970679387331201</v>
      </c>
      <c r="H57" s="1491"/>
      <c r="I57" s="1491"/>
      <c r="J57" s="274" t="s">
        <v>81</v>
      </c>
      <c r="N57" s="274"/>
      <c r="Q57" s="12" t="s">
        <v>1829</v>
      </c>
      <c r="V57" s="1283" t="s">
        <v>58</v>
      </c>
      <c r="X57" s="1284">
        <f>MATCH(dd_lenv_sc_2pills,List_YesorNo,0)</f>
        <v>2</v>
      </c>
      <c r="Y57" s="6" t="s">
        <v>59</v>
      </c>
    </row>
    <row r="59" spans="5:26" ht="15.75" x14ac:dyDescent="0.25">
      <c r="E59" s="405" t="s">
        <v>82</v>
      </c>
      <c r="G59" s="1471" t="s">
        <v>58</v>
      </c>
      <c r="H59" s="1471"/>
      <c r="I59" s="1471"/>
      <c r="J59" s="6" t="s">
        <v>83</v>
      </c>
      <c r="N59" s="653">
        <f>MATCH(dd_report_req_surv_reg,List_YesorNo,0)</f>
        <v>2</v>
      </c>
      <c r="Q59" s="1287" t="s">
        <v>1830</v>
      </c>
      <c r="V59" s="1283" t="s">
        <v>58</v>
      </c>
      <c r="X59" s="1284">
        <f>MATCH(dd_apply_allrisk_NMA_to_favrisk,List_YesorNo,0)</f>
        <v>2</v>
      </c>
      <c r="Y59" s="6" t="s">
        <v>59</v>
      </c>
    </row>
    <row r="60" spans="5:26" ht="15.75" x14ac:dyDescent="0.25">
      <c r="E60" s="405" t="s">
        <v>84</v>
      </c>
      <c r="G60" s="1471" t="s">
        <v>58</v>
      </c>
      <c r="H60" s="1471"/>
      <c r="I60" s="1471"/>
      <c r="J60" s="6" t="s">
        <v>85</v>
      </c>
      <c r="N60" s="653">
        <f>MATCH(dd_report_req_surv_reg,List_YesorNo,0)</f>
        <v>2</v>
      </c>
    </row>
    <row r="61" spans="5:26" ht="15.75" x14ac:dyDescent="0.25">
      <c r="E61" s="405" t="s">
        <v>86</v>
      </c>
      <c r="G61" s="1471" t="s">
        <v>58</v>
      </c>
      <c r="H61" s="1471"/>
      <c r="I61" s="1471"/>
      <c r="J61" s="6" t="s">
        <v>83</v>
      </c>
      <c r="N61" s="653">
        <f>MATCH(dd_report_req_surv_reg,List_YesorNo,0)</f>
        <v>2</v>
      </c>
    </row>
    <row r="63" spans="5:26" s="274" customFormat="1" ht="15.75" x14ac:dyDescent="0.25">
      <c r="E63" s="405" t="s">
        <v>87</v>
      </c>
      <c r="G63" s="1471" t="s">
        <v>88</v>
      </c>
      <c r="H63" s="1471"/>
      <c r="I63" s="1471"/>
      <c r="J63" s="274" t="s">
        <v>89</v>
      </c>
      <c r="N63" s="653">
        <f>MATCH(dd_age_sex_source,List_age_sex_source,0)</f>
        <v>2</v>
      </c>
    </row>
    <row r="64" spans="5:26" s="274" customFormat="1" ht="15.75" x14ac:dyDescent="0.25">
      <c r="E64" s="405"/>
    </row>
    <row r="65" spans="5:14" s="274" customFormat="1" ht="15.75" x14ac:dyDescent="0.25">
      <c r="E65" s="405" t="s">
        <v>90</v>
      </c>
      <c r="G65" s="1471" t="s">
        <v>74</v>
      </c>
      <c r="H65" s="1471"/>
      <c r="I65" s="1471"/>
      <c r="J65" s="274" t="s">
        <v>75</v>
      </c>
      <c r="N65" s="653">
        <f>MATCH(dd_report_req_surv_reg,List_YesorNo,0)</f>
        <v>2</v>
      </c>
    </row>
    <row r="66" spans="5:14" s="274" customFormat="1" ht="15.75" x14ac:dyDescent="0.25">
      <c r="E66" s="405"/>
      <c r="G66" s="67"/>
      <c r="H66" s="67"/>
      <c r="I66" s="67"/>
      <c r="N66" s="734"/>
    </row>
    <row r="67" spans="5:14" s="274" customFormat="1" ht="15.75" x14ac:dyDescent="0.25">
      <c r="E67" s="405" t="s">
        <v>91</v>
      </c>
      <c r="G67" s="1471" t="s">
        <v>92</v>
      </c>
      <c r="H67" s="1471"/>
      <c r="I67" s="1471"/>
      <c r="J67" s="274" t="s">
        <v>93</v>
      </c>
      <c r="N67" s="653">
        <f>MATCH(dd_no_of_admin_options,List_no_of_admin_option,0)</f>
        <v>2</v>
      </c>
    </row>
    <row r="68" spans="5:14" s="274" customFormat="1" ht="15.75" x14ac:dyDescent="0.25">
      <c r="E68" s="405"/>
      <c r="G68" s="67"/>
      <c r="H68" s="67"/>
      <c r="I68" s="67"/>
    </row>
    <row r="69" spans="5:14" ht="15.75" x14ac:dyDescent="0.25">
      <c r="E69" s="405" t="s">
        <v>94</v>
      </c>
      <c r="F69" s="411" t="s">
        <v>95</v>
      </c>
      <c r="G69" s="1492">
        <v>0.1</v>
      </c>
      <c r="H69" s="1492"/>
      <c r="I69" s="1492"/>
    </row>
    <row r="70" spans="5:14" ht="15.75" x14ac:dyDescent="0.25">
      <c r="E70" s="405" t="s">
        <v>96</v>
      </c>
      <c r="F70" s="411" t="s">
        <v>95</v>
      </c>
      <c r="G70" s="1492">
        <v>0.2</v>
      </c>
      <c r="H70" s="1492"/>
      <c r="I70" s="1492"/>
    </row>
    <row r="72" spans="5:14" ht="15.75" x14ac:dyDescent="0.25">
      <c r="E72" s="405" t="s">
        <v>97</v>
      </c>
      <c r="G72" s="1493" t="s">
        <v>98</v>
      </c>
      <c r="H72" s="1494"/>
      <c r="I72" s="1495"/>
      <c r="N72" s="653">
        <f>MATCH(dd_drug_price_options,List_price_options,0)</f>
        <v>2</v>
      </c>
    </row>
    <row r="74" spans="5:14" ht="15.75" x14ac:dyDescent="0.25">
      <c r="E74" s="405" t="s">
        <v>99</v>
      </c>
      <c r="G74" s="1471" t="s">
        <v>74</v>
      </c>
      <c r="H74" s="1471"/>
      <c r="I74" s="1471"/>
      <c r="J74" s="6" t="s">
        <v>75</v>
      </c>
      <c r="N74" s="653">
        <f>MATCH(dd_incl_wastage_IV,List_YesorNo,0)</f>
        <v>1</v>
      </c>
    </row>
    <row r="76" spans="5:14" ht="15.75" x14ac:dyDescent="0.25">
      <c r="E76" s="405" t="s">
        <v>100</v>
      </c>
      <c r="G76" s="1471" t="s">
        <v>58</v>
      </c>
      <c r="H76" s="1471"/>
      <c r="I76" s="1471"/>
      <c r="J76" s="6" t="s">
        <v>59</v>
      </c>
      <c r="N76" s="653">
        <f>MATCH(dd_double_AE_impact,List_YesorNo,0)</f>
        <v>2</v>
      </c>
    </row>
    <row r="78" spans="5:14" ht="15.75" x14ac:dyDescent="0.25">
      <c r="E78" s="405" t="s">
        <v>101</v>
      </c>
      <c r="G78" s="1471" t="s">
        <v>58</v>
      </c>
      <c r="H78" s="1471"/>
      <c r="I78" s="1471"/>
      <c r="J78" s="6" t="s">
        <v>59</v>
      </c>
      <c r="N78" s="653">
        <f>MATCH(dd_AE_impact_axi_equal_tivo,List_YesorNo,0)</f>
        <v>2</v>
      </c>
    </row>
    <row r="80" spans="5:14" ht="15.75" x14ac:dyDescent="0.25">
      <c r="E80" s="405" t="s">
        <v>102</v>
      </c>
      <c r="G80" s="1471" t="s">
        <v>103</v>
      </c>
      <c r="H80" s="1471"/>
      <c r="I80" s="1471"/>
      <c r="N80" s="653">
        <f>MATCH(dd_surv_cur,List_surv_cur,0)</f>
        <v>1</v>
      </c>
    </row>
    <row r="82" spans="5:14" ht="15.75" x14ac:dyDescent="0.25">
      <c r="E82" s="405" t="s">
        <v>104</v>
      </c>
      <c r="G82" s="1482" t="s">
        <v>105</v>
      </c>
      <c r="H82" s="1482"/>
      <c r="I82" s="1482"/>
      <c r="J82" s="6" t="s">
        <v>106</v>
      </c>
      <c r="N82" s="653">
        <f>MATCH(G82,List_eff_inputs_based_on,0)</f>
        <v>2</v>
      </c>
    </row>
    <row r="84" spans="5:14" ht="15.75" x14ac:dyDescent="0.25">
      <c r="E84" s="405" t="s">
        <v>107</v>
      </c>
      <c r="G84" s="1471" t="s">
        <v>58</v>
      </c>
      <c r="H84" s="1471"/>
      <c r="I84" s="1471"/>
      <c r="J84" s="6" t="s">
        <v>59</v>
      </c>
      <c r="N84" s="653">
        <f>MATCH(dd_pemLen_RDI_eq_nivoCabo,List_YesorNo,0)</f>
        <v>2</v>
      </c>
    </row>
    <row r="85" spans="5:14" x14ac:dyDescent="0.2">
      <c r="G85" s="274"/>
      <c r="H85" s="274"/>
      <c r="I85" s="274"/>
    </row>
    <row r="86" spans="5:14" ht="15.75" x14ac:dyDescent="0.25">
      <c r="E86" s="405" t="s">
        <v>108</v>
      </c>
      <c r="G86" s="1471" t="s">
        <v>58</v>
      </c>
      <c r="H86" s="1471"/>
      <c r="I86" s="1471"/>
      <c r="J86" s="6" t="s">
        <v>59</v>
      </c>
      <c r="N86" s="653">
        <f>MATCH(dd_adjforprioradjuvant,List_YesorNo,0)</f>
        <v>2</v>
      </c>
    </row>
    <row r="87" spans="5:14" x14ac:dyDescent="0.2">
      <c r="G87" s="274"/>
      <c r="H87" s="274"/>
      <c r="I87" s="274"/>
    </row>
    <row r="88" spans="5:14" ht="87" customHeight="1" x14ac:dyDescent="0.2">
      <c r="E88" s="1096" t="s">
        <v>109</v>
      </c>
      <c r="G88" s="1483" t="str" cm="1">
        <f t="array" ref="G88">IF(R_Scenario_num=0,"Base case",INDEX('Scenario controls'!$D$10:$D$98,R_Scenario_num))</f>
        <v>Base case</v>
      </c>
      <c r="H88" s="1484"/>
      <c r="I88" s="1485"/>
    </row>
    <row r="89" spans="5:14" x14ac:dyDescent="0.2">
      <c r="G89" s="274"/>
      <c r="H89" s="274"/>
      <c r="I89" s="274"/>
    </row>
    <row r="90" spans="5:14" ht="15.75" x14ac:dyDescent="0.25">
      <c r="E90" s="405" t="s">
        <v>110</v>
      </c>
      <c r="G90" s="1486">
        <v>0</v>
      </c>
      <c r="H90" s="1487"/>
      <c r="I90" s="1488"/>
      <c r="J90" s="6" t="s">
        <v>111</v>
      </c>
    </row>
    <row r="91" spans="5:14" x14ac:dyDescent="0.2">
      <c r="G91" s="274"/>
      <c r="H91" s="274"/>
      <c r="I91" s="274"/>
    </row>
    <row r="92" spans="5:14" ht="15.75" x14ac:dyDescent="0.25">
      <c r="E92" s="405" t="s">
        <v>1739</v>
      </c>
      <c r="G92" s="1471" t="s">
        <v>58</v>
      </c>
      <c r="H92" s="1471"/>
      <c r="I92" s="1471"/>
      <c r="J92" s="6" t="s">
        <v>59</v>
      </c>
      <c r="N92" s="653">
        <f>MATCH(dd_producePASanalysis,List_YesorNo,0)</f>
        <v>2</v>
      </c>
    </row>
    <row r="93" spans="5:14" x14ac:dyDescent="0.2">
      <c r="G93" s="274"/>
      <c r="H93" s="274"/>
      <c r="I93" s="274"/>
    </row>
    <row r="94" spans="5:14" ht="15.75" x14ac:dyDescent="0.25">
      <c r="E94" s="405" t="s">
        <v>112</v>
      </c>
      <c r="G94" s="1471" t="s">
        <v>58</v>
      </c>
      <c r="H94" s="1471"/>
      <c r="I94" s="1471"/>
      <c r="J94" s="6" t="s">
        <v>59</v>
      </c>
      <c r="N94" s="653">
        <f>MATCH(dd_alt_RDI_nivo_ST,List_YesorNo,0)</f>
        <v>2</v>
      </c>
    </row>
    <row r="95" spans="5:14" x14ac:dyDescent="0.2">
      <c r="G95" s="274"/>
      <c r="H95" s="274"/>
      <c r="I95" s="274"/>
    </row>
    <row r="96" spans="5:14" ht="15.75" x14ac:dyDescent="0.25">
      <c r="E96" s="405" t="s">
        <v>113</v>
      </c>
      <c r="G96" s="1471" t="s">
        <v>58</v>
      </c>
      <c r="H96" s="1471"/>
      <c r="I96" s="1471"/>
      <c r="J96" s="6" t="s">
        <v>59</v>
      </c>
      <c r="N96" s="653">
        <f>MATCH(dd_alt_RDI_nivo_PartSA,List_YesorNo,0)</f>
        <v>2</v>
      </c>
    </row>
    <row r="97" spans="5:14" x14ac:dyDescent="0.2">
      <c r="G97" s="274"/>
      <c r="H97" s="274"/>
      <c r="I97" s="274"/>
    </row>
    <row r="98" spans="5:14" ht="15.75" x14ac:dyDescent="0.25">
      <c r="E98" s="405" t="s">
        <v>114</v>
      </c>
    </row>
    <row r="99" spans="5:14" ht="15.75" x14ac:dyDescent="0.25">
      <c r="E99" s="405"/>
      <c r="F99" s="6" t="s">
        <v>115</v>
      </c>
      <c r="G99" s="1481" t="s">
        <v>116</v>
      </c>
      <c r="H99" s="1481"/>
      <c r="I99" s="1481"/>
    </row>
    <row r="100" spans="5:14" ht="15.75" x14ac:dyDescent="0.25">
      <c r="E100" s="405"/>
      <c r="F100" s="654">
        <v>1</v>
      </c>
      <c r="G100" s="1471" t="s">
        <v>117</v>
      </c>
      <c r="H100" s="1471"/>
      <c r="I100" s="1471"/>
    </row>
    <row r="101" spans="5:14" ht="15.75" x14ac:dyDescent="0.25">
      <c r="E101" s="405"/>
      <c r="F101" s="654">
        <v>2</v>
      </c>
      <c r="G101" s="1471" t="s">
        <v>118</v>
      </c>
      <c r="H101" s="1471"/>
      <c r="I101" s="1471"/>
    </row>
    <row r="102" spans="5:14" ht="15.75" x14ac:dyDescent="0.25">
      <c r="E102" s="405"/>
      <c r="F102" s="654">
        <v>3</v>
      </c>
      <c r="G102" s="1471" t="s">
        <v>118</v>
      </c>
      <c r="H102" s="1471"/>
      <c r="I102" s="1471"/>
    </row>
    <row r="103" spans="5:14" ht="15.75" x14ac:dyDescent="0.25">
      <c r="E103" s="405"/>
      <c r="F103" s="654">
        <v>4</v>
      </c>
      <c r="G103" s="1471" t="s">
        <v>119</v>
      </c>
      <c r="H103" s="1471"/>
      <c r="I103" s="1471"/>
    </row>
    <row r="104" spans="5:14" ht="15.75" x14ac:dyDescent="0.25">
      <c r="E104" s="405" t="s">
        <v>120</v>
      </c>
    </row>
    <row r="105" spans="5:14" x14ac:dyDescent="0.2">
      <c r="E105" s="1013" t="s">
        <v>121</v>
      </c>
      <c r="G105" s="1471" t="s">
        <v>58</v>
      </c>
      <c r="H105" s="1471"/>
      <c r="I105" s="1471"/>
      <c r="J105" s="6" t="s">
        <v>59</v>
      </c>
      <c r="N105" s="653">
        <f t="shared" ref="N105:N111" si="0">MATCH(G105,List_YesorNo,0)</f>
        <v>2</v>
      </c>
    </row>
    <row r="106" spans="5:14" x14ac:dyDescent="0.2">
      <c r="E106" s="1013" t="s">
        <v>122</v>
      </c>
      <c r="G106" s="1471" t="s">
        <v>58</v>
      </c>
      <c r="H106" s="1471"/>
      <c r="I106" s="1471"/>
      <c r="J106" s="6" t="s">
        <v>59</v>
      </c>
      <c r="N106" s="653">
        <f t="shared" si="0"/>
        <v>2</v>
      </c>
    </row>
    <row r="107" spans="5:14" x14ac:dyDescent="0.2">
      <c r="E107" s="1013" t="s">
        <v>123</v>
      </c>
      <c r="G107" s="1471" t="s">
        <v>58</v>
      </c>
      <c r="H107" s="1471"/>
      <c r="I107" s="1471"/>
      <c r="J107" s="6" t="s">
        <v>59</v>
      </c>
      <c r="N107" s="653">
        <f t="shared" si="0"/>
        <v>2</v>
      </c>
    </row>
    <row r="108" spans="5:14" x14ac:dyDescent="0.2">
      <c r="E108" s="1013" t="s">
        <v>124</v>
      </c>
      <c r="G108" s="1471" t="s">
        <v>58</v>
      </c>
      <c r="H108" s="1471"/>
      <c r="I108" s="1471"/>
      <c r="J108" s="6" t="s">
        <v>59</v>
      </c>
      <c r="N108" s="653">
        <f t="shared" si="0"/>
        <v>2</v>
      </c>
    </row>
    <row r="109" spans="5:14" x14ac:dyDescent="0.2">
      <c r="E109" s="1013" t="s">
        <v>125</v>
      </c>
      <c r="G109" s="1471" t="s">
        <v>58</v>
      </c>
      <c r="H109" s="1471"/>
      <c r="I109" s="1471"/>
      <c r="J109" s="6" t="s">
        <v>59</v>
      </c>
      <c r="N109" s="653">
        <f t="shared" si="0"/>
        <v>2</v>
      </c>
    </row>
    <row r="110" spans="5:14" x14ac:dyDescent="0.2">
      <c r="E110" s="1013" t="s">
        <v>126</v>
      </c>
      <c r="G110" s="1471" t="s">
        <v>58</v>
      </c>
      <c r="H110" s="1471"/>
      <c r="I110" s="1471"/>
      <c r="J110" s="6" t="s">
        <v>59</v>
      </c>
      <c r="N110" s="653">
        <f t="shared" si="0"/>
        <v>2</v>
      </c>
    </row>
    <row r="111" spans="5:14" x14ac:dyDescent="0.2">
      <c r="E111" s="1013" t="s">
        <v>127</v>
      </c>
      <c r="G111" s="1471" t="s">
        <v>58</v>
      </c>
      <c r="H111" s="1471"/>
      <c r="I111" s="1471"/>
      <c r="J111" s="6" t="s">
        <v>59</v>
      </c>
      <c r="N111" s="653">
        <f t="shared" si="0"/>
        <v>2</v>
      </c>
    </row>
    <row r="112" spans="5:14" x14ac:dyDescent="0.2">
      <c r="E112" s="1013"/>
    </row>
    <row r="113" spans="2:72" x14ac:dyDescent="0.2">
      <c r="E113" s="1013"/>
    </row>
    <row r="114" spans="2:72" ht="15.75" x14ac:dyDescent="0.25">
      <c r="E114" s="405"/>
      <c r="J114" s="6" t="s">
        <v>128</v>
      </c>
    </row>
    <row r="115" spans="2:72" ht="15.75" x14ac:dyDescent="0.25">
      <c r="B115" s="405" t="str">
        <f>INDEX(List_pop,1) &amp; " risk population"</f>
        <v>All risk population</v>
      </c>
    </row>
    <row r="116" spans="2:72" s="656" customFormat="1" ht="25.15" customHeight="1" x14ac:dyDescent="0.25">
      <c r="B116" s="1016" t="s">
        <v>129</v>
      </c>
      <c r="E116" s="1016" t="s">
        <v>130</v>
      </c>
      <c r="J116" s="1474" t="str">
        <f>INDEX(List_eff_endpoints,1)</f>
        <v>Overall survival</v>
      </c>
      <c r="K116" s="1474"/>
      <c r="L116" s="1474"/>
      <c r="M116" s="1142"/>
      <c r="O116" s="1474" t="str">
        <f>INDEX(List_eff_endpoints,2)</f>
        <v>Progression free survival</v>
      </c>
      <c r="P116" s="1474"/>
      <c r="Q116" s="1474"/>
      <c r="R116" s="1142"/>
      <c r="T116" s="1474" t="str">
        <f>INDEX(List_eff_endpoints,3)</f>
        <v>Time to treatment discontinuation</v>
      </c>
      <c r="U116" s="1474"/>
      <c r="V116" s="1474"/>
      <c r="W116" s="1142"/>
      <c r="Y116" s="1474" t="str">
        <f>INDEX(List_eff_endpoints,4)</f>
        <v>Time to progression</v>
      </c>
      <c r="Z116" s="1474"/>
      <c r="AA116" s="1474"/>
      <c r="AB116" s="1142"/>
      <c r="AD116" s="1474"/>
      <c r="AE116" s="1474"/>
      <c r="AF116" s="1474"/>
      <c r="BN116" s="656" t="s">
        <v>131</v>
      </c>
      <c r="BQ116" s="656" t="s">
        <v>132</v>
      </c>
      <c r="BS116" s="656" t="s">
        <v>133</v>
      </c>
      <c r="BT116" s="656" t="s">
        <v>134</v>
      </c>
    </row>
    <row r="117" spans="2:72" x14ac:dyDescent="0.2">
      <c r="J117" s="6" t="s">
        <v>135</v>
      </c>
      <c r="K117" s="6" t="s">
        <v>136</v>
      </c>
      <c r="L117" s="6" t="s">
        <v>137</v>
      </c>
      <c r="M117" s="6" t="s">
        <v>138</v>
      </c>
      <c r="O117" s="6" t="s">
        <v>135</v>
      </c>
      <c r="P117" s="6" t="s">
        <v>136</v>
      </c>
      <c r="Q117" s="6" t="s">
        <v>137</v>
      </c>
      <c r="R117" s="6" t="s">
        <v>138</v>
      </c>
      <c r="T117" s="6" t="s">
        <v>135</v>
      </c>
      <c r="U117" s="6" t="s">
        <v>136</v>
      </c>
      <c r="V117" s="6" t="s">
        <v>137</v>
      </c>
      <c r="W117" s="6" t="s">
        <v>138</v>
      </c>
      <c r="Y117" s="6" t="s">
        <v>135</v>
      </c>
      <c r="Z117" s="6" t="s">
        <v>136</v>
      </c>
      <c r="AA117" s="6" t="s">
        <v>137</v>
      </c>
      <c r="AB117" s="6" t="s">
        <v>138</v>
      </c>
      <c r="BA117" s="17" t="s">
        <v>30</v>
      </c>
      <c r="BB117" s="17" t="s">
        <v>139</v>
      </c>
      <c r="BC117" s="17" t="s">
        <v>129</v>
      </c>
      <c r="BD117" s="17" t="s">
        <v>140</v>
      </c>
      <c r="BE117" s="17" t="s">
        <v>130</v>
      </c>
      <c r="BF117" s="17" t="s">
        <v>141</v>
      </c>
      <c r="BG117" s="17" t="s">
        <v>142</v>
      </c>
      <c r="BH117" s="17" t="s">
        <v>143</v>
      </c>
      <c r="BI117" s="17" t="s">
        <v>144</v>
      </c>
      <c r="BJ117" s="17" t="s">
        <v>145</v>
      </c>
      <c r="BK117" s="17" t="s">
        <v>146</v>
      </c>
      <c r="BL117" s="17" t="s">
        <v>147</v>
      </c>
      <c r="BN117" s="6" t="s">
        <v>148</v>
      </c>
      <c r="BO117" s="6" t="s">
        <v>147</v>
      </c>
    </row>
    <row r="118" spans="2:72" x14ac:dyDescent="0.2">
      <c r="B118" s="1143">
        <v>1</v>
      </c>
      <c r="F118" s="654" t="str" cm="1">
        <f t="array" ref="F118:F131">List_comparators</f>
        <v>nivolumab_monotherapy</v>
      </c>
      <c r="J118" s="652" t="s">
        <v>58</v>
      </c>
      <c r="K118" s="660" t="s">
        <v>149</v>
      </c>
      <c r="L118" s="655"/>
      <c r="M118" s="1144"/>
      <c r="O118" s="652" t="s">
        <v>58</v>
      </c>
      <c r="P118" s="660" t="s">
        <v>149</v>
      </c>
      <c r="Q118" s="655"/>
      <c r="R118" s="1144"/>
      <c r="T118" s="652" t="s">
        <v>58</v>
      </c>
      <c r="U118" s="660" t="s">
        <v>149</v>
      </c>
      <c r="V118" s="655"/>
      <c r="W118" s="1144"/>
      <c r="Y118" s="652" t="s">
        <v>58</v>
      </c>
      <c r="Z118" s="660" t="s">
        <v>149</v>
      </c>
      <c r="AA118" s="655"/>
      <c r="AB118" s="1144"/>
      <c r="AD118" s="67"/>
      <c r="AE118" s="274"/>
      <c r="AF118" s="274"/>
      <c r="AZ118" s="657">
        <v>1</v>
      </c>
      <c r="BA118" s="17">
        <v>0</v>
      </c>
      <c r="BB118" s="17" t="s">
        <v>31</v>
      </c>
      <c r="BC118" s="17">
        <v>1</v>
      </c>
      <c r="BD118" s="17" t="str" cm="1">
        <f t="array" ref="BD118">INDEX(List_comparators,$AZ118)</f>
        <v>nivolumab_monotherapy</v>
      </c>
      <c r="BE118" s="17">
        <f>INDEX(Lists!$L$51:$L$85,MATCH(BD118,Lists!$K$51:$K$85,0))</f>
        <v>0</v>
      </c>
      <c r="BF118" s="17" t="str">
        <f>INDEX(Lists!$S$51:$S$55,1)</f>
        <v>Overall survival</v>
      </c>
      <c r="BG118" s="17">
        <f>INDEX(Lists!$T$51:$T$55,MATCH(BF118,Lists!$S$51:$S$55,0))</f>
        <v>0</v>
      </c>
      <c r="BH118" s="17">
        <f>VLOOKUP(VLOOKUP(BC118,$F$100:$I$103,2,FALSE),Lists!$K$50:$L$63,2,FALSE)</f>
        <v>7</v>
      </c>
      <c r="BI118" s="17" t="str" cm="1">
        <f t="array" ref="BI118">IF(OR(i_TE_sc_PartSA_5y_IO_TKI_OS=1,i_TE_sc_4and6y_IO_TKI_OS_absSurv=1),BT118,IF(OR(i_TE_sc_10y_all_IO=1,i_TE_sc_5and20y_all_IO=1),BS118,IF(i_no_TE_waning=1,"No",INDEX(J$118:J$180,MATCH(1,($BC118=$B$118:$B$180)*($BD118=$F$118:$F$180),0)))))</f>
        <v>No</v>
      </c>
      <c r="BJ118" s="17" t="str" cm="1">
        <f t="array" ref="BJ118">IF(i_TE_sc_4and6y_IO_TKI_OS_absSurv=1,BQ118,INDEX(K$118:K$180,MATCH(1,($BC118=$B$118:$B$180)*($BD118=$F$118:$F$180),0)))</f>
        <v>ref trt hazard</v>
      </c>
      <c r="BK118" s="17">
        <f t="shared" ref="BK118:BK181" si="1">BN118</f>
        <v>0</v>
      </c>
      <c r="BL118" s="17">
        <f t="shared" ref="BL118:BL181" si="2">BO118</f>
        <v>0</v>
      </c>
      <c r="BN118" s="6" cm="1">
        <f t="array" ref="BN118">INDEX(L$118:L$180,MATCH(1,($BC118=$B$118:$B$180)*($BD118=$F$118:$F$180),0))</f>
        <v>0</v>
      </c>
      <c r="BO118" s="274" cm="1">
        <f t="array" ref="BO118">INDEX(M$118:M$180,MATCH(1,($BC118=$B$118:$B$180)*($BD118=$F$118:$F$180),0))</f>
        <v>0</v>
      </c>
      <c r="BQ118" s="6" t="s">
        <v>150</v>
      </c>
      <c r="BS118" s="6" t="str" cm="1">
        <f t="array" ref="BS118">IF(AND(BE118=2,BC118=1,OR(i_TE_sc_10y_all_IO=1,i_TE_sc_5and20y_all_IO=1)),"Yes",IF(i_no_TE_waning=1,"No",INDEX(J$118:J$180,MATCH(1,($BC118=$B$118:$B$180)*($BD118=$F$118:$F$180),0))))</f>
        <v>No</v>
      </c>
      <c r="BT118" s="6" t="str">
        <f t="shared" ref="BT118:BT181" si="3">IF(AND(BG118=0,BC118=1,OR(i_TE_sc_PartSA_5y_IO_TKI_OS=1,i_TE_sc_4and6y_IO_TKI_OS_absSurv=1)),"Yes","No")</f>
        <v>No</v>
      </c>
    </row>
    <row r="119" spans="2:72" x14ac:dyDescent="0.2">
      <c r="B119" s="1143">
        <v>1</v>
      </c>
      <c r="F119" s="654" t="str">
        <v>cabozantinib_plus_nivolumab</v>
      </c>
      <c r="J119" s="1012" t="s">
        <v>74</v>
      </c>
      <c r="K119" s="660" t="s">
        <v>149</v>
      </c>
      <c r="L119" s="1014">
        <f>IF(OR(i_TE_sc_10y_IO_TKI=1,i_TE_sc_10y_all_IO=1),ROUND(10*365.25/7,0),IF(i_TE_sc_4and6y_IO_TKI_OS_absSurv=1,ROUND(4*365.25/7,0),ROUND(5*365.25/7,0)))</f>
        <v>261</v>
      </c>
      <c r="M119" s="1015">
        <f>IF(OR(i_TE_sc_5and20y_IO_TKI=1,i_TE_sc_5and20y_all_IO=1),ROUND(20*365.25/7,0),IF(i_TE_sc_4and6y_IO_TKI_OS_absSurv=1,ROUND(6*365.25/7,0),L119))</f>
        <v>261</v>
      </c>
      <c r="O119" s="1012" t="s">
        <v>74</v>
      </c>
      <c r="P119" s="660" t="s">
        <v>149</v>
      </c>
      <c r="Q119" s="1014">
        <f>IF(OR(i_TE_sc_10y_IO_TKI=1,i_TE_sc_10y_all_IO=1),ROUND(10*365.25/7,0),IF(i_TE_sc_4and6y_IO_TKI_OS_absSurv=1,ROUND(4*365.25/7,0),ROUND(5*365.25/7,0)))</f>
        <v>261</v>
      </c>
      <c r="R119" s="1015">
        <f>IF(OR(i_TE_sc_5and20y_IO_TKI=1,i_TE_sc_5and20y_all_IO=1),ROUND(20*365.25/7,0),Q119)</f>
        <v>261</v>
      </c>
      <c r="T119" s="1012" t="s">
        <v>74</v>
      </c>
      <c r="U119" s="660" t="s">
        <v>149</v>
      </c>
      <c r="V119" s="1014">
        <f>IF(OR(i_TE_sc_10y_IO_TKI=1,i_TE_sc_10y_all_IO=1),ROUND(10*365.25/7,0),IF(i_TE_sc_4and6y_IO_TKI_OS_absSurv=1,ROUND(4*365.25/7,0),ROUND(5*365.25/7,0)))</f>
        <v>261</v>
      </c>
      <c r="W119" s="1015">
        <f>IF(OR(i_TE_sc_5and20y_IO_TKI=1,i_TE_sc_5and20y_all_IO=1),ROUND(20*365.25/7,0),V119)</f>
        <v>261</v>
      </c>
      <c r="Y119" s="1012" t="s">
        <v>74</v>
      </c>
      <c r="Z119" s="660" t="s">
        <v>149</v>
      </c>
      <c r="AA119" s="1014">
        <f>IF(OR(i_TE_sc_10y_IO_TKI=1,i_TE_sc_10y_all_IO=1),ROUND(10*365.25/7,0),ROUND(5*365.25/7,0))</f>
        <v>261</v>
      </c>
      <c r="AB119" s="1015">
        <f>IF(OR(i_TE_sc_5and20y_IO_TKI=1,i_TE_sc_5and20y_all_IO=1),ROUND(20*365.25/7,0),AA119)</f>
        <v>261</v>
      </c>
      <c r="AD119" s="67"/>
      <c r="AE119" s="274"/>
      <c r="AF119" s="274"/>
      <c r="AZ119" s="657">
        <v>2</v>
      </c>
      <c r="BA119" s="17">
        <v>0</v>
      </c>
      <c r="BB119" s="17" t="s">
        <v>31</v>
      </c>
      <c r="BC119" s="17">
        <v>1</v>
      </c>
      <c r="BD119" s="17" t="str" cm="1">
        <f t="array" ref="BD119">INDEX(List_comparators,$AZ119)</f>
        <v>cabozantinib_plus_nivolumab</v>
      </c>
      <c r="BE119" s="17">
        <f>INDEX(Lists!$L$51:$L$85,MATCH(BD119,Lists!$K$51:$K$85,0))</f>
        <v>1</v>
      </c>
      <c r="BF119" s="17" t="str">
        <f>INDEX(Lists!$S$51:$S$55,1)</f>
        <v>Overall survival</v>
      </c>
      <c r="BG119" s="17">
        <f>INDEX(Lists!$T$51:$T$55,MATCH(BF119,Lists!$S$51:$S$55,0))</f>
        <v>0</v>
      </c>
      <c r="BH119" s="17">
        <f>VLOOKUP(VLOOKUP(BC119,$F$100:$I$103,2,FALSE),Lists!$K$50:$L$63,2,FALSE)</f>
        <v>7</v>
      </c>
      <c r="BI119" s="17" t="str" cm="1">
        <f t="array" ref="BI119">IF(OR(i_TE_sc_PartSA_5y_IO_TKI_OS=1,i_TE_sc_4and6y_IO_TKI_OS_absSurv=1),BT119,IF(OR(i_TE_sc_10y_all_IO=1,i_TE_sc_5and20y_all_IO=1),BS119,IF(i_no_TE_waning=1,"No",INDEX(J$118:J$180,MATCH(1,($BC119=$B$118:$B$180)*($BD119=$F$118:$F$180),0)))))</f>
        <v>Yes</v>
      </c>
      <c r="BJ119" s="17" t="str" cm="1">
        <f t="array" ref="BJ119">IF(i_TE_sc_4and6y_IO_TKI_OS_absSurv=1,BQ119,INDEX(K$118:K$180,MATCH(1,($BC119=$B$118:$B$180)*($BD119=$F$118:$F$180),0)))</f>
        <v>ref trt hazard</v>
      </c>
      <c r="BK119" s="17">
        <f t="shared" si="1"/>
        <v>261</v>
      </c>
      <c r="BL119" s="17">
        <f t="shared" si="2"/>
        <v>261</v>
      </c>
      <c r="BN119" s="274" cm="1">
        <f t="array" ref="BN119">INDEX(L$118:L$180,MATCH(1,($BC119=$B$118:$B$180)*($BD119=$F$118:$F$180),0))</f>
        <v>261</v>
      </c>
      <c r="BO119" s="274" cm="1">
        <f t="array" ref="BO119">INDEX(M$118:M$180,MATCH(1,($BC119=$B$118:$B$180)*($BD119=$F$118:$F$180),0))</f>
        <v>261</v>
      </c>
      <c r="BQ119" s="6" t="s">
        <v>150</v>
      </c>
      <c r="BS119" s="6" t="str" cm="1">
        <f t="array" ref="BS119">IF(AND(BE119=2,BC119=1,OR(i_TE_sc_10y_all_IO=1,i_TE_sc_5and20y_all_IO=1)),"Yes",IF(i_no_TE_waning=1,"No",INDEX(J$118:J$180,MATCH(1,($BC119=$B$118:$B$180)*($BD119=$F$118:$F$180),0))))</f>
        <v>Yes</v>
      </c>
      <c r="BT119" s="274" t="str">
        <f t="shared" si="3"/>
        <v>No</v>
      </c>
    </row>
    <row r="120" spans="2:72" x14ac:dyDescent="0.2">
      <c r="B120" s="1143">
        <v>1</v>
      </c>
      <c r="F120" s="654" t="str">
        <v>nivolumab_plus_ipilimumab</v>
      </c>
      <c r="J120" s="1012" t="s">
        <v>58</v>
      </c>
      <c r="K120" s="660" t="s">
        <v>149</v>
      </c>
      <c r="L120" s="1014">
        <f>IF(i_TE_sc_10y_all_IO=1,ROUND(10*365.25/7,0),ROUND(5*365.25/7,0))</f>
        <v>261</v>
      </c>
      <c r="M120" s="1015">
        <f>IF(i_TE_sc_5and20y_all_IO=1,ROUND(20*365.25/7,0),L120)</f>
        <v>261</v>
      </c>
      <c r="O120" s="1012" t="s">
        <v>58</v>
      </c>
      <c r="P120" s="660" t="s">
        <v>149</v>
      </c>
      <c r="Q120" s="1015">
        <f>IF(i_TE_sc_10y_all_IO=1,ROUND(10*365.25/7,0),ROUND(5*365.25/7,0))</f>
        <v>261</v>
      </c>
      <c r="R120" s="1015">
        <f>IF(i_TE_sc_5and20y_all_IO=1,ROUND(20*365.25/7,0),Q120)</f>
        <v>261</v>
      </c>
      <c r="T120" s="1012" t="s">
        <v>58</v>
      </c>
      <c r="U120" s="660" t="s">
        <v>149</v>
      </c>
      <c r="V120" s="1015">
        <f>IF(i_TE_sc_10y_all_IO=1,ROUND(10*365.25/7,0),ROUND(5*365.25/7,0))</f>
        <v>261</v>
      </c>
      <c r="W120" s="1015">
        <f>IF(i_TE_sc_5and20y_all_IO=1,ROUND(20*365.25/7,0),V120)</f>
        <v>261</v>
      </c>
      <c r="Y120" s="1012" t="s">
        <v>58</v>
      </c>
      <c r="Z120" s="660" t="s">
        <v>149</v>
      </c>
      <c r="AA120" s="1015">
        <f>IF(i_TE_sc_10y_all_IO=1,ROUND(10*365.25/7,0),ROUND(5*365.25/7,0))</f>
        <v>261</v>
      </c>
      <c r="AB120" s="1015">
        <f>IF(i_TE_sc_5and20y_all_IO=1,ROUND(20*365.25/7,0),AA120)</f>
        <v>261</v>
      </c>
      <c r="AD120" s="67"/>
      <c r="AE120" s="274"/>
      <c r="AF120" s="274"/>
      <c r="AZ120" s="657">
        <v>3</v>
      </c>
      <c r="BA120" s="17">
        <v>0</v>
      </c>
      <c r="BB120" s="17" t="s">
        <v>31</v>
      </c>
      <c r="BC120" s="17">
        <v>1</v>
      </c>
      <c r="BD120" s="17" t="str" cm="1">
        <f t="array" ref="BD120">INDEX(List_comparators,$AZ120)</f>
        <v>nivolumab_plus_ipilimumab</v>
      </c>
      <c r="BE120" s="17">
        <f>INDEX(Lists!$L$51:$L$85,MATCH(BD120,Lists!$K$51:$K$85,0))</f>
        <v>2</v>
      </c>
      <c r="BF120" s="17" t="str">
        <f>INDEX(Lists!$S$51:$S$55,1)</f>
        <v>Overall survival</v>
      </c>
      <c r="BG120" s="17">
        <f>INDEX(Lists!$T$51:$T$55,MATCH(BF120,Lists!$S$51:$S$55,0))</f>
        <v>0</v>
      </c>
      <c r="BH120" s="17">
        <f>VLOOKUP(VLOOKUP(BC120,$F$100:$I$103,2,FALSE),Lists!$K$50:$L$63,2,FALSE)</f>
        <v>7</v>
      </c>
      <c r="BI120" s="17" t="str" cm="1">
        <f t="array" ref="BI120">IF(OR(i_TE_sc_PartSA_5y_IO_TKI_OS=1,i_TE_sc_4and6y_IO_TKI_OS_absSurv=1),BT120,IF(OR(i_TE_sc_10y_all_IO=1,i_TE_sc_5and20y_all_IO=1),BS120,IF(i_no_TE_waning=1,"No",INDEX(J$118:J$180,MATCH(1,($BC120=$B$118:$B$180)*($BD120=$F$118:$F$180),0)))))</f>
        <v>No</v>
      </c>
      <c r="BJ120" s="17" t="str" cm="1">
        <f t="array" ref="BJ120">IF(i_TE_sc_4and6y_IO_TKI_OS_absSurv=1,BQ120,INDEX(K$118:K$180,MATCH(1,($BC120=$B$118:$B$180)*($BD120=$F$118:$F$180),0)))</f>
        <v>ref trt hazard</v>
      </c>
      <c r="BK120" s="17">
        <f t="shared" si="1"/>
        <v>261</v>
      </c>
      <c r="BL120" s="17">
        <f t="shared" si="2"/>
        <v>261</v>
      </c>
      <c r="BN120" s="274" cm="1">
        <f t="array" ref="BN120">INDEX(L$118:L$180,MATCH(1,($BC120=$B$118:$B$180)*($BD120=$F$118:$F$180),0))</f>
        <v>261</v>
      </c>
      <c r="BO120" s="274" cm="1">
        <f t="array" ref="BO120">INDEX(M$118:M$180,MATCH(1,($BC120=$B$118:$B$180)*($BD120=$F$118:$F$180),0))</f>
        <v>261</v>
      </c>
      <c r="BQ120" s="6" t="s">
        <v>150</v>
      </c>
      <c r="BS120" s="6" t="str" cm="1">
        <f t="array" ref="BS120">IF(AND(BE120=2,BC120=1,OR(i_TE_sc_10y_all_IO=1,i_TE_sc_5and20y_all_IO=1)),"Yes",IF(i_no_TE_waning=1,"No",INDEX(J$118:J$180,MATCH(1,($BC120=$B$118:$B$180)*($BD120=$F$118:$F$180),0))))</f>
        <v>No</v>
      </c>
      <c r="BT120" s="274" t="str">
        <f t="shared" si="3"/>
        <v>No</v>
      </c>
    </row>
    <row r="121" spans="2:72" x14ac:dyDescent="0.2">
      <c r="B121" s="1143">
        <v>1</v>
      </c>
      <c r="F121" s="654" t="str">
        <v>lenvatinib_plus_pembrolizumab</v>
      </c>
      <c r="J121" s="1012" t="s">
        <v>74</v>
      </c>
      <c r="K121" s="660" t="s">
        <v>149</v>
      </c>
      <c r="L121" s="1014">
        <f t="shared" ref="L121:L126" si="4">IF(OR(i_TE_sc_10y_IO_TKI=1,i_TE_sc_10y_all_IO=1),ROUND(10*365.25/7,0),IF(i_TE_sc_4and6y_IO_TKI_OS_absSurv=1,ROUND(4*365.25/7,0),ROUND(5*365.25/7,0)))</f>
        <v>261</v>
      </c>
      <c r="M121" s="1015">
        <f t="shared" ref="M121:M126" si="5">IF(OR(i_TE_sc_5and20y_IO_TKI=1,i_TE_sc_5and20y_all_IO=1),ROUND(20*365.25/7,0),IF(i_TE_sc_4and6y_IO_TKI_OS_absSurv=1,ROUND(6*365.25/7,0),L121))</f>
        <v>261</v>
      </c>
      <c r="O121" s="1012" t="s">
        <v>74</v>
      </c>
      <c r="P121" s="660" t="s">
        <v>149</v>
      </c>
      <c r="Q121" s="1014">
        <f t="shared" ref="Q121:Q126" si="6">IF(OR(i_TE_sc_10y_IO_TKI=1,i_TE_sc_10y_all_IO=1),ROUND(10*365.25/7,0),IF(i_TE_sc_4and6y_IO_TKI_OS_absSurv=1,ROUND(4*365.25/7,0),ROUND(5*365.25/7,0)))</f>
        <v>261</v>
      </c>
      <c r="R121" s="1015">
        <f t="shared" ref="R121:R126" si="7">IF(OR(i_TE_sc_5and20y_IO_TKI=1,i_TE_sc_5and20y_all_IO=1),ROUND(20*365.25/7,0),Q121)</f>
        <v>261</v>
      </c>
      <c r="T121" s="1012" t="s">
        <v>74</v>
      </c>
      <c r="U121" s="660" t="s">
        <v>149</v>
      </c>
      <c r="V121" s="1014">
        <f t="shared" ref="V121:V126" si="8">IF(OR(i_TE_sc_10y_IO_TKI=1,i_TE_sc_10y_all_IO=1),ROUND(10*365.25/7,0),IF(i_TE_sc_4and6y_IO_TKI_OS_absSurv=1,ROUND(4*365.25/7,0),ROUND(5*365.25/7,0)))</f>
        <v>261</v>
      </c>
      <c r="W121" s="1015">
        <f t="shared" ref="W121:W126" si="9">IF(OR(i_TE_sc_5and20y_IO_TKI=1,i_TE_sc_5and20y_all_IO=1),ROUND(20*365.25/7,0),V121)</f>
        <v>261</v>
      </c>
      <c r="Y121" s="1012" t="s">
        <v>74</v>
      </c>
      <c r="Z121" s="660" t="s">
        <v>149</v>
      </c>
      <c r="AA121" s="1014">
        <f t="shared" ref="AA121:AA126" si="10">IF(OR(i_TE_sc_10y_IO_TKI=1,i_TE_sc_10y_all_IO=1),ROUND(10*365.25/7,0),ROUND(5*365.25/7,0))</f>
        <v>261</v>
      </c>
      <c r="AB121" s="1015">
        <f t="shared" ref="AB121:AB126" si="11">IF(OR(i_TE_sc_5and20y_IO_TKI=1,i_TE_sc_5and20y_all_IO=1),ROUND(20*365.25/7,0),AA121)</f>
        <v>261</v>
      </c>
      <c r="AD121" s="67"/>
      <c r="AE121" s="274"/>
      <c r="AF121" s="274"/>
      <c r="AZ121" s="657">
        <v>4</v>
      </c>
      <c r="BA121" s="17">
        <v>0</v>
      </c>
      <c r="BB121" s="17" t="s">
        <v>31</v>
      </c>
      <c r="BC121" s="17">
        <v>1</v>
      </c>
      <c r="BD121" s="17" t="str" cm="1">
        <f t="array" ref="BD121">INDEX(List_comparators,$AZ121)</f>
        <v>lenvatinib_plus_pembrolizumab</v>
      </c>
      <c r="BE121" s="17">
        <f>INDEX(Lists!$L$51:$L$85,MATCH(BD121,Lists!$K$51:$K$85,0))</f>
        <v>3</v>
      </c>
      <c r="BF121" s="17" t="str">
        <f>INDEX(Lists!$S$51:$S$55,1)</f>
        <v>Overall survival</v>
      </c>
      <c r="BG121" s="17">
        <f>INDEX(Lists!$T$51:$T$55,MATCH(BF121,Lists!$S$51:$S$55,0))</f>
        <v>0</v>
      </c>
      <c r="BH121" s="17">
        <f>VLOOKUP(VLOOKUP(BC121,$F$100:$I$103,2,FALSE),Lists!$K$50:$L$63,2,FALSE)</f>
        <v>7</v>
      </c>
      <c r="BI121" s="17" t="str" cm="1">
        <f t="array" ref="BI121">IF(OR(i_TE_sc_PartSA_5y_IO_TKI_OS=1,i_TE_sc_4and6y_IO_TKI_OS_absSurv=1),BT121,IF(OR(i_TE_sc_10y_all_IO=1,i_TE_sc_5and20y_all_IO=1),BS121,IF(i_no_TE_waning=1,"No",INDEX(J$118:J$180,MATCH(1,($BC121=$B$118:$B$180)*($BD121=$F$118:$F$180),0)))))</f>
        <v>Yes</v>
      </c>
      <c r="BJ121" s="17" t="str" cm="1">
        <f t="array" ref="BJ121">IF(i_TE_sc_4and6y_IO_TKI_OS_absSurv=1,BQ121,INDEX(K$118:K$180,MATCH(1,($BC121=$B$118:$B$180)*($BD121=$F$118:$F$180),0)))</f>
        <v>ref trt hazard</v>
      </c>
      <c r="BK121" s="17">
        <f t="shared" si="1"/>
        <v>261</v>
      </c>
      <c r="BL121" s="17">
        <f t="shared" si="2"/>
        <v>261</v>
      </c>
      <c r="BN121" s="274" cm="1">
        <f t="array" ref="BN121">INDEX(L$118:L$180,MATCH(1,($BC121=$B$118:$B$180)*($BD121=$F$118:$F$180),0))</f>
        <v>261</v>
      </c>
      <c r="BO121" s="274" cm="1">
        <f t="array" ref="BO121">INDEX(M$118:M$180,MATCH(1,($BC121=$B$118:$B$180)*($BD121=$F$118:$F$180),0))</f>
        <v>261</v>
      </c>
      <c r="BQ121" s="6" t="s">
        <v>150</v>
      </c>
      <c r="BS121" s="6" t="str" cm="1">
        <f t="array" ref="BS121">IF(AND(BE121=2,BC121=1,OR(i_TE_sc_10y_all_IO=1,i_TE_sc_5and20y_all_IO=1)),"Yes",IF(i_no_TE_waning=1,"No",INDEX(J$118:J$180,MATCH(1,($BC121=$B$118:$B$180)*($BD121=$F$118:$F$180),0))))</f>
        <v>Yes</v>
      </c>
      <c r="BT121" s="274" t="str">
        <f t="shared" si="3"/>
        <v>No</v>
      </c>
    </row>
    <row r="122" spans="2:72" x14ac:dyDescent="0.2">
      <c r="B122" s="1143">
        <v>1</v>
      </c>
      <c r="F122" s="654" t="str">
        <v>avelumab_plus_axitinib</v>
      </c>
      <c r="J122" s="1141" t="s">
        <v>74</v>
      </c>
      <c r="K122" s="660" t="s">
        <v>149</v>
      </c>
      <c r="L122" s="1014">
        <f t="shared" si="4"/>
        <v>261</v>
      </c>
      <c r="M122" s="1015">
        <f t="shared" si="5"/>
        <v>261</v>
      </c>
      <c r="O122" s="1141" t="s">
        <v>74</v>
      </c>
      <c r="P122" s="660" t="s">
        <v>149</v>
      </c>
      <c r="Q122" s="1014">
        <f t="shared" si="6"/>
        <v>261</v>
      </c>
      <c r="R122" s="1015">
        <f t="shared" si="7"/>
        <v>261</v>
      </c>
      <c r="T122" s="1141" t="s">
        <v>74</v>
      </c>
      <c r="U122" s="660" t="s">
        <v>149</v>
      </c>
      <c r="V122" s="1014">
        <f t="shared" si="8"/>
        <v>261</v>
      </c>
      <c r="W122" s="1015">
        <f t="shared" si="9"/>
        <v>261</v>
      </c>
      <c r="Y122" s="1141" t="s">
        <v>74</v>
      </c>
      <c r="Z122" s="660" t="s">
        <v>149</v>
      </c>
      <c r="AA122" s="1014">
        <f t="shared" si="10"/>
        <v>261</v>
      </c>
      <c r="AB122" s="1015">
        <f t="shared" si="11"/>
        <v>261</v>
      </c>
      <c r="AD122" s="67"/>
      <c r="AE122" s="274"/>
      <c r="AF122" s="274"/>
      <c r="AZ122" s="657">
        <v>5</v>
      </c>
      <c r="BA122" s="17">
        <v>0</v>
      </c>
      <c r="BB122" s="17" t="s">
        <v>31</v>
      </c>
      <c r="BC122" s="17">
        <v>1</v>
      </c>
      <c r="BD122" s="17" t="str" cm="1">
        <f t="array" ref="BD122">INDEX(List_comparators,$AZ122)</f>
        <v>avelumab_plus_axitinib</v>
      </c>
      <c r="BE122" s="17">
        <f>INDEX(Lists!$L$51:$L$85,MATCH(BD122,Lists!$K$51:$K$85,0))</f>
        <v>4</v>
      </c>
      <c r="BF122" s="17" t="str">
        <f>INDEX(Lists!$S$51:$S$55,1)</f>
        <v>Overall survival</v>
      </c>
      <c r="BG122" s="17">
        <f>INDEX(Lists!$T$51:$T$55,MATCH(BF122,Lists!$S$51:$S$55,0))</f>
        <v>0</v>
      </c>
      <c r="BH122" s="17">
        <f>VLOOKUP(VLOOKUP(BC122,$F$100:$I$103,2,FALSE),Lists!$K$50:$L$63,2,FALSE)</f>
        <v>7</v>
      </c>
      <c r="BI122" s="17" t="str" cm="1">
        <f t="array" ref="BI122">IF(OR(i_TE_sc_PartSA_5y_IO_TKI_OS=1,i_TE_sc_4and6y_IO_TKI_OS_absSurv=1),BT122,IF(OR(i_TE_sc_10y_all_IO=1,i_TE_sc_5and20y_all_IO=1),BS122,IF(i_no_TE_waning=1,"No",INDEX(J$118:J$180,MATCH(1,($BC122=$B$118:$B$180)*($BD122=$F$118:$F$180),0)))))</f>
        <v>Yes</v>
      </c>
      <c r="BJ122" s="17" t="str" cm="1">
        <f t="array" ref="BJ122">IF(i_TE_sc_4and6y_IO_TKI_OS_absSurv=1,BQ122,INDEX(K$118:K$180,MATCH(1,($BC122=$B$118:$B$180)*($BD122=$F$118:$F$180),0)))</f>
        <v>ref trt hazard</v>
      </c>
      <c r="BK122" s="17">
        <f t="shared" si="1"/>
        <v>261</v>
      </c>
      <c r="BL122" s="17">
        <f t="shared" si="2"/>
        <v>261</v>
      </c>
      <c r="BN122" s="274" cm="1">
        <f t="array" ref="BN122">INDEX(L$118:L$180,MATCH(1,($BC122=$B$118:$B$180)*($BD122=$F$118:$F$180),0))</f>
        <v>261</v>
      </c>
      <c r="BO122" s="274" cm="1">
        <f t="array" ref="BO122">INDEX(M$118:M$180,MATCH(1,($BC122=$B$118:$B$180)*($BD122=$F$118:$F$180),0))</f>
        <v>261</v>
      </c>
      <c r="BQ122" s="6" t="s">
        <v>150</v>
      </c>
      <c r="BS122" s="6" t="str" cm="1">
        <f t="array" ref="BS122">IF(AND(BE122=2,BC122=1,OR(i_TE_sc_10y_all_IO=1,i_TE_sc_5and20y_all_IO=1)),"Yes",IF(i_no_TE_waning=1,"No",INDEX(J$118:J$180,MATCH(1,($BC122=$B$118:$B$180)*($BD122=$F$118:$F$180),0))))</f>
        <v>Yes</v>
      </c>
      <c r="BT122" s="274" t="str">
        <f t="shared" si="3"/>
        <v>No</v>
      </c>
    </row>
    <row r="123" spans="2:72" x14ac:dyDescent="0.2">
      <c r="B123" s="1143">
        <v>1</v>
      </c>
      <c r="F123" s="1013" t="str">
        <v>pazopanib</v>
      </c>
      <c r="J123" s="1141" t="s">
        <v>74</v>
      </c>
      <c r="K123" s="660" t="s">
        <v>149</v>
      </c>
      <c r="L123" s="1014">
        <f t="shared" si="4"/>
        <v>261</v>
      </c>
      <c r="M123" s="1015">
        <f t="shared" si="5"/>
        <v>261</v>
      </c>
      <c r="O123" s="1141" t="s">
        <v>74</v>
      </c>
      <c r="P123" s="660" t="s">
        <v>149</v>
      </c>
      <c r="Q123" s="1014">
        <f t="shared" si="6"/>
        <v>261</v>
      </c>
      <c r="R123" s="1015">
        <f t="shared" si="7"/>
        <v>261</v>
      </c>
      <c r="T123" s="1141" t="s">
        <v>74</v>
      </c>
      <c r="U123" s="660" t="s">
        <v>149</v>
      </c>
      <c r="V123" s="1014">
        <f t="shared" si="8"/>
        <v>261</v>
      </c>
      <c r="W123" s="1015">
        <f t="shared" si="9"/>
        <v>261</v>
      </c>
      <c r="Y123" s="1141" t="s">
        <v>74</v>
      </c>
      <c r="Z123" s="660" t="s">
        <v>149</v>
      </c>
      <c r="AA123" s="1014">
        <f t="shared" si="10"/>
        <v>261</v>
      </c>
      <c r="AB123" s="1015">
        <f t="shared" si="11"/>
        <v>261</v>
      </c>
      <c r="AD123" s="67"/>
      <c r="AE123" s="274"/>
      <c r="AF123" s="274"/>
      <c r="AZ123" s="657">
        <v>6</v>
      </c>
      <c r="BA123" s="17">
        <v>0</v>
      </c>
      <c r="BB123" s="17" t="s">
        <v>31</v>
      </c>
      <c r="BC123" s="17">
        <v>1</v>
      </c>
      <c r="BD123" s="17" t="str" cm="1">
        <f t="array" ref="BD123">INDEX(List_comparators,$AZ123)</f>
        <v>pazopanib</v>
      </c>
      <c r="BE123" s="17">
        <f>INDEX(Lists!$L$51:$L$85,MATCH(BD123,Lists!$K$51:$K$85,0))</f>
        <v>5</v>
      </c>
      <c r="BF123" s="17" t="str">
        <f>INDEX(Lists!$S$51:$S$55,1)</f>
        <v>Overall survival</v>
      </c>
      <c r="BG123" s="17">
        <f>INDEX(Lists!$T$51:$T$55,MATCH(BF123,Lists!$S$51:$S$55,0))</f>
        <v>0</v>
      </c>
      <c r="BH123" s="17">
        <f>VLOOKUP(VLOOKUP(BC123,$F$100:$I$103,2,FALSE),Lists!$K$50:$L$63,2,FALSE)</f>
        <v>7</v>
      </c>
      <c r="BI123" s="17" t="str" cm="1">
        <f t="array" ref="BI123">IF(OR(i_TE_sc_PartSA_5y_IO_TKI_OS=1,i_TE_sc_4and6y_IO_TKI_OS_absSurv=1),BT123,IF(OR(i_TE_sc_10y_all_IO=1,i_TE_sc_5and20y_all_IO=1),BS123,IF(i_no_TE_waning=1,"No",INDEX(J$118:J$180,MATCH(1,($BC123=$B$118:$B$180)*($BD123=$F$118:$F$180),0)))))</f>
        <v>Yes</v>
      </c>
      <c r="BJ123" s="17" t="str" cm="1">
        <f t="array" ref="BJ123">IF(i_TE_sc_4and6y_IO_TKI_OS_absSurv=1,BQ123,INDEX(K$118:K$180,MATCH(1,($BC123=$B$118:$B$180)*($BD123=$F$118:$F$180),0)))</f>
        <v>ref trt hazard</v>
      </c>
      <c r="BK123" s="17">
        <f t="shared" si="1"/>
        <v>261</v>
      </c>
      <c r="BL123" s="17">
        <f t="shared" si="2"/>
        <v>261</v>
      </c>
      <c r="BN123" s="274" cm="1">
        <f t="array" ref="BN123">INDEX(L$118:L$180,MATCH(1,($BC123=$B$118:$B$180)*($BD123=$F$118:$F$180),0))</f>
        <v>261</v>
      </c>
      <c r="BO123" s="274" cm="1">
        <f t="array" ref="BO123">INDEX(M$118:M$180,MATCH(1,($BC123=$B$118:$B$180)*($BD123=$F$118:$F$180),0))</f>
        <v>261</v>
      </c>
      <c r="BQ123" s="6" t="s">
        <v>150</v>
      </c>
      <c r="BS123" s="6" t="str" cm="1">
        <f t="array" ref="BS123">IF(AND(BE123=2,BC123=1,OR(i_TE_sc_10y_all_IO=1,i_TE_sc_5and20y_all_IO=1)),"Yes",IF(i_no_TE_waning=1,"No",INDEX(J$118:J$180,MATCH(1,($BC123=$B$118:$B$180)*($BD123=$F$118:$F$180),0))))</f>
        <v>Yes</v>
      </c>
      <c r="BT123" s="274" t="str">
        <f t="shared" si="3"/>
        <v>No</v>
      </c>
    </row>
    <row r="124" spans="2:72" x14ac:dyDescent="0.2">
      <c r="B124" s="1143">
        <v>1</v>
      </c>
      <c r="F124" s="1013" t="str">
        <v>tivozanib</v>
      </c>
      <c r="J124" s="1141" t="s">
        <v>74</v>
      </c>
      <c r="K124" s="660" t="s">
        <v>149</v>
      </c>
      <c r="L124" s="1014">
        <f t="shared" si="4"/>
        <v>261</v>
      </c>
      <c r="M124" s="1015">
        <f t="shared" si="5"/>
        <v>261</v>
      </c>
      <c r="O124" s="1141" t="s">
        <v>74</v>
      </c>
      <c r="P124" s="660" t="s">
        <v>149</v>
      </c>
      <c r="Q124" s="1014">
        <f t="shared" si="6"/>
        <v>261</v>
      </c>
      <c r="R124" s="1015">
        <f t="shared" si="7"/>
        <v>261</v>
      </c>
      <c r="T124" s="1141" t="s">
        <v>74</v>
      </c>
      <c r="U124" s="660" t="s">
        <v>149</v>
      </c>
      <c r="V124" s="1014">
        <f t="shared" si="8"/>
        <v>261</v>
      </c>
      <c r="W124" s="1015">
        <f t="shared" si="9"/>
        <v>261</v>
      </c>
      <c r="Y124" s="1141" t="s">
        <v>74</v>
      </c>
      <c r="Z124" s="660" t="s">
        <v>149</v>
      </c>
      <c r="AA124" s="1014">
        <f t="shared" si="10"/>
        <v>261</v>
      </c>
      <c r="AB124" s="1015">
        <f t="shared" si="11"/>
        <v>261</v>
      </c>
      <c r="AD124" s="67"/>
      <c r="AE124" s="274"/>
      <c r="AF124" s="274"/>
      <c r="AZ124" s="657">
        <v>7</v>
      </c>
      <c r="BA124" s="17">
        <v>0</v>
      </c>
      <c r="BB124" s="17" t="s">
        <v>31</v>
      </c>
      <c r="BC124" s="17">
        <v>1</v>
      </c>
      <c r="BD124" s="17" t="str" cm="1">
        <f t="array" ref="BD124">INDEX(List_comparators,$AZ124)</f>
        <v>tivozanib</v>
      </c>
      <c r="BE124" s="17">
        <f>INDEX(Lists!$L$51:$L$85,MATCH(BD124,Lists!$K$51:$K$85,0))</f>
        <v>6</v>
      </c>
      <c r="BF124" s="17" t="str">
        <f>INDEX(Lists!$S$51:$S$55,1)</f>
        <v>Overall survival</v>
      </c>
      <c r="BG124" s="17">
        <f>INDEX(Lists!$T$51:$T$55,MATCH(BF124,Lists!$S$51:$S$55,0))</f>
        <v>0</v>
      </c>
      <c r="BH124" s="17">
        <f>VLOOKUP(VLOOKUP(BC124,$F$100:$I$103,2,FALSE),Lists!$K$50:$L$63,2,FALSE)</f>
        <v>7</v>
      </c>
      <c r="BI124" s="17" t="str" cm="1">
        <f t="array" ref="BI124">IF(OR(i_TE_sc_PartSA_5y_IO_TKI_OS=1,i_TE_sc_4and6y_IO_TKI_OS_absSurv=1),BT124,IF(OR(i_TE_sc_10y_all_IO=1,i_TE_sc_5and20y_all_IO=1),BS124,IF(i_no_TE_waning=1,"No",INDEX(J$118:J$180,MATCH(1,($BC124=$B$118:$B$180)*($BD124=$F$118:$F$180),0)))))</f>
        <v>Yes</v>
      </c>
      <c r="BJ124" s="17" t="str" cm="1">
        <f t="array" ref="BJ124">IF(i_TE_sc_4and6y_IO_TKI_OS_absSurv=1,BQ124,INDEX(K$118:K$180,MATCH(1,($BC124=$B$118:$B$180)*($BD124=$F$118:$F$180),0)))</f>
        <v>ref trt hazard</v>
      </c>
      <c r="BK124" s="17">
        <f t="shared" si="1"/>
        <v>261</v>
      </c>
      <c r="BL124" s="17">
        <f t="shared" si="2"/>
        <v>261</v>
      </c>
      <c r="BN124" s="274" cm="1">
        <f t="array" ref="BN124">INDEX(L$118:L$180,MATCH(1,($BC124=$B$118:$B$180)*($BD124=$F$118:$F$180),0))</f>
        <v>261</v>
      </c>
      <c r="BO124" s="274" cm="1">
        <f t="array" ref="BO124">INDEX(M$118:M$180,MATCH(1,($BC124=$B$118:$B$180)*($BD124=$F$118:$F$180),0))</f>
        <v>261</v>
      </c>
      <c r="BQ124" s="6" t="s">
        <v>150</v>
      </c>
      <c r="BS124" s="6" t="str" cm="1">
        <f t="array" ref="BS124">IF(AND(BE124=2,BC124=1,OR(i_TE_sc_10y_all_IO=1,i_TE_sc_5and20y_all_IO=1)),"Yes",IF(i_no_TE_waning=1,"No",INDEX(J$118:J$180,MATCH(1,($BC124=$B$118:$B$180)*($BD124=$F$118:$F$180),0))))</f>
        <v>Yes</v>
      </c>
      <c r="BT124" s="274" t="str">
        <f t="shared" si="3"/>
        <v>No</v>
      </c>
    </row>
    <row r="125" spans="2:72" x14ac:dyDescent="0.2">
      <c r="B125" s="1143">
        <v>1</v>
      </c>
      <c r="F125" s="1013" t="str">
        <v>sunitinib</v>
      </c>
      <c r="J125" s="1141" t="s">
        <v>74</v>
      </c>
      <c r="K125" s="660" t="s">
        <v>149</v>
      </c>
      <c r="L125" s="1014">
        <f t="shared" si="4"/>
        <v>261</v>
      </c>
      <c r="M125" s="1015">
        <f t="shared" si="5"/>
        <v>261</v>
      </c>
      <c r="O125" s="1141" t="s">
        <v>74</v>
      </c>
      <c r="P125" s="660" t="s">
        <v>149</v>
      </c>
      <c r="Q125" s="1014">
        <f t="shared" si="6"/>
        <v>261</v>
      </c>
      <c r="R125" s="1015">
        <f t="shared" si="7"/>
        <v>261</v>
      </c>
      <c r="T125" s="1141" t="s">
        <v>74</v>
      </c>
      <c r="U125" s="660" t="s">
        <v>149</v>
      </c>
      <c r="V125" s="1014">
        <f t="shared" si="8"/>
        <v>261</v>
      </c>
      <c r="W125" s="1015">
        <f t="shared" si="9"/>
        <v>261</v>
      </c>
      <c r="Y125" s="1141" t="s">
        <v>74</v>
      </c>
      <c r="Z125" s="660" t="s">
        <v>149</v>
      </c>
      <c r="AA125" s="1014">
        <f t="shared" si="10"/>
        <v>261</v>
      </c>
      <c r="AB125" s="1015">
        <f t="shared" si="11"/>
        <v>261</v>
      </c>
      <c r="AD125" s="67"/>
      <c r="AE125" s="274"/>
      <c r="AF125" s="274"/>
      <c r="AZ125" s="657">
        <v>8</v>
      </c>
      <c r="BA125" s="17">
        <v>0</v>
      </c>
      <c r="BB125" s="17" t="s">
        <v>31</v>
      </c>
      <c r="BC125" s="17">
        <v>1</v>
      </c>
      <c r="BD125" s="17" t="str" cm="1">
        <f t="array" ref="BD125">INDEX(List_comparators,$AZ125)</f>
        <v>sunitinib</v>
      </c>
      <c r="BE125" s="17">
        <f>INDEX(Lists!$L$51:$L$85,MATCH(BD125,Lists!$K$51:$K$85,0))</f>
        <v>7</v>
      </c>
      <c r="BF125" s="17" t="str">
        <f>INDEX(Lists!$S$51:$S$55,1)</f>
        <v>Overall survival</v>
      </c>
      <c r="BG125" s="17">
        <f>INDEX(Lists!$T$51:$T$55,MATCH(BF125,Lists!$S$51:$S$55,0))</f>
        <v>0</v>
      </c>
      <c r="BH125" s="17">
        <f>VLOOKUP(VLOOKUP(BC125,$F$100:$I$103,2,FALSE),Lists!$K$50:$L$63,2,FALSE)</f>
        <v>7</v>
      </c>
      <c r="BI125" s="17" t="str" cm="1">
        <f t="array" ref="BI125">IF(OR(i_TE_sc_PartSA_5y_IO_TKI_OS=1,i_TE_sc_4and6y_IO_TKI_OS_absSurv=1),BT125,IF(OR(i_TE_sc_10y_all_IO=1,i_TE_sc_5and20y_all_IO=1),BS125,IF(i_no_TE_waning=1,"No",INDEX(J$118:J$180,MATCH(1,($BC125=$B$118:$B$180)*($BD125=$F$118:$F$180),0)))))</f>
        <v>Yes</v>
      </c>
      <c r="BJ125" s="17" t="str" cm="1">
        <f t="array" ref="BJ125">IF(i_TE_sc_4and6y_IO_TKI_OS_absSurv=1,BQ125,INDEX(K$118:K$180,MATCH(1,($BC125=$B$118:$B$180)*($BD125=$F$118:$F$180),0)))</f>
        <v>ref trt hazard</v>
      </c>
      <c r="BK125" s="17">
        <f t="shared" si="1"/>
        <v>261</v>
      </c>
      <c r="BL125" s="17">
        <f t="shared" si="2"/>
        <v>261</v>
      </c>
      <c r="BN125" s="274" cm="1">
        <f t="array" ref="BN125">INDEX(L$118:L$180,MATCH(1,($BC125=$B$118:$B$180)*($BD125=$F$118:$F$180),0))</f>
        <v>261</v>
      </c>
      <c r="BO125" s="274" cm="1">
        <f t="array" ref="BO125">INDEX(M$118:M$180,MATCH(1,($BC125=$B$118:$B$180)*($BD125=$F$118:$F$180),0))</f>
        <v>261</v>
      </c>
      <c r="BQ125" s="6" t="s">
        <v>150</v>
      </c>
      <c r="BS125" s="6" t="str" cm="1">
        <f t="array" ref="BS125">IF(AND(BE125=2,BC125=1,OR(i_TE_sc_10y_all_IO=1,i_TE_sc_5and20y_all_IO=1)),"Yes",IF(i_no_TE_waning=1,"No",INDEX(J$118:J$180,MATCH(1,($BC125=$B$118:$B$180)*($BD125=$F$118:$F$180),0))))</f>
        <v>Yes</v>
      </c>
      <c r="BT125" s="274" t="str">
        <f t="shared" si="3"/>
        <v>No</v>
      </c>
    </row>
    <row r="126" spans="2:72" x14ac:dyDescent="0.2">
      <c r="B126" s="1143">
        <v>1</v>
      </c>
      <c r="F126" s="1013" t="str">
        <v>cabozantinib</v>
      </c>
      <c r="J126" s="1141" t="s">
        <v>74</v>
      </c>
      <c r="K126" s="660" t="s">
        <v>149</v>
      </c>
      <c r="L126" s="1014">
        <f t="shared" si="4"/>
        <v>261</v>
      </c>
      <c r="M126" s="1015">
        <f t="shared" si="5"/>
        <v>261</v>
      </c>
      <c r="O126" s="1141" t="s">
        <v>74</v>
      </c>
      <c r="P126" s="660" t="s">
        <v>149</v>
      </c>
      <c r="Q126" s="1014">
        <f t="shared" si="6"/>
        <v>261</v>
      </c>
      <c r="R126" s="1015">
        <f t="shared" si="7"/>
        <v>261</v>
      </c>
      <c r="T126" s="1141" t="s">
        <v>74</v>
      </c>
      <c r="U126" s="660" t="s">
        <v>149</v>
      </c>
      <c r="V126" s="1014">
        <f t="shared" si="8"/>
        <v>261</v>
      </c>
      <c r="W126" s="1015">
        <f t="shared" si="9"/>
        <v>261</v>
      </c>
      <c r="Y126" s="1141" t="s">
        <v>74</v>
      </c>
      <c r="Z126" s="660" t="s">
        <v>149</v>
      </c>
      <c r="AA126" s="1014">
        <f t="shared" si="10"/>
        <v>261</v>
      </c>
      <c r="AB126" s="1015">
        <f t="shared" si="11"/>
        <v>261</v>
      </c>
      <c r="AD126" s="67"/>
      <c r="AE126" s="274"/>
      <c r="AF126" s="274"/>
      <c r="AZ126" s="657">
        <v>9</v>
      </c>
      <c r="BA126" s="17">
        <v>0</v>
      </c>
      <c r="BB126" s="17" t="s">
        <v>31</v>
      </c>
      <c r="BC126" s="17">
        <v>1</v>
      </c>
      <c r="BD126" s="17" t="str" cm="1">
        <f t="array" ref="BD126">INDEX(List_comparators,$AZ126)</f>
        <v>cabozantinib</v>
      </c>
      <c r="BE126" s="17">
        <f>INDEX(Lists!$L$51:$L$85,MATCH(BD126,Lists!$K$51:$K$85,0))</f>
        <v>8</v>
      </c>
      <c r="BF126" s="17" t="str">
        <f>INDEX(Lists!$S$51:$S$55,1)</f>
        <v>Overall survival</v>
      </c>
      <c r="BG126" s="17">
        <f>INDEX(Lists!$T$51:$T$55,MATCH(BF126,Lists!$S$51:$S$55,0))</f>
        <v>0</v>
      </c>
      <c r="BH126" s="17">
        <f>VLOOKUP(VLOOKUP(BC126,$F$100:$I$103,2,FALSE),Lists!$K$50:$L$63,2,FALSE)</f>
        <v>7</v>
      </c>
      <c r="BI126" s="17" t="str" cm="1">
        <f t="array" ref="BI126">IF(OR(i_TE_sc_PartSA_5y_IO_TKI_OS=1,i_TE_sc_4and6y_IO_TKI_OS_absSurv=1),BT126,IF(OR(i_TE_sc_10y_all_IO=1,i_TE_sc_5and20y_all_IO=1),BS126,IF(i_no_TE_waning=1,"No",INDEX(J$118:J$180,MATCH(1,($BC126=$B$118:$B$180)*($BD126=$F$118:$F$180),0)))))</f>
        <v>Yes</v>
      </c>
      <c r="BJ126" s="17" t="str" cm="1">
        <f t="array" ref="BJ126">IF(i_TE_sc_4and6y_IO_TKI_OS_absSurv=1,BQ126,INDEX(K$118:K$180,MATCH(1,($BC126=$B$118:$B$180)*($BD126=$F$118:$F$180),0)))</f>
        <v>ref trt hazard</v>
      </c>
      <c r="BK126" s="17">
        <f t="shared" si="1"/>
        <v>261</v>
      </c>
      <c r="BL126" s="17">
        <f t="shared" si="2"/>
        <v>261</v>
      </c>
      <c r="BN126" s="274" cm="1">
        <f t="array" ref="BN126">INDEX(L$118:L$180,MATCH(1,($BC126=$B$118:$B$180)*($BD126=$F$118:$F$180),0))</f>
        <v>261</v>
      </c>
      <c r="BO126" s="274" cm="1">
        <f t="array" ref="BO126">INDEX(M$118:M$180,MATCH(1,($BC126=$B$118:$B$180)*($BD126=$F$118:$F$180),0))</f>
        <v>261</v>
      </c>
      <c r="BQ126" s="6" t="s">
        <v>150</v>
      </c>
      <c r="BS126" s="6" t="str" cm="1">
        <f t="array" ref="BS126">IF(AND(BE126=2,BC126=1,OR(i_TE_sc_10y_all_IO=1,i_TE_sc_5and20y_all_IO=1)),"Yes",IF(i_no_TE_waning=1,"No",INDEX(J$118:J$180,MATCH(1,($BC126=$B$118:$B$180)*($BD126=$F$118:$F$180),0))))</f>
        <v>Yes</v>
      </c>
      <c r="BT126" s="274" t="str">
        <f t="shared" si="3"/>
        <v>No</v>
      </c>
    </row>
    <row r="127" spans="2:72" x14ac:dyDescent="0.2">
      <c r="B127" s="1143">
        <v>1</v>
      </c>
      <c r="F127" s="1013" t="str">
        <v>lenvatinib_plus_everolimus</v>
      </c>
      <c r="J127" s="652" t="s">
        <v>58</v>
      </c>
      <c r="K127" s="660" t="s">
        <v>149</v>
      </c>
      <c r="L127" s="655"/>
      <c r="M127" s="1144"/>
      <c r="O127" s="652" t="s">
        <v>58</v>
      </c>
      <c r="P127" s="660" t="s">
        <v>149</v>
      </c>
      <c r="Q127" s="655"/>
      <c r="R127" s="1144"/>
      <c r="T127" s="652" t="s">
        <v>58</v>
      </c>
      <c r="U127" s="660" t="s">
        <v>149</v>
      </c>
      <c r="V127" s="655"/>
      <c r="W127" s="1144"/>
      <c r="Y127" s="652" t="s">
        <v>58</v>
      </c>
      <c r="Z127" s="660" t="s">
        <v>149</v>
      </c>
      <c r="AA127" s="655"/>
      <c r="AB127" s="1144"/>
      <c r="AD127" s="67"/>
      <c r="AE127" s="274"/>
      <c r="AF127" s="274"/>
      <c r="AZ127" s="657">
        <v>10</v>
      </c>
      <c r="BA127" s="17">
        <v>0</v>
      </c>
      <c r="BB127" s="17" t="s">
        <v>31</v>
      </c>
      <c r="BC127" s="17">
        <v>1</v>
      </c>
      <c r="BD127" s="17" t="str" cm="1">
        <f t="array" ref="BD127">INDEX(List_comparators,$AZ127)</f>
        <v>lenvatinib_plus_everolimus</v>
      </c>
      <c r="BE127" s="17">
        <f>INDEX(Lists!$L$51:$L$85,MATCH(BD127,Lists!$K$51:$K$85,0))</f>
        <v>9</v>
      </c>
      <c r="BF127" s="17" t="str">
        <f>INDEX(Lists!$S$51:$S$55,1)</f>
        <v>Overall survival</v>
      </c>
      <c r="BG127" s="17">
        <f>INDEX(Lists!$T$51:$T$55,MATCH(BF127,Lists!$S$51:$S$55,0))</f>
        <v>0</v>
      </c>
      <c r="BH127" s="17">
        <f>VLOOKUP(VLOOKUP(BC127,$F$100:$I$103,2,FALSE),Lists!$K$50:$L$63,2,FALSE)</f>
        <v>7</v>
      </c>
      <c r="BI127" s="17" t="str" cm="1">
        <f t="array" ref="BI127">IF(OR(i_TE_sc_PartSA_5y_IO_TKI_OS=1,i_TE_sc_4and6y_IO_TKI_OS_absSurv=1),BT127,IF(OR(i_TE_sc_10y_all_IO=1,i_TE_sc_5and20y_all_IO=1),BS127,IF(i_no_TE_waning=1,"No",INDEX(J$118:J$180,MATCH(1,($BC127=$B$118:$B$180)*($BD127=$F$118:$F$180),0)))))</f>
        <v>No</v>
      </c>
      <c r="BJ127" s="17" t="str" cm="1">
        <f t="array" ref="BJ127">IF(i_TE_sc_4and6y_IO_TKI_OS_absSurv=1,BQ127,INDEX(K$118:K$180,MATCH(1,($BC127=$B$118:$B$180)*($BD127=$F$118:$F$180),0)))</f>
        <v>ref trt hazard</v>
      </c>
      <c r="BK127" s="17">
        <f t="shared" si="1"/>
        <v>0</v>
      </c>
      <c r="BL127" s="17">
        <f t="shared" si="2"/>
        <v>0</v>
      </c>
      <c r="BN127" s="274" cm="1">
        <f t="array" ref="BN127">INDEX(L$118:L$180,MATCH(1,($BC127=$B$118:$B$180)*($BD127=$F$118:$F$180),0))</f>
        <v>0</v>
      </c>
      <c r="BO127" s="274" cm="1">
        <f t="array" ref="BO127">INDEX(M$118:M$180,MATCH(1,($BC127=$B$118:$B$180)*($BD127=$F$118:$F$180),0))</f>
        <v>0</v>
      </c>
      <c r="BQ127" s="6" t="s">
        <v>150</v>
      </c>
      <c r="BS127" s="6" t="str" cm="1">
        <f t="array" ref="BS127">IF(AND(BE127=2,BC127=1,OR(i_TE_sc_10y_all_IO=1,i_TE_sc_5and20y_all_IO=1)),"Yes",IF(i_no_TE_waning=1,"No",INDEX(J$118:J$180,MATCH(1,($BC127=$B$118:$B$180)*($BD127=$F$118:$F$180),0))))</f>
        <v>No</v>
      </c>
      <c r="BT127" s="274" t="str">
        <f t="shared" si="3"/>
        <v>No</v>
      </c>
    </row>
    <row r="128" spans="2:72" x14ac:dyDescent="0.2">
      <c r="B128" s="1143">
        <v>1</v>
      </c>
      <c r="F128" s="1013" t="str">
        <v>everolimus</v>
      </c>
      <c r="J128" s="652" t="s">
        <v>58</v>
      </c>
      <c r="K128" s="660" t="s">
        <v>149</v>
      </c>
      <c r="L128" s="655"/>
      <c r="M128" s="1144"/>
      <c r="O128" s="652" t="s">
        <v>58</v>
      </c>
      <c r="P128" s="660" t="s">
        <v>149</v>
      </c>
      <c r="Q128" s="655"/>
      <c r="R128" s="1144"/>
      <c r="T128" s="652" t="s">
        <v>58</v>
      </c>
      <c r="U128" s="660" t="s">
        <v>149</v>
      </c>
      <c r="V128" s="655"/>
      <c r="W128" s="1144"/>
      <c r="Y128" s="652" t="s">
        <v>58</v>
      </c>
      <c r="Z128" s="660" t="s">
        <v>149</v>
      </c>
      <c r="AA128" s="655"/>
      <c r="AB128" s="1144"/>
      <c r="AD128" s="67"/>
      <c r="AE128" s="274"/>
      <c r="AF128" s="274"/>
      <c r="AZ128" s="657">
        <v>11</v>
      </c>
      <c r="BA128" s="17">
        <v>0</v>
      </c>
      <c r="BB128" s="17" t="s">
        <v>31</v>
      </c>
      <c r="BC128" s="17">
        <v>1</v>
      </c>
      <c r="BD128" s="17" t="str" cm="1">
        <f t="array" ref="BD128">INDEX(List_comparators,$AZ128)</f>
        <v>everolimus</v>
      </c>
      <c r="BE128" s="17">
        <f>INDEX(Lists!$L$51:$L$85,MATCH(BD128,Lists!$K$51:$K$85,0))</f>
        <v>10</v>
      </c>
      <c r="BF128" s="17" t="str">
        <f>INDEX(Lists!$S$51:$S$55,1)</f>
        <v>Overall survival</v>
      </c>
      <c r="BG128" s="17">
        <f>INDEX(Lists!$T$51:$T$55,MATCH(BF128,Lists!$S$51:$S$55,0))</f>
        <v>0</v>
      </c>
      <c r="BH128" s="17">
        <f>VLOOKUP(VLOOKUP(BC128,$F$100:$I$103,2,FALSE),Lists!$K$50:$L$63,2,FALSE)</f>
        <v>7</v>
      </c>
      <c r="BI128" s="17" t="str" cm="1">
        <f t="array" ref="BI128">IF(OR(i_TE_sc_PartSA_5y_IO_TKI_OS=1,i_TE_sc_4and6y_IO_TKI_OS_absSurv=1),BT128,IF(OR(i_TE_sc_10y_all_IO=1,i_TE_sc_5and20y_all_IO=1),BS128,IF(i_no_TE_waning=1,"No",INDEX(J$118:J$180,MATCH(1,($BC128=$B$118:$B$180)*($BD128=$F$118:$F$180),0)))))</f>
        <v>No</v>
      </c>
      <c r="BJ128" s="17" t="str" cm="1">
        <f t="array" ref="BJ128">IF(i_TE_sc_4and6y_IO_TKI_OS_absSurv=1,BQ128,INDEX(K$118:K$180,MATCH(1,($BC128=$B$118:$B$180)*($BD128=$F$118:$F$180),0)))</f>
        <v>ref trt hazard</v>
      </c>
      <c r="BK128" s="17">
        <f t="shared" si="1"/>
        <v>0</v>
      </c>
      <c r="BL128" s="17">
        <f t="shared" si="2"/>
        <v>0</v>
      </c>
      <c r="BN128" s="274" cm="1">
        <f t="array" ref="BN128">INDEX(L$118:L$180,MATCH(1,($BC128=$B$118:$B$180)*($BD128=$F$118:$F$180),0))</f>
        <v>0</v>
      </c>
      <c r="BO128" s="274" cm="1">
        <f t="array" ref="BO128">INDEX(M$118:M$180,MATCH(1,($BC128=$B$118:$B$180)*($BD128=$F$118:$F$180),0))</f>
        <v>0</v>
      </c>
      <c r="BQ128" s="6" t="s">
        <v>150</v>
      </c>
      <c r="BS128" s="6" t="str" cm="1">
        <f t="array" ref="BS128">IF(AND(BE128=2,BC128=1,OR(i_TE_sc_10y_all_IO=1,i_TE_sc_5and20y_all_IO=1)),"Yes",IF(i_no_TE_waning=1,"No",INDEX(J$118:J$180,MATCH(1,($BC128=$B$118:$B$180)*($BD128=$F$118:$F$180),0))))</f>
        <v>No</v>
      </c>
      <c r="BT128" s="274" t="str">
        <f t="shared" si="3"/>
        <v>No</v>
      </c>
    </row>
    <row r="129" spans="2:72" x14ac:dyDescent="0.2">
      <c r="B129" s="1143">
        <v>1</v>
      </c>
      <c r="F129" s="1013" t="str">
        <v>axitinib</v>
      </c>
      <c r="J129" s="652" t="s">
        <v>58</v>
      </c>
      <c r="K129" s="660" t="s">
        <v>149</v>
      </c>
      <c r="L129" s="655"/>
      <c r="M129" s="1144"/>
      <c r="O129" s="652" t="s">
        <v>58</v>
      </c>
      <c r="P129" s="660" t="s">
        <v>149</v>
      </c>
      <c r="Q129" s="655"/>
      <c r="R129" s="1144"/>
      <c r="T129" s="652" t="s">
        <v>58</v>
      </c>
      <c r="U129" s="660" t="s">
        <v>149</v>
      </c>
      <c r="V129" s="655"/>
      <c r="W129" s="1144"/>
      <c r="Y129" s="652" t="s">
        <v>58</v>
      </c>
      <c r="Z129" s="660" t="s">
        <v>149</v>
      </c>
      <c r="AA129" s="655"/>
      <c r="AB129" s="1144"/>
      <c r="AD129" s="67"/>
      <c r="AE129" s="274"/>
      <c r="AF129" s="274"/>
      <c r="AZ129" s="657">
        <v>12</v>
      </c>
      <c r="BA129" s="17">
        <v>0</v>
      </c>
      <c r="BB129" s="17" t="s">
        <v>31</v>
      </c>
      <c r="BC129" s="17">
        <v>1</v>
      </c>
      <c r="BD129" s="17" t="str" cm="1">
        <f t="array" ref="BD129">INDEX(List_comparators,$AZ129)</f>
        <v>axitinib</v>
      </c>
      <c r="BE129" s="17">
        <f>INDEX(Lists!$L$51:$L$85,MATCH(BD129,Lists!$K$51:$K$85,0))</f>
        <v>11</v>
      </c>
      <c r="BF129" s="17" t="str">
        <f>INDEX(Lists!$S$51:$S$55,1)</f>
        <v>Overall survival</v>
      </c>
      <c r="BG129" s="17">
        <f>INDEX(Lists!$T$51:$T$55,MATCH(BF129,Lists!$S$51:$S$55,0))</f>
        <v>0</v>
      </c>
      <c r="BH129" s="17">
        <f>VLOOKUP(VLOOKUP(BC129,$F$100:$I$103,2,FALSE),Lists!$K$50:$L$63,2,FALSE)</f>
        <v>7</v>
      </c>
      <c r="BI129" s="17" t="str" cm="1">
        <f t="array" ref="BI129">IF(OR(i_TE_sc_PartSA_5y_IO_TKI_OS=1,i_TE_sc_4and6y_IO_TKI_OS_absSurv=1),BT129,IF(OR(i_TE_sc_10y_all_IO=1,i_TE_sc_5and20y_all_IO=1),BS129,IF(i_no_TE_waning=1,"No",INDEX(J$118:J$180,MATCH(1,($BC129=$B$118:$B$180)*($BD129=$F$118:$F$180),0)))))</f>
        <v>No</v>
      </c>
      <c r="BJ129" s="17" t="str" cm="1">
        <f t="array" ref="BJ129">IF(i_TE_sc_4and6y_IO_TKI_OS_absSurv=1,BQ129,INDEX(K$118:K$180,MATCH(1,($BC129=$B$118:$B$180)*($BD129=$F$118:$F$180),0)))</f>
        <v>ref trt hazard</v>
      </c>
      <c r="BK129" s="17">
        <f t="shared" si="1"/>
        <v>0</v>
      </c>
      <c r="BL129" s="17">
        <f t="shared" si="2"/>
        <v>0</v>
      </c>
      <c r="BN129" s="274" cm="1">
        <f t="array" ref="BN129">INDEX(L$118:L$180,MATCH(1,($BC129=$B$118:$B$180)*($BD129=$F$118:$F$180),0))</f>
        <v>0</v>
      </c>
      <c r="BO129" s="274" cm="1">
        <f t="array" ref="BO129">INDEX(M$118:M$180,MATCH(1,($BC129=$B$118:$B$180)*($BD129=$F$118:$F$180),0))</f>
        <v>0</v>
      </c>
      <c r="BQ129" s="6" t="s">
        <v>150</v>
      </c>
      <c r="BS129" s="6" t="str" cm="1">
        <f t="array" ref="BS129">IF(AND(BE129=2,BC129=1,OR(i_TE_sc_10y_all_IO=1,i_TE_sc_5and20y_all_IO=1)),"Yes",IF(i_no_TE_waning=1,"No",INDEX(J$118:J$180,MATCH(1,($BC129=$B$118:$B$180)*($BD129=$F$118:$F$180),0))))</f>
        <v>No</v>
      </c>
      <c r="BT129" s="274" t="str">
        <f t="shared" si="3"/>
        <v>No</v>
      </c>
    </row>
    <row r="130" spans="2:72" x14ac:dyDescent="0.2">
      <c r="B130" s="1143">
        <v>1</v>
      </c>
      <c r="F130" s="1013" t="str">
        <v>sorafenib</v>
      </c>
      <c r="J130" s="652" t="s">
        <v>58</v>
      </c>
      <c r="K130" s="660" t="s">
        <v>149</v>
      </c>
      <c r="L130" s="655"/>
      <c r="M130" s="1144"/>
      <c r="O130" s="652" t="s">
        <v>58</v>
      </c>
      <c r="P130" s="660" t="s">
        <v>149</v>
      </c>
      <c r="Q130" s="655"/>
      <c r="R130" s="1144"/>
      <c r="T130" s="652" t="s">
        <v>58</v>
      </c>
      <c r="U130" s="660" t="s">
        <v>149</v>
      </c>
      <c r="V130" s="655"/>
      <c r="W130" s="1144"/>
      <c r="Y130" s="652" t="s">
        <v>58</v>
      </c>
      <c r="Z130" s="660" t="s">
        <v>149</v>
      </c>
      <c r="AA130" s="655"/>
      <c r="AB130" s="1144"/>
      <c r="AD130" s="67"/>
      <c r="AE130" s="274"/>
      <c r="AF130" s="274"/>
      <c r="AZ130" s="657">
        <v>13</v>
      </c>
      <c r="BA130" s="17">
        <v>0</v>
      </c>
      <c r="BB130" s="17" t="s">
        <v>31</v>
      </c>
      <c r="BC130" s="17">
        <v>1</v>
      </c>
      <c r="BD130" s="17" t="str" cm="1">
        <f t="array" ref="BD130">INDEX(List_comparators,$AZ130)</f>
        <v>sorafenib</v>
      </c>
      <c r="BE130" s="17">
        <f>INDEX(Lists!$L$51:$L$85,MATCH(BD130,Lists!$K$51:$K$85,0))</f>
        <v>12</v>
      </c>
      <c r="BF130" s="17" t="str">
        <f>INDEX(Lists!$S$51:$S$55,1)</f>
        <v>Overall survival</v>
      </c>
      <c r="BG130" s="17">
        <f>INDEX(Lists!$T$51:$T$55,MATCH(BF130,Lists!$S$51:$S$55,0))</f>
        <v>0</v>
      </c>
      <c r="BH130" s="17">
        <f>VLOOKUP(VLOOKUP(BC130,$F$100:$I$103,2,FALSE),Lists!$K$50:$L$63,2,FALSE)</f>
        <v>7</v>
      </c>
      <c r="BI130" s="17" t="str" cm="1">
        <f t="array" ref="BI130">IF(OR(i_TE_sc_PartSA_5y_IO_TKI_OS=1,i_TE_sc_4and6y_IO_TKI_OS_absSurv=1),BT130,IF(OR(i_TE_sc_10y_all_IO=1,i_TE_sc_5and20y_all_IO=1),BS130,IF(i_no_TE_waning=1,"No",INDEX(J$118:J$180,MATCH(1,($BC130=$B$118:$B$180)*($BD130=$F$118:$F$180),0)))))</f>
        <v>No</v>
      </c>
      <c r="BJ130" s="17" t="str" cm="1">
        <f t="array" ref="BJ130">IF(i_TE_sc_4and6y_IO_TKI_OS_absSurv=1,BQ130,INDEX(K$118:K$180,MATCH(1,($BC130=$B$118:$B$180)*($BD130=$F$118:$F$180),0)))</f>
        <v>ref trt hazard</v>
      </c>
      <c r="BK130" s="17">
        <f t="shared" si="1"/>
        <v>0</v>
      </c>
      <c r="BL130" s="17">
        <f t="shared" si="2"/>
        <v>0</v>
      </c>
      <c r="BN130" s="274" cm="1">
        <f t="array" ref="BN130">INDEX(L$118:L$180,MATCH(1,($BC130=$B$118:$B$180)*($BD130=$F$118:$F$180),0))</f>
        <v>0</v>
      </c>
      <c r="BO130" s="274" cm="1">
        <f t="array" ref="BO130">INDEX(M$118:M$180,MATCH(1,($BC130=$B$118:$B$180)*($BD130=$F$118:$F$180),0))</f>
        <v>0</v>
      </c>
      <c r="BQ130" s="6" t="s">
        <v>150</v>
      </c>
      <c r="BS130" s="6" t="str" cm="1">
        <f t="array" ref="BS130">IF(AND(BE130=2,BC130=1,OR(i_TE_sc_10y_all_IO=1,i_TE_sc_5and20y_all_IO=1)),"Yes",IF(i_no_TE_waning=1,"No",INDEX(J$118:J$180,MATCH(1,($BC130=$B$118:$B$180)*($BD130=$F$118:$F$180),0))))</f>
        <v>No</v>
      </c>
      <c r="BT130" s="274" t="str">
        <f t="shared" si="3"/>
        <v>No</v>
      </c>
    </row>
    <row r="131" spans="2:72" x14ac:dyDescent="0.2">
      <c r="B131" s="1143">
        <v>1</v>
      </c>
      <c r="F131" s="1013" t="str">
        <v>placebo_BSC</v>
      </c>
      <c r="J131" s="1141" t="s">
        <v>58</v>
      </c>
      <c r="K131" s="561"/>
      <c r="L131" s="1006"/>
      <c r="M131" s="1006"/>
      <c r="O131" s="1141" t="s">
        <v>58</v>
      </c>
      <c r="P131" s="561"/>
      <c r="Q131" s="1006"/>
      <c r="R131" s="1006"/>
      <c r="T131" s="1141" t="s">
        <v>58</v>
      </c>
      <c r="U131" s="561"/>
      <c r="V131" s="1006"/>
      <c r="W131" s="1006"/>
      <c r="Y131" s="1141" t="s">
        <v>58</v>
      </c>
      <c r="Z131" s="561"/>
      <c r="AA131" s="1006"/>
      <c r="AB131" s="1006"/>
      <c r="AD131" s="67"/>
      <c r="AE131" s="274"/>
      <c r="AF131" s="274"/>
      <c r="AZ131" s="657">
        <v>14</v>
      </c>
      <c r="BA131" s="17">
        <v>0</v>
      </c>
      <c r="BB131" s="17" t="s">
        <v>31</v>
      </c>
      <c r="BC131" s="17">
        <v>1</v>
      </c>
      <c r="BD131" s="17" t="str" cm="1">
        <f t="array" ref="BD131">INDEX(List_comparators,$AZ131)</f>
        <v>placebo_BSC</v>
      </c>
      <c r="BE131" s="17">
        <f>INDEX(Lists!$L$51:$L$85,MATCH(BD131,Lists!$K$51:$K$85,0))</f>
        <v>999</v>
      </c>
      <c r="BF131" s="17" t="str">
        <f>INDEX(Lists!$S$51:$S$55,1)</f>
        <v>Overall survival</v>
      </c>
      <c r="BG131" s="17">
        <f>INDEX(Lists!$T$51:$T$55,MATCH(BF131,Lists!$S$51:$S$55,0))</f>
        <v>0</v>
      </c>
      <c r="BH131" s="17">
        <f>VLOOKUP(VLOOKUP(BC131,$F$100:$I$103,2,FALSE),Lists!$K$50:$L$63,2,FALSE)</f>
        <v>7</v>
      </c>
      <c r="BI131" s="17" t="str" cm="1">
        <f t="array" ref="BI131">IF(OR(i_TE_sc_PartSA_5y_IO_TKI_OS=1,i_TE_sc_4and6y_IO_TKI_OS_absSurv=1),BT131,IF(OR(i_TE_sc_10y_all_IO=1,i_TE_sc_5and20y_all_IO=1),BS131,IF(i_no_TE_waning=1,"No",INDEX(J$118:J$180,MATCH(1,($BC131=$B$118:$B$180)*($BD131=$F$118:$F$180),0)))))</f>
        <v>No</v>
      </c>
      <c r="BJ131" s="17" cm="1">
        <f t="array" ref="BJ131">IF(i_TE_sc_4and6y_IO_TKI_OS_absSurv=1,BQ131,INDEX(K$118:K$180,MATCH(1,($BC131=$B$118:$B$180)*($BD131=$F$118:$F$180),0)))</f>
        <v>0</v>
      </c>
      <c r="BK131" s="17">
        <f t="shared" si="1"/>
        <v>0</v>
      </c>
      <c r="BL131" s="17">
        <f t="shared" si="2"/>
        <v>0</v>
      </c>
      <c r="BN131" s="274" cm="1">
        <f t="array" ref="BN131">INDEX(L$118:L$180,MATCH(1,($BC131=$B$118:$B$180)*($BD131=$F$118:$F$180),0))</f>
        <v>0</v>
      </c>
      <c r="BO131" s="274" cm="1">
        <f t="array" ref="BO131">INDEX(M$118:M$180,MATCH(1,($BC131=$B$118:$B$180)*($BD131=$F$118:$F$180),0))</f>
        <v>0</v>
      </c>
      <c r="BS131" s="6" t="str" cm="1">
        <f t="array" ref="BS131">IF(AND(BE131=2,BC131=1,OR(i_TE_sc_10y_all_IO=1,i_TE_sc_5and20y_all_IO=1)),"Yes",IF(i_no_TE_waning=1,"No",INDEX(J$118:J$180,MATCH(1,($BC131=$B$118:$B$180)*($BD131=$F$118:$F$180),0))))</f>
        <v>No</v>
      </c>
      <c r="BT131" s="274" t="str">
        <f t="shared" si="3"/>
        <v>No</v>
      </c>
    </row>
    <row r="132" spans="2:72" x14ac:dyDescent="0.2">
      <c r="B132" s="1143"/>
      <c r="AZ132" s="657">
        <v>1</v>
      </c>
      <c r="BA132" s="17">
        <v>0</v>
      </c>
      <c r="BB132" s="17" t="s">
        <v>31</v>
      </c>
      <c r="BC132" s="17">
        <v>1</v>
      </c>
      <c r="BD132" s="17" t="str" cm="1">
        <f t="array" ref="BD132">INDEX(List_comparators,$AZ132)</f>
        <v>nivolumab_monotherapy</v>
      </c>
      <c r="BE132" s="17">
        <f>INDEX(Lists!$L$51:$L$85,MATCH(BD132,Lists!$K$51:$K$85,0))</f>
        <v>0</v>
      </c>
      <c r="BF132" s="17" t="str">
        <f>INDEX(Lists!$S$51:$S$55,2)</f>
        <v>Progression free survival</v>
      </c>
      <c r="BG132" s="17">
        <f>INDEX(Lists!$T$51:$T$55,MATCH(BF132,Lists!$S$51:$S$55,0))</f>
        <v>1</v>
      </c>
      <c r="BH132" s="17">
        <f>VLOOKUP(VLOOKUP(BC132,$F$100:$I$103,2,FALSE),Lists!$K$50:$L$63,2,FALSE)</f>
        <v>7</v>
      </c>
      <c r="BI132" s="17" t="str" cm="1">
        <f t="array" ref="BI132">IF(OR(i_TE_sc_PartSA_5y_IO_TKI_OS=1,i_TE_sc_4and6y_IO_TKI_OS_absSurv=1),BT132,IF(OR(i_TE_sc_10y_all_IO=1,i_TE_sc_5and20y_all_IO=1),BS132,IF(i_no_TE_waning=1,"No",INDEX(J$118:J$180,MATCH(1,($BC132=$B$118:$B$180)*($BD132=$F$118:$F$180),0)))))</f>
        <v>No</v>
      </c>
      <c r="BJ132" s="17" t="str" cm="1">
        <f t="array" ref="BJ132">IF(i_TE_sc_4and6y_IO_TKI_OS_absSurv=1,BQ132,INDEX(K$118:K$180,MATCH(1,($BC132=$B$118:$B$180)*($BD132=$F$118:$F$180),0)))</f>
        <v>ref trt hazard</v>
      </c>
      <c r="BK132" s="17">
        <f t="shared" si="1"/>
        <v>0</v>
      </c>
      <c r="BL132" s="17">
        <f t="shared" si="2"/>
        <v>0</v>
      </c>
      <c r="BN132" s="274" cm="1">
        <f t="array" ref="BN132">INDEX(Q$118:Q$180,MATCH(1,($BC132=$B$118:$B$180)*($BD132=$F$118:$F$180),0))</f>
        <v>0</v>
      </c>
      <c r="BO132" s="274" cm="1">
        <f t="array" ref="BO132">INDEX(R$118:R$180,MATCH(1,($BC132=$B$118:$B$180)*($BD132=$F$118:$F$180),0))</f>
        <v>0</v>
      </c>
      <c r="BQ132" s="6" t="s">
        <v>149</v>
      </c>
      <c r="BS132" s="6" t="str" cm="1">
        <f t="array" ref="BS132">IF(AND(BE132=2,BC132=1,OR(i_TE_sc_10y_all_IO=1,i_TE_sc_5and20y_all_IO=1)),"Yes",IF(i_no_TE_waning=1,"No",INDEX(J$118:J$180,MATCH(1,($BC132=$B$118:$B$180)*($BD132=$F$118:$F$180),0))))</f>
        <v>No</v>
      </c>
      <c r="BT132" s="274" t="str">
        <f t="shared" si="3"/>
        <v>No</v>
      </c>
    </row>
    <row r="133" spans="2:72" x14ac:dyDescent="0.2">
      <c r="AZ133" s="657">
        <v>2</v>
      </c>
      <c r="BA133" s="17">
        <v>0</v>
      </c>
      <c r="BB133" s="17" t="s">
        <v>31</v>
      </c>
      <c r="BC133" s="17">
        <v>1</v>
      </c>
      <c r="BD133" s="17" t="str" cm="1">
        <f t="array" ref="BD133">INDEX(List_comparators,$AZ133)</f>
        <v>cabozantinib_plus_nivolumab</v>
      </c>
      <c r="BE133" s="17">
        <f>INDEX(Lists!$L$51:$L$85,MATCH(BD133,Lists!$K$51:$K$85,0))</f>
        <v>1</v>
      </c>
      <c r="BF133" s="17" t="str">
        <f>INDEX(Lists!$S$51:$S$55,2)</f>
        <v>Progression free survival</v>
      </c>
      <c r="BG133" s="17">
        <f>INDEX(Lists!$T$51:$T$55,MATCH(BF133,Lists!$S$51:$S$55,0))</f>
        <v>1</v>
      </c>
      <c r="BH133" s="17">
        <f>VLOOKUP(VLOOKUP(BC133,$F$100:$I$103,2,FALSE),Lists!$K$50:$L$63,2,FALSE)</f>
        <v>7</v>
      </c>
      <c r="BI133" s="17" t="str" cm="1">
        <f t="array" ref="BI133">IF(OR(i_TE_sc_PartSA_5y_IO_TKI_OS=1,i_TE_sc_4and6y_IO_TKI_OS_absSurv=1),BT133,IF(OR(i_TE_sc_10y_all_IO=1,i_TE_sc_5and20y_all_IO=1),BS133,IF(i_no_TE_waning=1,"No",INDEX(J$118:J$180,MATCH(1,($BC133=$B$118:$B$180)*($BD133=$F$118:$F$180),0)))))</f>
        <v>Yes</v>
      </c>
      <c r="BJ133" s="17" t="str" cm="1">
        <f t="array" ref="BJ133">IF(i_TE_sc_4and6y_IO_TKI_OS_absSurv=1,BQ133,INDEX(K$118:K$180,MATCH(1,($BC133=$B$118:$B$180)*($BD133=$F$118:$F$180),0)))</f>
        <v>ref trt hazard</v>
      </c>
      <c r="BK133" s="17">
        <f t="shared" si="1"/>
        <v>261</v>
      </c>
      <c r="BL133" s="17">
        <f t="shared" si="2"/>
        <v>261</v>
      </c>
      <c r="BN133" s="274" cm="1">
        <f t="array" ref="BN133">INDEX(Q$118:Q$180,MATCH(1,($BC133=$B$118:$B$180)*($BD133=$F$118:$F$180),0))</f>
        <v>261</v>
      </c>
      <c r="BO133" s="274" cm="1">
        <f t="array" ref="BO133">INDEX(R$118:R$180,MATCH(1,($BC133=$B$118:$B$180)*($BD133=$F$118:$F$180),0))</f>
        <v>261</v>
      </c>
      <c r="BQ133" s="6" t="s">
        <v>149</v>
      </c>
      <c r="BS133" s="6" t="str" cm="1">
        <f t="array" ref="BS133">IF(AND(BE133=2,BC133=1,OR(i_TE_sc_10y_all_IO=1,i_TE_sc_5and20y_all_IO=1)),"Yes",IF(i_no_TE_waning=1,"No",INDEX(J$118:J$180,MATCH(1,($BC133=$B$118:$B$180)*($BD133=$F$118:$F$180),0))))</f>
        <v>Yes</v>
      </c>
      <c r="BT133" s="274" t="str">
        <f t="shared" si="3"/>
        <v>No</v>
      </c>
    </row>
    <row r="134" spans="2:72" x14ac:dyDescent="0.2">
      <c r="AZ134" s="657">
        <v>3</v>
      </c>
      <c r="BA134" s="17">
        <v>0</v>
      </c>
      <c r="BB134" s="17" t="s">
        <v>31</v>
      </c>
      <c r="BC134" s="17">
        <v>1</v>
      </c>
      <c r="BD134" s="17" t="str" cm="1">
        <f t="array" ref="BD134">INDEX(List_comparators,$AZ134)</f>
        <v>nivolumab_plus_ipilimumab</v>
      </c>
      <c r="BE134" s="17">
        <f>INDEX(Lists!$L$51:$L$85,MATCH(BD134,Lists!$K$51:$K$85,0))</f>
        <v>2</v>
      </c>
      <c r="BF134" s="17" t="str">
        <f>INDEX(Lists!$S$51:$S$55,2)</f>
        <v>Progression free survival</v>
      </c>
      <c r="BG134" s="17">
        <f>INDEX(Lists!$T$51:$T$55,MATCH(BF134,Lists!$S$51:$S$55,0))</f>
        <v>1</v>
      </c>
      <c r="BH134" s="17">
        <f>VLOOKUP(VLOOKUP(BC134,$F$100:$I$103,2,FALSE),Lists!$K$50:$L$63,2,FALSE)</f>
        <v>7</v>
      </c>
      <c r="BI134" s="17" t="str" cm="1">
        <f t="array" ref="BI134">IF(OR(i_TE_sc_PartSA_5y_IO_TKI_OS=1,i_TE_sc_4and6y_IO_TKI_OS_absSurv=1),BT134,IF(OR(i_TE_sc_10y_all_IO=1,i_TE_sc_5and20y_all_IO=1),BS134,IF(i_no_TE_waning=1,"No",INDEX(J$118:J$180,MATCH(1,($BC134=$B$118:$B$180)*($BD134=$F$118:$F$180),0)))))</f>
        <v>No</v>
      </c>
      <c r="BJ134" s="17" t="str" cm="1">
        <f t="array" ref="BJ134">IF(i_TE_sc_4and6y_IO_TKI_OS_absSurv=1,BQ134,INDEX(K$118:K$180,MATCH(1,($BC134=$B$118:$B$180)*($BD134=$F$118:$F$180),0)))</f>
        <v>ref trt hazard</v>
      </c>
      <c r="BK134" s="17">
        <f t="shared" si="1"/>
        <v>261</v>
      </c>
      <c r="BL134" s="17">
        <f t="shared" si="2"/>
        <v>261</v>
      </c>
      <c r="BN134" s="274" cm="1">
        <f t="array" ref="BN134">INDEX(Q$118:Q$180,MATCH(1,($BC134=$B$118:$B$180)*($BD134=$F$118:$F$180),0))</f>
        <v>261</v>
      </c>
      <c r="BO134" s="274" cm="1">
        <f t="array" ref="BO134">INDEX(R$118:R$180,MATCH(1,($BC134=$B$118:$B$180)*($BD134=$F$118:$F$180),0))</f>
        <v>261</v>
      </c>
      <c r="BQ134" s="6" t="s">
        <v>149</v>
      </c>
      <c r="BS134" s="6" t="str" cm="1">
        <f t="array" ref="BS134">IF(AND(BE134=2,BC134=1,OR(i_TE_sc_10y_all_IO=1,i_TE_sc_5and20y_all_IO=1)),"Yes",IF(i_no_TE_waning=1,"No",INDEX(J$118:J$180,MATCH(1,($BC134=$B$118:$B$180)*($BD134=$F$118:$F$180),0))))</f>
        <v>No</v>
      </c>
      <c r="BT134" s="274" t="str">
        <f t="shared" si="3"/>
        <v>No</v>
      </c>
    </row>
    <row r="135" spans="2:72" x14ac:dyDescent="0.2">
      <c r="B135" s="1143">
        <v>2</v>
      </c>
      <c r="F135" s="1013" t="str" cm="1">
        <f t="array" ref="F135:F148">List_comparators</f>
        <v>nivolumab_monotherapy</v>
      </c>
      <c r="J135" s="652" t="s">
        <v>58</v>
      </c>
      <c r="K135" s="660" t="s">
        <v>149</v>
      </c>
      <c r="L135" s="1144"/>
      <c r="M135" s="1144"/>
      <c r="O135" s="652" t="s">
        <v>58</v>
      </c>
      <c r="P135" s="660" t="s">
        <v>149</v>
      </c>
      <c r="Q135" s="1144"/>
      <c r="R135" s="1144"/>
      <c r="T135" s="652" t="s">
        <v>58</v>
      </c>
      <c r="U135" s="660" t="s">
        <v>149</v>
      </c>
      <c r="V135" s="1144"/>
      <c r="W135" s="1144"/>
      <c r="Y135" s="652" t="s">
        <v>58</v>
      </c>
      <c r="Z135" s="660" t="s">
        <v>149</v>
      </c>
      <c r="AA135" s="1144"/>
      <c r="AB135" s="1144"/>
      <c r="AD135" s="67"/>
      <c r="AE135" s="274"/>
      <c r="AF135" s="274"/>
      <c r="AZ135" s="657">
        <v>4</v>
      </c>
      <c r="BA135" s="17">
        <v>0</v>
      </c>
      <c r="BB135" s="17" t="s">
        <v>31</v>
      </c>
      <c r="BC135" s="17">
        <v>1</v>
      </c>
      <c r="BD135" s="17" t="str" cm="1">
        <f t="array" ref="BD135">INDEX(List_comparators,$AZ135)</f>
        <v>lenvatinib_plus_pembrolizumab</v>
      </c>
      <c r="BE135" s="17">
        <f>INDEX(Lists!$L$51:$L$85,MATCH(BD135,Lists!$K$51:$K$85,0))</f>
        <v>3</v>
      </c>
      <c r="BF135" s="17" t="str">
        <f>INDEX(Lists!$S$51:$S$55,2)</f>
        <v>Progression free survival</v>
      </c>
      <c r="BG135" s="17">
        <f>INDEX(Lists!$T$51:$T$55,MATCH(BF135,Lists!$S$51:$S$55,0))</f>
        <v>1</v>
      </c>
      <c r="BH135" s="17">
        <f>VLOOKUP(VLOOKUP(BC135,$F$100:$I$103,2,FALSE),Lists!$K$50:$L$63,2,FALSE)</f>
        <v>7</v>
      </c>
      <c r="BI135" s="17" t="str" cm="1">
        <f t="array" ref="BI135">IF(OR(i_TE_sc_PartSA_5y_IO_TKI_OS=1,i_TE_sc_4and6y_IO_TKI_OS_absSurv=1),BT135,IF(OR(i_TE_sc_10y_all_IO=1,i_TE_sc_5and20y_all_IO=1),BS135,IF(i_no_TE_waning=1,"No",INDEX(J$118:J$180,MATCH(1,($BC135=$B$118:$B$180)*($BD135=$F$118:$F$180),0)))))</f>
        <v>Yes</v>
      </c>
      <c r="BJ135" s="17" t="str" cm="1">
        <f t="array" ref="BJ135">IF(i_TE_sc_4and6y_IO_TKI_OS_absSurv=1,BQ135,INDEX(K$118:K$180,MATCH(1,($BC135=$B$118:$B$180)*($BD135=$F$118:$F$180),0)))</f>
        <v>ref trt hazard</v>
      </c>
      <c r="BK135" s="17">
        <f t="shared" si="1"/>
        <v>261</v>
      </c>
      <c r="BL135" s="17">
        <f t="shared" si="2"/>
        <v>261</v>
      </c>
      <c r="BN135" s="274" cm="1">
        <f t="array" ref="BN135">INDEX(Q$118:Q$180,MATCH(1,($BC135=$B$118:$B$180)*($BD135=$F$118:$F$180),0))</f>
        <v>261</v>
      </c>
      <c r="BO135" s="274" cm="1">
        <f t="array" ref="BO135">INDEX(R$118:R$180,MATCH(1,($BC135=$B$118:$B$180)*($BD135=$F$118:$F$180),0))</f>
        <v>261</v>
      </c>
      <c r="BQ135" s="6" t="s">
        <v>149</v>
      </c>
      <c r="BS135" s="6" t="str" cm="1">
        <f t="array" ref="BS135">IF(AND(BE135=2,BC135=1,OR(i_TE_sc_10y_all_IO=1,i_TE_sc_5and20y_all_IO=1)),"Yes",IF(i_no_TE_waning=1,"No",INDEX(J$118:J$180,MATCH(1,($BC135=$B$118:$B$180)*($BD135=$F$118:$F$180),0))))</f>
        <v>Yes</v>
      </c>
      <c r="BT135" s="274" t="str">
        <f t="shared" si="3"/>
        <v>No</v>
      </c>
    </row>
    <row r="136" spans="2:72" x14ac:dyDescent="0.2">
      <c r="B136" s="1143">
        <v>2</v>
      </c>
      <c r="F136" s="1013" t="str">
        <v>cabozantinib_plus_nivolumab</v>
      </c>
      <c r="J136" s="652" t="s">
        <v>58</v>
      </c>
      <c r="K136" s="660" t="s">
        <v>149</v>
      </c>
      <c r="L136" s="1144"/>
      <c r="M136" s="1144"/>
      <c r="O136" s="652" t="s">
        <v>58</v>
      </c>
      <c r="P136" s="660" t="s">
        <v>149</v>
      </c>
      <c r="Q136" s="1144"/>
      <c r="R136" s="1144"/>
      <c r="T136" s="652" t="s">
        <v>58</v>
      </c>
      <c r="U136" s="660" t="s">
        <v>149</v>
      </c>
      <c r="V136" s="1144"/>
      <c r="W136" s="1144"/>
      <c r="Y136" s="652" t="s">
        <v>58</v>
      </c>
      <c r="Z136" s="660" t="s">
        <v>149</v>
      </c>
      <c r="AA136" s="1144"/>
      <c r="AB136" s="1144"/>
      <c r="AD136" s="67"/>
      <c r="AE136" s="274"/>
      <c r="AF136" s="274"/>
      <c r="AZ136" s="657">
        <v>5</v>
      </c>
      <c r="BA136" s="17">
        <v>0</v>
      </c>
      <c r="BB136" s="17" t="s">
        <v>31</v>
      </c>
      <c r="BC136" s="17">
        <v>1</v>
      </c>
      <c r="BD136" s="17" t="str" cm="1">
        <f t="array" ref="BD136">INDEX(List_comparators,$AZ136)</f>
        <v>avelumab_plus_axitinib</v>
      </c>
      <c r="BE136" s="17">
        <f>INDEX(Lists!$L$51:$L$85,MATCH(BD136,Lists!$K$51:$K$85,0))</f>
        <v>4</v>
      </c>
      <c r="BF136" s="17" t="str">
        <f>INDEX(Lists!$S$51:$S$55,2)</f>
        <v>Progression free survival</v>
      </c>
      <c r="BG136" s="17">
        <f>INDEX(Lists!$T$51:$T$55,MATCH(BF136,Lists!$S$51:$S$55,0))</f>
        <v>1</v>
      </c>
      <c r="BH136" s="17">
        <f>VLOOKUP(VLOOKUP(BC136,$F$100:$I$103,2,FALSE),Lists!$K$50:$L$63,2,FALSE)</f>
        <v>7</v>
      </c>
      <c r="BI136" s="17" t="str" cm="1">
        <f t="array" ref="BI136">IF(OR(i_TE_sc_PartSA_5y_IO_TKI_OS=1,i_TE_sc_4and6y_IO_TKI_OS_absSurv=1),BT136,IF(OR(i_TE_sc_10y_all_IO=1,i_TE_sc_5and20y_all_IO=1),BS136,IF(i_no_TE_waning=1,"No",INDEX(J$118:J$180,MATCH(1,($BC136=$B$118:$B$180)*($BD136=$F$118:$F$180),0)))))</f>
        <v>Yes</v>
      </c>
      <c r="BJ136" s="17" t="str" cm="1">
        <f t="array" ref="BJ136">IF(i_TE_sc_4and6y_IO_TKI_OS_absSurv=1,BQ136,INDEX(K$118:K$180,MATCH(1,($BC136=$B$118:$B$180)*($BD136=$F$118:$F$180),0)))</f>
        <v>ref trt hazard</v>
      </c>
      <c r="BK136" s="17">
        <f t="shared" si="1"/>
        <v>261</v>
      </c>
      <c r="BL136" s="17">
        <f t="shared" si="2"/>
        <v>261</v>
      </c>
      <c r="BN136" s="274" cm="1">
        <f t="array" ref="BN136">INDEX(Q$118:Q$180,MATCH(1,($BC136=$B$118:$B$180)*($BD136=$F$118:$F$180),0))</f>
        <v>261</v>
      </c>
      <c r="BO136" s="274" cm="1">
        <f t="array" ref="BO136">INDEX(R$118:R$180,MATCH(1,($BC136=$B$118:$B$180)*($BD136=$F$118:$F$180),0))</f>
        <v>261</v>
      </c>
      <c r="BQ136" s="6" t="s">
        <v>149</v>
      </c>
      <c r="BS136" s="6" t="str" cm="1">
        <f t="array" ref="BS136">IF(AND(BE136=2,BC136=1,OR(i_TE_sc_10y_all_IO=1,i_TE_sc_5and20y_all_IO=1)),"Yes",IF(i_no_TE_waning=1,"No",INDEX(J$118:J$180,MATCH(1,($BC136=$B$118:$B$180)*($BD136=$F$118:$F$180),0))))</f>
        <v>Yes</v>
      </c>
      <c r="BT136" s="274" t="str">
        <f t="shared" si="3"/>
        <v>No</v>
      </c>
    </row>
    <row r="137" spans="2:72" x14ac:dyDescent="0.2">
      <c r="B137" s="1143">
        <v>2</v>
      </c>
      <c r="F137" s="1013" t="str">
        <v>nivolumab_plus_ipilimumab</v>
      </c>
      <c r="J137" s="652" t="s">
        <v>58</v>
      </c>
      <c r="K137" s="660" t="s">
        <v>149</v>
      </c>
      <c r="L137" s="1144"/>
      <c r="M137" s="1144"/>
      <c r="O137" s="652" t="s">
        <v>58</v>
      </c>
      <c r="P137" s="660" t="s">
        <v>149</v>
      </c>
      <c r="Q137" s="1144"/>
      <c r="R137" s="1144"/>
      <c r="T137" s="652" t="s">
        <v>58</v>
      </c>
      <c r="U137" s="660" t="s">
        <v>149</v>
      </c>
      <c r="V137" s="1144"/>
      <c r="W137" s="1144"/>
      <c r="Y137" s="652" t="s">
        <v>58</v>
      </c>
      <c r="Z137" s="660" t="s">
        <v>149</v>
      </c>
      <c r="AA137" s="1144"/>
      <c r="AB137" s="1144"/>
      <c r="AD137" s="67"/>
      <c r="AE137" s="274"/>
      <c r="AF137" s="274"/>
      <c r="AZ137" s="657">
        <v>6</v>
      </c>
      <c r="BA137" s="17">
        <v>0</v>
      </c>
      <c r="BB137" s="17" t="s">
        <v>31</v>
      </c>
      <c r="BC137" s="17">
        <v>1</v>
      </c>
      <c r="BD137" s="17" t="str" cm="1">
        <f t="array" ref="BD137">INDEX(List_comparators,$AZ137)</f>
        <v>pazopanib</v>
      </c>
      <c r="BE137" s="17">
        <f>INDEX(Lists!$L$51:$L$85,MATCH(BD137,Lists!$K$51:$K$85,0))</f>
        <v>5</v>
      </c>
      <c r="BF137" s="17" t="str">
        <f>INDEX(Lists!$S$51:$S$55,2)</f>
        <v>Progression free survival</v>
      </c>
      <c r="BG137" s="17">
        <f>INDEX(Lists!$T$51:$T$55,MATCH(BF137,Lists!$S$51:$S$55,0))</f>
        <v>1</v>
      </c>
      <c r="BH137" s="17">
        <f>VLOOKUP(VLOOKUP(BC137,$F$100:$I$103,2,FALSE),Lists!$K$50:$L$63,2,FALSE)</f>
        <v>7</v>
      </c>
      <c r="BI137" s="17" t="str" cm="1">
        <f t="array" ref="BI137">IF(OR(i_TE_sc_PartSA_5y_IO_TKI_OS=1,i_TE_sc_4and6y_IO_TKI_OS_absSurv=1),BT137,IF(OR(i_TE_sc_10y_all_IO=1,i_TE_sc_5and20y_all_IO=1),BS137,IF(i_no_TE_waning=1,"No",INDEX(J$118:J$180,MATCH(1,($BC137=$B$118:$B$180)*($BD137=$F$118:$F$180),0)))))</f>
        <v>Yes</v>
      </c>
      <c r="BJ137" s="17" t="str" cm="1">
        <f t="array" ref="BJ137">IF(i_TE_sc_4and6y_IO_TKI_OS_absSurv=1,BQ137,INDEX(K$118:K$180,MATCH(1,($BC137=$B$118:$B$180)*($BD137=$F$118:$F$180),0)))</f>
        <v>ref trt hazard</v>
      </c>
      <c r="BK137" s="17">
        <f t="shared" si="1"/>
        <v>261</v>
      </c>
      <c r="BL137" s="17">
        <f t="shared" si="2"/>
        <v>261</v>
      </c>
      <c r="BN137" s="274" cm="1">
        <f t="array" ref="BN137">INDEX(Q$118:Q$180,MATCH(1,($BC137=$B$118:$B$180)*($BD137=$F$118:$F$180),0))</f>
        <v>261</v>
      </c>
      <c r="BO137" s="274" cm="1">
        <f t="array" ref="BO137">INDEX(R$118:R$180,MATCH(1,($BC137=$B$118:$B$180)*($BD137=$F$118:$F$180),0))</f>
        <v>261</v>
      </c>
      <c r="BQ137" s="6" t="s">
        <v>149</v>
      </c>
      <c r="BS137" s="6" t="str" cm="1">
        <f t="array" ref="BS137">IF(AND(BE137=2,BC137=1,OR(i_TE_sc_10y_all_IO=1,i_TE_sc_5and20y_all_IO=1)),"Yes",IF(i_no_TE_waning=1,"No",INDEX(J$118:J$180,MATCH(1,($BC137=$B$118:$B$180)*($BD137=$F$118:$F$180),0))))</f>
        <v>Yes</v>
      </c>
      <c r="BT137" s="274" t="str">
        <f t="shared" si="3"/>
        <v>No</v>
      </c>
    </row>
    <row r="138" spans="2:72" x14ac:dyDescent="0.2">
      <c r="B138" s="1143">
        <v>2</v>
      </c>
      <c r="F138" s="1013" t="str">
        <v>lenvatinib_plus_pembrolizumab</v>
      </c>
      <c r="J138" s="652" t="s">
        <v>58</v>
      </c>
      <c r="K138" s="660" t="s">
        <v>149</v>
      </c>
      <c r="L138" s="1144"/>
      <c r="M138" s="1144"/>
      <c r="O138" s="652" t="s">
        <v>58</v>
      </c>
      <c r="P138" s="660" t="s">
        <v>149</v>
      </c>
      <c r="Q138" s="1144"/>
      <c r="R138" s="1144"/>
      <c r="T138" s="652" t="s">
        <v>58</v>
      </c>
      <c r="U138" s="660" t="s">
        <v>149</v>
      </c>
      <c r="V138" s="1144"/>
      <c r="W138" s="1144"/>
      <c r="Y138" s="652" t="s">
        <v>58</v>
      </c>
      <c r="Z138" s="660" t="s">
        <v>149</v>
      </c>
      <c r="AA138" s="1144"/>
      <c r="AB138" s="1144"/>
      <c r="AD138" s="67"/>
      <c r="AE138" s="274"/>
      <c r="AF138" s="274"/>
      <c r="AZ138" s="657">
        <v>7</v>
      </c>
      <c r="BA138" s="17">
        <v>0</v>
      </c>
      <c r="BB138" s="17" t="s">
        <v>31</v>
      </c>
      <c r="BC138" s="17">
        <v>1</v>
      </c>
      <c r="BD138" s="17" t="str" cm="1">
        <f t="array" ref="BD138">INDEX(List_comparators,$AZ138)</f>
        <v>tivozanib</v>
      </c>
      <c r="BE138" s="17">
        <f>INDEX(Lists!$L$51:$L$85,MATCH(BD138,Lists!$K$51:$K$85,0))</f>
        <v>6</v>
      </c>
      <c r="BF138" s="17" t="str">
        <f>INDEX(Lists!$S$51:$S$55,2)</f>
        <v>Progression free survival</v>
      </c>
      <c r="BG138" s="17">
        <f>INDEX(Lists!$T$51:$T$55,MATCH(BF138,Lists!$S$51:$S$55,0))</f>
        <v>1</v>
      </c>
      <c r="BH138" s="17">
        <f>VLOOKUP(VLOOKUP(BC138,$F$100:$I$103,2,FALSE),Lists!$K$50:$L$63,2,FALSE)</f>
        <v>7</v>
      </c>
      <c r="BI138" s="17" t="str" cm="1">
        <f t="array" ref="BI138">IF(OR(i_TE_sc_PartSA_5y_IO_TKI_OS=1,i_TE_sc_4and6y_IO_TKI_OS_absSurv=1),BT138,IF(OR(i_TE_sc_10y_all_IO=1,i_TE_sc_5and20y_all_IO=1),BS138,IF(i_no_TE_waning=1,"No",INDEX(J$118:J$180,MATCH(1,($BC138=$B$118:$B$180)*($BD138=$F$118:$F$180),0)))))</f>
        <v>Yes</v>
      </c>
      <c r="BJ138" s="17" t="str" cm="1">
        <f t="array" ref="BJ138">IF(i_TE_sc_4and6y_IO_TKI_OS_absSurv=1,BQ138,INDEX(K$118:K$180,MATCH(1,($BC138=$B$118:$B$180)*($BD138=$F$118:$F$180),0)))</f>
        <v>ref trt hazard</v>
      </c>
      <c r="BK138" s="17">
        <f t="shared" si="1"/>
        <v>261</v>
      </c>
      <c r="BL138" s="17">
        <f t="shared" si="2"/>
        <v>261</v>
      </c>
      <c r="BN138" s="274" cm="1">
        <f t="array" ref="BN138">INDEX(Q$118:Q$180,MATCH(1,($BC138=$B$118:$B$180)*($BD138=$F$118:$F$180),0))</f>
        <v>261</v>
      </c>
      <c r="BO138" s="274" cm="1">
        <f t="array" ref="BO138">INDEX(R$118:R$180,MATCH(1,($BC138=$B$118:$B$180)*($BD138=$F$118:$F$180),0))</f>
        <v>261</v>
      </c>
      <c r="BQ138" s="6" t="s">
        <v>149</v>
      </c>
      <c r="BS138" s="6" t="str" cm="1">
        <f t="array" ref="BS138">IF(AND(BE138=2,BC138=1,OR(i_TE_sc_10y_all_IO=1,i_TE_sc_5and20y_all_IO=1)),"Yes",IF(i_no_TE_waning=1,"No",INDEX(J$118:J$180,MATCH(1,($BC138=$B$118:$B$180)*($BD138=$F$118:$F$180),0))))</f>
        <v>Yes</v>
      </c>
      <c r="BT138" s="274" t="str">
        <f t="shared" si="3"/>
        <v>No</v>
      </c>
    </row>
    <row r="139" spans="2:72" x14ac:dyDescent="0.2">
      <c r="B139" s="1143">
        <v>2</v>
      </c>
      <c r="F139" s="1013" t="str">
        <v>avelumab_plus_axitinib</v>
      </c>
      <c r="J139" s="652" t="s">
        <v>58</v>
      </c>
      <c r="K139" s="660" t="s">
        <v>149</v>
      </c>
      <c r="L139" s="1144"/>
      <c r="M139" s="1144"/>
      <c r="O139" s="652" t="s">
        <v>58</v>
      </c>
      <c r="P139" s="660" t="s">
        <v>149</v>
      </c>
      <c r="Q139" s="1144"/>
      <c r="R139" s="1144"/>
      <c r="T139" s="652" t="s">
        <v>58</v>
      </c>
      <c r="U139" s="660" t="s">
        <v>149</v>
      </c>
      <c r="V139" s="1144"/>
      <c r="W139" s="1144"/>
      <c r="Y139" s="652" t="s">
        <v>58</v>
      </c>
      <c r="Z139" s="660" t="s">
        <v>149</v>
      </c>
      <c r="AA139" s="1144"/>
      <c r="AB139" s="1144"/>
      <c r="AD139" s="67"/>
      <c r="AE139" s="274"/>
      <c r="AF139" s="274"/>
      <c r="AZ139" s="657">
        <v>8</v>
      </c>
      <c r="BA139" s="17">
        <v>0</v>
      </c>
      <c r="BB139" s="17" t="s">
        <v>31</v>
      </c>
      <c r="BC139" s="17">
        <v>1</v>
      </c>
      <c r="BD139" s="17" t="str" cm="1">
        <f t="array" ref="BD139">INDEX(List_comparators,$AZ139)</f>
        <v>sunitinib</v>
      </c>
      <c r="BE139" s="17">
        <f>INDEX(Lists!$L$51:$L$85,MATCH(BD139,Lists!$K$51:$K$85,0))</f>
        <v>7</v>
      </c>
      <c r="BF139" s="17" t="str">
        <f>INDEX(Lists!$S$51:$S$55,2)</f>
        <v>Progression free survival</v>
      </c>
      <c r="BG139" s="17">
        <f>INDEX(Lists!$T$51:$T$55,MATCH(BF139,Lists!$S$51:$S$55,0))</f>
        <v>1</v>
      </c>
      <c r="BH139" s="17">
        <f>VLOOKUP(VLOOKUP(BC139,$F$100:$I$103,2,FALSE),Lists!$K$50:$L$63,2,FALSE)</f>
        <v>7</v>
      </c>
      <c r="BI139" s="17" t="str" cm="1">
        <f t="array" ref="BI139">IF(OR(i_TE_sc_PartSA_5y_IO_TKI_OS=1,i_TE_sc_4and6y_IO_TKI_OS_absSurv=1),BT139,IF(OR(i_TE_sc_10y_all_IO=1,i_TE_sc_5and20y_all_IO=1),BS139,IF(i_no_TE_waning=1,"No",INDEX(J$118:J$180,MATCH(1,($BC139=$B$118:$B$180)*($BD139=$F$118:$F$180),0)))))</f>
        <v>Yes</v>
      </c>
      <c r="BJ139" s="17" t="str" cm="1">
        <f t="array" ref="BJ139">IF(i_TE_sc_4and6y_IO_TKI_OS_absSurv=1,BQ139,INDEX(K$118:K$180,MATCH(1,($BC139=$B$118:$B$180)*($BD139=$F$118:$F$180),0)))</f>
        <v>ref trt hazard</v>
      </c>
      <c r="BK139" s="17">
        <f t="shared" si="1"/>
        <v>261</v>
      </c>
      <c r="BL139" s="17">
        <f t="shared" si="2"/>
        <v>261</v>
      </c>
      <c r="BN139" s="274" cm="1">
        <f t="array" ref="BN139">INDEX(Q$118:Q$180,MATCH(1,($BC139=$B$118:$B$180)*($BD139=$F$118:$F$180),0))</f>
        <v>261</v>
      </c>
      <c r="BO139" s="274" cm="1">
        <f t="array" ref="BO139">INDEX(R$118:R$180,MATCH(1,($BC139=$B$118:$B$180)*($BD139=$F$118:$F$180),0))</f>
        <v>261</v>
      </c>
      <c r="BQ139" s="6" t="s">
        <v>149</v>
      </c>
      <c r="BS139" s="6" t="str" cm="1">
        <f t="array" ref="BS139">IF(AND(BE139=2,BC139=1,OR(i_TE_sc_10y_all_IO=1,i_TE_sc_5and20y_all_IO=1)),"Yes",IF(i_no_TE_waning=1,"No",INDEX(J$118:J$180,MATCH(1,($BC139=$B$118:$B$180)*($BD139=$F$118:$F$180),0))))</f>
        <v>Yes</v>
      </c>
      <c r="BT139" s="274" t="str">
        <f t="shared" si="3"/>
        <v>No</v>
      </c>
    </row>
    <row r="140" spans="2:72" x14ac:dyDescent="0.2">
      <c r="B140" s="1143">
        <v>2</v>
      </c>
      <c r="F140" s="1013" t="str">
        <v>pazopanib</v>
      </c>
      <c r="J140" s="652" t="s">
        <v>58</v>
      </c>
      <c r="K140" s="660" t="s">
        <v>149</v>
      </c>
      <c r="L140" s="1144"/>
      <c r="M140" s="1144"/>
      <c r="O140" s="652" t="s">
        <v>58</v>
      </c>
      <c r="P140" s="660" t="s">
        <v>149</v>
      </c>
      <c r="Q140" s="1144"/>
      <c r="R140" s="1144"/>
      <c r="T140" s="652" t="s">
        <v>58</v>
      </c>
      <c r="U140" s="660" t="s">
        <v>149</v>
      </c>
      <c r="V140" s="1144"/>
      <c r="W140" s="1144"/>
      <c r="Y140" s="652" t="s">
        <v>58</v>
      </c>
      <c r="Z140" s="660" t="s">
        <v>149</v>
      </c>
      <c r="AA140" s="1144"/>
      <c r="AB140" s="1144"/>
      <c r="AD140" s="67"/>
      <c r="AE140" s="274"/>
      <c r="AF140" s="274"/>
      <c r="AZ140" s="657">
        <v>9</v>
      </c>
      <c r="BA140" s="17">
        <v>0</v>
      </c>
      <c r="BB140" s="17" t="s">
        <v>31</v>
      </c>
      <c r="BC140" s="17">
        <v>1</v>
      </c>
      <c r="BD140" s="17" t="str" cm="1">
        <f t="array" ref="BD140">INDEX(List_comparators,$AZ140)</f>
        <v>cabozantinib</v>
      </c>
      <c r="BE140" s="17">
        <f>INDEX(Lists!$L$51:$L$85,MATCH(BD140,Lists!$K$51:$K$85,0))</f>
        <v>8</v>
      </c>
      <c r="BF140" s="17" t="str">
        <f>INDEX(Lists!$S$51:$S$55,2)</f>
        <v>Progression free survival</v>
      </c>
      <c r="BG140" s="17">
        <f>INDEX(Lists!$T$51:$T$55,MATCH(BF140,Lists!$S$51:$S$55,0))</f>
        <v>1</v>
      </c>
      <c r="BH140" s="17">
        <f>VLOOKUP(VLOOKUP(BC140,$F$100:$I$103,2,FALSE),Lists!$K$50:$L$63,2,FALSE)</f>
        <v>7</v>
      </c>
      <c r="BI140" s="17" t="str" cm="1">
        <f t="array" ref="BI140">IF(OR(i_TE_sc_PartSA_5y_IO_TKI_OS=1,i_TE_sc_4and6y_IO_TKI_OS_absSurv=1),BT140,IF(OR(i_TE_sc_10y_all_IO=1,i_TE_sc_5and20y_all_IO=1),BS140,IF(i_no_TE_waning=1,"No",INDEX(J$118:J$180,MATCH(1,($BC140=$B$118:$B$180)*($BD140=$F$118:$F$180),0)))))</f>
        <v>Yes</v>
      </c>
      <c r="BJ140" s="17" t="str" cm="1">
        <f t="array" ref="BJ140">IF(i_TE_sc_4and6y_IO_TKI_OS_absSurv=1,BQ140,INDEX(K$118:K$180,MATCH(1,($BC140=$B$118:$B$180)*($BD140=$F$118:$F$180),0)))</f>
        <v>ref trt hazard</v>
      </c>
      <c r="BK140" s="17">
        <f t="shared" si="1"/>
        <v>261</v>
      </c>
      <c r="BL140" s="17">
        <f t="shared" si="2"/>
        <v>261</v>
      </c>
      <c r="BN140" s="274" cm="1">
        <f t="array" ref="BN140">INDEX(Q$118:Q$180,MATCH(1,($BC140=$B$118:$B$180)*($BD140=$F$118:$F$180),0))</f>
        <v>261</v>
      </c>
      <c r="BO140" s="274" cm="1">
        <f t="array" ref="BO140">INDEX(R$118:R$180,MATCH(1,($BC140=$B$118:$B$180)*($BD140=$F$118:$F$180),0))</f>
        <v>261</v>
      </c>
      <c r="BQ140" s="6" t="s">
        <v>149</v>
      </c>
      <c r="BS140" s="6" t="str" cm="1">
        <f t="array" ref="BS140">IF(AND(BE140=2,BC140=1,OR(i_TE_sc_10y_all_IO=1,i_TE_sc_5and20y_all_IO=1)),"Yes",IF(i_no_TE_waning=1,"No",INDEX(J$118:J$180,MATCH(1,($BC140=$B$118:$B$180)*($BD140=$F$118:$F$180),0))))</f>
        <v>Yes</v>
      </c>
      <c r="BT140" s="274" t="str">
        <f t="shared" si="3"/>
        <v>No</v>
      </c>
    </row>
    <row r="141" spans="2:72" x14ac:dyDescent="0.2">
      <c r="B141" s="1143">
        <v>2</v>
      </c>
      <c r="F141" s="1013" t="str">
        <v>tivozanib</v>
      </c>
      <c r="J141" s="652" t="s">
        <v>58</v>
      </c>
      <c r="K141" s="660" t="s">
        <v>149</v>
      </c>
      <c r="L141" s="1144"/>
      <c r="M141" s="1144"/>
      <c r="O141" s="652" t="s">
        <v>58</v>
      </c>
      <c r="P141" s="660" t="s">
        <v>149</v>
      </c>
      <c r="Q141" s="1144"/>
      <c r="R141" s="1144"/>
      <c r="T141" s="652" t="s">
        <v>58</v>
      </c>
      <c r="U141" s="660" t="s">
        <v>149</v>
      </c>
      <c r="V141" s="1144"/>
      <c r="W141" s="1144"/>
      <c r="Y141" s="652" t="s">
        <v>58</v>
      </c>
      <c r="Z141" s="660" t="s">
        <v>149</v>
      </c>
      <c r="AA141" s="1144"/>
      <c r="AB141" s="1144"/>
      <c r="AD141" s="67"/>
      <c r="AE141" s="274"/>
      <c r="AF141" s="274"/>
      <c r="AZ141" s="657">
        <v>10</v>
      </c>
      <c r="BA141" s="17">
        <v>0</v>
      </c>
      <c r="BB141" s="17" t="s">
        <v>31</v>
      </c>
      <c r="BC141" s="17">
        <v>1</v>
      </c>
      <c r="BD141" s="17" t="str" cm="1">
        <f t="array" ref="BD141">INDEX(List_comparators,$AZ141)</f>
        <v>lenvatinib_plus_everolimus</v>
      </c>
      <c r="BE141" s="17">
        <f>INDEX(Lists!$L$51:$L$85,MATCH(BD141,Lists!$K$51:$K$85,0))</f>
        <v>9</v>
      </c>
      <c r="BF141" s="17" t="str">
        <f>INDEX(Lists!$S$51:$S$55,2)</f>
        <v>Progression free survival</v>
      </c>
      <c r="BG141" s="17">
        <f>INDEX(Lists!$T$51:$T$55,MATCH(BF141,Lists!$S$51:$S$55,0))</f>
        <v>1</v>
      </c>
      <c r="BH141" s="17">
        <f>VLOOKUP(VLOOKUP(BC141,$F$100:$I$103,2,FALSE),Lists!$K$50:$L$63,2,FALSE)</f>
        <v>7</v>
      </c>
      <c r="BI141" s="17" t="str" cm="1">
        <f t="array" ref="BI141">IF(OR(i_TE_sc_PartSA_5y_IO_TKI_OS=1,i_TE_sc_4and6y_IO_TKI_OS_absSurv=1),BT141,IF(OR(i_TE_sc_10y_all_IO=1,i_TE_sc_5and20y_all_IO=1),BS141,IF(i_no_TE_waning=1,"No",INDEX(J$118:J$180,MATCH(1,($BC141=$B$118:$B$180)*($BD141=$F$118:$F$180),0)))))</f>
        <v>No</v>
      </c>
      <c r="BJ141" s="17" t="str" cm="1">
        <f t="array" ref="BJ141">IF(i_TE_sc_4and6y_IO_TKI_OS_absSurv=1,BQ141,INDEX(K$118:K$180,MATCH(1,($BC141=$B$118:$B$180)*($BD141=$F$118:$F$180),0)))</f>
        <v>ref trt hazard</v>
      </c>
      <c r="BK141" s="17">
        <f t="shared" si="1"/>
        <v>0</v>
      </c>
      <c r="BL141" s="17">
        <f t="shared" si="2"/>
        <v>0</v>
      </c>
      <c r="BN141" s="274" cm="1">
        <f t="array" ref="BN141">INDEX(Q$118:Q$180,MATCH(1,($BC141=$B$118:$B$180)*($BD141=$F$118:$F$180),0))</f>
        <v>0</v>
      </c>
      <c r="BO141" s="274" cm="1">
        <f t="array" ref="BO141">INDEX(R$118:R$180,MATCH(1,($BC141=$B$118:$B$180)*($BD141=$F$118:$F$180),0))</f>
        <v>0</v>
      </c>
      <c r="BQ141" s="6" t="s">
        <v>149</v>
      </c>
      <c r="BS141" s="6" t="str" cm="1">
        <f t="array" ref="BS141">IF(AND(BE141=2,BC141=1,OR(i_TE_sc_10y_all_IO=1,i_TE_sc_5and20y_all_IO=1)),"Yes",IF(i_no_TE_waning=1,"No",INDEX(J$118:J$180,MATCH(1,($BC141=$B$118:$B$180)*($BD141=$F$118:$F$180),0))))</f>
        <v>No</v>
      </c>
      <c r="BT141" s="274" t="str">
        <f t="shared" si="3"/>
        <v>No</v>
      </c>
    </row>
    <row r="142" spans="2:72" x14ac:dyDescent="0.2">
      <c r="B142" s="1143">
        <v>2</v>
      </c>
      <c r="F142" s="1013" t="str">
        <v>sunitinib</v>
      </c>
      <c r="J142" s="652" t="s">
        <v>58</v>
      </c>
      <c r="K142" s="660" t="s">
        <v>149</v>
      </c>
      <c r="L142" s="1144"/>
      <c r="M142" s="1144"/>
      <c r="O142" s="652" t="s">
        <v>58</v>
      </c>
      <c r="P142" s="660" t="s">
        <v>149</v>
      </c>
      <c r="Q142" s="1144"/>
      <c r="R142" s="1144"/>
      <c r="T142" s="652" t="s">
        <v>58</v>
      </c>
      <c r="U142" s="660" t="s">
        <v>149</v>
      </c>
      <c r="V142" s="1144"/>
      <c r="W142" s="1144"/>
      <c r="Y142" s="652" t="s">
        <v>58</v>
      </c>
      <c r="Z142" s="660" t="s">
        <v>149</v>
      </c>
      <c r="AA142" s="1144"/>
      <c r="AB142" s="1144"/>
      <c r="AD142" s="67"/>
      <c r="AE142" s="274"/>
      <c r="AF142" s="274"/>
      <c r="AZ142" s="657">
        <v>11</v>
      </c>
      <c r="BA142" s="17">
        <v>0</v>
      </c>
      <c r="BB142" s="17" t="s">
        <v>31</v>
      </c>
      <c r="BC142" s="17">
        <v>1</v>
      </c>
      <c r="BD142" s="17" t="str" cm="1">
        <f t="array" ref="BD142">INDEX(List_comparators,$AZ142)</f>
        <v>everolimus</v>
      </c>
      <c r="BE142" s="17">
        <f>INDEX(Lists!$L$51:$L$85,MATCH(BD142,Lists!$K$51:$K$85,0))</f>
        <v>10</v>
      </c>
      <c r="BF142" s="17" t="str">
        <f>INDEX(Lists!$S$51:$S$55,2)</f>
        <v>Progression free survival</v>
      </c>
      <c r="BG142" s="17">
        <f>INDEX(Lists!$T$51:$T$55,MATCH(BF142,Lists!$S$51:$S$55,0))</f>
        <v>1</v>
      </c>
      <c r="BH142" s="17">
        <f>VLOOKUP(VLOOKUP(BC142,$F$100:$I$103,2,FALSE),Lists!$K$50:$L$63,2,FALSE)</f>
        <v>7</v>
      </c>
      <c r="BI142" s="17" t="str" cm="1">
        <f t="array" ref="BI142">IF(OR(i_TE_sc_PartSA_5y_IO_TKI_OS=1,i_TE_sc_4and6y_IO_TKI_OS_absSurv=1),BT142,IF(OR(i_TE_sc_10y_all_IO=1,i_TE_sc_5and20y_all_IO=1),BS142,IF(i_no_TE_waning=1,"No",INDEX(J$118:J$180,MATCH(1,($BC142=$B$118:$B$180)*($BD142=$F$118:$F$180),0)))))</f>
        <v>No</v>
      </c>
      <c r="BJ142" s="17" t="str" cm="1">
        <f t="array" ref="BJ142">IF(i_TE_sc_4and6y_IO_TKI_OS_absSurv=1,BQ142,INDEX(K$118:K$180,MATCH(1,($BC142=$B$118:$B$180)*($BD142=$F$118:$F$180),0)))</f>
        <v>ref trt hazard</v>
      </c>
      <c r="BK142" s="17">
        <f t="shared" si="1"/>
        <v>0</v>
      </c>
      <c r="BL142" s="17">
        <f t="shared" si="2"/>
        <v>0</v>
      </c>
      <c r="BN142" s="274" cm="1">
        <f t="array" ref="BN142">INDEX(Q$118:Q$180,MATCH(1,($BC142=$B$118:$B$180)*($BD142=$F$118:$F$180),0))</f>
        <v>0</v>
      </c>
      <c r="BO142" s="274" cm="1">
        <f t="array" ref="BO142">INDEX(R$118:R$180,MATCH(1,($BC142=$B$118:$B$180)*($BD142=$F$118:$F$180),0))</f>
        <v>0</v>
      </c>
      <c r="BQ142" s="6" t="s">
        <v>149</v>
      </c>
      <c r="BS142" s="6" t="str" cm="1">
        <f t="array" ref="BS142">IF(AND(BE142=2,BC142=1,OR(i_TE_sc_10y_all_IO=1,i_TE_sc_5and20y_all_IO=1)),"Yes",IF(i_no_TE_waning=1,"No",INDEX(J$118:J$180,MATCH(1,($BC142=$B$118:$B$180)*($BD142=$F$118:$F$180),0))))</f>
        <v>No</v>
      </c>
      <c r="BT142" s="274" t="str">
        <f t="shared" si="3"/>
        <v>No</v>
      </c>
    </row>
    <row r="143" spans="2:72" x14ac:dyDescent="0.2">
      <c r="B143" s="1143">
        <v>2</v>
      </c>
      <c r="F143" s="1013" t="str">
        <v>cabozantinib</v>
      </c>
      <c r="J143" s="652" t="s">
        <v>58</v>
      </c>
      <c r="K143" s="660" t="s">
        <v>149</v>
      </c>
      <c r="L143" s="1144"/>
      <c r="M143" s="1144"/>
      <c r="O143" s="652" t="s">
        <v>58</v>
      </c>
      <c r="P143" s="660" t="s">
        <v>149</v>
      </c>
      <c r="Q143" s="1144"/>
      <c r="R143" s="1144"/>
      <c r="T143" s="652" t="s">
        <v>58</v>
      </c>
      <c r="U143" s="660" t="s">
        <v>149</v>
      </c>
      <c r="V143" s="1144"/>
      <c r="W143" s="1144"/>
      <c r="Y143" s="652" t="s">
        <v>58</v>
      </c>
      <c r="Z143" s="660" t="s">
        <v>149</v>
      </c>
      <c r="AA143" s="1144"/>
      <c r="AB143" s="1144"/>
      <c r="AD143" s="67"/>
      <c r="AE143" s="274"/>
      <c r="AF143" s="274"/>
      <c r="AZ143" s="657">
        <v>12</v>
      </c>
      <c r="BA143" s="17">
        <v>0</v>
      </c>
      <c r="BB143" s="17" t="s">
        <v>31</v>
      </c>
      <c r="BC143" s="17">
        <v>1</v>
      </c>
      <c r="BD143" s="17" t="str" cm="1">
        <f t="array" ref="BD143">INDEX(List_comparators,$AZ143)</f>
        <v>axitinib</v>
      </c>
      <c r="BE143" s="17">
        <f>INDEX(Lists!$L$51:$L$85,MATCH(BD143,Lists!$K$51:$K$85,0))</f>
        <v>11</v>
      </c>
      <c r="BF143" s="17" t="str">
        <f>INDEX(Lists!$S$51:$S$55,2)</f>
        <v>Progression free survival</v>
      </c>
      <c r="BG143" s="17">
        <f>INDEX(Lists!$T$51:$T$55,MATCH(BF143,Lists!$S$51:$S$55,0))</f>
        <v>1</v>
      </c>
      <c r="BH143" s="17">
        <f>VLOOKUP(VLOOKUP(BC143,$F$100:$I$103,2,FALSE),Lists!$K$50:$L$63,2,FALSE)</f>
        <v>7</v>
      </c>
      <c r="BI143" s="17" t="str" cm="1">
        <f t="array" ref="BI143">IF(OR(i_TE_sc_PartSA_5y_IO_TKI_OS=1,i_TE_sc_4and6y_IO_TKI_OS_absSurv=1),BT143,IF(OR(i_TE_sc_10y_all_IO=1,i_TE_sc_5and20y_all_IO=1),BS143,IF(i_no_TE_waning=1,"No",INDEX(J$118:J$180,MATCH(1,($BC143=$B$118:$B$180)*($BD143=$F$118:$F$180),0)))))</f>
        <v>No</v>
      </c>
      <c r="BJ143" s="17" t="str" cm="1">
        <f t="array" ref="BJ143">IF(i_TE_sc_4and6y_IO_TKI_OS_absSurv=1,BQ143,INDEX(K$118:K$180,MATCH(1,($BC143=$B$118:$B$180)*($BD143=$F$118:$F$180),0)))</f>
        <v>ref trt hazard</v>
      </c>
      <c r="BK143" s="17">
        <f t="shared" si="1"/>
        <v>0</v>
      </c>
      <c r="BL143" s="17">
        <f t="shared" si="2"/>
        <v>0</v>
      </c>
      <c r="BN143" s="274" cm="1">
        <f t="array" ref="BN143">INDEX(Q$118:Q$180,MATCH(1,($BC143=$B$118:$B$180)*($BD143=$F$118:$F$180),0))</f>
        <v>0</v>
      </c>
      <c r="BO143" s="274" cm="1">
        <f t="array" ref="BO143">INDEX(R$118:R$180,MATCH(1,($BC143=$B$118:$B$180)*($BD143=$F$118:$F$180),0))</f>
        <v>0</v>
      </c>
      <c r="BQ143" s="6" t="s">
        <v>149</v>
      </c>
      <c r="BS143" s="6" t="str" cm="1">
        <f t="array" ref="BS143">IF(AND(BE143=2,BC143=1,OR(i_TE_sc_10y_all_IO=1,i_TE_sc_5and20y_all_IO=1)),"Yes",IF(i_no_TE_waning=1,"No",INDEX(J$118:J$180,MATCH(1,($BC143=$B$118:$B$180)*($BD143=$F$118:$F$180),0))))</f>
        <v>No</v>
      </c>
      <c r="BT143" s="274" t="str">
        <f t="shared" si="3"/>
        <v>No</v>
      </c>
    </row>
    <row r="144" spans="2:72" x14ac:dyDescent="0.2">
      <c r="B144" s="1143">
        <v>2</v>
      </c>
      <c r="F144" s="1013" t="str">
        <v>lenvatinib_plus_everolimus</v>
      </c>
      <c r="J144" s="652" t="s">
        <v>58</v>
      </c>
      <c r="K144" s="660" t="s">
        <v>149</v>
      </c>
      <c r="L144" s="1144"/>
      <c r="M144" s="1144"/>
      <c r="O144" s="652" t="s">
        <v>58</v>
      </c>
      <c r="P144" s="660" t="s">
        <v>149</v>
      </c>
      <c r="Q144" s="1144"/>
      <c r="R144" s="1144"/>
      <c r="T144" s="652" t="s">
        <v>58</v>
      </c>
      <c r="U144" s="660" t="s">
        <v>149</v>
      </c>
      <c r="V144" s="1144"/>
      <c r="W144" s="1144"/>
      <c r="Y144" s="652" t="s">
        <v>58</v>
      </c>
      <c r="Z144" s="660" t="s">
        <v>149</v>
      </c>
      <c r="AA144" s="1144"/>
      <c r="AB144" s="1144"/>
      <c r="AD144" s="67"/>
      <c r="AE144" s="274"/>
      <c r="AF144" s="274"/>
      <c r="AZ144" s="657">
        <v>13</v>
      </c>
      <c r="BA144" s="17">
        <v>0</v>
      </c>
      <c r="BB144" s="17" t="s">
        <v>31</v>
      </c>
      <c r="BC144" s="17">
        <v>1</v>
      </c>
      <c r="BD144" s="17" t="str" cm="1">
        <f t="array" ref="BD144">INDEX(List_comparators,$AZ144)</f>
        <v>sorafenib</v>
      </c>
      <c r="BE144" s="17">
        <f>INDEX(Lists!$L$51:$L$85,MATCH(BD144,Lists!$K$51:$K$85,0))</f>
        <v>12</v>
      </c>
      <c r="BF144" s="17" t="str">
        <f>INDEX(Lists!$S$51:$S$55,2)</f>
        <v>Progression free survival</v>
      </c>
      <c r="BG144" s="17">
        <f>INDEX(Lists!$T$51:$T$55,MATCH(BF144,Lists!$S$51:$S$55,0))</f>
        <v>1</v>
      </c>
      <c r="BH144" s="17">
        <f>VLOOKUP(VLOOKUP(BC144,$F$100:$I$103,2,FALSE),Lists!$K$50:$L$63,2,FALSE)</f>
        <v>7</v>
      </c>
      <c r="BI144" s="17" t="str" cm="1">
        <f t="array" ref="BI144">IF(OR(i_TE_sc_PartSA_5y_IO_TKI_OS=1,i_TE_sc_4and6y_IO_TKI_OS_absSurv=1),BT144,IF(OR(i_TE_sc_10y_all_IO=1,i_TE_sc_5and20y_all_IO=1),BS144,IF(i_no_TE_waning=1,"No",INDEX(J$118:J$180,MATCH(1,($BC144=$B$118:$B$180)*($BD144=$F$118:$F$180),0)))))</f>
        <v>No</v>
      </c>
      <c r="BJ144" s="17" t="str" cm="1">
        <f t="array" ref="BJ144">IF(i_TE_sc_4and6y_IO_TKI_OS_absSurv=1,BQ144,INDEX(K$118:K$180,MATCH(1,($BC144=$B$118:$B$180)*($BD144=$F$118:$F$180),0)))</f>
        <v>ref trt hazard</v>
      </c>
      <c r="BK144" s="17">
        <f t="shared" si="1"/>
        <v>0</v>
      </c>
      <c r="BL144" s="17">
        <f t="shared" si="2"/>
        <v>0</v>
      </c>
      <c r="BN144" s="274" cm="1">
        <f t="array" ref="BN144">INDEX(Q$118:Q$180,MATCH(1,($BC144=$B$118:$B$180)*($BD144=$F$118:$F$180),0))</f>
        <v>0</v>
      </c>
      <c r="BO144" s="274" cm="1">
        <f t="array" ref="BO144">INDEX(R$118:R$180,MATCH(1,($BC144=$B$118:$B$180)*($BD144=$F$118:$F$180),0))</f>
        <v>0</v>
      </c>
      <c r="BQ144" s="6" t="s">
        <v>149</v>
      </c>
      <c r="BS144" s="6" t="str" cm="1">
        <f t="array" ref="BS144">IF(AND(BE144=2,BC144=1,OR(i_TE_sc_10y_all_IO=1,i_TE_sc_5and20y_all_IO=1)),"Yes",IF(i_no_TE_waning=1,"No",INDEX(J$118:J$180,MATCH(1,($BC144=$B$118:$B$180)*($BD144=$F$118:$F$180),0))))</f>
        <v>No</v>
      </c>
      <c r="BT144" s="274" t="str">
        <f t="shared" si="3"/>
        <v>No</v>
      </c>
    </row>
    <row r="145" spans="2:72" x14ac:dyDescent="0.2">
      <c r="B145" s="1143">
        <v>2</v>
      </c>
      <c r="F145" s="1013" t="str">
        <v>everolimus</v>
      </c>
      <c r="J145" s="652" t="s">
        <v>58</v>
      </c>
      <c r="K145" s="660" t="s">
        <v>149</v>
      </c>
      <c r="L145" s="1144"/>
      <c r="M145" s="1144"/>
      <c r="O145" s="652" t="s">
        <v>58</v>
      </c>
      <c r="P145" s="660" t="s">
        <v>149</v>
      </c>
      <c r="Q145" s="1144"/>
      <c r="R145" s="1144"/>
      <c r="T145" s="652" t="s">
        <v>58</v>
      </c>
      <c r="U145" s="660" t="s">
        <v>149</v>
      </c>
      <c r="V145" s="1144"/>
      <c r="W145" s="1144"/>
      <c r="Y145" s="652" t="s">
        <v>58</v>
      </c>
      <c r="Z145" s="660" t="s">
        <v>149</v>
      </c>
      <c r="AA145" s="1144"/>
      <c r="AB145" s="1144"/>
      <c r="AD145" s="67"/>
      <c r="AE145" s="274"/>
      <c r="AF145" s="274"/>
      <c r="AZ145" s="657">
        <v>14</v>
      </c>
      <c r="BA145" s="17">
        <v>0</v>
      </c>
      <c r="BB145" s="17" t="s">
        <v>31</v>
      </c>
      <c r="BC145" s="17">
        <v>1</v>
      </c>
      <c r="BD145" s="17" t="str" cm="1">
        <f t="array" ref="BD145">INDEX(List_comparators,$AZ145)</f>
        <v>placebo_BSC</v>
      </c>
      <c r="BE145" s="17">
        <f>INDEX(Lists!$L$51:$L$85,MATCH(BD145,Lists!$K$51:$K$85,0))</f>
        <v>999</v>
      </c>
      <c r="BF145" s="17" t="str">
        <f>INDEX(Lists!$S$51:$S$55,2)</f>
        <v>Progression free survival</v>
      </c>
      <c r="BG145" s="17">
        <f>INDEX(Lists!$T$51:$T$55,MATCH(BF145,Lists!$S$51:$S$55,0))</f>
        <v>1</v>
      </c>
      <c r="BH145" s="17">
        <f>VLOOKUP(VLOOKUP(BC145,$F$100:$I$103,2,FALSE),Lists!$K$50:$L$63,2,FALSE)</f>
        <v>7</v>
      </c>
      <c r="BI145" s="17" t="str" cm="1">
        <f t="array" ref="BI145">IF(OR(i_TE_sc_PartSA_5y_IO_TKI_OS=1,i_TE_sc_4and6y_IO_TKI_OS_absSurv=1),BT145,IF(OR(i_TE_sc_10y_all_IO=1,i_TE_sc_5and20y_all_IO=1),BS145,IF(i_no_TE_waning=1,"No",INDEX(J$118:J$180,MATCH(1,($BC145=$B$118:$B$180)*($BD145=$F$118:$F$180),0)))))</f>
        <v>No</v>
      </c>
      <c r="BJ145" s="17" cm="1">
        <f t="array" ref="BJ145">IF(i_TE_sc_4and6y_IO_TKI_OS_absSurv=1,BQ145,INDEX(K$118:K$180,MATCH(1,($BC145=$B$118:$B$180)*($BD145=$F$118:$F$180),0)))</f>
        <v>0</v>
      </c>
      <c r="BK145" s="17">
        <f t="shared" si="1"/>
        <v>0</v>
      </c>
      <c r="BL145" s="17">
        <f t="shared" si="2"/>
        <v>0</v>
      </c>
      <c r="BN145" s="274" cm="1">
        <f t="array" ref="BN145">INDEX(Q$118:Q$180,MATCH(1,($BC145=$B$118:$B$180)*($BD145=$F$118:$F$180),0))</f>
        <v>0</v>
      </c>
      <c r="BO145" s="274" cm="1">
        <f t="array" ref="BO145">INDEX(R$118:R$180,MATCH(1,($BC145=$B$118:$B$180)*($BD145=$F$118:$F$180),0))</f>
        <v>0</v>
      </c>
      <c r="BS145" s="6" t="str" cm="1">
        <f t="array" ref="BS145">IF(AND(BE145=2,BC145=1,OR(i_TE_sc_10y_all_IO=1,i_TE_sc_5and20y_all_IO=1)),"Yes",IF(i_no_TE_waning=1,"No",INDEX(J$118:J$180,MATCH(1,($BC145=$B$118:$B$180)*($BD145=$F$118:$F$180),0))))</f>
        <v>No</v>
      </c>
      <c r="BT145" s="274" t="str">
        <f t="shared" si="3"/>
        <v>No</v>
      </c>
    </row>
    <row r="146" spans="2:72" x14ac:dyDescent="0.2">
      <c r="B146" s="1143">
        <v>2</v>
      </c>
      <c r="F146" s="1013" t="str">
        <v>axitinib</v>
      </c>
      <c r="J146" s="652" t="s">
        <v>58</v>
      </c>
      <c r="K146" s="660" t="s">
        <v>149</v>
      </c>
      <c r="L146" s="1144"/>
      <c r="M146" s="1144"/>
      <c r="O146" s="652" t="s">
        <v>58</v>
      </c>
      <c r="P146" s="660" t="s">
        <v>149</v>
      </c>
      <c r="Q146" s="1144"/>
      <c r="R146" s="1144"/>
      <c r="T146" s="652" t="s">
        <v>58</v>
      </c>
      <c r="U146" s="660" t="s">
        <v>149</v>
      </c>
      <c r="V146" s="1144"/>
      <c r="W146" s="1144"/>
      <c r="Y146" s="652" t="s">
        <v>58</v>
      </c>
      <c r="Z146" s="660" t="s">
        <v>149</v>
      </c>
      <c r="AA146" s="1144"/>
      <c r="AB146" s="1144"/>
      <c r="AD146" s="67"/>
      <c r="AE146" s="274"/>
      <c r="AF146" s="274"/>
      <c r="AZ146" s="657">
        <v>1</v>
      </c>
      <c r="BA146" s="17">
        <v>0</v>
      </c>
      <c r="BB146" s="17" t="s">
        <v>31</v>
      </c>
      <c r="BC146" s="17">
        <v>1</v>
      </c>
      <c r="BD146" s="17" t="str" cm="1">
        <f t="array" ref="BD146">INDEX(List_comparators,$AZ146)</f>
        <v>nivolumab_monotherapy</v>
      </c>
      <c r="BE146" s="17">
        <f>INDEX(Lists!$L$51:$L$85,MATCH(BD146,Lists!$K$51:$K$85,0))</f>
        <v>0</v>
      </c>
      <c r="BF146" s="17" t="str">
        <f>INDEX(Lists!$S$51:$S$55,3)</f>
        <v>Time to treatment discontinuation</v>
      </c>
      <c r="BG146" s="17">
        <f>INDEX(Lists!$T$51:$T$55,MATCH(BF146,Lists!$S$51:$S$55,0))</f>
        <v>2</v>
      </c>
      <c r="BH146" s="17">
        <f>VLOOKUP(VLOOKUP(BC146,$F$100:$I$103,2,FALSE),Lists!$K$50:$L$63,2,FALSE)</f>
        <v>7</v>
      </c>
      <c r="BI146" s="17" t="str" cm="1">
        <f t="array" ref="BI146">IF(OR(i_TE_sc_PartSA_5y_IO_TKI_OS=1,i_TE_sc_4and6y_IO_TKI_OS_absSurv=1),BT146,IF(OR(i_TE_sc_10y_all_IO=1,i_TE_sc_5and20y_all_IO=1),BS146,IF(i_no_TE_waning=1,"No",INDEX(J$118:J$180,MATCH(1,($BC146=$B$118:$B$180)*($BD146=$F$118:$F$180),0)))))</f>
        <v>No</v>
      </c>
      <c r="BJ146" s="17" t="str" cm="1">
        <f t="array" ref="BJ146">IF(i_TE_sc_4and6y_IO_TKI_OS_absSurv=1,BQ146,INDEX(K$118:K$180,MATCH(1,($BC146=$B$118:$B$180)*($BD146=$F$118:$F$180),0)))</f>
        <v>ref trt hazard</v>
      </c>
      <c r="BK146" s="17">
        <f t="shared" si="1"/>
        <v>0</v>
      </c>
      <c r="BL146" s="17">
        <f t="shared" si="2"/>
        <v>0</v>
      </c>
      <c r="BN146" s="274" cm="1">
        <f t="array" ref="BN146">INDEX(V$118:V$180,MATCH(1,($BC146=$B$118:$B$180)*($BD146=$F$118:$F$180),0))</f>
        <v>0</v>
      </c>
      <c r="BO146" s="274" cm="1">
        <f t="array" ref="BO146">INDEX(W$118:W$180,MATCH(1,($BC146=$B$118:$B$180)*($BD146=$F$118:$F$180),0))</f>
        <v>0</v>
      </c>
      <c r="BQ146" s="6" t="s">
        <v>149</v>
      </c>
      <c r="BS146" s="6" t="str" cm="1">
        <f t="array" ref="BS146">IF(AND(BE146=2,BC146=1,OR(i_TE_sc_10y_all_IO=1,i_TE_sc_5and20y_all_IO=1)),"Yes",IF(i_no_TE_waning=1,"No",INDEX(J$118:J$180,MATCH(1,($BC146=$B$118:$B$180)*($BD146=$F$118:$F$180),0))))</f>
        <v>No</v>
      </c>
      <c r="BT146" s="274" t="str">
        <f t="shared" si="3"/>
        <v>No</v>
      </c>
    </row>
    <row r="147" spans="2:72" x14ac:dyDescent="0.2">
      <c r="B147" s="1143">
        <v>2</v>
      </c>
      <c r="F147" s="1013" t="str">
        <v>sorafenib</v>
      </c>
      <c r="J147" s="652" t="s">
        <v>58</v>
      </c>
      <c r="K147" s="660" t="s">
        <v>149</v>
      </c>
      <c r="L147" s="1144"/>
      <c r="M147" s="1144"/>
      <c r="O147" s="652" t="s">
        <v>58</v>
      </c>
      <c r="P147" s="660" t="s">
        <v>149</v>
      </c>
      <c r="Q147" s="1144"/>
      <c r="R147" s="1144"/>
      <c r="T147" s="652" t="s">
        <v>58</v>
      </c>
      <c r="U147" s="660" t="s">
        <v>149</v>
      </c>
      <c r="V147" s="1144"/>
      <c r="W147" s="1144"/>
      <c r="Y147" s="652" t="s">
        <v>58</v>
      </c>
      <c r="Z147" s="660" t="s">
        <v>149</v>
      </c>
      <c r="AA147" s="1144"/>
      <c r="AB147" s="1144"/>
      <c r="AD147" s="67"/>
      <c r="AE147" s="274"/>
      <c r="AF147" s="274"/>
      <c r="AZ147" s="657">
        <v>2</v>
      </c>
      <c r="BA147" s="17">
        <v>0</v>
      </c>
      <c r="BB147" s="17" t="s">
        <v>31</v>
      </c>
      <c r="BC147" s="17">
        <v>1</v>
      </c>
      <c r="BD147" s="17" t="str" cm="1">
        <f t="array" ref="BD147">INDEX(List_comparators,$AZ147)</f>
        <v>cabozantinib_plus_nivolumab</v>
      </c>
      <c r="BE147" s="17">
        <f>INDEX(Lists!$L$51:$L$85,MATCH(BD147,Lists!$K$51:$K$85,0))</f>
        <v>1</v>
      </c>
      <c r="BF147" s="17" t="str">
        <f>INDEX(Lists!$S$51:$S$55,3)</f>
        <v>Time to treatment discontinuation</v>
      </c>
      <c r="BG147" s="17">
        <f>INDEX(Lists!$T$51:$T$55,MATCH(BF147,Lists!$S$51:$S$55,0))</f>
        <v>2</v>
      </c>
      <c r="BH147" s="17">
        <f>VLOOKUP(VLOOKUP(BC147,$F$100:$I$103,2,FALSE),Lists!$K$50:$L$63,2,FALSE)</f>
        <v>7</v>
      </c>
      <c r="BI147" s="17" t="str" cm="1">
        <f t="array" ref="BI147">IF(OR(i_TE_sc_PartSA_5y_IO_TKI_OS=1,i_TE_sc_4and6y_IO_TKI_OS_absSurv=1),BT147,IF(OR(i_TE_sc_10y_all_IO=1,i_TE_sc_5and20y_all_IO=1),BS147,IF(i_no_TE_waning=1,"No",INDEX(J$118:J$180,MATCH(1,($BC147=$B$118:$B$180)*($BD147=$F$118:$F$180),0)))))</f>
        <v>Yes</v>
      </c>
      <c r="BJ147" s="17" t="str" cm="1">
        <f t="array" ref="BJ147">IF(i_TE_sc_4and6y_IO_TKI_OS_absSurv=1,BQ147,INDEX(K$118:K$180,MATCH(1,($BC147=$B$118:$B$180)*($BD147=$F$118:$F$180),0)))</f>
        <v>ref trt hazard</v>
      </c>
      <c r="BK147" s="17">
        <f t="shared" si="1"/>
        <v>261</v>
      </c>
      <c r="BL147" s="17">
        <f t="shared" si="2"/>
        <v>261</v>
      </c>
      <c r="BN147" s="274" cm="1">
        <f t="array" ref="BN147">INDEX(V$118:V$180,MATCH(1,($BC147=$B$118:$B$180)*($BD147=$F$118:$F$180),0))</f>
        <v>261</v>
      </c>
      <c r="BO147" s="274" cm="1">
        <f t="array" ref="BO147">INDEX(W$118:W$180,MATCH(1,($BC147=$B$118:$B$180)*($BD147=$F$118:$F$180),0))</f>
        <v>261</v>
      </c>
      <c r="BQ147" s="6" t="s">
        <v>149</v>
      </c>
      <c r="BS147" s="6" t="str" cm="1">
        <f t="array" ref="BS147">IF(AND(BE147=2,BC147=1,OR(i_TE_sc_10y_all_IO=1,i_TE_sc_5and20y_all_IO=1)),"Yes",IF(i_no_TE_waning=1,"No",INDEX(J$118:J$180,MATCH(1,($BC147=$B$118:$B$180)*($BD147=$F$118:$F$180),0))))</f>
        <v>Yes</v>
      </c>
      <c r="BT147" s="274" t="str">
        <f t="shared" si="3"/>
        <v>No</v>
      </c>
    </row>
    <row r="148" spans="2:72" x14ac:dyDescent="0.2">
      <c r="B148" s="1143">
        <v>2</v>
      </c>
      <c r="F148" s="1013" t="str">
        <v>placebo_BSC</v>
      </c>
      <c r="J148" s="1012" t="s">
        <v>58</v>
      </c>
      <c r="K148" s="561"/>
      <c r="L148" s="1006"/>
      <c r="M148" s="1006"/>
      <c r="O148" s="1012" t="s">
        <v>58</v>
      </c>
      <c r="P148" s="561"/>
      <c r="Q148" s="1006"/>
      <c r="R148" s="1006"/>
      <c r="T148" s="1012" t="s">
        <v>58</v>
      </c>
      <c r="U148" s="561"/>
      <c r="V148" s="1006"/>
      <c r="W148" s="1006"/>
      <c r="Y148" s="1012" t="s">
        <v>58</v>
      </c>
      <c r="Z148" s="561"/>
      <c r="AA148" s="1006"/>
      <c r="AB148" s="1006"/>
      <c r="AD148" s="67"/>
      <c r="AE148" s="274"/>
      <c r="AF148" s="274"/>
      <c r="AZ148" s="657">
        <v>3</v>
      </c>
      <c r="BA148" s="17">
        <v>0</v>
      </c>
      <c r="BB148" s="17" t="s">
        <v>31</v>
      </c>
      <c r="BC148" s="17">
        <v>1</v>
      </c>
      <c r="BD148" s="17" t="str" cm="1">
        <f t="array" ref="BD148">INDEX(List_comparators,$AZ148)</f>
        <v>nivolumab_plus_ipilimumab</v>
      </c>
      <c r="BE148" s="17">
        <f>INDEX(Lists!$L$51:$L$85,MATCH(BD148,Lists!$K$51:$K$85,0))</f>
        <v>2</v>
      </c>
      <c r="BF148" s="17" t="str">
        <f>INDEX(Lists!$S$51:$S$55,3)</f>
        <v>Time to treatment discontinuation</v>
      </c>
      <c r="BG148" s="17">
        <f>INDEX(Lists!$T$51:$T$55,MATCH(BF148,Lists!$S$51:$S$55,0))</f>
        <v>2</v>
      </c>
      <c r="BH148" s="17">
        <f>VLOOKUP(VLOOKUP(BC148,$F$100:$I$103,2,FALSE),Lists!$K$50:$L$63,2,FALSE)</f>
        <v>7</v>
      </c>
      <c r="BI148" s="17" t="str" cm="1">
        <f t="array" ref="BI148">IF(OR(i_TE_sc_PartSA_5y_IO_TKI_OS=1,i_TE_sc_4and6y_IO_TKI_OS_absSurv=1),BT148,IF(OR(i_TE_sc_10y_all_IO=1,i_TE_sc_5and20y_all_IO=1),BS148,IF(i_no_TE_waning=1,"No",INDEX(J$118:J$180,MATCH(1,($BC148=$B$118:$B$180)*($BD148=$F$118:$F$180),0)))))</f>
        <v>No</v>
      </c>
      <c r="BJ148" s="17" t="str" cm="1">
        <f t="array" ref="BJ148">IF(i_TE_sc_4and6y_IO_TKI_OS_absSurv=1,BQ148,INDEX(K$118:K$180,MATCH(1,($BC148=$B$118:$B$180)*($BD148=$F$118:$F$180),0)))</f>
        <v>ref trt hazard</v>
      </c>
      <c r="BK148" s="17">
        <f t="shared" si="1"/>
        <v>261</v>
      </c>
      <c r="BL148" s="17">
        <f t="shared" si="2"/>
        <v>261</v>
      </c>
      <c r="BN148" s="274" cm="1">
        <f t="array" ref="BN148">INDEX(V$118:V$180,MATCH(1,($BC148=$B$118:$B$180)*($BD148=$F$118:$F$180),0))</f>
        <v>261</v>
      </c>
      <c r="BO148" s="274" cm="1">
        <f t="array" ref="BO148">INDEX(W$118:W$180,MATCH(1,($BC148=$B$118:$B$180)*($BD148=$F$118:$F$180),0))</f>
        <v>261</v>
      </c>
      <c r="BQ148" s="6" t="s">
        <v>149</v>
      </c>
      <c r="BS148" s="6" t="str" cm="1">
        <f t="array" ref="BS148">IF(AND(BE148=2,BC148=1,OR(i_TE_sc_10y_all_IO=1,i_TE_sc_5and20y_all_IO=1)),"Yes",IF(i_no_TE_waning=1,"No",INDEX(J$118:J$180,MATCH(1,($BC148=$B$118:$B$180)*($BD148=$F$118:$F$180),0))))</f>
        <v>No</v>
      </c>
      <c r="BT148" s="274" t="str">
        <f t="shared" si="3"/>
        <v>No</v>
      </c>
    </row>
    <row r="149" spans="2:72" x14ac:dyDescent="0.2">
      <c r="B149" s="1143"/>
      <c r="AZ149" s="657">
        <v>4</v>
      </c>
      <c r="BA149" s="17">
        <v>0</v>
      </c>
      <c r="BB149" s="17" t="s">
        <v>31</v>
      </c>
      <c r="BC149" s="17">
        <v>1</v>
      </c>
      <c r="BD149" s="17" t="str" cm="1">
        <f t="array" ref="BD149">INDEX(List_comparators,$AZ149)</f>
        <v>lenvatinib_plus_pembrolizumab</v>
      </c>
      <c r="BE149" s="17">
        <f>INDEX(Lists!$L$51:$L$85,MATCH(BD149,Lists!$K$51:$K$85,0))</f>
        <v>3</v>
      </c>
      <c r="BF149" s="17" t="str">
        <f>INDEX(Lists!$S$51:$S$55,3)</f>
        <v>Time to treatment discontinuation</v>
      </c>
      <c r="BG149" s="17">
        <f>INDEX(Lists!$T$51:$T$55,MATCH(BF149,Lists!$S$51:$S$55,0))</f>
        <v>2</v>
      </c>
      <c r="BH149" s="17">
        <f>VLOOKUP(VLOOKUP(BC149,$F$100:$I$103,2,FALSE),Lists!$K$50:$L$63,2,FALSE)</f>
        <v>7</v>
      </c>
      <c r="BI149" s="17" t="str" cm="1">
        <f t="array" ref="BI149">IF(OR(i_TE_sc_PartSA_5y_IO_TKI_OS=1,i_TE_sc_4and6y_IO_TKI_OS_absSurv=1),BT149,IF(OR(i_TE_sc_10y_all_IO=1,i_TE_sc_5and20y_all_IO=1),BS149,IF(i_no_TE_waning=1,"No",INDEX(J$118:J$180,MATCH(1,($BC149=$B$118:$B$180)*($BD149=$F$118:$F$180),0)))))</f>
        <v>Yes</v>
      </c>
      <c r="BJ149" s="17" t="str" cm="1">
        <f t="array" ref="BJ149">IF(i_TE_sc_4and6y_IO_TKI_OS_absSurv=1,BQ149,INDEX(K$118:K$180,MATCH(1,($BC149=$B$118:$B$180)*($BD149=$F$118:$F$180),0)))</f>
        <v>ref trt hazard</v>
      </c>
      <c r="BK149" s="17">
        <f t="shared" si="1"/>
        <v>261</v>
      </c>
      <c r="BL149" s="17">
        <f t="shared" si="2"/>
        <v>261</v>
      </c>
      <c r="BN149" s="274" cm="1">
        <f t="array" ref="BN149">INDEX(V$118:V$180,MATCH(1,($BC149=$B$118:$B$180)*($BD149=$F$118:$F$180),0))</f>
        <v>261</v>
      </c>
      <c r="BO149" s="274" cm="1">
        <f t="array" ref="BO149">INDEX(W$118:W$180,MATCH(1,($BC149=$B$118:$B$180)*($BD149=$F$118:$F$180),0))</f>
        <v>261</v>
      </c>
      <c r="BQ149" s="6" t="s">
        <v>149</v>
      </c>
      <c r="BS149" s="6" t="str" cm="1">
        <f t="array" ref="BS149">IF(AND(BE149=2,BC149=1,OR(i_TE_sc_10y_all_IO=1,i_TE_sc_5and20y_all_IO=1)),"Yes",IF(i_no_TE_waning=1,"No",INDEX(J$118:J$180,MATCH(1,($BC149=$B$118:$B$180)*($BD149=$F$118:$F$180),0))))</f>
        <v>Yes</v>
      </c>
      <c r="BT149" s="274" t="str">
        <f t="shared" si="3"/>
        <v>No</v>
      </c>
    </row>
    <row r="150" spans="2:72" x14ac:dyDescent="0.2">
      <c r="AZ150" s="657">
        <v>5</v>
      </c>
      <c r="BA150" s="17">
        <v>0</v>
      </c>
      <c r="BB150" s="17" t="s">
        <v>31</v>
      </c>
      <c r="BC150" s="17">
        <v>1</v>
      </c>
      <c r="BD150" s="17" t="str" cm="1">
        <f t="array" ref="BD150">INDEX(List_comparators,$AZ150)</f>
        <v>avelumab_plus_axitinib</v>
      </c>
      <c r="BE150" s="17">
        <f>INDEX(Lists!$L$51:$L$85,MATCH(BD150,Lists!$K$51:$K$85,0))</f>
        <v>4</v>
      </c>
      <c r="BF150" s="17" t="str">
        <f>INDEX(Lists!$S$51:$S$55,3)</f>
        <v>Time to treatment discontinuation</v>
      </c>
      <c r="BG150" s="17">
        <f>INDEX(Lists!$T$51:$T$55,MATCH(BF150,Lists!$S$51:$S$55,0))</f>
        <v>2</v>
      </c>
      <c r="BH150" s="17">
        <f>VLOOKUP(VLOOKUP(BC150,$F$100:$I$103,2,FALSE),Lists!$K$50:$L$63,2,FALSE)</f>
        <v>7</v>
      </c>
      <c r="BI150" s="17" t="str" cm="1">
        <f t="array" ref="BI150">IF(OR(i_TE_sc_PartSA_5y_IO_TKI_OS=1,i_TE_sc_4and6y_IO_TKI_OS_absSurv=1),BT150,IF(OR(i_TE_sc_10y_all_IO=1,i_TE_sc_5and20y_all_IO=1),BS150,IF(i_no_TE_waning=1,"No",INDEX(J$118:J$180,MATCH(1,($BC150=$B$118:$B$180)*($BD150=$F$118:$F$180),0)))))</f>
        <v>Yes</v>
      </c>
      <c r="BJ150" s="17" t="str" cm="1">
        <f t="array" ref="BJ150">IF(i_TE_sc_4and6y_IO_TKI_OS_absSurv=1,BQ150,INDEX(K$118:K$180,MATCH(1,($BC150=$B$118:$B$180)*($BD150=$F$118:$F$180),0)))</f>
        <v>ref trt hazard</v>
      </c>
      <c r="BK150" s="17">
        <f t="shared" si="1"/>
        <v>261</v>
      </c>
      <c r="BL150" s="17">
        <f t="shared" si="2"/>
        <v>261</v>
      </c>
      <c r="BN150" s="274" cm="1">
        <f t="array" ref="BN150">INDEX(V$118:V$180,MATCH(1,($BC150=$B$118:$B$180)*($BD150=$F$118:$F$180),0))</f>
        <v>261</v>
      </c>
      <c r="BO150" s="274" cm="1">
        <f t="array" ref="BO150">INDEX(W$118:W$180,MATCH(1,($BC150=$B$118:$B$180)*($BD150=$F$118:$F$180),0))</f>
        <v>261</v>
      </c>
      <c r="BQ150" s="6" t="s">
        <v>149</v>
      </c>
      <c r="BS150" s="6" t="str" cm="1">
        <f t="array" ref="BS150">IF(AND(BE150=2,BC150=1,OR(i_TE_sc_10y_all_IO=1,i_TE_sc_5and20y_all_IO=1)),"Yes",IF(i_no_TE_waning=1,"No",INDEX(J$118:J$180,MATCH(1,($BC150=$B$118:$B$180)*($BD150=$F$118:$F$180),0))))</f>
        <v>Yes</v>
      </c>
      <c r="BT150" s="274" t="str">
        <f t="shared" si="3"/>
        <v>No</v>
      </c>
    </row>
    <row r="151" spans="2:72" x14ac:dyDescent="0.2">
      <c r="B151" s="1143">
        <v>3</v>
      </c>
      <c r="F151" s="1013" t="str" cm="1">
        <f t="array" ref="F151:F164">List_comparators</f>
        <v>nivolumab_monotherapy</v>
      </c>
      <c r="J151" s="652" t="s">
        <v>58</v>
      </c>
      <c r="K151" s="660" t="s">
        <v>149</v>
      </c>
      <c r="L151" s="1144"/>
      <c r="M151" s="1144"/>
      <c r="O151" s="652" t="s">
        <v>58</v>
      </c>
      <c r="P151" s="660" t="s">
        <v>149</v>
      </c>
      <c r="Q151" s="1144"/>
      <c r="R151" s="1144"/>
      <c r="T151" s="652" t="s">
        <v>58</v>
      </c>
      <c r="U151" s="660" t="s">
        <v>149</v>
      </c>
      <c r="V151" s="1144"/>
      <c r="W151" s="1144"/>
      <c r="Y151" s="652" t="s">
        <v>58</v>
      </c>
      <c r="Z151" s="660" t="s">
        <v>149</v>
      </c>
      <c r="AA151" s="1144"/>
      <c r="AB151" s="1144"/>
      <c r="AD151" s="67"/>
      <c r="AE151" s="274"/>
      <c r="AF151" s="274"/>
      <c r="AZ151" s="657">
        <v>6</v>
      </c>
      <c r="BA151" s="17">
        <v>0</v>
      </c>
      <c r="BB151" s="17" t="s">
        <v>31</v>
      </c>
      <c r="BC151" s="17">
        <v>1</v>
      </c>
      <c r="BD151" s="17" t="str" cm="1">
        <f t="array" ref="BD151">INDEX(List_comparators,$AZ151)</f>
        <v>pazopanib</v>
      </c>
      <c r="BE151" s="17">
        <f>INDEX(Lists!$L$51:$L$85,MATCH(BD151,Lists!$K$51:$K$85,0))</f>
        <v>5</v>
      </c>
      <c r="BF151" s="17" t="str">
        <f>INDEX(Lists!$S$51:$S$55,3)</f>
        <v>Time to treatment discontinuation</v>
      </c>
      <c r="BG151" s="17">
        <f>INDEX(Lists!$T$51:$T$55,MATCH(BF151,Lists!$S$51:$S$55,0))</f>
        <v>2</v>
      </c>
      <c r="BH151" s="17">
        <f>VLOOKUP(VLOOKUP(BC151,$F$100:$I$103,2,FALSE),Lists!$K$50:$L$63,2,FALSE)</f>
        <v>7</v>
      </c>
      <c r="BI151" s="17" t="str" cm="1">
        <f t="array" ref="BI151">IF(OR(i_TE_sc_PartSA_5y_IO_TKI_OS=1,i_TE_sc_4and6y_IO_TKI_OS_absSurv=1),BT151,IF(OR(i_TE_sc_10y_all_IO=1,i_TE_sc_5and20y_all_IO=1),BS151,IF(i_no_TE_waning=1,"No",INDEX(J$118:J$180,MATCH(1,($BC151=$B$118:$B$180)*($BD151=$F$118:$F$180),0)))))</f>
        <v>Yes</v>
      </c>
      <c r="BJ151" s="17" t="str" cm="1">
        <f t="array" ref="BJ151">IF(i_TE_sc_4and6y_IO_TKI_OS_absSurv=1,BQ151,INDEX(K$118:K$180,MATCH(1,($BC151=$B$118:$B$180)*($BD151=$F$118:$F$180),0)))</f>
        <v>ref trt hazard</v>
      </c>
      <c r="BK151" s="17">
        <f t="shared" si="1"/>
        <v>261</v>
      </c>
      <c r="BL151" s="17">
        <f t="shared" si="2"/>
        <v>261</v>
      </c>
      <c r="BN151" s="274" cm="1">
        <f t="array" ref="BN151">INDEX(V$118:V$180,MATCH(1,($BC151=$B$118:$B$180)*($BD151=$F$118:$F$180),0))</f>
        <v>261</v>
      </c>
      <c r="BO151" s="274" cm="1">
        <f t="array" ref="BO151">INDEX(W$118:W$180,MATCH(1,($BC151=$B$118:$B$180)*($BD151=$F$118:$F$180),0))</f>
        <v>261</v>
      </c>
      <c r="BQ151" s="6" t="s">
        <v>149</v>
      </c>
      <c r="BS151" s="6" t="str" cm="1">
        <f t="array" ref="BS151">IF(AND(BE151=2,BC151=1,OR(i_TE_sc_10y_all_IO=1,i_TE_sc_5and20y_all_IO=1)),"Yes",IF(i_no_TE_waning=1,"No",INDEX(J$118:J$180,MATCH(1,($BC151=$B$118:$B$180)*($BD151=$F$118:$F$180),0))))</f>
        <v>Yes</v>
      </c>
      <c r="BT151" s="274" t="str">
        <f t="shared" si="3"/>
        <v>No</v>
      </c>
    </row>
    <row r="152" spans="2:72" x14ac:dyDescent="0.2">
      <c r="B152" s="1143">
        <v>3</v>
      </c>
      <c r="F152" s="1013" t="str">
        <v>cabozantinib_plus_nivolumab</v>
      </c>
      <c r="J152" s="652" t="s">
        <v>58</v>
      </c>
      <c r="K152" s="660" t="s">
        <v>149</v>
      </c>
      <c r="L152" s="1144"/>
      <c r="M152" s="1144"/>
      <c r="O152" s="652" t="s">
        <v>58</v>
      </c>
      <c r="P152" s="660" t="s">
        <v>149</v>
      </c>
      <c r="Q152" s="1144"/>
      <c r="R152" s="1144"/>
      <c r="T152" s="652" t="s">
        <v>58</v>
      </c>
      <c r="U152" s="660" t="s">
        <v>149</v>
      </c>
      <c r="V152" s="1144"/>
      <c r="W152" s="1144"/>
      <c r="Y152" s="652" t="s">
        <v>58</v>
      </c>
      <c r="Z152" s="660" t="s">
        <v>149</v>
      </c>
      <c r="AA152" s="1144"/>
      <c r="AB152" s="1144"/>
      <c r="AD152" s="67"/>
      <c r="AE152" s="274"/>
      <c r="AF152" s="274"/>
      <c r="AZ152" s="657">
        <v>7</v>
      </c>
      <c r="BA152" s="17">
        <v>0</v>
      </c>
      <c r="BB152" s="17" t="s">
        <v>31</v>
      </c>
      <c r="BC152" s="17">
        <v>1</v>
      </c>
      <c r="BD152" s="17" t="str" cm="1">
        <f t="array" ref="BD152">INDEX(List_comparators,$AZ152)</f>
        <v>tivozanib</v>
      </c>
      <c r="BE152" s="17">
        <f>INDEX(Lists!$L$51:$L$85,MATCH(BD152,Lists!$K$51:$K$85,0))</f>
        <v>6</v>
      </c>
      <c r="BF152" s="17" t="str">
        <f>INDEX(Lists!$S$51:$S$55,3)</f>
        <v>Time to treatment discontinuation</v>
      </c>
      <c r="BG152" s="17">
        <f>INDEX(Lists!$T$51:$T$55,MATCH(BF152,Lists!$S$51:$S$55,0))</f>
        <v>2</v>
      </c>
      <c r="BH152" s="17">
        <f>VLOOKUP(VLOOKUP(BC152,$F$100:$I$103,2,FALSE),Lists!$K$50:$L$63,2,FALSE)</f>
        <v>7</v>
      </c>
      <c r="BI152" s="17" t="str" cm="1">
        <f t="array" ref="BI152">IF(OR(i_TE_sc_PartSA_5y_IO_TKI_OS=1,i_TE_sc_4and6y_IO_TKI_OS_absSurv=1),BT152,IF(OR(i_TE_sc_10y_all_IO=1,i_TE_sc_5and20y_all_IO=1),BS152,IF(i_no_TE_waning=1,"No",INDEX(J$118:J$180,MATCH(1,($BC152=$B$118:$B$180)*($BD152=$F$118:$F$180),0)))))</f>
        <v>Yes</v>
      </c>
      <c r="BJ152" s="17" t="str" cm="1">
        <f t="array" ref="BJ152">IF(i_TE_sc_4and6y_IO_TKI_OS_absSurv=1,BQ152,INDEX(K$118:K$180,MATCH(1,($BC152=$B$118:$B$180)*($BD152=$F$118:$F$180),0)))</f>
        <v>ref trt hazard</v>
      </c>
      <c r="BK152" s="17">
        <f t="shared" si="1"/>
        <v>261</v>
      </c>
      <c r="BL152" s="17">
        <f t="shared" si="2"/>
        <v>261</v>
      </c>
      <c r="BN152" s="274" cm="1">
        <f t="array" ref="BN152">INDEX(V$118:V$180,MATCH(1,($BC152=$B$118:$B$180)*($BD152=$F$118:$F$180),0))</f>
        <v>261</v>
      </c>
      <c r="BO152" s="274" cm="1">
        <f t="array" ref="BO152">INDEX(W$118:W$180,MATCH(1,($BC152=$B$118:$B$180)*($BD152=$F$118:$F$180),0))</f>
        <v>261</v>
      </c>
      <c r="BQ152" s="6" t="s">
        <v>149</v>
      </c>
      <c r="BS152" s="6" t="str" cm="1">
        <f t="array" ref="BS152">IF(AND(BE152=2,BC152=1,OR(i_TE_sc_10y_all_IO=1,i_TE_sc_5and20y_all_IO=1)),"Yes",IF(i_no_TE_waning=1,"No",INDEX(J$118:J$180,MATCH(1,($BC152=$B$118:$B$180)*($BD152=$F$118:$F$180),0))))</f>
        <v>Yes</v>
      </c>
      <c r="BT152" s="274" t="str">
        <f t="shared" si="3"/>
        <v>No</v>
      </c>
    </row>
    <row r="153" spans="2:72" x14ac:dyDescent="0.2">
      <c r="B153" s="1143">
        <v>3</v>
      </c>
      <c r="F153" s="1013" t="str">
        <v>nivolumab_plus_ipilimumab</v>
      </c>
      <c r="J153" s="652" t="s">
        <v>58</v>
      </c>
      <c r="K153" s="660" t="s">
        <v>149</v>
      </c>
      <c r="L153" s="1144"/>
      <c r="M153" s="1144"/>
      <c r="O153" s="652" t="s">
        <v>58</v>
      </c>
      <c r="P153" s="660" t="s">
        <v>149</v>
      </c>
      <c r="Q153" s="1144"/>
      <c r="R153" s="1144"/>
      <c r="T153" s="652" t="s">
        <v>58</v>
      </c>
      <c r="U153" s="660" t="s">
        <v>149</v>
      </c>
      <c r="V153" s="1144"/>
      <c r="W153" s="1144"/>
      <c r="Y153" s="652" t="s">
        <v>58</v>
      </c>
      <c r="Z153" s="660" t="s">
        <v>149</v>
      </c>
      <c r="AA153" s="1144"/>
      <c r="AB153" s="1144"/>
      <c r="AD153" s="67"/>
      <c r="AE153" s="274"/>
      <c r="AF153" s="274"/>
      <c r="AZ153" s="657">
        <v>8</v>
      </c>
      <c r="BA153" s="17">
        <v>0</v>
      </c>
      <c r="BB153" s="17" t="s">
        <v>31</v>
      </c>
      <c r="BC153" s="17">
        <v>1</v>
      </c>
      <c r="BD153" s="17" t="str" cm="1">
        <f t="array" ref="BD153">INDEX(List_comparators,$AZ153)</f>
        <v>sunitinib</v>
      </c>
      <c r="BE153" s="17">
        <f>INDEX(Lists!$L$51:$L$85,MATCH(BD153,Lists!$K$51:$K$85,0))</f>
        <v>7</v>
      </c>
      <c r="BF153" s="17" t="str">
        <f>INDEX(Lists!$S$51:$S$55,3)</f>
        <v>Time to treatment discontinuation</v>
      </c>
      <c r="BG153" s="17">
        <f>INDEX(Lists!$T$51:$T$55,MATCH(BF153,Lists!$S$51:$S$55,0))</f>
        <v>2</v>
      </c>
      <c r="BH153" s="17">
        <f>VLOOKUP(VLOOKUP(BC153,$F$100:$I$103,2,FALSE),Lists!$K$50:$L$63,2,FALSE)</f>
        <v>7</v>
      </c>
      <c r="BI153" s="17" t="str" cm="1">
        <f t="array" ref="BI153">IF(OR(i_TE_sc_PartSA_5y_IO_TKI_OS=1,i_TE_sc_4and6y_IO_TKI_OS_absSurv=1),BT153,IF(OR(i_TE_sc_10y_all_IO=1,i_TE_sc_5and20y_all_IO=1),BS153,IF(i_no_TE_waning=1,"No",INDEX(J$118:J$180,MATCH(1,($BC153=$B$118:$B$180)*($BD153=$F$118:$F$180),0)))))</f>
        <v>Yes</v>
      </c>
      <c r="BJ153" s="17" t="str" cm="1">
        <f t="array" ref="BJ153">IF(i_TE_sc_4and6y_IO_TKI_OS_absSurv=1,BQ153,INDEX(K$118:K$180,MATCH(1,($BC153=$B$118:$B$180)*($BD153=$F$118:$F$180),0)))</f>
        <v>ref trt hazard</v>
      </c>
      <c r="BK153" s="17">
        <f t="shared" si="1"/>
        <v>261</v>
      </c>
      <c r="BL153" s="17">
        <f t="shared" si="2"/>
        <v>261</v>
      </c>
      <c r="BN153" s="274" cm="1">
        <f t="array" ref="BN153">INDEX(V$118:V$180,MATCH(1,($BC153=$B$118:$B$180)*($BD153=$F$118:$F$180),0))</f>
        <v>261</v>
      </c>
      <c r="BO153" s="274" cm="1">
        <f t="array" ref="BO153">INDEX(W$118:W$180,MATCH(1,($BC153=$B$118:$B$180)*($BD153=$F$118:$F$180),0))</f>
        <v>261</v>
      </c>
      <c r="BQ153" s="6" t="s">
        <v>149</v>
      </c>
      <c r="BS153" s="6" t="str" cm="1">
        <f t="array" ref="BS153">IF(AND(BE153=2,BC153=1,OR(i_TE_sc_10y_all_IO=1,i_TE_sc_5and20y_all_IO=1)),"Yes",IF(i_no_TE_waning=1,"No",INDEX(J$118:J$180,MATCH(1,($BC153=$B$118:$B$180)*($BD153=$F$118:$F$180),0))))</f>
        <v>Yes</v>
      </c>
      <c r="BT153" s="274" t="str">
        <f t="shared" si="3"/>
        <v>No</v>
      </c>
    </row>
    <row r="154" spans="2:72" x14ac:dyDescent="0.2">
      <c r="B154" s="1143">
        <v>3</v>
      </c>
      <c r="F154" s="1013" t="str">
        <v>lenvatinib_plus_pembrolizumab</v>
      </c>
      <c r="J154" s="652" t="s">
        <v>58</v>
      </c>
      <c r="K154" s="660" t="s">
        <v>149</v>
      </c>
      <c r="L154" s="1144"/>
      <c r="M154" s="1144"/>
      <c r="O154" s="652" t="s">
        <v>58</v>
      </c>
      <c r="P154" s="660" t="s">
        <v>149</v>
      </c>
      <c r="Q154" s="1144"/>
      <c r="R154" s="1144"/>
      <c r="T154" s="652" t="s">
        <v>58</v>
      </c>
      <c r="U154" s="660" t="s">
        <v>149</v>
      </c>
      <c r="V154" s="1144"/>
      <c r="W154" s="1144"/>
      <c r="Y154" s="652" t="s">
        <v>58</v>
      </c>
      <c r="Z154" s="660" t="s">
        <v>149</v>
      </c>
      <c r="AA154" s="1144"/>
      <c r="AB154" s="1144"/>
      <c r="AD154" s="67"/>
      <c r="AE154" s="274"/>
      <c r="AF154" s="274"/>
      <c r="AZ154" s="657">
        <v>9</v>
      </c>
      <c r="BA154" s="17">
        <v>0</v>
      </c>
      <c r="BB154" s="17" t="s">
        <v>31</v>
      </c>
      <c r="BC154" s="17">
        <v>1</v>
      </c>
      <c r="BD154" s="17" t="str" cm="1">
        <f t="array" ref="BD154">INDEX(List_comparators,$AZ154)</f>
        <v>cabozantinib</v>
      </c>
      <c r="BE154" s="17">
        <f>INDEX(Lists!$L$51:$L$85,MATCH(BD154,Lists!$K$51:$K$85,0))</f>
        <v>8</v>
      </c>
      <c r="BF154" s="17" t="str">
        <f>INDEX(Lists!$S$51:$S$55,3)</f>
        <v>Time to treatment discontinuation</v>
      </c>
      <c r="BG154" s="17">
        <f>INDEX(Lists!$T$51:$T$55,MATCH(BF154,Lists!$S$51:$S$55,0))</f>
        <v>2</v>
      </c>
      <c r="BH154" s="17">
        <f>VLOOKUP(VLOOKUP(BC154,$F$100:$I$103,2,FALSE),Lists!$K$50:$L$63,2,FALSE)</f>
        <v>7</v>
      </c>
      <c r="BI154" s="17" t="str" cm="1">
        <f t="array" ref="BI154">IF(OR(i_TE_sc_PartSA_5y_IO_TKI_OS=1,i_TE_sc_4and6y_IO_TKI_OS_absSurv=1),BT154,IF(OR(i_TE_sc_10y_all_IO=1,i_TE_sc_5and20y_all_IO=1),BS154,IF(i_no_TE_waning=1,"No",INDEX(J$118:J$180,MATCH(1,($BC154=$B$118:$B$180)*($BD154=$F$118:$F$180),0)))))</f>
        <v>Yes</v>
      </c>
      <c r="BJ154" s="17" t="str" cm="1">
        <f t="array" ref="BJ154">IF(i_TE_sc_4and6y_IO_TKI_OS_absSurv=1,BQ154,INDEX(K$118:K$180,MATCH(1,($BC154=$B$118:$B$180)*($BD154=$F$118:$F$180),0)))</f>
        <v>ref trt hazard</v>
      </c>
      <c r="BK154" s="17">
        <f t="shared" si="1"/>
        <v>261</v>
      </c>
      <c r="BL154" s="17">
        <f t="shared" si="2"/>
        <v>261</v>
      </c>
      <c r="BN154" s="274" cm="1">
        <f t="array" ref="BN154">INDEX(V$118:V$180,MATCH(1,($BC154=$B$118:$B$180)*($BD154=$F$118:$F$180),0))</f>
        <v>261</v>
      </c>
      <c r="BO154" s="274" cm="1">
        <f t="array" ref="BO154">INDEX(W$118:W$180,MATCH(1,($BC154=$B$118:$B$180)*($BD154=$F$118:$F$180),0))</f>
        <v>261</v>
      </c>
      <c r="BQ154" s="6" t="s">
        <v>149</v>
      </c>
      <c r="BS154" s="6" t="str" cm="1">
        <f t="array" ref="BS154">IF(AND(BE154=2,BC154=1,OR(i_TE_sc_10y_all_IO=1,i_TE_sc_5and20y_all_IO=1)),"Yes",IF(i_no_TE_waning=1,"No",INDEX(J$118:J$180,MATCH(1,($BC154=$B$118:$B$180)*($BD154=$F$118:$F$180),0))))</f>
        <v>Yes</v>
      </c>
      <c r="BT154" s="274" t="str">
        <f t="shared" si="3"/>
        <v>No</v>
      </c>
    </row>
    <row r="155" spans="2:72" x14ac:dyDescent="0.2">
      <c r="B155" s="1143">
        <v>3</v>
      </c>
      <c r="F155" s="1013" t="str">
        <v>avelumab_plus_axitinib</v>
      </c>
      <c r="J155" s="652" t="s">
        <v>58</v>
      </c>
      <c r="K155" s="660" t="s">
        <v>149</v>
      </c>
      <c r="L155" s="1144"/>
      <c r="M155" s="1144"/>
      <c r="O155" s="652" t="s">
        <v>58</v>
      </c>
      <c r="P155" s="660" t="s">
        <v>149</v>
      </c>
      <c r="Q155" s="1144"/>
      <c r="R155" s="1144"/>
      <c r="T155" s="652" t="s">
        <v>58</v>
      </c>
      <c r="U155" s="660" t="s">
        <v>149</v>
      </c>
      <c r="V155" s="1144"/>
      <c r="W155" s="1144"/>
      <c r="Y155" s="652" t="s">
        <v>58</v>
      </c>
      <c r="Z155" s="660" t="s">
        <v>149</v>
      </c>
      <c r="AA155" s="1144"/>
      <c r="AB155" s="1144"/>
      <c r="AD155" s="67"/>
      <c r="AE155" s="274"/>
      <c r="AF155" s="274"/>
      <c r="AZ155" s="657">
        <v>10</v>
      </c>
      <c r="BA155" s="17">
        <v>0</v>
      </c>
      <c r="BB155" s="17" t="s">
        <v>31</v>
      </c>
      <c r="BC155" s="17">
        <v>1</v>
      </c>
      <c r="BD155" s="17" t="str" cm="1">
        <f t="array" ref="BD155">INDEX(List_comparators,$AZ155)</f>
        <v>lenvatinib_plus_everolimus</v>
      </c>
      <c r="BE155" s="17">
        <f>INDEX(Lists!$L$51:$L$85,MATCH(BD155,Lists!$K$51:$K$85,0))</f>
        <v>9</v>
      </c>
      <c r="BF155" s="17" t="str">
        <f>INDEX(Lists!$S$51:$S$55,3)</f>
        <v>Time to treatment discontinuation</v>
      </c>
      <c r="BG155" s="17">
        <f>INDEX(Lists!$T$51:$T$55,MATCH(BF155,Lists!$S$51:$S$55,0))</f>
        <v>2</v>
      </c>
      <c r="BH155" s="17">
        <f>VLOOKUP(VLOOKUP(BC155,$F$100:$I$103,2,FALSE),Lists!$K$50:$L$63,2,FALSE)</f>
        <v>7</v>
      </c>
      <c r="BI155" s="17" t="str" cm="1">
        <f t="array" ref="BI155">IF(OR(i_TE_sc_PartSA_5y_IO_TKI_OS=1,i_TE_sc_4and6y_IO_TKI_OS_absSurv=1),BT155,IF(OR(i_TE_sc_10y_all_IO=1,i_TE_sc_5and20y_all_IO=1),BS155,IF(i_no_TE_waning=1,"No",INDEX(J$118:J$180,MATCH(1,($BC155=$B$118:$B$180)*($BD155=$F$118:$F$180),0)))))</f>
        <v>No</v>
      </c>
      <c r="BJ155" s="17" t="str" cm="1">
        <f t="array" ref="BJ155">IF(i_TE_sc_4and6y_IO_TKI_OS_absSurv=1,BQ155,INDEX(K$118:K$180,MATCH(1,($BC155=$B$118:$B$180)*($BD155=$F$118:$F$180),0)))</f>
        <v>ref trt hazard</v>
      </c>
      <c r="BK155" s="17">
        <f t="shared" si="1"/>
        <v>0</v>
      </c>
      <c r="BL155" s="17">
        <f t="shared" si="2"/>
        <v>0</v>
      </c>
      <c r="BN155" s="274" cm="1">
        <f t="array" ref="BN155">INDEX(V$118:V$180,MATCH(1,($BC155=$B$118:$B$180)*($BD155=$F$118:$F$180),0))</f>
        <v>0</v>
      </c>
      <c r="BO155" s="274" cm="1">
        <f t="array" ref="BO155">INDEX(W$118:W$180,MATCH(1,($BC155=$B$118:$B$180)*($BD155=$F$118:$F$180),0))</f>
        <v>0</v>
      </c>
      <c r="BQ155" s="6" t="s">
        <v>149</v>
      </c>
      <c r="BS155" s="6" t="str" cm="1">
        <f t="array" ref="BS155">IF(AND(BE155=2,BC155=1,OR(i_TE_sc_10y_all_IO=1,i_TE_sc_5and20y_all_IO=1)),"Yes",IF(i_no_TE_waning=1,"No",INDEX(J$118:J$180,MATCH(1,($BC155=$B$118:$B$180)*($BD155=$F$118:$F$180),0))))</f>
        <v>No</v>
      </c>
      <c r="BT155" s="274" t="str">
        <f t="shared" si="3"/>
        <v>No</v>
      </c>
    </row>
    <row r="156" spans="2:72" x14ac:dyDescent="0.2">
      <c r="B156" s="1143">
        <v>3</v>
      </c>
      <c r="F156" s="1013" t="str">
        <v>pazopanib</v>
      </c>
      <c r="J156" s="652" t="s">
        <v>58</v>
      </c>
      <c r="K156" s="660" t="s">
        <v>149</v>
      </c>
      <c r="L156" s="1144"/>
      <c r="M156" s="1144"/>
      <c r="O156" s="652" t="s">
        <v>58</v>
      </c>
      <c r="P156" s="660" t="s">
        <v>149</v>
      </c>
      <c r="Q156" s="1144"/>
      <c r="R156" s="1144"/>
      <c r="T156" s="652" t="s">
        <v>58</v>
      </c>
      <c r="U156" s="660" t="s">
        <v>149</v>
      </c>
      <c r="V156" s="1144"/>
      <c r="W156" s="1144"/>
      <c r="Y156" s="652" t="s">
        <v>58</v>
      </c>
      <c r="Z156" s="660" t="s">
        <v>149</v>
      </c>
      <c r="AA156" s="1144"/>
      <c r="AB156" s="1144"/>
      <c r="AD156" s="67"/>
      <c r="AE156" s="274"/>
      <c r="AF156" s="274"/>
      <c r="AZ156" s="657">
        <v>11</v>
      </c>
      <c r="BA156" s="17">
        <v>0</v>
      </c>
      <c r="BB156" s="17" t="s">
        <v>31</v>
      </c>
      <c r="BC156" s="17">
        <v>1</v>
      </c>
      <c r="BD156" s="17" t="str" cm="1">
        <f t="array" ref="BD156">INDEX(List_comparators,$AZ156)</f>
        <v>everolimus</v>
      </c>
      <c r="BE156" s="17">
        <f>INDEX(Lists!$L$51:$L$85,MATCH(BD156,Lists!$K$51:$K$85,0))</f>
        <v>10</v>
      </c>
      <c r="BF156" s="17" t="str">
        <f>INDEX(Lists!$S$51:$S$55,3)</f>
        <v>Time to treatment discontinuation</v>
      </c>
      <c r="BG156" s="17">
        <f>INDEX(Lists!$T$51:$T$55,MATCH(BF156,Lists!$S$51:$S$55,0))</f>
        <v>2</v>
      </c>
      <c r="BH156" s="17">
        <f>VLOOKUP(VLOOKUP(BC156,$F$100:$I$103,2,FALSE),Lists!$K$50:$L$63,2,FALSE)</f>
        <v>7</v>
      </c>
      <c r="BI156" s="17" t="str" cm="1">
        <f t="array" ref="BI156">IF(OR(i_TE_sc_PartSA_5y_IO_TKI_OS=1,i_TE_sc_4and6y_IO_TKI_OS_absSurv=1),BT156,IF(OR(i_TE_sc_10y_all_IO=1,i_TE_sc_5and20y_all_IO=1),BS156,IF(i_no_TE_waning=1,"No",INDEX(J$118:J$180,MATCH(1,($BC156=$B$118:$B$180)*($BD156=$F$118:$F$180),0)))))</f>
        <v>No</v>
      </c>
      <c r="BJ156" s="17" t="str" cm="1">
        <f t="array" ref="BJ156">IF(i_TE_sc_4and6y_IO_TKI_OS_absSurv=1,BQ156,INDEX(K$118:K$180,MATCH(1,($BC156=$B$118:$B$180)*($BD156=$F$118:$F$180),0)))</f>
        <v>ref trt hazard</v>
      </c>
      <c r="BK156" s="17">
        <f t="shared" si="1"/>
        <v>0</v>
      </c>
      <c r="BL156" s="17">
        <f t="shared" si="2"/>
        <v>0</v>
      </c>
      <c r="BN156" s="274" cm="1">
        <f t="array" ref="BN156">INDEX(V$118:V$180,MATCH(1,($BC156=$B$118:$B$180)*($BD156=$F$118:$F$180),0))</f>
        <v>0</v>
      </c>
      <c r="BO156" s="274" cm="1">
        <f t="array" ref="BO156">INDEX(W$118:W$180,MATCH(1,($BC156=$B$118:$B$180)*($BD156=$F$118:$F$180),0))</f>
        <v>0</v>
      </c>
      <c r="BQ156" s="6" t="s">
        <v>149</v>
      </c>
      <c r="BS156" s="6" t="str" cm="1">
        <f t="array" ref="BS156">IF(AND(BE156=2,BC156=1,OR(i_TE_sc_10y_all_IO=1,i_TE_sc_5and20y_all_IO=1)),"Yes",IF(i_no_TE_waning=1,"No",INDEX(J$118:J$180,MATCH(1,($BC156=$B$118:$B$180)*($BD156=$F$118:$F$180),0))))</f>
        <v>No</v>
      </c>
      <c r="BT156" s="274" t="str">
        <f t="shared" si="3"/>
        <v>No</v>
      </c>
    </row>
    <row r="157" spans="2:72" x14ac:dyDescent="0.2">
      <c r="B157" s="1143">
        <v>3</v>
      </c>
      <c r="F157" s="1013" t="str">
        <v>tivozanib</v>
      </c>
      <c r="J157" s="652" t="s">
        <v>58</v>
      </c>
      <c r="K157" s="660" t="s">
        <v>149</v>
      </c>
      <c r="L157" s="1144"/>
      <c r="M157" s="1144"/>
      <c r="O157" s="652" t="s">
        <v>58</v>
      </c>
      <c r="P157" s="660" t="s">
        <v>149</v>
      </c>
      <c r="Q157" s="1144"/>
      <c r="R157" s="1144"/>
      <c r="T157" s="652" t="s">
        <v>58</v>
      </c>
      <c r="U157" s="660" t="s">
        <v>149</v>
      </c>
      <c r="V157" s="1144"/>
      <c r="W157" s="1144"/>
      <c r="Y157" s="652" t="s">
        <v>58</v>
      </c>
      <c r="Z157" s="660" t="s">
        <v>149</v>
      </c>
      <c r="AA157" s="1144"/>
      <c r="AB157" s="1144"/>
      <c r="AD157" s="67"/>
      <c r="AE157" s="274"/>
      <c r="AF157" s="274"/>
      <c r="AZ157" s="657">
        <v>12</v>
      </c>
      <c r="BA157" s="17">
        <v>0</v>
      </c>
      <c r="BB157" s="17" t="s">
        <v>31</v>
      </c>
      <c r="BC157" s="17">
        <v>1</v>
      </c>
      <c r="BD157" s="17" t="str" cm="1">
        <f t="array" ref="BD157">INDEX(List_comparators,$AZ157)</f>
        <v>axitinib</v>
      </c>
      <c r="BE157" s="17">
        <f>INDEX(Lists!$L$51:$L$85,MATCH(BD157,Lists!$K$51:$K$85,0))</f>
        <v>11</v>
      </c>
      <c r="BF157" s="17" t="str">
        <f>INDEX(Lists!$S$51:$S$55,3)</f>
        <v>Time to treatment discontinuation</v>
      </c>
      <c r="BG157" s="17">
        <f>INDEX(Lists!$T$51:$T$55,MATCH(BF157,Lists!$S$51:$S$55,0))</f>
        <v>2</v>
      </c>
      <c r="BH157" s="17">
        <f>VLOOKUP(VLOOKUP(BC157,$F$100:$I$103,2,FALSE),Lists!$K$50:$L$63,2,FALSE)</f>
        <v>7</v>
      </c>
      <c r="BI157" s="17" t="str" cm="1">
        <f t="array" ref="BI157">IF(OR(i_TE_sc_PartSA_5y_IO_TKI_OS=1,i_TE_sc_4and6y_IO_TKI_OS_absSurv=1),BT157,IF(OR(i_TE_sc_10y_all_IO=1,i_TE_sc_5and20y_all_IO=1),BS157,IF(i_no_TE_waning=1,"No",INDEX(J$118:J$180,MATCH(1,($BC157=$B$118:$B$180)*($BD157=$F$118:$F$180),0)))))</f>
        <v>No</v>
      </c>
      <c r="BJ157" s="17" t="str" cm="1">
        <f t="array" ref="BJ157">IF(i_TE_sc_4and6y_IO_TKI_OS_absSurv=1,BQ157,INDEX(K$118:K$180,MATCH(1,($BC157=$B$118:$B$180)*($BD157=$F$118:$F$180),0)))</f>
        <v>ref trt hazard</v>
      </c>
      <c r="BK157" s="17">
        <f t="shared" si="1"/>
        <v>0</v>
      </c>
      <c r="BL157" s="17">
        <f t="shared" si="2"/>
        <v>0</v>
      </c>
      <c r="BN157" s="274" cm="1">
        <f t="array" ref="BN157">INDEX(V$118:V$180,MATCH(1,($BC157=$B$118:$B$180)*($BD157=$F$118:$F$180),0))</f>
        <v>0</v>
      </c>
      <c r="BO157" s="274" cm="1">
        <f t="array" ref="BO157">INDEX(W$118:W$180,MATCH(1,($BC157=$B$118:$B$180)*($BD157=$F$118:$F$180),0))</f>
        <v>0</v>
      </c>
      <c r="BQ157" s="6" t="s">
        <v>149</v>
      </c>
      <c r="BS157" s="6" t="str" cm="1">
        <f t="array" ref="BS157">IF(AND(BE157=2,BC157=1,OR(i_TE_sc_10y_all_IO=1,i_TE_sc_5and20y_all_IO=1)),"Yes",IF(i_no_TE_waning=1,"No",INDEX(J$118:J$180,MATCH(1,($BC157=$B$118:$B$180)*($BD157=$F$118:$F$180),0))))</f>
        <v>No</v>
      </c>
      <c r="BT157" s="274" t="str">
        <f t="shared" si="3"/>
        <v>No</v>
      </c>
    </row>
    <row r="158" spans="2:72" x14ac:dyDescent="0.2">
      <c r="B158" s="1143">
        <v>3</v>
      </c>
      <c r="F158" s="1013" t="str">
        <v>sunitinib</v>
      </c>
      <c r="J158" s="652" t="s">
        <v>58</v>
      </c>
      <c r="K158" s="660" t="s">
        <v>149</v>
      </c>
      <c r="L158" s="1144"/>
      <c r="M158" s="1144"/>
      <c r="O158" s="652" t="s">
        <v>58</v>
      </c>
      <c r="P158" s="660" t="s">
        <v>149</v>
      </c>
      <c r="Q158" s="1144"/>
      <c r="R158" s="1144"/>
      <c r="T158" s="652" t="s">
        <v>58</v>
      </c>
      <c r="U158" s="660" t="s">
        <v>149</v>
      </c>
      <c r="V158" s="1144"/>
      <c r="W158" s="1144"/>
      <c r="Y158" s="652" t="s">
        <v>58</v>
      </c>
      <c r="Z158" s="660" t="s">
        <v>149</v>
      </c>
      <c r="AA158" s="1144"/>
      <c r="AB158" s="1144"/>
      <c r="AD158" s="67"/>
      <c r="AE158" s="274"/>
      <c r="AF158" s="274"/>
      <c r="AZ158" s="657">
        <v>13</v>
      </c>
      <c r="BA158" s="17">
        <v>0</v>
      </c>
      <c r="BB158" s="17" t="s">
        <v>31</v>
      </c>
      <c r="BC158" s="17">
        <v>1</v>
      </c>
      <c r="BD158" s="17" t="str" cm="1">
        <f t="array" ref="BD158">INDEX(List_comparators,$AZ158)</f>
        <v>sorafenib</v>
      </c>
      <c r="BE158" s="17">
        <f>INDEX(Lists!$L$51:$L$85,MATCH(BD158,Lists!$K$51:$K$85,0))</f>
        <v>12</v>
      </c>
      <c r="BF158" s="17" t="str">
        <f>INDEX(Lists!$S$51:$S$55,3)</f>
        <v>Time to treatment discontinuation</v>
      </c>
      <c r="BG158" s="17">
        <f>INDEX(Lists!$T$51:$T$55,MATCH(BF158,Lists!$S$51:$S$55,0))</f>
        <v>2</v>
      </c>
      <c r="BH158" s="17">
        <f>VLOOKUP(VLOOKUP(BC158,$F$100:$I$103,2,FALSE),Lists!$K$50:$L$63,2,FALSE)</f>
        <v>7</v>
      </c>
      <c r="BI158" s="17" t="str" cm="1">
        <f t="array" ref="BI158">IF(OR(i_TE_sc_PartSA_5y_IO_TKI_OS=1,i_TE_sc_4and6y_IO_TKI_OS_absSurv=1),BT158,IF(OR(i_TE_sc_10y_all_IO=1,i_TE_sc_5and20y_all_IO=1),BS158,IF(i_no_TE_waning=1,"No",INDEX(J$118:J$180,MATCH(1,($BC158=$B$118:$B$180)*($BD158=$F$118:$F$180),0)))))</f>
        <v>No</v>
      </c>
      <c r="BJ158" s="17" t="str" cm="1">
        <f t="array" ref="BJ158">IF(i_TE_sc_4and6y_IO_TKI_OS_absSurv=1,BQ158,INDEX(K$118:K$180,MATCH(1,($BC158=$B$118:$B$180)*($BD158=$F$118:$F$180),0)))</f>
        <v>ref trt hazard</v>
      </c>
      <c r="BK158" s="17">
        <f t="shared" si="1"/>
        <v>0</v>
      </c>
      <c r="BL158" s="17">
        <f t="shared" si="2"/>
        <v>0</v>
      </c>
      <c r="BN158" s="274" cm="1">
        <f t="array" ref="BN158">INDEX(V$118:V$180,MATCH(1,($BC158=$B$118:$B$180)*($BD158=$F$118:$F$180),0))</f>
        <v>0</v>
      </c>
      <c r="BO158" s="274" cm="1">
        <f t="array" ref="BO158">INDEX(W$118:W$180,MATCH(1,($BC158=$B$118:$B$180)*($BD158=$F$118:$F$180),0))</f>
        <v>0</v>
      </c>
      <c r="BQ158" s="6" t="s">
        <v>149</v>
      </c>
      <c r="BS158" s="6" t="str" cm="1">
        <f t="array" ref="BS158">IF(AND(BE158=2,BC158=1,OR(i_TE_sc_10y_all_IO=1,i_TE_sc_5and20y_all_IO=1)),"Yes",IF(i_no_TE_waning=1,"No",INDEX(J$118:J$180,MATCH(1,($BC158=$B$118:$B$180)*($BD158=$F$118:$F$180),0))))</f>
        <v>No</v>
      </c>
      <c r="BT158" s="274" t="str">
        <f t="shared" si="3"/>
        <v>No</v>
      </c>
    </row>
    <row r="159" spans="2:72" x14ac:dyDescent="0.2">
      <c r="B159" s="1143">
        <v>3</v>
      </c>
      <c r="F159" s="1013" t="str">
        <v>cabozantinib</v>
      </c>
      <c r="J159" s="652" t="s">
        <v>58</v>
      </c>
      <c r="K159" s="660" t="s">
        <v>149</v>
      </c>
      <c r="L159" s="1144"/>
      <c r="M159" s="1144"/>
      <c r="O159" s="652" t="s">
        <v>58</v>
      </c>
      <c r="P159" s="660" t="s">
        <v>149</v>
      </c>
      <c r="Q159" s="1144"/>
      <c r="R159" s="1144"/>
      <c r="T159" s="652" t="s">
        <v>58</v>
      </c>
      <c r="U159" s="660" t="s">
        <v>149</v>
      </c>
      <c r="V159" s="1144"/>
      <c r="W159" s="1144"/>
      <c r="Y159" s="652" t="s">
        <v>58</v>
      </c>
      <c r="Z159" s="660" t="s">
        <v>149</v>
      </c>
      <c r="AA159" s="1144"/>
      <c r="AB159" s="1144"/>
      <c r="AD159" s="67"/>
      <c r="AE159" s="274"/>
      <c r="AF159" s="274"/>
      <c r="AZ159" s="657">
        <v>14</v>
      </c>
      <c r="BA159" s="17">
        <v>0</v>
      </c>
      <c r="BB159" s="17" t="s">
        <v>31</v>
      </c>
      <c r="BC159" s="17">
        <v>1</v>
      </c>
      <c r="BD159" s="17" t="str" cm="1">
        <f t="array" ref="BD159">INDEX(List_comparators,$AZ159)</f>
        <v>placebo_BSC</v>
      </c>
      <c r="BE159" s="17">
        <f>INDEX(Lists!$L$51:$L$85,MATCH(BD159,Lists!$K$51:$K$85,0))</f>
        <v>999</v>
      </c>
      <c r="BF159" s="17" t="str">
        <f>INDEX(Lists!$S$51:$S$55,3)</f>
        <v>Time to treatment discontinuation</v>
      </c>
      <c r="BG159" s="17">
        <f>INDEX(Lists!$T$51:$T$55,MATCH(BF159,Lists!$S$51:$S$55,0))</f>
        <v>2</v>
      </c>
      <c r="BH159" s="17">
        <f>VLOOKUP(VLOOKUP(BC159,$F$100:$I$103,2,FALSE),Lists!$K$50:$L$63,2,FALSE)</f>
        <v>7</v>
      </c>
      <c r="BI159" s="17" t="str" cm="1">
        <f t="array" ref="BI159">IF(OR(i_TE_sc_PartSA_5y_IO_TKI_OS=1,i_TE_sc_4and6y_IO_TKI_OS_absSurv=1),BT159,IF(OR(i_TE_sc_10y_all_IO=1,i_TE_sc_5and20y_all_IO=1),BS159,IF(i_no_TE_waning=1,"No",INDEX(J$118:J$180,MATCH(1,($BC159=$B$118:$B$180)*($BD159=$F$118:$F$180),0)))))</f>
        <v>No</v>
      </c>
      <c r="BJ159" s="17" cm="1">
        <f t="array" ref="BJ159">IF(i_TE_sc_4and6y_IO_TKI_OS_absSurv=1,BQ159,INDEX(K$118:K$180,MATCH(1,($BC159=$B$118:$B$180)*($BD159=$F$118:$F$180),0)))</f>
        <v>0</v>
      </c>
      <c r="BK159" s="17">
        <f t="shared" si="1"/>
        <v>0</v>
      </c>
      <c r="BL159" s="17">
        <f t="shared" si="2"/>
        <v>0</v>
      </c>
      <c r="BN159" s="274" cm="1">
        <f t="array" ref="BN159">INDEX(V$118:V$180,MATCH(1,($BC159=$B$118:$B$180)*($BD159=$F$118:$F$180),0))</f>
        <v>0</v>
      </c>
      <c r="BO159" s="274" cm="1">
        <f t="array" ref="BO159">INDEX(W$118:W$180,MATCH(1,($BC159=$B$118:$B$180)*($BD159=$F$118:$F$180),0))</f>
        <v>0</v>
      </c>
      <c r="BS159" s="6" t="str" cm="1">
        <f t="array" ref="BS159">IF(AND(BE159=2,BC159=1,OR(i_TE_sc_10y_all_IO=1,i_TE_sc_5and20y_all_IO=1)),"Yes",IF(i_no_TE_waning=1,"No",INDEX(J$118:J$180,MATCH(1,($BC159=$B$118:$B$180)*($BD159=$F$118:$F$180),0))))</f>
        <v>No</v>
      </c>
      <c r="BT159" s="274" t="str">
        <f t="shared" si="3"/>
        <v>No</v>
      </c>
    </row>
    <row r="160" spans="2:72" x14ac:dyDescent="0.2">
      <c r="B160" s="1143">
        <v>3</v>
      </c>
      <c r="F160" s="1013" t="str">
        <v>lenvatinib_plus_everolimus</v>
      </c>
      <c r="J160" s="652" t="s">
        <v>58</v>
      </c>
      <c r="K160" s="660" t="s">
        <v>149</v>
      </c>
      <c r="L160" s="1144"/>
      <c r="M160" s="1144"/>
      <c r="O160" s="652" t="s">
        <v>58</v>
      </c>
      <c r="P160" s="660" t="s">
        <v>149</v>
      </c>
      <c r="Q160" s="1144"/>
      <c r="R160" s="1144"/>
      <c r="T160" s="652" t="s">
        <v>58</v>
      </c>
      <c r="U160" s="660" t="s">
        <v>149</v>
      </c>
      <c r="V160" s="1144"/>
      <c r="W160" s="1144"/>
      <c r="Y160" s="652" t="s">
        <v>58</v>
      </c>
      <c r="Z160" s="660" t="s">
        <v>149</v>
      </c>
      <c r="AA160" s="1144"/>
      <c r="AB160" s="1144"/>
      <c r="AD160" s="67"/>
      <c r="AE160" s="274"/>
      <c r="AF160" s="274"/>
      <c r="AZ160" s="657">
        <v>1</v>
      </c>
      <c r="BA160" s="17">
        <v>0</v>
      </c>
      <c r="BB160" s="17" t="s">
        <v>31</v>
      </c>
      <c r="BC160" s="17">
        <v>1</v>
      </c>
      <c r="BD160" s="17" t="str" cm="1">
        <f t="array" ref="BD160">INDEX(List_comparators,$AZ160)</f>
        <v>nivolumab_monotherapy</v>
      </c>
      <c r="BE160" s="17">
        <f>INDEX(Lists!$L$51:$L$85,MATCH(BD160,Lists!$K$51:$K$85,0))</f>
        <v>0</v>
      </c>
      <c r="BF160" s="17" t="str">
        <f>INDEX(Lists!$S$51:$S$55,4)</f>
        <v>Time to progression</v>
      </c>
      <c r="BG160" s="17">
        <f>INDEX(Lists!$T$51:$T$55,MATCH(BF160,Lists!$S$51:$S$55,0))</f>
        <v>3</v>
      </c>
      <c r="BH160" s="17">
        <f>VLOOKUP(VLOOKUP(BC160,$F$100:$I$103,2,FALSE),Lists!$K$50:$L$63,2,FALSE)</f>
        <v>7</v>
      </c>
      <c r="BI160" s="17" t="str" cm="1">
        <f t="array" ref="BI160">IF(OR(i_TE_sc_PartSA_5y_IO_TKI_OS=1,i_TE_sc_4and6y_IO_TKI_OS_absSurv=1),BT160,IF(OR(i_TE_sc_10y_all_IO=1,i_TE_sc_5and20y_all_IO=1),BS160,IF(i_no_TE_waning=1,"No",INDEX(J$118:J$180,MATCH(1,($BC160=$B$118:$B$180)*($BD160=$F$118:$F$180),0)))))</f>
        <v>No</v>
      </c>
      <c r="BJ160" s="17" t="str" cm="1">
        <f t="array" ref="BJ160">IF(i_TE_sc_4and6y_IO_TKI_OS_absSurv=1,BQ160,INDEX(K$118:K$180,MATCH(1,($BC160=$B$118:$B$180)*($BD160=$F$118:$F$180),0)))</f>
        <v>ref trt hazard</v>
      </c>
      <c r="BK160" s="17">
        <f t="shared" si="1"/>
        <v>0</v>
      </c>
      <c r="BL160" s="17">
        <f t="shared" si="2"/>
        <v>0</v>
      </c>
      <c r="BN160" s="274" cm="1">
        <f t="array" ref="BN160">INDEX(AA$118:AA$180,MATCH(1,($BC160=$B$118:$B$180)*($BD160=$F$118:$F$180),0))</f>
        <v>0</v>
      </c>
      <c r="BO160" s="274" cm="1">
        <f t="array" ref="BO160">INDEX(AB$118:AB$180,MATCH(1,($BC160=$B$118:$B$180)*($BD160=$F$118:$F$180),0))</f>
        <v>0</v>
      </c>
      <c r="BQ160" s="6" t="s">
        <v>149</v>
      </c>
      <c r="BS160" s="6" t="str" cm="1">
        <f t="array" ref="BS160">IF(AND(BE160=2,BC160=1,OR(i_TE_sc_10y_all_IO=1,i_TE_sc_5and20y_all_IO=1)),"Yes",IF(i_no_TE_waning=1,"No",INDEX(J$118:J$180,MATCH(1,($BC160=$B$118:$B$180)*($BD160=$F$118:$F$180),0))))</f>
        <v>No</v>
      </c>
      <c r="BT160" s="274" t="str">
        <f t="shared" si="3"/>
        <v>No</v>
      </c>
    </row>
    <row r="161" spans="2:72" x14ac:dyDescent="0.2">
      <c r="B161" s="1143">
        <v>3</v>
      </c>
      <c r="F161" s="1013" t="str">
        <v>everolimus</v>
      </c>
      <c r="J161" s="652" t="s">
        <v>58</v>
      </c>
      <c r="K161" s="660" t="s">
        <v>149</v>
      </c>
      <c r="L161" s="1144"/>
      <c r="M161" s="1144"/>
      <c r="O161" s="652" t="s">
        <v>58</v>
      </c>
      <c r="P161" s="660" t="s">
        <v>149</v>
      </c>
      <c r="Q161" s="1144"/>
      <c r="R161" s="1144"/>
      <c r="T161" s="652" t="s">
        <v>58</v>
      </c>
      <c r="U161" s="660" t="s">
        <v>149</v>
      </c>
      <c r="V161" s="1144"/>
      <c r="W161" s="1144"/>
      <c r="Y161" s="652" t="s">
        <v>58</v>
      </c>
      <c r="Z161" s="660" t="s">
        <v>149</v>
      </c>
      <c r="AA161" s="1144"/>
      <c r="AB161" s="1144"/>
      <c r="AD161" s="67"/>
      <c r="AE161" s="274"/>
      <c r="AF161" s="274"/>
      <c r="AZ161" s="657">
        <v>2</v>
      </c>
      <c r="BA161" s="17">
        <v>0</v>
      </c>
      <c r="BB161" s="17" t="s">
        <v>31</v>
      </c>
      <c r="BC161" s="17">
        <v>1</v>
      </c>
      <c r="BD161" s="17" t="str" cm="1">
        <f t="array" ref="BD161">INDEX(List_comparators,$AZ161)</f>
        <v>cabozantinib_plus_nivolumab</v>
      </c>
      <c r="BE161" s="17">
        <f>INDEX(Lists!$L$51:$L$85,MATCH(BD161,Lists!$K$51:$K$85,0))</f>
        <v>1</v>
      </c>
      <c r="BF161" s="17" t="str">
        <f>INDEX(Lists!$S$51:$S$55,4)</f>
        <v>Time to progression</v>
      </c>
      <c r="BG161" s="17">
        <f>INDEX(Lists!$T$51:$T$55,MATCH(BF161,Lists!$S$51:$S$55,0))</f>
        <v>3</v>
      </c>
      <c r="BH161" s="17">
        <f>VLOOKUP(VLOOKUP(BC161,$F$100:$I$103,2,FALSE),Lists!$K$50:$L$63,2,FALSE)</f>
        <v>7</v>
      </c>
      <c r="BI161" s="17" t="str" cm="1">
        <f t="array" ref="BI161">IF(OR(i_TE_sc_PartSA_5y_IO_TKI_OS=1,i_TE_sc_4and6y_IO_TKI_OS_absSurv=1),BT161,IF(OR(i_TE_sc_10y_all_IO=1,i_TE_sc_5and20y_all_IO=1),BS161,IF(i_no_TE_waning=1,"No",INDEX(J$118:J$180,MATCH(1,($BC161=$B$118:$B$180)*($BD161=$F$118:$F$180),0)))))</f>
        <v>Yes</v>
      </c>
      <c r="BJ161" s="17" t="str" cm="1">
        <f t="array" ref="BJ161">IF(i_TE_sc_4and6y_IO_TKI_OS_absSurv=1,BQ161,INDEX(K$118:K$180,MATCH(1,($BC161=$B$118:$B$180)*($BD161=$F$118:$F$180),0)))</f>
        <v>ref trt hazard</v>
      </c>
      <c r="BK161" s="17">
        <f t="shared" si="1"/>
        <v>261</v>
      </c>
      <c r="BL161" s="17">
        <f t="shared" si="2"/>
        <v>261</v>
      </c>
      <c r="BN161" s="274" cm="1">
        <f t="array" ref="BN161">INDEX(AA$118:AA$180,MATCH(1,($BC161=$B$118:$B$180)*($BD161=$F$118:$F$180),0))</f>
        <v>261</v>
      </c>
      <c r="BO161" s="274" cm="1">
        <f t="array" ref="BO161">INDEX(AB$118:AB$180,MATCH(1,($BC161=$B$118:$B$180)*($BD161=$F$118:$F$180),0))</f>
        <v>261</v>
      </c>
      <c r="BQ161" s="6" t="s">
        <v>149</v>
      </c>
      <c r="BS161" s="6" t="str" cm="1">
        <f t="array" ref="BS161">IF(AND(BE161=2,BC161=1,OR(i_TE_sc_10y_all_IO=1,i_TE_sc_5and20y_all_IO=1)),"Yes",IF(i_no_TE_waning=1,"No",INDEX(J$118:J$180,MATCH(1,($BC161=$B$118:$B$180)*($BD161=$F$118:$F$180),0))))</f>
        <v>Yes</v>
      </c>
      <c r="BT161" s="274" t="str">
        <f t="shared" si="3"/>
        <v>No</v>
      </c>
    </row>
    <row r="162" spans="2:72" x14ac:dyDescent="0.2">
      <c r="B162" s="1143">
        <v>3</v>
      </c>
      <c r="F162" s="1013" t="str">
        <v>axitinib</v>
      </c>
      <c r="J162" s="652" t="s">
        <v>58</v>
      </c>
      <c r="K162" s="660" t="s">
        <v>149</v>
      </c>
      <c r="L162" s="1144"/>
      <c r="M162" s="1144"/>
      <c r="O162" s="652" t="s">
        <v>58</v>
      </c>
      <c r="P162" s="660" t="s">
        <v>149</v>
      </c>
      <c r="Q162" s="1144"/>
      <c r="R162" s="1144"/>
      <c r="T162" s="652" t="s">
        <v>58</v>
      </c>
      <c r="U162" s="660" t="s">
        <v>149</v>
      </c>
      <c r="V162" s="1144"/>
      <c r="W162" s="1144"/>
      <c r="Y162" s="652" t="s">
        <v>58</v>
      </c>
      <c r="Z162" s="660" t="s">
        <v>149</v>
      </c>
      <c r="AA162" s="1144"/>
      <c r="AB162" s="1144"/>
      <c r="AD162" s="67"/>
      <c r="AE162" s="274"/>
      <c r="AF162" s="274"/>
      <c r="AZ162" s="657">
        <v>3</v>
      </c>
      <c r="BA162" s="17">
        <v>0</v>
      </c>
      <c r="BB162" s="17" t="s">
        <v>31</v>
      </c>
      <c r="BC162" s="17">
        <v>1</v>
      </c>
      <c r="BD162" s="17" t="str" cm="1">
        <f t="array" ref="BD162">INDEX(List_comparators,$AZ162)</f>
        <v>nivolumab_plus_ipilimumab</v>
      </c>
      <c r="BE162" s="17">
        <f>INDEX(Lists!$L$51:$L$85,MATCH(BD162,Lists!$K$51:$K$85,0))</f>
        <v>2</v>
      </c>
      <c r="BF162" s="17" t="str">
        <f>INDEX(Lists!$S$51:$S$55,4)</f>
        <v>Time to progression</v>
      </c>
      <c r="BG162" s="17">
        <f>INDEX(Lists!$T$51:$T$55,MATCH(BF162,Lists!$S$51:$S$55,0))</f>
        <v>3</v>
      </c>
      <c r="BH162" s="17">
        <f>VLOOKUP(VLOOKUP(BC162,$F$100:$I$103,2,FALSE),Lists!$K$50:$L$63,2,FALSE)</f>
        <v>7</v>
      </c>
      <c r="BI162" s="17" t="str" cm="1">
        <f t="array" ref="BI162">IF(OR(i_TE_sc_PartSA_5y_IO_TKI_OS=1,i_TE_sc_4and6y_IO_TKI_OS_absSurv=1),BT162,IF(OR(i_TE_sc_10y_all_IO=1,i_TE_sc_5and20y_all_IO=1),BS162,IF(i_no_TE_waning=1,"No",INDEX(J$118:J$180,MATCH(1,($BC162=$B$118:$B$180)*($BD162=$F$118:$F$180),0)))))</f>
        <v>No</v>
      </c>
      <c r="BJ162" s="17" t="str" cm="1">
        <f t="array" ref="BJ162">IF(i_TE_sc_4and6y_IO_TKI_OS_absSurv=1,BQ162,INDEX(K$118:K$180,MATCH(1,($BC162=$B$118:$B$180)*($BD162=$F$118:$F$180),0)))</f>
        <v>ref trt hazard</v>
      </c>
      <c r="BK162" s="17">
        <f t="shared" si="1"/>
        <v>261</v>
      </c>
      <c r="BL162" s="17">
        <f t="shared" si="2"/>
        <v>261</v>
      </c>
      <c r="BN162" s="274" cm="1">
        <f t="array" ref="BN162">INDEX(AA$118:AA$180,MATCH(1,($BC162=$B$118:$B$180)*($BD162=$F$118:$F$180),0))</f>
        <v>261</v>
      </c>
      <c r="BO162" s="274" cm="1">
        <f t="array" ref="BO162">INDEX(AB$118:AB$180,MATCH(1,($BC162=$B$118:$B$180)*($BD162=$F$118:$F$180),0))</f>
        <v>261</v>
      </c>
      <c r="BQ162" s="6" t="s">
        <v>149</v>
      </c>
      <c r="BS162" s="6" t="str" cm="1">
        <f t="array" ref="BS162">IF(AND(BE162=2,BC162=1,OR(i_TE_sc_10y_all_IO=1,i_TE_sc_5and20y_all_IO=1)),"Yes",IF(i_no_TE_waning=1,"No",INDEX(J$118:J$180,MATCH(1,($BC162=$B$118:$B$180)*($BD162=$F$118:$F$180),0))))</f>
        <v>No</v>
      </c>
      <c r="BT162" s="274" t="str">
        <f t="shared" si="3"/>
        <v>No</v>
      </c>
    </row>
    <row r="163" spans="2:72" x14ac:dyDescent="0.2">
      <c r="B163" s="1143">
        <v>3</v>
      </c>
      <c r="F163" s="1013" t="str">
        <v>sorafenib</v>
      </c>
      <c r="J163" s="652" t="s">
        <v>58</v>
      </c>
      <c r="K163" s="660" t="s">
        <v>149</v>
      </c>
      <c r="L163" s="1144"/>
      <c r="M163" s="1144"/>
      <c r="O163" s="652" t="s">
        <v>58</v>
      </c>
      <c r="P163" s="660" t="s">
        <v>149</v>
      </c>
      <c r="Q163" s="1144"/>
      <c r="R163" s="1144"/>
      <c r="T163" s="652" t="s">
        <v>58</v>
      </c>
      <c r="U163" s="660" t="s">
        <v>149</v>
      </c>
      <c r="V163" s="1144"/>
      <c r="W163" s="1144"/>
      <c r="Y163" s="652" t="s">
        <v>58</v>
      </c>
      <c r="Z163" s="660" t="s">
        <v>149</v>
      </c>
      <c r="AA163" s="1144"/>
      <c r="AB163" s="1144"/>
      <c r="AD163" s="67"/>
      <c r="AE163" s="274"/>
      <c r="AF163" s="274"/>
      <c r="AZ163" s="657">
        <v>4</v>
      </c>
      <c r="BA163" s="17">
        <v>0</v>
      </c>
      <c r="BB163" s="17" t="s">
        <v>31</v>
      </c>
      <c r="BC163" s="17">
        <v>1</v>
      </c>
      <c r="BD163" s="17" t="str" cm="1">
        <f t="array" ref="BD163">INDEX(List_comparators,$AZ163)</f>
        <v>lenvatinib_plus_pembrolizumab</v>
      </c>
      <c r="BE163" s="17">
        <f>INDEX(Lists!$L$51:$L$85,MATCH(BD163,Lists!$K$51:$K$85,0))</f>
        <v>3</v>
      </c>
      <c r="BF163" s="17" t="str">
        <f>INDEX(Lists!$S$51:$S$55,4)</f>
        <v>Time to progression</v>
      </c>
      <c r="BG163" s="17">
        <f>INDEX(Lists!$T$51:$T$55,MATCH(BF163,Lists!$S$51:$S$55,0))</f>
        <v>3</v>
      </c>
      <c r="BH163" s="17">
        <f>VLOOKUP(VLOOKUP(BC163,$F$100:$I$103,2,FALSE),Lists!$K$50:$L$63,2,FALSE)</f>
        <v>7</v>
      </c>
      <c r="BI163" s="17" t="str" cm="1">
        <f t="array" ref="BI163">IF(OR(i_TE_sc_PartSA_5y_IO_TKI_OS=1,i_TE_sc_4and6y_IO_TKI_OS_absSurv=1),BT163,IF(OR(i_TE_sc_10y_all_IO=1,i_TE_sc_5and20y_all_IO=1),BS163,IF(i_no_TE_waning=1,"No",INDEX(J$118:J$180,MATCH(1,($BC163=$B$118:$B$180)*($BD163=$F$118:$F$180),0)))))</f>
        <v>Yes</v>
      </c>
      <c r="BJ163" s="17" t="str" cm="1">
        <f t="array" ref="BJ163">IF(i_TE_sc_4and6y_IO_TKI_OS_absSurv=1,BQ163,INDEX(K$118:K$180,MATCH(1,($BC163=$B$118:$B$180)*($BD163=$F$118:$F$180),0)))</f>
        <v>ref trt hazard</v>
      </c>
      <c r="BK163" s="17">
        <f t="shared" si="1"/>
        <v>261</v>
      </c>
      <c r="BL163" s="17">
        <f t="shared" si="2"/>
        <v>261</v>
      </c>
      <c r="BN163" s="274" cm="1">
        <f t="array" ref="BN163">INDEX(AA$118:AA$180,MATCH(1,($BC163=$B$118:$B$180)*($BD163=$F$118:$F$180),0))</f>
        <v>261</v>
      </c>
      <c r="BO163" s="274" cm="1">
        <f t="array" ref="BO163">INDEX(AB$118:AB$180,MATCH(1,($BC163=$B$118:$B$180)*($BD163=$F$118:$F$180),0))</f>
        <v>261</v>
      </c>
      <c r="BQ163" s="6" t="s">
        <v>149</v>
      </c>
      <c r="BS163" s="6" t="str" cm="1">
        <f t="array" ref="BS163">IF(AND(BE163=2,BC163=1,OR(i_TE_sc_10y_all_IO=1,i_TE_sc_5and20y_all_IO=1)),"Yes",IF(i_no_TE_waning=1,"No",INDEX(J$118:J$180,MATCH(1,($BC163=$B$118:$B$180)*($BD163=$F$118:$F$180),0))))</f>
        <v>Yes</v>
      </c>
      <c r="BT163" s="274" t="str">
        <f t="shared" si="3"/>
        <v>No</v>
      </c>
    </row>
    <row r="164" spans="2:72" x14ac:dyDescent="0.2">
      <c r="B164" s="1143">
        <v>3</v>
      </c>
      <c r="F164" s="1013" t="str">
        <v>placebo_BSC</v>
      </c>
      <c r="J164" s="1012" t="s">
        <v>58</v>
      </c>
      <c r="K164" s="561"/>
      <c r="L164" s="1006"/>
      <c r="M164" s="1006"/>
      <c r="O164" s="1012" t="s">
        <v>58</v>
      </c>
      <c r="P164" s="561"/>
      <c r="Q164" s="1006"/>
      <c r="R164" s="1006"/>
      <c r="T164" s="1012" t="s">
        <v>58</v>
      </c>
      <c r="U164" s="561"/>
      <c r="V164" s="1006"/>
      <c r="W164" s="1006"/>
      <c r="Y164" s="1012" t="s">
        <v>58</v>
      </c>
      <c r="Z164" s="561"/>
      <c r="AA164" s="1006"/>
      <c r="AB164" s="1006"/>
      <c r="AD164" s="67"/>
      <c r="AE164" s="274"/>
      <c r="AF164" s="274"/>
      <c r="AZ164" s="657">
        <v>5</v>
      </c>
      <c r="BA164" s="17">
        <v>0</v>
      </c>
      <c r="BB164" s="17" t="s">
        <v>31</v>
      </c>
      <c r="BC164" s="17">
        <v>1</v>
      </c>
      <c r="BD164" s="17" t="str" cm="1">
        <f t="array" ref="BD164">INDEX(List_comparators,$AZ164)</f>
        <v>avelumab_plus_axitinib</v>
      </c>
      <c r="BE164" s="17">
        <f>INDEX(Lists!$L$51:$L$85,MATCH(BD164,Lists!$K$51:$K$85,0))</f>
        <v>4</v>
      </c>
      <c r="BF164" s="17" t="str">
        <f>INDEX(Lists!$S$51:$S$55,4)</f>
        <v>Time to progression</v>
      </c>
      <c r="BG164" s="17">
        <f>INDEX(Lists!$T$51:$T$55,MATCH(BF164,Lists!$S$51:$S$55,0))</f>
        <v>3</v>
      </c>
      <c r="BH164" s="17">
        <f>VLOOKUP(VLOOKUP(BC164,$F$100:$I$103,2,FALSE),Lists!$K$50:$L$63,2,FALSE)</f>
        <v>7</v>
      </c>
      <c r="BI164" s="17" t="str" cm="1">
        <f t="array" ref="BI164">IF(OR(i_TE_sc_PartSA_5y_IO_TKI_OS=1,i_TE_sc_4and6y_IO_TKI_OS_absSurv=1),BT164,IF(OR(i_TE_sc_10y_all_IO=1,i_TE_sc_5and20y_all_IO=1),BS164,IF(i_no_TE_waning=1,"No",INDEX(J$118:J$180,MATCH(1,($BC164=$B$118:$B$180)*($BD164=$F$118:$F$180),0)))))</f>
        <v>Yes</v>
      </c>
      <c r="BJ164" s="17" t="str" cm="1">
        <f t="array" ref="BJ164">IF(i_TE_sc_4and6y_IO_TKI_OS_absSurv=1,BQ164,INDEX(K$118:K$180,MATCH(1,($BC164=$B$118:$B$180)*($BD164=$F$118:$F$180),0)))</f>
        <v>ref trt hazard</v>
      </c>
      <c r="BK164" s="17">
        <f t="shared" si="1"/>
        <v>261</v>
      </c>
      <c r="BL164" s="17">
        <f t="shared" si="2"/>
        <v>261</v>
      </c>
      <c r="BN164" s="274" cm="1">
        <f t="array" ref="BN164">INDEX(AA$118:AA$180,MATCH(1,($BC164=$B$118:$B$180)*($BD164=$F$118:$F$180),0))</f>
        <v>261</v>
      </c>
      <c r="BO164" s="274" cm="1">
        <f t="array" ref="BO164">INDEX(AB$118:AB$180,MATCH(1,($BC164=$B$118:$B$180)*($BD164=$F$118:$F$180),0))</f>
        <v>261</v>
      </c>
      <c r="BQ164" s="6" t="s">
        <v>149</v>
      </c>
      <c r="BS164" s="6" t="str" cm="1">
        <f t="array" ref="BS164">IF(AND(BE164=2,BC164=1,OR(i_TE_sc_10y_all_IO=1,i_TE_sc_5and20y_all_IO=1)),"Yes",IF(i_no_TE_waning=1,"No",INDEX(J$118:J$180,MATCH(1,($BC164=$B$118:$B$180)*($BD164=$F$118:$F$180),0))))</f>
        <v>Yes</v>
      </c>
      <c r="BT164" s="274" t="str">
        <f t="shared" si="3"/>
        <v>No</v>
      </c>
    </row>
    <row r="165" spans="2:72" x14ac:dyDescent="0.2">
      <c r="B165" s="1143"/>
      <c r="AZ165" s="657">
        <v>6</v>
      </c>
      <c r="BA165" s="17">
        <v>0</v>
      </c>
      <c r="BB165" s="17" t="s">
        <v>31</v>
      </c>
      <c r="BC165" s="17">
        <v>1</v>
      </c>
      <c r="BD165" s="17" t="str" cm="1">
        <f t="array" ref="BD165">INDEX(List_comparators,$AZ165)</f>
        <v>pazopanib</v>
      </c>
      <c r="BE165" s="17">
        <f>INDEX(Lists!$L$51:$L$85,MATCH(BD165,Lists!$K$51:$K$85,0))</f>
        <v>5</v>
      </c>
      <c r="BF165" s="17" t="str">
        <f>INDEX(Lists!$S$51:$S$55,4)</f>
        <v>Time to progression</v>
      </c>
      <c r="BG165" s="17">
        <f>INDEX(Lists!$T$51:$T$55,MATCH(BF165,Lists!$S$51:$S$55,0))</f>
        <v>3</v>
      </c>
      <c r="BH165" s="17">
        <f>VLOOKUP(VLOOKUP(BC165,$F$100:$I$103,2,FALSE),Lists!$K$50:$L$63,2,FALSE)</f>
        <v>7</v>
      </c>
      <c r="BI165" s="17" t="str" cm="1">
        <f t="array" ref="BI165">IF(OR(i_TE_sc_PartSA_5y_IO_TKI_OS=1,i_TE_sc_4and6y_IO_TKI_OS_absSurv=1),BT165,IF(OR(i_TE_sc_10y_all_IO=1,i_TE_sc_5and20y_all_IO=1),BS165,IF(i_no_TE_waning=1,"No",INDEX(J$118:J$180,MATCH(1,($BC165=$B$118:$B$180)*($BD165=$F$118:$F$180),0)))))</f>
        <v>Yes</v>
      </c>
      <c r="BJ165" s="17" t="str" cm="1">
        <f t="array" ref="BJ165">IF(i_TE_sc_4and6y_IO_TKI_OS_absSurv=1,BQ165,INDEX(K$118:K$180,MATCH(1,($BC165=$B$118:$B$180)*($BD165=$F$118:$F$180),0)))</f>
        <v>ref trt hazard</v>
      </c>
      <c r="BK165" s="17">
        <f t="shared" si="1"/>
        <v>261</v>
      </c>
      <c r="BL165" s="17">
        <f t="shared" si="2"/>
        <v>261</v>
      </c>
      <c r="BN165" s="274" cm="1">
        <f t="array" ref="BN165">INDEX(AA$118:AA$180,MATCH(1,($BC165=$B$118:$B$180)*($BD165=$F$118:$F$180),0))</f>
        <v>261</v>
      </c>
      <c r="BO165" s="274" cm="1">
        <f t="array" ref="BO165">INDEX(AB$118:AB$180,MATCH(1,($BC165=$B$118:$B$180)*($BD165=$F$118:$F$180),0))</f>
        <v>261</v>
      </c>
      <c r="BQ165" s="6" t="s">
        <v>149</v>
      </c>
      <c r="BS165" s="6" t="str" cm="1">
        <f t="array" ref="BS165">IF(AND(BE165=2,BC165=1,OR(i_TE_sc_10y_all_IO=1,i_TE_sc_5and20y_all_IO=1)),"Yes",IF(i_no_TE_waning=1,"No",INDEX(J$118:J$180,MATCH(1,($BC165=$B$118:$B$180)*($BD165=$F$118:$F$180),0))))</f>
        <v>Yes</v>
      </c>
      <c r="BT165" s="274" t="str">
        <f t="shared" si="3"/>
        <v>No</v>
      </c>
    </row>
    <row r="166" spans="2:72" x14ac:dyDescent="0.2">
      <c r="AZ166" s="657">
        <v>7</v>
      </c>
      <c r="BA166" s="17">
        <v>0</v>
      </c>
      <c r="BB166" s="17" t="s">
        <v>31</v>
      </c>
      <c r="BC166" s="17">
        <v>1</v>
      </c>
      <c r="BD166" s="17" t="str" cm="1">
        <f t="array" ref="BD166">INDEX(List_comparators,$AZ166)</f>
        <v>tivozanib</v>
      </c>
      <c r="BE166" s="17">
        <f>INDEX(Lists!$L$51:$L$85,MATCH(BD166,Lists!$K$51:$K$85,0))</f>
        <v>6</v>
      </c>
      <c r="BF166" s="17" t="str">
        <f>INDEX(Lists!$S$51:$S$55,4)</f>
        <v>Time to progression</v>
      </c>
      <c r="BG166" s="17">
        <f>INDEX(Lists!$T$51:$T$55,MATCH(BF166,Lists!$S$51:$S$55,0))</f>
        <v>3</v>
      </c>
      <c r="BH166" s="17">
        <f>VLOOKUP(VLOOKUP(BC166,$F$100:$I$103,2,FALSE),Lists!$K$50:$L$63,2,FALSE)</f>
        <v>7</v>
      </c>
      <c r="BI166" s="17" t="str" cm="1">
        <f t="array" ref="BI166">IF(OR(i_TE_sc_PartSA_5y_IO_TKI_OS=1,i_TE_sc_4and6y_IO_TKI_OS_absSurv=1),BT166,IF(OR(i_TE_sc_10y_all_IO=1,i_TE_sc_5and20y_all_IO=1),BS166,IF(i_no_TE_waning=1,"No",INDEX(J$118:J$180,MATCH(1,($BC166=$B$118:$B$180)*($BD166=$F$118:$F$180),0)))))</f>
        <v>Yes</v>
      </c>
      <c r="BJ166" s="17" t="str" cm="1">
        <f t="array" ref="BJ166">IF(i_TE_sc_4and6y_IO_TKI_OS_absSurv=1,BQ166,INDEX(K$118:K$180,MATCH(1,($BC166=$B$118:$B$180)*($BD166=$F$118:$F$180),0)))</f>
        <v>ref trt hazard</v>
      </c>
      <c r="BK166" s="17">
        <f t="shared" si="1"/>
        <v>261</v>
      </c>
      <c r="BL166" s="17">
        <f t="shared" si="2"/>
        <v>261</v>
      </c>
      <c r="BN166" s="274" cm="1">
        <f t="array" ref="BN166">INDEX(AA$118:AA$180,MATCH(1,($BC166=$B$118:$B$180)*($BD166=$F$118:$F$180),0))</f>
        <v>261</v>
      </c>
      <c r="BO166" s="274" cm="1">
        <f t="array" ref="BO166">INDEX(AB$118:AB$180,MATCH(1,($BC166=$B$118:$B$180)*($BD166=$F$118:$F$180),0))</f>
        <v>261</v>
      </c>
      <c r="BQ166" s="6" t="s">
        <v>149</v>
      </c>
      <c r="BS166" s="6" t="str" cm="1">
        <f t="array" ref="BS166">IF(AND(BE166=2,BC166=1,OR(i_TE_sc_10y_all_IO=1,i_TE_sc_5and20y_all_IO=1)),"Yes",IF(i_no_TE_waning=1,"No",INDEX(J$118:J$180,MATCH(1,($BC166=$B$118:$B$180)*($BD166=$F$118:$F$180),0))))</f>
        <v>Yes</v>
      </c>
      <c r="BT166" s="274" t="str">
        <f t="shared" si="3"/>
        <v>No</v>
      </c>
    </row>
    <row r="167" spans="2:72" x14ac:dyDescent="0.2">
      <c r="B167" s="1143">
        <v>4</v>
      </c>
      <c r="F167" s="1013" t="str" cm="1">
        <f t="array" ref="F167:F180">List_comparators</f>
        <v>nivolumab_monotherapy</v>
      </c>
      <c r="J167" s="652" t="s">
        <v>58</v>
      </c>
      <c r="K167" s="660" t="s">
        <v>149</v>
      </c>
      <c r="L167" s="1144"/>
      <c r="M167" s="1144"/>
      <c r="O167" s="652" t="s">
        <v>58</v>
      </c>
      <c r="P167" s="660" t="s">
        <v>149</v>
      </c>
      <c r="Q167" s="1144"/>
      <c r="R167" s="1144"/>
      <c r="T167" s="652" t="s">
        <v>58</v>
      </c>
      <c r="U167" s="660" t="s">
        <v>149</v>
      </c>
      <c r="V167" s="1144"/>
      <c r="W167" s="1144"/>
      <c r="Y167" s="652" t="s">
        <v>58</v>
      </c>
      <c r="Z167" s="660" t="s">
        <v>149</v>
      </c>
      <c r="AA167" s="1144"/>
      <c r="AB167" s="1144"/>
      <c r="AD167" s="67"/>
      <c r="AE167" s="274"/>
      <c r="AF167" s="274"/>
      <c r="AZ167" s="657">
        <v>8</v>
      </c>
      <c r="BA167" s="17">
        <v>0</v>
      </c>
      <c r="BB167" s="17" t="s">
        <v>31</v>
      </c>
      <c r="BC167" s="17">
        <v>1</v>
      </c>
      <c r="BD167" s="17" t="str" cm="1">
        <f t="array" ref="BD167">INDEX(List_comparators,$AZ167)</f>
        <v>sunitinib</v>
      </c>
      <c r="BE167" s="17">
        <f>INDEX(Lists!$L$51:$L$85,MATCH(BD167,Lists!$K$51:$K$85,0))</f>
        <v>7</v>
      </c>
      <c r="BF167" s="17" t="str">
        <f>INDEX(Lists!$S$51:$S$55,4)</f>
        <v>Time to progression</v>
      </c>
      <c r="BG167" s="17">
        <f>INDEX(Lists!$T$51:$T$55,MATCH(BF167,Lists!$S$51:$S$55,0))</f>
        <v>3</v>
      </c>
      <c r="BH167" s="17">
        <f>VLOOKUP(VLOOKUP(BC167,$F$100:$I$103,2,FALSE),Lists!$K$50:$L$63,2,FALSE)</f>
        <v>7</v>
      </c>
      <c r="BI167" s="17" t="str" cm="1">
        <f t="array" ref="BI167">IF(OR(i_TE_sc_PartSA_5y_IO_TKI_OS=1,i_TE_sc_4and6y_IO_TKI_OS_absSurv=1),BT167,IF(OR(i_TE_sc_10y_all_IO=1,i_TE_sc_5and20y_all_IO=1),BS167,IF(i_no_TE_waning=1,"No",INDEX(J$118:J$180,MATCH(1,($BC167=$B$118:$B$180)*($BD167=$F$118:$F$180),0)))))</f>
        <v>Yes</v>
      </c>
      <c r="BJ167" s="17" t="str" cm="1">
        <f t="array" ref="BJ167">IF(i_TE_sc_4and6y_IO_TKI_OS_absSurv=1,BQ167,INDEX(K$118:K$180,MATCH(1,($BC167=$B$118:$B$180)*($BD167=$F$118:$F$180),0)))</f>
        <v>ref trt hazard</v>
      </c>
      <c r="BK167" s="17">
        <f t="shared" si="1"/>
        <v>261</v>
      </c>
      <c r="BL167" s="17">
        <f t="shared" si="2"/>
        <v>261</v>
      </c>
      <c r="BN167" s="274" cm="1">
        <f t="array" ref="BN167">INDEX(AA$118:AA$180,MATCH(1,($BC167=$B$118:$B$180)*($BD167=$F$118:$F$180),0))</f>
        <v>261</v>
      </c>
      <c r="BO167" s="274" cm="1">
        <f t="array" ref="BO167">INDEX(AB$118:AB$180,MATCH(1,($BC167=$B$118:$B$180)*($BD167=$F$118:$F$180),0))</f>
        <v>261</v>
      </c>
      <c r="BQ167" s="6" t="s">
        <v>149</v>
      </c>
      <c r="BS167" s="6" t="str" cm="1">
        <f t="array" ref="BS167">IF(AND(BE167=2,BC167=1,OR(i_TE_sc_10y_all_IO=1,i_TE_sc_5and20y_all_IO=1)),"Yes",IF(i_no_TE_waning=1,"No",INDEX(J$118:J$180,MATCH(1,($BC167=$B$118:$B$180)*($BD167=$F$118:$F$180),0))))</f>
        <v>Yes</v>
      </c>
      <c r="BT167" s="274" t="str">
        <f t="shared" si="3"/>
        <v>No</v>
      </c>
    </row>
    <row r="168" spans="2:72" x14ac:dyDescent="0.2">
      <c r="B168" s="1143">
        <v>4</v>
      </c>
      <c r="F168" s="1013" t="str">
        <v>cabozantinib_plus_nivolumab</v>
      </c>
      <c r="J168" s="652" t="s">
        <v>58</v>
      </c>
      <c r="K168" s="660" t="s">
        <v>149</v>
      </c>
      <c r="L168" s="1144"/>
      <c r="M168" s="1144"/>
      <c r="O168" s="652" t="s">
        <v>58</v>
      </c>
      <c r="P168" s="660" t="s">
        <v>149</v>
      </c>
      <c r="Q168" s="1144"/>
      <c r="R168" s="1144"/>
      <c r="T168" s="652" t="s">
        <v>58</v>
      </c>
      <c r="U168" s="660" t="s">
        <v>149</v>
      </c>
      <c r="V168" s="1144"/>
      <c r="W168" s="1144"/>
      <c r="Y168" s="652" t="s">
        <v>58</v>
      </c>
      <c r="Z168" s="660" t="s">
        <v>149</v>
      </c>
      <c r="AA168" s="1144"/>
      <c r="AB168" s="1144"/>
      <c r="AD168" s="67"/>
      <c r="AE168" s="274"/>
      <c r="AF168" s="274"/>
      <c r="AZ168" s="657">
        <v>9</v>
      </c>
      <c r="BA168" s="17">
        <v>0</v>
      </c>
      <c r="BB168" s="17" t="s">
        <v>31</v>
      </c>
      <c r="BC168" s="17">
        <v>1</v>
      </c>
      <c r="BD168" s="17" t="str" cm="1">
        <f t="array" ref="BD168">INDEX(List_comparators,$AZ168)</f>
        <v>cabozantinib</v>
      </c>
      <c r="BE168" s="17">
        <f>INDEX(Lists!$L$51:$L$85,MATCH(BD168,Lists!$K$51:$K$85,0))</f>
        <v>8</v>
      </c>
      <c r="BF168" s="17" t="str">
        <f>INDEX(Lists!$S$51:$S$55,4)</f>
        <v>Time to progression</v>
      </c>
      <c r="BG168" s="17">
        <f>INDEX(Lists!$T$51:$T$55,MATCH(BF168,Lists!$S$51:$S$55,0))</f>
        <v>3</v>
      </c>
      <c r="BH168" s="17">
        <f>VLOOKUP(VLOOKUP(BC168,$F$100:$I$103,2,FALSE),Lists!$K$50:$L$63,2,FALSE)</f>
        <v>7</v>
      </c>
      <c r="BI168" s="17" t="str" cm="1">
        <f t="array" ref="BI168">IF(OR(i_TE_sc_PartSA_5y_IO_TKI_OS=1,i_TE_sc_4and6y_IO_TKI_OS_absSurv=1),BT168,IF(OR(i_TE_sc_10y_all_IO=1,i_TE_sc_5and20y_all_IO=1),BS168,IF(i_no_TE_waning=1,"No",INDEX(J$118:J$180,MATCH(1,($BC168=$B$118:$B$180)*($BD168=$F$118:$F$180),0)))))</f>
        <v>Yes</v>
      </c>
      <c r="BJ168" s="17" t="str" cm="1">
        <f t="array" ref="BJ168">IF(i_TE_sc_4and6y_IO_TKI_OS_absSurv=1,BQ168,INDEX(K$118:K$180,MATCH(1,($BC168=$B$118:$B$180)*($BD168=$F$118:$F$180),0)))</f>
        <v>ref trt hazard</v>
      </c>
      <c r="BK168" s="17">
        <f t="shared" si="1"/>
        <v>261</v>
      </c>
      <c r="BL168" s="17">
        <f t="shared" si="2"/>
        <v>261</v>
      </c>
      <c r="BN168" s="274" cm="1">
        <f t="array" ref="BN168">INDEX(AA$118:AA$180,MATCH(1,($BC168=$B$118:$B$180)*($BD168=$F$118:$F$180),0))</f>
        <v>261</v>
      </c>
      <c r="BO168" s="274" cm="1">
        <f t="array" ref="BO168">INDEX(AB$118:AB$180,MATCH(1,($BC168=$B$118:$B$180)*($BD168=$F$118:$F$180),0))</f>
        <v>261</v>
      </c>
      <c r="BQ168" s="6" t="s">
        <v>149</v>
      </c>
      <c r="BS168" s="6" t="str" cm="1">
        <f t="array" ref="BS168">IF(AND(BE168=2,BC168=1,OR(i_TE_sc_10y_all_IO=1,i_TE_sc_5and20y_all_IO=1)),"Yes",IF(i_no_TE_waning=1,"No",INDEX(J$118:J$180,MATCH(1,($BC168=$B$118:$B$180)*($BD168=$F$118:$F$180),0))))</f>
        <v>Yes</v>
      </c>
      <c r="BT168" s="274" t="str">
        <f t="shared" si="3"/>
        <v>No</v>
      </c>
    </row>
    <row r="169" spans="2:72" x14ac:dyDescent="0.2">
      <c r="B169" s="1143">
        <v>4</v>
      </c>
      <c r="F169" s="1013" t="str">
        <v>nivolumab_plus_ipilimumab</v>
      </c>
      <c r="J169" s="652" t="s">
        <v>58</v>
      </c>
      <c r="K169" s="660" t="s">
        <v>149</v>
      </c>
      <c r="L169" s="1144"/>
      <c r="M169" s="1144"/>
      <c r="O169" s="652" t="s">
        <v>58</v>
      </c>
      <c r="P169" s="660" t="s">
        <v>149</v>
      </c>
      <c r="Q169" s="1144"/>
      <c r="R169" s="1144"/>
      <c r="T169" s="652" t="s">
        <v>58</v>
      </c>
      <c r="U169" s="660" t="s">
        <v>149</v>
      </c>
      <c r="V169" s="1144"/>
      <c r="W169" s="1144"/>
      <c r="Y169" s="652" t="s">
        <v>58</v>
      </c>
      <c r="Z169" s="660" t="s">
        <v>149</v>
      </c>
      <c r="AA169" s="1144"/>
      <c r="AB169" s="1144"/>
      <c r="AD169" s="67"/>
      <c r="AE169" s="274"/>
      <c r="AF169" s="274"/>
      <c r="AZ169" s="657">
        <v>10</v>
      </c>
      <c r="BA169" s="17">
        <v>0</v>
      </c>
      <c r="BB169" s="17" t="s">
        <v>31</v>
      </c>
      <c r="BC169" s="17">
        <v>1</v>
      </c>
      <c r="BD169" s="17" t="str" cm="1">
        <f t="array" ref="BD169">INDEX(List_comparators,$AZ169)</f>
        <v>lenvatinib_plus_everolimus</v>
      </c>
      <c r="BE169" s="17">
        <f>INDEX(Lists!$L$51:$L$85,MATCH(BD169,Lists!$K$51:$K$85,0))</f>
        <v>9</v>
      </c>
      <c r="BF169" s="17" t="str">
        <f>INDEX(Lists!$S$51:$S$55,4)</f>
        <v>Time to progression</v>
      </c>
      <c r="BG169" s="17">
        <f>INDEX(Lists!$T$51:$T$55,MATCH(BF169,Lists!$S$51:$S$55,0))</f>
        <v>3</v>
      </c>
      <c r="BH169" s="17">
        <f>VLOOKUP(VLOOKUP(BC169,$F$100:$I$103,2,FALSE),Lists!$K$50:$L$63,2,FALSE)</f>
        <v>7</v>
      </c>
      <c r="BI169" s="17" t="str" cm="1">
        <f t="array" ref="BI169">IF(OR(i_TE_sc_PartSA_5y_IO_TKI_OS=1,i_TE_sc_4and6y_IO_TKI_OS_absSurv=1),BT169,IF(OR(i_TE_sc_10y_all_IO=1,i_TE_sc_5and20y_all_IO=1),BS169,IF(i_no_TE_waning=1,"No",INDEX(J$118:J$180,MATCH(1,($BC169=$B$118:$B$180)*($BD169=$F$118:$F$180),0)))))</f>
        <v>No</v>
      </c>
      <c r="BJ169" s="17" t="str" cm="1">
        <f t="array" ref="BJ169">IF(i_TE_sc_4and6y_IO_TKI_OS_absSurv=1,BQ169,INDEX(K$118:K$180,MATCH(1,($BC169=$B$118:$B$180)*($BD169=$F$118:$F$180),0)))</f>
        <v>ref trt hazard</v>
      </c>
      <c r="BK169" s="17">
        <f t="shared" si="1"/>
        <v>0</v>
      </c>
      <c r="BL169" s="17">
        <f t="shared" si="2"/>
        <v>0</v>
      </c>
      <c r="BN169" s="274" cm="1">
        <f t="array" ref="BN169">INDEX(AA$118:AA$180,MATCH(1,($BC169=$B$118:$B$180)*($BD169=$F$118:$F$180),0))</f>
        <v>0</v>
      </c>
      <c r="BO169" s="274" cm="1">
        <f t="array" ref="BO169">INDEX(AB$118:AB$180,MATCH(1,($BC169=$B$118:$B$180)*($BD169=$F$118:$F$180),0))</f>
        <v>0</v>
      </c>
      <c r="BQ169" s="6" t="s">
        <v>149</v>
      </c>
      <c r="BS169" s="6" t="str" cm="1">
        <f t="array" ref="BS169">IF(AND(BE169=2,BC169=1,OR(i_TE_sc_10y_all_IO=1,i_TE_sc_5and20y_all_IO=1)),"Yes",IF(i_no_TE_waning=1,"No",INDEX(J$118:J$180,MATCH(1,($BC169=$B$118:$B$180)*($BD169=$F$118:$F$180),0))))</f>
        <v>No</v>
      </c>
      <c r="BT169" s="274" t="str">
        <f t="shared" si="3"/>
        <v>No</v>
      </c>
    </row>
    <row r="170" spans="2:72" x14ac:dyDescent="0.2">
      <c r="B170" s="1143">
        <v>4</v>
      </c>
      <c r="F170" s="1013" t="str">
        <v>lenvatinib_plus_pembrolizumab</v>
      </c>
      <c r="J170" s="652" t="s">
        <v>58</v>
      </c>
      <c r="K170" s="660" t="s">
        <v>149</v>
      </c>
      <c r="L170" s="1144"/>
      <c r="M170" s="1144"/>
      <c r="O170" s="652" t="s">
        <v>58</v>
      </c>
      <c r="P170" s="660" t="s">
        <v>149</v>
      </c>
      <c r="Q170" s="1144"/>
      <c r="R170" s="1144"/>
      <c r="T170" s="652" t="s">
        <v>58</v>
      </c>
      <c r="U170" s="660" t="s">
        <v>149</v>
      </c>
      <c r="V170" s="1144"/>
      <c r="W170" s="1144"/>
      <c r="Y170" s="652" t="s">
        <v>58</v>
      </c>
      <c r="Z170" s="660" t="s">
        <v>149</v>
      </c>
      <c r="AA170" s="1144"/>
      <c r="AB170" s="1144"/>
      <c r="AD170" s="67"/>
      <c r="AE170" s="274"/>
      <c r="AF170" s="274"/>
      <c r="AZ170" s="657">
        <v>11</v>
      </c>
      <c r="BA170" s="17">
        <v>0</v>
      </c>
      <c r="BB170" s="17" t="s">
        <v>31</v>
      </c>
      <c r="BC170" s="17">
        <v>1</v>
      </c>
      <c r="BD170" s="17" t="str" cm="1">
        <f t="array" ref="BD170">INDEX(List_comparators,$AZ170)</f>
        <v>everolimus</v>
      </c>
      <c r="BE170" s="17">
        <f>INDEX(Lists!$L$51:$L$85,MATCH(BD170,Lists!$K$51:$K$85,0))</f>
        <v>10</v>
      </c>
      <c r="BF170" s="17" t="str">
        <f>INDEX(Lists!$S$51:$S$55,4)</f>
        <v>Time to progression</v>
      </c>
      <c r="BG170" s="17">
        <f>INDEX(Lists!$T$51:$T$55,MATCH(BF170,Lists!$S$51:$S$55,0))</f>
        <v>3</v>
      </c>
      <c r="BH170" s="17">
        <f>VLOOKUP(VLOOKUP(BC170,$F$100:$I$103,2,FALSE),Lists!$K$50:$L$63,2,FALSE)</f>
        <v>7</v>
      </c>
      <c r="BI170" s="17" t="str" cm="1">
        <f t="array" ref="BI170">IF(OR(i_TE_sc_PartSA_5y_IO_TKI_OS=1,i_TE_sc_4and6y_IO_TKI_OS_absSurv=1),BT170,IF(OR(i_TE_sc_10y_all_IO=1,i_TE_sc_5and20y_all_IO=1),BS170,IF(i_no_TE_waning=1,"No",INDEX(J$118:J$180,MATCH(1,($BC170=$B$118:$B$180)*($BD170=$F$118:$F$180),0)))))</f>
        <v>No</v>
      </c>
      <c r="BJ170" s="17" t="str" cm="1">
        <f t="array" ref="BJ170">IF(i_TE_sc_4and6y_IO_TKI_OS_absSurv=1,BQ170,INDEX(K$118:K$180,MATCH(1,($BC170=$B$118:$B$180)*($BD170=$F$118:$F$180),0)))</f>
        <v>ref trt hazard</v>
      </c>
      <c r="BK170" s="17">
        <f t="shared" si="1"/>
        <v>0</v>
      </c>
      <c r="BL170" s="17">
        <f t="shared" si="2"/>
        <v>0</v>
      </c>
      <c r="BN170" s="274" cm="1">
        <f t="array" ref="BN170">INDEX(AA$118:AA$180,MATCH(1,($BC170=$B$118:$B$180)*($BD170=$F$118:$F$180),0))</f>
        <v>0</v>
      </c>
      <c r="BO170" s="274" cm="1">
        <f t="array" ref="BO170">INDEX(AB$118:AB$180,MATCH(1,($BC170=$B$118:$B$180)*($BD170=$F$118:$F$180),0))</f>
        <v>0</v>
      </c>
      <c r="BQ170" s="6" t="s">
        <v>149</v>
      </c>
      <c r="BS170" s="6" t="str" cm="1">
        <f t="array" ref="BS170">IF(AND(BE170=2,BC170=1,OR(i_TE_sc_10y_all_IO=1,i_TE_sc_5and20y_all_IO=1)),"Yes",IF(i_no_TE_waning=1,"No",INDEX(J$118:J$180,MATCH(1,($BC170=$B$118:$B$180)*($BD170=$F$118:$F$180),0))))</f>
        <v>No</v>
      </c>
      <c r="BT170" s="274" t="str">
        <f t="shared" si="3"/>
        <v>No</v>
      </c>
    </row>
    <row r="171" spans="2:72" x14ac:dyDescent="0.2">
      <c r="B171" s="1143">
        <v>4</v>
      </c>
      <c r="F171" s="1013" t="str">
        <v>avelumab_plus_axitinib</v>
      </c>
      <c r="J171" s="652" t="s">
        <v>58</v>
      </c>
      <c r="K171" s="660" t="s">
        <v>149</v>
      </c>
      <c r="L171" s="1144"/>
      <c r="M171" s="1144"/>
      <c r="O171" s="652" t="s">
        <v>58</v>
      </c>
      <c r="P171" s="660" t="s">
        <v>149</v>
      </c>
      <c r="Q171" s="1144"/>
      <c r="R171" s="1144"/>
      <c r="T171" s="652" t="s">
        <v>58</v>
      </c>
      <c r="U171" s="660" t="s">
        <v>149</v>
      </c>
      <c r="V171" s="1144"/>
      <c r="W171" s="1144"/>
      <c r="Y171" s="652" t="s">
        <v>58</v>
      </c>
      <c r="Z171" s="660" t="s">
        <v>149</v>
      </c>
      <c r="AA171" s="1144"/>
      <c r="AB171" s="1144"/>
      <c r="AD171" s="67"/>
      <c r="AE171" s="274"/>
      <c r="AF171" s="274"/>
      <c r="AZ171" s="657">
        <v>12</v>
      </c>
      <c r="BA171" s="17">
        <v>0</v>
      </c>
      <c r="BB171" s="17" t="s">
        <v>31</v>
      </c>
      <c r="BC171" s="17">
        <v>1</v>
      </c>
      <c r="BD171" s="17" t="str" cm="1">
        <f t="array" ref="BD171">INDEX(List_comparators,$AZ171)</f>
        <v>axitinib</v>
      </c>
      <c r="BE171" s="17">
        <f>INDEX(Lists!$L$51:$L$85,MATCH(BD171,Lists!$K$51:$K$85,0))</f>
        <v>11</v>
      </c>
      <c r="BF171" s="17" t="str">
        <f>INDEX(Lists!$S$51:$S$55,4)</f>
        <v>Time to progression</v>
      </c>
      <c r="BG171" s="17">
        <f>INDEX(Lists!$T$51:$T$55,MATCH(BF171,Lists!$S$51:$S$55,0))</f>
        <v>3</v>
      </c>
      <c r="BH171" s="17">
        <f>VLOOKUP(VLOOKUP(BC171,$F$100:$I$103,2,FALSE),Lists!$K$50:$L$63,2,FALSE)</f>
        <v>7</v>
      </c>
      <c r="BI171" s="17" t="str" cm="1">
        <f t="array" ref="BI171">IF(OR(i_TE_sc_PartSA_5y_IO_TKI_OS=1,i_TE_sc_4and6y_IO_TKI_OS_absSurv=1),BT171,IF(OR(i_TE_sc_10y_all_IO=1,i_TE_sc_5and20y_all_IO=1),BS171,IF(i_no_TE_waning=1,"No",INDEX(J$118:J$180,MATCH(1,($BC171=$B$118:$B$180)*($BD171=$F$118:$F$180),0)))))</f>
        <v>No</v>
      </c>
      <c r="BJ171" s="17" t="str" cm="1">
        <f t="array" ref="BJ171">IF(i_TE_sc_4and6y_IO_TKI_OS_absSurv=1,BQ171,INDEX(K$118:K$180,MATCH(1,($BC171=$B$118:$B$180)*($BD171=$F$118:$F$180),0)))</f>
        <v>ref trt hazard</v>
      </c>
      <c r="BK171" s="17">
        <f t="shared" si="1"/>
        <v>0</v>
      </c>
      <c r="BL171" s="17">
        <f t="shared" si="2"/>
        <v>0</v>
      </c>
      <c r="BN171" s="274" cm="1">
        <f t="array" ref="BN171">INDEX(AA$118:AA$180,MATCH(1,($BC171=$B$118:$B$180)*($BD171=$F$118:$F$180),0))</f>
        <v>0</v>
      </c>
      <c r="BO171" s="274" cm="1">
        <f t="array" ref="BO171">INDEX(AB$118:AB$180,MATCH(1,($BC171=$B$118:$B$180)*($BD171=$F$118:$F$180),0))</f>
        <v>0</v>
      </c>
      <c r="BQ171" s="6" t="s">
        <v>149</v>
      </c>
      <c r="BS171" s="6" t="str" cm="1">
        <f t="array" ref="BS171">IF(AND(BE171=2,BC171=1,OR(i_TE_sc_10y_all_IO=1,i_TE_sc_5and20y_all_IO=1)),"Yes",IF(i_no_TE_waning=1,"No",INDEX(J$118:J$180,MATCH(1,($BC171=$B$118:$B$180)*($BD171=$F$118:$F$180),0))))</f>
        <v>No</v>
      </c>
      <c r="BT171" s="274" t="str">
        <f t="shared" si="3"/>
        <v>No</v>
      </c>
    </row>
    <row r="172" spans="2:72" x14ac:dyDescent="0.2">
      <c r="B172" s="1143">
        <v>4</v>
      </c>
      <c r="F172" s="1013" t="str">
        <v>pazopanib</v>
      </c>
      <c r="J172" s="652" t="s">
        <v>58</v>
      </c>
      <c r="K172" s="660" t="s">
        <v>149</v>
      </c>
      <c r="L172" s="1144"/>
      <c r="M172" s="1144"/>
      <c r="O172" s="652" t="s">
        <v>58</v>
      </c>
      <c r="P172" s="660" t="s">
        <v>149</v>
      </c>
      <c r="Q172" s="1144"/>
      <c r="R172" s="1144"/>
      <c r="T172" s="652" t="s">
        <v>58</v>
      </c>
      <c r="U172" s="660" t="s">
        <v>149</v>
      </c>
      <c r="V172" s="1144"/>
      <c r="W172" s="1144"/>
      <c r="Y172" s="652" t="s">
        <v>58</v>
      </c>
      <c r="Z172" s="660" t="s">
        <v>149</v>
      </c>
      <c r="AA172" s="1144"/>
      <c r="AB172" s="1144"/>
      <c r="AD172" s="67"/>
      <c r="AE172" s="274"/>
      <c r="AF172" s="274"/>
      <c r="AZ172" s="657">
        <v>13</v>
      </c>
      <c r="BA172" s="17">
        <v>0</v>
      </c>
      <c r="BB172" s="17" t="s">
        <v>31</v>
      </c>
      <c r="BC172" s="17">
        <v>1</v>
      </c>
      <c r="BD172" s="17" t="str" cm="1">
        <f t="array" ref="BD172">INDEX(List_comparators,$AZ172)</f>
        <v>sorafenib</v>
      </c>
      <c r="BE172" s="17">
        <f>INDEX(Lists!$L$51:$L$85,MATCH(BD172,Lists!$K$51:$K$85,0))</f>
        <v>12</v>
      </c>
      <c r="BF172" s="17" t="str">
        <f>INDEX(Lists!$S$51:$S$55,4)</f>
        <v>Time to progression</v>
      </c>
      <c r="BG172" s="17">
        <f>INDEX(Lists!$T$51:$T$55,MATCH(BF172,Lists!$S$51:$S$55,0))</f>
        <v>3</v>
      </c>
      <c r="BH172" s="17">
        <f>VLOOKUP(VLOOKUP(BC172,$F$100:$I$103,2,FALSE),Lists!$K$50:$L$63,2,FALSE)</f>
        <v>7</v>
      </c>
      <c r="BI172" s="17" t="str" cm="1">
        <f t="array" ref="BI172">IF(OR(i_TE_sc_PartSA_5y_IO_TKI_OS=1,i_TE_sc_4and6y_IO_TKI_OS_absSurv=1),BT172,IF(OR(i_TE_sc_10y_all_IO=1,i_TE_sc_5and20y_all_IO=1),BS172,IF(i_no_TE_waning=1,"No",INDEX(J$118:J$180,MATCH(1,($BC172=$B$118:$B$180)*($BD172=$F$118:$F$180),0)))))</f>
        <v>No</v>
      </c>
      <c r="BJ172" s="17" t="str" cm="1">
        <f t="array" ref="BJ172">IF(i_TE_sc_4and6y_IO_TKI_OS_absSurv=1,BQ172,INDEX(K$118:K$180,MATCH(1,($BC172=$B$118:$B$180)*($BD172=$F$118:$F$180),0)))</f>
        <v>ref trt hazard</v>
      </c>
      <c r="BK172" s="17">
        <f t="shared" si="1"/>
        <v>0</v>
      </c>
      <c r="BL172" s="17">
        <f t="shared" si="2"/>
        <v>0</v>
      </c>
      <c r="BN172" s="274" cm="1">
        <f t="array" ref="BN172">INDEX(AA$118:AA$180,MATCH(1,($BC172=$B$118:$B$180)*($BD172=$F$118:$F$180),0))</f>
        <v>0</v>
      </c>
      <c r="BO172" s="274" cm="1">
        <f t="array" ref="BO172">INDEX(AB$118:AB$180,MATCH(1,($BC172=$B$118:$B$180)*($BD172=$F$118:$F$180),0))</f>
        <v>0</v>
      </c>
      <c r="BQ172" s="6" t="s">
        <v>149</v>
      </c>
      <c r="BS172" s="6" t="str" cm="1">
        <f t="array" ref="BS172">IF(AND(BE172=2,BC172=1,OR(i_TE_sc_10y_all_IO=1,i_TE_sc_5and20y_all_IO=1)),"Yes",IF(i_no_TE_waning=1,"No",INDEX(J$118:J$180,MATCH(1,($BC172=$B$118:$B$180)*($BD172=$F$118:$F$180),0))))</f>
        <v>No</v>
      </c>
      <c r="BT172" s="274" t="str">
        <f t="shared" si="3"/>
        <v>No</v>
      </c>
    </row>
    <row r="173" spans="2:72" x14ac:dyDescent="0.2">
      <c r="B173" s="1143">
        <v>4</v>
      </c>
      <c r="F173" s="1013" t="str">
        <v>tivozanib</v>
      </c>
      <c r="J173" s="652" t="s">
        <v>58</v>
      </c>
      <c r="K173" s="660" t="s">
        <v>149</v>
      </c>
      <c r="L173" s="1144"/>
      <c r="M173" s="1144"/>
      <c r="O173" s="652" t="s">
        <v>58</v>
      </c>
      <c r="P173" s="660" t="s">
        <v>149</v>
      </c>
      <c r="Q173" s="1144"/>
      <c r="R173" s="1144"/>
      <c r="T173" s="652" t="s">
        <v>58</v>
      </c>
      <c r="U173" s="660" t="s">
        <v>149</v>
      </c>
      <c r="V173" s="1144"/>
      <c r="W173" s="1144"/>
      <c r="Y173" s="652" t="s">
        <v>58</v>
      </c>
      <c r="Z173" s="660" t="s">
        <v>149</v>
      </c>
      <c r="AA173" s="1144"/>
      <c r="AB173" s="1144"/>
      <c r="AD173" s="67"/>
      <c r="AE173" s="274"/>
      <c r="AF173" s="274"/>
      <c r="AZ173" s="657">
        <v>14</v>
      </c>
      <c r="BA173" s="17">
        <v>0</v>
      </c>
      <c r="BB173" s="17" t="s">
        <v>31</v>
      </c>
      <c r="BC173" s="17">
        <v>1</v>
      </c>
      <c r="BD173" s="17" t="str" cm="1">
        <f t="array" ref="BD173">INDEX(List_comparators,$AZ173)</f>
        <v>placebo_BSC</v>
      </c>
      <c r="BE173" s="17">
        <f>INDEX(Lists!$L$51:$L$85,MATCH(BD173,Lists!$K$51:$K$85,0))</f>
        <v>999</v>
      </c>
      <c r="BF173" s="17" t="str">
        <f>INDEX(Lists!$S$51:$S$55,4)</f>
        <v>Time to progression</v>
      </c>
      <c r="BG173" s="17">
        <f>INDEX(Lists!$T$51:$T$55,MATCH(BF173,Lists!$S$51:$S$55,0))</f>
        <v>3</v>
      </c>
      <c r="BH173" s="17">
        <f>VLOOKUP(VLOOKUP(BC173,$F$100:$I$103,2,FALSE),Lists!$K$50:$L$63,2,FALSE)</f>
        <v>7</v>
      </c>
      <c r="BI173" s="17" t="str" cm="1">
        <f t="array" ref="BI173">IF(OR(i_TE_sc_PartSA_5y_IO_TKI_OS=1,i_TE_sc_4and6y_IO_TKI_OS_absSurv=1),BT173,IF(OR(i_TE_sc_10y_all_IO=1,i_TE_sc_5and20y_all_IO=1),BS173,IF(i_no_TE_waning=1,"No",INDEX(J$118:J$180,MATCH(1,($BC173=$B$118:$B$180)*($BD173=$F$118:$F$180),0)))))</f>
        <v>No</v>
      </c>
      <c r="BJ173" s="17" cm="1">
        <f t="array" ref="BJ173">IF(i_TE_sc_4and6y_IO_TKI_OS_absSurv=1,BQ173,INDEX(K$118:K$180,MATCH(1,($BC173=$B$118:$B$180)*($BD173=$F$118:$F$180),0)))</f>
        <v>0</v>
      </c>
      <c r="BK173" s="17">
        <f t="shared" si="1"/>
        <v>0</v>
      </c>
      <c r="BL173" s="17">
        <f t="shared" si="2"/>
        <v>0</v>
      </c>
      <c r="BN173" s="274" cm="1">
        <f t="array" ref="BN173">INDEX(AA$118:AA$180,MATCH(1,($BC173=$B$118:$B$180)*($BD173=$F$118:$F$180),0))</f>
        <v>0</v>
      </c>
      <c r="BO173" s="274" cm="1">
        <f t="array" ref="BO173">INDEX(AB$118:AB$180,MATCH(1,($BC173=$B$118:$B$180)*($BD173=$F$118:$F$180),0))</f>
        <v>0</v>
      </c>
      <c r="BS173" s="6" t="str" cm="1">
        <f t="array" ref="BS173">IF(AND(BE173=2,BC173=1,OR(i_TE_sc_10y_all_IO=1,i_TE_sc_5and20y_all_IO=1)),"Yes",IF(i_no_TE_waning=1,"No",INDEX(J$118:J$180,MATCH(1,($BC173=$B$118:$B$180)*($BD173=$F$118:$F$180),0))))</f>
        <v>No</v>
      </c>
      <c r="BT173" s="274" t="str">
        <f t="shared" si="3"/>
        <v>No</v>
      </c>
    </row>
    <row r="174" spans="2:72" x14ac:dyDescent="0.2">
      <c r="B174" s="1143">
        <v>4</v>
      </c>
      <c r="F174" s="1013" t="str">
        <v>sunitinib</v>
      </c>
      <c r="J174" s="652" t="s">
        <v>58</v>
      </c>
      <c r="K174" s="660" t="s">
        <v>149</v>
      </c>
      <c r="L174" s="1144"/>
      <c r="M174" s="1144"/>
      <c r="O174" s="652" t="s">
        <v>58</v>
      </c>
      <c r="P174" s="660" t="s">
        <v>149</v>
      </c>
      <c r="Q174" s="1144"/>
      <c r="R174" s="1144"/>
      <c r="T174" s="652" t="s">
        <v>58</v>
      </c>
      <c r="U174" s="660" t="s">
        <v>149</v>
      </c>
      <c r="V174" s="1144"/>
      <c r="W174" s="1144"/>
      <c r="Y174" s="652" t="s">
        <v>58</v>
      </c>
      <c r="Z174" s="660" t="s">
        <v>149</v>
      </c>
      <c r="AA174" s="1144"/>
      <c r="AB174" s="1144"/>
      <c r="AD174" s="67"/>
      <c r="AE174" s="274"/>
      <c r="AF174" s="274"/>
      <c r="AZ174" s="657">
        <v>1</v>
      </c>
      <c r="BA174" s="17">
        <v>0</v>
      </c>
      <c r="BB174" s="17" t="s">
        <v>31</v>
      </c>
      <c r="BC174" s="17">
        <v>2</v>
      </c>
      <c r="BD174" s="17" t="str" cm="1">
        <f t="array" ref="BD174">INDEX(List_comparators,$AZ174)</f>
        <v>nivolumab_monotherapy</v>
      </c>
      <c r="BE174" s="17">
        <f>INDEX(Lists!$L$51:$L$85,MATCH(BD174,Lists!$K$51:$K$85,0))</f>
        <v>0</v>
      </c>
      <c r="BF174" s="17" t="str">
        <f>INDEX(Lists!$S$51:$S$55,1)</f>
        <v>Overall survival</v>
      </c>
      <c r="BG174" s="17">
        <f>INDEX(Lists!$T$51:$T$55,MATCH(BF174,Lists!$S$51:$S$55,0))</f>
        <v>0</v>
      </c>
      <c r="BH174" s="17">
        <f>VLOOKUP(VLOOKUP(BC174,$F$100:$I$103,2,FALSE),Lists!$K$50:$L$63,2,FALSE)</f>
        <v>8</v>
      </c>
      <c r="BI174" s="17" t="str" cm="1">
        <f t="array" ref="BI174">IF(OR(i_TE_sc_PartSA_5y_IO_TKI_OS=1,i_TE_sc_4and6y_IO_TKI_OS_absSurv=1),BT174,IF(OR(i_TE_sc_10y_all_IO=1,i_TE_sc_5and20y_all_IO=1),BS174,IF(i_no_TE_waning=1,"No",INDEX(J$118:J$180,MATCH(1,($BC174=$B$118:$B$180)*($BD174=$F$118:$F$180),0)))))</f>
        <v>No</v>
      </c>
      <c r="BJ174" s="17" t="str" cm="1">
        <f t="array" ref="BJ174">IF(i_TE_sc_4and6y_IO_TKI_OS_absSurv=1,BQ174,INDEX(K$118:K$180,MATCH(1,($BC174=$B$118:$B$180)*($BD174=$F$118:$F$180),0)))</f>
        <v>ref trt hazard</v>
      </c>
      <c r="BK174" s="17">
        <f t="shared" si="1"/>
        <v>0</v>
      </c>
      <c r="BL174" s="17">
        <f t="shared" si="2"/>
        <v>0</v>
      </c>
      <c r="BN174" s="274" cm="1">
        <f t="array" ref="BN174">INDEX(L$118:L$180,MATCH(1,($BC174=$B$118:$B$180)*($BD174=$F$118:$F$180),0))</f>
        <v>0</v>
      </c>
      <c r="BO174" s="274" cm="1">
        <f t="array" ref="BO174">INDEX(M$118:M$180,MATCH(1,($BC174=$B$118:$B$180)*($BD174=$F$118:$F$180),0))</f>
        <v>0</v>
      </c>
      <c r="BQ174" s="6" t="s">
        <v>150</v>
      </c>
      <c r="BS174" s="6" t="str" cm="1">
        <f t="array" ref="BS174">IF(AND(BE174=2,BC174=1,OR(i_TE_sc_10y_all_IO=1,i_TE_sc_5and20y_all_IO=1)),"Yes",IF(i_no_TE_waning=1,"No",INDEX(J$118:J$180,MATCH(1,($BC174=$B$118:$B$180)*($BD174=$F$118:$F$180),0))))</f>
        <v>No</v>
      </c>
      <c r="BT174" s="274" t="str">
        <f t="shared" si="3"/>
        <v>No</v>
      </c>
    </row>
    <row r="175" spans="2:72" x14ac:dyDescent="0.2">
      <c r="B175" s="1143">
        <v>4</v>
      </c>
      <c r="F175" s="1013" t="str">
        <v>cabozantinib</v>
      </c>
      <c r="J175" s="652" t="s">
        <v>58</v>
      </c>
      <c r="K175" s="660" t="s">
        <v>149</v>
      </c>
      <c r="L175" s="1144"/>
      <c r="M175" s="1144"/>
      <c r="O175" s="652" t="s">
        <v>58</v>
      </c>
      <c r="P175" s="660" t="s">
        <v>149</v>
      </c>
      <c r="Q175" s="1144"/>
      <c r="R175" s="1144"/>
      <c r="T175" s="652" t="s">
        <v>58</v>
      </c>
      <c r="U175" s="660" t="s">
        <v>149</v>
      </c>
      <c r="V175" s="1144"/>
      <c r="W175" s="1144"/>
      <c r="Y175" s="652" t="s">
        <v>58</v>
      </c>
      <c r="Z175" s="660" t="s">
        <v>149</v>
      </c>
      <c r="AA175" s="1144"/>
      <c r="AB175" s="1144"/>
      <c r="AD175" s="67"/>
      <c r="AE175" s="274"/>
      <c r="AF175" s="274"/>
      <c r="AZ175" s="657">
        <v>2</v>
      </c>
      <c r="BA175" s="17">
        <v>0</v>
      </c>
      <c r="BB175" s="17" t="s">
        <v>31</v>
      </c>
      <c r="BC175" s="17">
        <v>2</v>
      </c>
      <c r="BD175" s="17" t="str" cm="1">
        <f t="array" ref="BD175">INDEX(List_comparators,$AZ175)</f>
        <v>cabozantinib_plus_nivolumab</v>
      </c>
      <c r="BE175" s="17">
        <f>INDEX(Lists!$L$51:$L$85,MATCH(BD175,Lists!$K$51:$K$85,0))</f>
        <v>1</v>
      </c>
      <c r="BF175" s="17" t="str">
        <f>INDEX(Lists!$S$51:$S$55,1)</f>
        <v>Overall survival</v>
      </c>
      <c r="BG175" s="17">
        <f>INDEX(Lists!$T$51:$T$55,MATCH(BF175,Lists!$S$51:$S$55,0))</f>
        <v>0</v>
      </c>
      <c r="BH175" s="17">
        <f>VLOOKUP(VLOOKUP(BC175,$F$100:$I$103,2,FALSE),Lists!$K$50:$L$63,2,FALSE)</f>
        <v>8</v>
      </c>
      <c r="BI175" s="17" t="str" cm="1">
        <f t="array" ref="BI175">IF(OR(i_TE_sc_PartSA_5y_IO_TKI_OS=1,i_TE_sc_4and6y_IO_TKI_OS_absSurv=1),BT175,IF(OR(i_TE_sc_10y_all_IO=1,i_TE_sc_5and20y_all_IO=1),BS175,IF(i_no_TE_waning=1,"No",INDEX(J$118:J$180,MATCH(1,($BC175=$B$118:$B$180)*($BD175=$F$118:$F$180),0)))))</f>
        <v>No</v>
      </c>
      <c r="BJ175" s="17" t="str" cm="1">
        <f t="array" ref="BJ175">IF(i_TE_sc_4and6y_IO_TKI_OS_absSurv=1,BQ175,INDEX(K$118:K$180,MATCH(1,($BC175=$B$118:$B$180)*($BD175=$F$118:$F$180),0)))</f>
        <v>ref trt hazard</v>
      </c>
      <c r="BK175" s="17">
        <f t="shared" si="1"/>
        <v>0</v>
      </c>
      <c r="BL175" s="17">
        <f t="shared" si="2"/>
        <v>0</v>
      </c>
      <c r="BN175" s="274" cm="1">
        <f t="array" ref="BN175">INDEX(L$118:L$180,MATCH(1,($BC175=$B$118:$B$180)*($BD175=$F$118:$F$180),0))</f>
        <v>0</v>
      </c>
      <c r="BO175" s="274" cm="1">
        <f t="array" ref="BO175">INDEX(M$118:M$180,MATCH(1,($BC175=$B$118:$B$180)*($BD175=$F$118:$F$180),0))</f>
        <v>0</v>
      </c>
      <c r="BQ175" s="6" t="s">
        <v>150</v>
      </c>
      <c r="BS175" s="6" t="str" cm="1">
        <f t="array" ref="BS175">IF(AND(BE175=2,BC175=1,OR(i_TE_sc_10y_all_IO=1,i_TE_sc_5and20y_all_IO=1)),"Yes",IF(i_no_TE_waning=1,"No",INDEX(J$118:J$180,MATCH(1,($BC175=$B$118:$B$180)*($BD175=$F$118:$F$180),0))))</f>
        <v>No</v>
      </c>
      <c r="BT175" s="274" t="str">
        <f t="shared" si="3"/>
        <v>No</v>
      </c>
    </row>
    <row r="176" spans="2:72" x14ac:dyDescent="0.2">
      <c r="B176" s="1143">
        <v>4</v>
      </c>
      <c r="F176" s="1013" t="str">
        <v>lenvatinib_plus_everolimus</v>
      </c>
      <c r="J176" s="652" t="s">
        <v>58</v>
      </c>
      <c r="K176" s="660" t="s">
        <v>149</v>
      </c>
      <c r="L176" s="1144"/>
      <c r="M176" s="1144"/>
      <c r="O176" s="652" t="s">
        <v>58</v>
      </c>
      <c r="P176" s="660" t="s">
        <v>149</v>
      </c>
      <c r="Q176" s="1144"/>
      <c r="R176" s="1144"/>
      <c r="T176" s="652" t="s">
        <v>58</v>
      </c>
      <c r="U176" s="660" t="s">
        <v>149</v>
      </c>
      <c r="V176" s="1144"/>
      <c r="W176" s="1144"/>
      <c r="Y176" s="652" t="s">
        <v>58</v>
      </c>
      <c r="Z176" s="660" t="s">
        <v>149</v>
      </c>
      <c r="AA176" s="1144"/>
      <c r="AB176" s="1144"/>
      <c r="AD176" s="67"/>
      <c r="AE176" s="274"/>
      <c r="AF176" s="274"/>
      <c r="AZ176" s="657">
        <v>3</v>
      </c>
      <c r="BA176" s="17">
        <v>0</v>
      </c>
      <c r="BB176" s="17" t="s">
        <v>31</v>
      </c>
      <c r="BC176" s="17">
        <v>2</v>
      </c>
      <c r="BD176" s="17" t="str" cm="1">
        <f t="array" ref="BD176">INDEX(List_comparators,$AZ176)</f>
        <v>nivolumab_plus_ipilimumab</v>
      </c>
      <c r="BE176" s="17">
        <f>INDEX(Lists!$L$51:$L$85,MATCH(BD176,Lists!$K$51:$K$85,0))</f>
        <v>2</v>
      </c>
      <c r="BF176" s="17" t="str">
        <f>INDEX(Lists!$S$51:$S$55,1)</f>
        <v>Overall survival</v>
      </c>
      <c r="BG176" s="17">
        <f>INDEX(Lists!$T$51:$T$55,MATCH(BF176,Lists!$S$51:$S$55,0))</f>
        <v>0</v>
      </c>
      <c r="BH176" s="17">
        <f>VLOOKUP(VLOOKUP(BC176,$F$100:$I$103,2,FALSE),Lists!$K$50:$L$63,2,FALSE)</f>
        <v>8</v>
      </c>
      <c r="BI176" s="17" t="str" cm="1">
        <f t="array" ref="BI176">IF(OR(i_TE_sc_PartSA_5y_IO_TKI_OS=1,i_TE_sc_4and6y_IO_TKI_OS_absSurv=1),BT176,IF(OR(i_TE_sc_10y_all_IO=1,i_TE_sc_5and20y_all_IO=1),BS176,IF(i_no_TE_waning=1,"No",INDEX(J$118:J$180,MATCH(1,($BC176=$B$118:$B$180)*($BD176=$F$118:$F$180),0)))))</f>
        <v>No</v>
      </c>
      <c r="BJ176" s="17" t="str" cm="1">
        <f t="array" ref="BJ176">IF(i_TE_sc_4and6y_IO_TKI_OS_absSurv=1,BQ176,INDEX(K$118:K$180,MATCH(1,($BC176=$B$118:$B$180)*($BD176=$F$118:$F$180),0)))</f>
        <v>ref trt hazard</v>
      </c>
      <c r="BK176" s="17">
        <f t="shared" si="1"/>
        <v>0</v>
      </c>
      <c r="BL176" s="17">
        <f t="shared" si="2"/>
        <v>0</v>
      </c>
      <c r="BN176" s="274" cm="1">
        <f t="array" ref="BN176">INDEX(L$118:L$180,MATCH(1,($BC176=$B$118:$B$180)*($BD176=$F$118:$F$180),0))</f>
        <v>0</v>
      </c>
      <c r="BO176" s="274" cm="1">
        <f t="array" ref="BO176">INDEX(M$118:M$180,MATCH(1,($BC176=$B$118:$B$180)*($BD176=$F$118:$F$180),0))</f>
        <v>0</v>
      </c>
      <c r="BQ176" s="6" t="s">
        <v>150</v>
      </c>
      <c r="BS176" s="6" t="str" cm="1">
        <f t="array" ref="BS176">IF(AND(BE176=2,BC176=1,OR(i_TE_sc_10y_all_IO=1,i_TE_sc_5and20y_all_IO=1)),"Yes",IF(i_no_TE_waning=1,"No",INDEX(J$118:J$180,MATCH(1,($BC176=$B$118:$B$180)*($BD176=$F$118:$F$180),0))))</f>
        <v>No</v>
      </c>
      <c r="BT176" s="274" t="str">
        <f t="shared" si="3"/>
        <v>No</v>
      </c>
    </row>
    <row r="177" spans="2:72" x14ac:dyDescent="0.2">
      <c r="B177" s="1143">
        <v>4</v>
      </c>
      <c r="F177" s="1013" t="str">
        <v>everolimus</v>
      </c>
      <c r="J177" s="652" t="s">
        <v>58</v>
      </c>
      <c r="K177" s="660" t="s">
        <v>149</v>
      </c>
      <c r="L177" s="1144"/>
      <c r="M177" s="1144"/>
      <c r="O177" s="652" t="s">
        <v>58</v>
      </c>
      <c r="P177" s="660" t="s">
        <v>149</v>
      </c>
      <c r="Q177" s="1144"/>
      <c r="R177" s="1144"/>
      <c r="T177" s="652" t="s">
        <v>58</v>
      </c>
      <c r="U177" s="660" t="s">
        <v>149</v>
      </c>
      <c r="V177" s="1144"/>
      <c r="W177" s="1144"/>
      <c r="Y177" s="652" t="s">
        <v>58</v>
      </c>
      <c r="Z177" s="660" t="s">
        <v>149</v>
      </c>
      <c r="AA177" s="1144"/>
      <c r="AB177" s="1144"/>
      <c r="AD177" s="67"/>
      <c r="AE177" s="274"/>
      <c r="AF177" s="274"/>
      <c r="AZ177" s="657">
        <v>4</v>
      </c>
      <c r="BA177" s="17">
        <v>0</v>
      </c>
      <c r="BB177" s="17" t="s">
        <v>31</v>
      </c>
      <c r="BC177" s="17">
        <v>2</v>
      </c>
      <c r="BD177" s="17" t="str" cm="1">
        <f t="array" ref="BD177">INDEX(List_comparators,$AZ177)</f>
        <v>lenvatinib_plus_pembrolizumab</v>
      </c>
      <c r="BE177" s="17">
        <f>INDEX(Lists!$L$51:$L$85,MATCH(BD177,Lists!$K$51:$K$85,0))</f>
        <v>3</v>
      </c>
      <c r="BF177" s="17" t="str">
        <f>INDEX(Lists!$S$51:$S$55,1)</f>
        <v>Overall survival</v>
      </c>
      <c r="BG177" s="17">
        <f>INDEX(Lists!$T$51:$T$55,MATCH(BF177,Lists!$S$51:$S$55,0))</f>
        <v>0</v>
      </c>
      <c r="BH177" s="17">
        <f>VLOOKUP(VLOOKUP(BC177,$F$100:$I$103,2,FALSE),Lists!$K$50:$L$63,2,FALSE)</f>
        <v>8</v>
      </c>
      <c r="BI177" s="17" t="str" cm="1">
        <f t="array" ref="BI177">IF(OR(i_TE_sc_PartSA_5y_IO_TKI_OS=1,i_TE_sc_4and6y_IO_TKI_OS_absSurv=1),BT177,IF(OR(i_TE_sc_10y_all_IO=1,i_TE_sc_5and20y_all_IO=1),BS177,IF(i_no_TE_waning=1,"No",INDEX(J$118:J$180,MATCH(1,($BC177=$B$118:$B$180)*($BD177=$F$118:$F$180),0)))))</f>
        <v>No</v>
      </c>
      <c r="BJ177" s="17" t="str" cm="1">
        <f t="array" ref="BJ177">IF(i_TE_sc_4and6y_IO_TKI_OS_absSurv=1,BQ177,INDEX(K$118:K$180,MATCH(1,($BC177=$B$118:$B$180)*($BD177=$F$118:$F$180),0)))</f>
        <v>ref trt hazard</v>
      </c>
      <c r="BK177" s="17">
        <f t="shared" si="1"/>
        <v>0</v>
      </c>
      <c r="BL177" s="17">
        <f t="shared" si="2"/>
        <v>0</v>
      </c>
      <c r="BN177" s="274" cm="1">
        <f t="array" ref="BN177">INDEX(L$118:L$180,MATCH(1,($BC177=$B$118:$B$180)*($BD177=$F$118:$F$180),0))</f>
        <v>0</v>
      </c>
      <c r="BO177" s="274" cm="1">
        <f t="array" ref="BO177">INDEX(M$118:M$180,MATCH(1,($BC177=$B$118:$B$180)*($BD177=$F$118:$F$180),0))</f>
        <v>0</v>
      </c>
      <c r="BQ177" s="6" t="s">
        <v>150</v>
      </c>
      <c r="BS177" s="6" t="str" cm="1">
        <f t="array" ref="BS177">IF(AND(BE177=2,BC177=1,OR(i_TE_sc_10y_all_IO=1,i_TE_sc_5and20y_all_IO=1)),"Yes",IF(i_no_TE_waning=1,"No",INDEX(J$118:J$180,MATCH(1,($BC177=$B$118:$B$180)*($BD177=$F$118:$F$180),0))))</f>
        <v>No</v>
      </c>
      <c r="BT177" s="274" t="str">
        <f t="shared" si="3"/>
        <v>No</v>
      </c>
    </row>
    <row r="178" spans="2:72" x14ac:dyDescent="0.2">
      <c r="B178" s="1143">
        <v>4</v>
      </c>
      <c r="F178" s="1013" t="str">
        <v>axitinib</v>
      </c>
      <c r="J178" s="652" t="s">
        <v>58</v>
      </c>
      <c r="K178" s="660" t="s">
        <v>149</v>
      </c>
      <c r="L178" s="1144"/>
      <c r="M178" s="1144"/>
      <c r="O178" s="652" t="s">
        <v>58</v>
      </c>
      <c r="P178" s="660" t="s">
        <v>149</v>
      </c>
      <c r="Q178" s="1144"/>
      <c r="R178" s="1144"/>
      <c r="T178" s="652" t="s">
        <v>58</v>
      </c>
      <c r="U178" s="660" t="s">
        <v>149</v>
      </c>
      <c r="V178" s="1144"/>
      <c r="W178" s="1144"/>
      <c r="Y178" s="652" t="s">
        <v>58</v>
      </c>
      <c r="Z178" s="660" t="s">
        <v>149</v>
      </c>
      <c r="AA178" s="1144"/>
      <c r="AB178" s="1144"/>
      <c r="AD178" s="67"/>
      <c r="AE178" s="274"/>
      <c r="AF178" s="274"/>
      <c r="AZ178" s="657">
        <v>5</v>
      </c>
      <c r="BA178" s="17">
        <v>0</v>
      </c>
      <c r="BB178" s="17" t="s">
        <v>31</v>
      </c>
      <c r="BC178" s="17">
        <v>2</v>
      </c>
      <c r="BD178" s="17" t="str" cm="1">
        <f t="array" ref="BD178">INDEX(List_comparators,$AZ178)</f>
        <v>avelumab_plus_axitinib</v>
      </c>
      <c r="BE178" s="17">
        <f>INDEX(Lists!$L$51:$L$85,MATCH(BD178,Lists!$K$51:$K$85,0))</f>
        <v>4</v>
      </c>
      <c r="BF178" s="17" t="str">
        <f>INDEX(Lists!$S$51:$S$55,1)</f>
        <v>Overall survival</v>
      </c>
      <c r="BG178" s="17">
        <f>INDEX(Lists!$T$51:$T$55,MATCH(BF178,Lists!$S$51:$S$55,0))</f>
        <v>0</v>
      </c>
      <c r="BH178" s="17">
        <f>VLOOKUP(VLOOKUP(BC178,$F$100:$I$103,2,FALSE),Lists!$K$50:$L$63,2,FALSE)</f>
        <v>8</v>
      </c>
      <c r="BI178" s="17" t="str" cm="1">
        <f t="array" ref="BI178">IF(OR(i_TE_sc_PartSA_5y_IO_TKI_OS=1,i_TE_sc_4and6y_IO_TKI_OS_absSurv=1),BT178,IF(OR(i_TE_sc_10y_all_IO=1,i_TE_sc_5and20y_all_IO=1),BS178,IF(i_no_TE_waning=1,"No",INDEX(J$118:J$180,MATCH(1,($BC178=$B$118:$B$180)*($BD178=$F$118:$F$180),0)))))</f>
        <v>No</v>
      </c>
      <c r="BJ178" s="17" t="str" cm="1">
        <f t="array" ref="BJ178">IF(i_TE_sc_4and6y_IO_TKI_OS_absSurv=1,BQ178,INDEX(K$118:K$180,MATCH(1,($BC178=$B$118:$B$180)*($BD178=$F$118:$F$180),0)))</f>
        <v>ref trt hazard</v>
      </c>
      <c r="BK178" s="17">
        <f t="shared" si="1"/>
        <v>0</v>
      </c>
      <c r="BL178" s="17">
        <f t="shared" si="2"/>
        <v>0</v>
      </c>
      <c r="BN178" s="274" cm="1">
        <f t="array" ref="BN178">INDEX(L$118:L$180,MATCH(1,($BC178=$B$118:$B$180)*($BD178=$F$118:$F$180),0))</f>
        <v>0</v>
      </c>
      <c r="BO178" s="274" cm="1">
        <f t="array" ref="BO178">INDEX(M$118:M$180,MATCH(1,($BC178=$B$118:$B$180)*($BD178=$F$118:$F$180),0))</f>
        <v>0</v>
      </c>
      <c r="BQ178" s="6" t="s">
        <v>150</v>
      </c>
      <c r="BS178" s="6" t="str" cm="1">
        <f t="array" ref="BS178">IF(AND(BE178=2,BC178=1,OR(i_TE_sc_10y_all_IO=1,i_TE_sc_5and20y_all_IO=1)),"Yes",IF(i_no_TE_waning=1,"No",INDEX(J$118:J$180,MATCH(1,($BC178=$B$118:$B$180)*($BD178=$F$118:$F$180),0))))</f>
        <v>No</v>
      </c>
      <c r="BT178" s="274" t="str">
        <f t="shared" si="3"/>
        <v>No</v>
      </c>
    </row>
    <row r="179" spans="2:72" x14ac:dyDescent="0.2">
      <c r="B179" s="1143">
        <v>4</v>
      </c>
      <c r="F179" s="1013" t="str">
        <v>sorafenib</v>
      </c>
      <c r="J179" s="652" t="s">
        <v>58</v>
      </c>
      <c r="K179" s="660" t="s">
        <v>149</v>
      </c>
      <c r="L179" s="1144"/>
      <c r="M179" s="1144"/>
      <c r="O179" s="652" t="s">
        <v>58</v>
      </c>
      <c r="P179" s="660" t="s">
        <v>149</v>
      </c>
      <c r="Q179" s="1144"/>
      <c r="R179" s="1144"/>
      <c r="T179" s="652" t="s">
        <v>58</v>
      </c>
      <c r="U179" s="660" t="s">
        <v>149</v>
      </c>
      <c r="V179" s="1144"/>
      <c r="W179" s="1144"/>
      <c r="Y179" s="652" t="s">
        <v>58</v>
      </c>
      <c r="Z179" s="660" t="s">
        <v>149</v>
      </c>
      <c r="AA179" s="1144"/>
      <c r="AB179" s="1144"/>
      <c r="AD179" s="67"/>
      <c r="AE179" s="274"/>
      <c r="AF179" s="274"/>
      <c r="AZ179" s="657">
        <v>6</v>
      </c>
      <c r="BA179" s="17">
        <v>0</v>
      </c>
      <c r="BB179" s="17" t="s">
        <v>31</v>
      </c>
      <c r="BC179" s="17">
        <v>2</v>
      </c>
      <c r="BD179" s="17" t="str" cm="1">
        <f t="array" ref="BD179">INDEX(List_comparators,$AZ179)</f>
        <v>pazopanib</v>
      </c>
      <c r="BE179" s="17">
        <f>INDEX(Lists!$L$51:$L$85,MATCH(BD179,Lists!$K$51:$K$85,0))</f>
        <v>5</v>
      </c>
      <c r="BF179" s="17" t="str">
        <f>INDEX(Lists!$S$51:$S$55,1)</f>
        <v>Overall survival</v>
      </c>
      <c r="BG179" s="17">
        <f>INDEX(Lists!$T$51:$T$55,MATCH(BF179,Lists!$S$51:$S$55,0))</f>
        <v>0</v>
      </c>
      <c r="BH179" s="17">
        <f>VLOOKUP(VLOOKUP(BC179,$F$100:$I$103,2,FALSE),Lists!$K$50:$L$63,2,FALSE)</f>
        <v>8</v>
      </c>
      <c r="BI179" s="17" t="str" cm="1">
        <f t="array" ref="BI179">IF(OR(i_TE_sc_PartSA_5y_IO_TKI_OS=1,i_TE_sc_4and6y_IO_TKI_OS_absSurv=1),BT179,IF(OR(i_TE_sc_10y_all_IO=1,i_TE_sc_5and20y_all_IO=1),BS179,IF(i_no_TE_waning=1,"No",INDEX(J$118:J$180,MATCH(1,($BC179=$B$118:$B$180)*($BD179=$F$118:$F$180),0)))))</f>
        <v>No</v>
      </c>
      <c r="BJ179" s="17" t="str" cm="1">
        <f t="array" ref="BJ179">IF(i_TE_sc_4and6y_IO_TKI_OS_absSurv=1,BQ179,INDEX(K$118:K$180,MATCH(1,($BC179=$B$118:$B$180)*($BD179=$F$118:$F$180),0)))</f>
        <v>ref trt hazard</v>
      </c>
      <c r="BK179" s="17">
        <f t="shared" si="1"/>
        <v>0</v>
      </c>
      <c r="BL179" s="17">
        <f t="shared" si="2"/>
        <v>0</v>
      </c>
      <c r="BN179" s="274" cm="1">
        <f t="array" ref="BN179">INDEX(L$118:L$180,MATCH(1,($BC179=$B$118:$B$180)*($BD179=$F$118:$F$180),0))</f>
        <v>0</v>
      </c>
      <c r="BO179" s="274" cm="1">
        <f t="array" ref="BO179">INDEX(M$118:M$180,MATCH(1,($BC179=$B$118:$B$180)*($BD179=$F$118:$F$180),0))</f>
        <v>0</v>
      </c>
      <c r="BQ179" s="6" t="s">
        <v>150</v>
      </c>
      <c r="BS179" s="6" t="str" cm="1">
        <f t="array" ref="BS179">IF(AND(BE179=2,BC179=1,OR(i_TE_sc_10y_all_IO=1,i_TE_sc_5and20y_all_IO=1)),"Yes",IF(i_no_TE_waning=1,"No",INDEX(J$118:J$180,MATCH(1,($BC179=$B$118:$B$180)*($BD179=$F$118:$F$180),0))))</f>
        <v>No</v>
      </c>
      <c r="BT179" s="274" t="str">
        <f t="shared" si="3"/>
        <v>No</v>
      </c>
    </row>
    <row r="180" spans="2:72" x14ac:dyDescent="0.2">
      <c r="B180" s="1143">
        <v>4</v>
      </c>
      <c r="F180" s="1013" t="str">
        <v>placebo_BSC</v>
      </c>
      <c r="J180" s="1012" t="s">
        <v>58</v>
      </c>
      <c r="K180" s="561"/>
      <c r="L180" s="1006"/>
      <c r="M180" s="1006"/>
      <c r="O180" s="1012" t="s">
        <v>58</v>
      </c>
      <c r="P180" s="561"/>
      <c r="Q180" s="1006"/>
      <c r="R180" s="1006"/>
      <c r="T180" s="1012" t="s">
        <v>58</v>
      </c>
      <c r="U180" s="561"/>
      <c r="V180" s="1006"/>
      <c r="W180" s="1006"/>
      <c r="Y180" s="1012" t="s">
        <v>58</v>
      </c>
      <c r="Z180" s="561"/>
      <c r="AA180" s="1006"/>
      <c r="AB180" s="1006"/>
      <c r="AD180" s="67"/>
      <c r="AE180" s="274"/>
      <c r="AF180" s="274"/>
      <c r="AZ180" s="657">
        <v>7</v>
      </c>
      <c r="BA180" s="17">
        <v>0</v>
      </c>
      <c r="BB180" s="17" t="s">
        <v>31</v>
      </c>
      <c r="BC180" s="17">
        <v>2</v>
      </c>
      <c r="BD180" s="17" t="str" cm="1">
        <f t="array" ref="BD180">INDEX(List_comparators,$AZ180)</f>
        <v>tivozanib</v>
      </c>
      <c r="BE180" s="17">
        <f>INDEX(Lists!$L$51:$L$85,MATCH(BD180,Lists!$K$51:$K$85,0))</f>
        <v>6</v>
      </c>
      <c r="BF180" s="17" t="str">
        <f>INDEX(Lists!$S$51:$S$55,1)</f>
        <v>Overall survival</v>
      </c>
      <c r="BG180" s="17">
        <f>INDEX(Lists!$T$51:$T$55,MATCH(BF180,Lists!$S$51:$S$55,0))</f>
        <v>0</v>
      </c>
      <c r="BH180" s="17">
        <f>VLOOKUP(VLOOKUP(BC180,$F$100:$I$103,2,FALSE),Lists!$K$50:$L$63,2,FALSE)</f>
        <v>8</v>
      </c>
      <c r="BI180" s="17" t="str" cm="1">
        <f t="array" ref="BI180">IF(OR(i_TE_sc_PartSA_5y_IO_TKI_OS=1,i_TE_sc_4and6y_IO_TKI_OS_absSurv=1),BT180,IF(OR(i_TE_sc_10y_all_IO=1,i_TE_sc_5and20y_all_IO=1),BS180,IF(i_no_TE_waning=1,"No",INDEX(J$118:J$180,MATCH(1,($BC180=$B$118:$B$180)*($BD180=$F$118:$F$180),0)))))</f>
        <v>No</v>
      </c>
      <c r="BJ180" s="17" t="str" cm="1">
        <f t="array" ref="BJ180">IF(i_TE_sc_4and6y_IO_TKI_OS_absSurv=1,BQ180,INDEX(K$118:K$180,MATCH(1,($BC180=$B$118:$B$180)*($BD180=$F$118:$F$180),0)))</f>
        <v>ref trt hazard</v>
      </c>
      <c r="BK180" s="17">
        <f t="shared" si="1"/>
        <v>0</v>
      </c>
      <c r="BL180" s="17">
        <f t="shared" si="2"/>
        <v>0</v>
      </c>
      <c r="BN180" s="274" cm="1">
        <f t="array" ref="BN180">INDEX(L$118:L$180,MATCH(1,($BC180=$B$118:$B$180)*($BD180=$F$118:$F$180),0))</f>
        <v>0</v>
      </c>
      <c r="BO180" s="274" cm="1">
        <f t="array" ref="BO180">INDEX(M$118:M$180,MATCH(1,($BC180=$B$118:$B$180)*($BD180=$F$118:$F$180),0))</f>
        <v>0</v>
      </c>
      <c r="BQ180" s="6" t="s">
        <v>150</v>
      </c>
      <c r="BS180" s="6" t="str" cm="1">
        <f t="array" ref="BS180">IF(AND(BE180=2,BC180=1,OR(i_TE_sc_10y_all_IO=1,i_TE_sc_5and20y_all_IO=1)),"Yes",IF(i_no_TE_waning=1,"No",INDEX(J$118:J$180,MATCH(1,($BC180=$B$118:$B$180)*($BD180=$F$118:$F$180),0))))</f>
        <v>No</v>
      </c>
      <c r="BT180" s="274" t="str">
        <f t="shared" si="3"/>
        <v>No</v>
      </c>
    </row>
    <row r="181" spans="2:72" x14ac:dyDescent="0.2">
      <c r="B181" s="1143"/>
      <c r="AZ181" s="657">
        <v>8</v>
      </c>
      <c r="BA181" s="17">
        <v>0</v>
      </c>
      <c r="BB181" s="17" t="s">
        <v>31</v>
      </c>
      <c r="BC181" s="17">
        <v>2</v>
      </c>
      <c r="BD181" s="17" t="str" cm="1">
        <f t="array" ref="BD181">INDEX(List_comparators,$AZ181)</f>
        <v>sunitinib</v>
      </c>
      <c r="BE181" s="17">
        <f>INDEX(Lists!$L$51:$L$85,MATCH(BD181,Lists!$K$51:$K$85,0))</f>
        <v>7</v>
      </c>
      <c r="BF181" s="17" t="str">
        <f>INDEX(Lists!$S$51:$S$55,1)</f>
        <v>Overall survival</v>
      </c>
      <c r="BG181" s="17">
        <f>INDEX(Lists!$T$51:$T$55,MATCH(BF181,Lists!$S$51:$S$55,0))</f>
        <v>0</v>
      </c>
      <c r="BH181" s="17">
        <f>VLOOKUP(VLOOKUP(BC181,$F$100:$I$103,2,FALSE),Lists!$K$50:$L$63,2,FALSE)</f>
        <v>8</v>
      </c>
      <c r="BI181" s="17" t="str" cm="1">
        <f t="array" ref="BI181">IF(OR(i_TE_sc_PartSA_5y_IO_TKI_OS=1,i_TE_sc_4and6y_IO_TKI_OS_absSurv=1),BT181,IF(OR(i_TE_sc_10y_all_IO=1,i_TE_sc_5and20y_all_IO=1),BS181,IF(i_no_TE_waning=1,"No",INDEX(J$118:J$180,MATCH(1,($BC181=$B$118:$B$180)*($BD181=$F$118:$F$180),0)))))</f>
        <v>No</v>
      </c>
      <c r="BJ181" s="17" t="str" cm="1">
        <f t="array" ref="BJ181">IF(i_TE_sc_4and6y_IO_TKI_OS_absSurv=1,BQ181,INDEX(K$118:K$180,MATCH(1,($BC181=$B$118:$B$180)*($BD181=$F$118:$F$180),0)))</f>
        <v>ref trt hazard</v>
      </c>
      <c r="BK181" s="17">
        <f t="shared" si="1"/>
        <v>0</v>
      </c>
      <c r="BL181" s="17">
        <f t="shared" si="2"/>
        <v>0</v>
      </c>
      <c r="BN181" s="274" cm="1">
        <f t="array" ref="BN181">INDEX(L$118:L$180,MATCH(1,($BC181=$B$118:$B$180)*($BD181=$F$118:$F$180),0))</f>
        <v>0</v>
      </c>
      <c r="BO181" s="274" cm="1">
        <f t="array" ref="BO181">INDEX(M$118:M$180,MATCH(1,($BC181=$B$118:$B$180)*($BD181=$F$118:$F$180),0))</f>
        <v>0</v>
      </c>
      <c r="BQ181" s="6" t="s">
        <v>150</v>
      </c>
      <c r="BS181" s="6" t="str" cm="1">
        <f t="array" ref="BS181">IF(AND(BE181=2,BC181=1,OR(i_TE_sc_10y_all_IO=1,i_TE_sc_5and20y_all_IO=1)),"Yes",IF(i_no_TE_waning=1,"No",INDEX(J$118:J$180,MATCH(1,($BC181=$B$118:$B$180)*($BD181=$F$118:$F$180),0))))</f>
        <v>No</v>
      </c>
      <c r="BT181" s="274" t="str">
        <f t="shared" si="3"/>
        <v>No</v>
      </c>
    </row>
    <row r="182" spans="2:72" x14ac:dyDescent="0.2">
      <c r="AZ182" s="657">
        <v>9</v>
      </c>
      <c r="BA182" s="17">
        <v>0</v>
      </c>
      <c r="BB182" s="17" t="s">
        <v>31</v>
      </c>
      <c r="BC182" s="17">
        <v>2</v>
      </c>
      <c r="BD182" s="17" t="str" cm="1">
        <f t="array" ref="BD182">INDEX(List_comparators,$AZ182)</f>
        <v>cabozantinib</v>
      </c>
      <c r="BE182" s="17">
        <f>INDEX(Lists!$L$51:$L$85,MATCH(BD182,Lists!$K$51:$K$85,0))</f>
        <v>8</v>
      </c>
      <c r="BF182" s="17" t="str">
        <f>INDEX(Lists!$S$51:$S$55,1)</f>
        <v>Overall survival</v>
      </c>
      <c r="BG182" s="17">
        <f>INDEX(Lists!$T$51:$T$55,MATCH(BF182,Lists!$S$51:$S$55,0))</f>
        <v>0</v>
      </c>
      <c r="BH182" s="17">
        <f>VLOOKUP(VLOOKUP(BC182,$F$100:$I$103,2,FALSE),Lists!$K$50:$L$63,2,FALSE)</f>
        <v>8</v>
      </c>
      <c r="BI182" s="17" t="str" cm="1">
        <f t="array" ref="BI182">IF(OR(i_TE_sc_PartSA_5y_IO_TKI_OS=1,i_TE_sc_4and6y_IO_TKI_OS_absSurv=1),BT182,IF(OR(i_TE_sc_10y_all_IO=1,i_TE_sc_5and20y_all_IO=1),BS182,IF(i_no_TE_waning=1,"No",INDEX(J$118:J$180,MATCH(1,($BC182=$B$118:$B$180)*($BD182=$F$118:$F$180),0)))))</f>
        <v>No</v>
      </c>
      <c r="BJ182" s="17" t="str" cm="1">
        <f t="array" ref="BJ182">IF(i_TE_sc_4and6y_IO_TKI_OS_absSurv=1,BQ182,INDEX(K$118:K$180,MATCH(1,($BC182=$B$118:$B$180)*($BD182=$F$118:$F$180),0)))</f>
        <v>ref trt hazard</v>
      </c>
      <c r="BK182" s="17">
        <f t="shared" ref="BK182:BK245" si="12">BN182</f>
        <v>0</v>
      </c>
      <c r="BL182" s="17">
        <f t="shared" ref="BL182:BL245" si="13">BO182</f>
        <v>0</v>
      </c>
      <c r="BN182" s="274" cm="1">
        <f t="array" ref="BN182">INDEX(L$118:L$180,MATCH(1,($BC182=$B$118:$B$180)*($BD182=$F$118:$F$180),0))</f>
        <v>0</v>
      </c>
      <c r="BO182" s="274" cm="1">
        <f t="array" ref="BO182">INDEX(M$118:M$180,MATCH(1,($BC182=$B$118:$B$180)*($BD182=$F$118:$F$180),0))</f>
        <v>0</v>
      </c>
      <c r="BQ182" s="6" t="s">
        <v>150</v>
      </c>
      <c r="BS182" s="6" t="str" cm="1">
        <f t="array" ref="BS182">IF(AND(BE182=2,BC182=1,OR(i_TE_sc_10y_all_IO=1,i_TE_sc_5and20y_all_IO=1)),"Yes",IF(i_no_TE_waning=1,"No",INDEX(J$118:J$180,MATCH(1,($BC182=$B$118:$B$180)*($BD182=$F$118:$F$180),0))))</f>
        <v>No</v>
      </c>
      <c r="BT182" s="274" t="str">
        <f t="shared" ref="BT182:BT245" si="14">IF(AND(BG182=0,BC182=1,OR(i_TE_sc_PartSA_5y_IO_TKI_OS=1,i_TE_sc_4and6y_IO_TKI_OS_absSurv=1)),"Yes","No")</f>
        <v>No</v>
      </c>
    </row>
    <row r="183" spans="2:72" x14ac:dyDescent="0.2">
      <c r="AZ183" s="657">
        <v>10</v>
      </c>
      <c r="BA183" s="17">
        <v>0</v>
      </c>
      <c r="BB183" s="17" t="s">
        <v>31</v>
      </c>
      <c r="BC183" s="17">
        <v>2</v>
      </c>
      <c r="BD183" s="17" t="str" cm="1">
        <f t="array" ref="BD183">INDEX(List_comparators,$AZ183)</f>
        <v>lenvatinib_plus_everolimus</v>
      </c>
      <c r="BE183" s="17">
        <f>INDEX(Lists!$L$51:$L$85,MATCH(BD183,Lists!$K$51:$K$85,0))</f>
        <v>9</v>
      </c>
      <c r="BF183" s="17" t="str">
        <f>INDEX(Lists!$S$51:$S$55,1)</f>
        <v>Overall survival</v>
      </c>
      <c r="BG183" s="17">
        <f>INDEX(Lists!$T$51:$T$55,MATCH(BF183,Lists!$S$51:$S$55,0))</f>
        <v>0</v>
      </c>
      <c r="BH183" s="17">
        <f>VLOOKUP(VLOOKUP(BC183,$F$100:$I$103,2,FALSE),Lists!$K$50:$L$63,2,FALSE)</f>
        <v>8</v>
      </c>
      <c r="BI183" s="17" t="str" cm="1">
        <f t="array" ref="BI183">IF(OR(i_TE_sc_PartSA_5y_IO_TKI_OS=1,i_TE_sc_4and6y_IO_TKI_OS_absSurv=1),BT183,IF(OR(i_TE_sc_10y_all_IO=1,i_TE_sc_5and20y_all_IO=1),BS183,IF(i_no_TE_waning=1,"No",INDEX(J$118:J$180,MATCH(1,($BC183=$B$118:$B$180)*($BD183=$F$118:$F$180),0)))))</f>
        <v>No</v>
      </c>
      <c r="BJ183" s="17" t="str" cm="1">
        <f t="array" ref="BJ183">IF(i_TE_sc_4and6y_IO_TKI_OS_absSurv=1,BQ183,INDEX(K$118:K$180,MATCH(1,($BC183=$B$118:$B$180)*($BD183=$F$118:$F$180),0)))</f>
        <v>ref trt hazard</v>
      </c>
      <c r="BK183" s="17">
        <f t="shared" si="12"/>
        <v>0</v>
      </c>
      <c r="BL183" s="17">
        <f t="shared" si="13"/>
        <v>0</v>
      </c>
      <c r="BN183" s="274" cm="1">
        <f t="array" ref="BN183">INDEX(L$118:L$180,MATCH(1,($BC183=$B$118:$B$180)*($BD183=$F$118:$F$180),0))</f>
        <v>0</v>
      </c>
      <c r="BO183" s="274" cm="1">
        <f t="array" ref="BO183">INDEX(M$118:M$180,MATCH(1,($BC183=$B$118:$B$180)*($BD183=$F$118:$F$180),0))</f>
        <v>0</v>
      </c>
      <c r="BQ183" s="6" t="s">
        <v>150</v>
      </c>
      <c r="BS183" s="6" t="str" cm="1">
        <f t="array" ref="BS183">IF(AND(BE183=2,BC183=1,OR(i_TE_sc_10y_all_IO=1,i_TE_sc_5and20y_all_IO=1)),"Yes",IF(i_no_TE_waning=1,"No",INDEX(J$118:J$180,MATCH(1,($BC183=$B$118:$B$180)*($BD183=$F$118:$F$180),0))))</f>
        <v>No</v>
      </c>
      <c r="BT183" s="274" t="str">
        <f t="shared" si="14"/>
        <v>No</v>
      </c>
    </row>
    <row r="184" spans="2:72" x14ac:dyDescent="0.2">
      <c r="AZ184" s="657">
        <v>11</v>
      </c>
      <c r="BA184" s="17">
        <v>0</v>
      </c>
      <c r="BB184" s="17" t="s">
        <v>31</v>
      </c>
      <c r="BC184" s="17">
        <v>2</v>
      </c>
      <c r="BD184" s="17" t="str" cm="1">
        <f t="array" ref="BD184">INDEX(List_comparators,$AZ184)</f>
        <v>everolimus</v>
      </c>
      <c r="BE184" s="17">
        <f>INDEX(Lists!$L$51:$L$85,MATCH(BD184,Lists!$K$51:$K$85,0))</f>
        <v>10</v>
      </c>
      <c r="BF184" s="17" t="str">
        <f>INDEX(Lists!$S$51:$S$55,1)</f>
        <v>Overall survival</v>
      </c>
      <c r="BG184" s="17">
        <f>INDEX(Lists!$T$51:$T$55,MATCH(BF184,Lists!$S$51:$S$55,0))</f>
        <v>0</v>
      </c>
      <c r="BH184" s="17">
        <f>VLOOKUP(VLOOKUP(BC184,$F$100:$I$103,2,FALSE),Lists!$K$50:$L$63,2,FALSE)</f>
        <v>8</v>
      </c>
      <c r="BI184" s="17" t="str" cm="1">
        <f t="array" ref="BI184">IF(OR(i_TE_sc_PartSA_5y_IO_TKI_OS=1,i_TE_sc_4and6y_IO_TKI_OS_absSurv=1),BT184,IF(OR(i_TE_sc_10y_all_IO=1,i_TE_sc_5and20y_all_IO=1),BS184,IF(i_no_TE_waning=1,"No",INDEX(J$118:J$180,MATCH(1,($BC184=$B$118:$B$180)*($BD184=$F$118:$F$180),0)))))</f>
        <v>No</v>
      </c>
      <c r="BJ184" s="17" t="str" cm="1">
        <f t="array" ref="BJ184">IF(i_TE_sc_4and6y_IO_TKI_OS_absSurv=1,BQ184,INDEX(K$118:K$180,MATCH(1,($BC184=$B$118:$B$180)*($BD184=$F$118:$F$180),0)))</f>
        <v>ref trt hazard</v>
      </c>
      <c r="BK184" s="17">
        <f t="shared" si="12"/>
        <v>0</v>
      </c>
      <c r="BL184" s="17">
        <f t="shared" si="13"/>
        <v>0</v>
      </c>
      <c r="BN184" s="274" cm="1">
        <f t="array" ref="BN184">INDEX(L$118:L$180,MATCH(1,($BC184=$B$118:$B$180)*($BD184=$F$118:$F$180),0))</f>
        <v>0</v>
      </c>
      <c r="BO184" s="274" cm="1">
        <f t="array" ref="BO184">INDEX(M$118:M$180,MATCH(1,($BC184=$B$118:$B$180)*($BD184=$F$118:$F$180),0))</f>
        <v>0</v>
      </c>
      <c r="BQ184" s="6" t="s">
        <v>150</v>
      </c>
      <c r="BS184" s="6" t="str" cm="1">
        <f t="array" ref="BS184">IF(AND(BE184=2,BC184=1,OR(i_TE_sc_10y_all_IO=1,i_TE_sc_5and20y_all_IO=1)),"Yes",IF(i_no_TE_waning=1,"No",INDEX(J$118:J$180,MATCH(1,($BC184=$B$118:$B$180)*($BD184=$F$118:$F$180),0))))</f>
        <v>No</v>
      </c>
      <c r="BT184" s="274" t="str">
        <f t="shared" si="14"/>
        <v>No</v>
      </c>
    </row>
    <row r="185" spans="2:72" x14ac:dyDescent="0.2">
      <c r="AZ185" s="657">
        <v>12</v>
      </c>
      <c r="BA185" s="17">
        <v>0</v>
      </c>
      <c r="BB185" s="17" t="s">
        <v>31</v>
      </c>
      <c r="BC185" s="17">
        <v>2</v>
      </c>
      <c r="BD185" s="17" t="str" cm="1">
        <f t="array" ref="BD185">INDEX(List_comparators,$AZ185)</f>
        <v>axitinib</v>
      </c>
      <c r="BE185" s="17">
        <f>INDEX(Lists!$L$51:$L$85,MATCH(BD185,Lists!$K$51:$K$85,0))</f>
        <v>11</v>
      </c>
      <c r="BF185" s="17" t="str">
        <f>INDEX(Lists!$S$51:$S$55,1)</f>
        <v>Overall survival</v>
      </c>
      <c r="BG185" s="17">
        <f>INDEX(Lists!$T$51:$T$55,MATCH(BF185,Lists!$S$51:$S$55,0))</f>
        <v>0</v>
      </c>
      <c r="BH185" s="17">
        <f>VLOOKUP(VLOOKUP(BC185,$F$100:$I$103,2,FALSE),Lists!$K$50:$L$63,2,FALSE)</f>
        <v>8</v>
      </c>
      <c r="BI185" s="17" t="str" cm="1">
        <f t="array" ref="BI185">IF(OR(i_TE_sc_PartSA_5y_IO_TKI_OS=1,i_TE_sc_4and6y_IO_TKI_OS_absSurv=1),BT185,IF(OR(i_TE_sc_10y_all_IO=1,i_TE_sc_5and20y_all_IO=1),BS185,IF(i_no_TE_waning=1,"No",INDEX(J$118:J$180,MATCH(1,($BC185=$B$118:$B$180)*($BD185=$F$118:$F$180),0)))))</f>
        <v>No</v>
      </c>
      <c r="BJ185" s="17" t="str" cm="1">
        <f t="array" ref="BJ185">IF(i_TE_sc_4and6y_IO_TKI_OS_absSurv=1,BQ185,INDEX(K$118:K$180,MATCH(1,($BC185=$B$118:$B$180)*($BD185=$F$118:$F$180),0)))</f>
        <v>ref trt hazard</v>
      </c>
      <c r="BK185" s="17">
        <f t="shared" si="12"/>
        <v>0</v>
      </c>
      <c r="BL185" s="17">
        <f t="shared" si="13"/>
        <v>0</v>
      </c>
      <c r="BN185" s="274" cm="1">
        <f t="array" ref="BN185">INDEX(L$118:L$180,MATCH(1,($BC185=$B$118:$B$180)*($BD185=$F$118:$F$180),0))</f>
        <v>0</v>
      </c>
      <c r="BO185" s="274" cm="1">
        <f t="array" ref="BO185">INDEX(M$118:M$180,MATCH(1,($BC185=$B$118:$B$180)*($BD185=$F$118:$F$180),0))</f>
        <v>0</v>
      </c>
      <c r="BQ185" s="6" t="s">
        <v>150</v>
      </c>
      <c r="BS185" s="6" t="str" cm="1">
        <f t="array" ref="BS185">IF(AND(BE185=2,BC185=1,OR(i_TE_sc_10y_all_IO=1,i_TE_sc_5and20y_all_IO=1)),"Yes",IF(i_no_TE_waning=1,"No",INDEX(J$118:J$180,MATCH(1,($BC185=$B$118:$B$180)*($BD185=$F$118:$F$180),0))))</f>
        <v>No</v>
      </c>
      <c r="BT185" s="274" t="str">
        <f t="shared" si="14"/>
        <v>No</v>
      </c>
    </row>
    <row r="186" spans="2:72" x14ac:dyDescent="0.2">
      <c r="AZ186" s="657">
        <v>13</v>
      </c>
      <c r="BA186" s="17">
        <v>0</v>
      </c>
      <c r="BB186" s="17" t="s">
        <v>31</v>
      </c>
      <c r="BC186" s="17">
        <v>2</v>
      </c>
      <c r="BD186" s="17" t="str" cm="1">
        <f t="array" ref="BD186">INDEX(List_comparators,$AZ186)</f>
        <v>sorafenib</v>
      </c>
      <c r="BE186" s="17">
        <f>INDEX(Lists!$L$51:$L$85,MATCH(BD186,Lists!$K$51:$K$85,0))</f>
        <v>12</v>
      </c>
      <c r="BF186" s="17" t="str">
        <f>INDEX(Lists!$S$51:$S$55,1)</f>
        <v>Overall survival</v>
      </c>
      <c r="BG186" s="17">
        <f>INDEX(Lists!$T$51:$T$55,MATCH(BF186,Lists!$S$51:$S$55,0))</f>
        <v>0</v>
      </c>
      <c r="BH186" s="17">
        <f>VLOOKUP(VLOOKUP(BC186,$F$100:$I$103,2,FALSE),Lists!$K$50:$L$63,2,FALSE)</f>
        <v>8</v>
      </c>
      <c r="BI186" s="17" t="str" cm="1">
        <f t="array" ref="BI186">IF(OR(i_TE_sc_PartSA_5y_IO_TKI_OS=1,i_TE_sc_4and6y_IO_TKI_OS_absSurv=1),BT186,IF(OR(i_TE_sc_10y_all_IO=1,i_TE_sc_5and20y_all_IO=1),BS186,IF(i_no_TE_waning=1,"No",INDEX(J$118:J$180,MATCH(1,($BC186=$B$118:$B$180)*($BD186=$F$118:$F$180),0)))))</f>
        <v>No</v>
      </c>
      <c r="BJ186" s="17" t="str" cm="1">
        <f t="array" ref="BJ186">IF(i_TE_sc_4and6y_IO_TKI_OS_absSurv=1,BQ186,INDEX(K$118:K$180,MATCH(1,($BC186=$B$118:$B$180)*($BD186=$F$118:$F$180),0)))</f>
        <v>ref trt hazard</v>
      </c>
      <c r="BK186" s="17">
        <f t="shared" si="12"/>
        <v>0</v>
      </c>
      <c r="BL186" s="17">
        <f t="shared" si="13"/>
        <v>0</v>
      </c>
      <c r="BN186" s="274" cm="1">
        <f t="array" ref="BN186">INDEX(L$118:L$180,MATCH(1,($BC186=$B$118:$B$180)*($BD186=$F$118:$F$180),0))</f>
        <v>0</v>
      </c>
      <c r="BO186" s="274" cm="1">
        <f t="array" ref="BO186">INDEX(M$118:M$180,MATCH(1,($BC186=$B$118:$B$180)*($BD186=$F$118:$F$180),0))</f>
        <v>0</v>
      </c>
      <c r="BQ186" s="6" t="s">
        <v>150</v>
      </c>
      <c r="BS186" s="6" t="str" cm="1">
        <f t="array" ref="BS186">IF(AND(BE186=2,BC186=1,OR(i_TE_sc_10y_all_IO=1,i_TE_sc_5and20y_all_IO=1)),"Yes",IF(i_no_TE_waning=1,"No",INDEX(J$118:J$180,MATCH(1,($BC186=$B$118:$B$180)*($BD186=$F$118:$F$180),0))))</f>
        <v>No</v>
      </c>
      <c r="BT186" s="274" t="str">
        <f t="shared" si="14"/>
        <v>No</v>
      </c>
    </row>
    <row r="187" spans="2:72" x14ac:dyDescent="0.2">
      <c r="AZ187" s="657">
        <v>14</v>
      </c>
      <c r="BA187" s="17">
        <v>0</v>
      </c>
      <c r="BB187" s="17" t="s">
        <v>31</v>
      </c>
      <c r="BC187" s="17">
        <v>2</v>
      </c>
      <c r="BD187" s="17" t="str" cm="1">
        <f t="array" ref="BD187">INDEX(List_comparators,$AZ187)</f>
        <v>placebo_BSC</v>
      </c>
      <c r="BE187" s="17">
        <f>INDEX(Lists!$L$51:$L$85,MATCH(BD187,Lists!$K$51:$K$85,0))</f>
        <v>999</v>
      </c>
      <c r="BF187" s="17" t="str">
        <f>INDEX(Lists!$S$51:$S$55,1)</f>
        <v>Overall survival</v>
      </c>
      <c r="BG187" s="17">
        <f>INDEX(Lists!$T$51:$T$55,MATCH(BF187,Lists!$S$51:$S$55,0))</f>
        <v>0</v>
      </c>
      <c r="BH187" s="17">
        <f>VLOOKUP(VLOOKUP(BC187,$F$100:$I$103,2,FALSE),Lists!$K$50:$L$63,2,FALSE)</f>
        <v>8</v>
      </c>
      <c r="BI187" s="17" t="str" cm="1">
        <f t="array" ref="BI187">IF(OR(i_TE_sc_PartSA_5y_IO_TKI_OS=1,i_TE_sc_4and6y_IO_TKI_OS_absSurv=1),BT187,IF(OR(i_TE_sc_10y_all_IO=1,i_TE_sc_5and20y_all_IO=1),BS187,IF(i_no_TE_waning=1,"No",INDEX(J$118:J$180,MATCH(1,($BC187=$B$118:$B$180)*($BD187=$F$118:$F$180),0)))))</f>
        <v>No</v>
      </c>
      <c r="BJ187" s="17" cm="1">
        <f t="array" ref="BJ187">IF(i_TE_sc_4and6y_IO_TKI_OS_absSurv=1,BQ187,INDEX(K$118:K$180,MATCH(1,($BC187=$B$118:$B$180)*($BD187=$F$118:$F$180),0)))</f>
        <v>0</v>
      </c>
      <c r="BK187" s="17">
        <f t="shared" si="12"/>
        <v>0</v>
      </c>
      <c r="BL187" s="17">
        <f t="shared" si="13"/>
        <v>0</v>
      </c>
      <c r="BN187" s="274" cm="1">
        <f t="array" ref="BN187">INDEX(L$118:L$180,MATCH(1,($BC187=$B$118:$B$180)*($BD187=$F$118:$F$180),0))</f>
        <v>0</v>
      </c>
      <c r="BO187" s="274" cm="1">
        <f t="array" ref="BO187">INDEX(M$118:M$180,MATCH(1,($BC187=$B$118:$B$180)*($BD187=$F$118:$F$180),0))</f>
        <v>0</v>
      </c>
      <c r="BS187" s="6" t="str" cm="1">
        <f t="array" ref="BS187">IF(AND(BE187=2,BC187=1,OR(i_TE_sc_10y_all_IO=1,i_TE_sc_5and20y_all_IO=1)),"Yes",IF(i_no_TE_waning=1,"No",INDEX(J$118:J$180,MATCH(1,($BC187=$B$118:$B$180)*($BD187=$F$118:$F$180),0))))</f>
        <v>No</v>
      </c>
      <c r="BT187" s="274" t="str">
        <f t="shared" si="14"/>
        <v>No</v>
      </c>
    </row>
    <row r="188" spans="2:72" x14ac:dyDescent="0.2">
      <c r="AZ188" s="657">
        <v>1</v>
      </c>
      <c r="BA188" s="17">
        <v>0</v>
      </c>
      <c r="BB188" s="17" t="s">
        <v>31</v>
      </c>
      <c r="BC188" s="17">
        <v>2</v>
      </c>
      <c r="BD188" s="17" t="str" cm="1">
        <f t="array" ref="BD188">INDEX(List_comparators,$AZ188)</f>
        <v>nivolumab_monotherapy</v>
      </c>
      <c r="BE188" s="17">
        <f>INDEX(Lists!$L$51:$L$85,MATCH(BD188,Lists!$K$51:$K$85,0))</f>
        <v>0</v>
      </c>
      <c r="BF188" s="17" t="str">
        <f>INDEX(Lists!$S$51:$S$55,2)</f>
        <v>Progression free survival</v>
      </c>
      <c r="BG188" s="17">
        <f>INDEX(Lists!$T$51:$T$55,MATCH(BF188,Lists!$S$51:$S$55,0))</f>
        <v>1</v>
      </c>
      <c r="BH188" s="17">
        <f>VLOOKUP(VLOOKUP(BC188,$F$100:$I$103,2,FALSE),Lists!$K$50:$L$63,2,FALSE)</f>
        <v>8</v>
      </c>
      <c r="BI188" s="17" t="str" cm="1">
        <f t="array" ref="BI188">IF(OR(i_TE_sc_PartSA_5y_IO_TKI_OS=1,i_TE_sc_4and6y_IO_TKI_OS_absSurv=1),BT188,IF(OR(i_TE_sc_10y_all_IO=1,i_TE_sc_5and20y_all_IO=1),BS188,IF(i_no_TE_waning=1,"No",INDEX(J$118:J$180,MATCH(1,($BC188=$B$118:$B$180)*($BD188=$F$118:$F$180),0)))))</f>
        <v>No</v>
      </c>
      <c r="BJ188" s="17" t="str" cm="1">
        <f t="array" ref="BJ188">IF(i_TE_sc_4and6y_IO_TKI_OS_absSurv=1,BQ188,INDEX(K$118:K$180,MATCH(1,($BC188=$B$118:$B$180)*($BD188=$F$118:$F$180),0)))</f>
        <v>ref trt hazard</v>
      </c>
      <c r="BK188" s="17">
        <f t="shared" si="12"/>
        <v>0</v>
      </c>
      <c r="BL188" s="17">
        <f t="shared" si="13"/>
        <v>0</v>
      </c>
      <c r="BN188" s="274" cm="1">
        <f t="array" ref="BN188">INDEX(Q$118:Q$180,MATCH(1,($BC188=$B$118:$B$180)*($BD188=$F$118:$F$180),0))</f>
        <v>0</v>
      </c>
      <c r="BO188" s="274" cm="1">
        <f t="array" ref="BO188">INDEX(R$118:R$180,MATCH(1,($BC188=$B$118:$B$180)*($BD188=$F$118:$F$180),0))</f>
        <v>0</v>
      </c>
      <c r="BQ188" s="6" t="s">
        <v>149</v>
      </c>
      <c r="BS188" s="6" t="str" cm="1">
        <f t="array" ref="BS188">IF(AND(BE188=2,BC188=1,OR(i_TE_sc_10y_all_IO=1,i_TE_sc_5and20y_all_IO=1)),"Yes",IF(i_no_TE_waning=1,"No",INDEX(J$118:J$180,MATCH(1,($BC188=$B$118:$B$180)*($BD188=$F$118:$F$180),0))))</f>
        <v>No</v>
      </c>
      <c r="BT188" s="274" t="str">
        <f t="shared" si="14"/>
        <v>No</v>
      </c>
    </row>
    <row r="189" spans="2:72" x14ac:dyDescent="0.2">
      <c r="AZ189" s="657">
        <v>2</v>
      </c>
      <c r="BA189" s="17">
        <v>0</v>
      </c>
      <c r="BB189" s="17" t="s">
        <v>31</v>
      </c>
      <c r="BC189" s="17">
        <v>2</v>
      </c>
      <c r="BD189" s="17" t="str" cm="1">
        <f t="array" ref="BD189">INDEX(List_comparators,$AZ189)</f>
        <v>cabozantinib_plus_nivolumab</v>
      </c>
      <c r="BE189" s="17">
        <f>INDEX(Lists!$L$51:$L$85,MATCH(BD189,Lists!$K$51:$K$85,0))</f>
        <v>1</v>
      </c>
      <c r="BF189" s="17" t="str">
        <f>INDEX(Lists!$S$51:$S$55,2)</f>
        <v>Progression free survival</v>
      </c>
      <c r="BG189" s="17">
        <f>INDEX(Lists!$T$51:$T$55,MATCH(BF189,Lists!$S$51:$S$55,0))</f>
        <v>1</v>
      </c>
      <c r="BH189" s="17">
        <f>VLOOKUP(VLOOKUP(BC189,$F$100:$I$103,2,FALSE),Lists!$K$50:$L$63,2,FALSE)</f>
        <v>8</v>
      </c>
      <c r="BI189" s="17" t="str" cm="1">
        <f t="array" ref="BI189">IF(OR(i_TE_sc_PartSA_5y_IO_TKI_OS=1,i_TE_sc_4and6y_IO_TKI_OS_absSurv=1),BT189,IF(OR(i_TE_sc_10y_all_IO=1,i_TE_sc_5and20y_all_IO=1),BS189,IF(i_no_TE_waning=1,"No",INDEX(J$118:J$180,MATCH(1,($BC189=$B$118:$B$180)*($BD189=$F$118:$F$180),0)))))</f>
        <v>No</v>
      </c>
      <c r="BJ189" s="17" t="str" cm="1">
        <f t="array" ref="BJ189">IF(i_TE_sc_4and6y_IO_TKI_OS_absSurv=1,BQ189,INDEX(K$118:K$180,MATCH(1,($BC189=$B$118:$B$180)*($BD189=$F$118:$F$180),0)))</f>
        <v>ref trt hazard</v>
      </c>
      <c r="BK189" s="17">
        <f t="shared" si="12"/>
        <v>0</v>
      </c>
      <c r="BL189" s="17">
        <f t="shared" si="13"/>
        <v>0</v>
      </c>
      <c r="BN189" s="274" cm="1">
        <f t="array" ref="BN189">INDEX(Q$118:Q$180,MATCH(1,($BC189=$B$118:$B$180)*($BD189=$F$118:$F$180),0))</f>
        <v>0</v>
      </c>
      <c r="BO189" s="274" cm="1">
        <f t="array" ref="BO189">INDEX(R$118:R$180,MATCH(1,($BC189=$B$118:$B$180)*($BD189=$F$118:$F$180),0))</f>
        <v>0</v>
      </c>
      <c r="BQ189" s="6" t="s">
        <v>149</v>
      </c>
      <c r="BS189" s="6" t="str" cm="1">
        <f t="array" ref="BS189">IF(AND(BE189=2,BC189=1,OR(i_TE_sc_10y_all_IO=1,i_TE_sc_5and20y_all_IO=1)),"Yes",IF(i_no_TE_waning=1,"No",INDEX(J$118:J$180,MATCH(1,($BC189=$B$118:$B$180)*($BD189=$F$118:$F$180),0))))</f>
        <v>No</v>
      </c>
      <c r="BT189" s="274" t="str">
        <f t="shared" si="14"/>
        <v>No</v>
      </c>
    </row>
    <row r="190" spans="2:72" x14ac:dyDescent="0.2">
      <c r="AZ190" s="657">
        <v>3</v>
      </c>
      <c r="BA190" s="17">
        <v>0</v>
      </c>
      <c r="BB190" s="17" t="s">
        <v>31</v>
      </c>
      <c r="BC190" s="17">
        <v>2</v>
      </c>
      <c r="BD190" s="17" t="str" cm="1">
        <f t="array" ref="BD190">INDEX(List_comparators,$AZ190)</f>
        <v>nivolumab_plus_ipilimumab</v>
      </c>
      <c r="BE190" s="17">
        <f>INDEX(Lists!$L$51:$L$85,MATCH(BD190,Lists!$K$51:$K$85,0))</f>
        <v>2</v>
      </c>
      <c r="BF190" s="17" t="str">
        <f>INDEX(Lists!$S$51:$S$55,2)</f>
        <v>Progression free survival</v>
      </c>
      <c r="BG190" s="17">
        <f>INDEX(Lists!$T$51:$T$55,MATCH(BF190,Lists!$S$51:$S$55,0))</f>
        <v>1</v>
      </c>
      <c r="BH190" s="17">
        <f>VLOOKUP(VLOOKUP(BC190,$F$100:$I$103,2,FALSE),Lists!$K$50:$L$63,2,FALSE)</f>
        <v>8</v>
      </c>
      <c r="BI190" s="17" t="str" cm="1">
        <f t="array" ref="BI190">IF(OR(i_TE_sc_PartSA_5y_IO_TKI_OS=1,i_TE_sc_4and6y_IO_TKI_OS_absSurv=1),BT190,IF(OR(i_TE_sc_10y_all_IO=1,i_TE_sc_5and20y_all_IO=1),BS190,IF(i_no_TE_waning=1,"No",INDEX(J$118:J$180,MATCH(1,($BC190=$B$118:$B$180)*($BD190=$F$118:$F$180),0)))))</f>
        <v>No</v>
      </c>
      <c r="BJ190" s="17" t="str" cm="1">
        <f t="array" ref="BJ190">IF(i_TE_sc_4and6y_IO_TKI_OS_absSurv=1,BQ190,INDEX(K$118:K$180,MATCH(1,($BC190=$B$118:$B$180)*($BD190=$F$118:$F$180),0)))</f>
        <v>ref trt hazard</v>
      </c>
      <c r="BK190" s="17">
        <f t="shared" si="12"/>
        <v>0</v>
      </c>
      <c r="BL190" s="17">
        <f t="shared" si="13"/>
        <v>0</v>
      </c>
      <c r="BN190" s="274" cm="1">
        <f t="array" ref="BN190">INDEX(Q$118:Q$180,MATCH(1,($BC190=$B$118:$B$180)*($BD190=$F$118:$F$180),0))</f>
        <v>0</v>
      </c>
      <c r="BO190" s="274" cm="1">
        <f t="array" ref="BO190">INDEX(R$118:R$180,MATCH(1,($BC190=$B$118:$B$180)*($BD190=$F$118:$F$180),0))</f>
        <v>0</v>
      </c>
      <c r="BQ190" s="6" t="s">
        <v>149</v>
      </c>
      <c r="BS190" s="6" t="str" cm="1">
        <f t="array" ref="BS190">IF(AND(BE190=2,BC190=1,OR(i_TE_sc_10y_all_IO=1,i_TE_sc_5and20y_all_IO=1)),"Yes",IF(i_no_TE_waning=1,"No",INDEX(J$118:J$180,MATCH(1,($BC190=$B$118:$B$180)*($BD190=$F$118:$F$180),0))))</f>
        <v>No</v>
      </c>
      <c r="BT190" s="274" t="str">
        <f t="shared" si="14"/>
        <v>No</v>
      </c>
    </row>
    <row r="191" spans="2:72" x14ac:dyDescent="0.2">
      <c r="AZ191" s="657">
        <v>4</v>
      </c>
      <c r="BA191" s="17">
        <v>0</v>
      </c>
      <c r="BB191" s="17" t="s">
        <v>31</v>
      </c>
      <c r="BC191" s="17">
        <v>2</v>
      </c>
      <c r="BD191" s="17" t="str" cm="1">
        <f t="array" ref="BD191">INDEX(List_comparators,$AZ191)</f>
        <v>lenvatinib_plus_pembrolizumab</v>
      </c>
      <c r="BE191" s="17">
        <f>INDEX(Lists!$L$51:$L$85,MATCH(BD191,Lists!$K$51:$K$85,0))</f>
        <v>3</v>
      </c>
      <c r="BF191" s="17" t="str">
        <f>INDEX(Lists!$S$51:$S$55,2)</f>
        <v>Progression free survival</v>
      </c>
      <c r="BG191" s="17">
        <f>INDEX(Lists!$T$51:$T$55,MATCH(BF191,Lists!$S$51:$S$55,0))</f>
        <v>1</v>
      </c>
      <c r="BH191" s="17">
        <f>VLOOKUP(VLOOKUP(BC191,$F$100:$I$103,2,FALSE),Lists!$K$50:$L$63,2,FALSE)</f>
        <v>8</v>
      </c>
      <c r="BI191" s="17" t="str" cm="1">
        <f t="array" ref="BI191">IF(OR(i_TE_sc_PartSA_5y_IO_TKI_OS=1,i_TE_sc_4and6y_IO_TKI_OS_absSurv=1),BT191,IF(OR(i_TE_sc_10y_all_IO=1,i_TE_sc_5and20y_all_IO=1),BS191,IF(i_no_TE_waning=1,"No",INDEX(J$118:J$180,MATCH(1,($BC191=$B$118:$B$180)*($BD191=$F$118:$F$180),0)))))</f>
        <v>No</v>
      </c>
      <c r="BJ191" s="17" t="str" cm="1">
        <f t="array" ref="BJ191">IF(i_TE_sc_4and6y_IO_TKI_OS_absSurv=1,BQ191,INDEX(K$118:K$180,MATCH(1,($BC191=$B$118:$B$180)*($BD191=$F$118:$F$180),0)))</f>
        <v>ref trt hazard</v>
      </c>
      <c r="BK191" s="17">
        <f t="shared" si="12"/>
        <v>0</v>
      </c>
      <c r="BL191" s="17">
        <f t="shared" si="13"/>
        <v>0</v>
      </c>
      <c r="BN191" s="274" cm="1">
        <f t="array" ref="BN191">INDEX(Q$118:Q$180,MATCH(1,($BC191=$B$118:$B$180)*($BD191=$F$118:$F$180),0))</f>
        <v>0</v>
      </c>
      <c r="BO191" s="274" cm="1">
        <f t="array" ref="BO191">INDEX(R$118:R$180,MATCH(1,($BC191=$B$118:$B$180)*($BD191=$F$118:$F$180),0))</f>
        <v>0</v>
      </c>
      <c r="BQ191" s="6" t="s">
        <v>149</v>
      </c>
      <c r="BS191" s="6" t="str" cm="1">
        <f t="array" ref="BS191">IF(AND(BE191=2,BC191=1,OR(i_TE_sc_10y_all_IO=1,i_TE_sc_5and20y_all_IO=1)),"Yes",IF(i_no_TE_waning=1,"No",INDEX(J$118:J$180,MATCH(1,($BC191=$B$118:$B$180)*($BD191=$F$118:$F$180),0))))</f>
        <v>No</v>
      </c>
      <c r="BT191" s="274" t="str">
        <f t="shared" si="14"/>
        <v>No</v>
      </c>
    </row>
    <row r="192" spans="2:72" x14ac:dyDescent="0.2">
      <c r="AZ192" s="657">
        <v>5</v>
      </c>
      <c r="BA192" s="17">
        <v>0</v>
      </c>
      <c r="BB192" s="17" t="s">
        <v>31</v>
      </c>
      <c r="BC192" s="17">
        <v>2</v>
      </c>
      <c r="BD192" s="17" t="str" cm="1">
        <f t="array" ref="BD192">INDEX(List_comparators,$AZ192)</f>
        <v>avelumab_plus_axitinib</v>
      </c>
      <c r="BE192" s="17">
        <f>INDEX(Lists!$L$51:$L$85,MATCH(BD192,Lists!$K$51:$K$85,0))</f>
        <v>4</v>
      </c>
      <c r="BF192" s="17" t="str">
        <f>INDEX(Lists!$S$51:$S$55,2)</f>
        <v>Progression free survival</v>
      </c>
      <c r="BG192" s="17">
        <f>INDEX(Lists!$T$51:$T$55,MATCH(BF192,Lists!$S$51:$S$55,0))</f>
        <v>1</v>
      </c>
      <c r="BH192" s="17">
        <f>VLOOKUP(VLOOKUP(BC192,$F$100:$I$103,2,FALSE),Lists!$K$50:$L$63,2,FALSE)</f>
        <v>8</v>
      </c>
      <c r="BI192" s="17" t="str" cm="1">
        <f t="array" ref="BI192">IF(OR(i_TE_sc_PartSA_5y_IO_TKI_OS=1,i_TE_sc_4and6y_IO_TKI_OS_absSurv=1),BT192,IF(OR(i_TE_sc_10y_all_IO=1,i_TE_sc_5and20y_all_IO=1),BS192,IF(i_no_TE_waning=1,"No",INDEX(J$118:J$180,MATCH(1,($BC192=$B$118:$B$180)*($BD192=$F$118:$F$180),0)))))</f>
        <v>No</v>
      </c>
      <c r="BJ192" s="17" t="str" cm="1">
        <f t="array" ref="BJ192">IF(i_TE_sc_4and6y_IO_TKI_OS_absSurv=1,BQ192,INDEX(K$118:K$180,MATCH(1,($BC192=$B$118:$B$180)*($BD192=$F$118:$F$180),0)))</f>
        <v>ref trt hazard</v>
      </c>
      <c r="BK192" s="17">
        <f t="shared" si="12"/>
        <v>0</v>
      </c>
      <c r="BL192" s="17">
        <f t="shared" si="13"/>
        <v>0</v>
      </c>
      <c r="BN192" s="274" cm="1">
        <f t="array" ref="BN192">INDEX(Q$118:Q$180,MATCH(1,($BC192=$B$118:$B$180)*($BD192=$F$118:$F$180),0))</f>
        <v>0</v>
      </c>
      <c r="BO192" s="274" cm="1">
        <f t="array" ref="BO192">INDEX(R$118:R$180,MATCH(1,($BC192=$B$118:$B$180)*($BD192=$F$118:$F$180),0))</f>
        <v>0</v>
      </c>
      <c r="BQ192" s="6" t="s">
        <v>149</v>
      </c>
      <c r="BS192" s="6" t="str" cm="1">
        <f t="array" ref="BS192">IF(AND(BE192=2,BC192=1,OR(i_TE_sc_10y_all_IO=1,i_TE_sc_5and20y_all_IO=1)),"Yes",IF(i_no_TE_waning=1,"No",INDEX(J$118:J$180,MATCH(1,($BC192=$B$118:$B$180)*($BD192=$F$118:$F$180),0))))</f>
        <v>No</v>
      </c>
      <c r="BT192" s="274" t="str">
        <f t="shared" si="14"/>
        <v>No</v>
      </c>
    </row>
    <row r="193" spans="52:72" x14ac:dyDescent="0.2">
      <c r="AZ193" s="657">
        <v>6</v>
      </c>
      <c r="BA193" s="17">
        <v>0</v>
      </c>
      <c r="BB193" s="17" t="s">
        <v>31</v>
      </c>
      <c r="BC193" s="17">
        <v>2</v>
      </c>
      <c r="BD193" s="17" t="str" cm="1">
        <f t="array" ref="BD193">INDEX(List_comparators,$AZ193)</f>
        <v>pazopanib</v>
      </c>
      <c r="BE193" s="17">
        <f>INDEX(Lists!$L$51:$L$85,MATCH(BD193,Lists!$K$51:$K$85,0))</f>
        <v>5</v>
      </c>
      <c r="BF193" s="17" t="str">
        <f>INDEX(Lists!$S$51:$S$55,2)</f>
        <v>Progression free survival</v>
      </c>
      <c r="BG193" s="17">
        <f>INDEX(Lists!$T$51:$T$55,MATCH(BF193,Lists!$S$51:$S$55,0))</f>
        <v>1</v>
      </c>
      <c r="BH193" s="17">
        <f>VLOOKUP(VLOOKUP(BC193,$F$100:$I$103,2,FALSE),Lists!$K$50:$L$63,2,FALSE)</f>
        <v>8</v>
      </c>
      <c r="BI193" s="17" t="str" cm="1">
        <f t="array" ref="BI193">IF(OR(i_TE_sc_PartSA_5y_IO_TKI_OS=1,i_TE_sc_4and6y_IO_TKI_OS_absSurv=1),BT193,IF(OR(i_TE_sc_10y_all_IO=1,i_TE_sc_5and20y_all_IO=1),BS193,IF(i_no_TE_waning=1,"No",INDEX(J$118:J$180,MATCH(1,($BC193=$B$118:$B$180)*($BD193=$F$118:$F$180),0)))))</f>
        <v>No</v>
      </c>
      <c r="BJ193" s="17" t="str" cm="1">
        <f t="array" ref="BJ193">IF(i_TE_sc_4and6y_IO_TKI_OS_absSurv=1,BQ193,INDEX(K$118:K$180,MATCH(1,($BC193=$B$118:$B$180)*($BD193=$F$118:$F$180),0)))</f>
        <v>ref trt hazard</v>
      </c>
      <c r="BK193" s="17">
        <f t="shared" si="12"/>
        <v>0</v>
      </c>
      <c r="BL193" s="17">
        <f t="shared" si="13"/>
        <v>0</v>
      </c>
      <c r="BN193" s="274" cm="1">
        <f t="array" ref="BN193">INDEX(Q$118:Q$180,MATCH(1,($BC193=$B$118:$B$180)*($BD193=$F$118:$F$180),0))</f>
        <v>0</v>
      </c>
      <c r="BO193" s="274" cm="1">
        <f t="array" ref="BO193">INDEX(R$118:R$180,MATCH(1,($BC193=$B$118:$B$180)*($BD193=$F$118:$F$180),0))</f>
        <v>0</v>
      </c>
      <c r="BQ193" s="6" t="s">
        <v>149</v>
      </c>
      <c r="BS193" s="6" t="str" cm="1">
        <f t="array" ref="BS193">IF(AND(BE193=2,BC193=1,OR(i_TE_sc_10y_all_IO=1,i_TE_sc_5and20y_all_IO=1)),"Yes",IF(i_no_TE_waning=1,"No",INDEX(J$118:J$180,MATCH(1,($BC193=$B$118:$B$180)*($BD193=$F$118:$F$180),0))))</f>
        <v>No</v>
      </c>
      <c r="BT193" s="274" t="str">
        <f t="shared" si="14"/>
        <v>No</v>
      </c>
    </row>
    <row r="194" spans="52:72" x14ac:dyDescent="0.2">
      <c r="AZ194" s="657">
        <v>7</v>
      </c>
      <c r="BA194" s="17">
        <v>0</v>
      </c>
      <c r="BB194" s="17" t="s">
        <v>31</v>
      </c>
      <c r="BC194" s="17">
        <v>2</v>
      </c>
      <c r="BD194" s="17" t="str" cm="1">
        <f t="array" ref="BD194">INDEX(List_comparators,$AZ194)</f>
        <v>tivozanib</v>
      </c>
      <c r="BE194" s="17">
        <f>INDEX(Lists!$L$51:$L$85,MATCH(BD194,Lists!$K$51:$K$85,0))</f>
        <v>6</v>
      </c>
      <c r="BF194" s="17" t="str">
        <f>INDEX(Lists!$S$51:$S$55,2)</f>
        <v>Progression free survival</v>
      </c>
      <c r="BG194" s="17">
        <f>INDEX(Lists!$T$51:$T$55,MATCH(BF194,Lists!$S$51:$S$55,0))</f>
        <v>1</v>
      </c>
      <c r="BH194" s="17">
        <f>VLOOKUP(VLOOKUP(BC194,$F$100:$I$103,2,FALSE),Lists!$K$50:$L$63,2,FALSE)</f>
        <v>8</v>
      </c>
      <c r="BI194" s="17" t="str" cm="1">
        <f t="array" ref="BI194">IF(OR(i_TE_sc_PartSA_5y_IO_TKI_OS=1,i_TE_sc_4and6y_IO_TKI_OS_absSurv=1),BT194,IF(OR(i_TE_sc_10y_all_IO=1,i_TE_sc_5and20y_all_IO=1),BS194,IF(i_no_TE_waning=1,"No",INDEX(J$118:J$180,MATCH(1,($BC194=$B$118:$B$180)*($BD194=$F$118:$F$180),0)))))</f>
        <v>No</v>
      </c>
      <c r="BJ194" s="17" t="str" cm="1">
        <f t="array" ref="BJ194">IF(i_TE_sc_4and6y_IO_TKI_OS_absSurv=1,BQ194,INDEX(K$118:K$180,MATCH(1,($BC194=$B$118:$B$180)*($BD194=$F$118:$F$180),0)))</f>
        <v>ref trt hazard</v>
      </c>
      <c r="BK194" s="17">
        <f t="shared" si="12"/>
        <v>0</v>
      </c>
      <c r="BL194" s="17">
        <f t="shared" si="13"/>
        <v>0</v>
      </c>
      <c r="BN194" s="274" cm="1">
        <f t="array" ref="BN194">INDEX(Q$118:Q$180,MATCH(1,($BC194=$B$118:$B$180)*($BD194=$F$118:$F$180),0))</f>
        <v>0</v>
      </c>
      <c r="BO194" s="274" cm="1">
        <f t="array" ref="BO194">INDEX(R$118:R$180,MATCH(1,($BC194=$B$118:$B$180)*($BD194=$F$118:$F$180),0))</f>
        <v>0</v>
      </c>
      <c r="BQ194" s="6" t="s">
        <v>149</v>
      </c>
      <c r="BS194" s="6" t="str" cm="1">
        <f t="array" ref="BS194">IF(AND(BE194=2,BC194=1,OR(i_TE_sc_10y_all_IO=1,i_TE_sc_5and20y_all_IO=1)),"Yes",IF(i_no_TE_waning=1,"No",INDEX(J$118:J$180,MATCH(1,($BC194=$B$118:$B$180)*($BD194=$F$118:$F$180),0))))</f>
        <v>No</v>
      </c>
      <c r="BT194" s="274" t="str">
        <f t="shared" si="14"/>
        <v>No</v>
      </c>
    </row>
    <row r="195" spans="52:72" x14ac:dyDescent="0.2">
      <c r="AZ195" s="657">
        <v>8</v>
      </c>
      <c r="BA195" s="17">
        <v>0</v>
      </c>
      <c r="BB195" s="17" t="s">
        <v>31</v>
      </c>
      <c r="BC195" s="17">
        <v>2</v>
      </c>
      <c r="BD195" s="17" t="str" cm="1">
        <f t="array" ref="BD195">INDEX(List_comparators,$AZ195)</f>
        <v>sunitinib</v>
      </c>
      <c r="BE195" s="17">
        <f>INDEX(Lists!$L$51:$L$85,MATCH(BD195,Lists!$K$51:$K$85,0))</f>
        <v>7</v>
      </c>
      <c r="BF195" s="17" t="str">
        <f>INDEX(Lists!$S$51:$S$55,2)</f>
        <v>Progression free survival</v>
      </c>
      <c r="BG195" s="17">
        <f>INDEX(Lists!$T$51:$T$55,MATCH(BF195,Lists!$S$51:$S$55,0))</f>
        <v>1</v>
      </c>
      <c r="BH195" s="17">
        <f>VLOOKUP(VLOOKUP(BC195,$F$100:$I$103,2,FALSE),Lists!$K$50:$L$63,2,FALSE)</f>
        <v>8</v>
      </c>
      <c r="BI195" s="17" t="str" cm="1">
        <f t="array" ref="BI195">IF(OR(i_TE_sc_PartSA_5y_IO_TKI_OS=1,i_TE_sc_4and6y_IO_TKI_OS_absSurv=1),BT195,IF(OR(i_TE_sc_10y_all_IO=1,i_TE_sc_5and20y_all_IO=1),BS195,IF(i_no_TE_waning=1,"No",INDEX(J$118:J$180,MATCH(1,($BC195=$B$118:$B$180)*($BD195=$F$118:$F$180),0)))))</f>
        <v>No</v>
      </c>
      <c r="BJ195" s="17" t="str" cm="1">
        <f t="array" ref="BJ195">IF(i_TE_sc_4and6y_IO_TKI_OS_absSurv=1,BQ195,INDEX(K$118:K$180,MATCH(1,($BC195=$B$118:$B$180)*($BD195=$F$118:$F$180),0)))</f>
        <v>ref trt hazard</v>
      </c>
      <c r="BK195" s="17">
        <f t="shared" si="12"/>
        <v>0</v>
      </c>
      <c r="BL195" s="17">
        <f t="shared" si="13"/>
        <v>0</v>
      </c>
      <c r="BN195" s="274" cm="1">
        <f t="array" ref="BN195">INDEX(Q$118:Q$180,MATCH(1,($BC195=$B$118:$B$180)*($BD195=$F$118:$F$180),0))</f>
        <v>0</v>
      </c>
      <c r="BO195" s="274" cm="1">
        <f t="array" ref="BO195">INDEX(R$118:R$180,MATCH(1,($BC195=$B$118:$B$180)*($BD195=$F$118:$F$180),0))</f>
        <v>0</v>
      </c>
      <c r="BQ195" s="6" t="s">
        <v>149</v>
      </c>
      <c r="BS195" s="6" t="str" cm="1">
        <f t="array" ref="BS195">IF(AND(BE195=2,BC195=1,OR(i_TE_sc_10y_all_IO=1,i_TE_sc_5and20y_all_IO=1)),"Yes",IF(i_no_TE_waning=1,"No",INDEX(J$118:J$180,MATCH(1,($BC195=$B$118:$B$180)*($BD195=$F$118:$F$180),0))))</f>
        <v>No</v>
      </c>
      <c r="BT195" s="274" t="str">
        <f t="shared" si="14"/>
        <v>No</v>
      </c>
    </row>
    <row r="196" spans="52:72" x14ac:dyDescent="0.2">
      <c r="AZ196" s="657">
        <v>9</v>
      </c>
      <c r="BA196" s="17">
        <v>0</v>
      </c>
      <c r="BB196" s="17" t="s">
        <v>31</v>
      </c>
      <c r="BC196" s="17">
        <v>2</v>
      </c>
      <c r="BD196" s="17" t="str" cm="1">
        <f t="array" ref="BD196">INDEX(List_comparators,$AZ196)</f>
        <v>cabozantinib</v>
      </c>
      <c r="BE196" s="17">
        <f>INDEX(Lists!$L$51:$L$85,MATCH(BD196,Lists!$K$51:$K$85,0))</f>
        <v>8</v>
      </c>
      <c r="BF196" s="17" t="str">
        <f>INDEX(Lists!$S$51:$S$55,2)</f>
        <v>Progression free survival</v>
      </c>
      <c r="BG196" s="17">
        <f>INDEX(Lists!$T$51:$T$55,MATCH(BF196,Lists!$S$51:$S$55,0))</f>
        <v>1</v>
      </c>
      <c r="BH196" s="17">
        <f>VLOOKUP(VLOOKUP(BC196,$F$100:$I$103,2,FALSE),Lists!$K$50:$L$63,2,FALSE)</f>
        <v>8</v>
      </c>
      <c r="BI196" s="17" t="str" cm="1">
        <f t="array" ref="BI196">IF(OR(i_TE_sc_PartSA_5y_IO_TKI_OS=1,i_TE_sc_4and6y_IO_TKI_OS_absSurv=1),BT196,IF(OR(i_TE_sc_10y_all_IO=1,i_TE_sc_5and20y_all_IO=1),BS196,IF(i_no_TE_waning=1,"No",INDEX(J$118:J$180,MATCH(1,($BC196=$B$118:$B$180)*($BD196=$F$118:$F$180),0)))))</f>
        <v>No</v>
      </c>
      <c r="BJ196" s="17" t="str" cm="1">
        <f t="array" ref="BJ196">IF(i_TE_sc_4and6y_IO_TKI_OS_absSurv=1,BQ196,INDEX(K$118:K$180,MATCH(1,($BC196=$B$118:$B$180)*($BD196=$F$118:$F$180),0)))</f>
        <v>ref trt hazard</v>
      </c>
      <c r="BK196" s="17">
        <f t="shared" si="12"/>
        <v>0</v>
      </c>
      <c r="BL196" s="17">
        <f t="shared" si="13"/>
        <v>0</v>
      </c>
      <c r="BN196" s="274" cm="1">
        <f t="array" ref="BN196">INDEX(Q$118:Q$180,MATCH(1,($BC196=$B$118:$B$180)*($BD196=$F$118:$F$180),0))</f>
        <v>0</v>
      </c>
      <c r="BO196" s="274" cm="1">
        <f t="array" ref="BO196">INDEX(R$118:R$180,MATCH(1,($BC196=$B$118:$B$180)*($BD196=$F$118:$F$180),0))</f>
        <v>0</v>
      </c>
      <c r="BQ196" s="6" t="s">
        <v>149</v>
      </c>
      <c r="BS196" s="6" t="str" cm="1">
        <f t="array" ref="BS196">IF(AND(BE196=2,BC196=1,OR(i_TE_sc_10y_all_IO=1,i_TE_sc_5and20y_all_IO=1)),"Yes",IF(i_no_TE_waning=1,"No",INDEX(J$118:J$180,MATCH(1,($BC196=$B$118:$B$180)*($BD196=$F$118:$F$180),0))))</f>
        <v>No</v>
      </c>
      <c r="BT196" s="274" t="str">
        <f t="shared" si="14"/>
        <v>No</v>
      </c>
    </row>
    <row r="197" spans="52:72" x14ac:dyDescent="0.2">
      <c r="AZ197" s="657">
        <v>10</v>
      </c>
      <c r="BA197" s="17">
        <v>0</v>
      </c>
      <c r="BB197" s="17" t="s">
        <v>31</v>
      </c>
      <c r="BC197" s="17">
        <v>2</v>
      </c>
      <c r="BD197" s="17" t="str" cm="1">
        <f t="array" ref="BD197">INDEX(List_comparators,$AZ197)</f>
        <v>lenvatinib_plus_everolimus</v>
      </c>
      <c r="BE197" s="17">
        <f>INDEX(Lists!$L$51:$L$85,MATCH(BD197,Lists!$K$51:$K$85,0))</f>
        <v>9</v>
      </c>
      <c r="BF197" s="17" t="str">
        <f>INDEX(Lists!$S$51:$S$55,2)</f>
        <v>Progression free survival</v>
      </c>
      <c r="BG197" s="17">
        <f>INDEX(Lists!$T$51:$T$55,MATCH(BF197,Lists!$S$51:$S$55,0))</f>
        <v>1</v>
      </c>
      <c r="BH197" s="17">
        <f>VLOOKUP(VLOOKUP(BC197,$F$100:$I$103,2,FALSE),Lists!$K$50:$L$63,2,FALSE)</f>
        <v>8</v>
      </c>
      <c r="BI197" s="17" t="str" cm="1">
        <f t="array" ref="BI197">IF(OR(i_TE_sc_PartSA_5y_IO_TKI_OS=1,i_TE_sc_4and6y_IO_TKI_OS_absSurv=1),BT197,IF(OR(i_TE_sc_10y_all_IO=1,i_TE_sc_5and20y_all_IO=1),BS197,IF(i_no_TE_waning=1,"No",INDEX(J$118:J$180,MATCH(1,($BC197=$B$118:$B$180)*($BD197=$F$118:$F$180),0)))))</f>
        <v>No</v>
      </c>
      <c r="BJ197" s="17" t="str" cm="1">
        <f t="array" ref="BJ197">IF(i_TE_sc_4and6y_IO_TKI_OS_absSurv=1,BQ197,INDEX(K$118:K$180,MATCH(1,($BC197=$B$118:$B$180)*($BD197=$F$118:$F$180),0)))</f>
        <v>ref trt hazard</v>
      </c>
      <c r="BK197" s="17">
        <f t="shared" si="12"/>
        <v>0</v>
      </c>
      <c r="BL197" s="17">
        <f t="shared" si="13"/>
        <v>0</v>
      </c>
      <c r="BN197" s="274" cm="1">
        <f t="array" ref="BN197">INDEX(Q$118:Q$180,MATCH(1,($BC197=$B$118:$B$180)*($BD197=$F$118:$F$180),0))</f>
        <v>0</v>
      </c>
      <c r="BO197" s="274" cm="1">
        <f t="array" ref="BO197">INDEX(R$118:R$180,MATCH(1,($BC197=$B$118:$B$180)*($BD197=$F$118:$F$180),0))</f>
        <v>0</v>
      </c>
      <c r="BQ197" s="6" t="s">
        <v>149</v>
      </c>
      <c r="BS197" s="6" t="str" cm="1">
        <f t="array" ref="BS197">IF(AND(BE197=2,BC197=1,OR(i_TE_sc_10y_all_IO=1,i_TE_sc_5and20y_all_IO=1)),"Yes",IF(i_no_TE_waning=1,"No",INDEX(J$118:J$180,MATCH(1,($BC197=$B$118:$B$180)*($BD197=$F$118:$F$180),0))))</f>
        <v>No</v>
      </c>
      <c r="BT197" s="274" t="str">
        <f t="shared" si="14"/>
        <v>No</v>
      </c>
    </row>
    <row r="198" spans="52:72" x14ac:dyDescent="0.2">
      <c r="AZ198" s="657">
        <v>11</v>
      </c>
      <c r="BA198" s="17">
        <v>0</v>
      </c>
      <c r="BB198" s="17" t="s">
        <v>31</v>
      </c>
      <c r="BC198" s="17">
        <v>2</v>
      </c>
      <c r="BD198" s="17" t="str" cm="1">
        <f t="array" ref="BD198">INDEX(List_comparators,$AZ198)</f>
        <v>everolimus</v>
      </c>
      <c r="BE198" s="17">
        <f>INDEX(Lists!$L$51:$L$85,MATCH(BD198,Lists!$K$51:$K$85,0))</f>
        <v>10</v>
      </c>
      <c r="BF198" s="17" t="str">
        <f>INDEX(Lists!$S$51:$S$55,2)</f>
        <v>Progression free survival</v>
      </c>
      <c r="BG198" s="17">
        <f>INDEX(Lists!$T$51:$T$55,MATCH(BF198,Lists!$S$51:$S$55,0))</f>
        <v>1</v>
      </c>
      <c r="BH198" s="17">
        <f>VLOOKUP(VLOOKUP(BC198,$F$100:$I$103,2,FALSE),Lists!$K$50:$L$63,2,FALSE)</f>
        <v>8</v>
      </c>
      <c r="BI198" s="17" t="str" cm="1">
        <f t="array" ref="BI198">IF(OR(i_TE_sc_PartSA_5y_IO_TKI_OS=1,i_TE_sc_4and6y_IO_TKI_OS_absSurv=1),BT198,IF(OR(i_TE_sc_10y_all_IO=1,i_TE_sc_5and20y_all_IO=1),BS198,IF(i_no_TE_waning=1,"No",INDEX(J$118:J$180,MATCH(1,($BC198=$B$118:$B$180)*($BD198=$F$118:$F$180),0)))))</f>
        <v>No</v>
      </c>
      <c r="BJ198" s="17" t="str" cm="1">
        <f t="array" ref="BJ198">IF(i_TE_sc_4and6y_IO_TKI_OS_absSurv=1,BQ198,INDEX(K$118:K$180,MATCH(1,($BC198=$B$118:$B$180)*($BD198=$F$118:$F$180),0)))</f>
        <v>ref trt hazard</v>
      </c>
      <c r="BK198" s="17">
        <f t="shared" si="12"/>
        <v>0</v>
      </c>
      <c r="BL198" s="17">
        <f t="shared" si="13"/>
        <v>0</v>
      </c>
      <c r="BN198" s="274" cm="1">
        <f t="array" ref="BN198">INDEX(Q$118:Q$180,MATCH(1,($BC198=$B$118:$B$180)*($BD198=$F$118:$F$180),0))</f>
        <v>0</v>
      </c>
      <c r="BO198" s="274" cm="1">
        <f t="array" ref="BO198">INDEX(R$118:R$180,MATCH(1,($BC198=$B$118:$B$180)*($BD198=$F$118:$F$180),0))</f>
        <v>0</v>
      </c>
      <c r="BQ198" s="6" t="s">
        <v>149</v>
      </c>
      <c r="BS198" s="6" t="str" cm="1">
        <f t="array" ref="BS198">IF(AND(BE198=2,BC198=1,OR(i_TE_sc_10y_all_IO=1,i_TE_sc_5and20y_all_IO=1)),"Yes",IF(i_no_TE_waning=1,"No",INDEX(J$118:J$180,MATCH(1,($BC198=$B$118:$B$180)*($BD198=$F$118:$F$180),0))))</f>
        <v>No</v>
      </c>
      <c r="BT198" s="274" t="str">
        <f t="shared" si="14"/>
        <v>No</v>
      </c>
    </row>
    <row r="199" spans="52:72" x14ac:dyDescent="0.2">
      <c r="AZ199" s="657">
        <v>12</v>
      </c>
      <c r="BA199" s="17">
        <v>0</v>
      </c>
      <c r="BB199" s="17" t="s">
        <v>31</v>
      </c>
      <c r="BC199" s="17">
        <v>2</v>
      </c>
      <c r="BD199" s="17" t="str" cm="1">
        <f t="array" ref="BD199">INDEX(List_comparators,$AZ199)</f>
        <v>axitinib</v>
      </c>
      <c r="BE199" s="17">
        <f>INDEX(Lists!$L$51:$L$85,MATCH(BD199,Lists!$K$51:$K$85,0))</f>
        <v>11</v>
      </c>
      <c r="BF199" s="17" t="str">
        <f>INDEX(Lists!$S$51:$S$55,2)</f>
        <v>Progression free survival</v>
      </c>
      <c r="BG199" s="17">
        <f>INDEX(Lists!$T$51:$T$55,MATCH(BF199,Lists!$S$51:$S$55,0))</f>
        <v>1</v>
      </c>
      <c r="BH199" s="17">
        <f>VLOOKUP(VLOOKUP(BC199,$F$100:$I$103,2,FALSE),Lists!$K$50:$L$63,2,FALSE)</f>
        <v>8</v>
      </c>
      <c r="BI199" s="17" t="str" cm="1">
        <f t="array" ref="BI199">IF(OR(i_TE_sc_PartSA_5y_IO_TKI_OS=1,i_TE_sc_4and6y_IO_TKI_OS_absSurv=1),BT199,IF(OR(i_TE_sc_10y_all_IO=1,i_TE_sc_5and20y_all_IO=1),BS199,IF(i_no_TE_waning=1,"No",INDEX(J$118:J$180,MATCH(1,($BC199=$B$118:$B$180)*($BD199=$F$118:$F$180),0)))))</f>
        <v>No</v>
      </c>
      <c r="BJ199" s="17" t="str" cm="1">
        <f t="array" ref="BJ199">IF(i_TE_sc_4and6y_IO_TKI_OS_absSurv=1,BQ199,INDEX(K$118:K$180,MATCH(1,($BC199=$B$118:$B$180)*($BD199=$F$118:$F$180),0)))</f>
        <v>ref trt hazard</v>
      </c>
      <c r="BK199" s="17">
        <f t="shared" si="12"/>
        <v>0</v>
      </c>
      <c r="BL199" s="17">
        <f t="shared" si="13"/>
        <v>0</v>
      </c>
      <c r="BN199" s="274" cm="1">
        <f t="array" ref="BN199">INDEX(Q$118:Q$180,MATCH(1,($BC199=$B$118:$B$180)*($BD199=$F$118:$F$180),0))</f>
        <v>0</v>
      </c>
      <c r="BO199" s="274" cm="1">
        <f t="array" ref="BO199">INDEX(R$118:R$180,MATCH(1,($BC199=$B$118:$B$180)*($BD199=$F$118:$F$180),0))</f>
        <v>0</v>
      </c>
      <c r="BQ199" s="6" t="s">
        <v>149</v>
      </c>
      <c r="BS199" s="6" t="str" cm="1">
        <f t="array" ref="BS199">IF(AND(BE199=2,BC199=1,OR(i_TE_sc_10y_all_IO=1,i_TE_sc_5and20y_all_IO=1)),"Yes",IF(i_no_TE_waning=1,"No",INDEX(J$118:J$180,MATCH(1,($BC199=$B$118:$B$180)*($BD199=$F$118:$F$180),0))))</f>
        <v>No</v>
      </c>
      <c r="BT199" s="274" t="str">
        <f t="shared" si="14"/>
        <v>No</v>
      </c>
    </row>
    <row r="200" spans="52:72" x14ac:dyDescent="0.2">
      <c r="AZ200" s="657">
        <v>13</v>
      </c>
      <c r="BA200" s="17">
        <v>0</v>
      </c>
      <c r="BB200" s="17" t="s">
        <v>31</v>
      </c>
      <c r="BC200" s="17">
        <v>2</v>
      </c>
      <c r="BD200" s="17" t="str" cm="1">
        <f t="array" ref="BD200">INDEX(List_comparators,$AZ200)</f>
        <v>sorafenib</v>
      </c>
      <c r="BE200" s="17">
        <f>INDEX(Lists!$L$51:$L$85,MATCH(BD200,Lists!$K$51:$K$85,0))</f>
        <v>12</v>
      </c>
      <c r="BF200" s="17" t="str">
        <f>INDEX(Lists!$S$51:$S$55,2)</f>
        <v>Progression free survival</v>
      </c>
      <c r="BG200" s="17">
        <f>INDEX(Lists!$T$51:$T$55,MATCH(BF200,Lists!$S$51:$S$55,0))</f>
        <v>1</v>
      </c>
      <c r="BH200" s="17">
        <f>VLOOKUP(VLOOKUP(BC200,$F$100:$I$103,2,FALSE),Lists!$K$50:$L$63,2,FALSE)</f>
        <v>8</v>
      </c>
      <c r="BI200" s="17" t="str" cm="1">
        <f t="array" ref="BI200">IF(OR(i_TE_sc_PartSA_5y_IO_TKI_OS=1,i_TE_sc_4and6y_IO_TKI_OS_absSurv=1),BT200,IF(OR(i_TE_sc_10y_all_IO=1,i_TE_sc_5and20y_all_IO=1),BS200,IF(i_no_TE_waning=1,"No",INDEX(J$118:J$180,MATCH(1,($BC200=$B$118:$B$180)*($BD200=$F$118:$F$180),0)))))</f>
        <v>No</v>
      </c>
      <c r="BJ200" s="17" t="str" cm="1">
        <f t="array" ref="BJ200">IF(i_TE_sc_4and6y_IO_TKI_OS_absSurv=1,BQ200,INDEX(K$118:K$180,MATCH(1,($BC200=$B$118:$B$180)*($BD200=$F$118:$F$180),0)))</f>
        <v>ref trt hazard</v>
      </c>
      <c r="BK200" s="17">
        <f t="shared" si="12"/>
        <v>0</v>
      </c>
      <c r="BL200" s="17">
        <f t="shared" si="13"/>
        <v>0</v>
      </c>
      <c r="BN200" s="274" cm="1">
        <f t="array" ref="BN200">INDEX(Q$118:Q$180,MATCH(1,($BC200=$B$118:$B$180)*($BD200=$F$118:$F$180),0))</f>
        <v>0</v>
      </c>
      <c r="BO200" s="274" cm="1">
        <f t="array" ref="BO200">INDEX(R$118:R$180,MATCH(1,($BC200=$B$118:$B$180)*($BD200=$F$118:$F$180),0))</f>
        <v>0</v>
      </c>
      <c r="BQ200" s="6" t="s">
        <v>149</v>
      </c>
      <c r="BS200" s="6" t="str" cm="1">
        <f t="array" ref="BS200">IF(AND(BE200=2,BC200=1,OR(i_TE_sc_10y_all_IO=1,i_TE_sc_5and20y_all_IO=1)),"Yes",IF(i_no_TE_waning=1,"No",INDEX(J$118:J$180,MATCH(1,($BC200=$B$118:$B$180)*($BD200=$F$118:$F$180),0))))</f>
        <v>No</v>
      </c>
      <c r="BT200" s="274" t="str">
        <f t="shared" si="14"/>
        <v>No</v>
      </c>
    </row>
    <row r="201" spans="52:72" x14ac:dyDescent="0.2">
      <c r="AZ201" s="657">
        <v>14</v>
      </c>
      <c r="BA201" s="17">
        <v>0</v>
      </c>
      <c r="BB201" s="17" t="s">
        <v>31</v>
      </c>
      <c r="BC201" s="17">
        <v>2</v>
      </c>
      <c r="BD201" s="17" t="str" cm="1">
        <f t="array" ref="BD201">INDEX(List_comparators,$AZ201)</f>
        <v>placebo_BSC</v>
      </c>
      <c r="BE201" s="17">
        <f>INDEX(Lists!$L$51:$L$85,MATCH(BD201,Lists!$K$51:$K$85,0))</f>
        <v>999</v>
      </c>
      <c r="BF201" s="17" t="str">
        <f>INDEX(Lists!$S$51:$S$55,2)</f>
        <v>Progression free survival</v>
      </c>
      <c r="BG201" s="17">
        <f>INDEX(Lists!$T$51:$T$55,MATCH(BF201,Lists!$S$51:$S$55,0))</f>
        <v>1</v>
      </c>
      <c r="BH201" s="17">
        <f>VLOOKUP(VLOOKUP(BC201,$F$100:$I$103,2,FALSE),Lists!$K$50:$L$63,2,FALSE)</f>
        <v>8</v>
      </c>
      <c r="BI201" s="17" t="str" cm="1">
        <f t="array" ref="BI201">IF(OR(i_TE_sc_PartSA_5y_IO_TKI_OS=1,i_TE_sc_4and6y_IO_TKI_OS_absSurv=1),BT201,IF(OR(i_TE_sc_10y_all_IO=1,i_TE_sc_5and20y_all_IO=1),BS201,IF(i_no_TE_waning=1,"No",INDEX(J$118:J$180,MATCH(1,($BC201=$B$118:$B$180)*($BD201=$F$118:$F$180),0)))))</f>
        <v>No</v>
      </c>
      <c r="BJ201" s="17" cm="1">
        <f t="array" ref="BJ201">IF(i_TE_sc_4and6y_IO_TKI_OS_absSurv=1,BQ201,INDEX(K$118:K$180,MATCH(1,($BC201=$B$118:$B$180)*($BD201=$F$118:$F$180),0)))</f>
        <v>0</v>
      </c>
      <c r="BK201" s="17">
        <f t="shared" si="12"/>
        <v>0</v>
      </c>
      <c r="BL201" s="17">
        <f t="shared" si="13"/>
        <v>0</v>
      </c>
      <c r="BN201" s="274" cm="1">
        <f t="array" ref="BN201">INDEX(Q$118:Q$180,MATCH(1,($BC201=$B$118:$B$180)*($BD201=$F$118:$F$180),0))</f>
        <v>0</v>
      </c>
      <c r="BO201" s="274" cm="1">
        <f t="array" ref="BO201">INDEX(R$118:R$180,MATCH(1,($BC201=$B$118:$B$180)*($BD201=$F$118:$F$180),0))</f>
        <v>0</v>
      </c>
      <c r="BS201" s="6" t="str" cm="1">
        <f t="array" ref="BS201">IF(AND(BE201=2,BC201=1,OR(i_TE_sc_10y_all_IO=1,i_TE_sc_5and20y_all_IO=1)),"Yes",IF(i_no_TE_waning=1,"No",INDEX(J$118:J$180,MATCH(1,($BC201=$B$118:$B$180)*($BD201=$F$118:$F$180),0))))</f>
        <v>No</v>
      </c>
      <c r="BT201" s="274" t="str">
        <f t="shared" si="14"/>
        <v>No</v>
      </c>
    </row>
    <row r="202" spans="52:72" x14ac:dyDescent="0.2">
      <c r="AZ202" s="657">
        <v>1</v>
      </c>
      <c r="BA202" s="17">
        <v>0</v>
      </c>
      <c r="BB202" s="17" t="s">
        <v>31</v>
      </c>
      <c r="BC202" s="17">
        <v>2</v>
      </c>
      <c r="BD202" s="17" t="str" cm="1">
        <f t="array" ref="BD202">INDEX(List_comparators,$AZ202)</f>
        <v>nivolumab_monotherapy</v>
      </c>
      <c r="BE202" s="17">
        <f>INDEX(Lists!$L$51:$L$85,MATCH(BD202,Lists!$K$51:$K$85,0))</f>
        <v>0</v>
      </c>
      <c r="BF202" s="17" t="str">
        <f>INDEX(Lists!$S$51:$S$55,3)</f>
        <v>Time to treatment discontinuation</v>
      </c>
      <c r="BG202" s="17">
        <f>INDEX(Lists!$T$51:$T$55,MATCH(BF202,Lists!$S$51:$S$55,0))</f>
        <v>2</v>
      </c>
      <c r="BH202" s="17">
        <f>VLOOKUP(VLOOKUP(BC202,$F$100:$I$103,2,FALSE),Lists!$K$50:$L$63,2,FALSE)</f>
        <v>8</v>
      </c>
      <c r="BI202" s="17" t="str" cm="1">
        <f t="array" ref="BI202">IF(OR(i_TE_sc_PartSA_5y_IO_TKI_OS=1,i_TE_sc_4and6y_IO_TKI_OS_absSurv=1),BT202,IF(OR(i_TE_sc_10y_all_IO=1,i_TE_sc_5and20y_all_IO=1),BS202,IF(i_no_TE_waning=1,"No",INDEX(J$118:J$180,MATCH(1,($BC202=$B$118:$B$180)*($BD202=$F$118:$F$180),0)))))</f>
        <v>No</v>
      </c>
      <c r="BJ202" s="17" t="str" cm="1">
        <f t="array" ref="BJ202">IF(i_TE_sc_4and6y_IO_TKI_OS_absSurv=1,BQ202,INDEX(K$118:K$180,MATCH(1,($BC202=$B$118:$B$180)*($BD202=$F$118:$F$180),0)))</f>
        <v>ref trt hazard</v>
      </c>
      <c r="BK202" s="17">
        <f t="shared" si="12"/>
        <v>0</v>
      </c>
      <c r="BL202" s="17">
        <f t="shared" si="13"/>
        <v>0</v>
      </c>
      <c r="BN202" s="274" cm="1">
        <f t="array" ref="BN202">INDEX(V$118:V$180,MATCH(1,($BC202=$B$118:$B$180)*($BD202=$F$118:$F$180),0))</f>
        <v>0</v>
      </c>
      <c r="BO202" s="274" cm="1">
        <f t="array" ref="BO202">INDEX(W$118:W$180,MATCH(1,($BC202=$B$118:$B$180)*($BD202=$F$118:$F$180),0))</f>
        <v>0</v>
      </c>
      <c r="BQ202" s="6" t="s">
        <v>149</v>
      </c>
      <c r="BS202" s="6" t="str" cm="1">
        <f t="array" ref="BS202">IF(AND(BE202=2,BC202=1,OR(i_TE_sc_10y_all_IO=1,i_TE_sc_5and20y_all_IO=1)),"Yes",IF(i_no_TE_waning=1,"No",INDEX(J$118:J$180,MATCH(1,($BC202=$B$118:$B$180)*($BD202=$F$118:$F$180),0))))</f>
        <v>No</v>
      </c>
      <c r="BT202" s="274" t="str">
        <f t="shared" si="14"/>
        <v>No</v>
      </c>
    </row>
    <row r="203" spans="52:72" x14ac:dyDescent="0.2">
      <c r="AZ203" s="657">
        <v>2</v>
      </c>
      <c r="BA203" s="17">
        <v>0</v>
      </c>
      <c r="BB203" s="17" t="s">
        <v>31</v>
      </c>
      <c r="BC203" s="17">
        <v>2</v>
      </c>
      <c r="BD203" s="17" t="str" cm="1">
        <f t="array" ref="BD203">INDEX(List_comparators,$AZ203)</f>
        <v>cabozantinib_plus_nivolumab</v>
      </c>
      <c r="BE203" s="17">
        <f>INDEX(Lists!$L$51:$L$85,MATCH(BD203,Lists!$K$51:$K$85,0))</f>
        <v>1</v>
      </c>
      <c r="BF203" s="17" t="str">
        <f>INDEX(Lists!$S$51:$S$55,3)</f>
        <v>Time to treatment discontinuation</v>
      </c>
      <c r="BG203" s="17">
        <f>INDEX(Lists!$T$51:$T$55,MATCH(BF203,Lists!$S$51:$S$55,0))</f>
        <v>2</v>
      </c>
      <c r="BH203" s="17">
        <f>VLOOKUP(VLOOKUP(BC203,$F$100:$I$103,2,FALSE),Lists!$K$50:$L$63,2,FALSE)</f>
        <v>8</v>
      </c>
      <c r="BI203" s="17" t="str" cm="1">
        <f t="array" ref="BI203">IF(OR(i_TE_sc_PartSA_5y_IO_TKI_OS=1,i_TE_sc_4and6y_IO_TKI_OS_absSurv=1),BT203,IF(OR(i_TE_sc_10y_all_IO=1,i_TE_sc_5and20y_all_IO=1),BS203,IF(i_no_TE_waning=1,"No",INDEX(J$118:J$180,MATCH(1,($BC203=$B$118:$B$180)*($BD203=$F$118:$F$180),0)))))</f>
        <v>No</v>
      </c>
      <c r="BJ203" s="17" t="str" cm="1">
        <f t="array" ref="BJ203">IF(i_TE_sc_4and6y_IO_TKI_OS_absSurv=1,BQ203,INDEX(K$118:K$180,MATCH(1,($BC203=$B$118:$B$180)*($BD203=$F$118:$F$180),0)))</f>
        <v>ref trt hazard</v>
      </c>
      <c r="BK203" s="17">
        <f t="shared" si="12"/>
        <v>0</v>
      </c>
      <c r="BL203" s="17">
        <f t="shared" si="13"/>
        <v>0</v>
      </c>
      <c r="BN203" s="274" cm="1">
        <f t="array" ref="BN203">INDEX(V$118:V$180,MATCH(1,($BC203=$B$118:$B$180)*($BD203=$F$118:$F$180),0))</f>
        <v>0</v>
      </c>
      <c r="BO203" s="274" cm="1">
        <f t="array" ref="BO203">INDEX(W$118:W$180,MATCH(1,($BC203=$B$118:$B$180)*($BD203=$F$118:$F$180),0))</f>
        <v>0</v>
      </c>
      <c r="BQ203" s="6" t="s">
        <v>149</v>
      </c>
      <c r="BS203" s="6" t="str" cm="1">
        <f t="array" ref="BS203">IF(AND(BE203=2,BC203=1,OR(i_TE_sc_10y_all_IO=1,i_TE_sc_5and20y_all_IO=1)),"Yes",IF(i_no_TE_waning=1,"No",INDEX(J$118:J$180,MATCH(1,($BC203=$B$118:$B$180)*($BD203=$F$118:$F$180),0))))</f>
        <v>No</v>
      </c>
      <c r="BT203" s="274" t="str">
        <f t="shared" si="14"/>
        <v>No</v>
      </c>
    </row>
    <row r="204" spans="52:72" x14ac:dyDescent="0.2">
      <c r="AZ204" s="657">
        <v>3</v>
      </c>
      <c r="BA204" s="17">
        <v>0</v>
      </c>
      <c r="BB204" s="17" t="s">
        <v>31</v>
      </c>
      <c r="BC204" s="17">
        <v>2</v>
      </c>
      <c r="BD204" s="17" t="str" cm="1">
        <f t="array" ref="BD204">INDEX(List_comparators,$AZ204)</f>
        <v>nivolumab_plus_ipilimumab</v>
      </c>
      <c r="BE204" s="17">
        <f>INDEX(Lists!$L$51:$L$85,MATCH(BD204,Lists!$K$51:$K$85,0))</f>
        <v>2</v>
      </c>
      <c r="BF204" s="17" t="str">
        <f>INDEX(Lists!$S$51:$S$55,3)</f>
        <v>Time to treatment discontinuation</v>
      </c>
      <c r="BG204" s="17">
        <f>INDEX(Lists!$T$51:$T$55,MATCH(BF204,Lists!$S$51:$S$55,0))</f>
        <v>2</v>
      </c>
      <c r="BH204" s="17">
        <f>VLOOKUP(VLOOKUP(BC204,$F$100:$I$103,2,FALSE),Lists!$K$50:$L$63,2,FALSE)</f>
        <v>8</v>
      </c>
      <c r="BI204" s="17" t="str" cm="1">
        <f t="array" ref="BI204">IF(OR(i_TE_sc_PartSA_5y_IO_TKI_OS=1,i_TE_sc_4and6y_IO_TKI_OS_absSurv=1),BT204,IF(OR(i_TE_sc_10y_all_IO=1,i_TE_sc_5and20y_all_IO=1),BS204,IF(i_no_TE_waning=1,"No",INDEX(J$118:J$180,MATCH(1,($BC204=$B$118:$B$180)*($BD204=$F$118:$F$180),0)))))</f>
        <v>No</v>
      </c>
      <c r="BJ204" s="17" t="str" cm="1">
        <f t="array" ref="BJ204">IF(i_TE_sc_4and6y_IO_TKI_OS_absSurv=1,BQ204,INDEX(K$118:K$180,MATCH(1,($BC204=$B$118:$B$180)*($BD204=$F$118:$F$180),0)))</f>
        <v>ref trt hazard</v>
      </c>
      <c r="BK204" s="17">
        <f t="shared" si="12"/>
        <v>0</v>
      </c>
      <c r="BL204" s="17">
        <f t="shared" si="13"/>
        <v>0</v>
      </c>
      <c r="BN204" s="274" cm="1">
        <f t="array" ref="BN204">INDEX(V$118:V$180,MATCH(1,($BC204=$B$118:$B$180)*($BD204=$F$118:$F$180),0))</f>
        <v>0</v>
      </c>
      <c r="BO204" s="274" cm="1">
        <f t="array" ref="BO204">INDEX(W$118:W$180,MATCH(1,($BC204=$B$118:$B$180)*($BD204=$F$118:$F$180),0))</f>
        <v>0</v>
      </c>
      <c r="BQ204" s="6" t="s">
        <v>149</v>
      </c>
      <c r="BS204" s="6" t="str" cm="1">
        <f t="array" ref="BS204">IF(AND(BE204=2,BC204=1,OR(i_TE_sc_10y_all_IO=1,i_TE_sc_5and20y_all_IO=1)),"Yes",IF(i_no_TE_waning=1,"No",INDEX(J$118:J$180,MATCH(1,($BC204=$B$118:$B$180)*($BD204=$F$118:$F$180),0))))</f>
        <v>No</v>
      </c>
      <c r="BT204" s="274" t="str">
        <f t="shared" si="14"/>
        <v>No</v>
      </c>
    </row>
    <row r="205" spans="52:72" x14ac:dyDescent="0.2">
      <c r="AZ205" s="657">
        <v>4</v>
      </c>
      <c r="BA205" s="17">
        <v>0</v>
      </c>
      <c r="BB205" s="17" t="s">
        <v>31</v>
      </c>
      <c r="BC205" s="17">
        <v>2</v>
      </c>
      <c r="BD205" s="17" t="str" cm="1">
        <f t="array" ref="BD205">INDEX(List_comparators,$AZ205)</f>
        <v>lenvatinib_plus_pembrolizumab</v>
      </c>
      <c r="BE205" s="17">
        <f>INDEX(Lists!$L$51:$L$85,MATCH(BD205,Lists!$K$51:$K$85,0))</f>
        <v>3</v>
      </c>
      <c r="BF205" s="17" t="str">
        <f>INDEX(Lists!$S$51:$S$55,3)</f>
        <v>Time to treatment discontinuation</v>
      </c>
      <c r="BG205" s="17">
        <f>INDEX(Lists!$T$51:$T$55,MATCH(BF205,Lists!$S$51:$S$55,0))</f>
        <v>2</v>
      </c>
      <c r="BH205" s="17">
        <f>VLOOKUP(VLOOKUP(BC205,$F$100:$I$103,2,FALSE),Lists!$K$50:$L$63,2,FALSE)</f>
        <v>8</v>
      </c>
      <c r="BI205" s="17" t="str" cm="1">
        <f t="array" ref="BI205">IF(OR(i_TE_sc_PartSA_5y_IO_TKI_OS=1,i_TE_sc_4and6y_IO_TKI_OS_absSurv=1),BT205,IF(OR(i_TE_sc_10y_all_IO=1,i_TE_sc_5and20y_all_IO=1),BS205,IF(i_no_TE_waning=1,"No",INDEX(J$118:J$180,MATCH(1,($BC205=$B$118:$B$180)*($BD205=$F$118:$F$180),0)))))</f>
        <v>No</v>
      </c>
      <c r="BJ205" s="17" t="str" cm="1">
        <f t="array" ref="BJ205">IF(i_TE_sc_4and6y_IO_TKI_OS_absSurv=1,BQ205,INDEX(K$118:K$180,MATCH(1,($BC205=$B$118:$B$180)*($BD205=$F$118:$F$180),0)))</f>
        <v>ref trt hazard</v>
      </c>
      <c r="BK205" s="17">
        <f t="shared" si="12"/>
        <v>0</v>
      </c>
      <c r="BL205" s="17">
        <f t="shared" si="13"/>
        <v>0</v>
      </c>
      <c r="BN205" s="274" cm="1">
        <f t="array" ref="BN205">INDEX(V$118:V$180,MATCH(1,($BC205=$B$118:$B$180)*($BD205=$F$118:$F$180),0))</f>
        <v>0</v>
      </c>
      <c r="BO205" s="274" cm="1">
        <f t="array" ref="BO205">INDEX(W$118:W$180,MATCH(1,($BC205=$B$118:$B$180)*($BD205=$F$118:$F$180),0))</f>
        <v>0</v>
      </c>
      <c r="BQ205" s="6" t="s">
        <v>149</v>
      </c>
      <c r="BS205" s="6" t="str" cm="1">
        <f t="array" ref="BS205">IF(AND(BE205=2,BC205=1,OR(i_TE_sc_10y_all_IO=1,i_TE_sc_5and20y_all_IO=1)),"Yes",IF(i_no_TE_waning=1,"No",INDEX(J$118:J$180,MATCH(1,($BC205=$B$118:$B$180)*($BD205=$F$118:$F$180),0))))</f>
        <v>No</v>
      </c>
      <c r="BT205" s="274" t="str">
        <f t="shared" si="14"/>
        <v>No</v>
      </c>
    </row>
    <row r="206" spans="52:72" x14ac:dyDescent="0.2">
      <c r="AZ206" s="657">
        <v>5</v>
      </c>
      <c r="BA206" s="17">
        <v>0</v>
      </c>
      <c r="BB206" s="17" t="s">
        <v>31</v>
      </c>
      <c r="BC206" s="17">
        <v>2</v>
      </c>
      <c r="BD206" s="17" t="str" cm="1">
        <f t="array" ref="BD206">INDEX(List_comparators,$AZ206)</f>
        <v>avelumab_plus_axitinib</v>
      </c>
      <c r="BE206" s="17">
        <f>INDEX(Lists!$L$51:$L$85,MATCH(BD206,Lists!$K$51:$K$85,0))</f>
        <v>4</v>
      </c>
      <c r="BF206" s="17" t="str">
        <f>INDEX(Lists!$S$51:$S$55,3)</f>
        <v>Time to treatment discontinuation</v>
      </c>
      <c r="BG206" s="17">
        <f>INDEX(Lists!$T$51:$T$55,MATCH(BF206,Lists!$S$51:$S$55,0))</f>
        <v>2</v>
      </c>
      <c r="BH206" s="17">
        <f>VLOOKUP(VLOOKUP(BC206,$F$100:$I$103,2,FALSE),Lists!$K$50:$L$63,2,FALSE)</f>
        <v>8</v>
      </c>
      <c r="BI206" s="17" t="str" cm="1">
        <f t="array" ref="BI206">IF(OR(i_TE_sc_PartSA_5y_IO_TKI_OS=1,i_TE_sc_4and6y_IO_TKI_OS_absSurv=1),BT206,IF(OR(i_TE_sc_10y_all_IO=1,i_TE_sc_5and20y_all_IO=1),BS206,IF(i_no_TE_waning=1,"No",INDEX(J$118:J$180,MATCH(1,($BC206=$B$118:$B$180)*($BD206=$F$118:$F$180),0)))))</f>
        <v>No</v>
      </c>
      <c r="BJ206" s="17" t="str" cm="1">
        <f t="array" ref="BJ206">IF(i_TE_sc_4and6y_IO_TKI_OS_absSurv=1,BQ206,INDEX(K$118:K$180,MATCH(1,($BC206=$B$118:$B$180)*($BD206=$F$118:$F$180),0)))</f>
        <v>ref trt hazard</v>
      </c>
      <c r="BK206" s="17">
        <f t="shared" si="12"/>
        <v>0</v>
      </c>
      <c r="BL206" s="17">
        <f t="shared" si="13"/>
        <v>0</v>
      </c>
      <c r="BN206" s="274" cm="1">
        <f t="array" ref="BN206">INDEX(V$118:V$180,MATCH(1,($BC206=$B$118:$B$180)*($BD206=$F$118:$F$180),0))</f>
        <v>0</v>
      </c>
      <c r="BO206" s="274" cm="1">
        <f t="array" ref="BO206">INDEX(W$118:W$180,MATCH(1,($BC206=$B$118:$B$180)*($BD206=$F$118:$F$180),0))</f>
        <v>0</v>
      </c>
      <c r="BQ206" s="6" t="s">
        <v>149</v>
      </c>
      <c r="BS206" s="6" t="str" cm="1">
        <f t="array" ref="BS206">IF(AND(BE206=2,BC206=1,OR(i_TE_sc_10y_all_IO=1,i_TE_sc_5and20y_all_IO=1)),"Yes",IF(i_no_TE_waning=1,"No",INDEX(J$118:J$180,MATCH(1,($BC206=$B$118:$B$180)*($BD206=$F$118:$F$180),0))))</f>
        <v>No</v>
      </c>
      <c r="BT206" s="274" t="str">
        <f t="shared" si="14"/>
        <v>No</v>
      </c>
    </row>
    <row r="207" spans="52:72" x14ac:dyDescent="0.2">
      <c r="AZ207" s="657">
        <v>6</v>
      </c>
      <c r="BA207" s="17">
        <v>0</v>
      </c>
      <c r="BB207" s="17" t="s">
        <v>31</v>
      </c>
      <c r="BC207" s="17">
        <v>2</v>
      </c>
      <c r="BD207" s="17" t="str" cm="1">
        <f t="array" ref="BD207">INDEX(List_comparators,$AZ207)</f>
        <v>pazopanib</v>
      </c>
      <c r="BE207" s="17">
        <f>INDEX(Lists!$L$51:$L$85,MATCH(BD207,Lists!$K$51:$K$85,0))</f>
        <v>5</v>
      </c>
      <c r="BF207" s="17" t="str">
        <f>INDEX(Lists!$S$51:$S$55,3)</f>
        <v>Time to treatment discontinuation</v>
      </c>
      <c r="BG207" s="17">
        <f>INDEX(Lists!$T$51:$T$55,MATCH(BF207,Lists!$S$51:$S$55,0))</f>
        <v>2</v>
      </c>
      <c r="BH207" s="17">
        <f>VLOOKUP(VLOOKUP(BC207,$F$100:$I$103,2,FALSE),Lists!$K$50:$L$63,2,FALSE)</f>
        <v>8</v>
      </c>
      <c r="BI207" s="17" t="str" cm="1">
        <f t="array" ref="BI207">IF(OR(i_TE_sc_PartSA_5y_IO_TKI_OS=1,i_TE_sc_4and6y_IO_TKI_OS_absSurv=1),BT207,IF(OR(i_TE_sc_10y_all_IO=1,i_TE_sc_5and20y_all_IO=1),BS207,IF(i_no_TE_waning=1,"No",INDEX(J$118:J$180,MATCH(1,($BC207=$B$118:$B$180)*($BD207=$F$118:$F$180),0)))))</f>
        <v>No</v>
      </c>
      <c r="BJ207" s="17" t="str" cm="1">
        <f t="array" ref="BJ207">IF(i_TE_sc_4and6y_IO_TKI_OS_absSurv=1,BQ207,INDEX(K$118:K$180,MATCH(1,($BC207=$B$118:$B$180)*($BD207=$F$118:$F$180),0)))</f>
        <v>ref trt hazard</v>
      </c>
      <c r="BK207" s="17">
        <f t="shared" si="12"/>
        <v>0</v>
      </c>
      <c r="BL207" s="17">
        <f t="shared" si="13"/>
        <v>0</v>
      </c>
      <c r="BN207" s="274" cm="1">
        <f t="array" ref="BN207">INDEX(V$118:V$180,MATCH(1,($BC207=$B$118:$B$180)*($BD207=$F$118:$F$180),0))</f>
        <v>0</v>
      </c>
      <c r="BO207" s="274" cm="1">
        <f t="array" ref="BO207">INDEX(W$118:W$180,MATCH(1,($BC207=$B$118:$B$180)*($BD207=$F$118:$F$180),0))</f>
        <v>0</v>
      </c>
      <c r="BQ207" s="6" t="s">
        <v>149</v>
      </c>
      <c r="BS207" s="6" t="str" cm="1">
        <f t="array" ref="BS207">IF(AND(BE207=2,BC207=1,OR(i_TE_sc_10y_all_IO=1,i_TE_sc_5and20y_all_IO=1)),"Yes",IF(i_no_TE_waning=1,"No",INDEX(J$118:J$180,MATCH(1,($BC207=$B$118:$B$180)*($BD207=$F$118:$F$180),0))))</f>
        <v>No</v>
      </c>
      <c r="BT207" s="274" t="str">
        <f t="shared" si="14"/>
        <v>No</v>
      </c>
    </row>
    <row r="208" spans="52:72" x14ac:dyDescent="0.2">
      <c r="AZ208" s="657">
        <v>7</v>
      </c>
      <c r="BA208" s="17">
        <v>0</v>
      </c>
      <c r="BB208" s="17" t="s">
        <v>31</v>
      </c>
      <c r="BC208" s="17">
        <v>2</v>
      </c>
      <c r="BD208" s="17" t="str" cm="1">
        <f t="array" ref="BD208">INDEX(List_comparators,$AZ208)</f>
        <v>tivozanib</v>
      </c>
      <c r="BE208" s="17">
        <f>INDEX(Lists!$L$51:$L$85,MATCH(BD208,Lists!$K$51:$K$85,0))</f>
        <v>6</v>
      </c>
      <c r="BF208" s="17" t="str">
        <f>INDEX(Lists!$S$51:$S$55,3)</f>
        <v>Time to treatment discontinuation</v>
      </c>
      <c r="BG208" s="17">
        <f>INDEX(Lists!$T$51:$T$55,MATCH(BF208,Lists!$S$51:$S$55,0))</f>
        <v>2</v>
      </c>
      <c r="BH208" s="17">
        <f>VLOOKUP(VLOOKUP(BC208,$F$100:$I$103,2,FALSE),Lists!$K$50:$L$63,2,FALSE)</f>
        <v>8</v>
      </c>
      <c r="BI208" s="17" t="str" cm="1">
        <f t="array" ref="BI208">IF(OR(i_TE_sc_PartSA_5y_IO_TKI_OS=1,i_TE_sc_4and6y_IO_TKI_OS_absSurv=1),BT208,IF(OR(i_TE_sc_10y_all_IO=1,i_TE_sc_5and20y_all_IO=1),BS208,IF(i_no_TE_waning=1,"No",INDEX(J$118:J$180,MATCH(1,($BC208=$B$118:$B$180)*($BD208=$F$118:$F$180),0)))))</f>
        <v>No</v>
      </c>
      <c r="BJ208" s="17" t="str" cm="1">
        <f t="array" ref="BJ208">IF(i_TE_sc_4and6y_IO_TKI_OS_absSurv=1,BQ208,INDEX(K$118:K$180,MATCH(1,($BC208=$B$118:$B$180)*($BD208=$F$118:$F$180),0)))</f>
        <v>ref trt hazard</v>
      </c>
      <c r="BK208" s="17">
        <f t="shared" si="12"/>
        <v>0</v>
      </c>
      <c r="BL208" s="17">
        <f t="shared" si="13"/>
        <v>0</v>
      </c>
      <c r="BN208" s="274" cm="1">
        <f t="array" ref="BN208">INDEX(V$118:V$180,MATCH(1,($BC208=$B$118:$B$180)*($BD208=$F$118:$F$180),0))</f>
        <v>0</v>
      </c>
      <c r="BO208" s="274" cm="1">
        <f t="array" ref="BO208">INDEX(W$118:W$180,MATCH(1,($BC208=$B$118:$B$180)*($BD208=$F$118:$F$180),0))</f>
        <v>0</v>
      </c>
      <c r="BQ208" s="6" t="s">
        <v>149</v>
      </c>
      <c r="BS208" s="6" t="str" cm="1">
        <f t="array" ref="BS208">IF(AND(BE208=2,BC208=1,OR(i_TE_sc_10y_all_IO=1,i_TE_sc_5and20y_all_IO=1)),"Yes",IF(i_no_TE_waning=1,"No",INDEX(J$118:J$180,MATCH(1,($BC208=$B$118:$B$180)*($BD208=$F$118:$F$180),0))))</f>
        <v>No</v>
      </c>
      <c r="BT208" s="274" t="str">
        <f t="shared" si="14"/>
        <v>No</v>
      </c>
    </row>
    <row r="209" spans="52:72" x14ac:dyDescent="0.2">
      <c r="AZ209" s="657">
        <v>8</v>
      </c>
      <c r="BA209" s="17">
        <v>0</v>
      </c>
      <c r="BB209" s="17" t="s">
        <v>31</v>
      </c>
      <c r="BC209" s="17">
        <v>2</v>
      </c>
      <c r="BD209" s="17" t="str" cm="1">
        <f t="array" ref="BD209">INDEX(List_comparators,$AZ209)</f>
        <v>sunitinib</v>
      </c>
      <c r="BE209" s="17">
        <f>INDEX(Lists!$L$51:$L$85,MATCH(BD209,Lists!$K$51:$K$85,0))</f>
        <v>7</v>
      </c>
      <c r="BF209" s="17" t="str">
        <f>INDEX(Lists!$S$51:$S$55,3)</f>
        <v>Time to treatment discontinuation</v>
      </c>
      <c r="BG209" s="17">
        <f>INDEX(Lists!$T$51:$T$55,MATCH(BF209,Lists!$S$51:$S$55,0))</f>
        <v>2</v>
      </c>
      <c r="BH209" s="17">
        <f>VLOOKUP(VLOOKUP(BC209,$F$100:$I$103,2,FALSE),Lists!$K$50:$L$63,2,FALSE)</f>
        <v>8</v>
      </c>
      <c r="BI209" s="17" t="str" cm="1">
        <f t="array" ref="BI209">IF(OR(i_TE_sc_PartSA_5y_IO_TKI_OS=1,i_TE_sc_4and6y_IO_TKI_OS_absSurv=1),BT209,IF(OR(i_TE_sc_10y_all_IO=1,i_TE_sc_5and20y_all_IO=1),BS209,IF(i_no_TE_waning=1,"No",INDEX(J$118:J$180,MATCH(1,($BC209=$B$118:$B$180)*($BD209=$F$118:$F$180),0)))))</f>
        <v>No</v>
      </c>
      <c r="BJ209" s="17" t="str" cm="1">
        <f t="array" ref="BJ209">IF(i_TE_sc_4and6y_IO_TKI_OS_absSurv=1,BQ209,INDEX(K$118:K$180,MATCH(1,($BC209=$B$118:$B$180)*($BD209=$F$118:$F$180),0)))</f>
        <v>ref trt hazard</v>
      </c>
      <c r="BK209" s="17">
        <f t="shared" si="12"/>
        <v>0</v>
      </c>
      <c r="BL209" s="17">
        <f t="shared" si="13"/>
        <v>0</v>
      </c>
      <c r="BN209" s="274" cm="1">
        <f t="array" ref="BN209">INDEX(V$118:V$180,MATCH(1,($BC209=$B$118:$B$180)*($BD209=$F$118:$F$180),0))</f>
        <v>0</v>
      </c>
      <c r="BO209" s="274" cm="1">
        <f t="array" ref="BO209">INDEX(W$118:W$180,MATCH(1,($BC209=$B$118:$B$180)*($BD209=$F$118:$F$180),0))</f>
        <v>0</v>
      </c>
      <c r="BQ209" s="6" t="s">
        <v>149</v>
      </c>
      <c r="BS209" s="6" t="str" cm="1">
        <f t="array" ref="BS209">IF(AND(BE209=2,BC209=1,OR(i_TE_sc_10y_all_IO=1,i_TE_sc_5and20y_all_IO=1)),"Yes",IF(i_no_TE_waning=1,"No",INDEX(J$118:J$180,MATCH(1,($BC209=$B$118:$B$180)*($BD209=$F$118:$F$180),0))))</f>
        <v>No</v>
      </c>
      <c r="BT209" s="274" t="str">
        <f t="shared" si="14"/>
        <v>No</v>
      </c>
    </row>
    <row r="210" spans="52:72" x14ac:dyDescent="0.2">
      <c r="AZ210" s="657">
        <v>9</v>
      </c>
      <c r="BA210" s="17">
        <v>0</v>
      </c>
      <c r="BB210" s="17" t="s">
        <v>31</v>
      </c>
      <c r="BC210" s="17">
        <v>2</v>
      </c>
      <c r="BD210" s="17" t="str" cm="1">
        <f t="array" ref="BD210">INDEX(List_comparators,$AZ210)</f>
        <v>cabozantinib</v>
      </c>
      <c r="BE210" s="17">
        <f>INDEX(Lists!$L$51:$L$85,MATCH(BD210,Lists!$K$51:$K$85,0))</f>
        <v>8</v>
      </c>
      <c r="BF210" s="17" t="str">
        <f>INDEX(Lists!$S$51:$S$55,3)</f>
        <v>Time to treatment discontinuation</v>
      </c>
      <c r="BG210" s="17">
        <f>INDEX(Lists!$T$51:$T$55,MATCH(BF210,Lists!$S$51:$S$55,0))</f>
        <v>2</v>
      </c>
      <c r="BH210" s="17">
        <f>VLOOKUP(VLOOKUP(BC210,$F$100:$I$103,2,FALSE),Lists!$K$50:$L$63,2,FALSE)</f>
        <v>8</v>
      </c>
      <c r="BI210" s="17" t="str" cm="1">
        <f t="array" ref="BI210">IF(OR(i_TE_sc_PartSA_5y_IO_TKI_OS=1,i_TE_sc_4and6y_IO_TKI_OS_absSurv=1),BT210,IF(OR(i_TE_sc_10y_all_IO=1,i_TE_sc_5and20y_all_IO=1),BS210,IF(i_no_TE_waning=1,"No",INDEX(J$118:J$180,MATCH(1,($BC210=$B$118:$B$180)*($BD210=$F$118:$F$180),0)))))</f>
        <v>No</v>
      </c>
      <c r="BJ210" s="17" t="str" cm="1">
        <f t="array" ref="BJ210">IF(i_TE_sc_4and6y_IO_TKI_OS_absSurv=1,BQ210,INDEX(K$118:K$180,MATCH(1,($BC210=$B$118:$B$180)*($BD210=$F$118:$F$180),0)))</f>
        <v>ref trt hazard</v>
      </c>
      <c r="BK210" s="17">
        <f t="shared" si="12"/>
        <v>0</v>
      </c>
      <c r="BL210" s="17">
        <f t="shared" si="13"/>
        <v>0</v>
      </c>
      <c r="BN210" s="274" cm="1">
        <f t="array" ref="BN210">INDEX(V$118:V$180,MATCH(1,($BC210=$B$118:$B$180)*($BD210=$F$118:$F$180),0))</f>
        <v>0</v>
      </c>
      <c r="BO210" s="274" cm="1">
        <f t="array" ref="BO210">INDEX(W$118:W$180,MATCH(1,($BC210=$B$118:$B$180)*($BD210=$F$118:$F$180),0))</f>
        <v>0</v>
      </c>
      <c r="BQ210" s="6" t="s">
        <v>149</v>
      </c>
      <c r="BS210" s="6" t="str" cm="1">
        <f t="array" ref="BS210">IF(AND(BE210=2,BC210=1,OR(i_TE_sc_10y_all_IO=1,i_TE_sc_5and20y_all_IO=1)),"Yes",IF(i_no_TE_waning=1,"No",INDEX(J$118:J$180,MATCH(1,($BC210=$B$118:$B$180)*($BD210=$F$118:$F$180),0))))</f>
        <v>No</v>
      </c>
      <c r="BT210" s="274" t="str">
        <f t="shared" si="14"/>
        <v>No</v>
      </c>
    </row>
    <row r="211" spans="52:72" x14ac:dyDescent="0.2">
      <c r="AZ211" s="657">
        <v>10</v>
      </c>
      <c r="BA211" s="17">
        <v>0</v>
      </c>
      <c r="BB211" s="17" t="s">
        <v>31</v>
      </c>
      <c r="BC211" s="17">
        <v>2</v>
      </c>
      <c r="BD211" s="17" t="str" cm="1">
        <f t="array" ref="BD211">INDEX(List_comparators,$AZ211)</f>
        <v>lenvatinib_plus_everolimus</v>
      </c>
      <c r="BE211" s="17">
        <f>INDEX(Lists!$L$51:$L$85,MATCH(BD211,Lists!$K$51:$K$85,0))</f>
        <v>9</v>
      </c>
      <c r="BF211" s="17" t="str">
        <f>INDEX(Lists!$S$51:$S$55,3)</f>
        <v>Time to treatment discontinuation</v>
      </c>
      <c r="BG211" s="17">
        <f>INDEX(Lists!$T$51:$T$55,MATCH(BF211,Lists!$S$51:$S$55,0))</f>
        <v>2</v>
      </c>
      <c r="BH211" s="17">
        <f>VLOOKUP(VLOOKUP(BC211,$F$100:$I$103,2,FALSE),Lists!$K$50:$L$63,2,FALSE)</f>
        <v>8</v>
      </c>
      <c r="BI211" s="17" t="str" cm="1">
        <f t="array" ref="BI211">IF(OR(i_TE_sc_PartSA_5y_IO_TKI_OS=1,i_TE_sc_4and6y_IO_TKI_OS_absSurv=1),BT211,IF(OR(i_TE_sc_10y_all_IO=1,i_TE_sc_5and20y_all_IO=1),BS211,IF(i_no_TE_waning=1,"No",INDEX(J$118:J$180,MATCH(1,($BC211=$B$118:$B$180)*($BD211=$F$118:$F$180),0)))))</f>
        <v>No</v>
      </c>
      <c r="BJ211" s="17" t="str" cm="1">
        <f t="array" ref="BJ211">IF(i_TE_sc_4and6y_IO_TKI_OS_absSurv=1,BQ211,INDEX(K$118:K$180,MATCH(1,($BC211=$B$118:$B$180)*($BD211=$F$118:$F$180),0)))</f>
        <v>ref trt hazard</v>
      </c>
      <c r="BK211" s="17">
        <f t="shared" si="12"/>
        <v>0</v>
      </c>
      <c r="BL211" s="17">
        <f t="shared" si="13"/>
        <v>0</v>
      </c>
      <c r="BN211" s="274" cm="1">
        <f t="array" ref="BN211">INDEX(V$118:V$180,MATCH(1,($BC211=$B$118:$B$180)*($BD211=$F$118:$F$180),0))</f>
        <v>0</v>
      </c>
      <c r="BO211" s="274" cm="1">
        <f t="array" ref="BO211">INDEX(W$118:W$180,MATCH(1,($BC211=$B$118:$B$180)*($BD211=$F$118:$F$180),0))</f>
        <v>0</v>
      </c>
      <c r="BQ211" s="6" t="s">
        <v>149</v>
      </c>
      <c r="BS211" s="6" t="str" cm="1">
        <f t="array" ref="BS211">IF(AND(BE211=2,BC211=1,OR(i_TE_sc_10y_all_IO=1,i_TE_sc_5and20y_all_IO=1)),"Yes",IF(i_no_TE_waning=1,"No",INDEX(J$118:J$180,MATCH(1,($BC211=$B$118:$B$180)*($BD211=$F$118:$F$180),0))))</f>
        <v>No</v>
      </c>
      <c r="BT211" s="274" t="str">
        <f t="shared" si="14"/>
        <v>No</v>
      </c>
    </row>
    <row r="212" spans="52:72" x14ac:dyDescent="0.2">
      <c r="AZ212" s="657">
        <v>11</v>
      </c>
      <c r="BA212" s="17">
        <v>0</v>
      </c>
      <c r="BB212" s="17" t="s">
        <v>31</v>
      </c>
      <c r="BC212" s="17">
        <v>2</v>
      </c>
      <c r="BD212" s="17" t="str" cm="1">
        <f t="array" ref="BD212">INDEX(List_comparators,$AZ212)</f>
        <v>everolimus</v>
      </c>
      <c r="BE212" s="17">
        <f>INDEX(Lists!$L$51:$L$85,MATCH(BD212,Lists!$K$51:$K$85,0))</f>
        <v>10</v>
      </c>
      <c r="BF212" s="17" t="str">
        <f>INDEX(Lists!$S$51:$S$55,3)</f>
        <v>Time to treatment discontinuation</v>
      </c>
      <c r="BG212" s="17">
        <f>INDEX(Lists!$T$51:$T$55,MATCH(BF212,Lists!$S$51:$S$55,0))</f>
        <v>2</v>
      </c>
      <c r="BH212" s="17">
        <f>VLOOKUP(VLOOKUP(BC212,$F$100:$I$103,2,FALSE),Lists!$K$50:$L$63,2,FALSE)</f>
        <v>8</v>
      </c>
      <c r="BI212" s="17" t="str" cm="1">
        <f t="array" ref="BI212">IF(OR(i_TE_sc_PartSA_5y_IO_TKI_OS=1,i_TE_sc_4and6y_IO_TKI_OS_absSurv=1),BT212,IF(OR(i_TE_sc_10y_all_IO=1,i_TE_sc_5and20y_all_IO=1),BS212,IF(i_no_TE_waning=1,"No",INDEX(J$118:J$180,MATCH(1,($BC212=$B$118:$B$180)*($BD212=$F$118:$F$180),0)))))</f>
        <v>No</v>
      </c>
      <c r="BJ212" s="17" t="str" cm="1">
        <f t="array" ref="BJ212">IF(i_TE_sc_4and6y_IO_TKI_OS_absSurv=1,BQ212,INDEX(K$118:K$180,MATCH(1,($BC212=$B$118:$B$180)*($BD212=$F$118:$F$180),0)))</f>
        <v>ref trt hazard</v>
      </c>
      <c r="BK212" s="17">
        <f t="shared" si="12"/>
        <v>0</v>
      </c>
      <c r="BL212" s="17">
        <f t="shared" si="13"/>
        <v>0</v>
      </c>
      <c r="BN212" s="274" cm="1">
        <f t="array" ref="BN212">INDEX(V$118:V$180,MATCH(1,($BC212=$B$118:$B$180)*($BD212=$F$118:$F$180),0))</f>
        <v>0</v>
      </c>
      <c r="BO212" s="274" cm="1">
        <f t="array" ref="BO212">INDEX(W$118:W$180,MATCH(1,($BC212=$B$118:$B$180)*($BD212=$F$118:$F$180),0))</f>
        <v>0</v>
      </c>
      <c r="BQ212" s="6" t="s">
        <v>149</v>
      </c>
      <c r="BS212" s="6" t="str" cm="1">
        <f t="array" ref="BS212">IF(AND(BE212=2,BC212=1,OR(i_TE_sc_10y_all_IO=1,i_TE_sc_5and20y_all_IO=1)),"Yes",IF(i_no_TE_waning=1,"No",INDEX(J$118:J$180,MATCH(1,($BC212=$B$118:$B$180)*($BD212=$F$118:$F$180),0))))</f>
        <v>No</v>
      </c>
      <c r="BT212" s="274" t="str">
        <f t="shared" si="14"/>
        <v>No</v>
      </c>
    </row>
    <row r="213" spans="52:72" x14ac:dyDescent="0.2">
      <c r="AZ213" s="657">
        <v>12</v>
      </c>
      <c r="BA213" s="17">
        <v>0</v>
      </c>
      <c r="BB213" s="17" t="s">
        <v>31</v>
      </c>
      <c r="BC213" s="17">
        <v>2</v>
      </c>
      <c r="BD213" s="17" t="str" cm="1">
        <f t="array" ref="BD213">INDEX(List_comparators,$AZ213)</f>
        <v>axitinib</v>
      </c>
      <c r="BE213" s="17">
        <f>INDEX(Lists!$L$51:$L$85,MATCH(BD213,Lists!$K$51:$K$85,0))</f>
        <v>11</v>
      </c>
      <c r="BF213" s="17" t="str">
        <f>INDEX(Lists!$S$51:$S$55,3)</f>
        <v>Time to treatment discontinuation</v>
      </c>
      <c r="BG213" s="17">
        <f>INDEX(Lists!$T$51:$T$55,MATCH(BF213,Lists!$S$51:$S$55,0))</f>
        <v>2</v>
      </c>
      <c r="BH213" s="17">
        <f>VLOOKUP(VLOOKUP(BC213,$F$100:$I$103,2,FALSE),Lists!$K$50:$L$63,2,FALSE)</f>
        <v>8</v>
      </c>
      <c r="BI213" s="17" t="str" cm="1">
        <f t="array" ref="BI213">IF(OR(i_TE_sc_PartSA_5y_IO_TKI_OS=1,i_TE_sc_4and6y_IO_TKI_OS_absSurv=1),BT213,IF(OR(i_TE_sc_10y_all_IO=1,i_TE_sc_5and20y_all_IO=1),BS213,IF(i_no_TE_waning=1,"No",INDEX(J$118:J$180,MATCH(1,($BC213=$B$118:$B$180)*($BD213=$F$118:$F$180),0)))))</f>
        <v>No</v>
      </c>
      <c r="BJ213" s="17" t="str" cm="1">
        <f t="array" ref="BJ213">IF(i_TE_sc_4and6y_IO_TKI_OS_absSurv=1,BQ213,INDEX(K$118:K$180,MATCH(1,($BC213=$B$118:$B$180)*($BD213=$F$118:$F$180),0)))</f>
        <v>ref trt hazard</v>
      </c>
      <c r="BK213" s="17">
        <f t="shared" si="12"/>
        <v>0</v>
      </c>
      <c r="BL213" s="17">
        <f t="shared" si="13"/>
        <v>0</v>
      </c>
      <c r="BN213" s="274" cm="1">
        <f t="array" ref="BN213">INDEX(V$118:V$180,MATCH(1,($BC213=$B$118:$B$180)*($BD213=$F$118:$F$180),0))</f>
        <v>0</v>
      </c>
      <c r="BO213" s="274" cm="1">
        <f t="array" ref="BO213">INDEX(W$118:W$180,MATCH(1,($BC213=$B$118:$B$180)*($BD213=$F$118:$F$180),0))</f>
        <v>0</v>
      </c>
      <c r="BQ213" s="6" t="s">
        <v>149</v>
      </c>
      <c r="BS213" s="6" t="str" cm="1">
        <f t="array" ref="BS213">IF(AND(BE213=2,BC213=1,OR(i_TE_sc_10y_all_IO=1,i_TE_sc_5and20y_all_IO=1)),"Yes",IF(i_no_TE_waning=1,"No",INDEX(J$118:J$180,MATCH(1,($BC213=$B$118:$B$180)*($BD213=$F$118:$F$180),0))))</f>
        <v>No</v>
      </c>
      <c r="BT213" s="274" t="str">
        <f t="shared" si="14"/>
        <v>No</v>
      </c>
    </row>
    <row r="214" spans="52:72" x14ac:dyDescent="0.2">
      <c r="AZ214" s="657">
        <v>13</v>
      </c>
      <c r="BA214" s="17">
        <v>0</v>
      </c>
      <c r="BB214" s="17" t="s">
        <v>31</v>
      </c>
      <c r="BC214" s="17">
        <v>2</v>
      </c>
      <c r="BD214" s="17" t="str" cm="1">
        <f t="array" ref="BD214">INDEX(List_comparators,$AZ214)</f>
        <v>sorafenib</v>
      </c>
      <c r="BE214" s="17">
        <f>INDEX(Lists!$L$51:$L$85,MATCH(BD214,Lists!$K$51:$K$85,0))</f>
        <v>12</v>
      </c>
      <c r="BF214" s="17" t="str">
        <f>INDEX(Lists!$S$51:$S$55,3)</f>
        <v>Time to treatment discontinuation</v>
      </c>
      <c r="BG214" s="17">
        <f>INDEX(Lists!$T$51:$T$55,MATCH(BF214,Lists!$S$51:$S$55,0))</f>
        <v>2</v>
      </c>
      <c r="BH214" s="17">
        <f>VLOOKUP(VLOOKUP(BC214,$F$100:$I$103,2,FALSE),Lists!$K$50:$L$63,2,FALSE)</f>
        <v>8</v>
      </c>
      <c r="BI214" s="17" t="str" cm="1">
        <f t="array" ref="BI214">IF(OR(i_TE_sc_PartSA_5y_IO_TKI_OS=1,i_TE_sc_4and6y_IO_TKI_OS_absSurv=1),BT214,IF(OR(i_TE_sc_10y_all_IO=1,i_TE_sc_5and20y_all_IO=1),BS214,IF(i_no_TE_waning=1,"No",INDEX(J$118:J$180,MATCH(1,($BC214=$B$118:$B$180)*($BD214=$F$118:$F$180),0)))))</f>
        <v>No</v>
      </c>
      <c r="BJ214" s="17" t="str" cm="1">
        <f t="array" ref="BJ214">IF(i_TE_sc_4and6y_IO_TKI_OS_absSurv=1,BQ214,INDEX(K$118:K$180,MATCH(1,($BC214=$B$118:$B$180)*($BD214=$F$118:$F$180),0)))</f>
        <v>ref trt hazard</v>
      </c>
      <c r="BK214" s="17">
        <f t="shared" si="12"/>
        <v>0</v>
      </c>
      <c r="BL214" s="17">
        <f t="shared" si="13"/>
        <v>0</v>
      </c>
      <c r="BN214" s="274" cm="1">
        <f t="array" ref="BN214">INDEX(V$118:V$180,MATCH(1,($BC214=$B$118:$B$180)*($BD214=$F$118:$F$180),0))</f>
        <v>0</v>
      </c>
      <c r="BO214" s="274" cm="1">
        <f t="array" ref="BO214">INDEX(W$118:W$180,MATCH(1,($BC214=$B$118:$B$180)*($BD214=$F$118:$F$180),0))</f>
        <v>0</v>
      </c>
      <c r="BQ214" s="6" t="s">
        <v>149</v>
      </c>
      <c r="BS214" s="6" t="str" cm="1">
        <f t="array" ref="BS214">IF(AND(BE214=2,BC214=1,OR(i_TE_sc_10y_all_IO=1,i_TE_sc_5and20y_all_IO=1)),"Yes",IF(i_no_TE_waning=1,"No",INDEX(J$118:J$180,MATCH(1,($BC214=$B$118:$B$180)*($BD214=$F$118:$F$180),0))))</f>
        <v>No</v>
      </c>
      <c r="BT214" s="274" t="str">
        <f t="shared" si="14"/>
        <v>No</v>
      </c>
    </row>
    <row r="215" spans="52:72" x14ac:dyDescent="0.2">
      <c r="AZ215" s="657">
        <v>14</v>
      </c>
      <c r="BA215" s="17">
        <v>0</v>
      </c>
      <c r="BB215" s="17" t="s">
        <v>31</v>
      </c>
      <c r="BC215" s="17">
        <v>2</v>
      </c>
      <c r="BD215" s="17" t="str" cm="1">
        <f t="array" ref="BD215">INDEX(List_comparators,$AZ215)</f>
        <v>placebo_BSC</v>
      </c>
      <c r="BE215" s="17">
        <f>INDEX(Lists!$L$51:$L$85,MATCH(BD215,Lists!$K$51:$K$85,0))</f>
        <v>999</v>
      </c>
      <c r="BF215" s="17" t="str">
        <f>INDEX(Lists!$S$51:$S$55,3)</f>
        <v>Time to treatment discontinuation</v>
      </c>
      <c r="BG215" s="17">
        <f>INDEX(Lists!$T$51:$T$55,MATCH(BF215,Lists!$S$51:$S$55,0))</f>
        <v>2</v>
      </c>
      <c r="BH215" s="17">
        <f>VLOOKUP(VLOOKUP(BC215,$F$100:$I$103,2,FALSE),Lists!$K$50:$L$63,2,FALSE)</f>
        <v>8</v>
      </c>
      <c r="BI215" s="17" t="str" cm="1">
        <f t="array" ref="BI215">IF(OR(i_TE_sc_PartSA_5y_IO_TKI_OS=1,i_TE_sc_4and6y_IO_TKI_OS_absSurv=1),BT215,IF(OR(i_TE_sc_10y_all_IO=1,i_TE_sc_5and20y_all_IO=1),BS215,IF(i_no_TE_waning=1,"No",INDEX(J$118:J$180,MATCH(1,($BC215=$B$118:$B$180)*($BD215=$F$118:$F$180),0)))))</f>
        <v>No</v>
      </c>
      <c r="BJ215" s="17" cm="1">
        <f t="array" ref="BJ215">IF(i_TE_sc_4and6y_IO_TKI_OS_absSurv=1,BQ215,INDEX(K$118:K$180,MATCH(1,($BC215=$B$118:$B$180)*($BD215=$F$118:$F$180),0)))</f>
        <v>0</v>
      </c>
      <c r="BK215" s="17">
        <f t="shared" si="12"/>
        <v>0</v>
      </c>
      <c r="BL215" s="17">
        <f t="shared" si="13"/>
        <v>0</v>
      </c>
      <c r="BN215" s="274" cm="1">
        <f t="array" ref="BN215">INDEX(V$118:V$180,MATCH(1,($BC215=$B$118:$B$180)*($BD215=$F$118:$F$180),0))</f>
        <v>0</v>
      </c>
      <c r="BO215" s="274" cm="1">
        <f t="array" ref="BO215">INDEX(W$118:W$180,MATCH(1,($BC215=$B$118:$B$180)*($BD215=$F$118:$F$180),0))</f>
        <v>0</v>
      </c>
      <c r="BS215" s="6" t="str" cm="1">
        <f t="array" ref="BS215">IF(AND(BE215=2,BC215=1,OR(i_TE_sc_10y_all_IO=1,i_TE_sc_5and20y_all_IO=1)),"Yes",IF(i_no_TE_waning=1,"No",INDEX(J$118:J$180,MATCH(1,($BC215=$B$118:$B$180)*($BD215=$F$118:$F$180),0))))</f>
        <v>No</v>
      </c>
      <c r="BT215" s="274" t="str">
        <f t="shared" si="14"/>
        <v>No</v>
      </c>
    </row>
    <row r="216" spans="52:72" x14ac:dyDescent="0.2">
      <c r="AZ216" s="657">
        <v>1</v>
      </c>
      <c r="BA216" s="17">
        <v>0</v>
      </c>
      <c r="BB216" s="17" t="s">
        <v>31</v>
      </c>
      <c r="BC216" s="17">
        <v>2</v>
      </c>
      <c r="BD216" s="17" t="str" cm="1">
        <f t="array" ref="BD216">INDEX(List_comparators,$AZ216)</f>
        <v>nivolumab_monotherapy</v>
      </c>
      <c r="BE216" s="17">
        <f>INDEX(Lists!$L$51:$L$85,MATCH(BD216,Lists!$K$51:$K$85,0))</f>
        <v>0</v>
      </c>
      <c r="BF216" s="17" t="str">
        <f>INDEX(Lists!$S$51:$S$55,4)</f>
        <v>Time to progression</v>
      </c>
      <c r="BG216" s="17">
        <f>INDEX(Lists!$T$51:$T$55,MATCH(BF216,Lists!$S$51:$S$55,0))</f>
        <v>3</v>
      </c>
      <c r="BH216" s="17">
        <f>VLOOKUP(VLOOKUP(BC216,$F$100:$I$103,2,FALSE),Lists!$K$50:$L$63,2,FALSE)</f>
        <v>8</v>
      </c>
      <c r="BI216" s="17" t="str" cm="1">
        <f t="array" ref="BI216">IF(OR(i_TE_sc_PartSA_5y_IO_TKI_OS=1,i_TE_sc_4and6y_IO_TKI_OS_absSurv=1),BT216,IF(OR(i_TE_sc_10y_all_IO=1,i_TE_sc_5and20y_all_IO=1),BS216,IF(i_no_TE_waning=1,"No",INDEX(J$118:J$180,MATCH(1,($BC216=$B$118:$B$180)*($BD216=$F$118:$F$180),0)))))</f>
        <v>No</v>
      </c>
      <c r="BJ216" s="17" t="str" cm="1">
        <f t="array" ref="BJ216">IF(i_TE_sc_4and6y_IO_TKI_OS_absSurv=1,BQ216,INDEX(K$118:K$180,MATCH(1,($BC216=$B$118:$B$180)*($BD216=$F$118:$F$180),0)))</f>
        <v>ref trt hazard</v>
      </c>
      <c r="BK216" s="17">
        <f t="shared" si="12"/>
        <v>0</v>
      </c>
      <c r="BL216" s="17">
        <f t="shared" si="13"/>
        <v>0</v>
      </c>
      <c r="BN216" s="274" cm="1">
        <f t="array" ref="BN216">INDEX(AA$118:AA$180,MATCH(1,($BC216=$B$118:$B$180)*($BD216=$F$118:$F$180),0))</f>
        <v>0</v>
      </c>
      <c r="BO216" s="274" cm="1">
        <f t="array" ref="BO216">INDEX(AB$118:AB$180,MATCH(1,($BC216=$B$118:$B$180)*($BD216=$F$118:$F$180),0))</f>
        <v>0</v>
      </c>
      <c r="BQ216" s="6" t="s">
        <v>149</v>
      </c>
      <c r="BS216" s="6" t="str" cm="1">
        <f t="array" ref="BS216">IF(AND(BE216=2,BC216=1,OR(i_TE_sc_10y_all_IO=1,i_TE_sc_5and20y_all_IO=1)),"Yes",IF(i_no_TE_waning=1,"No",INDEX(J$118:J$180,MATCH(1,($BC216=$B$118:$B$180)*($BD216=$F$118:$F$180),0))))</f>
        <v>No</v>
      </c>
      <c r="BT216" s="274" t="str">
        <f t="shared" si="14"/>
        <v>No</v>
      </c>
    </row>
    <row r="217" spans="52:72" x14ac:dyDescent="0.2">
      <c r="AZ217" s="657">
        <v>2</v>
      </c>
      <c r="BA217" s="17">
        <v>0</v>
      </c>
      <c r="BB217" s="17" t="s">
        <v>31</v>
      </c>
      <c r="BC217" s="17">
        <v>2</v>
      </c>
      <c r="BD217" s="17" t="str" cm="1">
        <f t="array" ref="BD217">INDEX(List_comparators,$AZ217)</f>
        <v>cabozantinib_plus_nivolumab</v>
      </c>
      <c r="BE217" s="17">
        <f>INDEX(Lists!$L$51:$L$85,MATCH(BD217,Lists!$K$51:$K$85,0))</f>
        <v>1</v>
      </c>
      <c r="BF217" s="17" t="str">
        <f>INDEX(Lists!$S$51:$S$55,4)</f>
        <v>Time to progression</v>
      </c>
      <c r="BG217" s="17">
        <f>INDEX(Lists!$T$51:$T$55,MATCH(BF217,Lists!$S$51:$S$55,0))</f>
        <v>3</v>
      </c>
      <c r="BH217" s="17">
        <f>VLOOKUP(VLOOKUP(BC217,$F$100:$I$103,2,FALSE),Lists!$K$50:$L$63,2,FALSE)</f>
        <v>8</v>
      </c>
      <c r="BI217" s="17" t="str" cm="1">
        <f t="array" ref="BI217">IF(OR(i_TE_sc_PartSA_5y_IO_TKI_OS=1,i_TE_sc_4and6y_IO_TKI_OS_absSurv=1),BT217,IF(OR(i_TE_sc_10y_all_IO=1,i_TE_sc_5and20y_all_IO=1),BS217,IF(i_no_TE_waning=1,"No",INDEX(J$118:J$180,MATCH(1,($BC217=$B$118:$B$180)*($BD217=$F$118:$F$180),0)))))</f>
        <v>No</v>
      </c>
      <c r="BJ217" s="17" t="str" cm="1">
        <f t="array" ref="BJ217">IF(i_TE_sc_4and6y_IO_TKI_OS_absSurv=1,BQ217,INDEX(K$118:K$180,MATCH(1,($BC217=$B$118:$B$180)*($BD217=$F$118:$F$180),0)))</f>
        <v>ref trt hazard</v>
      </c>
      <c r="BK217" s="17">
        <f t="shared" si="12"/>
        <v>0</v>
      </c>
      <c r="BL217" s="17">
        <f t="shared" si="13"/>
        <v>0</v>
      </c>
      <c r="BN217" s="274" cm="1">
        <f t="array" ref="BN217">INDEX(AA$118:AA$180,MATCH(1,($BC217=$B$118:$B$180)*($BD217=$F$118:$F$180),0))</f>
        <v>0</v>
      </c>
      <c r="BO217" s="274" cm="1">
        <f t="array" ref="BO217">INDEX(AB$118:AB$180,MATCH(1,($BC217=$B$118:$B$180)*($BD217=$F$118:$F$180),0))</f>
        <v>0</v>
      </c>
      <c r="BQ217" s="6" t="s">
        <v>149</v>
      </c>
      <c r="BS217" s="6" t="str" cm="1">
        <f t="array" ref="BS217">IF(AND(BE217=2,BC217=1,OR(i_TE_sc_10y_all_IO=1,i_TE_sc_5and20y_all_IO=1)),"Yes",IF(i_no_TE_waning=1,"No",INDEX(J$118:J$180,MATCH(1,($BC217=$B$118:$B$180)*($BD217=$F$118:$F$180),0))))</f>
        <v>No</v>
      </c>
      <c r="BT217" s="274" t="str">
        <f t="shared" si="14"/>
        <v>No</v>
      </c>
    </row>
    <row r="218" spans="52:72" x14ac:dyDescent="0.2">
      <c r="AZ218" s="657">
        <v>3</v>
      </c>
      <c r="BA218" s="17">
        <v>0</v>
      </c>
      <c r="BB218" s="17" t="s">
        <v>31</v>
      </c>
      <c r="BC218" s="17">
        <v>2</v>
      </c>
      <c r="BD218" s="17" t="str" cm="1">
        <f t="array" ref="BD218">INDEX(List_comparators,$AZ218)</f>
        <v>nivolumab_plus_ipilimumab</v>
      </c>
      <c r="BE218" s="17">
        <f>INDEX(Lists!$L$51:$L$85,MATCH(BD218,Lists!$K$51:$K$85,0))</f>
        <v>2</v>
      </c>
      <c r="BF218" s="17" t="str">
        <f>INDEX(Lists!$S$51:$S$55,4)</f>
        <v>Time to progression</v>
      </c>
      <c r="BG218" s="17">
        <f>INDEX(Lists!$T$51:$T$55,MATCH(BF218,Lists!$S$51:$S$55,0))</f>
        <v>3</v>
      </c>
      <c r="BH218" s="17">
        <f>VLOOKUP(VLOOKUP(BC218,$F$100:$I$103,2,FALSE),Lists!$K$50:$L$63,2,FALSE)</f>
        <v>8</v>
      </c>
      <c r="BI218" s="17" t="str" cm="1">
        <f t="array" ref="BI218">IF(OR(i_TE_sc_PartSA_5y_IO_TKI_OS=1,i_TE_sc_4and6y_IO_TKI_OS_absSurv=1),BT218,IF(OR(i_TE_sc_10y_all_IO=1,i_TE_sc_5and20y_all_IO=1),BS218,IF(i_no_TE_waning=1,"No",INDEX(J$118:J$180,MATCH(1,($BC218=$B$118:$B$180)*($BD218=$F$118:$F$180),0)))))</f>
        <v>No</v>
      </c>
      <c r="BJ218" s="17" t="str" cm="1">
        <f t="array" ref="BJ218">IF(i_TE_sc_4and6y_IO_TKI_OS_absSurv=1,BQ218,INDEX(K$118:K$180,MATCH(1,($BC218=$B$118:$B$180)*($BD218=$F$118:$F$180),0)))</f>
        <v>ref trt hazard</v>
      </c>
      <c r="BK218" s="17">
        <f t="shared" si="12"/>
        <v>0</v>
      </c>
      <c r="BL218" s="17">
        <f t="shared" si="13"/>
        <v>0</v>
      </c>
      <c r="BN218" s="274" cm="1">
        <f t="array" ref="BN218">INDEX(AA$118:AA$180,MATCH(1,($BC218=$B$118:$B$180)*($BD218=$F$118:$F$180),0))</f>
        <v>0</v>
      </c>
      <c r="BO218" s="274" cm="1">
        <f t="array" ref="BO218">INDEX(AB$118:AB$180,MATCH(1,($BC218=$B$118:$B$180)*($BD218=$F$118:$F$180),0))</f>
        <v>0</v>
      </c>
      <c r="BQ218" s="6" t="s">
        <v>149</v>
      </c>
      <c r="BS218" s="6" t="str" cm="1">
        <f t="array" ref="BS218">IF(AND(BE218=2,BC218=1,OR(i_TE_sc_10y_all_IO=1,i_TE_sc_5and20y_all_IO=1)),"Yes",IF(i_no_TE_waning=1,"No",INDEX(J$118:J$180,MATCH(1,($BC218=$B$118:$B$180)*($BD218=$F$118:$F$180),0))))</f>
        <v>No</v>
      </c>
      <c r="BT218" s="274" t="str">
        <f t="shared" si="14"/>
        <v>No</v>
      </c>
    </row>
    <row r="219" spans="52:72" x14ac:dyDescent="0.2">
      <c r="AZ219" s="657">
        <v>4</v>
      </c>
      <c r="BA219" s="17">
        <v>0</v>
      </c>
      <c r="BB219" s="17" t="s">
        <v>31</v>
      </c>
      <c r="BC219" s="17">
        <v>2</v>
      </c>
      <c r="BD219" s="17" t="str" cm="1">
        <f t="array" ref="BD219">INDEX(List_comparators,$AZ219)</f>
        <v>lenvatinib_plus_pembrolizumab</v>
      </c>
      <c r="BE219" s="17">
        <f>INDEX(Lists!$L$51:$L$85,MATCH(BD219,Lists!$K$51:$K$85,0))</f>
        <v>3</v>
      </c>
      <c r="BF219" s="17" t="str">
        <f>INDEX(Lists!$S$51:$S$55,4)</f>
        <v>Time to progression</v>
      </c>
      <c r="BG219" s="17">
        <f>INDEX(Lists!$T$51:$T$55,MATCH(BF219,Lists!$S$51:$S$55,0))</f>
        <v>3</v>
      </c>
      <c r="BH219" s="17">
        <f>VLOOKUP(VLOOKUP(BC219,$F$100:$I$103,2,FALSE),Lists!$K$50:$L$63,2,FALSE)</f>
        <v>8</v>
      </c>
      <c r="BI219" s="17" t="str" cm="1">
        <f t="array" ref="BI219">IF(OR(i_TE_sc_PartSA_5y_IO_TKI_OS=1,i_TE_sc_4and6y_IO_TKI_OS_absSurv=1),BT219,IF(OR(i_TE_sc_10y_all_IO=1,i_TE_sc_5and20y_all_IO=1),BS219,IF(i_no_TE_waning=1,"No",INDEX(J$118:J$180,MATCH(1,($BC219=$B$118:$B$180)*($BD219=$F$118:$F$180),0)))))</f>
        <v>No</v>
      </c>
      <c r="BJ219" s="17" t="str" cm="1">
        <f t="array" ref="BJ219">IF(i_TE_sc_4and6y_IO_TKI_OS_absSurv=1,BQ219,INDEX(K$118:K$180,MATCH(1,($BC219=$B$118:$B$180)*($BD219=$F$118:$F$180),0)))</f>
        <v>ref trt hazard</v>
      </c>
      <c r="BK219" s="17">
        <f t="shared" si="12"/>
        <v>0</v>
      </c>
      <c r="BL219" s="17">
        <f t="shared" si="13"/>
        <v>0</v>
      </c>
      <c r="BN219" s="274" cm="1">
        <f t="array" ref="BN219">INDEX(AA$118:AA$180,MATCH(1,($BC219=$B$118:$B$180)*($BD219=$F$118:$F$180),0))</f>
        <v>0</v>
      </c>
      <c r="BO219" s="274" cm="1">
        <f t="array" ref="BO219">INDEX(AB$118:AB$180,MATCH(1,($BC219=$B$118:$B$180)*($BD219=$F$118:$F$180),0))</f>
        <v>0</v>
      </c>
      <c r="BQ219" s="6" t="s">
        <v>149</v>
      </c>
      <c r="BS219" s="6" t="str" cm="1">
        <f t="array" ref="BS219">IF(AND(BE219=2,BC219=1,OR(i_TE_sc_10y_all_IO=1,i_TE_sc_5and20y_all_IO=1)),"Yes",IF(i_no_TE_waning=1,"No",INDEX(J$118:J$180,MATCH(1,($BC219=$B$118:$B$180)*($BD219=$F$118:$F$180),0))))</f>
        <v>No</v>
      </c>
      <c r="BT219" s="274" t="str">
        <f t="shared" si="14"/>
        <v>No</v>
      </c>
    </row>
    <row r="220" spans="52:72" x14ac:dyDescent="0.2">
      <c r="AZ220" s="657">
        <v>5</v>
      </c>
      <c r="BA220" s="17">
        <v>0</v>
      </c>
      <c r="BB220" s="17" t="s">
        <v>31</v>
      </c>
      <c r="BC220" s="17">
        <v>2</v>
      </c>
      <c r="BD220" s="17" t="str" cm="1">
        <f t="array" ref="BD220">INDEX(List_comparators,$AZ220)</f>
        <v>avelumab_plus_axitinib</v>
      </c>
      <c r="BE220" s="17">
        <f>INDEX(Lists!$L$51:$L$85,MATCH(BD220,Lists!$K$51:$K$85,0))</f>
        <v>4</v>
      </c>
      <c r="BF220" s="17" t="str">
        <f>INDEX(Lists!$S$51:$S$55,4)</f>
        <v>Time to progression</v>
      </c>
      <c r="BG220" s="17">
        <f>INDEX(Lists!$T$51:$T$55,MATCH(BF220,Lists!$S$51:$S$55,0))</f>
        <v>3</v>
      </c>
      <c r="BH220" s="17">
        <f>VLOOKUP(VLOOKUP(BC220,$F$100:$I$103,2,FALSE),Lists!$K$50:$L$63,2,FALSE)</f>
        <v>8</v>
      </c>
      <c r="BI220" s="17" t="str" cm="1">
        <f t="array" ref="BI220">IF(OR(i_TE_sc_PartSA_5y_IO_TKI_OS=1,i_TE_sc_4and6y_IO_TKI_OS_absSurv=1),BT220,IF(OR(i_TE_sc_10y_all_IO=1,i_TE_sc_5and20y_all_IO=1),BS220,IF(i_no_TE_waning=1,"No",INDEX(J$118:J$180,MATCH(1,($BC220=$B$118:$B$180)*($BD220=$F$118:$F$180),0)))))</f>
        <v>No</v>
      </c>
      <c r="BJ220" s="17" t="str" cm="1">
        <f t="array" ref="BJ220">IF(i_TE_sc_4and6y_IO_TKI_OS_absSurv=1,BQ220,INDEX(K$118:K$180,MATCH(1,($BC220=$B$118:$B$180)*($BD220=$F$118:$F$180),0)))</f>
        <v>ref trt hazard</v>
      </c>
      <c r="BK220" s="17">
        <f t="shared" si="12"/>
        <v>0</v>
      </c>
      <c r="BL220" s="17">
        <f t="shared" si="13"/>
        <v>0</v>
      </c>
      <c r="BN220" s="274" cm="1">
        <f t="array" ref="BN220">INDEX(AA$118:AA$180,MATCH(1,($BC220=$B$118:$B$180)*($BD220=$F$118:$F$180),0))</f>
        <v>0</v>
      </c>
      <c r="BO220" s="274" cm="1">
        <f t="array" ref="BO220">INDEX(AB$118:AB$180,MATCH(1,($BC220=$B$118:$B$180)*($BD220=$F$118:$F$180),0))</f>
        <v>0</v>
      </c>
      <c r="BQ220" s="6" t="s">
        <v>149</v>
      </c>
      <c r="BS220" s="6" t="str" cm="1">
        <f t="array" ref="BS220">IF(AND(BE220=2,BC220=1,OR(i_TE_sc_10y_all_IO=1,i_TE_sc_5and20y_all_IO=1)),"Yes",IF(i_no_TE_waning=1,"No",INDEX(J$118:J$180,MATCH(1,($BC220=$B$118:$B$180)*($BD220=$F$118:$F$180),0))))</f>
        <v>No</v>
      </c>
      <c r="BT220" s="274" t="str">
        <f t="shared" si="14"/>
        <v>No</v>
      </c>
    </row>
    <row r="221" spans="52:72" x14ac:dyDescent="0.2">
      <c r="AZ221" s="657">
        <v>6</v>
      </c>
      <c r="BA221" s="17">
        <v>0</v>
      </c>
      <c r="BB221" s="17" t="s">
        <v>31</v>
      </c>
      <c r="BC221" s="17">
        <v>2</v>
      </c>
      <c r="BD221" s="17" t="str" cm="1">
        <f t="array" ref="BD221">INDEX(List_comparators,$AZ221)</f>
        <v>pazopanib</v>
      </c>
      <c r="BE221" s="17">
        <f>INDEX(Lists!$L$51:$L$85,MATCH(BD221,Lists!$K$51:$K$85,0))</f>
        <v>5</v>
      </c>
      <c r="BF221" s="17" t="str">
        <f>INDEX(Lists!$S$51:$S$55,4)</f>
        <v>Time to progression</v>
      </c>
      <c r="BG221" s="17">
        <f>INDEX(Lists!$T$51:$T$55,MATCH(BF221,Lists!$S$51:$S$55,0))</f>
        <v>3</v>
      </c>
      <c r="BH221" s="17">
        <f>VLOOKUP(VLOOKUP(BC221,$F$100:$I$103,2,FALSE),Lists!$K$50:$L$63,2,FALSE)</f>
        <v>8</v>
      </c>
      <c r="BI221" s="17" t="str" cm="1">
        <f t="array" ref="BI221">IF(OR(i_TE_sc_PartSA_5y_IO_TKI_OS=1,i_TE_sc_4and6y_IO_TKI_OS_absSurv=1),BT221,IF(OR(i_TE_sc_10y_all_IO=1,i_TE_sc_5and20y_all_IO=1),BS221,IF(i_no_TE_waning=1,"No",INDEX(J$118:J$180,MATCH(1,($BC221=$B$118:$B$180)*($BD221=$F$118:$F$180),0)))))</f>
        <v>No</v>
      </c>
      <c r="BJ221" s="17" t="str" cm="1">
        <f t="array" ref="BJ221">IF(i_TE_sc_4and6y_IO_TKI_OS_absSurv=1,BQ221,INDEX(K$118:K$180,MATCH(1,($BC221=$B$118:$B$180)*($BD221=$F$118:$F$180),0)))</f>
        <v>ref trt hazard</v>
      </c>
      <c r="BK221" s="17">
        <f t="shared" si="12"/>
        <v>0</v>
      </c>
      <c r="BL221" s="17">
        <f t="shared" si="13"/>
        <v>0</v>
      </c>
      <c r="BN221" s="274" cm="1">
        <f t="array" ref="BN221">INDEX(AA$118:AA$180,MATCH(1,($BC221=$B$118:$B$180)*($BD221=$F$118:$F$180),0))</f>
        <v>0</v>
      </c>
      <c r="BO221" s="274" cm="1">
        <f t="array" ref="BO221">INDEX(AB$118:AB$180,MATCH(1,($BC221=$B$118:$B$180)*($BD221=$F$118:$F$180),0))</f>
        <v>0</v>
      </c>
      <c r="BQ221" s="6" t="s">
        <v>149</v>
      </c>
      <c r="BS221" s="6" t="str" cm="1">
        <f t="array" ref="BS221">IF(AND(BE221=2,BC221=1,OR(i_TE_sc_10y_all_IO=1,i_TE_sc_5and20y_all_IO=1)),"Yes",IF(i_no_TE_waning=1,"No",INDEX(J$118:J$180,MATCH(1,($BC221=$B$118:$B$180)*($BD221=$F$118:$F$180),0))))</f>
        <v>No</v>
      </c>
      <c r="BT221" s="274" t="str">
        <f t="shared" si="14"/>
        <v>No</v>
      </c>
    </row>
    <row r="222" spans="52:72" x14ac:dyDescent="0.2">
      <c r="AZ222" s="657">
        <v>7</v>
      </c>
      <c r="BA222" s="17">
        <v>0</v>
      </c>
      <c r="BB222" s="17" t="s">
        <v>31</v>
      </c>
      <c r="BC222" s="17">
        <v>2</v>
      </c>
      <c r="BD222" s="17" t="str" cm="1">
        <f t="array" ref="BD222">INDEX(List_comparators,$AZ222)</f>
        <v>tivozanib</v>
      </c>
      <c r="BE222" s="17">
        <f>INDEX(Lists!$L$51:$L$85,MATCH(BD222,Lists!$K$51:$K$85,0))</f>
        <v>6</v>
      </c>
      <c r="BF222" s="17" t="str">
        <f>INDEX(Lists!$S$51:$S$55,4)</f>
        <v>Time to progression</v>
      </c>
      <c r="BG222" s="17">
        <f>INDEX(Lists!$T$51:$T$55,MATCH(BF222,Lists!$S$51:$S$55,0))</f>
        <v>3</v>
      </c>
      <c r="BH222" s="17">
        <f>VLOOKUP(VLOOKUP(BC222,$F$100:$I$103,2,FALSE),Lists!$K$50:$L$63,2,FALSE)</f>
        <v>8</v>
      </c>
      <c r="BI222" s="17" t="str" cm="1">
        <f t="array" ref="BI222">IF(OR(i_TE_sc_PartSA_5y_IO_TKI_OS=1,i_TE_sc_4and6y_IO_TKI_OS_absSurv=1),BT222,IF(OR(i_TE_sc_10y_all_IO=1,i_TE_sc_5and20y_all_IO=1),BS222,IF(i_no_TE_waning=1,"No",INDEX(J$118:J$180,MATCH(1,($BC222=$B$118:$B$180)*($BD222=$F$118:$F$180),0)))))</f>
        <v>No</v>
      </c>
      <c r="BJ222" s="17" t="str" cm="1">
        <f t="array" ref="BJ222">IF(i_TE_sc_4and6y_IO_TKI_OS_absSurv=1,BQ222,INDEX(K$118:K$180,MATCH(1,($BC222=$B$118:$B$180)*($BD222=$F$118:$F$180),0)))</f>
        <v>ref trt hazard</v>
      </c>
      <c r="BK222" s="17">
        <f t="shared" si="12"/>
        <v>0</v>
      </c>
      <c r="BL222" s="17">
        <f t="shared" si="13"/>
        <v>0</v>
      </c>
      <c r="BN222" s="274" cm="1">
        <f t="array" ref="BN222">INDEX(AA$118:AA$180,MATCH(1,($BC222=$B$118:$B$180)*($BD222=$F$118:$F$180),0))</f>
        <v>0</v>
      </c>
      <c r="BO222" s="274" cm="1">
        <f t="array" ref="BO222">INDEX(AB$118:AB$180,MATCH(1,($BC222=$B$118:$B$180)*($BD222=$F$118:$F$180),0))</f>
        <v>0</v>
      </c>
      <c r="BQ222" s="6" t="s">
        <v>149</v>
      </c>
      <c r="BS222" s="6" t="str" cm="1">
        <f t="array" ref="BS222">IF(AND(BE222=2,BC222=1,OR(i_TE_sc_10y_all_IO=1,i_TE_sc_5and20y_all_IO=1)),"Yes",IF(i_no_TE_waning=1,"No",INDEX(J$118:J$180,MATCH(1,($BC222=$B$118:$B$180)*($BD222=$F$118:$F$180),0))))</f>
        <v>No</v>
      </c>
      <c r="BT222" s="274" t="str">
        <f t="shared" si="14"/>
        <v>No</v>
      </c>
    </row>
    <row r="223" spans="52:72" x14ac:dyDescent="0.2">
      <c r="AZ223" s="657">
        <v>8</v>
      </c>
      <c r="BA223" s="17">
        <v>0</v>
      </c>
      <c r="BB223" s="17" t="s">
        <v>31</v>
      </c>
      <c r="BC223" s="17">
        <v>2</v>
      </c>
      <c r="BD223" s="17" t="str" cm="1">
        <f t="array" ref="BD223">INDEX(List_comparators,$AZ223)</f>
        <v>sunitinib</v>
      </c>
      <c r="BE223" s="17">
        <f>INDEX(Lists!$L$51:$L$85,MATCH(BD223,Lists!$K$51:$K$85,0))</f>
        <v>7</v>
      </c>
      <c r="BF223" s="17" t="str">
        <f>INDEX(Lists!$S$51:$S$55,4)</f>
        <v>Time to progression</v>
      </c>
      <c r="BG223" s="17">
        <f>INDEX(Lists!$T$51:$T$55,MATCH(BF223,Lists!$S$51:$S$55,0))</f>
        <v>3</v>
      </c>
      <c r="BH223" s="17">
        <f>VLOOKUP(VLOOKUP(BC223,$F$100:$I$103,2,FALSE),Lists!$K$50:$L$63,2,FALSE)</f>
        <v>8</v>
      </c>
      <c r="BI223" s="17" t="str" cm="1">
        <f t="array" ref="BI223">IF(OR(i_TE_sc_PartSA_5y_IO_TKI_OS=1,i_TE_sc_4and6y_IO_TKI_OS_absSurv=1),BT223,IF(OR(i_TE_sc_10y_all_IO=1,i_TE_sc_5and20y_all_IO=1),BS223,IF(i_no_TE_waning=1,"No",INDEX(J$118:J$180,MATCH(1,($BC223=$B$118:$B$180)*($BD223=$F$118:$F$180),0)))))</f>
        <v>No</v>
      </c>
      <c r="BJ223" s="17" t="str" cm="1">
        <f t="array" ref="BJ223">IF(i_TE_sc_4and6y_IO_TKI_OS_absSurv=1,BQ223,INDEX(K$118:K$180,MATCH(1,($BC223=$B$118:$B$180)*($BD223=$F$118:$F$180),0)))</f>
        <v>ref trt hazard</v>
      </c>
      <c r="BK223" s="17">
        <f t="shared" si="12"/>
        <v>0</v>
      </c>
      <c r="BL223" s="17">
        <f t="shared" si="13"/>
        <v>0</v>
      </c>
      <c r="BN223" s="274" cm="1">
        <f t="array" ref="BN223">INDEX(AA$118:AA$180,MATCH(1,($BC223=$B$118:$B$180)*($BD223=$F$118:$F$180),0))</f>
        <v>0</v>
      </c>
      <c r="BO223" s="274" cm="1">
        <f t="array" ref="BO223">INDEX(AB$118:AB$180,MATCH(1,($BC223=$B$118:$B$180)*($BD223=$F$118:$F$180),0))</f>
        <v>0</v>
      </c>
      <c r="BQ223" s="6" t="s">
        <v>149</v>
      </c>
      <c r="BS223" s="6" t="str" cm="1">
        <f t="array" ref="BS223">IF(AND(BE223=2,BC223=1,OR(i_TE_sc_10y_all_IO=1,i_TE_sc_5and20y_all_IO=1)),"Yes",IF(i_no_TE_waning=1,"No",INDEX(J$118:J$180,MATCH(1,($BC223=$B$118:$B$180)*($BD223=$F$118:$F$180),0))))</f>
        <v>No</v>
      </c>
      <c r="BT223" s="274" t="str">
        <f t="shared" si="14"/>
        <v>No</v>
      </c>
    </row>
    <row r="224" spans="52:72" x14ac:dyDescent="0.2">
      <c r="AZ224" s="657">
        <v>9</v>
      </c>
      <c r="BA224" s="17">
        <v>0</v>
      </c>
      <c r="BB224" s="17" t="s">
        <v>31</v>
      </c>
      <c r="BC224" s="17">
        <v>2</v>
      </c>
      <c r="BD224" s="17" t="str" cm="1">
        <f t="array" ref="BD224">INDEX(List_comparators,$AZ224)</f>
        <v>cabozantinib</v>
      </c>
      <c r="BE224" s="17">
        <f>INDEX(Lists!$L$51:$L$85,MATCH(BD224,Lists!$K$51:$K$85,0))</f>
        <v>8</v>
      </c>
      <c r="BF224" s="17" t="str">
        <f>INDEX(Lists!$S$51:$S$55,4)</f>
        <v>Time to progression</v>
      </c>
      <c r="BG224" s="17">
        <f>INDEX(Lists!$T$51:$T$55,MATCH(BF224,Lists!$S$51:$S$55,0))</f>
        <v>3</v>
      </c>
      <c r="BH224" s="17">
        <f>VLOOKUP(VLOOKUP(BC224,$F$100:$I$103,2,FALSE),Lists!$K$50:$L$63,2,FALSE)</f>
        <v>8</v>
      </c>
      <c r="BI224" s="17" t="str" cm="1">
        <f t="array" ref="BI224">IF(OR(i_TE_sc_PartSA_5y_IO_TKI_OS=1,i_TE_sc_4and6y_IO_TKI_OS_absSurv=1),BT224,IF(OR(i_TE_sc_10y_all_IO=1,i_TE_sc_5and20y_all_IO=1),BS224,IF(i_no_TE_waning=1,"No",INDEX(J$118:J$180,MATCH(1,($BC224=$B$118:$B$180)*($BD224=$F$118:$F$180),0)))))</f>
        <v>No</v>
      </c>
      <c r="BJ224" s="17" t="str" cm="1">
        <f t="array" ref="BJ224">IF(i_TE_sc_4and6y_IO_TKI_OS_absSurv=1,BQ224,INDEX(K$118:K$180,MATCH(1,($BC224=$B$118:$B$180)*($BD224=$F$118:$F$180),0)))</f>
        <v>ref trt hazard</v>
      </c>
      <c r="BK224" s="17">
        <f t="shared" si="12"/>
        <v>0</v>
      </c>
      <c r="BL224" s="17">
        <f t="shared" si="13"/>
        <v>0</v>
      </c>
      <c r="BN224" s="274" cm="1">
        <f t="array" ref="BN224">INDEX(AA$118:AA$180,MATCH(1,($BC224=$B$118:$B$180)*($BD224=$F$118:$F$180),0))</f>
        <v>0</v>
      </c>
      <c r="BO224" s="274" cm="1">
        <f t="array" ref="BO224">INDEX(AB$118:AB$180,MATCH(1,($BC224=$B$118:$B$180)*($BD224=$F$118:$F$180),0))</f>
        <v>0</v>
      </c>
      <c r="BQ224" s="6" t="s">
        <v>149</v>
      </c>
      <c r="BS224" s="6" t="str" cm="1">
        <f t="array" ref="BS224">IF(AND(BE224=2,BC224=1,OR(i_TE_sc_10y_all_IO=1,i_TE_sc_5and20y_all_IO=1)),"Yes",IF(i_no_TE_waning=1,"No",INDEX(J$118:J$180,MATCH(1,($BC224=$B$118:$B$180)*($BD224=$F$118:$F$180),0))))</f>
        <v>No</v>
      </c>
      <c r="BT224" s="274" t="str">
        <f t="shared" si="14"/>
        <v>No</v>
      </c>
    </row>
    <row r="225" spans="52:72" x14ac:dyDescent="0.2">
      <c r="AZ225" s="657">
        <v>10</v>
      </c>
      <c r="BA225" s="17">
        <v>0</v>
      </c>
      <c r="BB225" s="17" t="s">
        <v>31</v>
      </c>
      <c r="BC225" s="17">
        <v>2</v>
      </c>
      <c r="BD225" s="17" t="str" cm="1">
        <f t="array" ref="BD225">INDEX(List_comparators,$AZ225)</f>
        <v>lenvatinib_plus_everolimus</v>
      </c>
      <c r="BE225" s="17">
        <f>INDEX(Lists!$L$51:$L$85,MATCH(BD225,Lists!$K$51:$K$85,0))</f>
        <v>9</v>
      </c>
      <c r="BF225" s="17" t="str">
        <f>INDEX(Lists!$S$51:$S$55,4)</f>
        <v>Time to progression</v>
      </c>
      <c r="BG225" s="17">
        <f>INDEX(Lists!$T$51:$T$55,MATCH(BF225,Lists!$S$51:$S$55,0))</f>
        <v>3</v>
      </c>
      <c r="BH225" s="17">
        <f>VLOOKUP(VLOOKUP(BC225,$F$100:$I$103,2,FALSE),Lists!$K$50:$L$63,2,FALSE)</f>
        <v>8</v>
      </c>
      <c r="BI225" s="17" t="str" cm="1">
        <f t="array" ref="BI225">IF(OR(i_TE_sc_PartSA_5y_IO_TKI_OS=1,i_TE_sc_4and6y_IO_TKI_OS_absSurv=1),BT225,IF(OR(i_TE_sc_10y_all_IO=1,i_TE_sc_5and20y_all_IO=1),BS225,IF(i_no_TE_waning=1,"No",INDEX(J$118:J$180,MATCH(1,($BC225=$B$118:$B$180)*($BD225=$F$118:$F$180),0)))))</f>
        <v>No</v>
      </c>
      <c r="BJ225" s="17" t="str" cm="1">
        <f t="array" ref="BJ225">IF(i_TE_sc_4and6y_IO_TKI_OS_absSurv=1,BQ225,INDEX(K$118:K$180,MATCH(1,($BC225=$B$118:$B$180)*($BD225=$F$118:$F$180),0)))</f>
        <v>ref trt hazard</v>
      </c>
      <c r="BK225" s="17">
        <f t="shared" si="12"/>
        <v>0</v>
      </c>
      <c r="BL225" s="17">
        <f t="shared" si="13"/>
        <v>0</v>
      </c>
      <c r="BN225" s="274" cm="1">
        <f t="array" ref="BN225">INDEX(AA$118:AA$180,MATCH(1,($BC225=$B$118:$B$180)*($BD225=$F$118:$F$180),0))</f>
        <v>0</v>
      </c>
      <c r="BO225" s="274" cm="1">
        <f t="array" ref="BO225">INDEX(AB$118:AB$180,MATCH(1,($BC225=$B$118:$B$180)*($BD225=$F$118:$F$180),0))</f>
        <v>0</v>
      </c>
      <c r="BQ225" s="6" t="s">
        <v>149</v>
      </c>
      <c r="BS225" s="6" t="str" cm="1">
        <f t="array" ref="BS225">IF(AND(BE225=2,BC225=1,OR(i_TE_sc_10y_all_IO=1,i_TE_sc_5and20y_all_IO=1)),"Yes",IF(i_no_TE_waning=1,"No",INDEX(J$118:J$180,MATCH(1,($BC225=$B$118:$B$180)*($BD225=$F$118:$F$180),0))))</f>
        <v>No</v>
      </c>
      <c r="BT225" s="274" t="str">
        <f t="shared" si="14"/>
        <v>No</v>
      </c>
    </row>
    <row r="226" spans="52:72" x14ac:dyDescent="0.2">
      <c r="AZ226" s="657">
        <v>11</v>
      </c>
      <c r="BA226" s="17">
        <v>0</v>
      </c>
      <c r="BB226" s="17" t="s">
        <v>31</v>
      </c>
      <c r="BC226" s="17">
        <v>2</v>
      </c>
      <c r="BD226" s="17" t="str" cm="1">
        <f t="array" ref="BD226">INDEX(List_comparators,$AZ226)</f>
        <v>everolimus</v>
      </c>
      <c r="BE226" s="17">
        <f>INDEX(Lists!$L$51:$L$85,MATCH(BD226,Lists!$K$51:$K$85,0))</f>
        <v>10</v>
      </c>
      <c r="BF226" s="17" t="str">
        <f>INDEX(Lists!$S$51:$S$55,4)</f>
        <v>Time to progression</v>
      </c>
      <c r="BG226" s="17">
        <f>INDEX(Lists!$T$51:$T$55,MATCH(BF226,Lists!$S$51:$S$55,0))</f>
        <v>3</v>
      </c>
      <c r="BH226" s="17">
        <f>VLOOKUP(VLOOKUP(BC226,$F$100:$I$103,2,FALSE),Lists!$K$50:$L$63,2,FALSE)</f>
        <v>8</v>
      </c>
      <c r="BI226" s="17" t="str" cm="1">
        <f t="array" ref="BI226">IF(OR(i_TE_sc_PartSA_5y_IO_TKI_OS=1,i_TE_sc_4and6y_IO_TKI_OS_absSurv=1),BT226,IF(OR(i_TE_sc_10y_all_IO=1,i_TE_sc_5and20y_all_IO=1),BS226,IF(i_no_TE_waning=1,"No",INDEX(J$118:J$180,MATCH(1,($BC226=$B$118:$B$180)*($BD226=$F$118:$F$180),0)))))</f>
        <v>No</v>
      </c>
      <c r="BJ226" s="17" t="str" cm="1">
        <f t="array" ref="BJ226">IF(i_TE_sc_4and6y_IO_TKI_OS_absSurv=1,BQ226,INDEX(K$118:K$180,MATCH(1,($BC226=$B$118:$B$180)*($BD226=$F$118:$F$180),0)))</f>
        <v>ref trt hazard</v>
      </c>
      <c r="BK226" s="17">
        <f t="shared" si="12"/>
        <v>0</v>
      </c>
      <c r="BL226" s="17">
        <f t="shared" si="13"/>
        <v>0</v>
      </c>
      <c r="BN226" s="274" cm="1">
        <f t="array" ref="BN226">INDEX(AA$118:AA$180,MATCH(1,($BC226=$B$118:$B$180)*($BD226=$F$118:$F$180),0))</f>
        <v>0</v>
      </c>
      <c r="BO226" s="274" cm="1">
        <f t="array" ref="BO226">INDEX(AB$118:AB$180,MATCH(1,($BC226=$B$118:$B$180)*($BD226=$F$118:$F$180),0))</f>
        <v>0</v>
      </c>
      <c r="BQ226" s="6" t="s">
        <v>149</v>
      </c>
      <c r="BS226" s="6" t="str" cm="1">
        <f t="array" ref="BS226">IF(AND(BE226=2,BC226=1,OR(i_TE_sc_10y_all_IO=1,i_TE_sc_5and20y_all_IO=1)),"Yes",IF(i_no_TE_waning=1,"No",INDEX(J$118:J$180,MATCH(1,($BC226=$B$118:$B$180)*($BD226=$F$118:$F$180),0))))</f>
        <v>No</v>
      </c>
      <c r="BT226" s="274" t="str">
        <f t="shared" si="14"/>
        <v>No</v>
      </c>
    </row>
    <row r="227" spans="52:72" x14ac:dyDescent="0.2">
      <c r="AZ227" s="657">
        <v>12</v>
      </c>
      <c r="BA227" s="17">
        <v>0</v>
      </c>
      <c r="BB227" s="17" t="s">
        <v>31</v>
      </c>
      <c r="BC227" s="17">
        <v>2</v>
      </c>
      <c r="BD227" s="17" t="str" cm="1">
        <f t="array" ref="BD227">INDEX(List_comparators,$AZ227)</f>
        <v>axitinib</v>
      </c>
      <c r="BE227" s="17">
        <f>INDEX(Lists!$L$51:$L$85,MATCH(BD227,Lists!$K$51:$K$85,0))</f>
        <v>11</v>
      </c>
      <c r="BF227" s="17" t="str">
        <f>INDEX(Lists!$S$51:$S$55,4)</f>
        <v>Time to progression</v>
      </c>
      <c r="BG227" s="17">
        <f>INDEX(Lists!$T$51:$T$55,MATCH(BF227,Lists!$S$51:$S$55,0))</f>
        <v>3</v>
      </c>
      <c r="BH227" s="17">
        <f>VLOOKUP(VLOOKUP(BC227,$F$100:$I$103,2,FALSE),Lists!$K$50:$L$63,2,FALSE)</f>
        <v>8</v>
      </c>
      <c r="BI227" s="17" t="str" cm="1">
        <f t="array" ref="BI227">IF(OR(i_TE_sc_PartSA_5y_IO_TKI_OS=1,i_TE_sc_4and6y_IO_TKI_OS_absSurv=1),BT227,IF(OR(i_TE_sc_10y_all_IO=1,i_TE_sc_5and20y_all_IO=1),BS227,IF(i_no_TE_waning=1,"No",INDEX(J$118:J$180,MATCH(1,($BC227=$B$118:$B$180)*($BD227=$F$118:$F$180),0)))))</f>
        <v>No</v>
      </c>
      <c r="BJ227" s="17" t="str" cm="1">
        <f t="array" ref="BJ227">IF(i_TE_sc_4and6y_IO_TKI_OS_absSurv=1,BQ227,INDEX(K$118:K$180,MATCH(1,($BC227=$B$118:$B$180)*($BD227=$F$118:$F$180),0)))</f>
        <v>ref trt hazard</v>
      </c>
      <c r="BK227" s="17">
        <f t="shared" si="12"/>
        <v>0</v>
      </c>
      <c r="BL227" s="17">
        <f t="shared" si="13"/>
        <v>0</v>
      </c>
      <c r="BN227" s="274" cm="1">
        <f t="array" ref="BN227">INDEX(AA$118:AA$180,MATCH(1,($BC227=$B$118:$B$180)*($BD227=$F$118:$F$180),0))</f>
        <v>0</v>
      </c>
      <c r="BO227" s="274" cm="1">
        <f t="array" ref="BO227">INDEX(AB$118:AB$180,MATCH(1,($BC227=$B$118:$B$180)*($BD227=$F$118:$F$180),0))</f>
        <v>0</v>
      </c>
      <c r="BQ227" s="6" t="s">
        <v>149</v>
      </c>
      <c r="BS227" s="6" t="str" cm="1">
        <f t="array" ref="BS227">IF(AND(BE227=2,BC227=1,OR(i_TE_sc_10y_all_IO=1,i_TE_sc_5and20y_all_IO=1)),"Yes",IF(i_no_TE_waning=1,"No",INDEX(J$118:J$180,MATCH(1,($BC227=$B$118:$B$180)*($BD227=$F$118:$F$180),0))))</f>
        <v>No</v>
      </c>
      <c r="BT227" s="274" t="str">
        <f t="shared" si="14"/>
        <v>No</v>
      </c>
    </row>
    <row r="228" spans="52:72" x14ac:dyDescent="0.2">
      <c r="AZ228" s="657">
        <v>13</v>
      </c>
      <c r="BA228" s="17">
        <v>0</v>
      </c>
      <c r="BB228" s="17" t="s">
        <v>31</v>
      </c>
      <c r="BC228" s="17">
        <v>2</v>
      </c>
      <c r="BD228" s="17" t="str" cm="1">
        <f t="array" ref="BD228">INDEX(List_comparators,$AZ228)</f>
        <v>sorafenib</v>
      </c>
      <c r="BE228" s="17">
        <f>INDEX(Lists!$L$51:$L$85,MATCH(BD228,Lists!$K$51:$K$85,0))</f>
        <v>12</v>
      </c>
      <c r="BF228" s="17" t="str">
        <f>INDEX(Lists!$S$51:$S$55,4)</f>
        <v>Time to progression</v>
      </c>
      <c r="BG228" s="17">
        <f>INDEX(Lists!$T$51:$T$55,MATCH(BF228,Lists!$S$51:$S$55,0))</f>
        <v>3</v>
      </c>
      <c r="BH228" s="17">
        <f>VLOOKUP(VLOOKUP(BC228,$F$100:$I$103,2,FALSE),Lists!$K$50:$L$63,2,FALSE)</f>
        <v>8</v>
      </c>
      <c r="BI228" s="17" t="str" cm="1">
        <f t="array" ref="BI228">IF(OR(i_TE_sc_PartSA_5y_IO_TKI_OS=1,i_TE_sc_4and6y_IO_TKI_OS_absSurv=1),BT228,IF(OR(i_TE_sc_10y_all_IO=1,i_TE_sc_5and20y_all_IO=1),BS228,IF(i_no_TE_waning=1,"No",INDEX(J$118:J$180,MATCH(1,($BC228=$B$118:$B$180)*($BD228=$F$118:$F$180),0)))))</f>
        <v>No</v>
      </c>
      <c r="BJ228" s="17" t="str" cm="1">
        <f t="array" ref="BJ228">IF(i_TE_sc_4and6y_IO_TKI_OS_absSurv=1,BQ228,INDEX(K$118:K$180,MATCH(1,($BC228=$B$118:$B$180)*($BD228=$F$118:$F$180),0)))</f>
        <v>ref trt hazard</v>
      </c>
      <c r="BK228" s="17">
        <f t="shared" si="12"/>
        <v>0</v>
      </c>
      <c r="BL228" s="17">
        <f t="shared" si="13"/>
        <v>0</v>
      </c>
      <c r="BN228" s="274" cm="1">
        <f t="array" ref="BN228">INDEX(AA$118:AA$180,MATCH(1,($BC228=$B$118:$B$180)*($BD228=$F$118:$F$180),0))</f>
        <v>0</v>
      </c>
      <c r="BO228" s="274" cm="1">
        <f t="array" ref="BO228">INDEX(AB$118:AB$180,MATCH(1,($BC228=$B$118:$B$180)*($BD228=$F$118:$F$180),0))</f>
        <v>0</v>
      </c>
      <c r="BQ228" s="6" t="s">
        <v>149</v>
      </c>
      <c r="BS228" s="6" t="str" cm="1">
        <f t="array" ref="BS228">IF(AND(BE228=2,BC228=1,OR(i_TE_sc_10y_all_IO=1,i_TE_sc_5and20y_all_IO=1)),"Yes",IF(i_no_TE_waning=1,"No",INDEX(J$118:J$180,MATCH(1,($BC228=$B$118:$B$180)*($BD228=$F$118:$F$180),0))))</f>
        <v>No</v>
      </c>
      <c r="BT228" s="274" t="str">
        <f t="shared" si="14"/>
        <v>No</v>
      </c>
    </row>
    <row r="229" spans="52:72" x14ac:dyDescent="0.2">
      <c r="AZ229" s="657">
        <v>14</v>
      </c>
      <c r="BA229" s="17">
        <v>0</v>
      </c>
      <c r="BB229" s="17" t="s">
        <v>31</v>
      </c>
      <c r="BC229" s="17">
        <v>2</v>
      </c>
      <c r="BD229" s="17" t="str" cm="1">
        <f t="array" ref="BD229">INDEX(List_comparators,$AZ229)</f>
        <v>placebo_BSC</v>
      </c>
      <c r="BE229" s="17">
        <f>INDEX(Lists!$L$51:$L$85,MATCH(BD229,Lists!$K$51:$K$85,0))</f>
        <v>999</v>
      </c>
      <c r="BF229" s="17" t="str">
        <f>INDEX(Lists!$S$51:$S$55,4)</f>
        <v>Time to progression</v>
      </c>
      <c r="BG229" s="17">
        <f>INDEX(Lists!$T$51:$T$55,MATCH(BF229,Lists!$S$51:$S$55,0))</f>
        <v>3</v>
      </c>
      <c r="BH229" s="17">
        <f>VLOOKUP(VLOOKUP(BC229,$F$100:$I$103,2,FALSE),Lists!$K$50:$L$63,2,FALSE)</f>
        <v>8</v>
      </c>
      <c r="BI229" s="17" t="str" cm="1">
        <f t="array" ref="BI229">IF(OR(i_TE_sc_PartSA_5y_IO_TKI_OS=1,i_TE_sc_4and6y_IO_TKI_OS_absSurv=1),BT229,IF(OR(i_TE_sc_10y_all_IO=1,i_TE_sc_5and20y_all_IO=1),BS229,IF(i_no_TE_waning=1,"No",INDEX(J$118:J$180,MATCH(1,($BC229=$B$118:$B$180)*($BD229=$F$118:$F$180),0)))))</f>
        <v>No</v>
      </c>
      <c r="BJ229" s="17" cm="1">
        <f t="array" ref="BJ229">IF(i_TE_sc_4and6y_IO_TKI_OS_absSurv=1,BQ229,INDEX(K$118:K$180,MATCH(1,($BC229=$B$118:$B$180)*($BD229=$F$118:$F$180),0)))</f>
        <v>0</v>
      </c>
      <c r="BK229" s="17">
        <f t="shared" si="12"/>
        <v>0</v>
      </c>
      <c r="BL229" s="17">
        <f t="shared" si="13"/>
        <v>0</v>
      </c>
      <c r="BN229" s="274" cm="1">
        <f t="array" ref="BN229">INDEX(AA$118:AA$180,MATCH(1,($BC229=$B$118:$B$180)*($BD229=$F$118:$F$180),0))</f>
        <v>0</v>
      </c>
      <c r="BO229" s="274" cm="1">
        <f t="array" ref="BO229">INDEX(AB$118:AB$180,MATCH(1,($BC229=$B$118:$B$180)*($BD229=$F$118:$F$180),0))</f>
        <v>0</v>
      </c>
      <c r="BS229" s="6" t="str" cm="1">
        <f t="array" ref="BS229">IF(AND(BE229=2,BC229=1,OR(i_TE_sc_10y_all_IO=1,i_TE_sc_5and20y_all_IO=1)),"Yes",IF(i_no_TE_waning=1,"No",INDEX(J$118:J$180,MATCH(1,($BC229=$B$118:$B$180)*($BD229=$F$118:$F$180),0))))</f>
        <v>No</v>
      </c>
      <c r="BT229" s="274" t="str">
        <f t="shared" si="14"/>
        <v>No</v>
      </c>
    </row>
    <row r="230" spans="52:72" x14ac:dyDescent="0.2">
      <c r="AZ230" s="657">
        <v>1</v>
      </c>
      <c r="BA230" s="17">
        <v>0</v>
      </c>
      <c r="BB230" s="17" t="s">
        <v>31</v>
      </c>
      <c r="BC230" s="17">
        <v>3</v>
      </c>
      <c r="BD230" s="17" t="str" cm="1">
        <f t="array" ref="BD230">INDEX(List_comparators,$AZ230)</f>
        <v>nivolumab_monotherapy</v>
      </c>
      <c r="BE230" s="17">
        <f>INDEX(Lists!$L$51:$L$85,MATCH(BD230,Lists!$K$51:$K$85,0))</f>
        <v>0</v>
      </c>
      <c r="BF230" s="17" t="str">
        <f>INDEX(Lists!$S$51:$S$55,1)</f>
        <v>Overall survival</v>
      </c>
      <c r="BG230" s="17">
        <f>INDEX(Lists!$T$51:$T$55,MATCH(BF230,Lists!$S$51:$S$55,0))</f>
        <v>0</v>
      </c>
      <c r="BH230" s="17">
        <f>VLOOKUP(VLOOKUP(BC230,$F$100:$I$103,2,FALSE),Lists!$K$50:$L$63,2,FALSE)</f>
        <v>8</v>
      </c>
      <c r="BI230" s="17" t="str" cm="1">
        <f t="array" ref="BI230">IF(OR(i_TE_sc_PartSA_5y_IO_TKI_OS=1,i_TE_sc_4and6y_IO_TKI_OS_absSurv=1),BT230,IF(OR(i_TE_sc_10y_all_IO=1,i_TE_sc_5and20y_all_IO=1),BS230,IF(i_no_TE_waning=1,"No",INDEX(J$118:J$180,MATCH(1,($BC230=$B$118:$B$180)*($BD230=$F$118:$F$180),0)))))</f>
        <v>No</v>
      </c>
      <c r="BJ230" s="17" t="str" cm="1">
        <f t="array" ref="BJ230">IF(i_TE_sc_4and6y_IO_TKI_OS_absSurv=1,BQ230,INDEX(K$118:K$180,MATCH(1,($BC230=$B$118:$B$180)*($BD230=$F$118:$F$180),0)))</f>
        <v>ref trt hazard</v>
      </c>
      <c r="BK230" s="17">
        <f t="shared" si="12"/>
        <v>0</v>
      </c>
      <c r="BL230" s="17">
        <f t="shared" si="13"/>
        <v>0</v>
      </c>
      <c r="BN230" s="274" cm="1">
        <f t="array" ref="BN230">INDEX(L$118:L$180,MATCH(1,($BC230=$B$118:$B$180)*($BD230=$F$118:$F$180),0))</f>
        <v>0</v>
      </c>
      <c r="BO230" s="274" cm="1">
        <f t="array" ref="BO230">INDEX(M$118:M$180,MATCH(1,($BC230=$B$118:$B$180)*($BD230=$F$118:$F$180),0))</f>
        <v>0</v>
      </c>
      <c r="BQ230" s="6" t="s">
        <v>150</v>
      </c>
      <c r="BS230" s="6" t="str" cm="1">
        <f t="array" ref="BS230">IF(AND(BE230=2,BC230=1,OR(i_TE_sc_10y_all_IO=1,i_TE_sc_5and20y_all_IO=1)),"Yes",IF(i_no_TE_waning=1,"No",INDEX(J$118:J$180,MATCH(1,($BC230=$B$118:$B$180)*($BD230=$F$118:$F$180),0))))</f>
        <v>No</v>
      </c>
      <c r="BT230" s="274" t="str">
        <f t="shared" si="14"/>
        <v>No</v>
      </c>
    </row>
    <row r="231" spans="52:72" x14ac:dyDescent="0.2">
      <c r="AZ231" s="657">
        <v>2</v>
      </c>
      <c r="BA231" s="17">
        <v>0</v>
      </c>
      <c r="BB231" s="17" t="s">
        <v>31</v>
      </c>
      <c r="BC231" s="17">
        <v>3</v>
      </c>
      <c r="BD231" s="17" t="str" cm="1">
        <f t="array" ref="BD231">INDEX(List_comparators,$AZ231)</f>
        <v>cabozantinib_plus_nivolumab</v>
      </c>
      <c r="BE231" s="17">
        <f>INDEX(Lists!$L$51:$L$85,MATCH(BD231,Lists!$K$51:$K$85,0))</f>
        <v>1</v>
      </c>
      <c r="BF231" s="17" t="str">
        <f>INDEX(Lists!$S$51:$S$55,1)</f>
        <v>Overall survival</v>
      </c>
      <c r="BG231" s="17">
        <f>INDEX(Lists!$T$51:$T$55,MATCH(BF231,Lists!$S$51:$S$55,0))</f>
        <v>0</v>
      </c>
      <c r="BH231" s="17">
        <f>VLOOKUP(VLOOKUP(BC231,$F$100:$I$103,2,FALSE),Lists!$K$50:$L$63,2,FALSE)</f>
        <v>8</v>
      </c>
      <c r="BI231" s="17" t="str" cm="1">
        <f t="array" ref="BI231">IF(OR(i_TE_sc_PartSA_5y_IO_TKI_OS=1,i_TE_sc_4and6y_IO_TKI_OS_absSurv=1),BT231,IF(OR(i_TE_sc_10y_all_IO=1,i_TE_sc_5and20y_all_IO=1),BS231,IF(i_no_TE_waning=1,"No",INDEX(J$118:J$180,MATCH(1,($BC231=$B$118:$B$180)*($BD231=$F$118:$F$180),0)))))</f>
        <v>No</v>
      </c>
      <c r="BJ231" s="17" t="str" cm="1">
        <f t="array" ref="BJ231">IF(i_TE_sc_4and6y_IO_TKI_OS_absSurv=1,BQ231,INDEX(K$118:K$180,MATCH(1,($BC231=$B$118:$B$180)*($BD231=$F$118:$F$180),0)))</f>
        <v>ref trt hazard</v>
      </c>
      <c r="BK231" s="17">
        <f t="shared" si="12"/>
        <v>0</v>
      </c>
      <c r="BL231" s="17">
        <f t="shared" si="13"/>
        <v>0</v>
      </c>
      <c r="BN231" s="274" cm="1">
        <f t="array" ref="BN231">INDEX(L$118:L$180,MATCH(1,($BC231=$B$118:$B$180)*($BD231=$F$118:$F$180),0))</f>
        <v>0</v>
      </c>
      <c r="BO231" s="274" cm="1">
        <f t="array" ref="BO231">INDEX(M$118:M$180,MATCH(1,($BC231=$B$118:$B$180)*($BD231=$F$118:$F$180),0))</f>
        <v>0</v>
      </c>
      <c r="BQ231" s="6" t="s">
        <v>150</v>
      </c>
      <c r="BS231" s="6" t="str" cm="1">
        <f t="array" ref="BS231">IF(AND(BE231=2,BC231=1,OR(i_TE_sc_10y_all_IO=1,i_TE_sc_5and20y_all_IO=1)),"Yes",IF(i_no_TE_waning=1,"No",INDEX(J$118:J$180,MATCH(1,($BC231=$B$118:$B$180)*($BD231=$F$118:$F$180),0))))</f>
        <v>No</v>
      </c>
      <c r="BT231" s="274" t="str">
        <f t="shared" si="14"/>
        <v>No</v>
      </c>
    </row>
    <row r="232" spans="52:72" x14ac:dyDescent="0.2">
      <c r="AZ232" s="657">
        <v>3</v>
      </c>
      <c r="BA232" s="17">
        <v>0</v>
      </c>
      <c r="BB232" s="17" t="s">
        <v>31</v>
      </c>
      <c r="BC232" s="17">
        <v>3</v>
      </c>
      <c r="BD232" s="17" t="str" cm="1">
        <f t="array" ref="BD232">INDEX(List_comparators,$AZ232)</f>
        <v>nivolumab_plus_ipilimumab</v>
      </c>
      <c r="BE232" s="17">
        <f>INDEX(Lists!$L$51:$L$85,MATCH(BD232,Lists!$K$51:$K$85,0))</f>
        <v>2</v>
      </c>
      <c r="BF232" s="17" t="str">
        <f>INDEX(Lists!$S$51:$S$55,1)</f>
        <v>Overall survival</v>
      </c>
      <c r="BG232" s="17">
        <f>INDEX(Lists!$T$51:$T$55,MATCH(BF232,Lists!$S$51:$S$55,0))</f>
        <v>0</v>
      </c>
      <c r="BH232" s="17">
        <f>VLOOKUP(VLOOKUP(BC232,$F$100:$I$103,2,FALSE),Lists!$K$50:$L$63,2,FALSE)</f>
        <v>8</v>
      </c>
      <c r="BI232" s="17" t="str" cm="1">
        <f t="array" ref="BI232">IF(OR(i_TE_sc_PartSA_5y_IO_TKI_OS=1,i_TE_sc_4and6y_IO_TKI_OS_absSurv=1),BT232,IF(OR(i_TE_sc_10y_all_IO=1,i_TE_sc_5and20y_all_IO=1),BS232,IF(i_no_TE_waning=1,"No",INDEX(J$118:J$180,MATCH(1,($BC232=$B$118:$B$180)*($BD232=$F$118:$F$180),0)))))</f>
        <v>No</v>
      </c>
      <c r="BJ232" s="17" t="str" cm="1">
        <f t="array" ref="BJ232">IF(i_TE_sc_4and6y_IO_TKI_OS_absSurv=1,BQ232,INDEX(K$118:K$180,MATCH(1,($BC232=$B$118:$B$180)*($BD232=$F$118:$F$180),0)))</f>
        <v>ref trt hazard</v>
      </c>
      <c r="BK232" s="17">
        <f t="shared" si="12"/>
        <v>0</v>
      </c>
      <c r="BL232" s="17">
        <f t="shared" si="13"/>
        <v>0</v>
      </c>
      <c r="BN232" s="274" cm="1">
        <f t="array" ref="BN232">INDEX(L$118:L$180,MATCH(1,($BC232=$B$118:$B$180)*($BD232=$F$118:$F$180),0))</f>
        <v>0</v>
      </c>
      <c r="BO232" s="274" cm="1">
        <f t="array" ref="BO232">INDEX(M$118:M$180,MATCH(1,($BC232=$B$118:$B$180)*($BD232=$F$118:$F$180),0))</f>
        <v>0</v>
      </c>
      <c r="BQ232" s="6" t="s">
        <v>150</v>
      </c>
      <c r="BS232" s="6" t="str" cm="1">
        <f t="array" ref="BS232">IF(AND(BE232=2,BC232=1,OR(i_TE_sc_10y_all_IO=1,i_TE_sc_5and20y_all_IO=1)),"Yes",IF(i_no_TE_waning=1,"No",INDEX(J$118:J$180,MATCH(1,($BC232=$B$118:$B$180)*($BD232=$F$118:$F$180),0))))</f>
        <v>No</v>
      </c>
      <c r="BT232" s="274" t="str">
        <f t="shared" si="14"/>
        <v>No</v>
      </c>
    </row>
    <row r="233" spans="52:72" x14ac:dyDescent="0.2">
      <c r="AZ233" s="657">
        <v>4</v>
      </c>
      <c r="BA233" s="17">
        <v>0</v>
      </c>
      <c r="BB233" s="17" t="s">
        <v>31</v>
      </c>
      <c r="BC233" s="17">
        <v>3</v>
      </c>
      <c r="BD233" s="17" t="str" cm="1">
        <f t="array" ref="BD233">INDEX(List_comparators,$AZ233)</f>
        <v>lenvatinib_plus_pembrolizumab</v>
      </c>
      <c r="BE233" s="17">
        <f>INDEX(Lists!$L$51:$L$85,MATCH(BD233,Lists!$K$51:$K$85,0))</f>
        <v>3</v>
      </c>
      <c r="BF233" s="17" t="str">
        <f>INDEX(Lists!$S$51:$S$55,1)</f>
        <v>Overall survival</v>
      </c>
      <c r="BG233" s="17">
        <f>INDEX(Lists!$T$51:$T$55,MATCH(BF233,Lists!$S$51:$S$55,0))</f>
        <v>0</v>
      </c>
      <c r="BH233" s="17">
        <f>VLOOKUP(VLOOKUP(BC233,$F$100:$I$103,2,FALSE),Lists!$K$50:$L$63,2,FALSE)</f>
        <v>8</v>
      </c>
      <c r="BI233" s="17" t="str" cm="1">
        <f t="array" ref="BI233">IF(OR(i_TE_sc_PartSA_5y_IO_TKI_OS=1,i_TE_sc_4and6y_IO_TKI_OS_absSurv=1),BT233,IF(OR(i_TE_sc_10y_all_IO=1,i_TE_sc_5and20y_all_IO=1),BS233,IF(i_no_TE_waning=1,"No",INDEX(J$118:J$180,MATCH(1,($BC233=$B$118:$B$180)*($BD233=$F$118:$F$180),0)))))</f>
        <v>No</v>
      </c>
      <c r="BJ233" s="17" t="str" cm="1">
        <f t="array" ref="BJ233">IF(i_TE_sc_4and6y_IO_TKI_OS_absSurv=1,BQ233,INDEX(K$118:K$180,MATCH(1,($BC233=$B$118:$B$180)*($BD233=$F$118:$F$180),0)))</f>
        <v>ref trt hazard</v>
      </c>
      <c r="BK233" s="17">
        <f t="shared" si="12"/>
        <v>0</v>
      </c>
      <c r="BL233" s="17">
        <f t="shared" si="13"/>
        <v>0</v>
      </c>
      <c r="BN233" s="274" cm="1">
        <f t="array" ref="BN233">INDEX(L$118:L$180,MATCH(1,($BC233=$B$118:$B$180)*($BD233=$F$118:$F$180),0))</f>
        <v>0</v>
      </c>
      <c r="BO233" s="274" cm="1">
        <f t="array" ref="BO233">INDEX(M$118:M$180,MATCH(1,($BC233=$B$118:$B$180)*($BD233=$F$118:$F$180),0))</f>
        <v>0</v>
      </c>
      <c r="BQ233" s="6" t="s">
        <v>150</v>
      </c>
      <c r="BS233" s="6" t="str" cm="1">
        <f t="array" ref="BS233">IF(AND(BE233=2,BC233=1,OR(i_TE_sc_10y_all_IO=1,i_TE_sc_5and20y_all_IO=1)),"Yes",IF(i_no_TE_waning=1,"No",INDEX(J$118:J$180,MATCH(1,($BC233=$B$118:$B$180)*($BD233=$F$118:$F$180),0))))</f>
        <v>No</v>
      </c>
      <c r="BT233" s="274" t="str">
        <f t="shared" si="14"/>
        <v>No</v>
      </c>
    </row>
    <row r="234" spans="52:72" x14ac:dyDescent="0.2">
      <c r="AZ234" s="657">
        <v>5</v>
      </c>
      <c r="BA234" s="17">
        <v>0</v>
      </c>
      <c r="BB234" s="17" t="s">
        <v>31</v>
      </c>
      <c r="BC234" s="17">
        <v>3</v>
      </c>
      <c r="BD234" s="17" t="str" cm="1">
        <f t="array" ref="BD234">INDEX(List_comparators,$AZ234)</f>
        <v>avelumab_plus_axitinib</v>
      </c>
      <c r="BE234" s="17">
        <f>INDEX(Lists!$L$51:$L$85,MATCH(BD234,Lists!$K$51:$K$85,0))</f>
        <v>4</v>
      </c>
      <c r="BF234" s="17" t="str">
        <f>INDEX(Lists!$S$51:$S$55,1)</f>
        <v>Overall survival</v>
      </c>
      <c r="BG234" s="17">
        <f>INDEX(Lists!$T$51:$T$55,MATCH(BF234,Lists!$S$51:$S$55,0))</f>
        <v>0</v>
      </c>
      <c r="BH234" s="17">
        <f>VLOOKUP(VLOOKUP(BC234,$F$100:$I$103,2,FALSE),Lists!$K$50:$L$63,2,FALSE)</f>
        <v>8</v>
      </c>
      <c r="BI234" s="17" t="str" cm="1">
        <f t="array" ref="BI234">IF(OR(i_TE_sc_PartSA_5y_IO_TKI_OS=1,i_TE_sc_4and6y_IO_TKI_OS_absSurv=1),BT234,IF(OR(i_TE_sc_10y_all_IO=1,i_TE_sc_5and20y_all_IO=1),BS234,IF(i_no_TE_waning=1,"No",INDEX(J$118:J$180,MATCH(1,($BC234=$B$118:$B$180)*($BD234=$F$118:$F$180),0)))))</f>
        <v>No</v>
      </c>
      <c r="BJ234" s="17" t="str" cm="1">
        <f t="array" ref="BJ234">IF(i_TE_sc_4and6y_IO_TKI_OS_absSurv=1,BQ234,INDEX(K$118:K$180,MATCH(1,($BC234=$B$118:$B$180)*($BD234=$F$118:$F$180),0)))</f>
        <v>ref trt hazard</v>
      </c>
      <c r="BK234" s="17">
        <f t="shared" si="12"/>
        <v>0</v>
      </c>
      <c r="BL234" s="17">
        <f t="shared" si="13"/>
        <v>0</v>
      </c>
      <c r="BN234" s="274" cm="1">
        <f t="array" ref="BN234">INDEX(L$118:L$180,MATCH(1,($BC234=$B$118:$B$180)*($BD234=$F$118:$F$180),0))</f>
        <v>0</v>
      </c>
      <c r="BO234" s="274" cm="1">
        <f t="array" ref="BO234">INDEX(M$118:M$180,MATCH(1,($BC234=$B$118:$B$180)*($BD234=$F$118:$F$180),0))</f>
        <v>0</v>
      </c>
      <c r="BQ234" s="6" t="s">
        <v>150</v>
      </c>
      <c r="BS234" s="6" t="str" cm="1">
        <f t="array" ref="BS234">IF(AND(BE234=2,BC234=1,OR(i_TE_sc_10y_all_IO=1,i_TE_sc_5and20y_all_IO=1)),"Yes",IF(i_no_TE_waning=1,"No",INDEX(J$118:J$180,MATCH(1,($BC234=$B$118:$B$180)*($BD234=$F$118:$F$180),0))))</f>
        <v>No</v>
      </c>
      <c r="BT234" s="274" t="str">
        <f t="shared" si="14"/>
        <v>No</v>
      </c>
    </row>
    <row r="235" spans="52:72" x14ac:dyDescent="0.2">
      <c r="AZ235" s="657">
        <v>6</v>
      </c>
      <c r="BA235" s="17">
        <v>0</v>
      </c>
      <c r="BB235" s="17" t="s">
        <v>31</v>
      </c>
      <c r="BC235" s="17">
        <v>3</v>
      </c>
      <c r="BD235" s="17" t="str" cm="1">
        <f t="array" ref="BD235">INDEX(List_comparators,$AZ235)</f>
        <v>pazopanib</v>
      </c>
      <c r="BE235" s="17">
        <f>INDEX(Lists!$L$51:$L$85,MATCH(BD235,Lists!$K$51:$K$85,0))</f>
        <v>5</v>
      </c>
      <c r="BF235" s="17" t="str">
        <f>INDEX(Lists!$S$51:$S$55,1)</f>
        <v>Overall survival</v>
      </c>
      <c r="BG235" s="17">
        <f>INDEX(Lists!$T$51:$T$55,MATCH(BF235,Lists!$S$51:$S$55,0))</f>
        <v>0</v>
      </c>
      <c r="BH235" s="17">
        <f>VLOOKUP(VLOOKUP(BC235,$F$100:$I$103,2,FALSE),Lists!$K$50:$L$63,2,FALSE)</f>
        <v>8</v>
      </c>
      <c r="BI235" s="17" t="str" cm="1">
        <f t="array" ref="BI235">IF(OR(i_TE_sc_PartSA_5y_IO_TKI_OS=1,i_TE_sc_4and6y_IO_TKI_OS_absSurv=1),BT235,IF(OR(i_TE_sc_10y_all_IO=1,i_TE_sc_5and20y_all_IO=1),BS235,IF(i_no_TE_waning=1,"No",INDEX(J$118:J$180,MATCH(1,($BC235=$B$118:$B$180)*($BD235=$F$118:$F$180),0)))))</f>
        <v>No</v>
      </c>
      <c r="BJ235" s="17" t="str" cm="1">
        <f t="array" ref="BJ235">IF(i_TE_sc_4and6y_IO_TKI_OS_absSurv=1,BQ235,INDEX(K$118:K$180,MATCH(1,($BC235=$B$118:$B$180)*($BD235=$F$118:$F$180),0)))</f>
        <v>ref trt hazard</v>
      </c>
      <c r="BK235" s="17">
        <f t="shared" si="12"/>
        <v>0</v>
      </c>
      <c r="BL235" s="17">
        <f t="shared" si="13"/>
        <v>0</v>
      </c>
      <c r="BN235" s="274" cm="1">
        <f t="array" ref="BN235">INDEX(L$118:L$180,MATCH(1,($BC235=$B$118:$B$180)*($BD235=$F$118:$F$180),0))</f>
        <v>0</v>
      </c>
      <c r="BO235" s="274" cm="1">
        <f t="array" ref="BO235">INDEX(M$118:M$180,MATCH(1,($BC235=$B$118:$B$180)*($BD235=$F$118:$F$180),0))</f>
        <v>0</v>
      </c>
      <c r="BQ235" s="6" t="s">
        <v>150</v>
      </c>
      <c r="BS235" s="6" t="str" cm="1">
        <f t="array" ref="BS235">IF(AND(BE235=2,BC235=1,OR(i_TE_sc_10y_all_IO=1,i_TE_sc_5and20y_all_IO=1)),"Yes",IF(i_no_TE_waning=1,"No",INDEX(J$118:J$180,MATCH(1,($BC235=$B$118:$B$180)*($BD235=$F$118:$F$180),0))))</f>
        <v>No</v>
      </c>
      <c r="BT235" s="274" t="str">
        <f t="shared" si="14"/>
        <v>No</v>
      </c>
    </row>
    <row r="236" spans="52:72" x14ac:dyDescent="0.2">
      <c r="AZ236" s="657">
        <v>7</v>
      </c>
      <c r="BA236" s="17">
        <v>0</v>
      </c>
      <c r="BB236" s="17" t="s">
        <v>31</v>
      </c>
      <c r="BC236" s="17">
        <v>3</v>
      </c>
      <c r="BD236" s="17" t="str" cm="1">
        <f t="array" ref="BD236">INDEX(List_comparators,$AZ236)</f>
        <v>tivozanib</v>
      </c>
      <c r="BE236" s="17">
        <f>INDEX(Lists!$L$51:$L$85,MATCH(BD236,Lists!$K$51:$K$85,0))</f>
        <v>6</v>
      </c>
      <c r="BF236" s="17" t="str">
        <f>INDEX(Lists!$S$51:$S$55,1)</f>
        <v>Overall survival</v>
      </c>
      <c r="BG236" s="17">
        <f>INDEX(Lists!$T$51:$T$55,MATCH(BF236,Lists!$S$51:$S$55,0))</f>
        <v>0</v>
      </c>
      <c r="BH236" s="17">
        <f>VLOOKUP(VLOOKUP(BC236,$F$100:$I$103,2,FALSE),Lists!$K$50:$L$63,2,FALSE)</f>
        <v>8</v>
      </c>
      <c r="BI236" s="17" t="str" cm="1">
        <f t="array" ref="BI236">IF(OR(i_TE_sc_PartSA_5y_IO_TKI_OS=1,i_TE_sc_4and6y_IO_TKI_OS_absSurv=1),BT236,IF(OR(i_TE_sc_10y_all_IO=1,i_TE_sc_5and20y_all_IO=1),BS236,IF(i_no_TE_waning=1,"No",INDEX(J$118:J$180,MATCH(1,($BC236=$B$118:$B$180)*($BD236=$F$118:$F$180),0)))))</f>
        <v>No</v>
      </c>
      <c r="BJ236" s="17" t="str" cm="1">
        <f t="array" ref="BJ236">IF(i_TE_sc_4and6y_IO_TKI_OS_absSurv=1,BQ236,INDEX(K$118:K$180,MATCH(1,($BC236=$B$118:$B$180)*($BD236=$F$118:$F$180),0)))</f>
        <v>ref trt hazard</v>
      </c>
      <c r="BK236" s="17">
        <f t="shared" si="12"/>
        <v>0</v>
      </c>
      <c r="BL236" s="17">
        <f t="shared" si="13"/>
        <v>0</v>
      </c>
      <c r="BN236" s="274" cm="1">
        <f t="array" ref="BN236">INDEX(L$118:L$180,MATCH(1,($BC236=$B$118:$B$180)*($BD236=$F$118:$F$180),0))</f>
        <v>0</v>
      </c>
      <c r="BO236" s="274" cm="1">
        <f t="array" ref="BO236">INDEX(M$118:M$180,MATCH(1,($BC236=$B$118:$B$180)*($BD236=$F$118:$F$180),0))</f>
        <v>0</v>
      </c>
      <c r="BQ236" s="6" t="s">
        <v>150</v>
      </c>
      <c r="BS236" s="6" t="str" cm="1">
        <f t="array" ref="BS236">IF(AND(BE236=2,BC236=1,OR(i_TE_sc_10y_all_IO=1,i_TE_sc_5and20y_all_IO=1)),"Yes",IF(i_no_TE_waning=1,"No",INDEX(J$118:J$180,MATCH(1,($BC236=$B$118:$B$180)*($BD236=$F$118:$F$180),0))))</f>
        <v>No</v>
      </c>
      <c r="BT236" s="274" t="str">
        <f t="shared" si="14"/>
        <v>No</v>
      </c>
    </row>
    <row r="237" spans="52:72" x14ac:dyDescent="0.2">
      <c r="AZ237" s="657">
        <v>8</v>
      </c>
      <c r="BA237" s="17">
        <v>0</v>
      </c>
      <c r="BB237" s="17" t="s">
        <v>31</v>
      </c>
      <c r="BC237" s="17">
        <v>3</v>
      </c>
      <c r="BD237" s="17" t="str" cm="1">
        <f t="array" ref="BD237">INDEX(List_comparators,$AZ237)</f>
        <v>sunitinib</v>
      </c>
      <c r="BE237" s="17">
        <f>INDEX(Lists!$L$51:$L$85,MATCH(BD237,Lists!$K$51:$K$85,0))</f>
        <v>7</v>
      </c>
      <c r="BF237" s="17" t="str">
        <f>INDEX(Lists!$S$51:$S$55,1)</f>
        <v>Overall survival</v>
      </c>
      <c r="BG237" s="17">
        <f>INDEX(Lists!$T$51:$T$55,MATCH(BF237,Lists!$S$51:$S$55,0))</f>
        <v>0</v>
      </c>
      <c r="BH237" s="17">
        <f>VLOOKUP(VLOOKUP(BC237,$F$100:$I$103,2,FALSE),Lists!$K$50:$L$63,2,FALSE)</f>
        <v>8</v>
      </c>
      <c r="BI237" s="17" t="str" cm="1">
        <f t="array" ref="BI237">IF(OR(i_TE_sc_PartSA_5y_IO_TKI_OS=1,i_TE_sc_4and6y_IO_TKI_OS_absSurv=1),BT237,IF(OR(i_TE_sc_10y_all_IO=1,i_TE_sc_5and20y_all_IO=1),BS237,IF(i_no_TE_waning=1,"No",INDEX(J$118:J$180,MATCH(1,($BC237=$B$118:$B$180)*($BD237=$F$118:$F$180),0)))))</f>
        <v>No</v>
      </c>
      <c r="BJ237" s="17" t="str" cm="1">
        <f t="array" ref="BJ237">IF(i_TE_sc_4and6y_IO_TKI_OS_absSurv=1,BQ237,INDEX(K$118:K$180,MATCH(1,($BC237=$B$118:$B$180)*($BD237=$F$118:$F$180),0)))</f>
        <v>ref trt hazard</v>
      </c>
      <c r="BK237" s="17">
        <f t="shared" si="12"/>
        <v>0</v>
      </c>
      <c r="BL237" s="17">
        <f t="shared" si="13"/>
        <v>0</v>
      </c>
      <c r="BN237" s="274" cm="1">
        <f t="array" ref="BN237">INDEX(L$118:L$180,MATCH(1,($BC237=$B$118:$B$180)*($BD237=$F$118:$F$180),0))</f>
        <v>0</v>
      </c>
      <c r="BO237" s="274" cm="1">
        <f t="array" ref="BO237">INDEX(M$118:M$180,MATCH(1,($BC237=$B$118:$B$180)*($BD237=$F$118:$F$180),0))</f>
        <v>0</v>
      </c>
      <c r="BQ237" s="6" t="s">
        <v>150</v>
      </c>
      <c r="BS237" s="6" t="str" cm="1">
        <f t="array" ref="BS237">IF(AND(BE237=2,BC237=1,OR(i_TE_sc_10y_all_IO=1,i_TE_sc_5and20y_all_IO=1)),"Yes",IF(i_no_TE_waning=1,"No",INDEX(J$118:J$180,MATCH(1,($BC237=$B$118:$B$180)*($BD237=$F$118:$F$180),0))))</f>
        <v>No</v>
      </c>
      <c r="BT237" s="274" t="str">
        <f t="shared" si="14"/>
        <v>No</v>
      </c>
    </row>
    <row r="238" spans="52:72" x14ac:dyDescent="0.2">
      <c r="AZ238" s="657">
        <v>9</v>
      </c>
      <c r="BA238" s="17">
        <v>0</v>
      </c>
      <c r="BB238" s="17" t="s">
        <v>31</v>
      </c>
      <c r="BC238" s="17">
        <v>3</v>
      </c>
      <c r="BD238" s="17" t="str" cm="1">
        <f t="array" ref="BD238">INDEX(List_comparators,$AZ238)</f>
        <v>cabozantinib</v>
      </c>
      <c r="BE238" s="17">
        <f>INDEX(Lists!$L$51:$L$85,MATCH(BD238,Lists!$K$51:$K$85,0))</f>
        <v>8</v>
      </c>
      <c r="BF238" s="17" t="str">
        <f>INDEX(Lists!$S$51:$S$55,1)</f>
        <v>Overall survival</v>
      </c>
      <c r="BG238" s="17">
        <f>INDEX(Lists!$T$51:$T$55,MATCH(BF238,Lists!$S$51:$S$55,0))</f>
        <v>0</v>
      </c>
      <c r="BH238" s="17">
        <f>VLOOKUP(VLOOKUP(BC238,$F$100:$I$103,2,FALSE),Lists!$K$50:$L$63,2,FALSE)</f>
        <v>8</v>
      </c>
      <c r="BI238" s="17" t="str" cm="1">
        <f t="array" ref="BI238">IF(OR(i_TE_sc_PartSA_5y_IO_TKI_OS=1,i_TE_sc_4and6y_IO_TKI_OS_absSurv=1),BT238,IF(OR(i_TE_sc_10y_all_IO=1,i_TE_sc_5and20y_all_IO=1),BS238,IF(i_no_TE_waning=1,"No",INDEX(J$118:J$180,MATCH(1,($BC238=$B$118:$B$180)*($BD238=$F$118:$F$180),0)))))</f>
        <v>No</v>
      </c>
      <c r="BJ238" s="17" t="str" cm="1">
        <f t="array" ref="BJ238">IF(i_TE_sc_4and6y_IO_TKI_OS_absSurv=1,BQ238,INDEX(K$118:K$180,MATCH(1,($BC238=$B$118:$B$180)*($BD238=$F$118:$F$180),0)))</f>
        <v>ref trt hazard</v>
      </c>
      <c r="BK238" s="17">
        <f t="shared" si="12"/>
        <v>0</v>
      </c>
      <c r="BL238" s="17">
        <f t="shared" si="13"/>
        <v>0</v>
      </c>
      <c r="BN238" s="274" cm="1">
        <f t="array" ref="BN238">INDEX(L$118:L$180,MATCH(1,($BC238=$B$118:$B$180)*($BD238=$F$118:$F$180),0))</f>
        <v>0</v>
      </c>
      <c r="BO238" s="274" cm="1">
        <f t="array" ref="BO238">INDEX(M$118:M$180,MATCH(1,($BC238=$B$118:$B$180)*($BD238=$F$118:$F$180),0))</f>
        <v>0</v>
      </c>
      <c r="BQ238" s="6" t="s">
        <v>150</v>
      </c>
      <c r="BS238" s="6" t="str" cm="1">
        <f t="array" ref="BS238">IF(AND(BE238=2,BC238=1,OR(i_TE_sc_10y_all_IO=1,i_TE_sc_5and20y_all_IO=1)),"Yes",IF(i_no_TE_waning=1,"No",INDEX(J$118:J$180,MATCH(1,($BC238=$B$118:$B$180)*($BD238=$F$118:$F$180),0))))</f>
        <v>No</v>
      </c>
      <c r="BT238" s="274" t="str">
        <f t="shared" si="14"/>
        <v>No</v>
      </c>
    </row>
    <row r="239" spans="52:72" x14ac:dyDescent="0.2">
      <c r="AZ239" s="657">
        <v>10</v>
      </c>
      <c r="BA239" s="17">
        <v>0</v>
      </c>
      <c r="BB239" s="17" t="s">
        <v>31</v>
      </c>
      <c r="BC239" s="17">
        <v>3</v>
      </c>
      <c r="BD239" s="17" t="str" cm="1">
        <f t="array" ref="BD239">INDEX(List_comparators,$AZ239)</f>
        <v>lenvatinib_plus_everolimus</v>
      </c>
      <c r="BE239" s="17">
        <f>INDEX(Lists!$L$51:$L$85,MATCH(BD239,Lists!$K$51:$K$85,0))</f>
        <v>9</v>
      </c>
      <c r="BF239" s="17" t="str">
        <f>INDEX(Lists!$S$51:$S$55,1)</f>
        <v>Overall survival</v>
      </c>
      <c r="BG239" s="17">
        <f>INDEX(Lists!$T$51:$T$55,MATCH(BF239,Lists!$S$51:$S$55,0))</f>
        <v>0</v>
      </c>
      <c r="BH239" s="17">
        <f>VLOOKUP(VLOOKUP(BC239,$F$100:$I$103,2,FALSE),Lists!$K$50:$L$63,2,FALSE)</f>
        <v>8</v>
      </c>
      <c r="BI239" s="17" t="str" cm="1">
        <f t="array" ref="BI239">IF(OR(i_TE_sc_PartSA_5y_IO_TKI_OS=1,i_TE_sc_4and6y_IO_TKI_OS_absSurv=1),BT239,IF(OR(i_TE_sc_10y_all_IO=1,i_TE_sc_5and20y_all_IO=1),BS239,IF(i_no_TE_waning=1,"No",INDEX(J$118:J$180,MATCH(1,($BC239=$B$118:$B$180)*($BD239=$F$118:$F$180),0)))))</f>
        <v>No</v>
      </c>
      <c r="BJ239" s="17" t="str" cm="1">
        <f t="array" ref="BJ239">IF(i_TE_sc_4and6y_IO_TKI_OS_absSurv=1,BQ239,INDEX(K$118:K$180,MATCH(1,($BC239=$B$118:$B$180)*($BD239=$F$118:$F$180),0)))</f>
        <v>ref trt hazard</v>
      </c>
      <c r="BK239" s="17">
        <f t="shared" si="12"/>
        <v>0</v>
      </c>
      <c r="BL239" s="17">
        <f t="shared" si="13"/>
        <v>0</v>
      </c>
      <c r="BN239" s="274" cm="1">
        <f t="array" ref="BN239">INDEX(L$118:L$180,MATCH(1,($BC239=$B$118:$B$180)*($BD239=$F$118:$F$180),0))</f>
        <v>0</v>
      </c>
      <c r="BO239" s="274" cm="1">
        <f t="array" ref="BO239">INDEX(M$118:M$180,MATCH(1,($BC239=$B$118:$B$180)*($BD239=$F$118:$F$180),0))</f>
        <v>0</v>
      </c>
      <c r="BQ239" s="6" t="s">
        <v>150</v>
      </c>
      <c r="BS239" s="6" t="str" cm="1">
        <f t="array" ref="BS239">IF(AND(BE239=2,BC239=1,OR(i_TE_sc_10y_all_IO=1,i_TE_sc_5and20y_all_IO=1)),"Yes",IF(i_no_TE_waning=1,"No",INDEX(J$118:J$180,MATCH(1,($BC239=$B$118:$B$180)*($BD239=$F$118:$F$180),0))))</f>
        <v>No</v>
      </c>
      <c r="BT239" s="274" t="str">
        <f t="shared" si="14"/>
        <v>No</v>
      </c>
    </row>
    <row r="240" spans="52:72" x14ac:dyDescent="0.2">
      <c r="AZ240" s="657">
        <v>11</v>
      </c>
      <c r="BA240" s="17">
        <v>0</v>
      </c>
      <c r="BB240" s="17" t="s">
        <v>31</v>
      </c>
      <c r="BC240" s="17">
        <v>3</v>
      </c>
      <c r="BD240" s="17" t="str" cm="1">
        <f t="array" ref="BD240">INDEX(List_comparators,$AZ240)</f>
        <v>everolimus</v>
      </c>
      <c r="BE240" s="17">
        <f>INDEX(Lists!$L$51:$L$85,MATCH(BD240,Lists!$K$51:$K$85,0))</f>
        <v>10</v>
      </c>
      <c r="BF240" s="17" t="str">
        <f>INDEX(Lists!$S$51:$S$55,1)</f>
        <v>Overall survival</v>
      </c>
      <c r="BG240" s="17">
        <f>INDEX(Lists!$T$51:$T$55,MATCH(BF240,Lists!$S$51:$S$55,0))</f>
        <v>0</v>
      </c>
      <c r="BH240" s="17">
        <f>VLOOKUP(VLOOKUP(BC240,$F$100:$I$103,2,FALSE),Lists!$K$50:$L$63,2,FALSE)</f>
        <v>8</v>
      </c>
      <c r="BI240" s="17" t="str" cm="1">
        <f t="array" ref="BI240">IF(OR(i_TE_sc_PartSA_5y_IO_TKI_OS=1,i_TE_sc_4and6y_IO_TKI_OS_absSurv=1),BT240,IF(OR(i_TE_sc_10y_all_IO=1,i_TE_sc_5and20y_all_IO=1),BS240,IF(i_no_TE_waning=1,"No",INDEX(J$118:J$180,MATCH(1,($BC240=$B$118:$B$180)*($BD240=$F$118:$F$180),0)))))</f>
        <v>No</v>
      </c>
      <c r="BJ240" s="17" t="str" cm="1">
        <f t="array" ref="BJ240">IF(i_TE_sc_4and6y_IO_TKI_OS_absSurv=1,BQ240,INDEX(K$118:K$180,MATCH(1,($BC240=$B$118:$B$180)*($BD240=$F$118:$F$180),0)))</f>
        <v>ref trt hazard</v>
      </c>
      <c r="BK240" s="17">
        <f t="shared" si="12"/>
        <v>0</v>
      </c>
      <c r="BL240" s="17">
        <f t="shared" si="13"/>
        <v>0</v>
      </c>
      <c r="BN240" s="274" cm="1">
        <f t="array" ref="BN240">INDEX(L$118:L$180,MATCH(1,($BC240=$B$118:$B$180)*($BD240=$F$118:$F$180),0))</f>
        <v>0</v>
      </c>
      <c r="BO240" s="274" cm="1">
        <f t="array" ref="BO240">INDEX(M$118:M$180,MATCH(1,($BC240=$B$118:$B$180)*($BD240=$F$118:$F$180),0))</f>
        <v>0</v>
      </c>
      <c r="BQ240" s="6" t="s">
        <v>150</v>
      </c>
      <c r="BS240" s="6" t="str" cm="1">
        <f t="array" ref="BS240">IF(AND(BE240=2,BC240=1,OR(i_TE_sc_10y_all_IO=1,i_TE_sc_5and20y_all_IO=1)),"Yes",IF(i_no_TE_waning=1,"No",INDEX(J$118:J$180,MATCH(1,($BC240=$B$118:$B$180)*($BD240=$F$118:$F$180),0))))</f>
        <v>No</v>
      </c>
      <c r="BT240" s="274" t="str">
        <f t="shared" si="14"/>
        <v>No</v>
      </c>
    </row>
    <row r="241" spans="52:72" x14ac:dyDescent="0.2">
      <c r="AZ241" s="657">
        <v>12</v>
      </c>
      <c r="BA241" s="17">
        <v>0</v>
      </c>
      <c r="BB241" s="17" t="s">
        <v>31</v>
      </c>
      <c r="BC241" s="17">
        <v>3</v>
      </c>
      <c r="BD241" s="17" t="str" cm="1">
        <f t="array" ref="BD241">INDEX(List_comparators,$AZ241)</f>
        <v>axitinib</v>
      </c>
      <c r="BE241" s="17">
        <f>INDEX(Lists!$L$51:$L$85,MATCH(BD241,Lists!$K$51:$K$85,0))</f>
        <v>11</v>
      </c>
      <c r="BF241" s="17" t="str">
        <f>INDEX(Lists!$S$51:$S$55,1)</f>
        <v>Overall survival</v>
      </c>
      <c r="BG241" s="17">
        <f>INDEX(Lists!$T$51:$T$55,MATCH(BF241,Lists!$S$51:$S$55,0))</f>
        <v>0</v>
      </c>
      <c r="BH241" s="17">
        <f>VLOOKUP(VLOOKUP(BC241,$F$100:$I$103,2,FALSE),Lists!$K$50:$L$63,2,FALSE)</f>
        <v>8</v>
      </c>
      <c r="BI241" s="17" t="str" cm="1">
        <f t="array" ref="BI241">IF(OR(i_TE_sc_PartSA_5y_IO_TKI_OS=1,i_TE_sc_4and6y_IO_TKI_OS_absSurv=1),BT241,IF(OR(i_TE_sc_10y_all_IO=1,i_TE_sc_5and20y_all_IO=1),BS241,IF(i_no_TE_waning=1,"No",INDEX(J$118:J$180,MATCH(1,($BC241=$B$118:$B$180)*($BD241=$F$118:$F$180),0)))))</f>
        <v>No</v>
      </c>
      <c r="BJ241" s="17" t="str" cm="1">
        <f t="array" ref="BJ241">IF(i_TE_sc_4and6y_IO_TKI_OS_absSurv=1,BQ241,INDEX(K$118:K$180,MATCH(1,($BC241=$B$118:$B$180)*($BD241=$F$118:$F$180),0)))</f>
        <v>ref trt hazard</v>
      </c>
      <c r="BK241" s="17">
        <f t="shared" si="12"/>
        <v>0</v>
      </c>
      <c r="BL241" s="17">
        <f t="shared" si="13"/>
        <v>0</v>
      </c>
      <c r="BN241" s="274" cm="1">
        <f t="array" ref="BN241">INDEX(L$118:L$180,MATCH(1,($BC241=$B$118:$B$180)*($BD241=$F$118:$F$180),0))</f>
        <v>0</v>
      </c>
      <c r="BO241" s="274" cm="1">
        <f t="array" ref="BO241">INDEX(M$118:M$180,MATCH(1,($BC241=$B$118:$B$180)*($BD241=$F$118:$F$180),0))</f>
        <v>0</v>
      </c>
      <c r="BQ241" s="6" t="s">
        <v>150</v>
      </c>
      <c r="BS241" s="6" t="str" cm="1">
        <f t="array" ref="BS241">IF(AND(BE241=2,BC241=1,OR(i_TE_sc_10y_all_IO=1,i_TE_sc_5and20y_all_IO=1)),"Yes",IF(i_no_TE_waning=1,"No",INDEX(J$118:J$180,MATCH(1,($BC241=$B$118:$B$180)*($BD241=$F$118:$F$180),0))))</f>
        <v>No</v>
      </c>
      <c r="BT241" s="274" t="str">
        <f t="shared" si="14"/>
        <v>No</v>
      </c>
    </row>
    <row r="242" spans="52:72" x14ac:dyDescent="0.2">
      <c r="AZ242" s="657">
        <v>13</v>
      </c>
      <c r="BA242" s="17">
        <v>0</v>
      </c>
      <c r="BB242" s="17" t="s">
        <v>31</v>
      </c>
      <c r="BC242" s="17">
        <v>3</v>
      </c>
      <c r="BD242" s="17" t="str" cm="1">
        <f t="array" ref="BD242">INDEX(List_comparators,$AZ242)</f>
        <v>sorafenib</v>
      </c>
      <c r="BE242" s="17">
        <f>INDEX(Lists!$L$51:$L$85,MATCH(BD242,Lists!$K$51:$K$85,0))</f>
        <v>12</v>
      </c>
      <c r="BF242" s="17" t="str">
        <f>INDEX(Lists!$S$51:$S$55,1)</f>
        <v>Overall survival</v>
      </c>
      <c r="BG242" s="17">
        <f>INDEX(Lists!$T$51:$T$55,MATCH(BF242,Lists!$S$51:$S$55,0))</f>
        <v>0</v>
      </c>
      <c r="BH242" s="17">
        <f>VLOOKUP(VLOOKUP(BC242,$F$100:$I$103,2,FALSE),Lists!$K$50:$L$63,2,FALSE)</f>
        <v>8</v>
      </c>
      <c r="BI242" s="17" t="str" cm="1">
        <f t="array" ref="BI242">IF(OR(i_TE_sc_PartSA_5y_IO_TKI_OS=1,i_TE_sc_4and6y_IO_TKI_OS_absSurv=1),BT242,IF(OR(i_TE_sc_10y_all_IO=1,i_TE_sc_5and20y_all_IO=1),BS242,IF(i_no_TE_waning=1,"No",INDEX(J$118:J$180,MATCH(1,($BC242=$B$118:$B$180)*($BD242=$F$118:$F$180),0)))))</f>
        <v>No</v>
      </c>
      <c r="BJ242" s="17" t="str" cm="1">
        <f t="array" ref="BJ242">IF(i_TE_sc_4and6y_IO_TKI_OS_absSurv=1,BQ242,INDEX(K$118:K$180,MATCH(1,($BC242=$B$118:$B$180)*($BD242=$F$118:$F$180),0)))</f>
        <v>ref trt hazard</v>
      </c>
      <c r="BK242" s="17">
        <f t="shared" si="12"/>
        <v>0</v>
      </c>
      <c r="BL242" s="17">
        <f t="shared" si="13"/>
        <v>0</v>
      </c>
      <c r="BN242" s="274" cm="1">
        <f t="array" ref="BN242">INDEX(L$118:L$180,MATCH(1,($BC242=$B$118:$B$180)*($BD242=$F$118:$F$180),0))</f>
        <v>0</v>
      </c>
      <c r="BO242" s="274" cm="1">
        <f t="array" ref="BO242">INDEX(M$118:M$180,MATCH(1,($BC242=$B$118:$B$180)*($BD242=$F$118:$F$180),0))</f>
        <v>0</v>
      </c>
      <c r="BQ242" s="6" t="s">
        <v>150</v>
      </c>
      <c r="BS242" s="6" t="str" cm="1">
        <f t="array" ref="BS242">IF(AND(BE242=2,BC242=1,OR(i_TE_sc_10y_all_IO=1,i_TE_sc_5and20y_all_IO=1)),"Yes",IF(i_no_TE_waning=1,"No",INDEX(J$118:J$180,MATCH(1,($BC242=$B$118:$B$180)*($BD242=$F$118:$F$180),0))))</f>
        <v>No</v>
      </c>
      <c r="BT242" s="274" t="str">
        <f t="shared" si="14"/>
        <v>No</v>
      </c>
    </row>
    <row r="243" spans="52:72" x14ac:dyDescent="0.2">
      <c r="AZ243" s="657">
        <v>14</v>
      </c>
      <c r="BA243" s="17">
        <v>0</v>
      </c>
      <c r="BB243" s="17" t="s">
        <v>31</v>
      </c>
      <c r="BC243" s="17">
        <v>3</v>
      </c>
      <c r="BD243" s="17" t="str" cm="1">
        <f t="array" ref="BD243">INDEX(List_comparators,$AZ243)</f>
        <v>placebo_BSC</v>
      </c>
      <c r="BE243" s="17">
        <f>INDEX(Lists!$L$51:$L$85,MATCH(BD243,Lists!$K$51:$K$85,0))</f>
        <v>999</v>
      </c>
      <c r="BF243" s="17" t="str">
        <f>INDEX(Lists!$S$51:$S$55,1)</f>
        <v>Overall survival</v>
      </c>
      <c r="BG243" s="17">
        <f>INDEX(Lists!$T$51:$T$55,MATCH(BF243,Lists!$S$51:$S$55,0))</f>
        <v>0</v>
      </c>
      <c r="BH243" s="17">
        <f>VLOOKUP(VLOOKUP(BC243,$F$100:$I$103,2,FALSE),Lists!$K$50:$L$63,2,FALSE)</f>
        <v>8</v>
      </c>
      <c r="BI243" s="17" t="str" cm="1">
        <f t="array" ref="BI243">IF(OR(i_TE_sc_PartSA_5y_IO_TKI_OS=1,i_TE_sc_4and6y_IO_TKI_OS_absSurv=1),BT243,IF(OR(i_TE_sc_10y_all_IO=1,i_TE_sc_5and20y_all_IO=1),BS243,IF(i_no_TE_waning=1,"No",INDEX(J$118:J$180,MATCH(1,($BC243=$B$118:$B$180)*($BD243=$F$118:$F$180),0)))))</f>
        <v>No</v>
      </c>
      <c r="BJ243" s="17" cm="1">
        <f t="array" ref="BJ243">IF(i_TE_sc_4and6y_IO_TKI_OS_absSurv=1,BQ243,INDEX(K$118:K$180,MATCH(1,($BC243=$B$118:$B$180)*($BD243=$F$118:$F$180),0)))</f>
        <v>0</v>
      </c>
      <c r="BK243" s="17">
        <f t="shared" si="12"/>
        <v>0</v>
      </c>
      <c r="BL243" s="17">
        <f t="shared" si="13"/>
        <v>0</v>
      </c>
      <c r="BN243" s="274" cm="1">
        <f t="array" ref="BN243">INDEX(L$118:L$180,MATCH(1,($BC243=$B$118:$B$180)*($BD243=$F$118:$F$180),0))</f>
        <v>0</v>
      </c>
      <c r="BO243" s="274" cm="1">
        <f t="array" ref="BO243">INDEX(M$118:M$180,MATCH(1,($BC243=$B$118:$B$180)*($BD243=$F$118:$F$180),0))</f>
        <v>0</v>
      </c>
      <c r="BS243" s="6" t="str" cm="1">
        <f t="array" ref="BS243">IF(AND(BE243=2,BC243=1,OR(i_TE_sc_10y_all_IO=1,i_TE_sc_5and20y_all_IO=1)),"Yes",IF(i_no_TE_waning=1,"No",INDEX(J$118:J$180,MATCH(1,($BC243=$B$118:$B$180)*($BD243=$F$118:$F$180),0))))</f>
        <v>No</v>
      </c>
      <c r="BT243" s="274" t="str">
        <f t="shared" si="14"/>
        <v>No</v>
      </c>
    </row>
    <row r="244" spans="52:72" x14ac:dyDescent="0.2">
      <c r="AZ244" s="657">
        <v>1</v>
      </c>
      <c r="BA244" s="17">
        <v>0</v>
      </c>
      <c r="BB244" s="17" t="s">
        <v>31</v>
      </c>
      <c r="BC244" s="17">
        <v>3</v>
      </c>
      <c r="BD244" s="17" t="str" cm="1">
        <f t="array" ref="BD244">INDEX(List_comparators,$AZ244)</f>
        <v>nivolumab_monotherapy</v>
      </c>
      <c r="BE244" s="17">
        <f>INDEX(Lists!$L$51:$L$85,MATCH(BD244,Lists!$K$51:$K$85,0))</f>
        <v>0</v>
      </c>
      <c r="BF244" s="17" t="str">
        <f>INDEX(Lists!$S$51:$S$55,2)</f>
        <v>Progression free survival</v>
      </c>
      <c r="BG244" s="17">
        <f>INDEX(Lists!$T$51:$T$55,MATCH(BF244,Lists!$S$51:$S$55,0))</f>
        <v>1</v>
      </c>
      <c r="BH244" s="17">
        <f>VLOOKUP(VLOOKUP(BC244,$F$100:$I$103,2,FALSE),Lists!$K$50:$L$63,2,FALSE)</f>
        <v>8</v>
      </c>
      <c r="BI244" s="17" t="str" cm="1">
        <f t="array" ref="BI244">IF(OR(i_TE_sc_PartSA_5y_IO_TKI_OS=1,i_TE_sc_4and6y_IO_TKI_OS_absSurv=1),BT244,IF(OR(i_TE_sc_10y_all_IO=1,i_TE_sc_5and20y_all_IO=1),BS244,IF(i_no_TE_waning=1,"No",INDEX(J$118:J$180,MATCH(1,($BC244=$B$118:$B$180)*($BD244=$F$118:$F$180),0)))))</f>
        <v>No</v>
      </c>
      <c r="BJ244" s="17" t="str" cm="1">
        <f t="array" ref="BJ244">IF(i_TE_sc_4and6y_IO_TKI_OS_absSurv=1,BQ244,INDEX(K$118:K$180,MATCH(1,($BC244=$B$118:$B$180)*($BD244=$F$118:$F$180),0)))</f>
        <v>ref trt hazard</v>
      </c>
      <c r="BK244" s="17">
        <f t="shared" si="12"/>
        <v>0</v>
      </c>
      <c r="BL244" s="17">
        <f t="shared" si="13"/>
        <v>0</v>
      </c>
      <c r="BN244" s="274" cm="1">
        <f t="array" ref="BN244">INDEX(Q$118:Q$180,MATCH(1,($BC244=$B$118:$B$180)*($BD244=$F$118:$F$180),0))</f>
        <v>0</v>
      </c>
      <c r="BO244" s="274" cm="1">
        <f t="array" ref="BO244">INDEX(R$118:R$180,MATCH(1,($BC244=$B$118:$B$180)*($BD244=$F$118:$F$180),0))</f>
        <v>0</v>
      </c>
      <c r="BQ244" s="6" t="s">
        <v>149</v>
      </c>
      <c r="BS244" s="6" t="str" cm="1">
        <f t="array" ref="BS244">IF(AND(BE244=2,BC244=1,OR(i_TE_sc_10y_all_IO=1,i_TE_sc_5and20y_all_IO=1)),"Yes",IF(i_no_TE_waning=1,"No",INDEX(J$118:J$180,MATCH(1,($BC244=$B$118:$B$180)*($BD244=$F$118:$F$180),0))))</f>
        <v>No</v>
      </c>
      <c r="BT244" s="274" t="str">
        <f t="shared" si="14"/>
        <v>No</v>
      </c>
    </row>
    <row r="245" spans="52:72" x14ac:dyDescent="0.2">
      <c r="AZ245" s="657">
        <v>2</v>
      </c>
      <c r="BA245" s="17">
        <v>0</v>
      </c>
      <c r="BB245" s="17" t="s">
        <v>31</v>
      </c>
      <c r="BC245" s="17">
        <v>3</v>
      </c>
      <c r="BD245" s="17" t="str" cm="1">
        <f t="array" ref="BD245">INDEX(List_comparators,$AZ245)</f>
        <v>cabozantinib_plus_nivolumab</v>
      </c>
      <c r="BE245" s="17">
        <f>INDEX(Lists!$L$51:$L$85,MATCH(BD245,Lists!$K$51:$K$85,0))</f>
        <v>1</v>
      </c>
      <c r="BF245" s="17" t="str">
        <f>INDEX(Lists!$S$51:$S$55,2)</f>
        <v>Progression free survival</v>
      </c>
      <c r="BG245" s="17">
        <f>INDEX(Lists!$T$51:$T$55,MATCH(BF245,Lists!$S$51:$S$55,0))</f>
        <v>1</v>
      </c>
      <c r="BH245" s="17">
        <f>VLOOKUP(VLOOKUP(BC245,$F$100:$I$103,2,FALSE),Lists!$K$50:$L$63,2,FALSE)</f>
        <v>8</v>
      </c>
      <c r="BI245" s="17" t="str" cm="1">
        <f t="array" ref="BI245">IF(OR(i_TE_sc_PartSA_5y_IO_TKI_OS=1,i_TE_sc_4and6y_IO_TKI_OS_absSurv=1),BT245,IF(OR(i_TE_sc_10y_all_IO=1,i_TE_sc_5and20y_all_IO=1),BS245,IF(i_no_TE_waning=1,"No",INDEX(J$118:J$180,MATCH(1,($BC245=$B$118:$B$180)*($BD245=$F$118:$F$180),0)))))</f>
        <v>No</v>
      </c>
      <c r="BJ245" s="17" t="str" cm="1">
        <f t="array" ref="BJ245">IF(i_TE_sc_4and6y_IO_TKI_OS_absSurv=1,BQ245,INDEX(K$118:K$180,MATCH(1,($BC245=$B$118:$B$180)*($BD245=$F$118:$F$180),0)))</f>
        <v>ref trt hazard</v>
      </c>
      <c r="BK245" s="17">
        <f t="shared" si="12"/>
        <v>0</v>
      </c>
      <c r="BL245" s="17">
        <f t="shared" si="13"/>
        <v>0</v>
      </c>
      <c r="BN245" s="274" cm="1">
        <f t="array" ref="BN245">INDEX(Q$118:Q$180,MATCH(1,($BC245=$B$118:$B$180)*($BD245=$F$118:$F$180),0))</f>
        <v>0</v>
      </c>
      <c r="BO245" s="274" cm="1">
        <f t="array" ref="BO245">INDEX(R$118:R$180,MATCH(1,($BC245=$B$118:$B$180)*($BD245=$F$118:$F$180),0))</f>
        <v>0</v>
      </c>
      <c r="BQ245" s="6" t="s">
        <v>149</v>
      </c>
      <c r="BS245" s="6" t="str" cm="1">
        <f t="array" ref="BS245">IF(AND(BE245=2,BC245=1,OR(i_TE_sc_10y_all_IO=1,i_TE_sc_5and20y_all_IO=1)),"Yes",IF(i_no_TE_waning=1,"No",INDEX(J$118:J$180,MATCH(1,($BC245=$B$118:$B$180)*($BD245=$F$118:$F$180),0))))</f>
        <v>No</v>
      </c>
      <c r="BT245" s="274" t="str">
        <f t="shared" si="14"/>
        <v>No</v>
      </c>
    </row>
    <row r="246" spans="52:72" x14ac:dyDescent="0.2">
      <c r="AZ246" s="657">
        <v>3</v>
      </c>
      <c r="BA246" s="17">
        <v>0</v>
      </c>
      <c r="BB246" s="17" t="s">
        <v>31</v>
      </c>
      <c r="BC246" s="17">
        <v>3</v>
      </c>
      <c r="BD246" s="17" t="str" cm="1">
        <f t="array" ref="BD246">INDEX(List_comparators,$AZ246)</f>
        <v>nivolumab_plus_ipilimumab</v>
      </c>
      <c r="BE246" s="17">
        <f>INDEX(Lists!$L$51:$L$85,MATCH(BD246,Lists!$K$51:$K$85,0))</f>
        <v>2</v>
      </c>
      <c r="BF246" s="17" t="str">
        <f>INDEX(Lists!$S$51:$S$55,2)</f>
        <v>Progression free survival</v>
      </c>
      <c r="BG246" s="17">
        <f>INDEX(Lists!$T$51:$T$55,MATCH(BF246,Lists!$S$51:$S$55,0))</f>
        <v>1</v>
      </c>
      <c r="BH246" s="17">
        <f>VLOOKUP(VLOOKUP(BC246,$F$100:$I$103,2,FALSE),Lists!$K$50:$L$63,2,FALSE)</f>
        <v>8</v>
      </c>
      <c r="BI246" s="17" t="str" cm="1">
        <f t="array" ref="BI246">IF(OR(i_TE_sc_PartSA_5y_IO_TKI_OS=1,i_TE_sc_4and6y_IO_TKI_OS_absSurv=1),BT246,IF(OR(i_TE_sc_10y_all_IO=1,i_TE_sc_5and20y_all_IO=1),BS246,IF(i_no_TE_waning=1,"No",INDEX(J$118:J$180,MATCH(1,($BC246=$B$118:$B$180)*($BD246=$F$118:$F$180),0)))))</f>
        <v>No</v>
      </c>
      <c r="BJ246" s="17" t="str" cm="1">
        <f t="array" ref="BJ246">IF(i_TE_sc_4and6y_IO_TKI_OS_absSurv=1,BQ246,INDEX(K$118:K$180,MATCH(1,($BC246=$B$118:$B$180)*($BD246=$F$118:$F$180),0)))</f>
        <v>ref trt hazard</v>
      </c>
      <c r="BK246" s="17">
        <f t="shared" ref="BK246:BK309" si="15">BN246</f>
        <v>0</v>
      </c>
      <c r="BL246" s="17">
        <f t="shared" ref="BL246:BL309" si="16">BO246</f>
        <v>0</v>
      </c>
      <c r="BN246" s="274" cm="1">
        <f t="array" ref="BN246">INDEX(Q$118:Q$180,MATCH(1,($BC246=$B$118:$B$180)*($BD246=$F$118:$F$180),0))</f>
        <v>0</v>
      </c>
      <c r="BO246" s="274" cm="1">
        <f t="array" ref="BO246">INDEX(R$118:R$180,MATCH(1,($BC246=$B$118:$B$180)*($BD246=$F$118:$F$180),0))</f>
        <v>0</v>
      </c>
      <c r="BQ246" s="6" t="s">
        <v>149</v>
      </c>
      <c r="BS246" s="6" t="str" cm="1">
        <f t="array" ref="BS246">IF(AND(BE246=2,BC246=1,OR(i_TE_sc_10y_all_IO=1,i_TE_sc_5and20y_all_IO=1)),"Yes",IF(i_no_TE_waning=1,"No",INDEX(J$118:J$180,MATCH(1,($BC246=$B$118:$B$180)*($BD246=$F$118:$F$180),0))))</f>
        <v>No</v>
      </c>
      <c r="BT246" s="274" t="str">
        <f t="shared" ref="BT246:BT309" si="17">IF(AND(BG246=0,BC246=1,OR(i_TE_sc_PartSA_5y_IO_TKI_OS=1,i_TE_sc_4and6y_IO_TKI_OS_absSurv=1)),"Yes","No")</f>
        <v>No</v>
      </c>
    </row>
    <row r="247" spans="52:72" x14ac:dyDescent="0.2">
      <c r="AZ247" s="657">
        <v>4</v>
      </c>
      <c r="BA247" s="17">
        <v>0</v>
      </c>
      <c r="BB247" s="17" t="s">
        <v>31</v>
      </c>
      <c r="BC247" s="17">
        <v>3</v>
      </c>
      <c r="BD247" s="17" t="str" cm="1">
        <f t="array" ref="BD247">INDEX(List_comparators,$AZ247)</f>
        <v>lenvatinib_plus_pembrolizumab</v>
      </c>
      <c r="BE247" s="17">
        <f>INDEX(Lists!$L$51:$L$85,MATCH(BD247,Lists!$K$51:$K$85,0))</f>
        <v>3</v>
      </c>
      <c r="BF247" s="17" t="str">
        <f>INDEX(Lists!$S$51:$S$55,2)</f>
        <v>Progression free survival</v>
      </c>
      <c r="BG247" s="17">
        <f>INDEX(Lists!$T$51:$T$55,MATCH(BF247,Lists!$S$51:$S$55,0))</f>
        <v>1</v>
      </c>
      <c r="BH247" s="17">
        <f>VLOOKUP(VLOOKUP(BC247,$F$100:$I$103,2,FALSE),Lists!$K$50:$L$63,2,FALSE)</f>
        <v>8</v>
      </c>
      <c r="BI247" s="17" t="str" cm="1">
        <f t="array" ref="BI247">IF(OR(i_TE_sc_PartSA_5y_IO_TKI_OS=1,i_TE_sc_4and6y_IO_TKI_OS_absSurv=1),BT247,IF(OR(i_TE_sc_10y_all_IO=1,i_TE_sc_5and20y_all_IO=1),BS247,IF(i_no_TE_waning=1,"No",INDEX(J$118:J$180,MATCH(1,($BC247=$B$118:$B$180)*($BD247=$F$118:$F$180),0)))))</f>
        <v>No</v>
      </c>
      <c r="BJ247" s="17" t="str" cm="1">
        <f t="array" ref="BJ247">IF(i_TE_sc_4and6y_IO_TKI_OS_absSurv=1,BQ247,INDEX(K$118:K$180,MATCH(1,($BC247=$B$118:$B$180)*($BD247=$F$118:$F$180),0)))</f>
        <v>ref trt hazard</v>
      </c>
      <c r="BK247" s="17">
        <f t="shared" si="15"/>
        <v>0</v>
      </c>
      <c r="BL247" s="17">
        <f t="shared" si="16"/>
        <v>0</v>
      </c>
      <c r="BN247" s="274" cm="1">
        <f t="array" ref="BN247">INDEX(Q$118:Q$180,MATCH(1,($BC247=$B$118:$B$180)*($BD247=$F$118:$F$180),0))</f>
        <v>0</v>
      </c>
      <c r="BO247" s="274" cm="1">
        <f t="array" ref="BO247">INDEX(R$118:R$180,MATCH(1,($BC247=$B$118:$B$180)*($BD247=$F$118:$F$180),0))</f>
        <v>0</v>
      </c>
      <c r="BQ247" s="6" t="s">
        <v>149</v>
      </c>
      <c r="BS247" s="6" t="str" cm="1">
        <f t="array" ref="BS247">IF(AND(BE247=2,BC247=1,OR(i_TE_sc_10y_all_IO=1,i_TE_sc_5and20y_all_IO=1)),"Yes",IF(i_no_TE_waning=1,"No",INDEX(J$118:J$180,MATCH(1,($BC247=$B$118:$B$180)*($BD247=$F$118:$F$180),0))))</f>
        <v>No</v>
      </c>
      <c r="BT247" s="274" t="str">
        <f t="shared" si="17"/>
        <v>No</v>
      </c>
    </row>
    <row r="248" spans="52:72" x14ac:dyDescent="0.2">
      <c r="AZ248" s="657">
        <v>5</v>
      </c>
      <c r="BA248" s="17">
        <v>0</v>
      </c>
      <c r="BB248" s="17" t="s">
        <v>31</v>
      </c>
      <c r="BC248" s="17">
        <v>3</v>
      </c>
      <c r="BD248" s="17" t="str" cm="1">
        <f t="array" ref="BD248">INDEX(List_comparators,$AZ248)</f>
        <v>avelumab_plus_axitinib</v>
      </c>
      <c r="BE248" s="17">
        <f>INDEX(Lists!$L$51:$L$85,MATCH(BD248,Lists!$K$51:$K$85,0))</f>
        <v>4</v>
      </c>
      <c r="BF248" s="17" t="str">
        <f>INDEX(Lists!$S$51:$S$55,2)</f>
        <v>Progression free survival</v>
      </c>
      <c r="BG248" s="17">
        <f>INDEX(Lists!$T$51:$T$55,MATCH(BF248,Lists!$S$51:$S$55,0))</f>
        <v>1</v>
      </c>
      <c r="BH248" s="17">
        <f>VLOOKUP(VLOOKUP(BC248,$F$100:$I$103,2,FALSE),Lists!$K$50:$L$63,2,FALSE)</f>
        <v>8</v>
      </c>
      <c r="BI248" s="17" t="str" cm="1">
        <f t="array" ref="BI248">IF(OR(i_TE_sc_PartSA_5y_IO_TKI_OS=1,i_TE_sc_4and6y_IO_TKI_OS_absSurv=1),BT248,IF(OR(i_TE_sc_10y_all_IO=1,i_TE_sc_5and20y_all_IO=1),BS248,IF(i_no_TE_waning=1,"No",INDEX(J$118:J$180,MATCH(1,($BC248=$B$118:$B$180)*($BD248=$F$118:$F$180),0)))))</f>
        <v>No</v>
      </c>
      <c r="BJ248" s="17" t="str" cm="1">
        <f t="array" ref="BJ248">IF(i_TE_sc_4and6y_IO_TKI_OS_absSurv=1,BQ248,INDEX(K$118:K$180,MATCH(1,($BC248=$B$118:$B$180)*($BD248=$F$118:$F$180),0)))</f>
        <v>ref trt hazard</v>
      </c>
      <c r="BK248" s="17">
        <f t="shared" si="15"/>
        <v>0</v>
      </c>
      <c r="BL248" s="17">
        <f t="shared" si="16"/>
        <v>0</v>
      </c>
      <c r="BN248" s="274" cm="1">
        <f t="array" ref="BN248">INDEX(Q$118:Q$180,MATCH(1,($BC248=$B$118:$B$180)*($BD248=$F$118:$F$180),0))</f>
        <v>0</v>
      </c>
      <c r="BO248" s="274" cm="1">
        <f t="array" ref="BO248">INDEX(R$118:R$180,MATCH(1,($BC248=$B$118:$B$180)*($BD248=$F$118:$F$180),0))</f>
        <v>0</v>
      </c>
      <c r="BQ248" s="6" t="s">
        <v>149</v>
      </c>
      <c r="BS248" s="6" t="str" cm="1">
        <f t="array" ref="BS248">IF(AND(BE248=2,BC248=1,OR(i_TE_sc_10y_all_IO=1,i_TE_sc_5and20y_all_IO=1)),"Yes",IF(i_no_TE_waning=1,"No",INDEX(J$118:J$180,MATCH(1,($BC248=$B$118:$B$180)*($BD248=$F$118:$F$180),0))))</f>
        <v>No</v>
      </c>
      <c r="BT248" s="274" t="str">
        <f t="shared" si="17"/>
        <v>No</v>
      </c>
    </row>
    <row r="249" spans="52:72" x14ac:dyDescent="0.2">
      <c r="AZ249" s="657">
        <v>6</v>
      </c>
      <c r="BA249" s="17">
        <v>0</v>
      </c>
      <c r="BB249" s="17" t="s">
        <v>31</v>
      </c>
      <c r="BC249" s="17">
        <v>3</v>
      </c>
      <c r="BD249" s="17" t="str" cm="1">
        <f t="array" ref="BD249">INDEX(List_comparators,$AZ249)</f>
        <v>pazopanib</v>
      </c>
      <c r="BE249" s="17">
        <f>INDEX(Lists!$L$51:$L$85,MATCH(BD249,Lists!$K$51:$K$85,0))</f>
        <v>5</v>
      </c>
      <c r="BF249" s="17" t="str">
        <f>INDEX(Lists!$S$51:$S$55,2)</f>
        <v>Progression free survival</v>
      </c>
      <c r="BG249" s="17">
        <f>INDEX(Lists!$T$51:$T$55,MATCH(BF249,Lists!$S$51:$S$55,0))</f>
        <v>1</v>
      </c>
      <c r="BH249" s="17">
        <f>VLOOKUP(VLOOKUP(BC249,$F$100:$I$103,2,FALSE),Lists!$K$50:$L$63,2,FALSE)</f>
        <v>8</v>
      </c>
      <c r="BI249" s="17" t="str" cm="1">
        <f t="array" ref="BI249">IF(OR(i_TE_sc_PartSA_5y_IO_TKI_OS=1,i_TE_sc_4and6y_IO_TKI_OS_absSurv=1),BT249,IF(OR(i_TE_sc_10y_all_IO=1,i_TE_sc_5and20y_all_IO=1),BS249,IF(i_no_TE_waning=1,"No",INDEX(J$118:J$180,MATCH(1,($BC249=$B$118:$B$180)*($BD249=$F$118:$F$180),0)))))</f>
        <v>No</v>
      </c>
      <c r="BJ249" s="17" t="str" cm="1">
        <f t="array" ref="BJ249">IF(i_TE_sc_4and6y_IO_TKI_OS_absSurv=1,BQ249,INDEX(K$118:K$180,MATCH(1,($BC249=$B$118:$B$180)*($BD249=$F$118:$F$180),0)))</f>
        <v>ref trt hazard</v>
      </c>
      <c r="BK249" s="17">
        <f t="shared" si="15"/>
        <v>0</v>
      </c>
      <c r="BL249" s="17">
        <f t="shared" si="16"/>
        <v>0</v>
      </c>
      <c r="BN249" s="274" cm="1">
        <f t="array" ref="BN249">INDEX(Q$118:Q$180,MATCH(1,($BC249=$B$118:$B$180)*($BD249=$F$118:$F$180),0))</f>
        <v>0</v>
      </c>
      <c r="BO249" s="274" cm="1">
        <f t="array" ref="BO249">INDEX(R$118:R$180,MATCH(1,($BC249=$B$118:$B$180)*($BD249=$F$118:$F$180),0))</f>
        <v>0</v>
      </c>
      <c r="BQ249" s="6" t="s">
        <v>149</v>
      </c>
      <c r="BS249" s="6" t="str" cm="1">
        <f t="array" ref="BS249">IF(AND(BE249=2,BC249=1,OR(i_TE_sc_10y_all_IO=1,i_TE_sc_5and20y_all_IO=1)),"Yes",IF(i_no_TE_waning=1,"No",INDEX(J$118:J$180,MATCH(1,($BC249=$B$118:$B$180)*($BD249=$F$118:$F$180),0))))</f>
        <v>No</v>
      </c>
      <c r="BT249" s="274" t="str">
        <f t="shared" si="17"/>
        <v>No</v>
      </c>
    </row>
    <row r="250" spans="52:72" x14ac:dyDescent="0.2">
      <c r="AZ250" s="657">
        <v>7</v>
      </c>
      <c r="BA250" s="17">
        <v>0</v>
      </c>
      <c r="BB250" s="17" t="s">
        <v>31</v>
      </c>
      <c r="BC250" s="17">
        <v>3</v>
      </c>
      <c r="BD250" s="17" t="str" cm="1">
        <f t="array" ref="BD250">INDEX(List_comparators,$AZ250)</f>
        <v>tivozanib</v>
      </c>
      <c r="BE250" s="17">
        <f>INDEX(Lists!$L$51:$L$85,MATCH(BD250,Lists!$K$51:$K$85,0))</f>
        <v>6</v>
      </c>
      <c r="BF250" s="17" t="str">
        <f>INDEX(Lists!$S$51:$S$55,2)</f>
        <v>Progression free survival</v>
      </c>
      <c r="BG250" s="17">
        <f>INDEX(Lists!$T$51:$T$55,MATCH(BF250,Lists!$S$51:$S$55,0))</f>
        <v>1</v>
      </c>
      <c r="BH250" s="17">
        <f>VLOOKUP(VLOOKUP(BC250,$F$100:$I$103,2,FALSE),Lists!$K$50:$L$63,2,FALSE)</f>
        <v>8</v>
      </c>
      <c r="BI250" s="17" t="str" cm="1">
        <f t="array" ref="BI250">IF(OR(i_TE_sc_PartSA_5y_IO_TKI_OS=1,i_TE_sc_4and6y_IO_TKI_OS_absSurv=1),BT250,IF(OR(i_TE_sc_10y_all_IO=1,i_TE_sc_5and20y_all_IO=1),BS250,IF(i_no_TE_waning=1,"No",INDEX(J$118:J$180,MATCH(1,($BC250=$B$118:$B$180)*($BD250=$F$118:$F$180),0)))))</f>
        <v>No</v>
      </c>
      <c r="BJ250" s="17" t="str" cm="1">
        <f t="array" ref="BJ250">IF(i_TE_sc_4and6y_IO_TKI_OS_absSurv=1,BQ250,INDEX(K$118:K$180,MATCH(1,($BC250=$B$118:$B$180)*($BD250=$F$118:$F$180),0)))</f>
        <v>ref trt hazard</v>
      </c>
      <c r="BK250" s="17">
        <f t="shared" si="15"/>
        <v>0</v>
      </c>
      <c r="BL250" s="17">
        <f t="shared" si="16"/>
        <v>0</v>
      </c>
      <c r="BN250" s="274" cm="1">
        <f t="array" ref="BN250">INDEX(Q$118:Q$180,MATCH(1,($BC250=$B$118:$B$180)*($BD250=$F$118:$F$180),0))</f>
        <v>0</v>
      </c>
      <c r="BO250" s="274" cm="1">
        <f t="array" ref="BO250">INDEX(R$118:R$180,MATCH(1,($BC250=$B$118:$B$180)*($BD250=$F$118:$F$180),0))</f>
        <v>0</v>
      </c>
      <c r="BQ250" s="6" t="s">
        <v>149</v>
      </c>
      <c r="BS250" s="6" t="str" cm="1">
        <f t="array" ref="BS250">IF(AND(BE250=2,BC250=1,OR(i_TE_sc_10y_all_IO=1,i_TE_sc_5and20y_all_IO=1)),"Yes",IF(i_no_TE_waning=1,"No",INDEX(J$118:J$180,MATCH(1,($BC250=$B$118:$B$180)*($BD250=$F$118:$F$180),0))))</f>
        <v>No</v>
      </c>
      <c r="BT250" s="274" t="str">
        <f t="shared" si="17"/>
        <v>No</v>
      </c>
    </row>
    <row r="251" spans="52:72" x14ac:dyDescent="0.2">
      <c r="AZ251" s="657">
        <v>8</v>
      </c>
      <c r="BA251" s="17">
        <v>0</v>
      </c>
      <c r="BB251" s="17" t="s">
        <v>31</v>
      </c>
      <c r="BC251" s="17">
        <v>3</v>
      </c>
      <c r="BD251" s="17" t="str" cm="1">
        <f t="array" ref="BD251">INDEX(List_comparators,$AZ251)</f>
        <v>sunitinib</v>
      </c>
      <c r="BE251" s="17">
        <f>INDEX(Lists!$L$51:$L$85,MATCH(BD251,Lists!$K$51:$K$85,0))</f>
        <v>7</v>
      </c>
      <c r="BF251" s="17" t="str">
        <f>INDEX(Lists!$S$51:$S$55,2)</f>
        <v>Progression free survival</v>
      </c>
      <c r="BG251" s="17">
        <f>INDEX(Lists!$T$51:$T$55,MATCH(BF251,Lists!$S$51:$S$55,0))</f>
        <v>1</v>
      </c>
      <c r="BH251" s="17">
        <f>VLOOKUP(VLOOKUP(BC251,$F$100:$I$103,2,FALSE),Lists!$K$50:$L$63,2,FALSE)</f>
        <v>8</v>
      </c>
      <c r="BI251" s="17" t="str" cm="1">
        <f t="array" ref="BI251">IF(OR(i_TE_sc_PartSA_5y_IO_TKI_OS=1,i_TE_sc_4and6y_IO_TKI_OS_absSurv=1),BT251,IF(OR(i_TE_sc_10y_all_IO=1,i_TE_sc_5and20y_all_IO=1),BS251,IF(i_no_TE_waning=1,"No",INDEX(J$118:J$180,MATCH(1,($BC251=$B$118:$B$180)*($BD251=$F$118:$F$180),0)))))</f>
        <v>No</v>
      </c>
      <c r="BJ251" s="17" t="str" cm="1">
        <f t="array" ref="BJ251">IF(i_TE_sc_4and6y_IO_TKI_OS_absSurv=1,BQ251,INDEX(K$118:K$180,MATCH(1,($BC251=$B$118:$B$180)*($BD251=$F$118:$F$180),0)))</f>
        <v>ref trt hazard</v>
      </c>
      <c r="BK251" s="17">
        <f t="shared" si="15"/>
        <v>0</v>
      </c>
      <c r="BL251" s="17">
        <f t="shared" si="16"/>
        <v>0</v>
      </c>
      <c r="BN251" s="274" cm="1">
        <f t="array" ref="BN251">INDEX(Q$118:Q$180,MATCH(1,($BC251=$B$118:$B$180)*($BD251=$F$118:$F$180),0))</f>
        <v>0</v>
      </c>
      <c r="BO251" s="274" cm="1">
        <f t="array" ref="BO251">INDEX(R$118:R$180,MATCH(1,($BC251=$B$118:$B$180)*($BD251=$F$118:$F$180),0))</f>
        <v>0</v>
      </c>
      <c r="BQ251" s="6" t="s">
        <v>149</v>
      </c>
      <c r="BS251" s="6" t="str" cm="1">
        <f t="array" ref="BS251">IF(AND(BE251=2,BC251=1,OR(i_TE_sc_10y_all_IO=1,i_TE_sc_5and20y_all_IO=1)),"Yes",IF(i_no_TE_waning=1,"No",INDEX(J$118:J$180,MATCH(1,($BC251=$B$118:$B$180)*($BD251=$F$118:$F$180),0))))</f>
        <v>No</v>
      </c>
      <c r="BT251" s="274" t="str">
        <f t="shared" si="17"/>
        <v>No</v>
      </c>
    </row>
    <row r="252" spans="52:72" x14ac:dyDescent="0.2">
      <c r="AZ252" s="657">
        <v>9</v>
      </c>
      <c r="BA252" s="17">
        <v>0</v>
      </c>
      <c r="BB252" s="17" t="s">
        <v>31</v>
      </c>
      <c r="BC252" s="17">
        <v>3</v>
      </c>
      <c r="BD252" s="17" t="str" cm="1">
        <f t="array" ref="BD252">INDEX(List_comparators,$AZ252)</f>
        <v>cabozantinib</v>
      </c>
      <c r="BE252" s="17">
        <f>INDEX(Lists!$L$51:$L$85,MATCH(BD252,Lists!$K$51:$K$85,0))</f>
        <v>8</v>
      </c>
      <c r="BF252" s="17" t="str">
        <f>INDEX(Lists!$S$51:$S$55,2)</f>
        <v>Progression free survival</v>
      </c>
      <c r="BG252" s="17">
        <f>INDEX(Lists!$T$51:$T$55,MATCH(BF252,Lists!$S$51:$S$55,0))</f>
        <v>1</v>
      </c>
      <c r="BH252" s="17">
        <f>VLOOKUP(VLOOKUP(BC252,$F$100:$I$103,2,FALSE),Lists!$K$50:$L$63,2,FALSE)</f>
        <v>8</v>
      </c>
      <c r="BI252" s="17" t="str" cm="1">
        <f t="array" ref="BI252">IF(OR(i_TE_sc_PartSA_5y_IO_TKI_OS=1,i_TE_sc_4and6y_IO_TKI_OS_absSurv=1),BT252,IF(OR(i_TE_sc_10y_all_IO=1,i_TE_sc_5and20y_all_IO=1),BS252,IF(i_no_TE_waning=1,"No",INDEX(J$118:J$180,MATCH(1,($BC252=$B$118:$B$180)*($BD252=$F$118:$F$180),0)))))</f>
        <v>No</v>
      </c>
      <c r="BJ252" s="17" t="str" cm="1">
        <f t="array" ref="BJ252">IF(i_TE_sc_4and6y_IO_TKI_OS_absSurv=1,BQ252,INDEX(K$118:K$180,MATCH(1,($BC252=$B$118:$B$180)*($BD252=$F$118:$F$180),0)))</f>
        <v>ref trt hazard</v>
      </c>
      <c r="BK252" s="17">
        <f t="shared" si="15"/>
        <v>0</v>
      </c>
      <c r="BL252" s="17">
        <f t="shared" si="16"/>
        <v>0</v>
      </c>
      <c r="BN252" s="274" cm="1">
        <f t="array" ref="BN252">INDEX(Q$118:Q$180,MATCH(1,($BC252=$B$118:$B$180)*($BD252=$F$118:$F$180),0))</f>
        <v>0</v>
      </c>
      <c r="BO252" s="274" cm="1">
        <f t="array" ref="BO252">INDEX(R$118:R$180,MATCH(1,($BC252=$B$118:$B$180)*($BD252=$F$118:$F$180),0))</f>
        <v>0</v>
      </c>
      <c r="BQ252" s="6" t="s">
        <v>149</v>
      </c>
      <c r="BS252" s="6" t="str" cm="1">
        <f t="array" ref="BS252">IF(AND(BE252=2,BC252=1,OR(i_TE_sc_10y_all_IO=1,i_TE_sc_5and20y_all_IO=1)),"Yes",IF(i_no_TE_waning=1,"No",INDEX(J$118:J$180,MATCH(1,($BC252=$B$118:$B$180)*($BD252=$F$118:$F$180),0))))</f>
        <v>No</v>
      </c>
      <c r="BT252" s="274" t="str">
        <f t="shared" si="17"/>
        <v>No</v>
      </c>
    </row>
    <row r="253" spans="52:72" x14ac:dyDescent="0.2">
      <c r="AZ253" s="657">
        <v>10</v>
      </c>
      <c r="BA253" s="17">
        <v>0</v>
      </c>
      <c r="BB253" s="17" t="s">
        <v>31</v>
      </c>
      <c r="BC253" s="17">
        <v>3</v>
      </c>
      <c r="BD253" s="17" t="str" cm="1">
        <f t="array" ref="BD253">INDEX(List_comparators,$AZ253)</f>
        <v>lenvatinib_plus_everolimus</v>
      </c>
      <c r="BE253" s="17">
        <f>INDEX(Lists!$L$51:$L$85,MATCH(BD253,Lists!$K$51:$K$85,0))</f>
        <v>9</v>
      </c>
      <c r="BF253" s="17" t="str">
        <f>INDEX(Lists!$S$51:$S$55,2)</f>
        <v>Progression free survival</v>
      </c>
      <c r="BG253" s="17">
        <f>INDEX(Lists!$T$51:$T$55,MATCH(BF253,Lists!$S$51:$S$55,0))</f>
        <v>1</v>
      </c>
      <c r="BH253" s="17">
        <f>VLOOKUP(VLOOKUP(BC253,$F$100:$I$103,2,FALSE),Lists!$K$50:$L$63,2,FALSE)</f>
        <v>8</v>
      </c>
      <c r="BI253" s="17" t="str" cm="1">
        <f t="array" ref="BI253">IF(OR(i_TE_sc_PartSA_5y_IO_TKI_OS=1,i_TE_sc_4and6y_IO_TKI_OS_absSurv=1),BT253,IF(OR(i_TE_sc_10y_all_IO=1,i_TE_sc_5and20y_all_IO=1),BS253,IF(i_no_TE_waning=1,"No",INDEX(J$118:J$180,MATCH(1,($BC253=$B$118:$B$180)*($BD253=$F$118:$F$180),0)))))</f>
        <v>No</v>
      </c>
      <c r="BJ253" s="17" t="str" cm="1">
        <f t="array" ref="BJ253">IF(i_TE_sc_4and6y_IO_TKI_OS_absSurv=1,BQ253,INDEX(K$118:K$180,MATCH(1,($BC253=$B$118:$B$180)*($BD253=$F$118:$F$180),0)))</f>
        <v>ref trt hazard</v>
      </c>
      <c r="BK253" s="17">
        <f t="shared" si="15"/>
        <v>0</v>
      </c>
      <c r="BL253" s="17">
        <f t="shared" si="16"/>
        <v>0</v>
      </c>
      <c r="BN253" s="274" cm="1">
        <f t="array" ref="BN253">INDEX(Q$118:Q$180,MATCH(1,($BC253=$B$118:$B$180)*($BD253=$F$118:$F$180),0))</f>
        <v>0</v>
      </c>
      <c r="BO253" s="274" cm="1">
        <f t="array" ref="BO253">INDEX(R$118:R$180,MATCH(1,($BC253=$B$118:$B$180)*($BD253=$F$118:$F$180),0))</f>
        <v>0</v>
      </c>
      <c r="BQ253" s="6" t="s">
        <v>149</v>
      </c>
      <c r="BS253" s="6" t="str" cm="1">
        <f t="array" ref="BS253">IF(AND(BE253=2,BC253=1,OR(i_TE_sc_10y_all_IO=1,i_TE_sc_5and20y_all_IO=1)),"Yes",IF(i_no_TE_waning=1,"No",INDEX(J$118:J$180,MATCH(1,($BC253=$B$118:$B$180)*($BD253=$F$118:$F$180),0))))</f>
        <v>No</v>
      </c>
      <c r="BT253" s="274" t="str">
        <f t="shared" si="17"/>
        <v>No</v>
      </c>
    </row>
    <row r="254" spans="52:72" x14ac:dyDescent="0.2">
      <c r="AZ254" s="657">
        <v>11</v>
      </c>
      <c r="BA254" s="17">
        <v>0</v>
      </c>
      <c r="BB254" s="17" t="s">
        <v>31</v>
      </c>
      <c r="BC254" s="17">
        <v>3</v>
      </c>
      <c r="BD254" s="17" t="str" cm="1">
        <f t="array" ref="BD254">INDEX(List_comparators,$AZ254)</f>
        <v>everolimus</v>
      </c>
      <c r="BE254" s="17">
        <f>INDEX(Lists!$L$51:$L$85,MATCH(BD254,Lists!$K$51:$K$85,0))</f>
        <v>10</v>
      </c>
      <c r="BF254" s="17" t="str">
        <f>INDEX(Lists!$S$51:$S$55,2)</f>
        <v>Progression free survival</v>
      </c>
      <c r="BG254" s="17">
        <f>INDEX(Lists!$T$51:$T$55,MATCH(BF254,Lists!$S$51:$S$55,0))</f>
        <v>1</v>
      </c>
      <c r="BH254" s="17">
        <f>VLOOKUP(VLOOKUP(BC254,$F$100:$I$103,2,FALSE),Lists!$K$50:$L$63,2,FALSE)</f>
        <v>8</v>
      </c>
      <c r="BI254" s="17" t="str" cm="1">
        <f t="array" ref="BI254">IF(OR(i_TE_sc_PartSA_5y_IO_TKI_OS=1,i_TE_sc_4and6y_IO_TKI_OS_absSurv=1),BT254,IF(OR(i_TE_sc_10y_all_IO=1,i_TE_sc_5and20y_all_IO=1),BS254,IF(i_no_TE_waning=1,"No",INDEX(J$118:J$180,MATCH(1,($BC254=$B$118:$B$180)*($BD254=$F$118:$F$180),0)))))</f>
        <v>No</v>
      </c>
      <c r="BJ254" s="17" t="str" cm="1">
        <f t="array" ref="BJ254">IF(i_TE_sc_4and6y_IO_TKI_OS_absSurv=1,BQ254,INDEX(K$118:K$180,MATCH(1,($BC254=$B$118:$B$180)*($BD254=$F$118:$F$180),0)))</f>
        <v>ref trt hazard</v>
      </c>
      <c r="BK254" s="17">
        <f t="shared" si="15"/>
        <v>0</v>
      </c>
      <c r="BL254" s="17">
        <f t="shared" si="16"/>
        <v>0</v>
      </c>
      <c r="BN254" s="274" cm="1">
        <f t="array" ref="BN254">INDEX(Q$118:Q$180,MATCH(1,($BC254=$B$118:$B$180)*($BD254=$F$118:$F$180),0))</f>
        <v>0</v>
      </c>
      <c r="BO254" s="274" cm="1">
        <f t="array" ref="BO254">INDEX(R$118:R$180,MATCH(1,($BC254=$B$118:$B$180)*($BD254=$F$118:$F$180),0))</f>
        <v>0</v>
      </c>
      <c r="BQ254" s="6" t="s">
        <v>149</v>
      </c>
      <c r="BS254" s="6" t="str" cm="1">
        <f t="array" ref="BS254">IF(AND(BE254=2,BC254=1,OR(i_TE_sc_10y_all_IO=1,i_TE_sc_5and20y_all_IO=1)),"Yes",IF(i_no_TE_waning=1,"No",INDEX(J$118:J$180,MATCH(1,($BC254=$B$118:$B$180)*($BD254=$F$118:$F$180),0))))</f>
        <v>No</v>
      </c>
      <c r="BT254" s="274" t="str">
        <f t="shared" si="17"/>
        <v>No</v>
      </c>
    </row>
    <row r="255" spans="52:72" x14ac:dyDescent="0.2">
      <c r="AZ255" s="657">
        <v>12</v>
      </c>
      <c r="BA255" s="17">
        <v>0</v>
      </c>
      <c r="BB255" s="17" t="s">
        <v>31</v>
      </c>
      <c r="BC255" s="17">
        <v>3</v>
      </c>
      <c r="BD255" s="17" t="str" cm="1">
        <f t="array" ref="BD255">INDEX(List_comparators,$AZ255)</f>
        <v>axitinib</v>
      </c>
      <c r="BE255" s="17">
        <f>INDEX(Lists!$L$51:$L$85,MATCH(BD255,Lists!$K$51:$K$85,0))</f>
        <v>11</v>
      </c>
      <c r="BF255" s="17" t="str">
        <f>INDEX(Lists!$S$51:$S$55,2)</f>
        <v>Progression free survival</v>
      </c>
      <c r="BG255" s="17">
        <f>INDEX(Lists!$T$51:$T$55,MATCH(BF255,Lists!$S$51:$S$55,0))</f>
        <v>1</v>
      </c>
      <c r="BH255" s="17">
        <f>VLOOKUP(VLOOKUP(BC255,$F$100:$I$103,2,FALSE),Lists!$K$50:$L$63,2,FALSE)</f>
        <v>8</v>
      </c>
      <c r="BI255" s="17" t="str" cm="1">
        <f t="array" ref="BI255">IF(OR(i_TE_sc_PartSA_5y_IO_TKI_OS=1,i_TE_sc_4and6y_IO_TKI_OS_absSurv=1),BT255,IF(OR(i_TE_sc_10y_all_IO=1,i_TE_sc_5and20y_all_IO=1),BS255,IF(i_no_TE_waning=1,"No",INDEX(J$118:J$180,MATCH(1,($BC255=$B$118:$B$180)*($BD255=$F$118:$F$180),0)))))</f>
        <v>No</v>
      </c>
      <c r="BJ255" s="17" t="str" cm="1">
        <f t="array" ref="BJ255">IF(i_TE_sc_4and6y_IO_TKI_OS_absSurv=1,BQ255,INDEX(K$118:K$180,MATCH(1,($BC255=$B$118:$B$180)*($BD255=$F$118:$F$180),0)))</f>
        <v>ref trt hazard</v>
      </c>
      <c r="BK255" s="17">
        <f t="shared" si="15"/>
        <v>0</v>
      </c>
      <c r="BL255" s="17">
        <f t="shared" si="16"/>
        <v>0</v>
      </c>
      <c r="BN255" s="274" cm="1">
        <f t="array" ref="BN255">INDEX(Q$118:Q$180,MATCH(1,($BC255=$B$118:$B$180)*($BD255=$F$118:$F$180),0))</f>
        <v>0</v>
      </c>
      <c r="BO255" s="274" cm="1">
        <f t="array" ref="BO255">INDEX(R$118:R$180,MATCH(1,($BC255=$B$118:$B$180)*($BD255=$F$118:$F$180),0))</f>
        <v>0</v>
      </c>
      <c r="BQ255" s="6" t="s">
        <v>149</v>
      </c>
      <c r="BS255" s="6" t="str" cm="1">
        <f t="array" ref="BS255">IF(AND(BE255=2,BC255=1,OR(i_TE_sc_10y_all_IO=1,i_TE_sc_5and20y_all_IO=1)),"Yes",IF(i_no_TE_waning=1,"No",INDEX(J$118:J$180,MATCH(1,($BC255=$B$118:$B$180)*($BD255=$F$118:$F$180),0))))</f>
        <v>No</v>
      </c>
      <c r="BT255" s="274" t="str">
        <f t="shared" si="17"/>
        <v>No</v>
      </c>
    </row>
    <row r="256" spans="52:72" x14ac:dyDescent="0.2">
      <c r="AZ256" s="657">
        <v>13</v>
      </c>
      <c r="BA256" s="17">
        <v>0</v>
      </c>
      <c r="BB256" s="17" t="s">
        <v>31</v>
      </c>
      <c r="BC256" s="17">
        <v>3</v>
      </c>
      <c r="BD256" s="17" t="str" cm="1">
        <f t="array" ref="BD256">INDEX(List_comparators,$AZ256)</f>
        <v>sorafenib</v>
      </c>
      <c r="BE256" s="17">
        <f>INDEX(Lists!$L$51:$L$85,MATCH(BD256,Lists!$K$51:$K$85,0))</f>
        <v>12</v>
      </c>
      <c r="BF256" s="17" t="str">
        <f>INDEX(Lists!$S$51:$S$55,2)</f>
        <v>Progression free survival</v>
      </c>
      <c r="BG256" s="17">
        <f>INDEX(Lists!$T$51:$T$55,MATCH(BF256,Lists!$S$51:$S$55,0))</f>
        <v>1</v>
      </c>
      <c r="BH256" s="17">
        <f>VLOOKUP(VLOOKUP(BC256,$F$100:$I$103,2,FALSE),Lists!$K$50:$L$63,2,FALSE)</f>
        <v>8</v>
      </c>
      <c r="BI256" s="17" t="str" cm="1">
        <f t="array" ref="BI256">IF(OR(i_TE_sc_PartSA_5y_IO_TKI_OS=1,i_TE_sc_4and6y_IO_TKI_OS_absSurv=1),BT256,IF(OR(i_TE_sc_10y_all_IO=1,i_TE_sc_5and20y_all_IO=1),BS256,IF(i_no_TE_waning=1,"No",INDEX(J$118:J$180,MATCH(1,($BC256=$B$118:$B$180)*($BD256=$F$118:$F$180),0)))))</f>
        <v>No</v>
      </c>
      <c r="BJ256" s="17" t="str" cm="1">
        <f t="array" ref="BJ256">IF(i_TE_sc_4and6y_IO_TKI_OS_absSurv=1,BQ256,INDEX(K$118:K$180,MATCH(1,($BC256=$B$118:$B$180)*($BD256=$F$118:$F$180),0)))</f>
        <v>ref trt hazard</v>
      </c>
      <c r="BK256" s="17">
        <f t="shared" si="15"/>
        <v>0</v>
      </c>
      <c r="BL256" s="17">
        <f t="shared" si="16"/>
        <v>0</v>
      </c>
      <c r="BN256" s="274" cm="1">
        <f t="array" ref="BN256">INDEX(Q$118:Q$180,MATCH(1,($BC256=$B$118:$B$180)*($BD256=$F$118:$F$180),0))</f>
        <v>0</v>
      </c>
      <c r="BO256" s="274" cm="1">
        <f t="array" ref="BO256">INDEX(R$118:R$180,MATCH(1,($BC256=$B$118:$B$180)*($BD256=$F$118:$F$180),0))</f>
        <v>0</v>
      </c>
      <c r="BQ256" s="6" t="s">
        <v>149</v>
      </c>
      <c r="BS256" s="6" t="str" cm="1">
        <f t="array" ref="BS256">IF(AND(BE256=2,BC256=1,OR(i_TE_sc_10y_all_IO=1,i_TE_sc_5and20y_all_IO=1)),"Yes",IF(i_no_TE_waning=1,"No",INDEX(J$118:J$180,MATCH(1,($BC256=$B$118:$B$180)*($BD256=$F$118:$F$180),0))))</f>
        <v>No</v>
      </c>
      <c r="BT256" s="274" t="str">
        <f t="shared" si="17"/>
        <v>No</v>
      </c>
    </row>
    <row r="257" spans="52:72" x14ac:dyDescent="0.2">
      <c r="AZ257" s="657">
        <v>14</v>
      </c>
      <c r="BA257" s="17">
        <v>0</v>
      </c>
      <c r="BB257" s="17" t="s">
        <v>31</v>
      </c>
      <c r="BC257" s="17">
        <v>3</v>
      </c>
      <c r="BD257" s="17" t="str" cm="1">
        <f t="array" ref="BD257">INDEX(List_comparators,$AZ257)</f>
        <v>placebo_BSC</v>
      </c>
      <c r="BE257" s="17">
        <f>INDEX(Lists!$L$51:$L$85,MATCH(BD257,Lists!$K$51:$K$85,0))</f>
        <v>999</v>
      </c>
      <c r="BF257" s="17" t="str">
        <f>INDEX(Lists!$S$51:$S$55,2)</f>
        <v>Progression free survival</v>
      </c>
      <c r="BG257" s="17">
        <f>INDEX(Lists!$T$51:$T$55,MATCH(BF257,Lists!$S$51:$S$55,0))</f>
        <v>1</v>
      </c>
      <c r="BH257" s="17">
        <f>VLOOKUP(VLOOKUP(BC257,$F$100:$I$103,2,FALSE),Lists!$K$50:$L$63,2,FALSE)</f>
        <v>8</v>
      </c>
      <c r="BI257" s="17" t="str" cm="1">
        <f t="array" ref="BI257">IF(OR(i_TE_sc_PartSA_5y_IO_TKI_OS=1,i_TE_sc_4and6y_IO_TKI_OS_absSurv=1),BT257,IF(OR(i_TE_sc_10y_all_IO=1,i_TE_sc_5and20y_all_IO=1),BS257,IF(i_no_TE_waning=1,"No",INDEX(J$118:J$180,MATCH(1,($BC257=$B$118:$B$180)*($BD257=$F$118:$F$180),0)))))</f>
        <v>No</v>
      </c>
      <c r="BJ257" s="17" cm="1">
        <f t="array" ref="BJ257">IF(i_TE_sc_4and6y_IO_TKI_OS_absSurv=1,BQ257,INDEX(K$118:K$180,MATCH(1,($BC257=$B$118:$B$180)*($BD257=$F$118:$F$180),0)))</f>
        <v>0</v>
      </c>
      <c r="BK257" s="17">
        <f t="shared" si="15"/>
        <v>0</v>
      </c>
      <c r="BL257" s="17">
        <f t="shared" si="16"/>
        <v>0</v>
      </c>
      <c r="BN257" s="274" cm="1">
        <f t="array" ref="BN257">INDEX(Q$118:Q$180,MATCH(1,($BC257=$B$118:$B$180)*($BD257=$F$118:$F$180),0))</f>
        <v>0</v>
      </c>
      <c r="BO257" s="274" cm="1">
        <f t="array" ref="BO257">INDEX(R$118:R$180,MATCH(1,($BC257=$B$118:$B$180)*($BD257=$F$118:$F$180),0))</f>
        <v>0</v>
      </c>
      <c r="BS257" s="6" t="str" cm="1">
        <f t="array" ref="BS257">IF(AND(BE257=2,BC257=1,OR(i_TE_sc_10y_all_IO=1,i_TE_sc_5and20y_all_IO=1)),"Yes",IF(i_no_TE_waning=1,"No",INDEX(J$118:J$180,MATCH(1,($BC257=$B$118:$B$180)*($BD257=$F$118:$F$180),0))))</f>
        <v>No</v>
      </c>
      <c r="BT257" s="274" t="str">
        <f t="shared" si="17"/>
        <v>No</v>
      </c>
    </row>
    <row r="258" spans="52:72" x14ac:dyDescent="0.2">
      <c r="AZ258" s="657">
        <v>1</v>
      </c>
      <c r="BA258" s="17">
        <v>0</v>
      </c>
      <c r="BB258" s="17" t="s">
        <v>31</v>
      </c>
      <c r="BC258" s="17">
        <v>3</v>
      </c>
      <c r="BD258" s="17" t="str" cm="1">
        <f t="array" ref="BD258">INDEX(List_comparators,$AZ258)</f>
        <v>nivolumab_monotherapy</v>
      </c>
      <c r="BE258" s="17">
        <f>INDEX(Lists!$L$51:$L$85,MATCH(BD258,Lists!$K$51:$K$85,0))</f>
        <v>0</v>
      </c>
      <c r="BF258" s="17" t="str">
        <f>INDEX(Lists!$S$51:$S$55,3)</f>
        <v>Time to treatment discontinuation</v>
      </c>
      <c r="BG258" s="17">
        <f>INDEX(Lists!$T$51:$T$55,MATCH(BF258,Lists!$S$51:$S$55,0))</f>
        <v>2</v>
      </c>
      <c r="BH258" s="17">
        <f>VLOOKUP(VLOOKUP(BC258,$F$100:$I$103,2,FALSE),Lists!$K$50:$L$63,2,FALSE)</f>
        <v>8</v>
      </c>
      <c r="BI258" s="17" t="str" cm="1">
        <f t="array" ref="BI258">IF(OR(i_TE_sc_PartSA_5y_IO_TKI_OS=1,i_TE_sc_4and6y_IO_TKI_OS_absSurv=1),BT258,IF(OR(i_TE_sc_10y_all_IO=1,i_TE_sc_5and20y_all_IO=1),BS258,IF(i_no_TE_waning=1,"No",INDEX(J$118:J$180,MATCH(1,($BC258=$B$118:$B$180)*($BD258=$F$118:$F$180),0)))))</f>
        <v>No</v>
      </c>
      <c r="BJ258" s="17" t="str" cm="1">
        <f t="array" ref="BJ258">IF(i_TE_sc_4and6y_IO_TKI_OS_absSurv=1,BQ258,INDEX(K$118:K$180,MATCH(1,($BC258=$B$118:$B$180)*($BD258=$F$118:$F$180),0)))</f>
        <v>ref trt hazard</v>
      </c>
      <c r="BK258" s="17">
        <f t="shared" si="15"/>
        <v>0</v>
      </c>
      <c r="BL258" s="17">
        <f t="shared" si="16"/>
        <v>0</v>
      </c>
      <c r="BN258" s="274" cm="1">
        <f t="array" ref="BN258">INDEX(V$118:V$180,MATCH(1,($BC258=$B$118:$B$180)*($BD258=$F$118:$F$180),0))</f>
        <v>0</v>
      </c>
      <c r="BO258" s="274" cm="1">
        <f t="array" ref="BO258">INDEX(W$118:W$180,MATCH(1,($BC258=$B$118:$B$180)*($BD258=$F$118:$F$180),0))</f>
        <v>0</v>
      </c>
      <c r="BQ258" s="6" t="s">
        <v>149</v>
      </c>
      <c r="BS258" s="6" t="str" cm="1">
        <f t="array" ref="BS258">IF(AND(BE258=2,BC258=1,OR(i_TE_sc_10y_all_IO=1,i_TE_sc_5and20y_all_IO=1)),"Yes",IF(i_no_TE_waning=1,"No",INDEX(J$118:J$180,MATCH(1,($BC258=$B$118:$B$180)*($BD258=$F$118:$F$180),0))))</f>
        <v>No</v>
      </c>
      <c r="BT258" s="274" t="str">
        <f t="shared" si="17"/>
        <v>No</v>
      </c>
    </row>
    <row r="259" spans="52:72" x14ac:dyDescent="0.2">
      <c r="AZ259" s="657">
        <v>2</v>
      </c>
      <c r="BA259" s="17">
        <v>0</v>
      </c>
      <c r="BB259" s="17" t="s">
        <v>31</v>
      </c>
      <c r="BC259" s="17">
        <v>3</v>
      </c>
      <c r="BD259" s="17" t="str" cm="1">
        <f t="array" ref="BD259">INDEX(List_comparators,$AZ259)</f>
        <v>cabozantinib_plus_nivolumab</v>
      </c>
      <c r="BE259" s="17">
        <f>INDEX(Lists!$L$51:$L$85,MATCH(BD259,Lists!$K$51:$K$85,0))</f>
        <v>1</v>
      </c>
      <c r="BF259" s="17" t="str">
        <f>INDEX(Lists!$S$51:$S$55,3)</f>
        <v>Time to treatment discontinuation</v>
      </c>
      <c r="BG259" s="17">
        <f>INDEX(Lists!$T$51:$T$55,MATCH(BF259,Lists!$S$51:$S$55,0))</f>
        <v>2</v>
      </c>
      <c r="BH259" s="17">
        <f>VLOOKUP(VLOOKUP(BC259,$F$100:$I$103,2,FALSE),Lists!$K$50:$L$63,2,FALSE)</f>
        <v>8</v>
      </c>
      <c r="BI259" s="17" t="str" cm="1">
        <f t="array" ref="BI259">IF(OR(i_TE_sc_PartSA_5y_IO_TKI_OS=1,i_TE_sc_4and6y_IO_TKI_OS_absSurv=1),BT259,IF(OR(i_TE_sc_10y_all_IO=1,i_TE_sc_5and20y_all_IO=1),BS259,IF(i_no_TE_waning=1,"No",INDEX(J$118:J$180,MATCH(1,($BC259=$B$118:$B$180)*($BD259=$F$118:$F$180),0)))))</f>
        <v>No</v>
      </c>
      <c r="BJ259" s="17" t="str" cm="1">
        <f t="array" ref="BJ259">IF(i_TE_sc_4and6y_IO_TKI_OS_absSurv=1,BQ259,INDEX(K$118:K$180,MATCH(1,($BC259=$B$118:$B$180)*($BD259=$F$118:$F$180),0)))</f>
        <v>ref trt hazard</v>
      </c>
      <c r="BK259" s="17">
        <f t="shared" si="15"/>
        <v>0</v>
      </c>
      <c r="BL259" s="17">
        <f t="shared" si="16"/>
        <v>0</v>
      </c>
      <c r="BN259" s="274" cm="1">
        <f t="array" ref="BN259">INDEX(V$118:V$180,MATCH(1,($BC259=$B$118:$B$180)*($BD259=$F$118:$F$180),0))</f>
        <v>0</v>
      </c>
      <c r="BO259" s="274" cm="1">
        <f t="array" ref="BO259">INDEX(W$118:W$180,MATCH(1,($BC259=$B$118:$B$180)*($BD259=$F$118:$F$180),0))</f>
        <v>0</v>
      </c>
      <c r="BQ259" s="6" t="s">
        <v>149</v>
      </c>
      <c r="BS259" s="6" t="str" cm="1">
        <f t="array" ref="BS259">IF(AND(BE259=2,BC259=1,OR(i_TE_sc_10y_all_IO=1,i_TE_sc_5and20y_all_IO=1)),"Yes",IF(i_no_TE_waning=1,"No",INDEX(J$118:J$180,MATCH(1,($BC259=$B$118:$B$180)*($BD259=$F$118:$F$180),0))))</f>
        <v>No</v>
      </c>
      <c r="BT259" s="274" t="str">
        <f t="shared" si="17"/>
        <v>No</v>
      </c>
    </row>
    <row r="260" spans="52:72" x14ac:dyDescent="0.2">
      <c r="AZ260" s="657">
        <v>3</v>
      </c>
      <c r="BA260" s="17">
        <v>0</v>
      </c>
      <c r="BB260" s="17" t="s">
        <v>31</v>
      </c>
      <c r="BC260" s="17">
        <v>3</v>
      </c>
      <c r="BD260" s="17" t="str" cm="1">
        <f t="array" ref="BD260">INDEX(List_comparators,$AZ260)</f>
        <v>nivolumab_plus_ipilimumab</v>
      </c>
      <c r="BE260" s="17">
        <f>INDEX(Lists!$L$51:$L$85,MATCH(BD260,Lists!$K$51:$K$85,0))</f>
        <v>2</v>
      </c>
      <c r="BF260" s="17" t="str">
        <f>INDEX(Lists!$S$51:$S$55,3)</f>
        <v>Time to treatment discontinuation</v>
      </c>
      <c r="BG260" s="17">
        <f>INDEX(Lists!$T$51:$T$55,MATCH(BF260,Lists!$S$51:$S$55,0))</f>
        <v>2</v>
      </c>
      <c r="BH260" s="17">
        <f>VLOOKUP(VLOOKUP(BC260,$F$100:$I$103,2,FALSE),Lists!$K$50:$L$63,2,FALSE)</f>
        <v>8</v>
      </c>
      <c r="BI260" s="17" t="str" cm="1">
        <f t="array" ref="BI260">IF(OR(i_TE_sc_PartSA_5y_IO_TKI_OS=1,i_TE_sc_4and6y_IO_TKI_OS_absSurv=1),BT260,IF(OR(i_TE_sc_10y_all_IO=1,i_TE_sc_5and20y_all_IO=1),BS260,IF(i_no_TE_waning=1,"No",INDEX(J$118:J$180,MATCH(1,($BC260=$B$118:$B$180)*($BD260=$F$118:$F$180),0)))))</f>
        <v>No</v>
      </c>
      <c r="BJ260" s="17" t="str" cm="1">
        <f t="array" ref="BJ260">IF(i_TE_sc_4and6y_IO_TKI_OS_absSurv=1,BQ260,INDEX(K$118:K$180,MATCH(1,($BC260=$B$118:$B$180)*($BD260=$F$118:$F$180),0)))</f>
        <v>ref trt hazard</v>
      </c>
      <c r="BK260" s="17">
        <f t="shared" si="15"/>
        <v>0</v>
      </c>
      <c r="BL260" s="17">
        <f t="shared" si="16"/>
        <v>0</v>
      </c>
      <c r="BN260" s="274" cm="1">
        <f t="array" ref="BN260">INDEX(V$118:V$180,MATCH(1,($BC260=$B$118:$B$180)*($BD260=$F$118:$F$180),0))</f>
        <v>0</v>
      </c>
      <c r="BO260" s="274" cm="1">
        <f t="array" ref="BO260">INDEX(W$118:W$180,MATCH(1,($BC260=$B$118:$B$180)*($BD260=$F$118:$F$180),0))</f>
        <v>0</v>
      </c>
      <c r="BQ260" s="6" t="s">
        <v>149</v>
      </c>
      <c r="BS260" s="6" t="str" cm="1">
        <f t="array" ref="BS260">IF(AND(BE260=2,BC260=1,OR(i_TE_sc_10y_all_IO=1,i_TE_sc_5and20y_all_IO=1)),"Yes",IF(i_no_TE_waning=1,"No",INDEX(J$118:J$180,MATCH(1,($BC260=$B$118:$B$180)*($BD260=$F$118:$F$180),0))))</f>
        <v>No</v>
      </c>
      <c r="BT260" s="274" t="str">
        <f t="shared" si="17"/>
        <v>No</v>
      </c>
    </row>
    <row r="261" spans="52:72" x14ac:dyDescent="0.2">
      <c r="AZ261" s="657">
        <v>4</v>
      </c>
      <c r="BA261" s="17">
        <v>0</v>
      </c>
      <c r="BB261" s="17" t="s">
        <v>31</v>
      </c>
      <c r="BC261" s="17">
        <v>3</v>
      </c>
      <c r="BD261" s="17" t="str" cm="1">
        <f t="array" ref="BD261">INDEX(List_comparators,$AZ261)</f>
        <v>lenvatinib_plus_pembrolizumab</v>
      </c>
      <c r="BE261" s="17">
        <f>INDEX(Lists!$L$51:$L$85,MATCH(BD261,Lists!$K$51:$K$85,0))</f>
        <v>3</v>
      </c>
      <c r="BF261" s="17" t="str">
        <f>INDEX(Lists!$S$51:$S$55,3)</f>
        <v>Time to treatment discontinuation</v>
      </c>
      <c r="BG261" s="17">
        <f>INDEX(Lists!$T$51:$T$55,MATCH(BF261,Lists!$S$51:$S$55,0))</f>
        <v>2</v>
      </c>
      <c r="BH261" s="17">
        <f>VLOOKUP(VLOOKUP(BC261,$F$100:$I$103,2,FALSE),Lists!$K$50:$L$63,2,FALSE)</f>
        <v>8</v>
      </c>
      <c r="BI261" s="17" t="str" cm="1">
        <f t="array" ref="BI261">IF(OR(i_TE_sc_PartSA_5y_IO_TKI_OS=1,i_TE_sc_4and6y_IO_TKI_OS_absSurv=1),BT261,IF(OR(i_TE_sc_10y_all_IO=1,i_TE_sc_5and20y_all_IO=1),BS261,IF(i_no_TE_waning=1,"No",INDEX(J$118:J$180,MATCH(1,($BC261=$B$118:$B$180)*($BD261=$F$118:$F$180),0)))))</f>
        <v>No</v>
      </c>
      <c r="BJ261" s="17" t="str" cm="1">
        <f t="array" ref="BJ261">IF(i_TE_sc_4and6y_IO_TKI_OS_absSurv=1,BQ261,INDEX(K$118:K$180,MATCH(1,($BC261=$B$118:$B$180)*($BD261=$F$118:$F$180),0)))</f>
        <v>ref trt hazard</v>
      </c>
      <c r="BK261" s="17">
        <f t="shared" si="15"/>
        <v>0</v>
      </c>
      <c r="BL261" s="17">
        <f t="shared" si="16"/>
        <v>0</v>
      </c>
      <c r="BN261" s="274" cm="1">
        <f t="array" ref="BN261">INDEX(V$118:V$180,MATCH(1,($BC261=$B$118:$B$180)*($BD261=$F$118:$F$180),0))</f>
        <v>0</v>
      </c>
      <c r="BO261" s="274" cm="1">
        <f t="array" ref="BO261">INDEX(W$118:W$180,MATCH(1,($BC261=$B$118:$B$180)*($BD261=$F$118:$F$180),0))</f>
        <v>0</v>
      </c>
      <c r="BQ261" s="6" t="s">
        <v>149</v>
      </c>
      <c r="BS261" s="6" t="str" cm="1">
        <f t="array" ref="BS261">IF(AND(BE261=2,BC261=1,OR(i_TE_sc_10y_all_IO=1,i_TE_sc_5and20y_all_IO=1)),"Yes",IF(i_no_TE_waning=1,"No",INDEX(J$118:J$180,MATCH(1,($BC261=$B$118:$B$180)*($BD261=$F$118:$F$180),0))))</f>
        <v>No</v>
      </c>
      <c r="BT261" s="274" t="str">
        <f t="shared" si="17"/>
        <v>No</v>
      </c>
    </row>
    <row r="262" spans="52:72" x14ac:dyDescent="0.2">
      <c r="AZ262" s="657">
        <v>5</v>
      </c>
      <c r="BA262" s="17">
        <v>0</v>
      </c>
      <c r="BB262" s="17" t="s">
        <v>31</v>
      </c>
      <c r="BC262" s="17">
        <v>3</v>
      </c>
      <c r="BD262" s="17" t="str" cm="1">
        <f t="array" ref="BD262">INDEX(List_comparators,$AZ262)</f>
        <v>avelumab_plus_axitinib</v>
      </c>
      <c r="BE262" s="17">
        <f>INDEX(Lists!$L$51:$L$85,MATCH(BD262,Lists!$K$51:$K$85,0))</f>
        <v>4</v>
      </c>
      <c r="BF262" s="17" t="str">
        <f>INDEX(Lists!$S$51:$S$55,3)</f>
        <v>Time to treatment discontinuation</v>
      </c>
      <c r="BG262" s="17">
        <f>INDEX(Lists!$T$51:$T$55,MATCH(BF262,Lists!$S$51:$S$55,0))</f>
        <v>2</v>
      </c>
      <c r="BH262" s="17">
        <f>VLOOKUP(VLOOKUP(BC262,$F$100:$I$103,2,FALSE),Lists!$K$50:$L$63,2,FALSE)</f>
        <v>8</v>
      </c>
      <c r="BI262" s="17" t="str" cm="1">
        <f t="array" ref="BI262">IF(OR(i_TE_sc_PartSA_5y_IO_TKI_OS=1,i_TE_sc_4and6y_IO_TKI_OS_absSurv=1),BT262,IF(OR(i_TE_sc_10y_all_IO=1,i_TE_sc_5and20y_all_IO=1),BS262,IF(i_no_TE_waning=1,"No",INDEX(J$118:J$180,MATCH(1,($BC262=$B$118:$B$180)*($BD262=$F$118:$F$180),0)))))</f>
        <v>No</v>
      </c>
      <c r="BJ262" s="17" t="str" cm="1">
        <f t="array" ref="BJ262">IF(i_TE_sc_4and6y_IO_TKI_OS_absSurv=1,BQ262,INDEX(K$118:K$180,MATCH(1,($BC262=$B$118:$B$180)*($BD262=$F$118:$F$180),0)))</f>
        <v>ref trt hazard</v>
      </c>
      <c r="BK262" s="17">
        <f t="shared" si="15"/>
        <v>0</v>
      </c>
      <c r="BL262" s="17">
        <f t="shared" si="16"/>
        <v>0</v>
      </c>
      <c r="BN262" s="274" cm="1">
        <f t="array" ref="BN262">INDEX(V$118:V$180,MATCH(1,($BC262=$B$118:$B$180)*($BD262=$F$118:$F$180),0))</f>
        <v>0</v>
      </c>
      <c r="BO262" s="274" cm="1">
        <f t="array" ref="BO262">INDEX(W$118:W$180,MATCH(1,($BC262=$B$118:$B$180)*($BD262=$F$118:$F$180),0))</f>
        <v>0</v>
      </c>
      <c r="BQ262" s="6" t="s">
        <v>149</v>
      </c>
      <c r="BS262" s="6" t="str" cm="1">
        <f t="array" ref="BS262">IF(AND(BE262=2,BC262=1,OR(i_TE_sc_10y_all_IO=1,i_TE_sc_5and20y_all_IO=1)),"Yes",IF(i_no_TE_waning=1,"No",INDEX(J$118:J$180,MATCH(1,($BC262=$B$118:$B$180)*($BD262=$F$118:$F$180),0))))</f>
        <v>No</v>
      </c>
      <c r="BT262" s="274" t="str">
        <f t="shared" si="17"/>
        <v>No</v>
      </c>
    </row>
    <row r="263" spans="52:72" x14ac:dyDescent="0.2">
      <c r="AZ263" s="657">
        <v>6</v>
      </c>
      <c r="BA263" s="17">
        <v>0</v>
      </c>
      <c r="BB263" s="17" t="s">
        <v>31</v>
      </c>
      <c r="BC263" s="17">
        <v>3</v>
      </c>
      <c r="BD263" s="17" t="str" cm="1">
        <f t="array" ref="BD263">INDEX(List_comparators,$AZ263)</f>
        <v>pazopanib</v>
      </c>
      <c r="BE263" s="17">
        <f>INDEX(Lists!$L$51:$L$85,MATCH(BD263,Lists!$K$51:$K$85,0))</f>
        <v>5</v>
      </c>
      <c r="BF263" s="17" t="str">
        <f>INDEX(Lists!$S$51:$S$55,3)</f>
        <v>Time to treatment discontinuation</v>
      </c>
      <c r="BG263" s="17">
        <f>INDEX(Lists!$T$51:$T$55,MATCH(BF263,Lists!$S$51:$S$55,0))</f>
        <v>2</v>
      </c>
      <c r="BH263" s="17">
        <f>VLOOKUP(VLOOKUP(BC263,$F$100:$I$103,2,FALSE),Lists!$K$50:$L$63,2,FALSE)</f>
        <v>8</v>
      </c>
      <c r="BI263" s="17" t="str" cm="1">
        <f t="array" ref="BI263">IF(OR(i_TE_sc_PartSA_5y_IO_TKI_OS=1,i_TE_sc_4and6y_IO_TKI_OS_absSurv=1),BT263,IF(OR(i_TE_sc_10y_all_IO=1,i_TE_sc_5and20y_all_IO=1),BS263,IF(i_no_TE_waning=1,"No",INDEX(J$118:J$180,MATCH(1,($BC263=$B$118:$B$180)*($BD263=$F$118:$F$180),0)))))</f>
        <v>No</v>
      </c>
      <c r="BJ263" s="17" t="str" cm="1">
        <f t="array" ref="BJ263">IF(i_TE_sc_4and6y_IO_TKI_OS_absSurv=1,BQ263,INDEX(K$118:K$180,MATCH(1,($BC263=$B$118:$B$180)*($BD263=$F$118:$F$180),0)))</f>
        <v>ref trt hazard</v>
      </c>
      <c r="BK263" s="17">
        <f t="shared" si="15"/>
        <v>0</v>
      </c>
      <c r="BL263" s="17">
        <f t="shared" si="16"/>
        <v>0</v>
      </c>
      <c r="BN263" s="274" cm="1">
        <f t="array" ref="BN263">INDEX(V$118:V$180,MATCH(1,($BC263=$B$118:$B$180)*($BD263=$F$118:$F$180),0))</f>
        <v>0</v>
      </c>
      <c r="BO263" s="274" cm="1">
        <f t="array" ref="BO263">INDEX(W$118:W$180,MATCH(1,($BC263=$B$118:$B$180)*($BD263=$F$118:$F$180),0))</f>
        <v>0</v>
      </c>
      <c r="BQ263" s="6" t="s">
        <v>149</v>
      </c>
      <c r="BS263" s="6" t="str" cm="1">
        <f t="array" ref="BS263">IF(AND(BE263=2,BC263=1,OR(i_TE_sc_10y_all_IO=1,i_TE_sc_5and20y_all_IO=1)),"Yes",IF(i_no_TE_waning=1,"No",INDEX(J$118:J$180,MATCH(1,($BC263=$B$118:$B$180)*($BD263=$F$118:$F$180),0))))</f>
        <v>No</v>
      </c>
      <c r="BT263" s="274" t="str">
        <f t="shared" si="17"/>
        <v>No</v>
      </c>
    </row>
    <row r="264" spans="52:72" x14ac:dyDescent="0.2">
      <c r="AZ264" s="657">
        <v>7</v>
      </c>
      <c r="BA264" s="17">
        <v>0</v>
      </c>
      <c r="BB264" s="17" t="s">
        <v>31</v>
      </c>
      <c r="BC264" s="17">
        <v>3</v>
      </c>
      <c r="BD264" s="17" t="str" cm="1">
        <f t="array" ref="BD264">INDEX(List_comparators,$AZ264)</f>
        <v>tivozanib</v>
      </c>
      <c r="BE264" s="17">
        <f>INDEX(Lists!$L$51:$L$85,MATCH(BD264,Lists!$K$51:$K$85,0))</f>
        <v>6</v>
      </c>
      <c r="BF264" s="17" t="str">
        <f>INDEX(Lists!$S$51:$S$55,3)</f>
        <v>Time to treatment discontinuation</v>
      </c>
      <c r="BG264" s="17">
        <f>INDEX(Lists!$T$51:$T$55,MATCH(BF264,Lists!$S$51:$S$55,0))</f>
        <v>2</v>
      </c>
      <c r="BH264" s="17">
        <f>VLOOKUP(VLOOKUP(BC264,$F$100:$I$103,2,FALSE),Lists!$K$50:$L$63,2,FALSE)</f>
        <v>8</v>
      </c>
      <c r="BI264" s="17" t="str" cm="1">
        <f t="array" ref="BI264">IF(OR(i_TE_sc_PartSA_5y_IO_TKI_OS=1,i_TE_sc_4and6y_IO_TKI_OS_absSurv=1),BT264,IF(OR(i_TE_sc_10y_all_IO=1,i_TE_sc_5and20y_all_IO=1),BS264,IF(i_no_TE_waning=1,"No",INDEX(J$118:J$180,MATCH(1,($BC264=$B$118:$B$180)*($BD264=$F$118:$F$180),0)))))</f>
        <v>No</v>
      </c>
      <c r="BJ264" s="17" t="str" cm="1">
        <f t="array" ref="BJ264">IF(i_TE_sc_4and6y_IO_TKI_OS_absSurv=1,BQ264,INDEX(K$118:K$180,MATCH(1,($BC264=$B$118:$B$180)*($BD264=$F$118:$F$180),0)))</f>
        <v>ref trt hazard</v>
      </c>
      <c r="BK264" s="17">
        <f t="shared" si="15"/>
        <v>0</v>
      </c>
      <c r="BL264" s="17">
        <f t="shared" si="16"/>
        <v>0</v>
      </c>
      <c r="BN264" s="274" cm="1">
        <f t="array" ref="BN264">INDEX(V$118:V$180,MATCH(1,($BC264=$B$118:$B$180)*($BD264=$F$118:$F$180),0))</f>
        <v>0</v>
      </c>
      <c r="BO264" s="274" cm="1">
        <f t="array" ref="BO264">INDEX(W$118:W$180,MATCH(1,($BC264=$B$118:$B$180)*($BD264=$F$118:$F$180),0))</f>
        <v>0</v>
      </c>
      <c r="BQ264" s="6" t="s">
        <v>149</v>
      </c>
      <c r="BS264" s="6" t="str" cm="1">
        <f t="array" ref="BS264">IF(AND(BE264=2,BC264=1,OR(i_TE_sc_10y_all_IO=1,i_TE_sc_5and20y_all_IO=1)),"Yes",IF(i_no_TE_waning=1,"No",INDEX(J$118:J$180,MATCH(1,($BC264=$B$118:$B$180)*($BD264=$F$118:$F$180),0))))</f>
        <v>No</v>
      </c>
      <c r="BT264" s="274" t="str">
        <f t="shared" si="17"/>
        <v>No</v>
      </c>
    </row>
    <row r="265" spans="52:72" x14ac:dyDescent="0.2">
      <c r="AZ265" s="657">
        <v>8</v>
      </c>
      <c r="BA265" s="17">
        <v>0</v>
      </c>
      <c r="BB265" s="17" t="s">
        <v>31</v>
      </c>
      <c r="BC265" s="17">
        <v>3</v>
      </c>
      <c r="BD265" s="17" t="str" cm="1">
        <f t="array" ref="BD265">INDEX(List_comparators,$AZ265)</f>
        <v>sunitinib</v>
      </c>
      <c r="BE265" s="17">
        <f>INDEX(Lists!$L$51:$L$85,MATCH(BD265,Lists!$K$51:$K$85,0))</f>
        <v>7</v>
      </c>
      <c r="BF265" s="17" t="str">
        <f>INDEX(Lists!$S$51:$S$55,3)</f>
        <v>Time to treatment discontinuation</v>
      </c>
      <c r="BG265" s="17">
        <f>INDEX(Lists!$T$51:$T$55,MATCH(BF265,Lists!$S$51:$S$55,0))</f>
        <v>2</v>
      </c>
      <c r="BH265" s="17">
        <f>VLOOKUP(VLOOKUP(BC265,$F$100:$I$103,2,FALSE),Lists!$K$50:$L$63,2,FALSE)</f>
        <v>8</v>
      </c>
      <c r="BI265" s="17" t="str" cm="1">
        <f t="array" ref="BI265">IF(OR(i_TE_sc_PartSA_5y_IO_TKI_OS=1,i_TE_sc_4and6y_IO_TKI_OS_absSurv=1),BT265,IF(OR(i_TE_sc_10y_all_IO=1,i_TE_sc_5and20y_all_IO=1),BS265,IF(i_no_TE_waning=1,"No",INDEX(J$118:J$180,MATCH(1,($BC265=$B$118:$B$180)*($BD265=$F$118:$F$180),0)))))</f>
        <v>No</v>
      </c>
      <c r="BJ265" s="17" t="str" cm="1">
        <f t="array" ref="BJ265">IF(i_TE_sc_4and6y_IO_TKI_OS_absSurv=1,BQ265,INDEX(K$118:K$180,MATCH(1,($BC265=$B$118:$B$180)*($BD265=$F$118:$F$180),0)))</f>
        <v>ref trt hazard</v>
      </c>
      <c r="BK265" s="17">
        <f t="shared" si="15"/>
        <v>0</v>
      </c>
      <c r="BL265" s="17">
        <f t="shared" si="16"/>
        <v>0</v>
      </c>
      <c r="BN265" s="274" cm="1">
        <f t="array" ref="BN265">INDEX(V$118:V$180,MATCH(1,($BC265=$B$118:$B$180)*($BD265=$F$118:$F$180),0))</f>
        <v>0</v>
      </c>
      <c r="BO265" s="274" cm="1">
        <f t="array" ref="BO265">INDEX(W$118:W$180,MATCH(1,($BC265=$B$118:$B$180)*($BD265=$F$118:$F$180),0))</f>
        <v>0</v>
      </c>
      <c r="BQ265" s="6" t="s">
        <v>149</v>
      </c>
      <c r="BS265" s="6" t="str" cm="1">
        <f t="array" ref="BS265">IF(AND(BE265=2,BC265=1,OR(i_TE_sc_10y_all_IO=1,i_TE_sc_5and20y_all_IO=1)),"Yes",IF(i_no_TE_waning=1,"No",INDEX(J$118:J$180,MATCH(1,($BC265=$B$118:$B$180)*($BD265=$F$118:$F$180),0))))</f>
        <v>No</v>
      </c>
      <c r="BT265" s="274" t="str">
        <f t="shared" si="17"/>
        <v>No</v>
      </c>
    </row>
    <row r="266" spans="52:72" x14ac:dyDescent="0.2">
      <c r="AZ266" s="657">
        <v>9</v>
      </c>
      <c r="BA266" s="17">
        <v>0</v>
      </c>
      <c r="BB266" s="17" t="s">
        <v>31</v>
      </c>
      <c r="BC266" s="17">
        <v>3</v>
      </c>
      <c r="BD266" s="17" t="str" cm="1">
        <f t="array" ref="BD266">INDEX(List_comparators,$AZ266)</f>
        <v>cabozantinib</v>
      </c>
      <c r="BE266" s="17">
        <f>INDEX(Lists!$L$51:$L$85,MATCH(BD266,Lists!$K$51:$K$85,0))</f>
        <v>8</v>
      </c>
      <c r="BF266" s="17" t="str">
        <f>INDEX(Lists!$S$51:$S$55,3)</f>
        <v>Time to treatment discontinuation</v>
      </c>
      <c r="BG266" s="17">
        <f>INDEX(Lists!$T$51:$T$55,MATCH(BF266,Lists!$S$51:$S$55,0))</f>
        <v>2</v>
      </c>
      <c r="BH266" s="17">
        <f>VLOOKUP(VLOOKUP(BC266,$F$100:$I$103,2,FALSE),Lists!$K$50:$L$63,2,FALSE)</f>
        <v>8</v>
      </c>
      <c r="BI266" s="17" t="str" cm="1">
        <f t="array" ref="BI266">IF(OR(i_TE_sc_PartSA_5y_IO_TKI_OS=1,i_TE_sc_4and6y_IO_TKI_OS_absSurv=1),BT266,IF(OR(i_TE_sc_10y_all_IO=1,i_TE_sc_5and20y_all_IO=1),BS266,IF(i_no_TE_waning=1,"No",INDEX(J$118:J$180,MATCH(1,($BC266=$B$118:$B$180)*($BD266=$F$118:$F$180),0)))))</f>
        <v>No</v>
      </c>
      <c r="BJ266" s="17" t="str" cm="1">
        <f t="array" ref="BJ266">IF(i_TE_sc_4and6y_IO_TKI_OS_absSurv=1,BQ266,INDEX(K$118:K$180,MATCH(1,($BC266=$B$118:$B$180)*($BD266=$F$118:$F$180),0)))</f>
        <v>ref trt hazard</v>
      </c>
      <c r="BK266" s="17">
        <f t="shared" si="15"/>
        <v>0</v>
      </c>
      <c r="BL266" s="17">
        <f t="shared" si="16"/>
        <v>0</v>
      </c>
      <c r="BN266" s="274" cm="1">
        <f t="array" ref="BN266">INDEX(V$118:V$180,MATCH(1,($BC266=$B$118:$B$180)*($BD266=$F$118:$F$180),0))</f>
        <v>0</v>
      </c>
      <c r="BO266" s="274" cm="1">
        <f t="array" ref="BO266">INDEX(W$118:W$180,MATCH(1,($BC266=$B$118:$B$180)*($BD266=$F$118:$F$180),0))</f>
        <v>0</v>
      </c>
      <c r="BQ266" s="6" t="s">
        <v>149</v>
      </c>
      <c r="BS266" s="6" t="str" cm="1">
        <f t="array" ref="BS266">IF(AND(BE266=2,BC266=1,OR(i_TE_sc_10y_all_IO=1,i_TE_sc_5and20y_all_IO=1)),"Yes",IF(i_no_TE_waning=1,"No",INDEX(J$118:J$180,MATCH(1,($BC266=$B$118:$B$180)*($BD266=$F$118:$F$180),0))))</f>
        <v>No</v>
      </c>
      <c r="BT266" s="274" t="str">
        <f t="shared" si="17"/>
        <v>No</v>
      </c>
    </row>
    <row r="267" spans="52:72" x14ac:dyDescent="0.2">
      <c r="AZ267" s="657">
        <v>10</v>
      </c>
      <c r="BA267" s="17">
        <v>0</v>
      </c>
      <c r="BB267" s="17" t="s">
        <v>31</v>
      </c>
      <c r="BC267" s="17">
        <v>3</v>
      </c>
      <c r="BD267" s="17" t="str" cm="1">
        <f t="array" ref="BD267">INDEX(List_comparators,$AZ267)</f>
        <v>lenvatinib_plus_everolimus</v>
      </c>
      <c r="BE267" s="17">
        <f>INDEX(Lists!$L$51:$L$85,MATCH(BD267,Lists!$K$51:$K$85,0))</f>
        <v>9</v>
      </c>
      <c r="BF267" s="17" t="str">
        <f>INDEX(Lists!$S$51:$S$55,3)</f>
        <v>Time to treatment discontinuation</v>
      </c>
      <c r="BG267" s="17">
        <f>INDEX(Lists!$T$51:$T$55,MATCH(BF267,Lists!$S$51:$S$55,0))</f>
        <v>2</v>
      </c>
      <c r="BH267" s="17">
        <f>VLOOKUP(VLOOKUP(BC267,$F$100:$I$103,2,FALSE),Lists!$K$50:$L$63,2,FALSE)</f>
        <v>8</v>
      </c>
      <c r="BI267" s="17" t="str" cm="1">
        <f t="array" ref="BI267">IF(OR(i_TE_sc_PartSA_5y_IO_TKI_OS=1,i_TE_sc_4and6y_IO_TKI_OS_absSurv=1),BT267,IF(OR(i_TE_sc_10y_all_IO=1,i_TE_sc_5and20y_all_IO=1),BS267,IF(i_no_TE_waning=1,"No",INDEX(J$118:J$180,MATCH(1,($BC267=$B$118:$B$180)*($BD267=$F$118:$F$180),0)))))</f>
        <v>No</v>
      </c>
      <c r="BJ267" s="17" t="str" cm="1">
        <f t="array" ref="BJ267">IF(i_TE_sc_4and6y_IO_TKI_OS_absSurv=1,BQ267,INDEX(K$118:K$180,MATCH(1,($BC267=$B$118:$B$180)*($BD267=$F$118:$F$180),0)))</f>
        <v>ref trt hazard</v>
      </c>
      <c r="BK267" s="17">
        <f t="shared" si="15"/>
        <v>0</v>
      </c>
      <c r="BL267" s="17">
        <f t="shared" si="16"/>
        <v>0</v>
      </c>
      <c r="BN267" s="274" cm="1">
        <f t="array" ref="BN267">INDEX(V$118:V$180,MATCH(1,($BC267=$B$118:$B$180)*($BD267=$F$118:$F$180),0))</f>
        <v>0</v>
      </c>
      <c r="BO267" s="274" cm="1">
        <f t="array" ref="BO267">INDEX(W$118:W$180,MATCH(1,($BC267=$B$118:$B$180)*($BD267=$F$118:$F$180),0))</f>
        <v>0</v>
      </c>
      <c r="BQ267" s="6" t="s">
        <v>149</v>
      </c>
      <c r="BS267" s="6" t="str" cm="1">
        <f t="array" ref="BS267">IF(AND(BE267=2,BC267=1,OR(i_TE_sc_10y_all_IO=1,i_TE_sc_5and20y_all_IO=1)),"Yes",IF(i_no_TE_waning=1,"No",INDEX(J$118:J$180,MATCH(1,($BC267=$B$118:$B$180)*($BD267=$F$118:$F$180),0))))</f>
        <v>No</v>
      </c>
      <c r="BT267" s="274" t="str">
        <f t="shared" si="17"/>
        <v>No</v>
      </c>
    </row>
    <row r="268" spans="52:72" x14ac:dyDescent="0.2">
      <c r="AZ268" s="657">
        <v>11</v>
      </c>
      <c r="BA268" s="17">
        <v>0</v>
      </c>
      <c r="BB268" s="17" t="s">
        <v>31</v>
      </c>
      <c r="BC268" s="17">
        <v>3</v>
      </c>
      <c r="BD268" s="17" t="str" cm="1">
        <f t="array" ref="BD268">INDEX(List_comparators,$AZ268)</f>
        <v>everolimus</v>
      </c>
      <c r="BE268" s="17">
        <f>INDEX(Lists!$L$51:$L$85,MATCH(BD268,Lists!$K$51:$K$85,0))</f>
        <v>10</v>
      </c>
      <c r="BF268" s="17" t="str">
        <f>INDEX(Lists!$S$51:$S$55,3)</f>
        <v>Time to treatment discontinuation</v>
      </c>
      <c r="BG268" s="17">
        <f>INDEX(Lists!$T$51:$T$55,MATCH(BF268,Lists!$S$51:$S$55,0))</f>
        <v>2</v>
      </c>
      <c r="BH268" s="17">
        <f>VLOOKUP(VLOOKUP(BC268,$F$100:$I$103,2,FALSE),Lists!$K$50:$L$63,2,FALSE)</f>
        <v>8</v>
      </c>
      <c r="BI268" s="17" t="str" cm="1">
        <f t="array" ref="BI268">IF(OR(i_TE_sc_PartSA_5y_IO_TKI_OS=1,i_TE_sc_4and6y_IO_TKI_OS_absSurv=1),BT268,IF(OR(i_TE_sc_10y_all_IO=1,i_TE_sc_5and20y_all_IO=1),BS268,IF(i_no_TE_waning=1,"No",INDEX(J$118:J$180,MATCH(1,($BC268=$B$118:$B$180)*($BD268=$F$118:$F$180),0)))))</f>
        <v>No</v>
      </c>
      <c r="BJ268" s="17" t="str" cm="1">
        <f t="array" ref="BJ268">IF(i_TE_sc_4and6y_IO_TKI_OS_absSurv=1,BQ268,INDEX(K$118:K$180,MATCH(1,($BC268=$B$118:$B$180)*($BD268=$F$118:$F$180),0)))</f>
        <v>ref trt hazard</v>
      </c>
      <c r="BK268" s="17">
        <f t="shared" si="15"/>
        <v>0</v>
      </c>
      <c r="BL268" s="17">
        <f t="shared" si="16"/>
        <v>0</v>
      </c>
      <c r="BN268" s="274" cm="1">
        <f t="array" ref="BN268">INDEX(V$118:V$180,MATCH(1,($BC268=$B$118:$B$180)*($BD268=$F$118:$F$180),0))</f>
        <v>0</v>
      </c>
      <c r="BO268" s="274" cm="1">
        <f t="array" ref="BO268">INDEX(W$118:W$180,MATCH(1,($BC268=$B$118:$B$180)*($BD268=$F$118:$F$180),0))</f>
        <v>0</v>
      </c>
      <c r="BQ268" s="6" t="s">
        <v>149</v>
      </c>
      <c r="BS268" s="6" t="str" cm="1">
        <f t="array" ref="BS268">IF(AND(BE268=2,BC268=1,OR(i_TE_sc_10y_all_IO=1,i_TE_sc_5and20y_all_IO=1)),"Yes",IF(i_no_TE_waning=1,"No",INDEX(J$118:J$180,MATCH(1,($BC268=$B$118:$B$180)*($BD268=$F$118:$F$180),0))))</f>
        <v>No</v>
      </c>
      <c r="BT268" s="274" t="str">
        <f t="shared" si="17"/>
        <v>No</v>
      </c>
    </row>
    <row r="269" spans="52:72" x14ac:dyDescent="0.2">
      <c r="AZ269" s="657">
        <v>12</v>
      </c>
      <c r="BA269" s="17">
        <v>0</v>
      </c>
      <c r="BB269" s="17" t="s">
        <v>31</v>
      </c>
      <c r="BC269" s="17">
        <v>3</v>
      </c>
      <c r="BD269" s="17" t="str" cm="1">
        <f t="array" ref="BD269">INDEX(List_comparators,$AZ269)</f>
        <v>axitinib</v>
      </c>
      <c r="BE269" s="17">
        <f>INDEX(Lists!$L$51:$L$85,MATCH(BD269,Lists!$K$51:$K$85,0))</f>
        <v>11</v>
      </c>
      <c r="BF269" s="17" t="str">
        <f>INDEX(Lists!$S$51:$S$55,3)</f>
        <v>Time to treatment discontinuation</v>
      </c>
      <c r="BG269" s="17">
        <f>INDEX(Lists!$T$51:$T$55,MATCH(BF269,Lists!$S$51:$S$55,0))</f>
        <v>2</v>
      </c>
      <c r="BH269" s="17">
        <f>VLOOKUP(VLOOKUP(BC269,$F$100:$I$103,2,FALSE),Lists!$K$50:$L$63,2,FALSE)</f>
        <v>8</v>
      </c>
      <c r="BI269" s="17" t="str" cm="1">
        <f t="array" ref="BI269">IF(OR(i_TE_sc_PartSA_5y_IO_TKI_OS=1,i_TE_sc_4and6y_IO_TKI_OS_absSurv=1),BT269,IF(OR(i_TE_sc_10y_all_IO=1,i_TE_sc_5and20y_all_IO=1),BS269,IF(i_no_TE_waning=1,"No",INDEX(J$118:J$180,MATCH(1,($BC269=$B$118:$B$180)*($BD269=$F$118:$F$180),0)))))</f>
        <v>No</v>
      </c>
      <c r="BJ269" s="17" t="str" cm="1">
        <f t="array" ref="BJ269">IF(i_TE_sc_4and6y_IO_TKI_OS_absSurv=1,BQ269,INDEX(K$118:K$180,MATCH(1,($BC269=$B$118:$B$180)*($BD269=$F$118:$F$180),0)))</f>
        <v>ref trt hazard</v>
      </c>
      <c r="BK269" s="17">
        <f t="shared" si="15"/>
        <v>0</v>
      </c>
      <c r="BL269" s="17">
        <f t="shared" si="16"/>
        <v>0</v>
      </c>
      <c r="BN269" s="274" cm="1">
        <f t="array" ref="BN269">INDEX(V$118:V$180,MATCH(1,($BC269=$B$118:$B$180)*($BD269=$F$118:$F$180),0))</f>
        <v>0</v>
      </c>
      <c r="BO269" s="274" cm="1">
        <f t="array" ref="BO269">INDEX(W$118:W$180,MATCH(1,($BC269=$B$118:$B$180)*($BD269=$F$118:$F$180),0))</f>
        <v>0</v>
      </c>
      <c r="BQ269" s="6" t="s">
        <v>149</v>
      </c>
      <c r="BS269" s="6" t="str" cm="1">
        <f t="array" ref="BS269">IF(AND(BE269=2,BC269=1,OR(i_TE_sc_10y_all_IO=1,i_TE_sc_5and20y_all_IO=1)),"Yes",IF(i_no_TE_waning=1,"No",INDEX(J$118:J$180,MATCH(1,($BC269=$B$118:$B$180)*($BD269=$F$118:$F$180),0))))</f>
        <v>No</v>
      </c>
      <c r="BT269" s="274" t="str">
        <f t="shared" si="17"/>
        <v>No</v>
      </c>
    </row>
    <row r="270" spans="52:72" x14ac:dyDescent="0.2">
      <c r="AZ270" s="657">
        <v>13</v>
      </c>
      <c r="BA270" s="17">
        <v>0</v>
      </c>
      <c r="BB270" s="17" t="s">
        <v>31</v>
      </c>
      <c r="BC270" s="17">
        <v>3</v>
      </c>
      <c r="BD270" s="17" t="str" cm="1">
        <f t="array" ref="BD270">INDEX(List_comparators,$AZ270)</f>
        <v>sorafenib</v>
      </c>
      <c r="BE270" s="17">
        <f>INDEX(Lists!$L$51:$L$85,MATCH(BD270,Lists!$K$51:$K$85,0))</f>
        <v>12</v>
      </c>
      <c r="BF270" s="17" t="str">
        <f>INDEX(Lists!$S$51:$S$55,3)</f>
        <v>Time to treatment discontinuation</v>
      </c>
      <c r="BG270" s="17">
        <f>INDEX(Lists!$T$51:$T$55,MATCH(BF270,Lists!$S$51:$S$55,0))</f>
        <v>2</v>
      </c>
      <c r="BH270" s="17">
        <f>VLOOKUP(VLOOKUP(BC270,$F$100:$I$103,2,FALSE),Lists!$K$50:$L$63,2,FALSE)</f>
        <v>8</v>
      </c>
      <c r="BI270" s="17" t="str" cm="1">
        <f t="array" ref="BI270">IF(OR(i_TE_sc_PartSA_5y_IO_TKI_OS=1,i_TE_sc_4and6y_IO_TKI_OS_absSurv=1),BT270,IF(OR(i_TE_sc_10y_all_IO=1,i_TE_sc_5and20y_all_IO=1),BS270,IF(i_no_TE_waning=1,"No",INDEX(J$118:J$180,MATCH(1,($BC270=$B$118:$B$180)*($BD270=$F$118:$F$180),0)))))</f>
        <v>No</v>
      </c>
      <c r="BJ270" s="17" t="str" cm="1">
        <f t="array" ref="BJ270">IF(i_TE_sc_4and6y_IO_TKI_OS_absSurv=1,BQ270,INDEX(K$118:K$180,MATCH(1,($BC270=$B$118:$B$180)*($BD270=$F$118:$F$180),0)))</f>
        <v>ref trt hazard</v>
      </c>
      <c r="BK270" s="17">
        <f t="shared" si="15"/>
        <v>0</v>
      </c>
      <c r="BL270" s="17">
        <f t="shared" si="16"/>
        <v>0</v>
      </c>
      <c r="BN270" s="274" cm="1">
        <f t="array" ref="BN270">INDEX(V$118:V$180,MATCH(1,($BC270=$B$118:$B$180)*($BD270=$F$118:$F$180),0))</f>
        <v>0</v>
      </c>
      <c r="BO270" s="274" cm="1">
        <f t="array" ref="BO270">INDEX(W$118:W$180,MATCH(1,($BC270=$B$118:$B$180)*($BD270=$F$118:$F$180),0))</f>
        <v>0</v>
      </c>
      <c r="BQ270" s="6" t="s">
        <v>149</v>
      </c>
      <c r="BS270" s="6" t="str" cm="1">
        <f t="array" ref="BS270">IF(AND(BE270=2,BC270=1,OR(i_TE_sc_10y_all_IO=1,i_TE_sc_5and20y_all_IO=1)),"Yes",IF(i_no_TE_waning=1,"No",INDEX(J$118:J$180,MATCH(1,($BC270=$B$118:$B$180)*($BD270=$F$118:$F$180),0))))</f>
        <v>No</v>
      </c>
      <c r="BT270" s="274" t="str">
        <f t="shared" si="17"/>
        <v>No</v>
      </c>
    </row>
    <row r="271" spans="52:72" x14ac:dyDescent="0.2">
      <c r="AZ271" s="657">
        <v>14</v>
      </c>
      <c r="BA271" s="17">
        <v>0</v>
      </c>
      <c r="BB271" s="17" t="s">
        <v>31</v>
      </c>
      <c r="BC271" s="17">
        <v>3</v>
      </c>
      <c r="BD271" s="17" t="str" cm="1">
        <f t="array" ref="BD271">INDEX(List_comparators,$AZ271)</f>
        <v>placebo_BSC</v>
      </c>
      <c r="BE271" s="17">
        <f>INDEX(Lists!$L$51:$L$85,MATCH(BD271,Lists!$K$51:$K$85,0))</f>
        <v>999</v>
      </c>
      <c r="BF271" s="17" t="str">
        <f>INDEX(Lists!$S$51:$S$55,3)</f>
        <v>Time to treatment discontinuation</v>
      </c>
      <c r="BG271" s="17">
        <f>INDEX(Lists!$T$51:$T$55,MATCH(BF271,Lists!$S$51:$S$55,0))</f>
        <v>2</v>
      </c>
      <c r="BH271" s="17">
        <f>VLOOKUP(VLOOKUP(BC271,$F$100:$I$103,2,FALSE),Lists!$K$50:$L$63,2,FALSE)</f>
        <v>8</v>
      </c>
      <c r="BI271" s="17" t="str" cm="1">
        <f t="array" ref="BI271">IF(OR(i_TE_sc_PartSA_5y_IO_TKI_OS=1,i_TE_sc_4and6y_IO_TKI_OS_absSurv=1),BT271,IF(OR(i_TE_sc_10y_all_IO=1,i_TE_sc_5and20y_all_IO=1),BS271,IF(i_no_TE_waning=1,"No",INDEX(J$118:J$180,MATCH(1,($BC271=$B$118:$B$180)*($BD271=$F$118:$F$180),0)))))</f>
        <v>No</v>
      </c>
      <c r="BJ271" s="17" cm="1">
        <f t="array" ref="BJ271">IF(i_TE_sc_4and6y_IO_TKI_OS_absSurv=1,BQ271,INDEX(K$118:K$180,MATCH(1,($BC271=$B$118:$B$180)*($BD271=$F$118:$F$180),0)))</f>
        <v>0</v>
      </c>
      <c r="BK271" s="17">
        <f t="shared" si="15"/>
        <v>0</v>
      </c>
      <c r="BL271" s="17">
        <f t="shared" si="16"/>
        <v>0</v>
      </c>
      <c r="BN271" s="274" cm="1">
        <f t="array" ref="BN271">INDEX(V$118:V$180,MATCH(1,($BC271=$B$118:$B$180)*($BD271=$F$118:$F$180),0))</f>
        <v>0</v>
      </c>
      <c r="BO271" s="274" cm="1">
        <f t="array" ref="BO271">INDEX(W$118:W$180,MATCH(1,($BC271=$B$118:$B$180)*($BD271=$F$118:$F$180),0))</f>
        <v>0</v>
      </c>
      <c r="BS271" s="6" t="str" cm="1">
        <f t="array" ref="BS271">IF(AND(BE271=2,BC271=1,OR(i_TE_sc_10y_all_IO=1,i_TE_sc_5and20y_all_IO=1)),"Yes",IF(i_no_TE_waning=1,"No",INDEX(J$118:J$180,MATCH(1,($BC271=$B$118:$B$180)*($BD271=$F$118:$F$180),0))))</f>
        <v>No</v>
      </c>
      <c r="BT271" s="274" t="str">
        <f t="shared" si="17"/>
        <v>No</v>
      </c>
    </row>
    <row r="272" spans="52:72" x14ac:dyDescent="0.2">
      <c r="AZ272" s="657">
        <v>1</v>
      </c>
      <c r="BA272" s="17">
        <v>0</v>
      </c>
      <c r="BB272" s="17" t="s">
        <v>31</v>
      </c>
      <c r="BC272" s="17">
        <v>3</v>
      </c>
      <c r="BD272" s="17" t="str" cm="1">
        <f t="array" ref="BD272">INDEX(List_comparators,$AZ272)</f>
        <v>nivolumab_monotherapy</v>
      </c>
      <c r="BE272" s="17">
        <f>INDEX(Lists!$L$51:$L$85,MATCH(BD272,Lists!$K$51:$K$85,0))</f>
        <v>0</v>
      </c>
      <c r="BF272" s="17" t="str">
        <f>INDEX(Lists!$S$51:$S$55,4)</f>
        <v>Time to progression</v>
      </c>
      <c r="BG272" s="17">
        <f>INDEX(Lists!$T$51:$T$55,MATCH(BF272,Lists!$S$51:$S$55,0))</f>
        <v>3</v>
      </c>
      <c r="BH272" s="17">
        <f>VLOOKUP(VLOOKUP(BC272,$F$100:$I$103,2,FALSE),Lists!$K$50:$L$63,2,FALSE)</f>
        <v>8</v>
      </c>
      <c r="BI272" s="17" t="str" cm="1">
        <f t="array" ref="BI272">IF(OR(i_TE_sc_PartSA_5y_IO_TKI_OS=1,i_TE_sc_4and6y_IO_TKI_OS_absSurv=1),BT272,IF(OR(i_TE_sc_10y_all_IO=1,i_TE_sc_5and20y_all_IO=1),BS272,IF(i_no_TE_waning=1,"No",INDEX(J$118:J$180,MATCH(1,($BC272=$B$118:$B$180)*($BD272=$F$118:$F$180),0)))))</f>
        <v>No</v>
      </c>
      <c r="BJ272" s="17" t="str" cm="1">
        <f t="array" ref="BJ272">IF(i_TE_sc_4and6y_IO_TKI_OS_absSurv=1,BQ272,INDEX(K$118:K$180,MATCH(1,($BC272=$B$118:$B$180)*($BD272=$F$118:$F$180),0)))</f>
        <v>ref trt hazard</v>
      </c>
      <c r="BK272" s="17">
        <f t="shared" si="15"/>
        <v>0</v>
      </c>
      <c r="BL272" s="17">
        <f t="shared" si="16"/>
        <v>0</v>
      </c>
      <c r="BN272" s="274" cm="1">
        <f t="array" ref="BN272">INDEX(AA$118:AA$180,MATCH(1,($BC272=$B$118:$B$180)*($BD272=$F$118:$F$180),0))</f>
        <v>0</v>
      </c>
      <c r="BO272" s="274" cm="1">
        <f t="array" ref="BO272">INDEX(AB$118:AB$180,MATCH(1,($BC272=$B$118:$B$180)*($BD272=$F$118:$F$180),0))</f>
        <v>0</v>
      </c>
      <c r="BQ272" s="6" t="s">
        <v>149</v>
      </c>
      <c r="BS272" s="6" t="str" cm="1">
        <f t="array" ref="BS272">IF(AND(BE272=2,BC272=1,OR(i_TE_sc_10y_all_IO=1,i_TE_sc_5and20y_all_IO=1)),"Yes",IF(i_no_TE_waning=1,"No",INDEX(J$118:J$180,MATCH(1,($BC272=$B$118:$B$180)*($BD272=$F$118:$F$180),0))))</f>
        <v>No</v>
      </c>
      <c r="BT272" s="274" t="str">
        <f t="shared" si="17"/>
        <v>No</v>
      </c>
    </row>
    <row r="273" spans="52:72" x14ac:dyDescent="0.2">
      <c r="AZ273" s="657">
        <v>2</v>
      </c>
      <c r="BA273" s="17">
        <v>0</v>
      </c>
      <c r="BB273" s="17" t="s">
        <v>31</v>
      </c>
      <c r="BC273" s="17">
        <v>3</v>
      </c>
      <c r="BD273" s="17" t="str" cm="1">
        <f t="array" ref="BD273">INDEX(List_comparators,$AZ273)</f>
        <v>cabozantinib_plus_nivolumab</v>
      </c>
      <c r="BE273" s="17">
        <f>INDEX(Lists!$L$51:$L$85,MATCH(BD273,Lists!$K$51:$K$85,0))</f>
        <v>1</v>
      </c>
      <c r="BF273" s="17" t="str">
        <f>INDEX(Lists!$S$51:$S$55,4)</f>
        <v>Time to progression</v>
      </c>
      <c r="BG273" s="17">
        <f>INDEX(Lists!$T$51:$T$55,MATCH(BF273,Lists!$S$51:$S$55,0))</f>
        <v>3</v>
      </c>
      <c r="BH273" s="17">
        <f>VLOOKUP(VLOOKUP(BC273,$F$100:$I$103,2,FALSE),Lists!$K$50:$L$63,2,FALSE)</f>
        <v>8</v>
      </c>
      <c r="BI273" s="17" t="str" cm="1">
        <f t="array" ref="BI273">IF(OR(i_TE_sc_PartSA_5y_IO_TKI_OS=1,i_TE_sc_4and6y_IO_TKI_OS_absSurv=1),BT273,IF(OR(i_TE_sc_10y_all_IO=1,i_TE_sc_5and20y_all_IO=1),BS273,IF(i_no_TE_waning=1,"No",INDEX(J$118:J$180,MATCH(1,($BC273=$B$118:$B$180)*($BD273=$F$118:$F$180),0)))))</f>
        <v>No</v>
      </c>
      <c r="BJ273" s="17" t="str" cm="1">
        <f t="array" ref="BJ273">IF(i_TE_sc_4and6y_IO_TKI_OS_absSurv=1,BQ273,INDEX(K$118:K$180,MATCH(1,($BC273=$B$118:$B$180)*($BD273=$F$118:$F$180),0)))</f>
        <v>ref trt hazard</v>
      </c>
      <c r="BK273" s="17">
        <f t="shared" si="15"/>
        <v>0</v>
      </c>
      <c r="BL273" s="17">
        <f t="shared" si="16"/>
        <v>0</v>
      </c>
      <c r="BN273" s="274" cm="1">
        <f t="array" ref="BN273">INDEX(AA$118:AA$180,MATCH(1,($BC273=$B$118:$B$180)*($BD273=$F$118:$F$180),0))</f>
        <v>0</v>
      </c>
      <c r="BO273" s="274" cm="1">
        <f t="array" ref="BO273">INDEX(AB$118:AB$180,MATCH(1,($BC273=$B$118:$B$180)*($BD273=$F$118:$F$180),0))</f>
        <v>0</v>
      </c>
      <c r="BQ273" s="6" t="s">
        <v>149</v>
      </c>
      <c r="BS273" s="6" t="str" cm="1">
        <f t="array" ref="BS273">IF(AND(BE273=2,BC273=1,OR(i_TE_sc_10y_all_IO=1,i_TE_sc_5and20y_all_IO=1)),"Yes",IF(i_no_TE_waning=1,"No",INDEX(J$118:J$180,MATCH(1,($BC273=$B$118:$B$180)*($BD273=$F$118:$F$180),0))))</f>
        <v>No</v>
      </c>
      <c r="BT273" s="274" t="str">
        <f t="shared" si="17"/>
        <v>No</v>
      </c>
    </row>
    <row r="274" spans="52:72" x14ac:dyDescent="0.2">
      <c r="AZ274" s="657">
        <v>3</v>
      </c>
      <c r="BA274" s="17">
        <v>0</v>
      </c>
      <c r="BB274" s="17" t="s">
        <v>31</v>
      </c>
      <c r="BC274" s="17">
        <v>3</v>
      </c>
      <c r="BD274" s="17" t="str" cm="1">
        <f t="array" ref="BD274">INDEX(List_comparators,$AZ274)</f>
        <v>nivolumab_plus_ipilimumab</v>
      </c>
      <c r="BE274" s="17">
        <f>INDEX(Lists!$L$51:$L$85,MATCH(BD274,Lists!$K$51:$K$85,0))</f>
        <v>2</v>
      </c>
      <c r="BF274" s="17" t="str">
        <f>INDEX(Lists!$S$51:$S$55,4)</f>
        <v>Time to progression</v>
      </c>
      <c r="BG274" s="17">
        <f>INDEX(Lists!$T$51:$T$55,MATCH(BF274,Lists!$S$51:$S$55,0))</f>
        <v>3</v>
      </c>
      <c r="BH274" s="17">
        <f>VLOOKUP(VLOOKUP(BC274,$F$100:$I$103,2,FALSE),Lists!$K$50:$L$63,2,FALSE)</f>
        <v>8</v>
      </c>
      <c r="BI274" s="17" t="str" cm="1">
        <f t="array" ref="BI274">IF(OR(i_TE_sc_PartSA_5y_IO_TKI_OS=1,i_TE_sc_4and6y_IO_TKI_OS_absSurv=1),BT274,IF(OR(i_TE_sc_10y_all_IO=1,i_TE_sc_5and20y_all_IO=1),BS274,IF(i_no_TE_waning=1,"No",INDEX(J$118:J$180,MATCH(1,($BC274=$B$118:$B$180)*($BD274=$F$118:$F$180),0)))))</f>
        <v>No</v>
      </c>
      <c r="BJ274" s="17" t="str" cm="1">
        <f t="array" ref="BJ274">IF(i_TE_sc_4and6y_IO_TKI_OS_absSurv=1,BQ274,INDEX(K$118:K$180,MATCH(1,($BC274=$B$118:$B$180)*($BD274=$F$118:$F$180),0)))</f>
        <v>ref trt hazard</v>
      </c>
      <c r="BK274" s="17">
        <f t="shared" si="15"/>
        <v>0</v>
      </c>
      <c r="BL274" s="17">
        <f t="shared" si="16"/>
        <v>0</v>
      </c>
      <c r="BN274" s="274" cm="1">
        <f t="array" ref="BN274">INDEX(AA$118:AA$180,MATCH(1,($BC274=$B$118:$B$180)*($BD274=$F$118:$F$180),0))</f>
        <v>0</v>
      </c>
      <c r="BO274" s="274" cm="1">
        <f t="array" ref="BO274">INDEX(AB$118:AB$180,MATCH(1,($BC274=$B$118:$B$180)*($BD274=$F$118:$F$180),0))</f>
        <v>0</v>
      </c>
      <c r="BQ274" s="6" t="s">
        <v>149</v>
      </c>
      <c r="BS274" s="6" t="str" cm="1">
        <f t="array" ref="BS274">IF(AND(BE274=2,BC274=1,OR(i_TE_sc_10y_all_IO=1,i_TE_sc_5and20y_all_IO=1)),"Yes",IF(i_no_TE_waning=1,"No",INDEX(J$118:J$180,MATCH(1,($BC274=$B$118:$B$180)*($BD274=$F$118:$F$180),0))))</f>
        <v>No</v>
      </c>
      <c r="BT274" s="274" t="str">
        <f t="shared" si="17"/>
        <v>No</v>
      </c>
    </row>
    <row r="275" spans="52:72" x14ac:dyDescent="0.2">
      <c r="AZ275" s="657">
        <v>4</v>
      </c>
      <c r="BA275" s="17">
        <v>0</v>
      </c>
      <c r="BB275" s="17" t="s">
        <v>31</v>
      </c>
      <c r="BC275" s="17">
        <v>3</v>
      </c>
      <c r="BD275" s="17" t="str" cm="1">
        <f t="array" ref="BD275">INDEX(List_comparators,$AZ275)</f>
        <v>lenvatinib_plus_pembrolizumab</v>
      </c>
      <c r="BE275" s="17">
        <f>INDEX(Lists!$L$51:$L$85,MATCH(BD275,Lists!$K$51:$K$85,0))</f>
        <v>3</v>
      </c>
      <c r="BF275" s="17" t="str">
        <f>INDEX(Lists!$S$51:$S$55,4)</f>
        <v>Time to progression</v>
      </c>
      <c r="BG275" s="17">
        <f>INDEX(Lists!$T$51:$T$55,MATCH(BF275,Lists!$S$51:$S$55,0))</f>
        <v>3</v>
      </c>
      <c r="BH275" s="17">
        <f>VLOOKUP(VLOOKUP(BC275,$F$100:$I$103,2,FALSE),Lists!$K$50:$L$63,2,FALSE)</f>
        <v>8</v>
      </c>
      <c r="BI275" s="17" t="str" cm="1">
        <f t="array" ref="BI275">IF(OR(i_TE_sc_PartSA_5y_IO_TKI_OS=1,i_TE_sc_4and6y_IO_TKI_OS_absSurv=1),BT275,IF(OR(i_TE_sc_10y_all_IO=1,i_TE_sc_5and20y_all_IO=1),BS275,IF(i_no_TE_waning=1,"No",INDEX(J$118:J$180,MATCH(1,($BC275=$B$118:$B$180)*($BD275=$F$118:$F$180),0)))))</f>
        <v>No</v>
      </c>
      <c r="BJ275" s="17" t="str" cm="1">
        <f t="array" ref="BJ275">IF(i_TE_sc_4and6y_IO_TKI_OS_absSurv=1,BQ275,INDEX(K$118:K$180,MATCH(1,($BC275=$B$118:$B$180)*($BD275=$F$118:$F$180),0)))</f>
        <v>ref trt hazard</v>
      </c>
      <c r="BK275" s="17">
        <f t="shared" si="15"/>
        <v>0</v>
      </c>
      <c r="BL275" s="17">
        <f t="shared" si="16"/>
        <v>0</v>
      </c>
      <c r="BN275" s="274" cm="1">
        <f t="array" ref="BN275">INDEX(AA$118:AA$180,MATCH(1,($BC275=$B$118:$B$180)*($BD275=$F$118:$F$180),0))</f>
        <v>0</v>
      </c>
      <c r="BO275" s="274" cm="1">
        <f t="array" ref="BO275">INDEX(AB$118:AB$180,MATCH(1,($BC275=$B$118:$B$180)*($BD275=$F$118:$F$180),0))</f>
        <v>0</v>
      </c>
      <c r="BQ275" s="6" t="s">
        <v>149</v>
      </c>
      <c r="BS275" s="6" t="str" cm="1">
        <f t="array" ref="BS275">IF(AND(BE275=2,BC275=1,OR(i_TE_sc_10y_all_IO=1,i_TE_sc_5and20y_all_IO=1)),"Yes",IF(i_no_TE_waning=1,"No",INDEX(J$118:J$180,MATCH(1,($BC275=$B$118:$B$180)*($BD275=$F$118:$F$180),0))))</f>
        <v>No</v>
      </c>
      <c r="BT275" s="274" t="str">
        <f t="shared" si="17"/>
        <v>No</v>
      </c>
    </row>
    <row r="276" spans="52:72" x14ac:dyDescent="0.2">
      <c r="AZ276" s="657">
        <v>5</v>
      </c>
      <c r="BA276" s="17">
        <v>0</v>
      </c>
      <c r="BB276" s="17" t="s">
        <v>31</v>
      </c>
      <c r="BC276" s="17">
        <v>3</v>
      </c>
      <c r="BD276" s="17" t="str" cm="1">
        <f t="array" ref="BD276">INDEX(List_comparators,$AZ276)</f>
        <v>avelumab_plus_axitinib</v>
      </c>
      <c r="BE276" s="17">
        <f>INDEX(Lists!$L$51:$L$85,MATCH(BD276,Lists!$K$51:$K$85,0))</f>
        <v>4</v>
      </c>
      <c r="BF276" s="17" t="str">
        <f>INDEX(Lists!$S$51:$S$55,4)</f>
        <v>Time to progression</v>
      </c>
      <c r="BG276" s="17">
        <f>INDEX(Lists!$T$51:$T$55,MATCH(BF276,Lists!$S$51:$S$55,0))</f>
        <v>3</v>
      </c>
      <c r="BH276" s="17">
        <f>VLOOKUP(VLOOKUP(BC276,$F$100:$I$103,2,FALSE),Lists!$K$50:$L$63,2,FALSE)</f>
        <v>8</v>
      </c>
      <c r="BI276" s="17" t="str" cm="1">
        <f t="array" ref="BI276">IF(OR(i_TE_sc_PartSA_5y_IO_TKI_OS=1,i_TE_sc_4and6y_IO_TKI_OS_absSurv=1),BT276,IF(OR(i_TE_sc_10y_all_IO=1,i_TE_sc_5and20y_all_IO=1),BS276,IF(i_no_TE_waning=1,"No",INDEX(J$118:J$180,MATCH(1,($BC276=$B$118:$B$180)*($BD276=$F$118:$F$180),0)))))</f>
        <v>No</v>
      </c>
      <c r="BJ276" s="17" t="str" cm="1">
        <f t="array" ref="BJ276">IF(i_TE_sc_4and6y_IO_TKI_OS_absSurv=1,BQ276,INDEX(K$118:K$180,MATCH(1,($BC276=$B$118:$B$180)*($BD276=$F$118:$F$180),0)))</f>
        <v>ref trt hazard</v>
      </c>
      <c r="BK276" s="17">
        <f t="shared" si="15"/>
        <v>0</v>
      </c>
      <c r="BL276" s="17">
        <f t="shared" si="16"/>
        <v>0</v>
      </c>
      <c r="BN276" s="274" cm="1">
        <f t="array" ref="BN276">INDEX(AA$118:AA$180,MATCH(1,($BC276=$B$118:$B$180)*($BD276=$F$118:$F$180),0))</f>
        <v>0</v>
      </c>
      <c r="BO276" s="274" cm="1">
        <f t="array" ref="BO276">INDEX(AB$118:AB$180,MATCH(1,($BC276=$B$118:$B$180)*($BD276=$F$118:$F$180),0))</f>
        <v>0</v>
      </c>
      <c r="BQ276" s="6" t="s">
        <v>149</v>
      </c>
      <c r="BS276" s="6" t="str" cm="1">
        <f t="array" ref="BS276">IF(AND(BE276=2,BC276=1,OR(i_TE_sc_10y_all_IO=1,i_TE_sc_5and20y_all_IO=1)),"Yes",IF(i_no_TE_waning=1,"No",INDEX(J$118:J$180,MATCH(1,($BC276=$B$118:$B$180)*($BD276=$F$118:$F$180),0))))</f>
        <v>No</v>
      </c>
      <c r="BT276" s="274" t="str">
        <f t="shared" si="17"/>
        <v>No</v>
      </c>
    </row>
    <row r="277" spans="52:72" x14ac:dyDescent="0.2">
      <c r="AZ277" s="657">
        <v>6</v>
      </c>
      <c r="BA277" s="17">
        <v>0</v>
      </c>
      <c r="BB277" s="17" t="s">
        <v>31</v>
      </c>
      <c r="BC277" s="17">
        <v>3</v>
      </c>
      <c r="BD277" s="17" t="str" cm="1">
        <f t="array" ref="BD277">INDEX(List_comparators,$AZ277)</f>
        <v>pazopanib</v>
      </c>
      <c r="BE277" s="17">
        <f>INDEX(Lists!$L$51:$L$85,MATCH(BD277,Lists!$K$51:$K$85,0))</f>
        <v>5</v>
      </c>
      <c r="BF277" s="17" t="str">
        <f>INDEX(Lists!$S$51:$S$55,4)</f>
        <v>Time to progression</v>
      </c>
      <c r="BG277" s="17">
        <f>INDEX(Lists!$T$51:$T$55,MATCH(BF277,Lists!$S$51:$S$55,0))</f>
        <v>3</v>
      </c>
      <c r="BH277" s="17">
        <f>VLOOKUP(VLOOKUP(BC277,$F$100:$I$103,2,FALSE),Lists!$K$50:$L$63,2,FALSE)</f>
        <v>8</v>
      </c>
      <c r="BI277" s="17" t="str" cm="1">
        <f t="array" ref="BI277">IF(OR(i_TE_sc_PartSA_5y_IO_TKI_OS=1,i_TE_sc_4and6y_IO_TKI_OS_absSurv=1),BT277,IF(OR(i_TE_sc_10y_all_IO=1,i_TE_sc_5and20y_all_IO=1),BS277,IF(i_no_TE_waning=1,"No",INDEX(J$118:J$180,MATCH(1,($BC277=$B$118:$B$180)*($BD277=$F$118:$F$180),0)))))</f>
        <v>No</v>
      </c>
      <c r="BJ277" s="17" t="str" cm="1">
        <f t="array" ref="BJ277">IF(i_TE_sc_4and6y_IO_TKI_OS_absSurv=1,BQ277,INDEX(K$118:K$180,MATCH(1,($BC277=$B$118:$B$180)*($BD277=$F$118:$F$180),0)))</f>
        <v>ref trt hazard</v>
      </c>
      <c r="BK277" s="17">
        <f t="shared" si="15"/>
        <v>0</v>
      </c>
      <c r="BL277" s="17">
        <f t="shared" si="16"/>
        <v>0</v>
      </c>
      <c r="BN277" s="274" cm="1">
        <f t="array" ref="BN277">INDEX(AA$118:AA$180,MATCH(1,($BC277=$B$118:$B$180)*($BD277=$F$118:$F$180),0))</f>
        <v>0</v>
      </c>
      <c r="BO277" s="274" cm="1">
        <f t="array" ref="BO277">INDEX(AB$118:AB$180,MATCH(1,($BC277=$B$118:$B$180)*($BD277=$F$118:$F$180),0))</f>
        <v>0</v>
      </c>
      <c r="BQ277" s="6" t="s">
        <v>149</v>
      </c>
      <c r="BS277" s="6" t="str" cm="1">
        <f t="array" ref="BS277">IF(AND(BE277=2,BC277=1,OR(i_TE_sc_10y_all_IO=1,i_TE_sc_5and20y_all_IO=1)),"Yes",IF(i_no_TE_waning=1,"No",INDEX(J$118:J$180,MATCH(1,($BC277=$B$118:$B$180)*($BD277=$F$118:$F$180),0))))</f>
        <v>No</v>
      </c>
      <c r="BT277" s="274" t="str">
        <f t="shared" si="17"/>
        <v>No</v>
      </c>
    </row>
    <row r="278" spans="52:72" x14ac:dyDescent="0.2">
      <c r="AZ278" s="657">
        <v>7</v>
      </c>
      <c r="BA278" s="17">
        <v>0</v>
      </c>
      <c r="BB278" s="17" t="s">
        <v>31</v>
      </c>
      <c r="BC278" s="17">
        <v>3</v>
      </c>
      <c r="BD278" s="17" t="str" cm="1">
        <f t="array" ref="BD278">INDEX(List_comparators,$AZ278)</f>
        <v>tivozanib</v>
      </c>
      <c r="BE278" s="17">
        <f>INDEX(Lists!$L$51:$L$85,MATCH(BD278,Lists!$K$51:$K$85,0))</f>
        <v>6</v>
      </c>
      <c r="BF278" s="17" t="str">
        <f>INDEX(Lists!$S$51:$S$55,4)</f>
        <v>Time to progression</v>
      </c>
      <c r="BG278" s="17">
        <f>INDEX(Lists!$T$51:$T$55,MATCH(BF278,Lists!$S$51:$S$55,0))</f>
        <v>3</v>
      </c>
      <c r="BH278" s="17">
        <f>VLOOKUP(VLOOKUP(BC278,$F$100:$I$103,2,FALSE),Lists!$K$50:$L$63,2,FALSE)</f>
        <v>8</v>
      </c>
      <c r="BI278" s="17" t="str" cm="1">
        <f t="array" ref="BI278">IF(OR(i_TE_sc_PartSA_5y_IO_TKI_OS=1,i_TE_sc_4and6y_IO_TKI_OS_absSurv=1),BT278,IF(OR(i_TE_sc_10y_all_IO=1,i_TE_sc_5and20y_all_IO=1),BS278,IF(i_no_TE_waning=1,"No",INDEX(J$118:J$180,MATCH(1,($BC278=$B$118:$B$180)*($BD278=$F$118:$F$180),0)))))</f>
        <v>No</v>
      </c>
      <c r="BJ278" s="17" t="str" cm="1">
        <f t="array" ref="BJ278">IF(i_TE_sc_4and6y_IO_TKI_OS_absSurv=1,BQ278,INDEX(K$118:K$180,MATCH(1,($BC278=$B$118:$B$180)*($BD278=$F$118:$F$180),0)))</f>
        <v>ref trt hazard</v>
      </c>
      <c r="BK278" s="17">
        <f t="shared" si="15"/>
        <v>0</v>
      </c>
      <c r="BL278" s="17">
        <f t="shared" si="16"/>
        <v>0</v>
      </c>
      <c r="BN278" s="274" cm="1">
        <f t="array" ref="BN278">INDEX(AA$118:AA$180,MATCH(1,($BC278=$B$118:$B$180)*($BD278=$F$118:$F$180),0))</f>
        <v>0</v>
      </c>
      <c r="BO278" s="274" cm="1">
        <f t="array" ref="BO278">INDEX(AB$118:AB$180,MATCH(1,($BC278=$B$118:$B$180)*($BD278=$F$118:$F$180),0))</f>
        <v>0</v>
      </c>
      <c r="BQ278" s="6" t="s">
        <v>149</v>
      </c>
      <c r="BS278" s="6" t="str" cm="1">
        <f t="array" ref="BS278">IF(AND(BE278=2,BC278=1,OR(i_TE_sc_10y_all_IO=1,i_TE_sc_5and20y_all_IO=1)),"Yes",IF(i_no_TE_waning=1,"No",INDEX(J$118:J$180,MATCH(1,($BC278=$B$118:$B$180)*($BD278=$F$118:$F$180),0))))</f>
        <v>No</v>
      </c>
      <c r="BT278" s="274" t="str">
        <f t="shared" si="17"/>
        <v>No</v>
      </c>
    </row>
    <row r="279" spans="52:72" x14ac:dyDescent="0.2">
      <c r="AZ279" s="657">
        <v>8</v>
      </c>
      <c r="BA279" s="17">
        <v>0</v>
      </c>
      <c r="BB279" s="17" t="s">
        <v>31</v>
      </c>
      <c r="BC279" s="17">
        <v>3</v>
      </c>
      <c r="BD279" s="17" t="str" cm="1">
        <f t="array" ref="BD279">INDEX(List_comparators,$AZ279)</f>
        <v>sunitinib</v>
      </c>
      <c r="BE279" s="17">
        <f>INDEX(Lists!$L$51:$L$85,MATCH(BD279,Lists!$K$51:$K$85,0))</f>
        <v>7</v>
      </c>
      <c r="BF279" s="17" t="str">
        <f>INDEX(Lists!$S$51:$S$55,4)</f>
        <v>Time to progression</v>
      </c>
      <c r="BG279" s="17">
        <f>INDEX(Lists!$T$51:$T$55,MATCH(BF279,Lists!$S$51:$S$55,0))</f>
        <v>3</v>
      </c>
      <c r="BH279" s="17">
        <f>VLOOKUP(VLOOKUP(BC279,$F$100:$I$103,2,FALSE),Lists!$K$50:$L$63,2,FALSE)</f>
        <v>8</v>
      </c>
      <c r="BI279" s="17" t="str" cm="1">
        <f t="array" ref="BI279">IF(OR(i_TE_sc_PartSA_5y_IO_TKI_OS=1,i_TE_sc_4and6y_IO_TKI_OS_absSurv=1),BT279,IF(OR(i_TE_sc_10y_all_IO=1,i_TE_sc_5and20y_all_IO=1),BS279,IF(i_no_TE_waning=1,"No",INDEX(J$118:J$180,MATCH(1,($BC279=$B$118:$B$180)*($BD279=$F$118:$F$180),0)))))</f>
        <v>No</v>
      </c>
      <c r="BJ279" s="17" t="str" cm="1">
        <f t="array" ref="BJ279">IF(i_TE_sc_4and6y_IO_TKI_OS_absSurv=1,BQ279,INDEX(K$118:K$180,MATCH(1,($BC279=$B$118:$B$180)*($BD279=$F$118:$F$180),0)))</f>
        <v>ref trt hazard</v>
      </c>
      <c r="BK279" s="17">
        <f t="shared" si="15"/>
        <v>0</v>
      </c>
      <c r="BL279" s="17">
        <f t="shared" si="16"/>
        <v>0</v>
      </c>
      <c r="BN279" s="274" cm="1">
        <f t="array" ref="BN279">INDEX(AA$118:AA$180,MATCH(1,($BC279=$B$118:$B$180)*($BD279=$F$118:$F$180),0))</f>
        <v>0</v>
      </c>
      <c r="BO279" s="274" cm="1">
        <f t="array" ref="BO279">INDEX(AB$118:AB$180,MATCH(1,($BC279=$B$118:$B$180)*($BD279=$F$118:$F$180),0))</f>
        <v>0</v>
      </c>
      <c r="BQ279" s="6" t="s">
        <v>149</v>
      </c>
      <c r="BS279" s="6" t="str" cm="1">
        <f t="array" ref="BS279">IF(AND(BE279=2,BC279=1,OR(i_TE_sc_10y_all_IO=1,i_TE_sc_5and20y_all_IO=1)),"Yes",IF(i_no_TE_waning=1,"No",INDEX(J$118:J$180,MATCH(1,($BC279=$B$118:$B$180)*($BD279=$F$118:$F$180),0))))</f>
        <v>No</v>
      </c>
      <c r="BT279" s="274" t="str">
        <f t="shared" si="17"/>
        <v>No</v>
      </c>
    </row>
    <row r="280" spans="52:72" x14ac:dyDescent="0.2">
      <c r="AZ280" s="657">
        <v>9</v>
      </c>
      <c r="BA280" s="17">
        <v>0</v>
      </c>
      <c r="BB280" s="17" t="s">
        <v>31</v>
      </c>
      <c r="BC280" s="17">
        <v>3</v>
      </c>
      <c r="BD280" s="17" t="str" cm="1">
        <f t="array" ref="BD280">INDEX(List_comparators,$AZ280)</f>
        <v>cabozantinib</v>
      </c>
      <c r="BE280" s="17">
        <f>INDEX(Lists!$L$51:$L$85,MATCH(BD280,Lists!$K$51:$K$85,0))</f>
        <v>8</v>
      </c>
      <c r="BF280" s="17" t="str">
        <f>INDEX(Lists!$S$51:$S$55,4)</f>
        <v>Time to progression</v>
      </c>
      <c r="BG280" s="17">
        <f>INDEX(Lists!$T$51:$T$55,MATCH(BF280,Lists!$S$51:$S$55,0))</f>
        <v>3</v>
      </c>
      <c r="BH280" s="17">
        <f>VLOOKUP(VLOOKUP(BC280,$F$100:$I$103,2,FALSE),Lists!$K$50:$L$63,2,FALSE)</f>
        <v>8</v>
      </c>
      <c r="BI280" s="17" t="str" cm="1">
        <f t="array" ref="BI280">IF(OR(i_TE_sc_PartSA_5y_IO_TKI_OS=1,i_TE_sc_4and6y_IO_TKI_OS_absSurv=1),BT280,IF(OR(i_TE_sc_10y_all_IO=1,i_TE_sc_5and20y_all_IO=1),BS280,IF(i_no_TE_waning=1,"No",INDEX(J$118:J$180,MATCH(1,($BC280=$B$118:$B$180)*($BD280=$F$118:$F$180),0)))))</f>
        <v>No</v>
      </c>
      <c r="BJ280" s="17" t="str" cm="1">
        <f t="array" ref="BJ280">IF(i_TE_sc_4and6y_IO_TKI_OS_absSurv=1,BQ280,INDEX(K$118:K$180,MATCH(1,($BC280=$B$118:$B$180)*($BD280=$F$118:$F$180),0)))</f>
        <v>ref trt hazard</v>
      </c>
      <c r="BK280" s="17">
        <f t="shared" si="15"/>
        <v>0</v>
      </c>
      <c r="BL280" s="17">
        <f t="shared" si="16"/>
        <v>0</v>
      </c>
      <c r="BN280" s="274" cm="1">
        <f t="array" ref="BN280">INDEX(AA$118:AA$180,MATCH(1,($BC280=$B$118:$B$180)*($BD280=$F$118:$F$180),0))</f>
        <v>0</v>
      </c>
      <c r="BO280" s="274" cm="1">
        <f t="array" ref="BO280">INDEX(AB$118:AB$180,MATCH(1,($BC280=$B$118:$B$180)*($BD280=$F$118:$F$180),0))</f>
        <v>0</v>
      </c>
      <c r="BQ280" s="6" t="s">
        <v>149</v>
      </c>
      <c r="BS280" s="6" t="str" cm="1">
        <f t="array" ref="BS280">IF(AND(BE280=2,BC280=1,OR(i_TE_sc_10y_all_IO=1,i_TE_sc_5and20y_all_IO=1)),"Yes",IF(i_no_TE_waning=1,"No",INDEX(J$118:J$180,MATCH(1,($BC280=$B$118:$B$180)*($BD280=$F$118:$F$180),0))))</f>
        <v>No</v>
      </c>
      <c r="BT280" s="274" t="str">
        <f t="shared" si="17"/>
        <v>No</v>
      </c>
    </row>
    <row r="281" spans="52:72" x14ac:dyDescent="0.2">
      <c r="AZ281" s="657">
        <v>10</v>
      </c>
      <c r="BA281" s="17">
        <v>0</v>
      </c>
      <c r="BB281" s="17" t="s">
        <v>31</v>
      </c>
      <c r="BC281" s="17">
        <v>3</v>
      </c>
      <c r="BD281" s="17" t="str" cm="1">
        <f t="array" ref="BD281">INDEX(List_comparators,$AZ281)</f>
        <v>lenvatinib_plus_everolimus</v>
      </c>
      <c r="BE281" s="17">
        <f>INDEX(Lists!$L$51:$L$85,MATCH(BD281,Lists!$K$51:$K$85,0))</f>
        <v>9</v>
      </c>
      <c r="BF281" s="17" t="str">
        <f>INDEX(Lists!$S$51:$S$55,4)</f>
        <v>Time to progression</v>
      </c>
      <c r="BG281" s="17">
        <f>INDEX(Lists!$T$51:$T$55,MATCH(BF281,Lists!$S$51:$S$55,0))</f>
        <v>3</v>
      </c>
      <c r="BH281" s="17">
        <f>VLOOKUP(VLOOKUP(BC281,$F$100:$I$103,2,FALSE),Lists!$K$50:$L$63,2,FALSE)</f>
        <v>8</v>
      </c>
      <c r="BI281" s="17" t="str" cm="1">
        <f t="array" ref="BI281">IF(OR(i_TE_sc_PartSA_5y_IO_TKI_OS=1,i_TE_sc_4and6y_IO_TKI_OS_absSurv=1),BT281,IF(OR(i_TE_sc_10y_all_IO=1,i_TE_sc_5and20y_all_IO=1),BS281,IF(i_no_TE_waning=1,"No",INDEX(J$118:J$180,MATCH(1,($BC281=$B$118:$B$180)*($BD281=$F$118:$F$180),0)))))</f>
        <v>No</v>
      </c>
      <c r="BJ281" s="17" t="str" cm="1">
        <f t="array" ref="BJ281">IF(i_TE_sc_4and6y_IO_TKI_OS_absSurv=1,BQ281,INDEX(K$118:K$180,MATCH(1,($BC281=$B$118:$B$180)*($BD281=$F$118:$F$180),0)))</f>
        <v>ref trt hazard</v>
      </c>
      <c r="BK281" s="17">
        <f t="shared" si="15"/>
        <v>0</v>
      </c>
      <c r="BL281" s="17">
        <f t="shared" si="16"/>
        <v>0</v>
      </c>
      <c r="BN281" s="274" cm="1">
        <f t="array" ref="BN281">INDEX(AA$118:AA$180,MATCH(1,($BC281=$B$118:$B$180)*($BD281=$F$118:$F$180),0))</f>
        <v>0</v>
      </c>
      <c r="BO281" s="274" cm="1">
        <f t="array" ref="BO281">INDEX(AB$118:AB$180,MATCH(1,($BC281=$B$118:$B$180)*($BD281=$F$118:$F$180),0))</f>
        <v>0</v>
      </c>
      <c r="BQ281" s="6" t="s">
        <v>149</v>
      </c>
      <c r="BS281" s="6" t="str" cm="1">
        <f t="array" ref="BS281">IF(AND(BE281=2,BC281=1,OR(i_TE_sc_10y_all_IO=1,i_TE_sc_5and20y_all_IO=1)),"Yes",IF(i_no_TE_waning=1,"No",INDEX(J$118:J$180,MATCH(1,($BC281=$B$118:$B$180)*($BD281=$F$118:$F$180),0))))</f>
        <v>No</v>
      </c>
      <c r="BT281" s="274" t="str">
        <f t="shared" si="17"/>
        <v>No</v>
      </c>
    </row>
    <row r="282" spans="52:72" x14ac:dyDescent="0.2">
      <c r="AZ282" s="657">
        <v>11</v>
      </c>
      <c r="BA282" s="17">
        <v>0</v>
      </c>
      <c r="BB282" s="17" t="s">
        <v>31</v>
      </c>
      <c r="BC282" s="17">
        <v>3</v>
      </c>
      <c r="BD282" s="17" t="str" cm="1">
        <f t="array" ref="BD282">INDEX(List_comparators,$AZ282)</f>
        <v>everolimus</v>
      </c>
      <c r="BE282" s="17">
        <f>INDEX(Lists!$L$51:$L$85,MATCH(BD282,Lists!$K$51:$K$85,0))</f>
        <v>10</v>
      </c>
      <c r="BF282" s="17" t="str">
        <f>INDEX(Lists!$S$51:$S$55,4)</f>
        <v>Time to progression</v>
      </c>
      <c r="BG282" s="17">
        <f>INDEX(Lists!$T$51:$T$55,MATCH(BF282,Lists!$S$51:$S$55,0))</f>
        <v>3</v>
      </c>
      <c r="BH282" s="17">
        <f>VLOOKUP(VLOOKUP(BC282,$F$100:$I$103,2,FALSE),Lists!$K$50:$L$63,2,FALSE)</f>
        <v>8</v>
      </c>
      <c r="BI282" s="17" t="str" cm="1">
        <f t="array" ref="BI282">IF(OR(i_TE_sc_PartSA_5y_IO_TKI_OS=1,i_TE_sc_4and6y_IO_TKI_OS_absSurv=1),BT282,IF(OR(i_TE_sc_10y_all_IO=1,i_TE_sc_5and20y_all_IO=1),BS282,IF(i_no_TE_waning=1,"No",INDEX(J$118:J$180,MATCH(1,($BC282=$B$118:$B$180)*($BD282=$F$118:$F$180),0)))))</f>
        <v>No</v>
      </c>
      <c r="BJ282" s="17" t="str" cm="1">
        <f t="array" ref="BJ282">IF(i_TE_sc_4and6y_IO_TKI_OS_absSurv=1,BQ282,INDEX(K$118:K$180,MATCH(1,($BC282=$B$118:$B$180)*($BD282=$F$118:$F$180),0)))</f>
        <v>ref trt hazard</v>
      </c>
      <c r="BK282" s="17">
        <f t="shared" si="15"/>
        <v>0</v>
      </c>
      <c r="BL282" s="17">
        <f t="shared" si="16"/>
        <v>0</v>
      </c>
      <c r="BN282" s="274" cm="1">
        <f t="array" ref="BN282">INDEX(AA$118:AA$180,MATCH(1,($BC282=$B$118:$B$180)*($BD282=$F$118:$F$180),0))</f>
        <v>0</v>
      </c>
      <c r="BO282" s="274" cm="1">
        <f t="array" ref="BO282">INDEX(AB$118:AB$180,MATCH(1,($BC282=$B$118:$B$180)*($BD282=$F$118:$F$180),0))</f>
        <v>0</v>
      </c>
      <c r="BQ282" s="6" t="s">
        <v>149</v>
      </c>
      <c r="BS282" s="6" t="str" cm="1">
        <f t="array" ref="BS282">IF(AND(BE282=2,BC282=1,OR(i_TE_sc_10y_all_IO=1,i_TE_sc_5and20y_all_IO=1)),"Yes",IF(i_no_TE_waning=1,"No",INDEX(J$118:J$180,MATCH(1,($BC282=$B$118:$B$180)*($BD282=$F$118:$F$180),0))))</f>
        <v>No</v>
      </c>
      <c r="BT282" s="274" t="str">
        <f t="shared" si="17"/>
        <v>No</v>
      </c>
    </row>
    <row r="283" spans="52:72" x14ac:dyDescent="0.2">
      <c r="AZ283" s="657">
        <v>12</v>
      </c>
      <c r="BA283" s="17">
        <v>0</v>
      </c>
      <c r="BB283" s="17" t="s">
        <v>31</v>
      </c>
      <c r="BC283" s="17">
        <v>3</v>
      </c>
      <c r="BD283" s="17" t="str" cm="1">
        <f t="array" ref="BD283">INDEX(List_comparators,$AZ283)</f>
        <v>axitinib</v>
      </c>
      <c r="BE283" s="17">
        <f>INDEX(Lists!$L$51:$L$85,MATCH(BD283,Lists!$K$51:$K$85,0))</f>
        <v>11</v>
      </c>
      <c r="BF283" s="17" t="str">
        <f>INDEX(Lists!$S$51:$S$55,4)</f>
        <v>Time to progression</v>
      </c>
      <c r="BG283" s="17">
        <f>INDEX(Lists!$T$51:$T$55,MATCH(BF283,Lists!$S$51:$S$55,0))</f>
        <v>3</v>
      </c>
      <c r="BH283" s="17">
        <f>VLOOKUP(VLOOKUP(BC283,$F$100:$I$103,2,FALSE),Lists!$K$50:$L$63,2,FALSE)</f>
        <v>8</v>
      </c>
      <c r="BI283" s="17" t="str" cm="1">
        <f t="array" ref="BI283">IF(OR(i_TE_sc_PartSA_5y_IO_TKI_OS=1,i_TE_sc_4and6y_IO_TKI_OS_absSurv=1),BT283,IF(OR(i_TE_sc_10y_all_IO=1,i_TE_sc_5and20y_all_IO=1),BS283,IF(i_no_TE_waning=1,"No",INDEX(J$118:J$180,MATCH(1,($BC283=$B$118:$B$180)*($BD283=$F$118:$F$180),0)))))</f>
        <v>No</v>
      </c>
      <c r="BJ283" s="17" t="str" cm="1">
        <f t="array" ref="BJ283">IF(i_TE_sc_4and6y_IO_TKI_OS_absSurv=1,BQ283,INDEX(K$118:K$180,MATCH(1,($BC283=$B$118:$B$180)*($BD283=$F$118:$F$180),0)))</f>
        <v>ref trt hazard</v>
      </c>
      <c r="BK283" s="17">
        <f t="shared" si="15"/>
        <v>0</v>
      </c>
      <c r="BL283" s="17">
        <f t="shared" si="16"/>
        <v>0</v>
      </c>
      <c r="BN283" s="274" cm="1">
        <f t="array" ref="BN283">INDEX(AA$118:AA$180,MATCH(1,($BC283=$B$118:$B$180)*($BD283=$F$118:$F$180),0))</f>
        <v>0</v>
      </c>
      <c r="BO283" s="274" cm="1">
        <f t="array" ref="BO283">INDEX(AB$118:AB$180,MATCH(1,($BC283=$B$118:$B$180)*($BD283=$F$118:$F$180),0))</f>
        <v>0</v>
      </c>
      <c r="BQ283" s="6" t="s">
        <v>149</v>
      </c>
      <c r="BS283" s="6" t="str" cm="1">
        <f t="array" ref="BS283">IF(AND(BE283=2,BC283=1,OR(i_TE_sc_10y_all_IO=1,i_TE_sc_5and20y_all_IO=1)),"Yes",IF(i_no_TE_waning=1,"No",INDEX(J$118:J$180,MATCH(1,($BC283=$B$118:$B$180)*($BD283=$F$118:$F$180),0))))</f>
        <v>No</v>
      </c>
      <c r="BT283" s="274" t="str">
        <f t="shared" si="17"/>
        <v>No</v>
      </c>
    </row>
    <row r="284" spans="52:72" x14ac:dyDescent="0.2">
      <c r="AZ284" s="657">
        <v>13</v>
      </c>
      <c r="BA284" s="17">
        <v>0</v>
      </c>
      <c r="BB284" s="17" t="s">
        <v>31</v>
      </c>
      <c r="BC284" s="17">
        <v>3</v>
      </c>
      <c r="BD284" s="17" t="str" cm="1">
        <f t="array" ref="BD284">INDEX(List_comparators,$AZ284)</f>
        <v>sorafenib</v>
      </c>
      <c r="BE284" s="17">
        <f>INDEX(Lists!$L$51:$L$85,MATCH(BD284,Lists!$K$51:$K$85,0))</f>
        <v>12</v>
      </c>
      <c r="BF284" s="17" t="str">
        <f>INDEX(Lists!$S$51:$S$55,4)</f>
        <v>Time to progression</v>
      </c>
      <c r="BG284" s="17">
        <f>INDEX(Lists!$T$51:$T$55,MATCH(BF284,Lists!$S$51:$S$55,0))</f>
        <v>3</v>
      </c>
      <c r="BH284" s="17">
        <f>VLOOKUP(VLOOKUP(BC284,$F$100:$I$103,2,FALSE),Lists!$K$50:$L$63,2,FALSE)</f>
        <v>8</v>
      </c>
      <c r="BI284" s="17" t="str" cm="1">
        <f t="array" ref="BI284">IF(OR(i_TE_sc_PartSA_5y_IO_TKI_OS=1,i_TE_sc_4and6y_IO_TKI_OS_absSurv=1),BT284,IF(OR(i_TE_sc_10y_all_IO=1,i_TE_sc_5and20y_all_IO=1),BS284,IF(i_no_TE_waning=1,"No",INDEX(J$118:J$180,MATCH(1,($BC284=$B$118:$B$180)*($BD284=$F$118:$F$180),0)))))</f>
        <v>No</v>
      </c>
      <c r="BJ284" s="17" t="str" cm="1">
        <f t="array" ref="BJ284">IF(i_TE_sc_4and6y_IO_TKI_OS_absSurv=1,BQ284,INDEX(K$118:K$180,MATCH(1,($BC284=$B$118:$B$180)*($BD284=$F$118:$F$180),0)))</f>
        <v>ref trt hazard</v>
      </c>
      <c r="BK284" s="17">
        <f t="shared" si="15"/>
        <v>0</v>
      </c>
      <c r="BL284" s="17">
        <f t="shared" si="16"/>
        <v>0</v>
      </c>
      <c r="BN284" s="274" cm="1">
        <f t="array" ref="BN284">INDEX(AA$118:AA$180,MATCH(1,($BC284=$B$118:$B$180)*($BD284=$F$118:$F$180),0))</f>
        <v>0</v>
      </c>
      <c r="BO284" s="274" cm="1">
        <f t="array" ref="BO284">INDEX(AB$118:AB$180,MATCH(1,($BC284=$B$118:$B$180)*($BD284=$F$118:$F$180),0))</f>
        <v>0</v>
      </c>
      <c r="BQ284" s="6" t="s">
        <v>149</v>
      </c>
      <c r="BS284" s="6" t="str" cm="1">
        <f t="array" ref="BS284">IF(AND(BE284=2,BC284=1,OR(i_TE_sc_10y_all_IO=1,i_TE_sc_5and20y_all_IO=1)),"Yes",IF(i_no_TE_waning=1,"No",INDEX(J$118:J$180,MATCH(1,($BC284=$B$118:$B$180)*($BD284=$F$118:$F$180),0))))</f>
        <v>No</v>
      </c>
      <c r="BT284" s="274" t="str">
        <f t="shared" si="17"/>
        <v>No</v>
      </c>
    </row>
    <row r="285" spans="52:72" x14ac:dyDescent="0.2">
      <c r="AZ285" s="657">
        <v>14</v>
      </c>
      <c r="BA285" s="17">
        <v>0</v>
      </c>
      <c r="BB285" s="17" t="s">
        <v>31</v>
      </c>
      <c r="BC285" s="17">
        <v>3</v>
      </c>
      <c r="BD285" s="17" t="str" cm="1">
        <f t="array" ref="BD285">INDEX(List_comparators,$AZ285)</f>
        <v>placebo_BSC</v>
      </c>
      <c r="BE285" s="17">
        <f>INDEX(Lists!$L$51:$L$85,MATCH(BD285,Lists!$K$51:$K$85,0))</f>
        <v>999</v>
      </c>
      <c r="BF285" s="17" t="str">
        <f>INDEX(Lists!$S$51:$S$55,4)</f>
        <v>Time to progression</v>
      </c>
      <c r="BG285" s="17">
        <f>INDEX(Lists!$T$51:$T$55,MATCH(BF285,Lists!$S$51:$S$55,0))</f>
        <v>3</v>
      </c>
      <c r="BH285" s="17">
        <f>VLOOKUP(VLOOKUP(BC285,$F$100:$I$103,2,FALSE),Lists!$K$50:$L$63,2,FALSE)</f>
        <v>8</v>
      </c>
      <c r="BI285" s="17" t="str" cm="1">
        <f t="array" ref="BI285">IF(OR(i_TE_sc_PartSA_5y_IO_TKI_OS=1,i_TE_sc_4and6y_IO_TKI_OS_absSurv=1),BT285,IF(OR(i_TE_sc_10y_all_IO=1,i_TE_sc_5and20y_all_IO=1),BS285,IF(i_no_TE_waning=1,"No",INDEX(J$118:J$180,MATCH(1,($BC285=$B$118:$B$180)*($BD285=$F$118:$F$180),0)))))</f>
        <v>No</v>
      </c>
      <c r="BJ285" s="17" cm="1">
        <f t="array" ref="BJ285">IF(i_TE_sc_4and6y_IO_TKI_OS_absSurv=1,BQ285,INDEX(K$118:K$180,MATCH(1,($BC285=$B$118:$B$180)*($BD285=$F$118:$F$180),0)))</f>
        <v>0</v>
      </c>
      <c r="BK285" s="17">
        <f t="shared" si="15"/>
        <v>0</v>
      </c>
      <c r="BL285" s="17">
        <f t="shared" si="16"/>
        <v>0</v>
      </c>
      <c r="BN285" s="274" cm="1">
        <f t="array" ref="BN285">INDEX(AA$118:AA$180,MATCH(1,($BC285=$B$118:$B$180)*($BD285=$F$118:$F$180),0))</f>
        <v>0</v>
      </c>
      <c r="BO285" s="274" cm="1">
        <f t="array" ref="BO285">INDEX(AB$118:AB$180,MATCH(1,($BC285=$B$118:$B$180)*($BD285=$F$118:$F$180),0))</f>
        <v>0</v>
      </c>
      <c r="BS285" s="6" t="str" cm="1">
        <f t="array" ref="BS285">IF(AND(BE285=2,BC285=1,OR(i_TE_sc_10y_all_IO=1,i_TE_sc_5and20y_all_IO=1)),"Yes",IF(i_no_TE_waning=1,"No",INDEX(J$118:J$180,MATCH(1,($BC285=$B$118:$B$180)*($BD285=$F$118:$F$180),0))))</f>
        <v>No</v>
      </c>
      <c r="BT285" s="274" t="str">
        <f t="shared" si="17"/>
        <v>No</v>
      </c>
    </row>
    <row r="286" spans="52:72" x14ac:dyDescent="0.2">
      <c r="AZ286" s="657">
        <v>1</v>
      </c>
      <c r="BA286" s="17"/>
      <c r="BB286" s="17" t="s">
        <v>31</v>
      </c>
      <c r="BC286" s="17">
        <v>4</v>
      </c>
      <c r="BD286" s="17" t="str" cm="1">
        <f t="array" ref="BD286">INDEX(List_comparators,$AZ286)</f>
        <v>nivolumab_monotherapy</v>
      </c>
      <c r="BE286" s="17">
        <f>INDEX(Lists!$L$51:$L$85,MATCH(BD286,Lists!$K$51:$K$85,0))</f>
        <v>0</v>
      </c>
      <c r="BF286" s="17" t="str">
        <f>INDEX(Lists!$S$51:$S$55,1)</f>
        <v>Overall survival</v>
      </c>
      <c r="BG286" s="17">
        <f>INDEX(Lists!$T$51:$T$55,MATCH(BF286,Lists!$S$51:$S$55,0))</f>
        <v>0</v>
      </c>
      <c r="BH286" s="17">
        <f>VLOOKUP(VLOOKUP(BC286,$F$100:$I$103,2,FALSE),Lists!$K$50:$L$63,2,FALSE)</f>
        <v>10</v>
      </c>
      <c r="BI286" s="17" t="str" cm="1">
        <f t="array" ref="BI286">IF(OR(i_TE_sc_PartSA_5y_IO_TKI_OS=1,i_TE_sc_4and6y_IO_TKI_OS_absSurv=1),BT286,IF(OR(i_TE_sc_10y_all_IO=1,i_TE_sc_5and20y_all_IO=1),BS286,IF(i_no_TE_waning=1,"No",INDEX(J$118:J$180,MATCH(1,($BC286=$B$118:$B$180)*($BD286=$F$118:$F$180),0)))))</f>
        <v>No</v>
      </c>
      <c r="BJ286" s="17" t="str" cm="1">
        <f t="array" ref="BJ286">IF(i_TE_sc_4and6y_IO_TKI_OS_absSurv=1,BQ286,INDEX(K$118:K$180,MATCH(1,($BC286=$B$118:$B$180)*($BD286=$F$118:$F$180),0)))</f>
        <v>ref trt hazard</v>
      </c>
      <c r="BK286" s="17">
        <f t="shared" si="15"/>
        <v>0</v>
      </c>
      <c r="BL286" s="17">
        <f t="shared" si="16"/>
        <v>0</v>
      </c>
      <c r="BN286" s="274" cm="1">
        <f t="array" ref="BN286">INDEX(L$118:L$180,MATCH(1,($BC286=$B$118:$B$180)*($BD286=$F$118:$F$180),0))</f>
        <v>0</v>
      </c>
      <c r="BO286" s="274" cm="1">
        <f t="array" ref="BO286">INDEX(M$118:M$180,MATCH(1,($BC286=$B$118:$B$180)*($BD286=$F$118:$F$180),0))</f>
        <v>0</v>
      </c>
      <c r="BQ286" s="6" t="s">
        <v>150</v>
      </c>
      <c r="BS286" s="6" t="str" cm="1">
        <f t="array" ref="BS286">IF(AND(BE286=2,BC286=1,OR(i_TE_sc_10y_all_IO=1,i_TE_sc_5and20y_all_IO=1)),"Yes",IF(i_no_TE_waning=1,"No",INDEX(J$118:J$180,MATCH(1,($BC286=$B$118:$B$180)*($BD286=$F$118:$F$180),0))))</f>
        <v>No</v>
      </c>
      <c r="BT286" s="274" t="str">
        <f t="shared" si="17"/>
        <v>No</v>
      </c>
    </row>
    <row r="287" spans="52:72" x14ac:dyDescent="0.2">
      <c r="AZ287" s="657">
        <v>2</v>
      </c>
      <c r="BA287" s="17"/>
      <c r="BB287" s="17" t="s">
        <v>31</v>
      </c>
      <c r="BC287" s="17">
        <v>4</v>
      </c>
      <c r="BD287" s="17" t="str" cm="1">
        <f t="array" ref="BD287">INDEX(List_comparators,$AZ287)</f>
        <v>cabozantinib_plus_nivolumab</v>
      </c>
      <c r="BE287" s="17">
        <f>INDEX(Lists!$L$51:$L$85,MATCH(BD287,Lists!$K$51:$K$85,0))</f>
        <v>1</v>
      </c>
      <c r="BF287" s="17" t="str">
        <f>INDEX(Lists!$S$51:$S$55,1)</f>
        <v>Overall survival</v>
      </c>
      <c r="BG287" s="17">
        <f>INDEX(Lists!$T$51:$T$55,MATCH(BF287,Lists!$S$51:$S$55,0))</f>
        <v>0</v>
      </c>
      <c r="BH287" s="17">
        <f>VLOOKUP(VLOOKUP(BC287,$F$100:$I$103,2,FALSE),Lists!$K$50:$L$63,2,FALSE)</f>
        <v>10</v>
      </c>
      <c r="BI287" s="17" t="str" cm="1">
        <f t="array" ref="BI287">IF(OR(i_TE_sc_PartSA_5y_IO_TKI_OS=1,i_TE_sc_4and6y_IO_TKI_OS_absSurv=1),BT287,IF(OR(i_TE_sc_10y_all_IO=1,i_TE_sc_5and20y_all_IO=1),BS287,IF(i_no_TE_waning=1,"No",INDEX(J$118:J$180,MATCH(1,($BC287=$B$118:$B$180)*($BD287=$F$118:$F$180),0)))))</f>
        <v>No</v>
      </c>
      <c r="BJ287" s="17" t="str" cm="1">
        <f t="array" ref="BJ287">IF(i_TE_sc_4and6y_IO_TKI_OS_absSurv=1,BQ287,INDEX(K$118:K$180,MATCH(1,($BC287=$B$118:$B$180)*($BD287=$F$118:$F$180),0)))</f>
        <v>ref trt hazard</v>
      </c>
      <c r="BK287" s="17">
        <f t="shared" si="15"/>
        <v>0</v>
      </c>
      <c r="BL287" s="17">
        <f t="shared" si="16"/>
        <v>0</v>
      </c>
      <c r="BN287" s="274" cm="1">
        <f t="array" ref="BN287">INDEX(L$118:L$180,MATCH(1,($BC287=$B$118:$B$180)*($BD287=$F$118:$F$180),0))</f>
        <v>0</v>
      </c>
      <c r="BO287" s="274" cm="1">
        <f t="array" ref="BO287">INDEX(M$118:M$180,MATCH(1,($BC287=$B$118:$B$180)*($BD287=$F$118:$F$180),0))</f>
        <v>0</v>
      </c>
      <c r="BQ287" s="6" t="s">
        <v>150</v>
      </c>
      <c r="BS287" s="6" t="str" cm="1">
        <f t="array" ref="BS287">IF(AND(BE287=2,BC287=1,OR(i_TE_sc_10y_all_IO=1,i_TE_sc_5and20y_all_IO=1)),"Yes",IF(i_no_TE_waning=1,"No",INDEX(J$118:J$180,MATCH(1,($BC287=$B$118:$B$180)*($BD287=$F$118:$F$180),0))))</f>
        <v>No</v>
      </c>
      <c r="BT287" s="274" t="str">
        <f t="shared" si="17"/>
        <v>No</v>
      </c>
    </row>
    <row r="288" spans="52:72" x14ac:dyDescent="0.2">
      <c r="AZ288" s="657">
        <v>3</v>
      </c>
      <c r="BA288" s="17"/>
      <c r="BB288" s="17" t="s">
        <v>31</v>
      </c>
      <c r="BC288" s="17">
        <v>4</v>
      </c>
      <c r="BD288" s="17" t="str" cm="1">
        <f t="array" ref="BD288">INDEX(List_comparators,$AZ288)</f>
        <v>nivolumab_plus_ipilimumab</v>
      </c>
      <c r="BE288" s="17">
        <f>INDEX(Lists!$L$51:$L$85,MATCH(BD288,Lists!$K$51:$K$85,0))</f>
        <v>2</v>
      </c>
      <c r="BF288" s="17" t="str">
        <f>INDEX(Lists!$S$51:$S$55,1)</f>
        <v>Overall survival</v>
      </c>
      <c r="BG288" s="17">
        <f>INDEX(Lists!$T$51:$T$55,MATCH(BF288,Lists!$S$51:$S$55,0))</f>
        <v>0</v>
      </c>
      <c r="BH288" s="17">
        <f>VLOOKUP(VLOOKUP(BC288,$F$100:$I$103,2,FALSE),Lists!$K$50:$L$63,2,FALSE)</f>
        <v>10</v>
      </c>
      <c r="BI288" s="17" t="str" cm="1">
        <f t="array" ref="BI288">IF(OR(i_TE_sc_PartSA_5y_IO_TKI_OS=1,i_TE_sc_4and6y_IO_TKI_OS_absSurv=1),BT288,IF(OR(i_TE_sc_10y_all_IO=1,i_TE_sc_5and20y_all_IO=1),BS288,IF(i_no_TE_waning=1,"No",INDEX(J$118:J$180,MATCH(1,($BC288=$B$118:$B$180)*($BD288=$F$118:$F$180),0)))))</f>
        <v>No</v>
      </c>
      <c r="BJ288" s="17" t="str" cm="1">
        <f t="array" ref="BJ288">IF(i_TE_sc_4and6y_IO_TKI_OS_absSurv=1,BQ288,INDEX(K$118:K$180,MATCH(1,($BC288=$B$118:$B$180)*($BD288=$F$118:$F$180),0)))</f>
        <v>ref trt hazard</v>
      </c>
      <c r="BK288" s="17">
        <f t="shared" si="15"/>
        <v>0</v>
      </c>
      <c r="BL288" s="17">
        <f t="shared" si="16"/>
        <v>0</v>
      </c>
      <c r="BN288" s="274" cm="1">
        <f t="array" ref="BN288">INDEX(L$118:L$180,MATCH(1,($BC288=$B$118:$B$180)*($BD288=$F$118:$F$180),0))</f>
        <v>0</v>
      </c>
      <c r="BO288" s="274" cm="1">
        <f t="array" ref="BO288">INDEX(M$118:M$180,MATCH(1,($BC288=$B$118:$B$180)*($BD288=$F$118:$F$180),0))</f>
        <v>0</v>
      </c>
      <c r="BQ288" s="6" t="s">
        <v>150</v>
      </c>
      <c r="BS288" s="6" t="str" cm="1">
        <f t="array" ref="BS288">IF(AND(BE288=2,BC288=1,OR(i_TE_sc_10y_all_IO=1,i_TE_sc_5and20y_all_IO=1)),"Yes",IF(i_no_TE_waning=1,"No",INDEX(J$118:J$180,MATCH(1,($BC288=$B$118:$B$180)*($BD288=$F$118:$F$180),0))))</f>
        <v>No</v>
      </c>
      <c r="BT288" s="274" t="str">
        <f t="shared" si="17"/>
        <v>No</v>
      </c>
    </row>
    <row r="289" spans="52:72" x14ac:dyDescent="0.2">
      <c r="AZ289" s="657">
        <v>4</v>
      </c>
      <c r="BA289" s="17"/>
      <c r="BB289" s="17" t="s">
        <v>31</v>
      </c>
      <c r="BC289" s="17">
        <v>4</v>
      </c>
      <c r="BD289" s="17" t="str" cm="1">
        <f t="array" ref="BD289">INDEX(List_comparators,$AZ289)</f>
        <v>lenvatinib_plus_pembrolizumab</v>
      </c>
      <c r="BE289" s="17">
        <f>INDEX(Lists!$L$51:$L$85,MATCH(BD289,Lists!$K$51:$K$85,0))</f>
        <v>3</v>
      </c>
      <c r="BF289" s="17" t="str">
        <f>INDEX(Lists!$S$51:$S$55,1)</f>
        <v>Overall survival</v>
      </c>
      <c r="BG289" s="17">
        <f>INDEX(Lists!$T$51:$T$55,MATCH(BF289,Lists!$S$51:$S$55,0))</f>
        <v>0</v>
      </c>
      <c r="BH289" s="17">
        <f>VLOOKUP(VLOOKUP(BC289,$F$100:$I$103,2,FALSE),Lists!$K$50:$L$63,2,FALSE)</f>
        <v>10</v>
      </c>
      <c r="BI289" s="17" t="str" cm="1">
        <f t="array" ref="BI289">IF(OR(i_TE_sc_PartSA_5y_IO_TKI_OS=1,i_TE_sc_4and6y_IO_TKI_OS_absSurv=1),BT289,IF(OR(i_TE_sc_10y_all_IO=1,i_TE_sc_5and20y_all_IO=1),BS289,IF(i_no_TE_waning=1,"No",INDEX(J$118:J$180,MATCH(1,($BC289=$B$118:$B$180)*($BD289=$F$118:$F$180),0)))))</f>
        <v>No</v>
      </c>
      <c r="BJ289" s="17" t="str" cm="1">
        <f t="array" ref="BJ289">IF(i_TE_sc_4and6y_IO_TKI_OS_absSurv=1,BQ289,INDEX(K$118:K$180,MATCH(1,($BC289=$B$118:$B$180)*($BD289=$F$118:$F$180),0)))</f>
        <v>ref trt hazard</v>
      </c>
      <c r="BK289" s="17">
        <f t="shared" si="15"/>
        <v>0</v>
      </c>
      <c r="BL289" s="17">
        <f t="shared" si="16"/>
        <v>0</v>
      </c>
      <c r="BN289" s="274" cm="1">
        <f t="array" ref="BN289">INDEX(L$118:L$180,MATCH(1,($BC289=$B$118:$B$180)*($BD289=$F$118:$F$180),0))</f>
        <v>0</v>
      </c>
      <c r="BO289" s="274" cm="1">
        <f t="array" ref="BO289">INDEX(M$118:M$180,MATCH(1,($BC289=$B$118:$B$180)*($BD289=$F$118:$F$180),0))</f>
        <v>0</v>
      </c>
      <c r="BQ289" s="6" t="s">
        <v>150</v>
      </c>
      <c r="BS289" s="6" t="str" cm="1">
        <f t="array" ref="BS289">IF(AND(BE289=2,BC289=1,OR(i_TE_sc_10y_all_IO=1,i_TE_sc_5and20y_all_IO=1)),"Yes",IF(i_no_TE_waning=1,"No",INDEX(J$118:J$180,MATCH(1,($BC289=$B$118:$B$180)*($BD289=$F$118:$F$180),0))))</f>
        <v>No</v>
      </c>
      <c r="BT289" s="274" t="str">
        <f t="shared" si="17"/>
        <v>No</v>
      </c>
    </row>
    <row r="290" spans="52:72" x14ac:dyDescent="0.2">
      <c r="AZ290" s="657">
        <v>5</v>
      </c>
      <c r="BA290" s="17"/>
      <c r="BB290" s="17" t="s">
        <v>31</v>
      </c>
      <c r="BC290" s="17">
        <v>4</v>
      </c>
      <c r="BD290" s="17" t="str" cm="1">
        <f t="array" ref="BD290">INDEX(List_comparators,$AZ290)</f>
        <v>avelumab_plus_axitinib</v>
      </c>
      <c r="BE290" s="17">
        <f>INDEX(Lists!$L$51:$L$85,MATCH(BD290,Lists!$K$51:$K$85,0))</f>
        <v>4</v>
      </c>
      <c r="BF290" s="17" t="str">
        <f>INDEX(Lists!$S$51:$S$55,1)</f>
        <v>Overall survival</v>
      </c>
      <c r="BG290" s="17">
        <f>INDEX(Lists!$T$51:$T$55,MATCH(BF290,Lists!$S$51:$S$55,0))</f>
        <v>0</v>
      </c>
      <c r="BH290" s="17">
        <f>VLOOKUP(VLOOKUP(BC290,$F$100:$I$103,2,FALSE),Lists!$K$50:$L$63,2,FALSE)</f>
        <v>10</v>
      </c>
      <c r="BI290" s="17" t="str" cm="1">
        <f t="array" ref="BI290">IF(OR(i_TE_sc_PartSA_5y_IO_TKI_OS=1,i_TE_sc_4and6y_IO_TKI_OS_absSurv=1),BT290,IF(OR(i_TE_sc_10y_all_IO=1,i_TE_sc_5and20y_all_IO=1),BS290,IF(i_no_TE_waning=1,"No",INDEX(J$118:J$180,MATCH(1,($BC290=$B$118:$B$180)*($BD290=$F$118:$F$180),0)))))</f>
        <v>No</v>
      </c>
      <c r="BJ290" s="17" t="str" cm="1">
        <f t="array" ref="BJ290">IF(i_TE_sc_4and6y_IO_TKI_OS_absSurv=1,BQ290,INDEX(K$118:K$180,MATCH(1,($BC290=$B$118:$B$180)*($BD290=$F$118:$F$180),0)))</f>
        <v>ref trt hazard</v>
      </c>
      <c r="BK290" s="17">
        <f t="shared" si="15"/>
        <v>0</v>
      </c>
      <c r="BL290" s="17">
        <f t="shared" si="16"/>
        <v>0</v>
      </c>
      <c r="BN290" s="274" cm="1">
        <f t="array" ref="BN290">INDEX(L$118:L$180,MATCH(1,($BC290=$B$118:$B$180)*($BD290=$F$118:$F$180),0))</f>
        <v>0</v>
      </c>
      <c r="BO290" s="274" cm="1">
        <f t="array" ref="BO290">INDEX(M$118:M$180,MATCH(1,($BC290=$B$118:$B$180)*($BD290=$F$118:$F$180),0))</f>
        <v>0</v>
      </c>
      <c r="BQ290" s="6" t="s">
        <v>150</v>
      </c>
      <c r="BS290" s="6" t="str" cm="1">
        <f t="array" ref="BS290">IF(AND(BE290=2,BC290=1,OR(i_TE_sc_10y_all_IO=1,i_TE_sc_5and20y_all_IO=1)),"Yes",IF(i_no_TE_waning=1,"No",INDEX(J$118:J$180,MATCH(1,($BC290=$B$118:$B$180)*($BD290=$F$118:$F$180),0))))</f>
        <v>No</v>
      </c>
      <c r="BT290" s="274" t="str">
        <f t="shared" si="17"/>
        <v>No</v>
      </c>
    </row>
    <row r="291" spans="52:72" x14ac:dyDescent="0.2">
      <c r="AZ291" s="657">
        <v>6</v>
      </c>
      <c r="BA291" s="17"/>
      <c r="BB291" s="17" t="s">
        <v>31</v>
      </c>
      <c r="BC291" s="17">
        <v>4</v>
      </c>
      <c r="BD291" s="17" t="str" cm="1">
        <f t="array" ref="BD291">INDEX(List_comparators,$AZ291)</f>
        <v>pazopanib</v>
      </c>
      <c r="BE291" s="17">
        <f>INDEX(Lists!$L$51:$L$85,MATCH(BD291,Lists!$K$51:$K$85,0))</f>
        <v>5</v>
      </c>
      <c r="BF291" s="17" t="str">
        <f>INDEX(Lists!$S$51:$S$55,1)</f>
        <v>Overall survival</v>
      </c>
      <c r="BG291" s="17">
        <f>INDEX(Lists!$T$51:$T$55,MATCH(BF291,Lists!$S$51:$S$55,0))</f>
        <v>0</v>
      </c>
      <c r="BH291" s="17">
        <f>VLOOKUP(VLOOKUP(BC291,$F$100:$I$103,2,FALSE),Lists!$K$50:$L$63,2,FALSE)</f>
        <v>10</v>
      </c>
      <c r="BI291" s="17" t="str" cm="1">
        <f t="array" ref="BI291">IF(OR(i_TE_sc_PartSA_5y_IO_TKI_OS=1,i_TE_sc_4and6y_IO_TKI_OS_absSurv=1),BT291,IF(OR(i_TE_sc_10y_all_IO=1,i_TE_sc_5and20y_all_IO=1),BS291,IF(i_no_TE_waning=1,"No",INDEX(J$118:J$180,MATCH(1,($BC291=$B$118:$B$180)*($BD291=$F$118:$F$180),0)))))</f>
        <v>No</v>
      </c>
      <c r="BJ291" s="17" t="str" cm="1">
        <f t="array" ref="BJ291">IF(i_TE_sc_4and6y_IO_TKI_OS_absSurv=1,BQ291,INDEX(K$118:K$180,MATCH(1,($BC291=$B$118:$B$180)*($BD291=$F$118:$F$180),0)))</f>
        <v>ref trt hazard</v>
      </c>
      <c r="BK291" s="17">
        <f t="shared" si="15"/>
        <v>0</v>
      </c>
      <c r="BL291" s="17">
        <f t="shared" si="16"/>
        <v>0</v>
      </c>
      <c r="BN291" s="274" cm="1">
        <f t="array" ref="BN291">INDEX(L$118:L$180,MATCH(1,($BC291=$B$118:$B$180)*($BD291=$F$118:$F$180),0))</f>
        <v>0</v>
      </c>
      <c r="BO291" s="274" cm="1">
        <f t="array" ref="BO291">INDEX(M$118:M$180,MATCH(1,($BC291=$B$118:$B$180)*($BD291=$F$118:$F$180),0))</f>
        <v>0</v>
      </c>
      <c r="BQ291" s="6" t="s">
        <v>150</v>
      </c>
      <c r="BS291" s="6" t="str" cm="1">
        <f t="array" ref="BS291">IF(AND(BE291=2,BC291=1,OR(i_TE_sc_10y_all_IO=1,i_TE_sc_5and20y_all_IO=1)),"Yes",IF(i_no_TE_waning=1,"No",INDEX(J$118:J$180,MATCH(1,($BC291=$B$118:$B$180)*($BD291=$F$118:$F$180),0))))</f>
        <v>No</v>
      </c>
      <c r="BT291" s="274" t="str">
        <f t="shared" si="17"/>
        <v>No</v>
      </c>
    </row>
    <row r="292" spans="52:72" x14ac:dyDescent="0.2">
      <c r="AZ292" s="657">
        <v>7</v>
      </c>
      <c r="BA292" s="17"/>
      <c r="BB292" s="17" t="s">
        <v>31</v>
      </c>
      <c r="BC292" s="17">
        <v>4</v>
      </c>
      <c r="BD292" s="17" t="str" cm="1">
        <f t="array" ref="BD292">INDEX(List_comparators,$AZ292)</f>
        <v>tivozanib</v>
      </c>
      <c r="BE292" s="17">
        <f>INDEX(Lists!$L$51:$L$85,MATCH(BD292,Lists!$K$51:$K$85,0))</f>
        <v>6</v>
      </c>
      <c r="BF292" s="17" t="str">
        <f>INDEX(Lists!$S$51:$S$55,1)</f>
        <v>Overall survival</v>
      </c>
      <c r="BG292" s="17">
        <f>INDEX(Lists!$T$51:$T$55,MATCH(BF292,Lists!$S$51:$S$55,0))</f>
        <v>0</v>
      </c>
      <c r="BH292" s="17">
        <f>VLOOKUP(VLOOKUP(BC292,$F$100:$I$103,2,FALSE),Lists!$K$50:$L$63,2,FALSE)</f>
        <v>10</v>
      </c>
      <c r="BI292" s="17" t="str" cm="1">
        <f t="array" ref="BI292">IF(OR(i_TE_sc_PartSA_5y_IO_TKI_OS=1,i_TE_sc_4and6y_IO_TKI_OS_absSurv=1),BT292,IF(OR(i_TE_sc_10y_all_IO=1,i_TE_sc_5and20y_all_IO=1),BS292,IF(i_no_TE_waning=1,"No",INDEX(J$118:J$180,MATCH(1,($BC292=$B$118:$B$180)*($BD292=$F$118:$F$180),0)))))</f>
        <v>No</v>
      </c>
      <c r="BJ292" s="17" t="str" cm="1">
        <f t="array" ref="BJ292">IF(i_TE_sc_4and6y_IO_TKI_OS_absSurv=1,BQ292,INDEX(K$118:K$180,MATCH(1,($BC292=$B$118:$B$180)*($BD292=$F$118:$F$180),0)))</f>
        <v>ref trt hazard</v>
      </c>
      <c r="BK292" s="17">
        <f t="shared" si="15"/>
        <v>0</v>
      </c>
      <c r="BL292" s="17">
        <f t="shared" si="16"/>
        <v>0</v>
      </c>
      <c r="BN292" s="274" cm="1">
        <f t="array" ref="BN292">INDEX(L$118:L$180,MATCH(1,($BC292=$B$118:$B$180)*($BD292=$F$118:$F$180),0))</f>
        <v>0</v>
      </c>
      <c r="BO292" s="274" cm="1">
        <f t="array" ref="BO292">INDEX(M$118:M$180,MATCH(1,($BC292=$B$118:$B$180)*($BD292=$F$118:$F$180),0))</f>
        <v>0</v>
      </c>
      <c r="BQ292" s="6" t="s">
        <v>150</v>
      </c>
      <c r="BS292" s="6" t="str" cm="1">
        <f t="array" ref="BS292">IF(AND(BE292=2,BC292=1,OR(i_TE_sc_10y_all_IO=1,i_TE_sc_5and20y_all_IO=1)),"Yes",IF(i_no_TE_waning=1,"No",INDEX(J$118:J$180,MATCH(1,($BC292=$B$118:$B$180)*($BD292=$F$118:$F$180),0))))</f>
        <v>No</v>
      </c>
      <c r="BT292" s="274" t="str">
        <f t="shared" si="17"/>
        <v>No</v>
      </c>
    </row>
    <row r="293" spans="52:72" x14ac:dyDescent="0.2">
      <c r="AZ293" s="657">
        <v>8</v>
      </c>
      <c r="BA293" s="17"/>
      <c r="BB293" s="17" t="s">
        <v>31</v>
      </c>
      <c r="BC293" s="17">
        <v>4</v>
      </c>
      <c r="BD293" s="17" t="str" cm="1">
        <f t="array" ref="BD293">INDEX(List_comparators,$AZ293)</f>
        <v>sunitinib</v>
      </c>
      <c r="BE293" s="17">
        <f>INDEX(Lists!$L$51:$L$85,MATCH(BD293,Lists!$K$51:$K$85,0))</f>
        <v>7</v>
      </c>
      <c r="BF293" s="17" t="str">
        <f>INDEX(Lists!$S$51:$S$55,1)</f>
        <v>Overall survival</v>
      </c>
      <c r="BG293" s="17">
        <f>INDEX(Lists!$T$51:$T$55,MATCH(BF293,Lists!$S$51:$S$55,0))</f>
        <v>0</v>
      </c>
      <c r="BH293" s="17">
        <f>VLOOKUP(VLOOKUP(BC293,$F$100:$I$103,2,FALSE),Lists!$K$50:$L$63,2,FALSE)</f>
        <v>10</v>
      </c>
      <c r="BI293" s="17" t="str" cm="1">
        <f t="array" ref="BI293">IF(OR(i_TE_sc_PartSA_5y_IO_TKI_OS=1,i_TE_sc_4and6y_IO_TKI_OS_absSurv=1),BT293,IF(OR(i_TE_sc_10y_all_IO=1,i_TE_sc_5and20y_all_IO=1),BS293,IF(i_no_TE_waning=1,"No",INDEX(J$118:J$180,MATCH(1,($BC293=$B$118:$B$180)*($BD293=$F$118:$F$180),0)))))</f>
        <v>No</v>
      </c>
      <c r="BJ293" s="17" t="str" cm="1">
        <f t="array" ref="BJ293">IF(i_TE_sc_4and6y_IO_TKI_OS_absSurv=1,BQ293,INDEX(K$118:K$180,MATCH(1,($BC293=$B$118:$B$180)*($BD293=$F$118:$F$180),0)))</f>
        <v>ref trt hazard</v>
      </c>
      <c r="BK293" s="17">
        <f t="shared" si="15"/>
        <v>0</v>
      </c>
      <c r="BL293" s="17">
        <f t="shared" si="16"/>
        <v>0</v>
      </c>
      <c r="BN293" s="274" cm="1">
        <f t="array" ref="BN293">INDEX(L$118:L$180,MATCH(1,($BC293=$B$118:$B$180)*($BD293=$F$118:$F$180),0))</f>
        <v>0</v>
      </c>
      <c r="BO293" s="274" cm="1">
        <f t="array" ref="BO293">INDEX(M$118:M$180,MATCH(1,($BC293=$B$118:$B$180)*($BD293=$F$118:$F$180),0))</f>
        <v>0</v>
      </c>
      <c r="BQ293" s="6" t="s">
        <v>150</v>
      </c>
      <c r="BS293" s="6" t="str" cm="1">
        <f t="array" ref="BS293">IF(AND(BE293=2,BC293=1,OR(i_TE_sc_10y_all_IO=1,i_TE_sc_5and20y_all_IO=1)),"Yes",IF(i_no_TE_waning=1,"No",INDEX(J$118:J$180,MATCH(1,($BC293=$B$118:$B$180)*($BD293=$F$118:$F$180),0))))</f>
        <v>No</v>
      </c>
      <c r="BT293" s="274" t="str">
        <f t="shared" si="17"/>
        <v>No</v>
      </c>
    </row>
    <row r="294" spans="52:72" x14ac:dyDescent="0.2">
      <c r="AZ294" s="657">
        <v>9</v>
      </c>
      <c r="BA294" s="17"/>
      <c r="BB294" s="17" t="s">
        <v>31</v>
      </c>
      <c r="BC294" s="17">
        <v>4</v>
      </c>
      <c r="BD294" s="17" t="str" cm="1">
        <f t="array" ref="BD294">INDEX(List_comparators,$AZ294)</f>
        <v>cabozantinib</v>
      </c>
      <c r="BE294" s="17">
        <f>INDEX(Lists!$L$51:$L$85,MATCH(BD294,Lists!$K$51:$K$85,0))</f>
        <v>8</v>
      </c>
      <c r="BF294" s="17" t="str">
        <f>INDEX(Lists!$S$51:$S$55,1)</f>
        <v>Overall survival</v>
      </c>
      <c r="BG294" s="17">
        <f>INDEX(Lists!$T$51:$T$55,MATCH(BF294,Lists!$S$51:$S$55,0))</f>
        <v>0</v>
      </c>
      <c r="BH294" s="17">
        <f>VLOOKUP(VLOOKUP(BC294,$F$100:$I$103,2,FALSE),Lists!$K$50:$L$63,2,FALSE)</f>
        <v>10</v>
      </c>
      <c r="BI294" s="17" t="str" cm="1">
        <f t="array" ref="BI294">IF(OR(i_TE_sc_PartSA_5y_IO_TKI_OS=1,i_TE_sc_4and6y_IO_TKI_OS_absSurv=1),BT294,IF(OR(i_TE_sc_10y_all_IO=1,i_TE_sc_5and20y_all_IO=1),BS294,IF(i_no_TE_waning=1,"No",INDEX(J$118:J$180,MATCH(1,($BC294=$B$118:$B$180)*($BD294=$F$118:$F$180),0)))))</f>
        <v>No</v>
      </c>
      <c r="BJ294" s="17" t="str" cm="1">
        <f t="array" ref="BJ294">IF(i_TE_sc_4and6y_IO_TKI_OS_absSurv=1,BQ294,INDEX(K$118:K$180,MATCH(1,($BC294=$B$118:$B$180)*($BD294=$F$118:$F$180),0)))</f>
        <v>ref trt hazard</v>
      </c>
      <c r="BK294" s="17">
        <f t="shared" si="15"/>
        <v>0</v>
      </c>
      <c r="BL294" s="17">
        <f t="shared" si="16"/>
        <v>0</v>
      </c>
      <c r="BN294" s="274" cm="1">
        <f t="array" ref="BN294">INDEX(L$118:L$180,MATCH(1,($BC294=$B$118:$B$180)*($BD294=$F$118:$F$180),0))</f>
        <v>0</v>
      </c>
      <c r="BO294" s="274" cm="1">
        <f t="array" ref="BO294">INDEX(M$118:M$180,MATCH(1,($BC294=$B$118:$B$180)*($BD294=$F$118:$F$180),0))</f>
        <v>0</v>
      </c>
      <c r="BQ294" s="6" t="s">
        <v>150</v>
      </c>
      <c r="BS294" s="6" t="str" cm="1">
        <f t="array" ref="BS294">IF(AND(BE294=2,BC294=1,OR(i_TE_sc_10y_all_IO=1,i_TE_sc_5and20y_all_IO=1)),"Yes",IF(i_no_TE_waning=1,"No",INDEX(J$118:J$180,MATCH(1,($BC294=$B$118:$B$180)*($BD294=$F$118:$F$180),0))))</f>
        <v>No</v>
      </c>
      <c r="BT294" s="274" t="str">
        <f t="shared" si="17"/>
        <v>No</v>
      </c>
    </row>
    <row r="295" spans="52:72" x14ac:dyDescent="0.2">
      <c r="AZ295" s="657">
        <v>10</v>
      </c>
      <c r="BA295" s="17"/>
      <c r="BB295" s="17" t="s">
        <v>31</v>
      </c>
      <c r="BC295" s="17">
        <v>4</v>
      </c>
      <c r="BD295" s="17" t="str" cm="1">
        <f t="array" ref="BD295">INDEX(List_comparators,$AZ295)</f>
        <v>lenvatinib_plus_everolimus</v>
      </c>
      <c r="BE295" s="17">
        <f>INDEX(Lists!$L$51:$L$85,MATCH(BD295,Lists!$K$51:$K$85,0))</f>
        <v>9</v>
      </c>
      <c r="BF295" s="17" t="str">
        <f>INDEX(Lists!$S$51:$S$55,1)</f>
        <v>Overall survival</v>
      </c>
      <c r="BG295" s="17">
        <f>INDEX(Lists!$T$51:$T$55,MATCH(BF295,Lists!$S$51:$S$55,0))</f>
        <v>0</v>
      </c>
      <c r="BH295" s="17">
        <f>VLOOKUP(VLOOKUP(BC295,$F$100:$I$103,2,FALSE),Lists!$K$50:$L$63,2,FALSE)</f>
        <v>10</v>
      </c>
      <c r="BI295" s="17" t="str" cm="1">
        <f t="array" ref="BI295">IF(OR(i_TE_sc_PartSA_5y_IO_TKI_OS=1,i_TE_sc_4and6y_IO_TKI_OS_absSurv=1),BT295,IF(OR(i_TE_sc_10y_all_IO=1,i_TE_sc_5and20y_all_IO=1),BS295,IF(i_no_TE_waning=1,"No",INDEX(J$118:J$180,MATCH(1,($BC295=$B$118:$B$180)*($BD295=$F$118:$F$180),0)))))</f>
        <v>No</v>
      </c>
      <c r="BJ295" s="17" t="str" cm="1">
        <f t="array" ref="BJ295">IF(i_TE_sc_4and6y_IO_TKI_OS_absSurv=1,BQ295,INDEX(K$118:K$180,MATCH(1,($BC295=$B$118:$B$180)*($BD295=$F$118:$F$180),0)))</f>
        <v>ref trt hazard</v>
      </c>
      <c r="BK295" s="17">
        <f t="shared" si="15"/>
        <v>0</v>
      </c>
      <c r="BL295" s="17">
        <f t="shared" si="16"/>
        <v>0</v>
      </c>
      <c r="BN295" s="274" cm="1">
        <f t="array" ref="BN295">INDEX(L$118:L$180,MATCH(1,($BC295=$B$118:$B$180)*($BD295=$F$118:$F$180),0))</f>
        <v>0</v>
      </c>
      <c r="BO295" s="274" cm="1">
        <f t="array" ref="BO295">INDEX(M$118:M$180,MATCH(1,($BC295=$B$118:$B$180)*($BD295=$F$118:$F$180),0))</f>
        <v>0</v>
      </c>
      <c r="BQ295" s="6" t="s">
        <v>150</v>
      </c>
      <c r="BS295" s="6" t="str" cm="1">
        <f t="array" ref="BS295">IF(AND(BE295=2,BC295=1,OR(i_TE_sc_10y_all_IO=1,i_TE_sc_5and20y_all_IO=1)),"Yes",IF(i_no_TE_waning=1,"No",INDEX(J$118:J$180,MATCH(1,($BC295=$B$118:$B$180)*($BD295=$F$118:$F$180),0))))</f>
        <v>No</v>
      </c>
      <c r="BT295" s="274" t="str">
        <f t="shared" si="17"/>
        <v>No</v>
      </c>
    </row>
    <row r="296" spans="52:72" x14ac:dyDescent="0.2">
      <c r="AZ296" s="657">
        <v>11</v>
      </c>
      <c r="BA296" s="17"/>
      <c r="BB296" s="17" t="s">
        <v>31</v>
      </c>
      <c r="BC296" s="17">
        <v>4</v>
      </c>
      <c r="BD296" s="17" t="str" cm="1">
        <f t="array" ref="BD296">INDEX(List_comparators,$AZ296)</f>
        <v>everolimus</v>
      </c>
      <c r="BE296" s="17">
        <f>INDEX(Lists!$L$51:$L$85,MATCH(BD296,Lists!$K$51:$K$85,0))</f>
        <v>10</v>
      </c>
      <c r="BF296" s="17" t="str">
        <f>INDEX(Lists!$S$51:$S$55,1)</f>
        <v>Overall survival</v>
      </c>
      <c r="BG296" s="17">
        <f>INDEX(Lists!$T$51:$T$55,MATCH(BF296,Lists!$S$51:$S$55,0))</f>
        <v>0</v>
      </c>
      <c r="BH296" s="17">
        <f>VLOOKUP(VLOOKUP(BC296,$F$100:$I$103,2,FALSE),Lists!$K$50:$L$63,2,FALSE)</f>
        <v>10</v>
      </c>
      <c r="BI296" s="17" t="str" cm="1">
        <f t="array" ref="BI296">IF(OR(i_TE_sc_PartSA_5y_IO_TKI_OS=1,i_TE_sc_4and6y_IO_TKI_OS_absSurv=1),BT296,IF(OR(i_TE_sc_10y_all_IO=1,i_TE_sc_5and20y_all_IO=1),BS296,IF(i_no_TE_waning=1,"No",INDEX(J$118:J$180,MATCH(1,($BC296=$B$118:$B$180)*($BD296=$F$118:$F$180),0)))))</f>
        <v>No</v>
      </c>
      <c r="BJ296" s="17" t="str" cm="1">
        <f t="array" ref="BJ296">IF(i_TE_sc_4and6y_IO_TKI_OS_absSurv=1,BQ296,INDEX(K$118:K$180,MATCH(1,($BC296=$B$118:$B$180)*($BD296=$F$118:$F$180),0)))</f>
        <v>ref trt hazard</v>
      </c>
      <c r="BK296" s="17">
        <f t="shared" si="15"/>
        <v>0</v>
      </c>
      <c r="BL296" s="17">
        <f t="shared" si="16"/>
        <v>0</v>
      </c>
      <c r="BN296" s="274" cm="1">
        <f t="array" ref="BN296">INDEX(L$118:L$180,MATCH(1,($BC296=$B$118:$B$180)*($BD296=$F$118:$F$180),0))</f>
        <v>0</v>
      </c>
      <c r="BO296" s="274" cm="1">
        <f t="array" ref="BO296">INDEX(M$118:M$180,MATCH(1,($BC296=$B$118:$B$180)*($BD296=$F$118:$F$180),0))</f>
        <v>0</v>
      </c>
      <c r="BQ296" s="6" t="s">
        <v>150</v>
      </c>
      <c r="BS296" s="6" t="str" cm="1">
        <f t="array" ref="BS296">IF(AND(BE296=2,BC296=1,OR(i_TE_sc_10y_all_IO=1,i_TE_sc_5and20y_all_IO=1)),"Yes",IF(i_no_TE_waning=1,"No",INDEX(J$118:J$180,MATCH(1,($BC296=$B$118:$B$180)*($BD296=$F$118:$F$180),0))))</f>
        <v>No</v>
      </c>
      <c r="BT296" s="274" t="str">
        <f t="shared" si="17"/>
        <v>No</v>
      </c>
    </row>
    <row r="297" spans="52:72" x14ac:dyDescent="0.2">
      <c r="AZ297" s="657">
        <v>12</v>
      </c>
      <c r="BA297" s="17"/>
      <c r="BB297" s="17" t="s">
        <v>31</v>
      </c>
      <c r="BC297" s="17">
        <v>4</v>
      </c>
      <c r="BD297" s="17" t="str" cm="1">
        <f t="array" ref="BD297">INDEX(List_comparators,$AZ297)</f>
        <v>axitinib</v>
      </c>
      <c r="BE297" s="17">
        <f>INDEX(Lists!$L$51:$L$85,MATCH(BD297,Lists!$K$51:$K$85,0))</f>
        <v>11</v>
      </c>
      <c r="BF297" s="17" t="str">
        <f>INDEX(Lists!$S$51:$S$55,1)</f>
        <v>Overall survival</v>
      </c>
      <c r="BG297" s="17">
        <f>INDEX(Lists!$T$51:$T$55,MATCH(BF297,Lists!$S$51:$S$55,0))</f>
        <v>0</v>
      </c>
      <c r="BH297" s="17">
        <f>VLOOKUP(VLOOKUP(BC297,$F$100:$I$103,2,FALSE),Lists!$K$50:$L$63,2,FALSE)</f>
        <v>10</v>
      </c>
      <c r="BI297" s="17" t="str" cm="1">
        <f t="array" ref="BI297">IF(OR(i_TE_sc_PartSA_5y_IO_TKI_OS=1,i_TE_sc_4and6y_IO_TKI_OS_absSurv=1),BT297,IF(OR(i_TE_sc_10y_all_IO=1,i_TE_sc_5and20y_all_IO=1),BS297,IF(i_no_TE_waning=1,"No",INDEX(J$118:J$180,MATCH(1,($BC297=$B$118:$B$180)*($BD297=$F$118:$F$180),0)))))</f>
        <v>No</v>
      </c>
      <c r="BJ297" s="17" t="str" cm="1">
        <f t="array" ref="BJ297">IF(i_TE_sc_4and6y_IO_TKI_OS_absSurv=1,BQ297,INDEX(K$118:K$180,MATCH(1,($BC297=$B$118:$B$180)*($BD297=$F$118:$F$180),0)))</f>
        <v>ref trt hazard</v>
      </c>
      <c r="BK297" s="17">
        <f t="shared" si="15"/>
        <v>0</v>
      </c>
      <c r="BL297" s="17">
        <f t="shared" si="16"/>
        <v>0</v>
      </c>
      <c r="BN297" s="274" cm="1">
        <f t="array" ref="BN297">INDEX(L$118:L$180,MATCH(1,($BC297=$B$118:$B$180)*($BD297=$F$118:$F$180),0))</f>
        <v>0</v>
      </c>
      <c r="BO297" s="274" cm="1">
        <f t="array" ref="BO297">INDEX(M$118:M$180,MATCH(1,($BC297=$B$118:$B$180)*($BD297=$F$118:$F$180),0))</f>
        <v>0</v>
      </c>
      <c r="BQ297" s="6" t="s">
        <v>150</v>
      </c>
      <c r="BS297" s="6" t="str" cm="1">
        <f t="array" ref="BS297">IF(AND(BE297=2,BC297=1,OR(i_TE_sc_10y_all_IO=1,i_TE_sc_5and20y_all_IO=1)),"Yes",IF(i_no_TE_waning=1,"No",INDEX(J$118:J$180,MATCH(1,($BC297=$B$118:$B$180)*($BD297=$F$118:$F$180),0))))</f>
        <v>No</v>
      </c>
      <c r="BT297" s="274" t="str">
        <f t="shared" si="17"/>
        <v>No</v>
      </c>
    </row>
    <row r="298" spans="52:72" x14ac:dyDescent="0.2">
      <c r="AZ298" s="657">
        <v>13</v>
      </c>
      <c r="BA298" s="17"/>
      <c r="BB298" s="17" t="s">
        <v>31</v>
      </c>
      <c r="BC298" s="17">
        <v>4</v>
      </c>
      <c r="BD298" s="17" t="str" cm="1">
        <f t="array" ref="BD298">INDEX(List_comparators,$AZ298)</f>
        <v>sorafenib</v>
      </c>
      <c r="BE298" s="17">
        <f>INDEX(Lists!$L$51:$L$85,MATCH(BD298,Lists!$K$51:$K$85,0))</f>
        <v>12</v>
      </c>
      <c r="BF298" s="17" t="str">
        <f>INDEX(Lists!$S$51:$S$55,1)</f>
        <v>Overall survival</v>
      </c>
      <c r="BG298" s="17">
        <f>INDEX(Lists!$T$51:$T$55,MATCH(BF298,Lists!$S$51:$S$55,0))</f>
        <v>0</v>
      </c>
      <c r="BH298" s="17">
        <f>VLOOKUP(VLOOKUP(BC298,$F$100:$I$103,2,FALSE),Lists!$K$50:$L$63,2,FALSE)</f>
        <v>10</v>
      </c>
      <c r="BI298" s="17" t="str" cm="1">
        <f t="array" ref="BI298">IF(OR(i_TE_sc_PartSA_5y_IO_TKI_OS=1,i_TE_sc_4and6y_IO_TKI_OS_absSurv=1),BT298,IF(OR(i_TE_sc_10y_all_IO=1,i_TE_sc_5and20y_all_IO=1),BS298,IF(i_no_TE_waning=1,"No",INDEX(J$118:J$180,MATCH(1,($BC298=$B$118:$B$180)*($BD298=$F$118:$F$180),0)))))</f>
        <v>No</v>
      </c>
      <c r="BJ298" s="17" t="str" cm="1">
        <f t="array" ref="BJ298">IF(i_TE_sc_4and6y_IO_TKI_OS_absSurv=1,BQ298,INDEX(K$118:K$180,MATCH(1,($BC298=$B$118:$B$180)*($BD298=$F$118:$F$180),0)))</f>
        <v>ref trt hazard</v>
      </c>
      <c r="BK298" s="17">
        <f t="shared" si="15"/>
        <v>0</v>
      </c>
      <c r="BL298" s="17">
        <f t="shared" si="16"/>
        <v>0</v>
      </c>
      <c r="BN298" s="274" cm="1">
        <f t="array" ref="BN298">INDEX(L$118:L$180,MATCH(1,($BC298=$B$118:$B$180)*($BD298=$F$118:$F$180),0))</f>
        <v>0</v>
      </c>
      <c r="BO298" s="274" cm="1">
        <f t="array" ref="BO298">INDEX(M$118:M$180,MATCH(1,($BC298=$B$118:$B$180)*($BD298=$F$118:$F$180),0))</f>
        <v>0</v>
      </c>
      <c r="BQ298" s="6" t="s">
        <v>150</v>
      </c>
      <c r="BS298" s="6" t="str" cm="1">
        <f t="array" ref="BS298">IF(AND(BE298=2,BC298=1,OR(i_TE_sc_10y_all_IO=1,i_TE_sc_5and20y_all_IO=1)),"Yes",IF(i_no_TE_waning=1,"No",INDEX(J$118:J$180,MATCH(1,($BC298=$B$118:$B$180)*($BD298=$F$118:$F$180),0))))</f>
        <v>No</v>
      </c>
      <c r="BT298" s="274" t="str">
        <f t="shared" si="17"/>
        <v>No</v>
      </c>
    </row>
    <row r="299" spans="52:72" x14ac:dyDescent="0.2">
      <c r="AZ299" s="657">
        <v>14</v>
      </c>
      <c r="BA299" s="17"/>
      <c r="BB299" s="17" t="s">
        <v>31</v>
      </c>
      <c r="BC299" s="17">
        <v>4</v>
      </c>
      <c r="BD299" s="17" t="str" cm="1">
        <f t="array" ref="BD299">INDEX(List_comparators,$AZ299)</f>
        <v>placebo_BSC</v>
      </c>
      <c r="BE299" s="17">
        <f>INDEX(Lists!$L$51:$L$85,MATCH(BD299,Lists!$K$51:$K$85,0))</f>
        <v>999</v>
      </c>
      <c r="BF299" s="17" t="str">
        <f>INDEX(Lists!$S$51:$S$55,1)</f>
        <v>Overall survival</v>
      </c>
      <c r="BG299" s="17">
        <f>INDEX(Lists!$T$51:$T$55,MATCH(BF299,Lists!$S$51:$S$55,0))</f>
        <v>0</v>
      </c>
      <c r="BH299" s="17">
        <f>VLOOKUP(VLOOKUP(BC299,$F$100:$I$103,2,FALSE),Lists!$K$50:$L$63,2,FALSE)</f>
        <v>10</v>
      </c>
      <c r="BI299" s="17" t="str" cm="1">
        <f t="array" ref="BI299">IF(OR(i_TE_sc_PartSA_5y_IO_TKI_OS=1,i_TE_sc_4and6y_IO_TKI_OS_absSurv=1),BT299,IF(OR(i_TE_sc_10y_all_IO=1,i_TE_sc_5and20y_all_IO=1),BS299,IF(i_no_TE_waning=1,"No",INDEX(J$118:J$180,MATCH(1,($BC299=$B$118:$B$180)*($BD299=$F$118:$F$180),0)))))</f>
        <v>No</v>
      </c>
      <c r="BJ299" s="17" cm="1">
        <f t="array" ref="BJ299">IF(i_TE_sc_4and6y_IO_TKI_OS_absSurv=1,BQ299,INDEX(K$118:K$180,MATCH(1,($BC299=$B$118:$B$180)*($BD299=$F$118:$F$180),0)))</f>
        <v>0</v>
      </c>
      <c r="BK299" s="17">
        <f t="shared" si="15"/>
        <v>0</v>
      </c>
      <c r="BL299" s="17">
        <f t="shared" si="16"/>
        <v>0</v>
      </c>
      <c r="BN299" s="274" cm="1">
        <f t="array" ref="BN299">INDEX(L$118:L$180,MATCH(1,($BC299=$B$118:$B$180)*($BD299=$F$118:$F$180),0))</f>
        <v>0</v>
      </c>
      <c r="BO299" s="274" cm="1">
        <f t="array" ref="BO299">INDEX(M$118:M$180,MATCH(1,($BC299=$B$118:$B$180)*($BD299=$F$118:$F$180),0))</f>
        <v>0</v>
      </c>
      <c r="BS299" s="6" t="str" cm="1">
        <f t="array" ref="BS299">IF(AND(BE299=2,BC299=1,OR(i_TE_sc_10y_all_IO=1,i_TE_sc_5and20y_all_IO=1)),"Yes",IF(i_no_TE_waning=1,"No",INDEX(J$118:J$180,MATCH(1,($BC299=$B$118:$B$180)*($BD299=$F$118:$F$180),0))))</f>
        <v>No</v>
      </c>
      <c r="BT299" s="274" t="str">
        <f t="shared" si="17"/>
        <v>No</v>
      </c>
    </row>
    <row r="300" spans="52:72" x14ac:dyDescent="0.2">
      <c r="AZ300" s="657">
        <v>1</v>
      </c>
      <c r="BA300" s="17"/>
      <c r="BB300" s="17" t="s">
        <v>31</v>
      </c>
      <c r="BC300" s="17">
        <v>4</v>
      </c>
      <c r="BD300" s="17" t="str" cm="1">
        <f t="array" ref="BD300">INDEX(List_comparators,$AZ300)</f>
        <v>nivolumab_monotherapy</v>
      </c>
      <c r="BE300" s="17">
        <f>INDEX(Lists!$L$51:$L$85,MATCH(BD300,Lists!$K$51:$K$85,0))</f>
        <v>0</v>
      </c>
      <c r="BF300" s="17" t="str">
        <f>INDEX(Lists!$S$51:$S$55,2)</f>
        <v>Progression free survival</v>
      </c>
      <c r="BG300" s="17">
        <f>INDEX(Lists!$T$51:$T$55,MATCH(BF300,Lists!$S$51:$S$55,0))</f>
        <v>1</v>
      </c>
      <c r="BH300" s="17">
        <f>VLOOKUP(VLOOKUP(BC300,$F$100:$I$103,2,FALSE),Lists!$K$50:$L$63,2,FALSE)</f>
        <v>10</v>
      </c>
      <c r="BI300" s="17" t="str" cm="1">
        <f t="array" ref="BI300">IF(OR(i_TE_sc_PartSA_5y_IO_TKI_OS=1,i_TE_sc_4and6y_IO_TKI_OS_absSurv=1),BT300,IF(OR(i_TE_sc_10y_all_IO=1,i_TE_sc_5and20y_all_IO=1),BS300,IF(i_no_TE_waning=1,"No",INDEX(J$118:J$180,MATCH(1,($BC300=$B$118:$B$180)*($BD300=$F$118:$F$180),0)))))</f>
        <v>No</v>
      </c>
      <c r="BJ300" s="17" t="str" cm="1">
        <f t="array" ref="BJ300">IF(i_TE_sc_4and6y_IO_TKI_OS_absSurv=1,BQ300,INDEX(K$118:K$180,MATCH(1,($BC300=$B$118:$B$180)*($BD300=$F$118:$F$180),0)))</f>
        <v>ref trt hazard</v>
      </c>
      <c r="BK300" s="17">
        <f t="shared" si="15"/>
        <v>0</v>
      </c>
      <c r="BL300" s="17">
        <f t="shared" si="16"/>
        <v>0</v>
      </c>
      <c r="BN300" s="274" cm="1">
        <f t="array" ref="BN300">INDEX(Q$118:Q$180,MATCH(1,($BC300=$B$118:$B$180)*($BD300=$F$118:$F$180),0))</f>
        <v>0</v>
      </c>
      <c r="BO300" s="274" cm="1">
        <f t="array" ref="BO300">INDEX(R$118:R$180,MATCH(1,($BC300=$B$118:$B$180)*($BD300=$F$118:$F$180),0))</f>
        <v>0</v>
      </c>
      <c r="BQ300" s="6" t="s">
        <v>149</v>
      </c>
      <c r="BS300" s="6" t="str" cm="1">
        <f t="array" ref="BS300">IF(AND(BE300=2,BC300=1,OR(i_TE_sc_10y_all_IO=1,i_TE_sc_5and20y_all_IO=1)),"Yes",IF(i_no_TE_waning=1,"No",INDEX(J$118:J$180,MATCH(1,($BC300=$B$118:$B$180)*($BD300=$F$118:$F$180),0))))</f>
        <v>No</v>
      </c>
      <c r="BT300" s="274" t="str">
        <f t="shared" si="17"/>
        <v>No</v>
      </c>
    </row>
    <row r="301" spans="52:72" x14ac:dyDescent="0.2">
      <c r="AZ301" s="657">
        <v>2</v>
      </c>
      <c r="BA301" s="17"/>
      <c r="BB301" s="17" t="s">
        <v>31</v>
      </c>
      <c r="BC301" s="17">
        <v>4</v>
      </c>
      <c r="BD301" s="17" t="str" cm="1">
        <f t="array" ref="BD301">INDEX(List_comparators,$AZ301)</f>
        <v>cabozantinib_plus_nivolumab</v>
      </c>
      <c r="BE301" s="17">
        <f>INDEX(Lists!$L$51:$L$85,MATCH(BD301,Lists!$K$51:$K$85,0))</f>
        <v>1</v>
      </c>
      <c r="BF301" s="17" t="str">
        <f>INDEX(Lists!$S$51:$S$55,2)</f>
        <v>Progression free survival</v>
      </c>
      <c r="BG301" s="17">
        <f>INDEX(Lists!$T$51:$T$55,MATCH(BF301,Lists!$S$51:$S$55,0))</f>
        <v>1</v>
      </c>
      <c r="BH301" s="17">
        <f>VLOOKUP(VLOOKUP(BC301,$F$100:$I$103,2,FALSE),Lists!$K$50:$L$63,2,FALSE)</f>
        <v>10</v>
      </c>
      <c r="BI301" s="17" t="str" cm="1">
        <f t="array" ref="BI301">IF(OR(i_TE_sc_PartSA_5y_IO_TKI_OS=1,i_TE_sc_4and6y_IO_TKI_OS_absSurv=1),BT301,IF(OR(i_TE_sc_10y_all_IO=1,i_TE_sc_5and20y_all_IO=1),BS301,IF(i_no_TE_waning=1,"No",INDEX(J$118:J$180,MATCH(1,($BC301=$B$118:$B$180)*($BD301=$F$118:$F$180),0)))))</f>
        <v>No</v>
      </c>
      <c r="BJ301" s="17" t="str" cm="1">
        <f t="array" ref="BJ301">IF(i_TE_sc_4and6y_IO_TKI_OS_absSurv=1,BQ301,INDEX(K$118:K$180,MATCH(1,($BC301=$B$118:$B$180)*($BD301=$F$118:$F$180),0)))</f>
        <v>ref trt hazard</v>
      </c>
      <c r="BK301" s="17">
        <f t="shared" si="15"/>
        <v>0</v>
      </c>
      <c r="BL301" s="17">
        <f t="shared" si="16"/>
        <v>0</v>
      </c>
      <c r="BN301" s="274" cm="1">
        <f t="array" ref="BN301">INDEX(Q$118:Q$180,MATCH(1,($BC301=$B$118:$B$180)*($BD301=$F$118:$F$180),0))</f>
        <v>0</v>
      </c>
      <c r="BO301" s="274" cm="1">
        <f t="array" ref="BO301">INDEX(R$118:R$180,MATCH(1,($BC301=$B$118:$B$180)*($BD301=$F$118:$F$180),0))</f>
        <v>0</v>
      </c>
      <c r="BQ301" s="6" t="s">
        <v>149</v>
      </c>
      <c r="BS301" s="6" t="str" cm="1">
        <f t="array" ref="BS301">IF(AND(BE301=2,BC301=1,OR(i_TE_sc_10y_all_IO=1,i_TE_sc_5and20y_all_IO=1)),"Yes",IF(i_no_TE_waning=1,"No",INDEX(J$118:J$180,MATCH(1,($BC301=$B$118:$B$180)*($BD301=$F$118:$F$180),0))))</f>
        <v>No</v>
      </c>
      <c r="BT301" s="274" t="str">
        <f t="shared" si="17"/>
        <v>No</v>
      </c>
    </row>
    <row r="302" spans="52:72" x14ac:dyDescent="0.2">
      <c r="AZ302" s="657">
        <v>3</v>
      </c>
      <c r="BA302" s="17"/>
      <c r="BB302" s="17" t="s">
        <v>31</v>
      </c>
      <c r="BC302" s="17">
        <v>4</v>
      </c>
      <c r="BD302" s="17" t="str" cm="1">
        <f t="array" ref="BD302">INDEX(List_comparators,$AZ302)</f>
        <v>nivolumab_plus_ipilimumab</v>
      </c>
      <c r="BE302" s="17">
        <f>INDEX(Lists!$L$51:$L$85,MATCH(BD302,Lists!$K$51:$K$85,0))</f>
        <v>2</v>
      </c>
      <c r="BF302" s="17" t="str">
        <f>INDEX(Lists!$S$51:$S$55,2)</f>
        <v>Progression free survival</v>
      </c>
      <c r="BG302" s="17">
        <f>INDEX(Lists!$T$51:$T$55,MATCH(BF302,Lists!$S$51:$S$55,0))</f>
        <v>1</v>
      </c>
      <c r="BH302" s="17">
        <f>VLOOKUP(VLOOKUP(BC302,$F$100:$I$103,2,FALSE),Lists!$K$50:$L$63,2,FALSE)</f>
        <v>10</v>
      </c>
      <c r="BI302" s="17" t="str" cm="1">
        <f t="array" ref="BI302">IF(OR(i_TE_sc_PartSA_5y_IO_TKI_OS=1,i_TE_sc_4and6y_IO_TKI_OS_absSurv=1),BT302,IF(OR(i_TE_sc_10y_all_IO=1,i_TE_sc_5and20y_all_IO=1),BS302,IF(i_no_TE_waning=1,"No",INDEX(J$118:J$180,MATCH(1,($BC302=$B$118:$B$180)*($BD302=$F$118:$F$180),0)))))</f>
        <v>No</v>
      </c>
      <c r="BJ302" s="17" t="str" cm="1">
        <f t="array" ref="BJ302">IF(i_TE_sc_4and6y_IO_TKI_OS_absSurv=1,BQ302,INDEX(K$118:K$180,MATCH(1,($BC302=$B$118:$B$180)*($BD302=$F$118:$F$180),0)))</f>
        <v>ref trt hazard</v>
      </c>
      <c r="BK302" s="17">
        <f t="shared" si="15"/>
        <v>0</v>
      </c>
      <c r="BL302" s="17">
        <f t="shared" si="16"/>
        <v>0</v>
      </c>
      <c r="BN302" s="274" cm="1">
        <f t="array" ref="BN302">INDEX(Q$118:Q$180,MATCH(1,($BC302=$B$118:$B$180)*($BD302=$F$118:$F$180),0))</f>
        <v>0</v>
      </c>
      <c r="BO302" s="274" cm="1">
        <f t="array" ref="BO302">INDEX(R$118:R$180,MATCH(1,($BC302=$B$118:$B$180)*($BD302=$F$118:$F$180),0))</f>
        <v>0</v>
      </c>
      <c r="BQ302" s="6" t="s">
        <v>149</v>
      </c>
      <c r="BS302" s="6" t="str" cm="1">
        <f t="array" ref="BS302">IF(AND(BE302=2,BC302=1,OR(i_TE_sc_10y_all_IO=1,i_TE_sc_5and20y_all_IO=1)),"Yes",IF(i_no_TE_waning=1,"No",INDEX(J$118:J$180,MATCH(1,($BC302=$B$118:$B$180)*($BD302=$F$118:$F$180),0))))</f>
        <v>No</v>
      </c>
      <c r="BT302" s="274" t="str">
        <f t="shared" si="17"/>
        <v>No</v>
      </c>
    </row>
    <row r="303" spans="52:72" x14ac:dyDescent="0.2">
      <c r="AZ303" s="657">
        <v>4</v>
      </c>
      <c r="BA303" s="17"/>
      <c r="BB303" s="17" t="s">
        <v>31</v>
      </c>
      <c r="BC303" s="17">
        <v>4</v>
      </c>
      <c r="BD303" s="17" t="str" cm="1">
        <f t="array" ref="BD303">INDEX(List_comparators,$AZ303)</f>
        <v>lenvatinib_plus_pembrolizumab</v>
      </c>
      <c r="BE303" s="17">
        <f>INDEX(Lists!$L$51:$L$85,MATCH(BD303,Lists!$K$51:$K$85,0))</f>
        <v>3</v>
      </c>
      <c r="BF303" s="17" t="str">
        <f>INDEX(Lists!$S$51:$S$55,2)</f>
        <v>Progression free survival</v>
      </c>
      <c r="BG303" s="17">
        <f>INDEX(Lists!$T$51:$T$55,MATCH(BF303,Lists!$S$51:$S$55,0))</f>
        <v>1</v>
      </c>
      <c r="BH303" s="17">
        <f>VLOOKUP(VLOOKUP(BC303,$F$100:$I$103,2,FALSE),Lists!$K$50:$L$63,2,FALSE)</f>
        <v>10</v>
      </c>
      <c r="BI303" s="17" t="str" cm="1">
        <f t="array" ref="BI303">IF(OR(i_TE_sc_PartSA_5y_IO_TKI_OS=1,i_TE_sc_4and6y_IO_TKI_OS_absSurv=1),BT303,IF(OR(i_TE_sc_10y_all_IO=1,i_TE_sc_5and20y_all_IO=1),BS303,IF(i_no_TE_waning=1,"No",INDEX(J$118:J$180,MATCH(1,($BC303=$B$118:$B$180)*($BD303=$F$118:$F$180),0)))))</f>
        <v>No</v>
      </c>
      <c r="BJ303" s="17" t="str" cm="1">
        <f t="array" ref="BJ303">IF(i_TE_sc_4and6y_IO_TKI_OS_absSurv=1,BQ303,INDEX(K$118:K$180,MATCH(1,($BC303=$B$118:$B$180)*($BD303=$F$118:$F$180),0)))</f>
        <v>ref trt hazard</v>
      </c>
      <c r="BK303" s="17">
        <f t="shared" si="15"/>
        <v>0</v>
      </c>
      <c r="BL303" s="17">
        <f t="shared" si="16"/>
        <v>0</v>
      </c>
      <c r="BN303" s="274" cm="1">
        <f t="array" ref="BN303">INDEX(Q$118:Q$180,MATCH(1,($BC303=$B$118:$B$180)*($BD303=$F$118:$F$180),0))</f>
        <v>0</v>
      </c>
      <c r="BO303" s="274" cm="1">
        <f t="array" ref="BO303">INDEX(R$118:R$180,MATCH(1,($BC303=$B$118:$B$180)*($BD303=$F$118:$F$180),0))</f>
        <v>0</v>
      </c>
      <c r="BQ303" s="6" t="s">
        <v>149</v>
      </c>
      <c r="BS303" s="6" t="str" cm="1">
        <f t="array" ref="BS303">IF(AND(BE303=2,BC303=1,OR(i_TE_sc_10y_all_IO=1,i_TE_sc_5and20y_all_IO=1)),"Yes",IF(i_no_TE_waning=1,"No",INDEX(J$118:J$180,MATCH(1,($BC303=$B$118:$B$180)*($BD303=$F$118:$F$180),0))))</f>
        <v>No</v>
      </c>
      <c r="BT303" s="274" t="str">
        <f t="shared" si="17"/>
        <v>No</v>
      </c>
    </row>
    <row r="304" spans="52:72" x14ac:dyDescent="0.2">
      <c r="AZ304" s="657">
        <v>5</v>
      </c>
      <c r="BA304" s="17"/>
      <c r="BB304" s="17" t="s">
        <v>31</v>
      </c>
      <c r="BC304" s="17">
        <v>4</v>
      </c>
      <c r="BD304" s="17" t="str" cm="1">
        <f t="array" ref="BD304">INDEX(List_comparators,$AZ304)</f>
        <v>avelumab_plus_axitinib</v>
      </c>
      <c r="BE304" s="17">
        <f>INDEX(Lists!$L$51:$L$85,MATCH(BD304,Lists!$K$51:$K$85,0))</f>
        <v>4</v>
      </c>
      <c r="BF304" s="17" t="str">
        <f>INDEX(Lists!$S$51:$S$55,2)</f>
        <v>Progression free survival</v>
      </c>
      <c r="BG304" s="17">
        <f>INDEX(Lists!$T$51:$T$55,MATCH(BF304,Lists!$S$51:$S$55,0))</f>
        <v>1</v>
      </c>
      <c r="BH304" s="17">
        <f>VLOOKUP(VLOOKUP(BC304,$F$100:$I$103,2,FALSE),Lists!$K$50:$L$63,2,FALSE)</f>
        <v>10</v>
      </c>
      <c r="BI304" s="17" t="str" cm="1">
        <f t="array" ref="BI304">IF(OR(i_TE_sc_PartSA_5y_IO_TKI_OS=1,i_TE_sc_4and6y_IO_TKI_OS_absSurv=1),BT304,IF(OR(i_TE_sc_10y_all_IO=1,i_TE_sc_5and20y_all_IO=1),BS304,IF(i_no_TE_waning=1,"No",INDEX(J$118:J$180,MATCH(1,($BC304=$B$118:$B$180)*($BD304=$F$118:$F$180),0)))))</f>
        <v>No</v>
      </c>
      <c r="BJ304" s="17" t="str" cm="1">
        <f t="array" ref="BJ304">IF(i_TE_sc_4and6y_IO_TKI_OS_absSurv=1,BQ304,INDEX(K$118:K$180,MATCH(1,($BC304=$B$118:$B$180)*($BD304=$F$118:$F$180),0)))</f>
        <v>ref trt hazard</v>
      </c>
      <c r="BK304" s="17">
        <f t="shared" si="15"/>
        <v>0</v>
      </c>
      <c r="BL304" s="17">
        <f t="shared" si="16"/>
        <v>0</v>
      </c>
      <c r="BN304" s="274" cm="1">
        <f t="array" ref="BN304">INDEX(Q$118:Q$180,MATCH(1,($BC304=$B$118:$B$180)*($BD304=$F$118:$F$180),0))</f>
        <v>0</v>
      </c>
      <c r="BO304" s="274" cm="1">
        <f t="array" ref="BO304">INDEX(R$118:R$180,MATCH(1,($BC304=$B$118:$B$180)*($BD304=$F$118:$F$180),0))</f>
        <v>0</v>
      </c>
      <c r="BQ304" s="6" t="s">
        <v>149</v>
      </c>
      <c r="BS304" s="6" t="str" cm="1">
        <f t="array" ref="BS304">IF(AND(BE304=2,BC304=1,OR(i_TE_sc_10y_all_IO=1,i_TE_sc_5and20y_all_IO=1)),"Yes",IF(i_no_TE_waning=1,"No",INDEX(J$118:J$180,MATCH(1,($BC304=$B$118:$B$180)*($BD304=$F$118:$F$180),0))))</f>
        <v>No</v>
      </c>
      <c r="BT304" s="274" t="str">
        <f t="shared" si="17"/>
        <v>No</v>
      </c>
    </row>
    <row r="305" spans="52:72" x14ac:dyDescent="0.2">
      <c r="AZ305" s="657">
        <v>6</v>
      </c>
      <c r="BA305" s="17"/>
      <c r="BB305" s="17" t="s">
        <v>31</v>
      </c>
      <c r="BC305" s="17">
        <v>4</v>
      </c>
      <c r="BD305" s="17" t="str" cm="1">
        <f t="array" ref="BD305">INDEX(List_comparators,$AZ305)</f>
        <v>pazopanib</v>
      </c>
      <c r="BE305" s="17">
        <f>INDEX(Lists!$L$51:$L$85,MATCH(BD305,Lists!$K$51:$K$85,0))</f>
        <v>5</v>
      </c>
      <c r="BF305" s="17" t="str">
        <f>INDEX(Lists!$S$51:$S$55,2)</f>
        <v>Progression free survival</v>
      </c>
      <c r="BG305" s="17">
        <f>INDEX(Lists!$T$51:$T$55,MATCH(BF305,Lists!$S$51:$S$55,0))</f>
        <v>1</v>
      </c>
      <c r="BH305" s="17">
        <f>VLOOKUP(VLOOKUP(BC305,$F$100:$I$103,2,FALSE),Lists!$K$50:$L$63,2,FALSE)</f>
        <v>10</v>
      </c>
      <c r="BI305" s="17" t="str" cm="1">
        <f t="array" ref="BI305">IF(OR(i_TE_sc_PartSA_5y_IO_TKI_OS=1,i_TE_sc_4and6y_IO_TKI_OS_absSurv=1),BT305,IF(OR(i_TE_sc_10y_all_IO=1,i_TE_sc_5and20y_all_IO=1),BS305,IF(i_no_TE_waning=1,"No",INDEX(J$118:J$180,MATCH(1,($BC305=$B$118:$B$180)*($BD305=$F$118:$F$180),0)))))</f>
        <v>No</v>
      </c>
      <c r="BJ305" s="17" t="str" cm="1">
        <f t="array" ref="BJ305">IF(i_TE_sc_4and6y_IO_TKI_OS_absSurv=1,BQ305,INDEX(K$118:K$180,MATCH(1,($BC305=$B$118:$B$180)*($BD305=$F$118:$F$180),0)))</f>
        <v>ref trt hazard</v>
      </c>
      <c r="BK305" s="17">
        <f t="shared" si="15"/>
        <v>0</v>
      </c>
      <c r="BL305" s="17">
        <f t="shared" si="16"/>
        <v>0</v>
      </c>
      <c r="BN305" s="274" cm="1">
        <f t="array" ref="BN305">INDEX(Q$118:Q$180,MATCH(1,($BC305=$B$118:$B$180)*($BD305=$F$118:$F$180),0))</f>
        <v>0</v>
      </c>
      <c r="BO305" s="274" cm="1">
        <f t="array" ref="BO305">INDEX(R$118:R$180,MATCH(1,($BC305=$B$118:$B$180)*($BD305=$F$118:$F$180),0))</f>
        <v>0</v>
      </c>
      <c r="BQ305" s="6" t="s">
        <v>149</v>
      </c>
      <c r="BS305" s="6" t="str" cm="1">
        <f t="array" ref="BS305">IF(AND(BE305=2,BC305=1,OR(i_TE_sc_10y_all_IO=1,i_TE_sc_5and20y_all_IO=1)),"Yes",IF(i_no_TE_waning=1,"No",INDEX(J$118:J$180,MATCH(1,($BC305=$B$118:$B$180)*($BD305=$F$118:$F$180),0))))</f>
        <v>No</v>
      </c>
      <c r="BT305" s="274" t="str">
        <f t="shared" si="17"/>
        <v>No</v>
      </c>
    </row>
    <row r="306" spans="52:72" x14ac:dyDescent="0.2">
      <c r="AZ306" s="657">
        <v>7</v>
      </c>
      <c r="BA306" s="17"/>
      <c r="BB306" s="17" t="s">
        <v>31</v>
      </c>
      <c r="BC306" s="17">
        <v>4</v>
      </c>
      <c r="BD306" s="17" t="str" cm="1">
        <f t="array" ref="BD306">INDEX(List_comparators,$AZ306)</f>
        <v>tivozanib</v>
      </c>
      <c r="BE306" s="17">
        <f>INDEX(Lists!$L$51:$L$85,MATCH(BD306,Lists!$K$51:$K$85,0))</f>
        <v>6</v>
      </c>
      <c r="BF306" s="17" t="str">
        <f>INDEX(Lists!$S$51:$S$55,2)</f>
        <v>Progression free survival</v>
      </c>
      <c r="BG306" s="17">
        <f>INDEX(Lists!$T$51:$T$55,MATCH(BF306,Lists!$S$51:$S$55,0))</f>
        <v>1</v>
      </c>
      <c r="BH306" s="17">
        <f>VLOOKUP(VLOOKUP(BC306,$F$100:$I$103,2,FALSE),Lists!$K$50:$L$63,2,FALSE)</f>
        <v>10</v>
      </c>
      <c r="BI306" s="17" t="str" cm="1">
        <f t="array" ref="BI306">IF(OR(i_TE_sc_PartSA_5y_IO_TKI_OS=1,i_TE_sc_4and6y_IO_TKI_OS_absSurv=1),BT306,IF(OR(i_TE_sc_10y_all_IO=1,i_TE_sc_5and20y_all_IO=1),BS306,IF(i_no_TE_waning=1,"No",INDEX(J$118:J$180,MATCH(1,($BC306=$B$118:$B$180)*($BD306=$F$118:$F$180),0)))))</f>
        <v>No</v>
      </c>
      <c r="BJ306" s="17" t="str" cm="1">
        <f t="array" ref="BJ306">IF(i_TE_sc_4and6y_IO_TKI_OS_absSurv=1,BQ306,INDEX(K$118:K$180,MATCH(1,($BC306=$B$118:$B$180)*($BD306=$F$118:$F$180),0)))</f>
        <v>ref trt hazard</v>
      </c>
      <c r="BK306" s="17">
        <f t="shared" si="15"/>
        <v>0</v>
      </c>
      <c r="BL306" s="17">
        <f t="shared" si="16"/>
        <v>0</v>
      </c>
      <c r="BN306" s="274" cm="1">
        <f t="array" ref="BN306">INDEX(Q$118:Q$180,MATCH(1,($BC306=$B$118:$B$180)*($BD306=$F$118:$F$180),0))</f>
        <v>0</v>
      </c>
      <c r="BO306" s="274" cm="1">
        <f t="array" ref="BO306">INDEX(R$118:R$180,MATCH(1,($BC306=$B$118:$B$180)*($BD306=$F$118:$F$180),0))</f>
        <v>0</v>
      </c>
      <c r="BQ306" s="6" t="s">
        <v>149</v>
      </c>
      <c r="BS306" s="6" t="str" cm="1">
        <f t="array" ref="BS306">IF(AND(BE306=2,BC306=1,OR(i_TE_sc_10y_all_IO=1,i_TE_sc_5and20y_all_IO=1)),"Yes",IF(i_no_TE_waning=1,"No",INDEX(J$118:J$180,MATCH(1,($BC306=$B$118:$B$180)*($BD306=$F$118:$F$180),0))))</f>
        <v>No</v>
      </c>
      <c r="BT306" s="274" t="str">
        <f t="shared" si="17"/>
        <v>No</v>
      </c>
    </row>
    <row r="307" spans="52:72" x14ac:dyDescent="0.2">
      <c r="AZ307" s="657">
        <v>8</v>
      </c>
      <c r="BA307" s="17"/>
      <c r="BB307" s="17" t="s">
        <v>31</v>
      </c>
      <c r="BC307" s="17">
        <v>4</v>
      </c>
      <c r="BD307" s="17" t="str" cm="1">
        <f t="array" ref="BD307">INDEX(List_comparators,$AZ307)</f>
        <v>sunitinib</v>
      </c>
      <c r="BE307" s="17">
        <f>INDEX(Lists!$L$51:$L$85,MATCH(BD307,Lists!$K$51:$K$85,0))</f>
        <v>7</v>
      </c>
      <c r="BF307" s="17" t="str">
        <f>INDEX(Lists!$S$51:$S$55,2)</f>
        <v>Progression free survival</v>
      </c>
      <c r="BG307" s="17">
        <f>INDEX(Lists!$T$51:$T$55,MATCH(BF307,Lists!$S$51:$S$55,0))</f>
        <v>1</v>
      </c>
      <c r="BH307" s="17">
        <f>VLOOKUP(VLOOKUP(BC307,$F$100:$I$103,2,FALSE),Lists!$K$50:$L$63,2,FALSE)</f>
        <v>10</v>
      </c>
      <c r="BI307" s="17" t="str" cm="1">
        <f t="array" ref="BI307">IF(OR(i_TE_sc_PartSA_5y_IO_TKI_OS=1,i_TE_sc_4and6y_IO_TKI_OS_absSurv=1),BT307,IF(OR(i_TE_sc_10y_all_IO=1,i_TE_sc_5and20y_all_IO=1),BS307,IF(i_no_TE_waning=1,"No",INDEX(J$118:J$180,MATCH(1,($BC307=$B$118:$B$180)*($BD307=$F$118:$F$180),0)))))</f>
        <v>No</v>
      </c>
      <c r="BJ307" s="17" t="str" cm="1">
        <f t="array" ref="BJ307">IF(i_TE_sc_4and6y_IO_TKI_OS_absSurv=1,BQ307,INDEX(K$118:K$180,MATCH(1,($BC307=$B$118:$B$180)*($BD307=$F$118:$F$180),0)))</f>
        <v>ref trt hazard</v>
      </c>
      <c r="BK307" s="17">
        <f t="shared" si="15"/>
        <v>0</v>
      </c>
      <c r="BL307" s="17">
        <f t="shared" si="16"/>
        <v>0</v>
      </c>
      <c r="BN307" s="274" cm="1">
        <f t="array" ref="BN307">INDEX(Q$118:Q$180,MATCH(1,($BC307=$B$118:$B$180)*($BD307=$F$118:$F$180),0))</f>
        <v>0</v>
      </c>
      <c r="BO307" s="274" cm="1">
        <f t="array" ref="BO307">INDEX(R$118:R$180,MATCH(1,($BC307=$B$118:$B$180)*($BD307=$F$118:$F$180),0))</f>
        <v>0</v>
      </c>
      <c r="BQ307" s="6" t="s">
        <v>149</v>
      </c>
      <c r="BS307" s="6" t="str" cm="1">
        <f t="array" ref="BS307">IF(AND(BE307=2,BC307=1,OR(i_TE_sc_10y_all_IO=1,i_TE_sc_5and20y_all_IO=1)),"Yes",IF(i_no_TE_waning=1,"No",INDEX(J$118:J$180,MATCH(1,($BC307=$B$118:$B$180)*($BD307=$F$118:$F$180),0))))</f>
        <v>No</v>
      </c>
      <c r="BT307" s="274" t="str">
        <f t="shared" si="17"/>
        <v>No</v>
      </c>
    </row>
    <row r="308" spans="52:72" x14ac:dyDescent="0.2">
      <c r="AZ308" s="657">
        <v>9</v>
      </c>
      <c r="BA308" s="17"/>
      <c r="BB308" s="17" t="s">
        <v>31</v>
      </c>
      <c r="BC308" s="17">
        <v>4</v>
      </c>
      <c r="BD308" s="17" t="str" cm="1">
        <f t="array" ref="BD308">INDEX(List_comparators,$AZ308)</f>
        <v>cabozantinib</v>
      </c>
      <c r="BE308" s="17">
        <f>INDEX(Lists!$L$51:$L$85,MATCH(BD308,Lists!$K$51:$K$85,0))</f>
        <v>8</v>
      </c>
      <c r="BF308" s="17" t="str">
        <f>INDEX(Lists!$S$51:$S$55,2)</f>
        <v>Progression free survival</v>
      </c>
      <c r="BG308" s="17">
        <f>INDEX(Lists!$T$51:$T$55,MATCH(BF308,Lists!$S$51:$S$55,0))</f>
        <v>1</v>
      </c>
      <c r="BH308" s="17">
        <f>VLOOKUP(VLOOKUP(BC308,$F$100:$I$103,2,FALSE),Lists!$K$50:$L$63,2,FALSE)</f>
        <v>10</v>
      </c>
      <c r="BI308" s="17" t="str" cm="1">
        <f t="array" ref="BI308">IF(OR(i_TE_sc_PartSA_5y_IO_TKI_OS=1,i_TE_sc_4and6y_IO_TKI_OS_absSurv=1),BT308,IF(OR(i_TE_sc_10y_all_IO=1,i_TE_sc_5and20y_all_IO=1),BS308,IF(i_no_TE_waning=1,"No",INDEX(J$118:J$180,MATCH(1,($BC308=$B$118:$B$180)*($BD308=$F$118:$F$180),0)))))</f>
        <v>No</v>
      </c>
      <c r="BJ308" s="17" t="str" cm="1">
        <f t="array" ref="BJ308">IF(i_TE_sc_4and6y_IO_TKI_OS_absSurv=1,BQ308,INDEX(K$118:K$180,MATCH(1,($BC308=$B$118:$B$180)*($BD308=$F$118:$F$180),0)))</f>
        <v>ref trt hazard</v>
      </c>
      <c r="BK308" s="17">
        <f t="shared" si="15"/>
        <v>0</v>
      </c>
      <c r="BL308" s="17">
        <f t="shared" si="16"/>
        <v>0</v>
      </c>
      <c r="BN308" s="274" cm="1">
        <f t="array" ref="BN308">INDEX(Q$118:Q$180,MATCH(1,($BC308=$B$118:$B$180)*($BD308=$F$118:$F$180),0))</f>
        <v>0</v>
      </c>
      <c r="BO308" s="274" cm="1">
        <f t="array" ref="BO308">INDEX(R$118:R$180,MATCH(1,($BC308=$B$118:$B$180)*($BD308=$F$118:$F$180),0))</f>
        <v>0</v>
      </c>
      <c r="BQ308" s="6" t="s">
        <v>149</v>
      </c>
      <c r="BS308" s="6" t="str" cm="1">
        <f t="array" ref="BS308">IF(AND(BE308=2,BC308=1,OR(i_TE_sc_10y_all_IO=1,i_TE_sc_5and20y_all_IO=1)),"Yes",IF(i_no_TE_waning=1,"No",INDEX(J$118:J$180,MATCH(1,($BC308=$B$118:$B$180)*($BD308=$F$118:$F$180),0))))</f>
        <v>No</v>
      </c>
      <c r="BT308" s="274" t="str">
        <f t="shared" si="17"/>
        <v>No</v>
      </c>
    </row>
    <row r="309" spans="52:72" x14ac:dyDescent="0.2">
      <c r="AZ309" s="657">
        <v>10</v>
      </c>
      <c r="BA309" s="17"/>
      <c r="BB309" s="17" t="s">
        <v>31</v>
      </c>
      <c r="BC309" s="17">
        <v>4</v>
      </c>
      <c r="BD309" s="17" t="str" cm="1">
        <f t="array" ref="BD309">INDEX(List_comparators,$AZ309)</f>
        <v>lenvatinib_plus_everolimus</v>
      </c>
      <c r="BE309" s="17">
        <f>INDEX(Lists!$L$51:$L$85,MATCH(BD309,Lists!$K$51:$K$85,0))</f>
        <v>9</v>
      </c>
      <c r="BF309" s="17" t="str">
        <f>INDEX(Lists!$S$51:$S$55,2)</f>
        <v>Progression free survival</v>
      </c>
      <c r="BG309" s="17">
        <f>INDEX(Lists!$T$51:$T$55,MATCH(BF309,Lists!$S$51:$S$55,0))</f>
        <v>1</v>
      </c>
      <c r="BH309" s="17">
        <f>VLOOKUP(VLOOKUP(BC309,$F$100:$I$103,2,FALSE),Lists!$K$50:$L$63,2,FALSE)</f>
        <v>10</v>
      </c>
      <c r="BI309" s="17" t="str" cm="1">
        <f t="array" ref="BI309">IF(OR(i_TE_sc_PartSA_5y_IO_TKI_OS=1,i_TE_sc_4and6y_IO_TKI_OS_absSurv=1),BT309,IF(OR(i_TE_sc_10y_all_IO=1,i_TE_sc_5and20y_all_IO=1),BS309,IF(i_no_TE_waning=1,"No",INDEX(J$118:J$180,MATCH(1,($BC309=$B$118:$B$180)*($BD309=$F$118:$F$180),0)))))</f>
        <v>No</v>
      </c>
      <c r="BJ309" s="17" t="str" cm="1">
        <f t="array" ref="BJ309">IF(i_TE_sc_4and6y_IO_TKI_OS_absSurv=1,BQ309,INDEX(K$118:K$180,MATCH(1,($BC309=$B$118:$B$180)*($BD309=$F$118:$F$180),0)))</f>
        <v>ref trt hazard</v>
      </c>
      <c r="BK309" s="17">
        <f t="shared" si="15"/>
        <v>0</v>
      </c>
      <c r="BL309" s="17">
        <f t="shared" si="16"/>
        <v>0</v>
      </c>
      <c r="BN309" s="274" cm="1">
        <f t="array" ref="BN309">INDEX(Q$118:Q$180,MATCH(1,($BC309=$B$118:$B$180)*($BD309=$F$118:$F$180),0))</f>
        <v>0</v>
      </c>
      <c r="BO309" s="274" cm="1">
        <f t="array" ref="BO309">INDEX(R$118:R$180,MATCH(1,($BC309=$B$118:$B$180)*($BD309=$F$118:$F$180),0))</f>
        <v>0</v>
      </c>
      <c r="BQ309" s="6" t="s">
        <v>149</v>
      </c>
      <c r="BS309" s="6" t="str" cm="1">
        <f t="array" ref="BS309">IF(AND(BE309=2,BC309=1,OR(i_TE_sc_10y_all_IO=1,i_TE_sc_5and20y_all_IO=1)),"Yes",IF(i_no_TE_waning=1,"No",INDEX(J$118:J$180,MATCH(1,($BC309=$B$118:$B$180)*($BD309=$F$118:$F$180),0))))</f>
        <v>No</v>
      </c>
      <c r="BT309" s="274" t="str">
        <f t="shared" si="17"/>
        <v>No</v>
      </c>
    </row>
    <row r="310" spans="52:72" x14ac:dyDescent="0.2">
      <c r="AZ310" s="657">
        <v>11</v>
      </c>
      <c r="BA310" s="17"/>
      <c r="BB310" s="17" t="s">
        <v>31</v>
      </c>
      <c r="BC310" s="17">
        <v>4</v>
      </c>
      <c r="BD310" s="17" t="str" cm="1">
        <f t="array" ref="BD310">INDEX(List_comparators,$AZ310)</f>
        <v>everolimus</v>
      </c>
      <c r="BE310" s="17">
        <f>INDEX(Lists!$L$51:$L$85,MATCH(BD310,Lists!$K$51:$K$85,0))</f>
        <v>10</v>
      </c>
      <c r="BF310" s="17" t="str">
        <f>INDEX(Lists!$S$51:$S$55,2)</f>
        <v>Progression free survival</v>
      </c>
      <c r="BG310" s="17">
        <f>INDEX(Lists!$T$51:$T$55,MATCH(BF310,Lists!$S$51:$S$55,0))</f>
        <v>1</v>
      </c>
      <c r="BH310" s="17">
        <f>VLOOKUP(VLOOKUP(BC310,$F$100:$I$103,2,FALSE),Lists!$K$50:$L$63,2,FALSE)</f>
        <v>10</v>
      </c>
      <c r="BI310" s="17" t="str" cm="1">
        <f t="array" ref="BI310">IF(OR(i_TE_sc_PartSA_5y_IO_TKI_OS=1,i_TE_sc_4and6y_IO_TKI_OS_absSurv=1),BT310,IF(OR(i_TE_sc_10y_all_IO=1,i_TE_sc_5and20y_all_IO=1),BS310,IF(i_no_TE_waning=1,"No",INDEX(J$118:J$180,MATCH(1,($BC310=$B$118:$B$180)*($BD310=$F$118:$F$180),0)))))</f>
        <v>No</v>
      </c>
      <c r="BJ310" s="17" t="str" cm="1">
        <f t="array" ref="BJ310">IF(i_TE_sc_4and6y_IO_TKI_OS_absSurv=1,BQ310,INDEX(K$118:K$180,MATCH(1,($BC310=$B$118:$B$180)*($BD310=$F$118:$F$180),0)))</f>
        <v>ref trt hazard</v>
      </c>
      <c r="BK310" s="17">
        <f t="shared" ref="BK310:BK341" si="18">BN310</f>
        <v>0</v>
      </c>
      <c r="BL310" s="17">
        <f t="shared" ref="BL310:BL341" si="19">BO310</f>
        <v>0</v>
      </c>
      <c r="BN310" s="274" cm="1">
        <f t="array" ref="BN310">INDEX(Q$118:Q$180,MATCH(1,($BC310=$B$118:$B$180)*($BD310=$F$118:$F$180),0))</f>
        <v>0</v>
      </c>
      <c r="BO310" s="274" cm="1">
        <f t="array" ref="BO310">INDEX(R$118:R$180,MATCH(1,($BC310=$B$118:$B$180)*($BD310=$F$118:$F$180),0))</f>
        <v>0</v>
      </c>
      <c r="BQ310" s="6" t="s">
        <v>149</v>
      </c>
      <c r="BS310" s="6" t="str" cm="1">
        <f t="array" ref="BS310">IF(AND(BE310=2,BC310=1,OR(i_TE_sc_10y_all_IO=1,i_TE_sc_5and20y_all_IO=1)),"Yes",IF(i_no_TE_waning=1,"No",INDEX(J$118:J$180,MATCH(1,($BC310=$B$118:$B$180)*($BD310=$F$118:$F$180),0))))</f>
        <v>No</v>
      </c>
      <c r="BT310" s="274" t="str">
        <f t="shared" ref="BT310:BT340" si="20">IF(AND(BG310=0,BC310=1,OR(i_TE_sc_PartSA_5y_IO_TKI_OS=1,i_TE_sc_4and6y_IO_TKI_OS_absSurv=1)),"Yes","No")</f>
        <v>No</v>
      </c>
    </row>
    <row r="311" spans="52:72" x14ac:dyDescent="0.2">
      <c r="AZ311" s="657">
        <v>12</v>
      </c>
      <c r="BA311" s="17"/>
      <c r="BB311" s="17" t="s">
        <v>31</v>
      </c>
      <c r="BC311" s="17">
        <v>4</v>
      </c>
      <c r="BD311" s="17" t="str" cm="1">
        <f t="array" ref="BD311">INDEX(List_comparators,$AZ311)</f>
        <v>axitinib</v>
      </c>
      <c r="BE311" s="17">
        <f>INDEX(Lists!$L$51:$L$85,MATCH(BD311,Lists!$K$51:$K$85,0))</f>
        <v>11</v>
      </c>
      <c r="BF311" s="17" t="str">
        <f>INDEX(Lists!$S$51:$S$55,2)</f>
        <v>Progression free survival</v>
      </c>
      <c r="BG311" s="17">
        <f>INDEX(Lists!$T$51:$T$55,MATCH(BF311,Lists!$S$51:$S$55,0))</f>
        <v>1</v>
      </c>
      <c r="BH311" s="17">
        <f>VLOOKUP(VLOOKUP(BC311,$F$100:$I$103,2,FALSE),Lists!$K$50:$L$63,2,FALSE)</f>
        <v>10</v>
      </c>
      <c r="BI311" s="17" t="str" cm="1">
        <f t="array" ref="BI311">IF(OR(i_TE_sc_PartSA_5y_IO_TKI_OS=1,i_TE_sc_4and6y_IO_TKI_OS_absSurv=1),BT311,IF(OR(i_TE_sc_10y_all_IO=1,i_TE_sc_5and20y_all_IO=1),BS311,IF(i_no_TE_waning=1,"No",INDEX(J$118:J$180,MATCH(1,($BC311=$B$118:$B$180)*($BD311=$F$118:$F$180),0)))))</f>
        <v>No</v>
      </c>
      <c r="BJ311" s="17" t="str" cm="1">
        <f t="array" ref="BJ311">IF(i_TE_sc_4and6y_IO_TKI_OS_absSurv=1,BQ311,INDEX(K$118:K$180,MATCH(1,($BC311=$B$118:$B$180)*($BD311=$F$118:$F$180),0)))</f>
        <v>ref trt hazard</v>
      </c>
      <c r="BK311" s="17">
        <f t="shared" si="18"/>
        <v>0</v>
      </c>
      <c r="BL311" s="17">
        <f t="shared" si="19"/>
        <v>0</v>
      </c>
      <c r="BN311" s="274" cm="1">
        <f t="array" ref="BN311">INDEX(Q$118:Q$180,MATCH(1,($BC311=$B$118:$B$180)*($BD311=$F$118:$F$180),0))</f>
        <v>0</v>
      </c>
      <c r="BO311" s="274" cm="1">
        <f t="array" ref="BO311">INDEX(R$118:R$180,MATCH(1,($BC311=$B$118:$B$180)*($BD311=$F$118:$F$180),0))</f>
        <v>0</v>
      </c>
      <c r="BQ311" s="6" t="s">
        <v>149</v>
      </c>
      <c r="BS311" s="6" t="str" cm="1">
        <f t="array" ref="BS311">IF(AND(BE311=2,BC311=1,OR(i_TE_sc_10y_all_IO=1,i_TE_sc_5and20y_all_IO=1)),"Yes",IF(i_no_TE_waning=1,"No",INDEX(J$118:J$180,MATCH(1,($BC311=$B$118:$B$180)*($BD311=$F$118:$F$180),0))))</f>
        <v>No</v>
      </c>
      <c r="BT311" s="274" t="str">
        <f t="shared" si="20"/>
        <v>No</v>
      </c>
    </row>
    <row r="312" spans="52:72" x14ac:dyDescent="0.2">
      <c r="AZ312" s="657">
        <v>13</v>
      </c>
      <c r="BA312" s="17"/>
      <c r="BB312" s="17" t="s">
        <v>31</v>
      </c>
      <c r="BC312" s="17">
        <v>4</v>
      </c>
      <c r="BD312" s="17" t="str" cm="1">
        <f t="array" ref="BD312">INDEX(List_comparators,$AZ312)</f>
        <v>sorafenib</v>
      </c>
      <c r="BE312" s="17">
        <f>INDEX(Lists!$L$51:$L$85,MATCH(BD312,Lists!$K$51:$K$85,0))</f>
        <v>12</v>
      </c>
      <c r="BF312" s="17" t="str">
        <f>INDEX(Lists!$S$51:$S$55,2)</f>
        <v>Progression free survival</v>
      </c>
      <c r="BG312" s="17">
        <f>INDEX(Lists!$T$51:$T$55,MATCH(BF312,Lists!$S$51:$S$55,0))</f>
        <v>1</v>
      </c>
      <c r="BH312" s="17">
        <f>VLOOKUP(VLOOKUP(BC312,$F$100:$I$103,2,FALSE),Lists!$K$50:$L$63,2,FALSE)</f>
        <v>10</v>
      </c>
      <c r="BI312" s="17" t="str" cm="1">
        <f t="array" ref="BI312">IF(OR(i_TE_sc_PartSA_5y_IO_TKI_OS=1,i_TE_sc_4and6y_IO_TKI_OS_absSurv=1),BT312,IF(OR(i_TE_sc_10y_all_IO=1,i_TE_sc_5and20y_all_IO=1),BS312,IF(i_no_TE_waning=1,"No",INDEX(J$118:J$180,MATCH(1,($BC312=$B$118:$B$180)*($BD312=$F$118:$F$180),0)))))</f>
        <v>No</v>
      </c>
      <c r="BJ312" s="17" t="str" cm="1">
        <f t="array" ref="BJ312">IF(i_TE_sc_4and6y_IO_TKI_OS_absSurv=1,BQ312,INDEX(K$118:K$180,MATCH(1,($BC312=$B$118:$B$180)*($BD312=$F$118:$F$180),0)))</f>
        <v>ref trt hazard</v>
      </c>
      <c r="BK312" s="17">
        <f t="shared" si="18"/>
        <v>0</v>
      </c>
      <c r="BL312" s="17">
        <f t="shared" si="19"/>
        <v>0</v>
      </c>
      <c r="BN312" s="274" cm="1">
        <f t="array" ref="BN312">INDEX(Q$118:Q$180,MATCH(1,($BC312=$B$118:$B$180)*($BD312=$F$118:$F$180),0))</f>
        <v>0</v>
      </c>
      <c r="BO312" s="274" cm="1">
        <f t="array" ref="BO312">INDEX(R$118:R$180,MATCH(1,($BC312=$B$118:$B$180)*($BD312=$F$118:$F$180),0))</f>
        <v>0</v>
      </c>
      <c r="BQ312" s="6" t="s">
        <v>149</v>
      </c>
      <c r="BS312" s="6" t="str" cm="1">
        <f t="array" ref="BS312">IF(AND(BE312=2,BC312=1,OR(i_TE_sc_10y_all_IO=1,i_TE_sc_5and20y_all_IO=1)),"Yes",IF(i_no_TE_waning=1,"No",INDEX(J$118:J$180,MATCH(1,($BC312=$B$118:$B$180)*($BD312=$F$118:$F$180),0))))</f>
        <v>No</v>
      </c>
      <c r="BT312" s="274" t="str">
        <f t="shared" si="20"/>
        <v>No</v>
      </c>
    </row>
    <row r="313" spans="52:72" x14ac:dyDescent="0.2">
      <c r="AZ313" s="657">
        <v>14</v>
      </c>
      <c r="BA313" s="17"/>
      <c r="BB313" s="17" t="s">
        <v>31</v>
      </c>
      <c r="BC313" s="17">
        <v>4</v>
      </c>
      <c r="BD313" s="17" t="str" cm="1">
        <f t="array" ref="BD313">INDEX(List_comparators,$AZ313)</f>
        <v>placebo_BSC</v>
      </c>
      <c r="BE313" s="17">
        <f>INDEX(Lists!$L$51:$L$85,MATCH(BD313,Lists!$K$51:$K$85,0))</f>
        <v>999</v>
      </c>
      <c r="BF313" s="17" t="str">
        <f>INDEX(Lists!$S$51:$S$55,2)</f>
        <v>Progression free survival</v>
      </c>
      <c r="BG313" s="17">
        <f>INDEX(Lists!$T$51:$T$55,MATCH(BF313,Lists!$S$51:$S$55,0))</f>
        <v>1</v>
      </c>
      <c r="BH313" s="17">
        <f>VLOOKUP(VLOOKUP(BC313,$F$100:$I$103,2,FALSE),Lists!$K$50:$L$63,2,FALSE)</f>
        <v>10</v>
      </c>
      <c r="BI313" s="17" t="str" cm="1">
        <f t="array" ref="BI313">IF(OR(i_TE_sc_PartSA_5y_IO_TKI_OS=1,i_TE_sc_4and6y_IO_TKI_OS_absSurv=1),BT313,IF(OR(i_TE_sc_10y_all_IO=1,i_TE_sc_5and20y_all_IO=1),BS313,IF(i_no_TE_waning=1,"No",INDEX(J$118:J$180,MATCH(1,($BC313=$B$118:$B$180)*($BD313=$F$118:$F$180),0)))))</f>
        <v>No</v>
      </c>
      <c r="BJ313" s="17" cm="1">
        <f t="array" ref="BJ313">IF(i_TE_sc_4and6y_IO_TKI_OS_absSurv=1,BQ313,INDEX(K$118:K$180,MATCH(1,($BC313=$B$118:$B$180)*($BD313=$F$118:$F$180),0)))</f>
        <v>0</v>
      </c>
      <c r="BK313" s="17">
        <f t="shared" si="18"/>
        <v>0</v>
      </c>
      <c r="BL313" s="17">
        <f t="shared" si="19"/>
        <v>0</v>
      </c>
      <c r="BN313" s="274" cm="1">
        <f t="array" ref="BN313">INDEX(Q$118:Q$180,MATCH(1,($BC313=$B$118:$B$180)*($BD313=$F$118:$F$180),0))</f>
        <v>0</v>
      </c>
      <c r="BO313" s="274" cm="1">
        <f t="array" ref="BO313">INDEX(R$118:R$180,MATCH(1,($BC313=$B$118:$B$180)*($BD313=$F$118:$F$180),0))</f>
        <v>0</v>
      </c>
      <c r="BS313" s="6" t="str" cm="1">
        <f t="array" ref="BS313">IF(AND(BE313=2,BC313=1,OR(i_TE_sc_10y_all_IO=1,i_TE_sc_5and20y_all_IO=1)),"Yes",IF(i_no_TE_waning=1,"No",INDEX(J$118:J$180,MATCH(1,($BC313=$B$118:$B$180)*($BD313=$F$118:$F$180),0))))</f>
        <v>No</v>
      </c>
      <c r="BT313" s="274" t="str">
        <f t="shared" si="20"/>
        <v>No</v>
      </c>
    </row>
    <row r="314" spans="52:72" x14ac:dyDescent="0.2">
      <c r="AZ314" s="657">
        <v>1</v>
      </c>
      <c r="BA314" s="17"/>
      <c r="BB314" s="17" t="s">
        <v>31</v>
      </c>
      <c r="BC314" s="17">
        <v>4</v>
      </c>
      <c r="BD314" s="17" t="str" cm="1">
        <f t="array" ref="BD314">INDEX(List_comparators,$AZ314)</f>
        <v>nivolumab_monotherapy</v>
      </c>
      <c r="BE314" s="17">
        <f>INDEX(Lists!$L$51:$L$85,MATCH(BD314,Lists!$K$51:$K$85,0))</f>
        <v>0</v>
      </c>
      <c r="BF314" s="17" t="str">
        <f>INDEX(Lists!$S$51:$S$55,3)</f>
        <v>Time to treatment discontinuation</v>
      </c>
      <c r="BG314" s="17">
        <f>INDEX(Lists!$T$51:$T$55,MATCH(BF314,Lists!$S$51:$S$55,0))</f>
        <v>2</v>
      </c>
      <c r="BH314" s="17">
        <f>VLOOKUP(VLOOKUP(BC314,$F$100:$I$103,2,FALSE),Lists!$K$50:$L$63,2,FALSE)</f>
        <v>10</v>
      </c>
      <c r="BI314" s="17" t="str" cm="1">
        <f t="array" ref="BI314">IF(OR(i_TE_sc_PartSA_5y_IO_TKI_OS=1,i_TE_sc_4and6y_IO_TKI_OS_absSurv=1),BT314,IF(OR(i_TE_sc_10y_all_IO=1,i_TE_sc_5and20y_all_IO=1),BS314,IF(i_no_TE_waning=1,"No",INDEX(J$118:J$180,MATCH(1,($BC314=$B$118:$B$180)*($BD314=$F$118:$F$180),0)))))</f>
        <v>No</v>
      </c>
      <c r="BJ314" s="17" t="str" cm="1">
        <f t="array" ref="BJ314">IF(i_TE_sc_4and6y_IO_TKI_OS_absSurv=1,BQ314,INDEX(K$118:K$180,MATCH(1,($BC314=$B$118:$B$180)*($BD314=$F$118:$F$180),0)))</f>
        <v>ref trt hazard</v>
      </c>
      <c r="BK314" s="17">
        <f t="shared" si="18"/>
        <v>0</v>
      </c>
      <c r="BL314" s="17">
        <f t="shared" si="19"/>
        <v>0</v>
      </c>
      <c r="BN314" s="274" cm="1">
        <f t="array" ref="BN314">INDEX(V$118:V$180,MATCH(1,($BC314=$B$118:$B$180)*($BD314=$F$118:$F$180),0))</f>
        <v>0</v>
      </c>
      <c r="BO314" s="274" cm="1">
        <f t="array" ref="BO314">INDEX(W$118:W$180,MATCH(1,($BC314=$B$118:$B$180)*($BD314=$F$118:$F$180),0))</f>
        <v>0</v>
      </c>
      <c r="BQ314" s="6" t="s">
        <v>149</v>
      </c>
      <c r="BS314" s="6" t="str" cm="1">
        <f t="array" ref="BS314">IF(AND(BE314=2,BC314=1,OR(i_TE_sc_10y_all_IO=1,i_TE_sc_5and20y_all_IO=1)),"Yes",IF(i_no_TE_waning=1,"No",INDEX(J$118:J$180,MATCH(1,($BC314=$B$118:$B$180)*($BD314=$F$118:$F$180),0))))</f>
        <v>No</v>
      </c>
      <c r="BT314" s="274" t="str">
        <f t="shared" si="20"/>
        <v>No</v>
      </c>
    </row>
    <row r="315" spans="52:72" x14ac:dyDescent="0.2">
      <c r="AZ315" s="657">
        <v>2</v>
      </c>
      <c r="BA315" s="17"/>
      <c r="BB315" s="17" t="s">
        <v>31</v>
      </c>
      <c r="BC315" s="17">
        <v>4</v>
      </c>
      <c r="BD315" s="17" t="str" cm="1">
        <f t="array" ref="BD315">INDEX(List_comparators,$AZ315)</f>
        <v>cabozantinib_plus_nivolumab</v>
      </c>
      <c r="BE315" s="17">
        <f>INDEX(Lists!$L$51:$L$85,MATCH(BD315,Lists!$K$51:$K$85,0))</f>
        <v>1</v>
      </c>
      <c r="BF315" s="17" t="str">
        <f>INDEX(Lists!$S$51:$S$55,3)</f>
        <v>Time to treatment discontinuation</v>
      </c>
      <c r="BG315" s="17">
        <f>INDEX(Lists!$T$51:$T$55,MATCH(BF315,Lists!$S$51:$S$55,0))</f>
        <v>2</v>
      </c>
      <c r="BH315" s="17">
        <f>VLOOKUP(VLOOKUP(BC315,$F$100:$I$103,2,FALSE),Lists!$K$50:$L$63,2,FALSE)</f>
        <v>10</v>
      </c>
      <c r="BI315" s="17" t="str" cm="1">
        <f t="array" ref="BI315">IF(OR(i_TE_sc_PartSA_5y_IO_TKI_OS=1,i_TE_sc_4and6y_IO_TKI_OS_absSurv=1),BT315,IF(OR(i_TE_sc_10y_all_IO=1,i_TE_sc_5and20y_all_IO=1),BS315,IF(i_no_TE_waning=1,"No",INDEX(J$118:J$180,MATCH(1,($BC315=$B$118:$B$180)*($BD315=$F$118:$F$180),0)))))</f>
        <v>No</v>
      </c>
      <c r="BJ315" s="17" t="str" cm="1">
        <f t="array" ref="BJ315">IF(i_TE_sc_4and6y_IO_TKI_OS_absSurv=1,BQ315,INDEX(K$118:K$180,MATCH(1,($BC315=$B$118:$B$180)*($BD315=$F$118:$F$180),0)))</f>
        <v>ref trt hazard</v>
      </c>
      <c r="BK315" s="17">
        <f t="shared" si="18"/>
        <v>0</v>
      </c>
      <c r="BL315" s="17">
        <f t="shared" si="19"/>
        <v>0</v>
      </c>
      <c r="BN315" s="274" cm="1">
        <f t="array" ref="BN315">INDEX(V$118:V$180,MATCH(1,($BC315=$B$118:$B$180)*($BD315=$F$118:$F$180),0))</f>
        <v>0</v>
      </c>
      <c r="BO315" s="274" cm="1">
        <f t="array" ref="BO315">INDEX(W$118:W$180,MATCH(1,($BC315=$B$118:$B$180)*($BD315=$F$118:$F$180),0))</f>
        <v>0</v>
      </c>
      <c r="BQ315" s="6" t="s">
        <v>149</v>
      </c>
      <c r="BS315" s="6" t="str" cm="1">
        <f t="array" ref="BS315">IF(AND(BE315=2,BC315=1,OR(i_TE_sc_10y_all_IO=1,i_TE_sc_5and20y_all_IO=1)),"Yes",IF(i_no_TE_waning=1,"No",INDEX(J$118:J$180,MATCH(1,($BC315=$B$118:$B$180)*($BD315=$F$118:$F$180),0))))</f>
        <v>No</v>
      </c>
      <c r="BT315" s="274" t="str">
        <f t="shared" si="20"/>
        <v>No</v>
      </c>
    </row>
    <row r="316" spans="52:72" x14ac:dyDescent="0.2">
      <c r="AZ316" s="657">
        <v>3</v>
      </c>
      <c r="BA316" s="17"/>
      <c r="BB316" s="17" t="s">
        <v>31</v>
      </c>
      <c r="BC316" s="17">
        <v>4</v>
      </c>
      <c r="BD316" s="17" t="str" cm="1">
        <f t="array" ref="BD316">INDEX(List_comparators,$AZ316)</f>
        <v>nivolumab_plus_ipilimumab</v>
      </c>
      <c r="BE316" s="17">
        <f>INDEX(Lists!$L$51:$L$85,MATCH(BD316,Lists!$K$51:$K$85,0))</f>
        <v>2</v>
      </c>
      <c r="BF316" s="17" t="str">
        <f>INDEX(Lists!$S$51:$S$55,3)</f>
        <v>Time to treatment discontinuation</v>
      </c>
      <c r="BG316" s="17">
        <f>INDEX(Lists!$T$51:$T$55,MATCH(BF316,Lists!$S$51:$S$55,0))</f>
        <v>2</v>
      </c>
      <c r="BH316" s="17">
        <f>VLOOKUP(VLOOKUP(BC316,$F$100:$I$103,2,FALSE),Lists!$K$50:$L$63,2,FALSE)</f>
        <v>10</v>
      </c>
      <c r="BI316" s="17" t="str" cm="1">
        <f t="array" ref="BI316">IF(OR(i_TE_sc_PartSA_5y_IO_TKI_OS=1,i_TE_sc_4and6y_IO_TKI_OS_absSurv=1),BT316,IF(OR(i_TE_sc_10y_all_IO=1,i_TE_sc_5and20y_all_IO=1),BS316,IF(i_no_TE_waning=1,"No",INDEX(J$118:J$180,MATCH(1,($BC316=$B$118:$B$180)*($BD316=$F$118:$F$180),0)))))</f>
        <v>No</v>
      </c>
      <c r="BJ316" s="17" t="str" cm="1">
        <f t="array" ref="BJ316">IF(i_TE_sc_4and6y_IO_TKI_OS_absSurv=1,BQ316,INDEX(K$118:K$180,MATCH(1,($BC316=$B$118:$B$180)*($BD316=$F$118:$F$180),0)))</f>
        <v>ref trt hazard</v>
      </c>
      <c r="BK316" s="17">
        <f t="shared" si="18"/>
        <v>0</v>
      </c>
      <c r="BL316" s="17">
        <f t="shared" si="19"/>
        <v>0</v>
      </c>
      <c r="BN316" s="274" cm="1">
        <f t="array" ref="BN316">INDEX(V$118:V$180,MATCH(1,($BC316=$B$118:$B$180)*($BD316=$F$118:$F$180),0))</f>
        <v>0</v>
      </c>
      <c r="BO316" s="274" cm="1">
        <f t="array" ref="BO316">INDEX(W$118:W$180,MATCH(1,($BC316=$B$118:$B$180)*($BD316=$F$118:$F$180),0))</f>
        <v>0</v>
      </c>
      <c r="BQ316" s="6" t="s">
        <v>149</v>
      </c>
      <c r="BS316" s="6" t="str" cm="1">
        <f t="array" ref="BS316">IF(AND(BE316=2,BC316=1,OR(i_TE_sc_10y_all_IO=1,i_TE_sc_5and20y_all_IO=1)),"Yes",IF(i_no_TE_waning=1,"No",INDEX(J$118:J$180,MATCH(1,($BC316=$B$118:$B$180)*($BD316=$F$118:$F$180),0))))</f>
        <v>No</v>
      </c>
      <c r="BT316" s="274" t="str">
        <f t="shared" si="20"/>
        <v>No</v>
      </c>
    </row>
    <row r="317" spans="52:72" x14ac:dyDescent="0.2">
      <c r="AZ317" s="657">
        <v>4</v>
      </c>
      <c r="BA317" s="17"/>
      <c r="BB317" s="17" t="s">
        <v>31</v>
      </c>
      <c r="BC317" s="17">
        <v>4</v>
      </c>
      <c r="BD317" s="17" t="str" cm="1">
        <f t="array" ref="BD317">INDEX(List_comparators,$AZ317)</f>
        <v>lenvatinib_plus_pembrolizumab</v>
      </c>
      <c r="BE317" s="17">
        <f>INDEX(Lists!$L$51:$L$85,MATCH(BD317,Lists!$K$51:$K$85,0))</f>
        <v>3</v>
      </c>
      <c r="BF317" s="17" t="str">
        <f>INDEX(Lists!$S$51:$S$55,3)</f>
        <v>Time to treatment discontinuation</v>
      </c>
      <c r="BG317" s="17">
        <f>INDEX(Lists!$T$51:$T$55,MATCH(BF317,Lists!$S$51:$S$55,0))</f>
        <v>2</v>
      </c>
      <c r="BH317" s="17">
        <f>VLOOKUP(VLOOKUP(BC317,$F$100:$I$103,2,FALSE),Lists!$K$50:$L$63,2,FALSE)</f>
        <v>10</v>
      </c>
      <c r="BI317" s="17" t="str" cm="1">
        <f t="array" ref="BI317">IF(OR(i_TE_sc_PartSA_5y_IO_TKI_OS=1,i_TE_sc_4and6y_IO_TKI_OS_absSurv=1),BT317,IF(OR(i_TE_sc_10y_all_IO=1,i_TE_sc_5and20y_all_IO=1),BS317,IF(i_no_TE_waning=1,"No",INDEX(J$118:J$180,MATCH(1,($BC317=$B$118:$B$180)*($BD317=$F$118:$F$180),0)))))</f>
        <v>No</v>
      </c>
      <c r="BJ317" s="17" t="str" cm="1">
        <f t="array" ref="BJ317">IF(i_TE_sc_4and6y_IO_TKI_OS_absSurv=1,BQ317,INDEX(K$118:K$180,MATCH(1,($BC317=$B$118:$B$180)*($BD317=$F$118:$F$180),0)))</f>
        <v>ref trt hazard</v>
      </c>
      <c r="BK317" s="17">
        <f t="shared" si="18"/>
        <v>0</v>
      </c>
      <c r="BL317" s="17">
        <f t="shared" si="19"/>
        <v>0</v>
      </c>
      <c r="BN317" s="274" cm="1">
        <f t="array" ref="BN317">INDEX(V$118:V$180,MATCH(1,($BC317=$B$118:$B$180)*($BD317=$F$118:$F$180),0))</f>
        <v>0</v>
      </c>
      <c r="BO317" s="274" cm="1">
        <f t="array" ref="BO317">INDEX(W$118:W$180,MATCH(1,($BC317=$B$118:$B$180)*($BD317=$F$118:$F$180),0))</f>
        <v>0</v>
      </c>
      <c r="BQ317" s="6" t="s">
        <v>149</v>
      </c>
      <c r="BS317" s="6" t="str" cm="1">
        <f t="array" ref="BS317">IF(AND(BE317=2,BC317=1,OR(i_TE_sc_10y_all_IO=1,i_TE_sc_5and20y_all_IO=1)),"Yes",IF(i_no_TE_waning=1,"No",INDEX(J$118:J$180,MATCH(1,($BC317=$B$118:$B$180)*($BD317=$F$118:$F$180),0))))</f>
        <v>No</v>
      </c>
      <c r="BT317" s="274" t="str">
        <f t="shared" si="20"/>
        <v>No</v>
      </c>
    </row>
    <row r="318" spans="52:72" x14ac:dyDescent="0.2">
      <c r="AZ318" s="657">
        <v>5</v>
      </c>
      <c r="BA318" s="17"/>
      <c r="BB318" s="17" t="s">
        <v>31</v>
      </c>
      <c r="BC318" s="17">
        <v>4</v>
      </c>
      <c r="BD318" s="17" t="str" cm="1">
        <f t="array" ref="BD318">INDEX(List_comparators,$AZ318)</f>
        <v>avelumab_plus_axitinib</v>
      </c>
      <c r="BE318" s="17">
        <f>INDEX(Lists!$L$51:$L$85,MATCH(BD318,Lists!$K$51:$K$85,0))</f>
        <v>4</v>
      </c>
      <c r="BF318" s="17" t="str">
        <f>INDEX(Lists!$S$51:$S$55,3)</f>
        <v>Time to treatment discontinuation</v>
      </c>
      <c r="BG318" s="17">
        <f>INDEX(Lists!$T$51:$T$55,MATCH(BF318,Lists!$S$51:$S$55,0))</f>
        <v>2</v>
      </c>
      <c r="BH318" s="17">
        <f>VLOOKUP(VLOOKUP(BC318,$F$100:$I$103,2,FALSE),Lists!$K$50:$L$63,2,FALSE)</f>
        <v>10</v>
      </c>
      <c r="BI318" s="17" t="str" cm="1">
        <f t="array" ref="BI318">IF(OR(i_TE_sc_PartSA_5y_IO_TKI_OS=1,i_TE_sc_4and6y_IO_TKI_OS_absSurv=1),BT318,IF(OR(i_TE_sc_10y_all_IO=1,i_TE_sc_5and20y_all_IO=1),BS318,IF(i_no_TE_waning=1,"No",INDEX(J$118:J$180,MATCH(1,($BC318=$B$118:$B$180)*($BD318=$F$118:$F$180),0)))))</f>
        <v>No</v>
      </c>
      <c r="BJ318" s="17" t="str" cm="1">
        <f t="array" ref="BJ318">IF(i_TE_sc_4and6y_IO_TKI_OS_absSurv=1,BQ318,INDEX(K$118:K$180,MATCH(1,($BC318=$B$118:$B$180)*($BD318=$F$118:$F$180),0)))</f>
        <v>ref trt hazard</v>
      </c>
      <c r="BK318" s="17">
        <f t="shared" si="18"/>
        <v>0</v>
      </c>
      <c r="BL318" s="17">
        <f t="shared" si="19"/>
        <v>0</v>
      </c>
      <c r="BN318" s="274" cm="1">
        <f t="array" ref="BN318">INDEX(V$118:V$180,MATCH(1,($BC318=$B$118:$B$180)*($BD318=$F$118:$F$180),0))</f>
        <v>0</v>
      </c>
      <c r="BO318" s="274" cm="1">
        <f t="array" ref="BO318">INDEX(W$118:W$180,MATCH(1,($BC318=$B$118:$B$180)*($BD318=$F$118:$F$180),0))</f>
        <v>0</v>
      </c>
      <c r="BQ318" s="6" t="s">
        <v>149</v>
      </c>
      <c r="BS318" s="6" t="str" cm="1">
        <f t="array" ref="BS318">IF(AND(BE318=2,BC318=1,OR(i_TE_sc_10y_all_IO=1,i_TE_sc_5and20y_all_IO=1)),"Yes",IF(i_no_TE_waning=1,"No",INDEX(J$118:J$180,MATCH(1,($BC318=$B$118:$B$180)*($BD318=$F$118:$F$180),0))))</f>
        <v>No</v>
      </c>
      <c r="BT318" s="274" t="str">
        <f t="shared" si="20"/>
        <v>No</v>
      </c>
    </row>
    <row r="319" spans="52:72" x14ac:dyDescent="0.2">
      <c r="AZ319" s="657">
        <v>6</v>
      </c>
      <c r="BA319" s="17"/>
      <c r="BB319" s="17" t="s">
        <v>31</v>
      </c>
      <c r="BC319" s="17">
        <v>4</v>
      </c>
      <c r="BD319" s="17" t="str" cm="1">
        <f t="array" ref="BD319">INDEX(List_comparators,$AZ319)</f>
        <v>pazopanib</v>
      </c>
      <c r="BE319" s="17">
        <f>INDEX(Lists!$L$51:$L$85,MATCH(BD319,Lists!$K$51:$K$85,0))</f>
        <v>5</v>
      </c>
      <c r="BF319" s="17" t="str">
        <f>INDEX(Lists!$S$51:$S$55,3)</f>
        <v>Time to treatment discontinuation</v>
      </c>
      <c r="BG319" s="17">
        <f>INDEX(Lists!$T$51:$T$55,MATCH(BF319,Lists!$S$51:$S$55,0))</f>
        <v>2</v>
      </c>
      <c r="BH319" s="17">
        <f>VLOOKUP(VLOOKUP(BC319,$F$100:$I$103,2,FALSE),Lists!$K$50:$L$63,2,FALSE)</f>
        <v>10</v>
      </c>
      <c r="BI319" s="17" t="str" cm="1">
        <f t="array" ref="BI319">IF(OR(i_TE_sc_PartSA_5y_IO_TKI_OS=1,i_TE_sc_4and6y_IO_TKI_OS_absSurv=1),BT319,IF(OR(i_TE_sc_10y_all_IO=1,i_TE_sc_5and20y_all_IO=1),BS319,IF(i_no_TE_waning=1,"No",INDEX(J$118:J$180,MATCH(1,($BC319=$B$118:$B$180)*($BD319=$F$118:$F$180),0)))))</f>
        <v>No</v>
      </c>
      <c r="BJ319" s="17" t="str" cm="1">
        <f t="array" ref="BJ319">IF(i_TE_sc_4and6y_IO_TKI_OS_absSurv=1,BQ319,INDEX(K$118:K$180,MATCH(1,($BC319=$B$118:$B$180)*($BD319=$F$118:$F$180),0)))</f>
        <v>ref trt hazard</v>
      </c>
      <c r="BK319" s="17">
        <f t="shared" si="18"/>
        <v>0</v>
      </c>
      <c r="BL319" s="17">
        <f t="shared" si="19"/>
        <v>0</v>
      </c>
      <c r="BN319" s="274" cm="1">
        <f t="array" ref="BN319">INDEX(V$118:V$180,MATCH(1,($BC319=$B$118:$B$180)*($BD319=$F$118:$F$180),0))</f>
        <v>0</v>
      </c>
      <c r="BO319" s="274" cm="1">
        <f t="array" ref="BO319">INDEX(W$118:W$180,MATCH(1,($BC319=$B$118:$B$180)*($BD319=$F$118:$F$180),0))</f>
        <v>0</v>
      </c>
      <c r="BQ319" s="6" t="s">
        <v>149</v>
      </c>
      <c r="BS319" s="6" t="str" cm="1">
        <f t="array" ref="BS319">IF(AND(BE319=2,BC319=1,OR(i_TE_sc_10y_all_IO=1,i_TE_sc_5and20y_all_IO=1)),"Yes",IF(i_no_TE_waning=1,"No",INDEX(J$118:J$180,MATCH(1,($BC319=$B$118:$B$180)*($BD319=$F$118:$F$180),0))))</f>
        <v>No</v>
      </c>
      <c r="BT319" s="274" t="str">
        <f t="shared" si="20"/>
        <v>No</v>
      </c>
    </row>
    <row r="320" spans="52:72" x14ac:dyDescent="0.2">
      <c r="AZ320" s="657">
        <v>7</v>
      </c>
      <c r="BA320" s="17"/>
      <c r="BB320" s="17" t="s">
        <v>31</v>
      </c>
      <c r="BC320" s="17">
        <v>4</v>
      </c>
      <c r="BD320" s="17" t="str" cm="1">
        <f t="array" ref="BD320">INDEX(List_comparators,$AZ320)</f>
        <v>tivozanib</v>
      </c>
      <c r="BE320" s="17">
        <f>INDEX(Lists!$L$51:$L$85,MATCH(BD320,Lists!$K$51:$K$85,0))</f>
        <v>6</v>
      </c>
      <c r="BF320" s="17" t="str">
        <f>INDEX(Lists!$S$51:$S$55,3)</f>
        <v>Time to treatment discontinuation</v>
      </c>
      <c r="BG320" s="17">
        <f>INDEX(Lists!$T$51:$T$55,MATCH(BF320,Lists!$S$51:$S$55,0))</f>
        <v>2</v>
      </c>
      <c r="BH320" s="17">
        <f>VLOOKUP(VLOOKUP(BC320,$F$100:$I$103,2,FALSE),Lists!$K$50:$L$63,2,FALSE)</f>
        <v>10</v>
      </c>
      <c r="BI320" s="17" t="str" cm="1">
        <f t="array" ref="BI320">IF(OR(i_TE_sc_PartSA_5y_IO_TKI_OS=1,i_TE_sc_4and6y_IO_TKI_OS_absSurv=1),BT320,IF(OR(i_TE_sc_10y_all_IO=1,i_TE_sc_5and20y_all_IO=1),BS320,IF(i_no_TE_waning=1,"No",INDEX(J$118:J$180,MATCH(1,($BC320=$B$118:$B$180)*($BD320=$F$118:$F$180),0)))))</f>
        <v>No</v>
      </c>
      <c r="BJ320" s="17" t="str" cm="1">
        <f t="array" ref="BJ320">IF(i_TE_sc_4and6y_IO_TKI_OS_absSurv=1,BQ320,INDEX(K$118:K$180,MATCH(1,($BC320=$B$118:$B$180)*($BD320=$F$118:$F$180),0)))</f>
        <v>ref trt hazard</v>
      </c>
      <c r="BK320" s="17">
        <f t="shared" si="18"/>
        <v>0</v>
      </c>
      <c r="BL320" s="17">
        <f t="shared" si="19"/>
        <v>0</v>
      </c>
      <c r="BN320" s="274" cm="1">
        <f t="array" ref="BN320">INDEX(V$118:V$180,MATCH(1,($BC320=$B$118:$B$180)*($BD320=$F$118:$F$180),0))</f>
        <v>0</v>
      </c>
      <c r="BO320" s="274" cm="1">
        <f t="array" ref="BO320">INDEX(W$118:W$180,MATCH(1,($BC320=$B$118:$B$180)*($BD320=$F$118:$F$180),0))</f>
        <v>0</v>
      </c>
      <c r="BQ320" s="6" t="s">
        <v>149</v>
      </c>
      <c r="BS320" s="6" t="str" cm="1">
        <f t="array" ref="BS320">IF(AND(BE320=2,BC320=1,OR(i_TE_sc_10y_all_IO=1,i_TE_sc_5and20y_all_IO=1)),"Yes",IF(i_no_TE_waning=1,"No",INDEX(J$118:J$180,MATCH(1,($BC320=$B$118:$B$180)*($BD320=$F$118:$F$180),0))))</f>
        <v>No</v>
      </c>
      <c r="BT320" s="274" t="str">
        <f t="shared" si="20"/>
        <v>No</v>
      </c>
    </row>
    <row r="321" spans="52:72" x14ac:dyDescent="0.2">
      <c r="AZ321" s="657">
        <v>8</v>
      </c>
      <c r="BA321" s="17"/>
      <c r="BB321" s="17" t="s">
        <v>31</v>
      </c>
      <c r="BC321" s="17">
        <v>4</v>
      </c>
      <c r="BD321" s="17" t="str" cm="1">
        <f t="array" ref="BD321">INDEX(List_comparators,$AZ321)</f>
        <v>sunitinib</v>
      </c>
      <c r="BE321" s="17">
        <f>INDEX(Lists!$L$51:$L$85,MATCH(BD321,Lists!$K$51:$K$85,0))</f>
        <v>7</v>
      </c>
      <c r="BF321" s="17" t="str">
        <f>INDEX(Lists!$S$51:$S$55,3)</f>
        <v>Time to treatment discontinuation</v>
      </c>
      <c r="BG321" s="17">
        <f>INDEX(Lists!$T$51:$T$55,MATCH(BF321,Lists!$S$51:$S$55,0))</f>
        <v>2</v>
      </c>
      <c r="BH321" s="17">
        <f>VLOOKUP(VLOOKUP(BC321,$F$100:$I$103,2,FALSE),Lists!$K$50:$L$63,2,FALSE)</f>
        <v>10</v>
      </c>
      <c r="BI321" s="17" t="str" cm="1">
        <f t="array" ref="BI321">IF(OR(i_TE_sc_PartSA_5y_IO_TKI_OS=1,i_TE_sc_4and6y_IO_TKI_OS_absSurv=1),BT321,IF(OR(i_TE_sc_10y_all_IO=1,i_TE_sc_5and20y_all_IO=1),BS321,IF(i_no_TE_waning=1,"No",INDEX(J$118:J$180,MATCH(1,($BC321=$B$118:$B$180)*($BD321=$F$118:$F$180),0)))))</f>
        <v>No</v>
      </c>
      <c r="BJ321" s="17" t="str" cm="1">
        <f t="array" ref="BJ321">IF(i_TE_sc_4and6y_IO_TKI_OS_absSurv=1,BQ321,INDEX(K$118:K$180,MATCH(1,($BC321=$B$118:$B$180)*($BD321=$F$118:$F$180),0)))</f>
        <v>ref trt hazard</v>
      </c>
      <c r="BK321" s="17">
        <f t="shared" si="18"/>
        <v>0</v>
      </c>
      <c r="BL321" s="17">
        <f t="shared" si="19"/>
        <v>0</v>
      </c>
      <c r="BN321" s="274" cm="1">
        <f t="array" ref="BN321">INDEX(V$118:V$180,MATCH(1,($BC321=$B$118:$B$180)*($BD321=$F$118:$F$180),0))</f>
        <v>0</v>
      </c>
      <c r="BO321" s="274" cm="1">
        <f t="array" ref="BO321">INDEX(W$118:W$180,MATCH(1,($BC321=$B$118:$B$180)*($BD321=$F$118:$F$180),0))</f>
        <v>0</v>
      </c>
      <c r="BQ321" s="6" t="s">
        <v>149</v>
      </c>
      <c r="BS321" s="6" t="str" cm="1">
        <f t="array" ref="BS321">IF(AND(BE321=2,BC321=1,OR(i_TE_sc_10y_all_IO=1,i_TE_sc_5and20y_all_IO=1)),"Yes",IF(i_no_TE_waning=1,"No",INDEX(J$118:J$180,MATCH(1,($BC321=$B$118:$B$180)*($BD321=$F$118:$F$180),0))))</f>
        <v>No</v>
      </c>
      <c r="BT321" s="274" t="str">
        <f t="shared" si="20"/>
        <v>No</v>
      </c>
    </row>
    <row r="322" spans="52:72" x14ac:dyDescent="0.2">
      <c r="AZ322" s="657">
        <v>9</v>
      </c>
      <c r="BA322" s="17"/>
      <c r="BB322" s="17" t="s">
        <v>31</v>
      </c>
      <c r="BC322" s="17">
        <v>4</v>
      </c>
      <c r="BD322" s="17" t="str" cm="1">
        <f t="array" ref="BD322">INDEX(List_comparators,$AZ322)</f>
        <v>cabozantinib</v>
      </c>
      <c r="BE322" s="17">
        <f>INDEX(Lists!$L$51:$L$85,MATCH(BD322,Lists!$K$51:$K$85,0))</f>
        <v>8</v>
      </c>
      <c r="BF322" s="17" t="str">
        <f>INDEX(Lists!$S$51:$S$55,3)</f>
        <v>Time to treatment discontinuation</v>
      </c>
      <c r="BG322" s="17">
        <f>INDEX(Lists!$T$51:$T$55,MATCH(BF322,Lists!$S$51:$S$55,0))</f>
        <v>2</v>
      </c>
      <c r="BH322" s="17">
        <f>VLOOKUP(VLOOKUP(BC322,$F$100:$I$103,2,FALSE),Lists!$K$50:$L$63,2,FALSE)</f>
        <v>10</v>
      </c>
      <c r="BI322" s="17" t="str" cm="1">
        <f t="array" ref="BI322">IF(OR(i_TE_sc_PartSA_5y_IO_TKI_OS=1,i_TE_sc_4and6y_IO_TKI_OS_absSurv=1),BT322,IF(OR(i_TE_sc_10y_all_IO=1,i_TE_sc_5and20y_all_IO=1),BS322,IF(i_no_TE_waning=1,"No",INDEX(J$118:J$180,MATCH(1,($BC322=$B$118:$B$180)*($BD322=$F$118:$F$180),0)))))</f>
        <v>No</v>
      </c>
      <c r="BJ322" s="17" t="str" cm="1">
        <f t="array" ref="BJ322">IF(i_TE_sc_4and6y_IO_TKI_OS_absSurv=1,BQ322,INDEX(K$118:K$180,MATCH(1,($BC322=$B$118:$B$180)*($BD322=$F$118:$F$180),0)))</f>
        <v>ref trt hazard</v>
      </c>
      <c r="BK322" s="17">
        <f t="shared" si="18"/>
        <v>0</v>
      </c>
      <c r="BL322" s="17">
        <f t="shared" si="19"/>
        <v>0</v>
      </c>
      <c r="BN322" s="274" cm="1">
        <f t="array" ref="BN322">INDEX(V$118:V$180,MATCH(1,($BC322=$B$118:$B$180)*($BD322=$F$118:$F$180),0))</f>
        <v>0</v>
      </c>
      <c r="BO322" s="274" cm="1">
        <f t="array" ref="BO322">INDEX(W$118:W$180,MATCH(1,($BC322=$B$118:$B$180)*($BD322=$F$118:$F$180),0))</f>
        <v>0</v>
      </c>
      <c r="BQ322" s="6" t="s">
        <v>149</v>
      </c>
      <c r="BS322" s="6" t="str" cm="1">
        <f t="array" ref="BS322">IF(AND(BE322=2,BC322=1,OR(i_TE_sc_10y_all_IO=1,i_TE_sc_5and20y_all_IO=1)),"Yes",IF(i_no_TE_waning=1,"No",INDEX(J$118:J$180,MATCH(1,($BC322=$B$118:$B$180)*($BD322=$F$118:$F$180),0))))</f>
        <v>No</v>
      </c>
      <c r="BT322" s="274" t="str">
        <f t="shared" si="20"/>
        <v>No</v>
      </c>
    </row>
    <row r="323" spans="52:72" x14ac:dyDescent="0.2">
      <c r="AZ323" s="657">
        <v>10</v>
      </c>
      <c r="BA323" s="17"/>
      <c r="BB323" s="17" t="s">
        <v>31</v>
      </c>
      <c r="BC323" s="17">
        <v>4</v>
      </c>
      <c r="BD323" s="17" t="str" cm="1">
        <f t="array" ref="BD323">INDEX(List_comparators,$AZ323)</f>
        <v>lenvatinib_plus_everolimus</v>
      </c>
      <c r="BE323" s="17">
        <f>INDEX(Lists!$L$51:$L$85,MATCH(BD323,Lists!$K$51:$K$85,0))</f>
        <v>9</v>
      </c>
      <c r="BF323" s="17" t="str">
        <f>INDEX(Lists!$S$51:$S$55,3)</f>
        <v>Time to treatment discontinuation</v>
      </c>
      <c r="BG323" s="17">
        <f>INDEX(Lists!$T$51:$T$55,MATCH(BF323,Lists!$S$51:$S$55,0))</f>
        <v>2</v>
      </c>
      <c r="BH323" s="17">
        <f>VLOOKUP(VLOOKUP(BC323,$F$100:$I$103,2,FALSE),Lists!$K$50:$L$63,2,FALSE)</f>
        <v>10</v>
      </c>
      <c r="BI323" s="17" t="str" cm="1">
        <f t="array" ref="BI323">IF(OR(i_TE_sc_PartSA_5y_IO_TKI_OS=1,i_TE_sc_4and6y_IO_TKI_OS_absSurv=1),BT323,IF(OR(i_TE_sc_10y_all_IO=1,i_TE_sc_5and20y_all_IO=1),BS323,IF(i_no_TE_waning=1,"No",INDEX(J$118:J$180,MATCH(1,($BC323=$B$118:$B$180)*($BD323=$F$118:$F$180),0)))))</f>
        <v>No</v>
      </c>
      <c r="BJ323" s="17" t="str" cm="1">
        <f t="array" ref="BJ323">IF(i_TE_sc_4and6y_IO_TKI_OS_absSurv=1,BQ323,INDEX(K$118:K$180,MATCH(1,($BC323=$B$118:$B$180)*($BD323=$F$118:$F$180),0)))</f>
        <v>ref trt hazard</v>
      </c>
      <c r="BK323" s="17">
        <f t="shared" si="18"/>
        <v>0</v>
      </c>
      <c r="BL323" s="17">
        <f t="shared" si="19"/>
        <v>0</v>
      </c>
      <c r="BN323" s="274" cm="1">
        <f t="array" ref="BN323">INDEX(V$118:V$180,MATCH(1,($BC323=$B$118:$B$180)*($BD323=$F$118:$F$180),0))</f>
        <v>0</v>
      </c>
      <c r="BO323" s="274" cm="1">
        <f t="array" ref="BO323">INDEX(W$118:W$180,MATCH(1,($BC323=$B$118:$B$180)*($BD323=$F$118:$F$180),0))</f>
        <v>0</v>
      </c>
      <c r="BQ323" s="6" t="s">
        <v>149</v>
      </c>
      <c r="BS323" s="6" t="str" cm="1">
        <f t="array" ref="BS323">IF(AND(BE323=2,BC323=1,OR(i_TE_sc_10y_all_IO=1,i_TE_sc_5and20y_all_IO=1)),"Yes",IF(i_no_TE_waning=1,"No",INDEX(J$118:J$180,MATCH(1,($BC323=$B$118:$B$180)*($BD323=$F$118:$F$180),0))))</f>
        <v>No</v>
      </c>
      <c r="BT323" s="274" t="str">
        <f t="shared" si="20"/>
        <v>No</v>
      </c>
    </row>
    <row r="324" spans="52:72" x14ac:dyDescent="0.2">
      <c r="AZ324" s="657">
        <v>11</v>
      </c>
      <c r="BA324" s="17"/>
      <c r="BB324" s="17" t="s">
        <v>31</v>
      </c>
      <c r="BC324" s="17">
        <v>4</v>
      </c>
      <c r="BD324" s="17" t="str" cm="1">
        <f t="array" ref="BD324">INDEX(List_comparators,$AZ324)</f>
        <v>everolimus</v>
      </c>
      <c r="BE324" s="17">
        <f>INDEX(Lists!$L$51:$L$85,MATCH(BD324,Lists!$K$51:$K$85,0))</f>
        <v>10</v>
      </c>
      <c r="BF324" s="17" t="str">
        <f>INDEX(Lists!$S$51:$S$55,3)</f>
        <v>Time to treatment discontinuation</v>
      </c>
      <c r="BG324" s="17">
        <f>INDEX(Lists!$T$51:$T$55,MATCH(BF324,Lists!$S$51:$S$55,0))</f>
        <v>2</v>
      </c>
      <c r="BH324" s="17">
        <f>VLOOKUP(VLOOKUP(BC324,$F$100:$I$103,2,FALSE),Lists!$K$50:$L$63,2,FALSE)</f>
        <v>10</v>
      </c>
      <c r="BI324" s="17" t="str" cm="1">
        <f t="array" ref="BI324">IF(OR(i_TE_sc_PartSA_5y_IO_TKI_OS=1,i_TE_sc_4and6y_IO_TKI_OS_absSurv=1),BT324,IF(OR(i_TE_sc_10y_all_IO=1,i_TE_sc_5and20y_all_IO=1),BS324,IF(i_no_TE_waning=1,"No",INDEX(J$118:J$180,MATCH(1,($BC324=$B$118:$B$180)*($BD324=$F$118:$F$180),0)))))</f>
        <v>No</v>
      </c>
      <c r="BJ324" s="17" t="str" cm="1">
        <f t="array" ref="BJ324">IF(i_TE_sc_4and6y_IO_TKI_OS_absSurv=1,BQ324,INDEX(K$118:K$180,MATCH(1,($BC324=$B$118:$B$180)*($BD324=$F$118:$F$180),0)))</f>
        <v>ref trt hazard</v>
      </c>
      <c r="BK324" s="17">
        <f t="shared" si="18"/>
        <v>0</v>
      </c>
      <c r="BL324" s="17">
        <f t="shared" si="19"/>
        <v>0</v>
      </c>
      <c r="BN324" s="274" cm="1">
        <f t="array" ref="BN324">INDEX(V$118:V$180,MATCH(1,($BC324=$B$118:$B$180)*($BD324=$F$118:$F$180),0))</f>
        <v>0</v>
      </c>
      <c r="BO324" s="274" cm="1">
        <f t="array" ref="BO324">INDEX(W$118:W$180,MATCH(1,($BC324=$B$118:$B$180)*($BD324=$F$118:$F$180),0))</f>
        <v>0</v>
      </c>
      <c r="BQ324" s="6" t="s">
        <v>149</v>
      </c>
      <c r="BS324" s="6" t="str" cm="1">
        <f t="array" ref="BS324">IF(AND(BE324=2,BC324=1,OR(i_TE_sc_10y_all_IO=1,i_TE_sc_5and20y_all_IO=1)),"Yes",IF(i_no_TE_waning=1,"No",INDEX(J$118:J$180,MATCH(1,($BC324=$B$118:$B$180)*($BD324=$F$118:$F$180),0))))</f>
        <v>No</v>
      </c>
      <c r="BT324" s="274" t="str">
        <f t="shared" si="20"/>
        <v>No</v>
      </c>
    </row>
    <row r="325" spans="52:72" x14ac:dyDescent="0.2">
      <c r="AZ325" s="657">
        <v>12</v>
      </c>
      <c r="BA325" s="17"/>
      <c r="BB325" s="17" t="s">
        <v>31</v>
      </c>
      <c r="BC325" s="17">
        <v>4</v>
      </c>
      <c r="BD325" s="17" t="str" cm="1">
        <f t="array" ref="BD325">INDEX(List_comparators,$AZ325)</f>
        <v>axitinib</v>
      </c>
      <c r="BE325" s="17">
        <f>INDEX(Lists!$L$51:$L$85,MATCH(BD325,Lists!$K$51:$K$85,0))</f>
        <v>11</v>
      </c>
      <c r="BF325" s="17" t="str">
        <f>INDEX(Lists!$S$51:$S$55,3)</f>
        <v>Time to treatment discontinuation</v>
      </c>
      <c r="BG325" s="17">
        <f>INDEX(Lists!$T$51:$T$55,MATCH(BF325,Lists!$S$51:$S$55,0))</f>
        <v>2</v>
      </c>
      <c r="BH325" s="17">
        <f>VLOOKUP(VLOOKUP(BC325,$F$100:$I$103,2,FALSE),Lists!$K$50:$L$63,2,FALSE)</f>
        <v>10</v>
      </c>
      <c r="BI325" s="17" t="str" cm="1">
        <f t="array" ref="BI325">IF(OR(i_TE_sc_PartSA_5y_IO_TKI_OS=1,i_TE_sc_4and6y_IO_TKI_OS_absSurv=1),BT325,IF(OR(i_TE_sc_10y_all_IO=1,i_TE_sc_5and20y_all_IO=1),BS325,IF(i_no_TE_waning=1,"No",INDEX(J$118:J$180,MATCH(1,($BC325=$B$118:$B$180)*($BD325=$F$118:$F$180),0)))))</f>
        <v>No</v>
      </c>
      <c r="BJ325" s="17" t="str" cm="1">
        <f t="array" ref="BJ325">IF(i_TE_sc_4and6y_IO_TKI_OS_absSurv=1,BQ325,INDEX(K$118:K$180,MATCH(1,($BC325=$B$118:$B$180)*($BD325=$F$118:$F$180),0)))</f>
        <v>ref trt hazard</v>
      </c>
      <c r="BK325" s="17">
        <f t="shared" si="18"/>
        <v>0</v>
      </c>
      <c r="BL325" s="17">
        <f t="shared" si="19"/>
        <v>0</v>
      </c>
      <c r="BN325" s="274" cm="1">
        <f t="array" ref="BN325">INDEX(V$118:V$180,MATCH(1,($BC325=$B$118:$B$180)*($BD325=$F$118:$F$180),0))</f>
        <v>0</v>
      </c>
      <c r="BO325" s="274" cm="1">
        <f t="array" ref="BO325">INDEX(W$118:W$180,MATCH(1,($BC325=$B$118:$B$180)*($BD325=$F$118:$F$180),0))</f>
        <v>0</v>
      </c>
      <c r="BQ325" s="6" t="s">
        <v>149</v>
      </c>
      <c r="BS325" s="6" t="str" cm="1">
        <f t="array" ref="BS325">IF(AND(BE325=2,BC325=1,OR(i_TE_sc_10y_all_IO=1,i_TE_sc_5and20y_all_IO=1)),"Yes",IF(i_no_TE_waning=1,"No",INDEX(J$118:J$180,MATCH(1,($BC325=$B$118:$B$180)*($BD325=$F$118:$F$180),0))))</f>
        <v>No</v>
      </c>
      <c r="BT325" s="274" t="str">
        <f t="shared" si="20"/>
        <v>No</v>
      </c>
    </row>
    <row r="326" spans="52:72" x14ac:dyDescent="0.2">
      <c r="AZ326" s="657">
        <v>13</v>
      </c>
      <c r="BA326" s="17"/>
      <c r="BB326" s="17" t="s">
        <v>31</v>
      </c>
      <c r="BC326" s="17">
        <v>4</v>
      </c>
      <c r="BD326" s="17" t="str" cm="1">
        <f t="array" ref="BD326">INDEX(List_comparators,$AZ326)</f>
        <v>sorafenib</v>
      </c>
      <c r="BE326" s="17">
        <f>INDEX(Lists!$L$51:$L$85,MATCH(BD326,Lists!$K$51:$K$85,0))</f>
        <v>12</v>
      </c>
      <c r="BF326" s="17" t="str">
        <f>INDEX(Lists!$S$51:$S$55,3)</f>
        <v>Time to treatment discontinuation</v>
      </c>
      <c r="BG326" s="17">
        <f>INDEX(Lists!$T$51:$T$55,MATCH(BF326,Lists!$S$51:$S$55,0))</f>
        <v>2</v>
      </c>
      <c r="BH326" s="17">
        <f>VLOOKUP(VLOOKUP(BC326,$F$100:$I$103,2,FALSE),Lists!$K$50:$L$63,2,FALSE)</f>
        <v>10</v>
      </c>
      <c r="BI326" s="17" t="str" cm="1">
        <f t="array" ref="BI326">IF(OR(i_TE_sc_PartSA_5y_IO_TKI_OS=1,i_TE_sc_4and6y_IO_TKI_OS_absSurv=1),BT326,IF(OR(i_TE_sc_10y_all_IO=1,i_TE_sc_5and20y_all_IO=1),BS326,IF(i_no_TE_waning=1,"No",INDEX(J$118:J$180,MATCH(1,($BC326=$B$118:$B$180)*($BD326=$F$118:$F$180),0)))))</f>
        <v>No</v>
      </c>
      <c r="BJ326" s="17" t="str" cm="1">
        <f t="array" ref="BJ326">IF(i_TE_sc_4and6y_IO_TKI_OS_absSurv=1,BQ326,INDEX(K$118:K$180,MATCH(1,($BC326=$B$118:$B$180)*($BD326=$F$118:$F$180),0)))</f>
        <v>ref trt hazard</v>
      </c>
      <c r="BK326" s="17">
        <f t="shared" si="18"/>
        <v>0</v>
      </c>
      <c r="BL326" s="17">
        <f t="shared" si="19"/>
        <v>0</v>
      </c>
      <c r="BN326" s="274" cm="1">
        <f t="array" ref="BN326">INDEX(V$118:V$180,MATCH(1,($BC326=$B$118:$B$180)*($BD326=$F$118:$F$180),0))</f>
        <v>0</v>
      </c>
      <c r="BO326" s="274" cm="1">
        <f t="array" ref="BO326">INDEX(W$118:W$180,MATCH(1,($BC326=$B$118:$B$180)*($BD326=$F$118:$F$180),0))</f>
        <v>0</v>
      </c>
      <c r="BQ326" s="6" t="s">
        <v>149</v>
      </c>
      <c r="BS326" s="6" t="str" cm="1">
        <f t="array" ref="BS326">IF(AND(BE326=2,BC326=1,OR(i_TE_sc_10y_all_IO=1,i_TE_sc_5and20y_all_IO=1)),"Yes",IF(i_no_TE_waning=1,"No",INDEX(J$118:J$180,MATCH(1,($BC326=$B$118:$B$180)*($BD326=$F$118:$F$180),0))))</f>
        <v>No</v>
      </c>
      <c r="BT326" s="274" t="str">
        <f t="shared" si="20"/>
        <v>No</v>
      </c>
    </row>
    <row r="327" spans="52:72" x14ac:dyDescent="0.2">
      <c r="AZ327" s="657">
        <v>14</v>
      </c>
      <c r="BA327" s="17"/>
      <c r="BB327" s="17" t="s">
        <v>31</v>
      </c>
      <c r="BC327" s="17">
        <v>4</v>
      </c>
      <c r="BD327" s="17" t="str" cm="1">
        <f t="array" ref="BD327">INDEX(List_comparators,$AZ327)</f>
        <v>placebo_BSC</v>
      </c>
      <c r="BE327" s="17">
        <f>INDEX(Lists!$L$51:$L$85,MATCH(BD327,Lists!$K$51:$K$85,0))</f>
        <v>999</v>
      </c>
      <c r="BF327" s="17" t="str">
        <f>INDEX(Lists!$S$51:$S$55,3)</f>
        <v>Time to treatment discontinuation</v>
      </c>
      <c r="BG327" s="17">
        <f>INDEX(Lists!$T$51:$T$55,MATCH(BF327,Lists!$S$51:$S$55,0))</f>
        <v>2</v>
      </c>
      <c r="BH327" s="17">
        <f>VLOOKUP(VLOOKUP(BC327,$F$100:$I$103,2,FALSE),Lists!$K$50:$L$63,2,FALSE)</f>
        <v>10</v>
      </c>
      <c r="BI327" s="17" t="str" cm="1">
        <f t="array" ref="BI327">IF(OR(i_TE_sc_PartSA_5y_IO_TKI_OS=1,i_TE_sc_4and6y_IO_TKI_OS_absSurv=1),BT327,IF(OR(i_TE_sc_10y_all_IO=1,i_TE_sc_5and20y_all_IO=1),BS327,IF(i_no_TE_waning=1,"No",INDEX(J$118:J$180,MATCH(1,($BC327=$B$118:$B$180)*($BD327=$F$118:$F$180),0)))))</f>
        <v>No</v>
      </c>
      <c r="BJ327" s="17" cm="1">
        <f t="array" ref="BJ327">IF(i_TE_sc_4and6y_IO_TKI_OS_absSurv=1,BQ327,INDEX(K$118:K$180,MATCH(1,($BC327=$B$118:$B$180)*($BD327=$F$118:$F$180),0)))</f>
        <v>0</v>
      </c>
      <c r="BK327" s="17">
        <f t="shared" si="18"/>
        <v>0</v>
      </c>
      <c r="BL327" s="17">
        <f t="shared" si="19"/>
        <v>0</v>
      </c>
      <c r="BN327" s="274" cm="1">
        <f t="array" ref="BN327">INDEX(V$118:V$180,MATCH(1,($BC327=$B$118:$B$180)*($BD327=$F$118:$F$180),0))</f>
        <v>0</v>
      </c>
      <c r="BO327" s="274" cm="1">
        <f t="array" ref="BO327">INDEX(W$118:W$180,MATCH(1,($BC327=$B$118:$B$180)*($BD327=$F$118:$F$180),0))</f>
        <v>0</v>
      </c>
      <c r="BS327" s="6" t="str" cm="1">
        <f t="array" ref="BS327">IF(AND(BE327=2,BC327=1,OR(i_TE_sc_10y_all_IO=1,i_TE_sc_5and20y_all_IO=1)),"Yes",IF(i_no_TE_waning=1,"No",INDEX(J$118:J$180,MATCH(1,($BC327=$B$118:$B$180)*($BD327=$F$118:$F$180),0))))</f>
        <v>No</v>
      </c>
      <c r="BT327" s="274" t="str">
        <f t="shared" si="20"/>
        <v>No</v>
      </c>
    </row>
    <row r="328" spans="52:72" x14ac:dyDescent="0.2">
      <c r="AZ328" s="657">
        <v>1</v>
      </c>
      <c r="BA328" s="17"/>
      <c r="BB328" s="17" t="s">
        <v>31</v>
      </c>
      <c r="BC328" s="17">
        <v>4</v>
      </c>
      <c r="BD328" s="17" t="str" cm="1">
        <f t="array" ref="BD328">INDEX(List_comparators,$AZ328)</f>
        <v>nivolumab_monotherapy</v>
      </c>
      <c r="BE328" s="17">
        <f>INDEX(Lists!$L$51:$L$85,MATCH(BD328,Lists!$K$51:$K$85,0))</f>
        <v>0</v>
      </c>
      <c r="BF328" s="17" t="str">
        <f>INDEX(Lists!$S$51:$S$55,4)</f>
        <v>Time to progression</v>
      </c>
      <c r="BG328" s="17">
        <f>INDEX(Lists!$T$51:$T$55,MATCH(BF328,Lists!$S$51:$S$55,0))</f>
        <v>3</v>
      </c>
      <c r="BH328" s="17">
        <f>VLOOKUP(VLOOKUP(BC328,$F$100:$I$103,2,FALSE),Lists!$K$50:$L$63,2,FALSE)</f>
        <v>10</v>
      </c>
      <c r="BI328" s="17" t="str" cm="1">
        <f t="array" ref="BI328">IF(OR(i_TE_sc_PartSA_5y_IO_TKI_OS=1,i_TE_sc_4and6y_IO_TKI_OS_absSurv=1),BT328,IF(OR(i_TE_sc_10y_all_IO=1,i_TE_sc_5and20y_all_IO=1),BS328,IF(i_no_TE_waning=1,"No",INDEX(J$118:J$180,MATCH(1,($BC328=$B$118:$B$180)*($BD328=$F$118:$F$180),0)))))</f>
        <v>No</v>
      </c>
      <c r="BJ328" s="17" t="str" cm="1">
        <f t="array" ref="BJ328">IF(i_TE_sc_4and6y_IO_TKI_OS_absSurv=1,BQ328,INDEX(K$118:K$180,MATCH(1,($BC328=$B$118:$B$180)*($BD328=$F$118:$F$180),0)))</f>
        <v>ref trt hazard</v>
      </c>
      <c r="BK328" s="17">
        <f t="shared" si="18"/>
        <v>0</v>
      </c>
      <c r="BL328" s="17">
        <f t="shared" si="19"/>
        <v>0</v>
      </c>
      <c r="BN328" s="274" cm="1">
        <f t="array" ref="BN328">INDEX(AA$118:AA$180,MATCH(1,($BC328=$B$118:$B$180)*($BD328=$F$118:$F$180),0))</f>
        <v>0</v>
      </c>
      <c r="BO328" s="274" cm="1">
        <f t="array" ref="BO328">INDEX(AB$118:AB$180,MATCH(1,($BC328=$B$118:$B$180)*($BD328=$F$118:$F$180),0))</f>
        <v>0</v>
      </c>
      <c r="BQ328" s="6" t="s">
        <v>149</v>
      </c>
      <c r="BS328" s="6" t="str" cm="1">
        <f t="array" ref="BS328">IF(AND(BE328=2,BC328=1,OR(i_TE_sc_10y_all_IO=1,i_TE_sc_5and20y_all_IO=1)),"Yes",IF(i_no_TE_waning=1,"No",INDEX(J$118:J$180,MATCH(1,($BC328=$B$118:$B$180)*($BD328=$F$118:$F$180),0))))</f>
        <v>No</v>
      </c>
      <c r="BT328" s="274" t="str">
        <f t="shared" si="20"/>
        <v>No</v>
      </c>
    </row>
    <row r="329" spans="52:72" x14ac:dyDescent="0.2">
      <c r="AZ329" s="657">
        <v>2</v>
      </c>
      <c r="BA329" s="17"/>
      <c r="BB329" s="17" t="s">
        <v>31</v>
      </c>
      <c r="BC329" s="17">
        <v>4</v>
      </c>
      <c r="BD329" s="17" t="str" cm="1">
        <f t="array" ref="BD329">INDEX(List_comparators,$AZ329)</f>
        <v>cabozantinib_plus_nivolumab</v>
      </c>
      <c r="BE329" s="17">
        <f>INDEX(Lists!$L$51:$L$85,MATCH(BD329,Lists!$K$51:$K$85,0))</f>
        <v>1</v>
      </c>
      <c r="BF329" s="17" t="str">
        <f>INDEX(Lists!$S$51:$S$55,4)</f>
        <v>Time to progression</v>
      </c>
      <c r="BG329" s="17">
        <f>INDEX(Lists!$T$51:$T$55,MATCH(BF329,Lists!$S$51:$S$55,0))</f>
        <v>3</v>
      </c>
      <c r="BH329" s="17">
        <f>VLOOKUP(VLOOKUP(BC329,$F$100:$I$103,2,FALSE),Lists!$K$50:$L$63,2,FALSE)</f>
        <v>10</v>
      </c>
      <c r="BI329" s="17" t="str" cm="1">
        <f t="array" ref="BI329">IF(OR(i_TE_sc_PartSA_5y_IO_TKI_OS=1,i_TE_sc_4and6y_IO_TKI_OS_absSurv=1),BT329,IF(OR(i_TE_sc_10y_all_IO=1,i_TE_sc_5and20y_all_IO=1),BS329,IF(i_no_TE_waning=1,"No",INDEX(J$118:J$180,MATCH(1,($BC329=$B$118:$B$180)*($BD329=$F$118:$F$180),0)))))</f>
        <v>No</v>
      </c>
      <c r="BJ329" s="17" t="str" cm="1">
        <f t="array" ref="BJ329">IF(i_TE_sc_4and6y_IO_TKI_OS_absSurv=1,BQ329,INDEX(K$118:K$180,MATCH(1,($BC329=$B$118:$B$180)*($BD329=$F$118:$F$180),0)))</f>
        <v>ref trt hazard</v>
      </c>
      <c r="BK329" s="17">
        <f t="shared" si="18"/>
        <v>0</v>
      </c>
      <c r="BL329" s="17">
        <f t="shared" si="19"/>
        <v>0</v>
      </c>
      <c r="BN329" s="274" cm="1">
        <f t="array" ref="BN329">INDEX(AA$118:AA$180,MATCH(1,($BC329=$B$118:$B$180)*($BD329=$F$118:$F$180),0))</f>
        <v>0</v>
      </c>
      <c r="BO329" s="274" cm="1">
        <f t="array" ref="BO329">INDEX(AB$118:AB$180,MATCH(1,($BC329=$B$118:$B$180)*($BD329=$F$118:$F$180),0))</f>
        <v>0</v>
      </c>
      <c r="BQ329" s="6" t="s">
        <v>149</v>
      </c>
      <c r="BS329" s="6" t="str" cm="1">
        <f t="array" ref="BS329">IF(AND(BE329=2,BC329=1,OR(i_TE_sc_10y_all_IO=1,i_TE_sc_5and20y_all_IO=1)),"Yes",IF(i_no_TE_waning=1,"No",INDEX(J$118:J$180,MATCH(1,($BC329=$B$118:$B$180)*($BD329=$F$118:$F$180),0))))</f>
        <v>No</v>
      </c>
      <c r="BT329" s="274" t="str">
        <f t="shared" si="20"/>
        <v>No</v>
      </c>
    </row>
    <row r="330" spans="52:72" x14ac:dyDescent="0.2">
      <c r="AZ330" s="657">
        <v>3</v>
      </c>
      <c r="BA330" s="17"/>
      <c r="BB330" s="17" t="s">
        <v>31</v>
      </c>
      <c r="BC330" s="17">
        <v>4</v>
      </c>
      <c r="BD330" s="17" t="str" cm="1">
        <f t="array" ref="BD330">INDEX(List_comparators,$AZ330)</f>
        <v>nivolumab_plus_ipilimumab</v>
      </c>
      <c r="BE330" s="17">
        <f>INDEX(Lists!$L$51:$L$85,MATCH(BD330,Lists!$K$51:$K$85,0))</f>
        <v>2</v>
      </c>
      <c r="BF330" s="17" t="str">
        <f>INDEX(Lists!$S$51:$S$55,4)</f>
        <v>Time to progression</v>
      </c>
      <c r="BG330" s="17">
        <f>INDEX(Lists!$T$51:$T$55,MATCH(BF330,Lists!$S$51:$S$55,0))</f>
        <v>3</v>
      </c>
      <c r="BH330" s="17">
        <f>VLOOKUP(VLOOKUP(BC330,$F$100:$I$103,2,FALSE),Lists!$K$50:$L$63,2,FALSE)</f>
        <v>10</v>
      </c>
      <c r="BI330" s="17" t="str" cm="1">
        <f t="array" ref="BI330">IF(OR(i_TE_sc_PartSA_5y_IO_TKI_OS=1,i_TE_sc_4and6y_IO_TKI_OS_absSurv=1),BT330,IF(OR(i_TE_sc_10y_all_IO=1,i_TE_sc_5and20y_all_IO=1),BS330,IF(i_no_TE_waning=1,"No",INDEX(J$118:J$180,MATCH(1,($BC330=$B$118:$B$180)*($BD330=$F$118:$F$180),0)))))</f>
        <v>No</v>
      </c>
      <c r="BJ330" s="17" t="str" cm="1">
        <f t="array" ref="BJ330">IF(i_TE_sc_4and6y_IO_TKI_OS_absSurv=1,BQ330,INDEX(K$118:K$180,MATCH(1,($BC330=$B$118:$B$180)*($BD330=$F$118:$F$180),0)))</f>
        <v>ref trt hazard</v>
      </c>
      <c r="BK330" s="17">
        <f t="shared" si="18"/>
        <v>0</v>
      </c>
      <c r="BL330" s="17">
        <f t="shared" si="19"/>
        <v>0</v>
      </c>
      <c r="BN330" s="274" cm="1">
        <f t="array" ref="BN330">INDEX(AA$118:AA$180,MATCH(1,($BC330=$B$118:$B$180)*($BD330=$F$118:$F$180),0))</f>
        <v>0</v>
      </c>
      <c r="BO330" s="274" cm="1">
        <f t="array" ref="BO330">INDEX(AB$118:AB$180,MATCH(1,($BC330=$B$118:$B$180)*($BD330=$F$118:$F$180),0))</f>
        <v>0</v>
      </c>
      <c r="BQ330" s="6" t="s">
        <v>149</v>
      </c>
      <c r="BS330" s="6" t="str" cm="1">
        <f t="array" ref="BS330">IF(AND(BE330=2,BC330=1,OR(i_TE_sc_10y_all_IO=1,i_TE_sc_5and20y_all_IO=1)),"Yes",IF(i_no_TE_waning=1,"No",INDEX(J$118:J$180,MATCH(1,($BC330=$B$118:$B$180)*($BD330=$F$118:$F$180),0))))</f>
        <v>No</v>
      </c>
      <c r="BT330" s="274" t="str">
        <f t="shared" si="20"/>
        <v>No</v>
      </c>
    </row>
    <row r="331" spans="52:72" x14ac:dyDescent="0.2">
      <c r="AZ331" s="657">
        <v>4</v>
      </c>
      <c r="BA331" s="17"/>
      <c r="BB331" s="17" t="s">
        <v>31</v>
      </c>
      <c r="BC331" s="17">
        <v>4</v>
      </c>
      <c r="BD331" s="17" t="str" cm="1">
        <f t="array" ref="BD331">INDEX(List_comparators,$AZ331)</f>
        <v>lenvatinib_plus_pembrolizumab</v>
      </c>
      <c r="BE331" s="17">
        <f>INDEX(Lists!$L$51:$L$85,MATCH(BD331,Lists!$K$51:$K$85,0))</f>
        <v>3</v>
      </c>
      <c r="BF331" s="17" t="str">
        <f>INDEX(Lists!$S$51:$S$55,4)</f>
        <v>Time to progression</v>
      </c>
      <c r="BG331" s="17">
        <f>INDEX(Lists!$T$51:$T$55,MATCH(BF331,Lists!$S$51:$S$55,0))</f>
        <v>3</v>
      </c>
      <c r="BH331" s="17">
        <f>VLOOKUP(VLOOKUP(BC331,$F$100:$I$103,2,FALSE),Lists!$K$50:$L$63,2,FALSE)</f>
        <v>10</v>
      </c>
      <c r="BI331" s="17" t="str" cm="1">
        <f t="array" ref="BI331">IF(OR(i_TE_sc_PartSA_5y_IO_TKI_OS=1,i_TE_sc_4and6y_IO_TKI_OS_absSurv=1),BT331,IF(OR(i_TE_sc_10y_all_IO=1,i_TE_sc_5and20y_all_IO=1),BS331,IF(i_no_TE_waning=1,"No",INDEX(J$118:J$180,MATCH(1,($BC331=$B$118:$B$180)*($BD331=$F$118:$F$180),0)))))</f>
        <v>No</v>
      </c>
      <c r="BJ331" s="17" t="str" cm="1">
        <f t="array" ref="BJ331">IF(i_TE_sc_4and6y_IO_TKI_OS_absSurv=1,BQ331,INDEX(K$118:K$180,MATCH(1,($BC331=$B$118:$B$180)*($BD331=$F$118:$F$180),0)))</f>
        <v>ref trt hazard</v>
      </c>
      <c r="BK331" s="17">
        <f t="shared" si="18"/>
        <v>0</v>
      </c>
      <c r="BL331" s="17">
        <f t="shared" si="19"/>
        <v>0</v>
      </c>
      <c r="BN331" s="274" cm="1">
        <f t="array" ref="BN331">INDEX(AA$118:AA$180,MATCH(1,($BC331=$B$118:$B$180)*($BD331=$F$118:$F$180),0))</f>
        <v>0</v>
      </c>
      <c r="BO331" s="274" cm="1">
        <f t="array" ref="BO331">INDEX(AB$118:AB$180,MATCH(1,($BC331=$B$118:$B$180)*($BD331=$F$118:$F$180),0))</f>
        <v>0</v>
      </c>
      <c r="BQ331" s="6" t="s">
        <v>149</v>
      </c>
      <c r="BS331" s="6" t="str" cm="1">
        <f t="array" ref="BS331">IF(AND(BE331=2,BC331=1,OR(i_TE_sc_10y_all_IO=1,i_TE_sc_5and20y_all_IO=1)),"Yes",IF(i_no_TE_waning=1,"No",INDEX(J$118:J$180,MATCH(1,($BC331=$B$118:$B$180)*($BD331=$F$118:$F$180),0))))</f>
        <v>No</v>
      </c>
      <c r="BT331" s="274" t="str">
        <f t="shared" si="20"/>
        <v>No</v>
      </c>
    </row>
    <row r="332" spans="52:72" x14ac:dyDescent="0.2">
      <c r="AZ332" s="657">
        <v>5</v>
      </c>
      <c r="BA332" s="17"/>
      <c r="BB332" s="17" t="s">
        <v>31</v>
      </c>
      <c r="BC332" s="17">
        <v>4</v>
      </c>
      <c r="BD332" s="17" t="str" cm="1">
        <f t="array" ref="BD332">INDEX(List_comparators,$AZ332)</f>
        <v>avelumab_plus_axitinib</v>
      </c>
      <c r="BE332" s="17">
        <f>INDEX(Lists!$L$51:$L$85,MATCH(BD332,Lists!$K$51:$K$85,0))</f>
        <v>4</v>
      </c>
      <c r="BF332" s="17" t="str">
        <f>INDEX(Lists!$S$51:$S$55,4)</f>
        <v>Time to progression</v>
      </c>
      <c r="BG332" s="17">
        <f>INDEX(Lists!$T$51:$T$55,MATCH(BF332,Lists!$S$51:$S$55,0))</f>
        <v>3</v>
      </c>
      <c r="BH332" s="17">
        <f>VLOOKUP(VLOOKUP(BC332,$F$100:$I$103,2,FALSE),Lists!$K$50:$L$63,2,FALSE)</f>
        <v>10</v>
      </c>
      <c r="BI332" s="17" t="str" cm="1">
        <f t="array" ref="BI332">IF(OR(i_TE_sc_PartSA_5y_IO_TKI_OS=1,i_TE_sc_4and6y_IO_TKI_OS_absSurv=1),BT332,IF(OR(i_TE_sc_10y_all_IO=1,i_TE_sc_5and20y_all_IO=1),BS332,IF(i_no_TE_waning=1,"No",INDEX(J$118:J$180,MATCH(1,($BC332=$B$118:$B$180)*($BD332=$F$118:$F$180),0)))))</f>
        <v>No</v>
      </c>
      <c r="BJ332" s="17" t="str" cm="1">
        <f t="array" ref="BJ332">IF(i_TE_sc_4and6y_IO_TKI_OS_absSurv=1,BQ332,INDEX(K$118:K$180,MATCH(1,($BC332=$B$118:$B$180)*($BD332=$F$118:$F$180),0)))</f>
        <v>ref trt hazard</v>
      </c>
      <c r="BK332" s="17">
        <f t="shared" si="18"/>
        <v>0</v>
      </c>
      <c r="BL332" s="17">
        <f t="shared" si="19"/>
        <v>0</v>
      </c>
      <c r="BN332" s="274" cm="1">
        <f t="array" ref="BN332">INDEX(AA$118:AA$180,MATCH(1,($BC332=$B$118:$B$180)*($BD332=$F$118:$F$180),0))</f>
        <v>0</v>
      </c>
      <c r="BO332" s="274" cm="1">
        <f t="array" ref="BO332">INDEX(AB$118:AB$180,MATCH(1,($BC332=$B$118:$B$180)*($BD332=$F$118:$F$180),0))</f>
        <v>0</v>
      </c>
      <c r="BQ332" s="6" t="s">
        <v>149</v>
      </c>
      <c r="BS332" s="6" t="str" cm="1">
        <f t="array" ref="BS332">IF(AND(BE332=2,BC332=1,OR(i_TE_sc_10y_all_IO=1,i_TE_sc_5and20y_all_IO=1)),"Yes",IF(i_no_TE_waning=1,"No",INDEX(J$118:J$180,MATCH(1,($BC332=$B$118:$B$180)*($BD332=$F$118:$F$180),0))))</f>
        <v>No</v>
      </c>
      <c r="BT332" s="274" t="str">
        <f t="shared" si="20"/>
        <v>No</v>
      </c>
    </row>
    <row r="333" spans="52:72" x14ac:dyDescent="0.2">
      <c r="AZ333" s="657">
        <v>6</v>
      </c>
      <c r="BA333" s="17"/>
      <c r="BB333" s="17" t="s">
        <v>31</v>
      </c>
      <c r="BC333" s="17">
        <v>4</v>
      </c>
      <c r="BD333" s="17" t="str" cm="1">
        <f t="array" ref="BD333">INDEX(List_comparators,$AZ333)</f>
        <v>pazopanib</v>
      </c>
      <c r="BE333" s="17">
        <f>INDEX(Lists!$L$51:$L$85,MATCH(BD333,Lists!$K$51:$K$85,0))</f>
        <v>5</v>
      </c>
      <c r="BF333" s="17" t="str">
        <f>INDEX(Lists!$S$51:$S$55,4)</f>
        <v>Time to progression</v>
      </c>
      <c r="BG333" s="17">
        <f>INDEX(Lists!$T$51:$T$55,MATCH(BF333,Lists!$S$51:$S$55,0))</f>
        <v>3</v>
      </c>
      <c r="BH333" s="17">
        <f>VLOOKUP(VLOOKUP(BC333,$F$100:$I$103,2,FALSE),Lists!$K$50:$L$63,2,FALSE)</f>
        <v>10</v>
      </c>
      <c r="BI333" s="17" t="str" cm="1">
        <f t="array" ref="BI333">IF(OR(i_TE_sc_PartSA_5y_IO_TKI_OS=1,i_TE_sc_4and6y_IO_TKI_OS_absSurv=1),BT333,IF(OR(i_TE_sc_10y_all_IO=1,i_TE_sc_5and20y_all_IO=1),BS333,IF(i_no_TE_waning=1,"No",INDEX(J$118:J$180,MATCH(1,($BC333=$B$118:$B$180)*($BD333=$F$118:$F$180),0)))))</f>
        <v>No</v>
      </c>
      <c r="BJ333" s="17" t="str" cm="1">
        <f t="array" ref="BJ333">IF(i_TE_sc_4and6y_IO_TKI_OS_absSurv=1,BQ333,INDEX(K$118:K$180,MATCH(1,($BC333=$B$118:$B$180)*($BD333=$F$118:$F$180),0)))</f>
        <v>ref trt hazard</v>
      </c>
      <c r="BK333" s="17">
        <f t="shared" si="18"/>
        <v>0</v>
      </c>
      <c r="BL333" s="17">
        <f t="shared" si="19"/>
        <v>0</v>
      </c>
      <c r="BN333" s="274" cm="1">
        <f t="array" ref="BN333">INDEX(AA$118:AA$180,MATCH(1,($BC333=$B$118:$B$180)*($BD333=$F$118:$F$180),0))</f>
        <v>0</v>
      </c>
      <c r="BO333" s="274" cm="1">
        <f t="array" ref="BO333">INDEX(AB$118:AB$180,MATCH(1,($BC333=$B$118:$B$180)*($BD333=$F$118:$F$180),0))</f>
        <v>0</v>
      </c>
      <c r="BQ333" s="6" t="s">
        <v>149</v>
      </c>
      <c r="BS333" s="6" t="str" cm="1">
        <f t="array" ref="BS333">IF(AND(BE333=2,BC333=1,OR(i_TE_sc_10y_all_IO=1,i_TE_sc_5and20y_all_IO=1)),"Yes",IF(i_no_TE_waning=1,"No",INDEX(J$118:J$180,MATCH(1,($BC333=$B$118:$B$180)*($BD333=$F$118:$F$180),0))))</f>
        <v>No</v>
      </c>
      <c r="BT333" s="274" t="str">
        <f t="shared" si="20"/>
        <v>No</v>
      </c>
    </row>
    <row r="334" spans="52:72" x14ac:dyDescent="0.2">
      <c r="AZ334" s="657">
        <v>7</v>
      </c>
      <c r="BA334" s="17"/>
      <c r="BB334" s="17" t="s">
        <v>31</v>
      </c>
      <c r="BC334" s="17">
        <v>4</v>
      </c>
      <c r="BD334" s="17" t="str" cm="1">
        <f t="array" ref="BD334">INDEX(List_comparators,$AZ334)</f>
        <v>tivozanib</v>
      </c>
      <c r="BE334" s="17">
        <f>INDEX(Lists!$L$51:$L$85,MATCH(BD334,Lists!$K$51:$K$85,0))</f>
        <v>6</v>
      </c>
      <c r="BF334" s="17" t="str">
        <f>INDEX(Lists!$S$51:$S$55,4)</f>
        <v>Time to progression</v>
      </c>
      <c r="BG334" s="17">
        <f>INDEX(Lists!$T$51:$T$55,MATCH(BF334,Lists!$S$51:$S$55,0))</f>
        <v>3</v>
      </c>
      <c r="BH334" s="17">
        <f>VLOOKUP(VLOOKUP(BC334,$F$100:$I$103,2,FALSE),Lists!$K$50:$L$63,2,FALSE)</f>
        <v>10</v>
      </c>
      <c r="BI334" s="17" t="str" cm="1">
        <f t="array" ref="BI334">IF(OR(i_TE_sc_PartSA_5y_IO_TKI_OS=1,i_TE_sc_4and6y_IO_TKI_OS_absSurv=1),BT334,IF(OR(i_TE_sc_10y_all_IO=1,i_TE_sc_5and20y_all_IO=1),BS334,IF(i_no_TE_waning=1,"No",INDEX(J$118:J$180,MATCH(1,($BC334=$B$118:$B$180)*($BD334=$F$118:$F$180),0)))))</f>
        <v>No</v>
      </c>
      <c r="BJ334" s="17" t="str" cm="1">
        <f t="array" ref="BJ334">IF(i_TE_sc_4and6y_IO_TKI_OS_absSurv=1,BQ334,INDEX(K$118:K$180,MATCH(1,($BC334=$B$118:$B$180)*($BD334=$F$118:$F$180),0)))</f>
        <v>ref trt hazard</v>
      </c>
      <c r="BK334" s="17">
        <f t="shared" si="18"/>
        <v>0</v>
      </c>
      <c r="BL334" s="17">
        <f t="shared" si="19"/>
        <v>0</v>
      </c>
      <c r="BN334" s="274" cm="1">
        <f t="array" ref="BN334">INDEX(AA$118:AA$180,MATCH(1,($BC334=$B$118:$B$180)*($BD334=$F$118:$F$180),0))</f>
        <v>0</v>
      </c>
      <c r="BO334" s="274" cm="1">
        <f t="array" ref="BO334">INDEX(AB$118:AB$180,MATCH(1,($BC334=$B$118:$B$180)*($BD334=$F$118:$F$180),0))</f>
        <v>0</v>
      </c>
      <c r="BQ334" s="6" t="s">
        <v>149</v>
      </c>
      <c r="BS334" s="6" t="str" cm="1">
        <f t="array" ref="BS334">IF(AND(BE334=2,BC334=1,OR(i_TE_sc_10y_all_IO=1,i_TE_sc_5and20y_all_IO=1)),"Yes",IF(i_no_TE_waning=1,"No",INDEX(J$118:J$180,MATCH(1,($BC334=$B$118:$B$180)*($BD334=$F$118:$F$180),0))))</f>
        <v>No</v>
      </c>
      <c r="BT334" s="274" t="str">
        <f t="shared" si="20"/>
        <v>No</v>
      </c>
    </row>
    <row r="335" spans="52:72" x14ac:dyDescent="0.2">
      <c r="AZ335" s="657">
        <v>8</v>
      </c>
      <c r="BA335" s="17"/>
      <c r="BB335" s="17" t="s">
        <v>31</v>
      </c>
      <c r="BC335" s="17">
        <v>4</v>
      </c>
      <c r="BD335" s="17" t="str" cm="1">
        <f t="array" ref="BD335">INDEX(List_comparators,$AZ335)</f>
        <v>sunitinib</v>
      </c>
      <c r="BE335" s="17">
        <f>INDEX(Lists!$L$51:$L$85,MATCH(BD335,Lists!$K$51:$K$85,0))</f>
        <v>7</v>
      </c>
      <c r="BF335" s="17" t="str">
        <f>INDEX(Lists!$S$51:$S$55,4)</f>
        <v>Time to progression</v>
      </c>
      <c r="BG335" s="17">
        <f>INDEX(Lists!$T$51:$T$55,MATCH(BF335,Lists!$S$51:$S$55,0))</f>
        <v>3</v>
      </c>
      <c r="BH335" s="17">
        <f>VLOOKUP(VLOOKUP(BC335,$F$100:$I$103,2,FALSE),Lists!$K$50:$L$63,2,FALSE)</f>
        <v>10</v>
      </c>
      <c r="BI335" s="17" t="str" cm="1">
        <f t="array" ref="BI335">IF(OR(i_TE_sc_PartSA_5y_IO_TKI_OS=1,i_TE_sc_4and6y_IO_TKI_OS_absSurv=1),BT335,IF(OR(i_TE_sc_10y_all_IO=1,i_TE_sc_5and20y_all_IO=1),BS335,IF(i_no_TE_waning=1,"No",INDEX(J$118:J$180,MATCH(1,($BC335=$B$118:$B$180)*($BD335=$F$118:$F$180),0)))))</f>
        <v>No</v>
      </c>
      <c r="BJ335" s="17" t="str" cm="1">
        <f t="array" ref="BJ335">IF(i_TE_sc_4and6y_IO_TKI_OS_absSurv=1,BQ335,INDEX(K$118:K$180,MATCH(1,($BC335=$B$118:$B$180)*($BD335=$F$118:$F$180),0)))</f>
        <v>ref trt hazard</v>
      </c>
      <c r="BK335" s="17">
        <f t="shared" si="18"/>
        <v>0</v>
      </c>
      <c r="BL335" s="17">
        <f t="shared" si="19"/>
        <v>0</v>
      </c>
      <c r="BN335" s="274" cm="1">
        <f t="array" ref="BN335">INDEX(AA$118:AA$180,MATCH(1,($BC335=$B$118:$B$180)*($BD335=$F$118:$F$180),0))</f>
        <v>0</v>
      </c>
      <c r="BO335" s="274" cm="1">
        <f t="array" ref="BO335">INDEX(AB$118:AB$180,MATCH(1,($BC335=$B$118:$B$180)*($BD335=$F$118:$F$180),0))</f>
        <v>0</v>
      </c>
      <c r="BQ335" s="6" t="s">
        <v>149</v>
      </c>
      <c r="BS335" s="6" t="str" cm="1">
        <f t="array" ref="BS335">IF(AND(BE335=2,BC335=1,OR(i_TE_sc_10y_all_IO=1,i_TE_sc_5and20y_all_IO=1)),"Yes",IF(i_no_TE_waning=1,"No",INDEX(J$118:J$180,MATCH(1,($BC335=$B$118:$B$180)*($BD335=$F$118:$F$180),0))))</f>
        <v>No</v>
      </c>
      <c r="BT335" s="274" t="str">
        <f t="shared" si="20"/>
        <v>No</v>
      </c>
    </row>
    <row r="336" spans="52:72" x14ac:dyDescent="0.2">
      <c r="AZ336" s="657">
        <v>9</v>
      </c>
      <c r="BA336" s="17"/>
      <c r="BB336" s="17" t="s">
        <v>31</v>
      </c>
      <c r="BC336" s="17">
        <v>4</v>
      </c>
      <c r="BD336" s="17" t="str" cm="1">
        <f t="array" ref="BD336">INDEX(List_comparators,$AZ336)</f>
        <v>cabozantinib</v>
      </c>
      <c r="BE336" s="17">
        <f>INDEX(Lists!$L$51:$L$85,MATCH(BD336,Lists!$K$51:$K$85,0))</f>
        <v>8</v>
      </c>
      <c r="BF336" s="17" t="str">
        <f>INDEX(Lists!$S$51:$S$55,4)</f>
        <v>Time to progression</v>
      </c>
      <c r="BG336" s="17">
        <f>INDEX(Lists!$T$51:$T$55,MATCH(BF336,Lists!$S$51:$S$55,0))</f>
        <v>3</v>
      </c>
      <c r="BH336" s="17">
        <f>VLOOKUP(VLOOKUP(BC336,$F$100:$I$103,2,FALSE),Lists!$K$50:$L$63,2,FALSE)</f>
        <v>10</v>
      </c>
      <c r="BI336" s="17" t="str" cm="1">
        <f t="array" ref="BI336">IF(OR(i_TE_sc_PartSA_5y_IO_TKI_OS=1,i_TE_sc_4and6y_IO_TKI_OS_absSurv=1),BT336,IF(OR(i_TE_sc_10y_all_IO=1,i_TE_sc_5and20y_all_IO=1),BS336,IF(i_no_TE_waning=1,"No",INDEX(J$118:J$180,MATCH(1,($BC336=$B$118:$B$180)*($BD336=$F$118:$F$180),0)))))</f>
        <v>No</v>
      </c>
      <c r="BJ336" s="17" t="str" cm="1">
        <f t="array" ref="BJ336">IF(i_TE_sc_4and6y_IO_TKI_OS_absSurv=1,BQ336,INDEX(K$118:K$180,MATCH(1,($BC336=$B$118:$B$180)*($BD336=$F$118:$F$180),0)))</f>
        <v>ref trt hazard</v>
      </c>
      <c r="BK336" s="17">
        <f t="shared" si="18"/>
        <v>0</v>
      </c>
      <c r="BL336" s="17">
        <f t="shared" si="19"/>
        <v>0</v>
      </c>
      <c r="BN336" s="274" cm="1">
        <f t="array" ref="BN336">INDEX(AA$118:AA$180,MATCH(1,($BC336=$B$118:$B$180)*($BD336=$F$118:$F$180),0))</f>
        <v>0</v>
      </c>
      <c r="BO336" s="274" cm="1">
        <f t="array" ref="BO336">INDEX(AB$118:AB$180,MATCH(1,($BC336=$B$118:$B$180)*($BD336=$F$118:$F$180),0))</f>
        <v>0</v>
      </c>
      <c r="BQ336" s="6" t="s">
        <v>149</v>
      </c>
      <c r="BS336" s="6" t="str" cm="1">
        <f t="array" ref="BS336">IF(AND(BE336=2,BC336=1,OR(i_TE_sc_10y_all_IO=1,i_TE_sc_5and20y_all_IO=1)),"Yes",IF(i_no_TE_waning=1,"No",INDEX(J$118:J$180,MATCH(1,($BC336=$B$118:$B$180)*($BD336=$F$118:$F$180),0))))</f>
        <v>No</v>
      </c>
      <c r="BT336" s="274" t="str">
        <f t="shared" si="20"/>
        <v>No</v>
      </c>
    </row>
    <row r="337" spans="52:72" x14ac:dyDescent="0.2">
      <c r="AZ337" s="657">
        <v>10</v>
      </c>
      <c r="BA337" s="17"/>
      <c r="BB337" s="17" t="s">
        <v>31</v>
      </c>
      <c r="BC337" s="17">
        <v>4</v>
      </c>
      <c r="BD337" s="17" t="str" cm="1">
        <f t="array" ref="BD337">INDEX(List_comparators,$AZ337)</f>
        <v>lenvatinib_plus_everolimus</v>
      </c>
      <c r="BE337" s="17">
        <f>INDEX(Lists!$L$51:$L$85,MATCH(BD337,Lists!$K$51:$K$85,0))</f>
        <v>9</v>
      </c>
      <c r="BF337" s="17" t="str">
        <f>INDEX(Lists!$S$51:$S$55,4)</f>
        <v>Time to progression</v>
      </c>
      <c r="BG337" s="17">
        <f>INDEX(Lists!$T$51:$T$55,MATCH(BF337,Lists!$S$51:$S$55,0))</f>
        <v>3</v>
      </c>
      <c r="BH337" s="17">
        <f>VLOOKUP(VLOOKUP(BC337,$F$100:$I$103,2,FALSE),Lists!$K$50:$L$63,2,FALSE)</f>
        <v>10</v>
      </c>
      <c r="BI337" s="17" t="str" cm="1">
        <f t="array" ref="BI337">IF(OR(i_TE_sc_PartSA_5y_IO_TKI_OS=1,i_TE_sc_4and6y_IO_TKI_OS_absSurv=1),BT337,IF(OR(i_TE_sc_10y_all_IO=1,i_TE_sc_5and20y_all_IO=1),BS337,IF(i_no_TE_waning=1,"No",INDEX(J$118:J$180,MATCH(1,($BC337=$B$118:$B$180)*($BD337=$F$118:$F$180),0)))))</f>
        <v>No</v>
      </c>
      <c r="BJ337" s="17" t="str" cm="1">
        <f t="array" ref="BJ337">IF(i_TE_sc_4and6y_IO_TKI_OS_absSurv=1,BQ337,INDEX(K$118:K$180,MATCH(1,($BC337=$B$118:$B$180)*($BD337=$F$118:$F$180),0)))</f>
        <v>ref trt hazard</v>
      </c>
      <c r="BK337" s="17">
        <f t="shared" si="18"/>
        <v>0</v>
      </c>
      <c r="BL337" s="17">
        <f t="shared" si="19"/>
        <v>0</v>
      </c>
      <c r="BN337" s="274" cm="1">
        <f t="array" ref="BN337">INDEX(AA$118:AA$180,MATCH(1,($BC337=$B$118:$B$180)*($BD337=$F$118:$F$180),0))</f>
        <v>0</v>
      </c>
      <c r="BO337" s="274" cm="1">
        <f t="array" ref="BO337">INDEX(AB$118:AB$180,MATCH(1,($BC337=$B$118:$B$180)*($BD337=$F$118:$F$180),0))</f>
        <v>0</v>
      </c>
      <c r="BQ337" s="6" t="s">
        <v>149</v>
      </c>
      <c r="BS337" s="6" t="str" cm="1">
        <f t="array" ref="BS337">IF(AND(BE337=2,BC337=1,OR(i_TE_sc_10y_all_IO=1,i_TE_sc_5and20y_all_IO=1)),"Yes",IF(i_no_TE_waning=1,"No",INDEX(J$118:J$180,MATCH(1,($BC337=$B$118:$B$180)*($BD337=$F$118:$F$180),0))))</f>
        <v>No</v>
      </c>
      <c r="BT337" s="274" t="str">
        <f t="shared" si="20"/>
        <v>No</v>
      </c>
    </row>
    <row r="338" spans="52:72" x14ac:dyDescent="0.2">
      <c r="AZ338" s="657">
        <v>11</v>
      </c>
      <c r="BA338" s="17"/>
      <c r="BB338" s="17" t="s">
        <v>31</v>
      </c>
      <c r="BC338" s="17">
        <v>4</v>
      </c>
      <c r="BD338" s="17" t="str" cm="1">
        <f t="array" ref="BD338">INDEX(List_comparators,$AZ338)</f>
        <v>everolimus</v>
      </c>
      <c r="BE338" s="17">
        <f>INDEX(Lists!$L$51:$L$85,MATCH(BD338,Lists!$K$51:$K$85,0))</f>
        <v>10</v>
      </c>
      <c r="BF338" s="17" t="str">
        <f>INDEX(Lists!$S$51:$S$55,4)</f>
        <v>Time to progression</v>
      </c>
      <c r="BG338" s="17">
        <f>INDEX(Lists!$T$51:$T$55,MATCH(BF338,Lists!$S$51:$S$55,0))</f>
        <v>3</v>
      </c>
      <c r="BH338" s="17">
        <f>VLOOKUP(VLOOKUP(BC338,$F$100:$I$103,2,FALSE),Lists!$K$50:$L$63,2,FALSE)</f>
        <v>10</v>
      </c>
      <c r="BI338" s="17" t="str" cm="1">
        <f t="array" ref="BI338">IF(OR(i_TE_sc_PartSA_5y_IO_TKI_OS=1,i_TE_sc_4and6y_IO_TKI_OS_absSurv=1),BT338,IF(OR(i_TE_sc_10y_all_IO=1,i_TE_sc_5and20y_all_IO=1),BS338,IF(i_no_TE_waning=1,"No",INDEX(J$118:J$180,MATCH(1,($BC338=$B$118:$B$180)*($BD338=$F$118:$F$180),0)))))</f>
        <v>No</v>
      </c>
      <c r="BJ338" s="17" t="str" cm="1">
        <f t="array" ref="BJ338">IF(i_TE_sc_4and6y_IO_TKI_OS_absSurv=1,BQ338,INDEX(K$118:K$180,MATCH(1,($BC338=$B$118:$B$180)*($BD338=$F$118:$F$180),0)))</f>
        <v>ref trt hazard</v>
      </c>
      <c r="BK338" s="17">
        <f t="shared" si="18"/>
        <v>0</v>
      </c>
      <c r="BL338" s="17">
        <f t="shared" si="19"/>
        <v>0</v>
      </c>
      <c r="BN338" s="274" cm="1">
        <f t="array" ref="BN338">INDEX(AA$118:AA$180,MATCH(1,($BC338=$B$118:$B$180)*($BD338=$F$118:$F$180),0))</f>
        <v>0</v>
      </c>
      <c r="BO338" s="274" cm="1">
        <f t="array" ref="BO338">INDEX(AB$118:AB$180,MATCH(1,($BC338=$B$118:$B$180)*($BD338=$F$118:$F$180),0))</f>
        <v>0</v>
      </c>
      <c r="BQ338" s="6" t="s">
        <v>149</v>
      </c>
      <c r="BS338" s="6" t="str" cm="1">
        <f t="array" ref="BS338">IF(AND(BE338=2,BC338=1,OR(i_TE_sc_10y_all_IO=1,i_TE_sc_5and20y_all_IO=1)),"Yes",IF(i_no_TE_waning=1,"No",INDEX(J$118:J$180,MATCH(1,($BC338=$B$118:$B$180)*($BD338=$F$118:$F$180),0))))</f>
        <v>No</v>
      </c>
      <c r="BT338" s="274" t="str">
        <f t="shared" si="20"/>
        <v>No</v>
      </c>
    </row>
    <row r="339" spans="52:72" x14ac:dyDescent="0.2">
      <c r="AZ339" s="657">
        <v>12</v>
      </c>
      <c r="BA339" s="17"/>
      <c r="BB339" s="17" t="s">
        <v>31</v>
      </c>
      <c r="BC339" s="17">
        <v>4</v>
      </c>
      <c r="BD339" s="17" t="str" cm="1">
        <f t="array" ref="BD339">INDEX(List_comparators,$AZ339)</f>
        <v>axitinib</v>
      </c>
      <c r="BE339" s="17">
        <f>INDEX(Lists!$L$51:$L$85,MATCH(BD339,Lists!$K$51:$K$85,0))</f>
        <v>11</v>
      </c>
      <c r="BF339" s="17" t="str">
        <f>INDEX(Lists!$S$51:$S$55,4)</f>
        <v>Time to progression</v>
      </c>
      <c r="BG339" s="17">
        <f>INDEX(Lists!$T$51:$T$55,MATCH(BF339,Lists!$S$51:$S$55,0))</f>
        <v>3</v>
      </c>
      <c r="BH339" s="17">
        <f>VLOOKUP(VLOOKUP(BC339,$F$100:$I$103,2,FALSE),Lists!$K$50:$L$63,2,FALSE)</f>
        <v>10</v>
      </c>
      <c r="BI339" s="17" t="str" cm="1">
        <f t="array" ref="BI339">IF(OR(i_TE_sc_PartSA_5y_IO_TKI_OS=1,i_TE_sc_4and6y_IO_TKI_OS_absSurv=1),BT339,IF(OR(i_TE_sc_10y_all_IO=1,i_TE_sc_5and20y_all_IO=1),BS339,IF(i_no_TE_waning=1,"No",INDEX(J$118:J$180,MATCH(1,($BC339=$B$118:$B$180)*($BD339=$F$118:$F$180),0)))))</f>
        <v>No</v>
      </c>
      <c r="BJ339" s="17" t="str" cm="1">
        <f t="array" ref="BJ339">IF(i_TE_sc_4and6y_IO_TKI_OS_absSurv=1,BQ339,INDEX(K$118:K$180,MATCH(1,($BC339=$B$118:$B$180)*($BD339=$F$118:$F$180),0)))</f>
        <v>ref trt hazard</v>
      </c>
      <c r="BK339" s="17">
        <f t="shared" si="18"/>
        <v>0</v>
      </c>
      <c r="BL339" s="17">
        <f t="shared" si="19"/>
        <v>0</v>
      </c>
      <c r="BN339" s="274" cm="1">
        <f t="array" ref="BN339">INDEX(AA$118:AA$180,MATCH(1,($BC339=$B$118:$B$180)*($BD339=$F$118:$F$180),0))</f>
        <v>0</v>
      </c>
      <c r="BO339" s="274" cm="1">
        <f t="array" ref="BO339">INDEX(AB$118:AB$180,MATCH(1,($BC339=$B$118:$B$180)*($BD339=$F$118:$F$180),0))</f>
        <v>0</v>
      </c>
      <c r="BQ339" s="6" t="s">
        <v>149</v>
      </c>
      <c r="BS339" s="6" t="str" cm="1">
        <f t="array" ref="BS339">IF(AND(BE339=2,BC339=1,OR(i_TE_sc_10y_all_IO=1,i_TE_sc_5and20y_all_IO=1)),"Yes",IF(i_no_TE_waning=1,"No",INDEX(J$118:J$180,MATCH(1,($BC339=$B$118:$B$180)*($BD339=$F$118:$F$180),0))))</f>
        <v>No</v>
      </c>
      <c r="BT339" s="274" t="str">
        <f t="shared" si="20"/>
        <v>No</v>
      </c>
    </row>
    <row r="340" spans="52:72" x14ac:dyDescent="0.2">
      <c r="AZ340" s="657">
        <v>13</v>
      </c>
      <c r="BA340" s="17"/>
      <c r="BB340" s="17" t="s">
        <v>31</v>
      </c>
      <c r="BC340" s="17">
        <v>4</v>
      </c>
      <c r="BD340" s="17" t="str" cm="1">
        <f t="array" ref="BD340">INDEX(List_comparators,$AZ340)</f>
        <v>sorafenib</v>
      </c>
      <c r="BE340" s="17">
        <f>INDEX(Lists!$L$51:$L$85,MATCH(BD340,Lists!$K$51:$K$85,0))</f>
        <v>12</v>
      </c>
      <c r="BF340" s="17" t="str">
        <f>INDEX(Lists!$S$51:$S$55,4)</f>
        <v>Time to progression</v>
      </c>
      <c r="BG340" s="17">
        <f>INDEX(Lists!$T$51:$T$55,MATCH(BF340,Lists!$S$51:$S$55,0))</f>
        <v>3</v>
      </c>
      <c r="BH340" s="17">
        <f>VLOOKUP(VLOOKUP(BC340,$F$100:$I$103,2,FALSE),Lists!$K$50:$L$63,2,FALSE)</f>
        <v>10</v>
      </c>
      <c r="BI340" s="17" t="str" cm="1">
        <f t="array" ref="BI340">IF(OR(i_TE_sc_PartSA_5y_IO_TKI_OS=1,i_TE_sc_4and6y_IO_TKI_OS_absSurv=1),BT340,IF(OR(i_TE_sc_10y_all_IO=1,i_TE_sc_5and20y_all_IO=1),BS340,IF(i_no_TE_waning=1,"No",INDEX(J$118:J$180,MATCH(1,($BC340=$B$118:$B$180)*($BD340=$F$118:$F$180),0)))))</f>
        <v>No</v>
      </c>
      <c r="BJ340" s="17" t="str" cm="1">
        <f t="array" ref="BJ340">IF(i_TE_sc_4and6y_IO_TKI_OS_absSurv=1,BQ340,INDEX(K$118:K$180,MATCH(1,($BC340=$B$118:$B$180)*($BD340=$F$118:$F$180),0)))</f>
        <v>ref trt hazard</v>
      </c>
      <c r="BK340" s="17">
        <f t="shared" si="18"/>
        <v>0</v>
      </c>
      <c r="BL340" s="17">
        <f t="shared" si="19"/>
        <v>0</v>
      </c>
      <c r="BN340" s="274" cm="1">
        <f t="array" ref="BN340">INDEX(AA$118:AA$180,MATCH(1,($BC340=$B$118:$B$180)*($BD340=$F$118:$F$180),0))</f>
        <v>0</v>
      </c>
      <c r="BO340" s="274" cm="1">
        <f t="array" ref="BO340">INDEX(AB$118:AB$180,MATCH(1,($BC340=$B$118:$B$180)*($BD340=$F$118:$F$180),0))</f>
        <v>0</v>
      </c>
      <c r="BQ340" s="6" t="s">
        <v>149</v>
      </c>
      <c r="BS340" s="6" t="str" cm="1">
        <f t="array" ref="BS340">IF(AND(BE340=2,BC340=1,OR(i_TE_sc_10y_all_IO=1,i_TE_sc_5and20y_all_IO=1)),"Yes",IF(i_no_TE_waning=1,"No",INDEX(J$118:J$180,MATCH(1,($BC340=$B$118:$B$180)*($BD340=$F$118:$F$180),0))))</f>
        <v>No</v>
      </c>
      <c r="BT340" s="274" t="str">
        <f t="shared" si="20"/>
        <v>No</v>
      </c>
    </row>
    <row r="341" spans="52:72" x14ac:dyDescent="0.2">
      <c r="AZ341" s="657">
        <v>14</v>
      </c>
      <c r="BA341" s="17"/>
      <c r="BB341" s="17" t="s">
        <v>31</v>
      </c>
      <c r="BC341" s="17">
        <v>4</v>
      </c>
      <c r="BD341" s="17" t="str" cm="1">
        <f t="array" ref="BD341">INDEX(List_comparators,$AZ341)</f>
        <v>placebo_BSC</v>
      </c>
      <c r="BE341" s="17">
        <f>INDEX(Lists!$L$51:$L$85,MATCH(BD341,Lists!$K$51:$K$85,0))</f>
        <v>999</v>
      </c>
      <c r="BF341" s="17" t="str">
        <f>INDEX(Lists!$S$51:$S$55,4)</f>
        <v>Time to progression</v>
      </c>
      <c r="BG341" s="17">
        <f>INDEX(Lists!$T$51:$T$55,MATCH(BF341,Lists!$S$51:$S$55,0))</f>
        <v>3</v>
      </c>
      <c r="BH341" s="17">
        <f>VLOOKUP(VLOOKUP(BC341,$F$100:$I$103,2,FALSE),Lists!$K$50:$L$63,2,FALSE)</f>
        <v>10</v>
      </c>
      <c r="BI341" s="17" t="str" cm="1">
        <f t="array" ref="BI341">IF(OR(i_TE_sc_PartSA_5y_IO_TKI_OS=1,i_TE_sc_4and6y_IO_TKI_OS_absSurv=1),BT341,IF(OR(i_TE_sc_10y_all_IO=1,i_TE_sc_5and20y_all_IO=1),BS341,IF(i_no_TE_waning=1,"No",INDEX(J$118:J$180,MATCH(1,($BC341=$B$118:$B$180)*($BD341=$F$118:$F$180),0)))))</f>
        <v>No</v>
      </c>
      <c r="BJ341" s="17" cm="1">
        <f t="array" ref="BJ341">IF(i_TE_sc_4and6y_IO_TKI_OS_absSurv=1,BQ341,INDEX(K$118:K$180,MATCH(1,($BC341=$B$118:$B$180)*($BD341=$F$118:$F$180),0)))</f>
        <v>0</v>
      </c>
      <c r="BK341" s="17">
        <f t="shared" si="18"/>
        <v>0</v>
      </c>
      <c r="BL341" s="17">
        <f t="shared" si="19"/>
        <v>0</v>
      </c>
      <c r="BN341" s="274" cm="1">
        <f t="array" ref="BN341">INDEX(AA$118:AA$180,MATCH(1,($BC341=$B$118:$B$180)*($BD341=$F$118:$F$180),0))</f>
        <v>0</v>
      </c>
      <c r="BO341" s="274" cm="1">
        <f t="array" ref="BO341">INDEX(AB$118:AB$180,MATCH(1,($BC341=$B$118:$B$180)*($BD341=$F$118:$F$180),0))</f>
        <v>0</v>
      </c>
    </row>
    <row r="342" spans="52:72" x14ac:dyDescent="0.2">
      <c r="BA342" s="17"/>
      <c r="BB342" s="17"/>
      <c r="BC342" s="17"/>
      <c r="BD342" s="17"/>
      <c r="BE342" s="17"/>
      <c r="BF342" s="17"/>
      <c r="BG342" s="17"/>
      <c r="BH342" s="17"/>
      <c r="BI342" s="17"/>
      <c r="BJ342" s="17"/>
      <c r="BK342" s="17"/>
    </row>
    <row r="343" spans="52:72" x14ac:dyDescent="0.2">
      <c r="BA343" s="17"/>
      <c r="BB343" s="17"/>
      <c r="BC343" s="17"/>
      <c r="BD343" s="17"/>
      <c r="BE343" s="17"/>
      <c r="BF343" s="17"/>
      <c r="BG343" s="17"/>
      <c r="BH343" s="17"/>
      <c r="BI343" s="17"/>
      <c r="BJ343" s="17"/>
      <c r="BK343" s="17"/>
    </row>
    <row r="344" spans="52:72" x14ac:dyDescent="0.2">
      <c r="BA344" s="17"/>
      <c r="BB344" s="17"/>
      <c r="BC344" s="17"/>
      <c r="BD344" s="17"/>
      <c r="BE344" s="17"/>
      <c r="BF344" s="17"/>
      <c r="BG344" s="17"/>
      <c r="BH344" s="17"/>
      <c r="BI344" s="17"/>
      <c r="BJ344" s="17"/>
      <c r="BK344" s="17"/>
    </row>
    <row r="345" spans="52:72" x14ac:dyDescent="0.2">
      <c r="BA345" s="17"/>
      <c r="BB345" s="17"/>
      <c r="BC345" s="17"/>
      <c r="BD345" s="17"/>
      <c r="BE345" s="17"/>
      <c r="BF345" s="17"/>
      <c r="BG345" s="17"/>
      <c r="BH345" s="17"/>
      <c r="BI345" s="17"/>
      <c r="BJ345" s="17"/>
      <c r="BK345" s="17"/>
    </row>
    <row r="346" spans="52:72" x14ac:dyDescent="0.2">
      <c r="BA346" s="17"/>
      <c r="BB346" s="17"/>
      <c r="BC346" s="17"/>
      <c r="BD346" s="17"/>
      <c r="BE346" s="17"/>
      <c r="BF346" s="17"/>
      <c r="BG346" s="17"/>
      <c r="BH346" s="17"/>
      <c r="BI346" s="17"/>
      <c r="BJ346" s="17"/>
      <c r="BK346" s="17"/>
    </row>
    <row r="347" spans="52:72" x14ac:dyDescent="0.2">
      <c r="BA347" s="17"/>
      <c r="BB347" s="17"/>
      <c r="BC347" s="17"/>
      <c r="BD347" s="17"/>
      <c r="BE347" s="17"/>
      <c r="BF347" s="17"/>
      <c r="BG347" s="17"/>
      <c r="BH347" s="17"/>
      <c r="BI347" s="17"/>
      <c r="BJ347" s="17"/>
      <c r="BK347" s="17"/>
    </row>
    <row r="348" spans="52:72" x14ac:dyDescent="0.2">
      <c r="BA348" s="17"/>
      <c r="BB348" s="17"/>
      <c r="BC348" s="17"/>
      <c r="BD348" s="17"/>
      <c r="BE348" s="17"/>
      <c r="BF348" s="17"/>
      <c r="BG348" s="17"/>
      <c r="BH348" s="17"/>
      <c r="BI348" s="17"/>
      <c r="BJ348" s="17"/>
      <c r="BK348" s="17"/>
    </row>
    <row r="349" spans="52:72" x14ac:dyDescent="0.2">
      <c r="BA349" s="17"/>
      <c r="BB349" s="17"/>
      <c r="BC349" s="17"/>
      <c r="BD349" s="17"/>
      <c r="BE349" s="17"/>
      <c r="BF349" s="17"/>
      <c r="BG349" s="17"/>
      <c r="BH349" s="17"/>
      <c r="BI349" s="17"/>
      <c r="BJ349" s="17"/>
      <c r="BK349" s="17"/>
    </row>
    <row r="350" spans="52:72" x14ac:dyDescent="0.2">
      <c r="BA350" s="17"/>
      <c r="BB350" s="17"/>
      <c r="BC350" s="17"/>
      <c r="BD350" s="17"/>
      <c r="BE350" s="17"/>
      <c r="BF350" s="17"/>
      <c r="BG350" s="17"/>
      <c r="BH350" s="17"/>
      <c r="BI350" s="17"/>
      <c r="BJ350" s="17"/>
      <c r="BK350" s="17"/>
    </row>
    <row r="351" spans="52:72" x14ac:dyDescent="0.2">
      <c r="BA351" s="17"/>
      <c r="BB351" s="17"/>
      <c r="BC351" s="17"/>
      <c r="BD351" s="17"/>
      <c r="BE351" s="17"/>
      <c r="BF351" s="17"/>
      <c r="BG351" s="17"/>
      <c r="BH351" s="17"/>
      <c r="BI351" s="17"/>
      <c r="BJ351" s="17"/>
      <c r="BK351" s="17"/>
    </row>
    <row r="352" spans="52:72" x14ac:dyDescent="0.2">
      <c r="BA352" s="17"/>
      <c r="BB352" s="17"/>
      <c r="BC352" s="17"/>
      <c r="BD352" s="17"/>
      <c r="BE352" s="17"/>
      <c r="BF352" s="17"/>
      <c r="BG352" s="17"/>
      <c r="BH352" s="17"/>
      <c r="BI352" s="17"/>
      <c r="BJ352" s="17"/>
      <c r="BK352" s="17"/>
    </row>
    <row r="353" spans="53:63" x14ac:dyDescent="0.2">
      <c r="BA353" s="17"/>
      <c r="BB353" s="17"/>
      <c r="BC353" s="17"/>
      <c r="BD353" s="17"/>
      <c r="BE353" s="17"/>
      <c r="BF353" s="17"/>
      <c r="BG353" s="17"/>
      <c r="BH353" s="17"/>
      <c r="BI353" s="17"/>
      <c r="BJ353" s="17"/>
      <c r="BK353" s="17"/>
    </row>
    <row r="354" spans="53:63" x14ac:dyDescent="0.2">
      <c r="BA354" s="17"/>
      <c r="BB354" s="17"/>
      <c r="BC354" s="17"/>
      <c r="BD354" s="17"/>
      <c r="BE354" s="17"/>
      <c r="BF354" s="17"/>
      <c r="BG354" s="17"/>
      <c r="BH354" s="17"/>
      <c r="BI354" s="17"/>
      <c r="BJ354" s="17"/>
      <c r="BK354" s="17"/>
    </row>
    <row r="355" spans="53:63" x14ac:dyDescent="0.2">
      <c r="BA355" s="17"/>
      <c r="BB355" s="17"/>
      <c r="BC355" s="17"/>
      <c r="BD355" s="17"/>
      <c r="BE355" s="17"/>
      <c r="BF355" s="17"/>
      <c r="BG355" s="17"/>
      <c r="BH355" s="17"/>
      <c r="BI355" s="17"/>
      <c r="BJ355" s="17"/>
      <c r="BK355" s="17"/>
    </row>
    <row r="356" spans="53:63" x14ac:dyDescent="0.2">
      <c r="BA356" s="17"/>
      <c r="BB356" s="17"/>
      <c r="BC356" s="17"/>
      <c r="BD356" s="17"/>
      <c r="BE356" s="17"/>
      <c r="BF356" s="17"/>
      <c r="BG356" s="17"/>
      <c r="BH356" s="17"/>
      <c r="BI356" s="17"/>
      <c r="BJ356" s="17"/>
      <c r="BK356" s="17"/>
    </row>
    <row r="357" spans="53:63" x14ac:dyDescent="0.2">
      <c r="BA357" s="17"/>
      <c r="BB357" s="17"/>
      <c r="BC357" s="17"/>
      <c r="BD357" s="17"/>
      <c r="BE357" s="17"/>
      <c r="BF357" s="17"/>
      <c r="BG357" s="17"/>
      <c r="BH357" s="17"/>
      <c r="BI357" s="17"/>
      <c r="BJ357" s="17"/>
      <c r="BK357" s="17"/>
    </row>
    <row r="358" spans="53:63" x14ac:dyDescent="0.2">
      <c r="BA358" s="17"/>
      <c r="BB358" s="17"/>
      <c r="BC358" s="17"/>
      <c r="BD358" s="17"/>
      <c r="BE358" s="17"/>
      <c r="BF358" s="17"/>
      <c r="BG358" s="17"/>
      <c r="BH358" s="17"/>
      <c r="BI358" s="17"/>
      <c r="BJ358" s="17"/>
      <c r="BK358" s="17"/>
    </row>
    <row r="359" spans="53:63" x14ac:dyDescent="0.2">
      <c r="BA359" s="17"/>
      <c r="BB359" s="17"/>
      <c r="BC359" s="17"/>
      <c r="BD359" s="17"/>
      <c r="BE359" s="17"/>
      <c r="BF359" s="17"/>
      <c r="BG359" s="17"/>
      <c r="BH359" s="17"/>
      <c r="BI359" s="17"/>
      <c r="BJ359" s="17"/>
      <c r="BK359" s="17"/>
    </row>
    <row r="360" spans="53:63" x14ac:dyDescent="0.2">
      <c r="BA360" s="17"/>
      <c r="BB360" s="17"/>
      <c r="BC360" s="17"/>
      <c r="BD360" s="17"/>
      <c r="BE360" s="17"/>
      <c r="BF360" s="17"/>
      <c r="BG360" s="17"/>
      <c r="BH360" s="17"/>
      <c r="BI360" s="17"/>
      <c r="BJ360" s="17"/>
      <c r="BK360" s="17"/>
    </row>
    <row r="361" spans="53:63" x14ac:dyDescent="0.2">
      <c r="BA361" s="17"/>
      <c r="BB361" s="17"/>
      <c r="BC361" s="17"/>
      <c r="BD361" s="17"/>
      <c r="BE361" s="17"/>
      <c r="BF361" s="17"/>
      <c r="BG361" s="17"/>
      <c r="BH361" s="17"/>
      <c r="BI361" s="17"/>
      <c r="BJ361" s="17"/>
      <c r="BK361" s="17"/>
    </row>
    <row r="362" spans="53:63" x14ac:dyDescent="0.2">
      <c r="BA362" s="17"/>
      <c r="BB362" s="17"/>
      <c r="BC362" s="17"/>
      <c r="BD362" s="17"/>
      <c r="BE362" s="17"/>
      <c r="BF362" s="17"/>
      <c r="BG362" s="17"/>
      <c r="BH362" s="17"/>
      <c r="BI362" s="17"/>
      <c r="BJ362" s="17"/>
      <c r="BK362" s="17"/>
    </row>
    <row r="363" spans="53:63" x14ac:dyDescent="0.2">
      <c r="BA363" s="17"/>
      <c r="BB363" s="17"/>
      <c r="BC363" s="17"/>
      <c r="BD363" s="17"/>
      <c r="BE363" s="17"/>
      <c r="BF363" s="17"/>
      <c r="BG363" s="17"/>
      <c r="BH363" s="17"/>
      <c r="BI363" s="17"/>
      <c r="BJ363" s="17"/>
      <c r="BK363" s="17"/>
    </row>
    <row r="364" spans="53:63" x14ac:dyDescent="0.2">
      <c r="BA364" s="17"/>
      <c r="BB364" s="17"/>
      <c r="BC364" s="17"/>
      <c r="BD364" s="17"/>
      <c r="BE364" s="17"/>
      <c r="BF364" s="17"/>
      <c r="BG364" s="17"/>
      <c r="BH364" s="17"/>
      <c r="BI364" s="17"/>
      <c r="BJ364" s="17"/>
      <c r="BK364" s="17"/>
    </row>
    <row r="365" spans="53:63" x14ac:dyDescent="0.2">
      <c r="BA365" s="17"/>
      <c r="BB365" s="17"/>
      <c r="BC365" s="17"/>
      <c r="BD365" s="17"/>
      <c r="BE365" s="17"/>
      <c r="BF365" s="17"/>
      <c r="BG365" s="17"/>
      <c r="BH365" s="17"/>
      <c r="BI365" s="17"/>
      <c r="BJ365" s="17"/>
      <c r="BK365" s="17"/>
    </row>
    <row r="366" spans="53:63" x14ac:dyDescent="0.2">
      <c r="BA366" s="17"/>
      <c r="BB366" s="17"/>
      <c r="BC366" s="17"/>
      <c r="BD366" s="17"/>
      <c r="BE366" s="17"/>
      <c r="BF366" s="17"/>
      <c r="BG366" s="17"/>
      <c r="BH366" s="17"/>
      <c r="BI366" s="17"/>
      <c r="BJ366" s="17"/>
      <c r="BK366" s="17"/>
    </row>
    <row r="367" spans="53:63" x14ac:dyDescent="0.2">
      <c r="BA367" s="17"/>
      <c r="BB367" s="17"/>
      <c r="BC367" s="17"/>
      <c r="BD367" s="17"/>
      <c r="BE367" s="17"/>
      <c r="BF367" s="17"/>
      <c r="BG367" s="17"/>
      <c r="BH367" s="17"/>
      <c r="BI367" s="17"/>
      <c r="BJ367" s="17"/>
      <c r="BK367" s="17"/>
    </row>
    <row r="368" spans="53:63" x14ac:dyDescent="0.2">
      <c r="BA368" s="17"/>
      <c r="BB368" s="17"/>
      <c r="BC368" s="17"/>
      <c r="BD368" s="17"/>
      <c r="BE368" s="17"/>
      <c r="BF368" s="17"/>
      <c r="BG368" s="17"/>
      <c r="BH368" s="17"/>
      <c r="BI368" s="17"/>
      <c r="BJ368" s="17"/>
      <c r="BK368" s="17"/>
    </row>
    <row r="369" spans="53:63" x14ac:dyDescent="0.2">
      <c r="BA369" s="17"/>
      <c r="BB369" s="17"/>
      <c r="BC369" s="17"/>
      <c r="BD369" s="17"/>
      <c r="BE369" s="17"/>
      <c r="BF369" s="17"/>
      <c r="BG369" s="17"/>
      <c r="BH369" s="17"/>
      <c r="BI369" s="17"/>
      <c r="BJ369" s="17"/>
      <c r="BK369" s="17"/>
    </row>
    <row r="370" spans="53:63" x14ac:dyDescent="0.2">
      <c r="BA370" s="17"/>
      <c r="BB370" s="17"/>
      <c r="BC370" s="17"/>
      <c r="BD370" s="17"/>
      <c r="BE370" s="17"/>
      <c r="BF370" s="17"/>
      <c r="BG370" s="17"/>
      <c r="BH370" s="17"/>
      <c r="BI370" s="17"/>
      <c r="BJ370" s="17"/>
      <c r="BK370" s="17"/>
    </row>
    <row r="371" spans="53:63" x14ac:dyDescent="0.2">
      <c r="BA371" s="17"/>
      <c r="BB371" s="17"/>
      <c r="BC371" s="17"/>
      <c r="BD371" s="17"/>
      <c r="BE371" s="17"/>
      <c r="BF371" s="17"/>
      <c r="BG371" s="17"/>
      <c r="BH371" s="17"/>
      <c r="BI371" s="17"/>
      <c r="BJ371" s="17"/>
      <c r="BK371" s="17"/>
    </row>
    <row r="372" spans="53:63" x14ac:dyDescent="0.2">
      <c r="BA372" s="17"/>
      <c r="BB372" s="17"/>
      <c r="BC372" s="17"/>
      <c r="BD372" s="17"/>
      <c r="BE372" s="17"/>
      <c r="BF372" s="17"/>
      <c r="BG372" s="17"/>
      <c r="BH372" s="17"/>
      <c r="BI372" s="17"/>
      <c r="BJ372" s="17"/>
      <c r="BK372" s="17"/>
    </row>
    <row r="373" spans="53:63" x14ac:dyDescent="0.2">
      <c r="BA373" s="17"/>
      <c r="BB373" s="17"/>
      <c r="BC373" s="17"/>
      <c r="BD373" s="17"/>
      <c r="BE373" s="17"/>
      <c r="BF373" s="17"/>
      <c r="BG373" s="17"/>
      <c r="BH373" s="17"/>
      <c r="BI373" s="17"/>
      <c r="BJ373" s="17"/>
      <c r="BK373" s="17"/>
    </row>
    <row r="374" spans="53:63" x14ac:dyDescent="0.2">
      <c r="BA374" s="17"/>
      <c r="BB374" s="17"/>
      <c r="BC374" s="17"/>
      <c r="BD374" s="17"/>
      <c r="BE374" s="17"/>
      <c r="BF374" s="17"/>
      <c r="BG374" s="17"/>
      <c r="BH374" s="17"/>
      <c r="BI374" s="17"/>
      <c r="BJ374" s="17"/>
      <c r="BK374" s="17"/>
    </row>
    <row r="375" spans="53:63" x14ac:dyDescent="0.2">
      <c r="BA375" s="17"/>
      <c r="BB375" s="17"/>
      <c r="BC375" s="17"/>
      <c r="BD375" s="17"/>
      <c r="BE375" s="17"/>
      <c r="BF375" s="17"/>
      <c r="BG375" s="17"/>
      <c r="BH375" s="17"/>
      <c r="BI375" s="17"/>
      <c r="BJ375" s="17"/>
      <c r="BK375" s="17"/>
    </row>
    <row r="376" spans="53:63" x14ac:dyDescent="0.2">
      <c r="BA376" s="17"/>
      <c r="BB376" s="17"/>
      <c r="BC376" s="17"/>
      <c r="BD376" s="17"/>
      <c r="BE376" s="17"/>
      <c r="BF376" s="17"/>
      <c r="BG376" s="17"/>
      <c r="BH376" s="17"/>
      <c r="BI376" s="17"/>
      <c r="BJ376" s="17"/>
      <c r="BK376" s="17"/>
    </row>
    <row r="377" spans="53:63" x14ac:dyDescent="0.2">
      <c r="BA377" s="17"/>
      <c r="BB377" s="17"/>
      <c r="BC377" s="17"/>
      <c r="BD377" s="17"/>
      <c r="BE377" s="17"/>
      <c r="BF377" s="17"/>
      <c r="BG377" s="17"/>
      <c r="BH377" s="17"/>
      <c r="BI377" s="17"/>
      <c r="BJ377" s="17"/>
      <c r="BK377" s="17"/>
    </row>
    <row r="378" spans="53:63" x14ac:dyDescent="0.2">
      <c r="BA378" s="17"/>
      <c r="BB378" s="17"/>
      <c r="BC378" s="17"/>
      <c r="BD378" s="17"/>
      <c r="BE378" s="17"/>
      <c r="BF378" s="17"/>
      <c r="BG378" s="17"/>
      <c r="BH378" s="17"/>
      <c r="BI378" s="17"/>
      <c r="BJ378" s="17"/>
      <c r="BK378" s="17"/>
    </row>
    <row r="379" spans="53:63" x14ac:dyDescent="0.2">
      <c r="BA379" s="17"/>
      <c r="BB379" s="17"/>
      <c r="BC379" s="17"/>
      <c r="BD379" s="17"/>
      <c r="BE379" s="17"/>
      <c r="BF379" s="17"/>
      <c r="BG379" s="17"/>
      <c r="BH379" s="17"/>
      <c r="BI379" s="17"/>
      <c r="BJ379" s="17"/>
      <c r="BK379" s="17"/>
    </row>
    <row r="380" spans="53:63" x14ac:dyDescent="0.2">
      <c r="BA380" s="17"/>
      <c r="BB380" s="17"/>
      <c r="BC380" s="17"/>
      <c r="BD380" s="17"/>
      <c r="BE380" s="17"/>
      <c r="BF380" s="17"/>
      <c r="BG380" s="17"/>
      <c r="BH380" s="17"/>
      <c r="BI380" s="17"/>
      <c r="BJ380" s="17"/>
      <c r="BK380" s="17"/>
    </row>
    <row r="381" spans="53:63" x14ac:dyDescent="0.2">
      <c r="BA381" s="17"/>
      <c r="BB381" s="17"/>
      <c r="BC381" s="17"/>
      <c r="BD381" s="17"/>
      <c r="BE381" s="17"/>
      <c r="BF381" s="17"/>
      <c r="BG381" s="17"/>
      <c r="BH381" s="17"/>
      <c r="BI381" s="17"/>
      <c r="BJ381" s="17"/>
      <c r="BK381" s="17"/>
    </row>
    <row r="382" spans="53:63" x14ac:dyDescent="0.2">
      <c r="BA382" s="17"/>
      <c r="BB382" s="17"/>
      <c r="BC382" s="17"/>
      <c r="BD382" s="17"/>
      <c r="BE382" s="17"/>
      <c r="BF382" s="17"/>
      <c r="BG382" s="17"/>
      <c r="BH382" s="17"/>
      <c r="BI382" s="17"/>
      <c r="BJ382" s="17"/>
      <c r="BK382" s="17"/>
    </row>
    <row r="383" spans="53:63" x14ac:dyDescent="0.2">
      <c r="BA383" s="17"/>
      <c r="BB383" s="17"/>
      <c r="BC383" s="17"/>
      <c r="BD383" s="17"/>
      <c r="BE383" s="17"/>
      <c r="BF383" s="17"/>
      <c r="BG383" s="17"/>
      <c r="BH383" s="17"/>
      <c r="BI383" s="17"/>
      <c r="BJ383" s="17"/>
      <c r="BK383" s="17"/>
    </row>
    <row r="384" spans="53:63" x14ac:dyDescent="0.2">
      <c r="BA384" s="17"/>
      <c r="BB384" s="17"/>
      <c r="BC384" s="17"/>
      <c r="BD384" s="17"/>
      <c r="BE384" s="17"/>
      <c r="BF384" s="17"/>
      <c r="BG384" s="17"/>
      <c r="BH384" s="17"/>
      <c r="BI384" s="17"/>
      <c r="BJ384" s="17"/>
      <c r="BK384" s="17"/>
    </row>
    <row r="385" spans="53:63" x14ac:dyDescent="0.2">
      <c r="BA385" s="17"/>
      <c r="BB385" s="17"/>
      <c r="BC385" s="17"/>
      <c r="BD385" s="17"/>
      <c r="BE385" s="17"/>
      <c r="BF385" s="17"/>
      <c r="BG385" s="17"/>
      <c r="BH385" s="17"/>
      <c r="BI385" s="17"/>
      <c r="BJ385" s="17"/>
      <c r="BK385" s="17"/>
    </row>
    <row r="386" spans="53:63" x14ac:dyDescent="0.2">
      <c r="BA386" s="17"/>
      <c r="BB386" s="17"/>
      <c r="BC386" s="17"/>
      <c r="BD386" s="17"/>
      <c r="BE386" s="17"/>
      <c r="BF386" s="17"/>
      <c r="BG386" s="17"/>
      <c r="BH386" s="17"/>
      <c r="BI386" s="17"/>
      <c r="BJ386" s="17"/>
      <c r="BK386" s="17"/>
    </row>
    <row r="387" spans="53:63" x14ac:dyDescent="0.2">
      <c r="BA387" s="17"/>
      <c r="BB387" s="17"/>
      <c r="BC387" s="17"/>
      <c r="BD387" s="17"/>
      <c r="BE387" s="17"/>
      <c r="BF387" s="17"/>
      <c r="BG387" s="17"/>
      <c r="BH387" s="17"/>
      <c r="BI387" s="17"/>
      <c r="BJ387" s="17"/>
      <c r="BK387" s="17"/>
    </row>
    <row r="388" spans="53:63" x14ac:dyDescent="0.2">
      <c r="BA388" s="17"/>
      <c r="BB388" s="17"/>
      <c r="BC388" s="17"/>
      <c r="BD388" s="17"/>
      <c r="BE388" s="17"/>
      <c r="BF388" s="17"/>
      <c r="BG388" s="17"/>
      <c r="BH388" s="17"/>
      <c r="BI388" s="17"/>
      <c r="BJ388" s="17"/>
      <c r="BK388" s="17"/>
    </row>
    <row r="389" spans="53:63" x14ac:dyDescent="0.2">
      <c r="BA389" s="17"/>
      <c r="BB389" s="17"/>
      <c r="BC389" s="17"/>
      <c r="BD389" s="17"/>
      <c r="BE389" s="17"/>
      <c r="BF389" s="17"/>
      <c r="BG389" s="17"/>
      <c r="BH389" s="17"/>
      <c r="BI389" s="17"/>
      <c r="BJ389" s="17"/>
      <c r="BK389" s="17"/>
    </row>
    <row r="390" spans="53:63" x14ac:dyDescent="0.2">
      <c r="BA390" s="17"/>
      <c r="BB390" s="17"/>
      <c r="BC390" s="17"/>
      <c r="BD390" s="17"/>
      <c r="BE390" s="17"/>
      <c r="BF390" s="17"/>
      <c r="BG390" s="17"/>
      <c r="BH390" s="17"/>
      <c r="BI390" s="17"/>
      <c r="BJ390" s="17"/>
      <c r="BK390" s="17"/>
    </row>
    <row r="391" spans="53:63" x14ac:dyDescent="0.2">
      <c r="BA391" s="17"/>
      <c r="BB391" s="17"/>
      <c r="BC391" s="17"/>
      <c r="BD391" s="17"/>
      <c r="BE391" s="17"/>
      <c r="BF391" s="17"/>
      <c r="BG391" s="17"/>
      <c r="BH391" s="17"/>
      <c r="BI391" s="17"/>
      <c r="BJ391" s="17"/>
      <c r="BK391" s="17"/>
    </row>
    <row r="392" spans="53:63" x14ac:dyDescent="0.2">
      <c r="BA392" s="17"/>
      <c r="BB392" s="17"/>
      <c r="BC392" s="17"/>
      <c r="BD392" s="17"/>
      <c r="BE392" s="17"/>
      <c r="BF392" s="17"/>
      <c r="BG392" s="17"/>
      <c r="BH392" s="17"/>
      <c r="BI392" s="17"/>
      <c r="BJ392" s="17"/>
      <c r="BK392" s="17"/>
    </row>
    <row r="393" spans="53:63" x14ac:dyDescent="0.2">
      <c r="BA393" s="17"/>
      <c r="BB393" s="17"/>
      <c r="BC393" s="17"/>
      <c r="BD393" s="17"/>
      <c r="BE393" s="17"/>
      <c r="BF393" s="17"/>
      <c r="BG393" s="17"/>
      <c r="BH393" s="17"/>
      <c r="BI393" s="17"/>
      <c r="BJ393" s="17"/>
      <c r="BK393" s="17"/>
    </row>
    <row r="394" spans="53:63" x14ac:dyDescent="0.2">
      <c r="BA394" s="17"/>
      <c r="BB394" s="17"/>
      <c r="BC394" s="17"/>
      <c r="BD394" s="17"/>
      <c r="BE394" s="17"/>
      <c r="BF394" s="17"/>
      <c r="BG394" s="17"/>
      <c r="BH394" s="17"/>
      <c r="BI394" s="17"/>
      <c r="BJ394" s="17"/>
      <c r="BK394" s="17"/>
    </row>
    <row r="395" spans="53:63" x14ac:dyDescent="0.2">
      <c r="BA395" s="17"/>
      <c r="BB395" s="17"/>
      <c r="BC395" s="17"/>
      <c r="BD395" s="17"/>
      <c r="BE395" s="17"/>
      <c r="BF395" s="17"/>
      <c r="BG395" s="17"/>
      <c r="BH395" s="17"/>
      <c r="BI395" s="17"/>
      <c r="BJ395" s="17"/>
      <c r="BK395" s="17"/>
    </row>
    <row r="396" spans="53:63" x14ac:dyDescent="0.2">
      <c r="BA396" s="17"/>
      <c r="BB396" s="17"/>
      <c r="BC396" s="17"/>
      <c r="BD396" s="17"/>
      <c r="BE396" s="17"/>
      <c r="BF396" s="17"/>
      <c r="BG396" s="17"/>
      <c r="BH396" s="17"/>
      <c r="BI396" s="17"/>
      <c r="BJ396" s="17"/>
      <c r="BK396" s="17"/>
    </row>
    <row r="397" spans="53:63" x14ac:dyDescent="0.2">
      <c r="BA397" s="17"/>
      <c r="BB397" s="17"/>
      <c r="BC397" s="17"/>
      <c r="BD397" s="17"/>
      <c r="BE397" s="17"/>
      <c r="BF397" s="17"/>
      <c r="BG397" s="17"/>
      <c r="BH397" s="17"/>
      <c r="BI397" s="17"/>
      <c r="BJ397" s="17"/>
      <c r="BK397" s="17"/>
    </row>
    <row r="398" spans="53:63" x14ac:dyDescent="0.2">
      <c r="BA398" s="17"/>
      <c r="BB398" s="17"/>
      <c r="BC398" s="17"/>
      <c r="BD398" s="17"/>
      <c r="BE398" s="17"/>
      <c r="BF398" s="17"/>
      <c r="BG398" s="17"/>
      <c r="BH398" s="17"/>
      <c r="BI398" s="17"/>
      <c r="BJ398" s="17"/>
      <c r="BK398" s="17"/>
    </row>
    <row r="399" spans="53:63" x14ac:dyDescent="0.2">
      <c r="BA399" s="17"/>
      <c r="BB399" s="17"/>
      <c r="BC399" s="17"/>
      <c r="BD399" s="17"/>
      <c r="BE399" s="17"/>
      <c r="BF399" s="17"/>
      <c r="BG399" s="17"/>
      <c r="BH399" s="17"/>
      <c r="BI399" s="17"/>
      <c r="BJ399" s="17"/>
      <c r="BK399" s="17"/>
    </row>
    <row r="400" spans="53:63" x14ac:dyDescent="0.2">
      <c r="BA400" s="17"/>
      <c r="BB400" s="17"/>
      <c r="BC400" s="17"/>
      <c r="BD400" s="17"/>
      <c r="BE400" s="17"/>
      <c r="BF400" s="17"/>
      <c r="BG400" s="17"/>
      <c r="BH400" s="17"/>
      <c r="BI400" s="17"/>
      <c r="BJ400" s="17"/>
      <c r="BK400" s="17"/>
    </row>
    <row r="401" spans="53:63" x14ac:dyDescent="0.2">
      <c r="BA401" s="17"/>
      <c r="BB401" s="17"/>
      <c r="BC401" s="17"/>
      <c r="BD401" s="17"/>
      <c r="BE401" s="17"/>
      <c r="BF401" s="17"/>
      <c r="BG401" s="17"/>
      <c r="BH401" s="17"/>
      <c r="BI401" s="17"/>
      <c r="BJ401" s="17"/>
      <c r="BK401" s="17"/>
    </row>
    <row r="402" spans="53:63" x14ac:dyDescent="0.2">
      <c r="BA402" s="17"/>
      <c r="BB402" s="17"/>
      <c r="BC402" s="17"/>
      <c r="BD402" s="17"/>
      <c r="BE402" s="17"/>
      <c r="BF402" s="17"/>
      <c r="BG402" s="17"/>
      <c r="BH402" s="17"/>
      <c r="BI402" s="17"/>
      <c r="BJ402" s="17"/>
      <c r="BK402" s="17"/>
    </row>
    <row r="403" spans="53:63" x14ac:dyDescent="0.2">
      <c r="BA403" s="17"/>
      <c r="BB403" s="17"/>
      <c r="BC403" s="17"/>
      <c r="BD403" s="17"/>
      <c r="BE403" s="17"/>
      <c r="BF403" s="17"/>
      <c r="BG403" s="17"/>
      <c r="BH403" s="17"/>
      <c r="BI403" s="17"/>
      <c r="BJ403" s="17"/>
      <c r="BK403" s="17"/>
    </row>
    <row r="404" spans="53:63" x14ac:dyDescent="0.2">
      <c r="BA404" s="17"/>
      <c r="BB404" s="17"/>
      <c r="BC404" s="17"/>
      <c r="BD404" s="17"/>
      <c r="BE404" s="17"/>
      <c r="BF404" s="17"/>
      <c r="BG404" s="17"/>
      <c r="BH404" s="17"/>
      <c r="BI404" s="17"/>
      <c r="BJ404" s="17"/>
      <c r="BK404" s="17"/>
    </row>
    <row r="405" spans="53:63" x14ac:dyDescent="0.2">
      <c r="BA405" s="17"/>
      <c r="BB405" s="17"/>
      <c r="BC405" s="17"/>
      <c r="BD405" s="17"/>
      <c r="BE405" s="17"/>
      <c r="BF405" s="17"/>
      <c r="BG405" s="17"/>
      <c r="BH405" s="17"/>
      <c r="BI405" s="17"/>
      <c r="BJ405" s="17"/>
      <c r="BK405" s="17"/>
    </row>
    <row r="406" spans="53:63" x14ac:dyDescent="0.2">
      <c r="BA406" s="17"/>
      <c r="BB406" s="17"/>
      <c r="BC406" s="17"/>
      <c r="BD406" s="17"/>
      <c r="BE406" s="17"/>
      <c r="BF406" s="17"/>
      <c r="BG406" s="17"/>
      <c r="BH406" s="17"/>
      <c r="BI406" s="17"/>
      <c r="BJ406" s="17"/>
      <c r="BK406" s="17"/>
    </row>
    <row r="407" spans="53:63" x14ac:dyDescent="0.2">
      <c r="BA407" s="17"/>
      <c r="BB407" s="17"/>
      <c r="BC407" s="17"/>
      <c r="BD407" s="17"/>
      <c r="BE407" s="17"/>
      <c r="BF407" s="17"/>
      <c r="BG407" s="17"/>
      <c r="BH407" s="17"/>
      <c r="BI407" s="17"/>
      <c r="BJ407" s="17"/>
      <c r="BK407" s="17"/>
    </row>
    <row r="408" spans="53:63" x14ac:dyDescent="0.2">
      <c r="BA408" s="17"/>
      <c r="BB408" s="17"/>
      <c r="BC408" s="17"/>
      <c r="BD408" s="17"/>
      <c r="BE408" s="17"/>
      <c r="BF408" s="17"/>
      <c r="BG408" s="17"/>
      <c r="BH408" s="17"/>
      <c r="BI408" s="17"/>
      <c r="BJ408" s="17"/>
      <c r="BK408" s="17"/>
    </row>
    <row r="409" spans="53:63" x14ac:dyDescent="0.2">
      <c r="BA409" s="17"/>
      <c r="BB409" s="17"/>
      <c r="BC409" s="17"/>
      <c r="BD409" s="17"/>
      <c r="BE409" s="17"/>
      <c r="BF409" s="17"/>
      <c r="BG409" s="17"/>
      <c r="BH409" s="17"/>
      <c r="BI409" s="17"/>
      <c r="BJ409" s="17"/>
      <c r="BK409" s="17"/>
    </row>
    <row r="410" spans="53:63" x14ac:dyDescent="0.2">
      <c r="BA410" s="17"/>
      <c r="BB410" s="17"/>
      <c r="BC410" s="17"/>
      <c r="BD410" s="17"/>
      <c r="BE410" s="17"/>
      <c r="BF410" s="17"/>
      <c r="BG410" s="17"/>
      <c r="BH410" s="17"/>
      <c r="BI410" s="17"/>
      <c r="BJ410" s="17"/>
      <c r="BK410" s="17"/>
    </row>
    <row r="411" spans="53:63" x14ac:dyDescent="0.2">
      <c r="BA411" s="17"/>
      <c r="BB411" s="17"/>
      <c r="BC411" s="17"/>
      <c r="BD411" s="17"/>
      <c r="BE411" s="17"/>
      <c r="BF411" s="17"/>
      <c r="BG411" s="17"/>
      <c r="BH411" s="17"/>
      <c r="BI411" s="17"/>
      <c r="BJ411" s="17"/>
      <c r="BK411" s="17"/>
    </row>
    <row r="412" spans="53:63" x14ac:dyDescent="0.2">
      <c r="BA412" s="17"/>
      <c r="BB412" s="17"/>
      <c r="BC412" s="17"/>
      <c r="BD412" s="17"/>
      <c r="BE412" s="17"/>
      <c r="BF412" s="17"/>
      <c r="BG412" s="17"/>
      <c r="BH412" s="17"/>
      <c r="BI412" s="17"/>
      <c r="BJ412" s="17"/>
      <c r="BK412" s="17"/>
    </row>
    <row r="413" spans="53:63" x14ac:dyDescent="0.2">
      <c r="BA413" s="17"/>
      <c r="BB413" s="17"/>
      <c r="BC413" s="17"/>
      <c r="BD413" s="17"/>
      <c r="BE413" s="17"/>
      <c r="BF413" s="17"/>
      <c r="BG413" s="17"/>
      <c r="BH413" s="17"/>
      <c r="BI413" s="17"/>
      <c r="BJ413" s="17"/>
      <c r="BK413" s="17"/>
    </row>
    <row r="414" spans="53:63" x14ac:dyDescent="0.2">
      <c r="BA414" s="17"/>
      <c r="BB414" s="17"/>
      <c r="BC414" s="17"/>
      <c r="BD414" s="17"/>
      <c r="BE414" s="17"/>
      <c r="BF414" s="17"/>
      <c r="BG414" s="17"/>
      <c r="BH414" s="17"/>
      <c r="BI414" s="17"/>
      <c r="BJ414" s="17"/>
      <c r="BK414" s="17"/>
    </row>
    <row r="415" spans="53:63" x14ac:dyDescent="0.2">
      <c r="BA415" s="17"/>
      <c r="BB415" s="17"/>
      <c r="BC415" s="17"/>
      <c r="BD415" s="17"/>
      <c r="BE415" s="17"/>
      <c r="BF415" s="17"/>
      <c r="BG415" s="17"/>
      <c r="BH415" s="17"/>
      <c r="BI415" s="17"/>
      <c r="BJ415" s="17"/>
      <c r="BK415" s="17"/>
    </row>
    <row r="416" spans="53:63" x14ac:dyDescent="0.2">
      <c r="BA416" s="17"/>
      <c r="BB416" s="17"/>
      <c r="BC416" s="17"/>
      <c r="BD416" s="17"/>
      <c r="BE416" s="17"/>
      <c r="BF416" s="17"/>
      <c r="BG416" s="17"/>
      <c r="BH416" s="17"/>
      <c r="BI416" s="17"/>
      <c r="BJ416" s="17"/>
      <c r="BK416" s="17"/>
    </row>
    <row r="417" spans="53:63" x14ac:dyDescent="0.2">
      <c r="BA417" s="17"/>
      <c r="BB417" s="17"/>
      <c r="BC417" s="17"/>
      <c r="BD417" s="17"/>
      <c r="BE417" s="17"/>
      <c r="BF417" s="17"/>
      <c r="BG417" s="17"/>
      <c r="BH417" s="17"/>
      <c r="BI417" s="17"/>
      <c r="BJ417" s="17"/>
      <c r="BK417" s="17"/>
    </row>
    <row r="418" spans="53:63" x14ac:dyDescent="0.2">
      <c r="BA418" s="17"/>
      <c r="BB418" s="17"/>
      <c r="BC418" s="17"/>
      <c r="BD418" s="17"/>
      <c r="BE418" s="17"/>
      <c r="BF418" s="17"/>
      <c r="BG418" s="17"/>
      <c r="BH418" s="17"/>
      <c r="BI418" s="17"/>
      <c r="BJ418" s="17"/>
      <c r="BK418" s="17"/>
    </row>
    <row r="419" spans="53:63" x14ac:dyDescent="0.2">
      <c r="BA419" s="17"/>
      <c r="BB419" s="17"/>
      <c r="BC419" s="17"/>
      <c r="BD419" s="17"/>
      <c r="BE419" s="17"/>
      <c r="BF419" s="17"/>
      <c r="BG419" s="17"/>
      <c r="BH419" s="17"/>
      <c r="BI419" s="17"/>
      <c r="BJ419" s="17"/>
      <c r="BK419" s="17"/>
    </row>
    <row r="420" spans="53:63" x14ac:dyDescent="0.2">
      <c r="BA420" s="17"/>
      <c r="BB420" s="17"/>
      <c r="BC420" s="17"/>
      <c r="BD420" s="17"/>
      <c r="BE420" s="17"/>
      <c r="BF420" s="17"/>
      <c r="BG420" s="17"/>
      <c r="BH420" s="17"/>
      <c r="BI420" s="17"/>
      <c r="BJ420" s="17"/>
      <c r="BK420" s="17"/>
    </row>
    <row r="421" spans="53:63" x14ac:dyDescent="0.2">
      <c r="BA421" s="17"/>
      <c r="BB421" s="17"/>
      <c r="BC421" s="17"/>
      <c r="BD421" s="17"/>
      <c r="BE421" s="17"/>
      <c r="BF421" s="17"/>
      <c r="BG421" s="17"/>
      <c r="BH421" s="17"/>
      <c r="BI421" s="17"/>
      <c r="BJ421" s="17"/>
      <c r="BK421" s="17"/>
    </row>
    <row r="422" spans="53:63" x14ac:dyDescent="0.2">
      <c r="BA422" s="17"/>
      <c r="BB422" s="17"/>
      <c r="BC422" s="17"/>
      <c r="BD422" s="17"/>
      <c r="BE422" s="17"/>
      <c r="BF422" s="17"/>
      <c r="BG422" s="17"/>
      <c r="BH422" s="17"/>
      <c r="BI422" s="17"/>
      <c r="BJ422" s="17"/>
      <c r="BK422" s="17"/>
    </row>
    <row r="423" spans="53:63" x14ac:dyDescent="0.2">
      <c r="BA423" s="17"/>
      <c r="BB423" s="17"/>
      <c r="BC423" s="17"/>
      <c r="BD423" s="17"/>
      <c r="BE423" s="17"/>
      <c r="BF423" s="17"/>
      <c r="BG423" s="17"/>
      <c r="BH423" s="17"/>
      <c r="BI423" s="17"/>
      <c r="BJ423" s="17"/>
      <c r="BK423" s="17"/>
    </row>
    <row r="424" spans="53:63" x14ac:dyDescent="0.2">
      <c r="BA424" s="17"/>
      <c r="BB424" s="17"/>
      <c r="BC424" s="17"/>
      <c r="BD424" s="17"/>
      <c r="BE424" s="17"/>
      <c r="BF424" s="17"/>
      <c r="BG424" s="17"/>
      <c r="BH424" s="17"/>
      <c r="BI424" s="17"/>
      <c r="BJ424" s="17"/>
      <c r="BK424" s="17"/>
    </row>
    <row r="425" spans="53:63" x14ac:dyDescent="0.2">
      <c r="BA425" s="17"/>
      <c r="BB425" s="17"/>
      <c r="BC425" s="17"/>
      <c r="BD425" s="17"/>
      <c r="BE425" s="17"/>
      <c r="BF425" s="17"/>
      <c r="BG425" s="17"/>
      <c r="BH425" s="17"/>
      <c r="BI425" s="17"/>
      <c r="BJ425" s="17"/>
      <c r="BK425" s="17"/>
    </row>
    <row r="426" spans="53:63" x14ac:dyDescent="0.2">
      <c r="BA426" s="17"/>
      <c r="BB426" s="17"/>
      <c r="BC426" s="17"/>
      <c r="BD426" s="17"/>
      <c r="BE426" s="17"/>
      <c r="BF426" s="17"/>
      <c r="BG426" s="17"/>
      <c r="BH426" s="17"/>
      <c r="BI426" s="17"/>
      <c r="BJ426" s="17"/>
      <c r="BK426" s="17"/>
    </row>
    <row r="427" spans="53:63" x14ac:dyDescent="0.2">
      <c r="BA427" s="17"/>
      <c r="BB427" s="17"/>
      <c r="BC427" s="17"/>
      <c r="BD427" s="17"/>
      <c r="BE427" s="17"/>
      <c r="BF427" s="17"/>
      <c r="BG427" s="17"/>
      <c r="BH427" s="17"/>
      <c r="BI427" s="17"/>
      <c r="BJ427" s="17"/>
      <c r="BK427" s="17"/>
    </row>
    <row r="428" spans="53:63" x14ac:dyDescent="0.2">
      <c r="BA428" s="17"/>
      <c r="BB428" s="17"/>
      <c r="BC428" s="17"/>
      <c r="BD428" s="17"/>
      <c r="BE428" s="17"/>
      <c r="BF428" s="17"/>
      <c r="BG428" s="17"/>
      <c r="BH428" s="17"/>
      <c r="BI428" s="17"/>
      <c r="BJ428" s="17"/>
      <c r="BK428" s="17"/>
    </row>
    <row r="429" spans="53:63" x14ac:dyDescent="0.2">
      <c r="BA429" s="17"/>
      <c r="BB429" s="17"/>
      <c r="BC429" s="17"/>
      <c r="BD429" s="17"/>
      <c r="BE429" s="17"/>
      <c r="BF429" s="17"/>
      <c r="BG429" s="17"/>
      <c r="BH429" s="17"/>
      <c r="BI429" s="17"/>
      <c r="BJ429" s="17"/>
      <c r="BK429" s="17"/>
    </row>
    <row r="430" spans="53:63" x14ac:dyDescent="0.2">
      <c r="BA430" s="17"/>
      <c r="BB430" s="17"/>
      <c r="BC430" s="17"/>
      <c r="BD430" s="17"/>
      <c r="BE430" s="17"/>
      <c r="BF430" s="17"/>
      <c r="BG430" s="17"/>
      <c r="BH430" s="17"/>
      <c r="BI430" s="17"/>
      <c r="BJ430" s="17"/>
      <c r="BK430" s="17"/>
    </row>
    <row r="431" spans="53:63" x14ac:dyDescent="0.2">
      <c r="BA431" s="17"/>
      <c r="BB431" s="17"/>
      <c r="BC431" s="17"/>
      <c r="BD431" s="17"/>
      <c r="BE431" s="17"/>
      <c r="BF431" s="17"/>
      <c r="BG431" s="17"/>
      <c r="BH431" s="17"/>
      <c r="BI431" s="17"/>
      <c r="BJ431" s="17"/>
      <c r="BK431" s="17"/>
    </row>
    <row r="432" spans="53:63" x14ac:dyDescent="0.2">
      <c r="BA432" s="17"/>
      <c r="BB432" s="17"/>
      <c r="BC432" s="17"/>
      <c r="BD432" s="17"/>
      <c r="BE432" s="17"/>
      <c r="BF432" s="17"/>
      <c r="BG432" s="17"/>
      <c r="BH432" s="17"/>
      <c r="BI432" s="17"/>
      <c r="BJ432" s="17"/>
      <c r="BK432" s="17"/>
    </row>
    <row r="433" spans="53:63" x14ac:dyDescent="0.2">
      <c r="BA433" s="17"/>
      <c r="BB433" s="17"/>
      <c r="BC433" s="17"/>
      <c r="BD433" s="17"/>
      <c r="BE433" s="17"/>
      <c r="BF433" s="17"/>
      <c r="BG433" s="17"/>
      <c r="BH433" s="17"/>
      <c r="BI433" s="17"/>
      <c r="BJ433" s="17"/>
      <c r="BK433" s="17"/>
    </row>
    <row r="434" spans="53:63" x14ac:dyDescent="0.2">
      <c r="BA434" s="17"/>
      <c r="BB434" s="17"/>
      <c r="BC434" s="17"/>
      <c r="BD434" s="17"/>
      <c r="BE434" s="17"/>
      <c r="BF434" s="17"/>
      <c r="BG434" s="17"/>
      <c r="BH434" s="17"/>
      <c r="BI434" s="17"/>
      <c r="BJ434" s="17"/>
      <c r="BK434" s="17"/>
    </row>
    <row r="435" spans="53:63" x14ac:dyDescent="0.2">
      <c r="BA435" s="17"/>
      <c r="BB435" s="17"/>
      <c r="BC435" s="17"/>
      <c r="BD435" s="17"/>
      <c r="BE435" s="17"/>
      <c r="BF435" s="17"/>
      <c r="BG435" s="17"/>
      <c r="BH435" s="17"/>
      <c r="BI435" s="17"/>
      <c r="BJ435" s="17"/>
      <c r="BK435" s="17"/>
    </row>
    <row r="436" spans="53:63" x14ac:dyDescent="0.2">
      <c r="BA436" s="17"/>
      <c r="BB436" s="17"/>
      <c r="BC436" s="17"/>
      <c r="BD436" s="17"/>
      <c r="BE436" s="17"/>
      <c r="BF436" s="17"/>
      <c r="BG436" s="17"/>
      <c r="BH436" s="17"/>
      <c r="BI436" s="17"/>
      <c r="BJ436" s="17"/>
      <c r="BK436" s="17"/>
    </row>
    <row r="437" spans="53:63" x14ac:dyDescent="0.2">
      <c r="BA437" s="17"/>
      <c r="BB437" s="17"/>
      <c r="BC437" s="17"/>
      <c r="BD437" s="17"/>
      <c r="BE437" s="17"/>
      <c r="BF437" s="17"/>
      <c r="BG437" s="17"/>
      <c r="BH437" s="17"/>
      <c r="BI437" s="17"/>
      <c r="BJ437" s="17"/>
      <c r="BK437" s="17"/>
    </row>
    <row r="438" spans="53:63" x14ac:dyDescent="0.2">
      <c r="BA438" s="17"/>
      <c r="BB438" s="17"/>
      <c r="BC438" s="17"/>
      <c r="BD438" s="17"/>
      <c r="BE438" s="17"/>
      <c r="BF438" s="17"/>
      <c r="BG438" s="17"/>
      <c r="BH438" s="17"/>
      <c r="BI438" s="17"/>
      <c r="BJ438" s="17"/>
      <c r="BK438" s="17"/>
    </row>
    <row r="439" spans="53:63" x14ac:dyDescent="0.2">
      <c r="BA439" s="17"/>
      <c r="BB439" s="17"/>
      <c r="BC439" s="17"/>
      <c r="BD439" s="17"/>
      <c r="BE439" s="17"/>
      <c r="BF439" s="17"/>
      <c r="BG439" s="17"/>
      <c r="BH439" s="17"/>
      <c r="BI439" s="17"/>
      <c r="BJ439" s="17"/>
      <c r="BK439" s="17"/>
    </row>
    <row r="440" spans="53:63" x14ac:dyDescent="0.2">
      <c r="BA440" s="17"/>
      <c r="BB440" s="17"/>
      <c r="BC440" s="17"/>
      <c r="BD440" s="17"/>
      <c r="BE440" s="17"/>
      <c r="BF440" s="17"/>
      <c r="BG440" s="17"/>
      <c r="BH440" s="17"/>
      <c r="BI440" s="17"/>
      <c r="BJ440" s="17"/>
      <c r="BK440" s="17"/>
    </row>
    <row r="441" spans="53:63" x14ac:dyDescent="0.2">
      <c r="BA441" s="17"/>
      <c r="BB441" s="17"/>
      <c r="BC441" s="17"/>
      <c r="BD441" s="17"/>
      <c r="BE441" s="17"/>
      <c r="BF441" s="17"/>
      <c r="BG441" s="17"/>
      <c r="BH441" s="17"/>
      <c r="BI441" s="17"/>
      <c r="BJ441" s="17"/>
      <c r="BK441" s="17"/>
    </row>
    <row r="442" spans="53:63" x14ac:dyDescent="0.2">
      <c r="BA442" s="17"/>
      <c r="BB442" s="17"/>
      <c r="BC442" s="17"/>
      <c r="BD442" s="17"/>
      <c r="BE442" s="17"/>
      <c r="BF442" s="17"/>
      <c r="BG442" s="17"/>
      <c r="BH442" s="17"/>
      <c r="BI442" s="17"/>
      <c r="BJ442" s="17"/>
      <c r="BK442" s="17"/>
    </row>
    <row r="443" spans="53:63" x14ac:dyDescent="0.2">
      <c r="BA443" s="17"/>
      <c r="BB443" s="17"/>
      <c r="BC443" s="17"/>
      <c r="BD443" s="17"/>
      <c r="BE443" s="17"/>
      <c r="BF443" s="17"/>
      <c r="BG443" s="17"/>
      <c r="BH443" s="17"/>
      <c r="BI443" s="17"/>
      <c r="BJ443" s="17"/>
      <c r="BK443" s="17"/>
    </row>
    <row r="444" spans="53:63" x14ac:dyDescent="0.2">
      <c r="BA444" s="17"/>
      <c r="BB444" s="17"/>
      <c r="BC444" s="17"/>
      <c r="BD444" s="17"/>
      <c r="BE444" s="17"/>
      <c r="BF444" s="17"/>
      <c r="BG444" s="17"/>
      <c r="BH444" s="17"/>
      <c r="BI444" s="17"/>
      <c r="BJ444" s="17"/>
      <c r="BK444" s="17"/>
    </row>
    <row r="445" spans="53:63" x14ac:dyDescent="0.2">
      <c r="BA445" s="17"/>
      <c r="BB445" s="17"/>
      <c r="BC445" s="17"/>
      <c r="BD445" s="17"/>
      <c r="BE445" s="17"/>
      <c r="BF445" s="17"/>
      <c r="BG445" s="17"/>
      <c r="BH445" s="17"/>
      <c r="BI445" s="17"/>
      <c r="BJ445" s="17"/>
      <c r="BK445" s="17"/>
    </row>
    <row r="446" spans="53:63" x14ac:dyDescent="0.2">
      <c r="BA446" s="17"/>
      <c r="BB446" s="17"/>
      <c r="BC446" s="17"/>
      <c r="BD446" s="17"/>
      <c r="BE446" s="17"/>
      <c r="BF446" s="17"/>
      <c r="BG446" s="17"/>
      <c r="BH446" s="17"/>
      <c r="BI446" s="17"/>
      <c r="BJ446" s="17"/>
      <c r="BK446" s="17"/>
    </row>
    <row r="447" spans="53:63" x14ac:dyDescent="0.2">
      <c r="BA447" s="17"/>
      <c r="BB447" s="17"/>
      <c r="BC447" s="17"/>
      <c r="BD447" s="17"/>
      <c r="BE447" s="17"/>
      <c r="BF447" s="17"/>
      <c r="BG447" s="17"/>
      <c r="BH447" s="17"/>
      <c r="BI447" s="17"/>
      <c r="BJ447" s="17"/>
      <c r="BK447" s="17"/>
    </row>
    <row r="448" spans="53:63" x14ac:dyDescent="0.2">
      <c r="BA448" s="17"/>
      <c r="BB448" s="17"/>
      <c r="BC448" s="17"/>
      <c r="BD448" s="17"/>
      <c r="BE448" s="17"/>
      <c r="BF448" s="17"/>
      <c r="BG448" s="17"/>
      <c r="BH448" s="17"/>
      <c r="BI448" s="17"/>
      <c r="BJ448" s="17"/>
      <c r="BK448" s="17"/>
    </row>
    <row r="449" spans="53:63" x14ac:dyDescent="0.2">
      <c r="BA449" s="17"/>
      <c r="BB449" s="17"/>
      <c r="BC449" s="17"/>
      <c r="BD449" s="17"/>
      <c r="BE449" s="17"/>
      <c r="BF449" s="17"/>
      <c r="BG449" s="17"/>
      <c r="BH449" s="17"/>
      <c r="BI449" s="17"/>
      <c r="BJ449" s="17"/>
      <c r="BK449" s="17"/>
    </row>
    <row r="450" spans="53:63" x14ac:dyDescent="0.2">
      <c r="BA450" s="17"/>
      <c r="BB450" s="17"/>
      <c r="BC450" s="17"/>
      <c r="BD450" s="17"/>
      <c r="BE450" s="17"/>
      <c r="BF450" s="17"/>
      <c r="BG450" s="17"/>
      <c r="BH450" s="17"/>
      <c r="BI450" s="17"/>
      <c r="BJ450" s="17"/>
      <c r="BK450" s="17"/>
    </row>
    <row r="451" spans="53:63" x14ac:dyDescent="0.2">
      <c r="BA451" s="17"/>
      <c r="BB451" s="17"/>
      <c r="BC451" s="17"/>
      <c r="BD451" s="17"/>
      <c r="BE451" s="17"/>
      <c r="BF451" s="17"/>
      <c r="BG451" s="17"/>
      <c r="BH451" s="17"/>
      <c r="BI451" s="17"/>
      <c r="BJ451" s="17"/>
      <c r="BK451" s="17"/>
    </row>
    <row r="452" spans="53:63" x14ac:dyDescent="0.2">
      <c r="BA452" s="17"/>
      <c r="BB452" s="17"/>
      <c r="BC452" s="17"/>
      <c r="BD452" s="17"/>
      <c r="BE452" s="17"/>
      <c r="BF452" s="17"/>
      <c r="BG452" s="17"/>
      <c r="BH452" s="17"/>
      <c r="BI452" s="17"/>
      <c r="BJ452" s="17"/>
      <c r="BK452" s="17"/>
    </row>
    <row r="453" spans="53:63" x14ac:dyDescent="0.2">
      <c r="BA453" s="17"/>
      <c r="BB453" s="17"/>
      <c r="BC453" s="17"/>
      <c r="BD453" s="17"/>
      <c r="BE453" s="17"/>
      <c r="BF453" s="17"/>
      <c r="BG453" s="17"/>
      <c r="BH453" s="17"/>
      <c r="BI453" s="17"/>
      <c r="BJ453" s="17"/>
      <c r="BK453" s="17"/>
    </row>
    <row r="454" spans="53:63" x14ac:dyDescent="0.2">
      <c r="BA454" s="17"/>
      <c r="BB454" s="17"/>
      <c r="BC454" s="17"/>
      <c r="BD454" s="17"/>
      <c r="BE454" s="17"/>
      <c r="BF454" s="17"/>
      <c r="BG454" s="17"/>
      <c r="BH454" s="17"/>
      <c r="BI454" s="17"/>
      <c r="BJ454" s="17"/>
      <c r="BK454" s="17"/>
    </row>
    <row r="455" spans="53:63" x14ac:dyDescent="0.2">
      <c r="BA455" s="17"/>
      <c r="BB455" s="17"/>
      <c r="BC455" s="17"/>
      <c r="BD455" s="17"/>
      <c r="BE455" s="17"/>
      <c r="BF455" s="17"/>
      <c r="BG455" s="17"/>
      <c r="BH455" s="17"/>
      <c r="BI455" s="17"/>
      <c r="BJ455" s="17"/>
      <c r="BK455" s="17"/>
    </row>
    <row r="456" spans="53:63" x14ac:dyDescent="0.2">
      <c r="BA456" s="17"/>
      <c r="BB456" s="17"/>
      <c r="BC456" s="17"/>
      <c r="BD456" s="17"/>
      <c r="BE456" s="17"/>
      <c r="BF456" s="17"/>
      <c r="BG456" s="17"/>
      <c r="BH456" s="17"/>
      <c r="BI456" s="17"/>
      <c r="BJ456" s="17"/>
      <c r="BK456" s="17"/>
    </row>
    <row r="457" spans="53:63" x14ac:dyDescent="0.2">
      <c r="BA457" s="17"/>
      <c r="BB457" s="17"/>
      <c r="BC457" s="17"/>
      <c r="BD457" s="17"/>
      <c r="BE457" s="17"/>
      <c r="BF457" s="17"/>
      <c r="BG457" s="17"/>
      <c r="BH457" s="17"/>
      <c r="BI457" s="17"/>
      <c r="BJ457" s="17"/>
      <c r="BK457" s="17"/>
    </row>
    <row r="458" spans="53:63" x14ac:dyDescent="0.2">
      <c r="BA458" s="17"/>
      <c r="BB458" s="17"/>
      <c r="BC458" s="17"/>
      <c r="BD458" s="17"/>
      <c r="BE458" s="17"/>
      <c r="BF458" s="17"/>
      <c r="BG458" s="17"/>
      <c r="BH458" s="17"/>
      <c r="BI458" s="17"/>
      <c r="BJ458" s="17"/>
      <c r="BK458" s="17"/>
    </row>
    <row r="459" spans="53:63" x14ac:dyDescent="0.2">
      <c r="BA459" s="17"/>
      <c r="BB459" s="17"/>
      <c r="BC459" s="17"/>
      <c r="BD459" s="17"/>
      <c r="BE459" s="17"/>
      <c r="BF459" s="17"/>
      <c r="BG459" s="17"/>
      <c r="BH459" s="17"/>
      <c r="BI459" s="17"/>
      <c r="BJ459" s="17"/>
      <c r="BK459" s="17"/>
    </row>
    <row r="460" spans="53:63" x14ac:dyDescent="0.2">
      <c r="BA460" s="17"/>
      <c r="BB460" s="17"/>
      <c r="BC460" s="17"/>
      <c r="BD460" s="17"/>
      <c r="BE460" s="17"/>
      <c r="BF460" s="17"/>
      <c r="BG460" s="17"/>
      <c r="BH460" s="17"/>
      <c r="BI460" s="17"/>
      <c r="BJ460" s="17"/>
      <c r="BK460" s="17"/>
    </row>
    <row r="461" spans="53:63" x14ac:dyDescent="0.2">
      <c r="BA461" s="17"/>
      <c r="BB461" s="17"/>
      <c r="BC461" s="17"/>
      <c r="BD461" s="17"/>
      <c r="BE461" s="17"/>
      <c r="BF461" s="17"/>
      <c r="BG461" s="17"/>
      <c r="BH461" s="17"/>
      <c r="BI461" s="17"/>
      <c r="BJ461" s="17"/>
      <c r="BK461" s="17"/>
    </row>
    <row r="462" spans="53:63" x14ac:dyDescent="0.2">
      <c r="BA462" s="17"/>
      <c r="BB462" s="17"/>
      <c r="BC462" s="17"/>
      <c r="BD462" s="17"/>
      <c r="BE462" s="17"/>
      <c r="BF462" s="17"/>
      <c r="BG462" s="17"/>
      <c r="BH462" s="17"/>
      <c r="BI462" s="17"/>
      <c r="BJ462" s="17"/>
      <c r="BK462" s="17"/>
    </row>
    <row r="463" spans="53:63" x14ac:dyDescent="0.2">
      <c r="BA463" s="17"/>
      <c r="BB463" s="17"/>
      <c r="BC463" s="17"/>
      <c r="BD463" s="17"/>
      <c r="BE463" s="17"/>
      <c r="BF463" s="17"/>
      <c r="BG463" s="17"/>
      <c r="BH463" s="17"/>
      <c r="BI463" s="17"/>
      <c r="BJ463" s="17"/>
      <c r="BK463" s="17"/>
    </row>
    <row r="464" spans="53:63" x14ac:dyDescent="0.2">
      <c r="BA464" s="17"/>
      <c r="BB464" s="17"/>
      <c r="BC464" s="17"/>
      <c r="BD464" s="17"/>
      <c r="BE464" s="17"/>
      <c r="BF464" s="17"/>
      <c r="BG464" s="17"/>
      <c r="BH464" s="17"/>
      <c r="BI464" s="17"/>
      <c r="BJ464" s="17"/>
      <c r="BK464" s="17"/>
    </row>
    <row r="465" spans="53:63" x14ac:dyDescent="0.2">
      <c r="BA465" s="17"/>
      <c r="BB465" s="17"/>
      <c r="BC465" s="17"/>
      <c r="BD465" s="17"/>
      <c r="BE465" s="17"/>
      <c r="BF465" s="17"/>
      <c r="BG465" s="17"/>
      <c r="BH465" s="17"/>
      <c r="BI465" s="17"/>
      <c r="BJ465" s="17"/>
      <c r="BK465" s="17"/>
    </row>
    <row r="466" spans="53:63" x14ac:dyDescent="0.2">
      <c r="BA466" s="17"/>
      <c r="BB466" s="17"/>
      <c r="BC466" s="17"/>
      <c r="BD466" s="17"/>
      <c r="BE466" s="17"/>
      <c r="BF466" s="17"/>
      <c r="BG466" s="17"/>
      <c r="BH466" s="17"/>
      <c r="BI466" s="17"/>
      <c r="BJ466" s="17"/>
      <c r="BK466" s="17"/>
    </row>
    <row r="467" spans="53:63" x14ac:dyDescent="0.2">
      <c r="BA467" s="17"/>
      <c r="BB467" s="17"/>
      <c r="BC467" s="17"/>
      <c r="BD467" s="17"/>
      <c r="BE467" s="17"/>
      <c r="BF467" s="17"/>
      <c r="BG467" s="17"/>
      <c r="BH467" s="17"/>
      <c r="BI467" s="17"/>
      <c r="BJ467" s="17"/>
      <c r="BK467" s="17"/>
    </row>
    <row r="468" spans="53:63" x14ac:dyDescent="0.2">
      <c r="BA468" s="17"/>
      <c r="BB468" s="17"/>
      <c r="BC468" s="17"/>
      <c r="BD468" s="17"/>
      <c r="BE468" s="17"/>
      <c r="BF468" s="17"/>
      <c r="BG468" s="17"/>
      <c r="BH468" s="17"/>
      <c r="BI468" s="17"/>
      <c r="BJ468" s="17"/>
      <c r="BK468" s="17"/>
    </row>
    <row r="469" spans="53:63" x14ac:dyDescent="0.2">
      <c r="BA469" s="17"/>
      <c r="BB469" s="17"/>
      <c r="BC469" s="17"/>
      <c r="BD469" s="17"/>
      <c r="BE469" s="17"/>
      <c r="BF469" s="17"/>
      <c r="BG469" s="17"/>
      <c r="BH469" s="17"/>
      <c r="BI469" s="17"/>
      <c r="BJ469" s="17"/>
      <c r="BK469" s="17"/>
    </row>
    <row r="470" spans="53:63" x14ac:dyDescent="0.2">
      <c r="BA470" s="17"/>
      <c r="BB470" s="17"/>
      <c r="BC470" s="17"/>
      <c r="BD470" s="17"/>
      <c r="BE470" s="17"/>
      <c r="BF470" s="17"/>
      <c r="BG470" s="17"/>
      <c r="BH470" s="17"/>
      <c r="BI470" s="17"/>
      <c r="BJ470" s="17"/>
      <c r="BK470" s="17"/>
    </row>
    <row r="471" spans="53:63" x14ac:dyDescent="0.2">
      <c r="BA471" s="17"/>
      <c r="BB471" s="17"/>
      <c r="BC471" s="17"/>
      <c r="BD471" s="17"/>
      <c r="BE471" s="17"/>
      <c r="BF471" s="17"/>
      <c r="BG471" s="17"/>
      <c r="BH471" s="17"/>
      <c r="BI471" s="17"/>
      <c r="BJ471" s="17"/>
      <c r="BK471" s="17"/>
    </row>
    <row r="472" spans="53:63" x14ac:dyDescent="0.2">
      <c r="BA472" s="17"/>
      <c r="BB472" s="17"/>
      <c r="BC472" s="17"/>
      <c r="BD472" s="17"/>
      <c r="BE472" s="17"/>
      <c r="BF472" s="17"/>
      <c r="BG472" s="17"/>
      <c r="BH472" s="17"/>
      <c r="BI472" s="17"/>
      <c r="BJ472" s="17"/>
      <c r="BK472" s="17"/>
    </row>
    <row r="473" spans="53:63" x14ac:dyDescent="0.2">
      <c r="BA473" s="17"/>
      <c r="BB473" s="17"/>
      <c r="BC473" s="17"/>
      <c r="BD473" s="17"/>
      <c r="BE473" s="17"/>
      <c r="BF473" s="17"/>
      <c r="BG473" s="17"/>
      <c r="BH473" s="17"/>
      <c r="BI473" s="17"/>
      <c r="BJ473" s="17"/>
      <c r="BK473" s="17"/>
    </row>
    <row r="474" spans="53:63" x14ac:dyDescent="0.2">
      <c r="BA474" s="17"/>
      <c r="BB474" s="17"/>
      <c r="BC474" s="17"/>
      <c r="BD474" s="17"/>
      <c r="BE474" s="17"/>
      <c r="BF474" s="17"/>
      <c r="BG474" s="17"/>
      <c r="BH474" s="17"/>
      <c r="BI474" s="17"/>
      <c r="BJ474" s="17"/>
      <c r="BK474" s="17"/>
    </row>
    <row r="475" spans="53:63" x14ac:dyDescent="0.2">
      <c r="BA475" s="17"/>
      <c r="BB475" s="17"/>
      <c r="BC475" s="17"/>
      <c r="BD475" s="17"/>
      <c r="BE475" s="17"/>
      <c r="BF475" s="17"/>
      <c r="BG475" s="17"/>
      <c r="BH475" s="17"/>
      <c r="BI475" s="17"/>
      <c r="BJ475" s="17"/>
      <c r="BK475" s="17"/>
    </row>
    <row r="476" spans="53:63" x14ac:dyDescent="0.2">
      <c r="BA476" s="17"/>
      <c r="BB476" s="17"/>
      <c r="BC476" s="17"/>
      <c r="BD476" s="17"/>
      <c r="BE476" s="17"/>
      <c r="BF476" s="17"/>
      <c r="BG476" s="17"/>
      <c r="BH476" s="17"/>
      <c r="BI476" s="17"/>
      <c r="BJ476" s="17"/>
      <c r="BK476" s="17"/>
    </row>
    <row r="477" spans="53:63" x14ac:dyDescent="0.2">
      <c r="BA477" s="17"/>
      <c r="BB477" s="17"/>
      <c r="BC477" s="17"/>
      <c r="BD477" s="17"/>
      <c r="BE477" s="17"/>
      <c r="BF477" s="17"/>
      <c r="BG477" s="17"/>
      <c r="BH477" s="17"/>
      <c r="BI477" s="17"/>
      <c r="BJ477" s="17"/>
      <c r="BK477" s="17"/>
    </row>
    <row r="478" spans="53:63" x14ac:dyDescent="0.2">
      <c r="BA478" s="17"/>
      <c r="BB478" s="17"/>
      <c r="BC478" s="17"/>
      <c r="BD478" s="17"/>
      <c r="BE478" s="17"/>
      <c r="BF478" s="17"/>
      <c r="BG478" s="17"/>
      <c r="BH478" s="17"/>
      <c r="BI478" s="17"/>
      <c r="BJ478" s="17"/>
      <c r="BK478" s="17"/>
    </row>
    <row r="479" spans="53:63" x14ac:dyDescent="0.2">
      <c r="BA479" s="17"/>
      <c r="BB479" s="17"/>
      <c r="BC479" s="17"/>
      <c r="BD479" s="17"/>
      <c r="BE479" s="17"/>
      <c r="BF479" s="17"/>
      <c r="BG479" s="17"/>
      <c r="BH479" s="17"/>
      <c r="BI479" s="17"/>
      <c r="BJ479" s="17"/>
      <c r="BK479" s="17"/>
    </row>
    <row r="480" spans="53:63" x14ac:dyDescent="0.2">
      <c r="BA480" s="17"/>
      <c r="BB480" s="17"/>
      <c r="BC480" s="17"/>
      <c r="BD480" s="17"/>
      <c r="BE480" s="17"/>
      <c r="BF480" s="17"/>
      <c r="BG480" s="17"/>
      <c r="BH480" s="17"/>
      <c r="BI480" s="17"/>
      <c r="BJ480" s="17"/>
      <c r="BK480" s="17"/>
    </row>
    <row r="481" spans="53:63" x14ac:dyDescent="0.2">
      <c r="BA481" s="17"/>
      <c r="BB481" s="17"/>
      <c r="BC481" s="17"/>
      <c r="BD481" s="17"/>
      <c r="BE481" s="17"/>
      <c r="BF481" s="17"/>
      <c r="BG481" s="17"/>
      <c r="BH481" s="17"/>
      <c r="BI481" s="17"/>
      <c r="BJ481" s="17"/>
      <c r="BK481" s="17"/>
    </row>
    <row r="482" spans="53:63" x14ac:dyDescent="0.2">
      <c r="BA482" s="17"/>
      <c r="BB482" s="17"/>
      <c r="BC482" s="17"/>
      <c r="BD482" s="17"/>
      <c r="BE482" s="17"/>
      <c r="BF482" s="17"/>
      <c r="BG482" s="17"/>
      <c r="BH482" s="17"/>
      <c r="BI482" s="17"/>
      <c r="BJ482" s="17"/>
      <c r="BK482" s="17"/>
    </row>
    <row r="483" spans="53:63" x14ac:dyDescent="0.2">
      <c r="BA483" s="17"/>
      <c r="BB483" s="17"/>
      <c r="BC483" s="17"/>
      <c r="BD483" s="17"/>
      <c r="BE483" s="17"/>
      <c r="BF483" s="17"/>
      <c r="BG483" s="17"/>
      <c r="BH483" s="17"/>
      <c r="BI483" s="17"/>
      <c r="BJ483" s="17"/>
      <c r="BK483" s="17"/>
    </row>
    <row r="484" spans="53:63" x14ac:dyDescent="0.2">
      <c r="BA484" s="17"/>
      <c r="BB484" s="17"/>
      <c r="BC484" s="17"/>
      <c r="BD484" s="17"/>
      <c r="BE484" s="17"/>
      <c r="BF484" s="17"/>
      <c r="BG484" s="17"/>
      <c r="BH484" s="17"/>
      <c r="BI484" s="17"/>
      <c r="BJ484" s="17"/>
      <c r="BK484" s="17"/>
    </row>
    <row r="485" spans="53:63" x14ac:dyDescent="0.2">
      <c r="BA485" s="17"/>
      <c r="BB485" s="17"/>
      <c r="BC485" s="17"/>
      <c r="BD485" s="17"/>
      <c r="BE485" s="17"/>
      <c r="BF485" s="17"/>
      <c r="BG485" s="17"/>
      <c r="BH485" s="17"/>
      <c r="BI485" s="17"/>
      <c r="BJ485" s="17"/>
      <c r="BK485" s="17"/>
    </row>
    <row r="486" spans="53:63" x14ac:dyDescent="0.2">
      <c r="BA486" s="17"/>
      <c r="BB486" s="17"/>
      <c r="BC486" s="17"/>
      <c r="BD486" s="17"/>
      <c r="BE486" s="17"/>
      <c r="BF486" s="17"/>
      <c r="BG486" s="17"/>
      <c r="BH486" s="17"/>
      <c r="BI486" s="17"/>
      <c r="BJ486" s="17"/>
      <c r="BK486" s="17"/>
    </row>
    <row r="487" spans="53:63" x14ac:dyDescent="0.2">
      <c r="BA487" s="17"/>
      <c r="BB487" s="17"/>
      <c r="BC487" s="17"/>
      <c r="BD487" s="17"/>
      <c r="BE487" s="17"/>
      <c r="BF487" s="17"/>
      <c r="BG487" s="17"/>
      <c r="BH487" s="17"/>
      <c r="BI487" s="17"/>
      <c r="BJ487" s="17"/>
      <c r="BK487" s="17"/>
    </row>
    <row r="488" spans="53:63" x14ac:dyDescent="0.2">
      <c r="BA488" s="17"/>
      <c r="BB488" s="17"/>
      <c r="BC488" s="17"/>
      <c r="BD488" s="17"/>
      <c r="BE488" s="17"/>
      <c r="BF488" s="17"/>
      <c r="BG488" s="17"/>
      <c r="BH488" s="17"/>
      <c r="BI488" s="17"/>
      <c r="BJ488" s="17"/>
      <c r="BK488" s="17"/>
    </row>
    <row r="489" spans="53:63" x14ac:dyDescent="0.2">
      <c r="BA489" s="17"/>
      <c r="BB489" s="17"/>
      <c r="BC489" s="17"/>
      <c r="BD489" s="17"/>
      <c r="BE489" s="17"/>
      <c r="BF489" s="17"/>
      <c r="BG489" s="17"/>
      <c r="BH489" s="17"/>
      <c r="BI489" s="17"/>
      <c r="BJ489" s="17"/>
      <c r="BK489" s="17"/>
    </row>
    <row r="490" spans="53:63" x14ac:dyDescent="0.2">
      <c r="BA490" s="17"/>
      <c r="BB490" s="17"/>
      <c r="BC490" s="17"/>
      <c r="BD490" s="17"/>
      <c r="BE490" s="17"/>
      <c r="BF490" s="17"/>
      <c r="BG490" s="17"/>
      <c r="BH490" s="17"/>
      <c r="BI490" s="17"/>
      <c r="BJ490" s="17"/>
      <c r="BK490" s="17"/>
    </row>
    <row r="491" spans="53:63" x14ac:dyDescent="0.2">
      <c r="BA491" s="17"/>
      <c r="BB491" s="17"/>
      <c r="BC491" s="17"/>
      <c r="BD491" s="17"/>
      <c r="BE491" s="17"/>
      <c r="BF491" s="17"/>
      <c r="BG491" s="17"/>
      <c r="BH491" s="17"/>
      <c r="BI491" s="17"/>
      <c r="BJ491" s="17"/>
      <c r="BK491" s="17"/>
    </row>
    <row r="492" spans="53:63" x14ac:dyDescent="0.2">
      <c r="BA492" s="17"/>
      <c r="BB492" s="17"/>
      <c r="BC492" s="17"/>
      <c r="BD492" s="17"/>
      <c r="BE492" s="17"/>
      <c r="BF492" s="17"/>
      <c r="BG492" s="17"/>
      <c r="BH492" s="17"/>
      <c r="BI492" s="17"/>
      <c r="BJ492" s="17"/>
      <c r="BK492" s="17"/>
    </row>
    <row r="493" spans="53:63" x14ac:dyDescent="0.2">
      <c r="BA493" s="17"/>
      <c r="BB493" s="17"/>
      <c r="BC493" s="17"/>
      <c r="BD493" s="17"/>
      <c r="BE493" s="17"/>
      <c r="BF493" s="17"/>
      <c r="BG493" s="17"/>
      <c r="BH493" s="17"/>
      <c r="BI493" s="17"/>
      <c r="BJ493" s="17"/>
      <c r="BK493" s="17"/>
    </row>
    <row r="494" spans="53:63" x14ac:dyDescent="0.2">
      <c r="BA494" s="17"/>
      <c r="BB494" s="17"/>
      <c r="BC494" s="17"/>
      <c r="BD494" s="17"/>
      <c r="BE494" s="17"/>
      <c r="BF494" s="17"/>
      <c r="BG494" s="17"/>
      <c r="BH494" s="17"/>
      <c r="BI494" s="17"/>
      <c r="BJ494" s="17"/>
      <c r="BK494" s="17"/>
    </row>
    <row r="495" spans="53:63" x14ac:dyDescent="0.2">
      <c r="BA495" s="17"/>
      <c r="BB495" s="17"/>
      <c r="BC495" s="17"/>
      <c r="BD495" s="17"/>
      <c r="BE495" s="17"/>
      <c r="BF495" s="17"/>
      <c r="BG495" s="17"/>
      <c r="BH495" s="17"/>
      <c r="BI495" s="17"/>
      <c r="BJ495" s="17"/>
      <c r="BK495" s="17"/>
    </row>
    <row r="496" spans="53:63" x14ac:dyDescent="0.2">
      <c r="BA496" s="17"/>
      <c r="BB496" s="17"/>
      <c r="BC496" s="17"/>
      <c r="BD496" s="17"/>
      <c r="BE496" s="17"/>
      <c r="BF496" s="17"/>
      <c r="BG496" s="17"/>
      <c r="BH496" s="17"/>
      <c r="BI496" s="17"/>
      <c r="BJ496" s="17"/>
      <c r="BK496" s="17"/>
    </row>
    <row r="497" spans="53:63" x14ac:dyDescent="0.2">
      <c r="BA497" s="17"/>
      <c r="BB497" s="17"/>
      <c r="BC497" s="17"/>
      <c r="BD497" s="17"/>
      <c r="BE497" s="17"/>
      <c r="BF497" s="17"/>
      <c r="BG497" s="17"/>
      <c r="BH497" s="17"/>
      <c r="BI497" s="17"/>
      <c r="BJ497" s="17"/>
      <c r="BK497" s="17"/>
    </row>
    <row r="498" spans="53:63" x14ac:dyDescent="0.2">
      <c r="BA498" s="17"/>
      <c r="BB498" s="17"/>
      <c r="BC498" s="17"/>
      <c r="BD498" s="17"/>
      <c r="BE498" s="17"/>
      <c r="BF498" s="17"/>
      <c r="BG498" s="17"/>
      <c r="BH498" s="17"/>
      <c r="BI498" s="17"/>
      <c r="BJ498" s="17"/>
      <c r="BK498" s="17"/>
    </row>
    <row r="499" spans="53:63" x14ac:dyDescent="0.2">
      <c r="BA499" s="17"/>
      <c r="BB499" s="17"/>
      <c r="BC499" s="17"/>
      <c r="BD499" s="17"/>
      <c r="BE499" s="17"/>
      <c r="BF499" s="17"/>
      <c r="BG499" s="17"/>
      <c r="BH499" s="17"/>
      <c r="BI499" s="17"/>
      <c r="BJ499" s="17"/>
      <c r="BK499" s="17"/>
    </row>
    <row r="500" spans="53:63" x14ac:dyDescent="0.2">
      <c r="BA500" s="17"/>
      <c r="BB500" s="17"/>
      <c r="BC500" s="17"/>
      <c r="BD500" s="17"/>
      <c r="BE500" s="17"/>
      <c r="BF500" s="17"/>
      <c r="BG500" s="17"/>
      <c r="BH500" s="17"/>
      <c r="BI500" s="17"/>
      <c r="BJ500" s="17"/>
      <c r="BK500" s="17"/>
    </row>
    <row r="501" spans="53:63" x14ac:dyDescent="0.2">
      <c r="BA501" s="17"/>
      <c r="BB501" s="17"/>
      <c r="BC501" s="17"/>
      <c r="BD501" s="17"/>
      <c r="BE501" s="17"/>
      <c r="BF501" s="17"/>
      <c r="BG501" s="17"/>
      <c r="BH501" s="17"/>
      <c r="BI501" s="17"/>
      <c r="BJ501" s="17"/>
      <c r="BK501" s="17"/>
    </row>
    <row r="502" spans="53:63" x14ac:dyDescent="0.2">
      <c r="BA502" s="17"/>
      <c r="BB502" s="17"/>
      <c r="BC502" s="17"/>
      <c r="BD502" s="17"/>
      <c r="BE502" s="17"/>
      <c r="BF502" s="17"/>
      <c r="BG502" s="17"/>
      <c r="BH502" s="17"/>
      <c r="BI502" s="17"/>
      <c r="BJ502" s="17"/>
      <c r="BK502" s="17"/>
    </row>
    <row r="503" spans="53:63" x14ac:dyDescent="0.2">
      <c r="BA503" s="17"/>
      <c r="BB503" s="17"/>
      <c r="BC503" s="17"/>
      <c r="BD503" s="17"/>
      <c r="BE503" s="17"/>
      <c r="BF503" s="17"/>
      <c r="BG503" s="17"/>
      <c r="BH503" s="17"/>
      <c r="BI503" s="17"/>
      <c r="BJ503" s="17"/>
      <c r="BK503" s="17"/>
    </row>
    <row r="504" spans="53:63" x14ac:dyDescent="0.2">
      <c r="BA504" s="17"/>
      <c r="BB504" s="17"/>
      <c r="BC504" s="17"/>
      <c r="BD504" s="17"/>
      <c r="BE504" s="17"/>
      <c r="BF504" s="17"/>
      <c r="BG504" s="17"/>
      <c r="BH504" s="17"/>
      <c r="BI504" s="17"/>
      <c r="BJ504" s="17"/>
      <c r="BK504" s="17"/>
    </row>
    <row r="505" spans="53:63" x14ac:dyDescent="0.2">
      <c r="BA505" s="17"/>
      <c r="BB505" s="17"/>
      <c r="BC505" s="17"/>
      <c r="BD505" s="17"/>
      <c r="BE505" s="17"/>
      <c r="BF505" s="17"/>
      <c r="BG505" s="17"/>
      <c r="BH505" s="17"/>
      <c r="BI505" s="17"/>
      <c r="BJ505" s="17"/>
      <c r="BK505" s="17"/>
    </row>
    <row r="506" spans="53:63" x14ac:dyDescent="0.2">
      <c r="BA506" s="17"/>
      <c r="BB506" s="17"/>
      <c r="BC506" s="17"/>
      <c r="BD506" s="17"/>
      <c r="BE506" s="17"/>
      <c r="BF506" s="17"/>
      <c r="BG506" s="17"/>
      <c r="BH506" s="17"/>
      <c r="BI506" s="17"/>
      <c r="BJ506" s="17"/>
      <c r="BK506" s="17"/>
    </row>
    <row r="507" spans="53:63" x14ac:dyDescent="0.2">
      <c r="BA507" s="17"/>
      <c r="BB507" s="17"/>
      <c r="BC507" s="17"/>
      <c r="BD507" s="17"/>
      <c r="BE507" s="17"/>
      <c r="BF507" s="17"/>
      <c r="BG507" s="17"/>
      <c r="BH507" s="17"/>
      <c r="BI507" s="17"/>
      <c r="BJ507" s="17"/>
      <c r="BK507" s="17"/>
    </row>
    <row r="508" spans="53:63" x14ac:dyDescent="0.2">
      <c r="BA508" s="17"/>
      <c r="BB508" s="17"/>
      <c r="BC508" s="17"/>
      <c r="BD508" s="17"/>
      <c r="BE508" s="17"/>
      <c r="BF508" s="17"/>
      <c r="BG508" s="17"/>
      <c r="BH508" s="17"/>
      <c r="BI508" s="17"/>
      <c r="BJ508" s="17"/>
      <c r="BK508" s="17"/>
    </row>
    <row r="509" spans="53:63" x14ac:dyDescent="0.2">
      <c r="BA509" s="17"/>
      <c r="BB509" s="17"/>
      <c r="BC509" s="17"/>
      <c r="BD509" s="17"/>
      <c r="BE509" s="17"/>
      <c r="BF509" s="17"/>
      <c r="BG509" s="17"/>
      <c r="BH509" s="17"/>
      <c r="BI509" s="17"/>
      <c r="BJ509" s="17"/>
      <c r="BK509" s="17"/>
    </row>
    <row r="510" spans="53:63" x14ac:dyDescent="0.2">
      <c r="BA510" s="17"/>
      <c r="BB510" s="17"/>
      <c r="BC510" s="17"/>
      <c r="BD510" s="17"/>
      <c r="BE510" s="17"/>
      <c r="BF510" s="17"/>
      <c r="BG510" s="17"/>
      <c r="BH510" s="17"/>
      <c r="BI510" s="17"/>
      <c r="BJ510" s="17"/>
      <c r="BK510" s="17"/>
    </row>
    <row r="511" spans="53:63" x14ac:dyDescent="0.2">
      <c r="BA511" s="17"/>
      <c r="BB511" s="17"/>
      <c r="BC511" s="17"/>
      <c r="BD511" s="17"/>
      <c r="BE511" s="17"/>
      <c r="BF511" s="17"/>
      <c r="BG511" s="17"/>
      <c r="BH511" s="17"/>
      <c r="BI511" s="17"/>
      <c r="BJ511" s="17"/>
      <c r="BK511" s="17"/>
    </row>
    <row r="512" spans="53:63" x14ac:dyDescent="0.2">
      <c r="BA512" s="17"/>
      <c r="BB512" s="17"/>
      <c r="BC512" s="17"/>
      <c r="BD512" s="17"/>
      <c r="BE512" s="17"/>
      <c r="BF512" s="17"/>
      <c r="BG512" s="17"/>
      <c r="BH512" s="17"/>
      <c r="BI512" s="17"/>
      <c r="BJ512" s="17"/>
      <c r="BK512" s="17"/>
    </row>
    <row r="513" spans="53:63" x14ac:dyDescent="0.2">
      <c r="BA513" s="17"/>
      <c r="BB513" s="17"/>
      <c r="BC513" s="17"/>
      <c r="BD513" s="17"/>
      <c r="BE513" s="17"/>
      <c r="BF513" s="17"/>
      <c r="BG513" s="17"/>
      <c r="BH513" s="17"/>
      <c r="BI513" s="17"/>
      <c r="BJ513" s="17"/>
      <c r="BK513" s="17"/>
    </row>
    <row r="514" spans="53:63" x14ac:dyDescent="0.2">
      <c r="BA514" s="17"/>
      <c r="BB514" s="17"/>
      <c r="BC514" s="17"/>
      <c r="BD514" s="17"/>
      <c r="BE514" s="17"/>
      <c r="BF514" s="17"/>
      <c r="BG514" s="17"/>
      <c r="BH514" s="17"/>
      <c r="BI514" s="17"/>
      <c r="BJ514" s="17"/>
      <c r="BK514" s="17"/>
    </row>
    <row r="515" spans="53:63" x14ac:dyDescent="0.2">
      <c r="BA515" s="17"/>
      <c r="BB515" s="17"/>
      <c r="BC515" s="17"/>
      <c r="BD515" s="17"/>
      <c r="BE515" s="17"/>
      <c r="BF515" s="17"/>
      <c r="BG515" s="17"/>
      <c r="BH515" s="17"/>
      <c r="BI515" s="17"/>
      <c r="BJ515" s="17"/>
      <c r="BK515" s="17"/>
    </row>
    <row r="516" spans="53:63" x14ac:dyDescent="0.2">
      <c r="BA516" s="17"/>
      <c r="BB516" s="17"/>
      <c r="BC516" s="17"/>
      <c r="BD516" s="17"/>
      <c r="BE516" s="17"/>
      <c r="BF516" s="17"/>
      <c r="BG516" s="17"/>
      <c r="BH516" s="17"/>
      <c r="BI516" s="17"/>
      <c r="BJ516" s="17"/>
      <c r="BK516" s="17"/>
    </row>
    <row r="517" spans="53:63" x14ac:dyDescent="0.2">
      <c r="BA517" s="17"/>
      <c r="BB517" s="17"/>
      <c r="BC517" s="17"/>
      <c r="BD517" s="17"/>
      <c r="BE517" s="17"/>
      <c r="BF517" s="17"/>
      <c r="BG517" s="17"/>
      <c r="BH517" s="17"/>
      <c r="BI517" s="17"/>
      <c r="BJ517" s="17"/>
      <c r="BK517" s="17"/>
    </row>
    <row r="518" spans="53:63" x14ac:dyDescent="0.2">
      <c r="BA518" s="17"/>
      <c r="BB518" s="17"/>
      <c r="BC518" s="17"/>
      <c r="BD518" s="17"/>
      <c r="BE518" s="17"/>
      <c r="BF518" s="17"/>
      <c r="BG518" s="17"/>
      <c r="BH518" s="17"/>
      <c r="BI518" s="17"/>
      <c r="BJ518" s="17"/>
      <c r="BK518" s="17"/>
    </row>
    <row r="519" spans="53:63" x14ac:dyDescent="0.2">
      <c r="BA519" s="17"/>
      <c r="BB519" s="17"/>
      <c r="BC519" s="17"/>
      <c r="BD519" s="17"/>
      <c r="BE519" s="17"/>
      <c r="BF519" s="17"/>
      <c r="BG519" s="17"/>
      <c r="BH519" s="17"/>
      <c r="BI519" s="17"/>
      <c r="BJ519" s="17"/>
      <c r="BK519" s="17"/>
    </row>
    <row r="520" spans="53:63" x14ac:dyDescent="0.2">
      <c r="BA520" s="17"/>
      <c r="BB520" s="17"/>
      <c r="BC520" s="17"/>
      <c r="BD520" s="17"/>
      <c r="BE520" s="17"/>
      <c r="BF520" s="17"/>
      <c r="BG520" s="17"/>
      <c r="BH520" s="17"/>
      <c r="BI520" s="17"/>
      <c r="BJ520" s="17"/>
      <c r="BK520" s="17"/>
    </row>
    <row r="521" spans="53:63" x14ac:dyDescent="0.2">
      <c r="BA521" s="17"/>
      <c r="BB521" s="17"/>
      <c r="BC521" s="17"/>
      <c r="BD521" s="17"/>
      <c r="BE521" s="17"/>
      <c r="BF521" s="17"/>
      <c r="BG521" s="17"/>
      <c r="BH521" s="17"/>
      <c r="BI521" s="17"/>
      <c r="BJ521" s="17"/>
      <c r="BK521" s="17"/>
    </row>
    <row r="522" spans="53:63" x14ac:dyDescent="0.2">
      <c r="BA522" s="17"/>
      <c r="BB522" s="17"/>
      <c r="BC522" s="17"/>
      <c r="BD522" s="17"/>
      <c r="BE522" s="17"/>
      <c r="BF522" s="17"/>
      <c r="BG522" s="17"/>
      <c r="BH522" s="17"/>
      <c r="BI522" s="17"/>
      <c r="BJ522" s="17"/>
      <c r="BK522" s="17"/>
    </row>
    <row r="523" spans="53:63" x14ac:dyDescent="0.2">
      <c r="BA523" s="17"/>
      <c r="BB523" s="17"/>
      <c r="BC523" s="17"/>
      <c r="BD523" s="17"/>
      <c r="BE523" s="17"/>
      <c r="BF523" s="17"/>
      <c r="BG523" s="17"/>
      <c r="BH523" s="17"/>
      <c r="BI523" s="17"/>
      <c r="BJ523" s="17"/>
      <c r="BK523" s="17"/>
    </row>
    <row r="524" spans="53:63" x14ac:dyDescent="0.2">
      <c r="BA524" s="17"/>
      <c r="BB524" s="17"/>
      <c r="BC524" s="17"/>
      <c r="BD524" s="17"/>
      <c r="BE524" s="17"/>
      <c r="BF524" s="17"/>
      <c r="BG524" s="17"/>
      <c r="BH524" s="17"/>
      <c r="BI524" s="17"/>
      <c r="BJ524" s="17"/>
      <c r="BK524" s="17"/>
    </row>
    <row r="525" spans="53:63" x14ac:dyDescent="0.2">
      <c r="BA525" s="17"/>
      <c r="BB525" s="17"/>
      <c r="BC525" s="17"/>
      <c r="BD525" s="17"/>
      <c r="BE525" s="17"/>
      <c r="BF525" s="17"/>
      <c r="BG525" s="17"/>
      <c r="BH525" s="17"/>
      <c r="BI525" s="17"/>
      <c r="BJ525" s="17"/>
      <c r="BK525" s="17"/>
    </row>
    <row r="526" spans="53:63" x14ac:dyDescent="0.2">
      <c r="BA526" s="17"/>
      <c r="BB526" s="17"/>
      <c r="BC526" s="17"/>
      <c r="BD526" s="17"/>
      <c r="BE526" s="17"/>
      <c r="BF526" s="17"/>
      <c r="BG526" s="17"/>
      <c r="BH526" s="17"/>
      <c r="BI526" s="17"/>
      <c r="BJ526" s="17"/>
      <c r="BK526" s="17"/>
    </row>
    <row r="527" spans="53:63" x14ac:dyDescent="0.2">
      <c r="BA527" s="17"/>
      <c r="BB527" s="17"/>
      <c r="BC527" s="17"/>
      <c r="BD527" s="17"/>
      <c r="BE527" s="17"/>
      <c r="BF527" s="17"/>
      <c r="BG527" s="17"/>
      <c r="BH527" s="17"/>
      <c r="BI527" s="17"/>
      <c r="BJ527" s="17"/>
      <c r="BK527" s="17"/>
    </row>
    <row r="528" spans="53:63" x14ac:dyDescent="0.2">
      <c r="BA528" s="17"/>
      <c r="BB528" s="17"/>
      <c r="BC528" s="17"/>
      <c r="BD528" s="17"/>
      <c r="BE528" s="17"/>
      <c r="BF528" s="17"/>
      <c r="BG528" s="17"/>
      <c r="BH528" s="17"/>
      <c r="BI528" s="17"/>
      <c r="BJ528" s="17"/>
      <c r="BK528" s="17"/>
    </row>
    <row r="529" spans="53:63" x14ac:dyDescent="0.2">
      <c r="BA529" s="17"/>
      <c r="BB529" s="17"/>
      <c r="BC529" s="17"/>
      <c r="BD529" s="17"/>
      <c r="BE529" s="17"/>
      <c r="BF529" s="17"/>
      <c r="BG529" s="17"/>
      <c r="BH529" s="17"/>
      <c r="BI529" s="17"/>
      <c r="BJ529" s="17"/>
      <c r="BK529" s="17"/>
    </row>
    <row r="530" spans="53:63" x14ac:dyDescent="0.2">
      <c r="BA530" s="17"/>
      <c r="BB530" s="17"/>
      <c r="BC530" s="17"/>
      <c r="BD530" s="17"/>
      <c r="BE530" s="17"/>
      <c r="BF530" s="17"/>
      <c r="BG530" s="17"/>
      <c r="BH530" s="17"/>
      <c r="BI530" s="17"/>
      <c r="BJ530" s="17"/>
      <c r="BK530" s="17"/>
    </row>
    <row r="531" spans="53:63" x14ac:dyDescent="0.2">
      <c r="BA531" s="17"/>
      <c r="BB531" s="17"/>
      <c r="BC531" s="17"/>
      <c r="BD531" s="17"/>
      <c r="BE531" s="17"/>
      <c r="BF531" s="17"/>
      <c r="BG531" s="17"/>
      <c r="BH531" s="17"/>
      <c r="BI531" s="17"/>
      <c r="BJ531" s="17"/>
      <c r="BK531" s="17"/>
    </row>
    <row r="532" spans="53:63" x14ac:dyDescent="0.2">
      <c r="BA532" s="17"/>
      <c r="BB532" s="17"/>
      <c r="BC532" s="17"/>
      <c r="BD532" s="17"/>
      <c r="BE532" s="17"/>
      <c r="BF532" s="17"/>
      <c r="BG532" s="17"/>
      <c r="BH532" s="17"/>
      <c r="BI532" s="17"/>
      <c r="BJ532" s="17"/>
      <c r="BK532" s="17"/>
    </row>
    <row r="533" spans="53:63" x14ac:dyDescent="0.2">
      <c r="BA533" s="17"/>
      <c r="BB533" s="17"/>
      <c r="BC533" s="17"/>
      <c r="BD533" s="17"/>
      <c r="BE533" s="17"/>
      <c r="BF533" s="17"/>
      <c r="BG533" s="17"/>
      <c r="BH533" s="17"/>
      <c r="BI533" s="17"/>
      <c r="BJ533" s="17"/>
      <c r="BK533" s="17"/>
    </row>
    <row r="534" spans="53:63" x14ac:dyDescent="0.2">
      <c r="BA534" s="17"/>
      <c r="BB534" s="17"/>
      <c r="BC534" s="17"/>
      <c r="BD534" s="17"/>
      <c r="BE534" s="17"/>
      <c r="BF534" s="17"/>
      <c r="BG534" s="17"/>
      <c r="BH534" s="17"/>
      <c r="BI534" s="17"/>
      <c r="BJ534" s="17"/>
      <c r="BK534" s="17"/>
    </row>
    <row r="535" spans="53:63" x14ac:dyDescent="0.2">
      <c r="BA535" s="17"/>
      <c r="BB535" s="17"/>
      <c r="BC535" s="17"/>
      <c r="BD535" s="17"/>
      <c r="BE535" s="17"/>
      <c r="BF535" s="17"/>
      <c r="BG535" s="17"/>
      <c r="BH535" s="17"/>
      <c r="BI535" s="17"/>
      <c r="BJ535" s="17"/>
      <c r="BK535" s="17"/>
    </row>
    <row r="536" spans="53:63" x14ac:dyDescent="0.2">
      <c r="BA536" s="17"/>
      <c r="BB536" s="17"/>
      <c r="BC536" s="17"/>
      <c r="BD536" s="17"/>
      <c r="BE536" s="17"/>
      <c r="BF536" s="17"/>
      <c r="BG536" s="17"/>
      <c r="BH536" s="17"/>
      <c r="BI536" s="17"/>
      <c r="BJ536" s="17"/>
      <c r="BK536" s="17"/>
    </row>
    <row r="537" spans="53:63" x14ac:dyDescent="0.2">
      <c r="BA537" s="17"/>
      <c r="BB537" s="17"/>
      <c r="BC537" s="17"/>
      <c r="BD537" s="17"/>
      <c r="BE537" s="17"/>
      <c r="BF537" s="17"/>
      <c r="BG537" s="17"/>
      <c r="BH537" s="17"/>
      <c r="BI537" s="17"/>
      <c r="BJ537" s="17"/>
      <c r="BK537" s="17"/>
    </row>
    <row r="538" spans="53:63" x14ac:dyDescent="0.2">
      <c r="BA538" s="17"/>
      <c r="BB538" s="17"/>
      <c r="BC538" s="17"/>
      <c r="BD538" s="17"/>
      <c r="BE538" s="17"/>
      <c r="BF538" s="17"/>
      <c r="BG538" s="17"/>
      <c r="BH538" s="17"/>
      <c r="BI538" s="17"/>
      <c r="BJ538" s="17"/>
      <c r="BK538" s="17"/>
    </row>
    <row r="539" spans="53:63" x14ac:dyDescent="0.2">
      <c r="BA539" s="17"/>
      <c r="BB539" s="17"/>
      <c r="BC539" s="17"/>
      <c r="BD539" s="17"/>
      <c r="BE539" s="17"/>
      <c r="BF539" s="17"/>
      <c r="BG539" s="17"/>
      <c r="BH539" s="17"/>
      <c r="BI539" s="17"/>
      <c r="BJ539" s="17"/>
      <c r="BK539" s="17"/>
    </row>
    <row r="540" spans="53:63" x14ac:dyDescent="0.2">
      <c r="BA540" s="17"/>
      <c r="BB540" s="17"/>
      <c r="BC540" s="17"/>
      <c r="BD540" s="17"/>
      <c r="BE540" s="17"/>
      <c r="BF540" s="17"/>
      <c r="BG540" s="17"/>
      <c r="BH540" s="17"/>
      <c r="BI540" s="17"/>
      <c r="BJ540" s="17"/>
      <c r="BK540" s="17"/>
    </row>
    <row r="541" spans="53:63" x14ac:dyDescent="0.2">
      <c r="BA541" s="17"/>
      <c r="BB541" s="17"/>
      <c r="BC541" s="17"/>
      <c r="BD541" s="17"/>
      <c r="BE541" s="17"/>
      <c r="BF541" s="17"/>
      <c r="BG541" s="17"/>
      <c r="BH541" s="17"/>
      <c r="BI541" s="17"/>
      <c r="BJ541" s="17"/>
      <c r="BK541" s="17"/>
    </row>
    <row r="542" spans="53:63" x14ac:dyDescent="0.2">
      <c r="BA542" s="17"/>
      <c r="BB542" s="17"/>
      <c r="BC542" s="17"/>
      <c r="BD542" s="17"/>
      <c r="BE542" s="17"/>
      <c r="BF542" s="17"/>
      <c r="BG542" s="17"/>
      <c r="BH542" s="17"/>
      <c r="BI542" s="17"/>
      <c r="BJ542" s="17"/>
      <c r="BK542" s="17"/>
    </row>
    <row r="543" spans="53:63" x14ac:dyDescent="0.2">
      <c r="BA543" s="17"/>
      <c r="BB543" s="17"/>
      <c r="BC543" s="17"/>
      <c r="BD543" s="17"/>
      <c r="BE543" s="17"/>
      <c r="BF543" s="17"/>
      <c r="BG543" s="17"/>
      <c r="BH543" s="17"/>
      <c r="BI543" s="17"/>
      <c r="BJ543" s="17"/>
      <c r="BK543" s="17"/>
    </row>
    <row r="544" spans="53:63" x14ac:dyDescent="0.2">
      <c r="BA544" s="17"/>
      <c r="BB544" s="17"/>
      <c r="BC544" s="17"/>
      <c r="BD544" s="17"/>
      <c r="BE544" s="17"/>
      <c r="BF544" s="17"/>
      <c r="BG544" s="17"/>
      <c r="BH544" s="17"/>
      <c r="BI544" s="17"/>
      <c r="BJ544" s="17"/>
      <c r="BK544" s="17"/>
    </row>
    <row r="545" spans="53:63" x14ac:dyDescent="0.2">
      <c r="BA545" s="17"/>
      <c r="BB545" s="17"/>
      <c r="BC545" s="17"/>
      <c r="BD545" s="17"/>
      <c r="BE545" s="17"/>
      <c r="BF545" s="17"/>
      <c r="BG545" s="17"/>
      <c r="BH545" s="17"/>
      <c r="BI545" s="17"/>
      <c r="BJ545" s="17"/>
      <c r="BK545" s="17"/>
    </row>
    <row r="546" spans="53:63" x14ac:dyDescent="0.2">
      <c r="BA546" s="17"/>
      <c r="BB546" s="17"/>
      <c r="BC546" s="17"/>
      <c r="BD546" s="17"/>
      <c r="BE546" s="17"/>
      <c r="BF546" s="17"/>
      <c r="BG546" s="17"/>
      <c r="BH546" s="17"/>
      <c r="BI546" s="17"/>
      <c r="BJ546" s="17"/>
      <c r="BK546" s="17"/>
    </row>
    <row r="547" spans="53:63" x14ac:dyDescent="0.2">
      <c r="BA547" s="17"/>
      <c r="BB547" s="17"/>
      <c r="BC547" s="17"/>
      <c r="BD547" s="17"/>
      <c r="BE547" s="17"/>
      <c r="BF547" s="17"/>
      <c r="BG547" s="17"/>
      <c r="BH547" s="17"/>
      <c r="BI547" s="17"/>
      <c r="BJ547" s="17"/>
      <c r="BK547" s="17"/>
    </row>
    <row r="548" spans="53:63" x14ac:dyDescent="0.2">
      <c r="BA548" s="17"/>
      <c r="BB548" s="17"/>
      <c r="BC548" s="17"/>
      <c r="BD548" s="17"/>
      <c r="BE548" s="17"/>
      <c r="BF548" s="17"/>
      <c r="BG548" s="17"/>
      <c r="BH548" s="17"/>
      <c r="BI548" s="17"/>
      <c r="BJ548" s="17"/>
      <c r="BK548" s="17"/>
    </row>
    <row r="549" spans="53:63" x14ac:dyDescent="0.2">
      <c r="BA549" s="17"/>
      <c r="BB549" s="17"/>
      <c r="BC549" s="17"/>
      <c r="BD549" s="17"/>
      <c r="BE549" s="17"/>
      <c r="BF549" s="17"/>
      <c r="BG549" s="17"/>
      <c r="BH549" s="17"/>
      <c r="BI549" s="17"/>
      <c r="BJ549" s="17"/>
      <c r="BK549" s="17"/>
    </row>
    <row r="550" spans="53:63" x14ac:dyDescent="0.2">
      <c r="BA550" s="17"/>
      <c r="BB550" s="17"/>
      <c r="BC550" s="17"/>
      <c r="BD550" s="17"/>
      <c r="BE550" s="17"/>
      <c r="BF550" s="17"/>
      <c r="BG550" s="17"/>
      <c r="BH550" s="17"/>
      <c r="BI550" s="17"/>
      <c r="BJ550" s="17"/>
      <c r="BK550" s="17"/>
    </row>
    <row r="551" spans="53:63" x14ac:dyDescent="0.2">
      <c r="BA551" s="17"/>
      <c r="BB551" s="17"/>
      <c r="BC551" s="17"/>
      <c r="BD551" s="17"/>
      <c r="BE551" s="17"/>
      <c r="BF551" s="17"/>
      <c r="BG551" s="17"/>
      <c r="BH551" s="17"/>
      <c r="BI551" s="17"/>
      <c r="BJ551" s="17"/>
      <c r="BK551" s="17"/>
    </row>
    <row r="552" spans="53:63" x14ac:dyDescent="0.2">
      <c r="BA552" s="17"/>
      <c r="BB552" s="17"/>
      <c r="BC552" s="17"/>
      <c r="BD552" s="17"/>
      <c r="BE552" s="17"/>
      <c r="BF552" s="17"/>
      <c r="BG552" s="17"/>
      <c r="BH552" s="17"/>
      <c r="BI552" s="17"/>
      <c r="BJ552" s="17"/>
      <c r="BK552" s="17"/>
    </row>
    <row r="553" spans="53:63" x14ac:dyDescent="0.2">
      <c r="BA553" s="17"/>
      <c r="BB553" s="17"/>
      <c r="BC553" s="17"/>
      <c r="BD553" s="17"/>
      <c r="BE553" s="17"/>
      <c r="BF553" s="17"/>
      <c r="BG553" s="17"/>
      <c r="BH553" s="17"/>
      <c r="BI553" s="17"/>
      <c r="BJ553" s="17"/>
      <c r="BK553" s="17"/>
    </row>
    <row r="554" spans="53:63" x14ac:dyDescent="0.2">
      <c r="BA554" s="17"/>
      <c r="BB554" s="17"/>
      <c r="BC554" s="17"/>
      <c r="BD554" s="17"/>
      <c r="BE554" s="17"/>
      <c r="BF554" s="17"/>
      <c r="BG554" s="17"/>
      <c r="BH554" s="17"/>
      <c r="BI554" s="17"/>
      <c r="BJ554" s="17"/>
      <c r="BK554" s="17"/>
    </row>
    <row r="555" spans="53:63" x14ac:dyDescent="0.2">
      <c r="BA555" s="17"/>
      <c r="BB555" s="17"/>
      <c r="BC555" s="17"/>
      <c r="BD555" s="17"/>
      <c r="BE555" s="17"/>
      <c r="BF555" s="17"/>
      <c r="BG555" s="17"/>
      <c r="BH555" s="17"/>
      <c r="BI555" s="17"/>
      <c r="BJ555" s="17"/>
      <c r="BK555" s="17"/>
    </row>
    <row r="556" spans="53:63" x14ac:dyDescent="0.2">
      <c r="BA556" s="17"/>
      <c r="BB556" s="17"/>
      <c r="BC556" s="17"/>
      <c r="BD556" s="17"/>
      <c r="BE556" s="17"/>
      <c r="BF556" s="17"/>
      <c r="BG556" s="17"/>
      <c r="BH556" s="17"/>
      <c r="BI556" s="17"/>
      <c r="BJ556" s="17"/>
      <c r="BK556" s="17"/>
    </row>
    <row r="557" spans="53:63" x14ac:dyDescent="0.2">
      <c r="BA557" s="17"/>
      <c r="BB557" s="17"/>
      <c r="BC557" s="17"/>
      <c r="BD557" s="17"/>
      <c r="BE557" s="17"/>
      <c r="BF557" s="17"/>
      <c r="BG557" s="17"/>
      <c r="BH557" s="17"/>
      <c r="BI557" s="17"/>
      <c r="BJ557" s="17"/>
      <c r="BK557" s="17"/>
    </row>
    <row r="558" spans="53:63" x14ac:dyDescent="0.2">
      <c r="BA558" s="17"/>
      <c r="BB558" s="17"/>
      <c r="BC558" s="17"/>
      <c r="BD558" s="17"/>
      <c r="BE558" s="17"/>
      <c r="BF558" s="17"/>
      <c r="BG558" s="17"/>
      <c r="BH558" s="17"/>
      <c r="BI558" s="17"/>
      <c r="BJ558" s="17"/>
      <c r="BK558" s="17"/>
    </row>
    <row r="559" spans="53:63" x14ac:dyDescent="0.2">
      <c r="BA559" s="17"/>
      <c r="BB559" s="17"/>
      <c r="BC559" s="17"/>
      <c r="BD559" s="17"/>
      <c r="BE559" s="17"/>
      <c r="BF559" s="17"/>
      <c r="BG559" s="17"/>
      <c r="BH559" s="17"/>
      <c r="BI559" s="17"/>
      <c r="BJ559" s="17"/>
      <c r="BK559" s="17"/>
    </row>
    <row r="560" spans="53:63" x14ac:dyDescent="0.2">
      <c r="BA560" s="17"/>
      <c r="BB560" s="17"/>
      <c r="BC560" s="17"/>
      <c r="BD560" s="17"/>
      <c r="BE560" s="17"/>
      <c r="BF560" s="17"/>
      <c r="BG560" s="17"/>
      <c r="BH560" s="17"/>
      <c r="BI560" s="17"/>
      <c r="BJ560" s="17"/>
      <c r="BK560" s="17"/>
    </row>
    <row r="561" spans="53:63" x14ac:dyDescent="0.2">
      <c r="BA561" s="17"/>
      <c r="BB561" s="17"/>
      <c r="BC561" s="17"/>
      <c r="BD561" s="17"/>
      <c r="BE561" s="17"/>
      <c r="BF561" s="17"/>
      <c r="BG561" s="17"/>
      <c r="BH561" s="17"/>
      <c r="BI561" s="17"/>
      <c r="BJ561" s="17"/>
      <c r="BK561" s="17"/>
    </row>
    <row r="562" spans="53:63" x14ac:dyDescent="0.2">
      <c r="BA562" s="17"/>
      <c r="BB562" s="17"/>
      <c r="BC562" s="17"/>
      <c r="BD562" s="17"/>
      <c r="BE562" s="17"/>
      <c r="BF562" s="17"/>
      <c r="BG562" s="17"/>
      <c r="BH562" s="17"/>
      <c r="BI562" s="17"/>
      <c r="BJ562" s="17"/>
      <c r="BK562" s="17"/>
    </row>
    <row r="563" spans="53:63" x14ac:dyDescent="0.2">
      <c r="BA563" s="17"/>
      <c r="BB563" s="17"/>
      <c r="BC563" s="17"/>
      <c r="BD563" s="17"/>
      <c r="BE563" s="17"/>
      <c r="BF563" s="17"/>
      <c r="BG563" s="17"/>
      <c r="BH563" s="17"/>
      <c r="BI563" s="17"/>
      <c r="BJ563" s="17"/>
      <c r="BK563" s="17"/>
    </row>
    <row r="564" spans="53:63" x14ac:dyDescent="0.2">
      <c r="BA564" s="17"/>
      <c r="BB564" s="17"/>
      <c r="BC564" s="17"/>
      <c r="BD564" s="17"/>
      <c r="BE564" s="17"/>
      <c r="BF564" s="17"/>
      <c r="BG564" s="17"/>
      <c r="BH564" s="17"/>
      <c r="BI564" s="17"/>
      <c r="BJ564" s="17"/>
      <c r="BK564" s="17"/>
    </row>
    <row r="565" spans="53:63" x14ac:dyDescent="0.2">
      <c r="BA565" s="17"/>
      <c r="BB565" s="17"/>
      <c r="BC565" s="17"/>
      <c r="BD565" s="17"/>
      <c r="BE565" s="17"/>
      <c r="BF565" s="17"/>
      <c r="BG565" s="17"/>
      <c r="BH565" s="17"/>
      <c r="BI565" s="17"/>
      <c r="BJ565" s="17"/>
      <c r="BK565" s="17"/>
    </row>
    <row r="566" spans="53:63" x14ac:dyDescent="0.2">
      <c r="BA566" s="17"/>
      <c r="BB566" s="17"/>
      <c r="BC566" s="17"/>
      <c r="BD566" s="17"/>
      <c r="BE566" s="17"/>
      <c r="BF566" s="17"/>
      <c r="BG566" s="17"/>
      <c r="BH566" s="17"/>
      <c r="BI566" s="17"/>
      <c r="BJ566" s="17"/>
      <c r="BK566" s="17"/>
    </row>
    <row r="567" spans="53:63" x14ac:dyDescent="0.2">
      <c r="BA567" s="17"/>
      <c r="BB567" s="17"/>
      <c r="BC567" s="17"/>
      <c r="BD567" s="17"/>
      <c r="BE567" s="17"/>
      <c r="BF567" s="17"/>
      <c r="BG567" s="17"/>
      <c r="BH567" s="17"/>
      <c r="BI567" s="17"/>
      <c r="BJ567" s="17"/>
      <c r="BK567" s="17"/>
    </row>
    <row r="568" spans="53:63" x14ac:dyDescent="0.2">
      <c r="BA568" s="17"/>
      <c r="BB568" s="17"/>
      <c r="BC568" s="17"/>
      <c r="BD568" s="17"/>
      <c r="BE568" s="17"/>
      <c r="BF568" s="17"/>
      <c r="BG568" s="17"/>
      <c r="BH568" s="17"/>
      <c r="BI568" s="17"/>
      <c r="BJ568" s="17"/>
      <c r="BK568" s="17"/>
    </row>
    <row r="569" spans="53:63" x14ac:dyDescent="0.2">
      <c r="BA569" s="17"/>
      <c r="BB569" s="17"/>
      <c r="BC569" s="17"/>
      <c r="BD569" s="17"/>
      <c r="BE569" s="17"/>
      <c r="BF569" s="17"/>
      <c r="BG569" s="17"/>
      <c r="BH569" s="17"/>
      <c r="BI569" s="17"/>
      <c r="BJ569" s="17"/>
      <c r="BK569" s="17"/>
    </row>
    <row r="570" spans="53:63" x14ac:dyDescent="0.2">
      <c r="BA570" s="17"/>
      <c r="BB570" s="17"/>
      <c r="BC570" s="17"/>
      <c r="BD570" s="17"/>
      <c r="BE570" s="17"/>
      <c r="BF570" s="17"/>
      <c r="BG570" s="17"/>
      <c r="BH570" s="17"/>
      <c r="BI570" s="17"/>
      <c r="BJ570" s="17"/>
      <c r="BK570" s="17"/>
    </row>
    <row r="571" spans="53:63" x14ac:dyDescent="0.2">
      <c r="BA571" s="17"/>
      <c r="BB571" s="17"/>
      <c r="BC571" s="17"/>
      <c r="BD571" s="17"/>
      <c r="BE571" s="17"/>
      <c r="BF571" s="17"/>
      <c r="BG571" s="17"/>
      <c r="BH571" s="17"/>
      <c r="BI571" s="17"/>
      <c r="BJ571" s="17"/>
      <c r="BK571" s="17"/>
    </row>
    <row r="572" spans="53:63" x14ac:dyDescent="0.2">
      <c r="BA572" s="17"/>
      <c r="BB572" s="17"/>
      <c r="BC572" s="17"/>
      <c r="BD572" s="17"/>
      <c r="BE572" s="17"/>
      <c r="BF572" s="17"/>
      <c r="BG572" s="17"/>
      <c r="BH572" s="17"/>
      <c r="BI572" s="17"/>
      <c r="BJ572" s="17"/>
      <c r="BK572" s="17"/>
    </row>
    <row r="573" spans="53:63" x14ac:dyDescent="0.2">
      <c r="BA573" s="17"/>
      <c r="BB573" s="17"/>
      <c r="BC573" s="17"/>
      <c r="BD573" s="17"/>
      <c r="BE573" s="17"/>
      <c r="BF573" s="17"/>
      <c r="BG573" s="17"/>
      <c r="BH573" s="17"/>
      <c r="BI573" s="17"/>
      <c r="BJ573" s="17"/>
      <c r="BK573" s="17"/>
    </row>
    <row r="574" spans="53:63" x14ac:dyDescent="0.2">
      <c r="BA574" s="17"/>
      <c r="BB574" s="17"/>
      <c r="BC574" s="17"/>
      <c r="BD574" s="17"/>
      <c r="BE574" s="17"/>
      <c r="BF574" s="17"/>
      <c r="BG574" s="17"/>
      <c r="BH574" s="17"/>
      <c r="BI574" s="17"/>
      <c r="BJ574" s="17"/>
      <c r="BK574" s="17"/>
    </row>
    <row r="575" spans="53:63" x14ac:dyDescent="0.2">
      <c r="BA575" s="17"/>
      <c r="BB575" s="17"/>
      <c r="BC575" s="17"/>
      <c r="BD575" s="17"/>
      <c r="BE575" s="17"/>
      <c r="BF575" s="17"/>
      <c r="BG575" s="17"/>
      <c r="BH575" s="17"/>
      <c r="BI575" s="17"/>
      <c r="BJ575" s="17"/>
      <c r="BK575" s="17"/>
    </row>
    <row r="576" spans="53:63" x14ac:dyDescent="0.2">
      <c r="BA576" s="17"/>
      <c r="BB576" s="17"/>
      <c r="BC576" s="17"/>
      <c r="BD576" s="17"/>
      <c r="BE576" s="17"/>
      <c r="BF576" s="17"/>
      <c r="BG576" s="17"/>
      <c r="BH576" s="17"/>
      <c r="BI576" s="17"/>
      <c r="BJ576" s="17"/>
      <c r="BK576" s="17"/>
    </row>
    <row r="577" spans="53:63" x14ac:dyDescent="0.2">
      <c r="BA577" s="17"/>
      <c r="BB577" s="17"/>
      <c r="BC577" s="17"/>
      <c r="BD577" s="17"/>
      <c r="BE577" s="17"/>
      <c r="BF577" s="17"/>
      <c r="BG577" s="17"/>
      <c r="BH577" s="17"/>
      <c r="BI577" s="17"/>
      <c r="BJ577" s="17"/>
      <c r="BK577" s="17"/>
    </row>
    <row r="578" spans="53:63" x14ac:dyDescent="0.2">
      <c r="BA578" s="17"/>
      <c r="BB578" s="17"/>
      <c r="BC578" s="17"/>
      <c r="BD578" s="17"/>
      <c r="BE578" s="17"/>
      <c r="BF578" s="17"/>
      <c r="BG578" s="17"/>
      <c r="BH578" s="17"/>
      <c r="BI578" s="17"/>
      <c r="BJ578" s="17"/>
      <c r="BK578" s="17"/>
    </row>
    <row r="579" spans="53:63" x14ac:dyDescent="0.2">
      <c r="BA579" s="17"/>
      <c r="BB579" s="17"/>
      <c r="BC579" s="17"/>
      <c r="BD579" s="17"/>
      <c r="BE579" s="17"/>
      <c r="BF579" s="17"/>
      <c r="BG579" s="17"/>
      <c r="BH579" s="17"/>
      <c r="BI579" s="17"/>
      <c r="BJ579" s="17"/>
      <c r="BK579" s="17"/>
    </row>
    <row r="580" spans="53:63" x14ac:dyDescent="0.2">
      <c r="BA580" s="17"/>
      <c r="BB580" s="17"/>
      <c r="BC580" s="17"/>
      <c r="BD580" s="17"/>
      <c r="BE580" s="17"/>
      <c r="BF580" s="17"/>
      <c r="BG580" s="17"/>
      <c r="BH580" s="17"/>
      <c r="BI580" s="17"/>
      <c r="BJ580" s="17"/>
      <c r="BK580" s="17"/>
    </row>
    <row r="581" spans="53:63" x14ac:dyDescent="0.2">
      <c r="BA581" s="17"/>
      <c r="BB581" s="17"/>
      <c r="BC581" s="17"/>
      <c r="BD581" s="17"/>
      <c r="BE581" s="17"/>
      <c r="BF581" s="17"/>
      <c r="BG581" s="17"/>
      <c r="BH581" s="17"/>
      <c r="BI581" s="17"/>
      <c r="BJ581" s="17"/>
      <c r="BK581" s="17"/>
    </row>
    <row r="582" spans="53:63" x14ac:dyDescent="0.2">
      <c r="BA582" s="17"/>
      <c r="BB582" s="17"/>
      <c r="BC582" s="17"/>
      <c r="BD582" s="17"/>
      <c r="BE582" s="17"/>
      <c r="BF582" s="17"/>
      <c r="BG582" s="17"/>
      <c r="BH582" s="17"/>
      <c r="BI582" s="17"/>
      <c r="BJ582" s="17"/>
      <c r="BK582" s="17"/>
    </row>
    <row r="583" spans="53:63" x14ac:dyDescent="0.2">
      <c r="BA583" s="17"/>
      <c r="BB583" s="17"/>
      <c r="BC583" s="17"/>
      <c r="BD583" s="17"/>
      <c r="BE583" s="17"/>
      <c r="BF583" s="17"/>
      <c r="BG583" s="17"/>
      <c r="BH583" s="17"/>
      <c r="BI583" s="17"/>
      <c r="BJ583" s="17"/>
      <c r="BK583" s="17"/>
    </row>
    <row r="584" spans="53:63" x14ac:dyDescent="0.2">
      <c r="BA584" s="17"/>
      <c r="BB584" s="17"/>
      <c r="BC584" s="17"/>
      <c r="BD584" s="17"/>
      <c r="BE584" s="17"/>
      <c r="BF584" s="17"/>
      <c r="BG584" s="17"/>
      <c r="BH584" s="17"/>
      <c r="BI584" s="17"/>
      <c r="BJ584" s="17"/>
      <c r="BK584" s="17"/>
    </row>
    <row r="585" spans="53:63" x14ac:dyDescent="0.2">
      <c r="BA585" s="17"/>
      <c r="BB585" s="17"/>
      <c r="BC585" s="17"/>
      <c r="BD585" s="17"/>
      <c r="BE585" s="17"/>
      <c r="BF585" s="17"/>
      <c r="BG585" s="17"/>
      <c r="BH585" s="17"/>
      <c r="BI585" s="17"/>
      <c r="BJ585" s="17"/>
      <c r="BK585" s="17"/>
    </row>
    <row r="586" spans="53:63" x14ac:dyDescent="0.2">
      <c r="BA586" s="17"/>
      <c r="BB586" s="17"/>
      <c r="BC586" s="17"/>
      <c r="BD586" s="17"/>
      <c r="BE586" s="17"/>
      <c r="BF586" s="17"/>
      <c r="BG586" s="17"/>
      <c r="BH586" s="17"/>
      <c r="BI586" s="17"/>
      <c r="BJ586" s="17"/>
      <c r="BK586" s="17"/>
    </row>
    <row r="587" spans="53:63" x14ac:dyDescent="0.2">
      <c r="BA587" s="17"/>
      <c r="BB587" s="17"/>
      <c r="BC587" s="17"/>
      <c r="BD587" s="17"/>
      <c r="BE587" s="17"/>
      <c r="BF587" s="17"/>
      <c r="BG587" s="17"/>
      <c r="BH587" s="17"/>
      <c r="BI587" s="17"/>
      <c r="BJ587" s="17"/>
      <c r="BK587" s="17"/>
    </row>
    <row r="588" spans="53:63" x14ac:dyDescent="0.2">
      <c r="BA588" s="17"/>
      <c r="BB588" s="17"/>
      <c r="BC588" s="17"/>
      <c r="BD588" s="17"/>
      <c r="BE588" s="17"/>
      <c r="BF588" s="17"/>
      <c r="BG588" s="17"/>
      <c r="BH588" s="17"/>
      <c r="BI588" s="17"/>
      <c r="BJ588" s="17"/>
      <c r="BK588" s="17"/>
    </row>
    <row r="589" spans="53:63" x14ac:dyDescent="0.2">
      <c r="BA589" s="17"/>
      <c r="BB589" s="17"/>
      <c r="BC589" s="17"/>
      <c r="BD589" s="17"/>
      <c r="BE589" s="17"/>
      <c r="BF589" s="17"/>
      <c r="BG589" s="17"/>
      <c r="BH589" s="17"/>
      <c r="BI589" s="17"/>
      <c r="BJ589" s="17"/>
      <c r="BK589" s="17"/>
    </row>
    <row r="590" spans="53:63" x14ac:dyDescent="0.2">
      <c r="BA590" s="17"/>
      <c r="BB590" s="17"/>
      <c r="BC590" s="17"/>
      <c r="BD590" s="17"/>
      <c r="BE590" s="17"/>
      <c r="BF590" s="17"/>
      <c r="BG590" s="17"/>
      <c r="BH590" s="17"/>
      <c r="BI590" s="17"/>
      <c r="BJ590" s="17"/>
      <c r="BK590" s="17"/>
    </row>
    <row r="591" spans="53:63" x14ac:dyDescent="0.2">
      <c r="BA591" s="17"/>
      <c r="BB591" s="17"/>
      <c r="BC591" s="17"/>
      <c r="BD591" s="17"/>
      <c r="BE591" s="17"/>
      <c r="BF591" s="17"/>
      <c r="BG591" s="17"/>
      <c r="BH591" s="17"/>
      <c r="BI591" s="17"/>
      <c r="BJ591" s="17"/>
      <c r="BK591" s="17"/>
    </row>
    <row r="592" spans="53:63" x14ac:dyDescent="0.2">
      <c r="BA592" s="17"/>
      <c r="BB592" s="17"/>
      <c r="BC592" s="17"/>
      <c r="BD592" s="17"/>
      <c r="BE592" s="17"/>
      <c r="BF592" s="17"/>
      <c r="BG592" s="17"/>
      <c r="BH592" s="17"/>
      <c r="BI592" s="17"/>
      <c r="BJ592" s="17"/>
      <c r="BK592" s="17"/>
    </row>
    <row r="593" spans="53:63" x14ac:dyDescent="0.2">
      <c r="BA593" s="17"/>
      <c r="BB593" s="17"/>
      <c r="BC593" s="17"/>
      <c r="BD593" s="17"/>
      <c r="BE593" s="17"/>
      <c r="BF593" s="17"/>
      <c r="BG593" s="17"/>
      <c r="BH593" s="17"/>
      <c r="BI593" s="17"/>
      <c r="BJ593" s="17"/>
      <c r="BK593" s="17"/>
    </row>
    <row r="594" spans="53:63" x14ac:dyDescent="0.2">
      <c r="BA594" s="17"/>
      <c r="BB594" s="17"/>
      <c r="BC594" s="17"/>
      <c r="BD594" s="17"/>
      <c r="BE594" s="17"/>
      <c r="BF594" s="17"/>
      <c r="BG594" s="17"/>
      <c r="BH594" s="17"/>
      <c r="BI594" s="17"/>
      <c r="BJ594" s="17"/>
      <c r="BK594" s="17"/>
    </row>
    <row r="595" spans="53:63" x14ac:dyDescent="0.2">
      <c r="BA595" s="17"/>
      <c r="BB595" s="17"/>
      <c r="BC595" s="17"/>
      <c r="BD595" s="17"/>
      <c r="BE595" s="17"/>
      <c r="BF595" s="17"/>
      <c r="BG595" s="17"/>
      <c r="BH595" s="17"/>
      <c r="BI595" s="17"/>
      <c r="BJ595" s="17"/>
      <c r="BK595" s="17"/>
    </row>
    <row r="596" spans="53:63" x14ac:dyDescent="0.2">
      <c r="BA596" s="17"/>
      <c r="BB596" s="17"/>
      <c r="BC596" s="17"/>
      <c r="BD596" s="17"/>
      <c r="BE596" s="17"/>
      <c r="BF596" s="17"/>
      <c r="BG596" s="17"/>
      <c r="BH596" s="17"/>
      <c r="BI596" s="17"/>
      <c r="BJ596" s="17"/>
      <c r="BK596" s="17"/>
    </row>
    <row r="597" spans="53:63" x14ac:dyDescent="0.2">
      <c r="BA597" s="17"/>
      <c r="BB597" s="17"/>
      <c r="BC597" s="17"/>
      <c r="BD597" s="17"/>
      <c r="BE597" s="17"/>
      <c r="BF597" s="17"/>
      <c r="BG597" s="17"/>
      <c r="BH597" s="17"/>
      <c r="BI597" s="17"/>
      <c r="BJ597" s="17"/>
      <c r="BK597" s="17"/>
    </row>
    <row r="598" spans="53:63" x14ac:dyDescent="0.2">
      <c r="BA598" s="17"/>
      <c r="BB598" s="17"/>
      <c r="BC598" s="17"/>
      <c r="BD598" s="17"/>
      <c r="BE598" s="17"/>
      <c r="BF598" s="17"/>
      <c r="BG598" s="17"/>
      <c r="BH598" s="17"/>
      <c r="BI598" s="17"/>
      <c r="BJ598" s="17"/>
      <c r="BK598" s="17"/>
    </row>
    <row r="599" spans="53:63" x14ac:dyDescent="0.2">
      <c r="BA599" s="17"/>
      <c r="BB599" s="17"/>
      <c r="BC599" s="17"/>
      <c r="BD599" s="17"/>
      <c r="BE599" s="17"/>
      <c r="BF599" s="17"/>
      <c r="BG599" s="17"/>
      <c r="BH599" s="17"/>
      <c r="BI599" s="17"/>
      <c r="BJ599" s="17"/>
      <c r="BK599" s="17"/>
    </row>
    <row r="600" spans="53:63" x14ac:dyDescent="0.2">
      <c r="BA600" s="17"/>
      <c r="BB600" s="17"/>
      <c r="BC600" s="17"/>
      <c r="BD600" s="17"/>
      <c r="BE600" s="17"/>
      <c r="BF600" s="17"/>
      <c r="BG600" s="17"/>
      <c r="BH600" s="17"/>
      <c r="BI600" s="17"/>
      <c r="BJ600" s="17"/>
      <c r="BK600" s="17"/>
    </row>
    <row r="601" spans="53:63" x14ac:dyDescent="0.2">
      <c r="BA601" s="17"/>
      <c r="BB601" s="17"/>
      <c r="BC601" s="17"/>
      <c r="BD601" s="17"/>
      <c r="BE601" s="17"/>
      <c r="BF601" s="17"/>
      <c r="BG601" s="17"/>
      <c r="BH601" s="17"/>
      <c r="BI601" s="17"/>
      <c r="BJ601" s="17"/>
      <c r="BK601" s="17"/>
    </row>
    <row r="602" spans="53:63" x14ac:dyDescent="0.2">
      <c r="BA602" s="17"/>
      <c r="BB602" s="17"/>
      <c r="BC602" s="17"/>
      <c r="BD602" s="17"/>
      <c r="BE602" s="17"/>
      <c r="BF602" s="17"/>
      <c r="BG602" s="17"/>
      <c r="BH602" s="17"/>
      <c r="BI602" s="17"/>
      <c r="BJ602" s="17"/>
      <c r="BK602" s="17"/>
    </row>
    <row r="603" spans="53:63" x14ac:dyDescent="0.2">
      <c r="BA603" s="17"/>
      <c r="BB603" s="17"/>
      <c r="BC603" s="17"/>
      <c r="BD603" s="17"/>
      <c r="BE603" s="17"/>
      <c r="BF603" s="17"/>
      <c r="BG603" s="17"/>
      <c r="BH603" s="17"/>
      <c r="BI603" s="17"/>
      <c r="BJ603" s="17"/>
      <c r="BK603" s="17"/>
    </row>
    <row r="604" spans="53:63" x14ac:dyDescent="0.2">
      <c r="BA604" s="17"/>
      <c r="BB604" s="17"/>
      <c r="BC604" s="17"/>
      <c r="BD604" s="17"/>
      <c r="BE604" s="17"/>
      <c r="BF604" s="17"/>
      <c r="BG604" s="17"/>
      <c r="BH604" s="17"/>
      <c r="BI604" s="17"/>
      <c r="BJ604" s="17"/>
      <c r="BK604" s="17"/>
    </row>
    <row r="605" spans="53:63" x14ac:dyDescent="0.2">
      <c r="BA605" s="17"/>
      <c r="BB605" s="17"/>
      <c r="BC605" s="17"/>
      <c r="BD605" s="17"/>
      <c r="BE605" s="17"/>
      <c r="BF605" s="17"/>
      <c r="BG605" s="17"/>
      <c r="BH605" s="17"/>
      <c r="BI605" s="17"/>
      <c r="BJ605" s="17"/>
      <c r="BK605" s="17"/>
    </row>
    <row r="606" spans="53:63" x14ac:dyDescent="0.2">
      <c r="BA606" s="17"/>
      <c r="BB606" s="17"/>
      <c r="BC606" s="17"/>
      <c r="BD606" s="17"/>
      <c r="BE606" s="17"/>
      <c r="BF606" s="17"/>
      <c r="BG606" s="17"/>
      <c r="BH606" s="17"/>
      <c r="BI606" s="17"/>
      <c r="BJ606" s="17"/>
      <c r="BK606" s="17"/>
    </row>
    <row r="607" spans="53:63" x14ac:dyDescent="0.2">
      <c r="BA607" s="17"/>
      <c r="BB607" s="17"/>
      <c r="BC607" s="17"/>
      <c r="BD607" s="17"/>
      <c r="BE607" s="17"/>
      <c r="BF607" s="17"/>
      <c r="BG607" s="17"/>
      <c r="BH607" s="17"/>
      <c r="BI607" s="17"/>
      <c r="BJ607" s="17"/>
      <c r="BK607" s="17"/>
    </row>
    <row r="608" spans="53:63" x14ac:dyDescent="0.2">
      <c r="BA608" s="17"/>
      <c r="BB608" s="17"/>
      <c r="BC608" s="17"/>
      <c r="BD608" s="17"/>
      <c r="BE608" s="17"/>
      <c r="BF608" s="17"/>
      <c r="BG608" s="17"/>
      <c r="BH608" s="17"/>
      <c r="BI608" s="17"/>
      <c r="BJ608" s="17"/>
      <c r="BK608" s="17"/>
    </row>
    <row r="609" spans="53:63" x14ac:dyDescent="0.2">
      <c r="BA609" s="17"/>
      <c r="BB609" s="17"/>
      <c r="BC609" s="17"/>
      <c r="BD609" s="17"/>
      <c r="BE609" s="17"/>
      <c r="BF609" s="17"/>
      <c r="BG609" s="17"/>
      <c r="BH609" s="17"/>
      <c r="BI609" s="17"/>
      <c r="BJ609" s="17"/>
      <c r="BK609" s="17"/>
    </row>
    <row r="610" spans="53:63" x14ac:dyDescent="0.2">
      <c r="BA610" s="17"/>
      <c r="BB610" s="17"/>
      <c r="BC610" s="17"/>
      <c r="BD610" s="17"/>
      <c r="BE610" s="17"/>
      <c r="BF610" s="17"/>
      <c r="BG610" s="17"/>
      <c r="BH610" s="17"/>
      <c r="BI610" s="17"/>
      <c r="BJ610" s="17"/>
      <c r="BK610" s="17"/>
    </row>
    <row r="611" spans="53:63" x14ac:dyDescent="0.2">
      <c r="BA611" s="17"/>
      <c r="BB611" s="17"/>
      <c r="BC611" s="17"/>
      <c r="BD611" s="17"/>
      <c r="BE611" s="17"/>
      <c r="BF611" s="17"/>
      <c r="BG611" s="17"/>
      <c r="BH611" s="17"/>
      <c r="BI611" s="17"/>
      <c r="BJ611" s="17"/>
      <c r="BK611" s="17"/>
    </row>
    <row r="612" spans="53:63" x14ac:dyDescent="0.2">
      <c r="BA612" s="17"/>
      <c r="BB612" s="17"/>
      <c r="BC612" s="17"/>
      <c r="BD612" s="17"/>
      <c r="BE612" s="17"/>
      <c r="BF612" s="17"/>
      <c r="BG612" s="17"/>
      <c r="BH612" s="17"/>
      <c r="BI612" s="17"/>
      <c r="BJ612" s="17"/>
      <c r="BK612" s="17"/>
    </row>
    <row r="613" spans="53:63" x14ac:dyDescent="0.2">
      <c r="BA613" s="17"/>
      <c r="BB613" s="17"/>
      <c r="BC613" s="17"/>
      <c r="BD613" s="17"/>
      <c r="BE613" s="17"/>
      <c r="BF613" s="17"/>
      <c r="BG613" s="17"/>
      <c r="BH613" s="17"/>
      <c r="BI613" s="17"/>
      <c r="BJ613" s="17"/>
      <c r="BK613" s="17"/>
    </row>
    <row r="614" spans="53:63" x14ac:dyDescent="0.2">
      <c r="BA614" s="17"/>
      <c r="BB614" s="17"/>
      <c r="BC614" s="17"/>
      <c r="BD614" s="17"/>
      <c r="BE614" s="17"/>
      <c r="BF614" s="17"/>
      <c r="BG614" s="17"/>
      <c r="BH614" s="17"/>
      <c r="BI614" s="17"/>
      <c r="BJ614" s="17"/>
      <c r="BK614" s="17"/>
    </row>
    <row r="615" spans="53:63" x14ac:dyDescent="0.2">
      <c r="BA615" s="17"/>
      <c r="BB615" s="17"/>
      <c r="BC615" s="17"/>
      <c r="BD615" s="17"/>
      <c r="BE615" s="17"/>
      <c r="BF615" s="17"/>
      <c r="BG615" s="17"/>
      <c r="BH615" s="17"/>
      <c r="BI615" s="17"/>
      <c r="BJ615" s="17"/>
      <c r="BK615" s="17"/>
    </row>
    <row r="616" spans="53:63" x14ac:dyDescent="0.2">
      <c r="BA616" s="17"/>
      <c r="BB616" s="17"/>
      <c r="BC616" s="17"/>
      <c r="BD616" s="17"/>
      <c r="BE616" s="17"/>
      <c r="BF616" s="17"/>
      <c r="BG616" s="17"/>
      <c r="BH616" s="17"/>
      <c r="BI616" s="17"/>
      <c r="BJ616" s="17"/>
      <c r="BK616" s="17"/>
    </row>
    <row r="617" spans="53:63" x14ac:dyDescent="0.2">
      <c r="BA617" s="17"/>
      <c r="BB617" s="17"/>
      <c r="BC617" s="17"/>
      <c r="BD617" s="17"/>
      <c r="BE617" s="17"/>
      <c r="BF617" s="17"/>
      <c r="BG617" s="17"/>
      <c r="BH617" s="17"/>
      <c r="BI617" s="17"/>
      <c r="BJ617" s="17"/>
      <c r="BK617" s="17"/>
    </row>
    <row r="618" spans="53:63" x14ac:dyDescent="0.2">
      <c r="BA618" s="17"/>
      <c r="BB618" s="17"/>
      <c r="BC618" s="17"/>
      <c r="BD618" s="17"/>
      <c r="BE618" s="17"/>
      <c r="BF618" s="17"/>
      <c r="BG618" s="17"/>
      <c r="BH618" s="17"/>
      <c r="BI618" s="17"/>
      <c r="BJ618" s="17"/>
      <c r="BK618" s="17"/>
    </row>
    <row r="619" spans="53:63" x14ac:dyDescent="0.2">
      <c r="BA619" s="17"/>
      <c r="BB619" s="17"/>
      <c r="BC619" s="17"/>
      <c r="BD619" s="17"/>
      <c r="BE619" s="17"/>
      <c r="BF619" s="17"/>
      <c r="BG619" s="17"/>
      <c r="BH619" s="17"/>
      <c r="BI619" s="17"/>
      <c r="BJ619" s="17"/>
      <c r="BK619" s="17"/>
    </row>
    <row r="620" spans="53:63" x14ac:dyDescent="0.2">
      <c r="BA620" s="17"/>
      <c r="BB620" s="17"/>
      <c r="BC620" s="17"/>
      <c r="BD620" s="17"/>
      <c r="BE620" s="17"/>
      <c r="BF620" s="17"/>
      <c r="BG620" s="17"/>
      <c r="BH620" s="17"/>
      <c r="BI620" s="17"/>
      <c r="BJ620" s="17"/>
      <c r="BK620" s="17"/>
    </row>
    <row r="621" spans="53:63" x14ac:dyDescent="0.2">
      <c r="BA621" s="17"/>
      <c r="BB621" s="17"/>
      <c r="BC621" s="17"/>
      <c r="BD621" s="17"/>
      <c r="BE621" s="17"/>
      <c r="BF621" s="17"/>
      <c r="BG621" s="17"/>
      <c r="BH621" s="17"/>
      <c r="BI621" s="17"/>
      <c r="BJ621" s="17"/>
      <c r="BK621" s="17"/>
    </row>
    <row r="622" spans="53:63" x14ac:dyDescent="0.2">
      <c r="BA622" s="17"/>
      <c r="BB622" s="17"/>
      <c r="BC622" s="17"/>
      <c r="BD622" s="17"/>
      <c r="BE622" s="17"/>
      <c r="BF622" s="17"/>
      <c r="BG622" s="17"/>
      <c r="BH622" s="17"/>
      <c r="BI622" s="17"/>
      <c r="BJ622" s="17"/>
      <c r="BK622" s="17"/>
    </row>
    <row r="623" spans="53:63" x14ac:dyDescent="0.2">
      <c r="BA623" s="17"/>
      <c r="BB623" s="17"/>
      <c r="BC623" s="17"/>
      <c r="BD623" s="17"/>
      <c r="BE623" s="17"/>
      <c r="BF623" s="17"/>
      <c r="BG623" s="17"/>
      <c r="BH623" s="17"/>
      <c r="BI623" s="17"/>
      <c r="BJ623" s="17"/>
      <c r="BK623" s="17"/>
    </row>
    <row r="624" spans="53:63" x14ac:dyDescent="0.2">
      <c r="BA624" s="17"/>
      <c r="BB624" s="17"/>
      <c r="BC624" s="17"/>
      <c r="BD624" s="17"/>
      <c r="BE624" s="17"/>
      <c r="BF624" s="17"/>
      <c r="BG624" s="17"/>
      <c r="BH624" s="17"/>
      <c r="BI624" s="17"/>
      <c r="BJ624" s="17"/>
      <c r="BK624" s="17"/>
    </row>
    <row r="625" spans="53:63" x14ac:dyDescent="0.2">
      <c r="BA625" s="17"/>
      <c r="BB625" s="17"/>
      <c r="BC625" s="17"/>
      <c r="BD625" s="17"/>
      <c r="BE625" s="17"/>
      <c r="BF625" s="17"/>
      <c r="BG625" s="17"/>
      <c r="BH625" s="17"/>
      <c r="BI625" s="17"/>
      <c r="BJ625" s="17"/>
      <c r="BK625" s="17"/>
    </row>
    <row r="626" spans="53:63" x14ac:dyDescent="0.2">
      <c r="BA626" s="17"/>
      <c r="BB626" s="17"/>
      <c r="BC626" s="17"/>
      <c r="BD626" s="17"/>
      <c r="BE626" s="17"/>
      <c r="BF626" s="17"/>
      <c r="BG626" s="17"/>
      <c r="BH626" s="17"/>
      <c r="BI626" s="17"/>
      <c r="BJ626" s="17"/>
      <c r="BK626" s="17"/>
    </row>
    <row r="627" spans="53:63" x14ac:dyDescent="0.2">
      <c r="BA627" s="17"/>
      <c r="BB627" s="17"/>
      <c r="BC627" s="17"/>
      <c r="BD627" s="17"/>
      <c r="BE627" s="17"/>
      <c r="BF627" s="17"/>
      <c r="BG627" s="17"/>
      <c r="BH627" s="17"/>
      <c r="BI627" s="17"/>
      <c r="BJ627" s="17"/>
      <c r="BK627" s="17"/>
    </row>
    <row r="628" spans="53:63" x14ac:dyDescent="0.2">
      <c r="BA628" s="17"/>
      <c r="BB628" s="17"/>
      <c r="BC628" s="17"/>
      <c r="BD628" s="17"/>
      <c r="BE628" s="17"/>
      <c r="BF628" s="17"/>
      <c r="BG628" s="17"/>
      <c r="BH628" s="17"/>
      <c r="BI628" s="17"/>
      <c r="BJ628" s="17"/>
      <c r="BK628" s="17"/>
    </row>
    <row r="629" spans="53:63" x14ac:dyDescent="0.2">
      <c r="BA629" s="17"/>
      <c r="BB629" s="17"/>
      <c r="BC629" s="17"/>
      <c r="BD629" s="17"/>
      <c r="BE629" s="17"/>
      <c r="BF629" s="17"/>
      <c r="BG629" s="17"/>
      <c r="BH629" s="17"/>
      <c r="BI629" s="17"/>
      <c r="BJ629" s="17"/>
      <c r="BK629" s="17"/>
    </row>
    <row r="630" spans="53:63" x14ac:dyDescent="0.2">
      <c r="BA630" s="17"/>
      <c r="BB630" s="17"/>
      <c r="BC630" s="17"/>
      <c r="BD630" s="17"/>
      <c r="BE630" s="17"/>
      <c r="BF630" s="17"/>
      <c r="BG630" s="17"/>
      <c r="BH630" s="17"/>
      <c r="BI630" s="17"/>
      <c r="BJ630" s="17"/>
      <c r="BK630" s="17"/>
    </row>
    <row r="631" spans="53:63" x14ac:dyDescent="0.2">
      <c r="BA631" s="17"/>
      <c r="BB631" s="17"/>
      <c r="BC631" s="17"/>
      <c r="BD631" s="17"/>
      <c r="BE631" s="17"/>
      <c r="BF631" s="17"/>
      <c r="BG631" s="17"/>
      <c r="BH631" s="17"/>
      <c r="BI631" s="17"/>
      <c r="BJ631" s="17"/>
      <c r="BK631" s="17"/>
    </row>
    <row r="632" spans="53:63" x14ac:dyDescent="0.2">
      <c r="BA632" s="17"/>
      <c r="BB632" s="17"/>
      <c r="BC632" s="17"/>
      <c r="BD632" s="17"/>
      <c r="BE632" s="17"/>
      <c r="BF632" s="17"/>
      <c r="BG632" s="17"/>
      <c r="BH632" s="17"/>
      <c r="BI632" s="17"/>
      <c r="BJ632" s="17"/>
      <c r="BK632" s="17"/>
    </row>
    <row r="633" spans="53:63" x14ac:dyDescent="0.2">
      <c r="BA633" s="17"/>
      <c r="BB633" s="17"/>
      <c r="BC633" s="17"/>
      <c r="BD633" s="17"/>
      <c r="BE633" s="17"/>
      <c r="BF633" s="17"/>
      <c r="BG633" s="17"/>
      <c r="BH633" s="17"/>
      <c r="BI633" s="17"/>
      <c r="BJ633" s="17"/>
      <c r="BK633" s="17"/>
    </row>
    <row r="634" spans="53:63" x14ac:dyDescent="0.2">
      <c r="BA634" s="17"/>
      <c r="BB634" s="17"/>
      <c r="BC634" s="17"/>
      <c r="BD634" s="17"/>
      <c r="BE634" s="17"/>
      <c r="BF634" s="17"/>
      <c r="BG634" s="17"/>
      <c r="BH634" s="17"/>
      <c r="BI634" s="17"/>
      <c r="BJ634" s="17"/>
      <c r="BK634" s="17"/>
    </row>
    <row r="635" spans="53:63" x14ac:dyDescent="0.2">
      <c r="BA635" s="17"/>
      <c r="BB635" s="17"/>
      <c r="BC635" s="17"/>
      <c r="BD635" s="17"/>
      <c r="BE635" s="17"/>
      <c r="BF635" s="17"/>
      <c r="BG635" s="17"/>
      <c r="BH635" s="17"/>
      <c r="BI635" s="17"/>
      <c r="BJ635" s="17"/>
      <c r="BK635" s="17"/>
    </row>
    <row r="636" spans="53:63" x14ac:dyDescent="0.2">
      <c r="BA636" s="17"/>
      <c r="BB636" s="17"/>
      <c r="BC636" s="17"/>
      <c r="BD636" s="17"/>
      <c r="BE636" s="17"/>
      <c r="BF636" s="17"/>
      <c r="BG636" s="17"/>
      <c r="BH636" s="17"/>
      <c r="BI636" s="17"/>
      <c r="BJ636" s="17"/>
      <c r="BK636" s="17"/>
    </row>
    <row r="637" spans="53:63" x14ac:dyDescent="0.2">
      <c r="BA637" s="17"/>
      <c r="BB637" s="17"/>
      <c r="BC637" s="17"/>
      <c r="BD637" s="17"/>
      <c r="BE637" s="17"/>
      <c r="BF637" s="17"/>
      <c r="BG637" s="17"/>
      <c r="BH637" s="17"/>
      <c r="BI637" s="17"/>
      <c r="BJ637" s="17"/>
      <c r="BK637" s="17"/>
    </row>
    <row r="638" spans="53:63" x14ac:dyDescent="0.2">
      <c r="BA638" s="17"/>
      <c r="BB638" s="17"/>
      <c r="BC638" s="17"/>
      <c r="BD638" s="17"/>
      <c r="BE638" s="17"/>
      <c r="BF638" s="17"/>
      <c r="BG638" s="17"/>
      <c r="BH638" s="17"/>
      <c r="BI638" s="17"/>
      <c r="BJ638" s="17"/>
      <c r="BK638" s="17"/>
    </row>
    <row r="639" spans="53:63" x14ac:dyDescent="0.2">
      <c r="BA639" s="17"/>
      <c r="BB639" s="17"/>
      <c r="BC639" s="17"/>
      <c r="BD639" s="17"/>
      <c r="BE639" s="17"/>
      <c r="BF639" s="17"/>
      <c r="BG639" s="17"/>
      <c r="BH639" s="17"/>
      <c r="BI639" s="17"/>
      <c r="BJ639" s="17"/>
      <c r="BK639" s="17"/>
    </row>
    <row r="640" spans="53:63" x14ac:dyDescent="0.2">
      <c r="BA640" s="17"/>
      <c r="BB640" s="17"/>
      <c r="BC640" s="17"/>
      <c r="BD640" s="17"/>
      <c r="BE640" s="17"/>
      <c r="BF640" s="17"/>
      <c r="BG640" s="17"/>
      <c r="BH640" s="17"/>
      <c r="BI640" s="17"/>
      <c r="BJ640" s="17"/>
      <c r="BK640" s="17"/>
    </row>
    <row r="641" spans="53:63" x14ac:dyDescent="0.2">
      <c r="BA641" s="17"/>
      <c r="BB641" s="17"/>
      <c r="BC641" s="17"/>
      <c r="BD641" s="17"/>
      <c r="BE641" s="17"/>
      <c r="BF641" s="17"/>
      <c r="BG641" s="17"/>
      <c r="BH641" s="17"/>
      <c r="BI641" s="17"/>
      <c r="BJ641" s="17"/>
      <c r="BK641" s="17"/>
    </row>
    <row r="642" spans="53:63" x14ac:dyDescent="0.2">
      <c r="BA642" s="17"/>
      <c r="BB642" s="17"/>
      <c r="BC642" s="17"/>
      <c r="BD642" s="17"/>
      <c r="BE642" s="17"/>
      <c r="BF642" s="17"/>
      <c r="BG642" s="17"/>
      <c r="BH642" s="17"/>
      <c r="BI642" s="17"/>
      <c r="BJ642" s="17"/>
      <c r="BK642" s="17"/>
    </row>
    <row r="643" spans="53:63" x14ac:dyDescent="0.2">
      <c r="BA643" s="17"/>
      <c r="BB643" s="17"/>
      <c r="BC643" s="17"/>
      <c r="BD643" s="17"/>
      <c r="BE643" s="17"/>
      <c r="BF643" s="17"/>
      <c r="BG643" s="17"/>
      <c r="BH643" s="17"/>
      <c r="BI643" s="17"/>
      <c r="BJ643" s="17"/>
      <c r="BK643" s="17"/>
    </row>
    <row r="644" spans="53:63" x14ac:dyDescent="0.2">
      <c r="BA644" s="17"/>
      <c r="BB644" s="17"/>
      <c r="BC644" s="17"/>
      <c r="BD644" s="17"/>
      <c r="BE644" s="17"/>
      <c r="BF644" s="17"/>
      <c r="BG644" s="17"/>
      <c r="BH644" s="17"/>
      <c r="BI644" s="17"/>
      <c r="BJ644" s="17"/>
      <c r="BK644" s="17"/>
    </row>
    <row r="645" spans="53:63" x14ac:dyDescent="0.2">
      <c r="BA645" s="17"/>
      <c r="BB645" s="17"/>
      <c r="BC645" s="17"/>
      <c r="BD645" s="17"/>
      <c r="BE645" s="17"/>
      <c r="BF645" s="17"/>
      <c r="BG645" s="17"/>
      <c r="BH645" s="17"/>
      <c r="BI645" s="17"/>
      <c r="BJ645" s="17"/>
      <c r="BK645" s="17"/>
    </row>
    <row r="646" spans="53:63" x14ac:dyDescent="0.2">
      <c r="BA646" s="17"/>
      <c r="BB646" s="17"/>
      <c r="BC646" s="17"/>
      <c r="BD646" s="17"/>
      <c r="BE646" s="17"/>
      <c r="BF646" s="17"/>
      <c r="BG646" s="17"/>
      <c r="BH646" s="17"/>
      <c r="BI646" s="17"/>
      <c r="BJ646" s="17"/>
      <c r="BK646" s="17"/>
    </row>
    <row r="647" spans="53:63" x14ac:dyDescent="0.2">
      <c r="BA647" s="17"/>
      <c r="BB647" s="17"/>
      <c r="BC647" s="17"/>
      <c r="BD647" s="17"/>
      <c r="BE647" s="17"/>
      <c r="BF647" s="17"/>
      <c r="BG647" s="17"/>
      <c r="BH647" s="17"/>
      <c r="BI647" s="17"/>
      <c r="BJ647" s="17"/>
      <c r="BK647" s="17"/>
    </row>
    <row r="648" spans="53:63" x14ac:dyDescent="0.2">
      <c r="BA648" s="17"/>
      <c r="BB648" s="17"/>
      <c r="BC648" s="17"/>
      <c r="BD648" s="17"/>
      <c r="BE648" s="17"/>
      <c r="BF648" s="17"/>
      <c r="BG648" s="17"/>
      <c r="BH648" s="17"/>
      <c r="BI648" s="17"/>
      <c r="BJ648" s="17"/>
      <c r="BK648" s="17"/>
    </row>
    <row r="649" spans="53:63" x14ac:dyDescent="0.2">
      <c r="BA649" s="17"/>
      <c r="BB649" s="17"/>
      <c r="BC649" s="17"/>
      <c r="BD649" s="17"/>
      <c r="BE649" s="17"/>
      <c r="BF649" s="17"/>
      <c r="BG649" s="17"/>
      <c r="BH649" s="17"/>
      <c r="BI649" s="17"/>
      <c r="BJ649" s="17"/>
      <c r="BK649" s="17"/>
    </row>
    <row r="650" spans="53:63" x14ac:dyDescent="0.2">
      <c r="BA650" s="17"/>
      <c r="BB650" s="17"/>
      <c r="BC650" s="17"/>
      <c r="BD650" s="17"/>
      <c r="BE650" s="17"/>
      <c r="BF650" s="17"/>
      <c r="BG650" s="17"/>
      <c r="BH650" s="17"/>
      <c r="BI650" s="17"/>
      <c r="BJ650" s="17"/>
      <c r="BK650" s="17"/>
    </row>
    <row r="651" spans="53:63" x14ac:dyDescent="0.2">
      <c r="BA651" s="17"/>
      <c r="BB651" s="17"/>
      <c r="BC651" s="17"/>
      <c r="BD651" s="17"/>
      <c r="BE651" s="17"/>
      <c r="BF651" s="17"/>
      <c r="BG651" s="17"/>
      <c r="BH651" s="17"/>
      <c r="BI651" s="17"/>
      <c r="BJ651" s="17"/>
      <c r="BK651" s="17"/>
    </row>
    <row r="652" spans="53:63" x14ac:dyDescent="0.2">
      <c r="BA652" s="17"/>
      <c r="BB652" s="17"/>
      <c r="BC652" s="17"/>
      <c r="BD652" s="17"/>
      <c r="BE652" s="17"/>
      <c r="BF652" s="17"/>
      <c r="BG652" s="17"/>
      <c r="BH652" s="17"/>
      <c r="BI652" s="17"/>
      <c r="BJ652" s="17"/>
      <c r="BK652" s="17"/>
    </row>
    <row r="653" spans="53:63" x14ac:dyDescent="0.2">
      <c r="BA653" s="17"/>
      <c r="BB653" s="17"/>
      <c r="BC653" s="17"/>
      <c r="BD653" s="17"/>
      <c r="BE653" s="17"/>
      <c r="BF653" s="17"/>
      <c r="BG653" s="17"/>
      <c r="BH653" s="17"/>
      <c r="BI653" s="17"/>
      <c r="BJ653" s="17"/>
      <c r="BK653" s="17"/>
    </row>
    <row r="654" spans="53:63" x14ac:dyDescent="0.2">
      <c r="BA654" s="17"/>
      <c r="BB654" s="17"/>
      <c r="BC654" s="17"/>
      <c r="BD654" s="17"/>
      <c r="BE654" s="17"/>
      <c r="BF654" s="17"/>
      <c r="BG654" s="17"/>
      <c r="BH654" s="17"/>
      <c r="BI654" s="17"/>
      <c r="BJ654" s="17"/>
      <c r="BK654" s="17"/>
    </row>
    <row r="655" spans="53:63" x14ac:dyDescent="0.2">
      <c r="BA655" s="17"/>
      <c r="BB655" s="17"/>
      <c r="BC655" s="17"/>
      <c r="BD655" s="17"/>
      <c r="BE655" s="17"/>
      <c r="BF655" s="17"/>
      <c r="BG655" s="17"/>
      <c r="BH655" s="17"/>
      <c r="BI655" s="17"/>
      <c r="BJ655" s="17"/>
      <c r="BK655" s="17"/>
    </row>
    <row r="656" spans="53:63" x14ac:dyDescent="0.2">
      <c r="BA656" s="17"/>
      <c r="BB656" s="17"/>
      <c r="BC656" s="17"/>
      <c r="BD656" s="17"/>
      <c r="BE656" s="17"/>
      <c r="BF656" s="17"/>
      <c r="BG656" s="17"/>
      <c r="BH656" s="17"/>
      <c r="BI656" s="17"/>
      <c r="BJ656" s="17"/>
      <c r="BK656" s="17"/>
    </row>
    <row r="657" spans="53:63" x14ac:dyDescent="0.2">
      <c r="BA657" s="17"/>
      <c r="BB657" s="17"/>
      <c r="BC657" s="17"/>
      <c r="BD657" s="17"/>
      <c r="BE657" s="17"/>
      <c r="BF657" s="17"/>
      <c r="BG657" s="17"/>
      <c r="BH657" s="17"/>
      <c r="BI657" s="17"/>
      <c r="BJ657" s="17"/>
      <c r="BK657" s="17"/>
    </row>
    <row r="658" spans="53:63" x14ac:dyDescent="0.2">
      <c r="BA658" s="17"/>
      <c r="BB658" s="17"/>
      <c r="BC658" s="17"/>
      <c r="BD658" s="17"/>
      <c r="BE658" s="17"/>
      <c r="BF658" s="17"/>
      <c r="BG658" s="17"/>
      <c r="BH658" s="17"/>
      <c r="BI658" s="17"/>
      <c r="BJ658" s="17"/>
      <c r="BK658" s="17"/>
    </row>
    <row r="659" spans="53:63" x14ac:dyDescent="0.2">
      <c r="BA659" s="17"/>
      <c r="BB659" s="17"/>
      <c r="BC659" s="17"/>
      <c r="BD659" s="17"/>
      <c r="BE659" s="17"/>
      <c r="BF659" s="17"/>
      <c r="BG659" s="17"/>
      <c r="BH659" s="17"/>
      <c r="BI659" s="17"/>
      <c r="BJ659" s="17"/>
      <c r="BK659" s="17"/>
    </row>
    <row r="660" spans="53:63" x14ac:dyDescent="0.2">
      <c r="BA660" s="17"/>
      <c r="BB660" s="17"/>
      <c r="BC660" s="17"/>
      <c r="BD660" s="17"/>
      <c r="BE660" s="17"/>
      <c r="BF660" s="17"/>
      <c r="BG660" s="17"/>
      <c r="BH660" s="17"/>
      <c r="BI660" s="17"/>
      <c r="BJ660" s="17"/>
      <c r="BK660" s="17"/>
    </row>
    <row r="661" spans="53:63" x14ac:dyDescent="0.2">
      <c r="BA661" s="17"/>
      <c r="BB661" s="17"/>
      <c r="BC661" s="17"/>
      <c r="BD661" s="17"/>
      <c r="BE661" s="17"/>
      <c r="BF661" s="17"/>
      <c r="BG661" s="17"/>
      <c r="BH661" s="17"/>
      <c r="BI661" s="17"/>
      <c r="BJ661" s="17"/>
      <c r="BK661" s="17"/>
    </row>
    <row r="662" spans="53:63" x14ac:dyDescent="0.2">
      <c r="BA662" s="17"/>
      <c r="BB662" s="17"/>
      <c r="BC662" s="17"/>
      <c r="BD662" s="17"/>
      <c r="BE662" s="17"/>
      <c r="BF662" s="17"/>
      <c r="BG662" s="17"/>
      <c r="BH662" s="17"/>
      <c r="BI662" s="17"/>
      <c r="BJ662" s="17"/>
      <c r="BK662" s="17"/>
    </row>
    <row r="663" spans="53:63" x14ac:dyDescent="0.2">
      <c r="BA663" s="17"/>
      <c r="BB663" s="17"/>
      <c r="BC663" s="17"/>
      <c r="BD663" s="17"/>
      <c r="BE663" s="17"/>
      <c r="BF663" s="17"/>
      <c r="BG663" s="17"/>
      <c r="BH663" s="17"/>
      <c r="BI663" s="17"/>
      <c r="BJ663" s="17"/>
      <c r="BK663" s="17"/>
    </row>
    <row r="664" spans="53:63" x14ac:dyDescent="0.2">
      <c r="BA664" s="17"/>
      <c r="BB664" s="17"/>
      <c r="BC664" s="17"/>
      <c r="BD664" s="17"/>
      <c r="BE664" s="17"/>
      <c r="BF664" s="17"/>
      <c r="BG664" s="17"/>
      <c r="BH664" s="17"/>
      <c r="BI664" s="17"/>
      <c r="BJ664" s="17"/>
      <c r="BK664" s="17"/>
    </row>
    <row r="665" spans="53:63" x14ac:dyDescent="0.2">
      <c r="BA665" s="17"/>
      <c r="BB665" s="17"/>
      <c r="BC665" s="17"/>
      <c r="BD665" s="17"/>
      <c r="BE665" s="17"/>
      <c r="BF665" s="17"/>
      <c r="BG665" s="17"/>
      <c r="BH665" s="17"/>
      <c r="BI665" s="17"/>
      <c r="BJ665" s="17"/>
      <c r="BK665" s="17"/>
    </row>
    <row r="666" spans="53:63" x14ac:dyDescent="0.2">
      <c r="BA666" s="17"/>
      <c r="BB666" s="17"/>
      <c r="BC666" s="17"/>
      <c r="BD666" s="17"/>
      <c r="BE666" s="17"/>
      <c r="BF666" s="17"/>
      <c r="BG666" s="17"/>
      <c r="BH666" s="17"/>
      <c r="BI666" s="17"/>
      <c r="BJ666" s="17"/>
      <c r="BK666" s="17"/>
    </row>
    <row r="667" spans="53:63" x14ac:dyDescent="0.2">
      <c r="BA667" s="17"/>
      <c r="BB667" s="17"/>
      <c r="BC667" s="17"/>
      <c r="BD667" s="17"/>
      <c r="BE667" s="17"/>
      <c r="BF667" s="17"/>
      <c r="BG667" s="17"/>
      <c r="BH667" s="17"/>
      <c r="BI667" s="17"/>
      <c r="BJ667" s="17"/>
      <c r="BK667" s="17"/>
    </row>
    <row r="668" spans="53:63" x14ac:dyDescent="0.2">
      <c r="BA668" s="17"/>
      <c r="BB668" s="17"/>
      <c r="BC668" s="17"/>
      <c r="BD668" s="17"/>
      <c r="BE668" s="17"/>
      <c r="BF668" s="17"/>
      <c r="BG668" s="17"/>
      <c r="BH668" s="17"/>
      <c r="BI668" s="17"/>
      <c r="BJ668" s="17"/>
      <c r="BK668" s="17"/>
    </row>
    <row r="669" spans="53:63" x14ac:dyDescent="0.2">
      <c r="BA669" s="17"/>
      <c r="BB669" s="17"/>
      <c r="BC669" s="17"/>
      <c r="BD669" s="17"/>
      <c r="BE669" s="17"/>
      <c r="BF669" s="17"/>
      <c r="BG669" s="17"/>
      <c r="BH669" s="17"/>
      <c r="BI669" s="17"/>
      <c r="BJ669" s="17"/>
      <c r="BK669" s="17"/>
    </row>
    <row r="670" spans="53:63" x14ac:dyDescent="0.2">
      <c r="BA670" s="17"/>
      <c r="BB670" s="17"/>
      <c r="BC670" s="17"/>
      <c r="BD670" s="17"/>
      <c r="BE670" s="17"/>
      <c r="BF670" s="17"/>
      <c r="BG670" s="17"/>
      <c r="BH670" s="17"/>
      <c r="BI670" s="17"/>
      <c r="BJ670" s="17"/>
      <c r="BK670" s="17"/>
    </row>
    <row r="671" spans="53:63" x14ac:dyDescent="0.2">
      <c r="BA671" s="17"/>
      <c r="BB671" s="17"/>
      <c r="BC671" s="17"/>
      <c r="BD671" s="17"/>
      <c r="BE671" s="17"/>
      <c r="BF671" s="17"/>
      <c r="BG671" s="17"/>
      <c r="BH671" s="17"/>
      <c r="BI671" s="17"/>
      <c r="BJ671" s="17"/>
      <c r="BK671" s="17"/>
    </row>
    <row r="672" spans="53:63" x14ac:dyDescent="0.2">
      <c r="BA672" s="17"/>
      <c r="BB672" s="17"/>
      <c r="BC672" s="17"/>
      <c r="BD672" s="17"/>
      <c r="BE672" s="17"/>
      <c r="BF672" s="17"/>
      <c r="BG672" s="17"/>
      <c r="BH672" s="17"/>
      <c r="BI672" s="17"/>
      <c r="BJ672" s="17"/>
      <c r="BK672" s="17"/>
    </row>
    <row r="673" spans="53:63" x14ac:dyDescent="0.2">
      <c r="BA673" s="17"/>
      <c r="BB673" s="17"/>
      <c r="BC673" s="17"/>
      <c r="BD673" s="17"/>
      <c r="BE673" s="17"/>
      <c r="BF673" s="17"/>
      <c r="BG673" s="17"/>
      <c r="BH673" s="17"/>
      <c r="BI673" s="17"/>
      <c r="BJ673" s="17"/>
      <c r="BK673" s="17"/>
    </row>
    <row r="674" spans="53:63" x14ac:dyDescent="0.2">
      <c r="BA674" s="17"/>
      <c r="BB674" s="17"/>
      <c r="BC674" s="17"/>
      <c r="BD674" s="17"/>
      <c r="BE674" s="17"/>
      <c r="BF674" s="17"/>
      <c r="BG674" s="17"/>
      <c r="BH674" s="17"/>
      <c r="BI674" s="17"/>
      <c r="BJ674" s="17"/>
      <c r="BK674" s="17"/>
    </row>
    <row r="675" spans="53:63" x14ac:dyDescent="0.2">
      <c r="BA675" s="17"/>
      <c r="BB675" s="17"/>
      <c r="BC675" s="17"/>
      <c r="BD675" s="17"/>
      <c r="BE675" s="17"/>
      <c r="BF675" s="17"/>
      <c r="BG675" s="17"/>
      <c r="BH675" s="17"/>
      <c r="BI675" s="17"/>
      <c r="BJ675" s="17"/>
      <c r="BK675" s="17"/>
    </row>
    <row r="676" spans="53:63" x14ac:dyDescent="0.2">
      <c r="BA676" s="17"/>
      <c r="BB676" s="17"/>
      <c r="BC676" s="17"/>
      <c r="BD676" s="17"/>
      <c r="BE676" s="17"/>
      <c r="BF676" s="17"/>
      <c r="BG676" s="17"/>
      <c r="BH676" s="17"/>
      <c r="BI676" s="17"/>
      <c r="BJ676" s="17"/>
      <c r="BK676" s="17"/>
    </row>
    <row r="677" spans="53:63" x14ac:dyDescent="0.2">
      <c r="BA677" s="17"/>
      <c r="BB677" s="17"/>
      <c r="BC677" s="17"/>
      <c r="BD677" s="17"/>
      <c r="BE677" s="17"/>
      <c r="BF677" s="17"/>
      <c r="BG677" s="17"/>
      <c r="BH677" s="17"/>
      <c r="BI677" s="17"/>
      <c r="BJ677" s="17"/>
      <c r="BK677" s="17"/>
    </row>
    <row r="678" spans="53:63" x14ac:dyDescent="0.2">
      <c r="BA678" s="17"/>
      <c r="BB678" s="17"/>
      <c r="BC678" s="17"/>
      <c r="BD678" s="17"/>
      <c r="BE678" s="17"/>
      <c r="BF678" s="17"/>
      <c r="BG678" s="17"/>
      <c r="BH678" s="17"/>
      <c r="BI678" s="17"/>
      <c r="BJ678" s="17"/>
      <c r="BK678" s="17"/>
    </row>
    <row r="679" spans="53:63" x14ac:dyDescent="0.2">
      <c r="BA679" s="17"/>
      <c r="BB679" s="17"/>
      <c r="BC679" s="17"/>
      <c r="BD679" s="17"/>
      <c r="BE679" s="17"/>
      <c r="BF679" s="17"/>
      <c r="BG679" s="17"/>
      <c r="BH679" s="17"/>
      <c r="BI679" s="17"/>
      <c r="BJ679" s="17"/>
      <c r="BK679" s="17"/>
    </row>
    <row r="680" spans="53:63" x14ac:dyDescent="0.2">
      <c r="BA680" s="17"/>
      <c r="BB680" s="17"/>
      <c r="BC680" s="17"/>
      <c r="BD680" s="17"/>
      <c r="BE680" s="17"/>
      <c r="BF680" s="17"/>
      <c r="BG680" s="17"/>
      <c r="BH680" s="17"/>
      <c r="BI680" s="17"/>
      <c r="BJ680" s="17"/>
      <c r="BK680" s="17"/>
    </row>
    <row r="681" spans="53:63" x14ac:dyDescent="0.2">
      <c r="BA681" s="17"/>
      <c r="BB681" s="17"/>
      <c r="BC681" s="17"/>
      <c r="BD681" s="17"/>
      <c r="BE681" s="17"/>
      <c r="BF681" s="17"/>
      <c r="BG681" s="17"/>
      <c r="BH681" s="17"/>
      <c r="BI681" s="17"/>
      <c r="BJ681" s="17"/>
      <c r="BK681" s="17"/>
    </row>
    <row r="682" spans="53:63" x14ac:dyDescent="0.2">
      <c r="BA682" s="17"/>
      <c r="BB682" s="17"/>
      <c r="BC682" s="17"/>
      <c r="BD682" s="17"/>
      <c r="BE682" s="17"/>
      <c r="BF682" s="17"/>
      <c r="BG682" s="17"/>
      <c r="BH682" s="17"/>
      <c r="BI682" s="17"/>
      <c r="BJ682" s="17"/>
      <c r="BK682" s="17"/>
    </row>
    <row r="683" spans="53:63" x14ac:dyDescent="0.2">
      <c r="BA683" s="17"/>
      <c r="BB683" s="17"/>
      <c r="BC683" s="17"/>
      <c r="BD683" s="17"/>
      <c r="BE683" s="17"/>
      <c r="BF683" s="17"/>
      <c r="BG683" s="17"/>
      <c r="BH683" s="17"/>
      <c r="BI683" s="17"/>
      <c r="BJ683" s="17"/>
      <c r="BK683" s="17"/>
    </row>
    <row r="684" spans="53:63" x14ac:dyDescent="0.2">
      <c r="BA684" s="17"/>
      <c r="BB684" s="17"/>
      <c r="BC684" s="17"/>
      <c r="BD684" s="17"/>
      <c r="BE684" s="17"/>
      <c r="BF684" s="17"/>
      <c r="BG684" s="17"/>
      <c r="BH684" s="17"/>
      <c r="BI684" s="17"/>
      <c r="BJ684" s="17"/>
      <c r="BK684" s="17"/>
    </row>
    <row r="685" spans="53:63" x14ac:dyDescent="0.2">
      <c r="BA685" s="17"/>
      <c r="BB685" s="17"/>
      <c r="BC685" s="17"/>
      <c r="BD685" s="17"/>
      <c r="BE685" s="17"/>
      <c r="BF685" s="17"/>
      <c r="BG685" s="17"/>
      <c r="BH685" s="17"/>
      <c r="BI685" s="17"/>
      <c r="BJ685" s="17"/>
      <c r="BK685" s="17"/>
    </row>
    <row r="686" spans="53:63" x14ac:dyDescent="0.2">
      <c r="BA686" s="17"/>
      <c r="BB686" s="17"/>
      <c r="BC686" s="17"/>
      <c r="BD686" s="17"/>
      <c r="BE686" s="17"/>
      <c r="BF686" s="17"/>
      <c r="BG686" s="17"/>
      <c r="BH686" s="17"/>
      <c r="BI686" s="17"/>
      <c r="BJ686" s="17"/>
      <c r="BK686" s="17"/>
    </row>
    <row r="687" spans="53:63" x14ac:dyDescent="0.2">
      <c r="BA687" s="17"/>
      <c r="BB687" s="17"/>
      <c r="BC687" s="17"/>
      <c r="BD687" s="17"/>
      <c r="BE687" s="17"/>
      <c r="BF687" s="17"/>
      <c r="BG687" s="17"/>
      <c r="BH687" s="17"/>
      <c r="BI687" s="17"/>
      <c r="BJ687" s="17"/>
      <c r="BK687" s="17"/>
    </row>
    <row r="688" spans="53:63" x14ac:dyDescent="0.2">
      <c r="BA688" s="17"/>
      <c r="BB688" s="17"/>
      <c r="BC688" s="17"/>
      <c r="BD688" s="17"/>
      <c r="BE688" s="17"/>
      <c r="BF688" s="17"/>
      <c r="BG688" s="17"/>
      <c r="BH688" s="17"/>
      <c r="BI688" s="17"/>
      <c r="BJ688" s="17"/>
      <c r="BK688" s="17"/>
    </row>
    <row r="689" spans="53:63" x14ac:dyDescent="0.2">
      <c r="BA689" s="17"/>
      <c r="BB689" s="17"/>
      <c r="BC689" s="17"/>
      <c r="BD689" s="17"/>
      <c r="BE689" s="17"/>
      <c r="BF689" s="17"/>
      <c r="BG689" s="17"/>
      <c r="BH689" s="17"/>
      <c r="BI689" s="17"/>
      <c r="BJ689" s="17"/>
      <c r="BK689" s="17"/>
    </row>
    <row r="690" spans="53:63" x14ac:dyDescent="0.2">
      <c r="BA690" s="17"/>
      <c r="BB690" s="17"/>
      <c r="BC690" s="17"/>
      <c r="BD690" s="17"/>
      <c r="BE690" s="17"/>
      <c r="BF690" s="17"/>
      <c r="BG690" s="17"/>
      <c r="BH690" s="17"/>
      <c r="BI690" s="17"/>
      <c r="BJ690" s="17"/>
      <c r="BK690" s="17"/>
    </row>
    <row r="691" spans="53:63" x14ac:dyDescent="0.2">
      <c r="BA691" s="17"/>
      <c r="BB691" s="17"/>
      <c r="BC691" s="17"/>
      <c r="BD691" s="17"/>
      <c r="BE691" s="17"/>
      <c r="BF691" s="17"/>
      <c r="BG691" s="17"/>
      <c r="BH691" s="17"/>
      <c r="BI691" s="17"/>
      <c r="BJ691" s="17"/>
      <c r="BK691" s="17"/>
    </row>
    <row r="692" spans="53:63" x14ac:dyDescent="0.2">
      <c r="BA692" s="17"/>
      <c r="BB692" s="17"/>
      <c r="BC692" s="17"/>
      <c r="BD692" s="17"/>
      <c r="BE692" s="17"/>
      <c r="BF692" s="17"/>
      <c r="BG692" s="17"/>
      <c r="BH692" s="17"/>
      <c r="BI692" s="17"/>
      <c r="BJ692" s="17"/>
      <c r="BK692" s="17"/>
    </row>
    <row r="693" spans="53:63" x14ac:dyDescent="0.2">
      <c r="BA693" s="17"/>
      <c r="BB693" s="17"/>
      <c r="BC693" s="17"/>
      <c r="BD693" s="17"/>
      <c r="BE693" s="17"/>
      <c r="BF693" s="17"/>
      <c r="BG693" s="17"/>
      <c r="BH693" s="17"/>
      <c r="BI693" s="17"/>
      <c r="BJ693" s="17"/>
      <c r="BK693" s="17"/>
    </row>
    <row r="694" spans="53:63" x14ac:dyDescent="0.2">
      <c r="BA694" s="17"/>
      <c r="BB694" s="17"/>
      <c r="BC694" s="17"/>
      <c r="BD694" s="17"/>
      <c r="BE694" s="17"/>
      <c r="BF694" s="17"/>
      <c r="BG694" s="17"/>
      <c r="BH694" s="17"/>
      <c r="BI694" s="17"/>
      <c r="BJ694" s="17"/>
      <c r="BK694" s="17"/>
    </row>
    <row r="695" spans="53:63" x14ac:dyDescent="0.2">
      <c r="BA695" s="17"/>
      <c r="BB695" s="17"/>
      <c r="BC695" s="17"/>
      <c r="BD695" s="17"/>
      <c r="BE695" s="17"/>
      <c r="BF695" s="17"/>
      <c r="BG695" s="17"/>
      <c r="BH695" s="17"/>
      <c r="BI695" s="17"/>
      <c r="BJ695" s="17"/>
      <c r="BK695" s="17"/>
    </row>
    <row r="696" spans="53:63" x14ac:dyDescent="0.2">
      <c r="BA696" s="17"/>
      <c r="BB696" s="17"/>
      <c r="BC696" s="17"/>
      <c r="BD696" s="17"/>
      <c r="BE696" s="17"/>
      <c r="BF696" s="17"/>
      <c r="BG696" s="17"/>
      <c r="BH696" s="17"/>
      <c r="BI696" s="17"/>
      <c r="BJ696" s="17"/>
      <c r="BK696" s="17"/>
    </row>
    <row r="697" spans="53:63" x14ac:dyDescent="0.2">
      <c r="BA697" s="17"/>
      <c r="BB697" s="17"/>
      <c r="BC697" s="17"/>
      <c r="BD697" s="17"/>
      <c r="BE697" s="17"/>
      <c r="BF697" s="17"/>
      <c r="BG697" s="17"/>
      <c r="BH697" s="17"/>
      <c r="BI697" s="17"/>
      <c r="BJ697" s="17"/>
      <c r="BK697" s="17"/>
    </row>
    <row r="698" spans="53:63" x14ac:dyDescent="0.2">
      <c r="BA698" s="17"/>
      <c r="BB698" s="17"/>
      <c r="BC698" s="17"/>
      <c r="BD698" s="17"/>
      <c r="BE698" s="17"/>
      <c r="BF698" s="17"/>
      <c r="BG698" s="17"/>
      <c r="BH698" s="17"/>
      <c r="BI698" s="17"/>
      <c r="BJ698" s="17"/>
      <c r="BK698" s="17"/>
    </row>
    <row r="699" spans="53:63" x14ac:dyDescent="0.2">
      <c r="BA699" s="17"/>
      <c r="BB699" s="17"/>
      <c r="BC699" s="17"/>
      <c r="BD699" s="17"/>
      <c r="BE699" s="17"/>
      <c r="BF699" s="17"/>
      <c r="BG699" s="17"/>
      <c r="BH699" s="17"/>
      <c r="BI699" s="17"/>
      <c r="BJ699" s="17"/>
      <c r="BK699" s="17"/>
    </row>
    <row r="700" spans="53:63" x14ac:dyDescent="0.2">
      <c r="BA700" s="17"/>
      <c r="BB700" s="17"/>
      <c r="BC700" s="17"/>
      <c r="BD700" s="17"/>
      <c r="BE700" s="17"/>
      <c r="BF700" s="17"/>
      <c r="BG700" s="17"/>
      <c r="BH700" s="17"/>
      <c r="BI700" s="17"/>
      <c r="BJ700" s="17"/>
      <c r="BK700" s="17"/>
    </row>
    <row r="701" spans="53:63" x14ac:dyDescent="0.2">
      <c r="BA701" s="17"/>
      <c r="BB701" s="17"/>
      <c r="BC701" s="17"/>
      <c r="BD701" s="17"/>
      <c r="BE701" s="17"/>
      <c r="BF701" s="17"/>
      <c r="BG701" s="17"/>
      <c r="BH701" s="17"/>
      <c r="BI701" s="17"/>
      <c r="BJ701" s="17"/>
      <c r="BK701" s="17"/>
    </row>
    <row r="702" spans="53:63" x14ac:dyDescent="0.2">
      <c r="BA702" s="17"/>
      <c r="BB702" s="17"/>
      <c r="BC702" s="17"/>
      <c r="BD702" s="17"/>
      <c r="BE702" s="17"/>
      <c r="BF702" s="17"/>
      <c r="BG702" s="17"/>
      <c r="BH702" s="17"/>
      <c r="BI702" s="17"/>
      <c r="BJ702" s="17"/>
      <c r="BK702" s="17"/>
    </row>
    <row r="703" spans="53:63" x14ac:dyDescent="0.2">
      <c r="BA703" s="17"/>
      <c r="BB703" s="17"/>
      <c r="BC703" s="17"/>
      <c r="BD703" s="17"/>
      <c r="BE703" s="17"/>
      <c r="BF703" s="17"/>
      <c r="BG703" s="17"/>
      <c r="BH703" s="17"/>
      <c r="BI703" s="17"/>
      <c r="BJ703" s="17"/>
      <c r="BK703" s="17"/>
    </row>
    <row r="704" spans="53:63" x14ac:dyDescent="0.2">
      <c r="BA704" s="17"/>
      <c r="BB704" s="17"/>
      <c r="BC704" s="17"/>
      <c r="BD704" s="17"/>
      <c r="BE704" s="17"/>
      <c r="BF704" s="17"/>
      <c r="BG704" s="17"/>
      <c r="BH704" s="17"/>
      <c r="BI704" s="17"/>
      <c r="BJ704" s="17"/>
      <c r="BK704" s="17"/>
    </row>
    <row r="705" spans="53:63" x14ac:dyDescent="0.2">
      <c r="BA705" s="17"/>
      <c r="BB705" s="17"/>
      <c r="BC705" s="17"/>
      <c r="BD705" s="17"/>
      <c r="BE705" s="17"/>
      <c r="BF705" s="17"/>
      <c r="BG705" s="17"/>
      <c r="BH705" s="17"/>
      <c r="BI705" s="17"/>
      <c r="BJ705" s="17"/>
      <c r="BK705" s="17"/>
    </row>
    <row r="706" spans="53:63" x14ac:dyDescent="0.2">
      <c r="BA706" s="17"/>
      <c r="BB706" s="17"/>
      <c r="BC706" s="17"/>
      <c r="BD706" s="17"/>
      <c r="BE706" s="17"/>
      <c r="BF706" s="17"/>
      <c r="BG706" s="17"/>
      <c r="BH706" s="17"/>
      <c r="BI706" s="17"/>
      <c r="BJ706" s="17"/>
      <c r="BK706" s="17"/>
    </row>
    <row r="707" spans="53:63" x14ac:dyDescent="0.2">
      <c r="BA707" s="17"/>
      <c r="BB707" s="17"/>
      <c r="BC707" s="17"/>
      <c r="BD707" s="17"/>
      <c r="BE707" s="17"/>
      <c r="BF707" s="17"/>
      <c r="BG707" s="17"/>
      <c r="BH707" s="17"/>
      <c r="BI707" s="17"/>
      <c r="BJ707" s="17"/>
      <c r="BK707" s="17"/>
    </row>
    <row r="708" spans="53:63" x14ac:dyDescent="0.2">
      <c r="BA708" s="17"/>
      <c r="BB708" s="17"/>
      <c r="BC708" s="17"/>
      <c r="BD708" s="17"/>
      <c r="BE708" s="17"/>
      <c r="BF708" s="17"/>
      <c r="BG708" s="17"/>
      <c r="BH708" s="17"/>
      <c r="BI708" s="17"/>
      <c r="BJ708" s="17"/>
      <c r="BK708" s="17"/>
    </row>
    <row r="709" spans="53:63" x14ac:dyDescent="0.2">
      <c r="BA709" s="17"/>
      <c r="BB709" s="17"/>
      <c r="BC709" s="17"/>
      <c r="BD709" s="17"/>
      <c r="BE709" s="17"/>
      <c r="BF709" s="17"/>
      <c r="BG709" s="17"/>
      <c r="BH709" s="17"/>
      <c r="BI709" s="17"/>
      <c r="BJ709" s="17"/>
      <c r="BK709" s="17"/>
    </row>
    <row r="710" spans="53:63" x14ac:dyDescent="0.2">
      <c r="BA710" s="17"/>
      <c r="BB710" s="17"/>
      <c r="BC710" s="17"/>
      <c r="BD710" s="17"/>
      <c r="BE710" s="17"/>
      <c r="BF710" s="17"/>
      <c r="BG710" s="17"/>
      <c r="BH710" s="17"/>
      <c r="BI710" s="17"/>
      <c r="BJ710" s="17"/>
      <c r="BK710" s="17"/>
    </row>
    <row r="711" spans="53:63" x14ac:dyDescent="0.2">
      <c r="BA711" s="17"/>
      <c r="BB711" s="17"/>
      <c r="BC711" s="17"/>
      <c r="BD711" s="17"/>
      <c r="BE711" s="17"/>
      <c r="BF711" s="17"/>
      <c r="BG711" s="17"/>
      <c r="BH711" s="17"/>
      <c r="BI711" s="17"/>
      <c r="BJ711" s="17"/>
      <c r="BK711" s="17"/>
    </row>
    <row r="712" spans="53:63" x14ac:dyDescent="0.2">
      <c r="BA712" s="17"/>
      <c r="BB712" s="17"/>
      <c r="BC712" s="17"/>
      <c r="BD712" s="17"/>
      <c r="BE712" s="17"/>
      <c r="BF712" s="17"/>
      <c r="BG712" s="17"/>
      <c r="BH712" s="17"/>
      <c r="BI712" s="17"/>
      <c r="BJ712" s="17"/>
      <c r="BK712" s="17"/>
    </row>
    <row r="713" spans="53:63" x14ac:dyDescent="0.2">
      <c r="BA713" s="17"/>
      <c r="BB713" s="17"/>
      <c r="BC713" s="17"/>
      <c r="BD713" s="17"/>
      <c r="BE713" s="17"/>
      <c r="BF713" s="17"/>
      <c r="BG713" s="17"/>
      <c r="BH713" s="17"/>
      <c r="BI713" s="17"/>
      <c r="BJ713" s="17"/>
      <c r="BK713" s="17"/>
    </row>
    <row r="714" spans="53:63" x14ac:dyDescent="0.2">
      <c r="BA714" s="17"/>
      <c r="BB714" s="17"/>
      <c r="BC714" s="17"/>
      <c r="BD714" s="17"/>
      <c r="BE714" s="17"/>
      <c r="BF714" s="17"/>
      <c r="BG714" s="17"/>
      <c r="BH714" s="17"/>
      <c r="BI714" s="17"/>
      <c r="BJ714" s="17"/>
      <c r="BK714" s="17"/>
    </row>
    <row r="715" spans="53:63" x14ac:dyDescent="0.2">
      <c r="BA715" s="17"/>
      <c r="BB715" s="17"/>
      <c r="BC715" s="17"/>
      <c r="BD715" s="17"/>
      <c r="BE715" s="17"/>
      <c r="BF715" s="17"/>
      <c r="BG715" s="17"/>
      <c r="BH715" s="17"/>
      <c r="BI715" s="17"/>
      <c r="BJ715" s="17"/>
      <c r="BK715" s="17"/>
    </row>
    <row r="716" spans="53:63" x14ac:dyDescent="0.2">
      <c r="BA716" s="17"/>
      <c r="BB716" s="17"/>
      <c r="BC716" s="17"/>
      <c r="BD716" s="17"/>
      <c r="BE716" s="17"/>
      <c r="BF716" s="17"/>
      <c r="BG716" s="17"/>
      <c r="BH716" s="17"/>
      <c r="BI716" s="17"/>
      <c r="BJ716" s="17"/>
      <c r="BK716" s="17"/>
    </row>
    <row r="717" spans="53:63" x14ac:dyDescent="0.2">
      <c r="BA717" s="17"/>
      <c r="BB717" s="17"/>
      <c r="BC717" s="17"/>
      <c r="BD717" s="17"/>
      <c r="BE717" s="17"/>
      <c r="BF717" s="17"/>
      <c r="BG717" s="17"/>
      <c r="BH717" s="17"/>
      <c r="BI717" s="17"/>
      <c r="BJ717" s="17"/>
      <c r="BK717" s="17"/>
    </row>
    <row r="718" spans="53:63" x14ac:dyDescent="0.2">
      <c r="BA718" s="17"/>
      <c r="BB718" s="17"/>
      <c r="BC718" s="17"/>
      <c r="BD718" s="17"/>
      <c r="BE718" s="17"/>
      <c r="BF718" s="17"/>
      <c r="BG718" s="17"/>
      <c r="BH718" s="17"/>
      <c r="BI718" s="17"/>
      <c r="BJ718" s="17"/>
      <c r="BK718" s="17"/>
    </row>
    <row r="719" spans="53:63" x14ac:dyDescent="0.2">
      <c r="BA719" s="17"/>
      <c r="BB719" s="17"/>
      <c r="BC719" s="17"/>
      <c r="BD719" s="17"/>
      <c r="BE719" s="17"/>
      <c r="BF719" s="17"/>
      <c r="BG719" s="17"/>
      <c r="BH719" s="17"/>
      <c r="BI719" s="17"/>
      <c r="BJ719" s="17"/>
      <c r="BK719" s="17"/>
    </row>
    <row r="720" spans="53:63" x14ac:dyDescent="0.2">
      <c r="BA720" s="17"/>
      <c r="BB720" s="17"/>
      <c r="BC720" s="17"/>
      <c r="BD720" s="17"/>
      <c r="BE720" s="17"/>
      <c r="BF720" s="17"/>
      <c r="BG720" s="17"/>
      <c r="BH720" s="17"/>
      <c r="BI720" s="17"/>
      <c r="BJ720" s="17"/>
      <c r="BK720" s="17"/>
    </row>
    <row r="721" spans="53:63" x14ac:dyDescent="0.2">
      <c r="BA721" s="17"/>
      <c r="BB721" s="17"/>
      <c r="BC721" s="17"/>
      <c r="BD721" s="17"/>
      <c r="BE721" s="17"/>
      <c r="BF721" s="17"/>
      <c r="BG721" s="17"/>
      <c r="BH721" s="17"/>
      <c r="BI721" s="17"/>
      <c r="BJ721" s="17"/>
      <c r="BK721" s="17"/>
    </row>
    <row r="722" spans="53:63" x14ac:dyDescent="0.2">
      <c r="BA722" s="17"/>
      <c r="BB722" s="17"/>
      <c r="BC722" s="17"/>
      <c r="BD722" s="17"/>
      <c r="BE722" s="17"/>
      <c r="BF722" s="17"/>
      <c r="BG722" s="17"/>
      <c r="BH722" s="17"/>
      <c r="BI722" s="17"/>
      <c r="BJ722" s="17"/>
      <c r="BK722" s="17"/>
    </row>
    <row r="723" spans="53:63" x14ac:dyDescent="0.2">
      <c r="BA723" s="17"/>
      <c r="BB723" s="17"/>
      <c r="BC723" s="17"/>
      <c r="BD723" s="17"/>
      <c r="BE723" s="17"/>
      <c r="BF723" s="17"/>
      <c r="BG723" s="17"/>
      <c r="BH723" s="17"/>
      <c r="BI723" s="17"/>
      <c r="BJ723" s="17"/>
      <c r="BK723" s="17"/>
    </row>
    <row r="724" spans="53:63" x14ac:dyDescent="0.2">
      <c r="BA724" s="17"/>
      <c r="BB724" s="17"/>
      <c r="BC724" s="17"/>
      <c r="BD724" s="17"/>
      <c r="BE724" s="17"/>
      <c r="BF724" s="17"/>
      <c r="BG724" s="17"/>
      <c r="BH724" s="17"/>
      <c r="BI724" s="17"/>
      <c r="BJ724" s="17"/>
      <c r="BK724" s="17"/>
    </row>
    <row r="725" spans="53:63" x14ac:dyDescent="0.2">
      <c r="BA725" s="17"/>
      <c r="BB725" s="17"/>
      <c r="BC725" s="17"/>
      <c r="BD725" s="17"/>
      <c r="BE725" s="17"/>
      <c r="BF725" s="17"/>
      <c r="BG725" s="17"/>
      <c r="BH725" s="17"/>
      <c r="BI725" s="17"/>
      <c r="BJ725" s="17"/>
      <c r="BK725" s="17"/>
    </row>
    <row r="726" spans="53:63" x14ac:dyDescent="0.2">
      <c r="BA726" s="17"/>
      <c r="BB726" s="17"/>
      <c r="BC726" s="17"/>
      <c r="BD726" s="17"/>
      <c r="BE726" s="17"/>
      <c r="BF726" s="17"/>
      <c r="BG726" s="17"/>
      <c r="BH726" s="17"/>
      <c r="BI726" s="17"/>
      <c r="BJ726" s="17"/>
      <c r="BK726" s="17"/>
    </row>
    <row r="727" spans="53:63" x14ac:dyDescent="0.2">
      <c r="BA727" s="17"/>
      <c r="BB727" s="17"/>
      <c r="BC727" s="17"/>
      <c r="BD727" s="17"/>
      <c r="BE727" s="17"/>
      <c r="BF727" s="17"/>
      <c r="BG727" s="17"/>
      <c r="BH727" s="17"/>
      <c r="BI727" s="17"/>
      <c r="BJ727" s="17"/>
      <c r="BK727" s="17"/>
    </row>
    <row r="728" spans="53:63" x14ac:dyDescent="0.2">
      <c r="BA728" s="17"/>
      <c r="BB728" s="17"/>
      <c r="BC728" s="17"/>
      <c r="BD728" s="17"/>
      <c r="BE728" s="17"/>
      <c r="BF728" s="17"/>
      <c r="BG728" s="17"/>
      <c r="BH728" s="17"/>
      <c r="BI728" s="17"/>
      <c r="BJ728" s="17"/>
      <c r="BK728" s="17"/>
    </row>
    <row r="729" spans="53:63" x14ac:dyDescent="0.2">
      <c r="BA729" s="17"/>
      <c r="BB729" s="17"/>
      <c r="BC729" s="17"/>
      <c r="BD729" s="17"/>
      <c r="BE729" s="17"/>
      <c r="BF729" s="17"/>
      <c r="BG729" s="17"/>
      <c r="BH729" s="17"/>
      <c r="BI729" s="17"/>
      <c r="BJ729" s="17"/>
      <c r="BK729" s="17"/>
    </row>
    <row r="730" spans="53:63" x14ac:dyDescent="0.2">
      <c r="BA730" s="17"/>
      <c r="BB730" s="17"/>
      <c r="BC730" s="17"/>
      <c r="BD730" s="17"/>
      <c r="BE730" s="17"/>
      <c r="BF730" s="17"/>
      <c r="BG730" s="17"/>
      <c r="BH730" s="17"/>
      <c r="BI730" s="17"/>
      <c r="BJ730" s="17"/>
      <c r="BK730" s="17"/>
    </row>
    <row r="731" spans="53:63" x14ac:dyDescent="0.2">
      <c r="BA731" s="17"/>
      <c r="BB731" s="17"/>
      <c r="BC731" s="17"/>
      <c r="BD731" s="17"/>
      <c r="BE731" s="17"/>
      <c r="BF731" s="17"/>
      <c r="BG731" s="17"/>
      <c r="BH731" s="17"/>
      <c r="BI731" s="17"/>
      <c r="BJ731" s="17"/>
      <c r="BK731" s="17"/>
    </row>
    <row r="732" spans="53:63" x14ac:dyDescent="0.2">
      <c r="BA732" s="17"/>
      <c r="BB732" s="17"/>
      <c r="BC732" s="17"/>
      <c r="BD732" s="17"/>
      <c r="BE732" s="17"/>
      <c r="BF732" s="17"/>
      <c r="BG732" s="17"/>
      <c r="BH732" s="17"/>
      <c r="BI732" s="17"/>
      <c r="BJ732" s="17"/>
      <c r="BK732" s="17"/>
    </row>
    <row r="733" spans="53:63" x14ac:dyDescent="0.2">
      <c r="BA733" s="17"/>
      <c r="BB733" s="17"/>
      <c r="BC733" s="17"/>
      <c r="BD733" s="17"/>
      <c r="BE733" s="17"/>
      <c r="BF733" s="17"/>
      <c r="BG733" s="17"/>
      <c r="BH733" s="17"/>
      <c r="BI733" s="17"/>
      <c r="BJ733" s="17"/>
      <c r="BK733" s="17"/>
    </row>
    <row r="734" spans="53:63" x14ac:dyDescent="0.2">
      <c r="BA734" s="17"/>
      <c r="BB734" s="17"/>
      <c r="BC734" s="17"/>
      <c r="BD734" s="17"/>
      <c r="BE734" s="17"/>
      <c r="BF734" s="17"/>
      <c r="BG734" s="17"/>
      <c r="BH734" s="17"/>
      <c r="BI734" s="17"/>
      <c r="BJ734" s="17"/>
      <c r="BK734" s="17"/>
    </row>
    <row r="735" spans="53:63" x14ac:dyDescent="0.2">
      <c r="BA735" s="17"/>
      <c r="BB735" s="17"/>
      <c r="BC735" s="17"/>
      <c r="BD735" s="17"/>
      <c r="BE735" s="17"/>
      <c r="BF735" s="17"/>
      <c r="BG735" s="17"/>
      <c r="BH735" s="17"/>
      <c r="BI735" s="17"/>
      <c r="BJ735" s="17"/>
      <c r="BK735" s="17"/>
    </row>
    <row r="736" spans="53:63" x14ac:dyDescent="0.2">
      <c r="BA736" s="17"/>
      <c r="BB736" s="17"/>
      <c r="BC736" s="17"/>
      <c r="BD736" s="17"/>
      <c r="BE736" s="17"/>
      <c r="BF736" s="17"/>
      <c r="BG736" s="17"/>
      <c r="BH736" s="17"/>
      <c r="BI736" s="17"/>
      <c r="BJ736" s="17"/>
      <c r="BK736" s="17"/>
    </row>
    <row r="737" spans="53:63" x14ac:dyDescent="0.2">
      <c r="BA737" s="17"/>
      <c r="BB737" s="17"/>
      <c r="BC737" s="17"/>
      <c r="BD737" s="17"/>
      <c r="BE737" s="17"/>
      <c r="BF737" s="17"/>
      <c r="BG737" s="17"/>
      <c r="BH737" s="17"/>
      <c r="BI737" s="17"/>
      <c r="BJ737" s="17"/>
      <c r="BK737" s="17"/>
    </row>
    <row r="738" spans="53:63" x14ac:dyDescent="0.2">
      <c r="BA738" s="17"/>
      <c r="BB738" s="17"/>
      <c r="BC738" s="17"/>
      <c r="BD738" s="17"/>
      <c r="BE738" s="17"/>
      <c r="BF738" s="17"/>
      <c r="BG738" s="17"/>
      <c r="BH738" s="17"/>
      <c r="BI738" s="17"/>
      <c r="BJ738" s="17"/>
      <c r="BK738" s="17"/>
    </row>
    <row r="739" spans="53:63" x14ac:dyDescent="0.2">
      <c r="BA739" s="17"/>
      <c r="BB739" s="17"/>
      <c r="BC739" s="17"/>
      <c r="BD739" s="17"/>
      <c r="BE739" s="17"/>
      <c r="BF739" s="17"/>
      <c r="BG739" s="17"/>
      <c r="BH739" s="17"/>
      <c r="BI739" s="17"/>
      <c r="BJ739" s="17"/>
      <c r="BK739" s="17"/>
    </row>
    <row r="740" spans="53:63" x14ac:dyDescent="0.2">
      <c r="BA740" s="17"/>
      <c r="BB740" s="17"/>
      <c r="BC740" s="17"/>
      <c r="BD740" s="17"/>
      <c r="BE740" s="17"/>
      <c r="BF740" s="17"/>
      <c r="BG740" s="17"/>
      <c r="BH740" s="17"/>
      <c r="BI740" s="17"/>
      <c r="BJ740" s="17"/>
      <c r="BK740" s="17"/>
    </row>
    <row r="741" spans="53:63" x14ac:dyDescent="0.2">
      <c r="BA741" s="17"/>
      <c r="BB741" s="17"/>
      <c r="BC741" s="17"/>
      <c r="BD741" s="17"/>
      <c r="BE741" s="17"/>
      <c r="BF741" s="17"/>
      <c r="BG741" s="17"/>
      <c r="BH741" s="17"/>
      <c r="BI741" s="17"/>
      <c r="BJ741" s="17"/>
      <c r="BK741" s="17"/>
    </row>
    <row r="742" spans="53:63" x14ac:dyDescent="0.2">
      <c r="BA742" s="17"/>
      <c r="BB742" s="17"/>
      <c r="BC742" s="17"/>
      <c r="BD742" s="17"/>
      <c r="BE742" s="17"/>
      <c r="BF742" s="17"/>
      <c r="BG742" s="17"/>
      <c r="BH742" s="17"/>
      <c r="BI742" s="17"/>
      <c r="BJ742" s="17"/>
      <c r="BK742" s="17"/>
    </row>
    <row r="743" spans="53:63" x14ac:dyDescent="0.2">
      <c r="BA743" s="17"/>
      <c r="BB743" s="17"/>
      <c r="BC743" s="17"/>
      <c r="BD743" s="17"/>
      <c r="BE743" s="17"/>
      <c r="BF743" s="17"/>
      <c r="BG743" s="17"/>
      <c r="BH743" s="17"/>
      <c r="BI743" s="17"/>
      <c r="BJ743" s="17"/>
      <c r="BK743" s="17"/>
    </row>
    <row r="744" spans="53:63" x14ac:dyDescent="0.2">
      <c r="BA744" s="17"/>
      <c r="BB744" s="17"/>
      <c r="BC744" s="17"/>
      <c r="BD744" s="17"/>
      <c r="BE744" s="17"/>
      <c r="BF744" s="17"/>
      <c r="BG744" s="17"/>
      <c r="BH744" s="17"/>
      <c r="BI744" s="17"/>
      <c r="BJ744" s="17"/>
      <c r="BK744" s="17"/>
    </row>
    <row r="745" spans="53:63" x14ac:dyDescent="0.2">
      <c r="BA745" s="17"/>
      <c r="BB745" s="17"/>
      <c r="BC745" s="17"/>
      <c r="BD745" s="17"/>
      <c r="BE745" s="17"/>
      <c r="BF745" s="17"/>
      <c r="BG745" s="17"/>
      <c r="BH745" s="17"/>
      <c r="BI745" s="17"/>
      <c r="BJ745" s="17"/>
      <c r="BK745" s="17"/>
    </row>
    <row r="746" spans="53:63" x14ac:dyDescent="0.2">
      <c r="BA746" s="17"/>
      <c r="BB746" s="17"/>
      <c r="BC746" s="17"/>
      <c r="BD746" s="17"/>
      <c r="BE746" s="17"/>
      <c r="BF746" s="17"/>
      <c r="BG746" s="17"/>
      <c r="BH746" s="17"/>
      <c r="BI746" s="17"/>
      <c r="BJ746" s="17"/>
      <c r="BK746" s="17"/>
    </row>
    <row r="747" spans="53:63" x14ac:dyDescent="0.2">
      <c r="BA747" s="17"/>
      <c r="BB747" s="17"/>
      <c r="BC747" s="17"/>
      <c r="BD747" s="17"/>
      <c r="BE747" s="17"/>
      <c r="BF747" s="17"/>
      <c r="BG747" s="17"/>
      <c r="BH747" s="17"/>
      <c r="BI747" s="17"/>
      <c r="BJ747" s="17"/>
      <c r="BK747" s="17"/>
    </row>
    <row r="748" spans="53:63" x14ac:dyDescent="0.2">
      <c r="BA748" s="17"/>
      <c r="BB748" s="17"/>
      <c r="BC748" s="17"/>
      <c r="BD748" s="17"/>
      <c r="BE748" s="17"/>
      <c r="BF748" s="17"/>
      <c r="BG748" s="17"/>
      <c r="BH748" s="17"/>
      <c r="BI748" s="17"/>
      <c r="BJ748" s="17"/>
      <c r="BK748" s="17"/>
    </row>
    <row r="749" spans="53:63" x14ac:dyDescent="0.2">
      <c r="BA749" s="17"/>
      <c r="BB749" s="17"/>
      <c r="BC749" s="17"/>
      <c r="BD749" s="17"/>
      <c r="BE749" s="17"/>
      <c r="BF749" s="17"/>
      <c r="BG749" s="17"/>
      <c r="BH749" s="17"/>
      <c r="BI749" s="17"/>
      <c r="BJ749" s="17"/>
      <c r="BK749" s="17"/>
    </row>
    <row r="750" spans="53:63" x14ac:dyDescent="0.2">
      <c r="BA750" s="17"/>
      <c r="BB750" s="17"/>
      <c r="BC750" s="17"/>
      <c r="BD750" s="17"/>
      <c r="BE750" s="17"/>
      <c r="BF750" s="17"/>
      <c r="BG750" s="17"/>
      <c r="BH750" s="17"/>
      <c r="BI750" s="17"/>
      <c r="BJ750" s="17"/>
      <c r="BK750" s="17"/>
    </row>
    <row r="751" spans="53:63" x14ac:dyDescent="0.2">
      <c r="BA751" s="17"/>
      <c r="BB751" s="17"/>
      <c r="BC751" s="17"/>
      <c r="BD751" s="17"/>
      <c r="BE751" s="17"/>
      <c r="BF751" s="17"/>
      <c r="BG751" s="17"/>
      <c r="BH751" s="17"/>
      <c r="BI751" s="17"/>
      <c r="BJ751" s="17"/>
      <c r="BK751" s="17"/>
    </row>
    <row r="752" spans="53:63" x14ac:dyDescent="0.2">
      <c r="BA752" s="17"/>
      <c r="BB752" s="17"/>
      <c r="BC752" s="17"/>
      <c r="BD752" s="17"/>
      <c r="BE752" s="17"/>
      <c r="BF752" s="17"/>
      <c r="BG752" s="17"/>
      <c r="BH752" s="17"/>
      <c r="BI752" s="17"/>
      <c r="BJ752" s="17"/>
      <c r="BK752" s="17"/>
    </row>
    <row r="753" spans="53:63" x14ac:dyDescent="0.2">
      <c r="BA753" s="17"/>
      <c r="BB753" s="17"/>
      <c r="BC753" s="17"/>
      <c r="BD753" s="17"/>
      <c r="BE753" s="17"/>
      <c r="BF753" s="17"/>
      <c r="BG753" s="17"/>
      <c r="BH753" s="17"/>
      <c r="BI753" s="17"/>
      <c r="BJ753" s="17"/>
      <c r="BK753" s="17"/>
    </row>
    <row r="754" spans="53:63" x14ac:dyDescent="0.2">
      <c r="BA754" s="17"/>
      <c r="BB754" s="17"/>
      <c r="BC754" s="17"/>
      <c r="BD754" s="17"/>
      <c r="BE754" s="17"/>
      <c r="BF754" s="17"/>
      <c r="BG754" s="17"/>
      <c r="BH754" s="17"/>
      <c r="BI754" s="17"/>
      <c r="BJ754" s="17"/>
      <c r="BK754" s="17"/>
    </row>
    <row r="755" spans="53:63" x14ac:dyDescent="0.2">
      <c r="BA755" s="17"/>
      <c r="BB755" s="17"/>
      <c r="BC755" s="17"/>
      <c r="BD755" s="17"/>
      <c r="BE755" s="17"/>
      <c r="BF755" s="17"/>
      <c r="BG755" s="17"/>
      <c r="BH755" s="17"/>
      <c r="BI755" s="17"/>
      <c r="BJ755" s="17"/>
      <c r="BK755" s="17"/>
    </row>
    <row r="756" spans="53:63" x14ac:dyDescent="0.2">
      <c r="BA756" s="17"/>
      <c r="BB756" s="17"/>
      <c r="BC756" s="17"/>
      <c r="BD756" s="17"/>
      <c r="BE756" s="17"/>
      <c r="BF756" s="17"/>
      <c r="BG756" s="17"/>
      <c r="BH756" s="17"/>
      <c r="BI756" s="17"/>
      <c r="BJ756" s="17"/>
      <c r="BK756" s="17"/>
    </row>
    <row r="757" spans="53:63" x14ac:dyDescent="0.2">
      <c r="BA757" s="17"/>
      <c r="BB757" s="17"/>
      <c r="BC757" s="17"/>
      <c r="BD757" s="17"/>
      <c r="BE757" s="17"/>
      <c r="BF757" s="17"/>
      <c r="BG757" s="17"/>
      <c r="BH757" s="17"/>
      <c r="BI757" s="17"/>
      <c r="BJ757" s="17"/>
      <c r="BK757" s="17"/>
    </row>
    <row r="758" spans="53:63" x14ac:dyDescent="0.2">
      <c r="BA758" s="17"/>
      <c r="BB758" s="17"/>
      <c r="BC758" s="17"/>
      <c r="BD758" s="17"/>
      <c r="BE758" s="17"/>
      <c r="BF758" s="17"/>
      <c r="BG758" s="17"/>
      <c r="BH758" s="17"/>
      <c r="BI758" s="17"/>
      <c r="BJ758" s="17"/>
      <c r="BK758" s="17"/>
    </row>
    <row r="759" spans="53:63" x14ac:dyDescent="0.2">
      <c r="BA759" s="17"/>
      <c r="BB759" s="17"/>
      <c r="BC759" s="17"/>
      <c r="BD759" s="17"/>
      <c r="BE759" s="17"/>
      <c r="BF759" s="17"/>
      <c r="BG759" s="17"/>
      <c r="BH759" s="17"/>
      <c r="BI759" s="17"/>
      <c r="BJ759" s="17"/>
      <c r="BK759" s="17"/>
    </row>
    <row r="760" spans="53:63" x14ac:dyDescent="0.2">
      <c r="BA760" s="17"/>
      <c r="BB760" s="17"/>
      <c r="BC760" s="17"/>
      <c r="BD760" s="17"/>
      <c r="BE760" s="17"/>
      <c r="BF760" s="17"/>
      <c r="BG760" s="17"/>
      <c r="BH760" s="17"/>
      <c r="BI760" s="17"/>
      <c r="BJ760" s="17"/>
      <c r="BK760" s="17"/>
    </row>
    <row r="761" spans="53:63" x14ac:dyDescent="0.2">
      <c r="BA761" s="17"/>
      <c r="BB761" s="17"/>
      <c r="BC761" s="17"/>
      <c r="BD761" s="17"/>
      <c r="BE761" s="17"/>
      <c r="BF761" s="17"/>
      <c r="BG761" s="17"/>
      <c r="BH761" s="17"/>
      <c r="BI761" s="17"/>
      <c r="BJ761" s="17"/>
      <c r="BK761" s="17"/>
    </row>
    <row r="762" spans="53:63" x14ac:dyDescent="0.2">
      <c r="BA762" s="17"/>
      <c r="BB762" s="17"/>
      <c r="BC762" s="17"/>
      <c r="BD762" s="17"/>
      <c r="BE762" s="17"/>
      <c r="BF762" s="17"/>
      <c r="BG762" s="17"/>
      <c r="BH762" s="17"/>
      <c r="BI762" s="17"/>
      <c r="BJ762" s="17"/>
      <c r="BK762" s="17"/>
    </row>
    <row r="763" spans="53:63" x14ac:dyDescent="0.2">
      <c r="BA763" s="17"/>
      <c r="BB763" s="17"/>
      <c r="BC763" s="17"/>
      <c r="BD763" s="17"/>
      <c r="BE763" s="17"/>
      <c r="BF763" s="17"/>
      <c r="BG763" s="17"/>
      <c r="BH763" s="17"/>
      <c r="BI763" s="17"/>
      <c r="BJ763" s="17"/>
      <c r="BK763" s="17"/>
    </row>
    <row r="764" spans="53:63" x14ac:dyDescent="0.2">
      <c r="BA764" s="17"/>
      <c r="BB764" s="17"/>
      <c r="BC764" s="17"/>
      <c r="BD764" s="17"/>
      <c r="BE764" s="17"/>
      <c r="BF764" s="17"/>
      <c r="BG764" s="17"/>
      <c r="BH764" s="17"/>
      <c r="BI764" s="17"/>
      <c r="BJ764" s="17"/>
      <c r="BK764" s="17"/>
    </row>
    <row r="765" spans="53:63" x14ac:dyDescent="0.2">
      <c r="BA765" s="17"/>
      <c r="BB765" s="17"/>
      <c r="BC765" s="17"/>
      <c r="BD765" s="17"/>
      <c r="BE765" s="17"/>
      <c r="BF765" s="17"/>
      <c r="BG765" s="17"/>
      <c r="BH765" s="17"/>
      <c r="BI765" s="17"/>
      <c r="BJ765" s="17"/>
      <c r="BK765" s="17"/>
    </row>
    <row r="766" spans="53:63" x14ac:dyDescent="0.2">
      <c r="BA766" s="17"/>
      <c r="BB766" s="17"/>
      <c r="BC766" s="17"/>
      <c r="BD766" s="17"/>
      <c r="BE766" s="17"/>
      <c r="BF766" s="17"/>
      <c r="BG766" s="17"/>
      <c r="BH766" s="17"/>
      <c r="BI766" s="17"/>
      <c r="BJ766" s="17"/>
      <c r="BK766" s="17"/>
    </row>
    <row r="767" spans="53:63" x14ac:dyDescent="0.2">
      <c r="BA767" s="17"/>
      <c r="BB767" s="17"/>
      <c r="BC767" s="17"/>
      <c r="BD767" s="17"/>
      <c r="BE767" s="17"/>
      <c r="BF767" s="17"/>
      <c r="BG767" s="17"/>
      <c r="BH767" s="17"/>
      <c r="BI767" s="17"/>
      <c r="BJ767" s="17"/>
      <c r="BK767" s="17"/>
    </row>
    <row r="768" spans="53:63" x14ac:dyDescent="0.2">
      <c r="BA768" s="17"/>
      <c r="BB768" s="17"/>
      <c r="BC768" s="17"/>
      <c r="BD768" s="17"/>
      <c r="BE768" s="17"/>
      <c r="BF768" s="17"/>
      <c r="BG768" s="17"/>
      <c r="BH768" s="17"/>
      <c r="BI768" s="17"/>
      <c r="BJ768" s="17"/>
      <c r="BK768" s="17"/>
    </row>
    <row r="769" spans="53:63" x14ac:dyDescent="0.2">
      <c r="BA769" s="17"/>
      <c r="BB769" s="17"/>
      <c r="BC769" s="17"/>
      <c r="BD769" s="17"/>
      <c r="BE769" s="17"/>
      <c r="BF769" s="17"/>
      <c r="BG769" s="17"/>
      <c r="BH769" s="17"/>
      <c r="BI769" s="17"/>
      <c r="BJ769" s="17"/>
      <c r="BK769" s="17"/>
    </row>
    <row r="770" spans="53:63" x14ac:dyDescent="0.2">
      <c r="BA770" s="17"/>
      <c r="BB770" s="17"/>
      <c r="BC770" s="17"/>
      <c r="BD770" s="17"/>
      <c r="BE770" s="17"/>
      <c r="BF770" s="17"/>
      <c r="BG770" s="17"/>
      <c r="BH770" s="17"/>
      <c r="BI770" s="17"/>
      <c r="BJ770" s="17"/>
      <c r="BK770" s="17"/>
    </row>
    <row r="771" spans="53:63" x14ac:dyDescent="0.2">
      <c r="BA771" s="17"/>
      <c r="BB771" s="17"/>
      <c r="BC771" s="17"/>
      <c r="BD771" s="17"/>
      <c r="BE771" s="17"/>
      <c r="BF771" s="17"/>
      <c r="BG771" s="17"/>
      <c r="BH771" s="17"/>
      <c r="BI771" s="17"/>
      <c r="BJ771" s="17"/>
      <c r="BK771" s="17"/>
    </row>
    <row r="772" spans="53:63" x14ac:dyDescent="0.2">
      <c r="BA772" s="17"/>
      <c r="BB772" s="17"/>
      <c r="BC772" s="17"/>
      <c r="BD772" s="17"/>
      <c r="BE772" s="17"/>
      <c r="BF772" s="17"/>
      <c r="BG772" s="17"/>
      <c r="BH772" s="17"/>
      <c r="BI772" s="17"/>
      <c r="BJ772" s="17"/>
      <c r="BK772" s="17"/>
    </row>
    <row r="773" spans="53:63" x14ac:dyDescent="0.2">
      <c r="BA773" s="17"/>
      <c r="BB773" s="17"/>
      <c r="BC773" s="17"/>
      <c r="BD773" s="17"/>
      <c r="BE773" s="17"/>
      <c r="BF773" s="17"/>
      <c r="BG773" s="17"/>
      <c r="BH773" s="17"/>
      <c r="BI773" s="17"/>
      <c r="BJ773" s="17"/>
      <c r="BK773" s="17"/>
    </row>
    <row r="774" spans="53:63" x14ac:dyDescent="0.2">
      <c r="BA774" s="17"/>
      <c r="BB774" s="17"/>
      <c r="BC774" s="17"/>
      <c r="BD774" s="17"/>
      <c r="BE774" s="17"/>
      <c r="BF774" s="17"/>
      <c r="BG774" s="17"/>
      <c r="BH774" s="17"/>
      <c r="BI774" s="17"/>
      <c r="BJ774" s="17"/>
      <c r="BK774" s="17"/>
    </row>
    <row r="775" spans="53:63" x14ac:dyDescent="0.2">
      <c r="BA775" s="17"/>
      <c r="BB775" s="17"/>
      <c r="BC775" s="17"/>
      <c r="BD775" s="17"/>
      <c r="BE775" s="17"/>
      <c r="BF775" s="17"/>
      <c r="BG775" s="17"/>
      <c r="BH775" s="17"/>
      <c r="BI775" s="17"/>
      <c r="BJ775" s="17"/>
      <c r="BK775" s="17"/>
    </row>
    <row r="776" spans="53:63" x14ac:dyDescent="0.2">
      <c r="BA776" s="17"/>
      <c r="BB776" s="17"/>
      <c r="BC776" s="17"/>
      <c r="BD776" s="17"/>
      <c r="BE776" s="17"/>
      <c r="BF776" s="17"/>
      <c r="BG776" s="17"/>
      <c r="BH776" s="17"/>
      <c r="BI776" s="17"/>
      <c r="BJ776" s="17"/>
      <c r="BK776" s="17"/>
    </row>
    <row r="777" spans="53:63" x14ac:dyDescent="0.2">
      <c r="BA777" s="17"/>
      <c r="BB777" s="17"/>
      <c r="BC777" s="17"/>
      <c r="BD777" s="17"/>
      <c r="BE777" s="17"/>
      <c r="BF777" s="17"/>
      <c r="BG777" s="17"/>
      <c r="BH777" s="17"/>
      <c r="BI777" s="17"/>
      <c r="BJ777" s="17"/>
      <c r="BK777" s="17"/>
    </row>
    <row r="778" spans="53:63" x14ac:dyDescent="0.2">
      <c r="BA778" s="17"/>
      <c r="BB778" s="17"/>
      <c r="BC778" s="17"/>
      <c r="BD778" s="17"/>
      <c r="BE778" s="17"/>
      <c r="BF778" s="17"/>
      <c r="BG778" s="17"/>
      <c r="BH778" s="17"/>
      <c r="BI778" s="17"/>
      <c r="BJ778" s="17"/>
      <c r="BK778" s="17"/>
    </row>
    <row r="779" spans="53:63" x14ac:dyDescent="0.2">
      <c r="BA779" s="17"/>
      <c r="BB779" s="17"/>
      <c r="BC779" s="17"/>
      <c r="BD779" s="17"/>
      <c r="BE779" s="17"/>
      <c r="BF779" s="17"/>
      <c r="BG779" s="17"/>
      <c r="BH779" s="17"/>
      <c r="BI779" s="17"/>
      <c r="BJ779" s="17"/>
      <c r="BK779" s="17"/>
    </row>
    <row r="780" spans="53:63" x14ac:dyDescent="0.2">
      <c r="BA780" s="17"/>
      <c r="BB780" s="17"/>
      <c r="BC780" s="17"/>
      <c r="BD780" s="17"/>
      <c r="BE780" s="17"/>
      <c r="BF780" s="17"/>
      <c r="BG780" s="17"/>
      <c r="BH780" s="17"/>
      <c r="BI780" s="17"/>
      <c r="BJ780" s="17"/>
      <c r="BK780" s="17"/>
    </row>
    <row r="781" spans="53:63" x14ac:dyDescent="0.2">
      <c r="BA781" s="17"/>
      <c r="BB781" s="17"/>
      <c r="BC781" s="17"/>
      <c r="BD781" s="17"/>
      <c r="BE781" s="17"/>
      <c r="BF781" s="17"/>
      <c r="BG781" s="17"/>
      <c r="BH781" s="17"/>
      <c r="BI781" s="17"/>
      <c r="BJ781" s="17"/>
      <c r="BK781" s="17"/>
    </row>
    <row r="782" spans="53:63" x14ac:dyDescent="0.2">
      <c r="BA782" s="17"/>
      <c r="BB782" s="17"/>
      <c r="BC782" s="17"/>
      <c r="BD782" s="17"/>
      <c r="BE782" s="17"/>
      <c r="BF782" s="17"/>
      <c r="BG782" s="17"/>
      <c r="BH782" s="17"/>
      <c r="BI782" s="17"/>
      <c r="BJ782" s="17"/>
      <c r="BK782" s="17"/>
    </row>
    <row r="783" spans="53:63" x14ac:dyDescent="0.2">
      <c r="BA783" s="17"/>
      <c r="BB783" s="17"/>
      <c r="BC783" s="17"/>
      <c r="BD783" s="17"/>
      <c r="BE783" s="17"/>
      <c r="BF783" s="17"/>
      <c r="BG783" s="17"/>
      <c r="BH783" s="17"/>
      <c r="BI783" s="17"/>
      <c r="BJ783" s="17"/>
      <c r="BK783" s="17"/>
    </row>
    <row r="784" spans="53:63" x14ac:dyDescent="0.2">
      <c r="BA784" s="17"/>
      <c r="BB784" s="17"/>
      <c r="BC784" s="17"/>
      <c r="BD784" s="17"/>
      <c r="BE784" s="17"/>
      <c r="BF784" s="17"/>
      <c r="BG784" s="17"/>
      <c r="BH784" s="17"/>
      <c r="BI784" s="17"/>
      <c r="BJ784" s="17"/>
      <c r="BK784" s="17"/>
    </row>
    <row r="785" spans="53:63" x14ac:dyDescent="0.2">
      <c r="BA785" s="17"/>
      <c r="BB785" s="17"/>
      <c r="BC785" s="17"/>
      <c r="BD785" s="17"/>
      <c r="BE785" s="17"/>
      <c r="BF785" s="17"/>
      <c r="BG785" s="17"/>
      <c r="BH785" s="17"/>
      <c r="BI785" s="17"/>
      <c r="BJ785" s="17"/>
      <c r="BK785" s="17"/>
    </row>
    <row r="786" spans="53:63" x14ac:dyDescent="0.2">
      <c r="BA786" s="17"/>
      <c r="BB786" s="17"/>
      <c r="BC786" s="17"/>
      <c r="BD786" s="17"/>
      <c r="BE786" s="17"/>
      <c r="BF786" s="17"/>
      <c r="BG786" s="17"/>
      <c r="BH786" s="17"/>
      <c r="BI786" s="17"/>
      <c r="BJ786" s="17"/>
      <c r="BK786" s="17"/>
    </row>
    <row r="787" spans="53:63" x14ac:dyDescent="0.2">
      <c r="BA787" s="17"/>
      <c r="BB787" s="17"/>
      <c r="BC787" s="17"/>
      <c r="BD787" s="17"/>
      <c r="BE787" s="17"/>
      <c r="BF787" s="17"/>
      <c r="BG787" s="17"/>
      <c r="BH787" s="17"/>
      <c r="BI787" s="17"/>
      <c r="BJ787" s="17"/>
      <c r="BK787" s="17"/>
    </row>
    <row r="788" spans="53:63" x14ac:dyDescent="0.2">
      <c r="BA788" s="17"/>
      <c r="BB788" s="17"/>
      <c r="BC788" s="17"/>
      <c r="BD788" s="17"/>
      <c r="BE788" s="17"/>
      <c r="BF788" s="17"/>
      <c r="BG788" s="17"/>
      <c r="BH788" s="17"/>
      <c r="BI788" s="17"/>
      <c r="BJ788" s="17"/>
      <c r="BK788" s="17"/>
    </row>
    <row r="789" spans="53:63" x14ac:dyDescent="0.2">
      <c r="BA789" s="17"/>
      <c r="BB789" s="17"/>
      <c r="BC789" s="17"/>
      <c r="BD789" s="17"/>
      <c r="BE789" s="17"/>
      <c r="BF789" s="17"/>
      <c r="BG789" s="17"/>
      <c r="BH789" s="17"/>
      <c r="BI789" s="17"/>
      <c r="BJ789" s="17"/>
      <c r="BK789" s="17"/>
    </row>
    <row r="790" spans="53:63" x14ac:dyDescent="0.2">
      <c r="BA790" s="17"/>
      <c r="BB790" s="17"/>
      <c r="BC790" s="17"/>
      <c r="BD790" s="17"/>
      <c r="BE790" s="17"/>
      <c r="BF790" s="17"/>
      <c r="BG790" s="17"/>
      <c r="BH790" s="17"/>
      <c r="BI790" s="17"/>
      <c r="BJ790" s="17"/>
      <c r="BK790" s="17"/>
    </row>
    <row r="791" spans="53:63" x14ac:dyDescent="0.2">
      <c r="BA791" s="17"/>
      <c r="BB791" s="17"/>
      <c r="BC791" s="17"/>
      <c r="BD791" s="17"/>
      <c r="BE791" s="17"/>
      <c r="BF791" s="17"/>
      <c r="BG791" s="17"/>
      <c r="BH791" s="17"/>
      <c r="BI791" s="17"/>
      <c r="BJ791" s="17"/>
      <c r="BK791" s="17"/>
    </row>
    <row r="792" spans="53:63" x14ac:dyDescent="0.2">
      <c r="BA792" s="17"/>
      <c r="BB792" s="17"/>
      <c r="BC792" s="17"/>
      <c r="BD792" s="17"/>
      <c r="BE792" s="17"/>
      <c r="BF792" s="17"/>
      <c r="BG792" s="17"/>
      <c r="BH792" s="17"/>
      <c r="BI792" s="17"/>
      <c r="BJ792" s="17"/>
      <c r="BK792" s="17"/>
    </row>
    <row r="793" spans="53:63" x14ac:dyDescent="0.2">
      <c r="BA793" s="17"/>
      <c r="BB793" s="17"/>
      <c r="BC793" s="17"/>
      <c r="BD793" s="17"/>
      <c r="BE793" s="17"/>
      <c r="BF793" s="17"/>
      <c r="BG793" s="17"/>
      <c r="BH793" s="17"/>
      <c r="BI793" s="17"/>
      <c r="BJ793" s="17"/>
      <c r="BK793" s="17"/>
    </row>
    <row r="794" spans="53:63" x14ac:dyDescent="0.2">
      <c r="BA794" s="17"/>
      <c r="BB794" s="17"/>
      <c r="BC794" s="17"/>
      <c r="BD794" s="17"/>
      <c r="BE794" s="17"/>
      <c r="BF794" s="17"/>
      <c r="BG794" s="17"/>
      <c r="BH794" s="17"/>
      <c r="BI794" s="17"/>
      <c r="BJ794" s="17"/>
      <c r="BK794" s="17"/>
    </row>
    <row r="795" spans="53:63" x14ac:dyDescent="0.2">
      <c r="BA795" s="17"/>
      <c r="BB795" s="17"/>
      <c r="BC795" s="17"/>
      <c r="BD795" s="17"/>
      <c r="BE795" s="17"/>
      <c r="BF795" s="17"/>
      <c r="BG795" s="17"/>
      <c r="BH795" s="17"/>
      <c r="BI795" s="17"/>
      <c r="BJ795" s="17"/>
      <c r="BK795" s="17"/>
    </row>
    <row r="796" spans="53:63" x14ac:dyDescent="0.2">
      <c r="BA796" s="17"/>
      <c r="BB796" s="17"/>
      <c r="BC796" s="17"/>
      <c r="BD796" s="17"/>
      <c r="BE796" s="17"/>
      <c r="BF796" s="17"/>
      <c r="BG796" s="17"/>
      <c r="BH796" s="17"/>
      <c r="BI796" s="17"/>
      <c r="BJ796" s="17"/>
      <c r="BK796" s="17"/>
    </row>
    <row r="797" spans="53:63" x14ac:dyDescent="0.2">
      <c r="BA797" s="17"/>
      <c r="BB797" s="17"/>
      <c r="BC797" s="17"/>
      <c r="BD797" s="17"/>
      <c r="BE797" s="17"/>
      <c r="BF797" s="17"/>
      <c r="BG797" s="17"/>
      <c r="BH797" s="17"/>
      <c r="BI797" s="17"/>
      <c r="BJ797" s="17"/>
      <c r="BK797" s="17"/>
    </row>
    <row r="798" spans="53:63" x14ac:dyDescent="0.2">
      <c r="BA798" s="17"/>
      <c r="BB798" s="17"/>
      <c r="BC798" s="17"/>
      <c r="BD798" s="17"/>
      <c r="BE798" s="17"/>
      <c r="BF798" s="17"/>
      <c r="BG798" s="17"/>
      <c r="BH798" s="17"/>
      <c r="BI798" s="17"/>
      <c r="BJ798" s="17"/>
      <c r="BK798" s="17"/>
    </row>
    <row r="799" spans="53:63" x14ac:dyDescent="0.2">
      <c r="BA799" s="17"/>
      <c r="BB799" s="17"/>
      <c r="BC799" s="17"/>
      <c r="BD799" s="17"/>
      <c r="BE799" s="17"/>
      <c r="BF799" s="17"/>
      <c r="BG799" s="17"/>
      <c r="BH799" s="17"/>
      <c r="BI799" s="17"/>
      <c r="BJ799" s="17"/>
      <c r="BK799" s="17"/>
    </row>
    <row r="800" spans="53:63" x14ac:dyDescent="0.2">
      <c r="BA800" s="17"/>
      <c r="BB800" s="17"/>
      <c r="BC800" s="17"/>
      <c r="BD800" s="17"/>
      <c r="BE800" s="17"/>
      <c r="BF800" s="17"/>
      <c r="BG800" s="17"/>
      <c r="BH800" s="17"/>
      <c r="BI800" s="17"/>
      <c r="BJ800" s="17"/>
      <c r="BK800" s="17"/>
    </row>
    <row r="801" spans="53:63" x14ac:dyDescent="0.2">
      <c r="BA801" s="17"/>
      <c r="BB801" s="17"/>
      <c r="BC801" s="17"/>
      <c r="BD801" s="17"/>
      <c r="BE801" s="17"/>
      <c r="BF801" s="17"/>
      <c r="BG801" s="17"/>
      <c r="BH801" s="17"/>
      <c r="BI801" s="17"/>
      <c r="BJ801" s="17"/>
      <c r="BK801" s="17"/>
    </row>
    <row r="802" spans="53:63" x14ac:dyDescent="0.2">
      <c r="BA802" s="17"/>
      <c r="BB802" s="17"/>
      <c r="BC802" s="17"/>
      <c r="BD802" s="17"/>
      <c r="BE802" s="17"/>
      <c r="BF802" s="17"/>
      <c r="BG802" s="17"/>
      <c r="BH802" s="17"/>
      <c r="BI802" s="17"/>
      <c r="BJ802" s="17"/>
      <c r="BK802" s="17"/>
    </row>
    <row r="803" spans="53:63" x14ac:dyDescent="0.2">
      <c r="BA803" s="17"/>
      <c r="BB803" s="17"/>
      <c r="BC803" s="17"/>
      <c r="BD803" s="17"/>
      <c r="BE803" s="17"/>
      <c r="BF803" s="17"/>
      <c r="BG803" s="17"/>
      <c r="BH803" s="17"/>
      <c r="BI803" s="17"/>
      <c r="BJ803" s="17"/>
      <c r="BK803" s="17"/>
    </row>
    <row r="804" spans="53:63" x14ac:dyDescent="0.2">
      <c r="BA804" s="17"/>
      <c r="BB804" s="17"/>
      <c r="BC804" s="17"/>
      <c r="BD804" s="17"/>
      <c r="BE804" s="17"/>
      <c r="BF804" s="17"/>
      <c r="BG804" s="17"/>
      <c r="BH804" s="17"/>
      <c r="BI804" s="17"/>
      <c r="BJ804" s="17"/>
      <c r="BK804" s="17"/>
    </row>
    <row r="805" spans="53:63" x14ac:dyDescent="0.2">
      <c r="BA805" s="17"/>
      <c r="BB805" s="17"/>
      <c r="BC805" s="17"/>
      <c r="BD805" s="17"/>
      <c r="BE805" s="17"/>
      <c r="BF805" s="17"/>
      <c r="BG805" s="17"/>
      <c r="BH805" s="17"/>
      <c r="BI805" s="17"/>
      <c r="BJ805" s="17"/>
      <c r="BK805" s="17"/>
    </row>
    <row r="806" spans="53:63" x14ac:dyDescent="0.2">
      <c r="BA806" s="17"/>
      <c r="BB806" s="17"/>
      <c r="BC806" s="17"/>
      <c r="BD806" s="17"/>
      <c r="BE806" s="17"/>
      <c r="BF806" s="17"/>
      <c r="BG806" s="17"/>
      <c r="BH806" s="17"/>
      <c r="BI806" s="17"/>
      <c r="BJ806" s="17"/>
      <c r="BK806" s="17"/>
    </row>
    <row r="807" spans="53:63" x14ac:dyDescent="0.2">
      <c r="BA807" s="17"/>
      <c r="BB807" s="17"/>
      <c r="BC807" s="17"/>
      <c r="BD807" s="17"/>
      <c r="BE807" s="17"/>
      <c r="BF807" s="17"/>
      <c r="BG807" s="17"/>
      <c r="BH807" s="17"/>
      <c r="BI807" s="17"/>
      <c r="BJ807" s="17"/>
      <c r="BK807" s="17"/>
    </row>
    <row r="808" spans="53:63" x14ac:dyDescent="0.2">
      <c r="BA808" s="17"/>
      <c r="BB808" s="17"/>
      <c r="BC808" s="17"/>
      <c r="BD808" s="17"/>
      <c r="BE808" s="17"/>
      <c r="BF808" s="17"/>
      <c r="BG808" s="17"/>
      <c r="BH808" s="17"/>
      <c r="BI808" s="17"/>
      <c r="BJ808" s="17"/>
      <c r="BK808" s="17"/>
    </row>
    <row r="809" spans="53:63" x14ac:dyDescent="0.2">
      <c r="BA809" s="17"/>
      <c r="BB809" s="17"/>
      <c r="BC809" s="17"/>
      <c r="BD809" s="17"/>
      <c r="BE809" s="17"/>
      <c r="BF809" s="17"/>
      <c r="BG809" s="17"/>
      <c r="BH809" s="17"/>
      <c r="BI809" s="17"/>
      <c r="BJ809" s="17"/>
      <c r="BK809" s="17"/>
    </row>
    <row r="810" spans="53:63" x14ac:dyDescent="0.2">
      <c r="BA810" s="17"/>
      <c r="BB810" s="17"/>
      <c r="BC810" s="17"/>
      <c r="BD810" s="17"/>
      <c r="BE810" s="17"/>
      <c r="BF810" s="17"/>
      <c r="BG810" s="17"/>
      <c r="BH810" s="17"/>
      <c r="BI810" s="17"/>
      <c r="BJ810" s="17"/>
      <c r="BK810" s="17"/>
    </row>
    <row r="811" spans="53:63" x14ac:dyDescent="0.2">
      <c r="BA811" s="17"/>
      <c r="BB811" s="17"/>
      <c r="BC811" s="17"/>
      <c r="BD811" s="17"/>
      <c r="BE811" s="17"/>
      <c r="BF811" s="17"/>
      <c r="BG811" s="17"/>
      <c r="BH811" s="17"/>
      <c r="BI811" s="17"/>
      <c r="BJ811" s="17"/>
      <c r="BK811" s="17"/>
    </row>
    <row r="812" spans="53:63" x14ac:dyDescent="0.2">
      <c r="BA812" s="17"/>
      <c r="BB812" s="17"/>
      <c r="BC812" s="17"/>
      <c r="BD812" s="17"/>
      <c r="BE812" s="17"/>
      <c r="BF812" s="17"/>
      <c r="BG812" s="17"/>
      <c r="BH812" s="17"/>
      <c r="BI812" s="17"/>
      <c r="BJ812" s="17"/>
      <c r="BK812" s="17"/>
    </row>
    <row r="813" spans="53:63" x14ac:dyDescent="0.2">
      <c r="BA813" s="17"/>
      <c r="BB813" s="17"/>
      <c r="BC813" s="17"/>
      <c r="BD813" s="17"/>
      <c r="BE813" s="17"/>
      <c r="BF813" s="17"/>
      <c r="BG813" s="17"/>
      <c r="BH813" s="17"/>
      <c r="BI813" s="17"/>
      <c r="BJ813" s="17"/>
      <c r="BK813" s="17"/>
    </row>
    <row r="814" spans="53:63" x14ac:dyDescent="0.2">
      <c r="BA814" s="17"/>
      <c r="BB814" s="17"/>
      <c r="BC814" s="17"/>
      <c r="BD814" s="17"/>
      <c r="BE814" s="17"/>
      <c r="BF814" s="17"/>
      <c r="BG814" s="17"/>
      <c r="BH814" s="17"/>
      <c r="BI814" s="17"/>
      <c r="BJ814" s="17"/>
      <c r="BK814" s="17"/>
    </row>
    <row r="815" spans="53:63" x14ac:dyDescent="0.2">
      <c r="BA815" s="17"/>
      <c r="BB815" s="17"/>
      <c r="BC815" s="17"/>
      <c r="BD815" s="17"/>
      <c r="BE815" s="17"/>
      <c r="BF815" s="17"/>
      <c r="BG815" s="17"/>
      <c r="BH815" s="17"/>
      <c r="BI815" s="17"/>
      <c r="BJ815" s="17"/>
      <c r="BK815" s="17"/>
    </row>
    <row r="816" spans="53:63" x14ac:dyDescent="0.2">
      <c r="BA816" s="17"/>
      <c r="BB816" s="17"/>
      <c r="BC816" s="17"/>
      <c r="BD816" s="17"/>
      <c r="BE816" s="17"/>
      <c r="BF816" s="17"/>
      <c r="BG816" s="17"/>
      <c r="BH816" s="17"/>
      <c r="BI816" s="17"/>
      <c r="BJ816" s="17"/>
      <c r="BK816" s="17"/>
    </row>
    <row r="817" spans="53:63" x14ac:dyDescent="0.2">
      <c r="BA817" s="17"/>
      <c r="BB817" s="17"/>
      <c r="BC817" s="17"/>
      <c r="BD817" s="17"/>
      <c r="BE817" s="17"/>
      <c r="BF817" s="17"/>
      <c r="BG817" s="17"/>
      <c r="BH817" s="17"/>
      <c r="BI817" s="17"/>
      <c r="BJ817" s="17"/>
      <c r="BK817" s="17"/>
    </row>
    <row r="818" spans="53:63" x14ac:dyDescent="0.2">
      <c r="BA818" s="17"/>
      <c r="BB818" s="17"/>
      <c r="BC818" s="17"/>
      <c r="BD818" s="17"/>
      <c r="BE818" s="17"/>
      <c r="BF818" s="17"/>
      <c r="BG818" s="17"/>
      <c r="BH818" s="17"/>
      <c r="BI818" s="17"/>
      <c r="BJ818" s="17"/>
      <c r="BK818" s="17"/>
    </row>
    <row r="819" spans="53:63" x14ac:dyDescent="0.2">
      <c r="BA819" s="17"/>
      <c r="BB819" s="17"/>
      <c r="BC819" s="17"/>
      <c r="BD819" s="17"/>
      <c r="BE819" s="17"/>
      <c r="BF819" s="17"/>
      <c r="BG819" s="17"/>
      <c r="BH819" s="17"/>
      <c r="BI819" s="17"/>
      <c r="BJ819" s="17"/>
      <c r="BK819" s="17"/>
    </row>
    <row r="820" spans="53:63" x14ac:dyDescent="0.2">
      <c r="BA820" s="17"/>
      <c r="BB820" s="17"/>
      <c r="BC820" s="17"/>
      <c r="BD820" s="17"/>
      <c r="BE820" s="17"/>
      <c r="BF820" s="17"/>
      <c r="BG820" s="17"/>
      <c r="BH820" s="17"/>
      <c r="BI820" s="17"/>
      <c r="BJ820" s="17"/>
      <c r="BK820" s="17"/>
    </row>
    <row r="821" spans="53:63" x14ac:dyDescent="0.2">
      <c r="BA821" s="17"/>
      <c r="BB821" s="17"/>
      <c r="BC821" s="17"/>
      <c r="BD821" s="17"/>
      <c r="BE821" s="17"/>
      <c r="BF821" s="17"/>
      <c r="BG821" s="17"/>
      <c r="BH821" s="17"/>
      <c r="BI821" s="17"/>
      <c r="BJ821" s="17"/>
      <c r="BK821" s="17"/>
    </row>
    <row r="822" spans="53:63" x14ac:dyDescent="0.2">
      <c r="BA822" s="17"/>
      <c r="BB822" s="17"/>
      <c r="BC822" s="17"/>
      <c r="BD822" s="17"/>
      <c r="BE822" s="17"/>
      <c r="BF822" s="17"/>
      <c r="BG822" s="17"/>
      <c r="BH822" s="17"/>
      <c r="BI822" s="17"/>
      <c r="BJ822" s="17"/>
      <c r="BK822" s="17"/>
    </row>
    <row r="823" spans="53:63" x14ac:dyDescent="0.2">
      <c r="BA823" s="17"/>
      <c r="BB823" s="17"/>
      <c r="BC823" s="17"/>
      <c r="BD823" s="17"/>
      <c r="BE823" s="17"/>
      <c r="BF823" s="17"/>
      <c r="BG823" s="17"/>
      <c r="BH823" s="17"/>
      <c r="BI823" s="17"/>
      <c r="BJ823" s="17"/>
      <c r="BK823" s="17"/>
    </row>
    <row r="824" spans="53:63" x14ac:dyDescent="0.2">
      <c r="BA824" s="17"/>
      <c r="BB824" s="17"/>
      <c r="BC824" s="17"/>
      <c r="BD824" s="17"/>
      <c r="BE824" s="17"/>
      <c r="BF824" s="17"/>
      <c r="BG824" s="17"/>
      <c r="BH824" s="17"/>
      <c r="BI824" s="17"/>
      <c r="BJ824" s="17"/>
      <c r="BK824" s="17"/>
    </row>
    <row r="825" spans="53:63" x14ac:dyDescent="0.2">
      <c r="BA825" s="17"/>
      <c r="BB825" s="17"/>
      <c r="BC825" s="17"/>
      <c r="BD825" s="17"/>
      <c r="BE825" s="17"/>
      <c r="BF825" s="17"/>
      <c r="BG825" s="17"/>
      <c r="BH825" s="17"/>
      <c r="BI825" s="17"/>
      <c r="BJ825" s="17"/>
      <c r="BK825" s="17"/>
    </row>
    <row r="826" spans="53:63" x14ac:dyDescent="0.2">
      <c r="BA826" s="17"/>
      <c r="BB826" s="17"/>
      <c r="BC826" s="17"/>
      <c r="BD826" s="17"/>
      <c r="BE826" s="17"/>
      <c r="BF826" s="17"/>
      <c r="BG826" s="17"/>
      <c r="BH826" s="17"/>
      <c r="BI826" s="17"/>
      <c r="BJ826" s="17"/>
      <c r="BK826" s="17"/>
    </row>
    <row r="827" spans="53:63" x14ac:dyDescent="0.2">
      <c r="BA827" s="17"/>
      <c r="BB827" s="17"/>
      <c r="BC827" s="17"/>
      <c r="BD827" s="17"/>
      <c r="BE827" s="17"/>
      <c r="BF827" s="17"/>
      <c r="BG827" s="17"/>
      <c r="BH827" s="17"/>
      <c r="BI827" s="17"/>
      <c r="BJ827" s="17"/>
      <c r="BK827" s="17"/>
    </row>
    <row r="828" spans="53:63" x14ac:dyDescent="0.2">
      <c r="BA828" s="17"/>
      <c r="BB828" s="17"/>
      <c r="BC828" s="17"/>
      <c r="BD828" s="17"/>
      <c r="BE828" s="17"/>
      <c r="BF828" s="17"/>
      <c r="BG828" s="17"/>
      <c r="BH828" s="17"/>
      <c r="BI828" s="17"/>
      <c r="BJ828" s="17"/>
      <c r="BK828" s="17"/>
    </row>
    <row r="829" spans="53:63" x14ac:dyDescent="0.2">
      <c r="BA829" s="17"/>
      <c r="BB829" s="17"/>
      <c r="BC829" s="17"/>
      <c r="BD829" s="17"/>
      <c r="BE829" s="17"/>
      <c r="BF829" s="17"/>
      <c r="BG829" s="17"/>
      <c r="BH829" s="17"/>
      <c r="BI829" s="17"/>
      <c r="BJ829" s="17"/>
      <c r="BK829" s="17"/>
    </row>
    <row r="830" spans="53:63" x14ac:dyDescent="0.2">
      <c r="BA830" s="17"/>
      <c r="BB830" s="17"/>
      <c r="BC830" s="17"/>
      <c r="BD830" s="17"/>
      <c r="BE830" s="17"/>
      <c r="BF830" s="17"/>
      <c r="BG830" s="17"/>
      <c r="BH830" s="17"/>
      <c r="BI830" s="17"/>
      <c r="BJ830" s="17"/>
      <c r="BK830" s="17"/>
    </row>
  </sheetData>
  <mergeCells count="75">
    <mergeCell ref="T29:V29"/>
    <mergeCell ref="G74:I74"/>
    <mergeCell ref="G76:I76"/>
    <mergeCell ref="G65:I65"/>
    <mergeCell ref="G56:I56"/>
    <mergeCell ref="G57:I57"/>
    <mergeCell ref="G60:I60"/>
    <mergeCell ref="G61:I61"/>
    <mergeCell ref="G43:I43"/>
    <mergeCell ref="G55:I55"/>
    <mergeCell ref="G59:I59"/>
    <mergeCell ref="G69:I69"/>
    <mergeCell ref="G70:I70"/>
    <mergeCell ref="G72:I72"/>
    <mergeCell ref="G38:I38"/>
    <mergeCell ref="G39:I39"/>
    <mergeCell ref="G51:I51"/>
    <mergeCell ref="G52:I52"/>
    <mergeCell ref="G53:I53"/>
    <mergeCell ref="G44:I44"/>
    <mergeCell ref="G40:I40"/>
    <mergeCell ref="G41:I41"/>
    <mergeCell ref="G42:I42"/>
    <mergeCell ref="G45:I45"/>
    <mergeCell ref="G46:I46"/>
    <mergeCell ref="G47:I47"/>
    <mergeCell ref="G48:I48"/>
    <mergeCell ref="G102:I102"/>
    <mergeCell ref="G99:I99"/>
    <mergeCell ref="G80:I80"/>
    <mergeCell ref="G78:I78"/>
    <mergeCell ref="G82:I82"/>
    <mergeCell ref="G84:I84"/>
    <mergeCell ref="G86:I86"/>
    <mergeCell ref="G88:I88"/>
    <mergeCell ref="G90:I90"/>
    <mergeCell ref="G92:I92"/>
    <mergeCell ref="G94:I94"/>
    <mergeCell ref="G96:I96"/>
    <mergeCell ref="G100:I100"/>
    <mergeCell ref="G101:I101"/>
    <mergeCell ref="J116:L116"/>
    <mergeCell ref="O116:Q116"/>
    <mergeCell ref="T116:V116"/>
    <mergeCell ref="G110:I110"/>
    <mergeCell ref="G111:I111"/>
    <mergeCell ref="G103:I103"/>
    <mergeCell ref="G105:I105"/>
    <mergeCell ref="G106:I106"/>
    <mergeCell ref="G107:I107"/>
    <mergeCell ref="G108:I108"/>
    <mergeCell ref="G109:I109"/>
    <mergeCell ref="Y116:AA116"/>
    <mergeCell ref="AD116:AF116"/>
    <mergeCell ref="G6:I6"/>
    <mergeCell ref="G8:I8"/>
    <mergeCell ref="G10:I10"/>
    <mergeCell ref="G14:I14"/>
    <mergeCell ref="G17:I17"/>
    <mergeCell ref="G11:I11"/>
    <mergeCell ref="G12:I12"/>
    <mergeCell ref="G34:I34"/>
    <mergeCell ref="G63:I63"/>
    <mergeCell ref="G67:I67"/>
    <mergeCell ref="G18:I18"/>
    <mergeCell ref="G19:I19"/>
    <mergeCell ref="G21:I21"/>
    <mergeCell ref="G24:I24"/>
    <mergeCell ref="G25:I25"/>
    <mergeCell ref="G32:I32"/>
    <mergeCell ref="G35:I35"/>
    <mergeCell ref="G37:I37"/>
    <mergeCell ref="G26:I26"/>
    <mergeCell ref="G27:I27"/>
    <mergeCell ref="G30:I30"/>
  </mergeCells>
  <dataValidations count="19">
    <dataValidation type="list" allowBlank="1" showInputMessage="1" showErrorMessage="1" sqref="G6:I6" xr:uid="{00000000-0002-0000-0200-000000000000}">
      <formula1>List_pop</formula1>
      <formula2>0</formula2>
    </dataValidation>
    <dataValidation type="list" allowBlank="1" showInputMessage="1" showErrorMessage="1" sqref="G30:I31" xr:uid="{00000000-0002-0000-0200-000001000000}">
      <formula1>List_analyses</formula1>
      <formula2>0</formula2>
    </dataValidation>
    <dataValidation type="list" allowBlank="1" showInputMessage="1" showErrorMessage="1" sqref="G44:I44" xr:uid="{1FEE05AA-AAE0-4EE8-BB78-5E1141223370}">
      <formula1>List_adj_cross_curves</formula1>
    </dataValidation>
    <dataValidation type="list" allowBlank="1" showInputMessage="1" showErrorMessage="1" sqref="G32:I32" xr:uid="{48FF843D-1342-45EF-AD2B-2E20FDB55DC1}">
      <formula1>List_model_structures</formula1>
    </dataValidation>
    <dataValidation type="list" allowBlank="1" showInputMessage="1" showErrorMessage="1" sqref="G37:I37 G44:I44" xr:uid="{98ACCD5F-0A1F-43B6-AB28-0C176A1EB095}">
      <formula1>source_pc</formula1>
    </dataValidation>
    <dataValidation type="list" allowBlank="1" showInputMessage="1" showErrorMessage="1" sqref="G76:I76 J118:J131 O118:O131 T118:T131 AD118:AD131 Y118:Y131 Y167:Y180 J151:J164 T151:T164 AD135:AD148 O167:O180 T167:T180 J167:J180 O135:O148 AD151:AD164 Y151:Y164 J135:J148 T135:T148 O151:O164 AD167:AD180 G74:I74 G105:I111 G65:I65 G51:I56 Y135:Y148 G78:I78 G39:I39 H58:I62 G58:G61 G84:I84 G86:I86 G92:I92 G94:I94 G96:I96 G45:I45 T35 T40 V45 V47 V49 V52 V57 V59" xr:uid="{6114DCB3-C6C0-47F6-A0A0-D14F427322FA}">
      <formula1>List_YesorNo</formula1>
    </dataValidation>
    <dataValidation type="list" allowBlank="1" showInputMessage="1" showErrorMessage="1" sqref="P167:P179 P118:P130 U135:U147 U151:U163 U118:U130 Z118:Z130 Z135:Z147 Z151:Z163 U167:U179 K135:K147 K151:K163 K167:K179 K118:K130 P135:P147 P151:P163 Z167:Z179" xr:uid="{93588E1C-06B6-4A9E-BF3B-C54B1F7DBBB3}">
      <formula1>apply_waning_to</formula1>
    </dataValidation>
    <dataValidation type="list" allowBlank="1" showInputMessage="1" showErrorMessage="1" sqref="G63:I63 G66:I66" xr:uid="{C6BEACFC-6A19-4533-9F14-612D7D823623}">
      <formula1>List_age_sex_source</formula1>
    </dataValidation>
    <dataValidation type="list" allowBlank="1" showInputMessage="1" showErrorMessage="1" sqref="G67:I67" xr:uid="{FA1C6B0C-9F9B-4A21-AA36-DADBC146C91D}">
      <formula1>List_no_of_admin_option</formula1>
    </dataValidation>
    <dataValidation type="list" allowBlank="1" showInputMessage="1" showErrorMessage="1" sqref="G72:I72" xr:uid="{90DDFAAD-F12A-435A-BB5B-6460D7C58AE4}">
      <formula1>List_price_options</formula1>
    </dataValidation>
    <dataValidation type="list" allowBlank="1" showInputMessage="1" showErrorMessage="1" sqref="G80:I80" xr:uid="{43C04F47-5DD2-4ABD-BBFD-1C51C57B8EF2}">
      <formula1>List_surv_cur</formula1>
    </dataValidation>
    <dataValidation type="list" allowBlank="1" showInputMessage="1" showErrorMessage="1" sqref="G82:I82" xr:uid="{2FDA1CD3-A1C9-40FB-8229-288315FEA066}">
      <formula1>List_eff_inputs_based_on</formula1>
    </dataValidation>
    <dataValidation type="whole" allowBlank="1" showInputMessage="1" showErrorMessage="1" sqref="G34:I34" xr:uid="{42FC35ED-8396-45E0-B5F3-49E4C5733053}">
      <formula1>2</formula1>
      <formula2>4</formula2>
    </dataValidation>
    <dataValidation type="whole" operator="lessThanOrEqual" allowBlank="1" showInputMessage="1" showErrorMessage="1" sqref="G8:I8" xr:uid="{9DEF8034-9A6D-4134-99A4-0553801F47DD}">
      <formula1>40</formula1>
    </dataValidation>
    <dataValidation type="list" allowBlank="1" showInputMessage="1" showErrorMessage="1" sqref="T29" xr:uid="{67A0C7C4-1A80-42B0-A1B2-C3E4B4EB24D0}">
      <formula1>"Yes,No"</formula1>
    </dataValidation>
    <dataValidation type="list" allowBlank="1" showInputMessage="1" showErrorMessage="1" sqref="G43:I43" xr:uid="{B299A986-C762-4265-8728-D755366D9419}">
      <formula1>"TTNT,PFS"</formula1>
    </dataValidation>
    <dataValidation type="list" allowBlank="1" showInputMessage="1" showErrorMessage="1" sqref="T32" xr:uid="{5A92A917-BD79-4603-902F-46CD87A17457}">
      <formula1>List_RDI_new_bc</formula1>
    </dataValidation>
    <dataValidation type="list" allowBlank="1" showInputMessage="1" showErrorMessage="1" sqref="T38" xr:uid="{7468CD79-5254-45EF-8AAB-04E1235FE221}">
      <formula1>"TA858 and RDI, NHSE"</formula1>
    </dataValidation>
    <dataValidation type="list" allowBlank="1" showInputMessage="1" showErrorMessage="1" sqref="G47:I47" xr:uid="{DC3DF4AA-BDB5-4E92-9E35-2E0F17956291}">
      <formula1>"None,2L only,2L plus active,2L plus all"</formula1>
    </dataValidation>
  </dataValidations>
  <hyperlinks>
    <hyperlink ref="D2" location="'Navigation control'!A1" display="Navigation control" xr:uid="{00000000-0004-0000-0200-000000000000}"/>
  </hyperlinks>
  <pageMargins left="0.7" right="0.7" top="0.75" bottom="0.75" header="0.511811023622047" footer="0.511811023622047"/>
  <pageSetup orientation="portrait" horizontalDpi="300" verticalDpi="3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49F1541-C415-4F46-9D85-3EFC16726FBC}">
          <x14:formula1>
            <xm:f>Lists!$H$11:$H$12</xm:f>
          </x14:formula1>
          <x14:formula2>
            <xm:f>0</xm:f>
          </x14:formula2>
          <xm:sqref>G35:G37 G39 G42 G44:G45</xm:sqref>
        </x14:dataValidation>
        <x14:dataValidation type="list" allowBlank="1" showInputMessage="1" showErrorMessage="1" xr:uid="{3DD58619-98FA-4EE5-AB23-8975E58CF5ED}">
          <x14:formula1>
            <xm:f>INDIRECT(Lists!$W$9)</xm:f>
          </x14:formula1>
          <xm:sqref>G38:I39 G44:I45</xm:sqref>
        </x14:dataValidation>
        <x14:dataValidation type="list" allowBlank="1" showInputMessage="1" showErrorMessage="1" xr:uid="{F00177C7-DB8A-4E86-A203-BC0B8C66500C}">
          <x14:formula1>
            <xm:f>Lists!$K$51:$K$63</xm:f>
          </x14:formula1>
          <xm:sqref>G100:I103</xm:sqref>
        </x14:dataValidation>
        <x14:dataValidation type="list" allowBlank="1" showInputMessage="1" showErrorMessage="1" xr:uid="{FCDDF5E2-2D8F-40E2-ACF9-42B89508D707}">
          <x14:formula1>
            <xm:f>Lists!$W$11:$W$12</xm:f>
          </x14:formula1>
          <xm:sqref>G40:I41</xm:sqref>
        </x14:dataValidation>
        <x14:dataValidation type="list" allowBlank="1" showInputMessage="1" showErrorMessage="1" xr:uid="{896551C6-C2AA-4997-9395-C1FC2B028553}">
          <x14:formula1>
            <xm:f>'Scenario controls'!$C$9:$C$98</xm:f>
          </x14:formula1>
          <xm:sqref>G90:I90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5F99CA"/>
  </sheetPr>
  <dimension ref="B1:BU101"/>
  <sheetViews>
    <sheetView showGridLines="0" zoomScale="80" zoomScaleNormal="80" workbookViewId="0">
      <pane ySplit="3" topLeftCell="A6" activePane="bottomLeft" state="frozen"/>
      <selection pane="bottomLeft" activeCell="K5" sqref="K5"/>
    </sheetView>
  </sheetViews>
  <sheetFormatPr defaultColWidth="8.7109375" defaultRowHeight="15" x14ac:dyDescent="0.2"/>
  <cols>
    <col min="1" max="2" width="8.7109375" style="6"/>
    <col min="3" max="3" width="8.7109375" style="16"/>
    <col min="4" max="4" width="16.28515625" style="6" customWidth="1"/>
    <col min="5" max="10" width="8.7109375" style="6"/>
    <col min="11" max="14" width="15.42578125" style="6" customWidth="1"/>
    <col min="15" max="15" width="3.28515625" style="6" customWidth="1"/>
    <col min="16" max="17" width="14.5703125" style="6" customWidth="1"/>
    <col min="18" max="18" width="3.28515625" style="6" customWidth="1"/>
    <col min="19" max="20" width="13.7109375" style="6" customWidth="1"/>
    <col min="21" max="21" width="2.7109375" style="6" customWidth="1"/>
    <col min="22" max="23" width="13.7109375" style="6" customWidth="1"/>
    <col min="24" max="24" width="4.5703125" style="6" customWidth="1"/>
    <col min="25" max="54" width="8.7109375" style="6"/>
    <col min="55" max="55" width="23.5703125" style="6" bestFit="1" customWidth="1"/>
    <col min="56" max="56" width="17.28515625" style="6" customWidth="1"/>
    <col min="57" max="57" width="22.42578125" style="6" customWidth="1"/>
    <col min="58" max="58" width="22.7109375" style="6" customWidth="1"/>
    <col min="59" max="59" width="21.28515625" style="6" customWidth="1"/>
    <col min="60" max="60" width="19.5703125" style="6" customWidth="1"/>
    <col min="61" max="62" width="25.28515625" style="6" customWidth="1"/>
    <col min="63" max="63" width="21.5703125" style="6" customWidth="1"/>
    <col min="64" max="65" width="23.28515625" style="6" customWidth="1"/>
    <col min="66" max="66" width="24.28515625" style="6" customWidth="1"/>
    <col min="67" max="67" width="27.5703125" style="6" customWidth="1"/>
    <col min="68" max="71" width="23.5703125" style="6" customWidth="1"/>
    <col min="72" max="72" width="29.28515625" style="6" customWidth="1"/>
    <col min="73" max="16384" width="8.7109375" style="6"/>
  </cols>
  <sheetData>
    <row r="1" spans="2:73" s="37" customFormat="1" x14ac:dyDescent="0.2"/>
    <row r="2" spans="2:73" s="41" customFormat="1" ht="18" x14ac:dyDescent="0.25">
      <c r="B2" s="38"/>
      <c r="C2" s="39"/>
      <c r="D2" s="40" t="s">
        <v>11</v>
      </c>
      <c r="E2" s="39"/>
      <c r="F2" s="39"/>
      <c r="G2" s="38"/>
      <c r="H2" s="39"/>
      <c r="I2" s="39"/>
      <c r="J2" s="38"/>
      <c r="K2" s="39"/>
      <c r="L2" s="39"/>
      <c r="M2" s="39"/>
      <c r="N2" s="39"/>
      <c r="O2" s="38"/>
      <c r="P2" s="39"/>
      <c r="Q2" s="38"/>
      <c r="R2" s="38"/>
      <c r="S2" s="39"/>
      <c r="T2" s="39"/>
      <c r="U2" s="38"/>
      <c r="V2" s="39"/>
    </row>
    <row r="3" spans="2:73" s="41" customFormat="1" ht="15.75" x14ac:dyDescent="0.25"/>
    <row r="4" spans="2:73" ht="16.5" thickBot="1" x14ac:dyDescent="0.3">
      <c r="K4" s="1496" t="s">
        <v>151</v>
      </c>
      <c r="L4" s="1496"/>
      <c r="M4" s="1496"/>
      <c r="N4" s="1496"/>
      <c r="P4" s="1496" t="s">
        <v>152</v>
      </c>
      <c r="Q4" s="1496"/>
      <c r="S4" s="1496" t="s">
        <v>153</v>
      </c>
      <c r="T4" s="1496"/>
      <c r="V4" s="1496" t="s">
        <v>154</v>
      </c>
      <c r="W4" s="1496"/>
    </row>
    <row r="5" spans="2:73" ht="15.75" x14ac:dyDescent="0.25">
      <c r="D5" s="12" t="s">
        <v>155</v>
      </c>
      <c r="K5" s="495" t="s">
        <v>61</v>
      </c>
      <c r="L5" s="419">
        <f>MATCH(K5,source_pc,0)</f>
        <v>2</v>
      </c>
      <c r="M5" s="560" t="s">
        <v>156</v>
      </c>
    </row>
    <row r="6" spans="2:73" ht="30.75" x14ac:dyDescent="0.25">
      <c r="D6" s="12" t="s">
        <v>157</v>
      </c>
      <c r="K6" s="1" t="s">
        <v>158</v>
      </c>
      <c r="L6" s="1" t="s">
        <v>159</v>
      </c>
      <c r="M6" s="1" t="s">
        <v>160</v>
      </c>
      <c r="N6" s="1" t="s">
        <v>161</v>
      </c>
      <c r="P6" s="1" t="s">
        <v>158</v>
      </c>
      <c r="Q6" s="1" t="s">
        <v>161</v>
      </c>
      <c r="S6" s="1" t="s">
        <v>158</v>
      </c>
      <c r="T6" s="1" t="s">
        <v>161</v>
      </c>
      <c r="V6" s="1" t="s">
        <v>158</v>
      </c>
      <c r="W6" s="1" t="s">
        <v>161</v>
      </c>
      <c r="Z6" s="6" t="s">
        <v>162</v>
      </c>
      <c r="BC6" s="17" t="s">
        <v>30</v>
      </c>
      <c r="BD6" s="17" t="s">
        <v>129</v>
      </c>
      <c r="BE6" s="18" t="s">
        <v>163</v>
      </c>
      <c r="BF6" s="18" t="s">
        <v>164</v>
      </c>
      <c r="BG6" s="18" t="s">
        <v>165</v>
      </c>
      <c r="BH6" s="18" t="s">
        <v>166</v>
      </c>
      <c r="BI6" s="18" t="s">
        <v>167</v>
      </c>
      <c r="BJ6" s="18" t="s">
        <v>168</v>
      </c>
      <c r="BK6" s="18" t="s">
        <v>169</v>
      </c>
      <c r="BL6" s="18" t="s">
        <v>170</v>
      </c>
      <c r="BM6" s="18" t="s">
        <v>171</v>
      </c>
      <c r="BN6" s="44" t="s">
        <v>172</v>
      </c>
      <c r="BO6" s="18" t="s">
        <v>173</v>
      </c>
      <c r="BP6" s="18" t="s">
        <v>174</v>
      </c>
      <c r="BQ6" s="18" t="s">
        <v>175</v>
      </c>
      <c r="BR6" s="18" t="s">
        <v>176</v>
      </c>
      <c r="BS6" s="18" t="s">
        <v>177</v>
      </c>
      <c r="BT6" s="45" t="s">
        <v>178</v>
      </c>
      <c r="BU6" s="47"/>
    </row>
    <row r="7" spans="2:73" x14ac:dyDescent="0.2">
      <c r="C7" s="16">
        <v>1</v>
      </c>
      <c r="D7" s="14" t="str">
        <f t="array" ref="D7">INDEX(Lists!$D$11:$D$13,$C$7)</f>
        <v>All</v>
      </c>
      <c r="H7" s="1497"/>
      <c r="I7" s="1497"/>
      <c r="J7" s="1497"/>
      <c r="K7" s="1092">
        <f>CHOOSE(source_pc_num,60.9,64.4)</f>
        <v>64.400000000000006</v>
      </c>
      <c r="L7" s="1145">
        <f>CHOOSE(source_pc_num,10.4,10.22)</f>
        <v>10.220000000000001</v>
      </c>
      <c r="M7" s="1145">
        <f>CHOOSE(source_pc_num,651,1311)</f>
        <v>1311</v>
      </c>
      <c r="N7" s="512">
        <f>CHOOSE(source_pc_num,L7/SQRT(M7),0.285628398)</f>
        <v>0.28562839800000001</v>
      </c>
      <c r="P7" s="512">
        <f>CHOOSE(source_pc_num,62,63.04)</f>
        <v>63.04</v>
      </c>
      <c r="Q7" s="512">
        <f>CHOOSE(source_pc_num,i_SE_util*P7,0.4186)</f>
        <v>0.41860000000000003</v>
      </c>
      <c r="S7" s="512">
        <f>CHOOSE(source_pc_num,P7,62.62)</f>
        <v>62.62</v>
      </c>
      <c r="T7" s="512">
        <f>CHOOSE(source_pc_num,i_SE_util*S7,0.72887)</f>
        <v>0.72887000000000002</v>
      </c>
      <c r="V7" s="512">
        <f>CHOOSE(source_pc_num,P7,62.37)</f>
        <v>62.37</v>
      </c>
      <c r="W7" s="512">
        <f>CHOOSE(source_pc_num,i_SE_util*V7,1.24985)</f>
        <v>1.2498499999999999</v>
      </c>
      <c r="Z7" s="6" t="s">
        <v>179</v>
      </c>
      <c r="BC7" s="17" t="str" cm="1">
        <f t="array" ref="BC7:BC9">List_pop</f>
        <v>All</v>
      </c>
      <c r="BD7" s="17">
        <v>1</v>
      </c>
      <c r="BE7" s="25">
        <f>K7</f>
        <v>64.400000000000006</v>
      </c>
      <c r="BF7" s="502">
        <f>K12</f>
        <v>0.29037149355572406</v>
      </c>
      <c r="BG7" s="502">
        <f>K17</f>
        <v>0.77557251908396951</v>
      </c>
      <c r="BH7" s="25">
        <f>K22</f>
        <v>83.38</v>
      </c>
      <c r="BI7" s="502">
        <f>K27</f>
        <v>0</v>
      </c>
      <c r="BJ7" s="17">
        <f>M7</f>
        <v>1311</v>
      </c>
      <c r="BK7" s="17">
        <f>M12</f>
        <v>1319</v>
      </c>
      <c r="BL7" s="17">
        <f>M17</f>
        <v>1310</v>
      </c>
      <c r="BM7" s="17">
        <f>M22</f>
        <v>114</v>
      </c>
      <c r="BN7" s="17">
        <f>M17</f>
        <v>1310</v>
      </c>
      <c r="BO7" s="17">
        <f>M27</f>
        <v>1319</v>
      </c>
      <c r="BP7" s="17">
        <f>N7</f>
        <v>0.28562839800000001</v>
      </c>
      <c r="BQ7" s="25">
        <f>N12</f>
        <v>1.2498851783077173E-2</v>
      </c>
      <c r="BR7" s="25">
        <f>N17</f>
        <v>1.1526927873585228E-2</v>
      </c>
      <c r="BS7" s="25">
        <f>N22</f>
        <v>1.6865931593638834</v>
      </c>
      <c r="BT7" s="513">
        <f>N27</f>
        <v>0</v>
      </c>
      <c r="BU7" s="47"/>
    </row>
    <row r="8" spans="2:73" x14ac:dyDescent="0.2">
      <c r="C8" s="16">
        <v>2</v>
      </c>
      <c r="D8" s="14" t="str">
        <f t="array" ref="D8">INDEX(Lists!$D$11:$D$13,$C$8)</f>
        <v>Poor / intermediate risk</v>
      </c>
      <c r="H8" s="1497"/>
      <c r="I8" s="1497"/>
      <c r="J8" s="1497"/>
      <c r="K8" s="1092">
        <f>CHOOSE(source_pc_num,(62*249+61*256)/505,64.2)</f>
        <v>64.2</v>
      </c>
      <c r="L8" s="1145">
        <f>CHOOSE(source_pc_num,14.87,10.41)</f>
        <v>10.41</v>
      </c>
      <c r="M8" s="1145">
        <f>CHOOSE(source_pc_num,505,1011)</f>
        <v>1011</v>
      </c>
      <c r="N8" s="512">
        <f>IFERROR(L8/SQRT(M8),"")</f>
        <v>0.3273973438675295</v>
      </c>
      <c r="Z8" s="6" t="s">
        <v>180</v>
      </c>
      <c r="BC8" s="17" t="str">
        <v>Poor / intermediate risk</v>
      </c>
      <c r="BD8" s="17">
        <v>1</v>
      </c>
      <c r="BE8" s="25">
        <f>K8</f>
        <v>64.2</v>
      </c>
      <c r="BF8" s="502">
        <f>K13</f>
        <v>0.29527559055118108</v>
      </c>
      <c r="BG8" s="502">
        <f>K18</f>
        <v>1</v>
      </c>
      <c r="BH8" s="25">
        <f>K23</f>
        <v>81.263525279221184</v>
      </c>
      <c r="BI8" s="502">
        <f>K28</f>
        <v>0</v>
      </c>
      <c r="BJ8" s="17">
        <f>M8</f>
        <v>1011</v>
      </c>
      <c r="BK8" s="17">
        <f>M13</f>
        <v>1016</v>
      </c>
      <c r="BL8" s="17">
        <f>M18</f>
        <v>0</v>
      </c>
      <c r="BM8" s="17">
        <f>M23</f>
        <v>114</v>
      </c>
      <c r="BN8" s="17">
        <f>M18</f>
        <v>0</v>
      </c>
      <c r="BO8" s="17">
        <f>M28</f>
        <v>1319</v>
      </c>
      <c r="BP8" s="25">
        <f>N8</f>
        <v>0.3273973438675295</v>
      </c>
      <c r="BQ8" s="25">
        <f>N13</f>
        <v>1.4311217317822591E-2</v>
      </c>
      <c r="BR8" s="25">
        <f>N18</f>
        <v>0</v>
      </c>
      <c r="BS8" s="25">
        <f>N23</f>
        <v>1.6865931593638834</v>
      </c>
      <c r="BT8" s="513">
        <f>N28</f>
        <v>0</v>
      </c>
      <c r="BU8" s="47"/>
    </row>
    <row r="9" spans="2:73" x14ac:dyDescent="0.2">
      <c r="C9" s="16">
        <v>3</v>
      </c>
      <c r="D9" s="14" t="str">
        <f t="array" ref="D9">INDEX(Lists!$D$11:$D$13,$C$9)</f>
        <v>Favourable risk</v>
      </c>
      <c r="H9" s="1497"/>
      <c r="I9" s="1497"/>
      <c r="J9" s="1497"/>
      <c r="K9" s="1092">
        <f>CHOOSE(source_pc_num,(62*74+61*72)/146,65.4)</f>
        <v>65.400000000000006</v>
      </c>
      <c r="L9" s="1145">
        <f>CHOOSE(source_pc_num,10.86,9.58)</f>
        <v>9.58</v>
      </c>
      <c r="M9" s="1145">
        <f>CHOOSE(source_pc_num,146,293)</f>
        <v>293</v>
      </c>
      <c r="N9" s="512">
        <f>IFERROR(L9/SQRT(M9),"")</f>
        <v>0.55966957584783261</v>
      </c>
      <c r="BC9" s="17" t="str">
        <v>Favourable risk</v>
      </c>
      <c r="BD9" s="17">
        <v>1</v>
      </c>
      <c r="BE9" s="25">
        <f>K9</f>
        <v>65.400000000000006</v>
      </c>
      <c r="BF9" s="502">
        <f>K14</f>
        <v>0.26530612244897961</v>
      </c>
      <c r="BG9" s="502">
        <f>K19</f>
        <v>0</v>
      </c>
      <c r="BH9" s="25">
        <f>K24</f>
        <v>90.980368698631054</v>
      </c>
      <c r="BI9" s="502">
        <f>K29</f>
        <v>0</v>
      </c>
      <c r="BJ9" s="17">
        <f>M9</f>
        <v>293</v>
      </c>
      <c r="BK9" s="17">
        <f>M14</f>
        <v>294</v>
      </c>
      <c r="BL9" s="17">
        <f>M19</f>
        <v>0</v>
      </c>
      <c r="BM9" s="17">
        <f>M24</f>
        <v>114</v>
      </c>
      <c r="BN9" s="17">
        <f>M19</f>
        <v>0</v>
      </c>
      <c r="BO9" s="17">
        <f>M29</f>
        <v>1319</v>
      </c>
      <c r="BP9" s="25">
        <f>N9</f>
        <v>0.55966957584783261</v>
      </c>
      <c r="BQ9" s="25">
        <f>N14</f>
        <v>2.5748573954308591E-2</v>
      </c>
      <c r="BR9" s="25">
        <f>N19</f>
        <v>0</v>
      </c>
      <c r="BS9" s="25">
        <f>N24</f>
        <v>1.6865931593638834</v>
      </c>
      <c r="BT9" s="513">
        <f>N29</f>
        <v>0</v>
      </c>
      <c r="BU9" s="47"/>
    </row>
    <row r="10" spans="2:73" x14ac:dyDescent="0.2">
      <c r="K10" s="274"/>
      <c r="L10" s="274"/>
      <c r="M10" s="274"/>
      <c r="N10" s="274"/>
      <c r="BC10" s="17" t="s">
        <v>31</v>
      </c>
      <c r="BD10" s="17">
        <v>2</v>
      </c>
      <c r="BE10" s="25">
        <f>P7</f>
        <v>63.04</v>
      </c>
      <c r="BF10" s="502">
        <f>P12</f>
        <v>0.2848101265822785</v>
      </c>
      <c r="BG10" s="502">
        <f>P17</f>
        <v>0</v>
      </c>
      <c r="BH10" s="25">
        <f>P22</f>
        <v>83.38</v>
      </c>
      <c r="BI10" s="502">
        <f>P27</f>
        <v>0</v>
      </c>
      <c r="BJ10" s="17"/>
      <c r="BK10" s="17"/>
      <c r="BL10" s="17"/>
      <c r="BM10" s="17"/>
      <c r="BN10" s="17"/>
      <c r="BO10" s="17"/>
      <c r="BP10" s="17">
        <f>Q7</f>
        <v>0.41860000000000003</v>
      </c>
      <c r="BQ10" s="25">
        <f>Q12</f>
        <v>1.7952703261523189E-2</v>
      </c>
      <c r="BR10" s="25">
        <f>Q17</f>
        <v>0</v>
      </c>
      <c r="BS10" s="25">
        <f>Q22</f>
        <v>1.6865931593638834</v>
      </c>
      <c r="BT10" s="513">
        <f>Q27</f>
        <v>0</v>
      </c>
      <c r="BU10" s="47"/>
    </row>
    <row r="11" spans="2:73" ht="15.75" x14ac:dyDescent="0.25">
      <c r="D11" s="12" t="s">
        <v>181</v>
      </c>
      <c r="K11" s="274"/>
      <c r="L11" s="274"/>
      <c r="M11" s="274"/>
      <c r="N11" s="274"/>
      <c r="BC11" s="17" t="s">
        <v>31</v>
      </c>
      <c r="BD11" s="17">
        <v>3</v>
      </c>
      <c r="BE11" s="25">
        <f>S7</f>
        <v>62.62</v>
      </c>
      <c r="BF11" s="502">
        <f>S12</f>
        <v>0.28504672897196259</v>
      </c>
      <c r="BG11" s="502">
        <f>S17</f>
        <v>0</v>
      </c>
      <c r="BH11" s="25">
        <f>S22</f>
        <v>83.38</v>
      </c>
      <c r="BI11" s="502">
        <f>S27</f>
        <v>0</v>
      </c>
      <c r="BJ11" s="17"/>
      <c r="BK11" s="17"/>
      <c r="BL11" s="17"/>
      <c r="BM11" s="17"/>
      <c r="BN11" s="17"/>
      <c r="BO11" s="17"/>
      <c r="BP11" s="17">
        <f>T7</f>
        <v>0.72887000000000002</v>
      </c>
      <c r="BQ11" s="25">
        <f>T12</f>
        <v>3.0859577291787232E-2</v>
      </c>
      <c r="BR11" s="25">
        <f>T17</f>
        <v>0</v>
      </c>
      <c r="BS11" s="25">
        <f>T22</f>
        <v>1.6865931593638834</v>
      </c>
      <c r="BT11" s="513">
        <f>T27</f>
        <v>0</v>
      </c>
      <c r="BU11" s="47"/>
    </row>
    <row r="12" spans="2:73" x14ac:dyDescent="0.2">
      <c r="D12" s="14" t="str">
        <f t="array" ref="D12">INDEX(Lists!$D$11:$D$13,$C$7)</f>
        <v>All</v>
      </c>
      <c r="H12" s="1497"/>
      <c r="I12" s="1497"/>
      <c r="J12" s="1497"/>
      <c r="K12" s="1045">
        <f>CHOOSE(source_pc_num,0.261,383/(936+383))</f>
        <v>0.29037149355572406</v>
      </c>
      <c r="L12" s="1146"/>
      <c r="M12" s="1145">
        <f>CHOOSE(source_pc_num,651,1319)</f>
        <v>1319</v>
      </c>
      <c r="N12" s="1145">
        <f>SQRT((K12*(1-K12))/M12)</f>
        <v>1.2498851783077173E-2</v>
      </c>
      <c r="O12" s="274"/>
      <c r="P12" s="1147">
        <f>CHOOSE(source_pc_num,(107+95)/821,180/(180+452))</f>
        <v>0.2848101265822785</v>
      </c>
      <c r="Q12" s="1148">
        <f>CHOOSE(source_pc_num,SQRT((P12*(1-P12))/(821)),SQRT((P12*(1-P12))/(180+452)))</f>
        <v>1.7952703261523189E-2</v>
      </c>
      <c r="R12" s="1149"/>
      <c r="S12" s="1148">
        <f>CHOOSE(source_pc_num,P12,61/(153+61))</f>
        <v>0.28504672897196259</v>
      </c>
      <c r="T12" s="1148">
        <f>CHOOSE(source_pc_num,SQRT((S12*(1-S12))/(821)),SQRT((S12*(1-S12))/(153+61)))</f>
        <v>3.0859577291787232E-2</v>
      </c>
      <c r="U12" s="1149"/>
      <c r="V12" s="1148">
        <f>CHOOSE(source_pc_num,P12,16/(38+16))</f>
        <v>0.29629629629629628</v>
      </c>
      <c r="W12" s="1148">
        <f>CHOOSE(source_pc_num,SQRT((S12*(1-S12))/(821)),SQRT((V12*(1-V12))/(38+16)))</f>
        <v>6.2138555022804527E-2</v>
      </c>
      <c r="BC12" s="17" t="s">
        <v>31</v>
      </c>
      <c r="BD12" s="17">
        <v>4</v>
      </c>
      <c r="BE12" s="25">
        <f>V7</f>
        <v>62.37</v>
      </c>
      <c r="BF12" s="502">
        <f>V12</f>
        <v>0.29629629629629628</v>
      </c>
      <c r="BG12" s="502">
        <f>V17</f>
        <v>0</v>
      </c>
      <c r="BH12" s="25">
        <f>V22</f>
        <v>83.38</v>
      </c>
      <c r="BI12" s="502">
        <f>V27</f>
        <v>0</v>
      </c>
      <c r="BJ12" s="17"/>
      <c r="BK12" s="17"/>
      <c r="BL12" s="17"/>
      <c r="BM12" s="17"/>
      <c r="BN12" s="17"/>
      <c r="BO12" s="17"/>
      <c r="BP12" s="17">
        <f>W7</f>
        <v>1.2498499999999999</v>
      </c>
      <c r="BQ12" s="25">
        <f>W12</f>
        <v>6.2138555022804527E-2</v>
      </c>
      <c r="BR12" s="25">
        <f>W17</f>
        <v>0</v>
      </c>
      <c r="BS12" s="25">
        <f>W22</f>
        <v>1.6865931593638834</v>
      </c>
      <c r="BT12" s="513">
        <f>W27</f>
        <v>0</v>
      </c>
      <c r="BU12" s="47"/>
    </row>
    <row r="13" spans="2:73" x14ac:dyDescent="0.2">
      <c r="D13" s="14" t="str">
        <f t="array" ref="D13">INDEX(Lists!$D$11:$D$13,$C$8)</f>
        <v>Poor / intermediate risk</v>
      </c>
      <c r="H13" s="1497"/>
      <c r="I13" s="1497"/>
      <c r="J13" s="1497"/>
      <c r="K13" s="1045">
        <f>CHOOSE(source_pc_num,(56+73)/505,300/1016)</f>
        <v>0.29527559055118108</v>
      </c>
      <c r="L13" s="1146"/>
      <c r="M13" s="1145">
        <f>CHOOSE(source_pc_num,505,1016)</f>
        <v>1016</v>
      </c>
      <c r="N13" s="1145">
        <f>IFERROR(SQRT((K13*(1-K13))/M13),"")</f>
        <v>1.4311217317822591E-2</v>
      </c>
      <c r="O13" s="274"/>
      <c r="P13" s="1149"/>
      <c r="Q13" s="274"/>
      <c r="R13" s="274"/>
      <c r="S13" s="274"/>
      <c r="T13" s="274"/>
      <c r="U13" s="274"/>
      <c r="V13" s="274"/>
      <c r="W13" s="274"/>
      <c r="BC13" s="17"/>
      <c r="BD13" s="17"/>
      <c r="BE13" s="17"/>
      <c r="BF13" s="17"/>
      <c r="BG13" s="17"/>
      <c r="BH13" s="17"/>
      <c r="BI13" s="17"/>
      <c r="BJ13" s="17"/>
      <c r="BK13" s="17"/>
      <c r="BL13" s="17"/>
      <c r="BM13" s="17"/>
      <c r="BN13" s="17"/>
      <c r="BO13" s="17"/>
      <c r="BP13" s="17"/>
      <c r="BQ13" s="17"/>
      <c r="BR13" s="17"/>
      <c r="BS13" s="17"/>
      <c r="BT13" s="46"/>
      <c r="BU13" s="47"/>
    </row>
    <row r="14" spans="2:73" x14ac:dyDescent="0.2">
      <c r="D14" s="14" t="str">
        <f t="array" ref="D14">INDEX(Lists!$D$11:$D$13,$C$9)</f>
        <v>Favourable risk</v>
      </c>
      <c r="H14" s="1497"/>
      <c r="I14" s="1497"/>
      <c r="J14" s="1497"/>
      <c r="K14" s="1045">
        <f>CHOOSE(source_pc_num,(18+23)/146,78/294)</f>
        <v>0.26530612244897961</v>
      </c>
      <c r="L14" s="1146"/>
      <c r="M14" s="1145">
        <f>CHOOSE(source_pc_num,146,294)</f>
        <v>294</v>
      </c>
      <c r="N14" s="1145">
        <f>IFERROR(SQRT((K14*(1-K14))/M14),"")</f>
        <v>2.5748573954308591E-2</v>
      </c>
      <c r="O14" s="274"/>
      <c r="P14" s="1149"/>
      <c r="Q14" s="274"/>
      <c r="R14" s="274"/>
      <c r="S14" s="274"/>
      <c r="T14" s="274"/>
      <c r="U14" s="274"/>
      <c r="V14" s="274"/>
      <c r="W14" s="274"/>
      <c r="BC14" s="17"/>
      <c r="BD14" s="17"/>
      <c r="BE14" s="17"/>
      <c r="BF14" s="17"/>
      <c r="BG14" s="17"/>
      <c r="BH14" s="17"/>
      <c r="BI14" s="17"/>
      <c r="BJ14" s="17"/>
      <c r="BK14" s="17"/>
      <c r="BL14" s="17"/>
      <c r="BM14" s="17"/>
      <c r="BN14" s="17"/>
      <c r="BO14" s="17"/>
      <c r="BP14" s="17"/>
      <c r="BQ14" s="17"/>
      <c r="BR14" s="17"/>
      <c r="BS14" s="17"/>
      <c r="BT14" s="46"/>
      <c r="BU14" s="47"/>
    </row>
    <row r="15" spans="2:73" x14ac:dyDescent="0.2">
      <c r="K15" s="274"/>
      <c r="L15" s="274"/>
      <c r="M15" s="274"/>
      <c r="N15" s="274"/>
      <c r="O15" s="274"/>
      <c r="P15" s="1149"/>
      <c r="Q15" s="274"/>
      <c r="R15" s="274"/>
      <c r="S15" s="274"/>
      <c r="T15" s="274"/>
      <c r="U15" s="274"/>
      <c r="V15" s="274"/>
      <c r="W15" s="274"/>
      <c r="BC15" s="17"/>
      <c r="BD15" s="17"/>
      <c r="BE15" s="17"/>
      <c r="BF15" s="17"/>
      <c r="BG15" s="17"/>
      <c r="BH15" s="17"/>
      <c r="BI15" s="17"/>
      <c r="BJ15" s="17"/>
      <c r="BK15" s="17"/>
      <c r="BL15" s="17"/>
      <c r="BM15" s="17"/>
      <c r="BN15" s="17"/>
      <c r="BO15" s="17"/>
      <c r="BP15" s="17"/>
      <c r="BQ15" s="17"/>
      <c r="BR15" s="17"/>
      <c r="BS15" s="17"/>
      <c r="BT15" s="46"/>
      <c r="BU15" s="47"/>
    </row>
    <row r="16" spans="2:73" ht="15.75" x14ac:dyDescent="0.25">
      <c r="D16" s="12" t="s">
        <v>182</v>
      </c>
      <c r="K16" s="274"/>
      <c r="L16" s="274"/>
      <c r="M16" s="274"/>
      <c r="N16" s="274"/>
      <c r="O16" s="274"/>
      <c r="P16" s="1149"/>
      <c r="Q16" s="274"/>
      <c r="R16" s="274"/>
      <c r="S16" s="274"/>
      <c r="T16" s="274"/>
      <c r="U16" s="274"/>
      <c r="V16" s="274"/>
      <c r="W16" s="274"/>
      <c r="BC16" s="17"/>
      <c r="BD16" s="17"/>
      <c r="BE16" s="17"/>
      <c r="BF16" s="17"/>
      <c r="BG16" s="17"/>
      <c r="BH16" s="17"/>
      <c r="BI16" s="17"/>
      <c r="BJ16" s="17"/>
      <c r="BK16" s="17"/>
      <c r="BL16" s="17"/>
      <c r="BM16" s="17"/>
      <c r="BN16" s="17"/>
      <c r="BO16" s="17"/>
      <c r="BP16" s="17"/>
      <c r="BQ16" s="17"/>
      <c r="BR16" s="17"/>
      <c r="BS16" s="17"/>
      <c r="BT16" s="46"/>
      <c r="BU16" s="47"/>
    </row>
    <row r="17" spans="4:73" x14ac:dyDescent="0.2">
      <c r="D17" s="14" t="str">
        <f t="array" ref="D17">INDEX(Lists!$D$11:$D$13,$C$7)</f>
        <v>All</v>
      </c>
      <c r="H17" s="1497"/>
      <c r="I17" s="1497"/>
      <c r="J17" s="1497"/>
      <c r="K17" s="1148">
        <f>CHOOSE(source_pc_num,57.6%+19.7%,1016/1310)</f>
        <v>0.77557251908396951</v>
      </c>
      <c r="L17" s="1146"/>
      <c r="M17" s="1145">
        <f>CHOOSE(source_pc_num,651,1310)</f>
        <v>1310</v>
      </c>
      <c r="N17" s="1145">
        <f>SQRT((K17*(1-K17))/M17)</f>
        <v>1.1526927873585228E-2</v>
      </c>
      <c r="O17" s="274"/>
      <c r="P17" s="1150"/>
      <c r="Q17" s="1149"/>
      <c r="R17" s="1149"/>
      <c r="S17" s="1149"/>
      <c r="T17" s="1149"/>
      <c r="U17" s="1149"/>
      <c r="V17" s="1149"/>
      <c r="W17" s="1149"/>
      <c r="Z17" s="6" t="s">
        <v>183</v>
      </c>
      <c r="BC17" s="17"/>
      <c r="BD17" s="17"/>
      <c r="BE17" s="17"/>
      <c r="BF17" s="17"/>
      <c r="BG17" s="17"/>
      <c r="BH17" s="17"/>
      <c r="BI17" s="17"/>
      <c r="BJ17" s="17"/>
      <c r="BK17" s="17"/>
      <c r="BL17" s="17"/>
      <c r="BM17" s="17"/>
      <c r="BN17" s="17"/>
      <c r="BO17" s="17"/>
      <c r="BP17" s="17"/>
      <c r="BQ17" s="17"/>
      <c r="BR17" s="17"/>
      <c r="BS17" s="17"/>
      <c r="BT17" s="46"/>
      <c r="BU17" s="47"/>
    </row>
    <row r="18" spans="4:73" x14ac:dyDescent="0.2">
      <c r="D18" s="14" t="str">
        <f t="array" ref="D18">INDEX(Lists!$D$11:$D$13,$C$8)</f>
        <v>Poor / intermediate risk</v>
      </c>
      <c r="H18" s="1497"/>
      <c r="I18" s="1497"/>
      <c r="J18" s="1497"/>
      <c r="K18" s="1148">
        <v>1</v>
      </c>
      <c r="L18" s="1146"/>
      <c r="M18" s="1151"/>
      <c r="N18" s="1148"/>
      <c r="O18" s="274"/>
      <c r="P18" s="274"/>
      <c r="Q18" s="274"/>
      <c r="R18" s="274"/>
      <c r="S18" s="274"/>
      <c r="T18" s="274"/>
      <c r="U18" s="274"/>
      <c r="V18" s="274"/>
      <c r="W18" s="274"/>
      <c r="Z18" s="6" t="s">
        <v>184</v>
      </c>
      <c r="BC18" s="17"/>
      <c r="BD18" s="17"/>
      <c r="BE18" s="17"/>
      <c r="BF18" s="17"/>
      <c r="BG18" s="17"/>
      <c r="BH18" s="17"/>
      <c r="BI18" s="17"/>
      <c r="BJ18" s="17"/>
      <c r="BK18" s="17"/>
      <c r="BL18" s="17"/>
      <c r="BM18" s="17"/>
      <c r="BN18" s="17"/>
      <c r="BO18" s="17"/>
      <c r="BP18" s="17"/>
      <c r="BQ18" s="17"/>
      <c r="BR18" s="17"/>
      <c r="BS18" s="17"/>
      <c r="BT18" s="46"/>
      <c r="BU18" s="47"/>
    </row>
    <row r="19" spans="4:73" x14ac:dyDescent="0.2">
      <c r="D19" s="14" t="str">
        <f t="array" ref="D19">INDEX(Lists!$D$11:$D$13,$C$9)</f>
        <v>Favourable risk</v>
      </c>
      <c r="H19" s="1497"/>
      <c r="I19" s="1497"/>
      <c r="J19" s="1497"/>
      <c r="K19" s="1148">
        <v>0</v>
      </c>
      <c r="L19" s="1146"/>
      <c r="M19" s="1151"/>
      <c r="N19" s="1148"/>
      <c r="O19" s="274"/>
      <c r="P19" s="274"/>
      <c r="Q19" s="274"/>
      <c r="R19" s="274"/>
      <c r="S19" s="274"/>
      <c r="T19" s="274"/>
      <c r="U19" s="274"/>
      <c r="V19" s="274"/>
      <c r="W19" s="274"/>
      <c r="BC19" s="17"/>
      <c r="BD19" s="17"/>
      <c r="BE19" s="17"/>
      <c r="BF19" s="17"/>
      <c r="BG19" s="17"/>
      <c r="BH19" s="17"/>
      <c r="BI19" s="17"/>
      <c r="BJ19" s="17"/>
      <c r="BK19" s="17"/>
      <c r="BL19" s="17"/>
      <c r="BM19" s="17"/>
      <c r="BN19" s="17"/>
      <c r="BO19" s="17"/>
      <c r="BP19" s="17"/>
      <c r="BQ19" s="17"/>
      <c r="BR19" s="17"/>
      <c r="BS19" s="17"/>
      <c r="BT19" s="46"/>
      <c r="BU19" s="47"/>
    </row>
    <row r="20" spans="4:73" x14ac:dyDescent="0.2">
      <c r="K20" s="274"/>
      <c r="L20" s="274"/>
      <c r="M20" s="274"/>
      <c r="N20" s="274"/>
      <c r="O20" s="274"/>
      <c r="P20" s="274"/>
      <c r="Q20" s="274"/>
      <c r="R20" s="274"/>
      <c r="S20" s="274"/>
      <c r="T20" s="274"/>
      <c r="U20" s="274"/>
      <c r="V20" s="274"/>
      <c r="W20" s="274"/>
      <c r="BC20" s="17"/>
      <c r="BD20" s="17"/>
      <c r="BE20" s="17"/>
      <c r="BF20" s="17"/>
      <c r="BG20" s="17"/>
      <c r="BH20" s="17"/>
      <c r="BI20" s="17"/>
      <c r="BJ20" s="17"/>
      <c r="BK20" s="17"/>
      <c r="BL20" s="17"/>
      <c r="BM20" s="17"/>
      <c r="BN20" s="17"/>
      <c r="BO20" s="17"/>
      <c r="BP20" s="17"/>
      <c r="BQ20" s="17"/>
      <c r="BR20" s="17"/>
      <c r="BS20" s="17"/>
      <c r="BT20" s="46"/>
      <c r="BU20" s="47"/>
    </row>
    <row r="21" spans="4:73" ht="15.75" x14ac:dyDescent="0.25">
      <c r="D21" s="12" t="s">
        <v>185</v>
      </c>
      <c r="K21" s="274"/>
      <c r="L21" s="274"/>
      <c r="M21" s="274"/>
      <c r="N21" s="274"/>
      <c r="O21" s="274"/>
      <c r="P21" s="274"/>
      <c r="Q21" s="274"/>
      <c r="R21" s="274"/>
      <c r="S21" s="274"/>
      <c r="T21" s="274"/>
      <c r="U21" s="274"/>
      <c r="V21" s="274"/>
      <c r="W21" s="274"/>
      <c r="BC21" s="17"/>
      <c r="BD21" s="17"/>
      <c r="BE21" s="17"/>
      <c r="BF21" s="17"/>
      <c r="BG21" s="17"/>
      <c r="BH21" s="17"/>
      <c r="BI21" s="17"/>
      <c r="BJ21" s="17"/>
      <c r="BK21" s="17"/>
      <c r="BL21" s="17"/>
      <c r="BM21" s="17"/>
      <c r="BN21" s="17"/>
      <c r="BO21" s="17"/>
      <c r="BP21" s="17"/>
      <c r="BQ21" s="17"/>
      <c r="BR21" s="17"/>
      <c r="BS21" s="17"/>
      <c r="BT21" s="46"/>
      <c r="BU21" s="47"/>
    </row>
    <row r="22" spans="4:73" x14ac:dyDescent="0.2">
      <c r="D22" s="14" t="str">
        <f t="array" ref="D22">INDEX(Lists!$D$11:$D$13,$C$7)</f>
        <v>All</v>
      </c>
      <c r="K22" s="512">
        <f>CHOOSE(source_pc_num,(81.3*323+79.9*328)/651, 83.38)</f>
        <v>83.38</v>
      </c>
      <c r="L22" s="512">
        <f>CHOOSE(source_pc_num,(18*323+20.8*328)/651,18.0078871418689)</f>
        <v>18.007887141868899</v>
      </c>
      <c r="M22" s="1145">
        <f>CHOOSE(source_pc_num,651,114)</f>
        <v>114</v>
      </c>
      <c r="N22" s="512">
        <f>L22/SQRT(M22)</f>
        <v>1.6865931593638834</v>
      </c>
      <c r="O22" s="1152"/>
      <c r="P22" s="512">
        <f>CHOOSE(source_pc_num,K22,K22)</f>
        <v>83.38</v>
      </c>
      <c r="Q22" s="512">
        <f>CHOOSE(source_pc_num,N22,N22)</f>
        <v>1.6865931593638834</v>
      </c>
      <c r="R22" s="274"/>
      <c r="S22" s="512">
        <f>CHOOSE(source_pc_num,K22,K22)</f>
        <v>83.38</v>
      </c>
      <c r="T22" s="512">
        <f>CHOOSE(source_pc_num,N22,N22)</f>
        <v>1.6865931593638834</v>
      </c>
      <c r="U22" s="274"/>
      <c r="V22" s="512">
        <f>CHOOSE(source_pc_num,K22,K22)</f>
        <v>83.38</v>
      </c>
      <c r="W22" s="512">
        <f>CHOOSE(source_pc_num,N22,N22)</f>
        <v>1.6865931593638834</v>
      </c>
      <c r="Z22" s="6" t="s">
        <v>186</v>
      </c>
      <c r="BC22" s="17"/>
      <c r="BD22" s="17"/>
      <c r="BE22" s="17"/>
      <c r="BF22" s="17"/>
      <c r="BG22" s="17"/>
      <c r="BH22" s="17"/>
      <c r="BI22" s="17"/>
      <c r="BJ22" s="17"/>
      <c r="BK22" s="17"/>
      <c r="BL22" s="17"/>
      <c r="BM22" s="17"/>
      <c r="BN22" s="17"/>
      <c r="BO22" s="17"/>
      <c r="BP22" s="17"/>
      <c r="BQ22" s="17"/>
      <c r="BR22" s="17"/>
      <c r="BS22" s="17"/>
      <c r="BT22" s="46"/>
      <c r="BU22" s="47"/>
    </row>
    <row r="23" spans="4:73" x14ac:dyDescent="0.2">
      <c r="D23" s="14" t="str">
        <f t="array" ref="D23">INDEX(Lists!$D$11:$D$13,$C$8)</f>
        <v>Poor / intermediate risk</v>
      </c>
      <c r="K23" s="512">
        <f>CHOOSE(source_pc_num,(79.73*249+77.4*256)/505,K22*((79.73*249+77.4*256)/505)/((81.3*323+79.9*328)/651))</f>
        <v>81.263525279221184</v>
      </c>
      <c r="L23" s="512">
        <f>CHOOSE(source_pc_num,(18*323+20.8*328)/651,L22)</f>
        <v>18.007887141868899</v>
      </c>
      <c r="M23" s="1145">
        <f>CHOOSE(source_pc_num,505,114)</f>
        <v>114</v>
      </c>
      <c r="N23" s="512">
        <f>L23/SQRT(M23)</f>
        <v>1.6865931593638834</v>
      </c>
      <c r="O23" s="1152"/>
      <c r="P23" s="274"/>
      <c r="Q23" s="274"/>
      <c r="R23" s="274"/>
      <c r="S23" s="274"/>
      <c r="T23" s="274"/>
      <c r="U23" s="274"/>
      <c r="V23" s="274"/>
      <c r="W23" s="274"/>
      <c r="Z23" s="6" t="s">
        <v>187</v>
      </c>
      <c r="BC23" s="17"/>
      <c r="BD23" s="17"/>
      <c r="BE23" s="17"/>
      <c r="BF23" s="17"/>
      <c r="BG23" s="17"/>
      <c r="BH23" s="17"/>
      <c r="BI23" s="17"/>
      <c r="BJ23" s="17"/>
      <c r="BK23" s="17"/>
      <c r="BL23" s="17"/>
      <c r="BM23" s="17"/>
      <c r="BN23" s="17"/>
      <c r="BO23" s="17"/>
      <c r="BP23" s="17"/>
      <c r="BQ23" s="17"/>
      <c r="BR23" s="17"/>
      <c r="BS23" s="17"/>
      <c r="BT23" s="46"/>
      <c r="BU23" s="47"/>
    </row>
    <row r="24" spans="4:73" x14ac:dyDescent="0.2">
      <c r="D24" s="14" t="str">
        <f t="array" ref="D24">INDEX(Lists!$D$11:$D$13,$C$9)</f>
        <v>Favourable risk</v>
      </c>
      <c r="K24" s="512">
        <f>CHOOSE(source_pc_num,(87.3*74+88.6*72)/146,K22*((87.3*74+88.6*72)/146)/((81.3*323+79.9*328)/651))</f>
        <v>90.980368698631054</v>
      </c>
      <c r="L24" s="512">
        <f>CHOOSE(source_pc_num,(18.9*74+22.6*72)/146,L22)</f>
        <v>18.007887141868899</v>
      </c>
      <c r="M24" s="1145">
        <f>CHOOSE(source_pc_num,146,114)</f>
        <v>114</v>
      </c>
      <c r="N24" s="512">
        <f>L24/SQRT(M24)</f>
        <v>1.6865931593638834</v>
      </c>
      <c r="O24" s="1152"/>
      <c r="P24" s="274"/>
      <c r="Q24" s="274"/>
      <c r="R24" s="274"/>
      <c r="S24" s="274"/>
      <c r="T24" s="274"/>
      <c r="U24" s="274"/>
      <c r="V24" s="274"/>
      <c r="W24" s="274"/>
      <c r="BC24" s="17"/>
      <c r="BD24" s="17"/>
      <c r="BE24" s="17"/>
      <c r="BF24" s="17"/>
      <c r="BG24" s="17"/>
      <c r="BH24" s="17"/>
      <c r="BI24" s="17"/>
      <c r="BJ24" s="17"/>
      <c r="BK24" s="17"/>
      <c r="BL24" s="17"/>
      <c r="BM24" s="17"/>
      <c r="BN24" s="17"/>
      <c r="BO24" s="17"/>
      <c r="BP24" s="17"/>
      <c r="BQ24" s="17"/>
      <c r="BR24" s="17"/>
      <c r="BS24" s="17"/>
      <c r="BT24" s="46"/>
      <c r="BU24" s="47"/>
    </row>
    <row r="25" spans="4:73" x14ac:dyDescent="0.2">
      <c r="K25" s="274"/>
      <c r="L25" s="274"/>
      <c r="M25" s="274"/>
      <c r="N25" s="274"/>
      <c r="O25" s="274"/>
      <c r="P25" s="274"/>
      <c r="Q25" s="274"/>
      <c r="R25" s="274"/>
      <c r="S25" s="274"/>
      <c r="T25" s="274"/>
      <c r="U25" s="274"/>
      <c r="V25" s="274"/>
      <c r="W25" s="274"/>
      <c r="BC25" s="17"/>
      <c r="BD25" s="17"/>
      <c r="BE25" s="17"/>
      <c r="BF25" s="17"/>
      <c r="BG25" s="17"/>
      <c r="BH25" s="17"/>
      <c r="BI25" s="17"/>
      <c r="BJ25" s="17"/>
      <c r="BK25" s="17"/>
      <c r="BL25" s="17"/>
      <c r="BM25" s="17"/>
      <c r="BN25" s="17"/>
      <c r="BO25" s="17"/>
      <c r="BP25" s="17"/>
      <c r="BQ25" s="17"/>
      <c r="BR25" s="17"/>
      <c r="BS25" s="17"/>
      <c r="BT25" s="46"/>
      <c r="BU25" s="47"/>
    </row>
    <row r="26" spans="4:73" ht="15.75" x14ac:dyDescent="0.25">
      <c r="D26" s="12" t="s">
        <v>188</v>
      </c>
      <c r="K26" s="274"/>
      <c r="L26" s="274"/>
      <c r="M26" s="274"/>
      <c r="N26" s="274"/>
      <c r="O26" s="274"/>
      <c r="P26" s="274"/>
      <c r="Q26" s="274"/>
      <c r="R26" s="274"/>
      <c r="S26" s="274"/>
      <c r="T26" s="274"/>
      <c r="U26" s="274"/>
      <c r="V26" s="274"/>
      <c r="W26" s="274"/>
      <c r="BC26" s="17"/>
      <c r="BD26" s="17"/>
      <c r="BE26" s="17"/>
      <c r="BF26" s="17"/>
      <c r="BG26" s="17"/>
      <c r="BH26" s="17"/>
      <c r="BI26" s="17"/>
      <c r="BJ26" s="17"/>
      <c r="BK26" s="17"/>
      <c r="BL26" s="17"/>
      <c r="BM26" s="17"/>
      <c r="BN26" s="17"/>
      <c r="BO26" s="17"/>
      <c r="BP26" s="17"/>
      <c r="BQ26" s="17"/>
      <c r="BR26" s="17"/>
      <c r="BS26" s="17"/>
      <c r="BT26" s="46"/>
      <c r="BU26" s="47"/>
    </row>
    <row r="27" spans="4:73" x14ac:dyDescent="0.2">
      <c r="D27" s="14" t="str">
        <f t="array" ref="D27">INDEX(Lists!$D$11:$D$13,$C$7)</f>
        <v>All</v>
      </c>
      <c r="K27" s="1147">
        <f>IF(source_pc_num=2,IF(dd_udadj="No",CHOOSE(source_pc_num,0.3%+0.5%,0),K32*(1092/1309)*(715/1292)*0.6),0.3%+0.5%)</f>
        <v>0</v>
      </c>
      <c r="L27" s="1146"/>
      <c r="M27" s="1151">
        <f>CHOOSE(source_pc_num,651,1319)</f>
        <v>1319</v>
      </c>
      <c r="N27" s="1148">
        <f>i_SE_util*K27</f>
        <v>0</v>
      </c>
      <c r="O27" s="274"/>
      <c r="P27" s="1153">
        <f>CHOOSE(source_pc_num,K27,K27)</f>
        <v>0</v>
      </c>
      <c r="Q27" s="1148">
        <f>i_SE_util*P27</f>
        <v>0</v>
      </c>
      <c r="R27" s="1149"/>
      <c r="S27" s="1148">
        <f>CHOOSE(source_pc_num,K27,K27)</f>
        <v>0</v>
      </c>
      <c r="T27" s="1148">
        <f>i_SE_util*S27</f>
        <v>0</v>
      </c>
      <c r="U27" s="1149"/>
      <c r="V27" s="1148">
        <f>CHOOSE(source_pc_num,K27,K27)</f>
        <v>0</v>
      </c>
      <c r="W27" s="1148">
        <f>i_SE_util*V27</f>
        <v>0</v>
      </c>
      <c r="Z27" s="6" t="s">
        <v>189</v>
      </c>
      <c r="BC27" s="17"/>
      <c r="BD27" s="17"/>
      <c r="BE27" s="17"/>
      <c r="BF27" s="17"/>
      <c r="BG27" s="17"/>
      <c r="BH27" s="17"/>
      <c r="BI27" s="17"/>
      <c r="BJ27" s="17"/>
      <c r="BK27" s="17"/>
      <c r="BL27" s="17"/>
      <c r="BM27" s="17"/>
      <c r="BN27" s="17"/>
      <c r="BO27" s="17"/>
      <c r="BP27" s="17"/>
      <c r="BQ27" s="17"/>
      <c r="BR27" s="17"/>
      <c r="BS27" s="17"/>
      <c r="BT27" s="46"/>
      <c r="BU27" s="47"/>
    </row>
    <row r="28" spans="4:73" x14ac:dyDescent="0.2">
      <c r="D28" s="14" t="str">
        <f t="array" ref="D28">INDEX(Lists!$D$11:$D$13,$C$8)</f>
        <v>Poor / intermediate risk</v>
      </c>
      <c r="K28" s="1148">
        <f>IF(source_pc_num=2,IF(dd_udadj="No",CHOOSE(source_pc_num,3/146,0),K32*(1092/1309)*(715/1292)*0.6),0.3%+0.5%)</f>
        <v>0</v>
      </c>
      <c r="L28" s="1146"/>
      <c r="M28" s="1151">
        <f>CHOOSE(source_pc_num,505,1319)</f>
        <v>1319</v>
      </c>
      <c r="N28" s="1148">
        <f>IFERROR(SQRT((K28*(1-K28))/M28),"")</f>
        <v>0</v>
      </c>
      <c r="O28" s="274"/>
      <c r="P28" s="274"/>
      <c r="Q28" s="274"/>
      <c r="R28" s="274"/>
      <c r="S28" s="274"/>
      <c r="T28" s="274"/>
      <c r="U28" s="274"/>
      <c r="V28" s="274"/>
      <c r="W28" s="274"/>
      <c r="BC28" s="17"/>
      <c r="BD28" s="17"/>
      <c r="BE28" s="17"/>
      <c r="BF28" s="17"/>
      <c r="BG28" s="17"/>
      <c r="BH28" s="17"/>
      <c r="BI28" s="17"/>
      <c r="BJ28" s="17"/>
      <c r="BK28" s="17"/>
      <c r="BL28" s="17"/>
      <c r="BM28" s="17"/>
      <c r="BN28" s="17"/>
      <c r="BO28" s="17"/>
      <c r="BP28" s="17"/>
      <c r="BQ28" s="17"/>
      <c r="BR28" s="17"/>
      <c r="BS28" s="17"/>
      <c r="BT28" s="46"/>
      <c r="BU28" s="47"/>
    </row>
    <row r="29" spans="4:73" x14ac:dyDescent="0.2">
      <c r="D29" s="14" t="str">
        <f t="array" ref="D29">INDEX(Lists!$D$11:$D$13,$C$9)</f>
        <v>Favourable risk</v>
      </c>
      <c r="K29" s="1148">
        <f>IF(source_pc_num=2,IF(dd_udadj="No",CHOOSE(source_pc_num,2/505,0),K32*(1092/1309)*(715/1292)*0.6),0.3%+0.5%)</f>
        <v>0</v>
      </c>
      <c r="L29" s="1146"/>
      <c r="M29" s="1151">
        <f>CHOOSE(source_pc_num,146,1319)</f>
        <v>1319</v>
      </c>
      <c r="N29" s="1148">
        <f>IFERROR(SQRT((K29*(1-K29))/M29),"")</f>
        <v>0</v>
      </c>
      <c r="O29" s="274"/>
      <c r="P29" s="274"/>
      <c r="Q29" s="274"/>
      <c r="R29" s="274"/>
      <c r="S29" s="274"/>
      <c r="T29" s="274"/>
      <c r="U29" s="274"/>
      <c r="V29" s="274"/>
      <c r="W29" s="274"/>
      <c r="BC29" s="17"/>
      <c r="BD29" s="17"/>
      <c r="BE29" s="17"/>
      <c r="BF29" s="17"/>
      <c r="BG29" s="17"/>
      <c r="BH29" s="17"/>
      <c r="BI29" s="17"/>
      <c r="BJ29" s="17"/>
      <c r="BK29" s="17"/>
      <c r="BL29" s="17"/>
      <c r="BM29" s="17"/>
      <c r="BN29" s="17"/>
      <c r="BO29" s="17"/>
      <c r="BP29" s="17"/>
      <c r="BQ29" s="17"/>
      <c r="BR29" s="17"/>
      <c r="BS29" s="17"/>
      <c r="BT29" s="46"/>
      <c r="BU29" s="47"/>
    </row>
    <row r="30" spans="4:73" x14ac:dyDescent="0.2">
      <c r="BC30" s="17"/>
      <c r="BD30" s="17"/>
      <c r="BE30" s="17"/>
      <c r="BF30" s="17"/>
      <c r="BG30" s="17"/>
      <c r="BH30" s="17"/>
      <c r="BI30" s="17"/>
      <c r="BJ30" s="17"/>
      <c r="BK30" s="17"/>
      <c r="BL30" s="17"/>
      <c r="BM30" s="17"/>
      <c r="BN30" s="17"/>
      <c r="BO30" s="17"/>
      <c r="BP30" s="17"/>
      <c r="BQ30" s="17"/>
      <c r="BR30" s="17"/>
      <c r="BS30" s="17"/>
      <c r="BT30" s="46"/>
      <c r="BU30" s="47"/>
    </row>
    <row r="31" spans="4:73" x14ac:dyDescent="0.2">
      <c r="D31" s="6" t="s">
        <v>190</v>
      </c>
      <c r="K31" s="738" t="s">
        <v>58</v>
      </c>
      <c r="BC31" s="17"/>
      <c r="BD31" s="17"/>
      <c r="BE31" s="17"/>
      <c r="BF31" s="17"/>
      <c r="BG31" s="17"/>
      <c r="BH31" s="17"/>
      <c r="BI31" s="17"/>
      <c r="BJ31" s="17"/>
      <c r="BK31" s="17"/>
      <c r="BL31" s="17"/>
      <c r="BM31" s="17"/>
      <c r="BN31" s="17"/>
      <c r="BO31" s="17"/>
      <c r="BP31" s="17"/>
      <c r="BQ31" s="17"/>
      <c r="BR31" s="17"/>
      <c r="BS31" s="17"/>
      <c r="BT31" s="46"/>
      <c r="BU31" s="47"/>
    </row>
    <row r="32" spans="4:73" x14ac:dyDescent="0.2">
      <c r="D32" s="14" t="s">
        <v>191</v>
      </c>
      <c r="K32" s="1048">
        <v>0</v>
      </c>
      <c r="BC32" s="17"/>
      <c r="BD32" s="17"/>
      <c r="BE32" s="17"/>
      <c r="BF32" s="17"/>
      <c r="BG32" s="17"/>
      <c r="BH32" s="17"/>
      <c r="BI32" s="17"/>
      <c r="BJ32" s="17"/>
      <c r="BK32" s="17"/>
      <c r="BL32" s="17"/>
      <c r="BM32" s="17"/>
      <c r="BN32" s="17"/>
      <c r="BO32" s="17"/>
      <c r="BP32" s="17"/>
      <c r="BQ32" s="17"/>
      <c r="BR32" s="17"/>
      <c r="BS32" s="17"/>
      <c r="BT32" s="46"/>
      <c r="BU32" s="47"/>
    </row>
    <row r="33" spans="4:73" x14ac:dyDescent="0.2">
      <c r="D33" s="665" t="s">
        <v>192</v>
      </c>
      <c r="E33" s="86" t="s">
        <v>193</v>
      </c>
      <c r="G33" s="24"/>
      <c r="I33" s="13"/>
      <c r="BC33" s="17"/>
      <c r="BD33" s="17"/>
      <c r="BE33" s="17"/>
      <c r="BF33" s="17"/>
      <c r="BG33" s="17"/>
      <c r="BH33" s="17"/>
      <c r="BI33" s="17"/>
      <c r="BJ33" s="17"/>
      <c r="BK33" s="17"/>
      <c r="BL33" s="17"/>
      <c r="BM33" s="17"/>
      <c r="BN33" s="17"/>
      <c r="BO33" s="17"/>
      <c r="BP33" s="17"/>
      <c r="BQ33" s="17"/>
      <c r="BR33" s="17"/>
      <c r="BS33" s="17"/>
      <c r="BT33" s="46"/>
      <c r="BU33" s="47"/>
    </row>
    <row r="34" spans="4:73" x14ac:dyDescent="0.2">
      <c r="I34" s="13"/>
      <c r="BC34" s="17"/>
      <c r="BD34" s="17"/>
      <c r="BE34" s="17"/>
      <c r="BF34" s="17"/>
      <c r="BG34" s="17"/>
      <c r="BH34" s="17"/>
      <c r="BI34" s="17"/>
      <c r="BJ34" s="17"/>
      <c r="BK34" s="17"/>
      <c r="BL34" s="17"/>
      <c r="BM34" s="17"/>
      <c r="BN34" s="17"/>
      <c r="BO34" s="17"/>
      <c r="BP34" s="17"/>
      <c r="BQ34" s="17"/>
      <c r="BR34" s="17"/>
      <c r="BS34" s="17"/>
      <c r="BT34" s="46"/>
      <c r="BU34" s="47"/>
    </row>
    <row r="35" spans="4:73" x14ac:dyDescent="0.2">
      <c r="D35" s="13"/>
      <c r="K35" s="503"/>
      <c r="BC35" s="17"/>
      <c r="BD35" s="17"/>
      <c r="BE35" s="17"/>
      <c r="BF35" s="17"/>
      <c r="BG35" s="17"/>
      <c r="BH35" s="17"/>
      <c r="BI35" s="17"/>
      <c r="BJ35" s="17"/>
      <c r="BK35" s="17"/>
      <c r="BL35" s="17"/>
      <c r="BM35" s="17"/>
      <c r="BN35" s="17"/>
      <c r="BO35" s="17"/>
      <c r="BP35" s="17"/>
      <c r="BQ35" s="17"/>
      <c r="BR35" s="17"/>
      <c r="BS35" s="17"/>
      <c r="BT35" s="46"/>
      <c r="BU35" s="47"/>
    </row>
    <row r="36" spans="4:73" x14ac:dyDescent="0.2">
      <c r="BC36" s="17"/>
      <c r="BD36" s="17"/>
      <c r="BE36" s="17"/>
      <c r="BF36" s="17"/>
      <c r="BG36" s="17"/>
      <c r="BH36" s="17"/>
      <c r="BI36" s="17"/>
      <c r="BJ36" s="17"/>
      <c r="BK36" s="17"/>
      <c r="BL36" s="17"/>
      <c r="BM36" s="17"/>
      <c r="BN36" s="17"/>
      <c r="BO36" s="17"/>
      <c r="BP36" s="17"/>
      <c r="BQ36" s="17"/>
      <c r="BR36" s="17"/>
      <c r="BS36" s="17"/>
      <c r="BT36" s="46"/>
      <c r="BU36" s="47"/>
    </row>
    <row r="37" spans="4:73" x14ac:dyDescent="0.2">
      <c r="BC37" s="17"/>
      <c r="BD37" s="17"/>
      <c r="BE37" s="17"/>
      <c r="BF37" s="17"/>
      <c r="BG37" s="17"/>
      <c r="BH37" s="17"/>
      <c r="BI37" s="17"/>
      <c r="BJ37" s="17"/>
      <c r="BK37" s="17"/>
      <c r="BL37" s="17"/>
      <c r="BM37" s="17"/>
      <c r="BN37" s="17"/>
      <c r="BO37" s="17"/>
      <c r="BP37" s="17"/>
      <c r="BQ37" s="17"/>
      <c r="BR37" s="17"/>
      <c r="BS37" s="17"/>
      <c r="BT37" s="46"/>
      <c r="BU37" s="47"/>
    </row>
    <row r="38" spans="4:73" x14ac:dyDescent="0.2">
      <c r="BC38" s="17"/>
      <c r="BD38" s="17"/>
      <c r="BE38" s="17"/>
      <c r="BF38" s="17"/>
      <c r="BG38" s="17"/>
      <c r="BH38" s="17"/>
      <c r="BI38" s="17"/>
      <c r="BJ38" s="17"/>
      <c r="BK38" s="17"/>
      <c r="BL38" s="17"/>
      <c r="BM38" s="17"/>
      <c r="BN38" s="17"/>
      <c r="BO38" s="17"/>
      <c r="BP38" s="17"/>
      <c r="BQ38" s="17"/>
      <c r="BR38" s="17"/>
      <c r="BS38" s="17"/>
      <c r="BT38" s="46"/>
      <c r="BU38" s="47"/>
    </row>
    <row r="39" spans="4:73" x14ac:dyDescent="0.2">
      <c r="BC39" s="17"/>
      <c r="BD39" s="17"/>
      <c r="BE39" s="17"/>
      <c r="BF39" s="17"/>
      <c r="BG39" s="17"/>
      <c r="BH39" s="17"/>
      <c r="BI39" s="17"/>
      <c r="BJ39" s="17"/>
      <c r="BK39" s="17"/>
      <c r="BL39" s="17"/>
      <c r="BM39" s="17"/>
      <c r="BN39" s="17"/>
      <c r="BO39" s="17"/>
      <c r="BP39" s="17"/>
      <c r="BQ39" s="17"/>
      <c r="BR39" s="17"/>
      <c r="BS39" s="17"/>
      <c r="BT39" s="46"/>
      <c r="BU39" s="47"/>
    </row>
    <row r="40" spans="4:73" x14ac:dyDescent="0.2">
      <c r="BC40" s="17"/>
      <c r="BD40" s="17"/>
      <c r="BE40" s="17"/>
      <c r="BF40" s="17"/>
      <c r="BG40" s="17"/>
      <c r="BH40" s="17"/>
      <c r="BI40" s="17"/>
      <c r="BJ40" s="17"/>
      <c r="BK40" s="17"/>
      <c r="BL40" s="17"/>
      <c r="BM40" s="17"/>
      <c r="BN40" s="17"/>
      <c r="BO40" s="17"/>
      <c r="BP40" s="17"/>
      <c r="BQ40" s="17"/>
      <c r="BR40" s="17"/>
      <c r="BS40" s="17"/>
      <c r="BT40" s="46"/>
      <c r="BU40" s="47"/>
    </row>
    <row r="41" spans="4:73" x14ac:dyDescent="0.2">
      <c r="BC41" s="17"/>
      <c r="BD41" s="17"/>
      <c r="BE41" s="17"/>
      <c r="BF41" s="17"/>
      <c r="BG41" s="17"/>
      <c r="BH41" s="17"/>
      <c r="BI41" s="17"/>
      <c r="BJ41" s="17"/>
      <c r="BK41" s="17"/>
      <c r="BL41" s="17"/>
      <c r="BM41" s="17"/>
      <c r="BN41" s="17"/>
      <c r="BO41" s="17"/>
      <c r="BP41" s="17"/>
      <c r="BQ41" s="17"/>
      <c r="BR41" s="17"/>
      <c r="BS41" s="17"/>
      <c r="BT41" s="46"/>
      <c r="BU41" s="47"/>
    </row>
    <row r="42" spans="4:73" x14ac:dyDescent="0.2">
      <c r="BC42" s="17"/>
      <c r="BD42" s="17"/>
      <c r="BE42" s="17"/>
      <c r="BF42" s="17"/>
      <c r="BG42" s="17"/>
      <c r="BH42" s="17"/>
      <c r="BI42" s="17"/>
      <c r="BJ42" s="17"/>
      <c r="BK42" s="17"/>
      <c r="BL42" s="17"/>
      <c r="BM42" s="17"/>
      <c r="BN42" s="17"/>
      <c r="BO42" s="17"/>
      <c r="BP42" s="17"/>
      <c r="BQ42" s="17"/>
      <c r="BR42" s="17"/>
      <c r="BS42" s="17"/>
      <c r="BT42" s="46"/>
      <c r="BU42" s="47"/>
    </row>
    <row r="43" spans="4:73" x14ac:dyDescent="0.2">
      <c r="BC43" s="17"/>
      <c r="BD43" s="17"/>
      <c r="BE43" s="17"/>
      <c r="BF43" s="17"/>
      <c r="BG43" s="17"/>
      <c r="BH43" s="17"/>
      <c r="BI43" s="17"/>
      <c r="BJ43" s="17"/>
      <c r="BK43" s="17"/>
      <c r="BL43" s="17"/>
      <c r="BM43" s="17"/>
      <c r="BN43" s="17"/>
      <c r="BO43" s="17"/>
      <c r="BP43" s="17"/>
      <c r="BQ43" s="17"/>
      <c r="BR43" s="17"/>
      <c r="BS43" s="17"/>
      <c r="BT43" s="46"/>
      <c r="BU43" s="47"/>
    </row>
    <row r="44" spans="4:73" x14ac:dyDescent="0.2">
      <c r="BC44" s="17"/>
      <c r="BD44" s="17"/>
      <c r="BE44" s="17"/>
      <c r="BF44" s="17"/>
      <c r="BG44" s="17"/>
      <c r="BH44" s="17"/>
      <c r="BI44" s="17"/>
      <c r="BJ44" s="17"/>
      <c r="BK44" s="17"/>
      <c r="BL44" s="17"/>
      <c r="BM44" s="17"/>
      <c r="BN44" s="17"/>
      <c r="BO44" s="17"/>
      <c r="BP44" s="17"/>
      <c r="BQ44" s="17"/>
      <c r="BR44" s="17"/>
      <c r="BS44" s="17"/>
      <c r="BT44" s="46"/>
      <c r="BU44" s="47"/>
    </row>
    <row r="45" spans="4:73" x14ac:dyDescent="0.2">
      <c r="BC45" s="17"/>
      <c r="BD45" s="17"/>
      <c r="BE45" s="17"/>
      <c r="BF45" s="17"/>
      <c r="BG45" s="17"/>
      <c r="BH45" s="17"/>
      <c r="BI45" s="17"/>
      <c r="BJ45" s="17"/>
      <c r="BK45" s="17"/>
      <c r="BL45" s="17"/>
      <c r="BM45" s="17"/>
      <c r="BN45" s="17"/>
      <c r="BO45" s="17"/>
      <c r="BP45" s="17"/>
      <c r="BQ45" s="17"/>
      <c r="BR45" s="17"/>
      <c r="BS45" s="17"/>
      <c r="BT45" s="46"/>
      <c r="BU45" s="47"/>
    </row>
    <row r="46" spans="4:73" x14ac:dyDescent="0.2">
      <c r="BC46" s="17"/>
      <c r="BD46" s="17"/>
      <c r="BE46" s="17"/>
      <c r="BF46" s="17"/>
      <c r="BG46" s="17"/>
      <c r="BH46" s="17"/>
      <c r="BI46" s="17"/>
      <c r="BJ46" s="17"/>
      <c r="BK46" s="17"/>
      <c r="BL46" s="17"/>
      <c r="BM46" s="17"/>
      <c r="BN46" s="17"/>
      <c r="BO46" s="17"/>
      <c r="BP46" s="17"/>
      <c r="BQ46" s="17"/>
      <c r="BR46" s="17"/>
      <c r="BS46" s="17"/>
      <c r="BT46" s="46"/>
      <c r="BU46" s="47"/>
    </row>
    <row r="47" spans="4:73" x14ac:dyDescent="0.2">
      <c r="BC47" s="17"/>
      <c r="BD47" s="17"/>
      <c r="BE47" s="17"/>
      <c r="BF47" s="17"/>
      <c r="BG47" s="17"/>
      <c r="BH47" s="17"/>
      <c r="BI47" s="17"/>
      <c r="BJ47" s="17"/>
      <c r="BK47" s="17"/>
      <c r="BL47" s="17"/>
      <c r="BM47" s="17"/>
      <c r="BN47" s="17"/>
      <c r="BO47" s="17"/>
      <c r="BP47" s="17"/>
      <c r="BQ47" s="17"/>
      <c r="BR47" s="17"/>
      <c r="BS47" s="17"/>
      <c r="BT47" s="46"/>
      <c r="BU47" s="47"/>
    </row>
    <row r="48" spans="4:73" x14ac:dyDescent="0.2">
      <c r="BC48" s="17"/>
      <c r="BD48" s="17"/>
      <c r="BE48" s="17"/>
      <c r="BF48" s="17"/>
      <c r="BG48" s="17"/>
      <c r="BH48" s="17"/>
      <c r="BI48" s="17"/>
      <c r="BJ48" s="17"/>
      <c r="BK48" s="17"/>
      <c r="BL48" s="17"/>
      <c r="BM48" s="17"/>
      <c r="BN48" s="17"/>
      <c r="BO48" s="17"/>
      <c r="BP48" s="17"/>
      <c r="BQ48" s="17"/>
      <c r="BR48" s="17"/>
      <c r="BS48" s="17"/>
      <c r="BT48" s="46"/>
      <c r="BU48" s="47"/>
    </row>
    <row r="49" spans="55:73" x14ac:dyDescent="0.2">
      <c r="BC49" s="17"/>
      <c r="BD49" s="17"/>
      <c r="BE49" s="17"/>
      <c r="BF49" s="17"/>
      <c r="BG49" s="17"/>
      <c r="BH49" s="17"/>
      <c r="BI49" s="17"/>
      <c r="BJ49" s="17"/>
      <c r="BK49" s="17"/>
      <c r="BL49" s="17"/>
      <c r="BM49" s="17"/>
      <c r="BN49" s="17"/>
      <c r="BO49" s="17"/>
      <c r="BP49" s="17"/>
      <c r="BQ49" s="17"/>
      <c r="BR49" s="17"/>
      <c r="BS49" s="17"/>
      <c r="BT49" s="46"/>
      <c r="BU49" s="47"/>
    </row>
    <row r="50" spans="55:73" x14ac:dyDescent="0.2">
      <c r="BC50" s="17"/>
      <c r="BD50" s="17"/>
      <c r="BE50" s="17"/>
      <c r="BF50" s="17"/>
      <c r="BG50" s="17"/>
      <c r="BH50" s="17"/>
      <c r="BI50" s="17"/>
      <c r="BJ50" s="17"/>
      <c r="BK50" s="17"/>
      <c r="BL50" s="17"/>
      <c r="BM50" s="17"/>
      <c r="BN50" s="17"/>
      <c r="BO50" s="17"/>
      <c r="BP50" s="17"/>
      <c r="BQ50" s="17"/>
      <c r="BR50" s="17"/>
      <c r="BS50" s="17"/>
      <c r="BT50" s="46"/>
      <c r="BU50" s="47"/>
    </row>
    <row r="51" spans="55:73" x14ac:dyDescent="0.2">
      <c r="BC51" s="17"/>
      <c r="BD51" s="17"/>
      <c r="BE51" s="17"/>
      <c r="BF51" s="17"/>
      <c r="BG51" s="17"/>
      <c r="BH51" s="17"/>
      <c r="BI51" s="17"/>
      <c r="BJ51" s="17"/>
      <c r="BK51" s="17"/>
      <c r="BL51" s="17"/>
      <c r="BM51" s="17"/>
      <c r="BN51" s="17"/>
      <c r="BO51" s="17"/>
      <c r="BP51" s="17"/>
      <c r="BQ51" s="17"/>
      <c r="BR51" s="17"/>
      <c r="BS51" s="17"/>
      <c r="BT51" s="46"/>
      <c r="BU51" s="47"/>
    </row>
    <row r="52" spans="55:73" x14ac:dyDescent="0.2">
      <c r="BC52" s="17"/>
      <c r="BD52" s="17"/>
      <c r="BE52" s="17"/>
      <c r="BF52" s="17"/>
      <c r="BG52" s="17"/>
      <c r="BH52" s="17"/>
      <c r="BI52" s="17"/>
      <c r="BJ52" s="17"/>
      <c r="BK52" s="17"/>
      <c r="BL52" s="17"/>
      <c r="BM52" s="17"/>
      <c r="BN52" s="17"/>
      <c r="BO52" s="17"/>
      <c r="BP52" s="17"/>
      <c r="BQ52" s="17"/>
      <c r="BR52" s="17"/>
      <c r="BS52" s="17"/>
      <c r="BT52" s="46"/>
      <c r="BU52" s="47"/>
    </row>
    <row r="53" spans="55:73" x14ac:dyDescent="0.2">
      <c r="BC53" s="17"/>
      <c r="BD53" s="17"/>
      <c r="BE53" s="17"/>
      <c r="BF53" s="17"/>
      <c r="BG53" s="17"/>
      <c r="BH53" s="17"/>
      <c r="BI53" s="17"/>
      <c r="BJ53" s="17"/>
      <c r="BK53" s="17"/>
      <c r="BL53" s="17"/>
      <c r="BM53" s="17"/>
      <c r="BN53" s="17"/>
      <c r="BO53" s="17"/>
      <c r="BP53" s="17"/>
      <c r="BQ53" s="17"/>
      <c r="BR53" s="17"/>
      <c r="BS53" s="17"/>
      <c r="BT53" s="46"/>
      <c r="BU53" s="47"/>
    </row>
    <row r="54" spans="55:73" x14ac:dyDescent="0.2">
      <c r="BC54" s="17"/>
      <c r="BD54" s="17"/>
      <c r="BE54" s="17"/>
      <c r="BF54" s="17"/>
      <c r="BG54" s="17"/>
      <c r="BH54" s="17"/>
      <c r="BI54" s="17"/>
      <c r="BJ54" s="17"/>
      <c r="BK54" s="17"/>
      <c r="BL54" s="17"/>
      <c r="BM54" s="17"/>
      <c r="BN54" s="17"/>
      <c r="BO54" s="17"/>
      <c r="BP54" s="17"/>
      <c r="BQ54" s="17"/>
      <c r="BR54" s="17"/>
      <c r="BS54" s="17"/>
      <c r="BT54" s="46"/>
      <c r="BU54" s="47"/>
    </row>
    <row r="55" spans="55:73" x14ac:dyDescent="0.2">
      <c r="BC55" s="17"/>
      <c r="BD55" s="17"/>
      <c r="BE55" s="17"/>
      <c r="BF55" s="17"/>
      <c r="BG55" s="17"/>
      <c r="BH55" s="17"/>
      <c r="BI55" s="17"/>
      <c r="BJ55" s="17"/>
      <c r="BK55" s="17"/>
      <c r="BL55" s="17"/>
      <c r="BM55" s="17"/>
      <c r="BN55" s="17"/>
      <c r="BO55" s="17"/>
      <c r="BP55" s="17"/>
      <c r="BQ55" s="17"/>
      <c r="BR55" s="17"/>
      <c r="BS55" s="17"/>
      <c r="BT55" s="46"/>
      <c r="BU55" s="47"/>
    </row>
    <row r="56" spans="55:73" x14ac:dyDescent="0.2">
      <c r="BC56" s="17"/>
      <c r="BD56" s="17"/>
      <c r="BE56" s="17"/>
      <c r="BF56" s="17"/>
      <c r="BG56" s="17"/>
      <c r="BH56" s="17"/>
      <c r="BI56" s="17"/>
      <c r="BJ56" s="17"/>
      <c r="BK56" s="17"/>
      <c r="BL56" s="17"/>
      <c r="BM56" s="17"/>
      <c r="BN56" s="17"/>
      <c r="BO56" s="17"/>
      <c r="BP56" s="17"/>
      <c r="BQ56" s="17"/>
      <c r="BR56" s="17"/>
      <c r="BS56" s="17"/>
      <c r="BT56" s="46"/>
      <c r="BU56" s="47"/>
    </row>
    <row r="57" spans="55:73" x14ac:dyDescent="0.2">
      <c r="BC57" s="17"/>
      <c r="BD57" s="17"/>
      <c r="BE57" s="17"/>
      <c r="BF57" s="17"/>
      <c r="BG57" s="17"/>
      <c r="BH57" s="17"/>
      <c r="BI57" s="17"/>
      <c r="BJ57" s="17"/>
      <c r="BK57" s="17"/>
      <c r="BL57" s="17"/>
      <c r="BM57" s="17"/>
      <c r="BN57" s="17"/>
      <c r="BO57" s="17"/>
      <c r="BP57" s="17"/>
      <c r="BQ57" s="17"/>
      <c r="BR57" s="17"/>
      <c r="BS57" s="17"/>
      <c r="BT57" s="46"/>
      <c r="BU57" s="47"/>
    </row>
    <row r="58" spans="55:73" x14ac:dyDescent="0.2">
      <c r="BC58" s="17"/>
      <c r="BD58" s="17"/>
      <c r="BE58" s="17"/>
      <c r="BF58" s="17"/>
      <c r="BG58" s="17"/>
      <c r="BH58" s="17"/>
      <c r="BI58" s="17"/>
      <c r="BJ58" s="17"/>
      <c r="BK58" s="17"/>
      <c r="BL58" s="17"/>
      <c r="BM58" s="17"/>
      <c r="BN58" s="17"/>
      <c r="BO58" s="17"/>
      <c r="BP58" s="17"/>
      <c r="BQ58" s="17"/>
      <c r="BR58" s="17"/>
      <c r="BS58" s="17"/>
      <c r="BT58" s="46"/>
      <c r="BU58" s="47"/>
    </row>
    <row r="59" spans="55:73" x14ac:dyDescent="0.2">
      <c r="BC59" s="17"/>
      <c r="BD59" s="17"/>
      <c r="BE59" s="17"/>
      <c r="BF59" s="17"/>
      <c r="BG59" s="17"/>
      <c r="BH59" s="17"/>
      <c r="BI59" s="17"/>
      <c r="BJ59" s="17"/>
      <c r="BK59" s="17"/>
      <c r="BL59" s="17"/>
      <c r="BM59" s="17"/>
      <c r="BN59" s="17"/>
      <c r="BO59" s="17"/>
      <c r="BP59" s="17"/>
      <c r="BQ59" s="17"/>
      <c r="BR59" s="17"/>
      <c r="BS59" s="17"/>
      <c r="BT59" s="46"/>
      <c r="BU59" s="47"/>
    </row>
    <row r="60" spans="55:73" x14ac:dyDescent="0.2">
      <c r="BC60" s="17"/>
      <c r="BD60" s="17"/>
      <c r="BE60" s="17"/>
      <c r="BF60" s="17"/>
      <c r="BG60" s="17"/>
      <c r="BH60" s="17"/>
      <c r="BI60" s="17"/>
      <c r="BJ60" s="17"/>
      <c r="BK60" s="17"/>
      <c r="BL60" s="17"/>
      <c r="BM60" s="17"/>
      <c r="BN60" s="17"/>
      <c r="BO60" s="17"/>
      <c r="BP60" s="17"/>
      <c r="BQ60" s="17"/>
      <c r="BR60" s="17"/>
      <c r="BS60" s="17"/>
      <c r="BT60" s="46"/>
      <c r="BU60" s="47"/>
    </row>
    <row r="61" spans="55:73" x14ac:dyDescent="0.2">
      <c r="BC61" s="17"/>
      <c r="BD61" s="17"/>
      <c r="BE61" s="17"/>
      <c r="BF61" s="17"/>
      <c r="BG61" s="17"/>
      <c r="BH61" s="17"/>
      <c r="BI61" s="17"/>
      <c r="BJ61" s="17"/>
      <c r="BK61" s="17"/>
      <c r="BL61" s="17"/>
      <c r="BM61" s="17"/>
      <c r="BN61" s="17"/>
      <c r="BO61" s="17"/>
      <c r="BP61" s="17"/>
      <c r="BQ61" s="17"/>
      <c r="BR61" s="17"/>
      <c r="BS61" s="17"/>
      <c r="BT61" s="46"/>
      <c r="BU61" s="47"/>
    </row>
    <row r="62" spans="55:73" x14ac:dyDescent="0.2">
      <c r="BC62" s="17"/>
      <c r="BD62" s="17"/>
      <c r="BE62" s="17"/>
      <c r="BF62" s="17"/>
      <c r="BG62" s="17"/>
      <c r="BH62" s="17"/>
      <c r="BI62" s="17"/>
      <c r="BJ62" s="17"/>
      <c r="BK62" s="17"/>
      <c r="BL62" s="17"/>
      <c r="BM62" s="17"/>
      <c r="BN62" s="17"/>
      <c r="BO62" s="17"/>
      <c r="BP62" s="17"/>
      <c r="BQ62" s="17"/>
      <c r="BR62" s="17"/>
      <c r="BS62" s="17"/>
      <c r="BT62" s="46"/>
      <c r="BU62" s="47"/>
    </row>
    <row r="63" spans="55:73" x14ac:dyDescent="0.2">
      <c r="BC63" s="17"/>
      <c r="BD63" s="17"/>
      <c r="BE63" s="17"/>
      <c r="BF63" s="17"/>
      <c r="BG63" s="17"/>
      <c r="BH63" s="17"/>
      <c r="BI63" s="17"/>
      <c r="BJ63" s="17"/>
      <c r="BK63" s="17"/>
      <c r="BL63" s="17"/>
      <c r="BM63" s="17"/>
      <c r="BN63" s="17"/>
      <c r="BO63" s="17"/>
      <c r="BP63" s="17"/>
      <c r="BQ63" s="17"/>
      <c r="BR63" s="17"/>
      <c r="BS63" s="17"/>
      <c r="BT63" s="46"/>
      <c r="BU63" s="47"/>
    </row>
    <row r="64" spans="55:73" x14ac:dyDescent="0.2">
      <c r="BC64" s="17"/>
      <c r="BD64" s="17"/>
      <c r="BE64" s="17"/>
      <c r="BF64" s="17"/>
      <c r="BG64" s="17"/>
      <c r="BH64" s="17"/>
      <c r="BI64" s="17"/>
      <c r="BJ64" s="17"/>
      <c r="BK64" s="17"/>
      <c r="BL64" s="17"/>
      <c r="BM64" s="17"/>
      <c r="BN64" s="17"/>
      <c r="BO64" s="17"/>
      <c r="BP64" s="17"/>
      <c r="BQ64" s="17"/>
      <c r="BR64" s="17"/>
      <c r="BS64" s="17"/>
      <c r="BT64" s="46"/>
      <c r="BU64" s="47"/>
    </row>
    <row r="65" spans="55:73" x14ac:dyDescent="0.2">
      <c r="BC65" s="17"/>
      <c r="BD65" s="17"/>
      <c r="BE65" s="17"/>
      <c r="BF65" s="17"/>
      <c r="BG65" s="17"/>
      <c r="BH65" s="17"/>
      <c r="BI65" s="17"/>
      <c r="BJ65" s="17"/>
      <c r="BK65" s="17"/>
      <c r="BL65" s="17"/>
      <c r="BM65" s="17"/>
      <c r="BN65" s="17"/>
      <c r="BO65" s="17"/>
      <c r="BP65" s="17"/>
      <c r="BQ65" s="17"/>
      <c r="BR65" s="17"/>
      <c r="BS65" s="17"/>
      <c r="BT65" s="46"/>
      <c r="BU65" s="47"/>
    </row>
    <row r="66" spans="55:73" x14ac:dyDescent="0.2">
      <c r="BC66" s="17"/>
      <c r="BD66" s="17"/>
      <c r="BE66" s="17"/>
      <c r="BF66" s="17"/>
      <c r="BG66" s="17"/>
      <c r="BH66" s="17"/>
      <c r="BI66" s="17"/>
      <c r="BJ66" s="17"/>
      <c r="BK66" s="17"/>
      <c r="BL66" s="17"/>
      <c r="BM66" s="17"/>
      <c r="BN66" s="17"/>
      <c r="BO66" s="17"/>
      <c r="BP66" s="17"/>
      <c r="BQ66" s="17"/>
      <c r="BR66" s="17"/>
      <c r="BS66" s="17"/>
      <c r="BT66" s="46"/>
      <c r="BU66" s="47"/>
    </row>
    <row r="67" spans="55:73" x14ac:dyDescent="0.2">
      <c r="BC67" s="17"/>
      <c r="BD67" s="17"/>
      <c r="BE67" s="17"/>
      <c r="BF67" s="17"/>
      <c r="BG67" s="17"/>
      <c r="BH67" s="17"/>
      <c r="BI67" s="17"/>
      <c r="BJ67" s="17"/>
      <c r="BK67" s="17"/>
      <c r="BL67" s="17"/>
      <c r="BM67" s="17"/>
      <c r="BN67" s="17"/>
      <c r="BO67" s="17"/>
      <c r="BP67" s="17"/>
      <c r="BQ67" s="17"/>
      <c r="BR67" s="17"/>
      <c r="BS67" s="17"/>
      <c r="BT67" s="46"/>
      <c r="BU67" s="47"/>
    </row>
    <row r="68" spans="55:73" x14ac:dyDescent="0.2">
      <c r="BC68" s="17"/>
      <c r="BD68" s="17"/>
      <c r="BE68" s="17"/>
      <c r="BF68" s="17"/>
      <c r="BG68" s="17"/>
      <c r="BH68" s="17"/>
      <c r="BI68" s="17"/>
      <c r="BJ68" s="17"/>
      <c r="BK68" s="17"/>
      <c r="BL68" s="17"/>
      <c r="BM68" s="17"/>
      <c r="BN68" s="17"/>
      <c r="BO68" s="17"/>
      <c r="BP68" s="17"/>
      <c r="BQ68" s="17"/>
      <c r="BR68" s="17"/>
      <c r="BS68" s="17"/>
      <c r="BT68" s="46"/>
      <c r="BU68" s="47"/>
    </row>
    <row r="69" spans="55:73" x14ac:dyDescent="0.2">
      <c r="BC69" s="17"/>
      <c r="BD69" s="17"/>
      <c r="BE69" s="17"/>
      <c r="BF69" s="17"/>
      <c r="BG69" s="17"/>
      <c r="BH69" s="17"/>
      <c r="BI69" s="17"/>
      <c r="BJ69" s="17"/>
      <c r="BK69" s="17"/>
      <c r="BL69" s="17"/>
      <c r="BM69" s="17"/>
      <c r="BN69" s="17"/>
      <c r="BO69" s="17"/>
      <c r="BP69" s="17"/>
      <c r="BQ69" s="17"/>
      <c r="BR69" s="17"/>
      <c r="BS69" s="17"/>
      <c r="BT69" s="46"/>
      <c r="BU69" s="47"/>
    </row>
    <row r="70" spans="55:73" x14ac:dyDescent="0.2">
      <c r="BC70" s="17"/>
      <c r="BD70" s="17"/>
      <c r="BE70" s="17"/>
      <c r="BF70" s="17"/>
      <c r="BG70" s="17"/>
      <c r="BH70" s="17"/>
      <c r="BI70" s="17"/>
      <c r="BJ70" s="17"/>
      <c r="BK70" s="17"/>
      <c r="BL70" s="17"/>
      <c r="BM70" s="17"/>
      <c r="BN70" s="17"/>
      <c r="BO70" s="17"/>
      <c r="BP70" s="17"/>
      <c r="BQ70" s="17"/>
      <c r="BR70" s="17"/>
      <c r="BS70" s="17"/>
      <c r="BT70" s="46"/>
      <c r="BU70" s="47"/>
    </row>
    <row r="71" spans="55:73" x14ac:dyDescent="0.2">
      <c r="BC71" s="17"/>
      <c r="BD71" s="17"/>
      <c r="BE71" s="17"/>
      <c r="BF71" s="17"/>
      <c r="BG71" s="17"/>
      <c r="BH71" s="17"/>
      <c r="BI71" s="17"/>
      <c r="BJ71" s="17"/>
      <c r="BK71" s="17"/>
      <c r="BL71" s="17"/>
      <c r="BM71" s="17"/>
      <c r="BN71" s="17"/>
      <c r="BO71" s="17"/>
      <c r="BP71" s="17"/>
      <c r="BQ71" s="17"/>
      <c r="BR71" s="17"/>
      <c r="BS71" s="17"/>
      <c r="BT71" s="46"/>
      <c r="BU71" s="47"/>
    </row>
    <row r="72" spans="55:73" x14ac:dyDescent="0.2">
      <c r="BC72" s="17"/>
      <c r="BD72" s="17"/>
      <c r="BE72" s="17"/>
      <c r="BF72" s="17"/>
      <c r="BG72" s="17"/>
      <c r="BH72" s="17"/>
      <c r="BI72" s="17"/>
      <c r="BJ72" s="17"/>
      <c r="BK72" s="17"/>
      <c r="BL72" s="17"/>
      <c r="BM72" s="17"/>
      <c r="BN72" s="17"/>
      <c r="BO72" s="17"/>
      <c r="BP72" s="17"/>
      <c r="BQ72" s="17"/>
      <c r="BR72" s="17"/>
      <c r="BS72" s="17"/>
      <c r="BT72" s="46"/>
      <c r="BU72" s="47"/>
    </row>
    <row r="73" spans="55:73" x14ac:dyDescent="0.2">
      <c r="BC73" s="17"/>
      <c r="BD73" s="17"/>
      <c r="BE73" s="17"/>
      <c r="BF73" s="17"/>
      <c r="BG73" s="17"/>
      <c r="BH73" s="17"/>
      <c r="BI73" s="17"/>
      <c r="BJ73" s="17"/>
      <c r="BK73" s="17"/>
      <c r="BL73" s="17"/>
      <c r="BM73" s="17"/>
      <c r="BN73" s="17"/>
      <c r="BO73" s="17"/>
      <c r="BP73" s="17"/>
      <c r="BQ73" s="17"/>
      <c r="BR73" s="17"/>
      <c r="BS73" s="17"/>
      <c r="BT73" s="46"/>
      <c r="BU73" s="47"/>
    </row>
    <row r="74" spans="55:73" x14ac:dyDescent="0.2">
      <c r="BC74" s="17"/>
      <c r="BD74" s="17"/>
      <c r="BE74" s="17"/>
      <c r="BF74" s="17"/>
      <c r="BG74" s="17"/>
      <c r="BH74" s="17"/>
      <c r="BI74" s="17"/>
      <c r="BJ74" s="17"/>
      <c r="BK74" s="17"/>
      <c r="BL74" s="17"/>
      <c r="BM74" s="17"/>
      <c r="BN74" s="17"/>
      <c r="BO74" s="17"/>
      <c r="BP74" s="17"/>
      <c r="BQ74" s="17"/>
      <c r="BR74" s="17"/>
      <c r="BS74" s="17"/>
      <c r="BT74" s="46"/>
      <c r="BU74" s="47"/>
    </row>
    <row r="75" spans="55:73" x14ac:dyDescent="0.2">
      <c r="BC75" s="17"/>
      <c r="BD75" s="17"/>
      <c r="BE75" s="17"/>
      <c r="BF75" s="17"/>
      <c r="BG75" s="17"/>
      <c r="BH75" s="17"/>
      <c r="BI75" s="17"/>
      <c r="BJ75" s="17"/>
      <c r="BK75" s="17"/>
      <c r="BL75" s="17"/>
      <c r="BM75" s="17"/>
      <c r="BN75" s="17"/>
      <c r="BO75" s="17"/>
      <c r="BP75" s="17"/>
      <c r="BQ75" s="17"/>
      <c r="BR75" s="17"/>
      <c r="BS75" s="17"/>
      <c r="BT75" s="46"/>
      <c r="BU75" s="47"/>
    </row>
    <row r="76" spans="55:73" x14ac:dyDescent="0.2">
      <c r="BC76" s="17"/>
      <c r="BD76" s="17"/>
      <c r="BE76" s="17"/>
      <c r="BF76" s="17"/>
      <c r="BG76" s="17"/>
      <c r="BH76" s="17"/>
      <c r="BI76" s="17"/>
      <c r="BJ76" s="17"/>
      <c r="BK76" s="17"/>
      <c r="BL76" s="17"/>
      <c r="BM76" s="17"/>
      <c r="BN76" s="17"/>
      <c r="BO76" s="17"/>
      <c r="BP76" s="17"/>
      <c r="BQ76" s="17"/>
      <c r="BR76" s="17"/>
      <c r="BS76" s="17"/>
      <c r="BT76" s="46"/>
      <c r="BU76" s="47"/>
    </row>
    <row r="77" spans="55:73" x14ac:dyDescent="0.2">
      <c r="BC77" s="17"/>
      <c r="BD77" s="17"/>
      <c r="BE77" s="17"/>
      <c r="BF77" s="17"/>
      <c r="BG77" s="17"/>
      <c r="BH77" s="17"/>
      <c r="BI77" s="17"/>
      <c r="BJ77" s="17"/>
      <c r="BK77" s="17"/>
      <c r="BL77" s="17"/>
      <c r="BM77" s="17"/>
      <c r="BN77" s="17"/>
      <c r="BO77" s="17"/>
      <c r="BP77" s="17"/>
      <c r="BQ77" s="17"/>
      <c r="BR77" s="17"/>
      <c r="BS77" s="17"/>
      <c r="BT77" s="46"/>
      <c r="BU77" s="47"/>
    </row>
    <row r="78" spans="55:73" x14ac:dyDescent="0.2">
      <c r="BC78" s="17"/>
      <c r="BD78" s="17"/>
      <c r="BE78" s="17"/>
      <c r="BF78" s="17"/>
      <c r="BG78" s="17"/>
      <c r="BH78" s="17"/>
      <c r="BI78" s="17"/>
      <c r="BJ78" s="17"/>
      <c r="BK78" s="17"/>
      <c r="BL78" s="17"/>
      <c r="BM78" s="17"/>
      <c r="BN78" s="17"/>
      <c r="BO78" s="17"/>
      <c r="BP78" s="17"/>
      <c r="BQ78" s="17"/>
      <c r="BR78" s="17"/>
      <c r="BS78" s="17"/>
      <c r="BT78" s="46"/>
      <c r="BU78" s="47"/>
    </row>
    <row r="79" spans="55:73" x14ac:dyDescent="0.2">
      <c r="BC79" s="17"/>
      <c r="BD79" s="17"/>
      <c r="BE79" s="17"/>
      <c r="BF79" s="17"/>
      <c r="BG79" s="17"/>
      <c r="BH79" s="17"/>
      <c r="BI79" s="17"/>
      <c r="BJ79" s="17"/>
      <c r="BK79" s="17"/>
      <c r="BL79" s="17"/>
      <c r="BM79" s="17"/>
      <c r="BN79" s="17"/>
      <c r="BO79" s="17"/>
      <c r="BP79" s="17"/>
      <c r="BQ79" s="17"/>
      <c r="BR79" s="17"/>
      <c r="BS79" s="17"/>
      <c r="BT79" s="46"/>
      <c r="BU79" s="47"/>
    </row>
    <row r="80" spans="55:73" x14ac:dyDescent="0.2">
      <c r="BC80" s="17"/>
      <c r="BD80" s="17"/>
      <c r="BE80" s="17"/>
      <c r="BF80" s="17"/>
      <c r="BG80" s="17"/>
      <c r="BH80" s="17"/>
      <c r="BI80" s="17"/>
      <c r="BJ80" s="17"/>
      <c r="BK80" s="17"/>
      <c r="BL80" s="17"/>
      <c r="BM80" s="17"/>
      <c r="BN80" s="17"/>
      <c r="BO80" s="17"/>
      <c r="BP80" s="17"/>
      <c r="BQ80" s="17"/>
      <c r="BR80" s="17"/>
      <c r="BS80" s="17"/>
      <c r="BT80" s="46"/>
      <c r="BU80" s="47"/>
    </row>
    <row r="81" spans="55:73" x14ac:dyDescent="0.2">
      <c r="BC81" s="17"/>
      <c r="BD81" s="17"/>
      <c r="BE81" s="17"/>
      <c r="BF81" s="17"/>
      <c r="BG81" s="17"/>
      <c r="BH81" s="17"/>
      <c r="BI81" s="17"/>
      <c r="BJ81" s="17"/>
      <c r="BK81" s="17"/>
      <c r="BL81" s="17"/>
      <c r="BM81" s="17"/>
      <c r="BN81" s="17"/>
      <c r="BO81" s="17"/>
      <c r="BP81" s="17"/>
      <c r="BQ81" s="17"/>
      <c r="BR81" s="17"/>
      <c r="BS81" s="17"/>
      <c r="BT81" s="46"/>
      <c r="BU81" s="47"/>
    </row>
    <row r="82" spans="55:73" x14ac:dyDescent="0.2">
      <c r="BC82" s="17"/>
      <c r="BD82" s="17"/>
      <c r="BE82" s="17"/>
      <c r="BF82" s="17"/>
      <c r="BG82" s="17"/>
      <c r="BH82" s="17"/>
      <c r="BI82" s="17"/>
      <c r="BJ82" s="17"/>
      <c r="BK82" s="17"/>
      <c r="BL82" s="17"/>
      <c r="BM82" s="17"/>
      <c r="BN82" s="17"/>
      <c r="BO82" s="17"/>
      <c r="BP82" s="17"/>
      <c r="BQ82" s="17"/>
      <c r="BR82" s="17"/>
      <c r="BS82" s="17"/>
      <c r="BT82" s="46"/>
      <c r="BU82" s="47"/>
    </row>
    <row r="83" spans="55:73" x14ac:dyDescent="0.2">
      <c r="BC83" s="17"/>
      <c r="BD83" s="17"/>
      <c r="BE83" s="17"/>
      <c r="BF83" s="17"/>
      <c r="BG83" s="17"/>
      <c r="BH83" s="17"/>
      <c r="BI83" s="17"/>
      <c r="BJ83" s="17"/>
      <c r="BK83" s="17"/>
      <c r="BL83" s="17"/>
      <c r="BM83" s="17"/>
      <c r="BN83" s="17"/>
      <c r="BO83" s="17"/>
      <c r="BP83" s="17"/>
      <c r="BQ83" s="17"/>
      <c r="BR83" s="17"/>
      <c r="BS83" s="17"/>
      <c r="BT83" s="46"/>
      <c r="BU83" s="47"/>
    </row>
    <row r="84" spans="55:73" x14ac:dyDescent="0.2">
      <c r="BC84" s="17"/>
      <c r="BD84" s="17"/>
      <c r="BE84" s="17"/>
      <c r="BF84" s="17"/>
      <c r="BG84" s="17"/>
      <c r="BH84" s="17"/>
      <c r="BI84" s="17"/>
      <c r="BJ84" s="17"/>
      <c r="BK84" s="17"/>
      <c r="BL84" s="17"/>
      <c r="BM84" s="17"/>
      <c r="BN84" s="17"/>
      <c r="BO84" s="17"/>
      <c r="BP84" s="17"/>
      <c r="BQ84" s="17"/>
      <c r="BR84" s="17"/>
      <c r="BS84" s="17"/>
      <c r="BT84" s="46"/>
      <c r="BU84" s="47"/>
    </row>
    <row r="85" spans="55:73" x14ac:dyDescent="0.2">
      <c r="BC85" s="17"/>
      <c r="BD85" s="17"/>
      <c r="BE85" s="17"/>
      <c r="BF85" s="17"/>
      <c r="BG85" s="17"/>
      <c r="BH85" s="17"/>
      <c r="BI85" s="17"/>
      <c r="BJ85" s="17"/>
      <c r="BK85" s="17"/>
      <c r="BL85" s="17"/>
      <c r="BM85" s="17"/>
      <c r="BN85" s="17"/>
      <c r="BO85" s="17"/>
      <c r="BP85" s="17"/>
      <c r="BQ85" s="17"/>
      <c r="BR85" s="17"/>
      <c r="BS85" s="17"/>
      <c r="BT85" s="46"/>
      <c r="BU85" s="47"/>
    </row>
    <row r="86" spans="55:73" x14ac:dyDescent="0.2">
      <c r="BC86" s="17"/>
      <c r="BD86" s="17"/>
      <c r="BE86" s="17"/>
      <c r="BF86" s="17"/>
      <c r="BG86" s="17"/>
      <c r="BH86" s="17"/>
      <c r="BI86" s="17"/>
      <c r="BJ86" s="17"/>
      <c r="BK86" s="17"/>
      <c r="BL86" s="17"/>
      <c r="BM86" s="17"/>
      <c r="BN86" s="17"/>
      <c r="BO86" s="17"/>
      <c r="BP86" s="17"/>
      <c r="BQ86" s="17"/>
      <c r="BR86" s="17"/>
      <c r="BS86" s="17"/>
      <c r="BT86" s="46"/>
      <c r="BU86" s="47"/>
    </row>
    <row r="87" spans="55:73" x14ac:dyDescent="0.2">
      <c r="BC87" s="17"/>
      <c r="BD87" s="17"/>
      <c r="BE87" s="17"/>
      <c r="BF87" s="17"/>
      <c r="BG87" s="17"/>
      <c r="BH87" s="17"/>
      <c r="BI87" s="17"/>
      <c r="BJ87" s="17"/>
      <c r="BK87" s="17"/>
      <c r="BL87" s="17"/>
      <c r="BM87" s="17"/>
      <c r="BN87" s="17"/>
      <c r="BO87" s="17"/>
      <c r="BP87" s="17"/>
      <c r="BQ87" s="17"/>
      <c r="BR87" s="17"/>
      <c r="BS87" s="17"/>
      <c r="BT87" s="46"/>
      <c r="BU87" s="47"/>
    </row>
    <row r="88" spans="55:73" x14ac:dyDescent="0.2">
      <c r="BC88" s="17"/>
      <c r="BD88" s="17"/>
      <c r="BE88" s="17"/>
      <c r="BF88" s="17"/>
      <c r="BG88" s="17"/>
      <c r="BH88" s="17"/>
      <c r="BI88" s="17"/>
      <c r="BJ88" s="17"/>
      <c r="BK88" s="17"/>
      <c r="BL88" s="17"/>
      <c r="BM88" s="17"/>
      <c r="BN88" s="17"/>
      <c r="BO88" s="17"/>
      <c r="BP88" s="17"/>
      <c r="BQ88" s="17"/>
      <c r="BR88" s="17"/>
      <c r="BS88" s="17"/>
      <c r="BT88" s="46"/>
      <c r="BU88" s="47"/>
    </row>
    <row r="89" spans="55:73" x14ac:dyDescent="0.2">
      <c r="BC89" s="17"/>
      <c r="BD89" s="17"/>
      <c r="BE89" s="17"/>
      <c r="BF89" s="17"/>
      <c r="BG89" s="17"/>
      <c r="BH89" s="17"/>
      <c r="BI89" s="17"/>
      <c r="BJ89" s="17"/>
      <c r="BK89" s="17"/>
      <c r="BL89" s="17"/>
      <c r="BM89" s="17"/>
      <c r="BN89" s="17"/>
      <c r="BO89" s="17"/>
      <c r="BP89" s="17"/>
      <c r="BQ89" s="17"/>
      <c r="BR89" s="17"/>
      <c r="BS89" s="17"/>
      <c r="BT89" s="46"/>
      <c r="BU89" s="47"/>
    </row>
    <row r="90" spans="55:73" x14ac:dyDescent="0.2">
      <c r="BC90" s="17"/>
      <c r="BD90" s="17"/>
      <c r="BE90" s="17"/>
      <c r="BF90" s="17"/>
      <c r="BG90" s="17"/>
      <c r="BH90" s="17"/>
      <c r="BI90" s="17"/>
      <c r="BJ90" s="17"/>
      <c r="BK90" s="17"/>
      <c r="BL90" s="17"/>
      <c r="BM90" s="17"/>
      <c r="BN90" s="17"/>
      <c r="BO90" s="17"/>
      <c r="BP90" s="17"/>
      <c r="BQ90" s="17"/>
      <c r="BR90" s="17"/>
      <c r="BS90" s="17"/>
      <c r="BT90" s="46"/>
      <c r="BU90" s="47"/>
    </row>
    <row r="91" spans="55:73" x14ac:dyDescent="0.2">
      <c r="BC91" s="17"/>
      <c r="BD91" s="17"/>
      <c r="BE91" s="17"/>
      <c r="BF91" s="17"/>
      <c r="BG91" s="17"/>
      <c r="BH91" s="17"/>
      <c r="BI91" s="17"/>
      <c r="BJ91" s="17"/>
      <c r="BK91" s="17"/>
      <c r="BL91" s="17"/>
      <c r="BM91" s="17"/>
      <c r="BN91" s="17"/>
      <c r="BO91" s="17"/>
      <c r="BP91" s="17"/>
      <c r="BQ91" s="17"/>
      <c r="BR91" s="17"/>
      <c r="BS91" s="17"/>
      <c r="BT91" s="46"/>
      <c r="BU91" s="47"/>
    </row>
    <row r="92" spans="55:73" x14ac:dyDescent="0.2">
      <c r="BC92" s="17"/>
      <c r="BD92" s="17"/>
      <c r="BE92" s="17"/>
      <c r="BF92" s="17"/>
      <c r="BG92" s="17"/>
      <c r="BH92" s="17"/>
      <c r="BI92" s="17"/>
      <c r="BJ92" s="17"/>
      <c r="BK92" s="17"/>
      <c r="BL92" s="17"/>
      <c r="BM92" s="17"/>
      <c r="BN92" s="17"/>
      <c r="BO92" s="17"/>
      <c r="BP92" s="17"/>
      <c r="BQ92" s="17"/>
      <c r="BR92" s="17"/>
      <c r="BS92" s="17"/>
      <c r="BT92" s="46"/>
      <c r="BU92" s="47"/>
    </row>
    <row r="93" spans="55:73" x14ac:dyDescent="0.2">
      <c r="BC93" s="17"/>
      <c r="BD93" s="17"/>
      <c r="BE93" s="17"/>
      <c r="BF93" s="17"/>
      <c r="BG93" s="17"/>
      <c r="BH93" s="17"/>
      <c r="BI93" s="17"/>
      <c r="BJ93" s="17"/>
      <c r="BK93" s="17"/>
      <c r="BL93" s="17"/>
      <c r="BM93" s="17"/>
      <c r="BN93" s="17"/>
      <c r="BO93" s="17"/>
      <c r="BP93" s="17"/>
      <c r="BQ93" s="17"/>
      <c r="BR93" s="17"/>
      <c r="BS93" s="17"/>
      <c r="BT93" s="46"/>
      <c r="BU93" s="47"/>
    </row>
    <row r="94" spans="55:73" x14ac:dyDescent="0.2">
      <c r="BC94" s="17"/>
      <c r="BD94" s="17"/>
      <c r="BE94" s="17"/>
      <c r="BF94" s="17"/>
      <c r="BG94" s="17"/>
      <c r="BH94" s="17"/>
      <c r="BI94" s="17"/>
      <c r="BJ94" s="17"/>
      <c r="BK94" s="17"/>
      <c r="BL94" s="17"/>
      <c r="BM94" s="17"/>
      <c r="BN94" s="17"/>
      <c r="BO94" s="17"/>
      <c r="BP94" s="17"/>
      <c r="BQ94" s="17"/>
      <c r="BR94" s="17"/>
      <c r="BS94" s="17"/>
      <c r="BT94" s="46"/>
      <c r="BU94" s="47"/>
    </row>
    <row r="95" spans="55:73" x14ac:dyDescent="0.2">
      <c r="BC95" s="17"/>
      <c r="BD95" s="17"/>
      <c r="BE95" s="17"/>
      <c r="BF95" s="17"/>
      <c r="BG95" s="17"/>
      <c r="BH95" s="17"/>
      <c r="BI95" s="17"/>
      <c r="BJ95" s="17"/>
      <c r="BK95" s="17"/>
      <c r="BL95" s="17"/>
      <c r="BM95" s="17"/>
      <c r="BN95" s="17"/>
      <c r="BO95" s="17"/>
      <c r="BP95" s="17"/>
      <c r="BQ95" s="17"/>
      <c r="BR95" s="17"/>
      <c r="BS95" s="17"/>
      <c r="BT95" s="46"/>
      <c r="BU95" s="47"/>
    </row>
    <row r="96" spans="55:73" x14ac:dyDescent="0.2">
      <c r="BC96" s="17"/>
      <c r="BD96" s="17"/>
      <c r="BE96" s="17"/>
      <c r="BF96" s="17"/>
      <c r="BG96" s="17"/>
      <c r="BH96" s="17"/>
      <c r="BI96" s="17"/>
      <c r="BJ96" s="17"/>
      <c r="BK96" s="17"/>
      <c r="BL96" s="17"/>
      <c r="BM96" s="17"/>
      <c r="BN96" s="17"/>
      <c r="BO96" s="17"/>
      <c r="BP96" s="17"/>
      <c r="BQ96" s="17"/>
      <c r="BR96" s="17"/>
      <c r="BS96" s="17"/>
      <c r="BT96" s="46"/>
      <c r="BU96" s="47"/>
    </row>
    <row r="97" spans="55:73" x14ac:dyDescent="0.2">
      <c r="BC97" s="17"/>
      <c r="BD97" s="17"/>
      <c r="BE97" s="17"/>
      <c r="BF97" s="17"/>
      <c r="BG97" s="17"/>
      <c r="BH97" s="17"/>
      <c r="BI97" s="17"/>
      <c r="BJ97" s="17"/>
      <c r="BK97" s="17"/>
      <c r="BL97" s="17"/>
      <c r="BM97" s="17"/>
      <c r="BN97" s="17"/>
      <c r="BO97" s="17"/>
      <c r="BP97" s="17"/>
      <c r="BQ97" s="17"/>
      <c r="BR97" s="17"/>
      <c r="BS97" s="17"/>
      <c r="BT97" s="46"/>
      <c r="BU97" s="47"/>
    </row>
    <row r="98" spans="55:73" x14ac:dyDescent="0.2">
      <c r="BC98" s="17"/>
      <c r="BD98" s="17"/>
      <c r="BE98" s="17"/>
      <c r="BF98" s="17"/>
      <c r="BG98" s="17"/>
      <c r="BH98" s="17"/>
      <c r="BI98" s="17"/>
      <c r="BJ98" s="17"/>
      <c r="BK98" s="17"/>
      <c r="BL98" s="17"/>
      <c r="BM98" s="17"/>
      <c r="BN98" s="17"/>
      <c r="BO98" s="17"/>
      <c r="BP98" s="17"/>
      <c r="BQ98" s="17"/>
      <c r="BR98" s="17"/>
      <c r="BS98" s="17"/>
      <c r="BT98" s="46"/>
      <c r="BU98" s="47"/>
    </row>
    <row r="99" spans="55:73" x14ac:dyDescent="0.2">
      <c r="BC99" s="17"/>
      <c r="BD99" s="17"/>
      <c r="BE99" s="17"/>
      <c r="BF99" s="17"/>
      <c r="BG99" s="17"/>
      <c r="BH99" s="17"/>
      <c r="BI99" s="17"/>
      <c r="BJ99" s="17"/>
      <c r="BK99" s="17"/>
      <c r="BL99" s="17"/>
      <c r="BM99" s="17"/>
      <c r="BN99" s="17"/>
      <c r="BO99" s="17"/>
      <c r="BP99" s="17"/>
      <c r="BQ99" s="17"/>
      <c r="BR99" s="17"/>
      <c r="BS99" s="17"/>
      <c r="BT99" s="46"/>
      <c r="BU99" s="47"/>
    </row>
    <row r="100" spans="55:73" x14ac:dyDescent="0.2">
      <c r="BC100" s="17"/>
      <c r="BD100" s="17"/>
      <c r="BE100" s="17"/>
      <c r="BF100" s="17"/>
      <c r="BG100" s="17"/>
      <c r="BH100" s="17"/>
      <c r="BI100" s="17"/>
      <c r="BJ100" s="17"/>
      <c r="BK100" s="17"/>
      <c r="BL100" s="17"/>
      <c r="BM100" s="17"/>
      <c r="BN100" s="17"/>
      <c r="BO100" s="17"/>
      <c r="BP100" s="17"/>
      <c r="BQ100" s="17"/>
      <c r="BR100" s="17"/>
      <c r="BS100" s="17"/>
      <c r="BT100" s="46"/>
      <c r="BU100" s="47"/>
    </row>
    <row r="101" spans="55:73" x14ac:dyDescent="0.2">
      <c r="BC101" s="17"/>
      <c r="BD101" s="17"/>
      <c r="BE101" s="17"/>
      <c r="BF101" s="17"/>
      <c r="BG101" s="17"/>
      <c r="BH101" s="17"/>
      <c r="BI101" s="17"/>
      <c r="BJ101" s="17"/>
      <c r="BK101" s="17"/>
      <c r="BL101" s="17"/>
      <c r="BM101" s="17"/>
      <c r="BN101" s="17"/>
      <c r="BO101" s="17"/>
      <c r="BP101" s="17"/>
      <c r="BQ101" s="17"/>
      <c r="BR101" s="17"/>
      <c r="BS101" s="17"/>
      <c r="BT101" s="46"/>
      <c r="BU101" s="47"/>
    </row>
  </sheetData>
  <mergeCells count="13">
    <mergeCell ref="H17:J17"/>
    <mergeCell ref="H18:J18"/>
    <mergeCell ref="H19:J19"/>
    <mergeCell ref="H8:J8"/>
    <mergeCell ref="H9:J9"/>
    <mergeCell ref="H12:J12"/>
    <mergeCell ref="H13:J13"/>
    <mergeCell ref="H14:J14"/>
    <mergeCell ref="K4:N4"/>
    <mergeCell ref="P4:Q4"/>
    <mergeCell ref="S4:T4"/>
    <mergeCell ref="V4:W4"/>
    <mergeCell ref="H7:J7"/>
  </mergeCells>
  <conditionalFormatting sqref="K7">
    <cfRule type="containsBlanks" priority="4" stopIfTrue="1">
      <formula>LEN(TRIM(K7))=0</formula>
    </cfRule>
  </conditionalFormatting>
  <conditionalFormatting sqref="K12:K14">
    <cfRule type="expression" dxfId="291" priority="27">
      <formula>IF(K12="",FALSE,TRUE)</formula>
    </cfRule>
  </conditionalFormatting>
  <conditionalFormatting sqref="K17:K19">
    <cfRule type="expression" dxfId="290" priority="18">
      <formula>IF(K17="",FALSE,TRUE)</formula>
    </cfRule>
  </conditionalFormatting>
  <conditionalFormatting sqref="K22:N24">
    <cfRule type="expression" dxfId="289" priority="12">
      <formula>IF(K22="",FALSE,TRUE)</formula>
    </cfRule>
  </conditionalFormatting>
  <conditionalFormatting sqref="K7:W30">
    <cfRule type="containsBlanks" priority="1" stopIfTrue="1">
      <formula>LEN(TRIM(K7))=0</formula>
    </cfRule>
  </conditionalFormatting>
  <conditionalFormatting sqref="M12:N14">
    <cfRule type="expression" dxfId="288" priority="21">
      <formula>IF(M12="",FALSE,TRUE)</formula>
    </cfRule>
  </conditionalFormatting>
  <conditionalFormatting sqref="M17:N17">
    <cfRule type="expression" dxfId="287" priority="15">
      <formula>IF(M17="",FALSE,TRUE)</formula>
    </cfRule>
  </conditionalFormatting>
  <dataValidations count="3">
    <dataValidation type="list" allowBlank="1" showInputMessage="1" showErrorMessage="1" sqref="K5" xr:uid="{C7D20667-CBF8-4A20-B90F-CA79502791B7}">
      <formula1>source_pc</formula1>
    </dataValidation>
    <dataValidation type="list" allowBlank="1" showInputMessage="1" showErrorMessage="1" sqref="K32" xr:uid="{8211FC5F-5A1A-4B6B-B1EA-DDC411B2A02C}">
      <formula1>"0,0.2,0.65"</formula1>
    </dataValidation>
    <dataValidation type="list" allowBlank="1" showInputMessage="1" showErrorMessage="1" sqref="K31" xr:uid="{377CEB36-6AFA-4023-B147-A129110867D5}">
      <formula1>List_YesorNo</formula1>
    </dataValidation>
  </dataValidations>
  <hyperlinks>
    <hyperlink ref="D2" location="'Navigation control'!A1" display="Navigation control" xr:uid="{0CC69A6D-8DEE-4854-986F-6E69956A8795}"/>
  </hyperlinks>
  <pageMargins left="0.7" right="0.7" top="0.75" bottom="0.75" header="0.511811023622047" footer="0.511811023622047"/>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5F99CA"/>
  </sheetPr>
  <dimension ref="B1:GH197"/>
  <sheetViews>
    <sheetView showGridLines="0" zoomScale="70" zoomScaleNormal="70" workbookViewId="0">
      <pane xSplit="8" topLeftCell="I1" activePane="topRight" state="frozen"/>
      <selection pane="topRight" activeCell="AA168" sqref="AA168"/>
    </sheetView>
  </sheetViews>
  <sheetFormatPr defaultColWidth="8.7109375" defaultRowHeight="15" x14ac:dyDescent="0.2"/>
  <cols>
    <col min="1" max="1" width="1.7109375" style="107" customWidth="1"/>
    <col min="2" max="2" width="1.42578125" style="785" customWidth="1"/>
    <col min="3" max="3" width="1.7109375" style="785" customWidth="1"/>
    <col min="4" max="4" width="1.7109375" style="107" customWidth="1"/>
    <col min="5" max="5" width="4.140625" style="107" customWidth="1"/>
    <col min="6" max="6" width="4.7109375" style="107" customWidth="1"/>
    <col min="7" max="7" width="3.7109375" style="107" customWidth="1"/>
    <col min="8" max="8" width="11.28515625" style="107" customWidth="1"/>
    <col min="9" max="9" width="22.28515625" style="107" bestFit="1" customWidth="1"/>
    <col min="10" max="10" width="16" style="107" customWidth="1"/>
    <col min="11" max="11" width="17.28515625" style="107" customWidth="1"/>
    <col min="12" max="12" width="15.42578125" style="107" customWidth="1"/>
    <col min="13" max="13" width="17.5703125" style="107" customWidth="1"/>
    <col min="14" max="14" width="17.28515625" style="107" customWidth="1"/>
    <col min="15" max="15" width="17.5703125" style="107" customWidth="1"/>
    <col min="16" max="18" width="16.5703125" style="107" customWidth="1"/>
    <col min="19" max="19" width="17.28515625" style="107" customWidth="1"/>
    <col min="20" max="20" width="16" style="107" customWidth="1"/>
    <col min="21" max="21" width="15.5703125" style="107" customWidth="1"/>
    <col min="22" max="22" width="17" style="107" customWidth="1"/>
    <col min="23" max="23" width="14.42578125" style="107" customWidth="1"/>
    <col min="24" max="24" width="21.7109375" style="107" bestFit="1" customWidth="1"/>
    <col min="25" max="25" width="17" style="107" customWidth="1"/>
    <col min="26" max="29" width="14.42578125" style="107" customWidth="1"/>
    <col min="30" max="30" width="14.42578125" style="884" customWidth="1"/>
    <col min="31" max="33" width="14.42578125" style="107" customWidth="1"/>
    <col min="34" max="34" width="14.28515625" style="107" bestFit="1" customWidth="1"/>
    <col min="35" max="35" width="12.7109375" style="107" bestFit="1" customWidth="1"/>
    <col min="36" max="36" width="16.5703125" style="107" bestFit="1" customWidth="1"/>
    <col min="37" max="37" width="15.28515625" style="107" customWidth="1"/>
    <col min="38" max="38" width="8.7109375" style="107"/>
    <col min="39" max="39" width="31.5703125" style="107" bestFit="1" customWidth="1"/>
    <col min="40" max="40" width="28.85546875" style="107" customWidth="1"/>
    <col min="41" max="41" width="14.7109375" style="107" customWidth="1"/>
    <col min="42" max="42" width="15.28515625" style="107" customWidth="1"/>
    <col min="43" max="43" width="11.28515625" style="107" customWidth="1"/>
    <col min="44" max="44" width="16.5703125" style="107" customWidth="1"/>
    <col min="45" max="45" width="17.28515625" style="107" bestFit="1" customWidth="1"/>
    <col min="46" max="49" width="8.7109375" style="107"/>
    <col min="50" max="50" width="11.7109375" style="107" bestFit="1" customWidth="1"/>
    <col min="51" max="51" width="8.7109375" style="107"/>
    <col min="52" max="52" width="15.7109375" style="107" bestFit="1" customWidth="1"/>
    <col min="53" max="53" width="71.28515625" style="107" customWidth="1"/>
    <col min="54" max="54" width="25.85546875" style="107" customWidth="1"/>
    <col min="55" max="55" width="25.28515625" style="107" bestFit="1" customWidth="1"/>
    <col min="56" max="57" width="22.7109375" style="107" bestFit="1" customWidth="1"/>
    <col min="58" max="58" width="22.7109375" style="107" customWidth="1"/>
    <col min="59" max="59" width="22.7109375" style="1256" customWidth="1"/>
    <col min="60" max="60" width="36.5703125" style="107" customWidth="1"/>
    <col min="61" max="61" width="35.28515625" style="107" customWidth="1"/>
    <col min="62" max="62" width="26.28515625" style="107" customWidth="1"/>
    <col min="63" max="63" width="36.28515625" style="107" customWidth="1"/>
    <col min="64" max="64" width="12.5703125" style="107" customWidth="1"/>
    <col min="65" max="65" width="16.28515625" style="107" customWidth="1"/>
    <col min="66" max="66" width="14.7109375" style="107" customWidth="1"/>
    <col min="67" max="67" width="18.7109375" style="107" customWidth="1"/>
    <col min="68" max="71" width="15.28515625" style="884" customWidth="1"/>
    <col min="72" max="74" width="21.7109375" style="884" customWidth="1"/>
    <col min="75" max="75" width="19.28515625" style="884" customWidth="1"/>
    <col min="76" max="91" width="21.7109375" style="884" customWidth="1"/>
    <col min="92" max="92" width="32.28515625" style="884" customWidth="1"/>
    <col min="93" max="93" width="31.7109375" style="884" customWidth="1"/>
    <col min="94" max="99" width="21.7109375" style="884" customWidth="1"/>
    <col min="100" max="100" width="19.28515625" style="884" bestFit="1" customWidth="1"/>
    <col min="101" max="101" width="21.7109375" style="884" bestFit="1" customWidth="1"/>
    <col min="102" max="102" width="19.28515625" style="884" bestFit="1" customWidth="1"/>
    <col min="103" max="107" width="15.28515625" style="884" bestFit="1" customWidth="1"/>
    <col min="108" max="113" width="8.7109375" style="107"/>
    <col min="114" max="114" width="25.28515625" style="107" bestFit="1" customWidth="1"/>
    <col min="115" max="115" width="29.140625" style="107" bestFit="1" customWidth="1"/>
    <col min="116" max="119" width="13.7109375" style="107" customWidth="1"/>
    <col min="120" max="121" width="43.140625" style="107" customWidth="1"/>
    <col min="122" max="122" width="23.28515625" style="107" customWidth="1"/>
    <col min="123" max="123" width="35.7109375" style="107" bestFit="1" customWidth="1"/>
    <col min="124" max="124" width="17.28515625" style="107" bestFit="1" customWidth="1"/>
    <col min="125" max="125" width="15" style="107" bestFit="1" customWidth="1"/>
    <col min="126" max="126" width="15.7109375" style="107" bestFit="1" customWidth="1"/>
    <col min="127" max="131" width="15.7109375" style="107" customWidth="1"/>
    <col min="132" max="132" width="25.140625" style="107" bestFit="1" customWidth="1"/>
    <col min="133" max="133" width="8.7109375" style="107"/>
    <col min="134" max="134" width="34.7109375" style="107" bestFit="1" customWidth="1"/>
    <col min="135" max="135" width="15" style="107" bestFit="1" customWidth="1"/>
    <col min="136" max="136" width="11.28515625" style="107" customWidth="1"/>
    <col min="137" max="137" width="13.7109375" style="107" bestFit="1" customWidth="1"/>
    <col min="138" max="138" width="14.28515625" style="107" customWidth="1"/>
    <col min="139" max="139" width="16" style="107" bestFit="1" customWidth="1"/>
    <col min="140" max="140" width="10.28515625" style="107" bestFit="1" customWidth="1"/>
    <col min="141" max="141" width="10.7109375" style="107" bestFit="1" customWidth="1"/>
    <col min="142" max="143" width="8.7109375" style="107"/>
    <col min="144" max="144" width="17.5703125" style="1244" bestFit="1" customWidth="1"/>
    <col min="145" max="145" width="8.7109375" style="107" customWidth="1"/>
    <col min="146" max="161" width="8.7109375" style="107"/>
    <col min="162" max="162" width="38.140625" style="1247" bestFit="1" customWidth="1"/>
    <col min="163" max="2004" width="8.7109375" style="107"/>
    <col min="2005" max="2005" width="2.7109375" style="107" customWidth="1"/>
    <col min="2006" max="16384" width="8.7109375" style="107"/>
  </cols>
  <sheetData>
    <row r="1" spans="2:190" s="102" customFormat="1" x14ac:dyDescent="0.2">
      <c r="B1" s="966"/>
      <c r="C1" s="966"/>
      <c r="AD1" s="882"/>
      <c r="BP1" s="882"/>
      <c r="BQ1" s="882"/>
      <c r="BR1" s="882"/>
      <c r="BS1" s="882"/>
      <c r="BT1" s="882"/>
      <c r="BU1" s="882"/>
      <c r="BV1" s="882"/>
      <c r="BW1" s="882"/>
      <c r="BX1" s="882"/>
      <c r="BY1" s="882"/>
      <c r="BZ1" s="882"/>
      <c r="CA1" s="882"/>
      <c r="CB1" s="882"/>
      <c r="CC1" s="882"/>
      <c r="CD1" s="882"/>
      <c r="CE1" s="882"/>
      <c r="CF1" s="882"/>
      <c r="CG1" s="882"/>
      <c r="CH1" s="882"/>
      <c r="CI1" s="882"/>
      <c r="CJ1" s="882"/>
      <c r="CK1" s="882"/>
      <c r="CL1" s="882"/>
      <c r="CM1" s="882"/>
      <c r="CN1" s="882"/>
      <c r="CO1" s="882"/>
      <c r="CP1" s="882"/>
      <c r="CQ1" s="882"/>
      <c r="CR1" s="882"/>
      <c r="CS1" s="882"/>
      <c r="CT1" s="882"/>
      <c r="CU1" s="882"/>
      <c r="CV1" s="882"/>
      <c r="CW1" s="882"/>
      <c r="CX1" s="882"/>
      <c r="CY1" s="882"/>
      <c r="CZ1" s="882"/>
      <c r="DA1" s="882"/>
      <c r="DB1" s="882"/>
      <c r="DC1" s="882"/>
      <c r="EN1" s="1242"/>
      <c r="FF1" s="1245"/>
    </row>
    <row r="2" spans="2:190" s="106" customFormat="1" ht="18" x14ac:dyDescent="0.25">
      <c r="B2" s="967"/>
      <c r="C2" s="968"/>
      <c r="D2" s="104" t="s">
        <v>11</v>
      </c>
      <c r="E2" s="105"/>
      <c r="F2" s="105"/>
      <c r="G2" s="103"/>
      <c r="H2" s="105"/>
      <c r="I2" s="105"/>
      <c r="J2" s="103"/>
      <c r="K2" s="105"/>
      <c r="L2" s="105"/>
      <c r="M2" s="103"/>
      <c r="N2" s="105"/>
      <c r="O2" s="103"/>
      <c r="P2" s="103"/>
      <c r="Q2" s="105"/>
      <c r="R2" s="105"/>
      <c r="S2" s="103"/>
      <c r="T2" s="105"/>
      <c r="AD2" s="883"/>
      <c r="BP2" s="883"/>
      <c r="BQ2" s="883"/>
      <c r="BR2" s="883"/>
      <c r="BS2" s="883"/>
      <c r="BT2" s="883"/>
      <c r="BU2" s="883"/>
      <c r="BV2" s="883"/>
      <c r="BW2" s="883"/>
      <c r="BX2" s="883"/>
      <c r="BY2" s="883"/>
      <c r="BZ2" s="883"/>
      <c r="CA2" s="883"/>
      <c r="CB2" s="883"/>
      <c r="CC2" s="883"/>
      <c r="CD2" s="883"/>
      <c r="CE2" s="883"/>
      <c r="CF2" s="883"/>
      <c r="CG2" s="883"/>
      <c r="CH2" s="883"/>
      <c r="CI2" s="883"/>
      <c r="CJ2" s="883"/>
      <c r="CK2" s="883"/>
      <c r="CL2" s="883"/>
      <c r="CM2" s="883"/>
      <c r="CN2" s="883"/>
      <c r="CO2" s="883"/>
      <c r="CP2" s="883"/>
      <c r="CQ2" s="883"/>
      <c r="CR2" s="883"/>
      <c r="CS2" s="883"/>
      <c r="CT2" s="883"/>
      <c r="CU2" s="883"/>
      <c r="CV2" s="883"/>
      <c r="CW2" s="883"/>
      <c r="CX2" s="883"/>
      <c r="CY2" s="883"/>
      <c r="CZ2" s="883"/>
      <c r="DA2" s="883"/>
      <c r="DB2" s="883"/>
      <c r="DC2" s="883"/>
      <c r="EN2" s="1243"/>
      <c r="FF2" s="1246"/>
    </row>
    <row r="3" spans="2:190" s="106" customFormat="1" ht="15.75" x14ac:dyDescent="0.25">
      <c r="B3" s="969"/>
      <c r="C3" s="969"/>
      <c r="AD3" s="883"/>
      <c r="BP3" s="883"/>
      <c r="BQ3" s="883"/>
      <c r="BR3" s="883"/>
      <c r="BS3" s="883"/>
      <c r="BT3" s="883"/>
      <c r="BU3" s="883"/>
      <c r="BV3" s="883"/>
      <c r="BW3" s="883"/>
      <c r="BX3" s="883"/>
      <c r="BY3" s="883"/>
      <c r="BZ3" s="883"/>
      <c r="CA3" s="883"/>
      <c r="CB3" s="883"/>
      <c r="CC3" s="883"/>
      <c r="CD3" s="883"/>
      <c r="CE3" s="883"/>
      <c r="CF3" s="883"/>
      <c r="CG3" s="883"/>
      <c r="CH3" s="883"/>
      <c r="CI3" s="883"/>
      <c r="CJ3" s="883"/>
      <c r="CK3" s="883"/>
      <c r="CL3" s="883"/>
      <c r="CM3" s="883"/>
      <c r="CN3" s="883"/>
      <c r="CO3" s="883"/>
      <c r="CP3" s="883"/>
      <c r="CQ3" s="883"/>
      <c r="CR3" s="883"/>
      <c r="CS3" s="883"/>
      <c r="CT3" s="883"/>
      <c r="CU3" s="883"/>
      <c r="CV3" s="883"/>
      <c r="CW3" s="883"/>
      <c r="CX3" s="883"/>
      <c r="CY3" s="883"/>
      <c r="CZ3" s="883"/>
      <c r="DA3" s="883"/>
      <c r="DB3" s="883"/>
      <c r="DC3" s="883"/>
      <c r="EN3" s="1243"/>
      <c r="FF3" s="1246"/>
    </row>
    <row r="5" spans="2:190" x14ac:dyDescent="0.2">
      <c r="M5" s="122"/>
      <c r="X5" s="107" t="s">
        <v>194</v>
      </c>
      <c r="Y5" s="1500" t="s">
        <v>152</v>
      </c>
      <c r="Z5" s="1500"/>
      <c r="AA5" s="441">
        <f>MATCH(dd_txt_line_drug_cost,Lists!$G$51:$G$54,0)</f>
        <v>2</v>
      </c>
      <c r="AB5" s="107" t="s">
        <v>195</v>
      </c>
    </row>
    <row r="6" spans="2:190" ht="15.75" x14ac:dyDescent="0.25">
      <c r="D6" s="108" t="s">
        <v>196</v>
      </c>
    </row>
    <row r="7" spans="2:190" ht="15" customHeight="1" x14ac:dyDescent="0.2">
      <c r="X7" s="107" t="s">
        <v>197</v>
      </c>
      <c r="Y7" s="1500" t="s">
        <v>103</v>
      </c>
      <c r="Z7" s="1500"/>
      <c r="AA7" s="441">
        <f>MATCH(Y7,List_RDI_scenarios,0)</f>
        <v>2</v>
      </c>
      <c r="BN7" s="796"/>
      <c r="FG7" s="107" t="s">
        <v>1753</v>
      </c>
      <c r="FQ7" s="107" t="s">
        <v>1754</v>
      </c>
      <c r="GA7" s="107" t="s">
        <v>1752</v>
      </c>
    </row>
    <row r="8" spans="2:190" ht="16.5" thickBot="1" x14ac:dyDescent="0.3">
      <c r="AG8" s="1504"/>
      <c r="AH8" s="1504"/>
      <c r="AM8" s="107" t="s">
        <v>198</v>
      </c>
      <c r="BL8" s="122"/>
      <c r="CP8" s="1127"/>
      <c r="CZ8" s="1501" t="s">
        <v>199</v>
      </c>
      <c r="DA8" s="1501"/>
      <c r="DB8" s="1501"/>
      <c r="DC8" s="1501"/>
    </row>
    <row r="9" spans="2:190" ht="48.6" customHeight="1" thickBot="1" x14ac:dyDescent="0.3">
      <c r="B9" s="785" t="s">
        <v>200</v>
      </c>
      <c r="D9" s="1612" t="s">
        <v>201</v>
      </c>
      <c r="E9" s="1612"/>
      <c r="F9" s="1612"/>
      <c r="G9" s="1612"/>
      <c r="H9" s="1612"/>
      <c r="I9" s="109" t="s">
        <v>202</v>
      </c>
      <c r="J9" s="316" t="s">
        <v>203</v>
      </c>
      <c r="K9" s="1613" t="s">
        <v>204</v>
      </c>
      <c r="L9" s="1614"/>
      <c r="M9" s="1601" t="s">
        <v>205</v>
      </c>
      <c r="N9" s="1601"/>
      <c r="O9" s="1602" t="s">
        <v>206</v>
      </c>
      <c r="P9" s="1602"/>
      <c r="Q9" s="1505" t="s">
        <v>207</v>
      </c>
      <c r="R9" s="1605" t="s">
        <v>208</v>
      </c>
      <c r="S9" s="1615" t="s">
        <v>209</v>
      </c>
      <c r="T9" s="1597" t="s">
        <v>210</v>
      </c>
      <c r="U9" s="1611" t="s">
        <v>211</v>
      </c>
      <c r="V9" s="1505" t="s">
        <v>212</v>
      </c>
      <c r="W9" s="1523" t="s">
        <v>213</v>
      </c>
      <c r="X9" s="1523"/>
      <c r="Y9" s="1510" t="s">
        <v>214</v>
      </c>
      <c r="Z9" s="1510"/>
      <c r="AA9" s="1507" t="s">
        <v>215</v>
      </c>
      <c r="AB9" s="1508" t="s">
        <v>216</v>
      </c>
      <c r="AC9" s="1508" t="s">
        <v>217</v>
      </c>
      <c r="AD9" s="1509" t="s">
        <v>218</v>
      </c>
      <c r="AE9" s="110" t="s">
        <v>219</v>
      </c>
      <c r="AF9" s="110" t="s">
        <v>220</v>
      </c>
      <c r="AG9" s="1506" t="s">
        <v>221</v>
      </c>
      <c r="AH9" s="1505" t="s">
        <v>222</v>
      </c>
      <c r="AI9" s="1511" t="s">
        <v>223</v>
      </c>
      <c r="AJ9" s="1513" t="s">
        <v>224</v>
      </c>
      <c r="AK9" s="1513" t="s">
        <v>1761</v>
      </c>
      <c r="AM9" s="440" t="s">
        <v>225</v>
      </c>
      <c r="AN9" s="440" t="s">
        <v>226</v>
      </c>
      <c r="AO9" s="440" t="s">
        <v>227</v>
      </c>
      <c r="BE9" s="122"/>
      <c r="BK9" s="122"/>
      <c r="BL9" s="1503" t="s">
        <v>228</v>
      </c>
      <c r="BM9" s="1503"/>
      <c r="BP9" s="1502" t="s">
        <v>229</v>
      </c>
      <c r="BQ9" s="1502"/>
      <c r="BR9" s="1502" t="s">
        <v>230</v>
      </c>
      <c r="BS9" s="1502"/>
      <c r="BT9" s="1502" t="s">
        <v>231</v>
      </c>
      <c r="BU9" s="1502"/>
      <c r="BV9" s="1502" t="s">
        <v>232</v>
      </c>
      <c r="BW9" s="1502"/>
      <c r="BX9" s="1502" t="s">
        <v>233</v>
      </c>
      <c r="BY9" s="1502"/>
      <c r="BZ9" s="1502" t="s">
        <v>234</v>
      </c>
      <c r="CA9" s="1502"/>
      <c r="CB9" s="1502" t="s">
        <v>235</v>
      </c>
      <c r="CC9" s="1502"/>
      <c r="CD9" s="1502" t="s">
        <v>236</v>
      </c>
      <c r="CE9" s="1502"/>
      <c r="CF9" s="994"/>
      <c r="CG9" s="994" t="s">
        <v>237</v>
      </c>
      <c r="CH9" s="994"/>
      <c r="CI9" s="994"/>
      <c r="CJ9" s="994"/>
      <c r="CK9" s="1131" t="s">
        <v>238</v>
      </c>
      <c r="CL9" s="994"/>
      <c r="CM9" s="994"/>
      <c r="CN9" s="994"/>
      <c r="CP9" s="1516" t="s">
        <v>239</v>
      </c>
      <c r="CQ9" s="1516"/>
      <c r="CR9" s="1516"/>
      <c r="CS9" s="1516"/>
      <c r="CT9" s="1515"/>
      <c r="CU9" s="1515"/>
      <c r="CV9" s="1515"/>
      <c r="CW9" s="1515"/>
      <c r="CY9" s="994" t="s">
        <v>200</v>
      </c>
      <c r="CZ9" s="994">
        <v>1</v>
      </c>
      <c r="DA9" s="994">
        <v>2</v>
      </c>
      <c r="DB9" s="994">
        <v>3</v>
      </c>
      <c r="DC9" s="994">
        <v>4</v>
      </c>
      <c r="DK9" s="1114" t="s">
        <v>240</v>
      </c>
      <c r="DL9" s="1114"/>
      <c r="DM9" s="1114"/>
      <c r="DN9" s="1114"/>
      <c r="DO9" s="1114"/>
      <c r="DP9" s="1114" t="s">
        <v>241</v>
      </c>
      <c r="DQ9" s="1114"/>
      <c r="DV9" s="1127"/>
      <c r="EO9" s="107" t="s">
        <v>242</v>
      </c>
      <c r="FG9" s="107" t="s">
        <v>1746</v>
      </c>
      <c r="FQ9" s="107" t="s">
        <v>1746</v>
      </c>
      <c r="GA9" s="107" t="s">
        <v>1759</v>
      </c>
    </row>
    <row r="10" spans="2:190" ht="41.65" customHeight="1" thickBot="1" x14ac:dyDescent="0.3">
      <c r="D10" s="1612"/>
      <c r="E10" s="1612"/>
      <c r="F10" s="1612"/>
      <c r="G10" s="1612"/>
      <c r="H10" s="1612"/>
      <c r="I10" s="111"/>
      <c r="J10" s="111"/>
      <c r="K10" s="1595"/>
      <c r="L10" s="1596"/>
      <c r="M10" s="1601"/>
      <c r="N10" s="1601"/>
      <c r="O10" s="1602"/>
      <c r="P10" s="1602"/>
      <c r="Q10" s="1505"/>
      <c r="R10" s="1523"/>
      <c r="S10" s="1616"/>
      <c r="T10" s="1597"/>
      <c r="U10" s="1611"/>
      <c r="V10" s="1505"/>
      <c r="W10" s="150" t="s">
        <v>158</v>
      </c>
      <c r="X10" s="960" t="s">
        <v>161</v>
      </c>
      <c r="Y10" s="987" t="s">
        <v>158</v>
      </c>
      <c r="Z10" s="288" t="s">
        <v>161</v>
      </c>
      <c r="AA10" s="1507"/>
      <c r="AB10" s="1508"/>
      <c r="AC10" s="1508"/>
      <c r="AD10" s="1509"/>
      <c r="AE10" s="289"/>
      <c r="AF10" s="289"/>
      <c r="AG10" s="1506"/>
      <c r="AH10" s="1505"/>
      <c r="AI10" s="1512"/>
      <c r="AJ10" s="1514"/>
      <c r="AK10" s="1514"/>
      <c r="AZ10" s="991" t="s">
        <v>129</v>
      </c>
      <c r="BA10" s="475" t="s">
        <v>140</v>
      </c>
      <c r="BB10" s="475" t="s">
        <v>1732</v>
      </c>
      <c r="BC10" s="475" t="s">
        <v>202</v>
      </c>
      <c r="BD10" s="475" t="s">
        <v>243</v>
      </c>
      <c r="BE10" s="475" t="s">
        <v>244</v>
      </c>
      <c r="BF10" s="475" t="s">
        <v>1738</v>
      </c>
      <c r="BG10" s="475" t="s">
        <v>1800</v>
      </c>
      <c r="BH10" s="476" t="s">
        <v>245</v>
      </c>
      <c r="BI10" s="820" t="s">
        <v>246</v>
      </c>
      <c r="BJ10" s="821" t="s">
        <v>215</v>
      </c>
      <c r="BK10" s="821" t="s">
        <v>247</v>
      </c>
      <c r="BL10" s="821" t="s">
        <v>248</v>
      </c>
      <c r="BM10" s="821" t="s">
        <v>249</v>
      </c>
      <c r="BN10" s="821" t="s">
        <v>250</v>
      </c>
      <c r="BO10" s="821" t="s">
        <v>251</v>
      </c>
      <c r="BP10" s="820" t="str">
        <f>"RDI Mean"&amp;"_"&amp;BP9</f>
        <v>RDI Mean_Trial_1L</v>
      </c>
      <c r="BQ10" s="820" t="str">
        <f>"RDI SE"&amp;"_"&amp;BP9</f>
        <v>RDI SE_Trial_1L</v>
      </c>
      <c r="BR10" s="820" t="str">
        <f>"RDI Mean"&amp;"_"&amp;BR9</f>
        <v>RDI Mean_Trial_2L</v>
      </c>
      <c r="BS10" s="820" t="str">
        <f>"RDI SE"&amp;"_"&amp;BR9</f>
        <v>RDI SE_Trial_2L</v>
      </c>
      <c r="BT10" s="820" t="str">
        <f>"RDI Mean"&amp;"_"&amp;BT9</f>
        <v>RDI Mean_Trial_3L</v>
      </c>
      <c r="BU10" s="820" t="str">
        <f>"RDI SE"&amp;"_"&amp;BT9</f>
        <v>RDI SE_Trial_3L</v>
      </c>
      <c r="BV10" s="820" t="str">
        <f>"RDI Mean"&amp;"_"&amp;BV9</f>
        <v>RDI Mean_Trial_4L</v>
      </c>
      <c r="BW10" s="820" t="str">
        <f>"RDI SE"&amp;"_"&amp;BV9</f>
        <v>RDI SE_Trial_4L</v>
      </c>
      <c r="BX10" s="820" t="str">
        <f>"RDI Mean"&amp;"_"&amp;BX9</f>
        <v>RDI Mean_RWE_1L</v>
      </c>
      <c r="BY10" s="820" t="str">
        <f>"RDI SE"&amp;"_"&amp;BX9</f>
        <v>RDI SE_RWE_1L</v>
      </c>
      <c r="BZ10" s="820" t="str">
        <f>"RDI Mean"&amp;"_"&amp;BZ9</f>
        <v>RDI Mean_RWE_2L</v>
      </c>
      <c r="CA10" s="820" t="str">
        <f>"RDI SE"&amp;"_"&amp;BZ9</f>
        <v>RDI SE_RWE_2L</v>
      </c>
      <c r="CB10" s="820" t="str">
        <f>"RDI Mean"&amp;"_"&amp;CB9</f>
        <v>RDI Mean_RWE_3L</v>
      </c>
      <c r="CC10" s="820" t="str">
        <f>"RDI SE"&amp;"_"&amp;CB9</f>
        <v>RDI SE_RWE_3L</v>
      </c>
      <c r="CD10" s="820" t="str">
        <f>"RDI Mean"&amp;"_"&amp;CD9</f>
        <v>RDI Mean_RWE_4L</v>
      </c>
      <c r="CE10" s="820" t="str">
        <f>"RDI SE"&amp;"_"&amp;CD9</f>
        <v>RDI SE_RWE_4L</v>
      </c>
      <c r="CF10" s="1129"/>
      <c r="CG10" s="1132" t="s">
        <v>151</v>
      </c>
      <c r="CH10" s="1132" t="s">
        <v>152</v>
      </c>
      <c r="CI10" s="1132" t="s">
        <v>153</v>
      </c>
      <c r="CJ10" s="1132" t="s">
        <v>154</v>
      </c>
      <c r="CK10" s="820"/>
      <c r="CL10" s="1129"/>
      <c r="CM10" s="475" t="s">
        <v>202</v>
      </c>
      <c r="CN10" s="475" t="s">
        <v>1729</v>
      </c>
      <c r="CO10" s="1118" t="s">
        <v>252</v>
      </c>
      <c r="CP10" s="1118" t="s">
        <v>253</v>
      </c>
      <c r="CQ10" s="1118" t="s">
        <v>254</v>
      </c>
      <c r="CR10" s="1118" t="s">
        <v>255</v>
      </c>
      <c r="CS10" s="1118" t="s">
        <v>256</v>
      </c>
      <c r="CT10" s="1115"/>
      <c r="CU10" s="1115"/>
      <c r="CV10" s="1115"/>
      <c r="CW10" s="1115"/>
      <c r="CZ10" s="884" t="s">
        <v>257</v>
      </c>
      <c r="DA10" s="884" t="s">
        <v>258</v>
      </c>
      <c r="DB10" s="884" t="s">
        <v>259</v>
      </c>
      <c r="DC10" s="884" t="s">
        <v>260</v>
      </c>
      <c r="DJ10" s="107" t="s">
        <v>261</v>
      </c>
      <c r="DK10" s="107" t="s">
        <v>262</v>
      </c>
      <c r="DL10" s="337" t="s">
        <v>151</v>
      </c>
      <c r="DM10" s="337" t="s">
        <v>152</v>
      </c>
      <c r="DN10" s="337" t="s">
        <v>153</v>
      </c>
      <c r="DO10" s="337" t="s">
        <v>154</v>
      </c>
      <c r="DP10" s="440" t="s">
        <v>263</v>
      </c>
      <c r="DQ10" s="440" t="s">
        <v>1745</v>
      </c>
      <c r="DS10" s="215" t="s">
        <v>264</v>
      </c>
      <c r="DV10" s="107" t="s">
        <v>265</v>
      </c>
      <c r="DY10" s="107" t="s">
        <v>266</v>
      </c>
      <c r="EO10" s="1129" t="str">
        <f>"RDI Mean"&amp;"_"&amp;EO9</f>
        <v>RDI Mean_RDI RWE/trial static base case values</v>
      </c>
      <c r="EP10" s="1129" t="str">
        <f>"RDI SE"&amp;"_"&amp;EO9</f>
        <v>RDI SE_RDI RWE/trial static base case values</v>
      </c>
      <c r="EQ10" s="1129" t="str">
        <f>"RDI Mean"&amp;"_"&amp;EQ9</f>
        <v>RDI Mean_</v>
      </c>
      <c r="ER10" s="1129" t="str">
        <f>"RDI SE"&amp;"_"&amp;EQ9</f>
        <v>RDI SE_</v>
      </c>
      <c r="ES10" s="1129" t="str">
        <f>"RDI Mean"&amp;"_"&amp;ES9</f>
        <v>RDI Mean_</v>
      </c>
      <c r="ET10" s="1129" t="str">
        <f>"RDI SE"&amp;"_"&amp;ES9</f>
        <v>RDI SE_</v>
      </c>
      <c r="EU10" s="1129" t="str">
        <f>"RDI Mean"&amp;"_"&amp;EU9</f>
        <v>RDI Mean_</v>
      </c>
      <c r="EV10" s="1129" t="str">
        <f>"RDI SE"&amp;"_"&amp;EU9</f>
        <v>RDI SE_</v>
      </c>
      <c r="EW10" s="1129" t="str">
        <f>"RDI Mean"&amp;"_"&amp;EW9</f>
        <v>RDI Mean_</v>
      </c>
      <c r="EX10" s="1129" t="str">
        <f>"RDI SE"&amp;"_"&amp;EW9</f>
        <v>RDI SE_</v>
      </c>
      <c r="EY10" s="1129" t="str">
        <f>"RDI Mean"&amp;"_"&amp;EY9</f>
        <v>RDI Mean_</v>
      </c>
      <c r="EZ10" s="1129" t="str">
        <f>"RDI SE"&amp;"_"&amp;EY9</f>
        <v>RDI SE_</v>
      </c>
      <c r="FA10" s="1129" t="str">
        <f>"RDI Mean"&amp;"_"&amp;FA9</f>
        <v>RDI Mean_</v>
      </c>
      <c r="FB10" s="1129" t="str">
        <f>"RDI SE"&amp;"_"&amp;FA9</f>
        <v>RDI SE_</v>
      </c>
      <c r="FC10" s="1129" t="str">
        <f>"RDI Mean"&amp;"_"&amp;FC9</f>
        <v>RDI Mean_</v>
      </c>
      <c r="FD10" s="1129" t="str">
        <f>"RDI SE"&amp;"_"&amp;FC9</f>
        <v>RDI SE_</v>
      </c>
      <c r="FG10" s="1129" t="str">
        <f>"RDI Mean"&amp;"_"&amp;FG9</f>
        <v>RDI Mean_RDI trial static new base case value (post 22nd Sep company response)</v>
      </c>
      <c r="FH10" s="1129" t="str">
        <f>"RDI SE"&amp;"_"&amp;FG9</f>
        <v>RDI SE_RDI trial static new base case value (post 22nd Sep company response)</v>
      </c>
      <c r="FI10" s="1129" t="str">
        <f>"RDI Mean"&amp;"_"&amp;FG9</f>
        <v>RDI Mean_RDI trial static new base case value (post 22nd Sep company response)</v>
      </c>
      <c r="FJ10" s="1129" t="str">
        <f>"RDI SE"&amp;"_"&amp;FG9</f>
        <v>RDI SE_RDI trial static new base case value (post 22nd Sep company response)</v>
      </c>
      <c r="FK10" s="1129" t="str">
        <f>"RDI Mean"&amp;"_"&amp;FG9</f>
        <v>RDI Mean_RDI trial static new base case value (post 22nd Sep company response)</v>
      </c>
      <c r="FL10" s="1129" t="str">
        <f>"RDI SE"&amp;"_"&amp;FG9</f>
        <v>RDI SE_RDI trial static new base case value (post 22nd Sep company response)</v>
      </c>
      <c r="FM10" s="1129" t="str">
        <f>"RDI Mean"&amp;"_"&amp;FG9</f>
        <v>RDI Mean_RDI trial static new base case value (post 22nd Sep company response)</v>
      </c>
      <c r="FN10" s="1129" t="str">
        <f>"RDI SE"&amp;"_"&amp;FG9</f>
        <v>RDI SE_RDI trial static new base case value (post 22nd Sep company response)</v>
      </c>
      <c r="FQ10" s="1129" t="str">
        <f>"RDI Mean"&amp;"_"&amp;FQ9</f>
        <v>RDI Mean_RDI trial static new base case value (post 22nd Sep company response)</v>
      </c>
      <c r="FR10" s="1129" t="str">
        <f>"RDI SE"&amp;"_"&amp;FQ9</f>
        <v>RDI SE_RDI trial static new base case value (post 22nd Sep company response)</v>
      </c>
      <c r="FS10" s="1129" t="str">
        <f>"RDI Mean"&amp;"_"&amp;FQ9</f>
        <v>RDI Mean_RDI trial static new base case value (post 22nd Sep company response)</v>
      </c>
      <c r="FT10" s="1129" t="str">
        <f>"RDI SE"&amp;"_"&amp;FQ9</f>
        <v>RDI SE_RDI trial static new base case value (post 22nd Sep company response)</v>
      </c>
      <c r="FU10" s="1129" t="str">
        <f>"RDI Mean"&amp;"_"&amp;FQ9</f>
        <v>RDI Mean_RDI trial static new base case value (post 22nd Sep company response)</v>
      </c>
      <c r="FV10" s="1129" t="str">
        <f>"RDI SE"&amp;"_"&amp;FQ9</f>
        <v>RDI SE_RDI trial static new base case value (post 22nd Sep company response)</v>
      </c>
      <c r="FW10" s="1129" t="str">
        <f>"RDI Mean"&amp;"_"&amp;FQ9</f>
        <v>RDI Mean_RDI trial static new base case value (post 22nd Sep company response)</v>
      </c>
      <c r="FX10" s="1129" t="str">
        <f>"RDI SE"&amp;"_"&amp;FQ9</f>
        <v>RDI SE_RDI trial static new base case value (post 22nd Sep company response)</v>
      </c>
      <c r="GA10" s="1129" t="str">
        <f>"RDI Mean"&amp;"_"&amp;GA9</f>
        <v>RDI Mean_RDI trial static base case values</v>
      </c>
      <c r="GB10" s="1129" t="str">
        <f>"RDI SE"&amp;"_"&amp;GA9</f>
        <v>RDI SE_RDI trial static base case values</v>
      </c>
      <c r="GC10" s="1129" t="str">
        <f>"RDI Mean"&amp;"_"&amp;GC9</f>
        <v>RDI Mean_</v>
      </c>
      <c r="GD10" s="1129" t="str">
        <f>"RDI SE"&amp;"_"&amp;GC9</f>
        <v>RDI SE_</v>
      </c>
      <c r="GE10" s="1129" t="str">
        <f>"RDI Mean"&amp;"_"&amp;GE9</f>
        <v>RDI Mean_</v>
      </c>
      <c r="GF10" s="1129" t="str">
        <f>"RDI SE"&amp;"_"&amp;GE9</f>
        <v>RDI SE_</v>
      </c>
      <c r="GG10" s="1129" t="str">
        <f>"RDI Mean"&amp;"_"&amp;GG9</f>
        <v>RDI Mean_</v>
      </c>
      <c r="GH10" s="1129" t="str">
        <f>"RDI SE"&amp;"_"&amp;GG9</f>
        <v>RDI SE_</v>
      </c>
    </row>
    <row r="11" spans="2:190" ht="15.75" x14ac:dyDescent="0.25">
      <c r="B11" s="785" t="e">
        <f>CHOOSE($Z$5,2,2,3,3)</f>
        <v>#VALUE!</v>
      </c>
      <c r="D11" s="1542" t="str" cm="1">
        <f t="array" ref="D11">INDEX(List_comparators,I11+1)</f>
        <v>nivolumab_monotherapy</v>
      </c>
      <c r="E11" s="1542"/>
      <c r="F11" s="1542"/>
      <c r="G11" s="1542"/>
      <c r="H11" s="1542"/>
      <c r="I11" s="112">
        <v>0</v>
      </c>
      <c r="J11" s="197" t="s">
        <v>267</v>
      </c>
      <c r="K11" s="1606">
        <v>439</v>
      </c>
      <c r="L11" s="1607"/>
      <c r="M11" s="320">
        <v>4</v>
      </c>
      <c r="N11" s="294" t="s">
        <v>268</v>
      </c>
      <c r="O11" s="295">
        <v>10</v>
      </c>
      <c r="P11" s="258" t="s">
        <v>269</v>
      </c>
      <c r="Q11" s="259" t="s">
        <v>74</v>
      </c>
      <c r="R11" s="1306">
        <v>0</v>
      </c>
      <c r="S11" s="1307">
        <f>K11*(1-R11)</f>
        <v>439</v>
      </c>
      <c r="T11" s="296" t="s">
        <v>270</v>
      </c>
      <c r="U11" s="1609" t="s">
        <v>271</v>
      </c>
      <c r="V11" s="260">
        <v>480</v>
      </c>
      <c r="W11" s="325" t="s">
        <v>272</v>
      </c>
      <c r="X11" s="970"/>
      <c r="Y11" s="1271">
        <f>IF(i_alt_RDI_nivo_ST_num=1,97.5%,IF(i_alt_RDI_nivo_PartSA_num=1,97.5%,CHOOSE(i_sc_RDI_num,100%,97.5%,CHOOSE($AA$5,DA$11,DA$11,DB$11,DB$11),DK11,DP11)))</f>
        <v>0.97499999999999998</v>
      </c>
      <c r="Z11" s="780">
        <f>IF(i_sc_RDI_num=3,IF($AA$5=1,0.53%,i_SE_util*Y11),i_SE_util*Y11)</f>
        <v>9.7500000000000003E-2</v>
      </c>
      <c r="AA11" s="327">
        <v>4</v>
      </c>
      <c r="AB11" s="296">
        <v>1</v>
      </c>
      <c r="AC11" s="296">
        <v>1</v>
      </c>
      <c r="AD11" s="885">
        <f>ROUNDUP(ui_time_horizon*365.25*i_days_to_weeks,0)+1</f>
        <v>2089</v>
      </c>
      <c r="AE11" s="297">
        <f>K11/(O11*M11)</f>
        <v>10.975</v>
      </c>
      <c r="AF11" s="397">
        <f>S11/(O11*M11)</f>
        <v>10.975</v>
      </c>
      <c r="AG11" s="297">
        <f>AE14*V11</f>
        <v>5266</v>
      </c>
      <c r="AH11" s="1350">
        <f>AF14*V11</f>
        <v>5266</v>
      </c>
      <c r="AI11" s="1351">
        <f>CHOOSE(i_drug_price_options,(AG11/4)*Y11,(AH11/4)*Y11)</f>
        <v>1283.5874999999999</v>
      </c>
      <c r="AJ11" s="1352">
        <f>CHOOSE(i_drug_price_options,(AG11/$AA$11),(AH11/$AA$11))</f>
        <v>1316.5</v>
      </c>
      <c r="AK11" s="1248"/>
      <c r="AM11" s="107" t="s">
        <v>273</v>
      </c>
      <c r="AO11" s="107" t="s">
        <v>274</v>
      </c>
      <c r="AZ11" s="991">
        <v>1</v>
      </c>
      <c r="BA11" s="475" t="str">
        <f>D11</f>
        <v>nivolumab_monotherapy</v>
      </c>
      <c r="BB11" s="475" t="s">
        <v>1733</v>
      </c>
      <c r="BC11" s="475">
        <f>I11</f>
        <v>0</v>
      </c>
      <c r="BD11" s="475" t="str">
        <f>J11</f>
        <v>per cycle</v>
      </c>
      <c r="BE11" s="1339">
        <f>CHOOSE(i_drug_price_options,AG11,AH11)</f>
        <v>5266</v>
      </c>
      <c r="BF11" s="1340">
        <f>AG11</f>
        <v>5266</v>
      </c>
      <c r="BG11" s="1341">
        <f>1-BE11/BF11</f>
        <v>0</v>
      </c>
      <c r="BH11" s="795">
        <f>W15</f>
        <v>207.59</v>
      </c>
      <c r="BI11" s="822">
        <f>X15</f>
        <v>41.518000000000001</v>
      </c>
      <c r="BJ11" s="823">
        <f>AA11</f>
        <v>4</v>
      </c>
      <c r="BK11" s="821">
        <f>AB11</f>
        <v>1</v>
      </c>
      <c r="BL11" s="824">
        <f>$Y$11</f>
        <v>0.97499999999999998</v>
      </c>
      <c r="BM11" s="824">
        <f>$Z$11</f>
        <v>9.7500000000000003E-2</v>
      </c>
      <c r="BN11" s="821">
        <f>AC11</f>
        <v>1</v>
      </c>
      <c r="BO11" s="821">
        <f>AD11</f>
        <v>2089</v>
      </c>
      <c r="BP11" s="824">
        <f t="shared" ref="BP11:BP19" si="0">IF(i_sc_RDI_num=1,100%,IF(i_sc_RDI_num=4,CG11,IF(i_sc_RDI_num=5,CK11,EO11)))</f>
        <v>0.97499999999999998</v>
      </c>
      <c r="BQ11" s="824">
        <f>IF(i_sc_RDI_num=2,EP11,i_SE_util*BP11)</f>
        <v>9.7500000000000003E-2</v>
      </c>
      <c r="BR11" s="824">
        <f t="shared" ref="BR11:BR19" si="1">IF(i_sc_RDI_num=1,100%,IF(i_sc_RDI_num=4,CH11,IF(i_sc_RDI_num=5,CK11,EQ11)))</f>
        <v>0.97499999999999998</v>
      </c>
      <c r="BS11" s="824">
        <f t="shared" ref="BS11:BS19" si="2">IF(i_sc_RDI_num=2,ER11,i_SE_util*BR11)</f>
        <v>9.7500000000000003E-2</v>
      </c>
      <c r="BT11" s="824">
        <f t="shared" ref="BT11:BT19" si="3">IF(i_sc_RDI_num=1,100%,IF(i_sc_RDI_num=4,CI11,IF(i_sc_RDI_num=5,CK11,ES11)))</f>
        <v>0.97499999999999998</v>
      </c>
      <c r="BU11" s="824">
        <f t="shared" ref="BU11:BU19" si="4">IF(i_sc_RDI_num=2,ET11,i_SE_util*BT11)</f>
        <v>9.7500000000000003E-2</v>
      </c>
      <c r="BV11" s="824">
        <f t="shared" ref="BV11:BV19" si="5">IF(i_sc_RDI_num=1,100%,IF(i_sc_RDI_num=4,CJ11,IF(i_sc_RDI_num=5,CK11,EU11)))</f>
        <v>0.97499999999999998</v>
      </c>
      <c r="BW11" s="824">
        <f t="shared" ref="BW11:BW19" si="6">IF(i_sc_RDI_num=2,EV11,i_SE_util*BV11)</f>
        <v>9.7500000000000003E-2</v>
      </c>
      <c r="BX11" s="824">
        <f t="shared" ref="BX11:BX19" si="7">IF(i_sc_RDI_num=1,100%,IF(i_sc_RDI_num=4,CG11,IF(i_sc_RDI_num=5,CK11,EW11)))</f>
        <v>0.93600000000000005</v>
      </c>
      <c r="BY11" s="824">
        <f t="shared" ref="BY11:BY19" si="8">IF(i_sc_RDI_num=2,EX11,i_SE_util*BX11)</f>
        <v>5.3E-3</v>
      </c>
      <c r="BZ11" s="824">
        <f t="shared" ref="BZ11:BZ19" si="9">IF(i_sc_RDI_num=1,100%,IF(i_sc_RDI_num=4,CH11,IF(i_sc_RDI_num=5,CK11,EY11)))</f>
        <v>0.93600000000000005</v>
      </c>
      <c r="CA11" s="824">
        <f t="shared" ref="CA11:CA19" si="10">IF(i_sc_RDI_num=2,EZ11,i_SE_util*BZ11)</f>
        <v>9.3600000000000017E-2</v>
      </c>
      <c r="CB11" s="824">
        <f t="shared" ref="CB11:CB19" si="11">IF(i_sc_RDI_num=1,100%,IF(i_sc_RDI_num=4,CI11,IF(i_sc_RDI_num=5,CK11,FA11)))</f>
        <v>0.90700000000000003</v>
      </c>
      <c r="CC11" s="824">
        <f t="shared" ref="CC11:CC19" si="12">IF(i_sc_RDI_num=2,FB11,i_SE_util*CB11)</f>
        <v>9.0700000000000003E-2</v>
      </c>
      <c r="CD11" s="824">
        <f t="shared" ref="CD11:CD19" si="13">IF(i_sc_RDI_num=1,100%,IF(i_sc_RDI_num=4,CJ11,IF(i_sc_RDI_num=5,CK11,FC11)))</f>
        <v>0.90700000000000003</v>
      </c>
      <c r="CE11" s="824">
        <f t="shared" ref="CE11:CE19" si="14">IF(i_sc_RDI_num=2,FD11,i_SE_util*CD11)</f>
        <v>9.0700000000000003E-2</v>
      </c>
      <c r="CF11" s="1130"/>
      <c r="CG11" s="824">
        <f>BP11</f>
        <v>0.97499999999999998</v>
      </c>
      <c r="CH11" s="824">
        <f t="shared" ref="CH11:CJ26" si="15">BQ11</f>
        <v>9.7500000000000003E-2</v>
      </c>
      <c r="CI11" s="824">
        <f t="shared" si="15"/>
        <v>0.97499999999999998</v>
      </c>
      <c r="CJ11" s="824">
        <f t="shared" si="15"/>
        <v>9.7500000000000003E-2</v>
      </c>
      <c r="CK11" s="824">
        <f>CG11</f>
        <v>0.97499999999999998</v>
      </c>
      <c r="CL11" s="1130"/>
      <c r="CM11" s="475">
        <f>BC11</f>
        <v>0</v>
      </c>
      <c r="CN11" s="475" t="s">
        <v>312</v>
      </c>
      <c r="CO11" s="825">
        <f>AJ11</f>
        <v>1316.5</v>
      </c>
      <c r="CP11" s="825">
        <f t="shared" ref="CP11:CP19" si="16">$CO11*IF(i_sc_RDI_num=1,100%,IF(i_sc_RDI_num=4,CG11,IF(i_sc_RDI_num=5,CK11,CHOOSE(i_sub_txt_prop_num,EO11,EW11))))</f>
        <v>1232.2440000000001</v>
      </c>
      <c r="CQ11" s="825">
        <f t="shared" ref="CQ11:CQ19" si="17">$CO11*IF(i_sc_RDI_num=1,100%,IF(i_sc_RDI_num=4,CH11,IF(i_sc_RDI_num=5,CK11,CHOOSE(i_sub_txt_prop_num,EQ11,EY11))))</f>
        <v>1232.2440000000001</v>
      </c>
      <c r="CR11" s="825">
        <f t="shared" ref="CR11:CR19" si="18">$CO11*IF(i_sc_RDI_num=1,100%,IF(i_sc_RDI_num=4,CI11,IF(i_sc_RDI_num=5,CK11,CHOOSE(i_sub_txt_prop_num,ES11,FA11))))</f>
        <v>1194.0654999999999</v>
      </c>
      <c r="CS11" s="825">
        <f t="shared" ref="CS11:CS19" si="19">$CO11*IF(i_sc_RDI_num=1,100%,IF(i_sc_RDI_num=4,CJ11,IF(i_sc_RDI_num=5,CK11,CHOOSE(i_sub_txt_prop_num,EU11,FC11))))</f>
        <v>1194.0654999999999</v>
      </c>
      <c r="CT11" s="1119"/>
      <c r="CU11" s="1119"/>
      <c r="CV11" s="1119"/>
      <c r="CW11" s="1119"/>
      <c r="CZ11" s="1325">
        <f>DA11</f>
        <v>0.93600000000000005</v>
      </c>
      <c r="DA11" s="1325" cm="1">
        <f t="array" ref="DA11">_xlfn.IFNA(INDEX($EH$30:$EH$69,MATCH(1,($BA11=$ED$30:$ED$69)*(DA$9=$EE$30:$EE$69),0)),"")</f>
        <v>0.93600000000000005</v>
      </c>
      <c r="DB11" s="1325" cm="1">
        <f t="array" ref="DB11">_xlfn.IFNA(INDEX($EH$30:$EH$69,MATCH(1,($BA11=$ED$30:$ED$69)*(DB$9=$EE$30:$EE$69),0)),"")</f>
        <v>0.90700000000000003</v>
      </c>
      <c r="DC11" s="1325">
        <f>DB11</f>
        <v>0.90700000000000003</v>
      </c>
      <c r="DJ11" s="1111">
        <v>0.97499999999999998</v>
      </c>
      <c r="DK11" s="1111">
        <f>DJ11</f>
        <v>0.97499999999999998</v>
      </c>
      <c r="DL11" s="1111">
        <v>0.97499999999999998</v>
      </c>
      <c r="DM11" s="1111">
        <v>0.97499999999999998</v>
      </c>
      <c r="DN11" s="1111">
        <v>0.97499999999999998</v>
      </c>
      <c r="DO11" s="1111">
        <v>0.97499999999999998</v>
      </c>
      <c r="DP11" s="1111">
        <f t="shared" ref="DP11:DP18" si="20">DJ11</f>
        <v>0.97499999999999998</v>
      </c>
      <c r="DQ11" s="1111"/>
      <c r="DS11" s="219"/>
      <c r="DT11" s="219" t="s">
        <v>275</v>
      </c>
      <c r="DU11" s="219" t="s">
        <v>276</v>
      </c>
      <c r="DV11" s="219" t="s">
        <v>152</v>
      </c>
      <c r="DW11" s="219" t="s">
        <v>153</v>
      </c>
      <c r="DX11" s="219" t="s">
        <v>154</v>
      </c>
      <c r="DY11" s="219" t="s">
        <v>152</v>
      </c>
      <c r="DZ11" s="219" t="s">
        <v>153</v>
      </c>
      <c r="EA11" s="988" t="s">
        <v>154</v>
      </c>
      <c r="EB11" s="1125"/>
      <c r="EN11" s="1244" t="s">
        <v>1733</v>
      </c>
      <c r="EO11" s="107">
        <f t="shared" ref="EO11:EO48" si="21">IF(i_RDI_new_bc=1,FG11,IF(i_RDI_new_bc=2,FQ11,GA11))</f>
        <v>0.97499999999999998</v>
      </c>
      <c r="EP11" s="107">
        <f t="shared" ref="EP11:EP48" si="22">IF(i_RDI_new_bc=1,FH11,IF(i_RDI_new_bc=2,FR11,GB11))</f>
        <v>9.7500000000000003E-2</v>
      </c>
      <c r="EQ11" s="107">
        <f t="shared" ref="EQ11:EQ48" si="23">IF(i_RDI_new_bc=1,FI11,IF(i_RDI_new_bc=2,FS11,GC11))</f>
        <v>0.97499999999999998</v>
      </c>
      <c r="ER11" s="107">
        <f t="shared" ref="ER11:ER48" si="24">IF(i_RDI_new_bc=1,FJ11,IF(i_RDI_new_bc=2,FT11,GD11))</f>
        <v>9.7500000000000003E-2</v>
      </c>
      <c r="ES11" s="107">
        <f t="shared" ref="ES11:ES48" si="25">IF(i_RDI_new_bc=1,FK11,IF(i_RDI_new_bc=2,FU11,GE11))</f>
        <v>0.97499999999999998</v>
      </c>
      <c r="ET11" s="107">
        <f t="shared" ref="ET11:ET48" si="26">IF(i_RDI_new_bc=1,FL11,IF(i_RDI_new_bc=2,FV11,GF11))</f>
        <v>9.7500000000000003E-2</v>
      </c>
      <c r="EU11" s="107">
        <f t="shared" ref="EU11:EU48" si="27">IF(i_RDI_new_bc=1,FM11,IF(i_RDI_new_bc=2,FW11,GG11))</f>
        <v>0.97499999999999998</v>
      </c>
      <c r="EV11" s="107">
        <f t="shared" ref="EV11:EV48" si="28">IF(i_RDI_new_bc=1,FN11,IF(i_RDI_new_bc=2,FX11,GH11))</f>
        <v>9.7500000000000003E-2</v>
      </c>
      <c r="EW11" s="1321">
        <v>0.93600000000000005</v>
      </c>
      <c r="EX11" s="1321">
        <v>5.3E-3</v>
      </c>
      <c r="EY11" s="1321">
        <v>0.93600000000000005</v>
      </c>
      <c r="EZ11" s="1321">
        <v>9.3600000000000017E-2</v>
      </c>
      <c r="FA11" s="1321">
        <v>0.90700000000000003</v>
      </c>
      <c r="FB11" s="1321">
        <v>9.0700000000000003E-2</v>
      </c>
      <c r="FC11" s="1321">
        <v>0.90700000000000003</v>
      </c>
      <c r="FD11" s="1321">
        <v>9.0700000000000003E-2</v>
      </c>
      <c r="FF11" s="1247" t="s">
        <v>579</v>
      </c>
      <c r="FG11" s="107">
        <v>0.97499999999999998</v>
      </c>
      <c r="FH11" s="107">
        <v>9.7500000000000003E-2</v>
      </c>
      <c r="FI11" s="107">
        <v>0.97499999999999998</v>
      </c>
      <c r="FJ11" s="107">
        <v>9.7500000000000003E-2</v>
      </c>
      <c r="FK11" s="107">
        <v>0.97499999999999998</v>
      </c>
      <c r="FL11" s="107">
        <v>9.7500000000000003E-2</v>
      </c>
      <c r="FM11" s="107">
        <v>0.97499999999999998</v>
      </c>
      <c r="FN11" s="107">
        <v>9.7500000000000003E-2</v>
      </c>
      <c r="FQ11" s="107">
        <v>0.97499999999999998</v>
      </c>
      <c r="FR11" s="107">
        <v>9.7500000000000003E-2</v>
      </c>
      <c r="FS11" s="107">
        <v>0.97499999999999998</v>
      </c>
      <c r="FT11" s="107">
        <v>9.7500000000000003E-2</v>
      </c>
      <c r="FU11" s="107">
        <v>0.97499999999999998</v>
      </c>
      <c r="FV11" s="107">
        <v>9.7500000000000003E-2</v>
      </c>
      <c r="FW11" s="107">
        <v>0.97499999999999998</v>
      </c>
      <c r="FX11" s="107">
        <v>9.7500000000000003E-2</v>
      </c>
      <c r="GA11" s="107">
        <v>0.97499999999999998</v>
      </c>
      <c r="GB11" s="107">
        <v>9.7500000000000003E-2</v>
      </c>
      <c r="GC11" s="107">
        <v>0.97499999999999998</v>
      </c>
      <c r="GD11" s="107">
        <v>9.7500000000000003E-2</v>
      </c>
      <c r="GE11" s="107">
        <v>0.97499999999999998</v>
      </c>
      <c r="GF11" s="107">
        <v>9.7500000000000003E-2</v>
      </c>
      <c r="GG11" s="107">
        <v>0.97499999999999998</v>
      </c>
      <c r="GH11" s="107">
        <v>9.7500000000000003E-2</v>
      </c>
    </row>
    <row r="12" spans="2:190" s="784" customFormat="1" ht="16.5" thickBot="1" x14ac:dyDescent="0.3">
      <c r="B12" s="785"/>
      <c r="C12" s="785"/>
      <c r="D12" s="1688" t="str" cm="1">
        <f t="array" ref="D12">INDEX(List_comparators,I11+1)</f>
        <v>nivolumab_monotherapy</v>
      </c>
      <c r="E12" s="1689"/>
      <c r="F12" s="1689"/>
      <c r="G12" s="1689"/>
      <c r="H12" s="1690"/>
      <c r="I12" s="131"/>
      <c r="J12" s="317" t="s">
        <v>267</v>
      </c>
      <c r="K12" s="1587">
        <v>1097</v>
      </c>
      <c r="L12" s="1588"/>
      <c r="M12" s="321">
        <v>10</v>
      </c>
      <c r="N12" s="290" t="s">
        <v>268</v>
      </c>
      <c r="O12" s="794">
        <v>10</v>
      </c>
      <c r="P12" s="290" t="s">
        <v>269</v>
      </c>
      <c r="Q12" s="793" t="s">
        <v>74</v>
      </c>
      <c r="R12" s="1308">
        <v>0</v>
      </c>
      <c r="S12" s="1309">
        <f>K12*(1-R12)</f>
        <v>1097</v>
      </c>
      <c r="T12" s="792" t="s">
        <v>270</v>
      </c>
      <c r="U12" s="1610"/>
      <c r="V12" s="791">
        <v>480</v>
      </c>
      <c r="W12" s="790"/>
      <c r="X12" s="789"/>
      <c r="Y12" s="1272">
        <f>IF(i_alt_RDI_nivo_ST_num=1,97.5%,IF(i_alt_RDI_nivo_PartSA_num=1,97.5%,CHOOSE(i_sc_RDI_num,100%,97.5%,CHOOSE($AA$5,DA$11,DA$11,DB$11,DB$11),DK12,DP12)))</f>
        <v>0.97499999999999998</v>
      </c>
      <c r="Z12" s="971">
        <f>IF(i_sc_RDI_num=3,IF($AA$5=1,0.53%,i_SE_util*Y12),i_SE_util*Y12)</f>
        <v>9.7500000000000003E-2</v>
      </c>
      <c r="AA12" s="787">
        <v>4</v>
      </c>
      <c r="AB12" s="792">
        <v>1</v>
      </c>
      <c r="AC12" s="792">
        <v>1</v>
      </c>
      <c r="AD12" s="886">
        <f>ROUNDUP(ui_time_horizon*365.25*i_days_to_weeks,0)+1</f>
        <v>2089</v>
      </c>
      <c r="AE12" s="786">
        <f>K12/(O12*M12)</f>
        <v>10.97</v>
      </c>
      <c r="AF12" s="461">
        <f>S12/(O12*M12)</f>
        <v>10.97</v>
      </c>
      <c r="AG12" s="786"/>
      <c r="AH12" s="1072"/>
      <c r="AI12" s="1087"/>
      <c r="AJ12" s="1353">
        <f>AJ11</f>
        <v>1316.5</v>
      </c>
      <c r="AK12" s="1248"/>
      <c r="AZ12" s="991">
        <v>1</v>
      </c>
      <c r="BA12" s="485" t="str">
        <f>D11</f>
        <v>nivolumab_monotherapy</v>
      </c>
      <c r="BB12" s="475" t="s">
        <v>1733</v>
      </c>
      <c r="BC12" s="485">
        <f>I78</f>
        <v>1</v>
      </c>
      <c r="BD12" s="485" t="str">
        <f>CHOOSE(i_admin_based_on_num,"one-off",J11)</f>
        <v>per cycle</v>
      </c>
      <c r="BE12" s="1342">
        <f>CHOOSE(i_drug_price_options,AG79,AH79)*CHOOSE(i_admin_based_on_num,'Time on treatment'!$L$12,1)</f>
        <v>5266</v>
      </c>
      <c r="BF12" s="1342">
        <f>AG79*CHOOSE(i_admin_based_on_num,'Time on treatment'!$L$12,1)</f>
        <v>5266</v>
      </c>
      <c r="BG12" s="1343">
        <f t="shared" ref="BG12:BG50" si="29">1-BE12/BF12</f>
        <v>0</v>
      </c>
      <c r="BH12" s="466">
        <f>W81*CHOOSE(i_admin_based_on_num,'Time on treatment'!$L$12,1)</f>
        <v>207.59</v>
      </c>
      <c r="BI12" s="825">
        <f>X81*CHOOSE(i_admin_based_on_num,'Time on treatment'!$L$12,1)</f>
        <v>41.518000000000001</v>
      </c>
      <c r="BJ12" s="826">
        <f>AA79</f>
        <v>4</v>
      </c>
      <c r="BK12" s="827">
        <f>AB79</f>
        <v>1</v>
      </c>
      <c r="BL12" s="828">
        <f>$Y$79</f>
        <v>1</v>
      </c>
      <c r="BM12" s="828">
        <f>$Z$79</f>
        <v>0.1</v>
      </c>
      <c r="BN12" s="827">
        <f>AC79</f>
        <v>1</v>
      </c>
      <c r="BO12" s="826">
        <f>CHOOSE(i_admin_based_on_num,1,AD79)</f>
        <v>104.35714285714286</v>
      </c>
      <c r="BP12" s="1385">
        <f t="shared" si="0"/>
        <v>1</v>
      </c>
      <c r="BQ12" s="1328">
        <f t="shared" ref="BQ12:BQ19" si="30">IF(i_sc_RDI_num=2,EP12,i_SE_util*EO12)</f>
        <v>0.1</v>
      </c>
      <c r="BR12" s="1385">
        <f t="shared" si="1"/>
        <v>1</v>
      </c>
      <c r="BS12" s="1328">
        <f t="shared" si="2"/>
        <v>0.1</v>
      </c>
      <c r="BT12" s="1385">
        <f t="shared" si="3"/>
        <v>1</v>
      </c>
      <c r="BU12" s="1328">
        <f t="shared" si="4"/>
        <v>0.1</v>
      </c>
      <c r="BV12" s="1385">
        <f t="shared" si="5"/>
        <v>1</v>
      </c>
      <c r="BW12" s="828">
        <f t="shared" si="6"/>
        <v>0.1</v>
      </c>
      <c r="BX12" s="828">
        <f t="shared" si="7"/>
        <v>0.92</v>
      </c>
      <c r="BY12" s="828">
        <f t="shared" si="8"/>
        <v>9.2000000000000012E-2</v>
      </c>
      <c r="BZ12" s="828">
        <f t="shared" si="9"/>
        <v>0.92</v>
      </c>
      <c r="CA12" s="828">
        <f t="shared" si="10"/>
        <v>9.2000000000000012E-2</v>
      </c>
      <c r="CB12" s="828">
        <f t="shared" si="11"/>
        <v>0.92</v>
      </c>
      <c r="CC12" s="828">
        <f t="shared" si="12"/>
        <v>9.2000000000000012E-2</v>
      </c>
      <c r="CD12" s="828">
        <f t="shared" si="13"/>
        <v>0.92</v>
      </c>
      <c r="CE12" s="828">
        <f t="shared" si="14"/>
        <v>9.2000000000000012E-2</v>
      </c>
      <c r="CF12" s="992"/>
      <c r="CG12" s="1401">
        <f t="shared" ref="CG12:CG52" si="31">BP12</f>
        <v>1</v>
      </c>
      <c r="CH12" s="1401">
        <f t="shared" si="15"/>
        <v>0.1</v>
      </c>
      <c r="CI12" s="1401">
        <f t="shared" si="15"/>
        <v>1</v>
      </c>
      <c r="CJ12" s="1401">
        <f t="shared" si="15"/>
        <v>0.1</v>
      </c>
      <c r="CK12" s="1401">
        <f t="shared" ref="CK12:CK52" si="32">CG12</f>
        <v>1</v>
      </c>
      <c r="CL12" s="992"/>
      <c r="CM12" s="475">
        <f t="shared" ref="CM12:CM52" si="33">BC12</f>
        <v>1</v>
      </c>
      <c r="CN12" s="475" t="s">
        <v>312</v>
      </c>
      <c r="CO12" s="825">
        <f>AJ79*CHOOSE(i_admin_based_on_num,'Time on treatment'!$L$12,1)</f>
        <v>1316.5</v>
      </c>
      <c r="CP12" s="825">
        <f t="shared" si="16"/>
        <v>1211.18</v>
      </c>
      <c r="CQ12" s="825">
        <f t="shared" si="17"/>
        <v>1211.18</v>
      </c>
      <c r="CR12" s="825">
        <f t="shared" si="18"/>
        <v>1211.18</v>
      </c>
      <c r="CS12" s="825">
        <f t="shared" si="19"/>
        <v>1211.18</v>
      </c>
      <c r="CT12" s="1119"/>
      <c r="CU12" s="1119"/>
      <c r="CV12" s="1119"/>
      <c r="CW12" s="1119"/>
      <c r="CX12" s="884"/>
      <c r="CY12" s="884"/>
      <c r="CZ12" s="1325">
        <f>DA12</f>
        <v>0.93600000000000005</v>
      </c>
      <c r="DA12" s="1326" cm="1">
        <f t="array" ref="DA12">_xlfn.IFNA(INDEX($EH$30:$EH$69,MATCH(1,($BA12=$ED$30:$ED$69)*(DA$9=$EE$30:$EE$69),0)),"")</f>
        <v>0.93600000000000005</v>
      </c>
      <c r="DB12" s="1326" cm="1">
        <f t="array" ref="DB12">_xlfn.IFNA(INDEX($EH$30:$EH$69,MATCH(1,($BA12=$ED$30:$ED$69)*(DB$9=$EE$30:$EE$69),0)),"")</f>
        <v>0.90700000000000003</v>
      </c>
      <c r="DC12" s="1325">
        <f>DB12</f>
        <v>0.90700000000000003</v>
      </c>
      <c r="DE12" s="107" t="s">
        <v>277</v>
      </c>
      <c r="DJ12" s="1111">
        <v>0.97499999999999998</v>
      </c>
      <c r="DK12" s="1111">
        <f t="shared" ref="DK12:DK15" si="34">DJ12</f>
        <v>0.97499999999999998</v>
      </c>
      <c r="DL12" s="1111">
        <v>0.97499999999999998</v>
      </c>
      <c r="DM12" s="1111">
        <v>0.97499999999999998</v>
      </c>
      <c r="DN12" s="1111">
        <v>0.97499999999999998</v>
      </c>
      <c r="DO12" s="1111">
        <v>0.97499999999999998</v>
      </c>
      <c r="DP12" s="1111">
        <f t="shared" si="20"/>
        <v>0.97499999999999998</v>
      </c>
      <c r="DQ12" s="1111"/>
      <c r="DS12" s="797" t="str" cm="1">
        <f t="array" ref="DS12:DS25">List_comparators</f>
        <v>nivolumab_monotherapy</v>
      </c>
      <c r="DT12" s="467">
        <f>BH11</f>
        <v>207.59</v>
      </c>
      <c r="DU12" s="467">
        <v>0</v>
      </c>
      <c r="DV12" s="1324">
        <f>IF(i_sc_RDI_num=3,100%,(CHOOSE(i_sub_txt_prop_num,IF(i_sc_RDI_num=4,CH11,IF(i_sc_RDI_num=5,CK11,BR11)),BZ11)))</f>
        <v>0.93600000000000005</v>
      </c>
      <c r="DW12" s="1324">
        <f>IF(i_sc_RDI_num=3,100%,(CHOOSE(i_sub_txt_prop_num,IF(i_sc_RDI_num=4,CI11,IF(i_sc_RDI_num=5,CK11,BT11)),CB11)))</f>
        <v>0.90700000000000003</v>
      </c>
      <c r="DX12" s="1324">
        <f>IF(i_sc_RDI_num=3,100%,(CHOOSE(i_sub_txt_prop_num,IF(i_sc_RDI_num=4,CJ11,IF(i_sc_RDI_num=5,CK11,BV11)),CD11)))</f>
        <v>0.90700000000000003</v>
      </c>
      <c r="DY12" s="467">
        <f>$DT12*DV12</f>
        <v>194.30424000000002</v>
      </c>
      <c r="DZ12" s="467">
        <f t="shared" ref="DZ12:EA13" si="35">$DT12*DW12</f>
        <v>188.28413</v>
      </c>
      <c r="EA12" s="467">
        <f t="shared" si="35"/>
        <v>188.28413</v>
      </c>
      <c r="EB12" s="1126"/>
      <c r="EN12" s="1244" t="s">
        <v>1733</v>
      </c>
      <c r="EO12" s="1398">
        <v>1</v>
      </c>
      <c r="EP12" s="1398">
        <v>0.1</v>
      </c>
      <c r="EQ12" s="1398">
        <v>1</v>
      </c>
      <c r="ER12" s="1398">
        <v>0.1</v>
      </c>
      <c r="ES12" s="1398">
        <v>1</v>
      </c>
      <c r="ET12" s="1398">
        <v>0.1</v>
      </c>
      <c r="EU12" s="1398">
        <v>1</v>
      </c>
      <c r="EV12" s="1398">
        <v>0.1</v>
      </c>
      <c r="EW12" s="1321">
        <v>0.92</v>
      </c>
      <c r="EX12" s="1321">
        <v>9.2000000000000012E-2</v>
      </c>
      <c r="EY12" s="1321">
        <v>0.92</v>
      </c>
      <c r="EZ12" s="1321">
        <v>9.2000000000000012E-2</v>
      </c>
      <c r="FA12" s="1321">
        <v>0.92</v>
      </c>
      <c r="FB12" s="1321">
        <v>9.2000000000000012E-2</v>
      </c>
      <c r="FC12" s="1321">
        <v>0.92</v>
      </c>
      <c r="FD12" s="1321">
        <v>9.2000000000000012E-2</v>
      </c>
      <c r="FF12" s="1247" t="s">
        <v>579</v>
      </c>
      <c r="FG12" s="1398">
        <v>1</v>
      </c>
      <c r="FH12" s="1398">
        <v>0.1</v>
      </c>
      <c r="FI12" s="1398">
        <v>1</v>
      </c>
      <c r="FJ12" s="1398">
        <v>0.1</v>
      </c>
      <c r="FK12" s="1398">
        <v>1</v>
      </c>
      <c r="FL12" s="1398">
        <v>0.1</v>
      </c>
      <c r="FM12" s="1398">
        <v>1</v>
      </c>
      <c r="FN12" s="1398">
        <v>0.1</v>
      </c>
      <c r="FQ12" s="1398">
        <v>1</v>
      </c>
      <c r="FR12" s="1398">
        <v>0.1</v>
      </c>
      <c r="FS12" s="1398">
        <v>1</v>
      </c>
      <c r="FT12" s="1398">
        <v>0.1</v>
      </c>
      <c r="FU12" s="1398">
        <v>1</v>
      </c>
      <c r="FV12" s="1398">
        <v>0.1</v>
      </c>
      <c r="FW12" s="1398">
        <v>1</v>
      </c>
      <c r="FX12" s="1398">
        <v>0.1</v>
      </c>
      <c r="GA12" s="1398">
        <v>1</v>
      </c>
      <c r="GB12" s="1398">
        <v>0.1</v>
      </c>
      <c r="GC12" s="1398">
        <v>1</v>
      </c>
      <c r="GD12" s="1398">
        <v>0.1</v>
      </c>
      <c r="GE12" s="1398">
        <v>1</v>
      </c>
      <c r="GF12" s="1398">
        <v>0.1</v>
      </c>
      <c r="GG12" s="1398">
        <v>1</v>
      </c>
      <c r="GH12" s="1398">
        <v>0.1</v>
      </c>
    </row>
    <row r="13" spans="2:190" ht="16.5" thickBot="1" x14ac:dyDescent="0.3">
      <c r="D13" s="1688" t="str" cm="1">
        <f t="array" ref="D13">INDEX(List_comparators,I12+1)</f>
        <v>nivolumab_monotherapy</v>
      </c>
      <c r="E13" s="1689"/>
      <c r="F13" s="1689"/>
      <c r="G13" s="1689"/>
      <c r="H13" s="1690"/>
      <c r="I13" s="123"/>
      <c r="J13" s="317" t="s">
        <v>267</v>
      </c>
      <c r="K13" s="1587">
        <v>1317</v>
      </c>
      <c r="L13" s="1588"/>
      <c r="M13" s="321">
        <v>12</v>
      </c>
      <c r="N13" s="290" t="s">
        <v>268</v>
      </c>
      <c r="O13" s="291">
        <v>10</v>
      </c>
      <c r="P13" s="126" t="s">
        <v>269</v>
      </c>
      <c r="Q13" s="127" t="s">
        <v>74</v>
      </c>
      <c r="R13" s="1308">
        <v>0</v>
      </c>
      <c r="S13" s="1309">
        <f>K13*(1-R13)</f>
        <v>1317</v>
      </c>
      <c r="T13" s="276" t="s">
        <v>270</v>
      </c>
      <c r="U13" s="1609"/>
      <c r="V13" s="128">
        <v>480</v>
      </c>
      <c r="W13" s="326"/>
      <c r="X13" s="779"/>
      <c r="Y13" s="1273">
        <f>IF(i_alt_RDI_nivo_ST_num=1,97.5%,IF(i_alt_RDI_nivo_PartSA_num=1,97.5%,CHOOSE(i_sc_RDI_num,100%,97.5%,CHOOSE($AA$5,DA$11,DA$11,DB$11,DB$11),DK13,DP13)))</f>
        <v>0.97499999999999998</v>
      </c>
      <c r="Z13" s="971">
        <f>IF(i_sc_RDI_num=3,IF($AA$5=1,0.53%,i_SE_util*Y13),i_SE_util*Y13)</f>
        <v>9.7500000000000003E-2</v>
      </c>
      <c r="AA13" s="328">
        <v>4</v>
      </c>
      <c r="AB13" s="276">
        <v>1</v>
      </c>
      <c r="AC13" s="276">
        <v>1</v>
      </c>
      <c r="AD13" s="886">
        <f>ROUNDUP(ui_time_horizon*365.25*i_days_to_weeks,0)+1</f>
        <v>2089</v>
      </c>
      <c r="AE13" s="292">
        <f>K13/(O13*M13)</f>
        <v>10.975</v>
      </c>
      <c r="AF13" s="398">
        <f>S13/(O13*M13)</f>
        <v>10.975</v>
      </c>
      <c r="AG13" s="292"/>
      <c r="AH13" s="1073"/>
      <c r="AI13" s="1086"/>
      <c r="AJ13" s="1353">
        <f>AJ11</f>
        <v>1316.5</v>
      </c>
      <c r="AK13" s="1248"/>
      <c r="AZ13" s="991">
        <v>1</v>
      </c>
      <c r="BA13" s="219" t="str">
        <f>D16&amp;BC13</f>
        <v>cabozantinib1</v>
      </c>
      <c r="BB13" s="219" t="s">
        <v>1193</v>
      </c>
      <c r="BC13" s="219">
        <v>1</v>
      </c>
      <c r="BD13" s="219" t="str">
        <f>J16</f>
        <v>per cycle</v>
      </c>
      <c r="BE13" s="1396">
        <f>CHOOSE(i_drug_price_options,AG80,AH80)</f>
        <v>5143</v>
      </c>
      <c r="BF13" s="1396">
        <f>AG80</f>
        <v>5143</v>
      </c>
      <c r="BG13" s="1397">
        <f t="shared" si="29"/>
        <v>0</v>
      </c>
      <c r="BH13" s="466"/>
      <c r="BI13" s="829"/>
      <c r="BJ13" s="1128">
        <f>AA80</f>
        <v>4.2857142857142856</v>
      </c>
      <c r="BK13" s="816">
        <f>AB80</f>
        <v>1</v>
      </c>
      <c r="BL13" s="830">
        <f>$Y$80</f>
        <v>1</v>
      </c>
      <c r="BM13" s="830">
        <f>$Z$80</f>
        <v>0.1</v>
      </c>
      <c r="BN13" s="816">
        <f>AC80</f>
        <v>1</v>
      </c>
      <c r="BO13" s="816">
        <f>AD80</f>
        <v>2089</v>
      </c>
      <c r="BP13" s="1385">
        <f t="shared" si="0"/>
        <v>1</v>
      </c>
      <c r="BQ13" s="1328">
        <f t="shared" si="30"/>
        <v>0.1</v>
      </c>
      <c r="BR13" s="1385">
        <f t="shared" si="1"/>
        <v>1</v>
      </c>
      <c r="BS13" s="1328">
        <f t="shared" si="2"/>
        <v>0.1</v>
      </c>
      <c r="BT13" s="1385">
        <f t="shared" si="3"/>
        <v>1</v>
      </c>
      <c r="BU13" s="1328">
        <f t="shared" si="4"/>
        <v>0.1</v>
      </c>
      <c r="BV13" s="1385">
        <f t="shared" si="5"/>
        <v>1</v>
      </c>
      <c r="BW13" s="830">
        <f t="shared" si="6"/>
        <v>0.1</v>
      </c>
      <c r="BX13" s="830">
        <f t="shared" si="7"/>
        <v>0.86</v>
      </c>
      <c r="BY13" s="830">
        <f t="shared" si="8"/>
        <v>8.6000000000000007E-2</v>
      </c>
      <c r="BZ13" s="830">
        <f t="shared" si="9"/>
        <v>0.86</v>
      </c>
      <c r="CA13" s="830">
        <f t="shared" si="10"/>
        <v>8.6000000000000007E-2</v>
      </c>
      <c r="CB13" s="830">
        <f t="shared" si="11"/>
        <v>0.86</v>
      </c>
      <c r="CC13" s="830">
        <f t="shared" si="12"/>
        <v>8.6000000000000007E-2</v>
      </c>
      <c r="CD13" s="830">
        <f t="shared" si="13"/>
        <v>0.86</v>
      </c>
      <c r="CE13" s="830">
        <f t="shared" si="14"/>
        <v>8.6000000000000007E-2</v>
      </c>
      <c r="CF13" s="992"/>
      <c r="CG13" s="1401">
        <f t="shared" si="31"/>
        <v>1</v>
      </c>
      <c r="CH13" s="1401">
        <f t="shared" si="15"/>
        <v>0.1</v>
      </c>
      <c r="CI13" s="1401">
        <f t="shared" si="15"/>
        <v>1</v>
      </c>
      <c r="CJ13" s="1401">
        <f t="shared" si="15"/>
        <v>0.1</v>
      </c>
      <c r="CK13" s="1401">
        <f t="shared" si="32"/>
        <v>1</v>
      </c>
      <c r="CL13" s="992"/>
      <c r="CM13" s="475">
        <f t="shared" si="33"/>
        <v>1</v>
      </c>
      <c r="CN13" s="475" t="s">
        <v>118</v>
      </c>
      <c r="CO13" s="825">
        <f>AJ80</f>
        <v>1200.0333333333333</v>
      </c>
      <c r="CP13" s="825">
        <f t="shared" si="16"/>
        <v>1032.0286666666666</v>
      </c>
      <c r="CQ13" s="825">
        <f t="shared" si="17"/>
        <v>1032.0286666666666</v>
      </c>
      <c r="CR13" s="825">
        <f t="shared" si="18"/>
        <v>1032.0286666666666</v>
      </c>
      <c r="CS13" s="825">
        <f t="shared" si="19"/>
        <v>1032.0286666666666</v>
      </c>
      <c r="CT13" s="1119"/>
      <c r="CU13" s="1119"/>
      <c r="CV13" s="1119"/>
      <c r="CW13" s="1119"/>
      <c r="CZ13" s="1326">
        <v>0.76</v>
      </c>
      <c r="DA13" s="1326" t="str" cm="1">
        <f t="array" ref="DA13">_xlfn.IFNA(INDEX($EH$30:$EH$69,MATCH(1,($BA13=$ED$30:$ED$69)*(DA$9=$EE$30:$EE$69),0)),"")</f>
        <v/>
      </c>
      <c r="DB13" s="1326" t="str" cm="1">
        <f t="array" ref="DB13">_xlfn.IFNA(INDEX($EH$30:$EH$69,MATCH(1,($BA13=$ED$30:$ED$69)*(DB$9=$EE$30:$EE$69),0)),"")</f>
        <v/>
      </c>
      <c r="DC13" s="1326" t="str" cm="1">
        <f t="array" ref="DC13">_xlfn.IFNA(INDEX($EH$30:$EH$69,MATCH(1,($BA13=$ED$30:$ED$69)*(DC$9=$EE$30:$EE$69),0)),"")</f>
        <v/>
      </c>
      <c r="DJ13" s="1111">
        <v>0.97499999999999998</v>
      </c>
      <c r="DK13" s="1111">
        <f t="shared" si="34"/>
        <v>0.97499999999999998</v>
      </c>
      <c r="DL13" s="1111">
        <v>0.97499999999999998</v>
      </c>
      <c r="DM13" s="1111">
        <v>0.97499999999999998</v>
      </c>
      <c r="DN13" s="1111">
        <v>0.97499999999999998</v>
      </c>
      <c r="DO13" s="1111">
        <v>0.97499999999999998</v>
      </c>
      <c r="DP13" s="1111">
        <f t="shared" si="20"/>
        <v>0.97499999999999998</v>
      </c>
      <c r="DQ13" s="1111"/>
      <c r="DS13" s="219" t="str">
        <v>cabozantinib_plus_nivolumab</v>
      </c>
      <c r="DT13" s="466">
        <f>BH15+BH12</f>
        <v>218.59</v>
      </c>
      <c r="DU13" s="466">
        <f>BH14</f>
        <v>197.25</v>
      </c>
      <c r="DV13" s="1124">
        <v>0</v>
      </c>
      <c r="DW13" s="1124">
        <v>0</v>
      </c>
      <c r="DX13" s="1124">
        <v>0</v>
      </c>
      <c r="DY13" s="467">
        <f t="shared" ref="DY13:DY25" si="36">$DT13*DV13</f>
        <v>0</v>
      </c>
      <c r="DZ13" s="467">
        <f t="shared" si="35"/>
        <v>0</v>
      </c>
      <c r="EA13" s="467">
        <f t="shared" si="35"/>
        <v>0</v>
      </c>
      <c r="EB13" s="1125"/>
      <c r="EN13" s="1244" t="s">
        <v>1193</v>
      </c>
      <c r="EO13" s="1453">
        <f t="shared" si="21"/>
        <v>1</v>
      </c>
      <c r="EP13" s="1453">
        <f t="shared" si="22"/>
        <v>0.1</v>
      </c>
      <c r="EQ13" s="1453">
        <f t="shared" si="23"/>
        <v>1</v>
      </c>
      <c r="ER13" s="1453">
        <f t="shared" si="24"/>
        <v>0.1</v>
      </c>
      <c r="ES13" s="1453">
        <f t="shared" si="25"/>
        <v>1</v>
      </c>
      <c r="ET13" s="1453">
        <f t="shared" si="26"/>
        <v>0.1</v>
      </c>
      <c r="EU13" s="1453">
        <f t="shared" si="27"/>
        <v>1</v>
      </c>
      <c r="EV13" s="1453">
        <f t="shared" si="28"/>
        <v>0.1</v>
      </c>
      <c r="EW13" s="1321">
        <v>0.86</v>
      </c>
      <c r="EX13" s="1321">
        <v>8.6000000000000007E-2</v>
      </c>
      <c r="EY13" s="1321">
        <v>0.86</v>
      </c>
      <c r="EZ13" s="1321">
        <v>8.6000000000000007E-2</v>
      </c>
      <c r="FA13" s="1321">
        <v>0.86</v>
      </c>
      <c r="FB13" s="1321">
        <v>8.6000000000000007E-2</v>
      </c>
      <c r="FC13" s="1321">
        <v>0.86</v>
      </c>
      <c r="FD13" s="1321">
        <v>8.6000000000000007E-2</v>
      </c>
      <c r="FF13" s="1247" t="s">
        <v>1747</v>
      </c>
      <c r="FG13" s="1453">
        <v>1</v>
      </c>
      <c r="FH13" s="1453">
        <v>0.1</v>
      </c>
      <c r="FI13" s="1453">
        <v>1</v>
      </c>
      <c r="FJ13" s="1453">
        <v>0.1</v>
      </c>
      <c r="FK13" s="1453">
        <v>1</v>
      </c>
      <c r="FL13" s="1453">
        <v>0.1</v>
      </c>
      <c r="FM13" s="1453">
        <v>1</v>
      </c>
      <c r="FN13" s="1453">
        <v>0.1</v>
      </c>
      <c r="FQ13" s="1453">
        <v>1</v>
      </c>
      <c r="FR13" s="1453">
        <v>0.1</v>
      </c>
      <c r="FS13" s="1453">
        <v>1</v>
      </c>
      <c r="FT13" s="1453">
        <v>0.1</v>
      </c>
      <c r="FU13" s="1453">
        <v>1</v>
      </c>
      <c r="FV13" s="1453">
        <v>0.1</v>
      </c>
      <c r="FW13" s="1453">
        <v>1</v>
      </c>
      <c r="FX13" s="1453">
        <v>0.1</v>
      </c>
      <c r="GA13" s="1453">
        <v>1</v>
      </c>
      <c r="GB13" s="1453">
        <v>0.1</v>
      </c>
      <c r="GC13" s="1453">
        <v>1</v>
      </c>
      <c r="GD13" s="1453">
        <v>0.1</v>
      </c>
      <c r="GE13" s="1453">
        <v>1</v>
      </c>
      <c r="GF13" s="1453">
        <v>0.1</v>
      </c>
      <c r="GG13" s="1453">
        <v>1</v>
      </c>
      <c r="GH13" s="1453">
        <v>0.1</v>
      </c>
    </row>
    <row r="14" spans="2:190" ht="15.75" x14ac:dyDescent="0.25">
      <c r="D14" s="1688" t="str" cm="1">
        <f t="array" ref="D14">INDEX(List_comparators,I13+1)</f>
        <v>nivolumab_monotherapy</v>
      </c>
      <c r="E14" s="1689"/>
      <c r="F14" s="1689"/>
      <c r="G14" s="1689"/>
      <c r="H14" s="1690"/>
      <c r="I14" s="123"/>
      <c r="J14" s="317" t="s">
        <v>267</v>
      </c>
      <c r="K14" s="1587">
        <v>2633</v>
      </c>
      <c r="L14" s="1588"/>
      <c r="M14" s="321">
        <v>24</v>
      </c>
      <c r="N14" s="290" t="s">
        <v>268</v>
      </c>
      <c r="O14" s="291">
        <v>10</v>
      </c>
      <c r="P14" s="126" t="s">
        <v>269</v>
      </c>
      <c r="Q14" s="127" t="s">
        <v>74</v>
      </c>
      <c r="R14" s="1308">
        <v>0</v>
      </c>
      <c r="S14" s="1309">
        <f>K14*(1-R14)</f>
        <v>2633</v>
      </c>
      <c r="T14" s="276" t="s">
        <v>270</v>
      </c>
      <c r="U14" s="1609"/>
      <c r="V14" s="128">
        <v>480</v>
      </c>
      <c r="W14" s="326"/>
      <c r="X14" s="779"/>
      <c r="Y14" s="1273">
        <f>IF(i_alt_RDI_nivo_ST_num=1,97.5%,IF(i_alt_RDI_nivo_PartSA_num=1,97.5%,CHOOSE(i_sc_RDI_num,100%,97.5%,CHOOSE($AA$5,DA$11,DA$11,DB$11,DB$11),DK14,DP14)))</f>
        <v>0.97499999999999998</v>
      </c>
      <c r="Z14" s="971">
        <f>IF(i_sc_RDI_num=3,IF($AA$5=1,0.53%,i_SE_util*Y14),i_SE_util*Y14)</f>
        <v>9.7500000000000003E-2</v>
      </c>
      <c r="AA14" s="328">
        <v>4</v>
      </c>
      <c r="AB14" s="276">
        <v>1</v>
      </c>
      <c r="AC14" s="276">
        <v>1</v>
      </c>
      <c r="AD14" s="886">
        <f>ROUNDUP(ui_time_horizon*365.25*i_days_to_weeks,0)+1</f>
        <v>2089</v>
      </c>
      <c r="AE14" s="292">
        <f>K14/(M14*O14)</f>
        <v>10.970833333333333</v>
      </c>
      <c r="AF14" s="398">
        <f>S14/(M14*O14)</f>
        <v>10.970833333333333</v>
      </c>
      <c r="AG14" s="292"/>
      <c r="AH14" s="1074"/>
      <c r="AI14" s="1088"/>
      <c r="AJ14" s="1353">
        <f>AJ11</f>
        <v>1316.5</v>
      </c>
      <c r="AK14" s="1248"/>
      <c r="AM14" s="122"/>
      <c r="AZ14" s="991">
        <v>1</v>
      </c>
      <c r="BA14" s="219" t="str">
        <f>D19</f>
        <v>initial admin for cabozantinib</v>
      </c>
      <c r="BB14" s="219" t="s">
        <v>1193</v>
      </c>
      <c r="BC14" s="219">
        <v>1</v>
      </c>
      <c r="BD14" s="219" t="str">
        <f>J19</f>
        <v>one-off</v>
      </c>
      <c r="BE14" s="1232"/>
      <c r="BF14" s="1233"/>
      <c r="BG14" s="1260"/>
      <c r="BH14" s="479">
        <f>W82</f>
        <v>197.25</v>
      </c>
      <c r="BI14" s="831">
        <f>X82</f>
        <v>39.450000000000003</v>
      </c>
      <c r="BJ14" s="819"/>
      <c r="BK14" s="816">
        <f>BK15</f>
        <v>1</v>
      </c>
      <c r="BL14" s="830">
        <f>100%</f>
        <v>1</v>
      </c>
      <c r="BM14" s="830">
        <f>i_SE_util*BL14</f>
        <v>0.1</v>
      </c>
      <c r="BN14" s="816"/>
      <c r="BO14" s="816"/>
      <c r="BP14" s="1385">
        <f t="shared" si="0"/>
        <v>1</v>
      </c>
      <c r="BQ14" s="1327">
        <f t="shared" si="30"/>
        <v>0.1</v>
      </c>
      <c r="BR14" s="1385">
        <f t="shared" si="1"/>
        <v>1</v>
      </c>
      <c r="BS14" s="1327">
        <f t="shared" si="2"/>
        <v>0.1</v>
      </c>
      <c r="BT14" s="1385">
        <f t="shared" si="3"/>
        <v>1</v>
      </c>
      <c r="BU14" s="1327">
        <f t="shared" si="4"/>
        <v>0.1</v>
      </c>
      <c r="BV14" s="1385">
        <f t="shared" si="5"/>
        <v>1</v>
      </c>
      <c r="BW14" s="830">
        <f t="shared" si="6"/>
        <v>0.1</v>
      </c>
      <c r="BX14" s="830">
        <f t="shared" si="7"/>
        <v>1</v>
      </c>
      <c r="BY14" s="830">
        <f t="shared" si="8"/>
        <v>0.1</v>
      </c>
      <c r="BZ14" s="830">
        <f t="shared" si="9"/>
        <v>1</v>
      </c>
      <c r="CA14" s="830">
        <f t="shared" si="10"/>
        <v>0.1</v>
      </c>
      <c r="CB14" s="830">
        <f t="shared" si="11"/>
        <v>1</v>
      </c>
      <c r="CC14" s="830">
        <f t="shared" si="12"/>
        <v>0.1</v>
      </c>
      <c r="CD14" s="830">
        <f t="shared" si="13"/>
        <v>1</v>
      </c>
      <c r="CE14" s="830">
        <f t="shared" si="14"/>
        <v>0.1</v>
      </c>
      <c r="CF14" s="992"/>
      <c r="CG14" s="1401">
        <f t="shared" si="31"/>
        <v>1</v>
      </c>
      <c r="CH14" s="1401">
        <f t="shared" si="15"/>
        <v>0.1</v>
      </c>
      <c r="CI14" s="1401">
        <f t="shared" si="15"/>
        <v>1</v>
      </c>
      <c r="CJ14" s="1401">
        <f t="shared" si="15"/>
        <v>0.1</v>
      </c>
      <c r="CK14" s="1401">
        <f t="shared" si="32"/>
        <v>1</v>
      </c>
      <c r="CL14" s="992"/>
      <c r="CM14" s="475">
        <f t="shared" si="33"/>
        <v>1</v>
      </c>
      <c r="CN14" s="475" t="s">
        <v>118</v>
      </c>
      <c r="CO14" s="816"/>
      <c r="CP14" s="825">
        <f t="shared" si="16"/>
        <v>0</v>
      </c>
      <c r="CQ14" s="825">
        <f t="shared" si="17"/>
        <v>0</v>
      </c>
      <c r="CR14" s="825">
        <f t="shared" si="18"/>
        <v>0</v>
      </c>
      <c r="CS14" s="825">
        <f t="shared" si="19"/>
        <v>0</v>
      </c>
      <c r="CT14" s="1119"/>
      <c r="CU14" s="1119"/>
      <c r="CV14" s="1119"/>
      <c r="CW14" s="1119"/>
      <c r="CZ14" s="992" t="str" cm="1">
        <f t="array" ref="CZ14">_xlfn.IFNA(INDEX($EH$30:$EH$69,MATCH(1,($BA14=$ED$30:$ED$69)*(CZ$9=$EE$30:$EE$69),0)),"")</f>
        <v/>
      </c>
      <c r="DA14" s="992" t="str" cm="1">
        <f t="array" ref="DA14">_xlfn.IFNA(INDEX($EH$30:$EH$69,MATCH(1,($BA14=$ED$30:$ED$69)*(DA$9=$EE$30:$EE$69),0)),"")</f>
        <v/>
      </c>
      <c r="DB14" s="992" t="str" cm="1">
        <f t="array" ref="DB14">_xlfn.IFNA(INDEX($EH$30:$EH$69,MATCH(1,($BA14=$ED$30:$ED$69)*(DB$9=$EE$30:$EE$69),0)),"")</f>
        <v/>
      </c>
      <c r="DC14" s="992" t="str" cm="1">
        <f t="array" ref="DC14">_xlfn.IFNA(INDEX($EH$30:$EH$69,MATCH(1,($BA14=$ED$30:$ED$69)*(DC$9=$EE$30:$EE$69),0)),"")</f>
        <v/>
      </c>
      <c r="DJ14" s="1111">
        <v>0.97499999999999998</v>
      </c>
      <c r="DK14" s="1111">
        <f t="shared" si="34"/>
        <v>0.97499999999999998</v>
      </c>
      <c r="DL14" s="1111">
        <v>0.97499999999999998</v>
      </c>
      <c r="DM14" s="1111">
        <v>0.97499999999999998</v>
      </c>
      <c r="DN14" s="1111">
        <v>0.97499999999999998</v>
      </c>
      <c r="DO14" s="1111">
        <v>0.97499999999999998</v>
      </c>
      <c r="DP14" s="1111">
        <f t="shared" si="20"/>
        <v>0.97499999999999998</v>
      </c>
      <c r="DQ14" s="1111"/>
      <c r="DS14" s="219" t="str">
        <v>nivolumab_plus_ipilimumab</v>
      </c>
      <c r="DT14" s="466">
        <f>BH18+BH17</f>
        <v>648.29999999999995</v>
      </c>
      <c r="DU14" s="467">
        <v>0</v>
      </c>
      <c r="DV14" s="1124">
        <v>0</v>
      </c>
      <c r="DW14" s="1124">
        <v>0</v>
      </c>
      <c r="DX14" s="1124">
        <v>0</v>
      </c>
      <c r="DY14" s="467">
        <v>0</v>
      </c>
      <c r="DZ14" s="467">
        <v>0</v>
      </c>
      <c r="EA14" s="467">
        <v>0</v>
      </c>
      <c r="EB14" s="1125"/>
      <c r="EN14" s="1244" t="s">
        <v>1193</v>
      </c>
      <c r="EO14" s="1453">
        <f t="shared" si="21"/>
        <v>1</v>
      </c>
      <c r="EP14" s="1453">
        <f t="shared" si="22"/>
        <v>0.1</v>
      </c>
      <c r="EQ14" s="1453">
        <f t="shared" si="23"/>
        <v>1</v>
      </c>
      <c r="ER14" s="1453">
        <f t="shared" si="24"/>
        <v>0.1</v>
      </c>
      <c r="ES14" s="1453">
        <f t="shared" si="25"/>
        <v>1</v>
      </c>
      <c r="ET14" s="1453">
        <f t="shared" si="26"/>
        <v>0.1</v>
      </c>
      <c r="EU14" s="1453">
        <f t="shared" si="27"/>
        <v>1</v>
      </c>
      <c r="EV14" s="1453">
        <f t="shared" si="28"/>
        <v>0.1</v>
      </c>
      <c r="EW14" s="1321">
        <v>1</v>
      </c>
      <c r="EX14" s="1321">
        <v>0.1</v>
      </c>
      <c r="EY14" s="1321">
        <v>1</v>
      </c>
      <c r="EZ14" s="1321">
        <v>0.1</v>
      </c>
      <c r="FA14" s="1321">
        <v>1</v>
      </c>
      <c r="FB14" s="1321">
        <v>0.1</v>
      </c>
      <c r="FC14" s="1321">
        <v>1</v>
      </c>
      <c r="FD14" s="1321">
        <v>0.1</v>
      </c>
      <c r="FF14" s="1247" t="s">
        <v>286</v>
      </c>
      <c r="FG14" s="1453">
        <v>1</v>
      </c>
      <c r="FH14" s="1453">
        <v>0.1</v>
      </c>
      <c r="FI14" s="1453">
        <v>1</v>
      </c>
      <c r="FJ14" s="1453">
        <v>0.1</v>
      </c>
      <c r="FK14" s="1453">
        <v>1</v>
      </c>
      <c r="FL14" s="1453">
        <v>0.1</v>
      </c>
      <c r="FM14" s="1453">
        <v>1</v>
      </c>
      <c r="FN14" s="1453">
        <v>0.1</v>
      </c>
      <c r="FQ14" s="1453">
        <v>1</v>
      </c>
      <c r="FR14" s="1453">
        <v>0.1</v>
      </c>
      <c r="FS14" s="1453">
        <v>1</v>
      </c>
      <c r="FT14" s="1453">
        <v>0.1</v>
      </c>
      <c r="FU14" s="1453">
        <v>1</v>
      </c>
      <c r="FV14" s="1453">
        <v>0.1</v>
      </c>
      <c r="FW14" s="1453">
        <v>1</v>
      </c>
      <c r="FX14" s="1453">
        <v>0.1</v>
      </c>
      <c r="GA14" s="1453">
        <v>1</v>
      </c>
      <c r="GB14" s="1453">
        <v>0.1</v>
      </c>
      <c r="GC14" s="1453">
        <v>1</v>
      </c>
      <c r="GD14" s="1453">
        <v>0.1</v>
      </c>
      <c r="GE14" s="1453">
        <v>1</v>
      </c>
      <c r="GF14" s="1453">
        <v>0.1</v>
      </c>
      <c r="GG14" s="1453">
        <v>1</v>
      </c>
      <c r="GH14" s="1453">
        <v>0.1</v>
      </c>
    </row>
    <row r="15" spans="2:190" ht="16.5" thickBot="1" x14ac:dyDescent="0.3">
      <c r="D15" s="1598" t="s">
        <v>278</v>
      </c>
      <c r="E15" s="1599"/>
      <c r="F15" s="1599"/>
      <c r="G15" s="1599"/>
      <c r="H15" s="1600"/>
      <c r="I15" s="281"/>
      <c r="J15" s="318" t="s">
        <v>267</v>
      </c>
      <c r="K15" s="1568"/>
      <c r="L15" s="1569"/>
      <c r="M15" s="139"/>
      <c r="N15" s="302"/>
      <c r="O15" s="303"/>
      <c r="P15" s="134"/>
      <c r="Q15" s="135"/>
      <c r="R15" s="850"/>
      <c r="S15" s="382"/>
      <c r="T15" s="304"/>
      <c r="U15" s="304"/>
      <c r="V15" s="136"/>
      <c r="W15" s="254">
        <v>207.59</v>
      </c>
      <c r="X15" s="342">
        <f>i_SE_costs*W15</f>
        <v>41.518000000000001</v>
      </c>
      <c r="Y15" s="1274">
        <f>Y14</f>
        <v>0.97499999999999998</v>
      </c>
      <c r="Z15" s="965">
        <f>Z14</f>
        <v>9.7500000000000003E-2</v>
      </c>
      <c r="AA15" s="329"/>
      <c r="AB15" s="304"/>
      <c r="AC15" s="304"/>
      <c r="AD15" s="887"/>
      <c r="AE15" s="305"/>
      <c r="AF15" s="399"/>
      <c r="AG15" s="305"/>
      <c r="AH15" s="1075"/>
      <c r="AI15" s="1088"/>
      <c r="AJ15" s="1138"/>
      <c r="AK15" s="1248"/>
      <c r="AM15" s="122"/>
      <c r="AN15" s="107" t="s">
        <v>279</v>
      </c>
      <c r="AZ15" s="991">
        <v>1</v>
      </c>
      <c r="BA15" s="180" t="str">
        <f>D20</f>
        <v>subsequent admin for cabozantinib</v>
      </c>
      <c r="BB15" s="180" t="s">
        <v>1193</v>
      </c>
      <c r="BC15" s="180">
        <v>1</v>
      </c>
      <c r="BD15" s="180" t="str">
        <f>J20</f>
        <v>per cycle</v>
      </c>
      <c r="BE15" s="1234"/>
      <c r="BF15" s="1235"/>
      <c r="BG15" s="1261"/>
      <c r="BH15" s="486">
        <f>W83</f>
        <v>11</v>
      </c>
      <c r="BI15" s="832">
        <f>X83</f>
        <v>2.2000000000000002</v>
      </c>
      <c r="BJ15" s="818">
        <f>BJ13</f>
        <v>4.2857142857142856</v>
      </c>
      <c r="BK15" s="817">
        <f>BK13</f>
        <v>1</v>
      </c>
      <c r="BL15" s="833">
        <f>$BL$13</f>
        <v>1</v>
      </c>
      <c r="BM15" s="833">
        <f>$BM$13</f>
        <v>0.1</v>
      </c>
      <c r="BN15" s="818">
        <f>BN13+BJ15</f>
        <v>5.2857142857142856</v>
      </c>
      <c r="BO15" s="817">
        <f>BO13</f>
        <v>2089</v>
      </c>
      <c r="BP15" s="1454">
        <f t="shared" si="0"/>
        <v>1</v>
      </c>
      <c r="BQ15" s="1455">
        <f t="shared" si="30"/>
        <v>0.1</v>
      </c>
      <c r="BR15" s="1454">
        <f t="shared" si="1"/>
        <v>1</v>
      </c>
      <c r="BS15" s="1455">
        <f t="shared" si="2"/>
        <v>0.1</v>
      </c>
      <c r="BT15" s="1454">
        <f t="shared" si="3"/>
        <v>1</v>
      </c>
      <c r="BU15" s="1455">
        <f t="shared" si="4"/>
        <v>0.1</v>
      </c>
      <c r="BV15" s="1454">
        <f t="shared" si="5"/>
        <v>1</v>
      </c>
      <c r="BW15" s="833">
        <f t="shared" si="6"/>
        <v>0.1</v>
      </c>
      <c r="BX15" s="833">
        <f t="shared" si="7"/>
        <v>0.86</v>
      </c>
      <c r="BY15" s="833">
        <f t="shared" si="8"/>
        <v>8.6000000000000007E-2</v>
      </c>
      <c r="BZ15" s="833">
        <f t="shared" si="9"/>
        <v>0.86</v>
      </c>
      <c r="CA15" s="833">
        <f t="shared" si="10"/>
        <v>8.6000000000000007E-2</v>
      </c>
      <c r="CB15" s="833">
        <f t="shared" si="11"/>
        <v>0.86</v>
      </c>
      <c r="CC15" s="833">
        <f t="shared" si="12"/>
        <v>8.6000000000000007E-2</v>
      </c>
      <c r="CD15" s="833">
        <f t="shared" si="13"/>
        <v>0.86</v>
      </c>
      <c r="CE15" s="833">
        <f t="shared" si="14"/>
        <v>8.6000000000000007E-2</v>
      </c>
      <c r="CF15" s="992"/>
      <c r="CG15" s="1401">
        <f t="shared" si="31"/>
        <v>1</v>
      </c>
      <c r="CH15" s="1401">
        <f t="shared" si="15"/>
        <v>0.1</v>
      </c>
      <c r="CI15" s="1401">
        <f t="shared" si="15"/>
        <v>1</v>
      </c>
      <c r="CJ15" s="1401">
        <f t="shared" si="15"/>
        <v>0.1</v>
      </c>
      <c r="CK15" s="1401">
        <f t="shared" si="32"/>
        <v>1</v>
      </c>
      <c r="CL15" s="992"/>
      <c r="CM15" s="475">
        <f t="shared" si="33"/>
        <v>1</v>
      </c>
      <c r="CN15" s="475" t="s">
        <v>118</v>
      </c>
      <c r="CO15" s="816"/>
      <c r="CP15" s="825">
        <f t="shared" si="16"/>
        <v>0</v>
      </c>
      <c r="CQ15" s="825">
        <f t="shared" si="17"/>
        <v>0</v>
      </c>
      <c r="CR15" s="825">
        <f t="shared" si="18"/>
        <v>0</v>
      </c>
      <c r="CS15" s="825">
        <f t="shared" si="19"/>
        <v>0</v>
      </c>
      <c r="CT15" s="1119"/>
      <c r="CU15" s="1119"/>
      <c r="CV15" s="1119"/>
      <c r="CW15" s="1119"/>
      <c r="CZ15" s="992" t="str" cm="1">
        <f t="array" ref="CZ15">_xlfn.IFNA(INDEX($EH$30:$EH$69,MATCH(1,($BA15=$ED$30:$ED$69)*(CZ$9=$EE$30:$EE$69),0)),"")</f>
        <v/>
      </c>
      <c r="DA15" s="992" t="str" cm="1">
        <f t="array" ref="DA15">_xlfn.IFNA(INDEX($EH$30:$EH$69,MATCH(1,($BA15=$ED$30:$ED$69)*(DA$9=$EE$30:$EE$69),0)),"")</f>
        <v/>
      </c>
      <c r="DB15" s="992" t="str" cm="1">
        <f t="array" ref="DB15">_xlfn.IFNA(INDEX($EH$30:$EH$69,MATCH(1,($BA15=$ED$30:$ED$69)*(DB$9=$EE$30:$EE$69),0)),"")</f>
        <v/>
      </c>
      <c r="DC15" s="992" t="str" cm="1">
        <f t="array" ref="DC15">_xlfn.IFNA(INDEX($EH$30:$EH$69,MATCH(1,($BA15=$ED$30:$ED$69)*(DC$9=$EE$30:$EE$69),0)),"")</f>
        <v/>
      </c>
      <c r="DJ15" s="1111">
        <v>0.97499999999999998</v>
      </c>
      <c r="DK15" s="1111">
        <f t="shared" si="34"/>
        <v>0.97499999999999998</v>
      </c>
      <c r="DL15" s="1111">
        <v>0.97499999999999998</v>
      </c>
      <c r="DM15" s="1111">
        <v>0.97499999999999998</v>
      </c>
      <c r="DN15" s="1111">
        <v>0.97499999999999998</v>
      </c>
      <c r="DO15" s="1111">
        <v>0.97499999999999998</v>
      </c>
      <c r="DP15" s="1111">
        <f t="shared" si="20"/>
        <v>0.97499999999999998</v>
      </c>
      <c r="DQ15" s="1111"/>
      <c r="DS15" s="219" t="str">
        <v>lenvatinib_plus_pembrolizumab</v>
      </c>
      <c r="DT15" s="466">
        <f>BH26+BH24</f>
        <v>218.59</v>
      </c>
      <c r="DU15" s="466">
        <f>BH25</f>
        <v>197.25</v>
      </c>
      <c r="DV15" s="1124">
        <v>0</v>
      </c>
      <c r="DW15" s="1124">
        <v>0</v>
      </c>
      <c r="DX15" s="1124">
        <v>0</v>
      </c>
      <c r="DY15" s="467">
        <f t="shared" si="36"/>
        <v>0</v>
      </c>
      <c r="DZ15" s="467">
        <f t="shared" ref="DZ15:DZ25" si="37">$DT15*DW15</f>
        <v>0</v>
      </c>
      <c r="EA15" s="467">
        <f t="shared" ref="EA15:EA25" si="38">$DT15*DX15</f>
        <v>0</v>
      </c>
      <c r="EB15" s="1125"/>
      <c r="EN15" s="1244" t="s">
        <v>1193</v>
      </c>
      <c r="EO15" s="1453">
        <f t="shared" si="21"/>
        <v>1</v>
      </c>
      <c r="EP15" s="1453">
        <f t="shared" si="22"/>
        <v>0.1</v>
      </c>
      <c r="EQ15" s="1453">
        <f t="shared" si="23"/>
        <v>1</v>
      </c>
      <c r="ER15" s="1453">
        <f t="shared" si="24"/>
        <v>0.1</v>
      </c>
      <c r="ES15" s="1453">
        <f t="shared" si="25"/>
        <v>1</v>
      </c>
      <c r="ET15" s="1453">
        <f t="shared" si="26"/>
        <v>0.1</v>
      </c>
      <c r="EU15" s="1453">
        <f t="shared" si="27"/>
        <v>1</v>
      </c>
      <c r="EV15" s="1453">
        <f t="shared" si="28"/>
        <v>0.1</v>
      </c>
      <c r="EW15" s="1321">
        <v>0.86</v>
      </c>
      <c r="EX15" s="1321">
        <v>8.6000000000000007E-2</v>
      </c>
      <c r="EY15" s="1321">
        <v>0.86</v>
      </c>
      <c r="EZ15" s="1321">
        <v>8.6000000000000007E-2</v>
      </c>
      <c r="FA15" s="1321">
        <v>0.86</v>
      </c>
      <c r="FB15" s="1321">
        <v>8.6000000000000007E-2</v>
      </c>
      <c r="FC15" s="1321">
        <v>0.86</v>
      </c>
      <c r="FD15" s="1321">
        <v>8.6000000000000007E-2</v>
      </c>
      <c r="FF15" s="1247" t="s">
        <v>289</v>
      </c>
      <c r="FG15" s="1453">
        <v>1</v>
      </c>
      <c r="FH15" s="1453">
        <v>0.1</v>
      </c>
      <c r="FI15" s="1453">
        <v>1</v>
      </c>
      <c r="FJ15" s="1453">
        <v>0.1</v>
      </c>
      <c r="FK15" s="1453">
        <v>1</v>
      </c>
      <c r="FL15" s="1453">
        <v>0.1</v>
      </c>
      <c r="FM15" s="1453">
        <v>1</v>
      </c>
      <c r="FN15" s="1453">
        <v>0.1</v>
      </c>
      <c r="FQ15" s="1453">
        <v>1</v>
      </c>
      <c r="FR15" s="1453">
        <v>0.1</v>
      </c>
      <c r="FS15" s="1453">
        <v>1</v>
      </c>
      <c r="FT15" s="1453">
        <v>0.1</v>
      </c>
      <c r="FU15" s="1453">
        <v>1</v>
      </c>
      <c r="FV15" s="1453">
        <v>0.1</v>
      </c>
      <c r="FW15" s="1453">
        <v>1</v>
      </c>
      <c r="FX15" s="1453">
        <v>0.1</v>
      </c>
      <c r="GA15" s="1453">
        <v>1</v>
      </c>
      <c r="GB15" s="1453">
        <v>0.1</v>
      </c>
      <c r="GC15" s="1453">
        <v>1</v>
      </c>
      <c r="GD15" s="1453">
        <v>0.1</v>
      </c>
      <c r="GE15" s="1453">
        <v>1</v>
      </c>
      <c r="GF15" s="1453">
        <v>0.1</v>
      </c>
      <c r="GG15" s="1453">
        <v>1</v>
      </c>
      <c r="GH15" s="1453">
        <v>0.1</v>
      </c>
    </row>
    <row r="16" spans="2:190" ht="15.75" x14ac:dyDescent="0.25">
      <c r="B16" s="785" t="e">
        <f>CHOOSE($Z$5,1,2,3,4)</f>
        <v>#VALUE!</v>
      </c>
      <c r="D16" s="1542" t="str" cm="1">
        <f t="array" ref="D16">INDEX(List_comparators,I16+1)</f>
        <v>cabozantinib</v>
      </c>
      <c r="E16" s="1603"/>
      <c r="F16" s="1603"/>
      <c r="G16" s="1603"/>
      <c r="H16" s="1604"/>
      <c r="I16" s="112">
        <v>8</v>
      </c>
      <c r="J16" s="197" t="s">
        <v>267</v>
      </c>
      <c r="K16" s="1606">
        <v>5143</v>
      </c>
      <c r="L16" s="1608"/>
      <c r="M16" s="320">
        <v>30</v>
      </c>
      <c r="N16" s="294" t="s">
        <v>280</v>
      </c>
      <c r="O16" s="295">
        <v>20</v>
      </c>
      <c r="P16" s="258" t="s">
        <v>281</v>
      </c>
      <c r="Q16" s="259" t="s">
        <v>74</v>
      </c>
      <c r="R16" s="1387">
        <v>0</v>
      </c>
      <c r="S16" s="1388">
        <f>K16*(1-R16)</f>
        <v>5143</v>
      </c>
      <c r="T16" s="296" t="s">
        <v>282</v>
      </c>
      <c r="U16" s="296" t="s">
        <v>283</v>
      </c>
      <c r="V16" s="260">
        <v>20</v>
      </c>
      <c r="W16" s="325" t="s">
        <v>272</v>
      </c>
      <c r="X16" s="970"/>
      <c r="Y16" s="1070">
        <f>CHOOSE(i_sc_RDI_num,100%,93.3%,CHOOSE($AA$5,CZ$13,DA$13,DB$13,DB$13),DK16,DP16)</f>
        <v>0.93299999999999994</v>
      </c>
      <c r="Z16" s="1154">
        <f>IF(i_sc_RDI_num=3,i_SE_util*Y16,i_SE_util*Y16)</f>
        <v>9.3299999999999994E-2</v>
      </c>
      <c r="AA16" s="984">
        <f>30/7</f>
        <v>4.2857142857142856</v>
      </c>
      <c r="AB16" s="327">
        <v>1</v>
      </c>
      <c r="AC16" s="296">
        <v>1</v>
      </c>
      <c r="AD16" s="885">
        <f>ROUNDUP(ui_time_horizon*365.25*i_days_to_weeks,0)+1</f>
        <v>2089</v>
      </c>
      <c r="AE16" s="297">
        <f>K16/O16</f>
        <v>257.14999999999998</v>
      </c>
      <c r="AF16" s="397">
        <f>S16/O16</f>
        <v>257.14999999999998</v>
      </c>
      <c r="AG16" s="297">
        <f>AE16*V16</f>
        <v>5143</v>
      </c>
      <c r="AH16" s="1391">
        <f>AF16*V16</f>
        <v>5143</v>
      </c>
      <c r="AI16" s="1392">
        <f>CHOOSE(i_drug_price_options,((AG16/30)*7)*Y16,((AH16/30)*7)*Y16)</f>
        <v>1119.6310999999998</v>
      </c>
      <c r="AJ16" s="1393">
        <f>CHOOSE(i_drug_price_options,((AG16/$M$16)*7),((AH16/$M$16)*7))</f>
        <v>1200.0333333333333</v>
      </c>
      <c r="AK16" s="1248"/>
      <c r="AM16" s="107" t="s">
        <v>284</v>
      </c>
      <c r="AO16" s="107" t="s">
        <v>285</v>
      </c>
      <c r="AZ16" s="991">
        <v>1</v>
      </c>
      <c r="BA16" s="485" t="str">
        <f>D85</f>
        <v>nivolumab induction</v>
      </c>
      <c r="BB16" s="1254" t="s">
        <v>1733</v>
      </c>
      <c r="BC16" s="485">
        <f>I84</f>
        <v>2</v>
      </c>
      <c r="BD16" s="485" t="str">
        <f>J85</f>
        <v>per cycle</v>
      </c>
      <c r="BE16" s="1342">
        <f ca="1">CHOOSE(i_drug_price_options,AG85,AH85)</f>
        <v>2849.9442936354344</v>
      </c>
      <c r="BF16" s="1342">
        <f ca="1">AG85</f>
        <v>2849.9442936354344</v>
      </c>
      <c r="BG16" s="1343">
        <f t="shared" ca="1" si="29"/>
        <v>0</v>
      </c>
      <c r="BH16" s="479"/>
      <c r="BI16" s="831"/>
      <c r="BJ16" s="816">
        <f t="shared" ref="BJ16:BK18" si="39">AA85</f>
        <v>3</v>
      </c>
      <c r="BK16" s="816">
        <f t="shared" si="39"/>
        <v>1</v>
      </c>
      <c r="BL16" s="828">
        <f>$Y$85</f>
        <v>0.9</v>
      </c>
      <c r="BM16" s="828">
        <f>$Z$85</f>
        <v>9.0000000000000011E-2</v>
      </c>
      <c r="BN16" s="827">
        <f t="shared" ref="BN16:BO18" si="40">AC85</f>
        <v>1</v>
      </c>
      <c r="BO16" s="827">
        <f t="shared" si="40"/>
        <v>12</v>
      </c>
      <c r="BP16" s="828">
        <f t="shared" si="0"/>
        <v>0.9</v>
      </c>
      <c r="BQ16" s="828">
        <f t="shared" si="30"/>
        <v>0.09</v>
      </c>
      <c r="BR16" s="828">
        <f t="shared" si="1"/>
        <v>0.9</v>
      </c>
      <c r="BS16" s="828">
        <f t="shared" si="2"/>
        <v>0.09</v>
      </c>
      <c r="BT16" s="828">
        <f t="shared" si="3"/>
        <v>0.9</v>
      </c>
      <c r="BU16" s="828">
        <f t="shared" si="4"/>
        <v>0.09</v>
      </c>
      <c r="BV16" s="828">
        <f t="shared" si="5"/>
        <v>0.9</v>
      </c>
      <c r="BW16" s="828">
        <f t="shared" si="6"/>
        <v>0.09</v>
      </c>
      <c r="BX16" s="828">
        <f t="shared" si="7"/>
        <v>0.79</v>
      </c>
      <c r="BY16" s="828">
        <f t="shared" si="8"/>
        <v>7.9000000000000015E-2</v>
      </c>
      <c r="BZ16" s="828">
        <f t="shared" si="9"/>
        <v>0.79</v>
      </c>
      <c r="CA16" s="828">
        <f t="shared" si="10"/>
        <v>7.9000000000000015E-2</v>
      </c>
      <c r="CB16" s="828">
        <f t="shared" si="11"/>
        <v>0.79</v>
      </c>
      <c r="CC16" s="828">
        <f t="shared" si="12"/>
        <v>7.9000000000000015E-2</v>
      </c>
      <c r="CD16" s="828">
        <f t="shared" si="13"/>
        <v>0.79</v>
      </c>
      <c r="CE16" s="828">
        <f t="shared" si="14"/>
        <v>7.9000000000000015E-2</v>
      </c>
      <c r="CF16" s="992"/>
      <c r="CG16" s="824">
        <f t="shared" si="31"/>
        <v>0.9</v>
      </c>
      <c r="CH16" s="824">
        <f t="shared" si="15"/>
        <v>0.09</v>
      </c>
      <c r="CI16" s="824">
        <f t="shared" si="15"/>
        <v>0.9</v>
      </c>
      <c r="CJ16" s="824">
        <f t="shared" si="15"/>
        <v>0.09</v>
      </c>
      <c r="CK16" s="824">
        <f t="shared" si="32"/>
        <v>0.9</v>
      </c>
      <c r="CL16" s="992"/>
      <c r="CM16" s="475">
        <f t="shared" si="33"/>
        <v>2</v>
      </c>
      <c r="CN16" s="475" t="s">
        <v>312</v>
      </c>
      <c r="CO16" s="825">
        <f ca="1">AJ85</f>
        <v>949.98143121181147</v>
      </c>
      <c r="CP16" s="825">
        <f t="shared" ca="1" si="16"/>
        <v>750.48533065733113</v>
      </c>
      <c r="CQ16" s="825">
        <f t="shared" ca="1" si="17"/>
        <v>750.48533065733113</v>
      </c>
      <c r="CR16" s="825">
        <f t="shared" ca="1" si="18"/>
        <v>750.48533065733113</v>
      </c>
      <c r="CS16" s="825">
        <f t="shared" ca="1" si="19"/>
        <v>750.48533065733113</v>
      </c>
      <c r="CT16" s="1119"/>
      <c r="CU16" s="1119"/>
      <c r="CV16" s="1119"/>
      <c r="CW16" s="1119"/>
      <c r="CZ16" s="992" cm="1">
        <f t="array" ref="CZ16">_xlfn.IFNA(INDEX($EH$30:$EH$69,MATCH(1,($BA16=$ED$30:$ED$69)*(CZ$9=$EE$30:$EE$69),0)),"")</f>
        <v>0.9</v>
      </c>
      <c r="DA16" s="992">
        <f>CZ16</f>
        <v>0.9</v>
      </c>
      <c r="DB16" s="992">
        <f>CZ16</f>
        <v>0.9</v>
      </c>
      <c r="DC16" s="992">
        <f>CZ16</f>
        <v>0.9</v>
      </c>
      <c r="DJ16" s="1111">
        <v>0.93299999999999994</v>
      </c>
      <c r="DK16" s="1112">
        <f>IF(i_txt_line_drug_cost=1,DL16,DM16)</f>
        <v>0.753</v>
      </c>
      <c r="DL16" s="1112">
        <v>0.82299999999999995</v>
      </c>
      <c r="DM16" s="1112">
        <v>0.753</v>
      </c>
      <c r="DN16" s="1112">
        <v>0.753</v>
      </c>
      <c r="DO16" s="1112">
        <v>0.753</v>
      </c>
      <c r="DP16" s="1111">
        <f t="shared" si="20"/>
        <v>0.93299999999999994</v>
      </c>
      <c r="DQ16" s="1111"/>
      <c r="DS16" s="219" t="str">
        <v>avelumab_plus_axitinib</v>
      </c>
      <c r="DT16" s="466">
        <f>BH27+BH30</f>
        <v>218.59</v>
      </c>
      <c r="DU16" s="466">
        <f>BH29</f>
        <v>197.25</v>
      </c>
      <c r="DV16" s="1124">
        <v>0</v>
      </c>
      <c r="DW16" s="1124">
        <v>0</v>
      </c>
      <c r="DX16" s="1124">
        <v>0</v>
      </c>
      <c r="DY16" s="467">
        <f t="shared" si="36"/>
        <v>0</v>
      </c>
      <c r="DZ16" s="467">
        <f t="shared" si="37"/>
        <v>0</v>
      </c>
      <c r="EA16" s="467">
        <f t="shared" si="38"/>
        <v>0</v>
      </c>
      <c r="EB16" s="1125"/>
      <c r="EN16" s="1244" t="s">
        <v>1733</v>
      </c>
      <c r="EO16" s="107">
        <f t="shared" si="21"/>
        <v>0.9</v>
      </c>
      <c r="EP16" s="107">
        <f t="shared" si="22"/>
        <v>0.09</v>
      </c>
      <c r="EQ16" s="107">
        <f t="shared" si="23"/>
        <v>0.9</v>
      </c>
      <c r="ER16" s="107">
        <f t="shared" si="24"/>
        <v>0.09</v>
      </c>
      <c r="ES16" s="107">
        <f t="shared" si="25"/>
        <v>0.9</v>
      </c>
      <c r="ET16" s="107">
        <f t="shared" si="26"/>
        <v>0.09</v>
      </c>
      <c r="EU16" s="107">
        <f t="shared" si="27"/>
        <v>0.9</v>
      </c>
      <c r="EV16" s="107">
        <f t="shared" si="28"/>
        <v>0.09</v>
      </c>
      <c r="EW16" s="107">
        <v>0.79</v>
      </c>
      <c r="EX16" s="107">
        <v>7.9000000000000015E-2</v>
      </c>
      <c r="EY16" s="107">
        <v>0.79</v>
      </c>
      <c r="EZ16" s="107">
        <v>7.9000000000000015E-2</v>
      </c>
      <c r="FA16" s="107">
        <v>0.79</v>
      </c>
      <c r="FB16" s="107">
        <v>7.9000000000000015E-2</v>
      </c>
      <c r="FC16" s="107">
        <v>0.79</v>
      </c>
      <c r="FD16" s="107">
        <v>7.9000000000000015E-2</v>
      </c>
      <c r="FF16" s="1247" t="s">
        <v>316</v>
      </c>
      <c r="FG16" s="107">
        <v>0.9</v>
      </c>
      <c r="FH16" s="107">
        <v>0.09</v>
      </c>
      <c r="FI16" s="107">
        <v>0.9</v>
      </c>
      <c r="FJ16" s="107">
        <v>0.09</v>
      </c>
      <c r="FK16" s="107">
        <v>0.9</v>
      </c>
      <c r="FL16" s="107">
        <v>0.09</v>
      </c>
      <c r="FM16" s="107">
        <v>0.9</v>
      </c>
      <c r="FN16" s="107">
        <v>0.09</v>
      </c>
      <c r="FQ16" s="107">
        <v>0.79</v>
      </c>
      <c r="FR16" s="107">
        <v>7.9000000000000015E-2</v>
      </c>
      <c r="FS16" s="107">
        <v>0.79</v>
      </c>
      <c r="FT16" s="107">
        <v>7.9000000000000015E-2</v>
      </c>
      <c r="FU16" s="107">
        <v>0.79</v>
      </c>
      <c r="FV16" s="107">
        <v>7.9000000000000015E-2</v>
      </c>
      <c r="FW16" s="107">
        <v>0.79</v>
      </c>
      <c r="FX16" s="107">
        <v>7.9000000000000015E-2</v>
      </c>
      <c r="GA16" s="107">
        <v>0.79</v>
      </c>
      <c r="GB16" s="107">
        <v>7.9000000000000015E-2</v>
      </c>
      <c r="GC16" s="107">
        <v>0.79</v>
      </c>
      <c r="GD16" s="107">
        <v>7.9000000000000015E-2</v>
      </c>
      <c r="GE16" s="107">
        <v>0.79</v>
      </c>
      <c r="GF16" s="107">
        <v>7.9000000000000015E-2</v>
      </c>
      <c r="GG16" s="107">
        <v>0.79</v>
      </c>
      <c r="GH16" s="107">
        <v>7.9000000000000015E-2</v>
      </c>
    </row>
    <row r="17" spans="2:190" ht="15.75" x14ac:dyDescent="0.25">
      <c r="D17" s="1551" t="str">
        <f>D16</f>
        <v>cabozantinib</v>
      </c>
      <c r="E17" s="1585"/>
      <c r="F17" s="1585"/>
      <c r="G17" s="1585"/>
      <c r="H17" s="1586"/>
      <c r="I17" s="123"/>
      <c r="J17" s="317" t="s">
        <v>267</v>
      </c>
      <c r="K17" s="1587">
        <v>5143</v>
      </c>
      <c r="L17" s="1588"/>
      <c r="M17" s="321">
        <v>30</v>
      </c>
      <c r="N17" s="290" t="s">
        <v>280</v>
      </c>
      <c r="O17" s="291">
        <v>40</v>
      </c>
      <c r="P17" s="126" t="s">
        <v>281</v>
      </c>
      <c r="Q17" s="127" t="s">
        <v>74</v>
      </c>
      <c r="R17" s="1389">
        <v>0</v>
      </c>
      <c r="S17" s="1390">
        <f>K17*(1-R17)</f>
        <v>5143</v>
      </c>
      <c r="T17" s="276" t="s">
        <v>282</v>
      </c>
      <c r="U17" s="276"/>
      <c r="V17" s="128">
        <v>40</v>
      </c>
      <c r="W17" s="326"/>
      <c r="X17" s="779"/>
      <c r="Y17" s="1071">
        <f>CHOOSE(i_sc_RDI_num,100%,93.3%,CHOOSE($AA$5,CZ$13,DA$13,DB$13,DB$13),DK17,DP17)</f>
        <v>0.93299999999999994</v>
      </c>
      <c r="Z17" s="1155">
        <f>IF(i_sc_RDI_num=3,i_SE_util*Y17,i_SE_util*Y17)</f>
        <v>9.3299999999999994E-2</v>
      </c>
      <c r="AA17" s="778">
        <f>30/7</f>
        <v>4.2857142857142856</v>
      </c>
      <c r="AB17" s="328">
        <v>1</v>
      </c>
      <c r="AC17" s="276">
        <v>1</v>
      </c>
      <c r="AD17" s="886">
        <f>ROUNDUP(ui_time_horizon*365.25*i_days_to_weeks,0)+1</f>
        <v>2089</v>
      </c>
      <c r="AE17" s="292">
        <f>K17/O17</f>
        <v>128.57499999999999</v>
      </c>
      <c r="AF17" s="398">
        <f>S17/O17</f>
        <v>128.57499999999999</v>
      </c>
      <c r="AG17" s="292">
        <f>AE17*V17</f>
        <v>5143</v>
      </c>
      <c r="AH17" s="1394">
        <f>AF17*V17</f>
        <v>5143</v>
      </c>
      <c r="AI17" s="1395"/>
      <c r="AJ17" s="1393">
        <f>AJ16</f>
        <v>1200.0333333333333</v>
      </c>
      <c r="AK17" s="1248"/>
      <c r="AZ17" s="991">
        <v>1</v>
      </c>
      <c r="BA17" s="485" t="str">
        <f>D86</f>
        <v>nivolumab maintenance</v>
      </c>
      <c r="BB17" s="475" t="s">
        <v>1733</v>
      </c>
      <c r="BC17" s="219">
        <f>$BC$16</f>
        <v>2</v>
      </c>
      <c r="BD17" s="485" t="str">
        <f>J86</f>
        <v>per cycle</v>
      </c>
      <c r="BE17" s="1342">
        <f>CHOOSE(i_drug_price_options,AG86,AH86)</f>
        <v>5266</v>
      </c>
      <c r="BF17" s="1342">
        <f>AG86</f>
        <v>5266</v>
      </c>
      <c r="BG17" s="1343">
        <f t="shared" si="29"/>
        <v>0</v>
      </c>
      <c r="BH17" s="466">
        <f>W88</f>
        <v>207.59</v>
      </c>
      <c r="BI17" s="825">
        <f>X88</f>
        <v>41.518000000000001</v>
      </c>
      <c r="BJ17" s="816">
        <f t="shared" si="39"/>
        <v>4</v>
      </c>
      <c r="BK17" s="816">
        <f t="shared" si="39"/>
        <v>1</v>
      </c>
      <c r="BL17" s="828">
        <f>$Y$86</f>
        <v>1</v>
      </c>
      <c r="BM17" s="828">
        <f>$Z$86</f>
        <v>0.1</v>
      </c>
      <c r="BN17" s="827">
        <f t="shared" si="40"/>
        <v>13</v>
      </c>
      <c r="BO17" s="827">
        <f t="shared" si="40"/>
        <v>2089</v>
      </c>
      <c r="BP17" s="1385">
        <f t="shared" si="0"/>
        <v>1</v>
      </c>
      <c r="BQ17" s="1328">
        <f t="shared" si="30"/>
        <v>0.1</v>
      </c>
      <c r="BR17" s="1385">
        <f t="shared" si="1"/>
        <v>1</v>
      </c>
      <c r="BS17" s="1328">
        <f t="shared" si="2"/>
        <v>0.1</v>
      </c>
      <c r="BT17" s="1385">
        <f t="shared" si="3"/>
        <v>1</v>
      </c>
      <c r="BU17" s="1328">
        <f t="shared" si="4"/>
        <v>0.1</v>
      </c>
      <c r="BV17" s="1402">
        <f t="shared" si="5"/>
        <v>1</v>
      </c>
      <c r="BW17" s="828">
        <f t="shared" si="6"/>
        <v>0.1</v>
      </c>
      <c r="BX17" s="1327">
        <f t="shared" si="7"/>
        <v>1</v>
      </c>
      <c r="BY17" s="1328">
        <f t="shared" si="8"/>
        <v>0.1</v>
      </c>
      <c r="BZ17" s="1402">
        <f t="shared" si="9"/>
        <v>1</v>
      </c>
      <c r="CA17" s="1328">
        <f t="shared" si="10"/>
        <v>0.1</v>
      </c>
      <c r="CB17" s="1402">
        <f t="shared" si="11"/>
        <v>1</v>
      </c>
      <c r="CC17" s="1328">
        <f t="shared" si="12"/>
        <v>0.1</v>
      </c>
      <c r="CD17" s="1402">
        <f t="shared" si="13"/>
        <v>1</v>
      </c>
      <c r="CE17" s="828">
        <f t="shared" si="14"/>
        <v>0.1</v>
      </c>
      <c r="CF17" s="992"/>
      <c r="CG17" s="1401">
        <f t="shared" si="31"/>
        <v>1</v>
      </c>
      <c r="CH17" s="1401">
        <f t="shared" si="15"/>
        <v>0.1</v>
      </c>
      <c r="CI17" s="1401">
        <f t="shared" si="15"/>
        <v>1</v>
      </c>
      <c r="CJ17" s="1401">
        <f t="shared" si="15"/>
        <v>0.1</v>
      </c>
      <c r="CK17" s="1401">
        <f t="shared" si="32"/>
        <v>1</v>
      </c>
      <c r="CL17" s="992"/>
      <c r="CM17" s="475">
        <f t="shared" si="33"/>
        <v>2</v>
      </c>
      <c r="CN17" s="475" t="s">
        <v>312</v>
      </c>
      <c r="CO17" s="825">
        <f>AJ86</f>
        <v>1316.5</v>
      </c>
      <c r="CP17" s="825">
        <f t="shared" si="16"/>
        <v>1316.5</v>
      </c>
      <c r="CQ17" s="825">
        <f t="shared" si="17"/>
        <v>1316.5</v>
      </c>
      <c r="CR17" s="825">
        <f t="shared" si="18"/>
        <v>1316.5</v>
      </c>
      <c r="CS17" s="825">
        <f t="shared" si="19"/>
        <v>1316.5</v>
      </c>
      <c r="CT17" s="1119"/>
      <c r="CU17" s="1119"/>
      <c r="CV17" s="1119"/>
      <c r="CW17" s="1119"/>
      <c r="CZ17" s="1404" cm="1">
        <f t="array" ref="CZ17">_xlfn.IFNA(INDEX($EH$30:$EH$69,MATCH(1,($BA17=$ED$30:$ED$69)*(CZ$9=$EE$30:$EE$69),0)),"")</f>
        <v>1</v>
      </c>
      <c r="DA17" s="1404">
        <f>CZ17</f>
        <v>1</v>
      </c>
      <c r="DB17" s="1404">
        <f>CZ17</f>
        <v>1</v>
      </c>
      <c r="DC17" s="1404">
        <f>CZ17</f>
        <v>1</v>
      </c>
      <c r="DJ17" s="1111">
        <v>0.93299999999999994</v>
      </c>
      <c r="DK17" s="1112">
        <f>IF(i_txt_line_drug_cost=1,DL17,DM17)</f>
        <v>0.753</v>
      </c>
      <c r="DL17" s="1112">
        <v>0.82299999999999995</v>
      </c>
      <c r="DM17" s="1112">
        <v>0.753</v>
      </c>
      <c r="DN17" s="1112">
        <v>0.753</v>
      </c>
      <c r="DO17" s="1112">
        <v>0.753</v>
      </c>
      <c r="DP17" s="1111">
        <f t="shared" si="20"/>
        <v>0.93299999999999994</v>
      </c>
      <c r="DQ17" s="1111"/>
      <c r="DS17" s="219" t="str">
        <v>pazopanib</v>
      </c>
      <c r="DT17" s="466">
        <f>BH33</f>
        <v>11</v>
      </c>
      <c r="DU17" s="466">
        <f>BH32</f>
        <v>197.25</v>
      </c>
      <c r="DV17" s="1324">
        <f>IF(i_sc_RDI_num=3,100%,(CHOOSE(i_sub_txt_prop_num,IF(i_sc_RDI_num=4,CH33,IF(i_sc_RDI_num=5,CK33,BR33)),BZ33)))</f>
        <v>0.85699999999999998</v>
      </c>
      <c r="DW17" s="1324">
        <f>IF(i_sc_RDI_num=3,100%,(CHOOSE(i_sub_txt_prop_num,IF(i_sc_RDI_num=4,CI33,IF(i_sc_RDI_num=5,CK33,BT33)),CB33)))</f>
        <v>0.75</v>
      </c>
      <c r="DX17" s="1324">
        <f>IF(i_sc_RDI_num=3,100%,(CHOOSE(i_sub_txt_prop_num,IF(i_sc_RDI_num=4,CJ33,IF(i_sc_RDI_num=5,CK33,BV33)),CD33)))</f>
        <v>0.75</v>
      </c>
      <c r="DY17" s="467">
        <f t="shared" si="36"/>
        <v>9.4269999999999996</v>
      </c>
      <c r="DZ17" s="467">
        <f t="shared" si="37"/>
        <v>8.25</v>
      </c>
      <c r="EA17" s="467">
        <f t="shared" si="38"/>
        <v>8.25</v>
      </c>
      <c r="EB17" s="1125"/>
      <c r="EN17" s="1244" t="s">
        <v>1733</v>
      </c>
      <c r="EO17" s="1398">
        <v>1</v>
      </c>
      <c r="EP17" s="1398">
        <v>0.1</v>
      </c>
      <c r="EQ17" s="1398">
        <v>1</v>
      </c>
      <c r="ER17" s="1398">
        <v>0.1</v>
      </c>
      <c r="ES17" s="1398">
        <v>1</v>
      </c>
      <c r="ET17" s="1398">
        <v>0.1</v>
      </c>
      <c r="EU17" s="1398">
        <v>1</v>
      </c>
      <c r="EV17" s="1398">
        <v>0.1</v>
      </c>
      <c r="EW17" s="1398">
        <v>1</v>
      </c>
      <c r="EX17" s="1398">
        <v>0.1</v>
      </c>
      <c r="EY17" s="1398">
        <v>1</v>
      </c>
      <c r="EZ17" s="1398">
        <v>0.1</v>
      </c>
      <c r="FA17" s="1398">
        <v>1</v>
      </c>
      <c r="FB17" s="1398">
        <v>0.1</v>
      </c>
      <c r="FC17" s="1398">
        <v>1</v>
      </c>
      <c r="FD17" s="1398">
        <v>0.1</v>
      </c>
      <c r="FF17" s="1247" t="s">
        <v>318</v>
      </c>
      <c r="FG17" s="1398">
        <v>1</v>
      </c>
      <c r="FH17" s="1398">
        <v>0.1</v>
      </c>
      <c r="FI17" s="1398">
        <v>1</v>
      </c>
      <c r="FJ17" s="1398">
        <v>0.1</v>
      </c>
      <c r="FK17" s="1398">
        <v>1</v>
      </c>
      <c r="FL17" s="1398">
        <v>0.1</v>
      </c>
      <c r="FM17" s="1398">
        <v>1</v>
      </c>
      <c r="FN17" s="1398">
        <v>0.1</v>
      </c>
      <c r="FQ17" s="1398">
        <v>1</v>
      </c>
      <c r="FR17" s="1398">
        <v>0.1</v>
      </c>
      <c r="FS17" s="1398">
        <v>1</v>
      </c>
      <c r="FT17" s="1398">
        <v>0.1</v>
      </c>
      <c r="FU17" s="1398">
        <v>1</v>
      </c>
      <c r="FV17" s="1398">
        <v>0.1</v>
      </c>
      <c r="FW17" s="1398">
        <v>1</v>
      </c>
      <c r="FX17" s="1398">
        <v>0.1</v>
      </c>
      <c r="GA17" s="1398">
        <v>1</v>
      </c>
      <c r="GB17" s="1398">
        <v>0.1</v>
      </c>
      <c r="GC17" s="1398">
        <v>1</v>
      </c>
      <c r="GD17" s="1398">
        <v>0.1</v>
      </c>
      <c r="GE17" s="1398">
        <v>1</v>
      </c>
      <c r="GF17" s="1398">
        <v>0.1</v>
      </c>
      <c r="GG17" s="1398">
        <v>1</v>
      </c>
      <c r="GH17" s="1398">
        <v>0.1</v>
      </c>
    </row>
    <row r="18" spans="2:190" ht="16.5" thickBot="1" x14ac:dyDescent="0.3">
      <c r="D18" s="1551" t="str">
        <f>D16</f>
        <v>cabozantinib</v>
      </c>
      <c r="E18" s="1585"/>
      <c r="F18" s="1585"/>
      <c r="G18" s="1585"/>
      <c r="H18" s="1586"/>
      <c r="I18" s="123"/>
      <c r="J18" s="317" t="s">
        <v>267</v>
      </c>
      <c r="K18" s="1587">
        <v>5143</v>
      </c>
      <c r="L18" s="1588"/>
      <c r="M18" s="321">
        <v>30</v>
      </c>
      <c r="N18" s="290" t="s">
        <v>280</v>
      </c>
      <c r="O18" s="291">
        <v>60</v>
      </c>
      <c r="P18" s="126" t="s">
        <v>281</v>
      </c>
      <c r="Q18" s="127" t="s">
        <v>74</v>
      </c>
      <c r="R18" s="1389">
        <v>0</v>
      </c>
      <c r="S18" s="1390">
        <f>K18*(1-R18)</f>
        <v>5143</v>
      </c>
      <c r="T18" s="276" t="s">
        <v>282</v>
      </c>
      <c r="U18" s="276"/>
      <c r="V18" s="128">
        <v>60</v>
      </c>
      <c r="W18" s="326"/>
      <c r="X18" s="779"/>
      <c r="Y18" s="1071">
        <f>CHOOSE(i_sc_RDI_num,100%,93.3%,CHOOSE($AA$5,CZ$13,DA$13,DB$13,DB$13),DK18,DP18)</f>
        <v>0.93299999999999994</v>
      </c>
      <c r="Z18" s="1155">
        <f>IF(i_sc_RDI_num=3,i_SE_util*Y18,i_SE_util*Y18)</f>
        <v>9.3299999999999994E-2</v>
      </c>
      <c r="AA18" s="471">
        <f>30/7</f>
        <v>4.2857142857142856</v>
      </c>
      <c r="AB18" s="276">
        <v>1</v>
      </c>
      <c r="AC18" s="276">
        <v>1</v>
      </c>
      <c r="AD18" s="886">
        <f>ROUNDUP(ui_time_horizon*365.25*i_days_to_weeks,0)+1</f>
        <v>2089</v>
      </c>
      <c r="AE18" s="292">
        <f>K18/O18</f>
        <v>85.716666666666669</v>
      </c>
      <c r="AF18" s="398">
        <f>S18/O18</f>
        <v>85.716666666666669</v>
      </c>
      <c r="AG18" s="292">
        <f>AE18*V18</f>
        <v>5143</v>
      </c>
      <c r="AH18" s="1394">
        <f>AF18*V18</f>
        <v>5143</v>
      </c>
      <c r="AI18" s="1395"/>
      <c r="AJ18" s="1393">
        <f>AJ16</f>
        <v>1200.0333333333333</v>
      </c>
      <c r="AK18" s="1248"/>
      <c r="AZ18" s="991">
        <v>1</v>
      </c>
      <c r="BA18" s="180" t="str">
        <f>D87</f>
        <v>ipilimumab</v>
      </c>
      <c r="BB18" s="180" t="s">
        <v>1734</v>
      </c>
      <c r="BC18" s="180">
        <f>$BC$16</f>
        <v>2</v>
      </c>
      <c r="BD18" s="180" t="str">
        <f>J87</f>
        <v>per cycle</v>
      </c>
      <c r="BE18" s="1344">
        <f ca="1">CHOOSE(i_drug_price_options,AG87,AH87)</f>
        <v>8098.4752771057774</v>
      </c>
      <c r="BF18" s="1344">
        <f ca="1">AG87</f>
        <v>8098.4752771057774</v>
      </c>
      <c r="BG18" s="1345">
        <f t="shared" ca="1" si="29"/>
        <v>0</v>
      </c>
      <c r="BH18" s="181">
        <f>W87</f>
        <v>440.71</v>
      </c>
      <c r="BI18" s="834">
        <f>X87</f>
        <v>88.141999999999996</v>
      </c>
      <c r="BJ18" s="817">
        <f t="shared" si="39"/>
        <v>3</v>
      </c>
      <c r="BK18" s="817">
        <f t="shared" si="39"/>
        <v>1</v>
      </c>
      <c r="BL18" s="833">
        <f>$Y$87</f>
        <v>0.9</v>
      </c>
      <c r="BM18" s="833">
        <f>$Z$87</f>
        <v>9.0000000000000011E-2</v>
      </c>
      <c r="BN18" s="817">
        <f t="shared" si="40"/>
        <v>1</v>
      </c>
      <c r="BO18" s="818">
        <f t="shared" si="40"/>
        <v>12</v>
      </c>
      <c r="BP18" s="833">
        <f t="shared" si="0"/>
        <v>0.9</v>
      </c>
      <c r="BQ18" s="833">
        <f t="shared" si="30"/>
        <v>0.09</v>
      </c>
      <c r="BR18" s="833">
        <f t="shared" si="1"/>
        <v>0.9</v>
      </c>
      <c r="BS18" s="833">
        <f t="shared" si="2"/>
        <v>0.09</v>
      </c>
      <c r="BT18" s="833">
        <f t="shared" si="3"/>
        <v>0.9</v>
      </c>
      <c r="BU18" s="833">
        <f t="shared" si="4"/>
        <v>0.09</v>
      </c>
      <c r="BV18" s="833">
        <f t="shared" si="5"/>
        <v>0.9</v>
      </c>
      <c r="BW18" s="833">
        <f t="shared" si="6"/>
        <v>0.09</v>
      </c>
      <c r="BX18" s="833">
        <f t="shared" si="7"/>
        <v>0.79</v>
      </c>
      <c r="BY18" s="833">
        <f t="shared" si="8"/>
        <v>7.9000000000000015E-2</v>
      </c>
      <c r="BZ18" s="833">
        <f t="shared" si="9"/>
        <v>0.79</v>
      </c>
      <c r="CA18" s="833">
        <f t="shared" si="10"/>
        <v>7.9000000000000015E-2</v>
      </c>
      <c r="CB18" s="833">
        <f t="shared" si="11"/>
        <v>0.79</v>
      </c>
      <c r="CC18" s="833">
        <f t="shared" si="12"/>
        <v>7.9000000000000015E-2</v>
      </c>
      <c r="CD18" s="833">
        <f t="shared" si="13"/>
        <v>0.79</v>
      </c>
      <c r="CE18" s="833">
        <f t="shared" si="14"/>
        <v>7.9000000000000015E-2</v>
      </c>
      <c r="CF18" s="992"/>
      <c r="CG18" s="824">
        <f t="shared" si="31"/>
        <v>0.9</v>
      </c>
      <c r="CH18" s="824">
        <f t="shared" si="15"/>
        <v>0.09</v>
      </c>
      <c r="CI18" s="824">
        <f t="shared" si="15"/>
        <v>0.9</v>
      </c>
      <c r="CJ18" s="824">
        <f t="shared" si="15"/>
        <v>0.09</v>
      </c>
      <c r="CK18" s="824">
        <f t="shared" si="32"/>
        <v>0.9</v>
      </c>
      <c r="CL18" s="992"/>
      <c r="CM18" s="475">
        <f t="shared" si="33"/>
        <v>2</v>
      </c>
      <c r="CN18" s="475" t="str">
        <f t="shared" ref="CN18:CN50" si="41">BA18</f>
        <v>ipilimumab</v>
      </c>
      <c r="CO18" s="825">
        <f ca="1">AJ87</f>
        <v>2699.4917590352593</v>
      </c>
      <c r="CP18" s="825">
        <f t="shared" ca="1" si="16"/>
        <v>2132.598489637855</v>
      </c>
      <c r="CQ18" s="825">
        <f t="shared" ca="1" si="17"/>
        <v>2132.598489637855</v>
      </c>
      <c r="CR18" s="825">
        <f t="shared" ca="1" si="18"/>
        <v>2132.598489637855</v>
      </c>
      <c r="CS18" s="825">
        <f t="shared" ca="1" si="19"/>
        <v>2132.598489637855</v>
      </c>
      <c r="CT18" s="1119"/>
      <c r="CU18" s="1119"/>
      <c r="CV18" s="1119"/>
      <c r="CW18" s="1119"/>
      <c r="CZ18" s="992" cm="1">
        <f t="array" ref="CZ18">_xlfn.IFNA(INDEX($EH$30:$EH$69,MATCH(1,($BA18=$ED$30:$ED$69)*(CZ$9=$EE$30:$EE$69),0)),"")</f>
        <v>0.9</v>
      </c>
      <c r="DA18" s="992">
        <f>CZ18</f>
        <v>0.9</v>
      </c>
      <c r="DB18" s="992">
        <f>CZ18</f>
        <v>0.9</v>
      </c>
      <c r="DC18" s="992">
        <f>CZ18</f>
        <v>0.9</v>
      </c>
      <c r="DJ18" s="1111">
        <v>0.93299999999999994</v>
      </c>
      <c r="DK18" s="1112">
        <f>IF(i_txt_line_drug_cost=1,DL18,DM18)</f>
        <v>0.753</v>
      </c>
      <c r="DL18" s="1112">
        <v>0.82299999999999995</v>
      </c>
      <c r="DM18" s="1112">
        <v>0.753</v>
      </c>
      <c r="DN18" s="1112">
        <v>0.753</v>
      </c>
      <c r="DO18" s="1112">
        <v>0.753</v>
      </c>
      <c r="DP18" s="1111">
        <f t="shared" si="20"/>
        <v>0.93299999999999994</v>
      </c>
      <c r="DQ18" s="1111"/>
      <c r="DS18" s="219" t="str">
        <v>tivozanib</v>
      </c>
      <c r="DT18" s="466">
        <f>BH36</f>
        <v>11</v>
      </c>
      <c r="DU18" s="466">
        <f>BH35</f>
        <v>197.25</v>
      </c>
      <c r="DV18" s="1324">
        <f>IF(i_sc_RDI_num=3,100%,(CHOOSE(i_sub_txt_prop_num,IF(i_sc_RDI_num=4,CH36,IF(i_sc_RDI_num=5,CK36,BR36)),BZ36)))</f>
        <v>0.92</v>
      </c>
      <c r="DW18" s="1324">
        <f>IF(i_sc_RDI_num=3,100%,(CHOOSE(i_sub_txt_prop_num,IF(i_sc_RDI_num=4,CI36,IF(i_sc_RDI_num=5,CK36,BT36)),CB36)))</f>
        <v>1</v>
      </c>
      <c r="DX18" s="1324">
        <f>IF(i_sc_RDI_num=3,100%,(CHOOSE(i_sub_txt_prop_num,IF(i_sc_RDI_num=4,CI36,IF(i_sc_RDI_num=5,CK36,BV36)),CD36)))</f>
        <v>1</v>
      </c>
      <c r="DY18" s="467">
        <f t="shared" si="36"/>
        <v>10.120000000000001</v>
      </c>
      <c r="DZ18" s="467">
        <f t="shared" si="37"/>
        <v>11</v>
      </c>
      <c r="EA18" s="467">
        <f t="shared" si="38"/>
        <v>11</v>
      </c>
      <c r="EB18" s="1125"/>
      <c r="EN18" s="1244" t="s">
        <v>1734</v>
      </c>
      <c r="EO18" s="107">
        <f t="shared" si="21"/>
        <v>0.9</v>
      </c>
      <c r="EP18" s="107">
        <f t="shared" si="22"/>
        <v>0.09</v>
      </c>
      <c r="EQ18" s="107">
        <f t="shared" si="23"/>
        <v>0.9</v>
      </c>
      <c r="ER18" s="107">
        <f t="shared" si="24"/>
        <v>0.09</v>
      </c>
      <c r="ES18" s="107">
        <f t="shared" si="25"/>
        <v>0.9</v>
      </c>
      <c r="ET18" s="107">
        <f t="shared" si="26"/>
        <v>0.09</v>
      </c>
      <c r="EU18" s="107">
        <f t="shared" si="27"/>
        <v>0.9</v>
      </c>
      <c r="EV18" s="107">
        <f t="shared" si="28"/>
        <v>0.09</v>
      </c>
      <c r="EW18" s="107">
        <v>0.79</v>
      </c>
      <c r="EX18" s="107">
        <v>7.9000000000000015E-2</v>
      </c>
      <c r="EY18" s="107">
        <v>0.79</v>
      </c>
      <c r="EZ18" s="107">
        <v>7.9000000000000015E-2</v>
      </c>
      <c r="FA18" s="107">
        <v>0.79</v>
      </c>
      <c r="FB18" s="107">
        <v>7.9000000000000015E-2</v>
      </c>
      <c r="FC18" s="107">
        <v>0.79</v>
      </c>
      <c r="FD18" s="107">
        <v>7.9000000000000015E-2</v>
      </c>
      <c r="FF18" s="1247" t="s">
        <v>290</v>
      </c>
      <c r="FG18" s="107">
        <v>0.9</v>
      </c>
      <c r="FH18" s="107">
        <v>0.09</v>
      </c>
      <c r="FI18" s="107">
        <v>0.9</v>
      </c>
      <c r="FJ18" s="107">
        <v>0.09</v>
      </c>
      <c r="FK18" s="107">
        <v>0.9</v>
      </c>
      <c r="FL18" s="107">
        <v>0.09</v>
      </c>
      <c r="FM18" s="107">
        <v>0.9</v>
      </c>
      <c r="FN18" s="107">
        <v>0.09</v>
      </c>
      <c r="FQ18" s="107">
        <v>0.9</v>
      </c>
      <c r="FR18" s="107">
        <v>0.09</v>
      </c>
      <c r="FS18" s="107">
        <v>0.9</v>
      </c>
      <c r="FT18" s="107">
        <v>0.09</v>
      </c>
      <c r="FU18" s="107">
        <v>0.9</v>
      </c>
      <c r="FV18" s="107">
        <v>0.09</v>
      </c>
      <c r="FW18" s="107">
        <v>0.9</v>
      </c>
      <c r="FX18" s="107">
        <v>0.09</v>
      </c>
      <c r="GA18" s="107">
        <v>0.79</v>
      </c>
      <c r="GB18" s="107">
        <v>7.9000000000000015E-2</v>
      </c>
      <c r="GC18" s="107">
        <v>0.79</v>
      </c>
      <c r="GD18" s="107">
        <v>7.9000000000000015E-2</v>
      </c>
      <c r="GE18" s="107">
        <v>0.79</v>
      </c>
      <c r="GF18" s="107">
        <v>7.9000000000000015E-2</v>
      </c>
      <c r="GG18" s="107">
        <v>0.79</v>
      </c>
      <c r="GH18" s="107">
        <v>7.9000000000000015E-2</v>
      </c>
    </row>
    <row r="19" spans="2:190" ht="15.75" x14ac:dyDescent="0.25">
      <c r="D19" s="1551" t="s">
        <v>286</v>
      </c>
      <c r="E19" s="1585"/>
      <c r="F19" s="1585"/>
      <c r="G19" s="1585"/>
      <c r="H19" s="1586"/>
      <c r="I19" s="123"/>
      <c r="J19" s="317" t="s">
        <v>287</v>
      </c>
      <c r="K19" s="1573"/>
      <c r="L19" s="1574"/>
      <c r="M19" s="321"/>
      <c r="N19" s="290"/>
      <c r="O19" s="291"/>
      <c r="P19" s="126"/>
      <c r="Q19" s="127"/>
      <c r="R19" s="847"/>
      <c r="S19" s="381"/>
      <c r="T19" s="276"/>
      <c r="U19" s="276"/>
      <c r="V19" s="128"/>
      <c r="W19" s="253">
        <v>197.25</v>
      </c>
      <c r="X19" s="342">
        <f>i_SE_costs*W19</f>
        <v>39.450000000000003</v>
      </c>
      <c r="Y19" s="1275"/>
      <c r="Z19" s="455"/>
      <c r="AA19" s="328"/>
      <c r="AB19" s="276"/>
      <c r="AC19" s="276"/>
      <c r="AD19" s="886"/>
      <c r="AE19" s="292"/>
      <c r="AF19" s="398"/>
      <c r="AG19" s="292"/>
      <c r="AH19" s="1074"/>
      <c r="AI19" s="1086"/>
      <c r="AJ19" s="1138"/>
      <c r="AK19" s="1248"/>
      <c r="AN19" s="107" t="s">
        <v>288</v>
      </c>
      <c r="AZ19" s="991">
        <v>1</v>
      </c>
      <c r="BA19" s="485" t="str">
        <f>D69</f>
        <v>lenvatinib</v>
      </c>
      <c r="BB19" s="485" t="s">
        <v>1735</v>
      </c>
      <c r="BC19" s="485">
        <f>I68</f>
        <v>3</v>
      </c>
      <c r="BD19" s="485" t="str">
        <f>J69</f>
        <v>per cycle</v>
      </c>
      <c r="BE19" s="1342">
        <f>CHOOSE(i_drug_price_options,AG69,AH69)/2</f>
        <v>718.5</v>
      </c>
      <c r="BF19" s="1342">
        <f>AG69/2</f>
        <v>718.5</v>
      </c>
      <c r="BG19" s="1343">
        <f>IF(i_lenv_sc_2pills=1,0,1-BE19/BF19)</f>
        <v>0</v>
      </c>
      <c r="BH19" s="485"/>
      <c r="BI19" s="827"/>
      <c r="BJ19" s="826">
        <v>2</v>
      </c>
      <c r="BK19" s="826">
        <f>AB69</f>
        <v>1</v>
      </c>
      <c r="BL19" s="828">
        <f>$Y$69</f>
        <v>1</v>
      </c>
      <c r="BM19" s="828">
        <f>$Z$69</f>
        <v>0.1</v>
      </c>
      <c r="BN19" s="827">
        <v>1</v>
      </c>
      <c r="BO19" s="827">
        <f>IF(i_lenv_sc_2pills=1,2089,2)</f>
        <v>2</v>
      </c>
      <c r="BP19" s="828">
        <f t="shared" si="0"/>
        <v>1</v>
      </c>
      <c r="BQ19" s="828">
        <f t="shared" si="30"/>
        <v>0.1</v>
      </c>
      <c r="BR19" s="828">
        <f t="shared" si="1"/>
        <v>1</v>
      </c>
      <c r="BS19" s="828">
        <f t="shared" si="2"/>
        <v>0.1</v>
      </c>
      <c r="BT19" s="828">
        <f t="shared" si="3"/>
        <v>1</v>
      </c>
      <c r="BU19" s="828">
        <f t="shared" si="4"/>
        <v>0.1</v>
      </c>
      <c r="BV19" s="828">
        <f t="shared" si="5"/>
        <v>1</v>
      </c>
      <c r="BW19" s="828">
        <f t="shared" si="6"/>
        <v>0.1</v>
      </c>
      <c r="BX19" s="828">
        <f t="shared" si="7"/>
        <v>1</v>
      </c>
      <c r="BY19" s="828">
        <f t="shared" si="8"/>
        <v>0.1</v>
      </c>
      <c r="BZ19" s="828">
        <f t="shared" si="9"/>
        <v>1</v>
      </c>
      <c r="CA19" s="828">
        <f t="shared" si="10"/>
        <v>0.1</v>
      </c>
      <c r="CB19" s="828">
        <f t="shared" si="11"/>
        <v>1</v>
      </c>
      <c r="CC19" s="828">
        <f t="shared" si="12"/>
        <v>0.1</v>
      </c>
      <c r="CD19" s="828">
        <f t="shared" si="13"/>
        <v>1</v>
      </c>
      <c r="CE19" s="828">
        <f t="shared" si="14"/>
        <v>0.1</v>
      </c>
      <c r="CF19" s="992"/>
      <c r="CG19" s="824">
        <f t="shared" si="31"/>
        <v>1</v>
      </c>
      <c r="CH19" s="824">
        <f t="shared" si="15"/>
        <v>0.1</v>
      </c>
      <c r="CI19" s="824">
        <f t="shared" si="15"/>
        <v>1</v>
      </c>
      <c r="CJ19" s="824">
        <f t="shared" si="15"/>
        <v>0.1</v>
      </c>
      <c r="CK19" s="824">
        <f t="shared" si="32"/>
        <v>1</v>
      </c>
      <c r="CL19" s="992"/>
      <c r="CM19" s="475">
        <f t="shared" si="33"/>
        <v>3</v>
      </c>
      <c r="CN19" s="475" t="str">
        <f t="shared" si="41"/>
        <v>lenvatinib</v>
      </c>
      <c r="CO19" s="825">
        <f>AJ69*AK69+AJ70*AK70+AJ71*AK71+AJ72*AK72</f>
        <v>707.48299999999995</v>
      </c>
      <c r="CP19" s="825">
        <f t="shared" si="16"/>
        <v>707.48299999999995</v>
      </c>
      <c r="CQ19" s="825">
        <f t="shared" si="17"/>
        <v>707.48299999999995</v>
      </c>
      <c r="CR19" s="825">
        <f t="shared" si="18"/>
        <v>707.48299999999995</v>
      </c>
      <c r="CS19" s="825">
        <f t="shared" si="19"/>
        <v>707.48299999999995</v>
      </c>
      <c r="CT19" s="1119"/>
      <c r="CU19" s="1119"/>
      <c r="CV19" s="1119"/>
      <c r="CW19" s="1119"/>
      <c r="CZ19" s="992" cm="1">
        <f t="array" ref="CZ19">_xlfn.IFNA(INDEX($EH$30:$EH$69,MATCH(1,($BA19=$ED$30:$ED$69)*(CZ$9=$EE$30:$EE$69),0)),"")</f>
        <v>0.70499999999999996</v>
      </c>
      <c r="DA19" s="1326" cm="1">
        <f t="array" ref="DA19">_xlfn.IFNA(INDEX($EH$30:$EH$69,MATCH(1,($BA19=$ED$30:$ED$69)*(DA$9=$EE$30:$EE$69),0)),"")</f>
        <v>0.67200000000000004</v>
      </c>
      <c r="DB19" s="1326" cm="1">
        <f t="array" ref="DB19">_xlfn.IFNA(INDEX($EH$30:$EH$69,MATCH(1,($BA19=$ED$30:$ED$69)*(DB$9=$EE$30:$EE$69),0)),"")</f>
        <v>0.77500000000000002</v>
      </c>
      <c r="DC19" s="1326">
        <f>DB19</f>
        <v>0.77500000000000002</v>
      </c>
      <c r="DJ19" s="1111"/>
      <c r="DL19" s="1112">
        <v>0.82299999999999995</v>
      </c>
      <c r="DM19" s="1112">
        <v>0.753</v>
      </c>
      <c r="DN19" s="1112">
        <v>0.753</v>
      </c>
      <c r="DO19" s="1112">
        <v>0.753</v>
      </c>
      <c r="DP19" s="1111"/>
      <c r="DQ19" s="1111"/>
      <c r="DS19" s="219" t="str">
        <v>sunitinib</v>
      </c>
      <c r="DT19" s="466">
        <f>BH39</f>
        <v>11</v>
      </c>
      <c r="DU19" s="466">
        <f>BH38</f>
        <v>197.25</v>
      </c>
      <c r="DV19" s="1324">
        <f>IF(i_sc_RDI_num=3,100%,(CHOOSE(i_sub_txt_prop_num,IF(i_sc_RDI_num=4,CH39,IF(i_sc_RDI_num=5,CK39,BR39)),BZ39)))</f>
        <v>0.82899999999999996</v>
      </c>
      <c r="DW19" s="1324">
        <f>IF(i_sc_RDI_num=3,100%,(CHOOSE(i_sub_txt_prop_num,IF(i_sc_RDI_num=4,CI39,IF(i_sc_RDI_num=5,CK39,BT39)),CB39)))</f>
        <v>0.95</v>
      </c>
      <c r="DX19" s="1324">
        <f>IF(i_sc_RDI_num=3,100%,(CHOOSE(i_sub_txt_prop_num,IF(i_sc_RDI_num=4,CJ39,IF(i_sc_RDI_num=5,CK39,BV39)),CD39)))</f>
        <v>0.95</v>
      </c>
      <c r="DY19" s="467">
        <f t="shared" si="36"/>
        <v>9.1189999999999998</v>
      </c>
      <c r="DZ19" s="467">
        <f t="shared" si="37"/>
        <v>10.45</v>
      </c>
      <c r="EA19" s="467">
        <f t="shared" si="38"/>
        <v>10.45</v>
      </c>
      <c r="EB19" s="1125"/>
      <c r="EN19" s="1244" t="s">
        <v>1735</v>
      </c>
      <c r="EO19" s="107">
        <f t="shared" si="21"/>
        <v>1</v>
      </c>
      <c r="EP19" s="107">
        <f t="shared" si="22"/>
        <v>0.1</v>
      </c>
      <c r="EQ19" s="107">
        <f t="shared" si="23"/>
        <v>1</v>
      </c>
      <c r="ER19" s="107">
        <f t="shared" si="24"/>
        <v>0.1</v>
      </c>
      <c r="ES19" s="107">
        <f t="shared" si="25"/>
        <v>1</v>
      </c>
      <c r="ET19" s="107">
        <f t="shared" si="26"/>
        <v>0.1</v>
      </c>
      <c r="EU19" s="107">
        <f t="shared" si="27"/>
        <v>1</v>
      </c>
      <c r="EV19" s="107">
        <f t="shared" si="28"/>
        <v>0.1</v>
      </c>
      <c r="EW19" s="107">
        <f>IF(i_RDI_new_bc=1,1,0.696)</f>
        <v>1</v>
      </c>
      <c r="EX19" s="107">
        <f>EW19*0.1</f>
        <v>0.1</v>
      </c>
      <c r="EY19" s="107">
        <f>IF(i_RDI_new_bc=1,1,0.696)</f>
        <v>1</v>
      </c>
      <c r="EZ19" s="107">
        <f>EY19*0.1</f>
        <v>0.1</v>
      </c>
      <c r="FA19" s="107">
        <f>IF(i_RDI_new_bc=1,1,0.696)</f>
        <v>1</v>
      </c>
      <c r="FB19" s="107">
        <f>FA19*0.1</f>
        <v>0.1</v>
      </c>
      <c r="FC19" s="107">
        <f>IF(i_RDI_new_bc=1,1,0.696)</f>
        <v>1</v>
      </c>
      <c r="FD19" s="107">
        <f>FC19*0.1</f>
        <v>0.1</v>
      </c>
      <c r="FF19" s="1247" t="s">
        <v>301</v>
      </c>
      <c r="FG19" s="107">
        <v>1</v>
      </c>
      <c r="FH19" s="107">
        <v>0.1</v>
      </c>
      <c r="FI19" s="107">
        <v>1</v>
      </c>
      <c r="FJ19" s="107">
        <v>0.1</v>
      </c>
      <c r="FK19" s="107">
        <v>1</v>
      </c>
      <c r="FL19" s="107">
        <v>0.1</v>
      </c>
      <c r="FM19" s="107">
        <v>1</v>
      </c>
      <c r="FN19" s="107">
        <v>0.1</v>
      </c>
      <c r="FQ19" s="107">
        <v>0.70499999999999996</v>
      </c>
      <c r="FR19" s="107">
        <v>7.0499999999999993E-2</v>
      </c>
      <c r="FS19" s="107">
        <v>0.70499999999999996</v>
      </c>
      <c r="FT19" s="107">
        <v>7.0499999999999993E-2</v>
      </c>
      <c r="FU19" s="107">
        <v>0.70499999999999996</v>
      </c>
      <c r="FV19" s="107">
        <v>7.0499999999999993E-2</v>
      </c>
      <c r="FW19" s="107">
        <v>0.70499999999999996</v>
      </c>
      <c r="FX19" s="107">
        <v>7.0499999999999993E-2</v>
      </c>
      <c r="GA19" s="107">
        <v>0.69599999999999995</v>
      </c>
      <c r="GB19" s="107">
        <v>6.9599999999999995E-2</v>
      </c>
      <c r="GC19" s="107">
        <v>0.69599999999999995</v>
      </c>
      <c r="GD19" s="107">
        <v>6.9599999999999995E-2</v>
      </c>
      <c r="GE19" s="107">
        <v>0.69599999999999995</v>
      </c>
      <c r="GF19" s="107">
        <v>6.9599999999999995E-2</v>
      </c>
      <c r="GG19" s="107">
        <v>0.69599999999999995</v>
      </c>
      <c r="GH19" s="107">
        <v>6.9599999999999995E-2</v>
      </c>
    </row>
    <row r="20" spans="2:190" ht="16.5" thickBot="1" x14ac:dyDescent="0.3">
      <c r="D20" s="1553" t="s">
        <v>289</v>
      </c>
      <c r="E20" s="1589"/>
      <c r="F20" s="1589"/>
      <c r="G20" s="1589"/>
      <c r="H20" s="1590"/>
      <c r="I20" s="141"/>
      <c r="J20" s="319" t="s">
        <v>267</v>
      </c>
      <c r="K20" s="1568"/>
      <c r="L20" s="1569"/>
      <c r="M20" s="322"/>
      <c r="N20" s="298"/>
      <c r="O20" s="299"/>
      <c r="P20" s="144"/>
      <c r="Q20" s="145"/>
      <c r="R20" s="851"/>
      <c r="S20" s="383"/>
      <c r="T20" s="300"/>
      <c r="U20" s="300"/>
      <c r="V20" s="146"/>
      <c r="W20" s="255">
        <v>11</v>
      </c>
      <c r="X20" s="972">
        <f>i_SE_costs*W20</f>
        <v>2.2000000000000002</v>
      </c>
      <c r="Y20" s="1276">
        <f>Y18</f>
        <v>0.93299999999999994</v>
      </c>
      <c r="Z20" s="965">
        <f>Z18</f>
        <v>9.3299999999999994E-2</v>
      </c>
      <c r="AA20" s="330"/>
      <c r="AB20" s="300"/>
      <c r="AC20" s="300"/>
      <c r="AD20" s="888"/>
      <c r="AE20" s="301"/>
      <c r="AF20" s="400"/>
      <c r="AG20" s="301"/>
      <c r="AH20" s="1076"/>
      <c r="AI20" s="1086"/>
      <c r="AJ20" s="1138"/>
      <c r="AK20" s="1248"/>
      <c r="AZ20" s="991">
        <v>1</v>
      </c>
      <c r="BA20" s="485" t="s">
        <v>1789</v>
      </c>
      <c r="BB20" s="485" t="s">
        <v>1735</v>
      </c>
      <c r="BC20" s="485">
        <v>3</v>
      </c>
      <c r="BD20" s="485" t="str">
        <f t="shared" ref="BD20:BD23" si="42">J70</f>
        <v>per cycle</v>
      </c>
      <c r="BE20" s="1342">
        <f>CHOOSE(i_drug_price_options,AG70*(1-AK69)+AG69*AK69,AH70*(1-AK69)+AH69*AK69)/2</f>
        <v>1257.375</v>
      </c>
      <c r="BF20" s="1342">
        <f>(AG70*(1-AK69)+AG69*AK69)/2</f>
        <v>1257.375</v>
      </c>
      <c r="BG20" s="1343">
        <f>IF(i_lenv_sc_2pills=1,0,1-BE20/BF20)</f>
        <v>0</v>
      </c>
      <c r="BH20" s="485"/>
      <c r="BI20" s="827"/>
      <c r="BJ20" s="826">
        <v>2</v>
      </c>
      <c r="BK20" s="826">
        <f t="shared" ref="BK20:BK23" si="43">AB70</f>
        <v>1</v>
      </c>
      <c r="BL20" s="828">
        <f t="shared" ref="BL20:BL22" si="44">$Y$69</f>
        <v>1</v>
      </c>
      <c r="BM20" s="828">
        <f t="shared" ref="BM20:BM22" si="45">$Z$69</f>
        <v>0.1</v>
      </c>
      <c r="BN20" s="827">
        <f>IF(i_lenv_sc_2pills=1,1,3)</f>
        <v>3</v>
      </c>
      <c r="BO20" s="827">
        <f>IF(i_lenv_sc_2pills=1,2089,4)</f>
        <v>4</v>
      </c>
      <c r="BP20" s="828">
        <f>BP19</f>
        <v>1</v>
      </c>
      <c r="BQ20" s="828">
        <f>BQ19</f>
        <v>0.1</v>
      </c>
      <c r="BR20" s="828">
        <f t="shared" ref="BR20:CE23" si="46">BR19</f>
        <v>1</v>
      </c>
      <c r="BS20" s="828">
        <f t="shared" si="46"/>
        <v>0.1</v>
      </c>
      <c r="BT20" s="828">
        <f t="shared" si="46"/>
        <v>1</v>
      </c>
      <c r="BU20" s="828">
        <f t="shared" si="46"/>
        <v>0.1</v>
      </c>
      <c r="BV20" s="828">
        <f t="shared" si="46"/>
        <v>1</v>
      </c>
      <c r="BW20" s="828">
        <f t="shared" si="46"/>
        <v>0.1</v>
      </c>
      <c r="BX20" s="828">
        <f t="shared" si="46"/>
        <v>1</v>
      </c>
      <c r="BY20" s="828">
        <f t="shared" si="46"/>
        <v>0.1</v>
      </c>
      <c r="BZ20" s="828">
        <f t="shared" si="46"/>
        <v>1</v>
      </c>
      <c r="CA20" s="828">
        <f t="shared" si="46"/>
        <v>0.1</v>
      </c>
      <c r="CB20" s="828">
        <f t="shared" si="46"/>
        <v>1</v>
      </c>
      <c r="CC20" s="828">
        <f t="shared" si="46"/>
        <v>0.1</v>
      </c>
      <c r="CD20" s="828">
        <f t="shared" si="46"/>
        <v>1</v>
      </c>
      <c r="CE20" s="828">
        <f t="shared" si="46"/>
        <v>0.1</v>
      </c>
      <c r="CF20" s="992"/>
      <c r="CG20" s="824">
        <f t="shared" si="31"/>
        <v>1</v>
      </c>
      <c r="CH20" s="824">
        <f t="shared" si="15"/>
        <v>0.1</v>
      </c>
      <c r="CI20" s="824">
        <f t="shared" si="15"/>
        <v>1</v>
      </c>
      <c r="CJ20" s="824">
        <f t="shared" si="15"/>
        <v>0.1</v>
      </c>
      <c r="CK20" s="824">
        <f t="shared" si="32"/>
        <v>1</v>
      </c>
      <c r="CL20" s="992"/>
      <c r="CM20" s="475">
        <f t="shared" si="33"/>
        <v>3</v>
      </c>
      <c r="CN20" s="475" t="str">
        <f t="shared" si="41"/>
        <v>lenvatinib1</v>
      </c>
      <c r="CO20" s="825"/>
      <c r="CP20" s="825"/>
      <c r="CQ20" s="825"/>
      <c r="CR20" s="825"/>
      <c r="CS20" s="825"/>
      <c r="CT20" s="1119"/>
      <c r="CU20" s="1119"/>
      <c r="CV20" s="1119"/>
      <c r="CW20" s="1119"/>
      <c r="CZ20" s="992" cm="1">
        <f t="array" ref="CZ20">_xlfn.IFNA(INDEX($EH$30:$EH$69,MATCH(1,($BA24=$ED$30:$ED$69)*(CZ$9=$EE$30:$EE$69),0)),"")</f>
        <v>0.98799999999999999</v>
      </c>
      <c r="DA20" s="992">
        <f>CZ20</f>
        <v>0.98799999999999999</v>
      </c>
      <c r="DB20" s="992">
        <f>CZ20</f>
        <v>0.98799999999999999</v>
      </c>
      <c r="DC20" s="992">
        <f>CZ20</f>
        <v>0.98799999999999999</v>
      </c>
      <c r="DE20" s="107" t="s">
        <v>277</v>
      </c>
      <c r="DJ20" s="1111">
        <v>0.93299999999999994</v>
      </c>
      <c r="DK20" s="1112">
        <f>IF(i_txt_line_drug_cost=1,DL20,DM20)</f>
        <v>0.753</v>
      </c>
      <c r="DL20" s="1112">
        <v>0.82299999999999995</v>
      </c>
      <c r="DM20" s="1112">
        <v>0.753</v>
      </c>
      <c r="DN20" s="1112">
        <v>0.753</v>
      </c>
      <c r="DO20" s="1112">
        <v>0.753</v>
      </c>
      <c r="DP20" s="1111">
        <f>DJ20</f>
        <v>0.93299999999999994</v>
      </c>
      <c r="DQ20" s="1111"/>
      <c r="DS20" s="219" t="str">
        <v>cabozantinib</v>
      </c>
      <c r="DT20" s="466">
        <f>BH42</f>
        <v>11</v>
      </c>
      <c r="DU20" s="466">
        <f>BH41</f>
        <v>197.25</v>
      </c>
      <c r="DV20" s="1324">
        <f>IF(i_sc_RDI_num=3,100%,(CHOOSE(i_sub_txt_prop_num,IF(i_sc_RDI_num=4,CH42,IF(i_sc_RDI_num=5,CK42,BR42)),BZ42)))</f>
        <v>0.77600000000000002</v>
      </c>
      <c r="DW20" s="1324">
        <f>IF(i_sc_RDI_num=3,100%,(CHOOSE(i_sub_txt_prop_num,IF(i_sc_RDI_num=4,CI42,IF(i_sc_RDI_num=5,CK42,BT42)),CB42)))</f>
        <v>0.65700000000000003</v>
      </c>
      <c r="DX20" s="1324">
        <f>IF(i_sc_RDI_num=3,100%,(CHOOSE(i_sub_txt_prop_num,IF(i_sc_RDI_num=4,CJ42,IF(i_sc_RDI_num=5,CK42,BV42)),CD42)))</f>
        <v>0.65700000000000003</v>
      </c>
      <c r="DY20" s="467">
        <f t="shared" si="36"/>
        <v>8.5359999999999996</v>
      </c>
      <c r="DZ20" s="467">
        <f t="shared" si="37"/>
        <v>7.2270000000000003</v>
      </c>
      <c r="EA20" s="467">
        <f t="shared" si="38"/>
        <v>7.2270000000000003</v>
      </c>
      <c r="EB20" s="1125"/>
      <c r="EN20" s="1244" t="s">
        <v>1736</v>
      </c>
      <c r="EO20" s="107">
        <f t="shared" si="21"/>
        <v>0.98799999999999999</v>
      </c>
      <c r="EP20" s="107">
        <f t="shared" si="22"/>
        <v>9.8799999999999999E-2</v>
      </c>
      <c r="EQ20" s="107">
        <f t="shared" si="23"/>
        <v>0.98799999999999999</v>
      </c>
      <c r="ER20" s="107">
        <f t="shared" si="24"/>
        <v>9.8799999999999999E-2</v>
      </c>
      <c r="ES20" s="107">
        <f t="shared" si="25"/>
        <v>0.98799999999999999</v>
      </c>
      <c r="ET20" s="107">
        <f t="shared" si="26"/>
        <v>9.8799999999999999E-2</v>
      </c>
      <c r="EU20" s="107">
        <f t="shared" si="27"/>
        <v>0.98799999999999999</v>
      </c>
      <c r="EV20" s="107">
        <f t="shared" si="28"/>
        <v>9.8799999999999999E-2</v>
      </c>
      <c r="EW20" s="107">
        <v>0.629</v>
      </c>
      <c r="EX20" s="107">
        <v>6.2899999999999998E-2</v>
      </c>
      <c r="EY20" s="107">
        <v>0.629</v>
      </c>
      <c r="EZ20" s="107">
        <v>6.2899999999999998E-2</v>
      </c>
      <c r="FA20" s="107">
        <v>0.629</v>
      </c>
      <c r="FB20" s="107">
        <v>6.2899999999999998E-2</v>
      </c>
      <c r="FC20" s="107">
        <v>0.629</v>
      </c>
      <c r="FD20" s="107">
        <v>6.2899999999999998E-2</v>
      </c>
      <c r="FF20" s="1247" t="s">
        <v>294</v>
      </c>
      <c r="FG20" s="107">
        <v>0.98799999999999999</v>
      </c>
      <c r="FH20" s="107">
        <v>9.8799999999999999E-2</v>
      </c>
      <c r="FI20" s="107">
        <v>0.98799999999999999</v>
      </c>
      <c r="FJ20" s="107">
        <v>9.8799999999999999E-2</v>
      </c>
      <c r="FK20" s="107">
        <v>0.98799999999999999</v>
      </c>
      <c r="FL20" s="107">
        <v>9.8799999999999999E-2</v>
      </c>
      <c r="FM20" s="107">
        <v>0.98799999999999999</v>
      </c>
      <c r="FN20" s="107">
        <v>9.8799999999999999E-2</v>
      </c>
      <c r="FQ20" s="107">
        <v>0.59099999999999997</v>
      </c>
      <c r="FR20" s="107">
        <v>5.91E-2</v>
      </c>
      <c r="FS20" s="107">
        <v>0.59099999999999997</v>
      </c>
      <c r="FT20" s="107">
        <v>5.91E-2</v>
      </c>
      <c r="FU20" s="107">
        <v>0.59099999999999997</v>
      </c>
      <c r="FV20" s="107">
        <v>5.91E-2</v>
      </c>
      <c r="FW20" s="107">
        <v>0.59099999999999997</v>
      </c>
      <c r="FX20" s="107">
        <v>5.91E-2</v>
      </c>
      <c r="GA20" s="107">
        <v>0.629</v>
      </c>
      <c r="GB20" s="107">
        <v>6.2899999999999998E-2</v>
      </c>
      <c r="GC20" s="107">
        <v>0.629</v>
      </c>
      <c r="GD20" s="107">
        <v>6.2899999999999998E-2</v>
      </c>
      <c r="GE20" s="107">
        <v>0.629</v>
      </c>
      <c r="GF20" s="107">
        <v>6.2899999999999998E-2</v>
      </c>
      <c r="GG20" s="107">
        <v>0.629</v>
      </c>
      <c r="GH20" s="107">
        <v>6.2899999999999998E-2</v>
      </c>
    </row>
    <row r="21" spans="2:190" ht="15.75" x14ac:dyDescent="0.25">
      <c r="D21" s="1549" t="s">
        <v>290</v>
      </c>
      <c r="E21" s="1549"/>
      <c r="F21" s="1549"/>
      <c r="G21" s="1549"/>
      <c r="H21" s="1550"/>
      <c r="I21" s="121"/>
      <c r="J21" s="160" t="s">
        <v>267</v>
      </c>
      <c r="K21" s="1591">
        <v>3750</v>
      </c>
      <c r="L21" s="1592"/>
      <c r="M21" s="323">
        <v>10</v>
      </c>
      <c r="N21" s="113" t="s">
        <v>268</v>
      </c>
      <c r="O21" s="114">
        <v>5</v>
      </c>
      <c r="P21" s="115" t="s">
        <v>269</v>
      </c>
      <c r="Q21" s="116" t="s">
        <v>74</v>
      </c>
      <c r="R21" s="1310">
        <v>0</v>
      </c>
      <c r="S21" s="1311">
        <f>K21*(1-R21)</f>
        <v>3750</v>
      </c>
      <c r="T21" s="117" t="s">
        <v>291</v>
      </c>
      <c r="U21" s="117" t="s">
        <v>271</v>
      </c>
      <c r="V21" s="563">
        <f>1*'Patient characteristics'!$K$22</f>
        <v>83.38</v>
      </c>
      <c r="W21" s="118" t="s">
        <v>292</v>
      </c>
      <c r="X21" s="973"/>
      <c r="Y21" s="1067"/>
      <c r="Z21" s="446"/>
      <c r="AA21" s="331">
        <v>3</v>
      </c>
      <c r="AB21" s="117">
        <v>1</v>
      </c>
      <c r="AC21" s="117">
        <v>1</v>
      </c>
      <c r="AD21" s="889">
        <v>12</v>
      </c>
      <c r="AE21" s="297">
        <f>K21/(M21*O21)</f>
        <v>75</v>
      </c>
      <c r="AF21" s="401">
        <f>S21/(M21*O21)</f>
        <v>75</v>
      </c>
      <c r="AG21" s="119">
        <f>AE21*V21</f>
        <v>6253.5</v>
      </c>
      <c r="AH21" s="1350">
        <f>AF21*V21</f>
        <v>6253.5</v>
      </c>
      <c r="AI21" s="1354">
        <f>CHOOSE(i_drug_price_options,AG21/$AA$21,AH21/$AA$21)</f>
        <v>2084.5</v>
      </c>
      <c r="AJ21" s="1355">
        <f>CHOOSE(i_drug_price_options,AG21/$AA$21,AH21/$AA$21)</f>
        <v>2084.5</v>
      </c>
      <c r="AK21" s="1248"/>
      <c r="AM21" s="107" t="s">
        <v>293</v>
      </c>
      <c r="AZ21" s="991">
        <v>1</v>
      </c>
      <c r="BA21" s="485" t="s">
        <v>1790</v>
      </c>
      <c r="BB21" s="485" t="s">
        <v>1735</v>
      </c>
      <c r="BC21" s="485">
        <v>3</v>
      </c>
      <c r="BD21" s="485" t="str">
        <f t="shared" si="42"/>
        <v>per cycle</v>
      </c>
      <c r="BE21" s="1342">
        <f>CHOOSE(i_drug_price_options,AG70*(1-AK69-AK72)+AG69*AK69+AG71*AK72,AH70*(1-AK69-AK72)+AH69*AK69+AH71*AK72)/2</f>
        <v>1386.7050000000002</v>
      </c>
      <c r="BF21" s="1342">
        <f>(AG70*(1-AK69-AK72)+AG69*AK69+AG71*AK72)/2</f>
        <v>1386.7050000000002</v>
      </c>
      <c r="BG21" s="1343">
        <f>IF(i_lenv_sc_2pills=1,0,1-BE21/BF21)</f>
        <v>0</v>
      </c>
      <c r="BH21" s="485"/>
      <c r="BI21" s="827"/>
      <c r="BJ21" s="826">
        <v>2</v>
      </c>
      <c r="BK21" s="826">
        <f t="shared" si="43"/>
        <v>1</v>
      </c>
      <c r="BL21" s="828">
        <f t="shared" si="44"/>
        <v>1</v>
      </c>
      <c r="BM21" s="828">
        <f t="shared" si="45"/>
        <v>0.1</v>
      </c>
      <c r="BN21" s="827">
        <f>IF(i_lenv_sc_2pills=1,1,5)</f>
        <v>5</v>
      </c>
      <c r="BO21" s="827">
        <f>IF(i_lenv_sc_2pills=1,2089,6)</f>
        <v>6</v>
      </c>
      <c r="BP21" s="828">
        <f t="shared" ref="BP21:BP23" si="47">BP20</f>
        <v>1</v>
      </c>
      <c r="BQ21" s="828">
        <f t="shared" ref="BQ21:BQ23" si="48">BQ20</f>
        <v>0.1</v>
      </c>
      <c r="BR21" s="828">
        <f t="shared" ref="BR21:BR23" si="49">BR20</f>
        <v>1</v>
      </c>
      <c r="BS21" s="828">
        <f t="shared" ref="BS21:BS23" si="50">BS20</f>
        <v>0.1</v>
      </c>
      <c r="BT21" s="828">
        <f t="shared" ref="BT21:BT23" si="51">BT20</f>
        <v>1</v>
      </c>
      <c r="BU21" s="828">
        <f t="shared" ref="BU21:BU23" si="52">BU20</f>
        <v>0.1</v>
      </c>
      <c r="BV21" s="828">
        <f t="shared" ref="BV21:BV23" si="53">BV20</f>
        <v>1</v>
      </c>
      <c r="BW21" s="828">
        <f t="shared" ref="BW21:BW23" si="54">BW20</f>
        <v>0.1</v>
      </c>
      <c r="BX21" s="828">
        <f t="shared" si="46"/>
        <v>1</v>
      </c>
      <c r="BY21" s="828">
        <f t="shared" ref="BY21:BY23" si="55">BY20</f>
        <v>0.1</v>
      </c>
      <c r="BZ21" s="828">
        <f t="shared" ref="BZ21:BZ23" si="56">BZ20</f>
        <v>1</v>
      </c>
      <c r="CA21" s="828">
        <f t="shared" ref="CA21:CA23" si="57">CA20</f>
        <v>0.1</v>
      </c>
      <c r="CB21" s="828">
        <f t="shared" ref="CB21:CB23" si="58">CB20</f>
        <v>1</v>
      </c>
      <c r="CC21" s="828">
        <f t="shared" ref="CC21:CC23" si="59">CC20</f>
        <v>0.1</v>
      </c>
      <c r="CD21" s="828">
        <f t="shared" ref="CD21:CD23" si="60">CD20</f>
        <v>1</v>
      </c>
      <c r="CE21" s="828">
        <f t="shared" ref="CE21:CE23" si="61">CE20</f>
        <v>0.1</v>
      </c>
      <c r="CF21" s="992"/>
      <c r="CG21" s="824">
        <f t="shared" si="31"/>
        <v>1</v>
      </c>
      <c r="CH21" s="824">
        <f t="shared" si="15"/>
        <v>0.1</v>
      </c>
      <c r="CI21" s="824">
        <f t="shared" si="15"/>
        <v>1</v>
      </c>
      <c r="CJ21" s="824">
        <f t="shared" si="15"/>
        <v>0.1</v>
      </c>
      <c r="CK21" s="824">
        <f t="shared" si="32"/>
        <v>1</v>
      </c>
      <c r="CL21" s="992"/>
      <c r="CM21" s="475">
        <f t="shared" si="33"/>
        <v>3</v>
      </c>
      <c r="CN21" s="475" t="str">
        <f t="shared" si="41"/>
        <v>lenvatinib2</v>
      </c>
      <c r="CO21" s="825"/>
      <c r="CP21" s="825"/>
      <c r="CQ21" s="825"/>
      <c r="CR21" s="825"/>
      <c r="CS21" s="825"/>
      <c r="CT21" s="1119"/>
      <c r="CU21" s="1119"/>
      <c r="CV21" s="1119"/>
      <c r="CW21" s="1119"/>
      <c r="CZ21" s="992" t="str" cm="1">
        <f t="array" ref="CZ21">_xlfn.IFNA(INDEX($EH$30:$EH$69,MATCH(1,($BA25=$ED$30:$ED$69)*(CZ$9=$EE$30:$EE$69),0)),"")</f>
        <v/>
      </c>
      <c r="DA21" s="992" t="str" cm="1">
        <f t="array" ref="DA21">_xlfn.IFNA(INDEX($EH$30:$EH$69,MATCH(1,($BA25=$ED$30:$ED$69)*(DA$9=$EE$30:$EE$69),0)),"")</f>
        <v/>
      </c>
      <c r="DB21" s="992" t="str" cm="1">
        <f t="array" ref="DB21">_xlfn.IFNA(INDEX($EH$30:$EH$69,MATCH(1,($BA25=$ED$30:$ED$69)*(DB$9=$EE$30:$EE$69),0)),"")</f>
        <v/>
      </c>
      <c r="DC21" s="992" t="str" cm="1">
        <f t="array" ref="DC21">_xlfn.IFNA(INDEX($EH$30:$EH$69,MATCH(1,($BA25=$ED$30:$ED$69)*(DC$9=$EE$30:$EE$69),0)),"")</f>
        <v/>
      </c>
      <c r="DJ21" s="1111"/>
      <c r="DS21" s="219" t="str">
        <v>lenvatinib_plus_everolimus</v>
      </c>
      <c r="DT21" s="466">
        <f>BH46</f>
        <v>11</v>
      </c>
      <c r="DU21" s="466">
        <f>BH45</f>
        <v>197.25</v>
      </c>
      <c r="DV21" s="1324">
        <f>IF(i_sc_RDI_num=3,100%,(CHOOSE(i_sub_txt_prop_num,IF(i_sc_RDI_num=4,CH46,IF(i_sc_RDI_num=5,CK46,BR46)),BZ46)))</f>
        <v>1</v>
      </c>
      <c r="DW21" s="1324">
        <f>IF(i_sc_RDI_num=3,100%,(CHOOSE(i_sub_txt_prop_num,IF(i_sc_RDI_num=4,CI46,IF(i_sc_RDI_num=5,CK46,BT46)),CB46)))</f>
        <v>1</v>
      </c>
      <c r="DX21" s="1324">
        <f>IF(i_sc_RDI_num=3,100%,(CHOOSE(i_sub_txt_prop_num,IF(i_sc_RDI_num=4,CJ46,IF(i_sc_RDI_num=5,CK46,BV46)),CD46)))</f>
        <v>1</v>
      </c>
      <c r="DY21" s="467">
        <f t="shared" si="36"/>
        <v>11</v>
      </c>
      <c r="DZ21" s="467">
        <f t="shared" si="37"/>
        <v>11</v>
      </c>
      <c r="EA21" s="467">
        <f t="shared" si="38"/>
        <v>11</v>
      </c>
      <c r="EB21" s="1125"/>
      <c r="EN21" s="1244" t="s">
        <v>1735</v>
      </c>
      <c r="EO21" s="107">
        <f t="shared" si="21"/>
        <v>1</v>
      </c>
      <c r="EP21" s="107">
        <f t="shared" si="22"/>
        <v>0.1</v>
      </c>
      <c r="EQ21" s="107">
        <f t="shared" si="23"/>
        <v>1</v>
      </c>
      <c r="ER21" s="107">
        <f t="shared" si="24"/>
        <v>0.1</v>
      </c>
      <c r="ES21" s="107">
        <f t="shared" si="25"/>
        <v>1</v>
      </c>
      <c r="ET21" s="107">
        <f t="shared" si="26"/>
        <v>0.1</v>
      </c>
      <c r="EU21" s="107">
        <f t="shared" si="27"/>
        <v>1</v>
      </c>
      <c r="EV21" s="107">
        <f t="shared" si="28"/>
        <v>0.1</v>
      </c>
      <c r="EW21" s="107">
        <v>1</v>
      </c>
      <c r="EX21" s="107">
        <v>0.1</v>
      </c>
      <c r="EY21" s="107">
        <v>1</v>
      </c>
      <c r="EZ21" s="107">
        <v>0.1</v>
      </c>
      <c r="FA21" s="107">
        <v>1</v>
      </c>
      <c r="FB21" s="107">
        <v>0.1</v>
      </c>
      <c r="FC21" s="107">
        <v>1</v>
      </c>
      <c r="FD21" s="107">
        <v>0.1</v>
      </c>
      <c r="FF21" s="1247" t="s">
        <v>302</v>
      </c>
      <c r="FG21" s="107">
        <v>1</v>
      </c>
      <c r="FH21" s="107">
        <v>0.1</v>
      </c>
      <c r="FI21" s="107">
        <v>1</v>
      </c>
      <c r="FJ21" s="107">
        <v>0.1</v>
      </c>
      <c r="FK21" s="107">
        <v>1</v>
      </c>
      <c r="FL21" s="107">
        <v>0.1</v>
      </c>
      <c r="FM21" s="107">
        <v>1</v>
      </c>
      <c r="FN21" s="107">
        <v>0.1</v>
      </c>
      <c r="FQ21" s="107">
        <v>1</v>
      </c>
      <c r="FR21" s="107">
        <v>0.1</v>
      </c>
      <c r="FS21" s="107">
        <v>1</v>
      </c>
      <c r="FT21" s="107">
        <v>0.1</v>
      </c>
      <c r="FU21" s="107">
        <v>1</v>
      </c>
      <c r="FV21" s="107">
        <v>0.1</v>
      </c>
      <c r="FW21" s="107">
        <v>1</v>
      </c>
      <c r="FX21" s="107">
        <v>0.1</v>
      </c>
      <c r="GA21" s="107">
        <v>1</v>
      </c>
      <c r="GB21" s="107">
        <v>0.1</v>
      </c>
      <c r="GC21" s="107">
        <v>1</v>
      </c>
      <c r="GD21" s="107">
        <v>0.1</v>
      </c>
      <c r="GE21" s="107">
        <v>1</v>
      </c>
      <c r="GF21" s="107">
        <v>0.1</v>
      </c>
      <c r="GG21" s="107">
        <v>1</v>
      </c>
      <c r="GH21" s="107">
        <v>0.1</v>
      </c>
    </row>
    <row r="22" spans="2:190" ht="16.5" thickBot="1" x14ac:dyDescent="0.3">
      <c r="D22" s="1678" t="s">
        <v>290</v>
      </c>
      <c r="E22" s="1679"/>
      <c r="F22" s="1679"/>
      <c r="G22" s="1679"/>
      <c r="H22" s="1679"/>
      <c r="I22" s="281"/>
      <c r="J22" s="318" t="s">
        <v>267</v>
      </c>
      <c r="K22" s="1684">
        <v>15000</v>
      </c>
      <c r="L22" s="1685"/>
      <c r="M22" s="139">
        <v>40</v>
      </c>
      <c r="N22" s="132" t="s">
        <v>268</v>
      </c>
      <c r="O22" s="133">
        <v>5</v>
      </c>
      <c r="P22" s="134" t="s">
        <v>269</v>
      </c>
      <c r="Q22" s="135" t="s">
        <v>74</v>
      </c>
      <c r="R22" s="1312">
        <v>0</v>
      </c>
      <c r="S22" s="1313">
        <f>K22*(1-R22)</f>
        <v>15000</v>
      </c>
      <c r="T22" s="136" t="s">
        <v>291</v>
      </c>
      <c r="U22" s="136"/>
      <c r="V22" s="563">
        <f>1*'Patient characteristics'!$K$22</f>
        <v>83.38</v>
      </c>
      <c r="W22" s="137" t="s">
        <v>292</v>
      </c>
      <c r="X22" s="974"/>
      <c r="Y22" s="391"/>
      <c r="Z22" s="444"/>
      <c r="AA22" s="332">
        <v>3</v>
      </c>
      <c r="AB22" s="136">
        <v>1</v>
      </c>
      <c r="AC22" s="136">
        <v>1</v>
      </c>
      <c r="AD22" s="890">
        <v>12</v>
      </c>
      <c r="AE22" s="342">
        <f>K22/(M22*O22)</f>
        <v>75</v>
      </c>
      <c r="AF22" s="459">
        <f>S22/(M22*O22)</f>
        <v>75</v>
      </c>
      <c r="AG22" s="342">
        <f>AE22*V22</f>
        <v>6253.5</v>
      </c>
      <c r="AH22" s="1356">
        <f>AF22*V22</f>
        <v>6253.5</v>
      </c>
      <c r="AI22" s="1357"/>
      <c r="AJ22" s="1358"/>
      <c r="AK22" s="1248"/>
      <c r="AZ22" s="991">
        <v>1</v>
      </c>
      <c r="BA22" s="485" t="s">
        <v>1791</v>
      </c>
      <c r="BB22" s="485" t="s">
        <v>1735</v>
      </c>
      <c r="BC22" s="485">
        <v>3</v>
      </c>
      <c r="BD22" s="485" t="str">
        <f t="shared" si="42"/>
        <v>per cycle</v>
      </c>
      <c r="BE22" s="1342">
        <f>CHOOSE(i_drug_price_options,AG70*(1-AK69-AK72)+AG69*AK69+AG72*AK72,AH70*(1-AK69-AK72)+AH69*AK69+AH72*AK72)/2</f>
        <v>1516.0350000000001</v>
      </c>
      <c r="BF22" s="1342">
        <f>(AG70*(1-AK69-AK72)+AG69*AK69+AG72*AK72)/2</f>
        <v>1516.0350000000001</v>
      </c>
      <c r="BG22" s="1343">
        <f>IF(i_lenv_sc_2pills=1,0,1-BE22/BF22)</f>
        <v>0</v>
      </c>
      <c r="BH22" s="485"/>
      <c r="BI22" s="827"/>
      <c r="BJ22" s="826">
        <v>2</v>
      </c>
      <c r="BK22" s="826">
        <f t="shared" si="43"/>
        <v>1</v>
      </c>
      <c r="BL22" s="828">
        <f t="shared" si="44"/>
        <v>1</v>
      </c>
      <c r="BM22" s="828">
        <f t="shared" si="45"/>
        <v>0.1</v>
      </c>
      <c r="BN22" s="827">
        <f>IF(i_lenv_sc_2pills=1,1,7)</f>
        <v>7</v>
      </c>
      <c r="BO22" s="827">
        <f>IF(i_lenv_sc_2pills=1,2089,8)</f>
        <v>8</v>
      </c>
      <c r="BP22" s="828">
        <f t="shared" si="47"/>
        <v>1</v>
      </c>
      <c r="BQ22" s="828">
        <f t="shared" si="48"/>
        <v>0.1</v>
      </c>
      <c r="BR22" s="828">
        <f t="shared" si="49"/>
        <v>1</v>
      </c>
      <c r="BS22" s="828">
        <f t="shared" si="50"/>
        <v>0.1</v>
      </c>
      <c r="BT22" s="828">
        <f t="shared" si="51"/>
        <v>1</v>
      </c>
      <c r="BU22" s="828">
        <f t="shared" si="52"/>
        <v>0.1</v>
      </c>
      <c r="BV22" s="828">
        <f t="shared" si="53"/>
        <v>1</v>
      </c>
      <c r="BW22" s="828">
        <f t="shared" si="54"/>
        <v>0.1</v>
      </c>
      <c r="BX22" s="828">
        <f t="shared" si="46"/>
        <v>1</v>
      </c>
      <c r="BY22" s="828">
        <f t="shared" si="55"/>
        <v>0.1</v>
      </c>
      <c r="BZ22" s="828">
        <f t="shared" si="56"/>
        <v>1</v>
      </c>
      <c r="CA22" s="828">
        <f t="shared" si="57"/>
        <v>0.1</v>
      </c>
      <c r="CB22" s="828">
        <f t="shared" si="58"/>
        <v>1</v>
      </c>
      <c r="CC22" s="828">
        <f t="shared" si="59"/>
        <v>0.1</v>
      </c>
      <c r="CD22" s="828">
        <f t="shared" si="60"/>
        <v>1</v>
      </c>
      <c r="CE22" s="828">
        <f t="shared" si="61"/>
        <v>0.1</v>
      </c>
      <c r="CF22" s="992"/>
      <c r="CG22" s="824">
        <f t="shared" si="31"/>
        <v>1</v>
      </c>
      <c r="CH22" s="824">
        <f t="shared" si="15"/>
        <v>0.1</v>
      </c>
      <c r="CI22" s="824">
        <f t="shared" si="15"/>
        <v>1</v>
      </c>
      <c r="CJ22" s="824">
        <f t="shared" si="15"/>
        <v>0.1</v>
      </c>
      <c r="CK22" s="824">
        <f t="shared" si="32"/>
        <v>1</v>
      </c>
      <c r="CL22" s="992"/>
      <c r="CM22" s="475">
        <f t="shared" si="33"/>
        <v>3</v>
      </c>
      <c r="CN22" s="475" t="str">
        <f t="shared" si="41"/>
        <v>lenvatinib3</v>
      </c>
      <c r="CO22" s="825"/>
      <c r="CP22" s="825"/>
      <c r="CQ22" s="825"/>
      <c r="CR22" s="825"/>
      <c r="CS22" s="825"/>
      <c r="CT22" s="1119"/>
      <c r="CU22" s="1119"/>
      <c r="CV22" s="1119"/>
      <c r="CW22" s="1119"/>
      <c r="CZ22" s="992" t="str" cm="1">
        <f t="array" ref="CZ22">_xlfn.IFNA(INDEX($EH$30:$EH$69,MATCH(1,($BA26=$ED$30:$ED$69)*(CZ$9=$EE$30:$EE$69),0)),"")</f>
        <v/>
      </c>
      <c r="DA22" s="992" t="str" cm="1">
        <f t="array" ref="DA22">_xlfn.IFNA(INDEX($EH$30:$EH$69,MATCH(1,($BA26=$ED$30:$ED$69)*(DA$9=$EE$30:$EE$69),0)),"")</f>
        <v/>
      </c>
      <c r="DB22" s="992" t="str" cm="1">
        <f t="array" ref="DB22">_xlfn.IFNA(INDEX($EH$30:$EH$69,MATCH(1,($BA26=$ED$30:$ED$69)*(DB$9=$EE$30:$EE$69),0)),"")</f>
        <v/>
      </c>
      <c r="DC22" s="992" t="str" cm="1">
        <f t="array" ref="DC22">_xlfn.IFNA(INDEX($EH$30:$EH$69,MATCH(1,($BA26=$ED$30:$ED$69)*(DC$9=$EE$30:$EE$69),0)),"")</f>
        <v/>
      </c>
      <c r="DJ22" s="1112"/>
      <c r="DS22" s="219" t="str">
        <v>everolimus</v>
      </c>
      <c r="DT22" s="466">
        <f>BH49</f>
        <v>11</v>
      </c>
      <c r="DU22" s="466">
        <f>BH48</f>
        <v>197.25</v>
      </c>
      <c r="DV22" s="1324">
        <f>IF(i_sc_RDI_num=3,100%,(CHOOSE(i_sub_txt_prop_num,IF(i_sc_RDI_num=4,CH49,IF(i_sc_RDI_num=5,CK49,BR49)),BZ49)))</f>
        <v>0.48</v>
      </c>
      <c r="DW22" s="1324">
        <f>IF(i_sc_RDI_num=3,100%,(CHOOSE(i_sub_txt_prop_num,IF(i_sc_RDI_num=4,CI49,IF(i_sc_RDI_num=5,CK49,BT49)),CB49)))</f>
        <v>0.5</v>
      </c>
      <c r="DX22" s="1324">
        <f>IF(i_sc_RDI_num=3,100%,(CHOOSE(i_sub_txt_prop_num,IF(i_sc_RDI_num=4,CJ49,IF(i_sc_RDI_num=5,CK49,BV49)),CD49)))</f>
        <v>0.95</v>
      </c>
      <c r="DY22" s="467">
        <f t="shared" si="36"/>
        <v>5.2799999999999994</v>
      </c>
      <c r="DZ22" s="467">
        <f t="shared" si="37"/>
        <v>5.5</v>
      </c>
      <c r="EA22" s="467">
        <f t="shared" si="38"/>
        <v>10.45</v>
      </c>
      <c r="EB22" s="1125"/>
      <c r="EN22" s="1244" t="s">
        <v>1735</v>
      </c>
      <c r="EO22" s="107">
        <f t="shared" si="21"/>
        <v>1</v>
      </c>
      <c r="EP22" s="107">
        <f t="shared" si="22"/>
        <v>0.1</v>
      </c>
      <c r="EQ22" s="107">
        <f t="shared" si="23"/>
        <v>1</v>
      </c>
      <c r="ER22" s="107">
        <f t="shared" si="24"/>
        <v>0.1</v>
      </c>
      <c r="ES22" s="107">
        <f t="shared" si="25"/>
        <v>1</v>
      </c>
      <c r="ET22" s="107">
        <f t="shared" si="26"/>
        <v>0.1</v>
      </c>
      <c r="EU22" s="107">
        <f t="shared" si="27"/>
        <v>1</v>
      </c>
      <c r="EV22" s="107">
        <f t="shared" si="28"/>
        <v>0.1</v>
      </c>
      <c r="EW22" s="107">
        <f>IF(i_RDI_new_bc=1,1,0.696)</f>
        <v>1</v>
      </c>
      <c r="EX22" s="107">
        <f>EW22*0.1</f>
        <v>0.1</v>
      </c>
      <c r="EY22" s="107">
        <f>IF(i_RDI_new_bc=1,1,0.696)</f>
        <v>1</v>
      </c>
      <c r="EZ22" s="107">
        <f>EY22*0.1</f>
        <v>0.1</v>
      </c>
      <c r="FA22" s="107">
        <f>IF(i_RDI_new_bc=1,1,0.696)</f>
        <v>1</v>
      </c>
      <c r="FB22" s="107">
        <f>FA22*0.1</f>
        <v>0.1</v>
      </c>
      <c r="FC22" s="107">
        <f>IF(i_RDI_new_bc=1,1,0.696)</f>
        <v>1</v>
      </c>
      <c r="FD22" s="107">
        <f>FC22*0.1</f>
        <v>0.1</v>
      </c>
      <c r="FF22" s="1247" t="s">
        <v>303</v>
      </c>
      <c r="FG22" s="107">
        <v>1</v>
      </c>
      <c r="FH22" s="107">
        <v>0.1</v>
      </c>
      <c r="FI22" s="107">
        <v>1</v>
      </c>
      <c r="FJ22" s="107">
        <v>0.1</v>
      </c>
      <c r="FK22" s="107">
        <v>1</v>
      </c>
      <c r="FL22" s="107">
        <v>0.1</v>
      </c>
      <c r="FM22" s="107">
        <v>1</v>
      </c>
      <c r="FN22" s="107">
        <v>0.1</v>
      </c>
      <c r="FQ22" s="107">
        <v>0.70499999999999996</v>
      </c>
      <c r="FR22" s="107">
        <v>7.0499999999999993E-2</v>
      </c>
      <c r="FS22" s="107">
        <v>0.70499999999999996</v>
      </c>
      <c r="FT22" s="107">
        <v>7.0499999999999993E-2</v>
      </c>
      <c r="FU22" s="107">
        <v>0.70499999999999996</v>
      </c>
      <c r="FV22" s="107">
        <v>7.0499999999999993E-2</v>
      </c>
      <c r="FW22" s="107">
        <v>0.70499999999999996</v>
      </c>
      <c r="FX22" s="107">
        <v>7.0499999999999993E-2</v>
      </c>
      <c r="GA22" s="107">
        <v>0.69599999999999995</v>
      </c>
      <c r="GB22" s="107">
        <v>6.9599999999999995E-2</v>
      </c>
      <c r="GC22" s="107">
        <v>0.69599999999999995</v>
      </c>
      <c r="GD22" s="107">
        <v>6.9599999999999995E-2</v>
      </c>
      <c r="GE22" s="107">
        <v>0.69599999999999995</v>
      </c>
      <c r="GF22" s="107">
        <v>6.9599999999999995E-2</v>
      </c>
      <c r="GG22" s="107">
        <v>0.69599999999999995</v>
      </c>
      <c r="GH22" s="107">
        <v>6.9599999999999995E-2</v>
      </c>
    </row>
    <row r="23" spans="2:190" ht="15.75" x14ac:dyDescent="0.25">
      <c r="D23" s="1542" t="s">
        <v>294</v>
      </c>
      <c r="E23" s="1603"/>
      <c r="F23" s="1603"/>
      <c r="G23" s="1603"/>
      <c r="H23" s="1604"/>
      <c r="I23" s="112"/>
      <c r="J23" s="197" t="s">
        <v>267</v>
      </c>
      <c r="K23" s="1606">
        <v>2630</v>
      </c>
      <c r="L23" s="1608"/>
      <c r="M23" s="320">
        <v>4</v>
      </c>
      <c r="N23" s="294" t="s">
        <v>268</v>
      </c>
      <c r="O23" s="295">
        <v>25</v>
      </c>
      <c r="P23" s="258" t="s">
        <v>269</v>
      </c>
      <c r="Q23" s="259" t="s">
        <v>74</v>
      </c>
      <c r="R23" s="1314">
        <v>0</v>
      </c>
      <c r="S23" s="1315">
        <f>K23*(1-R23)</f>
        <v>2630</v>
      </c>
      <c r="T23" s="296" t="s">
        <v>295</v>
      </c>
      <c r="U23" s="296" t="s">
        <v>271</v>
      </c>
      <c r="V23" s="260">
        <v>400</v>
      </c>
      <c r="W23" s="325" t="s">
        <v>272</v>
      </c>
      <c r="X23" s="970"/>
      <c r="Y23" s="389"/>
      <c r="Z23" s="442"/>
      <c r="AA23" s="327">
        <v>6</v>
      </c>
      <c r="AB23" s="296">
        <v>1</v>
      </c>
      <c r="AC23" s="296">
        <v>1</v>
      </c>
      <c r="AD23" s="885">
        <f>ROUNDUP(ui_time_horizon*365.25*i_days_to_weeks,0)+1</f>
        <v>2089</v>
      </c>
      <c r="AE23" s="297">
        <f>K23/(M23*O23)</f>
        <v>26.3</v>
      </c>
      <c r="AF23" s="397">
        <f>S23/(M23*O23)</f>
        <v>26.3</v>
      </c>
      <c r="AG23" s="297">
        <f>AE23*V23</f>
        <v>10520</v>
      </c>
      <c r="AH23" s="1359">
        <f>AF23*V23</f>
        <v>10520</v>
      </c>
      <c r="AI23" s="1086"/>
      <c r="AJ23" s="1355">
        <f>CHOOSE(i_drug_price_options,(AG23/$AA$23),(AH23/$AA$23))</f>
        <v>1753.3333333333333</v>
      </c>
      <c r="AK23" s="1248"/>
      <c r="AM23" s="107" t="s">
        <v>296</v>
      </c>
      <c r="AZ23" s="991">
        <v>1</v>
      </c>
      <c r="BA23" s="485" t="s">
        <v>1792</v>
      </c>
      <c r="BB23" s="485" t="s">
        <v>1735</v>
      </c>
      <c r="BC23" s="485">
        <v>3</v>
      </c>
      <c r="BD23" s="485" t="str">
        <f t="shared" si="42"/>
        <v>per cycle</v>
      </c>
      <c r="BE23" s="1342">
        <f>CHOOSE(i_drug_price_options,AG73*AK73,AH73*AK73)</f>
        <v>2335.125</v>
      </c>
      <c r="BF23" s="1342">
        <f>AG73*AK73</f>
        <v>2335.125</v>
      </c>
      <c r="BG23" s="1343">
        <f t="shared" si="29"/>
        <v>0</v>
      </c>
      <c r="BH23" s="485"/>
      <c r="BI23" s="827"/>
      <c r="BJ23" s="1289">
        <f t="shared" ref="BJ23" si="62">AA73</f>
        <v>4.2857142857142856</v>
      </c>
      <c r="BK23" s="826">
        <f t="shared" si="43"/>
        <v>1</v>
      </c>
      <c r="BL23" s="828">
        <f>$Y$69</f>
        <v>1</v>
      </c>
      <c r="BM23" s="828">
        <f>$Z$69</f>
        <v>0.1</v>
      </c>
      <c r="BN23" s="827">
        <f>IF(i_lenv_sc_2pills=1,1,9)</f>
        <v>9</v>
      </c>
      <c r="BO23" s="827">
        <v>2089</v>
      </c>
      <c r="BP23" s="828">
        <f t="shared" si="47"/>
        <v>1</v>
      </c>
      <c r="BQ23" s="828">
        <f t="shared" si="48"/>
        <v>0.1</v>
      </c>
      <c r="BR23" s="828">
        <f t="shared" si="49"/>
        <v>1</v>
      </c>
      <c r="BS23" s="828">
        <f t="shared" si="50"/>
        <v>0.1</v>
      </c>
      <c r="BT23" s="828">
        <f t="shared" si="51"/>
        <v>1</v>
      </c>
      <c r="BU23" s="828">
        <f t="shared" si="52"/>
        <v>0.1</v>
      </c>
      <c r="BV23" s="828">
        <f t="shared" si="53"/>
        <v>1</v>
      </c>
      <c r="BW23" s="828">
        <f t="shared" si="54"/>
        <v>0.1</v>
      </c>
      <c r="BX23" s="828">
        <f t="shared" si="46"/>
        <v>1</v>
      </c>
      <c r="BY23" s="828">
        <f t="shared" si="55"/>
        <v>0.1</v>
      </c>
      <c r="BZ23" s="828">
        <f t="shared" si="56"/>
        <v>1</v>
      </c>
      <c r="CA23" s="828">
        <f t="shared" si="57"/>
        <v>0.1</v>
      </c>
      <c r="CB23" s="828">
        <f t="shared" si="58"/>
        <v>1</v>
      </c>
      <c r="CC23" s="828">
        <f t="shared" si="59"/>
        <v>0.1</v>
      </c>
      <c r="CD23" s="828">
        <f t="shared" si="60"/>
        <v>1</v>
      </c>
      <c r="CE23" s="828">
        <f t="shared" si="61"/>
        <v>0.1</v>
      </c>
      <c r="CF23" s="992"/>
      <c r="CG23" s="824">
        <f t="shared" si="31"/>
        <v>1</v>
      </c>
      <c r="CH23" s="824">
        <f t="shared" si="15"/>
        <v>0.1</v>
      </c>
      <c r="CI23" s="824">
        <f t="shared" si="15"/>
        <v>1</v>
      </c>
      <c r="CJ23" s="824">
        <f t="shared" si="15"/>
        <v>0.1</v>
      </c>
      <c r="CK23" s="824">
        <f t="shared" si="32"/>
        <v>1</v>
      </c>
      <c r="CL23" s="992"/>
      <c r="CM23" s="475">
        <f t="shared" si="33"/>
        <v>3</v>
      </c>
      <c r="CN23" s="475" t="str">
        <f t="shared" si="41"/>
        <v>lenvatinib4</v>
      </c>
      <c r="CO23" s="825"/>
      <c r="CP23" s="825"/>
      <c r="CQ23" s="825"/>
      <c r="CR23" s="825"/>
      <c r="CS23" s="825"/>
      <c r="CT23" s="1119"/>
      <c r="CU23" s="1119"/>
      <c r="CV23" s="1119"/>
      <c r="CW23" s="1119"/>
      <c r="CZ23" s="992" cm="1">
        <f t="array" ref="CZ23">_xlfn.IFNA(INDEX($EH$30:$EH$69,MATCH(1,($BA27=$ED$30:$ED$69)*(CZ$9=$EE$30:$EE$69),0)),"")</f>
        <v>0.86799999999999999</v>
      </c>
      <c r="DA23" s="992">
        <f>CZ23</f>
        <v>0.86799999999999999</v>
      </c>
      <c r="DB23" s="992">
        <f>DA23</f>
        <v>0.86799999999999999</v>
      </c>
      <c r="DC23" s="992">
        <f>DB23</f>
        <v>0.86799999999999999</v>
      </c>
      <c r="DJ23" s="1112"/>
      <c r="DS23" s="219" t="str">
        <v>axitinib</v>
      </c>
      <c r="DT23" s="466">
        <f>BH52</f>
        <v>11</v>
      </c>
      <c r="DU23" s="466">
        <f>BH51</f>
        <v>197.25</v>
      </c>
      <c r="DV23" s="1324">
        <f>IF(i_sc_RDI_num=3,100%,(CHOOSE(i_sub_txt_prop_num,IF(i_sc_RDI_num=4,CH52,IF(i_sc_RDI_num=5,CK52,BR52)),BZ52)))</f>
        <v>0.75800000000000001</v>
      </c>
      <c r="DW23" s="1324">
        <f>IF(i_sc_RDI_num=3,100%,(CHOOSE(i_sub_txt_prop_num,IF(i_sc_RDI_num=4,CI52,IF(i_sc_RDI_num=5,CK52,BT52)),CB52)))</f>
        <v>0.92700000000000005</v>
      </c>
      <c r="DX23" s="1324">
        <f>IF(i_sc_RDI_num=3,100%,(CHOOSE(i_sub_txt_prop_num,IF(i_sc_RDI_num=4,CJ52,IF(i_sc_RDI_num=5,CK52,BV52)),CD52)))</f>
        <v>0.93799999999999994</v>
      </c>
      <c r="DY23" s="467">
        <f t="shared" si="36"/>
        <v>8.338000000000001</v>
      </c>
      <c r="DZ23" s="467">
        <f t="shared" si="37"/>
        <v>10.197000000000001</v>
      </c>
      <c r="EA23" s="467">
        <f t="shared" si="38"/>
        <v>10.318</v>
      </c>
      <c r="EB23" s="1125"/>
      <c r="EN23" s="1244" t="s">
        <v>1737</v>
      </c>
      <c r="EO23" s="107">
        <f t="shared" si="21"/>
        <v>0.86799999999999999</v>
      </c>
      <c r="EP23" s="107">
        <f t="shared" si="22"/>
        <v>8.6800000000000002E-2</v>
      </c>
      <c r="EQ23" s="107">
        <f t="shared" si="23"/>
        <v>0.86799999999999999</v>
      </c>
      <c r="ER23" s="107">
        <f t="shared" si="24"/>
        <v>8.6800000000000002E-2</v>
      </c>
      <c r="ES23" s="107">
        <f t="shared" si="25"/>
        <v>0.86799999999999999</v>
      </c>
      <c r="ET23" s="107">
        <f t="shared" si="26"/>
        <v>8.6800000000000002E-2</v>
      </c>
      <c r="EU23" s="107">
        <f t="shared" si="27"/>
        <v>0.86799999999999999</v>
      </c>
      <c r="EV23" s="107">
        <f t="shared" si="28"/>
        <v>8.6800000000000002E-2</v>
      </c>
      <c r="EW23" s="107">
        <v>0.91500000000000004</v>
      </c>
      <c r="EX23" s="107">
        <v>9.1500000000000012E-2</v>
      </c>
      <c r="EY23" s="107">
        <v>0.91500000000000004</v>
      </c>
      <c r="EZ23" s="107">
        <v>9.1500000000000012E-2</v>
      </c>
      <c r="FA23" s="107">
        <v>0.91500000000000004</v>
      </c>
      <c r="FB23" s="107">
        <v>9.1500000000000012E-2</v>
      </c>
      <c r="FC23" s="107">
        <v>0.91500000000000004</v>
      </c>
      <c r="FD23" s="107">
        <v>9.1500000000000012E-2</v>
      </c>
      <c r="FF23" s="1247" t="s">
        <v>326</v>
      </c>
      <c r="FG23" s="107">
        <v>0.86799999999999999</v>
      </c>
      <c r="FH23" s="107">
        <v>8.6800000000000002E-2</v>
      </c>
      <c r="FI23" s="107">
        <v>0.86799999999999999</v>
      </c>
      <c r="FJ23" s="107">
        <v>8.6800000000000002E-2</v>
      </c>
      <c r="FK23" s="107">
        <v>0.86799999999999999</v>
      </c>
      <c r="FL23" s="107">
        <v>8.6800000000000002E-2</v>
      </c>
      <c r="FM23" s="107">
        <v>0.86799999999999999</v>
      </c>
      <c r="FN23" s="107">
        <v>8.6800000000000002E-2</v>
      </c>
      <c r="FQ23" s="107">
        <v>0.86799999999999999</v>
      </c>
      <c r="FR23" s="107">
        <v>8.6800000000000002E-2</v>
      </c>
      <c r="FS23" s="107">
        <v>0.86799999999999999</v>
      </c>
      <c r="FT23" s="107">
        <v>8.6800000000000002E-2</v>
      </c>
      <c r="FU23" s="107">
        <v>0.86799999999999999</v>
      </c>
      <c r="FV23" s="107">
        <v>8.6800000000000002E-2</v>
      </c>
      <c r="FW23" s="107">
        <v>0.86799999999999999</v>
      </c>
      <c r="FX23" s="107">
        <v>8.6800000000000002E-2</v>
      </c>
      <c r="GA23" s="107">
        <v>0.91500000000000004</v>
      </c>
      <c r="GB23" s="107">
        <v>9.1500000000000012E-2</v>
      </c>
      <c r="GC23" s="107">
        <v>0.91500000000000004</v>
      </c>
      <c r="GD23" s="107">
        <v>9.1500000000000012E-2</v>
      </c>
      <c r="GE23" s="107">
        <v>0.91500000000000004</v>
      </c>
      <c r="GF23" s="107">
        <v>9.1500000000000012E-2</v>
      </c>
      <c r="GG23" s="107">
        <v>0.91500000000000004</v>
      </c>
      <c r="GH23" s="107">
        <v>9.1500000000000012E-2</v>
      </c>
    </row>
    <row r="24" spans="2:190" ht="16.5" thickBot="1" x14ac:dyDescent="0.3">
      <c r="D24" s="1598" t="s">
        <v>297</v>
      </c>
      <c r="E24" s="1599"/>
      <c r="F24" s="1599"/>
      <c r="G24" s="1599"/>
      <c r="H24" s="1600"/>
      <c r="I24" s="281"/>
      <c r="J24" s="318" t="s">
        <v>267</v>
      </c>
      <c r="K24" s="1691"/>
      <c r="L24" s="1692"/>
      <c r="M24" s="139"/>
      <c r="N24" s="302"/>
      <c r="O24" s="303"/>
      <c r="P24" s="134"/>
      <c r="Q24" s="135"/>
      <c r="R24" s="374"/>
      <c r="S24" s="382"/>
      <c r="T24" s="304"/>
      <c r="U24" s="304"/>
      <c r="V24" s="136"/>
      <c r="W24" s="254">
        <v>207.59</v>
      </c>
      <c r="X24" s="972">
        <f>i_SE_costs*W24</f>
        <v>41.518000000000001</v>
      </c>
      <c r="Y24" s="453"/>
      <c r="Z24" s="454"/>
      <c r="AA24" s="329"/>
      <c r="AB24" s="304"/>
      <c r="AC24" s="304"/>
      <c r="AD24" s="887"/>
      <c r="AE24" s="312"/>
      <c r="AF24" s="1288"/>
      <c r="AG24" s="312"/>
      <c r="AH24" s="1077"/>
      <c r="AI24" s="1086"/>
      <c r="AJ24" s="1138"/>
      <c r="AK24" s="1248"/>
      <c r="AN24" s="107" t="s">
        <v>279</v>
      </c>
      <c r="AZ24" s="991">
        <v>1</v>
      </c>
      <c r="BA24" s="485" t="str">
        <f>D74</f>
        <v>pembrolizumab</v>
      </c>
      <c r="BB24" s="485" t="s">
        <v>1736</v>
      </c>
      <c r="BC24" s="219">
        <f>BC19</f>
        <v>3</v>
      </c>
      <c r="BD24" s="485" t="str">
        <f>CHOOSE(i_admin_based_on_num,"one-off",J74)</f>
        <v>per cycle</v>
      </c>
      <c r="BE24" s="1342">
        <f>CHOOSE(i_drug_price_options,AG74,AH74)*CHOOSE(i_admin_based_on_num,'Time on treatment'!$L$18,1)</f>
        <v>10520</v>
      </c>
      <c r="BF24" s="1342">
        <f>AG74*CHOOSE(i_admin_based_on_num,'Time on treatment'!$L$18,1)</f>
        <v>10520</v>
      </c>
      <c r="BG24" s="1343">
        <f t="shared" si="29"/>
        <v>0</v>
      </c>
      <c r="BH24" s="466">
        <f>W77*CHOOSE(i_admin_based_on_num,'Time on treatment'!$L$18,1)</f>
        <v>207.59</v>
      </c>
      <c r="BI24" s="825">
        <f>X77*CHOOSE(i_admin_based_on_num,'Time on treatment'!$L$18,1)</f>
        <v>41.518000000000001</v>
      </c>
      <c r="BJ24" s="826">
        <f>AA74</f>
        <v>6</v>
      </c>
      <c r="BK24" s="826">
        <f>AB74</f>
        <v>1</v>
      </c>
      <c r="BL24" s="828">
        <f>$Y$74</f>
        <v>0.98799999999999999</v>
      </c>
      <c r="BM24" s="828">
        <f>$Z$74</f>
        <v>9.8799999999999999E-2</v>
      </c>
      <c r="BN24" s="827">
        <f>AC74</f>
        <v>1</v>
      </c>
      <c r="BO24" s="826">
        <f>CHOOSE(i_admin_based_on_num,1,AD74)</f>
        <v>105</v>
      </c>
      <c r="BP24" s="828">
        <f t="shared" ref="BP24:BP52" si="63">IF(i_sc_RDI_num=1,100%,IF(i_sc_RDI_num=4,CG24,IF(i_sc_RDI_num=5,CK24,EO20)))</f>
        <v>0.98799999999999999</v>
      </c>
      <c r="BQ24" s="828">
        <f t="shared" ref="BQ24:BQ52" si="64">IF(i_sc_RDI_num=2,EP20,i_SE_util*EO20)</f>
        <v>9.8799999999999999E-2</v>
      </c>
      <c r="BR24" s="828">
        <f t="shared" ref="BR24:BR52" si="65">IF(i_sc_RDI_num=1,100%,IF(i_sc_RDI_num=4,CH24,IF(i_sc_RDI_num=5,CK24,EQ20)))</f>
        <v>0.98799999999999999</v>
      </c>
      <c r="BS24" s="828">
        <f t="shared" ref="BS24:BS52" si="66">IF(i_sc_RDI_num=2,ER20,i_SE_util*BR24)</f>
        <v>9.8799999999999999E-2</v>
      </c>
      <c r="BT24" s="828">
        <f t="shared" ref="BT24:BT52" si="67">IF(i_sc_RDI_num=1,100%,IF(i_sc_RDI_num=4,CI24,IF(i_sc_RDI_num=5,CK24,ES20)))</f>
        <v>0.98799999999999999</v>
      </c>
      <c r="BU24" s="828">
        <f t="shared" ref="BU24:BU52" si="68">IF(i_sc_RDI_num=2,ET20,i_SE_util*BT24)</f>
        <v>9.8799999999999999E-2</v>
      </c>
      <c r="BV24" s="828">
        <f t="shared" ref="BV24:BV52" si="69">IF(i_sc_RDI_num=1,100%,IF(i_sc_RDI_num=4,CJ24,IF(i_sc_RDI_num=5,CK24,EU20)))</f>
        <v>0.98799999999999999</v>
      </c>
      <c r="BW24" s="828">
        <f t="shared" ref="BW24:BW52" si="70">IF(i_sc_RDI_num=2,EV20,i_SE_util*BV24)</f>
        <v>9.8799999999999999E-2</v>
      </c>
      <c r="BX24" s="828">
        <f t="shared" ref="BX24:BX52" si="71">IF(i_sc_RDI_num=1,100%,IF(i_sc_RDI_num=4,CG24,IF(i_sc_RDI_num=5,CK24,EW20)))</f>
        <v>0.629</v>
      </c>
      <c r="BY24" s="828">
        <f t="shared" ref="BY24:BY52" si="72">IF(i_sc_RDI_num=2,EX20,i_SE_util*BX24)</f>
        <v>6.2899999999999998E-2</v>
      </c>
      <c r="BZ24" s="828">
        <f t="shared" ref="BZ24:BZ52" si="73">IF(i_sc_RDI_num=1,100%,IF(i_sc_RDI_num=4,CH24,IF(i_sc_RDI_num=5,CK24,EY20)))</f>
        <v>0.629</v>
      </c>
      <c r="CA24" s="828">
        <f t="shared" ref="CA24:CA52" si="74">IF(i_sc_RDI_num=2,EZ20,i_SE_util*BZ24)</f>
        <v>6.2899999999999998E-2</v>
      </c>
      <c r="CB24" s="828">
        <f t="shared" ref="CB24:CB52" si="75">IF(i_sc_RDI_num=1,100%,IF(i_sc_RDI_num=4,CI24,IF(i_sc_RDI_num=5,CK24,FA20)))</f>
        <v>0.629</v>
      </c>
      <c r="CC24" s="828">
        <f t="shared" ref="CC24:CC52" si="76">IF(i_sc_RDI_num=2,FB20,i_SE_util*CB24)</f>
        <v>6.2899999999999998E-2</v>
      </c>
      <c r="CD24" s="828">
        <f t="shared" ref="CD24:CD52" si="77">IF(i_sc_RDI_num=1,100%,IF(i_sc_RDI_num=4,CJ24,IF(i_sc_RDI_num=5,CK24,FC20)))</f>
        <v>0.629</v>
      </c>
      <c r="CE24" s="828">
        <f t="shared" ref="CE24:CE52" si="78">IF(i_sc_RDI_num=2,FD20,i_SE_util*CD24)</f>
        <v>6.2899999999999998E-2</v>
      </c>
      <c r="CF24" s="992"/>
      <c r="CG24" s="824">
        <f t="shared" si="31"/>
        <v>0.98799999999999999</v>
      </c>
      <c r="CH24" s="824">
        <f t="shared" si="15"/>
        <v>9.8799999999999999E-2</v>
      </c>
      <c r="CI24" s="824">
        <f t="shared" si="15"/>
        <v>0.98799999999999999</v>
      </c>
      <c r="CJ24" s="824">
        <f t="shared" si="15"/>
        <v>9.8799999999999999E-2</v>
      </c>
      <c r="CK24" s="824">
        <f t="shared" si="32"/>
        <v>0.98799999999999999</v>
      </c>
      <c r="CL24" s="992"/>
      <c r="CM24" s="475">
        <f t="shared" si="33"/>
        <v>3</v>
      </c>
      <c r="CN24" s="475" t="str">
        <f t="shared" si="41"/>
        <v>pembrolizumab</v>
      </c>
      <c r="CO24" s="825">
        <f>AJ74*CHOOSE(i_admin_based_on_num,'Time on treatment'!$L$18,1)</f>
        <v>1753.3333333333333</v>
      </c>
      <c r="CP24" s="825">
        <f>$CO24*IF(i_sc_RDI_num=1,100%,IF(i_sc_RDI_num=4,CG24,IF(i_sc_RDI_num=5,CK24,CHOOSE(i_sub_txt_prop_num,EO20,EW20))))</f>
        <v>1102.8466666666666</v>
      </c>
      <c r="CQ24" s="825">
        <f t="shared" ref="CQ24:CQ52" si="79">$CO24*IF(i_sc_RDI_num=1,100%,IF(i_sc_RDI_num=4,CH24,IF(i_sc_RDI_num=5,CK24,CHOOSE(i_sub_txt_prop_num,EQ20,EY20))))</f>
        <v>1102.8466666666666</v>
      </c>
      <c r="CR24" s="825">
        <f t="shared" ref="CR24:CR52" si="80">$CO24*IF(i_sc_RDI_num=1,100%,IF(i_sc_RDI_num=4,CI24,IF(i_sc_RDI_num=5,CK24,CHOOSE(i_sub_txt_prop_num,ES20,FA20))))</f>
        <v>1102.8466666666666</v>
      </c>
      <c r="CS24" s="825">
        <f t="shared" ref="CS24:CS52" si="81">$CO24*IF(i_sc_RDI_num=1,100%,IF(i_sc_RDI_num=4,CJ24,IF(i_sc_RDI_num=5,CK24,CHOOSE(i_sub_txt_prop_num,EU20,FC20))))</f>
        <v>1102.8466666666666</v>
      </c>
      <c r="CT24" s="1119"/>
      <c r="CU24" s="1119"/>
      <c r="CV24" s="1119"/>
      <c r="CW24" s="1119"/>
      <c r="CZ24" s="992">
        <v>0.89400000000000002</v>
      </c>
      <c r="DA24" s="1326">
        <v>1</v>
      </c>
      <c r="DB24" s="1326">
        <v>1</v>
      </c>
      <c r="DC24" s="1326">
        <v>1</v>
      </c>
      <c r="DJ24" s="1112"/>
      <c r="DS24" s="219" t="str">
        <v>sorafenib</v>
      </c>
      <c r="DT24" s="466">
        <v>0</v>
      </c>
      <c r="DU24" s="466">
        <v>0</v>
      </c>
      <c r="DV24" s="1124">
        <v>0</v>
      </c>
      <c r="DW24" s="1124">
        <v>0</v>
      </c>
      <c r="DX24" s="1124">
        <v>0</v>
      </c>
      <c r="DY24" s="467">
        <f t="shared" si="36"/>
        <v>0</v>
      </c>
      <c r="DZ24" s="467">
        <f t="shared" si="37"/>
        <v>0</v>
      </c>
      <c r="EA24" s="467">
        <f t="shared" si="38"/>
        <v>0</v>
      </c>
      <c r="EB24" s="1125"/>
      <c r="EN24" s="1244" t="s">
        <v>1196</v>
      </c>
      <c r="EO24" s="107">
        <f t="shared" si="21"/>
        <v>0.84199999999999997</v>
      </c>
      <c r="EP24" s="107">
        <f t="shared" si="22"/>
        <v>8.4199999999999997E-2</v>
      </c>
      <c r="EQ24" s="107">
        <f t="shared" si="23"/>
        <v>0.84199999999999997</v>
      </c>
      <c r="ER24" s="107">
        <f t="shared" si="24"/>
        <v>8.4199999999999997E-2</v>
      </c>
      <c r="ES24" s="107">
        <f t="shared" si="25"/>
        <v>0.84199999999999997</v>
      </c>
      <c r="ET24" s="107">
        <f t="shared" si="26"/>
        <v>8.4199999999999997E-2</v>
      </c>
      <c r="EU24" s="107">
        <f t="shared" si="27"/>
        <v>0.84199999999999997</v>
      </c>
      <c r="EV24" s="107">
        <f t="shared" si="28"/>
        <v>8.4199999999999997E-2</v>
      </c>
      <c r="EW24" s="107">
        <v>0.89400000000000002</v>
      </c>
      <c r="EX24" s="107">
        <v>8.9400000000000007E-2</v>
      </c>
      <c r="EY24" s="107">
        <v>0.89400000000000002</v>
      </c>
      <c r="EZ24" s="107">
        <v>8.9400000000000007E-2</v>
      </c>
      <c r="FA24" s="107">
        <v>0.89400000000000002</v>
      </c>
      <c r="FB24" s="107">
        <v>8.9400000000000007E-2</v>
      </c>
      <c r="FC24" s="107">
        <v>0.89400000000000002</v>
      </c>
      <c r="FD24" s="107">
        <v>8.9400000000000007E-2</v>
      </c>
      <c r="FF24" s="1247" t="s">
        <v>1748</v>
      </c>
      <c r="FG24" s="107">
        <v>0.84199999999999997</v>
      </c>
      <c r="FH24" s="107">
        <v>8.4199999999999997E-2</v>
      </c>
      <c r="FI24" s="107">
        <v>0.84199999999999997</v>
      </c>
      <c r="FJ24" s="107">
        <v>8.4199999999999997E-2</v>
      </c>
      <c r="FK24" s="107">
        <v>0.84199999999999997</v>
      </c>
      <c r="FL24" s="107">
        <v>8.4199999999999997E-2</v>
      </c>
      <c r="FM24" s="107">
        <v>0.84199999999999997</v>
      </c>
      <c r="FN24" s="107">
        <v>8.4199999999999997E-2</v>
      </c>
      <c r="FQ24" s="107">
        <v>0.84199999999999997</v>
      </c>
      <c r="FR24" s="107">
        <v>8.4199999999999997E-2</v>
      </c>
      <c r="FS24" s="107">
        <v>0.84199999999999997</v>
      </c>
      <c r="FT24" s="107">
        <v>8.4199999999999997E-2</v>
      </c>
      <c r="FU24" s="107">
        <v>0.84199999999999997</v>
      </c>
      <c r="FV24" s="107">
        <v>8.4199999999999997E-2</v>
      </c>
      <c r="FW24" s="107">
        <v>0.84199999999999997</v>
      </c>
      <c r="FX24" s="107">
        <v>8.4199999999999997E-2</v>
      </c>
      <c r="GA24" s="107">
        <v>0.89400000000000002</v>
      </c>
      <c r="GB24" s="107">
        <v>8.9400000000000007E-2</v>
      </c>
      <c r="GC24" s="107">
        <v>0.89400000000000002</v>
      </c>
      <c r="GD24" s="107">
        <v>8.9400000000000007E-2</v>
      </c>
      <c r="GE24" s="107">
        <v>0.89400000000000002</v>
      </c>
      <c r="GF24" s="107">
        <v>8.9400000000000007E-2</v>
      </c>
      <c r="GG24" s="107">
        <v>0.89400000000000002</v>
      </c>
      <c r="GH24" s="107">
        <v>8.9400000000000007E-2</v>
      </c>
    </row>
    <row r="25" spans="2:190" ht="15.75" x14ac:dyDescent="0.25">
      <c r="D25" s="1542" t="s">
        <v>298</v>
      </c>
      <c r="E25" s="1603"/>
      <c r="F25" s="1603"/>
      <c r="G25" s="1603"/>
      <c r="H25" s="1604"/>
      <c r="I25" s="112"/>
      <c r="J25" s="197" t="s">
        <v>267</v>
      </c>
      <c r="K25" s="1606">
        <v>1437</v>
      </c>
      <c r="L25" s="1608"/>
      <c r="M25" s="320">
        <v>30</v>
      </c>
      <c r="N25" s="294" t="s">
        <v>299</v>
      </c>
      <c r="O25" s="295">
        <v>10</v>
      </c>
      <c r="P25" s="258" t="s">
        <v>281</v>
      </c>
      <c r="Q25" s="259" t="s">
        <v>74</v>
      </c>
      <c r="R25" s="1314">
        <v>0</v>
      </c>
      <c r="S25" s="1315">
        <f>K25*(1-R25)</f>
        <v>1437</v>
      </c>
      <c r="T25" s="296" t="s">
        <v>282</v>
      </c>
      <c r="U25" s="296" t="s">
        <v>283</v>
      </c>
      <c r="V25" s="260">
        <v>20</v>
      </c>
      <c r="W25" s="325" t="s">
        <v>272</v>
      </c>
      <c r="X25" s="970"/>
      <c r="Y25" s="389"/>
      <c r="Z25" s="442"/>
      <c r="AA25" s="985">
        <f>30/7</f>
        <v>4.2857142857142856</v>
      </c>
      <c r="AB25" s="296">
        <v>1</v>
      </c>
      <c r="AC25" s="296">
        <v>1</v>
      </c>
      <c r="AD25" s="894">
        <f>ROUNDUP(ui_time_horizon*365.25*i_days_to_weeks,0)+1</f>
        <v>2089</v>
      </c>
      <c r="AE25" s="297">
        <f>K25/O25</f>
        <v>143.69999999999999</v>
      </c>
      <c r="AF25" s="1291">
        <f>S25/O25</f>
        <v>143.69999999999999</v>
      </c>
      <c r="AG25" s="1286">
        <f>MIN(AE25:AE26)*V25</f>
        <v>2874</v>
      </c>
      <c r="AH25" s="1360">
        <f>MIN(AF25:AF26)*V25</f>
        <v>2874</v>
      </c>
      <c r="AI25" s="1086"/>
      <c r="AJ25" s="1353">
        <f>CHOOSE(i_drug_price_options,(AG25/$M$25)*7,(AH25/$M$25)*7)</f>
        <v>670.6</v>
      </c>
      <c r="AK25" s="1248"/>
      <c r="AL25" s="122"/>
      <c r="AM25" s="107" t="s">
        <v>300</v>
      </c>
      <c r="AZ25" s="991">
        <v>1</v>
      </c>
      <c r="BA25" s="485" t="str">
        <f>D75</f>
        <v>initial admin for lenvatinib</v>
      </c>
      <c r="BB25" s="485" t="s">
        <v>1735</v>
      </c>
      <c r="BC25" s="219">
        <f>BC24</f>
        <v>3</v>
      </c>
      <c r="BD25" s="485" t="str">
        <f>J75</f>
        <v>one-off</v>
      </c>
      <c r="BE25" s="1232"/>
      <c r="BF25" s="1232"/>
      <c r="BG25" s="1263"/>
      <c r="BH25" s="466">
        <f>W75</f>
        <v>197.25</v>
      </c>
      <c r="BI25" s="825">
        <f>X75</f>
        <v>39.450000000000003</v>
      </c>
      <c r="BJ25" s="816"/>
      <c r="BK25" s="819">
        <f>BK26</f>
        <v>1</v>
      </c>
      <c r="BL25" s="830">
        <f>100%</f>
        <v>1</v>
      </c>
      <c r="BM25" s="830">
        <f>i_SE_util*BL25</f>
        <v>0.1</v>
      </c>
      <c r="BN25" s="816"/>
      <c r="BO25" s="816"/>
      <c r="BP25" s="830">
        <f t="shared" si="63"/>
        <v>1</v>
      </c>
      <c r="BQ25" s="830">
        <f t="shared" si="64"/>
        <v>0.1</v>
      </c>
      <c r="BR25" s="830">
        <f t="shared" si="65"/>
        <v>1</v>
      </c>
      <c r="BS25" s="830">
        <f t="shared" si="66"/>
        <v>0.1</v>
      </c>
      <c r="BT25" s="830">
        <f t="shared" si="67"/>
        <v>1</v>
      </c>
      <c r="BU25" s="830">
        <f t="shared" si="68"/>
        <v>0.1</v>
      </c>
      <c r="BV25" s="830">
        <f t="shared" si="69"/>
        <v>1</v>
      </c>
      <c r="BW25" s="830">
        <f t="shared" si="70"/>
        <v>0.1</v>
      </c>
      <c r="BX25" s="830">
        <f t="shared" si="71"/>
        <v>1</v>
      </c>
      <c r="BY25" s="830">
        <f t="shared" si="72"/>
        <v>0.1</v>
      </c>
      <c r="BZ25" s="830">
        <f t="shared" si="73"/>
        <v>1</v>
      </c>
      <c r="CA25" s="830">
        <f t="shared" si="74"/>
        <v>0.1</v>
      </c>
      <c r="CB25" s="830">
        <f t="shared" si="75"/>
        <v>1</v>
      </c>
      <c r="CC25" s="830">
        <f t="shared" si="76"/>
        <v>0.1</v>
      </c>
      <c r="CD25" s="830">
        <f t="shared" si="77"/>
        <v>1</v>
      </c>
      <c r="CE25" s="830">
        <f t="shared" si="78"/>
        <v>0.1</v>
      </c>
      <c r="CG25" s="824">
        <f t="shared" si="31"/>
        <v>1</v>
      </c>
      <c r="CH25" s="824">
        <f t="shared" si="15"/>
        <v>0.1</v>
      </c>
      <c r="CI25" s="824">
        <f t="shared" si="15"/>
        <v>1</v>
      </c>
      <c r="CJ25" s="824">
        <f t="shared" si="15"/>
        <v>0.1</v>
      </c>
      <c r="CK25" s="824">
        <f t="shared" si="32"/>
        <v>1</v>
      </c>
      <c r="CM25" s="475">
        <f t="shared" si="33"/>
        <v>3</v>
      </c>
      <c r="CN25" s="475" t="str">
        <f>CN19</f>
        <v>lenvatinib</v>
      </c>
      <c r="CO25" s="816"/>
      <c r="CP25" s="825">
        <f t="shared" ref="CP25:CP52" si="82">$CO25*IF(i_sc_RDI_num=1,100%,IF(i_sc_RDI_num=4,CG25,IF(i_sc_RDI_num=5,CK25,CHOOSE(i_sub_txt_prop_num,EO21,EW21))))</f>
        <v>0</v>
      </c>
      <c r="CQ25" s="825">
        <f t="shared" si="79"/>
        <v>0</v>
      </c>
      <c r="CR25" s="825">
        <f t="shared" si="80"/>
        <v>0</v>
      </c>
      <c r="CS25" s="825">
        <f t="shared" si="81"/>
        <v>0</v>
      </c>
      <c r="CT25" s="1119"/>
      <c r="CU25" s="1119"/>
      <c r="CV25" s="1119"/>
      <c r="CW25" s="1119"/>
      <c r="CZ25" s="992" t="str" cm="1">
        <f t="array" ref="CZ25">_xlfn.IFNA(INDEX($EH$30:$EH$69,MATCH(1,($BA29=$ED$30:$ED$69)*(CZ$9=$EE$30:$EE$69),0)),"")</f>
        <v/>
      </c>
      <c r="DA25" s="992" t="str" cm="1">
        <f t="array" ref="DA25">_xlfn.IFNA(INDEX($EH$30:$EH$69,MATCH(1,($BA29=$ED$30:$ED$69)*(DA$9=$EE$30:$EE$69),0)),"")</f>
        <v/>
      </c>
      <c r="DB25" s="992" t="str" cm="1">
        <f t="array" ref="DB25">_xlfn.IFNA(INDEX($EH$30:$EH$69,MATCH(1,($BA29=$ED$30:$ED$69)*(DB$9=$EE$30:$EE$69),0)),"")</f>
        <v/>
      </c>
      <c r="DC25" s="992" t="str" cm="1">
        <f t="array" ref="DC25">_xlfn.IFNA(INDEX($EH$30:$EH$69,MATCH(1,($BA29=$ED$30:$ED$69)*(DC$9=$EE$30:$EE$69),0)),"")</f>
        <v/>
      </c>
      <c r="DJ25" s="1112"/>
      <c r="DS25" s="219" t="str">
        <v>placebo_BSC</v>
      </c>
      <c r="DT25" s="466">
        <v>0</v>
      </c>
      <c r="DU25" s="466">
        <v>0</v>
      </c>
      <c r="DV25" s="1124">
        <v>0</v>
      </c>
      <c r="DW25" s="1124">
        <v>0</v>
      </c>
      <c r="DX25" s="1124">
        <v>0</v>
      </c>
      <c r="DY25" s="467">
        <f t="shared" si="36"/>
        <v>0</v>
      </c>
      <c r="DZ25" s="467">
        <f t="shared" si="37"/>
        <v>0</v>
      </c>
      <c r="EA25" s="467">
        <f t="shared" si="38"/>
        <v>0</v>
      </c>
      <c r="EB25" s="1125"/>
      <c r="EN25" s="1244" t="s">
        <v>1196</v>
      </c>
      <c r="EO25" s="107">
        <f t="shared" si="21"/>
        <v>1</v>
      </c>
      <c r="EP25" s="107">
        <f t="shared" si="22"/>
        <v>0.1</v>
      </c>
      <c r="EQ25" s="107">
        <f t="shared" si="23"/>
        <v>1</v>
      </c>
      <c r="ER25" s="107">
        <f t="shared" si="24"/>
        <v>0.1</v>
      </c>
      <c r="ES25" s="107">
        <f t="shared" si="25"/>
        <v>1</v>
      </c>
      <c r="ET25" s="107">
        <f t="shared" si="26"/>
        <v>0.1</v>
      </c>
      <c r="EU25" s="107">
        <f t="shared" si="27"/>
        <v>1</v>
      </c>
      <c r="EV25" s="107">
        <f t="shared" si="28"/>
        <v>0.1</v>
      </c>
      <c r="EW25" s="1321">
        <v>1</v>
      </c>
      <c r="EX25" s="1321">
        <v>0.1</v>
      </c>
      <c r="EY25" s="1321">
        <v>1</v>
      </c>
      <c r="EZ25" s="1321">
        <v>0.1</v>
      </c>
      <c r="FA25" s="1321">
        <v>1</v>
      </c>
      <c r="FB25" s="1321">
        <v>0.1</v>
      </c>
      <c r="FC25" s="1321">
        <v>1</v>
      </c>
      <c r="FD25" s="1321">
        <v>0.1</v>
      </c>
      <c r="FF25" s="1247" t="s">
        <v>334</v>
      </c>
      <c r="FG25" s="107">
        <v>1</v>
      </c>
      <c r="FH25" s="107">
        <v>0.1</v>
      </c>
      <c r="FI25" s="107">
        <v>1</v>
      </c>
      <c r="FJ25" s="107">
        <v>0.1</v>
      </c>
      <c r="FK25" s="107">
        <v>1</v>
      </c>
      <c r="FL25" s="107">
        <v>0.1</v>
      </c>
      <c r="FM25" s="107">
        <v>1</v>
      </c>
      <c r="FN25" s="107">
        <v>0.1</v>
      </c>
      <c r="FQ25" s="107">
        <v>1</v>
      </c>
      <c r="FR25" s="107">
        <v>0.1</v>
      </c>
      <c r="FS25" s="107">
        <v>1</v>
      </c>
      <c r="FT25" s="107">
        <v>0.1</v>
      </c>
      <c r="FU25" s="107">
        <v>1</v>
      </c>
      <c r="FV25" s="107">
        <v>0.1</v>
      </c>
      <c r="FW25" s="107">
        <v>1</v>
      </c>
      <c r="FX25" s="107">
        <v>0.1</v>
      </c>
      <c r="GA25" s="107">
        <v>1</v>
      </c>
      <c r="GB25" s="107">
        <v>0.1</v>
      </c>
      <c r="GC25" s="107">
        <v>1</v>
      </c>
      <c r="GD25" s="107">
        <v>0.1</v>
      </c>
      <c r="GE25" s="107">
        <v>1</v>
      </c>
      <c r="GF25" s="107">
        <v>0.1</v>
      </c>
      <c r="GG25" s="107">
        <v>1</v>
      </c>
      <c r="GH25" s="107">
        <v>0.1</v>
      </c>
    </row>
    <row r="26" spans="2:190" ht="15.75" x14ac:dyDescent="0.25">
      <c r="D26" s="1551" t="s">
        <v>301</v>
      </c>
      <c r="E26" s="1585"/>
      <c r="F26" s="1585"/>
      <c r="G26" s="1585"/>
      <c r="H26" s="1586"/>
      <c r="I26" s="123"/>
      <c r="J26" s="317" t="s">
        <v>267</v>
      </c>
      <c r="K26" s="1587">
        <v>1437</v>
      </c>
      <c r="L26" s="1588"/>
      <c r="M26" s="321">
        <v>30</v>
      </c>
      <c r="N26" s="290" t="s">
        <v>299</v>
      </c>
      <c r="O26" s="291">
        <v>4</v>
      </c>
      <c r="P26" s="126" t="s">
        <v>281</v>
      </c>
      <c r="Q26" s="127" t="s">
        <v>74</v>
      </c>
      <c r="R26" s="1316">
        <v>0</v>
      </c>
      <c r="S26" s="1317">
        <f>K26*(1-R26)</f>
        <v>1437</v>
      </c>
      <c r="T26" s="276" t="s">
        <v>282</v>
      </c>
      <c r="U26" s="276"/>
      <c r="V26" s="128">
        <v>20</v>
      </c>
      <c r="W26" s="326"/>
      <c r="X26" s="779"/>
      <c r="Y26" s="390"/>
      <c r="Z26" s="443"/>
      <c r="AA26" s="778">
        <f>30/7</f>
        <v>4.2857142857142856</v>
      </c>
      <c r="AB26" s="276">
        <v>1</v>
      </c>
      <c r="AC26" s="276">
        <v>1</v>
      </c>
      <c r="AD26" s="886">
        <f>ROUNDUP(ui_time_horizon*365.25*i_days_to_weeks,0)+1</f>
        <v>2089</v>
      </c>
      <c r="AE26" s="1285">
        <f>K26/O26</f>
        <v>359.25</v>
      </c>
      <c r="AF26" s="1290">
        <f>S26/O26</f>
        <v>359.25</v>
      </c>
      <c r="AG26" s="292"/>
      <c r="AH26" s="1073"/>
      <c r="AI26" s="1086"/>
      <c r="AJ26" s="1353">
        <f>AJ25</f>
        <v>670.6</v>
      </c>
      <c r="AK26" s="1248"/>
      <c r="AZ26" s="991">
        <v>1</v>
      </c>
      <c r="BA26" s="485" t="str">
        <f>D76</f>
        <v>subsequent admin for lenvatinib</v>
      </c>
      <c r="BB26" s="485" t="s">
        <v>1735</v>
      </c>
      <c r="BC26" s="219">
        <f>BC25</f>
        <v>3</v>
      </c>
      <c r="BD26" s="485" t="str">
        <f>J76</f>
        <v>per cycle</v>
      </c>
      <c r="BE26" s="1232"/>
      <c r="BF26" s="1232"/>
      <c r="BG26" s="1263"/>
      <c r="BH26" s="466">
        <f>W76</f>
        <v>11</v>
      </c>
      <c r="BI26" s="825">
        <f>X76</f>
        <v>2.2000000000000002</v>
      </c>
      <c r="BJ26" s="819">
        <f>BJ19</f>
        <v>2</v>
      </c>
      <c r="BK26" s="819">
        <f>BK19</f>
        <v>1</v>
      </c>
      <c r="BL26" s="830">
        <f>$BL$19</f>
        <v>1</v>
      </c>
      <c r="BM26" s="830">
        <f>$BM$19</f>
        <v>0.1</v>
      </c>
      <c r="BN26" s="819">
        <f>BN19+BJ26</f>
        <v>3</v>
      </c>
      <c r="BO26" s="816">
        <v>2089</v>
      </c>
      <c r="BP26" s="830">
        <f t="shared" si="63"/>
        <v>1</v>
      </c>
      <c r="BQ26" s="830">
        <f t="shared" si="64"/>
        <v>0.1</v>
      </c>
      <c r="BR26" s="830">
        <f t="shared" si="65"/>
        <v>1</v>
      </c>
      <c r="BS26" s="830">
        <f t="shared" si="66"/>
        <v>0.1</v>
      </c>
      <c r="BT26" s="830">
        <f t="shared" si="67"/>
        <v>1</v>
      </c>
      <c r="BU26" s="830">
        <f t="shared" si="68"/>
        <v>0.1</v>
      </c>
      <c r="BV26" s="830">
        <f t="shared" si="69"/>
        <v>1</v>
      </c>
      <c r="BW26" s="830">
        <f t="shared" si="70"/>
        <v>0.1</v>
      </c>
      <c r="BX26" s="830">
        <f t="shared" si="71"/>
        <v>1</v>
      </c>
      <c r="BY26" s="830">
        <f t="shared" si="72"/>
        <v>0.1</v>
      </c>
      <c r="BZ26" s="830">
        <f t="shared" si="73"/>
        <v>1</v>
      </c>
      <c r="CA26" s="830">
        <f t="shared" si="74"/>
        <v>0.1</v>
      </c>
      <c r="CB26" s="830">
        <f t="shared" si="75"/>
        <v>1</v>
      </c>
      <c r="CC26" s="830">
        <f t="shared" si="76"/>
        <v>0.1</v>
      </c>
      <c r="CD26" s="830">
        <f t="shared" si="77"/>
        <v>1</v>
      </c>
      <c r="CE26" s="830">
        <f t="shared" si="78"/>
        <v>0.1</v>
      </c>
      <c r="CF26" s="992"/>
      <c r="CG26" s="824">
        <f t="shared" si="31"/>
        <v>1</v>
      </c>
      <c r="CH26" s="824">
        <f t="shared" si="15"/>
        <v>0.1</v>
      </c>
      <c r="CI26" s="824">
        <f t="shared" si="15"/>
        <v>1</v>
      </c>
      <c r="CJ26" s="824">
        <f t="shared" si="15"/>
        <v>0.1</v>
      </c>
      <c r="CK26" s="824">
        <f t="shared" si="32"/>
        <v>1</v>
      </c>
      <c r="CL26" s="992"/>
      <c r="CM26" s="475">
        <f t="shared" si="33"/>
        <v>3</v>
      </c>
      <c r="CN26" s="475" t="str">
        <f>CN25</f>
        <v>lenvatinib</v>
      </c>
      <c r="CO26" s="816"/>
      <c r="CP26" s="825">
        <f t="shared" si="82"/>
        <v>0</v>
      </c>
      <c r="CQ26" s="825">
        <f t="shared" si="79"/>
        <v>0</v>
      </c>
      <c r="CR26" s="825">
        <f t="shared" si="80"/>
        <v>0</v>
      </c>
      <c r="CS26" s="825">
        <f t="shared" si="81"/>
        <v>0</v>
      </c>
      <c r="CT26" s="1119"/>
      <c r="CU26" s="1119"/>
      <c r="CV26" s="1119"/>
      <c r="CW26" s="1119"/>
      <c r="CZ26" s="992" t="str" cm="1">
        <f t="array" ref="CZ26">_xlfn.IFNA(INDEX($EH$30:$EH$69,MATCH(1,($BA30=$ED$30:$ED$69)*(CZ$9=$EE$30:$EE$69),0)),"")</f>
        <v/>
      </c>
      <c r="DA26" s="992" t="str" cm="1">
        <f t="array" ref="DA26">_xlfn.IFNA(INDEX($EH$30:$EH$69,MATCH(1,($BA30=$ED$30:$ED$69)*(DA$9=$EE$30:$EE$69),0)),"")</f>
        <v/>
      </c>
      <c r="DB26" s="992" t="str" cm="1">
        <f t="array" ref="DB26">_xlfn.IFNA(INDEX($EH$30:$EH$69,MATCH(1,($BA30=$ED$30:$ED$69)*(DB$9=$EE$30:$EE$69),0)),"")</f>
        <v/>
      </c>
      <c r="DC26" s="992" t="str" cm="1">
        <f t="array" ref="DC26">_xlfn.IFNA(INDEX($EH$30:$EH$69,MATCH(1,($BA30=$ED$30:$ED$69)*(DC$9=$EE$30:$EE$69),0)),"")</f>
        <v/>
      </c>
      <c r="DJ26" s="1112"/>
      <c r="EN26" s="1244" t="s">
        <v>1196</v>
      </c>
      <c r="EO26" s="107">
        <f t="shared" si="21"/>
        <v>0.84199999999999997</v>
      </c>
      <c r="EP26" s="107">
        <f t="shared" si="22"/>
        <v>8.4199999999999997E-2</v>
      </c>
      <c r="EQ26" s="107">
        <f t="shared" si="23"/>
        <v>0.84199999999999997</v>
      </c>
      <c r="ER26" s="107">
        <f t="shared" si="24"/>
        <v>8.4199999999999997E-2</v>
      </c>
      <c r="ES26" s="107">
        <f t="shared" si="25"/>
        <v>0.84199999999999997</v>
      </c>
      <c r="ET26" s="107">
        <f t="shared" si="26"/>
        <v>8.4199999999999997E-2</v>
      </c>
      <c r="EU26" s="107">
        <f t="shared" si="27"/>
        <v>0.84199999999999997</v>
      </c>
      <c r="EV26" s="107">
        <f t="shared" si="28"/>
        <v>8.4199999999999997E-2</v>
      </c>
      <c r="EW26" s="1321">
        <v>0.89400000000000002</v>
      </c>
      <c r="EX26" s="1321">
        <v>8.9400000000000007E-2</v>
      </c>
      <c r="EY26" s="1321">
        <v>0.89400000000000002</v>
      </c>
      <c r="EZ26" s="1321">
        <v>8.9400000000000007E-2</v>
      </c>
      <c r="FA26" s="1321">
        <v>0.89400000000000002</v>
      </c>
      <c r="FB26" s="1321">
        <v>8.9400000000000007E-2</v>
      </c>
      <c r="FC26" s="1321">
        <v>0.89400000000000002</v>
      </c>
      <c r="FD26" s="1321">
        <v>8.9400000000000007E-2</v>
      </c>
      <c r="FF26" s="1247" t="s">
        <v>335</v>
      </c>
      <c r="FG26" s="107">
        <v>0.84199999999999997</v>
      </c>
      <c r="FH26" s="107">
        <v>8.4199999999999997E-2</v>
      </c>
      <c r="FI26" s="107">
        <v>0.84199999999999997</v>
      </c>
      <c r="FJ26" s="107">
        <v>8.4199999999999997E-2</v>
      </c>
      <c r="FK26" s="107">
        <v>0.84199999999999997</v>
      </c>
      <c r="FL26" s="107">
        <v>8.4199999999999997E-2</v>
      </c>
      <c r="FM26" s="107">
        <v>0.84199999999999997</v>
      </c>
      <c r="FN26" s="107">
        <v>8.4199999999999997E-2</v>
      </c>
      <c r="FQ26" s="107">
        <v>0.84199999999999997</v>
      </c>
      <c r="FR26" s="107">
        <v>8.4199999999999997E-2</v>
      </c>
      <c r="FS26" s="107">
        <v>0.84199999999999997</v>
      </c>
      <c r="FT26" s="107">
        <v>8.4199999999999997E-2</v>
      </c>
      <c r="FU26" s="107">
        <v>0.84199999999999997</v>
      </c>
      <c r="FV26" s="107">
        <v>8.4199999999999997E-2</v>
      </c>
      <c r="FW26" s="107">
        <v>0.84199999999999997</v>
      </c>
      <c r="FX26" s="107">
        <v>8.4199999999999997E-2</v>
      </c>
      <c r="GA26" s="107">
        <v>0.89400000000000002</v>
      </c>
      <c r="GB26" s="107">
        <v>8.9400000000000007E-2</v>
      </c>
      <c r="GC26" s="107">
        <v>0.89400000000000002</v>
      </c>
      <c r="GD26" s="107">
        <v>8.9400000000000007E-2</v>
      </c>
      <c r="GE26" s="107">
        <v>0.89400000000000002</v>
      </c>
      <c r="GF26" s="107">
        <v>8.9400000000000007E-2</v>
      </c>
      <c r="GG26" s="107">
        <v>0.89400000000000002</v>
      </c>
      <c r="GH26" s="107">
        <v>8.9400000000000007E-2</v>
      </c>
    </row>
    <row r="27" spans="2:190" ht="15.75" x14ac:dyDescent="0.25">
      <c r="D27" s="1551" t="s">
        <v>302</v>
      </c>
      <c r="E27" s="1585"/>
      <c r="F27" s="1585"/>
      <c r="G27" s="1585"/>
      <c r="H27" s="1586"/>
      <c r="I27" s="123"/>
      <c r="J27" s="317" t="s">
        <v>287</v>
      </c>
      <c r="K27" s="1573"/>
      <c r="L27" s="1574"/>
      <c r="M27" s="321"/>
      <c r="N27" s="290"/>
      <c r="O27" s="291"/>
      <c r="P27" s="126"/>
      <c r="Q27" s="127"/>
      <c r="R27" s="373"/>
      <c r="S27" s="381"/>
      <c r="T27" s="313"/>
      <c r="U27" s="276"/>
      <c r="V27" s="128"/>
      <c r="W27" s="253">
        <v>197.25</v>
      </c>
      <c r="X27" s="342">
        <f>i_SE_costs*W27</f>
        <v>39.450000000000003</v>
      </c>
      <c r="Y27" s="449"/>
      <c r="Z27" s="450"/>
      <c r="AA27" s="328"/>
      <c r="AB27" s="276"/>
      <c r="AC27" s="276"/>
      <c r="AD27" s="886"/>
      <c r="AE27" s="293"/>
      <c r="AF27" s="398"/>
      <c r="AG27" s="293"/>
      <c r="AH27" s="1073"/>
      <c r="AI27" s="1086"/>
      <c r="AJ27" s="1138"/>
      <c r="AK27" s="1248"/>
      <c r="AN27" s="107" t="s">
        <v>288</v>
      </c>
      <c r="AZ27" s="991">
        <v>2</v>
      </c>
      <c r="BA27" s="485" t="str">
        <f>D56</f>
        <v>avelumab</v>
      </c>
      <c r="BB27" s="485" t="s">
        <v>1737</v>
      </c>
      <c r="BC27" s="485">
        <f>I55</f>
        <v>4</v>
      </c>
      <c r="BD27" s="485" t="str">
        <f>J56</f>
        <v>per cycle</v>
      </c>
      <c r="BE27" s="1342">
        <f>CHOOSE(i_drug_price_options,AG56,AH56)</f>
        <v>3072</v>
      </c>
      <c r="BF27" s="1342">
        <f>AG56</f>
        <v>3072</v>
      </c>
      <c r="BG27" s="1343">
        <f t="shared" si="29"/>
        <v>0</v>
      </c>
      <c r="BH27" s="479">
        <f>W58</f>
        <v>207.59</v>
      </c>
      <c r="BI27" s="831">
        <f>X58</f>
        <v>41.518000000000001</v>
      </c>
      <c r="BJ27" s="827">
        <f>AA56</f>
        <v>2</v>
      </c>
      <c r="BK27" s="827">
        <f>AB56</f>
        <v>1</v>
      </c>
      <c r="BL27" s="828">
        <f>$Y$56</f>
        <v>0.86799999999999999</v>
      </c>
      <c r="BM27" s="828">
        <f>$Z$56</f>
        <v>8.6800000000000002E-2</v>
      </c>
      <c r="BN27" s="827">
        <f>AC56</f>
        <v>1</v>
      </c>
      <c r="BO27" s="827">
        <f>AD56</f>
        <v>2089</v>
      </c>
      <c r="BP27" s="828">
        <f t="shared" si="63"/>
        <v>0.86799999999999999</v>
      </c>
      <c r="BQ27" s="828">
        <f t="shared" si="64"/>
        <v>8.6800000000000002E-2</v>
      </c>
      <c r="BR27" s="828">
        <f t="shared" si="65"/>
        <v>0.86799999999999999</v>
      </c>
      <c r="BS27" s="828">
        <f t="shared" si="66"/>
        <v>8.6800000000000002E-2</v>
      </c>
      <c r="BT27" s="828">
        <f t="shared" si="67"/>
        <v>0.86799999999999999</v>
      </c>
      <c r="BU27" s="828">
        <f t="shared" si="68"/>
        <v>8.6800000000000002E-2</v>
      </c>
      <c r="BV27" s="828">
        <f t="shared" si="69"/>
        <v>0.86799999999999999</v>
      </c>
      <c r="BW27" s="828">
        <f t="shared" si="70"/>
        <v>8.6800000000000002E-2</v>
      </c>
      <c r="BX27" s="828">
        <f t="shared" si="71"/>
        <v>0.91500000000000004</v>
      </c>
      <c r="BY27" s="828">
        <f t="shared" si="72"/>
        <v>9.1500000000000012E-2</v>
      </c>
      <c r="BZ27" s="828">
        <f t="shared" si="73"/>
        <v>0.91500000000000004</v>
      </c>
      <c r="CA27" s="828">
        <f t="shared" si="74"/>
        <v>9.1500000000000012E-2</v>
      </c>
      <c r="CB27" s="828">
        <f t="shared" si="75"/>
        <v>0.91500000000000004</v>
      </c>
      <c r="CC27" s="828">
        <f t="shared" si="76"/>
        <v>9.1500000000000012E-2</v>
      </c>
      <c r="CD27" s="828">
        <f t="shared" si="77"/>
        <v>0.91500000000000004</v>
      </c>
      <c r="CE27" s="828">
        <f t="shared" si="78"/>
        <v>9.1500000000000012E-2</v>
      </c>
      <c r="CF27" s="992"/>
      <c r="CG27" s="824">
        <f t="shared" si="31"/>
        <v>0.86799999999999999</v>
      </c>
      <c r="CH27" s="824">
        <f t="shared" ref="CH27:CH52" si="83">BQ27</f>
        <v>8.6800000000000002E-2</v>
      </c>
      <c r="CI27" s="824">
        <f t="shared" ref="CI27:CI52" si="84">BR27</f>
        <v>0.86799999999999999</v>
      </c>
      <c r="CJ27" s="824">
        <f t="shared" ref="CJ27:CJ52" si="85">BS27</f>
        <v>8.6800000000000002E-2</v>
      </c>
      <c r="CK27" s="824">
        <f t="shared" si="32"/>
        <v>0.86799999999999999</v>
      </c>
      <c r="CL27" s="992"/>
      <c r="CM27" s="475">
        <f t="shared" si="33"/>
        <v>4</v>
      </c>
      <c r="CN27" s="475" t="str">
        <f t="shared" si="41"/>
        <v>avelumab</v>
      </c>
      <c r="CO27" s="825">
        <f>AJ56</f>
        <v>1536</v>
      </c>
      <c r="CP27" s="825">
        <f t="shared" si="82"/>
        <v>1405.44</v>
      </c>
      <c r="CQ27" s="825">
        <f t="shared" si="79"/>
        <v>1405.44</v>
      </c>
      <c r="CR27" s="825">
        <f t="shared" si="80"/>
        <v>1405.44</v>
      </c>
      <c r="CS27" s="825">
        <f t="shared" si="81"/>
        <v>1405.44</v>
      </c>
      <c r="CT27" s="1119"/>
      <c r="CU27" s="1119"/>
      <c r="CV27" s="1119"/>
      <c r="CW27" s="1119"/>
      <c r="CZ27" s="1326" cm="1">
        <f t="array" ref="CZ27">_xlfn.IFNA(INDEX($EH$30:$EH$69,MATCH(1,($BA31=$ED$30:$ED$69)*(CZ$9=$EE$30:$EE$69),0)),"")</f>
        <v>0.88</v>
      </c>
      <c r="DA27" s="1326" cm="1">
        <f t="array" ref="DA27">_xlfn.IFNA(INDEX($EH$30:$EH$69,MATCH(1,($BA31=$ED$30:$ED$69)*(DA$9=$EE$30:$EE$69),0)),"")</f>
        <v>0.85699999999999998</v>
      </c>
      <c r="DB27" s="1326" cm="1">
        <f t="array" ref="DB27">_xlfn.IFNA(INDEX($EH$30:$EH$69,MATCH(1,($BA31=$ED$30:$ED$69)*(DB$9=$EE$30:$EE$69),0)),"")</f>
        <v>0.75</v>
      </c>
      <c r="DC27" s="1326">
        <f>DB27</f>
        <v>0.75</v>
      </c>
      <c r="DJ27" s="1110"/>
      <c r="EN27" s="1244" t="s">
        <v>1187</v>
      </c>
      <c r="EO27" s="107">
        <f t="shared" si="21"/>
        <v>0.86</v>
      </c>
      <c r="EP27" s="107">
        <f t="shared" si="22"/>
        <v>8.6000000000000007E-2</v>
      </c>
      <c r="EQ27" s="107">
        <f t="shared" si="23"/>
        <v>0.86</v>
      </c>
      <c r="ER27" s="107">
        <f t="shared" si="24"/>
        <v>8.6000000000000007E-2</v>
      </c>
      <c r="ES27" s="107">
        <f t="shared" si="25"/>
        <v>0.86</v>
      </c>
      <c r="ET27" s="107">
        <f t="shared" si="26"/>
        <v>8.6000000000000007E-2</v>
      </c>
      <c r="EU27" s="107">
        <f t="shared" si="27"/>
        <v>0.86</v>
      </c>
      <c r="EV27" s="107">
        <f t="shared" si="28"/>
        <v>8.6000000000000007E-2</v>
      </c>
      <c r="EW27" s="1321">
        <v>0.88</v>
      </c>
      <c r="EX27" s="1321">
        <v>8.8000000000000009E-2</v>
      </c>
      <c r="EY27" s="1321">
        <v>0.85699999999999998</v>
      </c>
      <c r="EZ27" s="1321">
        <v>8.5699999999999998E-2</v>
      </c>
      <c r="FA27" s="1321">
        <v>0.75</v>
      </c>
      <c r="FB27" s="1321">
        <v>7.5000000000000011E-2</v>
      </c>
      <c r="FC27" s="1321">
        <v>0.75</v>
      </c>
      <c r="FD27" s="1321">
        <v>7.5000000000000011E-2</v>
      </c>
      <c r="FF27" s="1247" t="s">
        <v>585</v>
      </c>
      <c r="FG27" s="107">
        <v>0.86</v>
      </c>
      <c r="FH27" s="107">
        <v>8.6000000000000007E-2</v>
      </c>
      <c r="FI27" s="107">
        <v>0.86</v>
      </c>
      <c r="FJ27" s="107">
        <v>8.6000000000000007E-2</v>
      </c>
      <c r="FK27" s="107">
        <v>0.86</v>
      </c>
      <c r="FL27" s="107">
        <v>8.6000000000000007E-2</v>
      </c>
      <c r="FM27" s="107">
        <v>0.86</v>
      </c>
      <c r="FN27" s="107">
        <v>8.6000000000000007E-2</v>
      </c>
      <c r="FQ27" s="107">
        <v>0.86</v>
      </c>
      <c r="FR27" s="107">
        <v>8.6000000000000007E-2</v>
      </c>
      <c r="FS27" s="107">
        <v>0.86</v>
      </c>
      <c r="FT27" s="107">
        <v>8.6000000000000007E-2</v>
      </c>
      <c r="FU27" s="107">
        <v>0.86</v>
      </c>
      <c r="FV27" s="107">
        <v>8.6000000000000007E-2</v>
      </c>
      <c r="FW27" s="107">
        <v>0.86</v>
      </c>
      <c r="FX27" s="107">
        <v>8.6000000000000007E-2</v>
      </c>
      <c r="GA27" s="107">
        <v>0.86</v>
      </c>
      <c r="GB27" s="107">
        <v>8.6000000000000007E-2</v>
      </c>
      <c r="GC27" s="107">
        <v>0.86</v>
      </c>
      <c r="GD27" s="107">
        <v>8.6000000000000007E-2</v>
      </c>
      <c r="GE27" s="107">
        <v>0.86</v>
      </c>
      <c r="GF27" s="107">
        <v>8.6000000000000007E-2</v>
      </c>
      <c r="GG27" s="107">
        <v>0.86</v>
      </c>
      <c r="GH27" s="107">
        <v>8.6000000000000007E-2</v>
      </c>
    </row>
    <row r="28" spans="2:190" ht="16.5" thickBot="1" x14ac:dyDescent="0.3">
      <c r="D28" s="1553" t="s">
        <v>303</v>
      </c>
      <c r="E28" s="1589"/>
      <c r="F28" s="1589"/>
      <c r="G28" s="1589"/>
      <c r="H28" s="1590"/>
      <c r="I28" s="141"/>
      <c r="J28" s="319" t="s">
        <v>267</v>
      </c>
      <c r="K28" s="1568"/>
      <c r="L28" s="1569"/>
      <c r="M28" s="322"/>
      <c r="N28" s="298"/>
      <c r="O28" s="299"/>
      <c r="P28" s="144"/>
      <c r="Q28" s="145"/>
      <c r="R28" s="375"/>
      <c r="S28" s="383"/>
      <c r="T28" s="314"/>
      <c r="U28" s="300"/>
      <c r="V28" s="146"/>
      <c r="W28" s="255">
        <v>11</v>
      </c>
      <c r="X28" s="972">
        <f>i_SE_costs*W28</f>
        <v>2.2000000000000002</v>
      </c>
      <c r="Y28" s="451"/>
      <c r="Z28" s="452"/>
      <c r="AA28" s="330"/>
      <c r="AB28" s="300"/>
      <c r="AC28" s="300"/>
      <c r="AD28" s="888"/>
      <c r="AE28" s="307"/>
      <c r="AF28" s="400"/>
      <c r="AG28" s="307"/>
      <c r="AH28" s="1078"/>
      <c r="AI28" s="1086"/>
      <c r="AJ28" s="1138"/>
      <c r="AK28" s="1248"/>
      <c r="AZ28" s="991">
        <v>2</v>
      </c>
      <c r="BA28" s="485" t="str">
        <f>D57&amp;BC28</f>
        <v>axitinib4</v>
      </c>
      <c r="BB28" s="485" t="s">
        <v>1196</v>
      </c>
      <c r="BC28" s="219">
        <f>$BC$27</f>
        <v>4</v>
      </c>
      <c r="BD28" s="219" t="str">
        <f>J57</f>
        <v>per cycle</v>
      </c>
      <c r="BE28" s="1342">
        <f>CHOOSE(i_drug_price_options,AG57,AH57)</f>
        <v>3517</v>
      </c>
      <c r="BF28" s="1342">
        <f>AG57</f>
        <v>3517</v>
      </c>
      <c r="BG28" s="1343">
        <f t="shared" si="29"/>
        <v>0</v>
      </c>
      <c r="BH28" s="219"/>
      <c r="BI28" s="816"/>
      <c r="BJ28" s="827">
        <f>AA57</f>
        <v>4</v>
      </c>
      <c r="BK28" s="827">
        <f>AB57</f>
        <v>1</v>
      </c>
      <c r="BL28" s="828">
        <f>$Y$57</f>
        <v>0.84200000000000008</v>
      </c>
      <c r="BM28" s="828">
        <f>$Z$57</f>
        <v>8.4200000000000011E-2</v>
      </c>
      <c r="BN28" s="827">
        <f>AC57</f>
        <v>1</v>
      </c>
      <c r="BO28" s="827">
        <f>AD57</f>
        <v>2089</v>
      </c>
      <c r="BP28" s="828">
        <f t="shared" si="63"/>
        <v>0.84199999999999997</v>
      </c>
      <c r="BQ28" s="828">
        <f t="shared" si="64"/>
        <v>8.4199999999999997E-2</v>
      </c>
      <c r="BR28" s="828">
        <f t="shared" si="65"/>
        <v>0.84199999999999997</v>
      </c>
      <c r="BS28" s="828">
        <f t="shared" si="66"/>
        <v>8.4199999999999997E-2</v>
      </c>
      <c r="BT28" s="828">
        <f t="shared" si="67"/>
        <v>0.84199999999999997</v>
      </c>
      <c r="BU28" s="828">
        <f t="shared" si="68"/>
        <v>8.4199999999999997E-2</v>
      </c>
      <c r="BV28" s="828">
        <f t="shared" si="69"/>
        <v>0.84199999999999997</v>
      </c>
      <c r="BW28" s="828">
        <f t="shared" si="70"/>
        <v>8.4199999999999997E-2</v>
      </c>
      <c r="BX28" s="828">
        <f t="shared" si="71"/>
        <v>0.89400000000000002</v>
      </c>
      <c r="BY28" s="828">
        <f t="shared" si="72"/>
        <v>8.9400000000000007E-2</v>
      </c>
      <c r="BZ28" s="828">
        <f t="shared" si="73"/>
        <v>0.89400000000000002</v>
      </c>
      <c r="CA28" s="828">
        <f t="shared" si="74"/>
        <v>8.9400000000000007E-2</v>
      </c>
      <c r="CB28" s="828">
        <f t="shared" si="75"/>
        <v>0.89400000000000002</v>
      </c>
      <c r="CC28" s="828">
        <f t="shared" si="76"/>
        <v>8.9400000000000007E-2</v>
      </c>
      <c r="CD28" s="828">
        <f t="shared" si="77"/>
        <v>0.89400000000000002</v>
      </c>
      <c r="CE28" s="828">
        <f t="shared" si="78"/>
        <v>8.9400000000000007E-2</v>
      </c>
      <c r="CF28" s="992"/>
      <c r="CG28" s="824">
        <f t="shared" si="31"/>
        <v>0.84199999999999997</v>
      </c>
      <c r="CH28" s="824">
        <f t="shared" si="83"/>
        <v>8.4199999999999997E-2</v>
      </c>
      <c r="CI28" s="824">
        <f t="shared" si="84"/>
        <v>0.84199999999999997</v>
      </c>
      <c r="CJ28" s="824">
        <f t="shared" si="85"/>
        <v>8.4199999999999997E-2</v>
      </c>
      <c r="CK28" s="824">
        <f t="shared" si="32"/>
        <v>0.84199999999999997</v>
      </c>
      <c r="CL28" s="992"/>
      <c r="CM28" s="475">
        <f t="shared" si="33"/>
        <v>4</v>
      </c>
      <c r="CN28" s="475" t="s">
        <v>327</v>
      </c>
      <c r="CO28" s="825">
        <f>AJ57</f>
        <v>879.25</v>
      </c>
      <c r="CP28" s="825">
        <f t="shared" si="82"/>
        <v>786.04949999999997</v>
      </c>
      <c r="CQ28" s="825">
        <f t="shared" si="79"/>
        <v>786.04949999999997</v>
      </c>
      <c r="CR28" s="825">
        <f t="shared" si="80"/>
        <v>786.04949999999997</v>
      </c>
      <c r="CS28" s="825">
        <f t="shared" si="81"/>
        <v>786.04949999999997</v>
      </c>
      <c r="CT28" s="1119"/>
      <c r="CU28" s="1119"/>
      <c r="CV28" s="1119"/>
      <c r="CW28" s="1119"/>
      <c r="CZ28" s="993" t="str" cm="1">
        <f t="array" ref="CZ28">_xlfn.IFNA(INDEX($EH$30:$EH$69,MATCH(1,($BA32=$ED$30:$ED$69)*(CZ$9=$EE$30:$EE$69),0)),"")</f>
        <v/>
      </c>
      <c r="DA28" s="993" t="str" cm="1">
        <f t="array" ref="DA28">_xlfn.IFNA(INDEX($EH$30:$EH$69,MATCH(1,($BA32=$ED$30:$ED$69)*(DA$9=$EE$30:$EE$69),0)),"")</f>
        <v/>
      </c>
      <c r="DB28" s="993" t="str" cm="1">
        <f t="array" ref="DB28">_xlfn.IFNA(INDEX($EH$30:$EH$69,MATCH(1,($BA32=$ED$30:$ED$69)*(DB$9=$EE$30:$EE$69),0)),"")</f>
        <v/>
      </c>
      <c r="DC28" s="993" t="str" cm="1">
        <f t="array" ref="DC28">_xlfn.IFNA(INDEX($EH$30:$EH$69,MATCH(1,($BA32=$ED$30:$ED$69)*(DC$9=$EE$30:$EE$69),0)),"")</f>
        <v/>
      </c>
      <c r="DJ28" s="1110"/>
      <c r="EN28" s="1244" t="s">
        <v>1187</v>
      </c>
      <c r="EO28" s="107">
        <f t="shared" si="21"/>
        <v>1</v>
      </c>
      <c r="EP28" s="107">
        <f t="shared" si="22"/>
        <v>0.1</v>
      </c>
      <c r="EQ28" s="107">
        <f t="shared" si="23"/>
        <v>1</v>
      </c>
      <c r="ER28" s="107">
        <f t="shared" si="24"/>
        <v>0.1</v>
      </c>
      <c r="ES28" s="107">
        <f t="shared" si="25"/>
        <v>1</v>
      </c>
      <c r="ET28" s="107">
        <f t="shared" si="26"/>
        <v>0.1</v>
      </c>
      <c r="EU28" s="107">
        <f t="shared" si="27"/>
        <v>1</v>
      </c>
      <c r="EV28" s="107">
        <f t="shared" si="28"/>
        <v>0.1</v>
      </c>
      <c r="EW28" s="1321">
        <v>1</v>
      </c>
      <c r="EX28" s="1321"/>
      <c r="EY28" s="1321">
        <v>1</v>
      </c>
      <c r="EZ28" s="1321">
        <v>0.1</v>
      </c>
      <c r="FA28" s="1321">
        <v>1</v>
      </c>
      <c r="FB28" s="1321">
        <v>0.1</v>
      </c>
      <c r="FC28" s="1321">
        <v>1</v>
      </c>
      <c r="FD28" s="1321">
        <v>0.1</v>
      </c>
      <c r="FF28" s="1247" t="s">
        <v>315</v>
      </c>
      <c r="FG28" s="107">
        <v>1</v>
      </c>
      <c r="FH28" s="107">
        <v>0.1</v>
      </c>
      <c r="FI28" s="107">
        <v>1</v>
      </c>
      <c r="FJ28" s="107">
        <v>0.1</v>
      </c>
      <c r="FK28" s="107">
        <v>1</v>
      </c>
      <c r="FL28" s="107">
        <v>0.1</v>
      </c>
      <c r="FM28" s="107">
        <v>1</v>
      </c>
      <c r="FN28" s="107">
        <v>0.1</v>
      </c>
      <c r="FQ28" s="107">
        <v>1</v>
      </c>
      <c r="FR28" s="107">
        <v>0.1</v>
      </c>
      <c r="FS28" s="107">
        <v>1</v>
      </c>
      <c r="FT28" s="107">
        <v>0.1</v>
      </c>
      <c r="FU28" s="107">
        <v>1</v>
      </c>
      <c r="FV28" s="107">
        <v>0.1</v>
      </c>
      <c r="FW28" s="107">
        <v>1</v>
      </c>
      <c r="FX28" s="107">
        <v>0.1</v>
      </c>
      <c r="GA28" s="107">
        <v>1</v>
      </c>
      <c r="GB28" s="107">
        <v>0.1</v>
      </c>
      <c r="GC28" s="107">
        <v>1</v>
      </c>
      <c r="GD28" s="107">
        <v>0.1</v>
      </c>
      <c r="GE28" s="107">
        <v>1</v>
      </c>
      <c r="GF28" s="107">
        <v>0.1</v>
      </c>
      <c r="GG28" s="107">
        <v>1</v>
      </c>
      <c r="GH28" s="107">
        <v>0.1</v>
      </c>
    </row>
    <row r="29" spans="2:190" ht="45.75" x14ac:dyDescent="0.25">
      <c r="B29" s="785" t="e">
        <f>CHOOSE($Z$5,1,2,3,3)</f>
        <v>#VALUE!</v>
      </c>
      <c r="D29" s="1549" t="str" cm="1">
        <f t="array" ref="D29">INDEX(List_comparators,I29+1)</f>
        <v>sunitinib</v>
      </c>
      <c r="E29" s="1593"/>
      <c r="F29" s="1593"/>
      <c r="G29" s="1593"/>
      <c r="H29" s="1594"/>
      <c r="I29" s="121">
        <v>7</v>
      </c>
      <c r="J29" s="160" t="s">
        <v>267</v>
      </c>
      <c r="K29" s="1591">
        <f>IF(i_updated_sun_eve_price=1,812.32,1388.77)</f>
        <v>812.32</v>
      </c>
      <c r="L29" s="1592"/>
      <c r="M29" s="323">
        <v>28</v>
      </c>
      <c r="N29" s="309" t="s">
        <v>299</v>
      </c>
      <c r="O29" s="310">
        <v>50</v>
      </c>
      <c r="P29" s="115" t="s">
        <v>281</v>
      </c>
      <c r="Q29" s="116" t="s">
        <v>74</v>
      </c>
      <c r="R29" s="376"/>
      <c r="S29" t="s">
        <v>272</v>
      </c>
      <c r="T29" s="463" t="s">
        <v>304</v>
      </c>
      <c r="U29" s="311" t="s">
        <v>283</v>
      </c>
      <c r="V29" s="117">
        <v>50</v>
      </c>
      <c r="W29" s="338" t="s">
        <v>272</v>
      </c>
      <c r="X29" s="975"/>
      <c r="Y29" s="1277">
        <f>CHOOSE(i_sc_RDI_num,100%,IF(i_txt_line_drug_cost=1,100%,83.9%),CHOOSE($AA$5,CZ$33,DA$33,DB$33,DB$33),DK29,DP29)</f>
        <v>0.83900000000000008</v>
      </c>
      <c r="Z29" s="780">
        <f>i_SE_util*Y29</f>
        <v>8.3900000000000016E-2</v>
      </c>
      <c r="AA29" s="344">
        <v>6</v>
      </c>
      <c r="AB29" s="311">
        <v>1</v>
      </c>
      <c r="AC29" s="311">
        <v>1</v>
      </c>
      <c r="AD29" s="885">
        <f>ROUNDUP(ui_time_horizon*365.25*i_days_to_weeks,0)+1</f>
        <v>2089</v>
      </c>
      <c r="AE29" s="297">
        <f>K29/O29</f>
        <v>16.246400000000001</v>
      </c>
      <c r="AF29" s="462" t="s">
        <v>272</v>
      </c>
      <c r="AG29" s="343">
        <f>MIN(AE29:AE31)*V29</f>
        <v>466.04</v>
      </c>
      <c r="AH29" s="1079">
        <f>AG29</f>
        <v>466.04</v>
      </c>
      <c r="AI29" s="1089">
        <f>CHOOSE(i_drug_price_options,((AG29/28)*7)*Y29*4/6,((AH29/28)*7)*Y29*4/6)</f>
        <v>65.167926666666673</v>
      </c>
      <c r="AJ29" s="1139">
        <f>CHOOSE(i_drug_price_options,((AG29/$M$29)*7)*4/6,((AH29/$M$29)*7)*4/6)</f>
        <v>77.673333333333332</v>
      </c>
      <c r="AK29" s="1248"/>
      <c r="AM29" s="107" t="s">
        <v>1817</v>
      </c>
      <c r="AO29" s="107" t="s">
        <v>305</v>
      </c>
      <c r="AZ29" s="991">
        <v>2</v>
      </c>
      <c r="BA29" s="485" t="str">
        <f>D59</f>
        <v>initial admin for axitinib</v>
      </c>
      <c r="BB29" s="485" t="s">
        <v>1196</v>
      </c>
      <c r="BC29" s="219">
        <f>$BC$27</f>
        <v>4</v>
      </c>
      <c r="BD29" s="219" t="str">
        <f>J59</f>
        <v>one-off</v>
      </c>
      <c r="BE29" s="1232"/>
      <c r="BF29" s="1232"/>
      <c r="BG29" s="1263"/>
      <c r="BH29" s="466">
        <f>W59</f>
        <v>197.25</v>
      </c>
      <c r="BI29" s="825">
        <f>X59</f>
        <v>39.450000000000003</v>
      </c>
      <c r="BJ29" s="816"/>
      <c r="BK29" s="816">
        <f>BK30</f>
        <v>1</v>
      </c>
      <c r="BL29" s="830">
        <f>100%</f>
        <v>1</v>
      </c>
      <c r="BM29" s="830">
        <f>i_SE_util*BL29</f>
        <v>0.1</v>
      </c>
      <c r="BN29" s="816"/>
      <c r="BO29" s="816"/>
      <c r="BP29" s="830">
        <f t="shared" si="63"/>
        <v>1</v>
      </c>
      <c r="BQ29" s="830">
        <f t="shared" si="64"/>
        <v>0.1</v>
      </c>
      <c r="BR29" s="830">
        <f t="shared" si="65"/>
        <v>1</v>
      </c>
      <c r="BS29" s="830">
        <f t="shared" si="66"/>
        <v>0.1</v>
      </c>
      <c r="BT29" s="830">
        <f t="shared" si="67"/>
        <v>1</v>
      </c>
      <c r="BU29" s="830">
        <f t="shared" si="68"/>
        <v>0.1</v>
      </c>
      <c r="BV29" s="830">
        <f t="shared" si="69"/>
        <v>1</v>
      </c>
      <c r="BW29" s="830">
        <f t="shared" si="70"/>
        <v>0.1</v>
      </c>
      <c r="BX29" s="824">
        <f t="shared" si="71"/>
        <v>1</v>
      </c>
      <c r="BY29" s="830">
        <f t="shared" si="72"/>
        <v>0.1</v>
      </c>
      <c r="BZ29" s="824">
        <f t="shared" si="73"/>
        <v>1</v>
      </c>
      <c r="CA29" s="830">
        <f t="shared" si="74"/>
        <v>0.1</v>
      </c>
      <c r="CB29" s="824">
        <f t="shared" si="75"/>
        <v>1</v>
      </c>
      <c r="CC29" s="830">
        <f t="shared" si="76"/>
        <v>0.1</v>
      </c>
      <c r="CD29" s="824">
        <f t="shared" si="77"/>
        <v>1</v>
      </c>
      <c r="CE29" s="830">
        <f t="shared" si="78"/>
        <v>0.1</v>
      </c>
      <c r="CG29" s="824">
        <f t="shared" si="31"/>
        <v>1</v>
      </c>
      <c r="CH29" s="824">
        <f t="shared" si="83"/>
        <v>0.1</v>
      </c>
      <c r="CI29" s="824">
        <f t="shared" si="84"/>
        <v>1</v>
      </c>
      <c r="CJ29" s="824">
        <f t="shared" si="85"/>
        <v>0.1</v>
      </c>
      <c r="CK29" s="824">
        <f t="shared" si="32"/>
        <v>1</v>
      </c>
      <c r="CM29" s="475">
        <f t="shared" si="33"/>
        <v>4</v>
      </c>
      <c r="CN29" s="475" t="str">
        <f>CN28</f>
        <v>axitinib</v>
      </c>
      <c r="CO29" s="816"/>
      <c r="CP29" s="825">
        <f t="shared" si="82"/>
        <v>0</v>
      </c>
      <c r="CQ29" s="825">
        <f t="shared" si="79"/>
        <v>0</v>
      </c>
      <c r="CR29" s="825">
        <f t="shared" si="80"/>
        <v>0</v>
      </c>
      <c r="CS29" s="825">
        <f t="shared" si="81"/>
        <v>0</v>
      </c>
      <c r="CT29" s="1119"/>
      <c r="CU29" s="1119"/>
      <c r="CV29" s="1119"/>
      <c r="CW29" s="1119"/>
      <c r="CZ29" s="992" t="str" cm="1">
        <f t="array" ref="CZ29">_xlfn.IFNA(INDEX($EH$30:$EH$69,MATCH(1,($BA33=$ED$30:$ED$69)*(CZ$9=$EE$30:$EE$69),0)),"")</f>
        <v/>
      </c>
      <c r="DA29" s="992" t="str" cm="1">
        <f t="array" ref="DA29">_xlfn.IFNA(INDEX($EH$30:$EH$69,MATCH(1,($BA33=$ED$30:$ED$69)*(DA$9=$EE$30:$EE$69),0)),"")</f>
        <v/>
      </c>
      <c r="DB29" s="992" t="str" cm="1">
        <f t="array" ref="DB29">_xlfn.IFNA(INDEX($EH$30:$EH$69,MATCH(1,($BA33=$ED$30:$ED$69)*(DB$9=$EE$30:$EE$69),0)),"")</f>
        <v/>
      </c>
      <c r="DC29" s="992" t="str" cm="1">
        <f t="array" ref="DC29">_xlfn.IFNA(INDEX($EH$30:$EH$69,MATCH(1,($BA33=$ED$30:$ED$69)*(DC$9=$EE$30:$EE$69),0)),"")</f>
        <v/>
      </c>
      <c r="DJ29" s="1446">
        <v>1</v>
      </c>
      <c r="DK29" s="1112">
        <f>IF(i_txt_line_drug_cost=1,DL29,DM29)</f>
        <v>0.83899999999999997</v>
      </c>
      <c r="DL29" s="1446">
        <v>1</v>
      </c>
      <c r="DM29" s="1112">
        <v>0.83899999999999997</v>
      </c>
      <c r="DN29" s="1112">
        <v>0.83899999999999997</v>
      </c>
      <c r="DO29" s="1112">
        <v>0.83899999999999997</v>
      </c>
      <c r="DP29" s="1112">
        <f>DO29</f>
        <v>0.83899999999999997</v>
      </c>
      <c r="DQ29" s="1112"/>
      <c r="EC29" s="219" t="s">
        <v>202</v>
      </c>
      <c r="ED29" s="219" t="s">
        <v>130</v>
      </c>
      <c r="EE29" s="219" t="s">
        <v>129</v>
      </c>
      <c r="EF29" s="219" t="s">
        <v>306</v>
      </c>
      <c r="EG29" s="219" t="s">
        <v>307</v>
      </c>
      <c r="EH29" s="219" t="s">
        <v>308</v>
      </c>
      <c r="EI29" s="219" t="s">
        <v>309</v>
      </c>
      <c r="EN29" s="1244" t="s">
        <v>1187</v>
      </c>
      <c r="EO29" s="107">
        <f t="shared" si="21"/>
        <v>0.86</v>
      </c>
      <c r="EP29" s="107">
        <f t="shared" si="22"/>
        <v>8.6000000000000007E-2</v>
      </c>
      <c r="EQ29" s="107">
        <f t="shared" si="23"/>
        <v>0.86</v>
      </c>
      <c r="ER29" s="107">
        <f t="shared" si="24"/>
        <v>8.6000000000000007E-2</v>
      </c>
      <c r="ES29" s="107">
        <f t="shared" si="25"/>
        <v>0.86</v>
      </c>
      <c r="ET29" s="107">
        <f t="shared" si="26"/>
        <v>8.6000000000000007E-2</v>
      </c>
      <c r="EU29" s="107">
        <f t="shared" si="27"/>
        <v>0.86</v>
      </c>
      <c r="EV29" s="107">
        <f t="shared" si="28"/>
        <v>8.6000000000000007E-2</v>
      </c>
      <c r="EW29" s="1321">
        <v>0.88</v>
      </c>
      <c r="EX29" s="1321">
        <v>8.8000000000000009E-2</v>
      </c>
      <c r="EY29" s="1321">
        <v>0.85699999999999998</v>
      </c>
      <c r="EZ29" s="1321">
        <v>8.5699999999999998E-2</v>
      </c>
      <c r="FA29" s="1321">
        <v>0.75</v>
      </c>
      <c r="FB29" s="1321">
        <v>7.5000000000000011E-2</v>
      </c>
      <c r="FC29" s="1321">
        <v>0.75</v>
      </c>
      <c r="FD29" s="1321">
        <v>7.5000000000000011E-2</v>
      </c>
      <c r="FF29" s="1247" t="s">
        <v>317</v>
      </c>
      <c r="FG29" s="107">
        <v>0.86</v>
      </c>
      <c r="FH29" s="107">
        <v>8.6000000000000007E-2</v>
      </c>
      <c r="FI29" s="107">
        <v>0.86</v>
      </c>
      <c r="FJ29" s="107">
        <v>8.6000000000000007E-2</v>
      </c>
      <c r="FK29" s="107">
        <v>0.86</v>
      </c>
      <c r="FL29" s="107">
        <v>8.6000000000000007E-2</v>
      </c>
      <c r="FM29" s="107">
        <v>0.86</v>
      </c>
      <c r="FN29" s="107">
        <v>8.6000000000000007E-2</v>
      </c>
      <c r="FQ29" s="107">
        <v>0.86</v>
      </c>
      <c r="FR29" s="107">
        <v>8.6000000000000007E-2</v>
      </c>
      <c r="FS29" s="107">
        <v>0.86</v>
      </c>
      <c r="FT29" s="107">
        <v>8.6000000000000007E-2</v>
      </c>
      <c r="FU29" s="107">
        <v>0.86</v>
      </c>
      <c r="FV29" s="107">
        <v>8.6000000000000007E-2</v>
      </c>
      <c r="FW29" s="107">
        <v>0.86</v>
      </c>
      <c r="FX29" s="107">
        <v>8.6000000000000007E-2</v>
      </c>
      <c r="GA29" s="107">
        <v>0.86</v>
      </c>
      <c r="GB29" s="107">
        <v>8.6000000000000007E-2</v>
      </c>
      <c r="GC29" s="107">
        <v>0.86</v>
      </c>
      <c r="GD29" s="107">
        <v>8.6000000000000007E-2</v>
      </c>
      <c r="GE29" s="107">
        <v>0.86</v>
      </c>
      <c r="GF29" s="107">
        <v>8.6000000000000007E-2</v>
      </c>
      <c r="GG29" s="107">
        <v>0.86</v>
      </c>
      <c r="GH29" s="107">
        <v>8.6000000000000007E-2</v>
      </c>
    </row>
    <row r="30" spans="2:190" ht="46.5" thickBot="1" x14ac:dyDescent="0.3">
      <c r="D30" s="1551" t="str">
        <f>D29</f>
        <v>sunitinib</v>
      </c>
      <c r="E30" s="1585"/>
      <c r="F30" s="1585"/>
      <c r="G30" s="1585"/>
      <c r="H30" s="1586"/>
      <c r="I30" s="123"/>
      <c r="J30" s="317" t="s">
        <v>267</v>
      </c>
      <c r="K30" s="1587">
        <f>IF(i_updated_sun_eve_price=1,262.42,537.62)</f>
        <v>262.42</v>
      </c>
      <c r="L30" s="1588"/>
      <c r="M30" s="321">
        <v>28</v>
      </c>
      <c r="N30" s="290" t="s">
        <v>299</v>
      </c>
      <c r="O30" s="291">
        <v>25</v>
      </c>
      <c r="P30" s="126" t="s">
        <v>281</v>
      </c>
      <c r="Q30" s="127" t="s">
        <v>74</v>
      </c>
      <c r="R30" s="373"/>
      <c r="S30"/>
      <c r="T30" s="464" t="s">
        <v>304</v>
      </c>
      <c r="U30" s="276"/>
      <c r="V30" s="128">
        <v>50</v>
      </c>
      <c r="W30" s="326"/>
      <c r="X30" s="779"/>
      <c r="Y30" s="1017">
        <f>CHOOSE(i_sc_RDI_num,100%,IF(i_txt_line_drug_cost=1,100%,83.9%),CHOOSE($AA$5,CZ$33,DA$33,DB$33,DB$33),DK30,DP30)</f>
        <v>0.83900000000000008</v>
      </c>
      <c r="Z30" s="971">
        <f>i_SE_util*Y30</f>
        <v>8.3900000000000016E-2</v>
      </c>
      <c r="AA30" s="345">
        <v>6</v>
      </c>
      <c r="AB30" s="276">
        <v>1</v>
      </c>
      <c r="AC30" s="276">
        <v>1</v>
      </c>
      <c r="AD30" s="886">
        <f>ROUNDUP(ui_time_horizon*365.25*i_days_to_weeks,0)+1</f>
        <v>2089</v>
      </c>
      <c r="AE30" s="292">
        <f>K30/O30</f>
        <v>10.4968</v>
      </c>
      <c r="AF30" s="398"/>
      <c r="AG30" s="292"/>
      <c r="AH30" s="1073"/>
      <c r="AI30" s="1086"/>
      <c r="AJ30" s="1139">
        <f>AJ29</f>
        <v>77.673333333333332</v>
      </c>
      <c r="AK30" s="1248"/>
      <c r="AZ30" s="991">
        <v>2</v>
      </c>
      <c r="BA30" s="180" t="str">
        <f>D60</f>
        <v>subsequent admin for axitinib</v>
      </c>
      <c r="BB30" s="180" t="s">
        <v>1196</v>
      </c>
      <c r="BC30" s="180">
        <f>$BC$27</f>
        <v>4</v>
      </c>
      <c r="BD30" s="180" t="str">
        <f>J60</f>
        <v>per cycle</v>
      </c>
      <c r="BE30" s="1234"/>
      <c r="BF30" s="1234"/>
      <c r="BG30" s="1262"/>
      <c r="BH30" s="181">
        <f>W60</f>
        <v>11</v>
      </c>
      <c r="BI30" s="834">
        <f>X60</f>
        <v>2.2000000000000002</v>
      </c>
      <c r="BJ30" s="817">
        <f>BJ28</f>
        <v>4</v>
      </c>
      <c r="BK30" s="817">
        <f>BK28</f>
        <v>1</v>
      </c>
      <c r="BL30" s="833">
        <f>$BL$28</f>
        <v>0.84200000000000008</v>
      </c>
      <c r="BM30" s="833">
        <f>$BM$28</f>
        <v>8.4200000000000011E-2</v>
      </c>
      <c r="BN30" s="817">
        <f>BN28+BJ30</f>
        <v>5</v>
      </c>
      <c r="BO30" s="817">
        <f>BO28</f>
        <v>2089</v>
      </c>
      <c r="BP30" s="833">
        <f t="shared" si="63"/>
        <v>0.84199999999999997</v>
      </c>
      <c r="BQ30" s="833">
        <f t="shared" si="64"/>
        <v>8.4199999999999997E-2</v>
      </c>
      <c r="BR30" s="833">
        <f t="shared" si="65"/>
        <v>0.84199999999999997</v>
      </c>
      <c r="BS30" s="833">
        <f t="shared" si="66"/>
        <v>8.4199999999999997E-2</v>
      </c>
      <c r="BT30" s="833">
        <f t="shared" si="67"/>
        <v>0.84199999999999997</v>
      </c>
      <c r="BU30" s="833">
        <f t="shared" si="68"/>
        <v>8.4199999999999997E-2</v>
      </c>
      <c r="BV30" s="833">
        <f t="shared" si="69"/>
        <v>0.84199999999999997</v>
      </c>
      <c r="BW30" s="833">
        <f t="shared" si="70"/>
        <v>8.4199999999999997E-2</v>
      </c>
      <c r="BX30" s="1329">
        <f t="shared" si="71"/>
        <v>0.89400000000000002</v>
      </c>
      <c r="BY30" s="833">
        <f t="shared" si="72"/>
        <v>8.9400000000000007E-2</v>
      </c>
      <c r="BZ30" s="1329">
        <f t="shared" si="73"/>
        <v>0.89400000000000002</v>
      </c>
      <c r="CA30" s="833">
        <f t="shared" si="74"/>
        <v>8.9400000000000007E-2</v>
      </c>
      <c r="CB30" s="1329">
        <f t="shared" si="75"/>
        <v>0.89400000000000002</v>
      </c>
      <c r="CC30" s="833">
        <f t="shared" si="76"/>
        <v>8.9400000000000007E-2</v>
      </c>
      <c r="CD30" s="1329">
        <f t="shared" si="77"/>
        <v>0.89400000000000002</v>
      </c>
      <c r="CE30" s="833">
        <f t="shared" si="78"/>
        <v>8.9400000000000007E-2</v>
      </c>
      <c r="CF30" s="992"/>
      <c r="CG30" s="824">
        <f t="shared" si="31"/>
        <v>0.84199999999999997</v>
      </c>
      <c r="CH30" s="824">
        <f t="shared" si="83"/>
        <v>8.4199999999999997E-2</v>
      </c>
      <c r="CI30" s="824">
        <f t="shared" si="84"/>
        <v>0.84199999999999997</v>
      </c>
      <c r="CJ30" s="824">
        <f t="shared" si="85"/>
        <v>8.4199999999999997E-2</v>
      </c>
      <c r="CK30" s="824">
        <f t="shared" si="32"/>
        <v>0.84199999999999997</v>
      </c>
      <c r="CL30" s="992"/>
      <c r="CM30" s="475">
        <f t="shared" si="33"/>
        <v>4</v>
      </c>
      <c r="CN30" s="475" t="str">
        <f>CN29</f>
        <v>axitinib</v>
      </c>
      <c r="CO30" s="816"/>
      <c r="CP30" s="825">
        <f t="shared" si="82"/>
        <v>0</v>
      </c>
      <c r="CQ30" s="825">
        <f t="shared" si="79"/>
        <v>0</v>
      </c>
      <c r="CR30" s="825">
        <f t="shared" si="80"/>
        <v>0</v>
      </c>
      <c r="CS30" s="825">
        <f t="shared" si="81"/>
        <v>0</v>
      </c>
      <c r="CT30" s="1119"/>
      <c r="CU30" s="1119"/>
      <c r="CV30" s="1119"/>
      <c r="CW30" s="1119"/>
      <c r="CZ30" s="1326">
        <f>EH48</f>
        <v>0.95</v>
      </c>
      <c r="DA30" s="1326">
        <f>EH49</f>
        <v>0.92</v>
      </c>
      <c r="DB30" s="1326">
        <f>EH50</f>
        <v>1</v>
      </c>
      <c r="DC30" s="1326">
        <f>EH50</f>
        <v>1</v>
      </c>
      <c r="DJ30" s="1446">
        <v>1</v>
      </c>
      <c r="DK30" s="1112">
        <f>IF(i_txt_line_drug_cost=1,DL30,DM30)</f>
        <v>0.83899999999999997</v>
      </c>
      <c r="DL30" s="1446">
        <v>1</v>
      </c>
      <c r="DM30" s="1112">
        <v>0.83899999999999997</v>
      </c>
      <c r="DN30" s="1112">
        <v>0.83899999999999997</v>
      </c>
      <c r="DO30" s="1112">
        <v>0.83899999999999997</v>
      </c>
      <c r="DP30" s="1112">
        <f t="shared" ref="DP30:DP31" si="86">DO30</f>
        <v>0.83899999999999997</v>
      </c>
      <c r="DQ30" s="1112"/>
      <c r="EC30" s="797">
        <v>0</v>
      </c>
      <c r="ED30" s="797" t="str" cm="1">
        <f t="array" ref="ED30">INDEX(List_comparators,EC30+1)</f>
        <v>nivolumab_monotherapy</v>
      </c>
      <c r="EE30" s="797">
        <v>2</v>
      </c>
      <c r="EF30" s="964">
        <v>0.97499999999999998</v>
      </c>
      <c r="EG30" s="964"/>
      <c r="EH30" s="1322">
        <v>0.93600000000000005</v>
      </c>
      <c r="EI30" s="219"/>
      <c r="EN30" s="1244" t="s">
        <v>1190</v>
      </c>
      <c r="EO30" s="107">
        <f t="shared" si="21"/>
        <v>0.94</v>
      </c>
      <c r="EP30" s="107">
        <f t="shared" si="22"/>
        <v>9.4E-2</v>
      </c>
      <c r="EQ30" s="107">
        <f t="shared" si="23"/>
        <v>0.94</v>
      </c>
      <c r="ER30" s="107">
        <f t="shared" si="24"/>
        <v>9.4E-2</v>
      </c>
      <c r="ES30" s="107">
        <f t="shared" si="25"/>
        <v>0.94</v>
      </c>
      <c r="ET30" s="107">
        <f t="shared" si="26"/>
        <v>9.4E-2</v>
      </c>
      <c r="EU30" s="107">
        <f t="shared" si="27"/>
        <v>0.94</v>
      </c>
      <c r="EV30" s="107">
        <f t="shared" si="28"/>
        <v>9.4E-2</v>
      </c>
      <c r="EW30" s="1321">
        <v>0.95</v>
      </c>
      <c r="EX30" s="1321">
        <v>9.5000000000000001E-2</v>
      </c>
      <c r="EY30" s="1321">
        <v>0.92</v>
      </c>
      <c r="EZ30" s="1321">
        <v>9.2000000000000012E-2</v>
      </c>
      <c r="FA30" s="1321">
        <v>1</v>
      </c>
      <c r="FB30" s="1321">
        <v>0.1</v>
      </c>
      <c r="FC30" s="1321">
        <v>1</v>
      </c>
      <c r="FD30" s="1321">
        <v>0.1</v>
      </c>
      <c r="FF30" s="1247" t="s">
        <v>319</v>
      </c>
      <c r="FG30" s="107">
        <v>0.94</v>
      </c>
      <c r="FH30" s="107">
        <v>9.4E-2</v>
      </c>
      <c r="FI30" s="107">
        <v>0.94</v>
      </c>
      <c r="FJ30" s="107">
        <v>9.4E-2</v>
      </c>
      <c r="FK30" s="107">
        <v>0.94</v>
      </c>
      <c r="FL30" s="107">
        <v>9.4E-2</v>
      </c>
      <c r="FM30" s="107">
        <v>0.94</v>
      </c>
      <c r="FN30" s="107">
        <v>9.4E-2</v>
      </c>
      <c r="FQ30" s="107">
        <v>0.94</v>
      </c>
      <c r="FR30" s="107">
        <v>9.4E-2</v>
      </c>
      <c r="FS30" s="107">
        <v>0.94</v>
      </c>
      <c r="FT30" s="107">
        <v>9.4E-2</v>
      </c>
      <c r="FU30" s="107">
        <v>0.94</v>
      </c>
      <c r="FV30" s="107">
        <v>9.4E-2</v>
      </c>
      <c r="FW30" s="107">
        <v>0.94</v>
      </c>
      <c r="FX30" s="107">
        <v>9.4E-2</v>
      </c>
      <c r="GA30" s="107">
        <v>0.94</v>
      </c>
      <c r="GB30" s="107">
        <v>9.4E-2</v>
      </c>
      <c r="GC30" s="107">
        <v>0.94</v>
      </c>
      <c r="GD30" s="107">
        <v>9.4E-2</v>
      </c>
      <c r="GE30" s="107">
        <v>0.94</v>
      </c>
      <c r="GF30" s="107">
        <v>9.4E-2</v>
      </c>
      <c r="GG30" s="107">
        <v>0.94</v>
      </c>
      <c r="GH30" s="107">
        <v>9.4E-2</v>
      </c>
    </row>
    <row r="31" spans="2:190" ht="45.75" x14ac:dyDescent="0.25">
      <c r="D31" s="1551" t="str">
        <f>D29</f>
        <v>sunitinib</v>
      </c>
      <c r="E31" s="1585"/>
      <c r="F31" s="1585"/>
      <c r="G31" s="1585"/>
      <c r="H31" s="1586"/>
      <c r="I31" s="123"/>
      <c r="J31" s="317" t="s">
        <v>267</v>
      </c>
      <c r="K31" s="1587">
        <f>IF(i_updated_sun_eve_price=1,116.51,215.86)</f>
        <v>116.51</v>
      </c>
      <c r="L31" s="1588"/>
      <c r="M31" s="321">
        <v>28</v>
      </c>
      <c r="N31" s="290" t="s">
        <v>299</v>
      </c>
      <c r="O31" s="291">
        <v>12.5</v>
      </c>
      <c r="P31" s="126" t="s">
        <v>281</v>
      </c>
      <c r="Q31" s="127" t="s">
        <v>74</v>
      </c>
      <c r="R31" s="373"/>
      <c r="S31"/>
      <c r="T31" s="464" t="s">
        <v>304</v>
      </c>
      <c r="U31" s="276"/>
      <c r="V31" s="128">
        <v>50</v>
      </c>
      <c r="W31" s="326"/>
      <c r="X31" s="779"/>
      <c r="Y31" s="1017">
        <f>CHOOSE(i_sc_RDI_num,100%,IF(i_txt_line_drug_cost=1,100%,83.9%),CHOOSE($AA$5,CZ$33,DA$33,DB$33,DB$33),DK31,DP31)</f>
        <v>0.83900000000000008</v>
      </c>
      <c r="Z31" s="971">
        <f>i_SE_util*Y31</f>
        <v>8.3900000000000016E-2</v>
      </c>
      <c r="AA31" s="345">
        <v>6</v>
      </c>
      <c r="AB31" s="276">
        <v>1</v>
      </c>
      <c r="AC31" s="276">
        <v>1</v>
      </c>
      <c r="AD31" s="886">
        <f>ROUNDUP(ui_time_horizon*365.25*i_days_to_weeks,0)+1</f>
        <v>2089</v>
      </c>
      <c r="AE31" s="292">
        <f>K31/O31</f>
        <v>9.3208000000000002</v>
      </c>
      <c r="AF31" s="398"/>
      <c r="AG31" s="292"/>
      <c r="AH31" s="1073"/>
      <c r="AI31" s="1086"/>
      <c r="AJ31" s="1139">
        <f>AJ29</f>
        <v>77.673333333333332</v>
      </c>
      <c r="AK31" s="1248"/>
      <c r="AZ31" s="991">
        <v>2</v>
      </c>
      <c r="BA31" s="485" t="str">
        <f>D35</f>
        <v>pazopanib</v>
      </c>
      <c r="BB31" s="485" t="s">
        <v>1187</v>
      </c>
      <c r="BC31" s="485">
        <f>I34</f>
        <v>5</v>
      </c>
      <c r="BD31" s="485" t="str">
        <f>J35</f>
        <v>per cycle</v>
      </c>
      <c r="BE31" s="1342">
        <f>CHOOSE(i_drug_price_options,AG35,AH35)</f>
        <v>523.13333333333333</v>
      </c>
      <c r="BF31" s="1342">
        <f>AG35</f>
        <v>523.13333333333333</v>
      </c>
      <c r="BG31" s="1343">
        <f t="shared" si="29"/>
        <v>0</v>
      </c>
      <c r="BH31" s="485"/>
      <c r="BI31" s="827"/>
      <c r="BJ31" s="826">
        <f>AA35</f>
        <v>4.2857142857142856</v>
      </c>
      <c r="BK31" s="826">
        <f>AB35</f>
        <v>1</v>
      </c>
      <c r="BL31" s="828">
        <f>$Y$35</f>
        <v>0.86</v>
      </c>
      <c r="BM31" s="828">
        <f>$Z$35</f>
        <v>8.6000000000000007E-2</v>
      </c>
      <c r="BN31" s="827">
        <f>AC35</f>
        <v>1</v>
      </c>
      <c r="BO31" s="827">
        <f>AD35</f>
        <v>2089</v>
      </c>
      <c r="BP31" s="828">
        <f t="shared" si="63"/>
        <v>0.86</v>
      </c>
      <c r="BQ31" s="828">
        <f t="shared" si="64"/>
        <v>8.6000000000000007E-2</v>
      </c>
      <c r="BR31" s="828">
        <f t="shared" si="65"/>
        <v>0.86</v>
      </c>
      <c r="BS31" s="828">
        <f t="shared" si="66"/>
        <v>8.6000000000000007E-2</v>
      </c>
      <c r="BT31" s="828">
        <f t="shared" si="67"/>
        <v>0.86</v>
      </c>
      <c r="BU31" s="828">
        <f t="shared" si="68"/>
        <v>8.6000000000000007E-2</v>
      </c>
      <c r="BV31" s="828">
        <f t="shared" si="69"/>
        <v>0.86</v>
      </c>
      <c r="BW31" s="828">
        <f t="shared" si="70"/>
        <v>8.6000000000000007E-2</v>
      </c>
      <c r="BX31" s="824">
        <f t="shared" si="71"/>
        <v>0.88</v>
      </c>
      <c r="BY31" s="828">
        <f t="shared" si="72"/>
        <v>8.8000000000000009E-2</v>
      </c>
      <c r="BZ31" s="824">
        <f t="shared" si="73"/>
        <v>0.85699999999999998</v>
      </c>
      <c r="CA31" s="828">
        <f t="shared" si="74"/>
        <v>8.5699999999999998E-2</v>
      </c>
      <c r="CB31" s="824">
        <f t="shared" si="75"/>
        <v>0.75</v>
      </c>
      <c r="CC31" s="828">
        <f t="shared" si="76"/>
        <v>7.5000000000000011E-2</v>
      </c>
      <c r="CD31" s="824">
        <f t="shared" si="77"/>
        <v>0.75</v>
      </c>
      <c r="CE31" s="828">
        <f t="shared" si="78"/>
        <v>7.5000000000000011E-2</v>
      </c>
      <c r="CF31" s="992"/>
      <c r="CG31" s="824">
        <f t="shared" si="31"/>
        <v>0.86</v>
      </c>
      <c r="CH31" s="824">
        <f t="shared" si="83"/>
        <v>8.6000000000000007E-2</v>
      </c>
      <c r="CI31" s="824">
        <f t="shared" si="84"/>
        <v>0.86</v>
      </c>
      <c r="CJ31" s="824">
        <f t="shared" si="85"/>
        <v>8.6000000000000007E-2</v>
      </c>
      <c r="CK31" s="824">
        <f t="shared" si="32"/>
        <v>0.86</v>
      </c>
      <c r="CL31" s="992"/>
      <c r="CM31" s="475">
        <f t="shared" si="33"/>
        <v>5</v>
      </c>
      <c r="CN31" s="475" t="str">
        <f t="shared" si="41"/>
        <v>pazopanib</v>
      </c>
      <c r="CO31" s="825">
        <f>AJ35</f>
        <v>122.06444444444445</v>
      </c>
      <c r="CP31" s="825">
        <f t="shared" si="82"/>
        <v>107.41671111111111</v>
      </c>
      <c r="CQ31" s="825">
        <f t="shared" si="79"/>
        <v>104.60922888888889</v>
      </c>
      <c r="CR31" s="825">
        <f t="shared" si="80"/>
        <v>91.548333333333332</v>
      </c>
      <c r="CS31" s="825">
        <f t="shared" si="81"/>
        <v>91.548333333333332</v>
      </c>
      <c r="CT31" s="1119"/>
      <c r="CU31" s="1119"/>
      <c r="CV31" s="1119"/>
      <c r="CW31" s="1119"/>
      <c r="CZ31" s="993" t="str" cm="1">
        <f t="array" ref="CZ31">_xlfn.IFNA(INDEX($EH$30:$EH$69,MATCH(1,($BA35=$ED$30:$ED$69)*(CZ$9=$EE$30:$EE$69),0)),"")</f>
        <v/>
      </c>
      <c r="DA31" s="993" t="str" cm="1">
        <f t="array" ref="DA31">_xlfn.IFNA(INDEX($EH$30:$EH$69,MATCH(1,($BA35=$ED$30:$ED$69)*(DA$9=$EE$30:$EE$69),0)),"")</f>
        <v/>
      </c>
      <c r="DB31" s="993" t="str" cm="1">
        <f t="array" ref="DB31">_xlfn.IFNA(INDEX($EH$30:$EH$69,MATCH(1,($BA35=$ED$30:$ED$69)*(DB$9=$EE$30:$EE$69),0)),"")</f>
        <v/>
      </c>
      <c r="DC31" s="993" t="str" cm="1">
        <f t="array" ref="DC31">_xlfn.IFNA(INDEX($EH$30:$EH$69,MATCH(1,($BA35=$ED$30:$ED$69)*(DC$9=$EE$30:$EE$69),0)),"")</f>
        <v/>
      </c>
      <c r="DJ31" s="1446">
        <v>1</v>
      </c>
      <c r="DK31" s="1112">
        <f>IF(i_txt_line_drug_cost=1,DL31,DM31)</f>
        <v>0.83899999999999997</v>
      </c>
      <c r="DL31" s="1446">
        <v>1</v>
      </c>
      <c r="DM31" s="1112">
        <v>0.83899999999999997</v>
      </c>
      <c r="DN31" s="1112">
        <v>0.83899999999999997</v>
      </c>
      <c r="DO31" s="1112">
        <v>0.83899999999999997</v>
      </c>
      <c r="DP31" s="1112">
        <f t="shared" si="86"/>
        <v>0.83899999999999997</v>
      </c>
      <c r="DQ31" s="1112"/>
      <c r="EC31" s="797">
        <v>0</v>
      </c>
      <c r="ED31" s="797" t="str" cm="1">
        <f t="array" ref="ED31">INDEX(List_comparators,EC31+1)</f>
        <v>nivolumab_monotherapy</v>
      </c>
      <c r="EE31" s="797">
        <v>3</v>
      </c>
      <c r="EF31" s="964">
        <v>0.97499999999999998</v>
      </c>
      <c r="EG31" s="964"/>
      <c r="EH31" s="1322">
        <v>0.90700000000000003</v>
      </c>
      <c r="EI31" s="219"/>
      <c r="EN31" s="1244" t="s">
        <v>1190</v>
      </c>
      <c r="EO31" s="107">
        <f t="shared" si="21"/>
        <v>1</v>
      </c>
      <c r="EP31" s="107">
        <f t="shared" si="22"/>
        <v>0.1</v>
      </c>
      <c r="EQ31" s="107">
        <f t="shared" si="23"/>
        <v>1</v>
      </c>
      <c r="ER31" s="107">
        <f t="shared" si="24"/>
        <v>0.1</v>
      </c>
      <c r="ES31" s="107">
        <f t="shared" si="25"/>
        <v>1</v>
      </c>
      <c r="ET31" s="107">
        <f t="shared" si="26"/>
        <v>0.1</v>
      </c>
      <c r="EU31" s="107">
        <f t="shared" si="27"/>
        <v>1</v>
      </c>
      <c r="EV31" s="107">
        <f t="shared" si="28"/>
        <v>0.1</v>
      </c>
      <c r="EW31" s="1321">
        <v>1</v>
      </c>
      <c r="EX31" s="1321">
        <v>0.1</v>
      </c>
      <c r="EY31" s="1321">
        <v>1</v>
      </c>
      <c r="EZ31" s="1321">
        <v>0.1</v>
      </c>
      <c r="FA31" s="1321">
        <v>1</v>
      </c>
      <c r="FB31" s="1321">
        <v>0.1</v>
      </c>
      <c r="FC31" s="1321">
        <v>1</v>
      </c>
      <c r="FD31" s="1321">
        <v>0.1</v>
      </c>
      <c r="FF31" s="1247" t="s">
        <v>323</v>
      </c>
      <c r="FG31" s="107">
        <v>1</v>
      </c>
      <c r="FH31" s="107">
        <v>0.1</v>
      </c>
      <c r="FI31" s="107">
        <v>1</v>
      </c>
      <c r="FJ31" s="107">
        <v>0.1</v>
      </c>
      <c r="FK31" s="107">
        <v>1</v>
      </c>
      <c r="FL31" s="107">
        <v>0.1</v>
      </c>
      <c r="FM31" s="107">
        <v>1</v>
      </c>
      <c r="FN31" s="107">
        <v>0.1</v>
      </c>
      <c r="FQ31" s="107">
        <v>1</v>
      </c>
      <c r="FR31" s="107">
        <v>0.1</v>
      </c>
      <c r="FS31" s="107">
        <v>1</v>
      </c>
      <c r="FT31" s="107">
        <v>0.1</v>
      </c>
      <c r="FU31" s="107">
        <v>1</v>
      </c>
      <c r="FV31" s="107">
        <v>0.1</v>
      </c>
      <c r="FW31" s="107">
        <v>1</v>
      </c>
      <c r="FX31" s="107">
        <v>0.1</v>
      </c>
      <c r="GA31" s="107">
        <v>1</v>
      </c>
      <c r="GB31" s="107">
        <v>0.1</v>
      </c>
      <c r="GC31" s="107">
        <v>1</v>
      </c>
      <c r="GD31" s="107">
        <v>0.1</v>
      </c>
      <c r="GE31" s="107">
        <v>1</v>
      </c>
      <c r="GF31" s="107">
        <v>0.1</v>
      </c>
      <c r="GG31" s="107">
        <v>1</v>
      </c>
      <c r="GH31" s="107">
        <v>0.1</v>
      </c>
    </row>
    <row r="32" spans="2:190" ht="15.75" x14ac:dyDescent="0.25">
      <c r="D32" s="1551" t="s">
        <v>310</v>
      </c>
      <c r="E32" s="1585"/>
      <c r="F32" s="1585"/>
      <c r="G32" s="1585"/>
      <c r="H32" s="1586"/>
      <c r="I32" s="123"/>
      <c r="J32" s="317" t="s">
        <v>287</v>
      </c>
      <c r="K32" s="1573"/>
      <c r="L32" s="1574"/>
      <c r="M32" s="321"/>
      <c r="N32" s="290"/>
      <c r="O32" s="291"/>
      <c r="P32" s="126"/>
      <c r="Q32" s="127"/>
      <c r="R32" s="847"/>
      <c r="S32" s="852"/>
      <c r="T32" s="276"/>
      <c r="U32" s="276"/>
      <c r="V32" s="128"/>
      <c r="W32" s="253">
        <v>197.25</v>
      </c>
      <c r="X32" s="342">
        <f>i_SE_costs*W32</f>
        <v>39.450000000000003</v>
      </c>
      <c r="Y32" s="453"/>
      <c r="Z32" s="454"/>
      <c r="AA32" s="328"/>
      <c r="AB32" s="276"/>
      <c r="AC32" s="276"/>
      <c r="AD32" s="886"/>
      <c r="AE32" s="293"/>
      <c r="AF32" s="398"/>
      <c r="AG32" s="293"/>
      <c r="AH32" s="1073"/>
      <c r="AI32" s="1086"/>
      <c r="AJ32" s="1138"/>
      <c r="AK32" s="1248"/>
      <c r="AN32" s="107" t="s">
        <v>288</v>
      </c>
      <c r="AZ32" s="991">
        <v>2</v>
      </c>
      <c r="BA32" s="485" t="str">
        <f>D36</f>
        <v>initial admin for pazopanib</v>
      </c>
      <c r="BB32" s="485" t="s">
        <v>1187</v>
      </c>
      <c r="BC32" s="219">
        <f>BC31</f>
        <v>5</v>
      </c>
      <c r="BD32" s="485" t="str">
        <f>J36</f>
        <v>one-off</v>
      </c>
      <c r="BE32" s="1232"/>
      <c r="BF32" s="1232"/>
      <c r="BG32" s="1263"/>
      <c r="BH32" s="466">
        <f>W36</f>
        <v>197.25</v>
      </c>
      <c r="BI32" s="825">
        <f>X36</f>
        <v>39.450000000000003</v>
      </c>
      <c r="BJ32" s="816"/>
      <c r="BK32" s="819">
        <f>BK33</f>
        <v>1</v>
      </c>
      <c r="BL32" s="835">
        <f>100%</f>
        <v>1</v>
      </c>
      <c r="BM32" s="830">
        <f>i_SE_util*BL32</f>
        <v>0.1</v>
      </c>
      <c r="BN32" s="816"/>
      <c r="BO32" s="816"/>
      <c r="BP32" s="830">
        <f t="shared" si="63"/>
        <v>1</v>
      </c>
      <c r="BQ32" s="830">
        <f t="shared" si="64"/>
        <v>0.1</v>
      </c>
      <c r="BR32" s="830">
        <f t="shared" si="65"/>
        <v>1</v>
      </c>
      <c r="BS32" s="830">
        <f t="shared" si="66"/>
        <v>0.1</v>
      </c>
      <c r="BT32" s="830">
        <f t="shared" si="67"/>
        <v>1</v>
      </c>
      <c r="BU32" s="830">
        <f t="shared" si="68"/>
        <v>0.1</v>
      </c>
      <c r="BV32" s="830">
        <f t="shared" si="69"/>
        <v>1</v>
      </c>
      <c r="BW32" s="830">
        <f t="shared" si="70"/>
        <v>0.1</v>
      </c>
      <c r="BX32" s="824">
        <f t="shared" si="71"/>
        <v>1</v>
      </c>
      <c r="BY32" s="830">
        <f t="shared" si="72"/>
        <v>0</v>
      </c>
      <c r="BZ32" s="824">
        <f t="shared" si="73"/>
        <v>1</v>
      </c>
      <c r="CA32" s="830">
        <f t="shared" si="74"/>
        <v>0.1</v>
      </c>
      <c r="CB32" s="824">
        <f t="shared" si="75"/>
        <v>1</v>
      </c>
      <c r="CC32" s="830">
        <f t="shared" si="76"/>
        <v>0.1</v>
      </c>
      <c r="CD32" s="824">
        <f t="shared" si="77"/>
        <v>1</v>
      </c>
      <c r="CE32" s="830">
        <f t="shared" si="78"/>
        <v>0.1</v>
      </c>
      <c r="CG32" s="824">
        <f t="shared" si="31"/>
        <v>1</v>
      </c>
      <c r="CH32" s="824">
        <f t="shared" si="83"/>
        <v>0.1</v>
      </c>
      <c r="CI32" s="824">
        <f t="shared" si="84"/>
        <v>1</v>
      </c>
      <c r="CJ32" s="824">
        <f t="shared" si="85"/>
        <v>0.1</v>
      </c>
      <c r="CK32" s="824">
        <f t="shared" si="32"/>
        <v>1</v>
      </c>
      <c r="CM32" s="475">
        <f t="shared" si="33"/>
        <v>5</v>
      </c>
      <c r="CN32" s="475" t="str">
        <f>CN31</f>
        <v>pazopanib</v>
      </c>
      <c r="CO32" s="816"/>
      <c r="CP32" s="825">
        <f t="shared" si="82"/>
        <v>0</v>
      </c>
      <c r="CQ32" s="825">
        <f t="shared" si="79"/>
        <v>0</v>
      </c>
      <c r="CR32" s="825">
        <f t="shared" si="80"/>
        <v>0</v>
      </c>
      <c r="CS32" s="825">
        <f t="shared" si="81"/>
        <v>0</v>
      </c>
      <c r="CT32" s="1119"/>
      <c r="CU32" s="1119"/>
      <c r="CV32" s="1119"/>
      <c r="CW32" s="1119"/>
      <c r="CZ32" s="992" t="str" cm="1">
        <f t="array" ref="CZ32">_xlfn.IFNA(INDEX($EH$30:$EH$69,MATCH(1,($BA36=$ED$30:$ED$69)*(CZ$9=$EE$30:$EE$69),0)),"")</f>
        <v/>
      </c>
      <c r="DA32" s="992" t="str" cm="1">
        <f t="array" ref="DA32">_xlfn.IFNA(INDEX($EH$30:$EH$69,MATCH(1,($BA36=$ED$30:$ED$69)*(DA$9=$EE$30:$EE$69),0)),"")</f>
        <v/>
      </c>
      <c r="DB32" s="992" t="str" cm="1">
        <f t="array" ref="DB32">_xlfn.IFNA(INDEX($EH$30:$EH$69,MATCH(1,($BA36=$ED$30:$ED$69)*(DB$9=$EE$30:$EE$69),0)),"")</f>
        <v/>
      </c>
      <c r="DC32" s="992" t="str" cm="1">
        <f t="array" ref="DC32">_xlfn.IFNA(INDEX($EH$30:$EH$69,MATCH(1,($BA36=$ED$30:$ED$69)*(DC$9=$EE$30:$EE$69),0)),"")</f>
        <v/>
      </c>
      <c r="DJ32" s="1447"/>
      <c r="DK32" s="1112"/>
      <c r="DL32" s="1112"/>
      <c r="DM32" s="1112"/>
      <c r="DN32" s="1112"/>
      <c r="DO32" s="1112"/>
      <c r="DP32" s="1112"/>
      <c r="DQ32" s="1112"/>
      <c r="EC32" s="219">
        <v>1</v>
      </c>
      <c r="ED32" s="797" t="str" cm="1">
        <f t="array" ref="ED32">INDEX(List_comparators,EC32+1)</f>
        <v>cabozantinib_plus_nivolumab</v>
      </c>
      <c r="EE32" s="219">
        <v>1</v>
      </c>
      <c r="EF32" s="964"/>
      <c r="EG32" s="964"/>
      <c r="EH32" s="1323"/>
      <c r="EI32" s="219"/>
      <c r="EN32" s="1244" t="s">
        <v>1190</v>
      </c>
      <c r="EO32" s="107">
        <f t="shared" si="21"/>
        <v>0.94</v>
      </c>
      <c r="EP32" s="107">
        <f t="shared" si="22"/>
        <v>9.4E-2</v>
      </c>
      <c r="EQ32" s="107">
        <f t="shared" si="23"/>
        <v>0.94</v>
      </c>
      <c r="ER32" s="107">
        <f t="shared" si="24"/>
        <v>9.4E-2</v>
      </c>
      <c r="ES32" s="107">
        <f t="shared" si="25"/>
        <v>0.94</v>
      </c>
      <c r="ET32" s="107">
        <f t="shared" si="26"/>
        <v>9.4E-2</v>
      </c>
      <c r="EU32" s="107">
        <f t="shared" si="27"/>
        <v>0.94</v>
      </c>
      <c r="EV32" s="107">
        <f t="shared" si="28"/>
        <v>9.4E-2</v>
      </c>
      <c r="EW32" s="1321">
        <v>0.95</v>
      </c>
      <c r="EX32" s="1321">
        <v>9.5000000000000001E-2</v>
      </c>
      <c r="EY32" s="1321">
        <v>0.92</v>
      </c>
      <c r="EZ32" s="1321">
        <v>9.2000000000000012E-2</v>
      </c>
      <c r="FA32" s="1321">
        <v>1</v>
      </c>
      <c r="FB32" s="1321">
        <v>0.1</v>
      </c>
      <c r="FC32" s="1321">
        <v>1</v>
      </c>
      <c r="FD32" s="1321">
        <v>0.1</v>
      </c>
      <c r="FF32" s="1247" t="s">
        <v>324</v>
      </c>
      <c r="FG32" s="107">
        <v>0.94</v>
      </c>
      <c r="FH32" s="107">
        <v>9.4E-2</v>
      </c>
      <c r="FI32" s="107">
        <v>0.94</v>
      </c>
      <c r="FJ32" s="107">
        <v>9.4E-2</v>
      </c>
      <c r="FK32" s="107">
        <v>0.94</v>
      </c>
      <c r="FL32" s="107">
        <v>9.4E-2</v>
      </c>
      <c r="FM32" s="107">
        <v>0.94</v>
      </c>
      <c r="FN32" s="107">
        <v>9.4E-2</v>
      </c>
      <c r="FQ32" s="107">
        <v>0.94</v>
      </c>
      <c r="FR32" s="107">
        <v>9.4E-2</v>
      </c>
      <c r="FS32" s="107">
        <v>0.94</v>
      </c>
      <c r="FT32" s="107">
        <v>9.4E-2</v>
      </c>
      <c r="FU32" s="107">
        <v>0.94</v>
      </c>
      <c r="FV32" s="107">
        <v>9.4E-2</v>
      </c>
      <c r="FW32" s="107">
        <v>0.94</v>
      </c>
      <c r="FX32" s="107">
        <v>9.4E-2</v>
      </c>
      <c r="GA32" s="107">
        <v>0.94</v>
      </c>
      <c r="GB32" s="107">
        <v>9.4E-2</v>
      </c>
      <c r="GC32" s="107">
        <v>0.94</v>
      </c>
      <c r="GD32" s="107">
        <v>9.4E-2</v>
      </c>
      <c r="GE32" s="107">
        <v>0.94</v>
      </c>
      <c r="GF32" s="107">
        <v>9.4E-2</v>
      </c>
      <c r="GG32" s="107">
        <v>0.94</v>
      </c>
      <c r="GH32" s="107">
        <v>9.4E-2</v>
      </c>
    </row>
    <row r="33" spans="2:190" ht="16.5" thickBot="1" x14ac:dyDescent="0.3">
      <c r="D33" s="1553" t="s">
        <v>311</v>
      </c>
      <c r="E33" s="1589"/>
      <c r="F33" s="1589"/>
      <c r="G33" s="1589"/>
      <c r="H33" s="1590"/>
      <c r="I33" s="141"/>
      <c r="J33" s="319" t="s">
        <v>267</v>
      </c>
      <c r="K33" s="1568"/>
      <c r="L33" s="1569"/>
      <c r="M33" s="322"/>
      <c r="N33" s="298"/>
      <c r="O33" s="299"/>
      <c r="P33" s="144"/>
      <c r="Q33" s="145"/>
      <c r="R33" s="851"/>
      <c r="S33" s="853"/>
      <c r="T33" s="300"/>
      <c r="U33" s="300"/>
      <c r="V33" s="146"/>
      <c r="W33" s="255">
        <v>11</v>
      </c>
      <c r="X33" s="972">
        <f>i_SE_costs*W33</f>
        <v>2.2000000000000002</v>
      </c>
      <c r="Y33" s="1019">
        <f>Y31</f>
        <v>0.83900000000000008</v>
      </c>
      <c r="Z33" s="971">
        <f>Z31</f>
        <v>8.3900000000000016E-2</v>
      </c>
      <c r="AA33" s="330"/>
      <c r="AB33" s="300"/>
      <c r="AC33" s="300"/>
      <c r="AD33" s="888"/>
      <c r="AE33" s="307"/>
      <c r="AF33" s="400"/>
      <c r="AG33" s="307"/>
      <c r="AH33" s="1078"/>
      <c r="AI33" s="1086"/>
      <c r="AJ33" s="1138"/>
      <c r="AK33" s="1248"/>
      <c r="AZ33" s="991">
        <v>2</v>
      </c>
      <c r="BA33" s="180" t="str">
        <f>D37</f>
        <v>subsequent admin for pazopanib</v>
      </c>
      <c r="BB33" s="180" t="s">
        <v>1187</v>
      </c>
      <c r="BC33" s="180">
        <f>BC32</f>
        <v>5</v>
      </c>
      <c r="BD33" s="180" t="str">
        <f>J37</f>
        <v>per cycle</v>
      </c>
      <c r="BE33" s="1234"/>
      <c r="BF33" s="1234"/>
      <c r="BG33" s="1262"/>
      <c r="BH33" s="181">
        <f>W37</f>
        <v>11</v>
      </c>
      <c r="BI33" s="834">
        <f>X37</f>
        <v>2.2000000000000002</v>
      </c>
      <c r="BJ33" s="818">
        <f>BJ31</f>
        <v>4.2857142857142856</v>
      </c>
      <c r="BK33" s="818">
        <f>BK31</f>
        <v>1</v>
      </c>
      <c r="BL33" s="833">
        <f>$BL$31</f>
        <v>0.86</v>
      </c>
      <c r="BM33" s="833">
        <f>$BM$31</f>
        <v>8.6000000000000007E-2</v>
      </c>
      <c r="BN33" s="818">
        <f>BN31+BJ33</f>
        <v>5.2857142857142856</v>
      </c>
      <c r="BO33" s="817">
        <f>BO31</f>
        <v>2089</v>
      </c>
      <c r="BP33" s="833">
        <f t="shared" si="63"/>
        <v>0.86</v>
      </c>
      <c r="BQ33" s="833">
        <f t="shared" si="64"/>
        <v>8.6000000000000007E-2</v>
      </c>
      <c r="BR33" s="833">
        <f t="shared" si="65"/>
        <v>0.86</v>
      </c>
      <c r="BS33" s="833">
        <f t="shared" si="66"/>
        <v>8.6000000000000007E-2</v>
      </c>
      <c r="BT33" s="833">
        <f t="shared" si="67"/>
        <v>0.86</v>
      </c>
      <c r="BU33" s="833">
        <f t="shared" si="68"/>
        <v>8.6000000000000007E-2</v>
      </c>
      <c r="BV33" s="833">
        <f t="shared" si="69"/>
        <v>0.86</v>
      </c>
      <c r="BW33" s="833">
        <f t="shared" si="70"/>
        <v>8.6000000000000007E-2</v>
      </c>
      <c r="BX33" s="1329">
        <f t="shared" si="71"/>
        <v>0.88</v>
      </c>
      <c r="BY33" s="833">
        <f t="shared" si="72"/>
        <v>8.8000000000000009E-2</v>
      </c>
      <c r="BZ33" s="1329">
        <f t="shared" si="73"/>
        <v>0.85699999999999998</v>
      </c>
      <c r="CA33" s="833">
        <f t="shared" si="74"/>
        <v>8.5699999999999998E-2</v>
      </c>
      <c r="CB33" s="1329">
        <f t="shared" si="75"/>
        <v>0.75</v>
      </c>
      <c r="CC33" s="833">
        <f t="shared" si="76"/>
        <v>7.5000000000000011E-2</v>
      </c>
      <c r="CD33" s="1329">
        <f t="shared" si="77"/>
        <v>0.75</v>
      </c>
      <c r="CE33" s="833">
        <f t="shared" si="78"/>
        <v>7.5000000000000011E-2</v>
      </c>
      <c r="CF33" s="992"/>
      <c r="CG33" s="824">
        <f t="shared" si="31"/>
        <v>0.86</v>
      </c>
      <c r="CH33" s="824">
        <f t="shared" si="83"/>
        <v>8.6000000000000007E-2</v>
      </c>
      <c r="CI33" s="824">
        <f t="shared" si="84"/>
        <v>0.86</v>
      </c>
      <c r="CJ33" s="824">
        <f t="shared" si="85"/>
        <v>8.6000000000000007E-2</v>
      </c>
      <c r="CK33" s="824">
        <f t="shared" si="32"/>
        <v>0.86</v>
      </c>
      <c r="CL33" s="992"/>
      <c r="CM33" s="475">
        <f t="shared" si="33"/>
        <v>5</v>
      </c>
      <c r="CN33" s="475" t="str">
        <f>CN32</f>
        <v>pazopanib</v>
      </c>
      <c r="CO33" s="816"/>
      <c r="CP33" s="825">
        <f t="shared" si="82"/>
        <v>0</v>
      </c>
      <c r="CQ33" s="825">
        <f t="shared" si="79"/>
        <v>0</v>
      </c>
      <c r="CR33" s="825">
        <f t="shared" si="80"/>
        <v>0</v>
      </c>
      <c r="CS33" s="825">
        <f t="shared" si="81"/>
        <v>0</v>
      </c>
      <c r="CT33" s="1119"/>
      <c r="CU33" s="1119"/>
      <c r="CV33" s="1119"/>
      <c r="CW33" s="1119"/>
      <c r="CZ33" s="1326" cm="1">
        <f t="array" ref="CZ33">_xlfn.IFNA(INDEX($EH$30:$EH$69,MATCH(1,($BA37=$ED$30:$ED$69)*(CZ$9=$EE$30:$EE$69),0)),"")</f>
        <v>0.89</v>
      </c>
      <c r="DA33" s="1326" cm="1">
        <f t="array" ref="DA33">_xlfn.IFNA(INDEX($EH$30:$EH$69,MATCH(1,($BA37=$ED$30:$ED$69)*(DA$9=$EE$30:$EE$69),0)),"")</f>
        <v>0.82899999999999996</v>
      </c>
      <c r="DB33" s="1326" cm="1">
        <f t="array" ref="DB33">_xlfn.IFNA(INDEX($EH$30:$EH$69,MATCH(1,($BA37=$ED$30:$ED$69)*(DB$9=$EE$30:$EE$69),0)),"")</f>
        <v>0.95</v>
      </c>
      <c r="DC33" s="1326">
        <f>DB33</f>
        <v>0.95</v>
      </c>
      <c r="DJ33" s="1446">
        <v>1</v>
      </c>
      <c r="DK33" s="1112">
        <f>DK31</f>
        <v>0.83899999999999997</v>
      </c>
      <c r="DL33" s="1446">
        <v>1</v>
      </c>
      <c r="DM33" s="1112">
        <v>0.83899999999999997</v>
      </c>
      <c r="DN33" s="1112">
        <v>0.83899999999999997</v>
      </c>
      <c r="DO33" s="1112">
        <v>0.83899999999999997</v>
      </c>
      <c r="DP33" s="1112">
        <f>DO33</f>
        <v>0.83899999999999997</v>
      </c>
      <c r="DQ33" s="1112"/>
      <c r="EC33" s="219">
        <v>1</v>
      </c>
      <c r="ED33" s="797" t="s">
        <v>312</v>
      </c>
      <c r="EE33" s="219">
        <v>1</v>
      </c>
      <c r="EF33" s="1403">
        <v>1</v>
      </c>
      <c r="EG33" s="964">
        <v>5.3E-3</v>
      </c>
      <c r="EH33" s="1322">
        <f>EF33</f>
        <v>1</v>
      </c>
      <c r="EI33" s="964">
        <f>EG33</f>
        <v>5.3E-3</v>
      </c>
      <c r="EN33" s="1244" t="s">
        <v>1192</v>
      </c>
      <c r="EO33" s="1445">
        <f t="shared" si="21"/>
        <v>1</v>
      </c>
      <c r="EP33" s="1445">
        <f t="shared" si="22"/>
        <v>0.1</v>
      </c>
      <c r="EQ33" s="107">
        <f t="shared" si="23"/>
        <v>0.83899999999999997</v>
      </c>
      <c r="ER33" s="107">
        <f t="shared" si="24"/>
        <v>8.3900000000000002E-2</v>
      </c>
      <c r="ES33" s="107">
        <f t="shared" si="25"/>
        <v>0.83899999999999997</v>
      </c>
      <c r="ET33" s="107">
        <f t="shared" si="26"/>
        <v>8.3900000000000002E-2</v>
      </c>
      <c r="EU33" s="107">
        <f t="shared" si="27"/>
        <v>0.83899999999999997</v>
      </c>
      <c r="EV33" s="107">
        <f t="shared" si="28"/>
        <v>8.3900000000000002E-2</v>
      </c>
      <c r="EW33" s="1321">
        <v>0.89</v>
      </c>
      <c r="EX33" s="1321">
        <v>8.900000000000001E-2</v>
      </c>
      <c r="EY33" s="1321">
        <v>0.82899999999999996</v>
      </c>
      <c r="EZ33" s="1321">
        <v>8.2900000000000001E-2</v>
      </c>
      <c r="FA33" s="1321">
        <v>0.95</v>
      </c>
      <c r="FB33" s="1321">
        <v>9.5000000000000001E-2</v>
      </c>
      <c r="FC33" s="1321">
        <v>0.95</v>
      </c>
      <c r="FD33" s="1321">
        <v>9.5000000000000001E-2</v>
      </c>
      <c r="FF33" s="1247" t="s">
        <v>117</v>
      </c>
      <c r="FG33" s="1445">
        <v>1</v>
      </c>
      <c r="FH33" s="1445">
        <v>0.1</v>
      </c>
      <c r="FI33" s="107">
        <v>0.83899999999999997</v>
      </c>
      <c r="FJ33" s="107">
        <v>8.3900000000000002E-2</v>
      </c>
      <c r="FK33" s="107">
        <v>0.83899999999999997</v>
      </c>
      <c r="FL33" s="107">
        <v>8.3900000000000002E-2</v>
      </c>
      <c r="FM33" s="107">
        <v>0.83899999999999997</v>
      </c>
      <c r="FN33" s="107">
        <v>8.3900000000000002E-2</v>
      </c>
      <c r="FQ33" s="107">
        <v>0.81</v>
      </c>
      <c r="FR33" s="107">
        <v>8.1000000000000003E-2</v>
      </c>
      <c r="FS33" s="107">
        <v>0.83899999999999997</v>
      </c>
      <c r="FT33" s="107">
        <v>8.3900000000000002E-2</v>
      </c>
      <c r="FU33" s="107">
        <v>0.83899999999999997</v>
      </c>
      <c r="FV33" s="107">
        <v>8.3900000000000002E-2</v>
      </c>
      <c r="FW33" s="107">
        <v>0.83899999999999997</v>
      </c>
      <c r="FX33" s="107">
        <v>8.3900000000000002E-2</v>
      </c>
      <c r="GA33" s="107">
        <v>0.81</v>
      </c>
      <c r="GB33" s="107">
        <v>1.3000000000000001E-2</v>
      </c>
      <c r="GC33" s="107">
        <v>0.81</v>
      </c>
      <c r="GD33" s="107">
        <v>1.3000000000000001E-2</v>
      </c>
      <c r="GE33" s="107">
        <v>0.81</v>
      </c>
      <c r="GF33" s="107">
        <v>1.3000000000000001E-2</v>
      </c>
      <c r="GG33" s="107">
        <v>0.81</v>
      </c>
      <c r="GH33" s="107">
        <v>1.3000000000000001E-2</v>
      </c>
    </row>
    <row r="34" spans="2:190" ht="15.75" x14ac:dyDescent="0.25">
      <c r="B34" s="785" t="e">
        <f>CHOOSE($Z$5,1,2,3,3)</f>
        <v>#VALUE!</v>
      </c>
      <c r="D34" s="1549" t="str" cm="1">
        <f t="array" ref="D34">INDEX(List_comparators,I34+1)</f>
        <v>pazopanib</v>
      </c>
      <c r="E34" s="1593"/>
      <c r="F34" s="1593"/>
      <c r="G34" s="1593"/>
      <c r="H34" s="1594"/>
      <c r="I34" s="121">
        <v>5</v>
      </c>
      <c r="J34" s="160" t="s">
        <v>267</v>
      </c>
      <c r="K34" s="1591">
        <v>1121</v>
      </c>
      <c r="L34" s="1592"/>
      <c r="M34" s="323">
        <v>30</v>
      </c>
      <c r="N34" s="309" t="s">
        <v>280</v>
      </c>
      <c r="O34" s="310">
        <v>400</v>
      </c>
      <c r="P34" s="115" t="s">
        <v>281</v>
      </c>
      <c r="Q34" s="116" t="s">
        <v>74</v>
      </c>
      <c r="R34" s="1318">
        <v>0</v>
      </c>
      <c r="S34" s="1311">
        <f>K34*(1-R34)</f>
        <v>1121</v>
      </c>
      <c r="T34" s="311" t="s">
        <v>282</v>
      </c>
      <c r="U34" s="311" t="s">
        <v>283</v>
      </c>
      <c r="V34" s="117">
        <v>800</v>
      </c>
      <c r="W34" s="338" t="s">
        <v>272</v>
      </c>
      <c r="X34" s="975"/>
      <c r="Y34" s="1271">
        <f>CHOOSE(i_sc_RDI_num,100%,86%,CHOOSE($AA$5,CZ$27,DA$27,DB$27,DB$27),DK34,DP34)</f>
        <v>0.86</v>
      </c>
      <c r="Z34" s="1278">
        <f>IF(i_sc_RDI_num=3,i_SE_util*Y34,i_SE_util*Y34)</f>
        <v>8.6000000000000007E-2</v>
      </c>
      <c r="AA34" s="985">
        <f>30/7</f>
        <v>4.2857142857142856</v>
      </c>
      <c r="AB34" s="296">
        <v>1</v>
      </c>
      <c r="AC34" s="296">
        <v>1</v>
      </c>
      <c r="AD34" s="885">
        <f>ROUNDUP(ui_time_horizon*365.25*i_days_to_weeks,0)+1</f>
        <v>2089</v>
      </c>
      <c r="AE34" s="297">
        <f>K34/(M34*O34)</f>
        <v>9.3416666666666662E-2</v>
      </c>
      <c r="AF34" s="462">
        <f>S34/(M34*O34)</f>
        <v>9.3416666666666662E-2</v>
      </c>
      <c r="AG34" s="343">
        <f>AE34*V34*7</f>
        <v>523.13333333333333</v>
      </c>
      <c r="AH34" s="1361">
        <f>AF34*V34*7</f>
        <v>523.13333333333333</v>
      </c>
      <c r="AI34" s="1137">
        <f>CHOOSE(i_drug_price_options,((AG34/30)*7)*Y34,((AH34/30)*7)*Y34)</f>
        <v>104.97542222222222</v>
      </c>
      <c r="AJ34" s="1353">
        <f>CHOOSE(i_drug_price_options,((AG34/$M$34)*7),((AH34/$M$34)*7))</f>
        <v>122.06444444444445</v>
      </c>
      <c r="AK34" s="1248"/>
      <c r="AM34" s="107" t="s">
        <v>313</v>
      </c>
      <c r="AO34" s="107" t="s">
        <v>314</v>
      </c>
      <c r="AZ34" s="991">
        <v>2</v>
      </c>
      <c r="BA34" s="485" t="str">
        <f>D38</f>
        <v>tivozanib</v>
      </c>
      <c r="BB34" s="485" t="s">
        <v>1190</v>
      </c>
      <c r="BC34" s="485">
        <f>I38</f>
        <v>6</v>
      </c>
      <c r="BD34" s="485" t="str">
        <f>J38</f>
        <v>per cycle</v>
      </c>
      <c r="BE34" s="1342">
        <f>CHOOSE(i_drug_price_options,AG38,AH38)</f>
        <v>2052</v>
      </c>
      <c r="BF34" s="1342">
        <f>AG38</f>
        <v>2052</v>
      </c>
      <c r="BG34" s="1343">
        <f t="shared" si="29"/>
        <v>0</v>
      </c>
      <c r="BH34" s="485"/>
      <c r="BI34" s="827"/>
      <c r="BJ34" s="827">
        <f>AA38</f>
        <v>4</v>
      </c>
      <c r="BK34" s="827">
        <f>AB38</f>
        <v>1</v>
      </c>
      <c r="BL34" s="828">
        <f>$Y$38</f>
        <v>0.94</v>
      </c>
      <c r="BM34" s="828">
        <f>$Z$38</f>
        <v>9.4E-2</v>
      </c>
      <c r="BN34" s="827">
        <f>AC38</f>
        <v>1</v>
      </c>
      <c r="BO34" s="827">
        <f>AD38</f>
        <v>2089</v>
      </c>
      <c r="BP34" s="828">
        <f t="shared" si="63"/>
        <v>0.94</v>
      </c>
      <c r="BQ34" s="828">
        <f t="shared" si="64"/>
        <v>9.4E-2</v>
      </c>
      <c r="BR34" s="828">
        <f t="shared" si="65"/>
        <v>0.94</v>
      </c>
      <c r="BS34" s="828">
        <f t="shared" si="66"/>
        <v>9.4E-2</v>
      </c>
      <c r="BT34" s="828">
        <f t="shared" si="67"/>
        <v>0.94</v>
      </c>
      <c r="BU34" s="828">
        <f t="shared" si="68"/>
        <v>9.4E-2</v>
      </c>
      <c r="BV34" s="828">
        <f t="shared" si="69"/>
        <v>0.94</v>
      </c>
      <c r="BW34" s="828">
        <f t="shared" si="70"/>
        <v>9.4E-2</v>
      </c>
      <c r="BX34" s="1330">
        <f t="shared" si="71"/>
        <v>0.95</v>
      </c>
      <c r="BY34" s="828">
        <f t="shared" si="72"/>
        <v>9.5000000000000001E-2</v>
      </c>
      <c r="BZ34" s="1330">
        <f t="shared" si="73"/>
        <v>0.92</v>
      </c>
      <c r="CA34" s="828">
        <f t="shared" si="74"/>
        <v>9.2000000000000012E-2</v>
      </c>
      <c r="CB34" s="1330">
        <f t="shared" si="75"/>
        <v>1</v>
      </c>
      <c r="CC34" s="828">
        <f t="shared" si="76"/>
        <v>0.1</v>
      </c>
      <c r="CD34" s="1330">
        <f t="shared" si="77"/>
        <v>1</v>
      </c>
      <c r="CE34" s="828">
        <f t="shared" si="78"/>
        <v>0.1</v>
      </c>
      <c r="CF34" s="992"/>
      <c r="CG34" s="824">
        <f t="shared" si="31"/>
        <v>0.94</v>
      </c>
      <c r="CH34" s="824">
        <f t="shared" si="83"/>
        <v>9.4E-2</v>
      </c>
      <c r="CI34" s="824">
        <f t="shared" si="84"/>
        <v>0.94</v>
      </c>
      <c r="CJ34" s="824">
        <f t="shared" si="85"/>
        <v>9.4E-2</v>
      </c>
      <c r="CK34" s="824">
        <f t="shared" si="32"/>
        <v>0.94</v>
      </c>
      <c r="CL34" s="992"/>
      <c r="CM34" s="475">
        <f t="shared" si="33"/>
        <v>6</v>
      </c>
      <c r="CN34" s="475" t="str">
        <f t="shared" si="41"/>
        <v>tivozanib</v>
      </c>
      <c r="CO34" s="825">
        <f>AJ38</f>
        <v>513</v>
      </c>
      <c r="CP34" s="825">
        <f t="shared" si="82"/>
        <v>487.34999999999997</v>
      </c>
      <c r="CQ34" s="825">
        <f t="shared" si="79"/>
        <v>471.96000000000004</v>
      </c>
      <c r="CR34" s="825">
        <f t="shared" si="80"/>
        <v>513</v>
      </c>
      <c r="CS34" s="825">
        <f t="shared" si="81"/>
        <v>513</v>
      </c>
      <c r="CT34" s="1119"/>
      <c r="CU34" s="1119"/>
      <c r="CV34" s="1119"/>
      <c r="CW34" s="1119"/>
      <c r="CZ34" s="993" t="str" cm="1">
        <f t="array" ref="CZ34">_xlfn.IFNA(INDEX($EH$30:$EH$69,MATCH(1,($BA38=$ED$30:$ED$69)*(CZ$9=$EE$30:$EE$69),0)),"")</f>
        <v/>
      </c>
      <c r="DA34" s="993" t="str" cm="1">
        <f t="array" ref="DA34">_xlfn.IFNA(INDEX($EH$30:$EH$69,MATCH(1,($BA38=$ED$30:$ED$69)*(DA$9=$EE$30:$EE$69),0)),"")</f>
        <v/>
      </c>
      <c r="DB34" s="993" t="str" cm="1">
        <f t="array" ref="DB34">_xlfn.IFNA(INDEX($EH$30:$EH$69,MATCH(1,($BA38=$ED$30:$ED$69)*(DB$9=$EE$30:$EE$69),0)),"")</f>
        <v/>
      </c>
      <c r="DC34" s="993" t="str" cm="1">
        <f t="array" ref="DC34">_xlfn.IFNA(INDEX($EH$30:$EH$69,MATCH(1,($BA38=$ED$30:$ED$69)*(DC$9=$EE$30:$EE$69),0)),"")</f>
        <v/>
      </c>
      <c r="DJ34" s="1112">
        <v>0.86</v>
      </c>
      <c r="DK34" s="1112">
        <f>DJ34</f>
        <v>0.86</v>
      </c>
      <c r="DL34" s="1112">
        <v>0.86</v>
      </c>
      <c r="DM34" s="1112">
        <v>0.86</v>
      </c>
      <c r="DN34" s="1112">
        <v>0.86</v>
      </c>
      <c r="DO34" s="1112">
        <v>0.86</v>
      </c>
      <c r="DP34" s="1112">
        <f t="shared" ref="DP34:DP35" si="87">DJ34</f>
        <v>0.86</v>
      </c>
      <c r="DQ34" s="1112"/>
      <c r="EC34" s="219">
        <v>1</v>
      </c>
      <c r="ED34" s="797" t="s">
        <v>118</v>
      </c>
      <c r="EE34" s="219">
        <v>1</v>
      </c>
      <c r="EF34" s="1403">
        <v>1</v>
      </c>
      <c r="EG34" s="964"/>
      <c r="EH34" s="1322">
        <f>EF34</f>
        <v>1</v>
      </c>
      <c r="EI34" s="219"/>
      <c r="EN34" s="1244" t="s">
        <v>1192</v>
      </c>
      <c r="EO34" s="107">
        <f t="shared" si="21"/>
        <v>1</v>
      </c>
      <c r="EP34" s="107">
        <f t="shared" si="22"/>
        <v>0.1</v>
      </c>
      <c r="EQ34" s="107">
        <f t="shared" si="23"/>
        <v>1</v>
      </c>
      <c r="ER34" s="107">
        <f t="shared" si="24"/>
        <v>0.1</v>
      </c>
      <c r="ES34" s="107">
        <f t="shared" si="25"/>
        <v>1</v>
      </c>
      <c r="ET34" s="107">
        <f t="shared" si="26"/>
        <v>0.1</v>
      </c>
      <c r="EU34" s="107">
        <f t="shared" si="27"/>
        <v>1</v>
      </c>
      <c r="EV34" s="107">
        <f t="shared" si="28"/>
        <v>0.1</v>
      </c>
      <c r="EW34" s="1321">
        <v>1</v>
      </c>
      <c r="EX34" s="1321">
        <v>0.1</v>
      </c>
      <c r="EY34" s="1321">
        <v>1</v>
      </c>
      <c r="EZ34" s="1321">
        <v>0.1</v>
      </c>
      <c r="FA34" s="1321">
        <v>1</v>
      </c>
      <c r="FB34" s="1321">
        <v>0.1</v>
      </c>
      <c r="FC34" s="1321">
        <v>1</v>
      </c>
      <c r="FD34" s="1321">
        <v>0.1</v>
      </c>
      <c r="FF34" s="1247" t="s">
        <v>310</v>
      </c>
      <c r="FG34" s="107">
        <v>1</v>
      </c>
      <c r="FH34" s="107">
        <v>0.1</v>
      </c>
      <c r="FI34" s="107">
        <v>1</v>
      </c>
      <c r="FJ34" s="107">
        <v>0.1</v>
      </c>
      <c r="FK34" s="107">
        <v>1</v>
      </c>
      <c r="FL34" s="107">
        <v>0.1</v>
      </c>
      <c r="FM34" s="107">
        <v>1</v>
      </c>
      <c r="FN34" s="107">
        <v>0.1</v>
      </c>
      <c r="FQ34" s="107">
        <v>1</v>
      </c>
      <c r="FR34" s="107">
        <v>0.1</v>
      </c>
      <c r="FS34" s="107">
        <v>1</v>
      </c>
      <c r="FT34" s="107">
        <v>0.1</v>
      </c>
      <c r="FU34" s="107">
        <v>1</v>
      </c>
      <c r="FV34" s="107">
        <v>0.1</v>
      </c>
      <c r="FW34" s="107">
        <v>1</v>
      </c>
      <c r="FX34" s="107">
        <v>0.1</v>
      </c>
      <c r="GA34" s="107">
        <v>1</v>
      </c>
      <c r="GB34" s="107">
        <v>0.1</v>
      </c>
      <c r="GC34" s="107">
        <v>1</v>
      </c>
      <c r="GD34" s="107">
        <v>0.1</v>
      </c>
      <c r="GE34" s="107">
        <v>1</v>
      </c>
      <c r="GF34" s="107">
        <v>0.1</v>
      </c>
      <c r="GG34" s="107">
        <v>1</v>
      </c>
      <c r="GH34" s="107">
        <v>0.1</v>
      </c>
    </row>
    <row r="35" spans="2:190" ht="15.75" x14ac:dyDescent="0.25">
      <c r="D35" s="1551" t="str">
        <f>D34</f>
        <v>pazopanib</v>
      </c>
      <c r="E35" s="1585"/>
      <c r="F35" s="1585"/>
      <c r="G35" s="1585"/>
      <c r="H35" s="1586"/>
      <c r="I35" s="123"/>
      <c r="J35" s="317" t="s">
        <v>267</v>
      </c>
      <c r="K35" s="1587">
        <v>560.5</v>
      </c>
      <c r="L35" s="1588"/>
      <c r="M35" s="321">
        <v>30</v>
      </c>
      <c r="N35" s="290" t="s">
        <v>280</v>
      </c>
      <c r="O35" s="291">
        <v>200</v>
      </c>
      <c r="P35" s="126" t="s">
        <v>281</v>
      </c>
      <c r="Q35" s="127" t="s">
        <v>74</v>
      </c>
      <c r="R35" s="1316">
        <v>0</v>
      </c>
      <c r="S35" s="1317">
        <f>K35*(1-R35)</f>
        <v>560.5</v>
      </c>
      <c r="T35" s="276" t="s">
        <v>282</v>
      </c>
      <c r="U35" s="276"/>
      <c r="V35" s="128">
        <v>800</v>
      </c>
      <c r="W35" s="326"/>
      <c r="X35" s="779"/>
      <c r="Y35" s="1273">
        <f>CHOOSE(i_sc_RDI_num,100%,86%,CHOOSE($AA$5,CZ$27,DA$27,DB$27,DB$27),DK35,DP35)</f>
        <v>0.86</v>
      </c>
      <c r="Z35" s="1156">
        <f>IF(i_sc_RDI_num=3,i_SE_util*Y35,i_SE_util*Y35)</f>
        <v>8.6000000000000007E-2</v>
      </c>
      <c r="AA35" s="778">
        <f>30/7</f>
        <v>4.2857142857142856</v>
      </c>
      <c r="AB35" s="276">
        <v>1</v>
      </c>
      <c r="AC35" s="276">
        <v>1</v>
      </c>
      <c r="AD35" s="886">
        <f>ROUNDUP(ui_time_horizon*365.25*i_days_to_weeks,0)+1</f>
        <v>2089</v>
      </c>
      <c r="AE35" s="292">
        <f>K35/(M35*O35)</f>
        <v>9.3416666666666662E-2</v>
      </c>
      <c r="AF35" s="398">
        <f>S35/(M35*O35)</f>
        <v>9.3416666666666662E-2</v>
      </c>
      <c r="AG35" s="292">
        <f>AE35*V35*7</f>
        <v>523.13333333333333</v>
      </c>
      <c r="AH35" s="1361">
        <f>AF35*V35*7</f>
        <v>523.13333333333333</v>
      </c>
      <c r="AI35" s="1086"/>
      <c r="AJ35" s="1353">
        <f>AJ34</f>
        <v>122.06444444444445</v>
      </c>
      <c r="AK35" s="1248"/>
      <c r="AZ35" s="991">
        <v>2</v>
      </c>
      <c r="BA35" s="485" t="str">
        <f>D40</f>
        <v>initial admin for tivozanib</v>
      </c>
      <c r="BB35" s="485" t="s">
        <v>1190</v>
      </c>
      <c r="BC35" s="219">
        <f>$BC$34</f>
        <v>6</v>
      </c>
      <c r="BD35" s="485" t="str">
        <f>J40</f>
        <v>one-off</v>
      </c>
      <c r="BE35" s="1232"/>
      <c r="BF35" s="1232"/>
      <c r="BG35" s="1263"/>
      <c r="BH35" s="466">
        <f>W40</f>
        <v>197.25</v>
      </c>
      <c r="BI35" s="825">
        <f>X40</f>
        <v>39.450000000000003</v>
      </c>
      <c r="BJ35" s="816"/>
      <c r="BK35" s="816">
        <f>BK36</f>
        <v>1</v>
      </c>
      <c r="BL35" s="835">
        <f>100%</f>
        <v>1</v>
      </c>
      <c r="BM35" s="830">
        <f>i_SE_util*BL35</f>
        <v>0.1</v>
      </c>
      <c r="BN35" s="816"/>
      <c r="BO35" s="816"/>
      <c r="BP35" s="830">
        <f t="shared" si="63"/>
        <v>1</v>
      </c>
      <c r="BQ35" s="830">
        <f t="shared" si="64"/>
        <v>0.1</v>
      </c>
      <c r="BR35" s="830">
        <f t="shared" si="65"/>
        <v>1</v>
      </c>
      <c r="BS35" s="830">
        <f t="shared" si="66"/>
        <v>0.1</v>
      </c>
      <c r="BT35" s="830">
        <f t="shared" si="67"/>
        <v>1</v>
      </c>
      <c r="BU35" s="830">
        <f t="shared" si="68"/>
        <v>0.1</v>
      </c>
      <c r="BV35" s="830">
        <f t="shared" si="69"/>
        <v>1</v>
      </c>
      <c r="BW35" s="830">
        <f t="shared" si="70"/>
        <v>0.1</v>
      </c>
      <c r="BX35" s="824">
        <f t="shared" si="71"/>
        <v>1</v>
      </c>
      <c r="BY35" s="830">
        <f t="shared" si="72"/>
        <v>0.1</v>
      </c>
      <c r="BZ35" s="824">
        <f t="shared" si="73"/>
        <v>1</v>
      </c>
      <c r="CA35" s="830">
        <f t="shared" si="74"/>
        <v>0.1</v>
      </c>
      <c r="CB35" s="824">
        <f t="shared" si="75"/>
        <v>1</v>
      </c>
      <c r="CC35" s="830">
        <f t="shared" si="76"/>
        <v>0.1</v>
      </c>
      <c r="CD35" s="824">
        <f t="shared" si="77"/>
        <v>1</v>
      </c>
      <c r="CE35" s="830">
        <f t="shared" si="78"/>
        <v>0.1</v>
      </c>
      <c r="CG35" s="824">
        <f t="shared" si="31"/>
        <v>1</v>
      </c>
      <c r="CH35" s="824">
        <f t="shared" si="83"/>
        <v>0.1</v>
      </c>
      <c r="CI35" s="824">
        <f t="shared" si="84"/>
        <v>1</v>
      </c>
      <c r="CJ35" s="824">
        <f t="shared" si="85"/>
        <v>0.1</v>
      </c>
      <c r="CK35" s="824">
        <f t="shared" si="32"/>
        <v>1</v>
      </c>
      <c r="CM35" s="475">
        <f t="shared" si="33"/>
        <v>6</v>
      </c>
      <c r="CN35" s="475" t="str">
        <f>CN34</f>
        <v>tivozanib</v>
      </c>
      <c r="CO35" s="816"/>
      <c r="CP35" s="825">
        <f t="shared" si="82"/>
        <v>0</v>
      </c>
      <c r="CQ35" s="825">
        <f t="shared" si="79"/>
        <v>0</v>
      </c>
      <c r="CR35" s="825">
        <f t="shared" si="80"/>
        <v>0</v>
      </c>
      <c r="CS35" s="825">
        <f t="shared" si="81"/>
        <v>0</v>
      </c>
      <c r="CT35" s="1119"/>
      <c r="CU35" s="1119"/>
      <c r="CV35" s="1119"/>
      <c r="CW35" s="1119"/>
      <c r="CZ35" s="992" t="str" cm="1">
        <f t="array" ref="CZ35">_xlfn.IFNA(INDEX($EH$30:$EH$69,MATCH(1,($BA39=$ED$30:$ED$69)*(CZ$9=$EE$30:$EE$69),0)),"")</f>
        <v/>
      </c>
      <c r="DA35" s="992" t="str" cm="1">
        <f t="array" ref="DA35">_xlfn.IFNA(INDEX($EH$30:$EH$69,MATCH(1,($BA39=$ED$30:$ED$69)*(DA$9=$EE$30:$EE$69),0)),"")</f>
        <v/>
      </c>
      <c r="DB35" s="992" t="str" cm="1">
        <f t="array" ref="DB35">_xlfn.IFNA(INDEX($EH$30:$EH$69,MATCH(1,($BA39=$ED$30:$ED$69)*(DB$9=$EE$30:$EE$69),0)),"")</f>
        <v/>
      </c>
      <c r="DC35" s="992" t="str" cm="1">
        <f t="array" ref="DC35">_xlfn.IFNA(INDEX($EH$30:$EH$69,MATCH(1,($BA39=$ED$30:$ED$69)*(DC$9=$EE$30:$EE$69),0)),"")</f>
        <v/>
      </c>
      <c r="DJ35" s="1112">
        <v>0.86</v>
      </c>
      <c r="DK35" s="1112">
        <f>DJ35</f>
        <v>0.86</v>
      </c>
      <c r="DL35" s="1112">
        <v>0.86</v>
      </c>
      <c r="DM35" s="1112">
        <v>0.86</v>
      </c>
      <c r="DN35" s="1112">
        <v>0.86</v>
      </c>
      <c r="DO35" s="1112">
        <v>0.86</v>
      </c>
      <c r="DP35" s="1112">
        <f t="shared" si="87"/>
        <v>0.86</v>
      </c>
      <c r="DQ35" s="1112"/>
      <c r="EC35" s="219">
        <v>2</v>
      </c>
      <c r="ED35" s="797" t="str" cm="1">
        <f t="array" ref="ED35">INDEX(List_comparators,EC35+1)</f>
        <v>nivolumab_plus_ipilimumab</v>
      </c>
      <c r="EE35" s="219">
        <v>1</v>
      </c>
      <c r="EF35" s="964"/>
      <c r="EG35" s="964"/>
      <c r="EH35" s="964"/>
      <c r="EI35" s="219"/>
      <c r="EN35" s="1244" t="s">
        <v>1192</v>
      </c>
      <c r="EO35" s="1445">
        <f t="shared" si="21"/>
        <v>1</v>
      </c>
      <c r="EP35" s="1445">
        <f t="shared" si="22"/>
        <v>0.1</v>
      </c>
      <c r="EQ35" s="107">
        <f t="shared" si="23"/>
        <v>0.83899999999999997</v>
      </c>
      <c r="ER35" s="107">
        <f t="shared" si="24"/>
        <v>8.3900000000000002E-2</v>
      </c>
      <c r="ES35" s="107">
        <f t="shared" si="25"/>
        <v>0.83899999999999997</v>
      </c>
      <c r="ET35" s="107">
        <f t="shared" si="26"/>
        <v>8.3900000000000002E-2</v>
      </c>
      <c r="EU35" s="107">
        <f t="shared" si="27"/>
        <v>0.83899999999999997</v>
      </c>
      <c r="EV35" s="107">
        <f t="shared" si="28"/>
        <v>8.3900000000000002E-2</v>
      </c>
      <c r="EW35" s="1321">
        <v>0.89</v>
      </c>
      <c r="EX35" s="1321">
        <v>8.900000000000001E-2</v>
      </c>
      <c r="EY35" s="1321">
        <v>0.82899999999999996</v>
      </c>
      <c r="EZ35" s="1321">
        <v>8.2900000000000001E-2</v>
      </c>
      <c r="FA35" s="1321">
        <v>0.95</v>
      </c>
      <c r="FB35" s="1321">
        <v>9.5000000000000001E-2</v>
      </c>
      <c r="FC35" s="1321">
        <v>0.95</v>
      </c>
      <c r="FD35" s="1321">
        <v>9.5000000000000001E-2</v>
      </c>
      <c r="FF35" s="1247" t="s">
        <v>311</v>
      </c>
      <c r="FG35" s="1445">
        <v>1</v>
      </c>
      <c r="FH35" s="1445">
        <v>0.1</v>
      </c>
      <c r="FI35" s="107">
        <v>0.83899999999999997</v>
      </c>
      <c r="FJ35" s="107">
        <v>8.3900000000000002E-2</v>
      </c>
      <c r="FK35" s="107">
        <v>0.83899999999999997</v>
      </c>
      <c r="FL35" s="107">
        <v>8.3900000000000002E-2</v>
      </c>
      <c r="FM35" s="107">
        <v>0.83899999999999997</v>
      </c>
      <c r="FN35" s="107">
        <v>8.3900000000000002E-2</v>
      </c>
      <c r="FQ35" s="107">
        <v>0.81</v>
      </c>
      <c r="FR35" s="107">
        <v>8.1000000000000003E-2</v>
      </c>
      <c r="FS35" s="107">
        <v>0.83899999999999997</v>
      </c>
      <c r="FT35" s="107">
        <v>8.3900000000000002E-2</v>
      </c>
      <c r="FU35" s="107">
        <v>0.83899999999999997</v>
      </c>
      <c r="FV35" s="107">
        <v>8.3900000000000002E-2</v>
      </c>
      <c r="FW35" s="107">
        <v>0.83899999999999997</v>
      </c>
      <c r="FX35" s="107">
        <v>8.3900000000000002E-2</v>
      </c>
      <c r="GA35" s="107">
        <v>0.81</v>
      </c>
      <c r="GB35" s="107">
        <v>1.3000000000000001E-2</v>
      </c>
      <c r="GC35" s="107">
        <v>0.81</v>
      </c>
      <c r="GD35" s="107">
        <v>1.3000000000000001E-2</v>
      </c>
      <c r="GE35" s="107">
        <v>0.81</v>
      </c>
      <c r="GF35" s="107">
        <v>1.3000000000000001E-2</v>
      </c>
      <c r="GG35" s="107">
        <v>0.81</v>
      </c>
      <c r="GH35" s="107">
        <v>1.3000000000000001E-2</v>
      </c>
    </row>
    <row r="36" spans="2:190" ht="16.5" thickBot="1" x14ac:dyDescent="0.3">
      <c r="D36" s="1551" t="s">
        <v>315</v>
      </c>
      <c r="E36" s="1585"/>
      <c r="F36" s="1585"/>
      <c r="G36" s="1585"/>
      <c r="H36" s="1586"/>
      <c r="I36" s="123"/>
      <c r="J36" s="317" t="s">
        <v>287</v>
      </c>
      <c r="K36" s="1573"/>
      <c r="L36" s="1574"/>
      <c r="M36" s="321"/>
      <c r="N36" s="290"/>
      <c r="O36" s="291"/>
      <c r="P36" s="126"/>
      <c r="Q36" s="127"/>
      <c r="R36" s="373"/>
      <c r="S36" s="381"/>
      <c r="T36" s="276"/>
      <c r="U36" s="276"/>
      <c r="V36" s="128"/>
      <c r="W36" s="253">
        <v>197.25</v>
      </c>
      <c r="X36" s="342">
        <f>i_SE_costs*W36</f>
        <v>39.450000000000003</v>
      </c>
      <c r="Y36" s="449"/>
      <c r="Z36" s="450"/>
      <c r="AA36" s="328"/>
      <c r="AB36" s="276"/>
      <c r="AC36" s="276"/>
      <c r="AD36" s="886"/>
      <c r="AE36" s="293"/>
      <c r="AF36" s="398"/>
      <c r="AG36" s="293"/>
      <c r="AH36" s="1073"/>
      <c r="AI36" s="1086"/>
      <c r="AJ36" s="1138"/>
      <c r="AK36" s="1248"/>
      <c r="AN36" s="107" t="s">
        <v>288</v>
      </c>
      <c r="AZ36" s="991">
        <v>1</v>
      </c>
      <c r="BA36" s="180" t="str">
        <f>D41</f>
        <v>subsequent admin for tivozanib</v>
      </c>
      <c r="BB36" s="180" t="s">
        <v>1190</v>
      </c>
      <c r="BC36" s="180">
        <f>$BC$34</f>
        <v>6</v>
      </c>
      <c r="BD36" s="180" t="str">
        <f>J41</f>
        <v>per cycle</v>
      </c>
      <c r="BE36" s="1234"/>
      <c r="BF36" s="1234"/>
      <c r="BG36" s="1262"/>
      <c r="BH36" s="181">
        <f>W41</f>
        <v>11</v>
      </c>
      <c r="BI36" s="834">
        <f>X41</f>
        <v>2.2000000000000002</v>
      </c>
      <c r="BJ36" s="817">
        <f>BJ34</f>
        <v>4</v>
      </c>
      <c r="BK36" s="817">
        <f>BK34</f>
        <v>1</v>
      </c>
      <c r="BL36" s="833">
        <f>$BL$34</f>
        <v>0.94</v>
      </c>
      <c r="BM36" s="833">
        <f>$BM$34</f>
        <v>9.4E-2</v>
      </c>
      <c r="BN36" s="817">
        <f>BN34+BJ36</f>
        <v>5</v>
      </c>
      <c r="BO36" s="817">
        <f>BO34</f>
        <v>2089</v>
      </c>
      <c r="BP36" s="833">
        <f t="shared" si="63"/>
        <v>0.94</v>
      </c>
      <c r="BQ36" s="833">
        <f t="shared" si="64"/>
        <v>9.4E-2</v>
      </c>
      <c r="BR36" s="833">
        <f t="shared" si="65"/>
        <v>0.94</v>
      </c>
      <c r="BS36" s="833">
        <f t="shared" si="66"/>
        <v>9.4E-2</v>
      </c>
      <c r="BT36" s="833">
        <f t="shared" si="67"/>
        <v>0.94</v>
      </c>
      <c r="BU36" s="833">
        <f t="shared" si="68"/>
        <v>9.4E-2</v>
      </c>
      <c r="BV36" s="833">
        <f t="shared" si="69"/>
        <v>0.94</v>
      </c>
      <c r="BW36" s="833">
        <f t="shared" si="70"/>
        <v>9.4E-2</v>
      </c>
      <c r="BX36" s="1329">
        <f t="shared" si="71"/>
        <v>0.95</v>
      </c>
      <c r="BY36" s="833">
        <f t="shared" si="72"/>
        <v>9.5000000000000001E-2</v>
      </c>
      <c r="BZ36" s="1329">
        <f t="shared" si="73"/>
        <v>0.92</v>
      </c>
      <c r="CA36" s="833">
        <f t="shared" si="74"/>
        <v>9.2000000000000012E-2</v>
      </c>
      <c r="CB36" s="1329">
        <f t="shared" si="75"/>
        <v>1</v>
      </c>
      <c r="CC36" s="833">
        <f t="shared" si="76"/>
        <v>0.1</v>
      </c>
      <c r="CD36" s="1329">
        <f t="shared" si="77"/>
        <v>1</v>
      </c>
      <c r="CE36" s="833">
        <f t="shared" si="78"/>
        <v>0.1</v>
      </c>
      <c r="CF36" s="992"/>
      <c r="CG36" s="824">
        <f t="shared" si="31"/>
        <v>0.94</v>
      </c>
      <c r="CH36" s="824">
        <f t="shared" si="83"/>
        <v>9.4E-2</v>
      </c>
      <c r="CI36" s="824">
        <f t="shared" si="84"/>
        <v>0.94</v>
      </c>
      <c r="CJ36" s="824">
        <f t="shared" si="85"/>
        <v>9.4E-2</v>
      </c>
      <c r="CK36" s="824">
        <f t="shared" si="32"/>
        <v>0.94</v>
      </c>
      <c r="CL36" s="992"/>
      <c r="CM36" s="475">
        <f t="shared" si="33"/>
        <v>6</v>
      </c>
      <c r="CN36" s="475" t="str">
        <f>CN35</f>
        <v>tivozanib</v>
      </c>
      <c r="CO36" s="816"/>
      <c r="CP36" s="825">
        <f t="shared" si="82"/>
        <v>0</v>
      </c>
      <c r="CQ36" s="825">
        <f t="shared" si="79"/>
        <v>0</v>
      </c>
      <c r="CR36" s="825">
        <f t="shared" si="80"/>
        <v>0</v>
      </c>
      <c r="CS36" s="825">
        <f t="shared" si="81"/>
        <v>0</v>
      </c>
      <c r="CT36" s="1119"/>
      <c r="CU36" s="1119"/>
      <c r="CV36" s="1119"/>
      <c r="CW36" s="1119"/>
      <c r="CZ36" s="1326">
        <v>0.76</v>
      </c>
      <c r="DA36" s="1326" cm="1">
        <f t="array" ref="DA36">_xlfn.IFNA(INDEX($EH$30:$EH$69,MATCH(1,($BA40=$ED$30:$ED$69)*(DA$9=$EE$30:$EE$69),0)),"")</f>
        <v>0.77600000000000002</v>
      </c>
      <c r="DB36" s="1326" cm="1">
        <f t="array" ref="DB36">_xlfn.IFNA(INDEX($EH$30:$EH$69,MATCH(1,($BA40=$ED$30:$ED$69)*(DB$9=$EE$30:$EE$69),0)),"")</f>
        <v>0.65700000000000003</v>
      </c>
      <c r="DC36" s="1326" cm="1">
        <f t="array" ref="DC36">_xlfn.IFNA(INDEX($EH$30:$EH$69,MATCH(1,($BA40=$ED$30:$ED$69)*(DC$9=$EE$30:$EE$69),0)),"")</f>
        <v>0.65700000000000003</v>
      </c>
      <c r="DJ36" s="1110"/>
      <c r="DK36" s="1110"/>
      <c r="DL36" s="1110"/>
      <c r="DM36" s="1110"/>
      <c r="DN36" s="1110"/>
      <c r="DO36" s="1110"/>
      <c r="DP36" s="1110"/>
      <c r="DQ36" s="1112"/>
      <c r="EC36" s="219">
        <v>2</v>
      </c>
      <c r="ED36" s="797" t="s">
        <v>316</v>
      </c>
      <c r="EE36" s="219">
        <v>1</v>
      </c>
      <c r="EF36" s="964">
        <v>0.9</v>
      </c>
      <c r="EG36" s="964"/>
      <c r="EH36" s="964">
        <f>EF36</f>
        <v>0.9</v>
      </c>
      <c r="EI36" s="219"/>
      <c r="EN36" s="1244" t="s">
        <v>1193</v>
      </c>
      <c r="EO36" s="107">
        <f t="shared" si="21"/>
        <v>0.82299999999999995</v>
      </c>
      <c r="EP36" s="107">
        <f t="shared" si="22"/>
        <v>8.2299999999999998E-2</v>
      </c>
      <c r="EQ36" s="107">
        <f t="shared" si="23"/>
        <v>0.753</v>
      </c>
      <c r="ER36" s="107">
        <f t="shared" si="24"/>
        <v>7.5300000000000006E-2</v>
      </c>
      <c r="ES36" s="107">
        <f t="shared" si="25"/>
        <v>0.753</v>
      </c>
      <c r="ET36" s="107">
        <f t="shared" si="26"/>
        <v>7.5300000000000006E-2</v>
      </c>
      <c r="EU36" s="107">
        <f t="shared" si="27"/>
        <v>0.753</v>
      </c>
      <c r="EV36" s="107">
        <f t="shared" si="28"/>
        <v>7.5300000000000006E-2</v>
      </c>
      <c r="EW36" s="1321">
        <v>0.76</v>
      </c>
      <c r="EX36" s="1321">
        <v>8.6000000000000007E-2</v>
      </c>
      <c r="EY36" s="1321">
        <v>0.77600000000000002</v>
      </c>
      <c r="EZ36" s="1321">
        <v>7.7600000000000002E-2</v>
      </c>
      <c r="FA36" s="1321">
        <v>0.65700000000000003</v>
      </c>
      <c r="FB36" s="1321">
        <v>6.5700000000000008E-2</v>
      </c>
      <c r="FC36" s="1321">
        <v>0.65700000000000003</v>
      </c>
      <c r="FD36" s="1321">
        <v>6.5700000000000008E-2</v>
      </c>
      <c r="FF36" s="1247" t="s">
        <v>118</v>
      </c>
      <c r="FG36" s="107">
        <v>0.82299999999999995</v>
      </c>
      <c r="FH36" s="107">
        <v>8.2299999999999998E-2</v>
      </c>
      <c r="FI36" s="107">
        <v>0.753</v>
      </c>
      <c r="FJ36" s="107">
        <v>7.5300000000000006E-2</v>
      </c>
      <c r="FK36" s="107">
        <v>0.753</v>
      </c>
      <c r="FL36" s="107">
        <v>7.5300000000000006E-2</v>
      </c>
      <c r="FM36" s="107">
        <v>0.753</v>
      </c>
      <c r="FN36" s="107">
        <v>7.5300000000000006E-2</v>
      </c>
      <c r="FQ36" s="107">
        <v>0.82299999999999995</v>
      </c>
      <c r="FR36" s="107">
        <v>8.2299999999999998E-2</v>
      </c>
      <c r="FS36" s="107">
        <v>0.753</v>
      </c>
      <c r="FT36" s="107">
        <v>7.5300000000000006E-2</v>
      </c>
      <c r="FU36" s="107">
        <v>0.753</v>
      </c>
      <c r="FV36" s="107">
        <v>7.5300000000000006E-2</v>
      </c>
      <c r="FW36" s="107">
        <v>0.753</v>
      </c>
      <c r="FX36" s="107">
        <v>7.5300000000000006E-2</v>
      </c>
      <c r="GA36" s="107">
        <v>0.93299999999999994</v>
      </c>
      <c r="GB36" s="107">
        <v>9.3299999999999994E-2</v>
      </c>
      <c r="GC36" s="107">
        <v>0.93299999999999994</v>
      </c>
      <c r="GD36" s="107">
        <v>9.3299999999999994E-2</v>
      </c>
      <c r="GE36" s="107">
        <v>0.93299999999999994</v>
      </c>
      <c r="GF36" s="107">
        <v>9.3299999999999994E-2</v>
      </c>
      <c r="GG36" s="107">
        <v>0.93299999999999994</v>
      </c>
      <c r="GH36" s="107">
        <v>9.3299999999999994E-2</v>
      </c>
    </row>
    <row r="37" spans="2:190" ht="16.5" thickBot="1" x14ac:dyDescent="0.3">
      <c r="D37" s="1553" t="s">
        <v>317</v>
      </c>
      <c r="E37" s="1589"/>
      <c r="F37" s="1589"/>
      <c r="G37" s="1589"/>
      <c r="H37" s="1590"/>
      <c r="I37" s="141"/>
      <c r="J37" s="319" t="s">
        <v>267</v>
      </c>
      <c r="K37" s="1568"/>
      <c r="L37" s="1569"/>
      <c r="M37" s="322"/>
      <c r="N37" s="298"/>
      <c r="O37" s="299"/>
      <c r="P37" s="144"/>
      <c r="Q37" s="145"/>
      <c r="R37" s="375"/>
      <c r="S37" s="383"/>
      <c r="T37" s="300"/>
      <c r="U37" s="300"/>
      <c r="V37" s="146"/>
      <c r="W37" s="255">
        <v>11</v>
      </c>
      <c r="X37" s="972">
        <f>i_SE_costs*W37</f>
        <v>2.2000000000000002</v>
      </c>
      <c r="Y37" s="1273">
        <f>Y35</f>
        <v>0.86</v>
      </c>
      <c r="Z37" s="965">
        <f>Z35</f>
        <v>8.6000000000000007E-2</v>
      </c>
      <c r="AA37" s="330"/>
      <c r="AB37" s="300"/>
      <c r="AC37" s="300"/>
      <c r="AD37" s="888"/>
      <c r="AE37" s="307"/>
      <c r="AF37" s="400"/>
      <c r="AG37" s="307"/>
      <c r="AH37" s="1078"/>
      <c r="AI37" s="1086"/>
      <c r="AJ37" s="1138"/>
      <c r="AK37" s="1248"/>
      <c r="AZ37" s="991">
        <v>1</v>
      </c>
      <c r="BA37" s="485" t="str">
        <f>D29</f>
        <v>sunitinib</v>
      </c>
      <c r="BB37" s="485" t="s">
        <v>1192</v>
      </c>
      <c r="BC37" s="485">
        <f>I29</f>
        <v>7</v>
      </c>
      <c r="BD37" s="485" t="str">
        <f>J29</f>
        <v>per cycle</v>
      </c>
      <c r="BE37" s="1342">
        <f>CHOOSE(i_drug_price_options,AG29,AH29)</f>
        <v>466.04</v>
      </c>
      <c r="BF37" s="1342">
        <f>AG29</f>
        <v>466.04</v>
      </c>
      <c r="BG37" s="1343">
        <f t="shared" si="29"/>
        <v>0</v>
      </c>
      <c r="BH37" s="485"/>
      <c r="BI37" s="827"/>
      <c r="BJ37" s="826">
        <f>AA29</f>
        <v>6</v>
      </c>
      <c r="BK37" s="826">
        <f>AB29</f>
        <v>1</v>
      </c>
      <c r="BL37" s="828">
        <f>$Y$29</f>
        <v>0.83900000000000008</v>
      </c>
      <c r="BM37" s="828">
        <f>$Z$29</f>
        <v>8.3900000000000016E-2</v>
      </c>
      <c r="BN37" s="827">
        <f>AC29</f>
        <v>1</v>
      </c>
      <c r="BO37" s="827">
        <f>AD29</f>
        <v>2089</v>
      </c>
      <c r="BP37" s="1399">
        <f t="shared" si="63"/>
        <v>1</v>
      </c>
      <c r="BQ37" s="1334">
        <f t="shared" si="64"/>
        <v>0.1</v>
      </c>
      <c r="BR37" s="1133">
        <f t="shared" si="65"/>
        <v>0.83899999999999997</v>
      </c>
      <c r="BS37" s="828">
        <f t="shared" si="66"/>
        <v>8.3900000000000002E-2</v>
      </c>
      <c r="BT37" s="828">
        <f t="shared" si="67"/>
        <v>0.83899999999999997</v>
      </c>
      <c r="BU37" s="828">
        <f t="shared" si="68"/>
        <v>8.3900000000000002E-2</v>
      </c>
      <c r="BV37" s="828">
        <f t="shared" si="69"/>
        <v>0.83899999999999997</v>
      </c>
      <c r="BW37" s="828">
        <f t="shared" si="70"/>
        <v>8.3900000000000002E-2</v>
      </c>
      <c r="BX37" s="1330">
        <f t="shared" si="71"/>
        <v>0.89</v>
      </c>
      <c r="BY37" s="828">
        <f t="shared" si="72"/>
        <v>8.900000000000001E-2</v>
      </c>
      <c r="BZ37" s="1330">
        <f t="shared" si="73"/>
        <v>0.82899999999999996</v>
      </c>
      <c r="CA37" s="828">
        <f t="shared" si="74"/>
        <v>8.2900000000000001E-2</v>
      </c>
      <c r="CB37" s="1330">
        <f t="shared" si="75"/>
        <v>0.95</v>
      </c>
      <c r="CC37" s="828">
        <f t="shared" si="76"/>
        <v>9.5000000000000001E-2</v>
      </c>
      <c r="CD37" s="1330">
        <f t="shared" si="77"/>
        <v>0.95</v>
      </c>
      <c r="CE37" s="828">
        <f t="shared" si="78"/>
        <v>9.5000000000000001E-2</v>
      </c>
      <c r="CF37" s="992"/>
      <c r="CG37" s="1448">
        <f t="shared" si="31"/>
        <v>1</v>
      </c>
      <c r="CH37" s="824">
        <f t="shared" si="83"/>
        <v>0.1</v>
      </c>
      <c r="CI37" s="824">
        <f t="shared" si="84"/>
        <v>0.83899999999999997</v>
      </c>
      <c r="CJ37" s="824">
        <f t="shared" si="85"/>
        <v>8.3900000000000002E-2</v>
      </c>
      <c r="CK37" s="1448">
        <f t="shared" si="32"/>
        <v>1</v>
      </c>
      <c r="CL37" s="992"/>
      <c r="CM37" s="475">
        <f t="shared" si="33"/>
        <v>7</v>
      </c>
      <c r="CN37" s="475" t="str">
        <f t="shared" si="41"/>
        <v>sunitinib</v>
      </c>
      <c r="CO37" s="825">
        <f>AJ29</f>
        <v>77.673333333333332</v>
      </c>
      <c r="CP37" s="825">
        <f t="shared" si="82"/>
        <v>69.129266666666666</v>
      </c>
      <c r="CQ37" s="825">
        <f t="shared" si="79"/>
        <v>64.391193333333334</v>
      </c>
      <c r="CR37" s="825">
        <f t="shared" si="80"/>
        <v>73.789666666666662</v>
      </c>
      <c r="CS37" s="825">
        <f t="shared" si="81"/>
        <v>73.789666666666662</v>
      </c>
      <c r="CT37" s="1119"/>
      <c r="CU37" s="1119"/>
      <c r="CV37" s="1119"/>
      <c r="CW37" s="1119"/>
      <c r="CZ37" s="993" t="str" cm="1">
        <f t="array" ref="CZ37">_xlfn.IFNA(INDEX($EH$30:$EH$69,MATCH(1,($BA41=$ED$30:$ED$69)*(CZ$9=$EE$30:$EE$69),0)),"")</f>
        <v/>
      </c>
      <c r="DA37" s="993" t="str" cm="1">
        <f t="array" ref="DA37">_xlfn.IFNA(INDEX($EH$30:$EH$69,MATCH(1,($BA41=$ED$30:$ED$69)*(DA$9=$EE$30:$EE$69),0)),"")</f>
        <v/>
      </c>
      <c r="DB37" s="993" t="str" cm="1">
        <f t="array" ref="DB37">_xlfn.IFNA(INDEX($EH$30:$EH$69,MATCH(1,($BA41=$ED$30:$ED$69)*(DB$9=$EE$30:$EE$69),0)),"")</f>
        <v/>
      </c>
      <c r="DC37" s="993" t="str" cm="1">
        <f t="array" ref="DC37">_xlfn.IFNA(INDEX($EH$30:$EH$69,MATCH(1,($BA41=$ED$30:$ED$69)*(DC$9=$EE$30:$EE$69),0)),"")</f>
        <v/>
      </c>
      <c r="DJ37" s="1112">
        <v>0.86</v>
      </c>
      <c r="DK37" s="1112">
        <f>DJ37</f>
        <v>0.86</v>
      </c>
      <c r="DL37" s="1112">
        <v>0.86</v>
      </c>
      <c r="DM37" s="1112">
        <v>0.86</v>
      </c>
      <c r="DN37" s="1112">
        <v>0.86</v>
      </c>
      <c r="DO37" s="1112">
        <v>0.86</v>
      </c>
      <c r="DP37" s="1112">
        <f t="shared" ref="DP37:DP60" si="88">DJ37</f>
        <v>0.86</v>
      </c>
      <c r="DQ37" s="1112"/>
      <c r="EC37" s="219">
        <v>2</v>
      </c>
      <c r="ED37" s="797" t="s">
        <v>318</v>
      </c>
      <c r="EE37" s="219">
        <v>1</v>
      </c>
      <c r="EF37" s="1403">
        <v>1</v>
      </c>
      <c r="EG37" s="964"/>
      <c r="EH37" s="1403">
        <f>EF37</f>
        <v>1</v>
      </c>
      <c r="EI37" s="219"/>
      <c r="EN37" s="1244" t="s">
        <v>1193</v>
      </c>
      <c r="EO37" s="107">
        <f t="shared" si="21"/>
        <v>1</v>
      </c>
      <c r="EP37" s="107">
        <f t="shared" si="22"/>
        <v>0.1</v>
      </c>
      <c r="EQ37" s="107">
        <f t="shared" si="23"/>
        <v>1</v>
      </c>
      <c r="ER37" s="107">
        <f t="shared" si="24"/>
        <v>0.1</v>
      </c>
      <c r="ES37" s="107">
        <f t="shared" si="25"/>
        <v>1</v>
      </c>
      <c r="ET37" s="107">
        <f t="shared" si="26"/>
        <v>0.1</v>
      </c>
      <c r="EU37" s="107">
        <f t="shared" si="27"/>
        <v>1</v>
      </c>
      <c r="EV37" s="107">
        <f t="shared" si="28"/>
        <v>0.1</v>
      </c>
      <c r="EW37" s="1321">
        <v>1</v>
      </c>
      <c r="EX37" s="1321">
        <v>0.1</v>
      </c>
      <c r="EY37" s="1321">
        <v>1</v>
      </c>
      <c r="EZ37" s="1321">
        <v>0.1</v>
      </c>
      <c r="FA37" s="1321">
        <v>1</v>
      </c>
      <c r="FB37" s="1321">
        <v>0.1</v>
      </c>
      <c r="FC37" s="1321">
        <v>1</v>
      </c>
      <c r="FD37" s="1321">
        <v>0.1</v>
      </c>
      <c r="FF37" s="1247" t="s">
        <v>286</v>
      </c>
      <c r="FG37" s="107">
        <v>1</v>
      </c>
      <c r="FH37" s="107">
        <v>0.1</v>
      </c>
      <c r="FI37" s="107">
        <v>1</v>
      </c>
      <c r="FJ37" s="107">
        <v>0.1</v>
      </c>
      <c r="FK37" s="107">
        <v>1</v>
      </c>
      <c r="FL37" s="107">
        <v>0.1</v>
      </c>
      <c r="FM37" s="107">
        <v>1</v>
      </c>
      <c r="FN37" s="107">
        <v>0.1</v>
      </c>
      <c r="FQ37" s="107">
        <v>1</v>
      </c>
      <c r="FR37" s="107">
        <v>0.1</v>
      </c>
      <c r="FS37" s="107">
        <v>1</v>
      </c>
      <c r="FT37" s="107">
        <v>0.1</v>
      </c>
      <c r="FU37" s="107">
        <v>1</v>
      </c>
      <c r="FV37" s="107">
        <v>0.1</v>
      </c>
      <c r="FW37" s="107">
        <v>1</v>
      </c>
      <c r="FX37" s="107">
        <v>0.1</v>
      </c>
      <c r="GA37" s="107">
        <v>1</v>
      </c>
      <c r="GB37" s="107">
        <v>0.1</v>
      </c>
      <c r="GC37" s="107">
        <v>1</v>
      </c>
      <c r="GD37" s="107">
        <v>0.1</v>
      </c>
      <c r="GE37" s="107">
        <v>1</v>
      </c>
      <c r="GF37" s="107">
        <v>0.1</v>
      </c>
      <c r="GG37" s="107">
        <v>1</v>
      </c>
      <c r="GH37" s="107">
        <v>0.1</v>
      </c>
    </row>
    <row r="38" spans="2:190" ht="90.75" customHeight="1" x14ac:dyDescent="0.25">
      <c r="B38" s="785" t="e">
        <f>CHOOSE($Z$5,1,2,3,3)</f>
        <v>#VALUE!</v>
      </c>
      <c r="D38" s="1549" t="s">
        <v>319</v>
      </c>
      <c r="E38" s="1549"/>
      <c r="F38" s="1549"/>
      <c r="G38" s="1549"/>
      <c r="H38" s="1550"/>
      <c r="I38" s="121">
        <v>6</v>
      </c>
      <c r="J38" s="160" t="s">
        <v>267</v>
      </c>
      <c r="K38" s="1591">
        <v>2052</v>
      </c>
      <c r="L38" s="1592"/>
      <c r="M38" s="323">
        <v>21</v>
      </c>
      <c r="N38" s="113" t="s">
        <v>299</v>
      </c>
      <c r="O38" s="114">
        <v>1.34</v>
      </c>
      <c r="P38" s="115" t="s">
        <v>281</v>
      </c>
      <c r="Q38" s="116" t="s">
        <v>74</v>
      </c>
      <c r="R38" s="1310">
        <v>0</v>
      </c>
      <c r="S38" s="1311">
        <f>K38*(1-R38)</f>
        <v>2052</v>
      </c>
      <c r="T38" s="1686" t="s">
        <v>320</v>
      </c>
      <c r="U38" s="117" t="s">
        <v>283</v>
      </c>
      <c r="V38" s="117">
        <v>1.34</v>
      </c>
      <c r="W38" s="339" t="s">
        <v>272</v>
      </c>
      <c r="X38" s="975"/>
      <c r="Y38" s="1271">
        <f>CHOOSE(i_sc_RDI_num,100%,94%,CHOOSE($AA$5,CZ$30,DA$30,DB$30,DB$30),DK38,DP38)</f>
        <v>0.94</v>
      </c>
      <c r="Z38" s="1156">
        <f>IF(i_sc_RDI_num=3,i_SE_util*Y38,i_SE_util*Y38)</f>
        <v>9.4E-2</v>
      </c>
      <c r="AA38" s="346">
        <v>4</v>
      </c>
      <c r="AB38" s="117">
        <v>1</v>
      </c>
      <c r="AC38" s="117">
        <v>1</v>
      </c>
      <c r="AD38" s="885">
        <f>ROUNDUP(ui_time_horizon*365.25*i_days_to_weeks,0)+1</f>
        <v>2089</v>
      </c>
      <c r="AE38" s="297">
        <f>K38/O38</f>
        <v>1531.3432835820895</v>
      </c>
      <c r="AF38" s="462">
        <f>S38/O38</f>
        <v>1531.3432835820895</v>
      </c>
      <c r="AG38" s="119">
        <f>MIN(AE38:AE39)*V38</f>
        <v>2052</v>
      </c>
      <c r="AH38" s="1350">
        <f>MIN(AF38:AF39)*V38</f>
        <v>2052</v>
      </c>
      <c r="AI38" s="1137">
        <f>CHOOSE(i_drug_price_options,((AG38/28)*7)*Y38,((AH38/28)*7)*Y38)</f>
        <v>482.21999999999997</v>
      </c>
      <c r="AJ38" s="1353">
        <f>CHOOSE(i_drug_price_options,((AG38/28)*7),((AH38/28)*7))</f>
        <v>513</v>
      </c>
      <c r="AK38" s="1248"/>
      <c r="AM38" s="107" t="s">
        <v>321</v>
      </c>
      <c r="AO38" s="107" t="s">
        <v>322</v>
      </c>
      <c r="AZ38" s="991">
        <v>1</v>
      </c>
      <c r="BA38" s="485" t="str">
        <f>D32</f>
        <v>initial admin for sunitinib</v>
      </c>
      <c r="BB38" s="485" t="s">
        <v>1192</v>
      </c>
      <c r="BC38" s="219">
        <f>$BC$37</f>
        <v>7</v>
      </c>
      <c r="BD38" s="485" t="str">
        <f>J32</f>
        <v>one-off</v>
      </c>
      <c r="BE38" s="1232"/>
      <c r="BF38" s="1232"/>
      <c r="BG38" s="1263"/>
      <c r="BH38" s="466">
        <f>W32</f>
        <v>197.25</v>
      </c>
      <c r="BI38" s="825">
        <f>X32</f>
        <v>39.450000000000003</v>
      </c>
      <c r="BJ38" s="816"/>
      <c r="BK38" s="819">
        <f>BK39</f>
        <v>1</v>
      </c>
      <c r="BL38" s="835">
        <f>100%</f>
        <v>1</v>
      </c>
      <c r="BM38" s="830">
        <f>i_SE_util*BL38</f>
        <v>0.1</v>
      </c>
      <c r="BN38" s="816"/>
      <c r="BO38" s="816"/>
      <c r="BP38" s="1399">
        <f t="shared" si="63"/>
        <v>1</v>
      </c>
      <c r="BQ38" s="1335">
        <f t="shared" si="64"/>
        <v>0.1</v>
      </c>
      <c r="BR38" s="1336">
        <f t="shared" si="65"/>
        <v>1</v>
      </c>
      <c r="BS38" s="830">
        <f t="shared" si="66"/>
        <v>0.1</v>
      </c>
      <c r="BT38" s="830">
        <f t="shared" si="67"/>
        <v>1</v>
      </c>
      <c r="BU38" s="830">
        <f t="shared" si="68"/>
        <v>0.1</v>
      </c>
      <c r="BV38" s="830">
        <f t="shared" si="69"/>
        <v>1</v>
      </c>
      <c r="BW38" s="830">
        <f t="shared" si="70"/>
        <v>0.1</v>
      </c>
      <c r="BX38" s="824">
        <f t="shared" si="71"/>
        <v>1</v>
      </c>
      <c r="BY38" s="830">
        <f t="shared" si="72"/>
        <v>0.1</v>
      </c>
      <c r="BZ38" s="824">
        <f t="shared" si="73"/>
        <v>1</v>
      </c>
      <c r="CA38" s="830">
        <f t="shared" si="74"/>
        <v>0.1</v>
      </c>
      <c r="CB38" s="824">
        <f t="shared" si="75"/>
        <v>1</v>
      </c>
      <c r="CC38" s="830">
        <f t="shared" si="76"/>
        <v>0.1</v>
      </c>
      <c r="CD38" s="824">
        <f t="shared" si="77"/>
        <v>1</v>
      </c>
      <c r="CE38" s="830">
        <f t="shared" si="78"/>
        <v>0.1</v>
      </c>
      <c r="CG38" s="824">
        <f t="shared" si="31"/>
        <v>1</v>
      </c>
      <c r="CH38" s="824">
        <f t="shared" si="83"/>
        <v>0.1</v>
      </c>
      <c r="CI38" s="824">
        <f t="shared" si="84"/>
        <v>1</v>
      </c>
      <c r="CJ38" s="824">
        <f t="shared" si="85"/>
        <v>0.1</v>
      </c>
      <c r="CK38" s="824">
        <f t="shared" si="32"/>
        <v>1</v>
      </c>
      <c r="CM38" s="475">
        <f t="shared" si="33"/>
        <v>7</v>
      </c>
      <c r="CN38" s="475" t="str">
        <f>CN37</f>
        <v>sunitinib</v>
      </c>
      <c r="CO38" s="816"/>
      <c r="CP38" s="825">
        <f t="shared" si="82"/>
        <v>0</v>
      </c>
      <c r="CQ38" s="825">
        <f t="shared" si="79"/>
        <v>0</v>
      </c>
      <c r="CR38" s="825">
        <f t="shared" si="80"/>
        <v>0</v>
      </c>
      <c r="CS38" s="825">
        <f t="shared" si="81"/>
        <v>0</v>
      </c>
      <c r="CT38" s="1119"/>
      <c r="CU38" s="1119"/>
      <c r="CV38" s="1119"/>
      <c r="CW38" s="1119"/>
      <c r="CZ38" s="992" t="str" cm="1">
        <f t="array" ref="CZ38">_xlfn.IFNA(INDEX($EH$30:$EH$69,MATCH(1,($BA42=$ED$30:$ED$69)*(CZ$9=$EE$30:$EE$69),0)),"")</f>
        <v/>
      </c>
      <c r="DA38" s="992" t="str" cm="1">
        <f t="array" ref="DA38">_xlfn.IFNA(INDEX($EH$30:$EH$69,MATCH(1,($BA42=$ED$30:$ED$69)*(DA$9=$EE$30:$EE$69),0)),"")</f>
        <v/>
      </c>
      <c r="DB38" s="992" t="str" cm="1">
        <f t="array" ref="DB38">_xlfn.IFNA(INDEX($EH$30:$EH$69,MATCH(1,($BA42=$ED$30:$ED$69)*(DB$9=$EE$30:$EE$69),0)),"")</f>
        <v/>
      </c>
      <c r="DC38" s="992" t="str" cm="1">
        <f t="array" ref="DC38">_xlfn.IFNA(INDEX($EH$30:$EH$69,MATCH(1,($BA42=$ED$30:$ED$69)*(DC$9=$EE$30:$EE$69),0)),"")</f>
        <v/>
      </c>
      <c r="DJ38" s="1112">
        <v>0.94</v>
      </c>
      <c r="DK38" s="1112">
        <f>DJ38</f>
        <v>0.94</v>
      </c>
      <c r="DL38" s="1112">
        <v>0.94</v>
      </c>
      <c r="DM38" s="1112">
        <v>0.94</v>
      </c>
      <c r="DN38" s="1112">
        <v>0.94</v>
      </c>
      <c r="DO38" s="1112">
        <v>0.94</v>
      </c>
      <c r="DP38" s="1112">
        <f t="shared" si="88"/>
        <v>0.94</v>
      </c>
      <c r="DQ38" s="1112"/>
      <c r="EC38" s="219">
        <v>2</v>
      </c>
      <c r="ED38" s="797" t="s">
        <v>290</v>
      </c>
      <c r="EE38" s="219">
        <v>1</v>
      </c>
      <c r="EF38" s="964">
        <v>0.9</v>
      </c>
      <c r="EG38" s="964"/>
      <c r="EH38" s="964">
        <f>EF38</f>
        <v>0.9</v>
      </c>
      <c r="EI38" s="219"/>
      <c r="EN38" s="1244" t="s">
        <v>1193</v>
      </c>
      <c r="EO38" s="107">
        <f t="shared" si="21"/>
        <v>0.82299999999999995</v>
      </c>
      <c r="EP38" s="107">
        <f t="shared" si="22"/>
        <v>8.2299999999999998E-2</v>
      </c>
      <c r="EQ38" s="107">
        <f t="shared" si="23"/>
        <v>0.753</v>
      </c>
      <c r="ER38" s="107">
        <f t="shared" si="24"/>
        <v>7.5300000000000006E-2</v>
      </c>
      <c r="ES38" s="107">
        <f t="shared" si="25"/>
        <v>0.753</v>
      </c>
      <c r="ET38" s="107">
        <f t="shared" si="26"/>
        <v>7.5300000000000006E-2</v>
      </c>
      <c r="EU38" s="107">
        <f t="shared" si="27"/>
        <v>0.753</v>
      </c>
      <c r="EV38" s="107">
        <f t="shared" si="28"/>
        <v>7.5300000000000006E-2</v>
      </c>
      <c r="EW38" s="1321">
        <v>0.86</v>
      </c>
      <c r="EX38" s="1321">
        <v>8.6000000000000007E-2</v>
      </c>
      <c r="EY38" s="1321">
        <v>0.77600000000000002</v>
      </c>
      <c r="EZ38" s="1321">
        <v>7.7600000000000002E-2</v>
      </c>
      <c r="FA38" s="1321">
        <v>0.65700000000000003</v>
      </c>
      <c r="FB38" s="1321">
        <v>6.5700000000000008E-2</v>
      </c>
      <c r="FC38" s="1321">
        <v>0.65700000000000003</v>
      </c>
      <c r="FD38" s="1321">
        <v>6.5700000000000008E-2</v>
      </c>
      <c r="FF38" s="1247" t="s">
        <v>289</v>
      </c>
      <c r="FG38" s="107">
        <v>0.82299999999999995</v>
      </c>
      <c r="FH38" s="107">
        <v>8.2299999999999998E-2</v>
      </c>
      <c r="FI38" s="107">
        <v>0.753</v>
      </c>
      <c r="FJ38" s="107">
        <v>7.5300000000000006E-2</v>
      </c>
      <c r="FK38" s="107">
        <v>0.753</v>
      </c>
      <c r="FL38" s="107">
        <v>7.5300000000000006E-2</v>
      </c>
      <c r="FM38" s="107">
        <v>0.753</v>
      </c>
      <c r="FN38" s="107">
        <v>7.5300000000000006E-2</v>
      </c>
      <c r="FQ38" s="107">
        <v>0.82299999999999995</v>
      </c>
      <c r="FR38" s="107">
        <v>8.2299999999999998E-2</v>
      </c>
      <c r="FS38" s="107">
        <v>0.753</v>
      </c>
      <c r="FT38" s="107">
        <v>7.5300000000000006E-2</v>
      </c>
      <c r="FU38" s="107">
        <v>0.753</v>
      </c>
      <c r="FV38" s="107">
        <v>7.5300000000000006E-2</v>
      </c>
      <c r="FW38" s="107">
        <v>0.753</v>
      </c>
      <c r="FX38" s="107">
        <v>7.5300000000000006E-2</v>
      </c>
      <c r="GA38" s="107">
        <v>0.93299999999999994</v>
      </c>
      <c r="GB38" s="107">
        <v>9.3299999999999994E-2</v>
      </c>
      <c r="GC38" s="107">
        <v>0.93299999999999994</v>
      </c>
      <c r="GD38" s="107">
        <v>9.3299999999999994E-2</v>
      </c>
      <c r="GE38" s="107">
        <v>0.93299999999999994</v>
      </c>
      <c r="GF38" s="107">
        <v>9.3299999999999994E-2</v>
      </c>
      <c r="GG38" s="107">
        <v>0.93299999999999994</v>
      </c>
      <c r="GH38" s="107">
        <v>9.3299999999999994E-2</v>
      </c>
    </row>
    <row r="39" spans="2:190" ht="16.5" thickBot="1" x14ac:dyDescent="0.3">
      <c r="D39" s="1549" t="str">
        <f>D38</f>
        <v>tivozanib</v>
      </c>
      <c r="E39" s="1549"/>
      <c r="F39" s="1549"/>
      <c r="G39" s="1549"/>
      <c r="H39" s="1550"/>
      <c r="I39" s="121"/>
      <c r="J39" s="160" t="s">
        <v>267</v>
      </c>
      <c r="K39" s="1570">
        <v>2052</v>
      </c>
      <c r="L39" s="1571"/>
      <c r="M39" s="323">
        <v>21</v>
      </c>
      <c r="N39" s="113" t="s">
        <v>299</v>
      </c>
      <c r="O39" s="114">
        <v>0.89</v>
      </c>
      <c r="P39" s="115" t="s">
        <v>281</v>
      </c>
      <c r="Q39" s="116" t="s">
        <v>74</v>
      </c>
      <c r="R39" s="1310">
        <v>0</v>
      </c>
      <c r="S39" s="1311">
        <f>K39*(1-R39)</f>
        <v>2052</v>
      </c>
      <c r="T39" s="1687"/>
      <c r="U39" s="117"/>
      <c r="V39" s="117"/>
      <c r="W39" s="339"/>
      <c r="X39" s="975"/>
      <c r="Y39" s="1273">
        <f>CHOOSE(i_sc_RDI_num,100%,94%,CHOOSE($AA$5,CZ$30,DA$30,DB$30,DB$30),DK39,DP39)</f>
        <v>0.94</v>
      </c>
      <c r="Z39" s="1156">
        <f>IF(i_sc_RDI_num=3,i_SE_util*Y39,i_SE_util*Y39)</f>
        <v>9.4E-2</v>
      </c>
      <c r="AA39" s="346">
        <v>4</v>
      </c>
      <c r="AB39" s="117">
        <v>1</v>
      </c>
      <c r="AC39" s="117">
        <v>1</v>
      </c>
      <c r="AD39" s="886">
        <f>ROUNDUP(ui_time_horizon*365.25*i_days_to_weeks,0)+1</f>
        <v>2089</v>
      </c>
      <c r="AE39" s="292">
        <f>K39/O39</f>
        <v>2305.6179775280898</v>
      </c>
      <c r="AF39" s="461">
        <f>S39/O39</f>
        <v>2305.6179775280898</v>
      </c>
      <c r="AG39" s="120"/>
      <c r="AH39" s="1080"/>
      <c r="AI39" s="1086"/>
      <c r="AJ39" s="1353">
        <f>AJ38</f>
        <v>513</v>
      </c>
      <c r="AK39" s="1248"/>
      <c r="AZ39" s="991">
        <v>2</v>
      </c>
      <c r="BA39" s="180" t="str">
        <f>D33</f>
        <v>subsequent admin for sunitinib</v>
      </c>
      <c r="BB39" s="180" t="s">
        <v>1192</v>
      </c>
      <c r="BC39" s="180">
        <f>$BC$37</f>
        <v>7</v>
      </c>
      <c r="BD39" s="180" t="str">
        <f>J33</f>
        <v>per cycle</v>
      </c>
      <c r="BE39" s="1234"/>
      <c r="BF39" s="1234"/>
      <c r="BG39" s="1262"/>
      <c r="BH39" s="181">
        <f>W33</f>
        <v>11</v>
      </c>
      <c r="BI39" s="834">
        <f>X33</f>
        <v>2.2000000000000002</v>
      </c>
      <c r="BJ39" s="818">
        <f>BJ37</f>
        <v>6</v>
      </c>
      <c r="BK39" s="818">
        <f>BK37</f>
        <v>1</v>
      </c>
      <c r="BL39" s="833">
        <f>$BL$37</f>
        <v>0.83900000000000008</v>
      </c>
      <c r="BM39" s="833">
        <f>$BM$37</f>
        <v>8.3900000000000016E-2</v>
      </c>
      <c r="BN39" s="818">
        <f>BN37+BJ39</f>
        <v>7</v>
      </c>
      <c r="BO39" s="817">
        <f>BO37</f>
        <v>2089</v>
      </c>
      <c r="BP39" s="1400">
        <f t="shared" si="63"/>
        <v>1</v>
      </c>
      <c r="BQ39" s="1337">
        <f t="shared" si="64"/>
        <v>0.1</v>
      </c>
      <c r="BR39" s="1338">
        <f t="shared" si="65"/>
        <v>0.83899999999999997</v>
      </c>
      <c r="BS39" s="833">
        <f t="shared" si="66"/>
        <v>8.3900000000000002E-2</v>
      </c>
      <c r="BT39" s="833">
        <f t="shared" si="67"/>
        <v>0.83899999999999997</v>
      </c>
      <c r="BU39" s="833">
        <f t="shared" si="68"/>
        <v>8.3900000000000002E-2</v>
      </c>
      <c r="BV39" s="833">
        <f t="shared" si="69"/>
        <v>0.83899999999999997</v>
      </c>
      <c r="BW39" s="833">
        <f t="shared" si="70"/>
        <v>8.3900000000000002E-2</v>
      </c>
      <c r="BX39" s="1329">
        <f t="shared" si="71"/>
        <v>0.89</v>
      </c>
      <c r="BY39" s="833">
        <f t="shared" si="72"/>
        <v>8.900000000000001E-2</v>
      </c>
      <c r="BZ39" s="1329">
        <f t="shared" si="73"/>
        <v>0.82899999999999996</v>
      </c>
      <c r="CA39" s="833">
        <f t="shared" si="74"/>
        <v>8.2900000000000001E-2</v>
      </c>
      <c r="CB39" s="1329">
        <f t="shared" si="75"/>
        <v>0.95</v>
      </c>
      <c r="CC39" s="833">
        <f t="shared" si="76"/>
        <v>9.5000000000000001E-2</v>
      </c>
      <c r="CD39" s="1329">
        <f t="shared" si="77"/>
        <v>0.95</v>
      </c>
      <c r="CE39" s="833">
        <f t="shared" si="78"/>
        <v>9.5000000000000001E-2</v>
      </c>
      <c r="CF39" s="992"/>
      <c r="CG39" s="1448">
        <f t="shared" si="31"/>
        <v>1</v>
      </c>
      <c r="CH39" s="824">
        <f t="shared" si="83"/>
        <v>0.1</v>
      </c>
      <c r="CI39" s="824">
        <f t="shared" si="84"/>
        <v>0.83899999999999997</v>
      </c>
      <c r="CJ39" s="824">
        <f t="shared" si="85"/>
        <v>8.3900000000000002E-2</v>
      </c>
      <c r="CK39" s="1448">
        <f t="shared" si="32"/>
        <v>1</v>
      </c>
      <c r="CL39" s="992"/>
      <c r="CM39" s="475">
        <f t="shared" si="33"/>
        <v>7</v>
      </c>
      <c r="CN39" s="475" t="str">
        <f>CN38</f>
        <v>sunitinib</v>
      </c>
      <c r="CO39" s="816"/>
      <c r="CP39" s="825">
        <f t="shared" si="82"/>
        <v>0</v>
      </c>
      <c r="CQ39" s="825">
        <f t="shared" si="79"/>
        <v>0</v>
      </c>
      <c r="CR39" s="825">
        <f t="shared" si="80"/>
        <v>0</v>
      </c>
      <c r="CS39" s="825">
        <f t="shared" si="81"/>
        <v>0</v>
      </c>
      <c r="CT39" s="1119"/>
      <c r="CU39" s="1119"/>
      <c r="CV39" s="1119"/>
      <c r="CW39" s="1119"/>
      <c r="CZ39" s="1326">
        <v>1</v>
      </c>
      <c r="DA39" s="1326">
        <v>1</v>
      </c>
      <c r="DB39" s="1326">
        <v>1</v>
      </c>
      <c r="DC39" s="1326">
        <v>1</v>
      </c>
      <c r="DJ39" s="1112">
        <v>0.94</v>
      </c>
      <c r="DK39" s="1112">
        <f>DJ39</f>
        <v>0.94</v>
      </c>
      <c r="DL39" s="1112">
        <v>0.94</v>
      </c>
      <c r="DM39" s="1112">
        <v>0.94</v>
      </c>
      <c r="DN39" s="1112">
        <v>0.94</v>
      </c>
      <c r="DO39" s="1112">
        <v>0.94</v>
      </c>
      <c r="DP39" s="1112">
        <f t="shared" si="88"/>
        <v>0.94</v>
      </c>
      <c r="DQ39" s="1112"/>
      <c r="EC39" s="219">
        <v>3</v>
      </c>
      <c r="ED39" s="797" t="str" cm="1">
        <f t="array" ref="ED39">INDEX(List_comparators,EC39+1)</f>
        <v>lenvatinib_plus_pembrolizumab</v>
      </c>
      <c r="EE39" s="219">
        <v>1</v>
      </c>
      <c r="EF39" s="964"/>
      <c r="EG39" s="964"/>
      <c r="EH39" s="964"/>
      <c r="EI39" s="219"/>
      <c r="EN39" s="1244" t="s">
        <v>1735</v>
      </c>
      <c r="EO39" s="107">
        <f t="shared" si="21"/>
        <v>1</v>
      </c>
      <c r="EP39" s="107">
        <f t="shared" si="22"/>
        <v>0.1</v>
      </c>
      <c r="EQ39" s="107">
        <f t="shared" si="23"/>
        <v>1</v>
      </c>
      <c r="ER39" s="107">
        <f t="shared" si="24"/>
        <v>0.1</v>
      </c>
      <c r="ES39" s="107">
        <f t="shared" si="25"/>
        <v>1</v>
      </c>
      <c r="ET39" s="107">
        <f t="shared" si="26"/>
        <v>0.1</v>
      </c>
      <c r="EU39" s="107">
        <f t="shared" si="27"/>
        <v>1</v>
      </c>
      <c r="EV39" s="107">
        <f t="shared" si="28"/>
        <v>0.1</v>
      </c>
      <c r="EW39" s="1321">
        <f>IF(i_RDI_new_bc=1,1,0.672)</f>
        <v>1</v>
      </c>
      <c r="EX39" s="1321">
        <f>EW39*0.1</f>
        <v>0.1</v>
      </c>
      <c r="EY39" s="1321">
        <f>IF(i_RDI_new_bc=1,1,0.672)</f>
        <v>1</v>
      </c>
      <c r="EZ39" s="1321">
        <f>EY39*0.1</f>
        <v>0.1</v>
      </c>
      <c r="FA39" s="1321">
        <f>IF(i_RDI_new_bc=1,1,0.672)</f>
        <v>1</v>
      </c>
      <c r="FB39" s="1321">
        <f>FA39*0.1</f>
        <v>0.1</v>
      </c>
      <c r="FC39" s="1321">
        <f>IF(i_RDI_new_bc=1,1,0.672)</f>
        <v>1</v>
      </c>
      <c r="FD39" s="1321">
        <f>FC39*0.1</f>
        <v>0.1</v>
      </c>
      <c r="FF39" s="1247" t="s">
        <v>301</v>
      </c>
      <c r="FG39" s="107">
        <v>1</v>
      </c>
      <c r="FH39" s="107">
        <v>0.1</v>
      </c>
      <c r="FI39" s="107">
        <v>1</v>
      </c>
      <c r="FJ39" s="107">
        <v>0.1</v>
      </c>
      <c r="FK39" s="107">
        <v>1</v>
      </c>
      <c r="FL39" s="107">
        <v>0.1</v>
      </c>
      <c r="FM39" s="107">
        <v>1</v>
      </c>
      <c r="FN39" s="107">
        <v>0.1</v>
      </c>
      <c r="FQ39" s="107">
        <v>0.73499999999999999</v>
      </c>
      <c r="FR39" s="107">
        <v>7.3499999999999996E-2</v>
      </c>
      <c r="FS39" s="107">
        <v>0.73499999999999999</v>
      </c>
      <c r="FT39" s="107">
        <v>7.3499999999999996E-2</v>
      </c>
      <c r="FU39" s="107">
        <v>0.73499999999999999</v>
      </c>
      <c r="FV39" s="107">
        <v>7.3499999999999996E-2</v>
      </c>
      <c r="FW39" s="107">
        <v>0.73499999999999999</v>
      </c>
      <c r="FX39" s="107">
        <v>7.3499999999999996E-2</v>
      </c>
      <c r="GA39" s="107">
        <v>0.70400000000000007</v>
      </c>
      <c r="GB39" s="107">
        <v>7.0400000000000004E-2</v>
      </c>
      <c r="GC39" s="107">
        <v>0.70400000000000007</v>
      </c>
      <c r="GD39" s="107">
        <v>7.0400000000000004E-2</v>
      </c>
      <c r="GE39" s="107">
        <v>0.70400000000000007</v>
      </c>
      <c r="GF39" s="107">
        <v>7.0400000000000004E-2</v>
      </c>
      <c r="GG39" s="107">
        <v>0.70400000000000007</v>
      </c>
      <c r="GH39" s="107">
        <v>7.0400000000000004E-2</v>
      </c>
    </row>
    <row r="40" spans="2:190" ht="15.75" x14ac:dyDescent="0.25">
      <c r="D40" s="1549" t="s">
        <v>323</v>
      </c>
      <c r="E40" s="1549"/>
      <c r="F40" s="1549"/>
      <c r="G40" s="1549"/>
      <c r="H40" s="1550"/>
      <c r="I40" s="121"/>
      <c r="J40" s="160" t="s">
        <v>287</v>
      </c>
      <c r="K40" s="1573"/>
      <c r="L40" s="1574"/>
      <c r="M40" s="323"/>
      <c r="N40" s="113"/>
      <c r="O40" s="114"/>
      <c r="P40" s="115"/>
      <c r="Q40" s="116"/>
      <c r="R40" s="854"/>
      <c r="S40" s="855"/>
      <c r="T40" s="117"/>
      <c r="U40" s="117"/>
      <c r="V40" s="117"/>
      <c r="W40" s="253">
        <v>197.25</v>
      </c>
      <c r="X40" s="342">
        <f>i_SE_costs*W40</f>
        <v>39.450000000000003</v>
      </c>
      <c r="Y40" s="449"/>
      <c r="Z40" s="455"/>
      <c r="AA40" s="331"/>
      <c r="AB40" s="117"/>
      <c r="AC40" s="117"/>
      <c r="AD40" s="889"/>
      <c r="AE40" s="120"/>
      <c r="AF40" s="401"/>
      <c r="AG40" s="120"/>
      <c r="AH40" s="1080"/>
      <c r="AI40" s="1086"/>
      <c r="AJ40" s="1138"/>
      <c r="AK40" s="1248"/>
      <c r="AN40" s="107" t="s">
        <v>288</v>
      </c>
      <c r="AZ40" s="991">
        <v>2</v>
      </c>
      <c r="BA40" s="485" t="str">
        <f>D16</f>
        <v>cabozantinib</v>
      </c>
      <c r="BB40" s="485" t="s">
        <v>1193</v>
      </c>
      <c r="BC40" s="485">
        <f>I16</f>
        <v>8</v>
      </c>
      <c r="BD40" s="485" t="str">
        <f>J16</f>
        <v>per cycle</v>
      </c>
      <c r="BE40" s="1342">
        <f>CHOOSE(i_drug_price_options,AG16,AH16)</f>
        <v>5143</v>
      </c>
      <c r="BF40" s="1342">
        <f>AG16</f>
        <v>5143</v>
      </c>
      <c r="BG40" s="1343">
        <f t="shared" si="29"/>
        <v>0</v>
      </c>
      <c r="BH40" s="485"/>
      <c r="BI40" s="827"/>
      <c r="BJ40" s="826">
        <f>AA16</f>
        <v>4.2857142857142856</v>
      </c>
      <c r="BK40" s="826">
        <f>AB16</f>
        <v>1</v>
      </c>
      <c r="BL40" s="828">
        <f>$Y$16</f>
        <v>0.93299999999999994</v>
      </c>
      <c r="BM40" s="828">
        <f>$Z$16</f>
        <v>9.3299999999999994E-2</v>
      </c>
      <c r="BN40" s="827">
        <f>AC16</f>
        <v>1</v>
      </c>
      <c r="BO40" s="827">
        <f>AD16</f>
        <v>2089</v>
      </c>
      <c r="BP40" s="828">
        <f t="shared" si="63"/>
        <v>0.82299999999999995</v>
      </c>
      <c r="BQ40" s="828">
        <f t="shared" si="64"/>
        <v>8.2299999999999998E-2</v>
      </c>
      <c r="BR40" s="828">
        <f t="shared" si="65"/>
        <v>0.753</v>
      </c>
      <c r="BS40" s="828">
        <f t="shared" si="66"/>
        <v>7.5300000000000006E-2</v>
      </c>
      <c r="BT40" s="828">
        <f t="shared" si="67"/>
        <v>0.753</v>
      </c>
      <c r="BU40" s="828">
        <f t="shared" si="68"/>
        <v>7.5300000000000006E-2</v>
      </c>
      <c r="BV40" s="828">
        <f t="shared" si="69"/>
        <v>0.753</v>
      </c>
      <c r="BW40" s="828">
        <f t="shared" si="70"/>
        <v>7.5300000000000006E-2</v>
      </c>
      <c r="BX40" s="1330">
        <f t="shared" si="71"/>
        <v>0.76</v>
      </c>
      <c r="BY40" s="828">
        <f t="shared" si="72"/>
        <v>8.6000000000000007E-2</v>
      </c>
      <c r="BZ40" s="1330">
        <f t="shared" si="73"/>
        <v>0.77600000000000002</v>
      </c>
      <c r="CA40" s="828">
        <f t="shared" si="74"/>
        <v>7.7600000000000002E-2</v>
      </c>
      <c r="CB40" s="1330">
        <f t="shared" si="75"/>
        <v>0.65700000000000003</v>
      </c>
      <c r="CC40" s="828">
        <f t="shared" si="76"/>
        <v>6.5700000000000008E-2</v>
      </c>
      <c r="CD40" s="1330">
        <f t="shared" si="77"/>
        <v>0.65700000000000003</v>
      </c>
      <c r="CE40" s="828">
        <f t="shared" si="78"/>
        <v>6.5700000000000008E-2</v>
      </c>
      <c r="CF40" s="992"/>
      <c r="CG40" s="824">
        <f t="shared" si="31"/>
        <v>0.82299999999999995</v>
      </c>
      <c r="CH40" s="824">
        <f t="shared" si="83"/>
        <v>8.2299999999999998E-2</v>
      </c>
      <c r="CI40" s="824">
        <f t="shared" si="84"/>
        <v>0.753</v>
      </c>
      <c r="CJ40" s="824">
        <f t="shared" si="85"/>
        <v>7.5300000000000006E-2</v>
      </c>
      <c r="CK40" s="824">
        <f t="shared" si="32"/>
        <v>0.82299999999999995</v>
      </c>
      <c r="CL40" s="992"/>
      <c r="CM40" s="475">
        <f t="shared" si="33"/>
        <v>8</v>
      </c>
      <c r="CN40" s="475" t="str">
        <f t="shared" si="41"/>
        <v>cabozantinib</v>
      </c>
      <c r="CO40" s="825">
        <f>AJ16</f>
        <v>1200.0333333333333</v>
      </c>
      <c r="CP40" s="825">
        <f t="shared" si="82"/>
        <v>912.02533333333326</v>
      </c>
      <c r="CQ40" s="825">
        <f t="shared" si="79"/>
        <v>931.22586666666666</v>
      </c>
      <c r="CR40" s="825">
        <f t="shared" si="80"/>
        <v>788.42190000000005</v>
      </c>
      <c r="CS40" s="825">
        <f t="shared" si="81"/>
        <v>788.42190000000005</v>
      </c>
      <c r="CT40" s="1119"/>
      <c r="CU40" s="1119"/>
      <c r="CV40" s="1119"/>
      <c r="CW40" s="1119"/>
      <c r="CZ40" s="1326">
        <v>1</v>
      </c>
      <c r="DA40" s="1326">
        <v>1</v>
      </c>
      <c r="DB40" s="1326">
        <v>1</v>
      </c>
      <c r="DC40" s="1326">
        <v>1</v>
      </c>
      <c r="DJ40" s="1112"/>
      <c r="DP40" s="1112"/>
      <c r="DQ40" s="1112"/>
      <c r="EC40" s="219">
        <v>3</v>
      </c>
      <c r="ED40" s="797" t="s">
        <v>301</v>
      </c>
      <c r="EE40" s="219">
        <v>1</v>
      </c>
      <c r="EF40" s="964">
        <v>0.70499999999999996</v>
      </c>
      <c r="EG40" s="964"/>
      <c r="EH40" s="964">
        <f>EF40</f>
        <v>0.70499999999999996</v>
      </c>
      <c r="EI40" s="219"/>
      <c r="EN40" s="1244" t="s">
        <v>1195</v>
      </c>
      <c r="EO40" s="107">
        <f t="shared" si="21"/>
        <v>0.89300000000000002</v>
      </c>
      <c r="EP40" s="107">
        <f t="shared" si="22"/>
        <v>8.9300000000000004E-2</v>
      </c>
      <c r="EQ40" s="107">
        <f t="shared" si="23"/>
        <v>0.89300000000000002</v>
      </c>
      <c r="ER40" s="107">
        <f t="shared" si="24"/>
        <v>8.9300000000000004E-2</v>
      </c>
      <c r="ES40" s="107">
        <f t="shared" si="25"/>
        <v>0.89300000000000002</v>
      </c>
      <c r="ET40" s="107">
        <f t="shared" si="26"/>
        <v>8.9300000000000004E-2</v>
      </c>
      <c r="EU40" s="107">
        <f t="shared" si="27"/>
        <v>0.89300000000000002</v>
      </c>
      <c r="EV40" s="107">
        <f t="shared" si="28"/>
        <v>8.9300000000000004E-2</v>
      </c>
      <c r="EW40" s="1321">
        <v>0.48</v>
      </c>
      <c r="EX40" s="1321">
        <v>4.8000000000000001E-2</v>
      </c>
      <c r="EY40" s="1321">
        <v>0.48</v>
      </c>
      <c r="EZ40" s="1321">
        <v>4.8000000000000001E-2</v>
      </c>
      <c r="FA40" s="1321">
        <v>0.48</v>
      </c>
      <c r="FB40" s="1321">
        <v>4.8000000000000001E-2</v>
      </c>
      <c r="FC40" s="1321">
        <v>0.48</v>
      </c>
      <c r="FD40" s="1321">
        <v>4.8000000000000001E-2</v>
      </c>
      <c r="FF40" s="1247" t="s">
        <v>1749</v>
      </c>
      <c r="FG40" s="107">
        <v>0.89300000000000002</v>
      </c>
      <c r="FH40" s="107">
        <v>8.9300000000000004E-2</v>
      </c>
      <c r="FI40" s="107">
        <v>0.89300000000000002</v>
      </c>
      <c r="FJ40" s="107">
        <v>8.9300000000000004E-2</v>
      </c>
      <c r="FK40" s="107">
        <v>0.89300000000000002</v>
      </c>
      <c r="FL40" s="107">
        <v>8.9300000000000004E-2</v>
      </c>
      <c r="FM40" s="107">
        <v>0.89300000000000002</v>
      </c>
      <c r="FN40" s="107">
        <v>8.9300000000000004E-2</v>
      </c>
      <c r="FQ40" s="107">
        <v>0.89300000000000002</v>
      </c>
      <c r="FR40" s="107">
        <v>8.9300000000000004E-2</v>
      </c>
      <c r="FS40" s="107">
        <v>0.89300000000000002</v>
      </c>
      <c r="FT40" s="107">
        <v>8.9300000000000004E-2</v>
      </c>
      <c r="FU40" s="107">
        <v>0.89300000000000002</v>
      </c>
      <c r="FV40" s="107">
        <v>8.9300000000000004E-2</v>
      </c>
      <c r="FW40" s="107">
        <v>0.89300000000000002</v>
      </c>
      <c r="FX40" s="107">
        <v>8.9300000000000004E-2</v>
      </c>
      <c r="GA40" s="107">
        <v>0.89300000000000002</v>
      </c>
      <c r="GB40" s="107">
        <v>8.9300000000000004E-2</v>
      </c>
      <c r="GC40" s="107">
        <v>0.89300000000000002</v>
      </c>
      <c r="GD40" s="107">
        <v>8.9300000000000004E-2</v>
      </c>
      <c r="GE40" s="107">
        <v>0.89300000000000002</v>
      </c>
      <c r="GF40" s="107">
        <v>8.9300000000000004E-2</v>
      </c>
      <c r="GG40" s="107">
        <v>0.89300000000000002</v>
      </c>
      <c r="GH40" s="107">
        <v>8.9300000000000004E-2</v>
      </c>
    </row>
    <row r="41" spans="2:190" ht="16.5" thickBot="1" x14ac:dyDescent="0.3">
      <c r="D41" s="1566" t="s">
        <v>324</v>
      </c>
      <c r="E41" s="1566"/>
      <c r="F41" s="1566"/>
      <c r="G41" s="1566"/>
      <c r="H41" s="1567"/>
      <c r="I41" s="263"/>
      <c r="J41" s="205" t="s">
        <v>267</v>
      </c>
      <c r="K41" s="1568"/>
      <c r="L41" s="1569"/>
      <c r="M41" s="324"/>
      <c r="N41" s="264"/>
      <c r="O41" s="265"/>
      <c r="P41" s="266"/>
      <c r="Q41" s="267"/>
      <c r="R41" s="856"/>
      <c r="S41" s="857"/>
      <c r="T41" s="268"/>
      <c r="U41" s="268"/>
      <c r="V41" s="268"/>
      <c r="W41" s="255">
        <v>11</v>
      </c>
      <c r="X41" s="972">
        <f>i_SE_costs*W41</f>
        <v>2.2000000000000002</v>
      </c>
      <c r="Y41" s="1279">
        <f>Y39</f>
        <v>0.94</v>
      </c>
      <c r="Z41" s="478">
        <f>Z39</f>
        <v>9.4E-2</v>
      </c>
      <c r="AA41" s="333"/>
      <c r="AB41" s="268"/>
      <c r="AC41" s="268"/>
      <c r="AD41" s="891"/>
      <c r="AE41" s="308"/>
      <c r="AF41" s="402"/>
      <c r="AG41" s="308"/>
      <c r="AH41" s="1081"/>
      <c r="AI41" s="1086"/>
      <c r="AJ41" s="1138"/>
      <c r="AK41" s="1248"/>
      <c r="AZ41" s="991">
        <v>2</v>
      </c>
      <c r="BA41" s="485" t="str">
        <f>D19</f>
        <v>initial admin for cabozantinib</v>
      </c>
      <c r="BB41" s="485" t="s">
        <v>1193</v>
      </c>
      <c r="BC41" s="219">
        <f>$BC$40</f>
        <v>8</v>
      </c>
      <c r="BD41" s="219" t="str">
        <f>J19</f>
        <v>one-off</v>
      </c>
      <c r="BE41" s="1232"/>
      <c r="BF41" s="1232"/>
      <c r="BG41" s="1263"/>
      <c r="BH41" s="466">
        <f>W19</f>
        <v>197.25</v>
      </c>
      <c r="BI41" s="825">
        <f>X19</f>
        <v>39.450000000000003</v>
      </c>
      <c r="BJ41" s="816"/>
      <c r="BK41" s="819">
        <f>BK42</f>
        <v>1</v>
      </c>
      <c r="BL41" s="835">
        <f>100%</f>
        <v>1</v>
      </c>
      <c r="BM41" s="830">
        <f>i_SE_util*BL41</f>
        <v>0.1</v>
      </c>
      <c r="BN41" s="816"/>
      <c r="BO41" s="816"/>
      <c r="BP41" s="830">
        <f t="shared" si="63"/>
        <v>1</v>
      </c>
      <c r="BQ41" s="830">
        <f t="shared" si="64"/>
        <v>0.1</v>
      </c>
      <c r="BR41" s="830">
        <f t="shared" si="65"/>
        <v>1</v>
      </c>
      <c r="BS41" s="830">
        <f t="shared" si="66"/>
        <v>0.1</v>
      </c>
      <c r="BT41" s="830">
        <f t="shared" si="67"/>
        <v>1</v>
      </c>
      <c r="BU41" s="830">
        <f t="shared" si="68"/>
        <v>0.1</v>
      </c>
      <c r="BV41" s="830">
        <f t="shared" si="69"/>
        <v>1</v>
      </c>
      <c r="BW41" s="830">
        <f t="shared" si="70"/>
        <v>0.1</v>
      </c>
      <c r="BX41" s="824">
        <f t="shared" si="71"/>
        <v>1</v>
      </c>
      <c r="BY41" s="830">
        <f t="shared" si="72"/>
        <v>0.1</v>
      </c>
      <c r="BZ41" s="824">
        <f t="shared" si="73"/>
        <v>1</v>
      </c>
      <c r="CA41" s="830">
        <f t="shared" si="74"/>
        <v>0.1</v>
      </c>
      <c r="CB41" s="824">
        <f t="shared" si="75"/>
        <v>1</v>
      </c>
      <c r="CC41" s="830">
        <f t="shared" si="76"/>
        <v>0.1</v>
      </c>
      <c r="CD41" s="824">
        <f t="shared" si="77"/>
        <v>1</v>
      </c>
      <c r="CE41" s="830">
        <f t="shared" si="78"/>
        <v>0.1</v>
      </c>
      <c r="CG41" s="824">
        <f t="shared" si="31"/>
        <v>1</v>
      </c>
      <c r="CH41" s="824">
        <f t="shared" si="83"/>
        <v>0.1</v>
      </c>
      <c r="CI41" s="824">
        <f t="shared" si="84"/>
        <v>1</v>
      </c>
      <c r="CJ41" s="824">
        <f t="shared" si="85"/>
        <v>0.1</v>
      </c>
      <c r="CK41" s="824">
        <f t="shared" si="32"/>
        <v>1</v>
      </c>
      <c r="CM41" s="475">
        <f t="shared" si="33"/>
        <v>8</v>
      </c>
      <c r="CN41" s="475" t="str">
        <f>CN40</f>
        <v>cabozantinib</v>
      </c>
      <c r="CO41" s="816"/>
      <c r="CP41" s="825">
        <f t="shared" si="82"/>
        <v>0</v>
      </c>
      <c r="CQ41" s="825">
        <f t="shared" si="79"/>
        <v>0</v>
      </c>
      <c r="CR41" s="825">
        <f t="shared" si="80"/>
        <v>0</v>
      </c>
      <c r="CS41" s="825">
        <f t="shared" si="81"/>
        <v>0</v>
      </c>
      <c r="CT41" s="1119"/>
      <c r="CU41" s="1119"/>
      <c r="CV41" s="1119"/>
      <c r="CW41" s="1119"/>
      <c r="CZ41" s="993" t="str" cm="1">
        <f t="array" ref="CZ41">_xlfn.IFNA(INDEX($EH$30:$EH$69,MATCH(1,($BA45=$ED$30:$ED$69)*(CZ$9=$EE$30:$EE$69),0)),"")</f>
        <v/>
      </c>
      <c r="DA41" s="993" t="str" cm="1">
        <f t="array" ref="DA41">_xlfn.IFNA(INDEX($EH$30:$EH$69,MATCH(1,($BA45=$ED$30:$ED$69)*(DA$9=$EE$30:$EE$69),0)),"")</f>
        <v/>
      </c>
      <c r="DB41" s="993" t="str" cm="1">
        <f t="array" ref="DB41">_xlfn.IFNA(INDEX($EH$30:$EH$69,MATCH(1,($BA45=$ED$30:$ED$69)*(DB$9=$EE$30:$EE$69),0)),"")</f>
        <v/>
      </c>
      <c r="DC41" s="993" t="str" cm="1">
        <f t="array" ref="DC41">_xlfn.IFNA(INDEX($EH$30:$EH$69,MATCH(1,($BA45=$ED$30:$ED$69)*(DC$9=$EE$30:$EE$69),0)),"")</f>
        <v/>
      </c>
      <c r="DJ41" s="1112">
        <v>0.94</v>
      </c>
      <c r="DK41" s="1112">
        <f>DJ41</f>
        <v>0.94</v>
      </c>
      <c r="DL41" s="1112">
        <v>0.94</v>
      </c>
      <c r="DM41" s="1112">
        <v>0.94</v>
      </c>
      <c r="DN41" s="1112">
        <v>0.94</v>
      </c>
      <c r="DO41" s="1112">
        <v>0.94</v>
      </c>
      <c r="DP41" s="1112">
        <f t="shared" si="88"/>
        <v>0.94</v>
      </c>
      <c r="DQ41" s="1112"/>
      <c r="EC41" s="219">
        <v>3</v>
      </c>
      <c r="ED41" s="797" t="s">
        <v>294</v>
      </c>
      <c r="EE41" s="219">
        <v>1</v>
      </c>
      <c r="EF41" s="964">
        <v>0.98799999999999999</v>
      </c>
      <c r="EG41" s="964"/>
      <c r="EH41" s="964">
        <f>EF41</f>
        <v>0.98799999999999999</v>
      </c>
      <c r="EI41" s="219"/>
      <c r="EN41" s="1244" t="s">
        <v>1735</v>
      </c>
      <c r="EO41" s="107">
        <f t="shared" si="21"/>
        <v>1</v>
      </c>
      <c r="EP41" s="107">
        <f t="shared" si="22"/>
        <v>0.1</v>
      </c>
      <c r="EQ41" s="107">
        <f t="shared" si="23"/>
        <v>1</v>
      </c>
      <c r="ER41" s="107">
        <f t="shared" si="24"/>
        <v>0.1</v>
      </c>
      <c r="ES41" s="107">
        <f t="shared" si="25"/>
        <v>1</v>
      </c>
      <c r="ET41" s="107">
        <f t="shared" si="26"/>
        <v>0.1</v>
      </c>
      <c r="EU41" s="107">
        <f t="shared" si="27"/>
        <v>1</v>
      </c>
      <c r="EV41" s="107">
        <f t="shared" si="28"/>
        <v>0.1</v>
      </c>
      <c r="EW41" s="1321">
        <v>1</v>
      </c>
      <c r="EX41" s="1321">
        <v>0.1</v>
      </c>
      <c r="EY41" s="1321">
        <v>1</v>
      </c>
      <c r="EZ41" s="1321">
        <v>0.1</v>
      </c>
      <c r="FA41" s="1321">
        <v>1</v>
      </c>
      <c r="FB41" s="1321">
        <v>0.1</v>
      </c>
      <c r="FC41" s="1321">
        <v>1</v>
      </c>
      <c r="FD41" s="1321">
        <v>0.1</v>
      </c>
      <c r="FF41" s="1247" t="s">
        <v>302</v>
      </c>
      <c r="FG41" s="107">
        <v>1</v>
      </c>
      <c r="FH41" s="107">
        <v>0.1</v>
      </c>
      <c r="FI41" s="107">
        <v>1</v>
      </c>
      <c r="FJ41" s="107">
        <v>0.1</v>
      </c>
      <c r="FK41" s="107">
        <v>1</v>
      </c>
      <c r="FL41" s="107">
        <v>0.1</v>
      </c>
      <c r="FM41" s="107">
        <v>1</v>
      </c>
      <c r="FN41" s="107">
        <v>0.1</v>
      </c>
      <c r="FQ41" s="107">
        <v>1</v>
      </c>
      <c r="FR41" s="107">
        <v>0.1</v>
      </c>
      <c r="FS41" s="107">
        <v>1</v>
      </c>
      <c r="FT41" s="107">
        <v>0.1</v>
      </c>
      <c r="FU41" s="107">
        <v>1</v>
      </c>
      <c r="FV41" s="107">
        <v>0.1</v>
      </c>
      <c r="FW41" s="107">
        <v>1</v>
      </c>
      <c r="FX41" s="107">
        <v>0.1</v>
      </c>
      <c r="GA41" s="107">
        <v>1</v>
      </c>
      <c r="GB41" s="107">
        <v>0.1</v>
      </c>
      <c r="GC41" s="107">
        <v>1</v>
      </c>
      <c r="GD41" s="107">
        <v>0.1</v>
      </c>
      <c r="GE41" s="107">
        <v>1</v>
      </c>
      <c r="GF41" s="107">
        <v>0.1</v>
      </c>
      <c r="GG41" s="107">
        <v>1</v>
      </c>
      <c r="GH41" s="107">
        <v>0.1</v>
      </c>
    </row>
    <row r="42" spans="2:190" ht="16.5" thickBot="1" x14ac:dyDescent="0.3">
      <c r="B42" s="785" t="e">
        <f>CHOOSE($Z$5,2,3,4,4)</f>
        <v>#VALUE!</v>
      </c>
      <c r="D42" s="1542" t="str" cm="1">
        <f t="array" ref="D42">INDEX(List_comparators,I42+1)</f>
        <v>everolimus</v>
      </c>
      <c r="E42" s="1542"/>
      <c r="F42" s="1542"/>
      <c r="G42" s="1542"/>
      <c r="H42" s="1543"/>
      <c r="I42" s="112">
        <v>10</v>
      </c>
      <c r="J42" s="197" t="s">
        <v>267</v>
      </c>
      <c r="K42" s="1606">
        <f>IF(i_updated_sun_eve_price=1,536.65,373.48)</f>
        <v>536.65</v>
      </c>
      <c r="L42" s="1608"/>
      <c r="M42" s="320">
        <v>30</v>
      </c>
      <c r="N42" s="256" t="s">
        <v>280</v>
      </c>
      <c r="O42" s="257">
        <v>10</v>
      </c>
      <c r="P42" s="258" t="s">
        <v>281</v>
      </c>
      <c r="Q42" s="259" t="s">
        <v>74</v>
      </c>
      <c r="R42" s="377"/>
      <c r="S42" t="s">
        <v>272</v>
      </c>
      <c r="T42" s="311" t="s">
        <v>282</v>
      </c>
      <c r="U42" s="311" t="s">
        <v>283</v>
      </c>
      <c r="V42" s="260">
        <v>10</v>
      </c>
      <c r="W42" s="261" t="s">
        <v>292</v>
      </c>
      <c r="X42" s="976"/>
      <c r="Y42" s="1271">
        <f>CHOOSE(i_sc_RDI_num,100%,84%,CHOOSE($AA$5,CZ$43,DA$43,DB$43,DC$43),DK42,DP42)</f>
        <v>0.84</v>
      </c>
      <c r="Z42" s="1280">
        <f>IF(i_sc_RDI_num=2,1.1%,i_SE_util*Y42)</f>
        <v>1.1000000000000001E-2</v>
      </c>
      <c r="AA42" s="985">
        <f>30/7</f>
        <v>4.2857142857142856</v>
      </c>
      <c r="AB42" s="260">
        <v>1</v>
      </c>
      <c r="AC42" s="260">
        <v>1</v>
      </c>
      <c r="AD42" s="885">
        <f>ROUNDUP(ui_time_horizon*365.25*i_days_to_weeks,0)+1</f>
        <v>2089</v>
      </c>
      <c r="AE42" s="297">
        <f t="shared" ref="AE42:AE50" si="89">K42/O42</f>
        <v>53.664999999999999</v>
      </c>
      <c r="AF42" s="397" t="s">
        <v>272</v>
      </c>
      <c r="AG42" s="262">
        <f>MIN(AE42:AE44)*V42</f>
        <v>536.65</v>
      </c>
      <c r="AH42" s="262">
        <f>AG42</f>
        <v>536.65</v>
      </c>
      <c r="AI42" s="1089">
        <f>CHOOSE(i_drug_price_options,(AG42/$M$42)*7*Y42,(AH42/$M$42)*7*Y42)</f>
        <v>105.18339999999998</v>
      </c>
      <c r="AJ42" s="1139">
        <f>CHOOSE(i_drug_price_options,(AG42/$M$42)*7,(AH42/$M$42)*7)</f>
        <v>125.21833333333332</v>
      </c>
      <c r="AK42" s="1248"/>
      <c r="AM42" s="107" t="s">
        <v>1818</v>
      </c>
      <c r="AO42" s="107" t="s">
        <v>325</v>
      </c>
      <c r="AZ42" s="991">
        <v>2</v>
      </c>
      <c r="BA42" s="180" t="str">
        <f>D20</f>
        <v>subsequent admin for cabozantinib</v>
      </c>
      <c r="BB42" s="180" t="s">
        <v>1193</v>
      </c>
      <c r="BC42" s="180">
        <f>$BC$40</f>
        <v>8</v>
      </c>
      <c r="BD42" s="180" t="str">
        <f>J20</f>
        <v>per cycle</v>
      </c>
      <c r="BE42" s="1234"/>
      <c r="BF42" s="1234"/>
      <c r="BG42" s="1262"/>
      <c r="BH42" s="181">
        <f>W20</f>
        <v>11</v>
      </c>
      <c r="BI42" s="834">
        <f>X20</f>
        <v>2.2000000000000002</v>
      </c>
      <c r="BJ42" s="818">
        <f>BJ40</f>
        <v>4.2857142857142856</v>
      </c>
      <c r="BK42" s="818">
        <f>BK40</f>
        <v>1</v>
      </c>
      <c r="BL42" s="833">
        <f>$BL$40</f>
        <v>0.93299999999999994</v>
      </c>
      <c r="BM42" s="833">
        <f>$BM$40</f>
        <v>9.3299999999999994E-2</v>
      </c>
      <c r="BN42" s="818">
        <f>BN40+BJ42</f>
        <v>5.2857142857142856</v>
      </c>
      <c r="BO42" s="817">
        <f>BO40</f>
        <v>2089</v>
      </c>
      <c r="BP42" s="833">
        <f t="shared" si="63"/>
        <v>0.82299999999999995</v>
      </c>
      <c r="BQ42" s="833">
        <f t="shared" si="64"/>
        <v>8.2299999999999998E-2</v>
      </c>
      <c r="BR42" s="833">
        <f t="shared" si="65"/>
        <v>0.753</v>
      </c>
      <c r="BS42" s="833">
        <f t="shared" si="66"/>
        <v>7.5300000000000006E-2</v>
      </c>
      <c r="BT42" s="833">
        <f t="shared" si="67"/>
        <v>0.753</v>
      </c>
      <c r="BU42" s="833">
        <f t="shared" si="68"/>
        <v>7.5300000000000006E-2</v>
      </c>
      <c r="BV42" s="833">
        <f t="shared" si="69"/>
        <v>0.753</v>
      </c>
      <c r="BW42" s="833">
        <f t="shared" si="70"/>
        <v>7.5300000000000006E-2</v>
      </c>
      <c r="BX42" s="1329">
        <f t="shared" si="71"/>
        <v>0.86</v>
      </c>
      <c r="BY42" s="833">
        <f t="shared" si="72"/>
        <v>8.6000000000000007E-2</v>
      </c>
      <c r="BZ42" s="1329">
        <f t="shared" si="73"/>
        <v>0.77600000000000002</v>
      </c>
      <c r="CA42" s="833">
        <f t="shared" si="74"/>
        <v>7.7600000000000002E-2</v>
      </c>
      <c r="CB42" s="1329">
        <f t="shared" si="75"/>
        <v>0.65700000000000003</v>
      </c>
      <c r="CC42" s="833">
        <f t="shared" si="76"/>
        <v>6.5700000000000008E-2</v>
      </c>
      <c r="CD42" s="1329">
        <f t="shared" si="77"/>
        <v>0.65700000000000003</v>
      </c>
      <c r="CE42" s="833">
        <f t="shared" si="78"/>
        <v>6.5700000000000008E-2</v>
      </c>
      <c r="CF42" s="992"/>
      <c r="CG42" s="824">
        <f t="shared" si="31"/>
        <v>0.82299999999999995</v>
      </c>
      <c r="CH42" s="824">
        <f t="shared" si="83"/>
        <v>8.2299999999999998E-2</v>
      </c>
      <c r="CI42" s="824">
        <f t="shared" si="84"/>
        <v>0.753</v>
      </c>
      <c r="CJ42" s="824">
        <f t="shared" si="85"/>
        <v>7.5300000000000006E-2</v>
      </c>
      <c r="CK42" s="824">
        <f t="shared" si="32"/>
        <v>0.82299999999999995</v>
      </c>
      <c r="CL42" s="992"/>
      <c r="CM42" s="475">
        <f t="shared" si="33"/>
        <v>8</v>
      </c>
      <c r="CN42" s="475" t="str">
        <f>CN41</f>
        <v>cabozantinib</v>
      </c>
      <c r="CO42" s="816"/>
      <c r="CP42" s="825">
        <f t="shared" si="82"/>
        <v>0</v>
      </c>
      <c r="CQ42" s="825">
        <f t="shared" si="79"/>
        <v>0</v>
      </c>
      <c r="CR42" s="825">
        <f t="shared" si="80"/>
        <v>0</v>
      </c>
      <c r="CS42" s="825">
        <f t="shared" si="81"/>
        <v>0</v>
      </c>
      <c r="CT42" s="1119"/>
      <c r="CU42" s="1119"/>
      <c r="CV42" s="1119"/>
      <c r="CW42" s="1119"/>
      <c r="CZ42" s="992" t="str" cm="1">
        <f t="array" ref="CZ42">_xlfn.IFNA(INDEX($EH$30:$EH$69,MATCH(1,($BA46=$ED$30:$ED$69)*(CZ$9=$EE$30:$EE$69),0)),"")</f>
        <v/>
      </c>
      <c r="DA42" s="992" t="str" cm="1">
        <f t="array" ref="DA42">_xlfn.IFNA(INDEX($EH$30:$EH$69,MATCH(1,($BA46=$ED$30:$ED$69)*(DA$9=$EE$30:$EE$69),0)),"")</f>
        <v/>
      </c>
      <c r="DB42" s="992" t="str" cm="1">
        <f t="array" ref="DB42">_xlfn.IFNA(INDEX($EH$30:$EH$69,MATCH(1,($BA46=$ED$30:$ED$69)*(DB$9=$EE$30:$EE$69),0)),"")</f>
        <v/>
      </c>
      <c r="DC42" s="992" t="str" cm="1">
        <f t="array" ref="DC42">_xlfn.IFNA(INDEX($EH$30:$EH$69,MATCH(1,($BA46=$ED$30:$ED$69)*(DC$9=$EE$30:$EE$69),0)),"")</f>
        <v/>
      </c>
      <c r="DJ42" s="1112">
        <v>0.84</v>
      </c>
      <c r="DK42" s="1112">
        <f>DJ42</f>
        <v>0.84</v>
      </c>
      <c r="DL42" s="1112">
        <v>0.84</v>
      </c>
      <c r="DM42" s="1112">
        <v>0.84</v>
      </c>
      <c r="DN42" s="1112">
        <v>0.84</v>
      </c>
      <c r="DO42" s="1112">
        <v>0.84</v>
      </c>
      <c r="DP42" s="1112">
        <f t="shared" si="88"/>
        <v>0.84</v>
      </c>
      <c r="DQ42" s="1112"/>
      <c r="EC42" s="797">
        <v>4</v>
      </c>
      <c r="ED42" s="797" t="str" cm="1">
        <f t="array" ref="ED42">INDEX(List_comparators,EC42+1)</f>
        <v>avelumab_plus_axitinib</v>
      </c>
      <c r="EE42" s="219">
        <v>1</v>
      </c>
      <c r="EF42" s="964"/>
      <c r="EG42" s="964"/>
      <c r="EH42" s="964"/>
      <c r="EI42" s="219"/>
      <c r="EN42" s="1244" t="s">
        <v>1735</v>
      </c>
      <c r="EO42" s="107">
        <f t="shared" si="21"/>
        <v>1</v>
      </c>
      <c r="EP42" s="107">
        <f t="shared" si="22"/>
        <v>0.1</v>
      </c>
      <c r="EQ42" s="107">
        <f t="shared" si="23"/>
        <v>1</v>
      </c>
      <c r="ER42" s="107">
        <f t="shared" si="24"/>
        <v>0.1</v>
      </c>
      <c r="ES42" s="107">
        <f t="shared" si="25"/>
        <v>1</v>
      </c>
      <c r="ET42" s="107">
        <f t="shared" si="26"/>
        <v>0.1</v>
      </c>
      <c r="EU42" s="107">
        <f t="shared" si="27"/>
        <v>1</v>
      </c>
      <c r="EV42" s="107">
        <f t="shared" si="28"/>
        <v>0.1</v>
      </c>
      <c r="EW42" s="1321">
        <f>IF(i_RDI_new_bc=1,1,0.672)</f>
        <v>1</v>
      </c>
      <c r="EX42" s="1321">
        <f>EW42*0.1</f>
        <v>0.1</v>
      </c>
      <c r="EY42" s="1321">
        <f>IF(i_RDI_new_bc=1,1,0.672)</f>
        <v>1</v>
      </c>
      <c r="EZ42" s="1321">
        <f>EY42*0.1</f>
        <v>0.1</v>
      </c>
      <c r="FA42" s="1321">
        <f>IF(i_RDI_new_bc=1,1,0.672)</f>
        <v>1</v>
      </c>
      <c r="FB42" s="1321">
        <f>FA42*0.1</f>
        <v>0.1</v>
      </c>
      <c r="FC42" s="1321">
        <f>IF(i_RDI_new_bc=1,1,0.672)</f>
        <v>1</v>
      </c>
      <c r="FD42" s="1321">
        <f>FC42*0.1</f>
        <v>0.1</v>
      </c>
      <c r="FF42" s="1247" t="s">
        <v>303</v>
      </c>
      <c r="FG42" s="107">
        <v>1</v>
      </c>
      <c r="FH42" s="107">
        <v>0.1</v>
      </c>
      <c r="FI42" s="107">
        <v>1</v>
      </c>
      <c r="FJ42" s="107">
        <v>0.1</v>
      </c>
      <c r="FK42" s="107">
        <v>1</v>
      </c>
      <c r="FL42" s="107">
        <v>0.1</v>
      </c>
      <c r="FM42" s="107">
        <v>1</v>
      </c>
      <c r="FN42" s="107">
        <v>0.1</v>
      </c>
      <c r="FQ42" s="107">
        <v>0.73499999999999999</v>
      </c>
      <c r="FR42" s="107">
        <v>7.3499999999999996E-2</v>
      </c>
      <c r="FS42" s="107">
        <v>0.73499999999999999</v>
      </c>
      <c r="FT42" s="107">
        <v>7.3499999999999996E-2</v>
      </c>
      <c r="FU42" s="107">
        <v>0.73499999999999999</v>
      </c>
      <c r="FV42" s="107">
        <v>7.3499999999999996E-2</v>
      </c>
      <c r="FW42" s="107">
        <v>0.73499999999999999</v>
      </c>
      <c r="FX42" s="107">
        <v>7.3499999999999996E-2</v>
      </c>
      <c r="GA42" s="107">
        <v>0.89300000000000002</v>
      </c>
      <c r="GB42" s="107">
        <v>8.9300000000000004E-2</v>
      </c>
      <c r="GC42" s="107">
        <v>0.89300000000000002</v>
      </c>
      <c r="GD42" s="107">
        <v>8.9300000000000004E-2</v>
      </c>
      <c r="GE42" s="107">
        <v>0.89300000000000002</v>
      </c>
      <c r="GF42" s="107">
        <v>8.9300000000000004E-2</v>
      </c>
      <c r="GG42" s="107">
        <v>0.89300000000000002</v>
      </c>
      <c r="GH42" s="107">
        <v>8.9300000000000004E-2</v>
      </c>
    </row>
    <row r="43" spans="2:190" ht="15.75" x14ac:dyDescent="0.25">
      <c r="D43" s="1551" t="str">
        <f>D42</f>
        <v>everolimus</v>
      </c>
      <c r="E43" s="1551"/>
      <c r="F43" s="1551"/>
      <c r="G43" s="1551"/>
      <c r="H43" s="1552"/>
      <c r="I43" s="123"/>
      <c r="J43" s="160" t="s">
        <v>267</v>
      </c>
      <c r="K43" s="1570">
        <f>IF(i_updated_sun_eve_price=1,471.99,747.55)</f>
        <v>471.99</v>
      </c>
      <c r="L43" s="1571"/>
      <c r="M43" s="321">
        <v>30</v>
      </c>
      <c r="N43" s="124" t="s">
        <v>280</v>
      </c>
      <c r="O43" s="125">
        <v>5</v>
      </c>
      <c r="P43" s="126" t="s">
        <v>281</v>
      </c>
      <c r="Q43" s="127" t="s">
        <v>74</v>
      </c>
      <c r="R43" s="378"/>
      <c r="S43" s="384"/>
      <c r="T43" s="276" t="s">
        <v>282</v>
      </c>
      <c r="U43" s="276"/>
      <c r="V43" s="128"/>
      <c r="W43" s="129" t="s">
        <v>292</v>
      </c>
      <c r="X43" s="977"/>
      <c r="Y43" s="393"/>
      <c r="Z43" s="443"/>
      <c r="AA43" s="778">
        <f>30/7</f>
        <v>4.2857142857142856</v>
      </c>
      <c r="AB43" s="128">
        <v>1</v>
      </c>
      <c r="AC43" s="128">
        <v>1</v>
      </c>
      <c r="AD43" s="886">
        <f>ROUNDUP(ui_time_horizon*365.25*i_days_to_weeks,0)+1</f>
        <v>2089</v>
      </c>
      <c r="AE43" s="292">
        <f t="shared" si="89"/>
        <v>94.397999999999996</v>
      </c>
      <c r="AF43" s="398"/>
      <c r="AG43" s="130"/>
      <c r="AH43" s="1073"/>
      <c r="AI43" s="1357"/>
      <c r="AJ43" s="1139">
        <f>AJ42</f>
        <v>125.21833333333332</v>
      </c>
      <c r="AK43" s="1248"/>
      <c r="AZ43" s="991">
        <v>2</v>
      </c>
      <c r="BA43" s="485" t="s">
        <v>1793</v>
      </c>
      <c r="BB43" s="485" t="s">
        <v>1735</v>
      </c>
      <c r="BC43" s="485">
        <f>I61</f>
        <v>9</v>
      </c>
      <c r="BD43" s="485" t="str">
        <f>J62</f>
        <v>per cycle</v>
      </c>
      <c r="BE43" s="1342">
        <f>CHOOSE(i_drug_price_options,AG62*AK62+AG63*AK63+AG64*AK64,AH62*AK62+AH63*AK63+AH64*AK64)</f>
        <v>2902.74</v>
      </c>
      <c r="BF43" s="1342">
        <f>AG62*AK62+AG63*AK63+AG64*AK64</f>
        <v>2902.74</v>
      </c>
      <c r="BG43" s="1343">
        <f t="shared" si="29"/>
        <v>0</v>
      </c>
      <c r="BH43" s="485"/>
      <c r="BI43" s="827"/>
      <c r="BJ43" s="826">
        <f>AA62</f>
        <v>4.2857142857142856</v>
      </c>
      <c r="BK43" s="826">
        <f>AB62</f>
        <v>1</v>
      </c>
      <c r="BL43" s="828">
        <f>$Y$62</f>
        <v>1</v>
      </c>
      <c r="BM43" s="828">
        <f>$Z$62</f>
        <v>0.1</v>
      </c>
      <c r="BN43" s="827">
        <f>AC62</f>
        <v>1</v>
      </c>
      <c r="BO43" s="827">
        <f>AD62</f>
        <v>2089</v>
      </c>
      <c r="BP43" s="828">
        <f t="shared" si="63"/>
        <v>1</v>
      </c>
      <c r="BQ43" s="828">
        <f t="shared" si="64"/>
        <v>0.1</v>
      </c>
      <c r="BR43" s="828">
        <f t="shared" si="65"/>
        <v>1</v>
      </c>
      <c r="BS43" s="828">
        <f t="shared" si="66"/>
        <v>0.1</v>
      </c>
      <c r="BT43" s="828">
        <f t="shared" si="67"/>
        <v>1</v>
      </c>
      <c r="BU43" s="828">
        <f t="shared" si="68"/>
        <v>0.1</v>
      </c>
      <c r="BV43" s="828">
        <f t="shared" si="69"/>
        <v>1</v>
      </c>
      <c r="BW43" s="828">
        <f t="shared" si="70"/>
        <v>0.1</v>
      </c>
      <c r="BX43" s="1330">
        <f t="shared" si="71"/>
        <v>1</v>
      </c>
      <c r="BY43" s="828">
        <f t="shared" si="72"/>
        <v>0.1</v>
      </c>
      <c r="BZ43" s="1330">
        <f t="shared" si="73"/>
        <v>1</v>
      </c>
      <c r="CA43" s="828">
        <f t="shared" si="74"/>
        <v>0.1</v>
      </c>
      <c r="CB43" s="1330">
        <f t="shared" si="75"/>
        <v>1</v>
      </c>
      <c r="CC43" s="828">
        <f t="shared" si="76"/>
        <v>0.1</v>
      </c>
      <c r="CD43" s="1330">
        <f t="shared" si="77"/>
        <v>1</v>
      </c>
      <c r="CE43" s="828">
        <f t="shared" si="78"/>
        <v>0.1</v>
      </c>
      <c r="CF43" s="992"/>
      <c r="CG43" s="824">
        <f t="shared" si="31"/>
        <v>1</v>
      </c>
      <c r="CH43" s="824">
        <f t="shared" si="83"/>
        <v>0.1</v>
      </c>
      <c r="CI43" s="824">
        <f t="shared" si="84"/>
        <v>1</v>
      </c>
      <c r="CJ43" s="824">
        <f t="shared" si="85"/>
        <v>0.1</v>
      </c>
      <c r="CK43" s="824">
        <f t="shared" si="32"/>
        <v>1</v>
      </c>
      <c r="CL43" s="992"/>
      <c r="CM43" s="475">
        <f t="shared" si="33"/>
        <v>9</v>
      </c>
      <c r="CN43" s="475" t="str">
        <f t="shared" si="41"/>
        <v>lenvatinib5</v>
      </c>
      <c r="CO43" s="825">
        <f>AJ62*AK62+AJ63*AK63+AJ64*AK64</f>
        <v>677.30599999999993</v>
      </c>
      <c r="CP43" s="825">
        <f t="shared" si="82"/>
        <v>677.30599999999993</v>
      </c>
      <c r="CQ43" s="825">
        <f t="shared" si="79"/>
        <v>677.30599999999993</v>
      </c>
      <c r="CR43" s="825">
        <f t="shared" si="80"/>
        <v>677.30599999999993</v>
      </c>
      <c r="CS43" s="825">
        <f t="shared" si="81"/>
        <v>677.30599999999993</v>
      </c>
      <c r="CT43" s="1119"/>
      <c r="CU43" s="1119"/>
      <c r="CV43" s="1119"/>
      <c r="CW43" s="1119"/>
      <c r="CZ43" s="1326">
        <f>DA43</f>
        <v>0.48</v>
      </c>
      <c r="DA43" s="1326" cm="1">
        <f t="array" ref="DA43">_xlfn.IFNA(INDEX($EH$30:$EH$69,MATCH(1,($BA47=$ED$30:$ED$69)*(DA$9=$EE$30:$EE$69),0)),"")</f>
        <v>0.48</v>
      </c>
      <c r="DB43" s="1326" cm="1">
        <f t="array" ref="DB43">_xlfn.IFNA(INDEX($EH$30:$EH$69,MATCH(1,($BA47=$ED$30:$ED$69)*(DB$9=$EE$30:$EE$69),0)),"")</f>
        <v>0.5</v>
      </c>
      <c r="DC43" s="1326" cm="1">
        <f t="array" ref="DC43">_xlfn.IFNA(INDEX($EH$30:$EH$69,MATCH(1,($BA47=$ED$30:$ED$69)*(DC$9=$EE$30:$EE$69),0)),"")</f>
        <v>0.95</v>
      </c>
      <c r="DJ43" s="1112"/>
      <c r="DP43" s="1112"/>
      <c r="DQ43" s="1112"/>
      <c r="EC43" s="797">
        <v>4</v>
      </c>
      <c r="ED43" s="797" t="s">
        <v>326</v>
      </c>
      <c r="EE43" s="219">
        <v>1</v>
      </c>
      <c r="EF43" s="964">
        <v>0.86799999999999999</v>
      </c>
      <c r="EG43" s="964"/>
      <c r="EH43" s="964">
        <f>EF43</f>
        <v>0.86799999999999999</v>
      </c>
      <c r="EI43" s="219"/>
      <c r="EN43" s="1244" t="s">
        <v>1195</v>
      </c>
      <c r="EO43" s="107">
        <f t="shared" si="21"/>
        <v>0.84</v>
      </c>
      <c r="EP43" s="107">
        <f t="shared" si="22"/>
        <v>1.1000000000000001E-2</v>
      </c>
      <c r="EQ43" s="107">
        <f t="shared" si="23"/>
        <v>0.84</v>
      </c>
      <c r="ER43" s="107">
        <f t="shared" si="24"/>
        <v>1.1000000000000001E-2</v>
      </c>
      <c r="ES43" s="107">
        <f t="shared" si="25"/>
        <v>0.84</v>
      </c>
      <c r="ET43" s="107">
        <f t="shared" si="26"/>
        <v>1.1000000000000001E-2</v>
      </c>
      <c r="EU43" s="107">
        <f t="shared" si="27"/>
        <v>0.84</v>
      </c>
      <c r="EV43" s="107">
        <f t="shared" si="28"/>
        <v>1.1000000000000001E-2</v>
      </c>
      <c r="EW43" s="1321">
        <v>0.48</v>
      </c>
      <c r="EX43" s="1321">
        <v>4.8000000000000001E-2</v>
      </c>
      <c r="EY43" s="1321">
        <v>0.48</v>
      </c>
      <c r="EZ43" s="1321">
        <v>4.8000000000000001E-2</v>
      </c>
      <c r="FA43" s="1321">
        <v>0.5</v>
      </c>
      <c r="FB43" s="1321">
        <v>0.05</v>
      </c>
      <c r="FC43" s="1321">
        <v>0.95</v>
      </c>
      <c r="FD43" s="1321">
        <v>9.5000000000000001E-2</v>
      </c>
      <c r="FF43" s="1247" t="s">
        <v>119</v>
      </c>
      <c r="FG43" s="107">
        <v>0.84</v>
      </c>
      <c r="FH43" s="107">
        <v>1.1000000000000001E-2</v>
      </c>
      <c r="FI43" s="107">
        <v>0.84</v>
      </c>
      <c r="FJ43" s="107">
        <v>1.1000000000000001E-2</v>
      </c>
      <c r="FK43" s="107">
        <v>0.84</v>
      </c>
      <c r="FL43" s="107">
        <v>1.1000000000000001E-2</v>
      </c>
      <c r="FM43" s="107">
        <v>0.84</v>
      </c>
      <c r="FN43" s="107">
        <v>1.1000000000000001E-2</v>
      </c>
      <c r="FQ43" s="107">
        <v>0.84</v>
      </c>
      <c r="FR43" s="107">
        <v>1.1000000000000001E-2</v>
      </c>
      <c r="FS43" s="107">
        <v>0.84</v>
      </c>
      <c r="FT43" s="107">
        <v>1.1000000000000001E-2</v>
      </c>
      <c r="FU43" s="107">
        <v>0.84</v>
      </c>
      <c r="FV43" s="107">
        <v>1.1000000000000001E-2</v>
      </c>
      <c r="FW43" s="107">
        <v>0.84</v>
      </c>
      <c r="FX43" s="107">
        <v>1.1000000000000001E-2</v>
      </c>
      <c r="GA43" s="107">
        <v>0.84</v>
      </c>
      <c r="GB43" s="107">
        <v>1.1000000000000001E-2</v>
      </c>
      <c r="GC43" s="107">
        <v>0.84</v>
      </c>
      <c r="GD43" s="107">
        <v>1.1000000000000001E-2</v>
      </c>
      <c r="GE43" s="107">
        <v>0.84</v>
      </c>
      <c r="GF43" s="107">
        <v>1.1000000000000001E-2</v>
      </c>
      <c r="GG43" s="107">
        <v>0.84</v>
      </c>
      <c r="GH43" s="107">
        <v>1.1000000000000001E-2</v>
      </c>
    </row>
    <row r="44" spans="2:190" ht="16.5" thickBot="1" x14ac:dyDescent="0.3">
      <c r="D44" s="1553" t="str">
        <f>D42</f>
        <v>everolimus</v>
      </c>
      <c r="E44" s="1553"/>
      <c r="F44" s="1553"/>
      <c r="G44" s="1553"/>
      <c r="H44" s="1554"/>
      <c r="I44" s="141"/>
      <c r="J44" s="205" t="s">
        <v>267</v>
      </c>
      <c r="K44" s="1680">
        <f>IF(i_updated_sun_eve_price=1,403.03,223.91)</f>
        <v>403.03</v>
      </c>
      <c r="L44" s="1681"/>
      <c r="M44" s="322">
        <v>30</v>
      </c>
      <c r="N44" s="142" t="s">
        <v>280</v>
      </c>
      <c r="O44" s="143">
        <v>2.5</v>
      </c>
      <c r="P44" s="144" t="s">
        <v>281</v>
      </c>
      <c r="Q44" s="145" t="s">
        <v>74</v>
      </c>
      <c r="R44" s="379"/>
      <c r="S44" s="385"/>
      <c r="T44" s="146" t="s">
        <v>282</v>
      </c>
      <c r="U44" s="146"/>
      <c r="V44" s="146"/>
      <c r="W44" s="147" t="s">
        <v>292</v>
      </c>
      <c r="X44" s="978"/>
      <c r="Y44" s="394"/>
      <c r="Z44" s="445"/>
      <c r="AA44" s="778">
        <f>30/7</f>
        <v>4.2857142857142856</v>
      </c>
      <c r="AB44" s="146">
        <v>1</v>
      </c>
      <c r="AC44" s="146">
        <v>1</v>
      </c>
      <c r="AD44" s="892">
        <f>ROUNDUP(ui_time_horizon*365.25*i_days_to_weeks,0)+1</f>
        <v>2089</v>
      </c>
      <c r="AE44" s="292">
        <f t="shared" si="89"/>
        <v>161.21199999999999</v>
      </c>
      <c r="AF44" s="400"/>
      <c r="AG44" s="148"/>
      <c r="AH44" s="1078"/>
      <c r="AI44" s="1357"/>
      <c r="AJ44" s="1139">
        <f>AJ42</f>
        <v>125.21833333333332</v>
      </c>
      <c r="AK44" s="1248"/>
      <c r="AZ44" s="991">
        <v>2</v>
      </c>
      <c r="BA44" s="485" t="str">
        <f>D65&amp;BC44</f>
        <v>everolimus9</v>
      </c>
      <c r="BB44" s="485" t="s">
        <v>1195</v>
      </c>
      <c r="BC44" s="219">
        <f>$BC$43</f>
        <v>9</v>
      </c>
      <c r="BD44" s="485" t="str">
        <f>J65</f>
        <v>per cycle</v>
      </c>
      <c r="BE44" s="1342">
        <f>CHOOSE(i_drug_price_options,AG65,AH65)</f>
        <v>536.65</v>
      </c>
      <c r="BF44" s="1342">
        <f>AG65</f>
        <v>536.65</v>
      </c>
      <c r="BG44" s="1343">
        <f t="shared" si="29"/>
        <v>0</v>
      </c>
      <c r="BH44" s="219"/>
      <c r="BI44" s="816"/>
      <c r="BJ44" s="826">
        <f>AA65</f>
        <v>4.2857142857142856</v>
      </c>
      <c r="BK44" s="826">
        <f>AB65</f>
        <v>1</v>
      </c>
      <c r="BL44" s="828">
        <f>$Y$65</f>
        <v>0.89300000000000002</v>
      </c>
      <c r="BM44" s="828">
        <f>$Z$65</f>
        <v>8.9300000000000004E-2</v>
      </c>
      <c r="BN44" s="827">
        <f>AC65</f>
        <v>1</v>
      </c>
      <c r="BO44" s="827">
        <f>AD65</f>
        <v>2089</v>
      </c>
      <c r="BP44" s="828">
        <f t="shared" si="63"/>
        <v>0.89300000000000002</v>
      </c>
      <c r="BQ44" s="828">
        <f t="shared" si="64"/>
        <v>8.9300000000000004E-2</v>
      </c>
      <c r="BR44" s="828">
        <f t="shared" si="65"/>
        <v>0.89300000000000002</v>
      </c>
      <c r="BS44" s="828">
        <f t="shared" si="66"/>
        <v>8.9300000000000004E-2</v>
      </c>
      <c r="BT44" s="828">
        <f t="shared" si="67"/>
        <v>0.89300000000000002</v>
      </c>
      <c r="BU44" s="828">
        <f t="shared" si="68"/>
        <v>8.9300000000000004E-2</v>
      </c>
      <c r="BV44" s="828">
        <f t="shared" si="69"/>
        <v>0.89300000000000002</v>
      </c>
      <c r="BW44" s="828">
        <f t="shared" si="70"/>
        <v>8.9300000000000004E-2</v>
      </c>
      <c r="BX44" s="824">
        <f t="shared" si="71"/>
        <v>0.48</v>
      </c>
      <c r="BY44" s="830">
        <f t="shared" si="72"/>
        <v>4.8000000000000001E-2</v>
      </c>
      <c r="BZ44" s="824">
        <f t="shared" si="73"/>
        <v>0.48</v>
      </c>
      <c r="CA44" s="830">
        <f t="shared" si="74"/>
        <v>4.8000000000000001E-2</v>
      </c>
      <c r="CB44" s="824">
        <f t="shared" si="75"/>
        <v>0.48</v>
      </c>
      <c r="CC44" s="830">
        <f t="shared" si="76"/>
        <v>4.8000000000000001E-2</v>
      </c>
      <c r="CD44" s="824">
        <f t="shared" si="77"/>
        <v>0.48</v>
      </c>
      <c r="CE44" s="828">
        <f t="shared" si="78"/>
        <v>4.8000000000000001E-2</v>
      </c>
      <c r="CF44" s="992"/>
      <c r="CG44" s="824">
        <f t="shared" si="31"/>
        <v>0.89300000000000002</v>
      </c>
      <c r="CH44" s="824">
        <f t="shared" si="83"/>
        <v>8.9300000000000004E-2</v>
      </c>
      <c r="CI44" s="824">
        <f t="shared" si="84"/>
        <v>0.89300000000000002</v>
      </c>
      <c r="CJ44" s="824">
        <f t="shared" si="85"/>
        <v>8.9300000000000004E-2</v>
      </c>
      <c r="CK44" s="824">
        <f t="shared" si="32"/>
        <v>0.89300000000000002</v>
      </c>
      <c r="CL44" s="992"/>
      <c r="CM44" s="475">
        <f t="shared" si="33"/>
        <v>9</v>
      </c>
      <c r="CN44" s="475" t="s">
        <v>119</v>
      </c>
      <c r="CO44" s="825">
        <f>AJ65</f>
        <v>125.21833333333332</v>
      </c>
      <c r="CP44" s="825">
        <f t="shared" si="82"/>
        <v>60.10479999999999</v>
      </c>
      <c r="CQ44" s="825">
        <f t="shared" si="79"/>
        <v>60.10479999999999</v>
      </c>
      <c r="CR44" s="825">
        <f t="shared" si="80"/>
        <v>60.10479999999999</v>
      </c>
      <c r="CS44" s="825">
        <f t="shared" si="81"/>
        <v>60.10479999999999</v>
      </c>
      <c r="CT44" s="1119"/>
      <c r="CU44" s="1119"/>
      <c r="CV44" s="1119"/>
      <c r="CW44" s="1119"/>
      <c r="CZ44" s="993" t="str" cm="1">
        <f t="array" ref="CZ44">_xlfn.IFNA(INDEX($EH$30:$EH$69,MATCH(1,($BA48=$ED$30:$ED$69)*(CZ$9=$EE$30:$EE$69),0)),"")</f>
        <v/>
      </c>
      <c r="DA44" s="993" t="str" cm="1">
        <f t="array" ref="DA44">_xlfn.IFNA(INDEX($EH$30:$EH$69,MATCH(1,($BA48=$ED$30:$ED$69)*(DA$9=$EE$30:$EE$69),0)),"")</f>
        <v/>
      </c>
      <c r="DB44" s="993" t="str" cm="1">
        <f t="array" ref="DB44">_xlfn.IFNA(INDEX($EH$30:$EH$69,MATCH(1,($BA48=$ED$30:$ED$69)*(DB$9=$EE$30:$EE$69),0)),"")</f>
        <v/>
      </c>
      <c r="DC44" s="993" t="str" cm="1">
        <f t="array" ref="DC44">_xlfn.IFNA(INDEX($EH$30:$EH$69,MATCH(1,($BA48=$ED$30:$ED$69)*(DC$9=$EE$30:$EE$69),0)),"")</f>
        <v/>
      </c>
      <c r="DJ44" s="1112"/>
      <c r="DP44" s="1112"/>
      <c r="DQ44" s="1112"/>
      <c r="EC44" s="797">
        <v>4</v>
      </c>
      <c r="ED44" s="797" t="s">
        <v>327</v>
      </c>
      <c r="EE44" s="219">
        <v>1</v>
      </c>
      <c r="EF44" s="964">
        <v>0.84199999999999997</v>
      </c>
      <c r="EG44" s="964"/>
      <c r="EH44" s="964">
        <f>EF44</f>
        <v>0.84199999999999997</v>
      </c>
      <c r="EI44" s="219"/>
      <c r="EN44" s="1244" t="s">
        <v>1195</v>
      </c>
      <c r="EO44" s="107">
        <f t="shared" si="21"/>
        <v>0.84</v>
      </c>
      <c r="EP44" s="107">
        <f t="shared" si="22"/>
        <v>1.1000000000000001E-2</v>
      </c>
      <c r="EQ44" s="107">
        <f t="shared" si="23"/>
        <v>0.84</v>
      </c>
      <c r="ER44" s="107">
        <f t="shared" si="24"/>
        <v>1.1000000000000001E-2</v>
      </c>
      <c r="ES44" s="107">
        <f t="shared" si="25"/>
        <v>0.84</v>
      </c>
      <c r="ET44" s="107">
        <f t="shared" si="26"/>
        <v>1.1000000000000001E-2</v>
      </c>
      <c r="EU44" s="107">
        <f t="shared" si="27"/>
        <v>0.84</v>
      </c>
      <c r="EV44" s="107">
        <f t="shared" si="28"/>
        <v>1.1000000000000001E-2</v>
      </c>
      <c r="EW44" s="1321">
        <v>0.48</v>
      </c>
      <c r="EX44" s="1321">
        <v>4.8000000000000001E-2</v>
      </c>
      <c r="EY44" s="1321">
        <v>0.48</v>
      </c>
      <c r="EZ44" s="1321">
        <v>4.8000000000000001E-2</v>
      </c>
      <c r="FA44" s="1321">
        <v>0.5</v>
      </c>
      <c r="FB44" s="1321">
        <v>0.05</v>
      </c>
      <c r="FC44" s="1321">
        <v>0.95</v>
      </c>
      <c r="FD44" s="1321">
        <v>9.5000000000000001E-2</v>
      </c>
      <c r="FF44" s="1247" t="s">
        <v>328</v>
      </c>
      <c r="FG44" s="107">
        <v>0.84</v>
      </c>
      <c r="FH44" s="107">
        <v>1.1000000000000001E-2</v>
      </c>
      <c r="FI44" s="107">
        <v>0.84</v>
      </c>
      <c r="FJ44" s="107">
        <v>1.1000000000000001E-2</v>
      </c>
      <c r="FK44" s="107">
        <v>0.84</v>
      </c>
      <c r="FL44" s="107">
        <v>1.1000000000000001E-2</v>
      </c>
      <c r="FM44" s="107">
        <v>0.84</v>
      </c>
      <c r="FN44" s="107">
        <v>1.1000000000000001E-2</v>
      </c>
      <c r="FQ44" s="107">
        <v>0.84</v>
      </c>
      <c r="FR44" s="107">
        <v>1.1000000000000001E-2</v>
      </c>
      <c r="FS44" s="107">
        <v>0.84</v>
      </c>
      <c r="FT44" s="107">
        <v>1.1000000000000001E-2</v>
      </c>
      <c r="FU44" s="107">
        <v>0.84</v>
      </c>
      <c r="FV44" s="107">
        <v>1.1000000000000001E-2</v>
      </c>
      <c r="FW44" s="107">
        <v>0.84</v>
      </c>
      <c r="FX44" s="107">
        <v>1.1000000000000001E-2</v>
      </c>
      <c r="GA44" s="107">
        <v>0.84</v>
      </c>
      <c r="GB44" s="107">
        <v>1.1000000000000001E-2</v>
      </c>
      <c r="GC44" s="107">
        <v>0.84</v>
      </c>
      <c r="GD44" s="107">
        <v>1.1000000000000001E-2</v>
      </c>
      <c r="GE44" s="107">
        <v>0.84</v>
      </c>
      <c r="GF44" s="107">
        <v>1.1000000000000001E-2</v>
      </c>
      <c r="GG44" s="107">
        <v>0.84</v>
      </c>
      <c r="GH44" s="107">
        <v>1.1000000000000001E-2</v>
      </c>
    </row>
    <row r="45" spans="2:190" ht="15.75" x14ac:dyDescent="0.25">
      <c r="D45" s="1544" t="s">
        <v>328</v>
      </c>
      <c r="E45" s="1544"/>
      <c r="F45" s="1544"/>
      <c r="G45" s="1544"/>
      <c r="H45" s="1545"/>
      <c r="I45" s="131"/>
      <c r="J45" s="160" t="s">
        <v>287</v>
      </c>
      <c r="K45" s="1573"/>
      <c r="L45" s="1574"/>
      <c r="M45" s="321"/>
      <c r="N45" s="124"/>
      <c r="O45" s="321"/>
      <c r="P45" s="290"/>
      <c r="Q45" s="793"/>
      <c r="R45" s="799"/>
      <c r="S45" s="384"/>
      <c r="T45" s="791"/>
      <c r="U45" s="791"/>
      <c r="V45" s="791"/>
      <c r="W45" s="800">
        <v>197.25</v>
      </c>
      <c r="X45" s="979">
        <f>i_SE_costs*W45</f>
        <v>39.450000000000003</v>
      </c>
      <c r="Y45" s="801"/>
      <c r="Z45" s="802"/>
      <c r="AA45" s="803"/>
      <c r="AB45" s="791"/>
      <c r="AC45" s="791"/>
      <c r="AD45" s="889"/>
      <c r="AE45" s="804"/>
      <c r="AF45" s="461"/>
      <c r="AG45" s="804"/>
      <c r="AH45" s="1072"/>
      <c r="AI45" s="1086"/>
      <c r="AJ45" s="1138"/>
      <c r="AK45" s="1248"/>
      <c r="AZ45" s="991">
        <v>2</v>
      </c>
      <c r="BA45" s="485" t="str">
        <f>D66</f>
        <v>initial admin for lenvatinib</v>
      </c>
      <c r="BB45" s="485" t="s">
        <v>1735</v>
      </c>
      <c r="BC45" s="219">
        <f>$BC$43</f>
        <v>9</v>
      </c>
      <c r="BD45" s="485" t="str">
        <f>J66</f>
        <v>one-off</v>
      </c>
      <c r="BE45" s="1232"/>
      <c r="BF45" s="1232"/>
      <c r="BG45" s="1263"/>
      <c r="BH45" s="466">
        <f>W66</f>
        <v>197.25</v>
      </c>
      <c r="BI45" s="825">
        <f>X66</f>
        <v>39.450000000000003</v>
      </c>
      <c r="BJ45" s="816"/>
      <c r="BK45" s="819">
        <f>BK46</f>
        <v>1</v>
      </c>
      <c r="BL45" s="835">
        <f>100%</f>
        <v>1</v>
      </c>
      <c r="BM45" s="830">
        <f>i_SE_util*BL45</f>
        <v>0.1</v>
      </c>
      <c r="BN45" s="816"/>
      <c r="BO45" s="816"/>
      <c r="BP45" s="830">
        <f t="shared" si="63"/>
        <v>1</v>
      </c>
      <c r="BQ45" s="830">
        <f t="shared" si="64"/>
        <v>0.1</v>
      </c>
      <c r="BR45" s="830">
        <f t="shared" si="65"/>
        <v>1</v>
      </c>
      <c r="BS45" s="830">
        <f t="shared" si="66"/>
        <v>0.1</v>
      </c>
      <c r="BT45" s="830">
        <f t="shared" si="67"/>
        <v>1</v>
      </c>
      <c r="BU45" s="830">
        <f t="shared" si="68"/>
        <v>0.1</v>
      </c>
      <c r="BV45" s="830">
        <f t="shared" si="69"/>
        <v>1</v>
      </c>
      <c r="BW45" s="830">
        <f t="shared" si="70"/>
        <v>0.1</v>
      </c>
      <c r="BX45" s="824">
        <f t="shared" si="71"/>
        <v>1</v>
      </c>
      <c r="BY45" s="830">
        <f t="shared" si="72"/>
        <v>0.1</v>
      </c>
      <c r="BZ45" s="824">
        <f t="shared" si="73"/>
        <v>1</v>
      </c>
      <c r="CA45" s="830">
        <f t="shared" si="74"/>
        <v>0.1</v>
      </c>
      <c r="CB45" s="824">
        <f t="shared" si="75"/>
        <v>1</v>
      </c>
      <c r="CC45" s="830">
        <f t="shared" si="76"/>
        <v>0.1</v>
      </c>
      <c r="CD45" s="824">
        <f t="shared" si="77"/>
        <v>1</v>
      </c>
      <c r="CE45" s="830">
        <f t="shared" si="78"/>
        <v>0.1</v>
      </c>
      <c r="CG45" s="824">
        <f t="shared" si="31"/>
        <v>1</v>
      </c>
      <c r="CH45" s="824">
        <f t="shared" si="83"/>
        <v>0.1</v>
      </c>
      <c r="CI45" s="824">
        <f t="shared" si="84"/>
        <v>1</v>
      </c>
      <c r="CJ45" s="824">
        <f t="shared" si="85"/>
        <v>0.1</v>
      </c>
      <c r="CK45" s="824">
        <f t="shared" si="32"/>
        <v>1</v>
      </c>
      <c r="CM45" s="475">
        <f t="shared" si="33"/>
        <v>9</v>
      </c>
      <c r="CN45" s="475" t="str">
        <f>CN43</f>
        <v>lenvatinib5</v>
      </c>
      <c r="CO45" s="816"/>
      <c r="CP45" s="825">
        <f t="shared" si="82"/>
        <v>0</v>
      </c>
      <c r="CQ45" s="825">
        <f t="shared" si="79"/>
        <v>0</v>
      </c>
      <c r="CR45" s="825">
        <f t="shared" si="80"/>
        <v>0</v>
      </c>
      <c r="CS45" s="825">
        <f t="shared" si="81"/>
        <v>0</v>
      </c>
      <c r="CT45" s="1119"/>
      <c r="CU45" s="1119"/>
      <c r="CV45" s="1119"/>
      <c r="CW45" s="1119"/>
      <c r="CZ45" s="993" t="str" cm="1">
        <f t="array" ref="CZ45">_xlfn.IFNA(INDEX($EH$30:$EH$69,MATCH(1,($BA49=$ED$30:$ED$69)*(CZ$9=$EE$30:$EE$69),0)),"")</f>
        <v/>
      </c>
      <c r="DA45" s="993" t="str" cm="1">
        <f t="array" ref="DA45">_xlfn.IFNA(INDEX($EH$30:$EH$69,MATCH(1,($BA49=$ED$30:$ED$69)*(DA$9=$EE$30:$EE$69),0)),"")</f>
        <v/>
      </c>
      <c r="DB45" s="993" t="str" cm="1">
        <f t="array" ref="DB45">_xlfn.IFNA(INDEX($EH$30:$EH$69,MATCH(1,($BA49=$ED$30:$ED$69)*(DB$9=$EE$30:$EE$69),0)),"")</f>
        <v/>
      </c>
      <c r="DC45" s="993" t="str" cm="1">
        <f t="array" ref="DC45">_xlfn.IFNA(INDEX($EH$30:$EH$69,MATCH(1,($BA49=$ED$30:$ED$69)*(DC$9=$EE$30:$EE$69),0)),"")</f>
        <v/>
      </c>
      <c r="DJ45" s="1111"/>
      <c r="DP45" s="1111"/>
      <c r="DQ45" s="1111"/>
      <c r="EC45" s="219">
        <v>5</v>
      </c>
      <c r="ED45" s="797" t="str" cm="1">
        <f t="array" ref="ED45">INDEX(List_comparators,EC45+1)</f>
        <v>pazopanib</v>
      </c>
      <c r="EE45" s="219">
        <v>1</v>
      </c>
      <c r="EF45" s="964">
        <v>0.86</v>
      </c>
      <c r="EG45" s="964"/>
      <c r="EH45" s="1322">
        <v>0.88</v>
      </c>
      <c r="EI45" s="219"/>
      <c r="EN45" s="1244" t="s">
        <v>1195</v>
      </c>
      <c r="EO45" s="107">
        <f t="shared" si="21"/>
        <v>0.84</v>
      </c>
      <c r="EP45" s="107">
        <f t="shared" si="22"/>
        <v>1.1000000000000001E-2</v>
      </c>
      <c r="EQ45" s="107">
        <f t="shared" si="23"/>
        <v>0.84</v>
      </c>
      <c r="ER45" s="107">
        <f t="shared" si="24"/>
        <v>1.1000000000000001E-2</v>
      </c>
      <c r="ES45" s="107">
        <f t="shared" si="25"/>
        <v>0.84</v>
      </c>
      <c r="ET45" s="107">
        <f t="shared" si="26"/>
        <v>1.1000000000000001E-2</v>
      </c>
      <c r="EU45" s="107">
        <f t="shared" si="27"/>
        <v>0.84</v>
      </c>
      <c r="EV45" s="107">
        <f t="shared" si="28"/>
        <v>1.1000000000000001E-2</v>
      </c>
      <c r="EW45" s="1321">
        <v>0.48</v>
      </c>
      <c r="EX45" s="1321">
        <v>4.8000000000000001E-2</v>
      </c>
      <c r="EY45" s="1321">
        <v>0.48</v>
      </c>
      <c r="EZ45" s="1321">
        <v>4.8000000000000001E-2</v>
      </c>
      <c r="FA45" s="1321">
        <v>0.5</v>
      </c>
      <c r="FB45" s="1321">
        <v>0.05</v>
      </c>
      <c r="FC45" s="1321">
        <v>0.95</v>
      </c>
      <c r="FD45" s="1321">
        <v>9.5000000000000001E-2</v>
      </c>
      <c r="FF45" s="1247" t="s">
        <v>329</v>
      </c>
      <c r="FG45" s="107">
        <v>0.84</v>
      </c>
      <c r="FH45" s="107">
        <v>1.1000000000000001E-2</v>
      </c>
      <c r="FI45" s="107">
        <v>0.84</v>
      </c>
      <c r="FJ45" s="107">
        <v>1.1000000000000001E-2</v>
      </c>
      <c r="FK45" s="107">
        <v>0.84</v>
      </c>
      <c r="FL45" s="107">
        <v>1.1000000000000001E-2</v>
      </c>
      <c r="FM45" s="107">
        <v>0.84</v>
      </c>
      <c r="FN45" s="107">
        <v>1.1000000000000001E-2</v>
      </c>
      <c r="FQ45" s="107">
        <v>0.84</v>
      </c>
      <c r="FR45" s="107">
        <v>1.1000000000000001E-2</v>
      </c>
      <c r="FS45" s="107">
        <v>0.84</v>
      </c>
      <c r="FT45" s="107">
        <v>1.1000000000000001E-2</v>
      </c>
      <c r="FU45" s="107">
        <v>0.84</v>
      </c>
      <c r="FV45" s="107">
        <v>1.1000000000000001E-2</v>
      </c>
      <c r="FW45" s="107">
        <v>0.84</v>
      </c>
      <c r="FX45" s="107">
        <v>1.1000000000000001E-2</v>
      </c>
      <c r="GA45" s="107">
        <v>0.84</v>
      </c>
      <c r="GB45" s="107">
        <v>1.1000000000000001E-2</v>
      </c>
      <c r="GC45" s="107">
        <v>0.84</v>
      </c>
      <c r="GD45" s="107">
        <v>1.1000000000000001E-2</v>
      </c>
      <c r="GE45" s="107">
        <v>0.84</v>
      </c>
      <c r="GF45" s="107">
        <v>1.1000000000000001E-2</v>
      </c>
      <c r="GG45" s="107">
        <v>0.84</v>
      </c>
      <c r="GH45" s="107">
        <v>1.1000000000000001E-2</v>
      </c>
    </row>
    <row r="46" spans="2:190" ht="16.5" thickBot="1" x14ac:dyDescent="0.3">
      <c r="D46" s="1682" t="s">
        <v>329</v>
      </c>
      <c r="E46" s="1682"/>
      <c r="F46" s="1682"/>
      <c r="G46" s="1682"/>
      <c r="H46" s="1683"/>
      <c r="I46" s="357"/>
      <c r="J46" s="205" t="s">
        <v>267</v>
      </c>
      <c r="K46" s="1568"/>
      <c r="L46" s="1569"/>
      <c r="M46" s="322"/>
      <c r="N46" s="142"/>
      <c r="O46" s="322"/>
      <c r="P46" s="298"/>
      <c r="Q46" s="805"/>
      <c r="R46" s="806"/>
      <c r="S46" s="385"/>
      <c r="T46" s="807"/>
      <c r="U46" s="807"/>
      <c r="V46" s="807"/>
      <c r="W46" s="808">
        <v>11</v>
      </c>
      <c r="X46" s="980">
        <f>i_SE_costs*W46</f>
        <v>2.2000000000000002</v>
      </c>
      <c r="Y46" s="809"/>
      <c r="Z46" s="810"/>
      <c r="AA46" s="811"/>
      <c r="AB46" s="807"/>
      <c r="AC46" s="807"/>
      <c r="AD46" s="892"/>
      <c r="AE46" s="812"/>
      <c r="AF46" s="813"/>
      <c r="AG46" s="812"/>
      <c r="AH46" s="1082"/>
      <c r="AI46" s="1086"/>
      <c r="AJ46" s="1138"/>
      <c r="AK46" s="1248"/>
      <c r="AZ46" s="991">
        <v>2</v>
      </c>
      <c r="BA46" s="180" t="str">
        <f>D67</f>
        <v>subsequent admin for lenvatinib</v>
      </c>
      <c r="BB46" s="180" t="s">
        <v>1735</v>
      </c>
      <c r="BC46" s="180">
        <f>$BC$43</f>
        <v>9</v>
      </c>
      <c r="BD46" s="180" t="str">
        <f>J67</f>
        <v>per cycle</v>
      </c>
      <c r="BE46" s="1234"/>
      <c r="BF46" s="1234"/>
      <c r="BG46" s="1262"/>
      <c r="BH46" s="181">
        <f>W67</f>
        <v>11</v>
      </c>
      <c r="BI46" s="834">
        <f>X67</f>
        <v>2.2000000000000002</v>
      </c>
      <c r="BJ46" s="818">
        <f>BJ44</f>
        <v>4.2857142857142856</v>
      </c>
      <c r="BK46" s="818">
        <f>BK44</f>
        <v>1</v>
      </c>
      <c r="BL46" s="833">
        <f>MAX($BL$43:$BL$44)</f>
        <v>1</v>
      </c>
      <c r="BM46" s="833">
        <f>$BM$44</f>
        <v>8.9300000000000004E-2</v>
      </c>
      <c r="BN46" s="818">
        <f>BN43+BJ46</f>
        <v>5.2857142857142856</v>
      </c>
      <c r="BO46" s="817">
        <f>BO43</f>
        <v>2089</v>
      </c>
      <c r="BP46" s="833">
        <f t="shared" si="63"/>
        <v>1</v>
      </c>
      <c r="BQ46" s="833">
        <f t="shared" si="64"/>
        <v>0.1</v>
      </c>
      <c r="BR46" s="833">
        <f t="shared" si="65"/>
        <v>1</v>
      </c>
      <c r="BS46" s="833">
        <f t="shared" si="66"/>
        <v>0.1</v>
      </c>
      <c r="BT46" s="833">
        <f t="shared" si="67"/>
        <v>1</v>
      </c>
      <c r="BU46" s="833">
        <f t="shared" si="68"/>
        <v>0.1</v>
      </c>
      <c r="BV46" s="833">
        <f t="shared" si="69"/>
        <v>1</v>
      </c>
      <c r="BW46" s="833">
        <f t="shared" si="70"/>
        <v>0.1</v>
      </c>
      <c r="BX46" s="1331">
        <f t="shared" si="71"/>
        <v>1</v>
      </c>
      <c r="BY46" s="1327">
        <f t="shared" si="72"/>
        <v>0.1</v>
      </c>
      <c r="BZ46" s="1331">
        <f t="shared" si="73"/>
        <v>1</v>
      </c>
      <c r="CA46" s="1327">
        <f t="shared" si="74"/>
        <v>0.1</v>
      </c>
      <c r="CB46" s="1331">
        <f t="shared" si="75"/>
        <v>1</v>
      </c>
      <c r="CC46" s="1327">
        <f t="shared" si="76"/>
        <v>0.1</v>
      </c>
      <c r="CD46" s="1331">
        <f t="shared" si="77"/>
        <v>1</v>
      </c>
      <c r="CE46" s="833">
        <f t="shared" si="78"/>
        <v>0.1</v>
      </c>
      <c r="CF46" s="992"/>
      <c r="CG46" s="824">
        <f t="shared" si="31"/>
        <v>1</v>
      </c>
      <c r="CH46" s="824">
        <f t="shared" si="83"/>
        <v>0.1</v>
      </c>
      <c r="CI46" s="824">
        <f t="shared" si="84"/>
        <v>1</v>
      </c>
      <c r="CJ46" s="824">
        <f t="shared" si="85"/>
        <v>0.1</v>
      </c>
      <c r="CK46" s="824">
        <f t="shared" si="32"/>
        <v>1</v>
      </c>
      <c r="CL46" s="992"/>
      <c r="CM46" s="475">
        <f t="shared" si="33"/>
        <v>9</v>
      </c>
      <c r="CN46" s="475" t="str">
        <f>CN45</f>
        <v>lenvatinib5</v>
      </c>
      <c r="CO46" s="816"/>
      <c r="CP46" s="825">
        <f t="shared" si="82"/>
        <v>0</v>
      </c>
      <c r="CQ46" s="825">
        <f t="shared" si="79"/>
        <v>0</v>
      </c>
      <c r="CR46" s="825">
        <f t="shared" si="80"/>
        <v>0</v>
      </c>
      <c r="CS46" s="825">
        <f t="shared" si="81"/>
        <v>0</v>
      </c>
      <c r="CT46" s="1119"/>
      <c r="CU46" s="1119"/>
      <c r="CV46" s="1119"/>
      <c r="CW46" s="1119"/>
      <c r="CZ46" s="992" cm="1">
        <f t="array" ref="CZ46">_xlfn.IFNA(INDEX($EH$30:$EH$69,MATCH(1,($BA50=$ED$30:$ED$69)*(CZ$9=$EE$30:$EE$69),0)),"")</f>
        <v>0.84199999999999997</v>
      </c>
      <c r="DA46" s="1326" cm="1">
        <f t="array" ref="DA46">_xlfn.IFNA(INDEX($EH$30:$EH$69,MATCH(1,($BA50=$ED$30:$ED$69)*(DA$9=$EE$30:$EE$69),0)),"")</f>
        <v>0.75800000000000001</v>
      </c>
      <c r="DB46" s="1326" cm="1">
        <f t="array" ref="DB46">_xlfn.IFNA(INDEX($EH$30:$EH$69,MATCH(1,($BA50=$ED$30:$ED$69)*(DB$9=$EE$30:$EE$69),0)),"")</f>
        <v>0.92700000000000005</v>
      </c>
      <c r="DC46" s="1326" cm="1">
        <f t="array" ref="DC46">_xlfn.IFNA(INDEX($EH$30:$EH$69,MATCH(1,($BA50=$ED$30:$ED$69)*(DC$9=$EE$30:$EE$69),0)),"")</f>
        <v>0.93799999999999994</v>
      </c>
      <c r="DJ46" s="1111"/>
      <c r="DP46" s="1111"/>
      <c r="DQ46" s="1111"/>
      <c r="EC46" s="219">
        <v>5</v>
      </c>
      <c r="ED46" s="797" t="str" cm="1">
        <f t="array" ref="ED46">INDEX(List_comparators,EC46+1)</f>
        <v>pazopanib</v>
      </c>
      <c r="EE46" s="219">
        <v>2</v>
      </c>
      <c r="EF46" s="964">
        <v>0.86</v>
      </c>
      <c r="EG46" s="964"/>
      <c r="EH46" s="1322">
        <v>0.85699999999999998</v>
      </c>
      <c r="EI46" s="219"/>
      <c r="EN46" s="1244" t="s">
        <v>1196</v>
      </c>
      <c r="EO46" s="107">
        <f t="shared" si="21"/>
        <v>0.84</v>
      </c>
      <c r="EP46" s="107">
        <f t="shared" si="22"/>
        <v>1.1000000000000001E-2</v>
      </c>
      <c r="EQ46" s="107">
        <f t="shared" si="23"/>
        <v>0.84</v>
      </c>
      <c r="ER46" s="107">
        <f t="shared" si="24"/>
        <v>1.1000000000000001E-2</v>
      </c>
      <c r="ES46" s="107">
        <f t="shared" si="25"/>
        <v>0.84</v>
      </c>
      <c r="ET46" s="107">
        <f t="shared" si="26"/>
        <v>1.1000000000000001E-2</v>
      </c>
      <c r="EU46" s="107">
        <f t="shared" si="27"/>
        <v>0.84</v>
      </c>
      <c r="EV46" s="107">
        <f t="shared" si="28"/>
        <v>1.1000000000000001E-2</v>
      </c>
      <c r="EW46" s="1321">
        <v>0.89400000000000002</v>
      </c>
      <c r="EX46" s="1321">
        <v>8.9400000000000007E-2</v>
      </c>
      <c r="EY46" s="1321">
        <v>0.75800000000000001</v>
      </c>
      <c r="EZ46" s="1321">
        <v>7.5800000000000006E-2</v>
      </c>
      <c r="FA46" s="1321">
        <v>0.92700000000000005</v>
      </c>
      <c r="FB46" s="1321">
        <v>9.2700000000000005E-2</v>
      </c>
      <c r="FC46" s="1321">
        <v>0.93799999999999994</v>
      </c>
      <c r="FD46" s="1321">
        <v>9.3799999999999994E-2</v>
      </c>
      <c r="FF46" s="1247" t="s">
        <v>327</v>
      </c>
      <c r="FG46" s="107">
        <v>0.84</v>
      </c>
      <c r="FH46" s="107">
        <v>1.1000000000000001E-2</v>
      </c>
      <c r="FI46" s="107">
        <v>0.84</v>
      </c>
      <c r="FJ46" s="107">
        <v>1.1000000000000001E-2</v>
      </c>
      <c r="FK46" s="107">
        <v>0.84</v>
      </c>
      <c r="FL46" s="107">
        <v>1.1000000000000001E-2</v>
      </c>
      <c r="FM46" s="107">
        <v>0.84</v>
      </c>
      <c r="FN46" s="107">
        <v>1.1000000000000001E-2</v>
      </c>
      <c r="FQ46" s="107">
        <v>0.84</v>
      </c>
      <c r="FR46" s="107">
        <v>1.1000000000000001E-2</v>
      </c>
      <c r="FS46" s="107">
        <v>0.84</v>
      </c>
      <c r="FT46" s="107">
        <v>1.1000000000000001E-2</v>
      </c>
      <c r="FU46" s="107">
        <v>0.84</v>
      </c>
      <c r="FV46" s="107">
        <v>1.1000000000000001E-2</v>
      </c>
      <c r="FW46" s="107">
        <v>0.84</v>
      </c>
      <c r="FX46" s="107">
        <v>1.1000000000000001E-2</v>
      </c>
      <c r="GA46" s="107">
        <v>0.99</v>
      </c>
      <c r="GB46" s="107">
        <v>9.9000000000000005E-2</v>
      </c>
      <c r="GC46" s="107">
        <v>0.99</v>
      </c>
      <c r="GD46" s="107">
        <v>9.9000000000000005E-2</v>
      </c>
      <c r="GE46" s="107">
        <v>0.99</v>
      </c>
      <c r="GF46" s="107">
        <v>9.9000000000000005E-2</v>
      </c>
      <c r="GG46" s="107">
        <v>0.99</v>
      </c>
      <c r="GH46" s="107">
        <v>9.9000000000000005E-2</v>
      </c>
    </row>
    <row r="47" spans="2:190" ht="16.5" thickBot="1" x14ac:dyDescent="0.3">
      <c r="B47" s="785" t="e">
        <f>CHOOSE($Z$5,2,3,4,4)</f>
        <v>#VALUE!</v>
      </c>
      <c r="D47" s="1542" t="str" cm="1">
        <f t="array" ref="D47">INDEX(List_comparators,I47+1)</f>
        <v>axitinib</v>
      </c>
      <c r="E47" s="1542"/>
      <c r="F47" s="1542"/>
      <c r="G47" s="1542"/>
      <c r="H47" s="1543"/>
      <c r="I47" s="112">
        <v>11</v>
      </c>
      <c r="J47" s="197" t="s">
        <v>267</v>
      </c>
      <c r="K47" s="1606">
        <v>4923.8</v>
      </c>
      <c r="L47" s="1608"/>
      <c r="M47" s="320">
        <v>56</v>
      </c>
      <c r="N47" s="256" t="s">
        <v>280</v>
      </c>
      <c r="O47" s="257">
        <v>7</v>
      </c>
      <c r="P47" s="258" t="s">
        <v>281</v>
      </c>
      <c r="Q47" s="259" t="s">
        <v>74</v>
      </c>
      <c r="R47" s="1319">
        <v>0</v>
      </c>
      <c r="S47" s="1311">
        <f>K47*(1-R47)</f>
        <v>4923.8</v>
      </c>
      <c r="T47" s="260" t="s">
        <v>330</v>
      </c>
      <c r="U47" s="260" t="s">
        <v>283</v>
      </c>
      <c r="V47" s="260">
        <v>5</v>
      </c>
      <c r="W47" s="340" t="s">
        <v>272</v>
      </c>
      <c r="X47" s="970"/>
      <c r="Y47" s="1271">
        <f>CHOOSE(i_sc_RDI_num,100%,99%,CHOOSE($AA$5,CZ$46,DA$46,DB$46,DC$46),DK47,DP47)</f>
        <v>0.99</v>
      </c>
      <c r="Z47" s="1156">
        <f>IF(i_sc_RDI_num=3,i_SE_util*Y47,i_SE_util*Y47)</f>
        <v>9.9000000000000005E-2</v>
      </c>
      <c r="AA47" s="986">
        <v>4</v>
      </c>
      <c r="AB47" s="260">
        <v>1</v>
      </c>
      <c r="AC47" s="260">
        <v>1</v>
      </c>
      <c r="AD47" s="885">
        <f>ROUNDUP(ui_time_horizon*365.25*i_days_to_weeks,0)+1</f>
        <v>2089</v>
      </c>
      <c r="AE47" s="297">
        <f t="shared" si="89"/>
        <v>703.4</v>
      </c>
      <c r="AF47" s="462">
        <f>S47/O47</f>
        <v>703.4</v>
      </c>
      <c r="AG47" s="343">
        <f>AE47*V47</f>
        <v>3517</v>
      </c>
      <c r="AH47" s="1359">
        <f>AF47*V47</f>
        <v>3517</v>
      </c>
      <c r="AI47" s="1362">
        <f>CHOOSE(i_drug_price_options,(AG47/$M$47)*2*7*Y47,(AH47/$M$47)*2*7*Y47)</f>
        <v>870.45749999999998</v>
      </c>
      <c r="AJ47" s="1355">
        <f>CHOOSE(i_drug_price_options,(AG47/$M$47)*2*7,(AH47/$M$47)*2*7)</f>
        <v>879.25</v>
      </c>
      <c r="AK47" s="1248"/>
      <c r="AM47" s="107" t="s">
        <v>331</v>
      </c>
      <c r="AO47" s="107" t="s">
        <v>332</v>
      </c>
      <c r="AZ47" s="991">
        <v>2</v>
      </c>
      <c r="BA47" s="191" t="str">
        <f>D42</f>
        <v>everolimus</v>
      </c>
      <c r="BB47" s="191" t="s">
        <v>1195</v>
      </c>
      <c r="BC47" s="191">
        <f>I42</f>
        <v>10</v>
      </c>
      <c r="BD47" s="191" t="str">
        <f>J42</f>
        <v>per cycle</v>
      </c>
      <c r="BE47" s="1346">
        <f>CHOOSE(i_drug_price_options,AG42,AH42)</f>
        <v>536.65</v>
      </c>
      <c r="BF47" s="1346">
        <f>AG42</f>
        <v>536.65</v>
      </c>
      <c r="BG47" s="1347">
        <f t="shared" si="29"/>
        <v>0</v>
      </c>
      <c r="BH47" s="487"/>
      <c r="BI47" s="836"/>
      <c r="BJ47" s="837">
        <f>AA42</f>
        <v>4.2857142857142856</v>
      </c>
      <c r="BK47" s="837">
        <f>AB42</f>
        <v>1</v>
      </c>
      <c r="BL47" s="838">
        <f>$Y$42</f>
        <v>0.84</v>
      </c>
      <c r="BM47" s="838">
        <f>$Z$42</f>
        <v>1.1000000000000001E-2</v>
      </c>
      <c r="BN47" s="839">
        <f>AC42</f>
        <v>1</v>
      </c>
      <c r="BO47" s="839">
        <f>AD42</f>
        <v>2089</v>
      </c>
      <c r="BP47" s="838">
        <f t="shared" si="63"/>
        <v>0.84</v>
      </c>
      <c r="BQ47" s="838">
        <f t="shared" si="64"/>
        <v>1.1000000000000001E-2</v>
      </c>
      <c r="BR47" s="838">
        <f t="shared" si="65"/>
        <v>0.84</v>
      </c>
      <c r="BS47" s="838">
        <f t="shared" si="66"/>
        <v>1.1000000000000001E-2</v>
      </c>
      <c r="BT47" s="838">
        <f t="shared" si="67"/>
        <v>0.84</v>
      </c>
      <c r="BU47" s="838">
        <f t="shared" si="68"/>
        <v>1.1000000000000001E-2</v>
      </c>
      <c r="BV47" s="838">
        <f t="shared" si="69"/>
        <v>0.84</v>
      </c>
      <c r="BW47" s="838">
        <f t="shared" si="70"/>
        <v>1.1000000000000001E-2</v>
      </c>
      <c r="BX47" s="1332">
        <f t="shared" si="71"/>
        <v>0.48</v>
      </c>
      <c r="BY47" s="838">
        <f t="shared" si="72"/>
        <v>4.8000000000000001E-2</v>
      </c>
      <c r="BZ47" s="1333">
        <f t="shared" si="73"/>
        <v>0.48</v>
      </c>
      <c r="CA47" s="838">
        <f t="shared" si="74"/>
        <v>4.8000000000000001E-2</v>
      </c>
      <c r="CB47" s="1333">
        <f t="shared" si="75"/>
        <v>0.5</v>
      </c>
      <c r="CC47" s="838">
        <f t="shared" si="76"/>
        <v>0.05</v>
      </c>
      <c r="CD47" s="1333">
        <f t="shared" si="77"/>
        <v>0.95</v>
      </c>
      <c r="CE47" s="838">
        <f t="shared" si="78"/>
        <v>9.5000000000000001E-2</v>
      </c>
      <c r="CF47" s="992"/>
      <c r="CG47" s="824">
        <f t="shared" si="31"/>
        <v>0.84</v>
      </c>
      <c r="CH47" s="824">
        <f t="shared" si="83"/>
        <v>1.1000000000000001E-2</v>
      </c>
      <c r="CI47" s="824">
        <f t="shared" si="84"/>
        <v>0.84</v>
      </c>
      <c r="CJ47" s="824">
        <f t="shared" si="85"/>
        <v>1.1000000000000001E-2</v>
      </c>
      <c r="CK47" s="824">
        <f t="shared" si="32"/>
        <v>0.84</v>
      </c>
      <c r="CL47" s="992"/>
      <c r="CM47" s="475">
        <f t="shared" si="33"/>
        <v>10</v>
      </c>
      <c r="CN47" s="475" t="str">
        <f t="shared" si="41"/>
        <v>everolimus</v>
      </c>
      <c r="CO47" s="825">
        <f>AJ42</f>
        <v>125.21833333333332</v>
      </c>
      <c r="CP47" s="825">
        <f t="shared" si="82"/>
        <v>60.10479999999999</v>
      </c>
      <c r="CQ47" s="825">
        <f t="shared" si="79"/>
        <v>60.10479999999999</v>
      </c>
      <c r="CR47" s="825">
        <f t="shared" si="80"/>
        <v>62.60916666666666</v>
      </c>
      <c r="CS47" s="825">
        <f t="shared" si="81"/>
        <v>118.95741666666665</v>
      </c>
      <c r="CT47" s="1119"/>
      <c r="CU47" s="1119"/>
      <c r="CV47" s="1119"/>
      <c r="CW47" s="1119"/>
      <c r="CZ47" s="993" t="str" cm="1">
        <f t="array" ref="CZ47">_xlfn.IFNA(INDEX($EH$30:$EH$69,MATCH(1,($BA51=$ED$30:$ED$69)*(CZ$9=$EE$30:$EE$69),0)),"")</f>
        <v/>
      </c>
      <c r="DA47" s="993" t="str" cm="1">
        <f t="array" ref="DA47">_xlfn.IFNA(INDEX($EH$30:$EH$69,MATCH(1,($BA51=$ED$30:$ED$69)*(DA$9=$EE$30:$EE$69),0)),"")</f>
        <v/>
      </c>
      <c r="DB47" s="993" t="str" cm="1">
        <f t="array" ref="DB47">_xlfn.IFNA(INDEX($EH$30:$EH$69,MATCH(1,($BA51=$ED$30:$ED$69)*(DB$9=$EE$30:$EE$69),0)),"")</f>
        <v/>
      </c>
      <c r="DC47" s="993" t="str" cm="1">
        <f t="array" ref="DC47">_xlfn.IFNA(INDEX($EH$30:$EH$69,MATCH(1,($BA51=$ED$30:$ED$69)*(DC$9=$EE$30:$EE$69),0)),"")</f>
        <v/>
      </c>
      <c r="DJ47" s="1112">
        <v>0.99</v>
      </c>
      <c r="DK47" s="1112">
        <f>DJ47</f>
        <v>0.99</v>
      </c>
      <c r="DL47" s="1112">
        <v>0.99</v>
      </c>
      <c r="DM47" s="1112">
        <v>0.99</v>
      </c>
      <c r="DN47" s="1112">
        <v>0.99</v>
      </c>
      <c r="DO47" s="1112">
        <v>0.99</v>
      </c>
      <c r="DP47" s="1112">
        <f t="shared" si="88"/>
        <v>0.99</v>
      </c>
      <c r="DQ47" s="1112"/>
      <c r="EC47" s="219">
        <v>5</v>
      </c>
      <c r="ED47" s="797" t="str" cm="1">
        <f t="array" ref="ED47">INDEX(List_comparators,EC47+1)</f>
        <v>pazopanib</v>
      </c>
      <c r="EE47" s="219">
        <v>3</v>
      </c>
      <c r="EF47" s="964">
        <v>0.86</v>
      </c>
      <c r="EG47" s="964"/>
      <c r="EH47" s="1322">
        <v>0.75</v>
      </c>
      <c r="EI47" s="219"/>
      <c r="EN47" s="1244" t="s">
        <v>1196</v>
      </c>
      <c r="EO47" s="107">
        <f t="shared" si="21"/>
        <v>0.99</v>
      </c>
      <c r="EP47" s="107">
        <f t="shared" si="22"/>
        <v>9.9000000000000005E-2</v>
      </c>
      <c r="EQ47" s="107">
        <f t="shared" si="23"/>
        <v>0.99</v>
      </c>
      <c r="ER47" s="107">
        <f t="shared" si="24"/>
        <v>9.9000000000000005E-2</v>
      </c>
      <c r="ES47" s="107">
        <f t="shared" si="25"/>
        <v>0.99</v>
      </c>
      <c r="ET47" s="107">
        <f t="shared" si="26"/>
        <v>9.9000000000000005E-2</v>
      </c>
      <c r="EU47" s="107">
        <f t="shared" si="27"/>
        <v>0.99</v>
      </c>
      <c r="EV47" s="107">
        <f t="shared" si="28"/>
        <v>9.9000000000000005E-2</v>
      </c>
      <c r="EW47" s="1321">
        <v>1</v>
      </c>
      <c r="EX47" s="1321">
        <v>0.1</v>
      </c>
      <c r="EY47" s="1321">
        <v>1</v>
      </c>
      <c r="EZ47" s="1321">
        <v>0.1</v>
      </c>
      <c r="FA47" s="1321">
        <v>1</v>
      </c>
      <c r="FB47" s="1321">
        <v>0.1</v>
      </c>
      <c r="FC47" s="1321">
        <v>1</v>
      </c>
      <c r="FD47" s="1321">
        <v>0.1</v>
      </c>
      <c r="FF47" s="1247" t="s">
        <v>334</v>
      </c>
      <c r="FG47" s="107">
        <v>0.99</v>
      </c>
      <c r="FH47" s="107">
        <v>9.9000000000000005E-2</v>
      </c>
      <c r="FI47" s="107">
        <v>0.99</v>
      </c>
      <c r="FJ47" s="107">
        <v>9.9000000000000005E-2</v>
      </c>
      <c r="FK47" s="107">
        <v>0.99</v>
      </c>
      <c r="FL47" s="107">
        <v>9.9000000000000005E-2</v>
      </c>
      <c r="FM47" s="107">
        <v>0.99</v>
      </c>
      <c r="FN47" s="107">
        <v>9.9000000000000005E-2</v>
      </c>
      <c r="FQ47" s="107">
        <v>0.99</v>
      </c>
      <c r="FR47" s="107">
        <v>9.9000000000000005E-2</v>
      </c>
      <c r="FS47" s="107">
        <v>0.99</v>
      </c>
      <c r="FT47" s="107">
        <v>9.9000000000000005E-2</v>
      </c>
      <c r="FU47" s="107">
        <v>0.99</v>
      </c>
      <c r="FV47" s="107">
        <v>9.9000000000000005E-2</v>
      </c>
      <c r="FW47" s="107">
        <v>0.99</v>
      </c>
      <c r="FX47" s="107">
        <v>9.9000000000000005E-2</v>
      </c>
      <c r="GA47" s="107">
        <v>1</v>
      </c>
      <c r="GB47" s="107">
        <v>0.1</v>
      </c>
      <c r="GC47" s="107">
        <v>1</v>
      </c>
      <c r="GD47" s="107">
        <v>0.1</v>
      </c>
      <c r="GE47" s="107">
        <v>1</v>
      </c>
      <c r="GF47" s="107">
        <v>0.1</v>
      </c>
      <c r="GG47" s="107">
        <v>1</v>
      </c>
      <c r="GH47" s="107">
        <v>0.1</v>
      </c>
    </row>
    <row r="48" spans="2:190" ht="15.75" x14ac:dyDescent="0.25">
      <c r="D48" s="1549" t="str">
        <f>D47</f>
        <v>axitinib</v>
      </c>
      <c r="E48" s="1549"/>
      <c r="F48" s="1549"/>
      <c r="G48" s="1549"/>
      <c r="H48" s="1550"/>
      <c r="I48" s="123"/>
      <c r="J48" s="160" t="s">
        <v>267</v>
      </c>
      <c r="K48" s="1570">
        <v>3517</v>
      </c>
      <c r="L48" s="1571"/>
      <c r="M48" s="321">
        <v>56</v>
      </c>
      <c r="N48" s="124" t="s">
        <v>280</v>
      </c>
      <c r="O48" s="125">
        <v>5</v>
      </c>
      <c r="P48" s="126" t="s">
        <v>281</v>
      </c>
      <c r="Q48" s="127" t="s">
        <v>74</v>
      </c>
      <c r="R48" s="1316">
        <v>0</v>
      </c>
      <c r="S48" s="1311">
        <f>K48*(1-R48)</f>
        <v>3517</v>
      </c>
      <c r="T48" s="128"/>
      <c r="U48" s="128"/>
      <c r="V48" s="128"/>
      <c r="W48" s="341"/>
      <c r="X48" s="779"/>
      <c r="Y48" s="1273">
        <f>CHOOSE(i_sc_RDI_num,100%,99%,CHOOSE($AA$5,CZ$46,DA$46,DB$46,DC$46),DK48,DP48)</f>
        <v>0.99</v>
      </c>
      <c r="Z48" s="1156">
        <f>IF(i_sc_RDI_num=3,i_SE_util*Y48,i_SE_util*Y48)</f>
        <v>9.9000000000000005E-2</v>
      </c>
      <c r="AA48" s="803">
        <v>4</v>
      </c>
      <c r="AB48" s="128">
        <v>1</v>
      </c>
      <c r="AC48" s="128">
        <v>1</v>
      </c>
      <c r="AD48" s="886">
        <f>ROUNDUP(ui_time_horizon*365.25*i_days_to_weeks,0)+1</f>
        <v>2089</v>
      </c>
      <c r="AE48" s="460">
        <f t="shared" si="89"/>
        <v>703.4</v>
      </c>
      <c r="AF48" s="398">
        <f>S48/O48</f>
        <v>703.4</v>
      </c>
      <c r="AG48" s="465"/>
      <c r="AH48" s="1363"/>
      <c r="AI48" s="1357"/>
      <c r="AJ48" s="1355">
        <f>AJ47</f>
        <v>879.25</v>
      </c>
      <c r="AK48" s="1248"/>
      <c r="AZ48" s="991">
        <v>2</v>
      </c>
      <c r="BA48" s="797" t="str">
        <f>D45</f>
        <v>initial admin for everolimus</v>
      </c>
      <c r="BB48" s="485" t="s">
        <v>1195</v>
      </c>
      <c r="BC48" s="814">
        <f>BC47</f>
        <v>10</v>
      </c>
      <c r="BD48" s="814" t="str">
        <f>J45</f>
        <v>one-off</v>
      </c>
      <c r="BE48" s="1236"/>
      <c r="BF48" s="1236"/>
      <c r="BG48" s="1264"/>
      <c r="BH48" s="815">
        <f>W45</f>
        <v>197.25</v>
      </c>
      <c r="BI48" s="840">
        <f>X45</f>
        <v>39.450000000000003</v>
      </c>
      <c r="BJ48" s="841"/>
      <c r="BK48" s="841">
        <f>BK49</f>
        <v>1</v>
      </c>
      <c r="BL48" s="842">
        <f>$Y$42</f>
        <v>0.84</v>
      </c>
      <c r="BM48" s="841">
        <f>$Z$42</f>
        <v>1.1000000000000001E-2</v>
      </c>
      <c r="BN48" s="841">
        <f>AC43</f>
        <v>1</v>
      </c>
      <c r="BO48" s="841">
        <f>AD43</f>
        <v>2089</v>
      </c>
      <c r="BP48" s="1133">
        <f t="shared" si="63"/>
        <v>0.84</v>
      </c>
      <c r="BQ48" s="1133">
        <f t="shared" si="64"/>
        <v>1.1000000000000001E-2</v>
      </c>
      <c r="BR48" s="1133">
        <f t="shared" si="65"/>
        <v>0.84</v>
      </c>
      <c r="BS48" s="1133">
        <f t="shared" si="66"/>
        <v>1.1000000000000001E-2</v>
      </c>
      <c r="BT48" s="1133">
        <f t="shared" si="67"/>
        <v>0.84</v>
      </c>
      <c r="BU48" s="1133">
        <f t="shared" si="68"/>
        <v>1.1000000000000001E-2</v>
      </c>
      <c r="BV48" s="1133">
        <f t="shared" si="69"/>
        <v>0.84</v>
      </c>
      <c r="BW48" s="1133">
        <f t="shared" si="70"/>
        <v>1.1000000000000001E-2</v>
      </c>
      <c r="BX48" s="1330">
        <f t="shared" si="71"/>
        <v>0.48</v>
      </c>
      <c r="BY48" s="828">
        <f t="shared" si="72"/>
        <v>4.8000000000000001E-2</v>
      </c>
      <c r="BZ48" s="1330">
        <f t="shared" si="73"/>
        <v>0.48</v>
      </c>
      <c r="CA48" s="828">
        <f t="shared" si="74"/>
        <v>4.8000000000000001E-2</v>
      </c>
      <c r="CB48" s="1330">
        <f t="shared" si="75"/>
        <v>0.5</v>
      </c>
      <c r="CC48" s="828">
        <f t="shared" si="76"/>
        <v>0.05</v>
      </c>
      <c r="CD48" s="1330">
        <f t="shared" si="77"/>
        <v>0.95</v>
      </c>
      <c r="CE48" s="1133">
        <f t="shared" si="78"/>
        <v>9.5000000000000001E-2</v>
      </c>
      <c r="CG48" s="824">
        <f t="shared" si="31"/>
        <v>0.84</v>
      </c>
      <c r="CH48" s="824">
        <f t="shared" si="83"/>
        <v>1.1000000000000001E-2</v>
      </c>
      <c r="CI48" s="824">
        <f t="shared" si="84"/>
        <v>0.84</v>
      </c>
      <c r="CJ48" s="824">
        <f t="shared" si="85"/>
        <v>1.1000000000000001E-2</v>
      </c>
      <c r="CK48" s="824">
        <f t="shared" si="32"/>
        <v>0.84</v>
      </c>
      <c r="CM48" s="475">
        <f t="shared" si="33"/>
        <v>10</v>
      </c>
      <c r="CN48" s="475" t="str">
        <f>CN47</f>
        <v>everolimus</v>
      </c>
      <c r="CO48" s="816"/>
      <c r="CP48" s="825">
        <f t="shared" si="82"/>
        <v>0</v>
      </c>
      <c r="CQ48" s="825">
        <f t="shared" si="79"/>
        <v>0</v>
      </c>
      <c r="CR48" s="825">
        <f t="shared" si="80"/>
        <v>0</v>
      </c>
      <c r="CS48" s="825">
        <f t="shared" si="81"/>
        <v>0</v>
      </c>
      <c r="CT48" s="1119"/>
      <c r="CU48" s="1119"/>
      <c r="CV48" s="1119"/>
      <c r="CW48" s="1119"/>
      <c r="CZ48" s="992" t="str" cm="1">
        <f t="array" ref="CZ48">_xlfn.IFNA(INDEX($EH$30:$EH$69,MATCH(1,($BA52=$ED$30:$ED$69)*(CZ$9=$EE$30:$EE$69),0)),"")</f>
        <v/>
      </c>
      <c r="DA48" s="992" t="str" cm="1">
        <f t="array" ref="DA48">_xlfn.IFNA(INDEX($EH$30:$EH$69,MATCH(1,($BA52=$ED$30:$ED$69)*(DA$9=$EE$30:$EE$69),0)),"")</f>
        <v/>
      </c>
      <c r="DB48" s="992" t="str" cm="1">
        <f t="array" ref="DB48">_xlfn.IFNA(INDEX($EH$30:$EH$69,MATCH(1,($BA52=$ED$30:$ED$69)*(DB$9=$EE$30:$EE$69),0)),"")</f>
        <v/>
      </c>
      <c r="DC48" s="992" t="str" cm="1">
        <f t="array" ref="DC48">_xlfn.IFNA(INDEX($EH$30:$EH$69,MATCH(1,($BA52=$ED$30:$ED$69)*(DC$9=$EE$30:$EE$69),0)),"")</f>
        <v/>
      </c>
      <c r="DJ48" s="1112">
        <v>0.99</v>
      </c>
      <c r="DK48" s="1112">
        <f t="shared" ref="DK48:DK50" si="90">DJ48</f>
        <v>0.99</v>
      </c>
      <c r="DL48" s="1112">
        <v>0.99</v>
      </c>
      <c r="DM48" s="1112">
        <v>0.99</v>
      </c>
      <c r="DN48" s="1112">
        <v>0.99</v>
      </c>
      <c r="DO48" s="1112">
        <v>0.99</v>
      </c>
      <c r="DP48" s="1112">
        <f t="shared" si="88"/>
        <v>0.99</v>
      </c>
      <c r="DQ48" s="1112"/>
      <c r="EC48" s="219">
        <v>6</v>
      </c>
      <c r="ED48" s="797" t="str" cm="1">
        <f t="array" ref="ED48">INDEX(List_comparators,EC48+1)</f>
        <v>tivozanib</v>
      </c>
      <c r="EE48" s="219">
        <v>1</v>
      </c>
      <c r="EF48" s="964">
        <v>0.94</v>
      </c>
      <c r="EG48" s="964"/>
      <c r="EH48" s="1322">
        <v>0.95</v>
      </c>
      <c r="EI48" s="219"/>
      <c r="EN48" s="1244" t="s">
        <v>1196</v>
      </c>
      <c r="EO48" s="107">
        <f t="shared" si="21"/>
        <v>1</v>
      </c>
      <c r="EP48" s="107">
        <f t="shared" si="22"/>
        <v>0.1</v>
      </c>
      <c r="EQ48" s="107">
        <f t="shared" si="23"/>
        <v>1</v>
      </c>
      <c r="ER48" s="107">
        <f t="shared" si="24"/>
        <v>0.1</v>
      </c>
      <c r="ES48" s="107">
        <f t="shared" si="25"/>
        <v>1</v>
      </c>
      <c r="ET48" s="107">
        <f t="shared" si="26"/>
        <v>0.1</v>
      </c>
      <c r="EU48" s="107">
        <f t="shared" si="27"/>
        <v>1</v>
      </c>
      <c r="EV48" s="107">
        <f t="shared" si="28"/>
        <v>0.1</v>
      </c>
      <c r="EW48" s="1321">
        <v>0.89400000000000002</v>
      </c>
      <c r="EX48" s="1321">
        <v>8.9400000000000007E-2</v>
      </c>
      <c r="EY48" s="1321">
        <v>0.75800000000000001</v>
      </c>
      <c r="EZ48" s="1321">
        <v>7.5800000000000006E-2</v>
      </c>
      <c r="FA48" s="1321">
        <v>0.92700000000000005</v>
      </c>
      <c r="FB48" s="1321">
        <v>9.2700000000000005E-2</v>
      </c>
      <c r="FC48" s="1321">
        <v>0.93799999999999994</v>
      </c>
      <c r="FD48" s="1321">
        <v>9.3799999999999994E-2</v>
      </c>
      <c r="FF48" s="1247" t="s">
        <v>335</v>
      </c>
      <c r="FG48" s="107">
        <v>1</v>
      </c>
      <c r="FH48" s="107">
        <v>0.1</v>
      </c>
      <c r="FI48" s="107">
        <v>1</v>
      </c>
      <c r="FJ48" s="107">
        <v>0.1</v>
      </c>
      <c r="FK48" s="107">
        <v>1</v>
      </c>
      <c r="FL48" s="107">
        <v>0.1</v>
      </c>
      <c r="FM48" s="107">
        <v>1</v>
      </c>
      <c r="FN48" s="107">
        <v>0.1</v>
      </c>
      <c r="FQ48" s="107">
        <v>1</v>
      </c>
      <c r="FR48" s="107">
        <v>0.1</v>
      </c>
      <c r="FS48" s="107">
        <v>1</v>
      </c>
      <c r="FT48" s="107">
        <v>0.1</v>
      </c>
      <c r="FU48" s="107">
        <v>1</v>
      </c>
      <c r="FV48" s="107">
        <v>0.1</v>
      </c>
      <c r="FW48" s="107">
        <v>1</v>
      </c>
      <c r="FX48" s="107">
        <v>0.1</v>
      </c>
      <c r="GA48" s="107">
        <v>0.99</v>
      </c>
      <c r="GB48" s="107">
        <v>9.9000000000000005E-2</v>
      </c>
      <c r="GC48" s="107">
        <v>0.99</v>
      </c>
      <c r="GD48" s="107">
        <v>9.9000000000000005E-2</v>
      </c>
      <c r="GE48" s="107">
        <v>0.99</v>
      </c>
      <c r="GF48" s="107">
        <v>9.9000000000000005E-2</v>
      </c>
      <c r="GG48" s="107">
        <v>0.99</v>
      </c>
      <c r="GH48" s="107">
        <v>9.9000000000000005E-2</v>
      </c>
    </row>
    <row r="49" spans="2:180" ht="15.75" x14ac:dyDescent="0.25">
      <c r="D49" s="1549" t="str">
        <f>D47</f>
        <v>axitinib</v>
      </c>
      <c r="E49" s="1549"/>
      <c r="F49" s="1549"/>
      <c r="G49" s="1549"/>
      <c r="H49" s="1550"/>
      <c r="I49" s="123"/>
      <c r="J49" s="160" t="s">
        <v>267</v>
      </c>
      <c r="K49" s="1570">
        <v>2110.1999999999998</v>
      </c>
      <c r="L49" s="1571"/>
      <c r="M49" s="321">
        <v>56</v>
      </c>
      <c r="N49" s="124" t="s">
        <v>280</v>
      </c>
      <c r="O49" s="125">
        <v>3</v>
      </c>
      <c r="P49" s="126" t="s">
        <v>281</v>
      </c>
      <c r="Q49" s="127" t="s">
        <v>74</v>
      </c>
      <c r="R49" s="1316">
        <v>0</v>
      </c>
      <c r="S49" s="1311">
        <f>K49*(1-R49)</f>
        <v>2110.1999999999998</v>
      </c>
      <c r="T49" s="128"/>
      <c r="U49" s="128"/>
      <c r="V49" s="128"/>
      <c r="W49" s="341"/>
      <c r="X49" s="779"/>
      <c r="Y49" s="1273">
        <f>CHOOSE(i_sc_RDI_num,100%,99%,CHOOSE($AA$5,CZ$46,DA$46,DB$46,DC$46),DK49,DP49)</f>
        <v>0.99</v>
      </c>
      <c r="Z49" s="1156">
        <f>IF(i_sc_RDI_num=3,i_SE_util*Y49,i_SE_util*Y49)</f>
        <v>9.9000000000000005E-2</v>
      </c>
      <c r="AA49" s="803">
        <v>4</v>
      </c>
      <c r="AB49" s="128">
        <v>1</v>
      </c>
      <c r="AC49" s="128">
        <v>1</v>
      </c>
      <c r="AD49" s="886">
        <f>ROUNDUP(ui_time_horizon*365.25*i_days_to_weeks,0)+1</f>
        <v>2089</v>
      </c>
      <c r="AE49" s="292">
        <f t="shared" si="89"/>
        <v>703.4</v>
      </c>
      <c r="AF49" s="461">
        <f>S49/O49</f>
        <v>703.4</v>
      </c>
      <c r="AG49" s="465"/>
      <c r="AH49" s="1363"/>
      <c r="AI49" s="1357"/>
      <c r="AJ49" s="1355">
        <f>AJ47</f>
        <v>879.25</v>
      </c>
      <c r="AK49" s="1248"/>
      <c r="AZ49" s="991">
        <v>2</v>
      </c>
      <c r="BA49" s="798" t="str">
        <f>D46</f>
        <v>subsequent admin for everolimus</v>
      </c>
      <c r="BB49" s="219" t="s">
        <v>1195</v>
      </c>
      <c r="BC49" s="797">
        <f>BC48</f>
        <v>10</v>
      </c>
      <c r="BD49" s="797" t="str">
        <f>J46</f>
        <v>per cycle</v>
      </c>
      <c r="BE49" s="1237"/>
      <c r="BF49" s="1237"/>
      <c r="BG49" s="1265"/>
      <c r="BH49" s="467">
        <f>W46</f>
        <v>11</v>
      </c>
      <c r="BI49" s="825">
        <f>X46</f>
        <v>2.2000000000000002</v>
      </c>
      <c r="BJ49" s="819">
        <f>BJ47</f>
        <v>4.2857142857142856</v>
      </c>
      <c r="BK49" s="819">
        <f>BK47</f>
        <v>1</v>
      </c>
      <c r="BL49" s="835">
        <f>$BL$47</f>
        <v>0.84</v>
      </c>
      <c r="BM49" s="830">
        <f>$BM$47</f>
        <v>1.1000000000000001E-2</v>
      </c>
      <c r="BN49" s="819">
        <f>BN47+BJ49</f>
        <v>5.2857142857142856</v>
      </c>
      <c r="BO49" s="816">
        <f>BO47</f>
        <v>2089</v>
      </c>
      <c r="BP49" s="830">
        <f t="shared" si="63"/>
        <v>0.84</v>
      </c>
      <c r="BQ49" s="830">
        <f t="shared" si="64"/>
        <v>1.1000000000000001E-2</v>
      </c>
      <c r="BR49" s="830">
        <f t="shared" si="65"/>
        <v>0.84</v>
      </c>
      <c r="BS49" s="830">
        <f t="shared" si="66"/>
        <v>1.1000000000000001E-2</v>
      </c>
      <c r="BT49" s="830">
        <f t="shared" si="67"/>
        <v>0.84</v>
      </c>
      <c r="BU49" s="830">
        <f t="shared" si="68"/>
        <v>1.1000000000000001E-2</v>
      </c>
      <c r="BV49" s="830">
        <f t="shared" si="69"/>
        <v>0.84</v>
      </c>
      <c r="BW49" s="830">
        <f t="shared" si="70"/>
        <v>1.1000000000000001E-2</v>
      </c>
      <c r="BX49" s="824">
        <f t="shared" si="71"/>
        <v>0.48</v>
      </c>
      <c r="BY49" s="830">
        <f t="shared" si="72"/>
        <v>4.8000000000000001E-2</v>
      </c>
      <c r="BZ49" s="824">
        <f t="shared" si="73"/>
        <v>0.48</v>
      </c>
      <c r="CA49" s="830">
        <f t="shared" si="74"/>
        <v>4.8000000000000001E-2</v>
      </c>
      <c r="CB49" s="824">
        <f t="shared" si="75"/>
        <v>0.5</v>
      </c>
      <c r="CC49" s="830">
        <f t="shared" si="76"/>
        <v>0.05</v>
      </c>
      <c r="CD49" s="824">
        <f t="shared" si="77"/>
        <v>0.95</v>
      </c>
      <c r="CE49" s="830">
        <f t="shared" si="78"/>
        <v>9.5000000000000001E-2</v>
      </c>
      <c r="CF49" s="992"/>
      <c r="CG49" s="824">
        <f t="shared" si="31"/>
        <v>0.84</v>
      </c>
      <c r="CH49" s="824">
        <f t="shared" si="83"/>
        <v>1.1000000000000001E-2</v>
      </c>
      <c r="CI49" s="824">
        <f t="shared" si="84"/>
        <v>0.84</v>
      </c>
      <c r="CJ49" s="824">
        <f t="shared" si="85"/>
        <v>1.1000000000000001E-2</v>
      </c>
      <c r="CK49" s="824">
        <f t="shared" si="32"/>
        <v>0.84</v>
      </c>
      <c r="CL49" s="992"/>
      <c r="CM49" s="475">
        <f t="shared" si="33"/>
        <v>10</v>
      </c>
      <c r="CN49" s="475" t="str">
        <f>CN48</f>
        <v>everolimus</v>
      </c>
      <c r="CO49" s="816"/>
      <c r="CP49" s="825">
        <f t="shared" si="82"/>
        <v>0</v>
      </c>
      <c r="CQ49" s="825">
        <f t="shared" si="79"/>
        <v>0</v>
      </c>
      <c r="CR49" s="825">
        <f t="shared" si="80"/>
        <v>0</v>
      </c>
      <c r="CS49" s="825">
        <f t="shared" si="81"/>
        <v>0</v>
      </c>
      <c r="CT49" s="1119"/>
      <c r="CU49" s="1119"/>
      <c r="CV49" s="1119"/>
      <c r="CW49" s="1119"/>
      <c r="DJ49" s="1112">
        <v>0.99</v>
      </c>
      <c r="DK49" s="1112">
        <f t="shared" si="90"/>
        <v>0.99</v>
      </c>
      <c r="DL49" s="1112">
        <v>0.99</v>
      </c>
      <c r="DM49" s="1112">
        <v>0.99</v>
      </c>
      <c r="DN49" s="1112">
        <v>0.99</v>
      </c>
      <c r="DO49" s="1112">
        <v>0.99</v>
      </c>
      <c r="DP49" s="1112">
        <f t="shared" si="88"/>
        <v>0.99</v>
      </c>
      <c r="DQ49" s="1112"/>
      <c r="EC49" s="219">
        <v>6</v>
      </c>
      <c r="ED49" s="797" t="str" cm="1">
        <f t="array" ref="ED49">INDEX(List_comparators,EC49+1)</f>
        <v>tivozanib</v>
      </c>
      <c r="EE49" s="219">
        <v>2</v>
      </c>
      <c r="EF49" s="964">
        <v>0.94</v>
      </c>
      <c r="EG49" s="964"/>
      <c r="EH49" s="1322">
        <v>0.92</v>
      </c>
      <c r="EI49" s="219"/>
      <c r="FF49" s="1247" t="s">
        <v>333</v>
      </c>
      <c r="FG49" s="107">
        <v>0.99</v>
      </c>
      <c r="FH49" s="107">
        <v>9.9000000000000005E-2</v>
      </c>
      <c r="FI49" s="107">
        <v>0.99</v>
      </c>
      <c r="FJ49" s="107">
        <v>9.9000000000000005E-2</v>
      </c>
      <c r="FK49" s="107">
        <v>0.99</v>
      </c>
      <c r="FL49" s="107">
        <v>9.9000000000000005E-2</v>
      </c>
      <c r="FM49" s="107">
        <v>0.99</v>
      </c>
      <c r="FN49" s="107">
        <v>9.9000000000000005E-2</v>
      </c>
      <c r="FQ49" s="107">
        <v>0.99</v>
      </c>
      <c r="FR49" s="107">
        <v>9.9000000000000005E-2</v>
      </c>
      <c r="FS49" s="107">
        <v>0.99</v>
      </c>
      <c r="FT49" s="107">
        <v>9.9000000000000005E-2</v>
      </c>
      <c r="FU49" s="107">
        <v>0.99</v>
      </c>
      <c r="FV49" s="107">
        <v>9.9000000000000005E-2</v>
      </c>
      <c r="FW49" s="107">
        <v>0.99</v>
      </c>
      <c r="FX49" s="107">
        <v>9.9000000000000005E-2</v>
      </c>
    </row>
    <row r="50" spans="2:180" ht="15.75" x14ac:dyDescent="0.25">
      <c r="D50" s="1549" t="str">
        <f>D47</f>
        <v>axitinib</v>
      </c>
      <c r="E50" s="1549"/>
      <c r="F50" s="1549"/>
      <c r="G50" s="1549"/>
      <c r="H50" s="1550"/>
      <c r="I50" s="123"/>
      <c r="J50" s="160" t="s">
        <v>267</v>
      </c>
      <c r="K50" s="1570">
        <v>703.4</v>
      </c>
      <c r="L50" s="1571"/>
      <c r="M50" s="321">
        <v>56</v>
      </c>
      <c r="N50" s="124" t="s">
        <v>280</v>
      </c>
      <c r="O50" s="125">
        <v>1</v>
      </c>
      <c r="P50" s="126" t="s">
        <v>281</v>
      </c>
      <c r="Q50" s="127" t="s">
        <v>74</v>
      </c>
      <c r="R50" s="1316">
        <v>0</v>
      </c>
      <c r="S50" s="1311">
        <f>K50*(1-R50)</f>
        <v>703.4</v>
      </c>
      <c r="T50" s="128"/>
      <c r="U50" s="128"/>
      <c r="V50" s="128"/>
      <c r="W50" s="341"/>
      <c r="X50" s="779"/>
      <c r="Y50" s="1273">
        <f>CHOOSE(i_sc_RDI_num,100%,99%,CHOOSE($AA$5,CZ$46,DA$46,DB$46,DC$46),DK50,DP50)</f>
        <v>0.99</v>
      </c>
      <c r="Z50" s="1156">
        <f>IF(i_sc_RDI_num=3,i_SE_util*Y50,i_SE_util*Y50)</f>
        <v>9.9000000000000005E-2</v>
      </c>
      <c r="AA50" s="803">
        <v>4</v>
      </c>
      <c r="AB50" s="128">
        <v>1</v>
      </c>
      <c r="AC50" s="128">
        <v>1</v>
      </c>
      <c r="AD50" s="886">
        <f>ROUNDUP(ui_time_horizon*365.25*i_days_to_weeks,0)+1</f>
        <v>2089</v>
      </c>
      <c r="AE50" s="292">
        <f t="shared" si="89"/>
        <v>703.4</v>
      </c>
      <c r="AF50" s="398">
        <f>S50/O50</f>
        <v>703.4</v>
      </c>
      <c r="AG50" s="465"/>
      <c r="AH50" s="1363"/>
      <c r="AI50" s="1357"/>
      <c r="AJ50" s="1355">
        <f>AJ47</f>
        <v>879.25</v>
      </c>
      <c r="AK50" s="1248"/>
      <c r="AZ50" s="991"/>
      <c r="BA50" s="219" t="str">
        <f>D47</f>
        <v>axitinib</v>
      </c>
      <c r="BB50" s="485" t="s">
        <v>1196</v>
      </c>
      <c r="BC50" s="485">
        <f>I47</f>
        <v>11</v>
      </c>
      <c r="BD50" s="485" t="str">
        <f>J47</f>
        <v>per cycle</v>
      </c>
      <c r="BE50" s="1348">
        <f>CHOOSE(i_drug_price_options,AG47,AH47)</f>
        <v>3517</v>
      </c>
      <c r="BF50" s="1348">
        <f>AG47</f>
        <v>3517</v>
      </c>
      <c r="BG50" s="1349">
        <f t="shared" si="29"/>
        <v>0</v>
      </c>
      <c r="BH50" s="219"/>
      <c r="BI50" s="816"/>
      <c r="BJ50" s="816">
        <f>AA47</f>
        <v>4</v>
      </c>
      <c r="BK50" s="816">
        <f>AB47</f>
        <v>1</v>
      </c>
      <c r="BL50" s="830">
        <f>$Y$47</f>
        <v>0.99</v>
      </c>
      <c r="BM50" s="830">
        <f>$Z$47</f>
        <v>9.9000000000000005E-2</v>
      </c>
      <c r="BN50" s="816">
        <f>AC47</f>
        <v>1</v>
      </c>
      <c r="BO50" s="816">
        <f>AD47</f>
        <v>2089</v>
      </c>
      <c r="BP50" s="830">
        <f t="shared" si="63"/>
        <v>0.84</v>
      </c>
      <c r="BQ50" s="830">
        <f t="shared" si="64"/>
        <v>1.1000000000000001E-2</v>
      </c>
      <c r="BR50" s="830">
        <f t="shared" si="65"/>
        <v>0.84</v>
      </c>
      <c r="BS50" s="830">
        <f t="shared" si="66"/>
        <v>1.1000000000000001E-2</v>
      </c>
      <c r="BT50" s="830">
        <f t="shared" si="67"/>
        <v>0.84</v>
      </c>
      <c r="BU50" s="830">
        <f t="shared" si="68"/>
        <v>1.1000000000000001E-2</v>
      </c>
      <c r="BV50" s="830">
        <f t="shared" si="69"/>
        <v>0.84</v>
      </c>
      <c r="BW50" s="830">
        <f t="shared" si="70"/>
        <v>1.1000000000000001E-2</v>
      </c>
      <c r="BX50" s="824">
        <f t="shared" si="71"/>
        <v>0.89400000000000002</v>
      </c>
      <c r="BY50" s="830">
        <f t="shared" si="72"/>
        <v>8.9400000000000007E-2</v>
      </c>
      <c r="BZ50" s="824">
        <f t="shared" si="73"/>
        <v>0.75800000000000001</v>
      </c>
      <c r="CA50" s="830">
        <f t="shared" si="74"/>
        <v>7.5800000000000006E-2</v>
      </c>
      <c r="CB50" s="824">
        <f t="shared" si="75"/>
        <v>0.92700000000000005</v>
      </c>
      <c r="CC50" s="830">
        <f t="shared" si="76"/>
        <v>9.2700000000000005E-2</v>
      </c>
      <c r="CD50" s="824">
        <f t="shared" si="77"/>
        <v>0.93799999999999994</v>
      </c>
      <c r="CE50" s="830">
        <f t="shared" si="78"/>
        <v>9.3799999999999994E-2</v>
      </c>
      <c r="CF50" s="992"/>
      <c r="CG50" s="824">
        <f t="shared" si="31"/>
        <v>0.84</v>
      </c>
      <c r="CH50" s="824">
        <f t="shared" si="83"/>
        <v>1.1000000000000001E-2</v>
      </c>
      <c r="CI50" s="824">
        <f t="shared" si="84"/>
        <v>0.84</v>
      </c>
      <c r="CJ50" s="824">
        <f t="shared" si="85"/>
        <v>1.1000000000000001E-2</v>
      </c>
      <c r="CK50" s="824">
        <f t="shared" si="32"/>
        <v>0.84</v>
      </c>
      <c r="CL50" s="992"/>
      <c r="CM50" s="475">
        <f t="shared" si="33"/>
        <v>11</v>
      </c>
      <c r="CN50" s="475" t="str">
        <f t="shared" si="41"/>
        <v>axitinib</v>
      </c>
      <c r="CO50" s="825">
        <f>AJ47</f>
        <v>879.25</v>
      </c>
      <c r="CP50" s="825">
        <f t="shared" si="82"/>
        <v>786.04949999999997</v>
      </c>
      <c r="CQ50" s="825">
        <f t="shared" si="79"/>
        <v>666.47149999999999</v>
      </c>
      <c r="CR50" s="825">
        <f t="shared" si="80"/>
        <v>815.06475</v>
      </c>
      <c r="CS50" s="825">
        <f t="shared" si="81"/>
        <v>824.73649999999998</v>
      </c>
      <c r="DJ50" s="1112">
        <v>0.99</v>
      </c>
      <c r="DK50" s="1112">
        <f t="shared" si="90"/>
        <v>0.99</v>
      </c>
      <c r="DL50" s="1112">
        <v>0.99</v>
      </c>
      <c r="DM50" s="1112">
        <v>0.99</v>
      </c>
      <c r="DN50" s="1112">
        <v>0.99</v>
      </c>
      <c r="DO50" s="1112">
        <v>0.99</v>
      </c>
      <c r="DP50" s="1112">
        <f t="shared" si="88"/>
        <v>0.99</v>
      </c>
      <c r="DQ50" s="1112"/>
      <c r="EC50" s="219">
        <v>6</v>
      </c>
      <c r="ED50" s="797" t="str" cm="1">
        <f t="array" ref="ED50">INDEX(List_comparators,EC50+1)</f>
        <v>tivozanib</v>
      </c>
      <c r="EE50" s="219">
        <v>3</v>
      </c>
      <c r="EF50" s="964">
        <v>0.94</v>
      </c>
      <c r="EG50" s="964"/>
      <c r="EH50" s="1322">
        <v>1</v>
      </c>
      <c r="EI50" s="219"/>
    </row>
    <row r="51" spans="2:180" ht="15.75" x14ac:dyDescent="0.25">
      <c r="D51" s="1549" t="s">
        <v>334</v>
      </c>
      <c r="E51" s="1549"/>
      <c r="F51" s="1549"/>
      <c r="G51" s="1549"/>
      <c r="H51" s="1550"/>
      <c r="I51" s="123"/>
      <c r="J51" s="160" t="s">
        <v>287</v>
      </c>
      <c r="K51" s="1573"/>
      <c r="L51" s="1574"/>
      <c r="M51" s="321"/>
      <c r="N51" s="124"/>
      <c r="O51" s="125"/>
      <c r="P51" s="126"/>
      <c r="Q51" s="127"/>
      <c r="R51" s="858"/>
      <c r="S51" s="859"/>
      <c r="T51" s="128"/>
      <c r="U51" s="128"/>
      <c r="V51" s="128"/>
      <c r="W51" s="129">
        <v>197.25</v>
      </c>
      <c r="X51" s="342">
        <f>i_SE_costs*W51</f>
        <v>39.450000000000003</v>
      </c>
      <c r="Y51" s="456"/>
      <c r="Z51" s="450"/>
      <c r="AA51" s="335"/>
      <c r="AB51" s="128"/>
      <c r="AC51" s="128"/>
      <c r="AD51" s="889"/>
      <c r="AE51" s="130"/>
      <c r="AF51" s="398"/>
      <c r="AG51" s="130"/>
      <c r="AH51" s="1073"/>
      <c r="AI51" s="1086"/>
      <c r="AJ51" s="1138"/>
      <c r="AK51" s="1248"/>
      <c r="AN51" s="107" t="s">
        <v>288</v>
      </c>
      <c r="AZ51" s="991"/>
      <c r="BA51" s="219" t="str">
        <f>D51</f>
        <v>initial admin for axitinib</v>
      </c>
      <c r="BB51" s="219" t="s">
        <v>1196</v>
      </c>
      <c r="BC51" s="219">
        <f>$BC$50</f>
        <v>11</v>
      </c>
      <c r="BD51" s="219" t="str">
        <f>J51</f>
        <v>one-off</v>
      </c>
      <c r="BE51" s="1232"/>
      <c r="BF51" s="1232"/>
      <c r="BG51" s="1263"/>
      <c r="BH51" s="466">
        <f>W51</f>
        <v>197.25</v>
      </c>
      <c r="BI51" s="825">
        <f>X51</f>
        <v>39.450000000000003</v>
      </c>
      <c r="BJ51" s="816"/>
      <c r="BK51" s="816">
        <f>BK52</f>
        <v>1</v>
      </c>
      <c r="BL51" s="835">
        <f>100%</f>
        <v>1</v>
      </c>
      <c r="BM51" s="830">
        <f>i_SE_util*BL51</f>
        <v>0.1</v>
      </c>
      <c r="BN51" s="816"/>
      <c r="BO51" s="816"/>
      <c r="BP51" s="830">
        <f t="shared" si="63"/>
        <v>0.99</v>
      </c>
      <c r="BQ51" s="830">
        <f t="shared" si="64"/>
        <v>9.9000000000000005E-2</v>
      </c>
      <c r="BR51" s="830">
        <f t="shared" si="65"/>
        <v>0.99</v>
      </c>
      <c r="BS51" s="830">
        <f t="shared" si="66"/>
        <v>9.9000000000000005E-2</v>
      </c>
      <c r="BT51" s="830">
        <f t="shared" si="67"/>
        <v>0.99</v>
      </c>
      <c r="BU51" s="830">
        <f t="shared" si="68"/>
        <v>9.9000000000000005E-2</v>
      </c>
      <c r="BV51" s="830">
        <f t="shared" si="69"/>
        <v>0.99</v>
      </c>
      <c r="BW51" s="830">
        <f t="shared" si="70"/>
        <v>9.9000000000000005E-2</v>
      </c>
      <c r="BX51" s="824">
        <f t="shared" si="71"/>
        <v>1</v>
      </c>
      <c r="BY51" s="830">
        <f t="shared" si="72"/>
        <v>0.1</v>
      </c>
      <c r="BZ51" s="824">
        <f t="shared" si="73"/>
        <v>1</v>
      </c>
      <c r="CA51" s="830">
        <f t="shared" si="74"/>
        <v>0.1</v>
      </c>
      <c r="CB51" s="824">
        <f t="shared" si="75"/>
        <v>1</v>
      </c>
      <c r="CC51" s="830">
        <f t="shared" si="76"/>
        <v>0.1</v>
      </c>
      <c r="CD51" s="824">
        <f t="shared" si="77"/>
        <v>1</v>
      </c>
      <c r="CE51" s="830">
        <f t="shared" si="78"/>
        <v>0.1</v>
      </c>
      <c r="CG51" s="824">
        <f t="shared" si="31"/>
        <v>0.99</v>
      </c>
      <c r="CH51" s="824">
        <f t="shared" si="83"/>
        <v>9.9000000000000005E-2</v>
      </c>
      <c r="CI51" s="824">
        <f t="shared" si="84"/>
        <v>0.99</v>
      </c>
      <c r="CJ51" s="824">
        <f t="shared" si="85"/>
        <v>9.9000000000000005E-2</v>
      </c>
      <c r="CK51" s="824">
        <f t="shared" si="32"/>
        <v>0.99</v>
      </c>
      <c r="CM51" s="475">
        <f t="shared" si="33"/>
        <v>11</v>
      </c>
      <c r="CN51" s="475" t="str">
        <f>CN50</f>
        <v>axitinib</v>
      </c>
      <c r="CO51" s="816"/>
      <c r="CP51" s="825">
        <f t="shared" si="82"/>
        <v>0</v>
      </c>
      <c r="CQ51" s="825">
        <f t="shared" si="79"/>
        <v>0</v>
      </c>
      <c r="CR51" s="825">
        <f t="shared" si="80"/>
        <v>0</v>
      </c>
      <c r="CS51" s="825">
        <f t="shared" si="81"/>
        <v>0</v>
      </c>
      <c r="DJ51" s="1112"/>
      <c r="DK51" s="1112"/>
      <c r="DL51" s="1112"/>
      <c r="DM51" s="1112"/>
      <c r="DN51" s="1112"/>
      <c r="DO51" s="1112"/>
      <c r="DP51" s="1112"/>
      <c r="DQ51" s="1112"/>
      <c r="EC51" s="219">
        <v>7</v>
      </c>
      <c r="ED51" s="797" t="str" cm="1">
        <f t="array" ref="ED51">INDEX(List_comparators,EC51+1)</f>
        <v>sunitinib</v>
      </c>
      <c r="EE51" s="219">
        <v>1</v>
      </c>
      <c r="EF51" s="964">
        <v>0.81</v>
      </c>
      <c r="EG51" s="964">
        <v>1.2E-2</v>
      </c>
      <c r="EH51" s="1322">
        <v>0.89</v>
      </c>
      <c r="EI51" s="219"/>
    </row>
    <row r="52" spans="2:180" ht="16.5" thickBot="1" x14ac:dyDescent="0.3">
      <c r="D52" s="1566" t="s">
        <v>335</v>
      </c>
      <c r="E52" s="1566"/>
      <c r="F52" s="1566"/>
      <c r="G52" s="1566"/>
      <c r="H52" s="1567"/>
      <c r="I52" s="141"/>
      <c r="J52" s="205" t="s">
        <v>267</v>
      </c>
      <c r="K52" s="1568"/>
      <c r="L52" s="1569"/>
      <c r="M52" s="322"/>
      <c r="N52" s="142"/>
      <c r="O52" s="143"/>
      <c r="P52" s="144"/>
      <c r="Q52" s="145"/>
      <c r="R52" s="860"/>
      <c r="S52" s="861"/>
      <c r="T52" s="146"/>
      <c r="U52" s="146"/>
      <c r="V52" s="146"/>
      <c r="W52" s="147">
        <v>11</v>
      </c>
      <c r="X52" s="972">
        <f>i_SE_costs*W52</f>
        <v>2.2000000000000002</v>
      </c>
      <c r="Y52" s="1273">
        <f>Y50</f>
        <v>0.99</v>
      </c>
      <c r="Z52" s="965">
        <f>Z50</f>
        <v>9.9000000000000005E-2</v>
      </c>
      <c r="AA52" s="336"/>
      <c r="AB52" s="146"/>
      <c r="AC52" s="146"/>
      <c r="AD52" s="892"/>
      <c r="AE52" s="148"/>
      <c r="AF52" s="400"/>
      <c r="AG52" s="148"/>
      <c r="AH52" s="1078"/>
      <c r="AI52" s="1086"/>
      <c r="AJ52" s="1138"/>
      <c r="AK52" s="1248"/>
      <c r="AZ52" s="991"/>
      <c r="BA52" s="180" t="str">
        <f>D52</f>
        <v>subsequent admin for axitinib</v>
      </c>
      <c r="BB52" s="180" t="s">
        <v>1196</v>
      </c>
      <c r="BC52" s="180">
        <f>$BC$50</f>
        <v>11</v>
      </c>
      <c r="BD52" s="180" t="str">
        <f>J52</f>
        <v>per cycle</v>
      </c>
      <c r="BE52" s="1234"/>
      <c r="BF52" s="1234"/>
      <c r="BG52" s="1262"/>
      <c r="BH52" s="181">
        <f>W52</f>
        <v>11</v>
      </c>
      <c r="BI52" s="834">
        <f>X52</f>
        <v>2.2000000000000002</v>
      </c>
      <c r="BJ52" s="817">
        <f>BJ49</f>
        <v>4.2857142857142856</v>
      </c>
      <c r="BK52" s="817">
        <f>BK50</f>
        <v>1</v>
      </c>
      <c r="BL52" s="833">
        <f>$BL$50</f>
        <v>0.99</v>
      </c>
      <c r="BM52" s="833">
        <f>$BM$50</f>
        <v>9.9000000000000005E-2</v>
      </c>
      <c r="BN52" s="818">
        <f>BN50+BJ52</f>
        <v>5.2857142857142856</v>
      </c>
      <c r="BO52" s="817">
        <f>BO50</f>
        <v>2089</v>
      </c>
      <c r="BP52" s="833">
        <f t="shared" si="63"/>
        <v>1</v>
      </c>
      <c r="BQ52" s="833">
        <f t="shared" si="64"/>
        <v>0.1</v>
      </c>
      <c r="BR52" s="833">
        <f t="shared" si="65"/>
        <v>1</v>
      </c>
      <c r="BS52" s="833">
        <f t="shared" si="66"/>
        <v>0.1</v>
      </c>
      <c r="BT52" s="833">
        <f t="shared" si="67"/>
        <v>1</v>
      </c>
      <c r="BU52" s="833">
        <f t="shared" si="68"/>
        <v>0.1</v>
      </c>
      <c r="BV52" s="833">
        <f t="shared" si="69"/>
        <v>1</v>
      </c>
      <c r="BW52" s="833">
        <f t="shared" si="70"/>
        <v>0.1</v>
      </c>
      <c r="BX52" s="1329">
        <f t="shared" si="71"/>
        <v>0.89400000000000002</v>
      </c>
      <c r="BY52" s="833">
        <f t="shared" si="72"/>
        <v>8.9400000000000007E-2</v>
      </c>
      <c r="BZ52" s="1329">
        <f t="shared" si="73"/>
        <v>0.75800000000000001</v>
      </c>
      <c r="CA52" s="833">
        <f t="shared" si="74"/>
        <v>7.5800000000000006E-2</v>
      </c>
      <c r="CB52" s="1329">
        <f t="shared" si="75"/>
        <v>0.92700000000000005</v>
      </c>
      <c r="CC52" s="833">
        <f t="shared" si="76"/>
        <v>9.2700000000000005E-2</v>
      </c>
      <c r="CD52" s="1329">
        <f t="shared" si="77"/>
        <v>0.93799999999999994</v>
      </c>
      <c r="CE52" s="833">
        <f t="shared" si="78"/>
        <v>9.3799999999999994E-2</v>
      </c>
      <c r="CF52" s="992"/>
      <c r="CG52" s="824">
        <f t="shared" si="31"/>
        <v>1</v>
      </c>
      <c r="CH52" s="824">
        <f t="shared" si="83"/>
        <v>0.1</v>
      </c>
      <c r="CI52" s="824">
        <f t="shared" si="84"/>
        <v>1</v>
      </c>
      <c r="CJ52" s="824">
        <f t="shared" si="85"/>
        <v>0.1</v>
      </c>
      <c r="CK52" s="824">
        <f t="shared" si="32"/>
        <v>1</v>
      </c>
      <c r="CL52" s="992"/>
      <c r="CM52" s="475">
        <f t="shared" si="33"/>
        <v>11</v>
      </c>
      <c r="CN52" s="475" t="str">
        <f>CN51</f>
        <v>axitinib</v>
      </c>
      <c r="CO52" s="816"/>
      <c r="CP52" s="825">
        <f t="shared" si="82"/>
        <v>0</v>
      </c>
      <c r="CQ52" s="825">
        <f t="shared" si="79"/>
        <v>0</v>
      </c>
      <c r="CR52" s="825">
        <f t="shared" si="80"/>
        <v>0</v>
      </c>
      <c r="CS52" s="825">
        <f t="shared" si="81"/>
        <v>0</v>
      </c>
      <c r="DJ52" s="1112">
        <v>0.99</v>
      </c>
      <c r="DK52" s="1112">
        <f>DJ52</f>
        <v>0.99</v>
      </c>
      <c r="DL52" s="1112">
        <v>0.99</v>
      </c>
      <c r="DM52" s="1112">
        <v>0.99</v>
      </c>
      <c r="DN52" s="1112">
        <v>0.99</v>
      </c>
      <c r="DO52" s="1112">
        <v>0.99</v>
      </c>
      <c r="DP52" s="1112">
        <f t="shared" si="88"/>
        <v>0.99</v>
      </c>
      <c r="DQ52" s="1112"/>
      <c r="EC52" s="219">
        <v>7</v>
      </c>
      <c r="ED52" s="797" t="str" cm="1">
        <f t="array" ref="ED52">INDEX(List_comparators,EC52+1)</f>
        <v>sunitinib</v>
      </c>
      <c r="EE52" s="219">
        <v>2</v>
      </c>
      <c r="EF52" s="964">
        <v>0.81</v>
      </c>
      <c r="EG52" s="964">
        <v>1.2E-2</v>
      </c>
      <c r="EH52" s="1322">
        <v>0.82899999999999996</v>
      </c>
      <c r="EI52" s="219"/>
    </row>
    <row r="53" spans="2:180" ht="15.75" x14ac:dyDescent="0.25">
      <c r="D53" s="1542" t="s">
        <v>326</v>
      </c>
      <c r="E53" s="1542"/>
      <c r="F53" s="1542"/>
      <c r="G53" s="1542"/>
      <c r="H53" s="1543"/>
      <c r="I53" s="112"/>
      <c r="J53" s="197" t="s">
        <v>267</v>
      </c>
      <c r="K53" s="1606">
        <v>768</v>
      </c>
      <c r="L53" s="1608"/>
      <c r="M53" s="320">
        <v>10</v>
      </c>
      <c r="N53" s="256" t="s">
        <v>268</v>
      </c>
      <c r="O53" s="257">
        <v>20</v>
      </c>
      <c r="P53" s="258" t="s">
        <v>269</v>
      </c>
      <c r="Q53" s="259" t="s">
        <v>74</v>
      </c>
      <c r="R53" s="377"/>
      <c r="S53" s="848">
        <f>K53*(1-R53)</f>
        <v>768</v>
      </c>
      <c r="T53" s="260" t="s">
        <v>336</v>
      </c>
      <c r="U53" s="260" t="s">
        <v>271</v>
      </c>
      <c r="V53" s="260">
        <v>800</v>
      </c>
      <c r="W53" s="340" t="s">
        <v>272</v>
      </c>
      <c r="X53" s="970"/>
      <c r="Y53" s="392"/>
      <c r="Z53" s="442"/>
      <c r="AA53" s="334">
        <v>2</v>
      </c>
      <c r="AB53" s="260">
        <v>1</v>
      </c>
      <c r="AC53" s="260">
        <v>1</v>
      </c>
      <c r="AD53" s="885">
        <f>ROUNDUP(ui_time_horizon*365.25*i_days_to_weeks,0)+1</f>
        <v>2089</v>
      </c>
      <c r="AE53" s="297">
        <f>K53/(M53*O53)</f>
        <v>3.84</v>
      </c>
      <c r="AF53" s="462">
        <f>S53/(M53*O53)</f>
        <v>3.84</v>
      </c>
      <c r="AG53" s="262">
        <f>AE53*V53</f>
        <v>3072</v>
      </c>
      <c r="AH53" s="1359">
        <f>AF53*V53</f>
        <v>3072</v>
      </c>
      <c r="AI53" s="1137">
        <f>AJ53</f>
        <v>1536</v>
      </c>
      <c r="AJ53" s="1353">
        <f>CHOOSE(i_drug_price_options,(AG53/$AA$53),(AH53/$AA$53))</f>
        <v>1536</v>
      </c>
      <c r="AK53" s="1248"/>
      <c r="AM53" s="107" t="s">
        <v>337</v>
      </c>
      <c r="AZ53" s="991"/>
      <c r="BA53" s="899" t="s">
        <v>333</v>
      </c>
      <c r="BB53" s="485"/>
      <c r="BC53" s="485">
        <v>9</v>
      </c>
      <c r="BD53" s="485"/>
      <c r="BE53" s="466"/>
      <c r="BF53" s="479"/>
      <c r="BG53" s="1266"/>
      <c r="BH53" s="485"/>
      <c r="BI53" s="485"/>
      <c r="BJ53" s="485"/>
      <c r="BK53" s="485"/>
      <c r="BL53" s="485"/>
      <c r="BM53" s="485"/>
      <c r="BN53" s="485"/>
      <c r="BO53" s="485"/>
      <c r="BP53" s="997"/>
      <c r="BQ53" s="997"/>
      <c r="BR53" s="816"/>
      <c r="BS53" s="816"/>
      <c r="BT53" s="816"/>
      <c r="BU53" s="816"/>
      <c r="BV53" s="816"/>
      <c r="BW53" s="816"/>
      <c r="BX53" s="816"/>
      <c r="BY53" s="816"/>
      <c r="BZ53" s="816"/>
      <c r="CA53" s="816"/>
      <c r="CB53" s="816"/>
      <c r="CC53" s="816"/>
      <c r="CD53" s="816"/>
      <c r="CE53" s="816"/>
      <c r="CO53" s="1119"/>
      <c r="CP53" s="825">
        <f>SUM(CP43:CP44)</f>
        <v>737.41079999999988</v>
      </c>
      <c r="CQ53" s="825">
        <f t="shared" ref="CQ53:CS53" si="91">SUM(CQ43:CQ44)</f>
        <v>737.41079999999988</v>
      </c>
      <c r="CR53" s="825">
        <f t="shared" si="91"/>
        <v>737.41079999999988</v>
      </c>
      <c r="CS53" s="825">
        <f t="shared" si="91"/>
        <v>737.41079999999988</v>
      </c>
      <c r="DJ53" s="1112"/>
      <c r="DP53" s="1112"/>
      <c r="DQ53" s="1112"/>
      <c r="EC53" s="219">
        <v>7</v>
      </c>
      <c r="ED53" s="797" t="str" cm="1">
        <f t="array" ref="ED53">INDEX(List_comparators,EC53+1)</f>
        <v>sunitinib</v>
      </c>
      <c r="EE53" s="219">
        <v>3</v>
      </c>
      <c r="EF53" s="964">
        <v>0.81</v>
      </c>
      <c r="EG53" s="964">
        <v>1.2E-2</v>
      </c>
      <c r="EH53" s="1322">
        <v>0.95</v>
      </c>
      <c r="EI53" s="219"/>
    </row>
    <row r="54" spans="2:180" ht="16.5" thickBot="1" x14ac:dyDescent="0.3">
      <c r="D54" s="1566" t="s">
        <v>338</v>
      </c>
      <c r="E54" s="1566"/>
      <c r="F54" s="1566"/>
      <c r="G54" s="1566"/>
      <c r="H54" s="1567"/>
      <c r="I54" s="141"/>
      <c r="J54" s="205" t="s">
        <v>267</v>
      </c>
      <c r="K54" s="1568"/>
      <c r="L54" s="1569"/>
      <c r="M54" s="322"/>
      <c r="N54" s="142"/>
      <c r="O54" s="143"/>
      <c r="P54" s="144"/>
      <c r="Q54" s="145"/>
      <c r="R54" s="860"/>
      <c r="S54" s="385"/>
      <c r="T54" s="146"/>
      <c r="U54" s="146"/>
      <c r="V54" s="146"/>
      <c r="W54" s="147">
        <v>207.59</v>
      </c>
      <c r="X54" s="972">
        <f>i_SE_costs*W54</f>
        <v>41.518000000000001</v>
      </c>
      <c r="Y54" s="457"/>
      <c r="Z54" s="452"/>
      <c r="AA54" s="336"/>
      <c r="AB54" s="146"/>
      <c r="AC54" s="146"/>
      <c r="AD54" s="892"/>
      <c r="AE54" s="148"/>
      <c r="AF54" s="400"/>
      <c r="AG54" s="148"/>
      <c r="AH54" s="1078"/>
      <c r="AI54" s="1086"/>
      <c r="AJ54" s="1138"/>
      <c r="AK54" s="1248"/>
      <c r="AN54" s="107" t="s">
        <v>279</v>
      </c>
      <c r="AZ54" s="991"/>
      <c r="BA54" s="219"/>
      <c r="BB54" s="219"/>
      <c r="BC54" s="219"/>
      <c r="BD54" s="219"/>
      <c r="BE54" s="219"/>
      <c r="BF54" s="219"/>
      <c r="BG54" s="936"/>
      <c r="BH54" s="219"/>
      <c r="BI54" s="219"/>
      <c r="BJ54" s="219"/>
      <c r="BK54" s="219"/>
      <c r="BL54" s="219"/>
      <c r="BM54" s="219"/>
      <c r="BN54" s="219"/>
      <c r="BO54" s="219"/>
      <c r="BP54" s="997"/>
      <c r="BQ54" s="997"/>
      <c r="BR54" s="816"/>
      <c r="BS54" s="816"/>
      <c r="BT54" s="816"/>
      <c r="BU54" s="816"/>
      <c r="BV54" s="816"/>
      <c r="BW54" s="816"/>
      <c r="BX54" s="816"/>
      <c r="BY54" s="816"/>
      <c r="BZ54" s="816"/>
      <c r="CA54" s="816"/>
      <c r="CB54" s="816"/>
      <c r="CC54" s="816"/>
      <c r="CD54" s="816"/>
      <c r="CE54" s="816"/>
      <c r="CP54" s="825"/>
      <c r="CQ54" s="816"/>
      <c r="CR54" s="816"/>
      <c r="CS54" s="816"/>
      <c r="DJ54" s="1112"/>
      <c r="DP54" s="1112"/>
      <c r="DQ54" s="1112"/>
      <c r="EC54" s="797">
        <v>8</v>
      </c>
      <c r="ED54" s="797" t="str" cm="1">
        <f t="array" ref="ED54">INDEX(List_comparators,EC54+1)</f>
        <v>cabozantinib</v>
      </c>
      <c r="EE54" s="219">
        <v>1</v>
      </c>
      <c r="EF54" s="964">
        <v>0.93300000000000005</v>
      </c>
      <c r="EG54" s="964"/>
      <c r="EH54" s="1322">
        <v>0.76</v>
      </c>
      <c r="EI54" s="219"/>
    </row>
    <row r="55" spans="2:180" ht="15.75" x14ac:dyDescent="0.25">
      <c r="D55" s="1544" t="str" cm="1">
        <f t="array" ref="D55">INDEX(List_comparators,I55+1)</f>
        <v>avelumab_plus_axitinib</v>
      </c>
      <c r="E55" s="1544"/>
      <c r="F55" s="1544"/>
      <c r="G55" s="1544"/>
      <c r="H55" s="1545"/>
      <c r="I55" s="315">
        <v>4</v>
      </c>
      <c r="J55" s="197"/>
      <c r="K55" s="1575"/>
      <c r="L55" s="1576"/>
      <c r="M55" s="323"/>
      <c r="N55" s="282"/>
      <c r="O55" s="283"/>
      <c r="P55" s="284"/>
      <c r="Q55" s="285"/>
      <c r="R55" s="863"/>
      <c r="S55" s="386"/>
      <c r="T55" s="286"/>
      <c r="U55" s="286"/>
      <c r="V55" s="286"/>
      <c r="W55" s="365"/>
      <c r="X55" s="286"/>
      <c r="Y55" s="395"/>
      <c r="Z55" s="447"/>
      <c r="AA55" s="337"/>
      <c r="AB55" s="286"/>
      <c r="AC55" s="286"/>
      <c r="AD55" s="1117"/>
      <c r="AE55" s="306"/>
      <c r="AF55" s="403"/>
      <c r="AG55" s="306"/>
      <c r="AH55" s="1083"/>
      <c r="AI55" s="1086"/>
      <c r="AJ55" s="1138"/>
      <c r="AK55" s="1248"/>
      <c r="AO55" s="107" t="s">
        <v>339</v>
      </c>
      <c r="AZ55" s="991"/>
      <c r="BA55" s="219"/>
      <c r="BB55" s="219"/>
      <c r="BC55" s="219"/>
      <c r="BD55" s="219"/>
      <c r="BE55" s="219"/>
      <c r="BF55" s="219"/>
      <c r="BG55" s="936"/>
      <c r="BH55" s="219"/>
      <c r="BI55" s="219"/>
      <c r="BJ55" s="219"/>
      <c r="BK55" s="219"/>
      <c r="BL55" s="219"/>
      <c r="BM55" s="219"/>
      <c r="BN55" s="219"/>
      <c r="BO55" s="219"/>
      <c r="BP55" s="997"/>
      <c r="BQ55" s="997"/>
      <c r="BR55" s="816"/>
      <c r="BS55" s="816"/>
      <c r="BT55" s="816"/>
      <c r="BU55" s="816"/>
      <c r="BV55" s="816"/>
      <c r="BW55" s="816"/>
      <c r="BX55" s="816"/>
      <c r="BY55" s="816"/>
      <c r="BZ55" s="816"/>
      <c r="CA55" s="816"/>
      <c r="CB55" s="816"/>
      <c r="CC55" s="816"/>
      <c r="CD55" s="816"/>
      <c r="CE55" s="816"/>
      <c r="CP55" s="825"/>
      <c r="CQ55" s="816"/>
      <c r="CR55" s="816"/>
      <c r="CS55" s="816"/>
      <c r="DJ55" s="1112"/>
      <c r="DP55" s="1112"/>
      <c r="DQ55" s="1112"/>
      <c r="EC55" s="797">
        <v>8</v>
      </c>
      <c r="ED55" s="797" t="str" cm="1">
        <f t="array" ref="ED55">INDEX(List_comparators,EC55+1)</f>
        <v>cabozantinib</v>
      </c>
      <c r="EE55" s="219">
        <v>2</v>
      </c>
      <c r="EF55" s="964">
        <v>0.93300000000000005</v>
      </c>
      <c r="EG55" s="964"/>
      <c r="EH55" s="1322">
        <v>0.77600000000000002</v>
      </c>
      <c r="EI55" s="219"/>
    </row>
    <row r="56" spans="2:180" ht="15.75" x14ac:dyDescent="0.25">
      <c r="B56" s="785" t="e">
        <f>CHOOSE($Z$5,1,1,1,1)</f>
        <v>#VALUE!</v>
      </c>
      <c r="D56" s="1555" t="s">
        <v>326</v>
      </c>
      <c r="E56" s="1555"/>
      <c r="F56" s="1555"/>
      <c r="G56" s="1555"/>
      <c r="H56" s="1556"/>
      <c r="I56" s="131"/>
      <c r="J56" s="160" t="s">
        <v>267</v>
      </c>
      <c r="K56" s="1498">
        <f>K53</f>
        <v>768</v>
      </c>
      <c r="L56" s="1675"/>
      <c r="M56" s="321">
        <v>10</v>
      </c>
      <c r="N56" s="132" t="s">
        <v>268</v>
      </c>
      <c r="O56" s="133">
        <v>20</v>
      </c>
      <c r="P56" s="134" t="s">
        <v>269</v>
      </c>
      <c r="Q56" s="135" t="s">
        <v>74</v>
      </c>
      <c r="R56" s="380"/>
      <c r="S56" s="849">
        <f>S53</f>
        <v>768</v>
      </c>
      <c r="T56" s="136" t="s">
        <v>336</v>
      </c>
      <c r="U56" s="136" t="s">
        <v>271</v>
      </c>
      <c r="V56" s="136">
        <v>800</v>
      </c>
      <c r="W56" s="366"/>
      <c r="X56" s="136"/>
      <c r="Y56" s="1272">
        <f>CHOOSE(i_sc_RDI_num,100%,86.8%,91.5%,DK56,DP56)</f>
        <v>0.86799999999999999</v>
      </c>
      <c r="Z56" s="1155">
        <f>IF(i_sc_RDI_num=3,i_SE_util*Y56,i_SE_util*Y56)</f>
        <v>8.6800000000000002E-2</v>
      </c>
      <c r="AA56" s="332">
        <v>2</v>
      </c>
      <c r="AB56" s="136">
        <v>1</v>
      </c>
      <c r="AC56" s="136">
        <v>1</v>
      </c>
      <c r="AD56" s="1116">
        <f>ROUNDUP(ui_time_horizon*365.25*i_days_to_weeks,0)+1</f>
        <v>2089</v>
      </c>
      <c r="AE56" s="292">
        <f>K56/(M56*O56)</f>
        <v>3.84</v>
      </c>
      <c r="AF56" s="459">
        <f>S56/(M56*O56)</f>
        <v>3.84</v>
      </c>
      <c r="AG56" s="342">
        <f>AE56*V56</f>
        <v>3072</v>
      </c>
      <c r="AH56" s="1356">
        <f>AF56*V56</f>
        <v>3072</v>
      </c>
      <c r="AI56" s="1137">
        <f>CHOOSE(i_drug_price_options,(AG56/$AA$56)*Y56,(AH56/$AA$56)*Y56)</f>
        <v>1333.248</v>
      </c>
      <c r="AJ56" s="1353">
        <f>CHOOSE(i_drug_price_options,AG56/$AA$56,AH56/$AA$56)</f>
        <v>1536</v>
      </c>
      <c r="AK56" s="1248"/>
      <c r="AZ56" s="991"/>
      <c r="BA56" s="219"/>
      <c r="BB56" s="219"/>
      <c r="BC56" s="219"/>
      <c r="BD56" s="219"/>
      <c r="BE56" s="219"/>
      <c r="BF56" s="219"/>
      <c r="BG56" s="936"/>
      <c r="BH56" s="219"/>
      <c r="BI56" s="219"/>
      <c r="BJ56" s="219"/>
      <c r="BK56" s="219"/>
      <c r="BL56" s="219"/>
      <c r="BM56" s="219"/>
      <c r="BN56" s="219"/>
      <c r="BO56" s="219"/>
      <c r="BP56" s="997"/>
      <c r="BQ56" s="997"/>
      <c r="BR56" s="816"/>
      <c r="BS56" s="816"/>
      <c r="BT56" s="816"/>
      <c r="BU56" s="816"/>
      <c r="BV56" s="816"/>
      <c r="BW56" s="816"/>
      <c r="BX56" s="816"/>
      <c r="BY56" s="816"/>
      <c r="BZ56" s="816"/>
      <c r="CA56" s="816"/>
      <c r="CB56" s="816"/>
      <c r="CC56" s="816"/>
      <c r="CD56" s="816"/>
      <c r="CE56" s="816"/>
      <c r="CP56" s="825"/>
      <c r="CQ56" s="816"/>
      <c r="CR56" s="816"/>
      <c r="CS56" s="816"/>
      <c r="DJ56" s="1112">
        <v>0.91500000000000004</v>
      </c>
      <c r="DK56" s="1112">
        <v>0.86799999999999999</v>
      </c>
      <c r="DL56" s="1112">
        <v>0.86799999999999999</v>
      </c>
      <c r="DM56" s="1112">
        <v>0.86799999999999999</v>
      </c>
      <c r="DN56" s="1112">
        <v>0.86799999999999999</v>
      </c>
      <c r="DO56" s="1112">
        <v>0.86799999999999999</v>
      </c>
      <c r="DP56" s="1112">
        <f t="shared" si="88"/>
        <v>0.91500000000000004</v>
      </c>
      <c r="DQ56" s="1112">
        <v>0.86799999999999999</v>
      </c>
      <c r="EC56" s="797">
        <v>8</v>
      </c>
      <c r="ED56" s="797" t="str" cm="1">
        <f t="array" ref="ED56">INDEX(List_comparators,EC56+1)</f>
        <v>cabozantinib</v>
      </c>
      <c r="EE56" s="219">
        <v>3</v>
      </c>
      <c r="EF56" s="964">
        <v>0.93300000000000005</v>
      </c>
      <c r="EG56" s="964"/>
      <c r="EH56" s="1322">
        <v>0.65700000000000003</v>
      </c>
      <c r="EI56" s="219"/>
    </row>
    <row r="57" spans="2:180" ht="15.75" x14ac:dyDescent="0.25">
      <c r="B57" s="785" t="e">
        <f>CHOOSE($Z$5,1,1,1,1)</f>
        <v>#VALUE!</v>
      </c>
      <c r="D57" s="1555" t="s">
        <v>327</v>
      </c>
      <c r="E57" s="1555"/>
      <c r="F57" s="1555"/>
      <c r="G57" s="1555"/>
      <c r="H57" s="1556"/>
      <c r="I57" s="131"/>
      <c r="J57" s="160" t="s">
        <v>267</v>
      </c>
      <c r="K57" s="1498">
        <f>K48</f>
        <v>3517</v>
      </c>
      <c r="L57" s="1675"/>
      <c r="M57" s="321">
        <v>56</v>
      </c>
      <c r="N57" s="132" t="s">
        <v>280</v>
      </c>
      <c r="O57" s="133">
        <v>5</v>
      </c>
      <c r="P57" s="134" t="s">
        <v>269</v>
      </c>
      <c r="Q57" s="135" t="s">
        <v>74</v>
      </c>
      <c r="R57" s="380"/>
      <c r="S57" s="1320">
        <f>S48</f>
        <v>3517</v>
      </c>
      <c r="T57" s="136" t="s">
        <v>330</v>
      </c>
      <c r="U57" s="136" t="s">
        <v>283</v>
      </c>
      <c r="V57" s="136">
        <v>5</v>
      </c>
      <c r="W57" s="366"/>
      <c r="X57" s="136"/>
      <c r="Y57" s="1273">
        <f>CHOOSE(i_sc_RDI_num,100%,84.2%,89.4%,DK57,DP57)</f>
        <v>0.84200000000000008</v>
      </c>
      <c r="Z57" s="1156">
        <f>IF(i_sc_RDI_num=3,i_SE_util*Y57,i_SE_util*Y57)</f>
        <v>8.4200000000000011E-2</v>
      </c>
      <c r="AA57" s="332">
        <v>4</v>
      </c>
      <c r="AB57" s="136">
        <v>1</v>
      </c>
      <c r="AC57" s="136">
        <v>1</v>
      </c>
      <c r="AD57" s="886">
        <f>ROUNDUP(ui_time_horizon*365.25*i_days_to_weeks,0)+1</f>
        <v>2089</v>
      </c>
      <c r="AE57" s="343">
        <f>K57/O57</f>
        <v>703.4</v>
      </c>
      <c r="AF57" s="461">
        <f>S57/O57</f>
        <v>703.4</v>
      </c>
      <c r="AG57" s="342">
        <f>AE57*V57</f>
        <v>3517</v>
      </c>
      <c r="AH57" s="1362">
        <f>AF57*V57</f>
        <v>3517</v>
      </c>
      <c r="AI57" s="1137">
        <f>CHOOSE(i_drug_price_options,(AG57/$M$57)*2*7*Y57,(AH57/$M$57)*2*7*Y57)</f>
        <v>740.32850000000008</v>
      </c>
      <c r="AJ57" s="1353">
        <f>CHOOSE(i_drug_price_options,(AG57/$M$57)*2*7,(AH57/$M$57)*2*7)</f>
        <v>879.25</v>
      </c>
      <c r="AK57" s="1248"/>
      <c r="AZ57" s="991"/>
      <c r="BA57" s="219"/>
      <c r="BB57" s="219"/>
      <c r="BC57" s="219"/>
      <c r="BD57" s="219"/>
      <c r="BE57" s="219"/>
      <c r="BF57" s="219"/>
      <c r="BG57" s="936"/>
      <c r="BH57" s="219"/>
      <c r="BI57" s="219"/>
      <c r="BJ57" s="219"/>
      <c r="BK57" s="219"/>
      <c r="BL57" s="219"/>
      <c r="BM57" s="219"/>
      <c r="BN57" s="219"/>
      <c r="BO57" s="219"/>
      <c r="BP57" s="997"/>
      <c r="BQ57" s="997"/>
      <c r="BR57" s="816"/>
      <c r="BS57" s="816"/>
      <c r="BT57" s="816"/>
      <c r="BU57" s="816"/>
      <c r="BV57" s="816"/>
      <c r="BW57" s="816"/>
      <c r="BX57" s="816"/>
      <c r="BY57" s="816"/>
      <c r="BZ57" s="816"/>
      <c r="CA57" s="816"/>
      <c r="CB57" s="816"/>
      <c r="CC57" s="816"/>
      <c r="CD57" s="816"/>
      <c r="CE57" s="816"/>
      <c r="CP57" s="825"/>
      <c r="CQ57" s="816"/>
      <c r="CR57" s="816"/>
      <c r="CS57" s="816"/>
      <c r="DJ57" s="1112">
        <v>0.89400000000000002</v>
      </c>
      <c r="DK57" s="1112">
        <v>0.84199999999999997</v>
      </c>
      <c r="DL57" s="1112">
        <v>0.84199999999999997</v>
      </c>
      <c r="DM57" s="1112">
        <v>0.84199999999999997</v>
      </c>
      <c r="DN57" s="1112">
        <v>0.84199999999999997</v>
      </c>
      <c r="DO57" s="1112">
        <v>0.84199999999999997</v>
      </c>
      <c r="DP57" s="1112">
        <f t="shared" si="88"/>
        <v>0.89400000000000002</v>
      </c>
      <c r="DQ57" s="1112">
        <v>0.84199999999999997</v>
      </c>
      <c r="EC57" s="797">
        <v>8</v>
      </c>
      <c r="ED57" s="797" t="str" cm="1">
        <f t="array" ref="ED57">INDEX(List_comparators,EC57+1)</f>
        <v>cabozantinib</v>
      </c>
      <c r="EE57" s="219">
        <v>4</v>
      </c>
      <c r="EF57" s="964">
        <v>0.93300000000000005</v>
      </c>
      <c r="EG57" s="964"/>
      <c r="EH57" s="1322">
        <f>EH56</f>
        <v>0.65700000000000003</v>
      </c>
      <c r="EI57" s="219"/>
    </row>
    <row r="58" spans="2:180" ht="15.75" x14ac:dyDescent="0.25">
      <c r="D58" s="1556" t="s">
        <v>338</v>
      </c>
      <c r="E58" s="1558"/>
      <c r="F58" s="1558"/>
      <c r="G58" s="1558"/>
      <c r="H58" s="1559"/>
      <c r="I58" s="131"/>
      <c r="J58" s="160" t="s">
        <v>267</v>
      </c>
      <c r="K58" s="1581"/>
      <c r="L58" s="1582"/>
      <c r="M58" s="321"/>
      <c r="N58" s="132"/>
      <c r="O58" s="133"/>
      <c r="P58" s="134"/>
      <c r="Q58" s="135"/>
      <c r="R58" s="862"/>
      <c r="S58" s="387"/>
      <c r="T58" s="136"/>
      <c r="U58" s="136"/>
      <c r="V58" s="136"/>
      <c r="W58" s="367">
        <f>W54</f>
        <v>207.59</v>
      </c>
      <c r="X58" s="342">
        <f>i_SE_costs*W58</f>
        <v>41.518000000000001</v>
      </c>
      <c r="Y58" s="1273">
        <f>Y56</f>
        <v>0.86799999999999999</v>
      </c>
      <c r="Z58" s="478">
        <f>Z56</f>
        <v>8.6800000000000002E-2</v>
      </c>
      <c r="AA58" s="332"/>
      <c r="AB58" s="136"/>
      <c r="AC58" s="136"/>
      <c r="AD58" s="890"/>
      <c r="AE58" s="138"/>
      <c r="AF58" s="399"/>
      <c r="AG58" s="138"/>
      <c r="AH58" s="1077"/>
      <c r="AI58" s="1086"/>
      <c r="AJ58" s="1138"/>
      <c r="AK58" s="1248"/>
      <c r="AZ58" s="991"/>
      <c r="BA58" s="219"/>
      <c r="BB58" s="219"/>
      <c r="BC58" s="219"/>
      <c r="BD58" s="219"/>
      <c r="BE58" s="219"/>
      <c r="BF58" s="219"/>
      <c r="BG58" s="936"/>
      <c r="BH58" s="219"/>
      <c r="BI58" s="219"/>
      <c r="BJ58" s="219"/>
      <c r="BK58" s="219"/>
      <c r="BL58" s="219"/>
      <c r="BM58" s="219"/>
      <c r="BN58" s="219"/>
      <c r="BO58" s="219"/>
      <c r="BP58" s="997"/>
      <c r="BQ58" s="997"/>
      <c r="BR58" s="816"/>
      <c r="BS58" s="816"/>
      <c r="BT58" s="816"/>
      <c r="BU58" s="816"/>
      <c r="BV58" s="816"/>
      <c r="BW58" s="816"/>
      <c r="BX58" s="816"/>
      <c r="BY58" s="816"/>
      <c r="BZ58" s="816"/>
      <c r="CA58" s="816"/>
      <c r="CB58" s="816"/>
      <c r="CC58" s="816"/>
      <c r="CD58" s="816"/>
      <c r="CE58" s="816"/>
      <c r="CP58" s="825"/>
      <c r="CQ58" s="816"/>
      <c r="CR58" s="816"/>
      <c r="CS58" s="816"/>
      <c r="DJ58" s="1112">
        <v>0.91500000000000004</v>
      </c>
      <c r="DK58" s="1112">
        <f>DK56</f>
        <v>0.86799999999999999</v>
      </c>
      <c r="DL58" s="1112">
        <v>0.86799999999999999</v>
      </c>
      <c r="DM58" s="1112">
        <v>0.86799999999999999</v>
      </c>
      <c r="DN58" s="1112">
        <v>0.86799999999999999</v>
      </c>
      <c r="DO58" s="1112">
        <v>0.86799999999999999</v>
      </c>
      <c r="DP58" s="1112">
        <f t="shared" si="88"/>
        <v>0.91500000000000004</v>
      </c>
      <c r="DQ58" s="1112"/>
      <c r="EC58" s="219">
        <v>9</v>
      </c>
      <c r="ED58" s="797" t="str" cm="1">
        <f t="array" ref="ED58">INDEX(List_comparators,EC58+1)</f>
        <v>lenvatinib_plus_everolimus</v>
      </c>
      <c r="EE58" s="219">
        <v>2</v>
      </c>
      <c r="EF58" s="964"/>
      <c r="EG58" s="964"/>
      <c r="EH58" s="964"/>
      <c r="EI58" s="219"/>
    </row>
    <row r="59" spans="2:180" ht="15.75" x14ac:dyDescent="0.25">
      <c r="D59" s="1556" t="s">
        <v>334</v>
      </c>
      <c r="E59" s="1558"/>
      <c r="F59" s="1558"/>
      <c r="G59" s="1558"/>
      <c r="H59" s="1559"/>
      <c r="I59" s="131"/>
      <c r="J59" s="160" t="s">
        <v>287</v>
      </c>
      <c r="K59" s="1581"/>
      <c r="L59" s="1582"/>
      <c r="M59" s="321"/>
      <c r="N59" s="132"/>
      <c r="O59" s="133"/>
      <c r="P59" s="134"/>
      <c r="Q59" s="135"/>
      <c r="R59" s="862"/>
      <c r="S59" s="387"/>
      <c r="T59" s="136"/>
      <c r="U59" s="136"/>
      <c r="V59" s="136"/>
      <c r="W59" s="367">
        <f>W51</f>
        <v>197.25</v>
      </c>
      <c r="X59" s="342">
        <f>i_SE_costs*W59</f>
        <v>39.450000000000003</v>
      </c>
      <c r="Y59" s="456"/>
      <c r="Z59" s="454"/>
      <c r="AA59" s="332"/>
      <c r="AB59" s="136"/>
      <c r="AC59" s="136"/>
      <c r="AD59" s="890"/>
      <c r="AE59" s="138"/>
      <c r="AF59" s="399"/>
      <c r="AG59" s="138"/>
      <c r="AH59" s="1077"/>
      <c r="AI59" s="1086"/>
      <c r="AJ59" s="1138"/>
      <c r="AK59" s="1248"/>
      <c r="AZ59" s="991"/>
      <c r="BA59" s="219"/>
      <c r="BB59" s="219"/>
      <c r="BC59" s="219"/>
      <c r="BD59" s="219"/>
      <c r="BE59" s="219"/>
      <c r="BF59" s="219"/>
      <c r="BG59" s="936"/>
      <c r="BH59" s="219"/>
      <c r="BI59" s="219"/>
      <c r="BJ59" s="219"/>
      <c r="BK59" s="219"/>
      <c r="BL59" s="219"/>
      <c r="BM59" s="219"/>
      <c r="BN59" s="219"/>
      <c r="BO59" s="219"/>
      <c r="BP59" s="997"/>
      <c r="BQ59" s="997"/>
      <c r="BR59" s="816"/>
      <c r="BS59" s="816"/>
      <c r="BT59" s="816"/>
      <c r="BU59" s="816"/>
      <c r="BV59" s="816"/>
      <c r="BW59" s="816"/>
      <c r="BX59" s="816"/>
      <c r="BY59" s="816"/>
      <c r="BZ59" s="816"/>
      <c r="CA59" s="816"/>
      <c r="CB59" s="816"/>
      <c r="CC59" s="816"/>
      <c r="CD59" s="816"/>
      <c r="CE59" s="816"/>
      <c r="CP59" s="825"/>
      <c r="CQ59" s="816"/>
      <c r="CR59" s="816"/>
      <c r="CS59" s="816"/>
      <c r="DJ59" s="1112"/>
      <c r="DP59" s="1112"/>
      <c r="DQ59" s="1112"/>
      <c r="EC59" s="219">
        <v>9</v>
      </c>
      <c r="ED59" s="797" t="s">
        <v>301</v>
      </c>
      <c r="EE59" s="219">
        <v>2</v>
      </c>
      <c r="EF59" s="964">
        <v>0.70399999999999996</v>
      </c>
      <c r="EG59" s="964"/>
      <c r="EH59" s="1322">
        <v>0.67200000000000004</v>
      </c>
      <c r="EI59" s="219"/>
    </row>
    <row r="60" spans="2:180" ht="16.5" thickBot="1" x14ac:dyDescent="0.3">
      <c r="D60" s="1560" t="s">
        <v>335</v>
      </c>
      <c r="E60" s="1561"/>
      <c r="F60" s="1561"/>
      <c r="G60" s="1561"/>
      <c r="H60" s="1562"/>
      <c r="I60" s="140"/>
      <c r="J60" s="205" t="s">
        <v>267</v>
      </c>
      <c r="K60" s="1583"/>
      <c r="L60" s="1584"/>
      <c r="M60" s="139"/>
      <c r="N60" s="132"/>
      <c r="O60" s="133"/>
      <c r="P60" s="134"/>
      <c r="Q60" s="135"/>
      <c r="R60" s="862"/>
      <c r="S60" s="387"/>
      <c r="T60" s="136"/>
      <c r="U60" s="136"/>
      <c r="V60" s="136"/>
      <c r="W60" s="367">
        <f>W52</f>
        <v>11</v>
      </c>
      <c r="X60" s="972">
        <f>i_SE_costs*W60</f>
        <v>2.2000000000000002</v>
      </c>
      <c r="Y60" s="1273">
        <f>Y57</f>
        <v>0.84200000000000008</v>
      </c>
      <c r="Z60" s="478">
        <f>Z57</f>
        <v>8.4200000000000011E-2</v>
      </c>
      <c r="AA60" s="332"/>
      <c r="AB60" s="136"/>
      <c r="AC60" s="136"/>
      <c r="AD60" s="890"/>
      <c r="AE60" s="138"/>
      <c r="AF60" s="399"/>
      <c r="AG60" s="138"/>
      <c r="AH60" s="1077"/>
      <c r="AI60" s="1086"/>
      <c r="AJ60" s="1138"/>
      <c r="AK60" s="1248"/>
      <c r="AZ60" s="991"/>
      <c r="BA60" s="219"/>
      <c r="BB60" s="219"/>
      <c r="BC60" s="219"/>
      <c r="BD60" s="219"/>
      <c r="BE60" s="219"/>
      <c r="BF60" s="219"/>
      <c r="BG60" s="936"/>
      <c r="BH60" s="219"/>
      <c r="BI60" s="219"/>
      <c r="BJ60" s="219"/>
      <c r="BK60" s="219"/>
      <c r="BL60" s="219"/>
      <c r="BM60" s="219"/>
      <c r="BN60" s="219"/>
      <c r="BO60" s="219"/>
      <c r="BP60" s="997"/>
      <c r="BQ60" s="997"/>
      <c r="BR60" s="816"/>
      <c r="BS60" s="816"/>
      <c r="BT60" s="816"/>
      <c r="BU60" s="816"/>
      <c r="BV60" s="816"/>
      <c r="BW60" s="816"/>
      <c r="BX60" s="816"/>
      <c r="BY60" s="816"/>
      <c r="BZ60" s="816"/>
      <c r="CA60" s="816"/>
      <c r="CB60" s="816"/>
      <c r="CC60" s="816"/>
      <c r="CD60" s="816"/>
      <c r="CE60" s="816"/>
      <c r="CP60" s="825"/>
      <c r="CQ60" s="816"/>
      <c r="CR60" s="816"/>
      <c r="CS60" s="816"/>
      <c r="DJ60" s="1112">
        <v>0.89400000000000002</v>
      </c>
      <c r="DK60" s="1112">
        <f>DK57</f>
        <v>0.84199999999999997</v>
      </c>
      <c r="DL60" s="1112">
        <v>0.84199999999999997</v>
      </c>
      <c r="DM60" s="1112">
        <v>0.84199999999999997</v>
      </c>
      <c r="DN60" s="1112">
        <v>0.84199999999999997</v>
      </c>
      <c r="DO60" s="1112">
        <v>0.84199999999999997</v>
      </c>
      <c r="DP60" s="1112">
        <f t="shared" si="88"/>
        <v>0.89400000000000002</v>
      </c>
      <c r="DQ60" s="1112"/>
      <c r="EC60" s="219">
        <v>9</v>
      </c>
      <c r="ED60" s="797" t="s">
        <v>119</v>
      </c>
      <c r="EE60" s="219">
        <v>2</v>
      </c>
      <c r="EF60" s="964">
        <v>0.89300000000000002</v>
      </c>
      <c r="EG60" s="964"/>
      <c r="EH60" s="1322">
        <v>0.48</v>
      </c>
      <c r="EI60" s="219"/>
    </row>
    <row r="61" spans="2:180" ht="15.75" x14ac:dyDescent="0.25">
      <c r="D61" s="1546" t="str" cm="1">
        <f t="array" ref="D61">INDEX(List_comparators,I61+1)</f>
        <v>lenvatinib_plus_everolimus</v>
      </c>
      <c r="E61" s="1546"/>
      <c r="F61" s="1546"/>
      <c r="G61" s="1546"/>
      <c r="H61" s="1547"/>
      <c r="I61" s="348">
        <v>9</v>
      </c>
      <c r="J61" s="197"/>
      <c r="K61" s="1577"/>
      <c r="L61" s="1578"/>
      <c r="M61" s="320"/>
      <c r="N61" s="349"/>
      <c r="O61" s="350"/>
      <c r="P61" s="351"/>
      <c r="Q61" s="352"/>
      <c r="R61" s="864"/>
      <c r="S61" s="388"/>
      <c r="T61" s="353"/>
      <c r="U61" s="353"/>
      <c r="V61" s="353"/>
      <c r="W61" s="354"/>
      <c r="X61" s="981"/>
      <c r="Y61" s="396"/>
      <c r="Z61" s="448"/>
      <c r="AA61" s="355"/>
      <c r="AB61" s="353"/>
      <c r="AC61" s="353"/>
      <c r="AD61" s="894"/>
      <c r="AE61" s="356"/>
      <c r="AF61" s="404"/>
      <c r="AG61" s="356"/>
      <c r="AH61" s="1084"/>
      <c r="AI61" s="1086"/>
      <c r="AJ61" s="1138"/>
      <c r="AK61" s="1248"/>
      <c r="AO61" s="107" t="s">
        <v>340</v>
      </c>
      <c r="AZ61" s="991"/>
      <c r="BA61" s="219"/>
      <c r="BB61" s="219"/>
      <c r="BC61" s="219"/>
      <c r="BD61" s="219"/>
      <c r="BE61" s="219"/>
      <c r="BF61" s="219"/>
      <c r="BG61" s="936"/>
      <c r="BH61" s="219"/>
      <c r="BI61" s="219"/>
      <c r="BJ61" s="219"/>
      <c r="BK61" s="219"/>
      <c r="BL61" s="219"/>
      <c r="BM61" s="219"/>
      <c r="BN61" s="219"/>
      <c r="BO61" s="219"/>
      <c r="BP61" s="997"/>
      <c r="BQ61" s="997"/>
      <c r="BR61" s="816"/>
      <c r="BS61" s="816"/>
      <c r="BT61" s="816"/>
      <c r="BU61" s="816"/>
      <c r="BV61" s="816"/>
      <c r="BW61" s="816"/>
      <c r="BX61" s="816"/>
      <c r="BY61" s="816"/>
      <c r="BZ61" s="816"/>
      <c r="CA61" s="816"/>
      <c r="CB61" s="816"/>
      <c r="CC61" s="816"/>
      <c r="CD61" s="816"/>
      <c r="CE61" s="816"/>
      <c r="CP61" s="825"/>
      <c r="CQ61" s="816"/>
      <c r="CR61" s="816"/>
      <c r="CS61" s="816"/>
      <c r="DJ61" s="1112"/>
      <c r="EC61" s="219">
        <v>9</v>
      </c>
      <c r="ED61" s="797" t="str" cm="1">
        <f t="array" ref="ED61">INDEX(List_comparators,EC61+1)</f>
        <v>lenvatinib_plus_everolimus</v>
      </c>
      <c r="EE61" s="219">
        <v>3</v>
      </c>
      <c r="EF61" s="964"/>
      <c r="EG61" s="964"/>
      <c r="EH61" s="964"/>
      <c r="EI61" s="219"/>
    </row>
    <row r="62" spans="2:180" ht="15.75" x14ac:dyDescent="0.25">
      <c r="B62" s="785" t="e">
        <f>CHOOSE($Z$5,2,3,3,3)</f>
        <v>#VALUE!</v>
      </c>
      <c r="D62" s="1555" t="s">
        <v>301</v>
      </c>
      <c r="E62" s="1555"/>
      <c r="F62" s="1555"/>
      <c r="G62" s="1555"/>
      <c r="H62" s="1556"/>
      <c r="I62" s="131"/>
      <c r="J62" s="160" t="s">
        <v>267</v>
      </c>
      <c r="K62" s="1579">
        <f>K25</f>
        <v>1437</v>
      </c>
      <c r="L62" s="1580"/>
      <c r="M62" s="321">
        <v>30</v>
      </c>
      <c r="N62" s="132" t="s">
        <v>299</v>
      </c>
      <c r="O62" s="133">
        <v>10</v>
      </c>
      <c r="P62" s="134" t="s">
        <v>281</v>
      </c>
      <c r="Q62" s="135"/>
      <c r="R62" s="380"/>
      <c r="S62" s="1320">
        <f>S25</f>
        <v>1437</v>
      </c>
      <c r="T62" s="136" t="str">
        <f>T25</f>
        <v>once daily</v>
      </c>
      <c r="U62" s="136" t="s">
        <v>283</v>
      </c>
      <c r="V62" s="136">
        <v>10</v>
      </c>
      <c r="W62" s="137"/>
      <c r="X62" s="974"/>
      <c r="Y62" s="1272">
        <f>IF(i_lenv_RDI_100=1,100%,CHOOSE(i_sc_RDI_num,100%,70.4%,67.2%,DK62,DP62))</f>
        <v>1</v>
      </c>
      <c r="Z62" s="1155">
        <f>IF(i_sc_RDI_num=3,i_SE_util*Y62,i_SE_util*Y62)</f>
        <v>0.1</v>
      </c>
      <c r="AA62" s="472">
        <f>AA25</f>
        <v>4.2857142857142856</v>
      </c>
      <c r="AB62" s="136">
        <v>1</v>
      </c>
      <c r="AC62" s="136">
        <v>1</v>
      </c>
      <c r="AD62" s="886">
        <f>ROUNDUP(ui_time_horizon*365.25*i_days_to_weeks,0)+1</f>
        <v>2089</v>
      </c>
      <c r="AE62" s="1075" t="s">
        <v>272</v>
      </c>
      <c r="AF62" s="399" t="s">
        <v>272</v>
      </c>
      <c r="AG62" s="342">
        <f>K62*1</f>
        <v>1437</v>
      </c>
      <c r="AH62" s="1356">
        <f>S62*1</f>
        <v>1437</v>
      </c>
      <c r="AI62" s="1362">
        <f>IF(i_lenv_RDI_100=1,CHOOSE(i_drug_price_options,(AG62/$M$62)*7*Y62,(AH62/$M$62)*7*Y62),CHOOSE(i_drug_price_options,(AG62/$M$62)*7*Y62,(AH62/$M$62)*7*Y62))</f>
        <v>335.3</v>
      </c>
      <c r="AJ62" s="1355">
        <f>CHOOSE(i_drug_price_options,(AG62/$M$62)*7,(AH62/$M$62)*7)</f>
        <v>335.3</v>
      </c>
      <c r="AK62" s="1250">
        <v>0.25</v>
      </c>
      <c r="AZ62" s="991"/>
      <c r="BA62" s="219"/>
      <c r="BB62" s="219"/>
      <c r="BC62" s="219"/>
      <c r="BD62" s="219"/>
      <c r="BE62" s="219"/>
      <c r="BF62" s="219"/>
      <c r="BG62" s="936"/>
      <c r="BH62" s="219"/>
      <c r="BI62" s="219"/>
      <c r="BJ62" s="219"/>
      <c r="BK62" s="219"/>
      <c r="BL62" s="219"/>
      <c r="BM62" s="219"/>
      <c r="BN62" s="219"/>
      <c r="BO62" s="219"/>
      <c r="BP62" s="997"/>
      <c r="BQ62" s="997"/>
      <c r="BR62" s="816"/>
      <c r="BS62" s="816"/>
      <c r="BT62" s="816"/>
      <c r="BU62" s="816"/>
      <c r="BV62" s="816"/>
      <c r="BW62" s="816"/>
      <c r="BX62" s="816"/>
      <c r="BY62" s="816"/>
      <c r="BZ62" s="816"/>
      <c r="CA62" s="816"/>
      <c r="CB62" s="816"/>
      <c r="CC62" s="816"/>
      <c r="CD62" s="816"/>
      <c r="CE62" s="816"/>
      <c r="CP62" s="825"/>
      <c r="CQ62" s="816"/>
      <c r="CR62" s="816"/>
      <c r="CS62" s="816"/>
      <c r="DJ62" s="1112">
        <v>0.70400000000000007</v>
      </c>
      <c r="DK62" s="1112">
        <v>0.73499999999999999</v>
      </c>
      <c r="DL62" s="1112">
        <v>0.73499999999999999</v>
      </c>
      <c r="DM62" s="1112">
        <v>0.73499999999999999</v>
      </c>
      <c r="DN62" s="1112">
        <v>0.73499999999999999</v>
      </c>
      <c r="DO62" s="1112">
        <v>0.73499999999999999</v>
      </c>
      <c r="DP62" s="1112">
        <f>DK62</f>
        <v>0.73499999999999999</v>
      </c>
      <c r="DQ62" s="1112"/>
      <c r="EC62" s="219">
        <v>9</v>
      </c>
      <c r="ED62" s="797" t="s">
        <v>301</v>
      </c>
      <c r="EE62" s="219">
        <v>3</v>
      </c>
      <c r="EF62" s="964">
        <v>0.70399999999999996</v>
      </c>
      <c r="EG62" s="964"/>
      <c r="EH62" s="1322">
        <v>0.77500000000000002</v>
      </c>
      <c r="EI62" s="219"/>
    </row>
    <row r="63" spans="2:180" ht="15.75" x14ac:dyDescent="0.25">
      <c r="B63" s="785" t="e">
        <f>CHOOSE($Z$5,2,3,3,3)</f>
        <v>#VALUE!</v>
      </c>
      <c r="D63" s="1555" t="s">
        <v>301</v>
      </c>
      <c r="E63" s="1555"/>
      <c r="F63" s="1555"/>
      <c r="G63" s="1555"/>
      <c r="H63" s="1556"/>
      <c r="I63" s="131"/>
      <c r="J63" s="160" t="s">
        <v>267</v>
      </c>
      <c r="K63" s="1579">
        <f>K25</f>
        <v>1437</v>
      </c>
      <c r="L63" s="1580"/>
      <c r="M63" s="321">
        <v>30</v>
      </c>
      <c r="N63" s="132" t="s">
        <v>299</v>
      </c>
      <c r="O63" s="133">
        <v>4</v>
      </c>
      <c r="P63" s="134" t="s">
        <v>281</v>
      </c>
      <c r="Q63" s="135"/>
      <c r="R63" s="380"/>
      <c r="S63" s="1320">
        <f>S25</f>
        <v>1437</v>
      </c>
      <c r="T63" s="136" t="str">
        <f>T25</f>
        <v>once daily</v>
      </c>
      <c r="U63" s="136" t="s">
        <v>283</v>
      </c>
      <c r="V63" s="136">
        <v>14</v>
      </c>
      <c r="W63" s="137"/>
      <c r="X63" s="974"/>
      <c r="Y63" s="1272">
        <f>IF(i_lenv_RDI_100=1,100%,CHOOSE(i_sc_RDI_num,100%,70.4%,67.2%,DK62,DP62))</f>
        <v>1</v>
      </c>
      <c r="Z63" s="1156">
        <f>IF(i_sc_RDI_num=3,i_SE_util*Y63,i_SE_util*Y63)</f>
        <v>0.1</v>
      </c>
      <c r="AA63" s="472">
        <f>AA25</f>
        <v>4.2857142857142856</v>
      </c>
      <c r="AB63" s="136">
        <v>1</v>
      </c>
      <c r="AC63" s="136">
        <v>1</v>
      </c>
      <c r="AD63" s="886">
        <f>ROUNDUP(ui_time_horizon*365.25*i_days_to_weeks,0)+1</f>
        <v>2089</v>
      </c>
      <c r="AE63" s="1075" t="s">
        <v>272</v>
      </c>
      <c r="AF63" s="399" t="s">
        <v>272</v>
      </c>
      <c r="AG63" s="342">
        <f>K62*1+K63*1</f>
        <v>2874</v>
      </c>
      <c r="AH63" s="1356">
        <f>S62*1+S63*1</f>
        <v>2874</v>
      </c>
      <c r="AI63" s="1362">
        <f>IF(i_lenv_RDI_100=1,CHOOSE(i_drug_price_options,(AG63/$M$62)*7*Y63,(AH63/$M$62)*7*Y63),CHOOSE(i_drug_price_options,(AG63/$M$62)*7*Y63,(AH63/$M$62)*7*Y63))</f>
        <v>670.6</v>
      </c>
      <c r="AJ63" s="1355">
        <f>CHOOSE(i_drug_price_options,(AG63/$M$62)*7,(AH63/$M$62)*7)</f>
        <v>670.6</v>
      </c>
      <c r="AK63" s="1250">
        <v>0.48</v>
      </c>
      <c r="AZ63" s="991"/>
      <c r="BA63" s="219"/>
      <c r="BB63" s="219"/>
      <c r="BC63" s="219"/>
      <c r="BD63" s="219"/>
      <c r="BE63" s="219"/>
      <c r="BF63" s="219"/>
      <c r="BG63" s="936"/>
      <c r="BH63" s="219"/>
      <c r="BI63" s="219"/>
      <c r="BJ63" s="219"/>
      <c r="BK63" s="219"/>
      <c r="BL63" s="219"/>
      <c r="BM63" s="219"/>
      <c r="BN63" s="219"/>
      <c r="BO63" s="219"/>
      <c r="BP63" s="997"/>
      <c r="BQ63" s="997"/>
      <c r="BR63" s="816"/>
      <c r="BS63" s="816"/>
      <c r="BT63" s="816"/>
      <c r="BU63" s="816"/>
      <c r="BV63" s="816"/>
      <c r="BW63" s="816"/>
      <c r="BX63" s="816"/>
      <c r="BY63" s="816"/>
      <c r="BZ63" s="816"/>
      <c r="CA63" s="816"/>
      <c r="CB63" s="816"/>
      <c r="CC63" s="816"/>
      <c r="CD63" s="816"/>
      <c r="CE63" s="816"/>
      <c r="CP63" s="825"/>
      <c r="CQ63" s="816"/>
      <c r="CR63" s="816"/>
      <c r="CS63" s="816"/>
      <c r="DJ63" s="1112">
        <v>0.89300000000000002</v>
      </c>
      <c r="DK63" s="1112">
        <f>DJ63</f>
        <v>0.89300000000000002</v>
      </c>
      <c r="DL63" s="1112">
        <v>0.89300000000000002</v>
      </c>
      <c r="DM63" s="1112">
        <v>0.89300000000000002</v>
      </c>
      <c r="DN63" s="1112">
        <v>0.89300000000000002</v>
      </c>
      <c r="DO63" s="1112">
        <v>0.89300000000000002</v>
      </c>
      <c r="DP63" s="1112">
        <f>DK63</f>
        <v>0.89300000000000002</v>
      </c>
      <c r="DQ63" s="1112"/>
      <c r="EC63" s="219">
        <v>9</v>
      </c>
      <c r="ED63" s="797" t="s">
        <v>119</v>
      </c>
      <c r="EE63" s="219">
        <v>3</v>
      </c>
      <c r="EF63" s="964">
        <v>0.89300000000000002</v>
      </c>
      <c r="EG63" s="964"/>
      <c r="EH63" s="1322">
        <v>0.5</v>
      </c>
      <c r="EI63" s="219"/>
    </row>
    <row r="64" spans="2:180" ht="15.75" x14ac:dyDescent="0.25">
      <c r="D64" s="1555" t="s">
        <v>301</v>
      </c>
      <c r="E64" s="1555"/>
      <c r="F64" s="1555"/>
      <c r="G64" s="1555"/>
      <c r="H64" s="1556"/>
      <c r="I64" s="131"/>
      <c r="J64" s="160" t="s">
        <v>267</v>
      </c>
      <c r="K64" s="1579">
        <f>K25</f>
        <v>1437</v>
      </c>
      <c r="L64" s="1580"/>
      <c r="M64" s="321">
        <v>30</v>
      </c>
      <c r="N64" s="132" t="s">
        <v>299</v>
      </c>
      <c r="O64" s="133">
        <v>4</v>
      </c>
      <c r="P64" s="134" t="s">
        <v>281</v>
      </c>
      <c r="Q64" s="135"/>
      <c r="R64" s="380"/>
      <c r="S64" s="1320">
        <f>S25</f>
        <v>1437</v>
      </c>
      <c r="T64" s="136" t="str">
        <f>T25</f>
        <v>once daily</v>
      </c>
      <c r="U64" s="136" t="s">
        <v>283</v>
      </c>
      <c r="V64" s="136">
        <v>18</v>
      </c>
      <c r="W64" s="137"/>
      <c r="X64" s="974"/>
      <c r="Y64" s="1272">
        <f>IF(i_lenv_RDI_100=1,100%,CHOOSE(i_sc_RDI_num,100%,70.4%,67.2%,DK62,DP62))</f>
        <v>1</v>
      </c>
      <c r="Z64" s="1156">
        <f>IF(i_sc_RDI_num=3,i_SE_util*Y64,i_SE_util*Y64)</f>
        <v>0.1</v>
      </c>
      <c r="AA64" s="472">
        <f>AA25</f>
        <v>4.2857142857142856</v>
      </c>
      <c r="AB64" s="136">
        <v>1</v>
      </c>
      <c r="AC64" s="136">
        <v>1</v>
      </c>
      <c r="AD64" s="886">
        <f>ROUNDUP(ui_time_horizon*365.25*i_days_to_weeks,0)+1</f>
        <v>2089</v>
      </c>
      <c r="AE64" s="1075" t="s">
        <v>272</v>
      </c>
      <c r="AF64" s="398" t="s">
        <v>272</v>
      </c>
      <c r="AG64" s="342">
        <f>K62*1+K63*1+K64*1</f>
        <v>4311</v>
      </c>
      <c r="AH64" s="1356">
        <f>S62*1+S63*1+S64*1</f>
        <v>4311</v>
      </c>
      <c r="AI64" s="1362">
        <f>IF(i_lenv_RDI_100=1,CHOOSE(i_drug_price_options,(AG64/$M$62)*7*Y64,(AH64/$M$62)*7*Y64),CHOOSE(i_drug_price_options,(AG64/$M$62)*7*Y64,(AH64/$M$62)*7*Y648))</f>
        <v>1005.8999999999999</v>
      </c>
      <c r="AJ64" s="1355">
        <f>CHOOSE(i_drug_price_options,(AG64/$M$62)*7,(AH64/$M$62)*7)</f>
        <v>1005.8999999999999</v>
      </c>
      <c r="AK64" s="1250">
        <v>0.27</v>
      </c>
      <c r="AZ64" s="991"/>
      <c r="BA64" s="219"/>
      <c r="BB64" s="219"/>
      <c r="BC64" s="219"/>
      <c r="BD64" s="219"/>
      <c r="BE64" s="219"/>
      <c r="BF64" s="219"/>
      <c r="BG64" s="936"/>
      <c r="BH64" s="219"/>
      <c r="BI64" s="219"/>
      <c r="BJ64" s="219"/>
      <c r="BK64" s="219"/>
      <c r="BL64" s="219"/>
      <c r="BM64" s="219"/>
      <c r="BN64" s="219"/>
      <c r="BO64" s="219"/>
      <c r="BP64" s="997"/>
      <c r="BQ64" s="997"/>
      <c r="BR64" s="816"/>
      <c r="BS64" s="816"/>
      <c r="BT64" s="816"/>
      <c r="BU64" s="816"/>
      <c r="BV64" s="816"/>
      <c r="BW64" s="816"/>
      <c r="BX64" s="816"/>
      <c r="BY64" s="816"/>
      <c r="BZ64" s="816"/>
      <c r="CA64" s="816"/>
      <c r="CB64" s="816"/>
      <c r="CC64" s="816"/>
      <c r="CD64" s="816"/>
      <c r="CE64" s="816"/>
      <c r="CP64" s="825"/>
      <c r="CQ64" s="816"/>
      <c r="CR64" s="816"/>
      <c r="CS64" s="816"/>
      <c r="DJ64" s="1112"/>
      <c r="EC64" s="219">
        <v>10</v>
      </c>
      <c r="ED64" s="797" t="str" cm="1">
        <f t="array" ref="ED64">INDEX(List_comparators,EC64+1)</f>
        <v>everolimus</v>
      </c>
      <c r="EE64" s="219">
        <v>2</v>
      </c>
      <c r="EF64" s="964">
        <v>0.84</v>
      </c>
      <c r="EG64" s="964">
        <v>1.0999999999999999E-2</v>
      </c>
      <c r="EH64" s="1322">
        <v>0.94399999999999995</v>
      </c>
      <c r="EI64" s="219"/>
    </row>
    <row r="65" spans="2:139" ht="15.75" x14ac:dyDescent="0.25">
      <c r="D65" s="1555" t="s">
        <v>119</v>
      </c>
      <c r="E65" s="1555"/>
      <c r="F65" s="1555"/>
      <c r="G65" s="1555"/>
      <c r="H65" s="1556"/>
      <c r="I65" s="131"/>
      <c r="J65" s="160" t="s">
        <v>267</v>
      </c>
      <c r="K65" s="1579">
        <f>K42</f>
        <v>536.65</v>
      </c>
      <c r="L65" s="1580"/>
      <c r="M65" s="321">
        <v>30</v>
      </c>
      <c r="N65" s="132" t="s">
        <v>341</v>
      </c>
      <c r="O65" s="133">
        <v>10</v>
      </c>
      <c r="P65" s="134" t="s">
        <v>281</v>
      </c>
      <c r="Q65" s="135"/>
      <c r="R65" s="380"/>
      <c r="S65" s="387" t="str">
        <f>S42</f>
        <v>NA</v>
      </c>
      <c r="T65" s="136" t="str">
        <f>T42</f>
        <v>once daily</v>
      </c>
      <c r="U65" s="136" t="s">
        <v>283</v>
      </c>
      <c r="V65" s="136">
        <v>10</v>
      </c>
      <c r="W65" s="137"/>
      <c r="X65" s="974"/>
      <c r="Y65" s="1273">
        <f>CHOOSE(i_sc_RDI_num,100%,89.3%,48%,DK63,DP63)</f>
        <v>0.89300000000000002</v>
      </c>
      <c r="Z65" s="1156">
        <f>IF(i_sc_RDI_num=3,i_SE_util*Y65,i_SE_util*Y65)</f>
        <v>8.9300000000000004E-2</v>
      </c>
      <c r="AA65" s="472">
        <f>AA42</f>
        <v>4.2857142857142856</v>
      </c>
      <c r="AB65" s="136">
        <v>1</v>
      </c>
      <c r="AC65" s="136">
        <v>1</v>
      </c>
      <c r="AD65" s="886">
        <f>ROUNDUP(ui_time_horizon*365.25*i_days_to_weeks,0)+1</f>
        <v>2089</v>
      </c>
      <c r="AE65" s="292">
        <f>K65/O65</f>
        <v>53.664999999999999</v>
      </c>
      <c r="AF65" s="399" t="s">
        <v>272</v>
      </c>
      <c r="AG65" s="342">
        <f>AE65*V65</f>
        <v>536.65</v>
      </c>
      <c r="AH65" s="1085">
        <f>AG65</f>
        <v>536.65</v>
      </c>
      <c r="AI65" s="1089">
        <f>CHOOSE(i_drug_price_options,(AG65/$M$65)*7*Y65,(AH65/$M$65)*7*Y65)</f>
        <v>111.81997166666666</v>
      </c>
      <c r="AJ65" s="1139">
        <f>CHOOSE(i_drug_price_options,(AG65/$M$65)*7,(AH65/$M$65)*7)</f>
        <v>125.21833333333332</v>
      </c>
      <c r="AK65" s="1248"/>
      <c r="AZ65" s="991"/>
      <c r="BA65" s="219"/>
      <c r="BB65" s="219"/>
      <c r="BC65" s="219"/>
      <c r="BD65" s="219"/>
      <c r="BE65" s="219"/>
      <c r="BF65" s="219"/>
      <c r="BG65" s="936"/>
      <c r="BH65" s="219"/>
      <c r="BI65" s="219"/>
      <c r="BJ65" s="219"/>
      <c r="BK65" s="219"/>
      <c r="BL65" s="219"/>
      <c r="BM65" s="219"/>
      <c r="BN65" s="219"/>
      <c r="BO65" s="219"/>
      <c r="BP65" s="997"/>
      <c r="BQ65" s="997"/>
      <c r="BR65" s="816"/>
      <c r="BS65" s="816"/>
      <c r="BT65" s="816"/>
      <c r="BU65" s="816"/>
      <c r="BV65" s="816"/>
      <c r="BW65" s="816"/>
      <c r="BX65" s="816"/>
      <c r="BY65" s="816"/>
      <c r="BZ65" s="816"/>
      <c r="CA65" s="816"/>
      <c r="CB65" s="816"/>
      <c r="CC65" s="816"/>
      <c r="CD65" s="816"/>
      <c r="CE65" s="816"/>
      <c r="CP65" s="825"/>
      <c r="CQ65" s="816"/>
      <c r="CR65" s="816"/>
      <c r="CS65" s="816"/>
      <c r="DJ65" s="1112">
        <v>0.70400000000000007</v>
      </c>
      <c r="DK65" s="1112">
        <f>DK62</f>
        <v>0.73499999999999999</v>
      </c>
      <c r="DL65" s="1112">
        <v>0.73499999999999999</v>
      </c>
      <c r="DM65" s="1112">
        <v>0.73499999999999999</v>
      </c>
      <c r="DN65" s="1112">
        <v>0.73499999999999999</v>
      </c>
      <c r="DO65" s="1112">
        <v>0.73499999999999999</v>
      </c>
      <c r="DP65" s="1112">
        <f>DK65</f>
        <v>0.73499999999999999</v>
      </c>
      <c r="DQ65" s="1112"/>
      <c r="EC65" s="219">
        <v>10</v>
      </c>
      <c r="ED65" s="797" t="str" cm="1">
        <f t="array" ref="ED65">INDEX(List_comparators,EC65+1)</f>
        <v>everolimus</v>
      </c>
      <c r="EE65" s="219">
        <v>3</v>
      </c>
      <c r="EF65" s="964">
        <v>0.84</v>
      </c>
      <c r="EG65" s="964">
        <v>1.0999999999999999E-2</v>
      </c>
      <c r="EH65" s="1322">
        <v>0.94399999999999995</v>
      </c>
      <c r="EI65" s="219"/>
    </row>
    <row r="66" spans="2:139" ht="15.75" x14ac:dyDescent="0.25">
      <c r="D66" s="1563" t="s">
        <v>302</v>
      </c>
      <c r="E66" s="1564"/>
      <c r="F66" s="1564"/>
      <c r="G66" s="1564"/>
      <c r="H66" s="1565"/>
      <c r="I66" s="131"/>
      <c r="J66" s="160" t="s">
        <v>287</v>
      </c>
      <c r="K66" s="361"/>
      <c r="L66" s="362"/>
      <c r="M66" s="321"/>
      <c r="N66" s="132"/>
      <c r="O66" s="133"/>
      <c r="P66" s="134"/>
      <c r="Q66" s="135"/>
      <c r="R66" s="862"/>
      <c r="S66" s="387"/>
      <c r="T66" s="136"/>
      <c r="U66" s="136"/>
      <c r="V66" s="136"/>
      <c r="W66" s="367">
        <f>W27</f>
        <v>197.25</v>
      </c>
      <c r="X66" s="342">
        <f>i_SE_costs*W66</f>
        <v>39.450000000000003</v>
      </c>
      <c r="Y66" s="458"/>
      <c r="Z66" s="454"/>
      <c r="AA66" s="332"/>
      <c r="AB66" s="136"/>
      <c r="AC66" s="136"/>
      <c r="AD66" s="890"/>
      <c r="AE66" s="138"/>
      <c r="AF66" s="399"/>
      <c r="AG66" s="138"/>
      <c r="AH66" s="1077"/>
      <c r="AI66" s="1086"/>
      <c r="AJ66" s="1138"/>
      <c r="AK66" s="1248"/>
      <c r="AO66" s="107" t="s">
        <v>342</v>
      </c>
      <c r="AZ66" s="991"/>
      <c r="BA66" s="219"/>
      <c r="BB66" s="219"/>
      <c r="BC66" s="219"/>
      <c r="BD66" s="219"/>
      <c r="BE66" s="219"/>
      <c r="BF66" s="219"/>
      <c r="BG66" s="936"/>
      <c r="BH66" s="219"/>
      <c r="BI66" s="219"/>
      <c r="BJ66" s="219"/>
      <c r="BK66" s="219"/>
      <c r="BL66" s="219"/>
      <c r="BM66" s="219"/>
      <c r="BN66" s="219"/>
      <c r="BO66" s="219"/>
      <c r="BP66" s="997"/>
      <c r="BQ66" s="997"/>
      <c r="BR66" s="816"/>
      <c r="BS66" s="816"/>
      <c r="BT66" s="816"/>
      <c r="BU66" s="816"/>
      <c r="BV66" s="816"/>
      <c r="BW66" s="816"/>
      <c r="BX66" s="816"/>
      <c r="BY66" s="816"/>
      <c r="BZ66" s="816"/>
      <c r="CA66" s="816"/>
      <c r="CB66" s="816"/>
      <c r="CC66" s="816"/>
      <c r="CD66" s="816"/>
      <c r="CE66" s="816"/>
      <c r="CP66" s="825"/>
      <c r="CQ66" s="816"/>
      <c r="CR66" s="816"/>
      <c r="CS66" s="816"/>
      <c r="DJ66" s="1112"/>
      <c r="DK66" s="337"/>
      <c r="DL66" s="337"/>
      <c r="DM66" s="337"/>
      <c r="DN66" s="337"/>
      <c r="DO66" s="337"/>
      <c r="DP66" s="337"/>
      <c r="DQ66" s="337"/>
      <c r="EC66" s="219">
        <v>10</v>
      </c>
      <c r="ED66" s="797" t="str" cm="1">
        <f t="array" ref="ED66">INDEX(List_comparators,EC66+1)</f>
        <v>everolimus</v>
      </c>
      <c r="EE66" s="219">
        <v>4</v>
      </c>
      <c r="EF66" s="964">
        <v>0.84</v>
      </c>
      <c r="EG66" s="964">
        <v>1.0999999999999999E-2</v>
      </c>
      <c r="EH66" s="1322">
        <v>0.95</v>
      </c>
      <c r="EI66" s="219"/>
    </row>
    <row r="67" spans="2:139" ht="16.5" thickBot="1" x14ac:dyDescent="0.3">
      <c r="B67" s="785" t="e">
        <f>CHOOSE($Z$5,1,1,1,1)</f>
        <v>#VALUE!</v>
      </c>
      <c r="D67" s="1628" t="s">
        <v>303</v>
      </c>
      <c r="E67" s="1629"/>
      <c r="F67" s="1629"/>
      <c r="G67" s="1629"/>
      <c r="H67" s="1630"/>
      <c r="I67" s="357"/>
      <c r="J67" s="205" t="s">
        <v>267</v>
      </c>
      <c r="K67" s="368"/>
      <c r="L67" s="369"/>
      <c r="M67" s="322"/>
      <c r="N67" s="142"/>
      <c r="O67" s="143"/>
      <c r="P67" s="144"/>
      <c r="Q67" s="145"/>
      <c r="R67" s="860"/>
      <c r="S67" s="385"/>
      <c r="T67" s="146"/>
      <c r="U67" s="146"/>
      <c r="V67" s="146"/>
      <c r="W67" s="370">
        <f>W28</f>
        <v>11</v>
      </c>
      <c r="X67" s="972">
        <f>i_SE_costs*W67</f>
        <v>2.2000000000000002</v>
      </c>
      <c r="Y67" s="1274">
        <f>Y62</f>
        <v>1</v>
      </c>
      <c r="Z67" s="478">
        <f>Z62</f>
        <v>0.1</v>
      </c>
      <c r="AA67" s="336"/>
      <c r="AB67" s="146"/>
      <c r="AC67" s="146"/>
      <c r="AD67" s="892"/>
      <c r="AE67" s="148"/>
      <c r="AF67" s="400"/>
      <c r="AG67" s="148"/>
      <c r="AH67" s="1078"/>
      <c r="AI67" s="1086"/>
      <c r="AJ67" s="1138"/>
      <c r="AK67" s="1248"/>
      <c r="AZ67" s="991"/>
      <c r="BA67" s="219"/>
      <c r="BB67" s="219"/>
      <c r="BC67" s="219"/>
      <c r="BD67" s="219"/>
      <c r="BE67" s="219"/>
      <c r="BF67" s="219"/>
      <c r="BG67" s="936"/>
      <c r="BH67" s="219"/>
      <c r="BI67" s="219"/>
      <c r="BJ67" s="219"/>
      <c r="BK67" s="219"/>
      <c r="BL67" s="219"/>
      <c r="BM67" s="219"/>
      <c r="BN67" s="219"/>
      <c r="BO67" s="219"/>
      <c r="BP67" s="997"/>
      <c r="BQ67" s="997"/>
      <c r="BR67" s="816"/>
      <c r="BS67" s="816"/>
      <c r="BT67" s="816"/>
      <c r="BU67" s="816"/>
      <c r="BV67" s="816"/>
      <c r="BW67" s="816"/>
      <c r="BX67" s="816"/>
      <c r="BY67" s="816"/>
      <c r="BZ67" s="816"/>
      <c r="CA67" s="816"/>
      <c r="CB67" s="816"/>
      <c r="CC67" s="816"/>
      <c r="CD67" s="816"/>
      <c r="CE67" s="816"/>
      <c r="CP67" s="825"/>
      <c r="CQ67" s="816"/>
      <c r="CR67" s="816"/>
      <c r="CS67" s="816"/>
      <c r="DJ67" s="1112">
        <v>0.69599999999999995</v>
      </c>
      <c r="DK67" s="1112">
        <v>0.70499999999999996</v>
      </c>
      <c r="DL67" s="1112">
        <v>0.70499999999999996</v>
      </c>
      <c r="DM67" s="1112">
        <v>0.70499999999999996</v>
      </c>
      <c r="DN67" s="1112">
        <v>0.70499999999999996</v>
      </c>
      <c r="DO67" s="1112">
        <v>0.70499999999999996</v>
      </c>
      <c r="DP67" s="1112">
        <f>DK67</f>
        <v>0.70499999999999996</v>
      </c>
      <c r="DQ67" s="1112"/>
      <c r="EC67" s="219">
        <v>11</v>
      </c>
      <c r="ED67" s="797" t="str" cm="1">
        <f t="array" ref="ED67">INDEX(List_comparators,EC67+1)</f>
        <v>axitinib</v>
      </c>
      <c r="EE67" s="219">
        <v>2</v>
      </c>
      <c r="EF67" s="964">
        <v>0.99</v>
      </c>
      <c r="EG67" s="964"/>
      <c r="EH67" s="1322">
        <v>0.75800000000000001</v>
      </c>
      <c r="EI67" s="219"/>
    </row>
    <row r="68" spans="2:139" ht="15.75" x14ac:dyDescent="0.25">
      <c r="B68" s="785" t="e">
        <f>CHOOSE($Z$5,1,1,1,1)</f>
        <v>#VALUE!</v>
      </c>
      <c r="D68" s="1546" t="str" cm="1">
        <f t="array" ref="D68">INDEX(List_comparators,I68+1)</f>
        <v>lenvatinib_plus_pembrolizumab</v>
      </c>
      <c r="E68" s="1546"/>
      <c r="F68" s="1546"/>
      <c r="G68" s="1546"/>
      <c r="H68" s="1548"/>
      <c r="I68" s="359">
        <v>3</v>
      </c>
      <c r="J68" s="197"/>
      <c r="K68" s="1606"/>
      <c r="L68" s="1608"/>
      <c r="M68" s="320"/>
      <c r="N68" s="349"/>
      <c r="O68" s="350"/>
      <c r="P68" s="351"/>
      <c r="Q68" s="352"/>
      <c r="R68" s="864"/>
      <c r="S68" s="388"/>
      <c r="T68" s="353"/>
      <c r="U68" s="353"/>
      <c r="V68" s="353"/>
      <c r="W68" s="354"/>
      <c r="X68" s="981"/>
      <c r="Y68" s="396"/>
      <c r="Z68" s="448"/>
      <c r="AA68" s="355"/>
      <c r="AB68" s="353"/>
      <c r="AC68" s="353"/>
      <c r="AD68" s="894"/>
      <c r="AE68" s="356"/>
      <c r="AF68" s="404"/>
      <c r="AG68" s="356"/>
      <c r="AH68" s="1084"/>
      <c r="AI68" s="1086"/>
      <c r="AJ68" s="1138"/>
      <c r="AK68" s="1248"/>
      <c r="AZ68" s="991"/>
      <c r="BA68" s="219"/>
      <c r="BB68" s="219"/>
      <c r="BC68" s="219"/>
      <c r="BD68" s="219"/>
      <c r="BE68" s="219"/>
      <c r="BF68" s="219"/>
      <c r="BG68" s="936"/>
      <c r="BH68" s="219"/>
      <c r="BI68" s="219"/>
      <c r="BJ68" s="219"/>
      <c r="BK68" s="219"/>
      <c r="BL68" s="219"/>
      <c r="BM68" s="219"/>
      <c r="BN68" s="219"/>
      <c r="BO68" s="219"/>
      <c r="BP68" s="997"/>
      <c r="BQ68" s="997"/>
      <c r="BR68" s="816"/>
      <c r="BS68" s="816"/>
      <c r="BT68" s="816"/>
      <c r="BU68" s="816"/>
      <c r="BV68" s="816"/>
      <c r="BW68" s="816"/>
      <c r="BX68" s="816"/>
      <c r="BY68" s="816"/>
      <c r="BZ68" s="816"/>
      <c r="CA68" s="816"/>
      <c r="CB68" s="816"/>
      <c r="CC68" s="816"/>
      <c r="CD68" s="816"/>
      <c r="CE68" s="816"/>
      <c r="CP68" s="825"/>
      <c r="CQ68" s="816"/>
      <c r="CR68" s="816"/>
      <c r="CS68" s="816"/>
      <c r="DJ68" s="1112">
        <v>0.629</v>
      </c>
      <c r="DK68" s="1112">
        <v>0.59099999999999997</v>
      </c>
      <c r="DL68" s="1112">
        <v>0.59099999999999997</v>
      </c>
      <c r="DM68" s="1112">
        <v>0.59099999999999997</v>
      </c>
      <c r="DN68" s="1112">
        <v>0.59099999999999997</v>
      </c>
      <c r="DO68" s="1112">
        <v>0.59099999999999997</v>
      </c>
      <c r="DP68" s="1112">
        <f>DK68</f>
        <v>0.59099999999999997</v>
      </c>
      <c r="DQ68" s="1112"/>
      <c r="EC68" s="219">
        <v>11</v>
      </c>
      <c r="ED68" s="797" t="str" cm="1">
        <f t="array" ref="ED68">INDEX(List_comparators,EC68+1)</f>
        <v>axitinib</v>
      </c>
      <c r="EE68" s="219">
        <v>3</v>
      </c>
      <c r="EF68" s="964">
        <v>0.99</v>
      </c>
      <c r="EG68" s="964"/>
      <c r="EH68" s="1322">
        <v>0.92700000000000005</v>
      </c>
      <c r="EI68" s="219"/>
    </row>
    <row r="69" spans="2:139" ht="15.75" x14ac:dyDescent="0.25">
      <c r="D69" s="1555" t="s">
        <v>301</v>
      </c>
      <c r="E69" s="1555"/>
      <c r="F69" s="1555"/>
      <c r="G69" s="1555"/>
      <c r="H69" s="1557"/>
      <c r="I69" s="358"/>
      <c r="J69" s="160" t="s">
        <v>267</v>
      </c>
      <c r="K69" s="1498">
        <f>K25</f>
        <v>1437</v>
      </c>
      <c r="L69" s="1499"/>
      <c r="M69" s="474">
        <v>30</v>
      </c>
      <c r="N69" s="124" t="s">
        <v>299</v>
      </c>
      <c r="O69" s="125">
        <v>10</v>
      </c>
      <c r="P69" s="126" t="s">
        <v>281</v>
      </c>
      <c r="Q69" s="473"/>
      <c r="R69" s="380"/>
      <c r="S69" s="1320">
        <f>S25</f>
        <v>1437</v>
      </c>
      <c r="T69" s="136" t="str">
        <f>T25</f>
        <v>once daily</v>
      </c>
      <c r="U69" s="136" t="s">
        <v>283</v>
      </c>
      <c r="V69" s="136">
        <v>10</v>
      </c>
      <c r="W69" s="137"/>
      <c r="X69" s="974"/>
      <c r="Y69" s="1272">
        <f>IF(i_lenv_RDI_100=1,100%,IF(i_pemLen_RDI_eq_nivoCabo=1,Y80,CHOOSE(i_sc_RDI_num,100%,69.6%,69.6%,DK67,DP67)))</f>
        <v>1</v>
      </c>
      <c r="Z69" s="1155">
        <f t="shared" ref="Z69:Z74" si="92">IF(i_sc_RDI_num=3,i_SE_util*Y69,i_SE_util*Y69)</f>
        <v>0.1</v>
      </c>
      <c r="AA69" s="472">
        <f>AA25</f>
        <v>4.2857142857142856</v>
      </c>
      <c r="AB69" s="136">
        <v>1</v>
      </c>
      <c r="AC69" s="136">
        <v>1</v>
      </c>
      <c r="AD69" s="886">
        <v>2</v>
      </c>
      <c r="AE69" s="342" t="s">
        <v>272</v>
      </c>
      <c r="AF69" s="399" t="s">
        <v>272</v>
      </c>
      <c r="AG69" s="342">
        <f>IF(i_lenv_sc_2pills=1,0,K69*1)</f>
        <v>1437</v>
      </c>
      <c r="AH69" s="1356">
        <f>IF(i_lenv_sc_2pills=1,0,S69*1)</f>
        <v>1437</v>
      </c>
      <c r="AI69" s="1362">
        <f>((AH69/30)*7)*Y69</f>
        <v>335.3</v>
      </c>
      <c r="AJ69" s="1355">
        <f>CHOOSE(i_drug_price_options,(AG69/$M$69)*7,(AH69/$M$69)*7)</f>
        <v>335.3</v>
      </c>
      <c r="AK69" s="1250">
        <f>IF(dd_lenv_dose_source = "NHSE",25%,25%)</f>
        <v>0.25</v>
      </c>
      <c r="AZ69" s="991"/>
      <c r="BA69" s="219"/>
      <c r="BB69" s="219"/>
      <c r="BC69" s="219"/>
      <c r="BD69" s="219"/>
      <c r="BE69" s="219"/>
      <c r="BF69" s="219"/>
      <c r="BG69" s="936"/>
      <c r="BH69" s="219"/>
      <c r="BI69" s="219"/>
      <c r="BJ69" s="219"/>
      <c r="BK69" s="219"/>
      <c r="BL69" s="219"/>
      <c r="BM69" s="219"/>
      <c r="BN69" s="219"/>
      <c r="BO69" s="219"/>
      <c r="BP69" s="997"/>
      <c r="BQ69" s="997"/>
      <c r="BR69" s="816"/>
      <c r="BS69" s="816"/>
      <c r="BT69" s="816"/>
      <c r="BU69" s="816"/>
      <c r="BV69" s="816"/>
      <c r="BW69" s="816"/>
      <c r="BX69" s="816"/>
      <c r="BY69" s="816"/>
      <c r="BZ69" s="816"/>
      <c r="CA69" s="816"/>
      <c r="CB69" s="816"/>
      <c r="CC69" s="816"/>
      <c r="CD69" s="816"/>
      <c r="CE69" s="816"/>
      <c r="CP69" s="825"/>
      <c r="CQ69" s="816"/>
      <c r="CR69" s="816"/>
      <c r="CS69" s="816"/>
      <c r="DJ69" s="1112"/>
      <c r="EC69" s="219">
        <v>11</v>
      </c>
      <c r="ED69" s="797" t="str" cm="1">
        <f t="array" ref="ED69">INDEX(List_comparators,EC69+1)</f>
        <v>axitinib</v>
      </c>
      <c r="EE69" s="219">
        <v>4</v>
      </c>
      <c r="EF69" s="964">
        <v>0.99</v>
      </c>
      <c r="EG69" s="964"/>
      <c r="EH69" s="1322">
        <v>0.93799999999999994</v>
      </c>
      <c r="EI69" s="219"/>
    </row>
    <row r="70" spans="2:139" ht="15.75" x14ac:dyDescent="0.25">
      <c r="D70" s="1555" t="s">
        <v>301</v>
      </c>
      <c r="E70" s="1555"/>
      <c r="F70" s="1555"/>
      <c r="G70" s="1555"/>
      <c r="H70" s="1557"/>
      <c r="I70" s="358"/>
      <c r="J70" s="160" t="s">
        <v>267</v>
      </c>
      <c r="K70" s="1498">
        <f>K69</f>
        <v>1437</v>
      </c>
      <c r="L70" s="1499"/>
      <c r="M70" s="474">
        <v>30</v>
      </c>
      <c r="N70" s="124" t="s">
        <v>299</v>
      </c>
      <c r="O70" s="125">
        <v>4</v>
      </c>
      <c r="P70" s="126" t="s">
        <v>281</v>
      </c>
      <c r="Q70" s="473"/>
      <c r="R70" s="380"/>
      <c r="S70" s="1320">
        <f>S69</f>
        <v>1437</v>
      </c>
      <c r="T70" s="136" t="str">
        <f t="shared" ref="T70" si="93">T26</f>
        <v>once daily</v>
      </c>
      <c r="U70" s="136" t="s">
        <v>283</v>
      </c>
      <c r="V70" s="136">
        <v>14</v>
      </c>
      <c r="W70" s="137"/>
      <c r="X70" s="974"/>
      <c r="Y70" s="1272">
        <f>Y69</f>
        <v>1</v>
      </c>
      <c r="Z70" s="1155">
        <f t="shared" si="92"/>
        <v>0.1</v>
      </c>
      <c r="AA70" s="472">
        <f>AA69</f>
        <v>4.2857142857142856</v>
      </c>
      <c r="AB70" s="136">
        <v>1</v>
      </c>
      <c r="AC70" s="136">
        <v>3</v>
      </c>
      <c r="AD70" s="136">
        <v>4</v>
      </c>
      <c r="AE70" s="342" t="s">
        <v>272</v>
      </c>
      <c r="AF70" s="399" t="s">
        <v>272</v>
      </c>
      <c r="AG70" s="342">
        <f>IF(i_lenv_sc_2pills=1,0,K70*2)</f>
        <v>2874</v>
      </c>
      <c r="AH70" s="1356">
        <f>IF(i_lenv_sc_2pills=1,0,S70*2)</f>
        <v>2874</v>
      </c>
      <c r="AI70" s="1362">
        <f t="shared" ref="AI70:AI72" si="94">((AH70/30)*7)*Y70</f>
        <v>670.6</v>
      </c>
      <c r="AJ70" s="1355">
        <f>CHOOSE(i_drug_price_options,(AG70/$M$69)*7,(AH70/$M$69)*7)</f>
        <v>670.6</v>
      </c>
      <c r="AK70" s="1250">
        <f>IF(dd_lenv_dose_source = "NHSE",40%,57%)</f>
        <v>0.56999999999999995</v>
      </c>
      <c r="AZ70" s="991"/>
      <c r="BA70" s="219"/>
      <c r="BB70" s="219"/>
      <c r="BC70" s="219"/>
      <c r="BD70" s="219"/>
      <c r="BE70" s="219"/>
      <c r="BF70" s="219"/>
      <c r="BG70" s="936"/>
      <c r="BH70" s="219"/>
      <c r="BI70" s="219"/>
      <c r="BJ70" s="219"/>
      <c r="BK70" s="219"/>
      <c r="BL70" s="219"/>
      <c r="BM70" s="219"/>
      <c r="BN70" s="219"/>
      <c r="BO70" s="219"/>
      <c r="BP70" s="997"/>
      <c r="BQ70" s="997"/>
      <c r="BR70" s="816"/>
      <c r="BS70" s="816"/>
      <c r="BT70" s="816"/>
      <c r="BU70" s="816"/>
      <c r="BV70" s="816"/>
      <c r="BW70" s="816"/>
      <c r="BX70" s="816"/>
      <c r="BY70" s="816"/>
      <c r="BZ70" s="816"/>
      <c r="CA70" s="816"/>
      <c r="CB70" s="816"/>
      <c r="CC70" s="816"/>
      <c r="CD70" s="816"/>
      <c r="CE70" s="816"/>
      <c r="CP70" s="825"/>
      <c r="CQ70" s="816"/>
      <c r="CR70" s="816"/>
      <c r="CS70" s="816"/>
      <c r="DJ70" s="1112"/>
      <c r="EC70" s="219"/>
      <c r="ED70" s="797"/>
      <c r="EE70" s="219"/>
      <c r="EF70" s="964"/>
      <c r="EG70" s="964"/>
      <c r="EH70" s="1068"/>
      <c r="EI70" s="219"/>
    </row>
    <row r="71" spans="2:139" ht="15.75" x14ac:dyDescent="0.25">
      <c r="D71" s="1555" t="s">
        <v>301</v>
      </c>
      <c r="E71" s="1555"/>
      <c r="F71" s="1555"/>
      <c r="G71" s="1555"/>
      <c r="H71" s="1557"/>
      <c r="I71" s="358"/>
      <c r="J71" s="160" t="s">
        <v>267</v>
      </c>
      <c r="K71" s="1498">
        <f>K70</f>
        <v>1437</v>
      </c>
      <c r="L71" s="1499"/>
      <c r="M71" s="474">
        <v>30</v>
      </c>
      <c r="N71" s="124" t="s">
        <v>299</v>
      </c>
      <c r="O71" s="125">
        <v>4</v>
      </c>
      <c r="P71" s="126" t="s">
        <v>281</v>
      </c>
      <c r="Q71" s="473"/>
      <c r="R71" s="380"/>
      <c r="S71" s="1320">
        <f>S69</f>
        <v>1437</v>
      </c>
      <c r="T71" s="136" t="str">
        <f>T70</f>
        <v>once daily</v>
      </c>
      <c r="U71" s="136" t="s">
        <v>283</v>
      </c>
      <c r="V71" s="136">
        <v>18</v>
      </c>
      <c r="W71" s="137"/>
      <c r="X71" s="974"/>
      <c r="Y71" s="1272">
        <f>Y70</f>
        <v>1</v>
      </c>
      <c r="Z71" s="1155">
        <f t="shared" si="92"/>
        <v>0.1</v>
      </c>
      <c r="AA71" s="472">
        <f t="shared" ref="AA71:AA73" si="95">AA70</f>
        <v>4.2857142857142856</v>
      </c>
      <c r="AB71" s="136">
        <v>1</v>
      </c>
      <c r="AC71" s="136">
        <v>5</v>
      </c>
      <c r="AD71" s="136">
        <v>6</v>
      </c>
      <c r="AE71" s="342" t="s">
        <v>272</v>
      </c>
      <c r="AF71" s="399" t="s">
        <v>272</v>
      </c>
      <c r="AG71" s="342">
        <f>IF(i_lenv_sc_2pills=1,0,K71*3)</f>
        <v>4311</v>
      </c>
      <c r="AH71" s="1356">
        <f>IF(i_lenv_sc_2pills=1,0,S71*3)</f>
        <v>4311</v>
      </c>
      <c r="AI71" s="1362">
        <f t="shared" si="94"/>
        <v>1005.8999999999999</v>
      </c>
      <c r="AJ71" s="1355">
        <f>CHOOSE(i_drug_price_options,(AG71/$M$69)*7,(AH71/$M$69)*7)</f>
        <v>1005.8999999999999</v>
      </c>
      <c r="AK71" s="1250">
        <f>IF(dd_lenv_dose_source = "NHSE",20%,0%)</f>
        <v>0</v>
      </c>
      <c r="AZ71" s="991"/>
      <c r="BA71" s="219"/>
      <c r="BB71" s="219"/>
      <c r="BC71" s="219"/>
      <c r="BD71" s="219"/>
      <c r="BE71" s="219"/>
      <c r="BF71" s="219"/>
      <c r="BG71" s="936"/>
      <c r="BH71" s="219"/>
      <c r="BI71" s="219"/>
      <c r="BJ71" s="219"/>
      <c r="BK71" s="219"/>
      <c r="BL71" s="219"/>
      <c r="BM71" s="219"/>
      <c r="BN71" s="219"/>
      <c r="BO71" s="219"/>
      <c r="BP71" s="997"/>
      <c r="BQ71" s="997"/>
      <c r="BR71" s="816"/>
      <c r="BS71" s="816"/>
      <c r="BT71" s="816"/>
      <c r="BU71" s="816"/>
      <c r="BV71" s="816"/>
      <c r="BW71" s="816"/>
      <c r="BX71" s="816"/>
      <c r="BY71" s="816"/>
      <c r="BZ71" s="816"/>
      <c r="CA71" s="816"/>
      <c r="CB71" s="816"/>
      <c r="CC71" s="816"/>
      <c r="CD71" s="816"/>
      <c r="CE71" s="816"/>
      <c r="CP71" s="825"/>
      <c r="CQ71" s="816"/>
      <c r="CR71" s="816"/>
      <c r="CS71" s="816"/>
      <c r="DJ71" s="1110"/>
      <c r="EC71" s="219"/>
      <c r="ED71" s="797"/>
      <c r="EE71" s="219"/>
      <c r="EF71" s="964"/>
      <c r="EG71" s="964"/>
      <c r="EH71" s="1068"/>
      <c r="EI71" s="219"/>
    </row>
    <row r="72" spans="2:139" ht="15.75" x14ac:dyDescent="0.25">
      <c r="D72" s="1555" t="s">
        <v>301</v>
      </c>
      <c r="E72" s="1555"/>
      <c r="F72" s="1555"/>
      <c r="G72" s="1555"/>
      <c r="H72" s="1557"/>
      <c r="I72" s="358"/>
      <c r="J72" s="160" t="s">
        <v>267</v>
      </c>
      <c r="K72" s="1498">
        <f>K71</f>
        <v>1437</v>
      </c>
      <c r="L72" s="1499"/>
      <c r="M72" s="474">
        <v>30</v>
      </c>
      <c r="N72" s="124" t="s">
        <v>299</v>
      </c>
      <c r="O72" s="125">
        <v>10</v>
      </c>
      <c r="P72" s="126" t="s">
        <v>281</v>
      </c>
      <c r="Q72" s="473"/>
      <c r="R72" s="380"/>
      <c r="S72" s="1320">
        <f>S69</f>
        <v>1437</v>
      </c>
      <c r="T72" s="136" t="str">
        <f>T71</f>
        <v>once daily</v>
      </c>
      <c r="U72" s="136" t="s">
        <v>283</v>
      </c>
      <c r="V72" s="136">
        <v>20</v>
      </c>
      <c r="W72" s="137"/>
      <c r="X72" s="974"/>
      <c r="Y72" s="1272">
        <f>Y71</f>
        <v>1</v>
      </c>
      <c r="Z72" s="1155">
        <f t="shared" si="92"/>
        <v>0.1</v>
      </c>
      <c r="AA72" s="472">
        <f t="shared" si="95"/>
        <v>4.2857142857142856</v>
      </c>
      <c r="AB72" s="136">
        <v>1</v>
      </c>
      <c r="AC72" s="136">
        <v>7</v>
      </c>
      <c r="AD72" s="136">
        <v>8</v>
      </c>
      <c r="AE72" s="342" t="s">
        <v>272</v>
      </c>
      <c r="AF72" s="399" t="s">
        <v>272</v>
      </c>
      <c r="AG72" s="342">
        <f>IF(i_lenv_sc_2pills=1,0,K72*4)</f>
        <v>5748</v>
      </c>
      <c r="AH72" s="1356">
        <f>IF(i_lenv_sc_2pills=1,0,S72*4)</f>
        <v>5748</v>
      </c>
      <c r="AI72" s="1362">
        <f t="shared" si="94"/>
        <v>1341.2</v>
      </c>
      <c r="AJ72" s="1355">
        <f>CHOOSE(i_drug_price_options,(AG72/$M$69)*7,(AH72/$M$69)*7)</f>
        <v>1341.2</v>
      </c>
      <c r="AK72" s="1250">
        <f>IF(dd_lenv_dose_source = "NHSE",15%,18%)</f>
        <v>0.18</v>
      </c>
      <c r="AZ72" s="991"/>
      <c r="BA72" s="219"/>
      <c r="BB72" s="219"/>
      <c r="BC72" s="219"/>
      <c r="BD72" s="219"/>
      <c r="BE72" s="219"/>
      <c r="BF72" s="219"/>
      <c r="BG72" s="936"/>
      <c r="BH72" s="219"/>
      <c r="BI72" s="219"/>
      <c r="BJ72" s="219"/>
      <c r="BK72" s="219"/>
      <c r="BL72" s="219"/>
      <c r="BM72" s="219"/>
      <c r="BN72" s="219"/>
      <c r="BO72" s="219"/>
      <c r="BP72" s="997"/>
      <c r="BQ72" s="997"/>
      <c r="BR72" s="816"/>
      <c r="BS72" s="816"/>
      <c r="BT72" s="816"/>
      <c r="BU72" s="816"/>
      <c r="BV72" s="816"/>
      <c r="BW72" s="816"/>
      <c r="BX72" s="816"/>
      <c r="BY72" s="816"/>
      <c r="BZ72" s="816"/>
      <c r="CA72" s="816"/>
      <c r="CB72" s="816"/>
      <c r="CC72" s="816"/>
      <c r="CD72" s="816"/>
      <c r="CE72" s="816"/>
      <c r="CP72" s="825"/>
      <c r="CQ72" s="816"/>
      <c r="CR72" s="816"/>
      <c r="CS72" s="816"/>
      <c r="DJ72" s="1110"/>
      <c r="EC72" s="219"/>
      <c r="ED72" s="797"/>
      <c r="EE72" s="219"/>
      <c r="EF72" s="964"/>
      <c r="EG72" s="964"/>
      <c r="EH72" s="1068"/>
      <c r="EI72" s="219"/>
    </row>
    <row r="73" spans="2:139" ht="15.75" x14ac:dyDescent="0.25">
      <c r="D73" s="1555" t="s">
        <v>301</v>
      </c>
      <c r="E73" s="1555"/>
      <c r="F73" s="1555"/>
      <c r="G73" s="1555"/>
      <c r="H73" s="1557"/>
      <c r="I73" s="358"/>
      <c r="J73" s="160" t="s">
        <v>267</v>
      </c>
      <c r="K73" s="1498">
        <f>K72</f>
        <v>1437</v>
      </c>
      <c r="L73" s="1499"/>
      <c r="M73" s="474">
        <v>30</v>
      </c>
      <c r="N73" s="124" t="s">
        <v>299</v>
      </c>
      <c r="O73" s="125">
        <v>10</v>
      </c>
      <c r="P73" s="126" t="s">
        <v>281</v>
      </c>
      <c r="Q73" s="473"/>
      <c r="R73" s="380"/>
      <c r="S73" s="1320">
        <f>S69</f>
        <v>1437</v>
      </c>
      <c r="T73" s="136" t="str">
        <f>T72</f>
        <v>once daily</v>
      </c>
      <c r="U73" s="136" t="s">
        <v>283</v>
      </c>
      <c r="V73" s="136">
        <v>14</v>
      </c>
      <c r="W73" s="137"/>
      <c r="X73" s="974"/>
      <c r="Y73" s="1272">
        <f>Y72</f>
        <v>1</v>
      </c>
      <c r="Z73" s="1155">
        <f t="shared" si="92"/>
        <v>0.1</v>
      </c>
      <c r="AA73" s="472">
        <f t="shared" si="95"/>
        <v>4.2857142857142856</v>
      </c>
      <c r="AB73" s="136">
        <v>1</v>
      </c>
      <c r="AC73" s="136">
        <v>8</v>
      </c>
      <c r="AD73" s="136">
        <v>2089</v>
      </c>
      <c r="AE73" s="342" t="s">
        <v>272</v>
      </c>
      <c r="AF73" s="399" t="s">
        <v>272</v>
      </c>
      <c r="AG73" s="1253">
        <f>IF(i_lenv_sc_2pills=1,K73*2,0.429*K70+1.196*K73)</f>
        <v>2335.125</v>
      </c>
      <c r="AH73" s="1356">
        <f>IF(i_lenv_sc_2pills=1,S73*2,0.429*S70+1.196*S73)</f>
        <v>2335.125</v>
      </c>
      <c r="AI73" s="1362">
        <f>((AH73/30)*7)*Y73</f>
        <v>544.86250000000007</v>
      </c>
      <c r="AJ73" s="1355">
        <f>CHOOSE(i_drug_price_options,(AG73/$M$69)*7,(AH73/$M$69)*7)</f>
        <v>544.86250000000007</v>
      </c>
      <c r="AK73" s="1250">
        <v>1</v>
      </c>
      <c r="AZ73" s="991"/>
      <c r="BA73" s="219"/>
      <c r="BB73" s="219"/>
      <c r="BC73" s="219"/>
      <c r="BD73" s="219"/>
      <c r="BE73" s="219"/>
      <c r="BF73" s="219"/>
      <c r="BG73" s="936"/>
      <c r="BH73" s="219"/>
      <c r="BI73" s="219"/>
      <c r="BJ73" s="219"/>
      <c r="BK73" s="219"/>
      <c r="BL73" s="219"/>
      <c r="BM73" s="219"/>
      <c r="BN73" s="219"/>
      <c r="BO73" s="219"/>
      <c r="BP73" s="997"/>
      <c r="BQ73" s="997"/>
      <c r="BR73" s="816"/>
      <c r="BS73" s="816"/>
      <c r="BT73" s="816"/>
      <c r="BU73" s="816"/>
      <c r="BV73" s="816"/>
      <c r="BW73" s="816"/>
      <c r="BX73" s="816"/>
      <c r="BY73" s="816"/>
      <c r="BZ73" s="816"/>
      <c r="CA73" s="816"/>
      <c r="CB73" s="816"/>
      <c r="CC73" s="816"/>
      <c r="CD73" s="816"/>
      <c r="CE73" s="816"/>
      <c r="CP73" s="825"/>
      <c r="CQ73" s="816"/>
      <c r="CR73" s="816"/>
      <c r="CS73" s="816"/>
      <c r="DJ73" s="1112">
        <v>0.69599999999999995</v>
      </c>
      <c r="DK73" s="1112">
        <f>DK67</f>
        <v>0.70499999999999996</v>
      </c>
      <c r="DL73" s="1112">
        <v>0.70499999999999996</v>
      </c>
      <c r="DM73" s="1112">
        <v>0.70499999999999996</v>
      </c>
      <c r="DN73" s="1112">
        <v>0.70499999999999996</v>
      </c>
      <c r="DO73" s="1112">
        <v>0.70499999999999996</v>
      </c>
      <c r="DP73" s="1112">
        <f>DK73</f>
        <v>0.70499999999999996</v>
      </c>
      <c r="DQ73" s="1112"/>
      <c r="EC73" s="797"/>
      <c r="ED73" s="797"/>
      <c r="EE73" s="219"/>
      <c r="EF73" s="964"/>
      <c r="EG73" s="964"/>
      <c r="EH73" s="797"/>
      <c r="EI73" s="219"/>
    </row>
    <row r="74" spans="2:139" ht="15.75" x14ac:dyDescent="0.25">
      <c r="D74" s="1555" t="s">
        <v>294</v>
      </c>
      <c r="E74" s="1555"/>
      <c r="F74" s="1555"/>
      <c r="G74" s="1555"/>
      <c r="H74" s="1557"/>
      <c r="I74" s="358"/>
      <c r="J74" s="160" t="s">
        <v>267</v>
      </c>
      <c r="K74" s="1498">
        <f>K23</f>
        <v>2630</v>
      </c>
      <c r="L74" s="1675"/>
      <c r="M74" s="323">
        <v>4</v>
      </c>
      <c r="N74" s="309" t="s">
        <v>268</v>
      </c>
      <c r="O74" s="310">
        <v>25</v>
      </c>
      <c r="P74" s="115" t="s">
        <v>269</v>
      </c>
      <c r="Q74" s="135"/>
      <c r="R74" s="380"/>
      <c r="S74" s="1320">
        <f>S23</f>
        <v>2630</v>
      </c>
      <c r="T74" s="136" t="str">
        <f>T23</f>
        <v>q6w</v>
      </c>
      <c r="U74" s="136" t="s">
        <v>271</v>
      </c>
      <c r="V74" s="136">
        <v>400</v>
      </c>
      <c r="W74" s="137"/>
      <c r="X74" s="974"/>
      <c r="Y74" s="1272">
        <f>IF(i_pemLen_RDI_eq_nivoCabo=1,Y79,CHOOSE(i_sc_RDI_num,100%,98.8%,98.8%,DK68,DP68))</f>
        <v>0.98799999999999999</v>
      </c>
      <c r="Z74" s="1156">
        <f t="shared" si="92"/>
        <v>9.8799999999999999E-2</v>
      </c>
      <c r="AA74" s="332">
        <f>AA23</f>
        <v>6</v>
      </c>
      <c r="AB74" s="136">
        <v>1</v>
      </c>
      <c r="AC74" s="136">
        <f>AC23</f>
        <v>1</v>
      </c>
      <c r="AD74" s="895">
        <f>'Time on treatment'!K18</f>
        <v>105</v>
      </c>
      <c r="AE74" s="292">
        <f>K74/(M74*O74)</f>
        <v>26.3</v>
      </c>
      <c r="AF74" s="398">
        <f>S74/(M74*O74)</f>
        <v>26.3</v>
      </c>
      <c r="AG74" s="371">
        <f>AE74*V74</f>
        <v>10520</v>
      </c>
      <c r="AH74" s="1356">
        <f>AF74*V74</f>
        <v>10520</v>
      </c>
      <c r="AI74" s="1362">
        <f>(AH74/6)*Y74</f>
        <v>1732.2933333333333</v>
      </c>
      <c r="AJ74" s="1355">
        <f>CHOOSE(i_drug_price_options,(AG74/$AA$74),(AH74/$AA$74))</f>
        <v>1753.3333333333333</v>
      </c>
      <c r="AK74" s="1248"/>
      <c r="AZ74" s="991"/>
      <c r="BA74" s="219"/>
      <c r="BB74" s="219"/>
      <c r="BC74" s="219"/>
      <c r="BD74" s="219"/>
      <c r="BE74" s="219"/>
      <c r="BF74" s="219"/>
      <c r="BG74" s="936"/>
      <c r="BH74" s="219"/>
      <c r="BI74" s="219"/>
      <c r="BJ74" s="219"/>
      <c r="BK74" s="219"/>
      <c r="BL74" s="219"/>
      <c r="BM74" s="219"/>
      <c r="BN74" s="219"/>
      <c r="BO74" s="219"/>
      <c r="BP74" s="997"/>
      <c r="BQ74" s="997"/>
      <c r="BR74" s="816"/>
      <c r="BS74" s="816"/>
      <c r="BT74" s="816"/>
      <c r="BU74" s="816"/>
      <c r="BV74" s="816"/>
      <c r="BW74" s="816"/>
      <c r="BX74" s="816"/>
      <c r="BY74" s="816"/>
      <c r="BZ74" s="816"/>
      <c r="CA74" s="816"/>
      <c r="CB74" s="816"/>
      <c r="CC74" s="816"/>
      <c r="CD74" s="816"/>
      <c r="CE74" s="816"/>
      <c r="CP74" s="825"/>
      <c r="CQ74" s="816"/>
      <c r="CR74" s="816"/>
      <c r="CS74" s="816"/>
      <c r="DJ74" s="1111">
        <v>0.629</v>
      </c>
      <c r="DK74" s="1112">
        <f>DK68</f>
        <v>0.59099999999999997</v>
      </c>
      <c r="DL74" s="1112">
        <v>0.59099999999999997</v>
      </c>
      <c r="DM74" s="1112">
        <v>0.59099999999999997</v>
      </c>
      <c r="DN74" s="1112">
        <v>0.59099999999999997</v>
      </c>
      <c r="DO74" s="1112">
        <v>0.59099999999999997</v>
      </c>
      <c r="DP74" s="1112">
        <f>DK74</f>
        <v>0.59099999999999997</v>
      </c>
      <c r="DQ74" s="1112"/>
      <c r="EC74" s="219"/>
      <c r="ED74" s="797"/>
      <c r="EE74" s="219"/>
      <c r="EF74" s="964"/>
      <c r="EG74" s="964"/>
      <c r="EH74" s="797"/>
      <c r="EI74" s="219"/>
    </row>
    <row r="75" spans="2:139" ht="15.75" x14ac:dyDescent="0.25">
      <c r="D75" s="1563" t="s">
        <v>302</v>
      </c>
      <c r="E75" s="1564"/>
      <c r="F75" s="1564"/>
      <c r="G75" s="1564"/>
      <c r="H75" s="1572"/>
      <c r="I75" s="358"/>
      <c r="J75" s="160" t="s">
        <v>287</v>
      </c>
      <c r="K75" s="361"/>
      <c r="L75" s="362"/>
      <c r="M75" s="321"/>
      <c r="N75" s="132"/>
      <c r="O75" s="133"/>
      <c r="P75" s="134"/>
      <c r="Q75" s="135"/>
      <c r="R75" s="862"/>
      <c r="S75" s="387"/>
      <c r="T75" s="136"/>
      <c r="U75" s="136"/>
      <c r="V75" s="136"/>
      <c r="W75" s="367">
        <f>W27</f>
        <v>197.25</v>
      </c>
      <c r="X75" s="342">
        <f>i_SE_costs*W75</f>
        <v>39.450000000000003</v>
      </c>
      <c r="Y75" s="458"/>
      <c r="Z75" s="454"/>
      <c r="AA75" s="332"/>
      <c r="AB75" s="136"/>
      <c r="AC75" s="136"/>
      <c r="AD75" s="890"/>
      <c r="AE75" s="138"/>
      <c r="AF75" s="399"/>
      <c r="AG75" s="138"/>
      <c r="AH75" s="1077"/>
      <c r="AI75" s="1090"/>
      <c r="AJ75" s="1138"/>
      <c r="AK75" s="1248"/>
      <c r="AO75" s="107" t="s">
        <v>343</v>
      </c>
      <c r="AZ75" s="991"/>
      <c r="BA75" s="219"/>
      <c r="BB75" s="219"/>
      <c r="BC75" s="219"/>
      <c r="BD75" s="219"/>
      <c r="BE75" s="219"/>
      <c r="BF75" s="219"/>
      <c r="BG75" s="936"/>
      <c r="BH75" s="219"/>
      <c r="BI75" s="219"/>
      <c r="BJ75" s="219"/>
      <c r="BK75" s="219"/>
      <c r="BL75" s="219"/>
      <c r="BM75" s="219"/>
      <c r="BN75" s="219"/>
      <c r="BO75" s="219"/>
      <c r="BP75" s="997"/>
      <c r="BQ75" s="997"/>
      <c r="BR75" s="816"/>
      <c r="BS75" s="816"/>
      <c r="BT75" s="816"/>
      <c r="BU75" s="816"/>
      <c r="BV75" s="816"/>
      <c r="BW75" s="816"/>
      <c r="BX75" s="816"/>
      <c r="BY75" s="816"/>
      <c r="BZ75" s="816"/>
      <c r="CA75" s="816"/>
      <c r="CB75" s="816"/>
      <c r="CC75" s="816"/>
      <c r="CD75" s="816"/>
      <c r="CE75" s="816"/>
      <c r="CP75" s="825"/>
      <c r="CQ75" s="816"/>
      <c r="CR75" s="816"/>
      <c r="CS75" s="816"/>
      <c r="DJ75" s="1112"/>
    </row>
    <row r="76" spans="2:139" ht="15.75" x14ac:dyDescent="0.25">
      <c r="B76" s="785" t="e">
        <f>CHOOSE($Z$5,1,1,1,1)</f>
        <v>#VALUE!</v>
      </c>
      <c r="D76" s="1563" t="s">
        <v>303</v>
      </c>
      <c r="E76" s="1564"/>
      <c r="F76" s="1564"/>
      <c r="G76" s="1564"/>
      <c r="H76" s="1572"/>
      <c r="I76" s="358"/>
      <c r="J76" s="160" t="s">
        <v>267</v>
      </c>
      <c r="K76" s="361"/>
      <c r="L76" s="362"/>
      <c r="M76" s="321"/>
      <c r="N76" s="132"/>
      <c r="O76" s="133"/>
      <c r="P76" s="134"/>
      <c r="Q76" s="135"/>
      <c r="R76" s="862"/>
      <c r="S76" s="387"/>
      <c r="T76" s="136"/>
      <c r="U76" s="136"/>
      <c r="V76" s="136"/>
      <c r="W76" s="367">
        <f>W28</f>
        <v>11</v>
      </c>
      <c r="X76" s="460">
        <f>i_SE_costs*W76</f>
        <v>2.2000000000000002</v>
      </c>
      <c r="Y76" s="1272">
        <f>Y69</f>
        <v>1</v>
      </c>
      <c r="Z76" s="1155">
        <f>Z69</f>
        <v>0.1</v>
      </c>
      <c r="AA76" s="332"/>
      <c r="AB76" s="136"/>
      <c r="AC76" s="136"/>
      <c r="AD76" s="890"/>
      <c r="AE76" s="138"/>
      <c r="AF76" s="399"/>
      <c r="AG76" s="138"/>
      <c r="AH76" s="1077"/>
      <c r="AI76" s="1090"/>
      <c r="AJ76" s="1138"/>
      <c r="AK76" s="1248"/>
      <c r="AZ76" s="991"/>
      <c r="BA76" s="219"/>
      <c r="BB76" s="219"/>
      <c r="BC76" s="219"/>
      <c r="BD76" s="219"/>
      <c r="BE76" s="219"/>
      <c r="BF76" s="219"/>
      <c r="BG76" s="936"/>
      <c r="BH76" s="219"/>
      <c r="BI76" s="219"/>
      <c r="BJ76" s="219"/>
      <c r="BK76" s="219"/>
      <c r="BL76" s="219"/>
      <c r="BM76" s="219"/>
      <c r="BN76" s="219"/>
      <c r="BO76" s="219"/>
      <c r="BP76" s="997"/>
      <c r="BQ76" s="997"/>
      <c r="BR76" s="816"/>
      <c r="BS76" s="816"/>
      <c r="BT76" s="816"/>
      <c r="BU76" s="816"/>
      <c r="BV76" s="816"/>
      <c r="BW76" s="816"/>
      <c r="BX76" s="816"/>
      <c r="BY76" s="816"/>
      <c r="BZ76" s="816"/>
      <c r="CA76" s="816"/>
      <c r="CB76" s="816"/>
      <c r="CC76" s="816"/>
      <c r="CD76" s="816"/>
      <c r="CE76" s="816"/>
      <c r="CP76" s="825"/>
      <c r="CQ76" s="816"/>
      <c r="CR76" s="816"/>
      <c r="CS76" s="816"/>
      <c r="DJ76" s="1405">
        <v>1</v>
      </c>
      <c r="DK76" s="1446">
        <v>1</v>
      </c>
      <c r="DL76" s="1446">
        <v>1</v>
      </c>
      <c r="DM76" s="1446">
        <v>1</v>
      </c>
      <c r="DN76" s="1446">
        <v>1</v>
      </c>
      <c r="DO76" s="1446">
        <v>1</v>
      </c>
      <c r="DP76" s="1446">
        <f>DK76</f>
        <v>1</v>
      </c>
      <c r="DQ76" s="1112"/>
    </row>
    <row r="77" spans="2:139" ht="16.5" thickBot="1" x14ac:dyDescent="0.3">
      <c r="B77" s="785" t="e">
        <f>CHOOSE($Z$5,1,1,1,1)</f>
        <v>#VALUE!</v>
      </c>
      <c r="D77" s="1628" t="s">
        <v>297</v>
      </c>
      <c r="E77" s="1629"/>
      <c r="F77" s="1629"/>
      <c r="G77" s="1629"/>
      <c r="H77" s="1669"/>
      <c r="I77" s="360"/>
      <c r="J77" s="160" t="s">
        <v>267</v>
      </c>
      <c r="K77" s="368"/>
      <c r="L77" s="369"/>
      <c r="M77" s="322"/>
      <c r="N77" s="142"/>
      <c r="O77" s="143"/>
      <c r="P77" s="144"/>
      <c r="Q77" s="145"/>
      <c r="R77" s="860"/>
      <c r="S77" s="385"/>
      <c r="T77" s="146"/>
      <c r="U77" s="146"/>
      <c r="V77" s="146"/>
      <c r="W77" s="372">
        <f>W24</f>
        <v>207.59</v>
      </c>
      <c r="X77" s="982">
        <f>i_SE_costs*W77</f>
        <v>41.518000000000001</v>
      </c>
      <c r="Y77" s="1272">
        <f>Y74</f>
        <v>0.98799999999999999</v>
      </c>
      <c r="Z77" s="965">
        <f>Z74</f>
        <v>9.8799999999999999E-2</v>
      </c>
      <c r="AA77" s="336"/>
      <c r="AB77" s="146"/>
      <c r="AC77" s="146"/>
      <c r="AD77" s="892"/>
      <c r="AE77" s="148"/>
      <c r="AF77" s="400"/>
      <c r="AG77" s="148"/>
      <c r="AH77" s="1078"/>
      <c r="AI77" s="1090"/>
      <c r="AJ77" s="1138"/>
      <c r="AK77" s="1248"/>
      <c r="AZ77" s="991"/>
      <c r="BA77" s="219"/>
      <c r="BB77" s="219"/>
      <c r="BC77" s="219"/>
      <c r="BD77" s="219"/>
      <c r="BE77" s="219"/>
      <c r="BF77" s="219"/>
      <c r="BG77" s="936"/>
      <c r="BH77" s="219"/>
      <c r="BI77" s="219"/>
      <c r="BJ77" s="219"/>
      <c r="BK77" s="219"/>
      <c r="BL77" s="219"/>
      <c r="BM77" s="219"/>
      <c r="BN77" s="219"/>
      <c r="BO77" s="219"/>
      <c r="BP77" s="997"/>
      <c r="BQ77" s="997"/>
      <c r="BR77" s="816"/>
      <c r="BS77" s="816"/>
      <c r="BT77" s="816"/>
      <c r="BU77" s="816"/>
      <c r="BV77" s="816"/>
      <c r="BW77" s="816"/>
      <c r="BX77" s="816"/>
      <c r="BY77" s="816"/>
      <c r="BZ77" s="816"/>
      <c r="CA77" s="816"/>
      <c r="CB77" s="816"/>
      <c r="CC77" s="816"/>
      <c r="CD77" s="816"/>
      <c r="CE77" s="816"/>
      <c r="CP77" s="825"/>
      <c r="CQ77" s="816"/>
      <c r="CR77" s="816"/>
      <c r="CS77" s="816"/>
      <c r="DJ77" s="1405">
        <v>1</v>
      </c>
      <c r="DK77" s="1446">
        <v>1</v>
      </c>
      <c r="DL77" s="1446">
        <v>1</v>
      </c>
      <c r="DM77" s="1446">
        <v>1</v>
      </c>
      <c r="DN77" s="1446">
        <v>1</v>
      </c>
      <c r="DO77" s="1446">
        <v>1</v>
      </c>
      <c r="DP77" s="1446">
        <f t="shared" ref="DP77:DP78" si="96">DK77</f>
        <v>1</v>
      </c>
      <c r="DQ77" s="1112"/>
    </row>
    <row r="78" spans="2:139" ht="15.75" x14ac:dyDescent="0.25">
      <c r="D78" s="1546" t="str" cm="1">
        <f t="array" ref="D78">INDEX(List_comparators,I78+1)</f>
        <v>cabozantinib_plus_nivolumab</v>
      </c>
      <c r="E78" s="1546"/>
      <c r="F78" s="1546"/>
      <c r="G78" s="1546"/>
      <c r="H78" s="1547"/>
      <c r="I78" s="348">
        <v>1</v>
      </c>
      <c r="J78" s="197"/>
      <c r="K78" s="1606"/>
      <c r="L78" s="1608"/>
      <c r="M78" s="320"/>
      <c r="N78" s="349"/>
      <c r="O78" s="350"/>
      <c r="P78" s="351"/>
      <c r="Q78" s="352"/>
      <c r="R78" s="864"/>
      <c r="S78" s="388"/>
      <c r="T78" s="353"/>
      <c r="U78" s="353"/>
      <c r="V78" s="353"/>
      <c r="W78" s="354"/>
      <c r="X78" s="981"/>
      <c r="Y78" s="396"/>
      <c r="Z78" s="448"/>
      <c r="AA78" s="355"/>
      <c r="AB78" s="353"/>
      <c r="AC78" s="353"/>
      <c r="AD78" s="894"/>
      <c r="AE78" s="356"/>
      <c r="AF78" s="404"/>
      <c r="AG78" s="356"/>
      <c r="AH78" s="1084"/>
      <c r="AI78" s="1364"/>
      <c r="AJ78" s="1365"/>
      <c r="AK78" s="1248"/>
      <c r="AZ78" s="991"/>
      <c r="BA78" s="219"/>
      <c r="BB78" s="219"/>
      <c r="BC78" s="219"/>
      <c r="BD78" s="219"/>
      <c r="BE78" s="219"/>
      <c r="BF78" s="219"/>
      <c r="BG78" s="936"/>
      <c r="BH78" s="219"/>
      <c r="BI78" s="219"/>
      <c r="BJ78" s="219"/>
      <c r="BK78" s="219"/>
      <c r="BL78" s="219"/>
      <c r="BM78" s="219"/>
      <c r="BN78" s="219"/>
      <c r="BO78" s="219"/>
      <c r="BP78" s="997"/>
      <c r="BQ78" s="997"/>
      <c r="BR78" s="816"/>
      <c r="BS78" s="816"/>
      <c r="BT78" s="816"/>
      <c r="BU78" s="816"/>
      <c r="BV78" s="816"/>
      <c r="BW78" s="816"/>
      <c r="BX78" s="816"/>
      <c r="BY78" s="816"/>
      <c r="BZ78" s="816"/>
      <c r="CA78" s="816"/>
      <c r="CB78" s="816"/>
      <c r="CC78" s="816"/>
      <c r="CD78" s="816"/>
      <c r="CE78" s="816"/>
      <c r="CP78" s="825"/>
      <c r="CQ78" s="816"/>
      <c r="CR78" s="816"/>
      <c r="CS78" s="816"/>
      <c r="DJ78" s="1405">
        <v>1</v>
      </c>
      <c r="DK78" s="1446">
        <v>1</v>
      </c>
      <c r="DL78" s="1446">
        <v>1</v>
      </c>
      <c r="DM78" s="1446">
        <v>1</v>
      </c>
      <c r="DN78" s="1446">
        <v>1</v>
      </c>
      <c r="DO78" s="1446">
        <v>1</v>
      </c>
      <c r="DP78" s="1446">
        <f t="shared" si="96"/>
        <v>1</v>
      </c>
      <c r="DQ78" s="1112"/>
    </row>
    <row r="79" spans="2:139" ht="15.75" x14ac:dyDescent="0.25">
      <c r="D79" s="1555" t="s">
        <v>344</v>
      </c>
      <c r="E79" s="1555"/>
      <c r="F79" s="1555"/>
      <c r="G79" s="1555"/>
      <c r="H79" s="1556"/>
      <c r="I79" s="131"/>
      <c r="J79" s="160" t="s">
        <v>267</v>
      </c>
      <c r="K79" s="1579">
        <f>K14</f>
        <v>2633</v>
      </c>
      <c r="L79" s="1580"/>
      <c r="M79" s="321">
        <v>24</v>
      </c>
      <c r="N79" s="132" t="s">
        <v>268</v>
      </c>
      <c r="O79" s="133">
        <v>10</v>
      </c>
      <c r="P79" s="134" t="s">
        <v>269</v>
      </c>
      <c r="Q79" s="135"/>
      <c r="R79" s="380"/>
      <c r="S79" s="1320">
        <f>S14</f>
        <v>2633</v>
      </c>
      <c r="T79" s="136" t="str">
        <f>T14</f>
        <v>q4w</v>
      </c>
      <c r="U79" s="136" t="s">
        <v>271</v>
      </c>
      <c r="V79" s="136">
        <v>480</v>
      </c>
      <c r="W79" s="137"/>
      <c r="X79" s="974"/>
      <c r="Y79" s="1018">
        <f>CHOOSE(i_sc_RDI_num,100%,100%,100%,DK76,DP76)</f>
        <v>1</v>
      </c>
      <c r="Z79" s="1155">
        <f>IF(i_sc_RDI_num=3,i_SE_util*Y79,i_SE_util*Y79)</f>
        <v>0.1</v>
      </c>
      <c r="AA79" s="332">
        <f>AA14</f>
        <v>4</v>
      </c>
      <c r="AB79" s="136">
        <v>1</v>
      </c>
      <c r="AC79" s="136">
        <v>1</v>
      </c>
      <c r="AD79" s="896">
        <f>'Time on treatment'!K12</f>
        <v>104.35714285714286</v>
      </c>
      <c r="AE79" s="292">
        <f>K79/(M79*O79)</f>
        <v>10.970833333333333</v>
      </c>
      <c r="AF79" s="398">
        <f>S79/(M79*O79)</f>
        <v>10.970833333333333</v>
      </c>
      <c r="AG79" s="371">
        <f>AE79*V79</f>
        <v>5266</v>
      </c>
      <c r="AH79" s="1366">
        <f>AF79*V79</f>
        <v>5266</v>
      </c>
      <c r="AI79" s="1367">
        <f>(AH79/4)*Y79</f>
        <v>1316.5</v>
      </c>
      <c r="AJ79" s="1367">
        <f>CHOOSE(i_drug_price_options,(AG79/$AA$79),(AH79/$AA$79))</f>
        <v>1316.5</v>
      </c>
      <c r="AK79" s="1248"/>
      <c r="AZ79" s="991"/>
      <c r="BA79" s="219"/>
      <c r="BB79" s="219"/>
      <c r="BC79" s="219"/>
      <c r="BD79" s="219"/>
      <c r="BE79" s="219"/>
      <c r="BF79" s="219"/>
      <c r="BG79" s="936"/>
      <c r="BH79" s="219"/>
      <c r="BI79" s="219"/>
      <c r="BJ79" s="219"/>
      <c r="BK79" s="219"/>
      <c r="BL79" s="219"/>
      <c r="BM79" s="219"/>
      <c r="BN79" s="219"/>
      <c r="BO79" s="219"/>
      <c r="BP79" s="997"/>
      <c r="BQ79" s="997"/>
      <c r="BR79" s="816"/>
      <c r="BS79" s="816"/>
      <c r="BT79" s="816"/>
      <c r="BU79" s="816"/>
      <c r="BV79" s="816"/>
      <c r="BW79" s="816"/>
      <c r="BX79" s="816"/>
      <c r="BY79" s="816"/>
      <c r="BZ79" s="816"/>
      <c r="CA79" s="816"/>
      <c r="CB79" s="816"/>
      <c r="CC79" s="816"/>
      <c r="CD79" s="816"/>
      <c r="CE79" s="816"/>
      <c r="CP79" s="825"/>
      <c r="CQ79" s="816"/>
      <c r="CR79" s="816"/>
      <c r="CS79" s="816"/>
      <c r="DJ79" s="1110"/>
    </row>
    <row r="80" spans="2:139" ht="15.75" x14ac:dyDescent="0.25">
      <c r="D80" s="1555" t="s">
        <v>118</v>
      </c>
      <c r="E80" s="1555"/>
      <c r="F80" s="1555"/>
      <c r="G80" s="1555"/>
      <c r="H80" s="1556"/>
      <c r="I80" s="131"/>
      <c r="J80" s="160" t="s">
        <v>267</v>
      </c>
      <c r="K80" s="1579">
        <f>K17</f>
        <v>5143</v>
      </c>
      <c r="L80" s="1580"/>
      <c r="M80" s="321">
        <v>30</v>
      </c>
      <c r="N80" s="290" t="s">
        <v>280</v>
      </c>
      <c r="O80" s="291">
        <v>40</v>
      </c>
      <c r="P80" s="126" t="s">
        <v>281</v>
      </c>
      <c r="Q80" s="135"/>
      <c r="R80" s="380"/>
      <c r="S80" s="1069">
        <f>S17</f>
        <v>5143</v>
      </c>
      <c r="T80" s="136" t="str">
        <f>T17</f>
        <v>once daily</v>
      </c>
      <c r="U80" s="136" t="s">
        <v>283</v>
      </c>
      <c r="V80" s="136">
        <v>40</v>
      </c>
      <c r="W80" s="137"/>
      <c r="X80" s="974"/>
      <c r="Y80" s="1449">
        <f>CHOOSE(i_sc_RDI_num,100%,100%,100%,DK77,DP77)</f>
        <v>1</v>
      </c>
      <c r="Z80" s="1155">
        <f>IF(i_sc_RDI_num=3,i_SE_util*Y80,i_SE_util*Y80)</f>
        <v>0.1</v>
      </c>
      <c r="AA80" s="472">
        <f>AA17</f>
        <v>4.2857142857142856</v>
      </c>
      <c r="AB80" s="136">
        <v>1</v>
      </c>
      <c r="AC80" s="136">
        <v>1</v>
      </c>
      <c r="AD80" s="886">
        <f>ROUNDUP(ui_time_horizon*365.25*i_days_to_weeks,0)+1</f>
        <v>2089</v>
      </c>
      <c r="AE80" s="292">
        <f>K80/O80</f>
        <v>128.57499999999999</v>
      </c>
      <c r="AF80" s="399">
        <f>S80/O80</f>
        <v>128.57499999999999</v>
      </c>
      <c r="AG80" s="292">
        <f>AE80*V80</f>
        <v>5143</v>
      </c>
      <c r="AH80" s="1368">
        <f>AF80*V80</f>
        <v>5143</v>
      </c>
      <c r="AI80" s="1369">
        <f>((AH80/30)*7)*Y80</f>
        <v>1200.0333333333333</v>
      </c>
      <c r="AJ80" s="1370">
        <f>CHOOSE(i_drug_price_options,((AG80/$M$80)*7),((AH80/$M$80)*7))</f>
        <v>1200.0333333333333</v>
      </c>
      <c r="AK80" s="1248"/>
      <c r="AZ80" s="991"/>
      <c r="BA80" s="219"/>
      <c r="BB80" s="219"/>
      <c r="BC80" s="219"/>
      <c r="BD80" s="219"/>
      <c r="BE80" s="219"/>
      <c r="BF80" s="219"/>
      <c r="BG80" s="936"/>
      <c r="BH80" s="219"/>
      <c r="BI80" s="219"/>
      <c r="BJ80" s="219"/>
      <c r="BK80" s="219"/>
      <c r="BL80" s="219"/>
      <c r="BM80" s="219"/>
      <c r="BN80" s="219"/>
      <c r="BO80" s="219"/>
      <c r="BP80" s="997"/>
      <c r="BQ80" s="997"/>
      <c r="BR80" s="816"/>
      <c r="BS80" s="816"/>
      <c r="BT80" s="816"/>
      <c r="BU80" s="816"/>
      <c r="BV80" s="816"/>
      <c r="BW80" s="816"/>
      <c r="BX80" s="816"/>
      <c r="BY80" s="816"/>
      <c r="BZ80" s="816"/>
      <c r="CA80" s="816"/>
      <c r="CB80" s="816"/>
      <c r="CC80" s="816"/>
      <c r="CD80" s="816"/>
      <c r="CE80" s="816"/>
      <c r="CP80" s="825"/>
      <c r="CQ80" s="816"/>
      <c r="CR80" s="816"/>
      <c r="CS80" s="816"/>
      <c r="DJ80" s="1406">
        <v>1</v>
      </c>
      <c r="DK80" s="1113">
        <f>DK77</f>
        <v>1</v>
      </c>
      <c r="DL80" s="1446">
        <v>1</v>
      </c>
      <c r="DM80" s="1446">
        <v>1</v>
      </c>
      <c r="DN80" s="1446">
        <v>1</v>
      </c>
      <c r="DO80" s="1446">
        <v>1</v>
      </c>
      <c r="DP80" s="1446">
        <f t="shared" ref="DP80" si="97">DK80</f>
        <v>1</v>
      </c>
      <c r="DQ80" s="1112"/>
    </row>
    <row r="81" spans="2:162" ht="15.75" x14ac:dyDescent="0.25">
      <c r="D81" s="1555" t="s">
        <v>278</v>
      </c>
      <c r="E81" s="1555"/>
      <c r="F81" s="1555"/>
      <c r="G81" s="1555"/>
      <c r="H81" s="1556"/>
      <c r="I81" s="131"/>
      <c r="J81" s="160" t="s">
        <v>267</v>
      </c>
      <c r="K81" s="361"/>
      <c r="L81" s="362"/>
      <c r="M81" s="321"/>
      <c r="N81" s="132"/>
      <c r="O81" s="133"/>
      <c r="P81" s="134"/>
      <c r="Q81" s="135"/>
      <c r="R81" s="862"/>
      <c r="S81" s="387"/>
      <c r="T81" s="136"/>
      <c r="U81" s="136"/>
      <c r="V81" s="136"/>
      <c r="W81" s="367">
        <f>W15</f>
        <v>207.59</v>
      </c>
      <c r="X81" s="342">
        <f>i_SE_costs*W81</f>
        <v>41.518000000000001</v>
      </c>
      <c r="Y81" s="1018">
        <f>Y79</f>
        <v>1</v>
      </c>
      <c r="Z81" s="478">
        <f>Z79</f>
        <v>0.1</v>
      </c>
      <c r="AA81" s="332"/>
      <c r="AB81" s="136"/>
      <c r="AC81" s="136"/>
      <c r="AD81" s="890"/>
      <c r="AE81" s="138"/>
      <c r="AF81" s="399"/>
      <c r="AG81" s="138"/>
      <c r="AH81" s="1077"/>
      <c r="AI81" s="1086"/>
      <c r="AJ81" s="1138"/>
      <c r="AK81" s="1248"/>
      <c r="AO81" s="107" t="s">
        <v>345</v>
      </c>
      <c r="AZ81" s="991"/>
      <c r="BA81" s="219"/>
      <c r="BB81" s="219"/>
      <c r="BC81" s="219"/>
      <c r="BD81" s="219"/>
      <c r="BE81" s="219"/>
      <c r="BF81" s="219"/>
      <c r="BG81" s="936"/>
      <c r="BH81" s="219"/>
      <c r="BI81" s="219"/>
      <c r="BJ81" s="219"/>
      <c r="BK81" s="219"/>
      <c r="BL81" s="219"/>
      <c r="BM81" s="219"/>
      <c r="BN81" s="219"/>
      <c r="BO81" s="219"/>
      <c r="BP81" s="997"/>
      <c r="BQ81" s="997"/>
      <c r="BR81" s="816"/>
      <c r="BS81" s="816"/>
      <c r="BT81" s="816"/>
      <c r="BU81" s="816"/>
      <c r="BV81" s="816"/>
      <c r="BW81" s="816"/>
      <c r="BX81" s="816"/>
      <c r="BY81" s="816"/>
      <c r="BZ81" s="816"/>
      <c r="CA81" s="816"/>
      <c r="CB81" s="816"/>
      <c r="CC81" s="816"/>
      <c r="CD81" s="816"/>
      <c r="CE81" s="816"/>
      <c r="CP81" s="825"/>
      <c r="CQ81" s="816"/>
      <c r="CR81" s="816"/>
      <c r="CS81" s="816"/>
      <c r="DJ81" s="1112"/>
    </row>
    <row r="82" spans="2:162" ht="15.75" x14ac:dyDescent="0.25">
      <c r="B82" s="785" t="e">
        <f>CHOOSE($Z$5,1,1,1,1)</f>
        <v>#VALUE!</v>
      </c>
      <c r="D82" s="1563" t="s">
        <v>286</v>
      </c>
      <c r="E82" s="1564"/>
      <c r="F82" s="1564"/>
      <c r="G82" s="1564"/>
      <c r="H82" s="1565"/>
      <c r="I82" s="131"/>
      <c r="J82" s="160" t="s">
        <v>287</v>
      </c>
      <c r="K82" s="361"/>
      <c r="L82" s="362"/>
      <c r="M82" s="321"/>
      <c r="N82" s="132"/>
      <c r="O82" s="133"/>
      <c r="P82" s="134"/>
      <c r="Q82" s="135"/>
      <c r="R82" s="862"/>
      <c r="S82" s="387"/>
      <c r="T82" s="136"/>
      <c r="U82" s="136"/>
      <c r="V82" s="136"/>
      <c r="W82" s="367">
        <f>W19</f>
        <v>197.25</v>
      </c>
      <c r="X82" s="460">
        <f>i_SE_costs*W82</f>
        <v>39.450000000000003</v>
      </c>
      <c r="Y82" s="458"/>
      <c r="Z82" s="454"/>
      <c r="AA82" s="332"/>
      <c r="AB82" s="136"/>
      <c r="AC82" s="136"/>
      <c r="AD82" s="890"/>
      <c r="AE82" s="138"/>
      <c r="AF82" s="399"/>
      <c r="AG82" s="138"/>
      <c r="AH82" s="1077"/>
      <c r="AI82" s="1086"/>
      <c r="AJ82" s="1138"/>
      <c r="AK82" s="1248"/>
      <c r="AZ82" s="991"/>
      <c r="BA82" s="219"/>
      <c r="BB82" s="219"/>
      <c r="BC82" s="219"/>
      <c r="BD82" s="219"/>
      <c r="BE82" s="219"/>
      <c r="BF82" s="219"/>
      <c r="BG82" s="936"/>
      <c r="BH82" s="219"/>
      <c r="BI82" s="219"/>
      <c r="BJ82" s="219"/>
      <c r="BK82" s="219"/>
      <c r="BL82" s="219"/>
      <c r="BM82" s="219"/>
      <c r="BN82" s="219"/>
      <c r="BO82" s="219"/>
      <c r="BP82" s="997"/>
      <c r="BQ82" s="997"/>
      <c r="BR82" s="816"/>
      <c r="BS82" s="816"/>
      <c r="BT82" s="816"/>
      <c r="BU82" s="816"/>
      <c r="BV82" s="816"/>
      <c r="BW82" s="816"/>
      <c r="BX82" s="816"/>
      <c r="BY82" s="816"/>
      <c r="BZ82" s="816"/>
      <c r="CA82" s="816"/>
      <c r="CB82" s="816"/>
      <c r="CC82" s="816"/>
      <c r="CD82" s="816"/>
      <c r="CE82" s="816"/>
      <c r="CP82" s="825"/>
      <c r="CQ82" s="816"/>
      <c r="CR82" s="816"/>
      <c r="CS82" s="816"/>
      <c r="DJ82" s="1112">
        <v>0.79</v>
      </c>
      <c r="DK82" s="1112">
        <v>0.874</v>
      </c>
      <c r="DL82" s="1112">
        <v>0.874</v>
      </c>
      <c r="DM82" s="1112">
        <v>0.874</v>
      </c>
      <c r="DN82" s="1112">
        <v>0.874</v>
      </c>
      <c r="DO82" s="1112">
        <v>0.874</v>
      </c>
      <c r="DP82" s="1112">
        <f>DJ82</f>
        <v>0.79</v>
      </c>
      <c r="DQ82" s="1112"/>
    </row>
    <row r="83" spans="2:162" ht="16.5" thickBot="1" x14ac:dyDescent="0.3">
      <c r="B83" s="785" t="e">
        <f>CHOOSE($Z$5,1,1,1,1)</f>
        <v>#VALUE!</v>
      </c>
      <c r="D83" s="1628" t="s">
        <v>289</v>
      </c>
      <c r="E83" s="1629"/>
      <c r="F83" s="1629"/>
      <c r="G83" s="1629"/>
      <c r="H83" s="1630"/>
      <c r="I83" s="357"/>
      <c r="J83" s="205" t="s">
        <v>267</v>
      </c>
      <c r="K83" s="368"/>
      <c r="L83" s="369"/>
      <c r="M83" s="322"/>
      <c r="N83" s="142"/>
      <c r="O83" s="143"/>
      <c r="P83" s="144"/>
      <c r="Q83" s="145"/>
      <c r="R83" s="860"/>
      <c r="S83" s="385"/>
      <c r="T83" s="146"/>
      <c r="U83" s="146"/>
      <c r="V83" s="146"/>
      <c r="W83" s="370">
        <f>W20</f>
        <v>11</v>
      </c>
      <c r="X83" s="982">
        <f>i_SE_costs*W83</f>
        <v>2.2000000000000002</v>
      </c>
      <c r="Y83" s="1450">
        <f>Y80</f>
        <v>1</v>
      </c>
      <c r="Z83" s="965">
        <f>Z80</f>
        <v>0.1</v>
      </c>
      <c r="AA83" s="336"/>
      <c r="AB83" s="146"/>
      <c r="AC83" s="146"/>
      <c r="AD83" s="892"/>
      <c r="AE83" s="148"/>
      <c r="AF83" s="400"/>
      <c r="AG83" s="148"/>
      <c r="AH83" s="1078"/>
      <c r="AI83" s="1086"/>
      <c r="AJ83" s="1138"/>
      <c r="AK83" s="1248"/>
      <c r="AZ83" s="991"/>
      <c r="BA83" s="219"/>
      <c r="BB83" s="219"/>
      <c r="BC83" s="219"/>
      <c r="BD83" s="219"/>
      <c r="BE83" s="219"/>
      <c r="BF83" s="219"/>
      <c r="BG83" s="936"/>
      <c r="BH83" s="219"/>
      <c r="BI83" s="219"/>
      <c r="BJ83" s="219"/>
      <c r="BK83" s="219"/>
      <c r="BL83" s="219"/>
      <c r="BM83" s="219"/>
      <c r="BN83" s="219"/>
      <c r="BO83" s="219"/>
      <c r="BP83" s="997"/>
      <c r="BQ83" s="997"/>
      <c r="BR83" s="816"/>
      <c r="BS83" s="816"/>
      <c r="BT83" s="816"/>
      <c r="BU83" s="816"/>
      <c r="BV83" s="816"/>
      <c r="BW83" s="816"/>
      <c r="BX83" s="816"/>
      <c r="BY83" s="816"/>
      <c r="BZ83" s="816"/>
      <c r="CA83" s="816"/>
      <c r="CB83" s="816"/>
      <c r="CC83" s="816"/>
      <c r="CD83" s="816"/>
      <c r="CE83" s="816"/>
      <c r="CP83" s="825"/>
      <c r="CQ83" s="816"/>
      <c r="CR83" s="816"/>
      <c r="CS83" s="816"/>
      <c r="DJ83" s="1406">
        <v>1</v>
      </c>
      <c r="DK83" s="1113">
        <f>DK76</f>
        <v>1</v>
      </c>
      <c r="DL83" s="1446">
        <v>1</v>
      </c>
      <c r="DM83" s="1446">
        <v>1</v>
      </c>
      <c r="DN83" s="1446">
        <v>1</v>
      </c>
      <c r="DO83" s="1446">
        <v>1</v>
      </c>
      <c r="DP83" s="1406">
        <f>DJ83</f>
        <v>1</v>
      </c>
      <c r="DQ83" s="1112"/>
    </row>
    <row r="84" spans="2:162" ht="15.75" x14ac:dyDescent="0.25">
      <c r="B84" s="785" t="e">
        <f>CHOOSE($Z$5,1,1,1,1)</f>
        <v>#VALUE!</v>
      </c>
      <c r="D84" s="1544" t="str" cm="1">
        <f t="array" ref="D84">INDEX(List_comparators,I84+1)</f>
        <v>nivolumab_plus_ipilimumab</v>
      </c>
      <c r="E84" s="1544"/>
      <c r="F84" s="1544"/>
      <c r="G84" s="1544"/>
      <c r="H84" s="1545"/>
      <c r="I84" s="315">
        <v>2</v>
      </c>
      <c r="J84" s="197"/>
      <c r="K84" s="1575"/>
      <c r="L84" s="1576"/>
      <c r="M84" s="323"/>
      <c r="N84" s="282"/>
      <c r="O84" s="347"/>
      <c r="P84" s="284"/>
      <c r="Q84" s="285"/>
      <c r="R84" s="863"/>
      <c r="S84" s="386"/>
      <c r="T84" s="286"/>
      <c r="U84" s="286"/>
      <c r="V84" s="286"/>
      <c r="W84" s="287"/>
      <c r="X84" s="983"/>
      <c r="Y84" s="395"/>
      <c r="Z84" s="447"/>
      <c r="AA84" s="337"/>
      <c r="AB84" s="286"/>
      <c r="AC84" s="286"/>
      <c r="AD84" s="893"/>
      <c r="AE84" s="306"/>
      <c r="AF84" s="403"/>
      <c r="AG84" s="306"/>
      <c r="AH84" s="1083"/>
      <c r="AI84" s="1086"/>
      <c r="AJ84" s="1138"/>
      <c r="AK84" s="1248"/>
      <c r="AN84" s="107" t="s">
        <v>346</v>
      </c>
      <c r="BA84" s="219"/>
      <c r="BB84" s="219"/>
      <c r="BC84" s="219"/>
      <c r="BD84" s="219"/>
      <c r="BE84" s="219"/>
      <c r="BF84" s="219"/>
      <c r="BG84" s="936"/>
      <c r="BH84" s="219"/>
      <c r="BI84" s="219"/>
      <c r="BJ84" s="219"/>
      <c r="BK84" s="219"/>
      <c r="BL84" s="219"/>
      <c r="BM84" s="219"/>
      <c r="BN84" s="219"/>
      <c r="BO84" s="219"/>
      <c r="BP84" s="997"/>
      <c r="BQ84" s="997"/>
      <c r="BR84" s="816"/>
      <c r="BS84" s="816"/>
      <c r="BT84" s="816"/>
      <c r="BU84" s="816"/>
      <c r="BV84" s="816"/>
      <c r="BW84" s="816"/>
      <c r="BX84" s="816"/>
      <c r="BY84" s="816"/>
      <c r="BZ84" s="816"/>
      <c r="CA84" s="816"/>
      <c r="CB84" s="816"/>
      <c r="CC84" s="816"/>
      <c r="CD84" s="816"/>
      <c r="CE84" s="816"/>
      <c r="CP84" s="825"/>
      <c r="CQ84" s="816"/>
      <c r="CR84" s="816"/>
      <c r="CS84" s="816"/>
      <c r="DJ84" s="1112">
        <v>0.79</v>
      </c>
      <c r="DK84" s="1112">
        <v>0.9</v>
      </c>
      <c r="DL84" s="1112">
        <v>0.9</v>
      </c>
      <c r="DM84" s="1112">
        <v>0.9</v>
      </c>
      <c r="DN84" s="1112">
        <v>0.9</v>
      </c>
      <c r="DO84" s="1112">
        <v>0.9</v>
      </c>
      <c r="DP84" s="1112">
        <f t="shared" ref="DP84" si="98">DK84</f>
        <v>0.9</v>
      </c>
      <c r="DQ84" s="1112"/>
    </row>
    <row r="85" spans="2:162" ht="15.75" x14ac:dyDescent="0.25">
      <c r="D85" s="1555" t="s">
        <v>316</v>
      </c>
      <c r="E85" s="1555"/>
      <c r="F85" s="1555"/>
      <c r="G85" s="1555"/>
      <c r="H85" s="1556"/>
      <c r="I85" s="140"/>
      <c r="J85" s="160" t="s">
        <v>267</v>
      </c>
      <c r="K85" s="1570">
        <f>K14</f>
        <v>2633</v>
      </c>
      <c r="L85" s="1571"/>
      <c r="M85" s="139">
        <v>24</v>
      </c>
      <c r="N85" s="132" t="s">
        <v>268</v>
      </c>
      <c r="O85" s="139">
        <v>10</v>
      </c>
      <c r="P85" s="134" t="s">
        <v>269</v>
      </c>
      <c r="Q85" s="135"/>
      <c r="R85" s="380"/>
      <c r="S85" s="1320">
        <f>S14</f>
        <v>2633</v>
      </c>
      <c r="T85" s="136" t="s">
        <v>291</v>
      </c>
      <c r="U85" s="136" t="s">
        <v>271</v>
      </c>
      <c r="V85" s="138">
        <f>3*'Patient characteristics'!$K$22</f>
        <v>250.14</v>
      </c>
      <c r="W85" s="137"/>
      <c r="X85" s="974"/>
      <c r="Y85" s="1272">
        <f>CHOOSE(i_sc_RDI_num,100%,90%,79%,DK82,DP82)</f>
        <v>0.9</v>
      </c>
      <c r="Z85" s="1155">
        <f>IF(i_sc_RDI_num=3,i_SE_util*Y85,i_SE_util*Y85)</f>
        <v>9.0000000000000011E-2</v>
      </c>
      <c r="AA85" s="332">
        <v>3</v>
      </c>
      <c r="AB85" s="136">
        <v>1</v>
      </c>
      <c r="AC85" s="136">
        <v>1</v>
      </c>
      <c r="AD85" s="890">
        <v>12</v>
      </c>
      <c r="AE85" s="292">
        <f>K85/(M85*O85)</f>
        <v>10.970833333333333</v>
      </c>
      <c r="AF85" s="398">
        <f>S85/(M85*O85)</f>
        <v>10.970833333333333</v>
      </c>
      <c r="AG85" s="371">
        <f ca="1">IF(dd_incl_wastage_IV="Yes",'wastage calcs'!S32,AE85*V85)</f>
        <v>2849.9442936354344</v>
      </c>
      <c r="AH85" s="1371">
        <f ca="1">IF(dd_incl_wastage_IV="Yes",'wastage calcs'!T32,AF85*V85)</f>
        <v>2849.9442936354344</v>
      </c>
      <c r="AI85" s="1372">
        <f ca="1">(AH85/3)*Y85</f>
        <v>854.98328809063037</v>
      </c>
      <c r="AJ85" s="1373">
        <f ca="1">CHOOSE(i_drug_price_options,(AG85/$AA$85),(AH85/$AA$85))</f>
        <v>949.98143121181147</v>
      </c>
      <c r="AK85" s="1248"/>
      <c r="BA85" s="219"/>
      <c r="BB85" s="219"/>
      <c r="BC85" s="219"/>
      <c r="BD85" s="219"/>
      <c r="BE85" s="219"/>
      <c r="BF85" s="219"/>
      <c r="BG85" s="936"/>
      <c r="BH85" s="219"/>
      <c r="BI85" s="219"/>
      <c r="BJ85" s="219"/>
      <c r="BK85" s="219"/>
      <c r="BL85" s="219"/>
      <c r="BM85" s="219"/>
      <c r="BN85" s="219"/>
      <c r="BO85" s="219"/>
      <c r="BP85" s="997"/>
      <c r="BQ85" s="997"/>
      <c r="BR85" s="816"/>
      <c r="BS85" s="816"/>
      <c r="BT85" s="816"/>
      <c r="BU85" s="816"/>
      <c r="BV85" s="816"/>
      <c r="BW85" s="816"/>
      <c r="BX85" s="816"/>
      <c r="BY85" s="816"/>
      <c r="BZ85" s="816"/>
      <c r="CA85" s="816"/>
      <c r="CB85" s="816"/>
      <c r="CC85" s="816"/>
      <c r="CD85" s="816"/>
      <c r="CE85" s="816"/>
      <c r="CP85" s="825"/>
      <c r="CQ85" s="816"/>
      <c r="CR85" s="816"/>
      <c r="CS85" s="816"/>
      <c r="DJ85" s="1406">
        <v>1</v>
      </c>
      <c r="DK85" s="1113">
        <f>DK83</f>
        <v>1</v>
      </c>
      <c r="DL85" s="1446">
        <v>1</v>
      </c>
      <c r="DM85" s="1446">
        <v>1</v>
      </c>
      <c r="DN85" s="1446">
        <v>1</v>
      </c>
      <c r="DO85" s="1446">
        <v>1</v>
      </c>
      <c r="DP85" s="1406">
        <f>DJ85</f>
        <v>1</v>
      </c>
      <c r="DQ85" s="1112"/>
    </row>
    <row r="86" spans="2:162" ht="15.75" x14ac:dyDescent="0.25">
      <c r="D86" s="1555" t="s">
        <v>318</v>
      </c>
      <c r="E86" s="1555"/>
      <c r="F86" s="1555"/>
      <c r="G86" s="1555"/>
      <c r="H86" s="1556"/>
      <c r="I86" s="140"/>
      <c r="J86" s="160" t="s">
        <v>267</v>
      </c>
      <c r="K86" s="1570">
        <f>K14</f>
        <v>2633</v>
      </c>
      <c r="L86" s="1571"/>
      <c r="M86" s="139">
        <v>24</v>
      </c>
      <c r="N86" s="132" t="s">
        <v>268</v>
      </c>
      <c r="O86" s="139">
        <v>10</v>
      </c>
      <c r="P86" s="134" t="s">
        <v>269</v>
      </c>
      <c r="Q86" s="135"/>
      <c r="R86" s="380"/>
      <c r="S86" s="1320">
        <f>S14</f>
        <v>2633</v>
      </c>
      <c r="T86" s="136" t="s">
        <v>270</v>
      </c>
      <c r="U86" s="136" t="s">
        <v>271</v>
      </c>
      <c r="V86" s="136">
        <v>480</v>
      </c>
      <c r="W86" s="253"/>
      <c r="X86" s="974"/>
      <c r="Y86" s="1018">
        <f>Y79</f>
        <v>1</v>
      </c>
      <c r="Z86" s="1155">
        <f>IF(i_sc_RDI_num=3,i_SE_util*Y86,i_SE_util*Y86)</f>
        <v>0.1</v>
      </c>
      <c r="AA86" s="332">
        <f>AA79</f>
        <v>4</v>
      </c>
      <c r="AB86" s="136">
        <v>1</v>
      </c>
      <c r="AC86" s="136">
        <f>AD85+1</f>
        <v>13</v>
      </c>
      <c r="AD86" s="886">
        <f>ROUNDUP(ui_time_horizon*365.25*i_days_to_weeks,0)+1</f>
        <v>2089</v>
      </c>
      <c r="AE86" s="305">
        <f>K86/(M86*O86)</f>
        <v>10.970833333333333</v>
      </c>
      <c r="AF86" s="398">
        <f>S86/(M86*O86)</f>
        <v>10.970833333333333</v>
      </c>
      <c r="AG86" s="371">
        <f>AE86*V86</f>
        <v>5266</v>
      </c>
      <c r="AH86" s="1371">
        <f>AF86*V86</f>
        <v>5266</v>
      </c>
      <c r="AI86" s="1372">
        <f>(AH86/4)*Y86</f>
        <v>1316.5</v>
      </c>
      <c r="AJ86" s="1373">
        <f>CHOOSE(i_drug_price_options,(AG86/$AA$86),(AH86/$AA$86))</f>
        <v>1316.5</v>
      </c>
      <c r="AK86" s="1248"/>
      <c r="BA86" s="219"/>
      <c r="BB86" s="219"/>
      <c r="BC86" s="219"/>
      <c r="BD86" s="219"/>
      <c r="BE86" s="219"/>
      <c r="BF86" s="219"/>
      <c r="BG86" s="936"/>
      <c r="BH86" s="219"/>
      <c r="BI86" s="219"/>
      <c r="BJ86" s="219"/>
      <c r="BK86" s="219"/>
      <c r="BL86" s="219"/>
      <c r="BM86" s="219"/>
      <c r="BN86" s="219"/>
      <c r="BO86" s="219"/>
      <c r="BP86" s="997"/>
      <c r="BQ86" s="997"/>
      <c r="BR86" s="816"/>
      <c r="BS86" s="816"/>
      <c r="BT86" s="816"/>
      <c r="BU86" s="816"/>
      <c r="BV86" s="816"/>
      <c r="BW86" s="816"/>
      <c r="BX86" s="816"/>
      <c r="BY86" s="816"/>
      <c r="BZ86" s="816"/>
      <c r="CA86" s="816"/>
      <c r="CB86" s="816"/>
      <c r="CC86" s="816"/>
      <c r="CD86" s="816"/>
      <c r="CE86" s="816"/>
      <c r="CP86" s="825"/>
      <c r="CQ86" s="816"/>
      <c r="CR86" s="816"/>
      <c r="CS86" s="816"/>
      <c r="DJ86" s="1109"/>
    </row>
    <row r="87" spans="2:162" ht="15.75" x14ac:dyDescent="0.25">
      <c r="D87" s="1555" t="s">
        <v>290</v>
      </c>
      <c r="E87" s="1555"/>
      <c r="F87" s="1555"/>
      <c r="G87" s="1555"/>
      <c r="H87" s="1556"/>
      <c r="I87" s="140"/>
      <c r="J87" s="160" t="s">
        <v>267</v>
      </c>
      <c r="K87" s="1570">
        <f>K21</f>
        <v>3750</v>
      </c>
      <c r="L87" s="1571"/>
      <c r="M87" s="139">
        <v>10</v>
      </c>
      <c r="N87" s="132" t="s">
        <v>268</v>
      </c>
      <c r="O87" s="139">
        <v>5</v>
      </c>
      <c r="P87" s="134" t="s">
        <v>269</v>
      </c>
      <c r="Q87" s="135"/>
      <c r="R87" s="380"/>
      <c r="S87" s="1320">
        <f>S21</f>
        <v>3750</v>
      </c>
      <c r="T87" s="136" t="str">
        <f>T21</f>
        <v>q3w (4 doses)</v>
      </c>
      <c r="U87" s="136" t="s">
        <v>271</v>
      </c>
      <c r="V87" s="138">
        <f>V21</f>
        <v>83.38</v>
      </c>
      <c r="W87" s="1095">
        <v>440.71</v>
      </c>
      <c r="X87" s="342">
        <f>i_SE_costs*W87</f>
        <v>88.141999999999996</v>
      </c>
      <c r="Y87" s="1272">
        <f>CHOOSE(i_sc_RDI_num,100%,90%,79%,DK84,DP84)</f>
        <v>0.9</v>
      </c>
      <c r="Z87" s="1155">
        <f>IF(i_sc_RDI_num=3,i_SE_util*Y87,i_SE_util*Y87)</f>
        <v>9.0000000000000011E-2</v>
      </c>
      <c r="AA87" s="332">
        <v>3</v>
      </c>
      <c r="AB87" s="136">
        <v>1</v>
      </c>
      <c r="AC87" s="136">
        <v>1</v>
      </c>
      <c r="AD87" s="895">
        <f>'Time on treatment'!K15</f>
        <v>12</v>
      </c>
      <c r="AE87" s="292">
        <f>K87/(M87*O87)</f>
        <v>75</v>
      </c>
      <c r="AF87" s="399">
        <f>S87/(M87*O87)</f>
        <v>75</v>
      </c>
      <c r="AG87" s="119">
        <f ca="1">IF(dd_incl_wastage_IV="Yes",'wastage calcs'!Y32,AE87*V87)</f>
        <v>8098.4752771057774</v>
      </c>
      <c r="AH87" s="1371">
        <f ca="1">IF(dd_incl_wastage_IV="Yes",'wastage calcs'!Z32,AF87*V87)</f>
        <v>8098.4752771057774</v>
      </c>
      <c r="AI87" s="1372">
        <f ca="1">(AH87/3)*Y87</f>
        <v>2429.5425831317334</v>
      </c>
      <c r="AJ87" s="1373">
        <f ca="1">CHOOSE(i_drug_price_options,(AG87/$AA$87),(AH87/$AA$87))</f>
        <v>2699.4917590352593</v>
      </c>
      <c r="AK87" s="1248"/>
      <c r="BA87" s="219"/>
      <c r="BB87" s="219"/>
      <c r="BC87" s="219"/>
      <c r="BD87" s="219"/>
      <c r="BE87" s="219"/>
      <c r="BF87" s="219"/>
      <c r="BG87" s="936"/>
      <c r="BH87" s="219"/>
      <c r="BI87" s="219"/>
      <c r="BJ87" s="219"/>
      <c r="BK87" s="219"/>
      <c r="BL87" s="219"/>
      <c r="BM87" s="219"/>
      <c r="BN87" s="219"/>
      <c r="BO87" s="219"/>
      <c r="BP87" s="997"/>
      <c r="BQ87" s="997"/>
      <c r="BR87" s="816"/>
      <c r="BS87" s="816"/>
      <c r="BT87" s="816"/>
      <c r="BU87" s="816"/>
      <c r="BV87" s="816"/>
      <c r="BW87" s="816"/>
      <c r="BX87" s="816"/>
      <c r="BY87" s="816"/>
      <c r="BZ87" s="816"/>
      <c r="CA87" s="816"/>
      <c r="CB87" s="816"/>
      <c r="CC87" s="816"/>
      <c r="CD87" s="816"/>
      <c r="CE87" s="816"/>
      <c r="CP87" s="825"/>
      <c r="CQ87" s="816"/>
      <c r="CR87" s="816"/>
      <c r="CS87" s="816"/>
    </row>
    <row r="88" spans="2:162" ht="15.75" x14ac:dyDescent="0.25">
      <c r="D88" s="1555" t="s">
        <v>278</v>
      </c>
      <c r="E88" s="1555"/>
      <c r="F88" s="1555"/>
      <c r="G88" s="1555"/>
      <c r="H88" s="1556"/>
      <c r="I88" s="140"/>
      <c r="J88" s="160" t="s">
        <v>267</v>
      </c>
      <c r="K88" s="363"/>
      <c r="L88" s="364"/>
      <c r="M88" s="139"/>
      <c r="N88" s="132"/>
      <c r="O88" s="139"/>
      <c r="P88" s="134"/>
      <c r="Q88" s="135"/>
      <c r="R88" s="862"/>
      <c r="S88" s="387"/>
      <c r="T88" s="136"/>
      <c r="U88" s="136"/>
      <c r="V88" s="136"/>
      <c r="W88" s="367">
        <f>W15</f>
        <v>207.59</v>
      </c>
      <c r="X88" s="460">
        <f>i_SE_costs*W88</f>
        <v>41.518000000000001</v>
      </c>
      <c r="Y88" s="1018">
        <f>Y86</f>
        <v>1</v>
      </c>
      <c r="Z88" s="788">
        <f>Z86</f>
        <v>0.1</v>
      </c>
      <c r="AA88" s="332"/>
      <c r="AB88" s="136"/>
      <c r="AC88" s="136"/>
      <c r="AD88" s="890"/>
      <c r="AE88" s="138"/>
      <c r="AF88" s="399"/>
      <c r="AG88" s="138"/>
      <c r="AH88" s="1077"/>
      <c r="AI88" s="1086"/>
      <c r="AJ88" s="1138"/>
      <c r="AK88" s="1248"/>
      <c r="BP88" s="996"/>
      <c r="BQ88" s="996"/>
    </row>
    <row r="89" spans="2:162" ht="16.5" thickBot="1" x14ac:dyDescent="0.3">
      <c r="D89" s="1553"/>
      <c r="E89" s="1553"/>
      <c r="F89" s="1553"/>
      <c r="G89" s="1553"/>
      <c r="H89" s="1554"/>
      <c r="I89" s="141"/>
      <c r="J89" s="319"/>
      <c r="K89" s="1676"/>
      <c r="L89" s="1677"/>
      <c r="M89" s="322"/>
      <c r="N89" s="142"/>
      <c r="O89" s="143"/>
      <c r="P89" s="144"/>
      <c r="Q89" s="145"/>
      <c r="R89" s="860"/>
      <c r="S89" s="385"/>
      <c r="T89" s="146"/>
      <c r="U89" s="146"/>
      <c r="V89" s="146"/>
      <c r="W89" s="147"/>
      <c r="X89" s="978"/>
      <c r="Y89" s="394"/>
      <c r="Z89" s="445"/>
      <c r="AA89" s="336"/>
      <c r="AB89" s="146"/>
      <c r="AC89" s="146"/>
      <c r="AD89" s="892"/>
      <c r="AE89" s="148"/>
      <c r="AF89" s="400"/>
      <c r="AG89" s="148"/>
      <c r="AH89" s="1078"/>
      <c r="AI89" s="1374">
        <f ca="1">AI85+AI87</f>
        <v>3284.525871222364</v>
      </c>
      <c r="AJ89" s="1375">
        <f ca="1">AJ85+AJ87</f>
        <v>3649.4731902470708</v>
      </c>
      <c r="AK89" s="1249"/>
      <c r="BP89" s="996"/>
      <c r="BQ89" s="996"/>
    </row>
    <row r="90" spans="2:162" ht="15.75" x14ac:dyDescent="0.25">
      <c r="BP90" s="996"/>
      <c r="BQ90" s="996"/>
    </row>
    <row r="92" spans="2:162" ht="15.75" thickBot="1" x14ac:dyDescent="0.25">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897"/>
      <c r="AE92" s="149"/>
      <c r="AF92" s="149"/>
      <c r="AG92" s="149"/>
      <c r="AH92" s="149"/>
      <c r="AI92" s="149"/>
      <c r="AJ92" s="149"/>
      <c r="AK92" s="149"/>
      <c r="DD92" s="884"/>
    </row>
    <row r="93" spans="2:162" x14ac:dyDescent="0.2">
      <c r="DD93" s="884"/>
    </row>
    <row r="94" spans="2:162" x14ac:dyDescent="0.2">
      <c r="DD94" s="884"/>
    </row>
    <row r="95" spans="2:162" ht="15.75" x14ac:dyDescent="0.25">
      <c r="D95" s="108" t="s">
        <v>347</v>
      </c>
      <c r="AL95" s="151"/>
      <c r="AM95" s="151"/>
      <c r="AN95" s="151"/>
      <c r="AO95" s="152"/>
      <c r="AP95" s="152"/>
      <c r="DD95" s="884"/>
    </row>
    <row r="96" spans="2:162" ht="15.75" x14ac:dyDescent="0.2">
      <c r="AK96" s="151"/>
      <c r="BA96" s="219" t="s">
        <v>348</v>
      </c>
      <c r="BB96" s="219"/>
      <c r="BC96" s="219" t="s">
        <v>243</v>
      </c>
      <c r="BD96" s="219" t="s">
        <v>202</v>
      </c>
      <c r="BE96" s="219" t="s">
        <v>349</v>
      </c>
      <c r="BF96" s="219"/>
      <c r="BG96" s="219" t="s">
        <v>217</v>
      </c>
      <c r="BH96" s="219" t="s">
        <v>251</v>
      </c>
      <c r="BJ96" s="219" t="s">
        <v>348</v>
      </c>
      <c r="BK96" s="219" t="s">
        <v>243</v>
      </c>
      <c r="BL96" s="219" t="s">
        <v>350</v>
      </c>
      <c r="BM96" s="219" t="s">
        <v>349</v>
      </c>
      <c r="BN96" s="988"/>
      <c r="BO96" s="884"/>
      <c r="DC96" s="107"/>
      <c r="EL96" s="1244"/>
      <c r="EN96" s="107"/>
      <c r="FD96" s="1247"/>
      <c r="FF96" s="107"/>
    </row>
    <row r="97" spans="4:162" ht="15.75" thickBot="1" x14ac:dyDescent="0.25">
      <c r="BA97" s="219"/>
      <c r="BB97" s="219"/>
      <c r="BC97" s="219"/>
      <c r="BD97" s="219"/>
      <c r="BE97" s="276" t="s">
        <v>158</v>
      </c>
      <c r="BF97" s="276" t="s">
        <v>161</v>
      </c>
      <c r="BG97" s="219"/>
      <c r="BH97" s="219"/>
      <c r="BJ97" s="219"/>
      <c r="BK97" s="219"/>
      <c r="BL97" s="219"/>
      <c r="BM97" s="276" t="s">
        <v>158</v>
      </c>
      <c r="BN97" s="128" t="s">
        <v>161</v>
      </c>
      <c r="BO97" s="884"/>
      <c r="DC97" s="107"/>
      <c r="EL97" s="1244"/>
      <c r="EN97" s="107"/>
      <c r="FD97" s="1247"/>
      <c r="FF97" s="107"/>
    </row>
    <row r="98" spans="4:162" ht="16.5" thickBot="1" x14ac:dyDescent="0.25">
      <c r="D98" s="1641" t="s">
        <v>352</v>
      </c>
      <c r="E98" s="1641"/>
      <c r="F98" s="1641"/>
      <c r="G98" s="1641"/>
      <c r="H98" s="1641"/>
      <c r="I98" s="1673" t="s">
        <v>353</v>
      </c>
      <c r="J98" s="1615" t="s">
        <v>203</v>
      </c>
      <c r="K98" s="1670" t="s">
        <v>354</v>
      </c>
      <c r="L98" s="1671"/>
      <c r="M98" s="1671"/>
      <c r="N98" s="1672"/>
      <c r="O98" s="1523" t="s">
        <v>355</v>
      </c>
      <c r="P98" s="1524"/>
      <c r="Q98" s="1511" t="s">
        <v>356</v>
      </c>
      <c r="R98" s="1513" t="s">
        <v>357</v>
      </c>
      <c r="S98" s="1523" t="s">
        <v>358</v>
      </c>
      <c r="T98" s="1524"/>
      <c r="U98" s="151"/>
      <c r="V98" s="151"/>
      <c r="W98" s="151"/>
      <c r="X98" s="151"/>
      <c r="Y98" s="151"/>
      <c r="Z98" s="151"/>
      <c r="AA98" s="151"/>
      <c r="AB98" s="151"/>
      <c r="AC98" s="151"/>
      <c r="AD98" s="898"/>
      <c r="AE98" s="151"/>
      <c r="AF98" s="151"/>
      <c r="AG98" s="151"/>
      <c r="AH98" s="151"/>
      <c r="AI98" s="151"/>
      <c r="AJ98" s="151"/>
      <c r="BA98" s="219" t="str">
        <f>BA102</f>
        <v>On treatment - all lines
(from treatment initiation until 12 weeks)</v>
      </c>
      <c r="BB98" s="219"/>
      <c r="BC98" s="219" t="str">
        <f>J102</f>
        <v>one-off</v>
      </c>
      <c r="BD98" s="219">
        <v>0</v>
      </c>
      <c r="BE98" s="467">
        <f t="shared" ref="BE98:BH101" si="99">BE102</f>
        <v>63.185039999999994</v>
      </c>
      <c r="BF98" s="467">
        <f t="shared" si="99"/>
        <v>12.637008</v>
      </c>
      <c r="BG98" s="470">
        <f t="shared" si="99"/>
        <v>1</v>
      </c>
      <c r="BH98" s="470">
        <f t="shared" si="99"/>
        <v>11</v>
      </c>
      <c r="BJ98" s="219" t="str">
        <f>D139</f>
        <v>End of life (EOL) or terminal care 
(applied at death)</v>
      </c>
      <c r="BK98" s="219" t="str">
        <f>J143</f>
        <v>one-off</v>
      </c>
      <c r="BL98" s="219" t="s">
        <v>351</v>
      </c>
      <c r="BM98" s="468">
        <f>S143</f>
        <v>8714.0337081161579</v>
      </c>
      <c r="BN98" s="989">
        <f>T143</f>
        <v>1742.8067416232316</v>
      </c>
      <c r="BO98" s="884"/>
      <c r="DC98" s="107"/>
      <c r="EL98" s="1244"/>
      <c r="EN98" s="107"/>
      <c r="FD98" s="1247"/>
      <c r="FF98" s="107"/>
    </row>
    <row r="99" spans="4:162" ht="15.75" thickBot="1" x14ac:dyDescent="0.25">
      <c r="D99" s="1641"/>
      <c r="E99" s="1641"/>
      <c r="F99" s="1641"/>
      <c r="G99" s="1641"/>
      <c r="H99" s="1641"/>
      <c r="I99" s="1674"/>
      <c r="J99" s="1642"/>
      <c r="K99" s="153" t="s">
        <v>158</v>
      </c>
      <c r="L99" s="154" t="s">
        <v>159</v>
      </c>
      <c r="M99" s="154" t="s">
        <v>160</v>
      </c>
      <c r="N99" s="155" t="s">
        <v>161</v>
      </c>
      <c r="O99" s="156" t="s">
        <v>158</v>
      </c>
      <c r="P99" s="157" t="s">
        <v>161</v>
      </c>
      <c r="Q99" s="1512"/>
      <c r="R99" s="1514"/>
      <c r="S99" s="153" t="s">
        <v>158</v>
      </c>
      <c r="T99" s="158" t="s">
        <v>161</v>
      </c>
      <c r="V99" s="107" t="s">
        <v>360</v>
      </c>
      <c r="BA99" s="219" t="str">
        <f>BA103</f>
        <v>Off treatment - all lines
(until 12 weeks)</v>
      </c>
      <c r="BB99" s="219"/>
      <c r="BC99" s="219" t="str">
        <f>J109</f>
        <v>per cycle</v>
      </c>
      <c r="BD99" s="219">
        <v>0</v>
      </c>
      <c r="BE99" s="467">
        <f t="shared" si="99"/>
        <v>63.185039999999994</v>
      </c>
      <c r="BF99" s="467">
        <f t="shared" si="99"/>
        <v>12.637008</v>
      </c>
      <c r="BG99" s="470">
        <f t="shared" si="99"/>
        <v>1</v>
      </c>
      <c r="BH99" s="470">
        <f t="shared" si="99"/>
        <v>11</v>
      </c>
      <c r="BJ99" s="219" t="str">
        <f>D145</f>
        <v>Subsequent radiotherapy (following progression)</v>
      </c>
      <c r="BK99" s="219" t="str">
        <f>J145</f>
        <v>one-off</v>
      </c>
      <c r="BL99" s="219" t="s">
        <v>359</v>
      </c>
      <c r="BM99" s="466">
        <f>'Treatment sequence'!EQ10</f>
        <v>127.755</v>
      </c>
      <c r="BN99" s="466">
        <f>'Treatment sequence'!ER10</f>
        <v>25.551000000000002</v>
      </c>
      <c r="BO99" s="884"/>
      <c r="DC99" s="107"/>
      <c r="EL99" s="1244"/>
      <c r="EN99" s="107"/>
      <c r="FD99" s="1247"/>
      <c r="FF99" s="107"/>
    </row>
    <row r="100" spans="4:162" ht="45" x14ac:dyDescent="0.2">
      <c r="D100" s="1643" t="s">
        <v>361</v>
      </c>
      <c r="E100" s="1644"/>
      <c r="F100" s="1644"/>
      <c r="G100" s="1644"/>
      <c r="H100" s="1645"/>
      <c r="I100" s="159" t="s">
        <v>362</v>
      </c>
      <c r="J100" s="160" t="s">
        <v>287</v>
      </c>
      <c r="K100" s="161">
        <v>1</v>
      </c>
      <c r="L100" s="161"/>
      <c r="M100" s="161"/>
      <c r="N100" s="162"/>
      <c r="O100" s="163">
        <v>206.47</v>
      </c>
      <c r="P100" s="481">
        <f>i_SE_costs*O100</f>
        <v>41.294000000000004</v>
      </c>
      <c r="Q100" s="1528">
        <v>0</v>
      </c>
      <c r="R100" s="1525">
        <v>1</v>
      </c>
      <c r="S100" s="164">
        <f>K100*O100</f>
        <v>206.47</v>
      </c>
      <c r="T100" s="481">
        <f>i_SE_costs*S100</f>
        <v>41.294000000000004</v>
      </c>
      <c r="V100" s="107" t="s">
        <v>363</v>
      </c>
      <c r="BA100" s="219" t="str">
        <f>BA104</f>
        <v>On treatment - all lines
(beyond 12 weeks)</v>
      </c>
      <c r="BB100" s="219"/>
      <c r="BC100" s="219" t="str">
        <f>J116</f>
        <v>per cycle</v>
      </c>
      <c r="BD100" s="219">
        <v>0</v>
      </c>
      <c r="BE100" s="467">
        <f t="shared" si="99"/>
        <v>38.556539999999998</v>
      </c>
      <c r="BF100" s="467">
        <f t="shared" si="99"/>
        <v>7.7113079999999998</v>
      </c>
      <c r="BG100" s="470">
        <f t="shared" si="99"/>
        <v>12</v>
      </c>
      <c r="BH100" s="470">
        <f t="shared" si="99"/>
        <v>2088</v>
      </c>
      <c r="BJ100" s="219" t="str">
        <f>D146</f>
        <v>Subsequent surgery (following progression)</v>
      </c>
      <c r="BK100" s="219" t="str">
        <f>J146</f>
        <v>one-off</v>
      </c>
      <c r="BL100" s="219" t="s">
        <v>359</v>
      </c>
      <c r="BM100" s="466">
        <f>'Treatment sequence'!EQ11</f>
        <v>1348.3140209808796</v>
      </c>
      <c r="BN100" s="466">
        <f>'Treatment sequence'!ER11</f>
        <v>269.66280419617595</v>
      </c>
      <c r="BO100" s="884"/>
      <c r="DC100" s="107"/>
      <c r="EL100" s="1244"/>
      <c r="EN100" s="107"/>
      <c r="FD100" s="1247"/>
      <c r="FF100" s="107"/>
    </row>
    <row r="101" spans="4:162" x14ac:dyDescent="0.2">
      <c r="D101" s="1646"/>
      <c r="E101" s="1647"/>
      <c r="F101" s="1647"/>
      <c r="G101" s="1647"/>
      <c r="H101" s="1648"/>
      <c r="I101" s="165" t="s">
        <v>365</v>
      </c>
      <c r="J101" s="160" t="s">
        <v>287</v>
      </c>
      <c r="K101" s="166">
        <v>1</v>
      </c>
      <c r="L101" s="166"/>
      <c r="M101" s="166"/>
      <c r="N101" s="167"/>
      <c r="O101" s="168">
        <v>2.39</v>
      </c>
      <c r="P101" s="481">
        <f>i_SE_costs*O101</f>
        <v>0.47800000000000004</v>
      </c>
      <c r="Q101" s="1529"/>
      <c r="R101" s="1526"/>
      <c r="S101" s="169">
        <f>K101*O101</f>
        <v>2.39</v>
      </c>
      <c r="T101" s="481">
        <f>i_SE_costs*S101</f>
        <v>0.47800000000000004</v>
      </c>
      <c r="V101" s="107" t="s">
        <v>366</v>
      </c>
      <c r="BA101" s="219" t="str">
        <f>BA105</f>
        <v>Off treatment - all lines
(beyond 12 weeks)</v>
      </c>
      <c r="BB101" s="219"/>
      <c r="BC101" s="219" t="str">
        <f>J123</f>
        <v>per cycle</v>
      </c>
      <c r="BD101" s="219">
        <v>0</v>
      </c>
      <c r="BE101" s="467">
        <f t="shared" si="99"/>
        <v>38.556539999999998</v>
      </c>
      <c r="BF101" s="467">
        <f t="shared" si="99"/>
        <v>7.7113079999999998</v>
      </c>
      <c r="BG101" s="470">
        <f t="shared" si="99"/>
        <v>12</v>
      </c>
      <c r="BH101" s="470">
        <f t="shared" si="99"/>
        <v>2088</v>
      </c>
      <c r="BJ101" s="219" t="str">
        <f>D100</f>
        <v xml:space="preserve">Treatment initiation
</v>
      </c>
      <c r="BK101" s="219" t="str">
        <f>J100</f>
        <v>one-off</v>
      </c>
      <c r="BL101" s="219" t="s">
        <v>364</v>
      </c>
      <c r="BM101" s="466">
        <f>S104</f>
        <v>261.86</v>
      </c>
      <c r="BN101" s="990">
        <f>T104</f>
        <v>52.372000000000007</v>
      </c>
      <c r="BO101" s="884"/>
      <c r="DC101" s="107"/>
      <c r="EL101" s="1244"/>
      <c r="EN101" s="107"/>
      <c r="FD101" s="1247"/>
      <c r="FF101" s="107"/>
    </row>
    <row r="102" spans="4:162" x14ac:dyDescent="0.2">
      <c r="D102" s="1646"/>
      <c r="E102" s="1647"/>
      <c r="F102" s="1647"/>
      <c r="G102" s="1647"/>
      <c r="H102" s="1648"/>
      <c r="I102" s="165" t="s">
        <v>367</v>
      </c>
      <c r="J102" s="160" t="s">
        <v>287</v>
      </c>
      <c r="K102" s="170">
        <v>1</v>
      </c>
      <c r="L102" s="166"/>
      <c r="M102" s="166"/>
      <c r="N102" s="167"/>
      <c r="O102" s="171">
        <v>53</v>
      </c>
      <c r="P102" s="481">
        <f>i_SE_costs*O102</f>
        <v>10.600000000000001</v>
      </c>
      <c r="Q102" s="1529"/>
      <c r="R102" s="1526"/>
      <c r="S102" s="169">
        <f>K102*O102</f>
        <v>53</v>
      </c>
      <c r="T102" s="481">
        <f>i_SE_costs*S102</f>
        <v>10.600000000000001</v>
      </c>
      <c r="V102" s="107" t="s">
        <v>368</v>
      </c>
      <c r="BA102" s="219" t="str">
        <f>D106</f>
        <v>On treatment - all lines
(from treatment initiation until 12 weeks)</v>
      </c>
      <c r="BB102" s="219"/>
      <c r="BC102" s="219" t="str">
        <f>J106</f>
        <v>per cycle</v>
      </c>
      <c r="BD102" s="219">
        <v>1</v>
      </c>
      <c r="BE102" s="466">
        <f>S111</f>
        <v>63.185039999999994</v>
      </c>
      <c r="BF102" s="467">
        <f>T111</f>
        <v>12.637008</v>
      </c>
      <c r="BG102" s="469">
        <f>Q106</f>
        <v>1</v>
      </c>
      <c r="BH102" s="470">
        <f>R106</f>
        <v>11</v>
      </c>
      <c r="BJ102" s="219"/>
      <c r="BK102" s="219"/>
      <c r="BL102" s="219"/>
      <c r="BM102" s="219"/>
      <c r="BN102" s="988"/>
      <c r="BO102" s="884"/>
      <c r="DC102" s="107"/>
      <c r="EL102" s="1244"/>
      <c r="EN102" s="107"/>
      <c r="FD102" s="1247"/>
      <c r="FF102" s="107"/>
    </row>
    <row r="103" spans="4:162" x14ac:dyDescent="0.2">
      <c r="D103" s="1646"/>
      <c r="E103" s="1647"/>
      <c r="F103" s="1647"/>
      <c r="G103" s="1647"/>
      <c r="H103" s="1648"/>
      <c r="I103" s="172" t="s">
        <v>369</v>
      </c>
      <c r="J103" s="160" t="s">
        <v>287</v>
      </c>
      <c r="K103" s="173">
        <v>0</v>
      </c>
      <c r="L103" s="174"/>
      <c r="M103" s="174"/>
      <c r="N103" s="175"/>
      <c r="O103" s="176">
        <v>5.78</v>
      </c>
      <c r="P103" s="481">
        <f>i_SE_costs*O103</f>
        <v>1.1560000000000001</v>
      </c>
      <c r="Q103" s="1530"/>
      <c r="R103" s="1527"/>
      <c r="S103" s="169">
        <f>K103*O103</f>
        <v>0</v>
      </c>
      <c r="T103" s="481">
        <f>i_SE_costs*S103</f>
        <v>0</v>
      </c>
      <c r="BA103" s="219" t="str">
        <f>D113</f>
        <v>Off treatment - all lines
(until 12 weeks)</v>
      </c>
      <c r="BB103" s="219"/>
      <c r="BC103" s="219" t="str">
        <f>J113</f>
        <v>per cycle</v>
      </c>
      <c r="BD103" s="219">
        <v>1</v>
      </c>
      <c r="BE103" s="466">
        <f>S118</f>
        <v>63.185039999999994</v>
      </c>
      <c r="BF103" s="467">
        <f>T118</f>
        <v>12.637008</v>
      </c>
      <c r="BG103" s="469">
        <f>Q113</f>
        <v>1</v>
      </c>
      <c r="BH103" s="470">
        <f>R113</f>
        <v>11</v>
      </c>
      <c r="BJ103" s="219"/>
      <c r="BK103" s="219"/>
      <c r="BL103" s="219"/>
      <c r="BM103" s="219"/>
      <c r="BN103" s="988"/>
      <c r="BO103" s="884"/>
      <c r="DC103" s="107"/>
      <c r="EL103" s="1244"/>
      <c r="EN103" s="107"/>
      <c r="FD103" s="1247"/>
      <c r="FF103" s="107"/>
    </row>
    <row r="104" spans="4:162" ht="16.5" thickBot="1" x14ac:dyDescent="0.3">
      <c r="D104" s="1649"/>
      <c r="E104" s="1650"/>
      <c r="F104" s="1650"/>
      <c r="G104" s="1650"/>
      <c r="H104" s="1651"/>
      <c r="I104" s="177" t="s">
        <v>370</v>
      </c>
      <c r="J104" s="178" t="s">
        <v>287</v>
      </c>
      <c r="K104" s="179"/>
      <c r="L104" s="179"/>
      <c r="M104" s="179"/>
      <c r="N104" s="180"/>
      <c r="O104" s="181"/>
      <c r="P104" s="482"/>
      <c r="Q104" s="182"/>
      <c r="R104" s="183"/>
      <c r="S104" s="184">
        <f>SUM(S100:S103)</f>
        <v>261.86</v>
      </c>
      <c r="T104" s="482">
        <f>i_SE_costs*S104</f>
        <v>52.372000000000007</v>
      </c>
      <c r="BA104" s="219" t="str">
        <f>D120</f>
        <v>On treatment - all lines
(beyond 12 weeks)</v>
      </c>
      <c r="BB104" s="219"/>
      <c r="BC104" s="219" t="str">
        <f>J120</f>
        <v>per cycle</v>
      </c>
      <c r="BD104" s="219">
        <v>1</v>
      </c>
      <c r="BE104" s="466">
        <f>S125</f>
        <v>38.556539999999998</v>
      </c>
      <c r="BF104" s="467">
        <f>T125</f>
        <v>7.7113079999999998</v>
      </c>
      <c r="BG104" s="469">
        <f>Q120</f>
        <v>12</v>
      </c>
      <c r="BH104" s="470">
        <f>R120</f>
        <v>2088</v>
      </c>
      <c r="BJ104" s="219"/>
      <c r="BK104" s="219"/>
      <c r="BL104" s="219"/>
      <c r="BM104" s="219"/>
      <c r="BN104" s="988"/>
      <c r="BO104" s="884"/>
      <c r="DC104" s="107"/>
      <c r="EL104" s="1244"/>
      <c r="EN104" s="107"/>
      <c r="FD104" s="1247"/>
      <c r="FF104" s="107"/>
    </row>
    <row r="105" spans="4:162" ht="30.75" thickBot="1" x14ac:dyDescent="0.25">
      <c r="D105" s="185"/>
      <c r="E105" s="186"/>
      <c r="F105" s="186"/>
      <c r="G105" s="186"/>
      <c r="H105" s="187"/>
      <c r="I105" s="188" t="s">
        <v>371</v>
      </c>
      <c r="J105" s="189" t="s">
        <v>287</v>
      </c>
      <c r="K105" s="190"/>
      <c r="L105" s="190"/>
      <c r="M105" s="190"/>
      <c r="N105" s="191"/>
      <c r="O105" s="191"/>
      <c r="P105" s="195"/>
      <c r="Q105" s="192"/>
      <c r="R105" s="193"/>
      <c r="S105" s="194"/>
      <c r="T105" s="195"/>
      <c r="BA105" s="219" t="str">
        <f>D127</f>
        <v>Off treatment - all lines
(beyond 12 weeks)</v>
      </c>
      <c r="BB105" s="219"/>
      <c r="BC105" s="219" t="str">
        <f>J127</f>
        <v>per cycle</v>
      </c>
      <c r="BD105" s="219">
        <v>1</v>
      </c>
      <c r="BE105" s="466">
        <f>S132</f>
        <v>38.556539999999998</v>
      </c>
      <c r="BF105" s="467">
        <f>T132</f>
        <v>7.7113079999999998</v>
      </c>
      <c r="BG105" s="469">
        <f>Q127</f>
        <v>12</v>
      </c>
      <c r="BH105" s="470">
        <f>R127</f>
        <v>2088</v>
      </c>
      <c r="BJ105" s="219"/>
      <c r="BK105" s="219"/>
      <c r="BL105" s="219"/>
      <c r="BM105" s="219"/>
      <c r="BN105" s="988"/>
      <c r="BO105" s="884"/>
      <c r="DC105" s="107"/>
      <c r="EL105" s="1244"/>
      <c r="EN105" s="107"/>
      <c r="FD105" s="1247"/>
      <c r="FF105" s="107"/>
    </row>
    <row r="106" spans="4:162" ht="45" x14ac:dyDescent="0.2">
      <c r="D106" s="1643" t="s">
        <v>372</v>
      </c>
      <c r="E106" s="1644"/>
      <c r="F106" s="1644"/>
      <c r="G106" s="1644"/>
      <c r="H106" s="1645"/>
      <c r="I106" s="196" t="s">
        <v>373</v>
      </c>
      <c r="J106" s="197" t="s">
        <v>267</v>
      </c>
      <c r="K106" s="161">
        <v>0.25</v>
      </c>
      <c r="L106" s="161"/>
      <c r="M106" s="161"/>
      <c r="N106" s="198"/>
      <c r="O106" s="163">
        <v>164.19</v>
      </c>
      <c r="P106" s="481">
        <f>i_SE_costs*O106</f>
        <v>32.838000000000001</v>
      </c>
      <c r="Q106" s="1528">
        <f>R100</f>
        <v>1</v>
      </c>
      <c r="R106" s="1525">
        <v>11</v>
      </c>
      <c r="S106" s="164">
        <f>K106*O106</f>
        <v>41.047499999999999</v>
      </c>
      <c r="T106" s="481">
        <f>S106*i_SE_costs</f>
        <v>8.2095000000000002</v>
      </c>
      <c r="V106" s="107" t="s">
        <v>374</v>
      </c>
      <c r="BA106" s="219" t="str">
        <f t="shared" ref="BA106:BC125" si="100">BA102</f>
        <v>On treatment - all lines
(from treatment initiation until 12 weeks)</v>
      </c>
      <c r="BB106" s="219"/>
      <c r="BC106" s="219" t="str">
        <f t="shared" si="100"/>
        <v>per cycle</v>
      </c>
      <c r="BD106" s="797">
        <v>2</v>
      </c>
      <c r="BE106" s="467">
        <f t="shared" ref="BE106:BH125" si="101">BE102</f>
        <v>63.185039999999994</v>
      </c>
      <c r="BF106" s="467">
        <f t="shared" si="101"/>
        <v>12.637008</v>
      </c>
      <c r="BG106" s="219">
        <f t="shared" si="101"/>
        <v>1</v>
      </c>
      <c r="BH106" s="219">
        <f t="shared" si="101"/>
        <v>11</v>
      </c>
      <c r="BJ106" s="219"/>
      <c r="BK106" s="219"/>
      <c r="BL106" s="219"/>
      <c r="BM106" s="219"/>
      <c r="BN106" s="988"/>
      <c r="BO106" s="884"/>
      <c r="DC106" s="107"/>
      <c r="EL106" s="1244"/>
      <c r="EN106" s="107"/>
      <c r="FD106" s="1247"/>
      <c r="FF106" s="107"/>
    </row>
    <row r="107" spans="4:162" x14ac:dyDescent="0.2">
      <c r="D107" s="1646"/>
      <c r="E107" s="1647"/>
      <c r="F107" s="1647"/>
      <c r="G107" s="1647"/>
      <c r="H107" s="1648"/>
      <c r="I107" s="165" t="s">
        <v>375</v>
      </c>
      <c r="J107" s="160" t="s">
        <v>267</v>
      </c>
      <c r="K107" s="166">
        <v>8.3000000000000004E-2</v>
      </c>
      <c r="L107" s="199"/>
      <c r="M107" s="199"/>
      <c r="N107" s="200"/>
      <c r="O107" s="168">
        <v>99.88</v>
      </c>
      <c r="P107" s="481">
        <f>i_SE_costs*O107</f>
        <v>19.975999999999999</v>
      </c>
      <c r="Q107" s="1529"/>
      <c r="R107" s="1526"/>
      <c r="S107" s="201">
        <f>K107*O107</f>
        <v>8.2900399999999994</v>
      </c>
      <c r="T107" s="481">
        <f>i_SE_costs*S107</f>
        <v>1.6580079999999999</v>
      </c>
      <c r="V107" s="107" t="s">
        <v>376</v>
      </c>
      <c r="BA107" s="219" t="str">
        <f t="shared" si="100"/>
        <v>Off treatment - all lines
(until 12 weeks)</v>
      </c>
      <c r="BB107" s="219"/>
      <c r="BC107" s="219" t="str">
        <f t="shared" si="100"/>
        <v>per cycle</v>
      </c>
      <c r="BD107" s="219">
        <v>2</v>
      </c>
      <c r="BE107" s="467">
        <f t="shared" si="101"/>
        <v>63.185039999999994</v>
      </c>
      <c r="BF107" s="467">
        <f t="shared" si="101"/>
        <v>12.637008</v>
      </c>
      <c r="BG107" s="219">
        <f t="shared" si="101"/>
        <v>1</v>
      </c>
      <c r="BH107" s="219">
        <f t="shared" si="101"/>
        <v>11</v>
      </c>
      <c r="BJ107" s="219"/>
      <c r="BK107" s="219"/>
      <c r="BL107" s="219"/>
      <c r="BM107" s="219"/>
      <c r="BN107" s="988"/>
      <c r="BO107" s="884"/>
      <c r="DC107" s="107"/>
      <c r="EL107" s="1244"/>
      <c r="EN107" s="107"/>
      <c r="FD107" s="1247"/>
      <c r="FF107" s="107"/>
    </row>
    <row r="108" spans="4:162" x14ac:dyDescent="0.2">
      <c r="D108" s="1646"/>
      <c r="E108" s="1647"/>
      <c r="F108" s="1647"/>
      <c r="G108" s="1647"/>
      <c r="H108" s="1648"/>
      <c r="I108" s="165" t="s">
        <v>365</v>
      </c>
      <c r="J108" s="160" t="s">
        <v>267</v>
      </c>
      <c r="K108" s="166">
        <v>0.25</v>
      </c>
      <c r="L108" s="199"/>
      <c r="M108" s="199"/>
      <c r="N108" s="200"/>
      <c r="O108" s="168">
        <v>2.39</v>
      </c>
      <c r="P108" s="481">
        <f>i_SE_costs*O108</f>
        <v>0.47800000000000004</v>
      </c>
      <c r="Q108" s="1529"/>
      <c r="R108" s="1526"/>
      <c r="S108" s="201">
        <f>K108*O108</f>
        <v>0.59750000000000003</v>
      </c>
      <c r="T108" s="481">
        <f>i_SE_costs*S108</f>
        <v>0.11950000000000001</v>
      </c>
      <c r="V108" s="107" t="s">
        <v>366</v>
      </c>
      <c r="BA108" s="219" t="str">
        <f t="shared" si="100"/>
        <v>On treatment - all lines
(beyond 12 weeks)</v>
      </c>
      <c r="BB108" s="219"/>
      <c r="BC108" s="219" t="str">
        <f t="shared" si="100"/>
        <v>per cycle</v>
      </c>
      <c r="BD108" s="219">
        <v>2</v>
      </c>
      <c r="BE108" s="467">
        <f t="shared" si="101"/>
        <v>38.556539999999998</v>
      </c>
      <c r="BF108" s="467">
        <f t="shared" si="101"/>
        <v>7.7113079999999998</v>
      </c>
      <c r="BG108" s="219">
        <f t="shared" si="101"/>
        <v>12</v>
      </c>
      <c r="BH108" s="219">
        <f t="shared" si="101"/>
        <v>2088</v>
      </c>
      <c r="BJ108" s="219"/>
      <c r="BK108" s="219"/>
      <c r="BL108" s="219"/>
      <c r="BM108" s="219"/>
      <c r="BN108" s="988"/>
      <c r="BO108" s="884"/>
      <c r="DC108" s="107"/>
      <c r="EL108" s="1244"/>
      <c r="EN108" s="107"/>
      <c r="FD108" s="1247"/>
      <c r="FF108" s="107"/>
    </row>
    <row r="109" spans="4:162" x14ac:dyDescent="0.2">
      <c r="D109" s="1646"/>
      <c r="E109" s="1647"/>
      <c r="F109" s="1647"/>
      <c r="G109" s="1647"/>
      <c r="H109" s="1648"/>
      <c r="I109" s="165" t="s">
        <v>367</v>
      </c>
      <c r="J109" s="160" t="s">
        <v>267</v>
      </c>
      <c r="K109" s="170">
        <v>0.25</v>
      </c>
      <c r="L109" s="199"/>
      <c r="M109" s="199"/>
      <c r="N109" s="200"/>
      <c r="O109" s="171">
        <v>53</v>
      </c>
      <c r="P109" s="481">
        <f>i_SE_costs*O109</f>
        <v>10.600000000000001</v>
      </c>
      <c r="Q109" s="1529"/>
      <c r="R109" s="1526"/>
      <c r="S109" s="201">
        <f>K109*O109</f>
        <v>13.25</v>
      </c>
      <c r="T109" s="481">
        <f>i_SE_costs*S109</f>
        <v>2.6500000000000004</v>
      </c>
      <c r="V109" s="107" t="s">
        <v>368</v>
      </c>
      <c r="BA109" s="219" t="str">
        <f t="shared" si="100"/>
        <v>Off treatment - all lines
(beyond 12 weeks)</v>
      </c>
      <c r="BB109" s="219"/>
      <c r="BC109" s="219" t="str">
        <f t="shared" si="100"/>
        <v>per cycle</v>
      </c>
      <c r="BD109" s="219">
        <v>2</v>
      </c>
      <c r="BE109" s="467">
        <f t="shared" si="101"/>
        <v>38.556539999999998</v>
      </c>
      <c r="BF109" s="467">
        <f t="shared" si="101"/>
        <v>7.7113079999999998</v>
      </c>
      <c r="BG109" s="219">
        <f t="shared" si="101"/>
        <v>12</v>
      </c>
      <c r="BH109" s="219">
        <f t="shared" si="101"/>
        <v>2088</v>
      </c>
      <c r="BJ109" s="219"/>
      <c r="BK109" s="219"/>
      <c r="BL109" s="219"/>
      <c r="BM109" s="219"/>
      <c r="BN109" s="988"/>
      <c r="BO109" s="884"/>
      <c r="DC109" s="107"/>
      <c r="EL109" s="1244"/>
      <c r="EN109" s="107"/>
      <c r="FD109" s="1247"/>
      <c r="FF109" s="107"/>
    </row>
    <row r="110" spans="4:162" x14ac:dyDescent="0.2">
      <c r="D110" s="1646"/>
      <c r="E110" s="1647"/>
      <c r="F110" s="1647"/>
      <c r="G110" s="1647"/>
      <c r="H110" s="1648"/>
      <c r="I110" s="172" t="s">
        <v>369</v>
      </c>
      <c r="J110" s="160" t="s">
        <v>267</v>
      </c>
      <c r="K110" s="173">
        <v>0</v>
      </c>
      <c r="L110" s="202"/>
      <c r="M110" s="202"/>
      <c r="N110" s="203"/>
      <c r="O110" s="176">
        <v>5.78</v>
      </c>
      <c r="P110" s="481">
        <f>i_SE_costs*O110</f>
        <v>1.1560000000000001</v>
      </c>
      <c r="Q110" s="1530"/>
      <c r="R110" s="1527"/>
      <c r="S110" s="204">
        <f>K110*O110</f>
        <v>0</v>
      </c>
      <c r="T110" s="481">
        <f>i_SE_costs*S110</f>
        <v>0</v>
      </c>
      <c r="BA110" s="219" t="str">
        <f t="shared" si="100"/>
        <v>On treatment - all lines
(from treatment initiation until 12 weeks)</v>
      </c>
      <c r="BB110" s="219"/>
      <c r="BC110" s="219" t="str">
        <f t="shared" si="100"/>
        <v>per cycle</v>
      </c>
      <c r="BD110" s="219">
        <f t="shared" ref="BD110:BD145" si="102">BD106+1</f>
        <v>3</v>
      </c>
      <c r="BE110" s="467">
        <f t="shared" si="101"/>
        <v>63.185039999999994</v>
      </c>
      <c r="BF110" s="467">
        <f t="shared" si="101"/>
        <v>12.637008</v>
      </c>
      <c r="BG110" s="219">
        <f t="shared" si="101"/>
        <v>1</v>
      </c>
      <c r="BH110" s="219">
        <f t="shared" si="101"/>
        <v>11</v>
      </c>
      <c r="BJ110" s="219"/>
      <c r="BK110" s="219"/>
      <c r="BL110" s="219"/>
      <c r="BM110" s="219"/>
      <c r="BN110" s="988"/>
      <c r="BO110" s="884"/>
      <c r="DC110" s="107"/>
      <c r="EL110" s="1244"/>
      <c r="EN110" s="107"/>
      <c r="FD110" s="1247"/>
      <c r="FF110" s="107"/>
    </row>
    <row r="111" spans="4:162" ht="16.5" thickBot="1" x14ac:dyDescent="0.3">
      <c r="D111" s="1649"/>
      <c r="E111" s="1650"/>
      <c r="F111" s="1650"/>
      <c r="G111" s="1650"/>
      <c r="H111" s="1651"/>
      <c r="I111" s="177" t="s">
        <v>370</v>
      </c>
      <c r="J111" s="205" t="s">
        <v>267</v>
      </c>
      <c r="K111" s="179"/>
      <c r="L111" s="206"/>
      <c r="M111" s="206"/>
      <c r="N111" s="207"/>
      <c r="O111" s="181"/>
      <c r="P111" s="482"/>
      <c r="Q111" s="208"/>
      <c r="R111" s="209"/>
      <c r="S111" s="210">
        <f>SUM(S106:S110)</f>
        <v>63.185039999999994</v>
      </c>
      <c r="T111" s="482">
        <f>S111*i_SE_costs</f>
        <v>12.637008</v>
      </c>
      <c r="BA111" s="219" t="str">
        <f t="shared" si="100"/>
        <v>Off treatment - all lines
(until 12 weeks)</v>
      </c>
      <c r="BB111" s="219"/>
      <c r="BC111" s="219" t="str">
        <f t="shared" si="100"/>
        <v>per cycle</v>
      </c>
      <c r="BD111" s="219">
        <f t="shared" si="102"/>
        <v>3</v>
      </c>
      <c r="BE111" s="467">
        <f t="shared" si="101"/>
        <v>63.185039999999994</v>
      </c>
      <c r="BF111" s="467">
        <f t="shared" si="101"/>
        <v>12.637008</v>
      </c>
      <c r="BG111" s="219">
        <f t="shared" si="101"/>
        <v>1</v>
      </c>
      <c r="BH111" s="219">
        <f t="shared" si="101"/>
        <v>11</v>
      </c>
      <c r="BJ111" s="219"/>
      <c r="BK111" s="219"/>
      <c r="BL111" s="219"/>
      <c r="BM111" s="219"/>
      <c r="BN111" s="988"/>
      <c r="BO111" s="884"/>
      <c r="DC111" s="107"/>
      <c r="EL111" s="1244"/>
      <c r="EN111" s="107"/>
      <c r="FD111" s="1247"/>
      <c r="FF111" s="107"/>
    </row>
    <row r="112" spans="4:162" ht="30.75" thickBot="1" x14ac:dyDescent="0.25">
      <c r="D112" s="211"/>
      <c r="E112" s="151"/>
      <c r="F112" s="151"/>
      <c r="G112" s="151"/>
      <c r="H112" s="212"/>
      <c r="I112" s="188" t="s">
        <v>371</v>
      </c>
      <c r="J112" s="205" t="s">
        <v>267</v>
      </c>
      <c r="K112" s="190"/>
      <c r="L112" s="190"/>
      <c r="M112" s="190"/>
      <c r="N112" s="191"/>
      <c r="O112" s="191"/>
      <c r="P112" s="195"/>
      <c r="Q112" s="192"/>
      <c r="R112" s="193"/>
      <c r="S112" s="194"/>
      <c r="T112" s="195"/>
      <c r="BA112" s="219" t="str">
        <f t="shared" si="100"/>
        <v>On treatment - all lines
(beyond 12 weeks)</v>
      </c>
      <c r="BB112" s="219"/>
      <c r="BC112" s="219" t="str">
        <f t="shared" si="100"/>
        <v>per cycle</v>
      </c>
      <c r="BD112" s="219">
        <f t="shared" si="102"/>
        <v>3</v>
      </c>
      <c r="BE112" s="467">
        <f t="shared" si="101"/>
        <v>38.556539999999998</v>
      </c>
      <c r="BF112" s="467">
        <f t="shared" si="101"/>
        <v>7.7113079999999998</v>
      </c>
      <c r="BG112" s="219">
        <f t="shared" si="101"/>
        <v>12</v>
      </c>
      <c r="BH112" s="219">
        <f t="shared" si="101"/>
        <v>2088</v>
      </c>
      <c r="BJ112" s="219"/>
      <c r="BK112" s="219"/>
      <c r="BL112" s="219"/>
      <c r="BM112" s="219"/>
      <c r="BN112" s="988"/>
      <c r="BO112" s="884"/>
      <c r="DC112" s="107"/>
      <c r="EL112" s="1244"/>
      <c r="EN112" s="107"/>
      <c r="FD112" s="1247"/>
      <c r="FF112" s="107"/>
    </row>
    <row r="113" spans="4:162" ht="45" x14ac:dyDescent="0.2">
      <c r="D113" s="1643" t="s">
        <v>377</v>
      </c>
      <c r="E113" s="1644"/>
      <c r="F113" s="1644"/>
      <c r="G113" s="1644"/>
      <c r="H113" s="1645"/>
      <c r="I113" s="196" t="s">
        <v>373</v>
      </c>
      <c r="J113" s="197" t="s">
        <v>267</v>
      </c>
      <c r="K113" s="161">
        <v>0.25</v>
      </c>
      <c r="L113" s="161"/>
      <c r="M113" s="161"/>
      <c r="N113" s="198"/>
      <c r="O113" s="163">
        <v>164.19</v>
      </c>
      <c r="P113" s="481">
        <f>i_SE_costs*O113</f>
        <v>32.838000000000001</v>
      </c>
      <c r="Q113" s="1528">
        <v>1</v>
      </c>
      <c r="R113" s="1525">
        <v>11</v>
      </c>
      <c r="S113" s="164">
        <f>K113*O113</f>
        <v>41.047499999999999</v>
      </c>
      <c r="T113" s="481">
        <f>S113*i_SE_costs</f>
        <v>8.2095000000000002</v>
      </c>
      <c r="V113" s="107" t="s">
        <v>374</v>
      </c>
      <c r="BA113" s="219" t="str">
        <f t="shared" si="100"/>
        <v>Off treatment - all lines
(beyond 12 weeks)</v>
      </c>
      <c r="BB113" s="219"/>
      <c r="BC113" s="219" t="str">
        <f t="shared" si="100"/>
        <v>per cycle</v>
      </c>
      <c r="BD113" s="219">
        <f t="shared" si="102"/>
        <v>3</v>
      </c>
      <c r="BE113" s="467">
        <f t="shared" si="101"/>
        <v>38.556539999999998</v>
      </c>
      <c r="BF113" s="467">
        <f t="shared" si="101"/>
        <v>7.7113079999999998</v>
      </c>
      <c r="BG113" s="219">
        <f t="shared" si="101"/>
        <v>12</v>
      </c>
      <c r="BH113" s="219">
        <f t="shared" si="101"/>
        <v>2088</v>
      </c>
      <c r="BJ113" s="219"/>
      <c r="BK113" s="219"/>
      <c r="BL113" s="219"/>
      <c r="BM113" s="219"/>
      <c r="BN113" s="988"/>
      <c r="BO113" s="884"/>
      <c r="DC113" s="107"/>
      <c r="EL113" s="1244"/>
      <c r="EN113" s="107"/>
      <c r="FD113" s="1247"/>
      <c r="FF113" s="107"/>
    </row>
    <row r="114" spans="4:162" x14ac:dyDescent="0.2">
      <c r="D114" s="1646"/>
      <c r="E114" s="1647"/>
      <c r="F114" s="1647"/>
      <c r="G114" s="1647"/>
      <c r="H114" s="1648"/>
      <c r="I114" s="165" t="s">
        <v>375</v>
      </c>
      <c r="J114" s="160" t="s">
        <v>267</v>
      </c>
      <c r="K114" s="166">
        <v>8.3000000000000004E-2</v>
      </c>
      <c r="L114" s="199"/>
      <c r="M114" s="199"/>
      <c r="N114" s="200"/>
      <c r="O114" s="168">
        <v>99.88</v>
      </c>
      <c r="P114" s="481">
        <f>i_SE_costs*O114</f>
        <v>19.975999999999999</v>
      </c>
      <c r="Q114" s="1529"/>
      <c r="R114" s="1526"/>
      <c r="S114" s="201">
        <f>K114*O114</f>
        <v>8.2900399999999994</v>
      </c>
      <c r="T114" s="481">
        <f>i_SE_costs*S114</f>
        <v>1.6580079999999999</v>
      </c>
      <c r="V114" s="107" t="s">
        <v>376</v>
      </c>
      <c r="BA114" s="219" t="str">
        <f t="shared" si="100"/>
        <v>On treatment - all lines
(from treatment initiation until 12 weeks)</v>
      </c>
      <c r="BB114" s="219"/>
      <c r="BC114" s="219" t="str">
        <f t="shared" si="100"/>
        <v>per cycle</v>
      </c>
      <c r="BD114" s="219">
        <f t="shared" si="102"/>
        <v>4</v>
      </c>
      <c r="BE114" s="467">
        <f t="shared" si="101"/>
        <v>63.185039999999994</v>
      </c>
      <c r="BF114" s="467">
        <f t="shared" si="101"/>
        <v>12.637008</v>
      </c>
      <c r="BG114" s="219">
        <f t="shared" si="101"/>
        <v>1</v>
      </c>
      <c r="BH114" s="219">
        <f t="shared" si="101"/>
        <v>11</v>
      </c>
      <c r="BJ114" s="219"/>
      <c r="BK114" s="219"/>
      <c r="BL114" s="219"/>
      <c r="BM114" s="219"/>
      <c r="BN114" s="988"/>
      <c r="BO114" s="884"/>
      <c r="DC114" s="107"/>
      <c r="EL114" s="1244"/>
      <c r="EN114" s="107"/>
      <c r="FD114" s="1247"/>
      <c r="FF114" s="107"/>
    </row>
    <row r="115" spans="4:162" x14ac:dyDescent="0.2">
      <c r="D115" s="1646"/>
      <c r="E115" s="1647"/>
      <c r="F115" s="1647"/>
      <c r="G115" s="1647"/>
      <c r="H115" s="1648"/>
      <c r="I115" s="165" t="s">
        <v>365</v>
      </c>
      <c r="J115" s="160" t="s">
        <v>267</v>
      </c>
      <c r="K115" s="166">
        <v>0.25</v>
      </c>
      <c r="L115" s="199"/>
      <c r="M115" s="199"/>
      <c r="N115" s="200"/>
      <c r="O115" s="168">
        <v>2.39</v>
      </c>
      <c r="P115" s="481">
        <f>i_SE_costs*O115</f>
        <v>0.47800000000000004</v>
      </c>
      <c r="Q115" s="1529"/>
      <c r="R115" s="1526"/>
      <c r="S115" s="201">
        <f>K115*O115</f>
        <v>0.59750000000000003</v>
      </c>
      <c r="T115" s="481">
        <f>i_SE_costs*S115</f>
        <v>0.11950000000000001</v>
      </c>
      <c r="V115" s="107" t="s">
        <v>366</v>
      </c>
      <c r="BA115" s="219" t="str">
        <f t="shared" si="100"/>
        <v>Off treatment - all lines
(until 12 weeks)</v>
      </c>
      <c r="BB115" s="219"/>
      <c r="BC115" s="219" t="str">
        <f t="shared" si="100"/>
        <v>per cycle</v>
      </c>
      <c r="BD115" s="219">
        <f t="shared" si="102"/>
        <v>4</v>
      </c>
      <c r="BE115" s="467">
        <f t="shared" si="101"/>
        <v>63.185039999999994</v>
      </c>
      <c r="BF115" s="467">
        <f t="shared" si="101"/>
        <v>12.637008</v>
      </c>
      <c r="BG115" s="219">
        <f t="shared" si="101"/>
        <v>1</v>
      </c>
      <c r="BH115" s="219">
        <f t="shared" si="101"/>
        <v>11</v>
      </c>
      <c r="BJ115" s="219"/>
      <c r="BK115" s="219"/>
      <c r="BL115" s="219"/>
      <c r="BM115" s="219"/>
      <c r="BN115" s="988"/>
      <c r="BO115" s="884"/>
      <c r="DC115" s="107"/>
      <c r="EL115" s="1244"/>
      <c r="EN115" s="107"/>
      <c r="FD115" s="1247"/>
      <c r="FF115" s="107"/>
    </row>
    <row r="116" spans="4:162" x14ac:dyDescent="0.2">
      <c r="D116" s="1646"/>
      <c r="E116" s="1647"/>
      <c r="F116" s="1647"/>
      <c r="G116" s="1647"/>
      <c r="H116" s="1648"/>
      <c r="I116" s="165" t="s">
        <v>367</v>
      </c>
      <c r="J116" s="160" t="s">
        <v>267</v>
      </c>
      <c r="K116" s="170">
        <v>0.25</v>
      </c>
      <c r="L116" s="199"/>
      <c r="M116" s="199"/>
      <c r="N116" s="200"/>
      <c r="O116" s="171">
        <v>53</v>
      </c>
      <c r="P116" s="481">
        <f>i_SE_costs*O116</f>
        <v>10.600000000000001</v>
      </c>
      <c r="Q116" s="1529"/>
      <c r="R116" s="1526"/>
      <c r="S116" s="201">
        <f>K116*O116</f>
        <v>13.25</v>
      </c>
      <c r="T116" s="481">
        <f>i_SE_costs*S116</f>
        <v>2.6500000000000004</v>
      </c>
      <c r="V116" s="107" t="s">
        <v>368</v>
      </c>
      <c r="BA116" s="219" t="str">
        <f t="shared" si="100"/>
        <v>On treatment - all lines
(beyond 12 weeks)</v>
      </c>
      <c r="BB116" s="219"/>
      <c r="BC116" s="219" t="str">
        <f t="shared" si="100"/>
        <v>per cycle</v>
      </c>
      <c r="BD116" s="219">
        <f t="shared" si="102"/>
        <v>4</v>
      </c>
      <c r="BE116" s="467">
        <f t="shared" si="101"/>
        <v>38.556539999999998</v>
      </c>
      <c r="BF116" s="467">
        <f t="shared" si="101"/>
        <v>7.7113079999999998</v>
      </c>
      <c r="BG116" s="219">
        <f t="shared" si="101"/>
        <v>12</v>
      </c>
      <c r="BH116" s="219">
        <f t="shared" si="101"/>
        <v>2088</v>
      </c>
      <c r="BJ116" s="219"/>
      <c r="BK116" s="219"/>
      <c r="BL116" s="219"/>
      <c r="BM116" s="219"/>
      <c r="BN116" s="988"/>
      <c r="BO116" s="884"/>
      <c r="DC116" s="107"/>
      <c r="EL116" s="1244"/>
      <c r="EN116" s="107"/>
      <c r="FD116" s="1247"/>
      <c r="FF116" s="107"/>
    </row>
    <row r="117" spans="4:162" x14ac:dyDescent="0.2">
      <c r="D117" s="1646"/>
      <c r="E117" s="1647"/>
      <c r="F117" s="1647"/>
      <c r="G117" s="1647"/>
      <c r="H117" s="1648"/>
      <c r="I117" s="172" t="s">
        <v>369</v>
      </c>
      <c r="J117" s="160" t="s">
        <v>267</v>
      </c>
      <c r="K117" s="173">
        <v>0</v>
      </c>
      <c r="L117" s="202"/>
      <c r="M117" s="202"/>
      <c r="N117" s="203"/>
      <c r="O117" s="176">
        <v>5.78</v>
      </c>
      <c r="P117" s="481">
        <f>i_SE_costs*O117</f>
        <v>1.1560000000000001</v>
      </c>
      <c r="Q117" s="1530"/>
      <c r="R117" s="1527"/>
      <c r="S117" s="204">
        <f>K117*O117</f>
        <v>0</v>
      </c>
      <c r="T117" s="481">
        <f>i_SE_costs*S117</f>
        <v>0</v>
      </c>
      <c r="BA117" s="219" t="str">
        <f t="shared" si="100"/>
        <v>Off treatment - all lines
(beyond 12 weeks)</v>
      </c>
      <c r="BB117" s="219"/>
      <c r="BC117" s="219" t="str">
        <f t="shared" si="100"/>
        <v>per cycle</v>
      </c>
      <c r="BD117" s="219">
        <f t="shared" si="102"/>
        <v>4</v>
      </c>
      <c r="BE117" s="467">
        <f t="shared" si="101"/>
        <v>38.556539999999998</v>
      </c>
      <c r="BF117" s="467">
        <f t="shared" si="101"/>
        <v>7.7113079999999998</v>
      </c>
      <c r="BG117" s="219">
        <f t="shared" si="101"/>
        <v>12</v>
      </c>
      <c r="BH117" s="219">
        <f t="shared" si="101"/>
        <v>2088</v>
      </c>
      <c r="BJ117" s="219"/>
      <c r="BK117" s="219"/>
      <c r="BL117" s="219"/>
      <c r="BM117" s="219"/>
      <c r="BN117" s="988"/>
      <c r="BO117" s="884"/>
      <c r="DC117" s="107"/>
      <c r="EL117" s="1244"/>
      <c r="EN117" s="107"/>
      <c r="FD117" s="1247"/>
      <c r="FF117" s="107"/>
    </row>
    <row r="118" spans="4:162" ht="16.5" thickBot="1" x14ac:dyDescent="0.3">
      <c r="D118" s="1649"/>
      <c r="E118" s="1650"/>
      <c r="F118" s="1650"/>
      <c r="G118" s="1650"/>
      <c r="H118" s="1651"/>
      <c r="I118" s="177" t="s">
        <v>370</v>
      </c>
      <c r="J118" s="205" t="s">
        <v>267</v>
      </c>
      <c r="K118" s="179"/>
      <c r="L118" s="206"/>
      <c r="M118" s="206"/>
      <c r="N118" s="207"/>
      <c r="O118" s="181"/>
      <c r="P118" s="482"/>
      <c r="Q118" s="208"/>
      <c r="R118" s="209"/>
      <c r="S118" s="210">
        <f>SUM(S113:S117)</f>
        <v>63.185039999999994</v>
      </c>
      <c r="T118" s="482">
        <f>i_SE_costs*S118</f>
        <v>12.637008</v>
      </c>
      <c r="BA118" s="219" t="str">
        <f t="shared" si="100"/>
        <v>On treatment - all lines
(from treatment initiation until 12 weeks)</v>
      </c>
      <c r="BB118" s="219"/>
      <c r="BC118" s="219" t="str">
        <f t="shared" si="100"/>
        <v>per cycle</v>
      </c>
      <c r="BD118" s="219">
        <f t="shared" si="102"/>
        <v>5</v>
      </c>
      <c r="BE118" s="467">
        <f t="shared" si="101"/>
        <v>63.185039999999994</v>
      </c>
      <c r="BF118" s="467">
        <f t="shared" si="101"/>
        <v>12.637008</v>
      </c>
      <c r="BG118" s="219">
        <f t="shared" si="101"/>
        <v>1</v>
      </c>
      <c r="BH118" s="219">
        <f t="shared" si="101"/>
        <v>11</v>
      </c>
      <c r="BJ118" s="219"/>
      <c r="BK118" s="219"/>
      <c r="BL118" s="219"/>
      <c r="BM118" s="219"/>
      <c r="BN118" s="988"/>
      <c r="BO118" s="884"/>
      <c r="DC118" s="107"/>
      <c r="EL118" s="1244"/>
      <c r="EN118" s="107"/>
      <c r="FD118" s="1247"/>
      <c r="FF118" s="107"/>
    </row>
    <row r="119" spans="4:162" ht="30.75" thickBot="1" x14ac:dyDescent="0.25">
      <c r="D119" s="211"/>
      <c r="E119" s="151"/>
      <c r="F119" s="151"/>
      <c r="G119" s="151"/>
      <c r="H119" s="212"/>
      <c r="I119" s="188" t="s">
        <v>371</v>
      </c>
      <c r="J119" s="205" t="s">
        <v>267</v>
      </c>
      <c r="K119" s="190"/>
      <c r="L119" s="190"/>
      <c r="M119" s="190"/>
      <c r="N119" s="191"/>
      <c r="O119" s="191"/>
      <c r="P119" s="195"/>
      <c r="Q119" s="192"/>
      <c r="R119" s="193"/>
      <c r="S119" s="194"/>
      <c r="T119" s="195"/>
      <c r="BA119" s="219" t="str">
        <f t="shared" si="100"/>
        <v>Off treatment - all lines
(until 12 weeks)</v>
      </c>
      <c r="BB119" s="219"/>
      <c r="BC119" s="219" t="str">
        <f t="shared" si="100"/>
        <v>per cycle</v>
      </c>
      <c r="BD119" s="219">
        <f t="shared" si="102"/>
        <v>5</v>
      </c>
      <c r="BE119" s="467">
        <f t="shared" si="101"/>
        <v>63.185039999999994</v>
      </c>
      <c r="BF119" s="467">
        <f t="shared" si="101"/>
        <v>12.637008</v>
      </c>
      <c r="BG119" s="219">
        <f t="shared" si="101"/>
        <v>1</v>
      </c>
      <c r="BH119" s="219">
        <f t="shared" si="101"/>
        <v>11</v>
      </c>
      <c r="BJ119" s="219"/>
      <c r="BK119" s="219"/>
      <c r="BL119" s="219"/>
      <c r="BM119" s="219"/>
      <c r="BN119" s="988"/>
      <c r="BO119" s="884"/>
      <c r="DC119" s="107"/>
      <c r="EL119" s="1244"/>
      <c r="EN119" s="107"/>
      <c r="FD119" s="1247"/>
      <c r="FF119" s="107"/>
    </row>
    <row r="120" spans="4:162" ht="45.75" x14ac:dyDescent="0.25">
      <c r="D120" s="1643" t="s">
        <v>378</v>
      </c>
      <c r="E120" s="1644"/>
      <c r="F120" s="1644"/>
      <c r="G120" s="1644"/>
      <c r="H120" s="1645"/>
      <c r="I120" s="213" t="s">
        <v>379</v>
      </c>
      <c r="J120" s="160" t="s">
        <v>267</v>
      </c>
      <c r="K120" s="199">
        <v>0.1</v>
      </c>
      <c r="L120" s="199"/>
      <c r="M120" s="199"/>
      <c r="N120" s="214"/>
      <c r="O120" s="163">
        <v>164.19</v>
      </c>
      <c r="P120" s="481">
        <f>i_SE_costs*O120</f>
        <v>32.838000000000001</v>
      </c>
      <c r="Q120" s="1528">
        <v>12</v>
      </c>
      <c r="R120" s="1525">
        <f>ROUNDUP(ui_time_horizon*365.25*i_days_to_weeks,0)</f>
        <v>2088</v>
      </c>
      <c r="S120" s="164">
        <f>K120*O120</f>
        <v>16.419</v>
      </c>
      <c r="T120" s="481">
        <f>S120*i_SE_costs</f>
        <v>3.2838000000000003</v>
      </c>
      <c r="V120" s="107" t="s">
        <v>380</v>
      </c>
      <c r="AQ120" s="215" t="s">
        <v>381</v>
      </c>
      <c r="BA120" s="219" t="str">
        <f t="shared" si="100"/>
        <v>On treatment - all lines
(beyond 12 weeks)</v>
      </c>
      <c r="BB120" s="219"/>
      <c r="BC120" s="219" t="str">
        <f t="shared" si="100"/>
        <v>per cycle</v>
      </c>
      <c r="BD120" s="219">
        <f t="shared" si="102"/>
        <v>5</v>
      </c>
      <c r="BE120" s="467">
        <f t="shared" si="101"/>
        <v>38.556539999999998</v>
      </c>
      <c r="BF120" s="467">
        <f t="shared" si="101"/>
        <v>7.7113079999999998</v>
      </c>
      <c r="BG120" s="219">
        <f t="shared" si="101"/>
        <v>12</v>
      </c>
      <c r="BH120" s="219">
        <f t="shared" si="101"/>
        <v>2088</v>
      </c>
      <c r="BJ120" s="219"/>
      <c r="BK120" s="219"/>
      <c r="BL120" s="219"/>
      <c r="BM120" s="219"/>
      <c r="BN120" s="988"/>
      <c r="BO120" s="884"/>
      <c r="DC120" s="107"/>
      <c r="EL120" s="1244"/>
      <c r="EN120" s="107"/>
      <c r="FD120" s="1247"/>
      <c r="FF120" s="107"/>
    </row>
    <row r="121" spans="4:162" ht="15.75" x14ac:dyDescent="0.25">
      <c r="D121" s="1646"/>
      <c r="E121" s="1647"/>
      <c r="F121" s="1647"/>
      <c r="G121" s="1647"/>
      <c r="H121" s="1648"/>
      <c r="I121" s="165" t="s">
        <v>375</v>
      </c>
      <c r="J121" s="160" t="s">
        <v>267</v>
      </c>
      <c r="K121" s="166">
        <v>8.3000000000000004E-2</v>
      </c>
      <c r="L121" s="166"/>
      <c r="M121" s="166"/>
      <c r="N121" s="167"/>
      <c r="O121" s="168">
        <v>99.88</v>
      </c>
      <c r="P121" s="481">
        <f>i_SE_costs*O121</f>
        <v>19.975999999999999</v>
      </c>
      <c r="Q121" s="1529"/>
      <c r="R121" s="1526"/>
      <c r="S121" s="201">
        <f>K121*O121</f>
        <v>8.2900399999999994</v>
      </c>
      <c r="T121" s="481">
        <f>i_SE_costs*S121</f>
        <v>1.6580079999999999</v>
      </c>
      <c r="V121" s="107" t="s">
        <v>376</v>
      </c>
      <c r="AQ121" s="215"/>
      <c r="BA121" s="219" t="str">
        <f t="shared" si="100"/>
        <v>Off treatment - all lines
(beyond 12 weeks)</v>
      </c>
      <c r="BB121" s="219"/>
      <c r="BC121" s="219" t="str">
        <f t="shared" si="100"/>
        <v>per cycle</v>
      </c>
      <c r="BD121" s="219">
        <f t="shared" si="102"/>
        <v>5</v>
      </c>
      <c r="BE121" s="467">
        <f t="shared" si="101"/>
        <v>38.556539999999998</v>
      </c>
      <c r="BF121" s="467">
        <f t="shared" si="101"/>
        <v>7.7113079999999998</v>
      </c>
      <c r="BG121" s="219">
        <f t="shared" si="101"/>
        <v>12</v>
      </c>
      <c r="BH121" s="219">
        <f t="shared" si="101"/>
        <v>2088</v>
      </c>
      <c r="BJ121" s="219"/>
      <c r="BK121" s="219"/>
      <c r="BL121" s="219"/>
      <c r="BM121" s="219"/>
      <c r="BN121" s="988"/>
      <c r="BO121" s="884"/>
      <c r="DC121" s="107"/>
      <c r="EL121" s="1244"/>
      <c r="EN121" s="107"/>
      <c r="FD121" s="1247"/>
      <c r="FF121" s="107"/>
    </row>
    <row r="122" spans="4:162" ht="15.75" x14ac:dyDescent="0.25">
      <c r="D122" s="1646"/>
      <c r="E122" s="1647"/>
      <c r="F122" s="1647"/>
      <c r="G122" s="1647"/>
      <c r="H122" s="1648"/>
      <c r="I122" s="165" t="s">
        <v>365</v>
      </c>
      <c r="J122" s="160" t="s">
        <v>267</v>
      </c>
      <c r="K122" s="166">
        <v>0.25</v>
      </c>
      <c r="L122" s="166"/>
      <c r="M122" s="166"/>
      <c r="N122" s="167"/>
      <c r="O122" s="168">
        <v>2.39</v>
      </c>
      <c r="P122" s="481">
        <f>i_SE_costs*O122</f>
        <v>0.47800000000000004</v>
      </c>
      <c r="Q122" s="1529"/>
      <c r="R122" s="1526"/>
      <c r="S122" s="201">
        <f>K122*O122</f>
        <v>0.59750000000000003</v>
      </c>
      <c r="T122" s="481">
        <f>i_SE_costs*S122</f>
        <v>0.11950000000000001</v>
      </c>
      <c r="V122" s="107" t="s">
        <v>366</v>
      </c>
      <c r="AQ122" s="219" t="s">
        <v>382</v>
      </c>
      <c r="AR122" s="219"/>
      <c r="AS122" s="219"/>
      <c r="AT122" s="220">
        <v>293.10000000000002</v>
      </c>
      <c r="BA122" s="219" t="str">
        <f t="shared" si="100"/>
        <v>On treatment - all lines
(from treatment initiation until 12 weeks)</v>
      </c>
      <c r="BB122" s="219"/>
      <c r="BC122" s="219" t="str">
        <f t="shared" si="100"/>
        <v>per cycle</v>
      </c>
      <c r="BD122" s="219">
        <f t="shared" si="102"/>
        <v>6</v>
      </c>
      <c r="BE122" s="467">
        <f t="shared" si="101"/>
        <v>63.185039999999994</v>
      </c>
      <c r="BF122" s="467">
        <f t="shared" si="101"/>
        <v>12.637008</v>
      </c>
      <c r="BG122" s="219">
        <f t="shared" si="101"/>
        <v>1</v>
      </c>
      <c r="BH122" s="219">
        <f t="shared" si="101"/>
        <v>11</v>
      </c>
      <c r="BJ122" s="219"/>
      <c r="BK122" s="219"/>
      <c r="BL122" s="219"/>
      <c r="BM122" s="219"/>
      <c r="BN122" s="988"/>
      <c r="BO122" s="884"/>
      <c r="DC122" s="107"/>
      <c r="EL122" s="1244"/>
      <c r="EN122" s="107"/>
      <c r="FD122" s="1247"/>
      <c r="FF122" s="107"/>
    </row>
    <row r="123" spans="4:162" x14ac:dyDescent="0.2">
      <c r="D123" s="1646"/>
      <c r="E123" s="1647"/>
      <c r="F123" s="1647"/>
      <c r="G123" s="1647"/>
      <c r="H123" s="1648"/>
      <c r="I123" s="165" t="s">
        <v>367</v>
      </c>
      <c r="J123" s="160" t="s">
        <v>267</v>
      </c>
      <c r="K123" s="170">
        <v>0.25</v>
      </c>
      <c r="L123" s="166"/>
      <c r="M123" s="166"/>
      <c r="N123" s="167"/>
      <c r="O123" s="171">
        <v>53</v>
      </c>
      <c r="P123" s="481">
        <f>i_SE_costs*O123</f>
        <v>10.600000000000001</v>
      </c>
      <c r="Q123" s="1529"/>
      <c r="R123" s="1526"/>
      <c r="S123" s="201">
        <f>K123*O123</f>
        <v>13.25</v>
      </c>
      <c r="T123" s="481">
        <f>i_SE_costs*S123</f>
        <v>2.6500000000000004</v>
      </c>
      <c r="V123" s="107" t="s">
        <v>368</v>
      </c>
      <c r="AQ123" s="219" t="s">
        <v>383</v>
      </c>
      <c r="AR123" s="219" t="s">
        <v>384</v>
      </c>
      <c r="AS123" s="221">
        <v>3.8999999999999998E-3</v>
      </c>
      <c r="AT123" s="222">
        <f>AT122*(1+AS123)</f>
        <v>294.24309000000005</v>
      </c>
      <c r="BA123" s="219" t="str">
        <f t="shared" si="100"/>
        <v>Off treatment - all lines
(until 12 weeks)</v>
      </c>
      <c r="BB123" s="219"/>
      <c r="BC123" s="219" t="str">
        <f t="shared" si="100"/>
        <v>per cycle</v>
      </c>
      <c r="BD123" s="219">
        <f t="shared" si="102"/>
        <v>6</v>
      </c>
      <c r="BE123" s="467">
        <f t="shared" si="101"/>
        <v>63.185039999999994</v>
      </c>
      <c r="BF123" s="467">
        <f t="shared" si="101"/>
        <v>12.637008</v>
      </c>
      <c r="BG123" s="219">
        <f t="shared" si="101"/>
        <v>1</v>
      </c>
      <c r="BH123" s="219">
        <f t="shared" si="101"/>
        <v>11</v>
      </c>
      <c r="BJ123" s="219"/>
      <c r="BK123" s="219"/>
      <c r="BL123" s="219"/>
      <c r="BM123" s="219"/>
      <c r="BN123" s="988"/>
      <c r="BO123" s="884"/>
      <c r="DC123" s="107"/>
      <c r="EL123" s="1244"/>
      <c r="EN123" s="107"/>
      <c r="FD123" s="1247"/>
      <c r="FF123" s="107"/>
    </row>
    <row r="124" spans="4:162" x14ac:dyDescent="0.2">
      <c r="D124" s="1646"/>
      <c r="E124" s="1647"/>
      <c r="F124" s="1647"/>
      <c r="G124" s="1647"/>
      <c r="H124" s="1648"/>
      <c r="I124" s="172" t="s">
        <v>369</v>
      </c>
      <c r="J124" s="160" t="s">
        <v>267</v>
      </c>
      <c r="K124" s="173">
        <v>0</v>
      </c>
      <c r="L124" s="174"/>
      <c r="M124" s="174"/>
      <c r="N124" s="175"/>
      <c r="O124" s="176">
        <v>5.78</v>
      </c>
      <c r="P124" s="481">
        <f>i_SE_costs*O124</f>
        <v>1.1560000000000001</v>
      </c>
      <c r="Q124" s="1530"/>
      <c r="R124" s="1527"/>
      <c r="S124" s="204">
        <f>K124*O124</f>
        <v>0</v>
      </c>
      <c r="T124" s="481">
        <f>i_SE_costs*S124</f>
        <v>0</v>
      </c>
      <c r="BA124" s="219" t="str">
        <f t="shared" si="100"/>
        <v>On treatment - all lines
(beyond 12 weeks)</v>
      </c>
      <c r="BB124" s="219"/>
      <c r="BC124" s="219" t="str">
        <f t="shared" si="100"/>
        <v>per cycle</v>
      </c>
      <c r="BD124" s="219">
        <f t="shared" si="102"/>
        <v>6</v>
      </c>
      <c r="BE124" s="467">
        <f t="shared" si="101"/>
        <v>38.556539999999998</v>
      </c>
      <c r="BF124" s="467">
        <f t="shared" si="101"/>
        <v>7.7113079999999998</v>
      </c>
      <c r="BG124" s="219">
        <f t="shared" si="101"/>
        <v>12</v>
      </c>
      <c r="BH124" s="219">
        <f t="shared" si="101"/>
        <v>2088</v>
      </c>
      <c r="BJ124" s="219"/>
      <c r="BK124" s="219"/>
      <c r="BL124" s="219"/>
      <c r="BM124" s="219"/>
      <c r="BN124" s="988"/>
      <c r="BO124" s="884"/>
      <c r="DC124" s="107"/>
      <c r="EL124" s="1244"/>
      <c r="EN124" s="107"/>
      <c r="FD124" s="1247"/>
      <c r="FF124" s="107"/>
    </row>
    <row r="125" spans="4:162" ht="16.5" thickBot="1" x14ac:dyDescent="0.3">
      <c r="D125" s="1649"/>
      <c r="E125" s="1650"/>
      <c r="F125" s="1650"/>
      <c r="G125" s="1650"/>
      <c r="H125" s="1651"/>
      <c r="I125" s="216" t="s">
        <v>370</v>
      </c>
      <c r="J125" s="178" t="s">
        <v>267</v>
      </c>
      <c r="K125" s="179"/>
      <c r="L125" s="206"/>
      <c r="M125" s="206"/>
      <c r="N125" s="207"/>
      <c r="O125" s="181"/>
      <c r="P125" s="482"/>
      <c r="Q125" s="217"/>
      <c r="R125" s="218"/>
      <c r="S125" s="210">
        <f>SUM(S120:S124)</f>
        <v>38.556539999999998</v>
      </c>
      <c r="T125" s="482">
        <f>i_SE_costs*S125</f>
        <v>7.7113079999999998</v>
      </c>
      <c r="BA125" s="219" t="str">
        <f t="shared" si="100"/>
        <v>Off treatment - all lines
(beyond 12 weeks)</v>
      </c>
      <c r="BB125" s="219"/>
      <c r="BC125" s="219" t="str">
        <f t="shared" si="100"/>
        <v>per cycle</v>
      </c>
      <c r="BD125" s="219">
        <f t="shared" si="102"/>
        <v>6</v>
      </c>
      <c r="BE125" s="467">
        <f t="shared" si="101"/>
        <v>38.556539999999998</v>
      </c>
      <c r="BF125" s="467">
        <f t="shared" si="101"/>
        <v>7.7113079999999998</v>
      </c>
      <c r="BG125" s="219">
        <f t="shared" si="101"/>
        <v>12</v>
      </c>
      <c r="BH125" s="219">
        <f t="shared" si="101"/>
        <v>2088</v>
      </c>
      <c r="BJ125" s="219"/>
      <c r="BK125" s="219"/>
      <c r="BL125" s="219"/>
      <c r="BM125" s="219"/>
      <c r="BN125" s="988"/>
      <c r="BO125" s="884"/>
      <c r="DC125" s="107"/>
      <c r="EL125" s="1244"/>
      <c r="EN125" s="107"/>
      <c r="FD125" s="1247"/>
      <c r="FF125" s="107"/>
    </row>
    <row r="126" spans="4:162" ht="30.75" thickBot="1" x14ac:dyDescent="0.25">
      <c r="D126" s="185"/>
      <c r="E126" s="186"/>
      <c r="F126" s="186"/>
      <c r="G126" s="186"/>
      <c r="H126" s="187"/>
      <c r="I126" s="188" t="s">
        <v>371</v>
      </c>
      <c r="J126" s="189" t="s">
        <v>267</v>
      </c>
      <c r="K126" s="190"/>
      <c r="L126" s="190"/>
      <c r="M126" s="190"/>
      <c r="N126" s="191"/>
      <c r="O126" s="191"/>
      <c r="P126" s="195"/>
      <c r="Q126" s="192"/>
      <c r="R126" s="193"/>
      <c r="S126" s="194"/>
      <c r="T126" s="195"/>
      <c r="BA126" s="219" t="str">
        <f t="shared" ref="BA126:BC145" si="103">BA122</f>
        <v>On treatment - all lines
(from treatment initiation until 12 weeks)</v>
      </c>
      <c r="BB126" s="219"/>
      <c r="BC126" s="219" t="str">
        <f t="shared" si="103"/>
        <v>per cycle</v>
      </c>
      <c r="BD126" s="219">
        <f t="shared" si="102"/>
        <v>7</v>
      </c>
      <c r="BE126" s="467">
        <f t="shared" ref="BE126:BH145" si="104">BE122</f>
        <v>63.185039999999994</v>
      </c>
      <c r="BF126" s="467">
        <f t="shared" si="104"/>
        <v>12.637008</v>
      </c>
      <c r="BG126" s="219">
        <f t="shared" si="104"/>
        <v>1</v>
      </c>
      <c r="BH126" s="219">
        <f t="shared" si="104"/>
        <v>11</v>
      </c>
      <c r="BJ126" s="219"/>
      <c r="BK126" s="219"/>
      <c r="BL126" s="219"/>
      <c r="BM126" s="219"/>
      <c r="BN126" s="988"/>
      <c r="BO126" s="884"/>
      <c r="DC126" s="107"/>
      <c r="EL126" s="1244"/>
      <c r="EN126" s="107"/>
      <c r="FD126" s="1247"/>
      <c r="FF126" s="107"/>
    </row>
    <row r="127" spans="4:162" ht="45.75" x14ac:dyDescent="0.25">
      <c r="D127" s="1643" t="s">
        <v>385</v>
      </c>
      <c r="E127" s="1644"/>
      <c r="F127" s="1644"/>
      <c r="G127" s="1644"/>
      <c r="H127" s="1645"/>
      <c r="I127" s="213" t="s">
        <v>379</v>
      </c>
      <c r="J127" s="160" t="s">
        <v>267</v>
      </c>
      <c r="K127" s="199">
        <v>0.1</v>
      </c>
      <c r="L127" s="199"/>
      <c r="M127" s="199"/>
      <c r="N127" s="214"/>
      <c r="O127" s="163">
        <v>164.19</v>
      </c>
      <c r="P127" s="481">
        <f>i_SE_costs*O127</f>
        <v>32.838000000000001</v>
      </c>
      <c r="Q127" s="1528">
        <v>12</v>
      </c>
      <c r="R127" s="1525">
        <f>ROUNDUP(ui_time_horizon*365.25*i_days_to_weeks,0)</f>
        <v>2088</v>
      </c>
      <c r="S127" s="164">
        <f>K127*O127</f>
        <v>16.419</v>
      </c>
      <c r="T127" s="481">
        <f t="shared" ref="T127:T132" si="105">i_SE_costs*S127</f>
        <v>3.2838000000000003</v>
      </c>
      <c r="V127" s="107" t="s">
        <v>380</v>
      </c>
      <c r="AQ127" s="215" t="s">
        <v>381</v>
      </c>
      <c r="BA127" s="219" t="str">
        <f t="shared" si="103"/>
        <v>Off treatment - all lines
(until 12 weeks)</v>
      </c>
      <c r="BB127" s="219"/>
      <c r="BC127" s="219" t="str">
        <f t="shared" si="103"/>
        <v>per cycle</v>
      </c>
      <c r="BD127" s="219">
        <f t="shared" si="102"/>
        <v>7</v>
      </c>
      <c r="BE127" s="467">
        <f t="shared" si="104"/>
        <v>63.185039999999994</v>
      </c>
      <c r="BF127" s="467">
        <f t="shared" si="104"/>
        <v>12.637008</v>
      </c>
      <c r="BG127" s="219">
        <f t="shared" si="104"/>
        <v>1</v>
      </c>
      <c r="BH127" s="219">
        <f t="shared" si="104"/>
        <v>11</v>
      </c>
      <c r="BJ127" s="219"/>
      <c r="BK127" s="219"/>
      <c r="BL127" s="219"/>
      <c r="BM127" s="219"/>
      <c r="BN127" s="988"/>
      <c r="BO127" s="884"/>
      <c r="DC127" s="107"/>
      <c r="EL127" s="1244"/>
      <c r="EN127" s="107"/>
      <c r="FD127" s="1247"/>
      <c r="FF127" s="107"/>
    </row>
    <row r="128" spans="4:162" ht="15.75" x14ac:dyDescent="0.25">
      <c r="D128" s="1646"/>
      <c r="E128" s="1647"/>
      <c r="F128" s="1647"/>
      <c r="G128" s="1647"/>
      <c r="H128" s="1648"/>
      <c r="I128" s="165" t="s">
        <v>375</v>
      </c>
      <c r="J128" s="160" t="s">
        <v>267</v>
      </c>
      <c r="K128" s="166">
        <v>8.3000000000000004E-2</v>
      </c>
      <c r="L128" s="166"/>
      <c r="M128" s="166"/>
      <c r="N128" s="167"/>
      <c r="O128" s="168">
        <v>99.88</v>
      </c>
      <c r="P128" s="481">
        <f>i_SE_costs*O128</f>
        <v>19.975999999999999</v>
      </c>
      <c r="Q128" s="1529"/>
      <c r="R128" s="1526"/>
      <c r="S128" s="201">
        <f>K128*O128</f>
        <v>8.2900399999999994</v>
      </c>
      <c r="T128" s="481">
        <f t="shared" si="105"/>
        <v>1.6580079999999999</v>
      </c>
      <c r="V128" s="107" t="s">
        <v>376</v>
      </c>
      <c r="AQ128" s="215"/>
      <c r="BA128" s="219" t="str">
        <f t="shared" si="103"/>
        <v>On treatment - all lines
(beyond 12 weeks)</v>
      </c>
      <c r="BB128" s="219"/>
      <c r="BC128" s="219" t="str">
        <f t="shared" si="103"/>
        <v>per cycle</v>
      </c>
      <c r="BD128" s="219">
        <f t="shared" si="102"/>
        <v>7</v>
      </c>
      <c r="BE128" s="467">
        <f t="shared" si="104"/>
        <v>38.556539999999998</v>
      </c>
      <c r="BF128" s="467">
        <f t="shared" si="104"/>
        <v>7.7113079999999998</v>
      </c>
      <c r="BG128" s="219">
        <f t="shared" si="104"/>
        <v>12</v>
      </c>
      <c r="BH128" s="219">
        <f t="shared" si="104"/>
        <v>2088</v>
      </c>
      <c r="BJ128" s="219"/>
      <c r="BK128" s="219"/>
      <c r="BL128" s="219"/>
      <c r="BM128" s="219"/>
      <c r="BN128" s="988"/>
      <c r="BO128" s="884"/>
      <c r="DC128" s="107"/>
      <c r="EL128" s="1244"/>
      <c r="EN128" s="107"/>
      <c r="FD128" s="1247"/>
      <c r="FF128" s="107"/>
    </row>
    <row r="129" spans="4:162" ht="15.75" x14ac:dyDescent="0.25">
      <c r="D129" s="1646"/>
      <c r="E129" s="1647"/>
      <c r="F129" s="1647"/>
      <c r="G129" s="1647"/>
      <c r="H129" s="1648"/>
      <c r="I129" s="165" t="s">
        <v>365</v>
      </c>
      <c r="J129" s="160" t="s">
        <v>267</v>
      </c>
      <c r="K129" s="166">
        <v>0.25</v>
      </c>
      <c r="L129" s="166"/>
      <c r="M129" s="166"/>
      <c r="N129" s="167"/>
      <c r="O129" s="168">
        <v>2.39</v>
      </c>
      <c r="P129" s="481">
        <f>i_SE_costs*O129</f>
        <v>0.47800000000000004</v>
      </c>
      <c r="Q129" s="1529"/>
      <c r="R129" s="1526"/>
      <c r="S129" s="201">
        <f>K129*O129</f>
        <v>0.59750000000000003</v>
      </c>
      <c r="T129" s="481">
        <f t="shared" si="105"/>
        <v>0.11950000000000001</v>
      </c>
      <c r="V129" s="107" t="s">
        <v>366</v>
      </c>
      <c r="AQ129" s="219" t="s">
        <v>382</v>
      </c>
      <c r="AR129" s="219"/>
      <c r="AS129" s="219"/>
      <c r="AT129" s="220">
        <v>293.10000000000002</v>
      </c>
      <c r="BA129" s="219" t="str">
        <f t="shared" si="103"/>
        <v>Off treatment - all lines
(beyond 12 weeks)</v>
      </c>
      <c r="BB129" s="219"/>
      <c r="BC129" s="219" t="str">
        <f t="shared" si="103"/>
        <v>per cycle</v>
      </c>
      <c r="BD129" s="219">
        <f t="shared" si="102"/>
        <v>7</v>
      </c>
      <c r="BE129" s="467">
        <f t="shared" si="104"/>
        <v>38.556539999999998</v>
      </c>
      <c r="BF129" s="467">
        <f t="shared" si="104"/>
        <v>7.7113079999999998</v>
      </c>
      <c r="BG129" s="219">
        <f t="shared" si="104"/>
        <v>12</v>
      </c>
      <c r="BH129" s="219">
        <f t="shared" si="104"/>
        <v>2088</v>
      </c>
      <c r="BJ129" s="219"/>
      <c r="BK129" s="219"/>
      <c r="BL129" s="219"/>
      <c r="BM129" s="219"/>
      <c r="BN129" s="988"/>
      <c r="BO129" s="884"/>
      <c r="DC129" s="107"/>
      <c r="EL129" s="1244"/>
      <c r="EN129" s="107"/>
      <c r="FD129" s="1247"/>
      <c r="FF129" s="107"/>
    </row>
    <row r="130" spans="4:162" x14ac:dyDescent="0.2">
      <c r="D130" s="1646"/>
      <c r="E130" s="1647"/>
      <c r="F130" s="1647"/>
      <c r="G130" s="1647"/>
      <c r="H130" s="1648"/>
      <c r="I130" s="165" t="s">
        <v>367</v>
      </c>
      <c r="J130" s="160" t="s">
        <v>267</v>
      </c>
      <c r="K130" s="170">
        <v>0.25</v>
      </c>
      <c r="L130" s="166"/>
      <c r="M130" s="166"/>
      <c r="N130" s="167"/>
      <c r="O130" s="171">
        <v>53</v>
      </c>
      <c r="P130" s="481">
        <f>i_SE_costs*O130</f>
        <v>10.600000000000001</v>
      </c>
      <c r="Q130" s="1529"/>
      <c r="R130" s="1526"/>
      <c r="S130" s="201">
        <f>K130*O130</f>
        <v>13.25</v>
      </c>
      <c r="T130" s="481">
        <f t="shared" si="105"/>
        <v>2.6500000000000004</v>
      </c>
      <c r="V130" s="107" t="s">
        <v>368</v>
      </c>
      <c r="AQ130" s="219" t="s">
        <v>383</v>
      </c>
      <c r="AR130" s="219" t="s">
        <v>384</v>
      </c>
      <c r="AS130" s="221">
        <v>3.8999999999999998E-3</v>
      </c>
      <c r="AT130" s="222">
        <f>AT129*(1+AS130)</f>
        <v>294.24309000000005</v>
      </c>
      <c r="BA130" s="219" t="str">
        <f t="shared" si="103"/>
        <v>On treatment - all lines
(from treatment initiation until 12 weeks)</v>
      </c>
      <c r="BB130" s="219"/>
      <c r="BC130" s="219" t="str">
        <f t="shared" si="103"/>
        <v>per cycle</v>
      </c>
      <c r="BD130" s="219">
        <f t="shared" si="102"/>
        <v>8</v>
      </c>
      <c r="BE130" s="467">
        <f t="shared" si="104"/>
        <v>63.185039999999994</v>
      </c>
      <c r="BF130" s="467">
        <f t="shared" si="104"/>
        <v>12.637008</v>
      </c>
      <c r="BG130" s="219">
        <f t="shared" si="104"/>
        <v>1</v>
      </c>
      <c r="BH130" s="219">
        <f t="shared" si="104"/>
        <v>11</v>
      </c>
      <c r="BJ130" s="219"/>
      <c r="BK130" s="219"/>
      <c r="BL130" s="219"/>
      <c r="BM130" s="219"/>
      <c r="BN130" s="988"/>
      <c r="BO130" s="884"/>
      <c r="DC130" s="107"/>
      <c r="EL130" s="1244"/>
      <c r="EN130" s="107"/>
      <c r="FD130" s="1247"/>
      <c r="FF130" s="107"/>
    </row>
    <row r="131" spans="4:162" x14ac:dyDescent="0.2">
      <c r="D131" s="1646"/>
      <c r="E131" s="1647"/>
      <c r="F131" s="1647"/>
      <c r="G131" s="1647"/>
      <c r="H131" s="1648"/>
      <c r="I131" s="172" t="s">
        <v>369</v>
      </c>
      <c r="J131" s="160" t="s">
        <v>267</v>
      </c>
      <c r="K131" s="173">
        <v>0</v>
      </c>
      <c r="L131" s="174"/>
      <c r="M131" s="174"/>
      <c r="N131" s="175"/>
      <c r="O131" s="176">
        <v>5.78</v>
      </c>
      <c r="P131" s="481">
        <f>i_SE_costs*O131</f>
        <v>1.1560000000000001</v>
      </c>
      <c r="Q131" s="1530"/>
      <c r="R131" s="1527"/>
      <c r="S131" s="204">
        <f>K131*O131</f>
        <v>0</v>
      </c>
      <c r="T131" s="481">
        <f t="shared" si="105"/>
        <v>0</v>
      </c>
      <c r="AQ131" s="219"/>
      <c r="AR131" s="219"/>
      <c r="AS131" s="221"/>
      <c r="AT131" s="222"/>
      <c r="BA131" s="219" t="str">
        <f t="shared" si="103"/>
        <v>Off treatment - all lines
(until 12 weeks)</v>
      </c>
      <c r="BB131" s="219"/>
      <c r="BC131" s="219" t="str">
        <f t="shared" si="103"/>
        <v>per cycle</v>
      </c>
      <c r="BD131" s="219">
        <f t="shared" si="102"/>
        <v>8</v>
      </c>
      <c r="BE131" s="467">
        <f t="shared" si="104"/>
        <v>63.185039999999994</v>
      </c>
      <c r="BF131" s="467">
        <f t="shared" si="104"/>
        <v>12.637008</v>
      </c>
      <c r="BG131" s="219">
        <f t="shared" si="104"/>
        <v>1</v>
      </c>
      <c r="BH131" s="219">
        <f t="shared" si="104"/>
        <v>11</v>
      </c>
      <c r="BJ131" s="219"/>
      <c r="BK131" s="219"/>
      <c r="BL131" s="219"/>
      <c r="BM131" s="219"/>
      <c r="BN131" s="988"/>
      <c r="BO131" s="884"/>
      <c r="DC131" s="107"/>
      <c r="EL131" s="1244"/>
      <c r="EN131" s="107"/>
      <c r="FD131" s="1247"/>
      <c r="FF131" s="107"/>
    </row>
    <row r="132" spans="4:162" ht="27" customHeight="1" thickBot="1" x14ac:dyDescent="0.3">
      <c r="D132" s="1649"/>
      <c r="E132" s="1650"/>
      <c r="F132" s="1650"/>
      <c r="G132" s="1650"/>
      <c r="H132" s="1651"/>
      <c r="I132" s="216" t="s">
        <v>370</v>
      </c>
      <c r="J132" s="178" t="s">
        <v>267</v>
      </c>
      <c r="K132" s="179"/>
      <c r="L132" s="206"/>
      <c r="M132" s="206"/>
      <c r="N132" s="207"/>
      <c r="O132" s="181"/>
      <c r="P132" s="482"/>
      <c r="Q132" s="217"/>
      <c r="R132" s="218"/>
      <c r="S132" s="210">
        <f>SUM(S127:S131)</f>
        <v>38.556539999999998</v>
      </c>
      <c r="T132" s="482">
        <f t="shared" si="105"/>
        <v>7.7113079999999998</v>
      </c>
      <c r="AQ132" s="219"/>
      <c r="AR132" s="219" t="s">
        <v>390</v>
      </c>
      <c r="AS132" s="221">
        <v>2.06E-2</v>
      </c>
      <c r="AT132" s="222">
        <f>AT123*(1+AS132)</f>
        <v>300.30449765400004</v>
      </c>
      <c r="BA132" s="219" t="str">
        <f t="shared" si="103"/>
        <v>On treatment - all lines
(beyond 12 weeks)</v>
      </c>
      <c r="BB132" s="219"/>
      <c r="BC132" s="219" t="str">
        <f t="shared" si="103"/>
        <v>per cycle</v>
      </c>
      <c r="BD132" s="219">
        <f t="shared" si="102"/>
        <v>8</v>
      </c>
      <c r="BE132" s="467">
        <f t="shared" si="104"/>
        <v>38.556539999999998</v>
      </c>
      <c r="BF132" s="467">
        <f t="shared" si="104"/>
        <v>7.7113079999999998</v>
      </c>
      <c r="BG132" s="219">
        <f t="shared" si="104"/>
        <v>12</v>
      </c>
      <c r="BH132" s="219">
        <f t="shared" si="104"/>
        <v>2088</v>
      </c>
      <c r="BJ132" s="219"/>
      <c r="BK132" s="219"/>
      <c r="BL132" s="219"/>
      <c r="BM132" s="219"/>
      <c r="BN132" s="988"/>
      <c r="BO132" s="884"/>
      <c r="DC132" s="107"/>
      <c r="EL132" s="1244"/>
      <c r="EN132" s="107"/>
      <c r="FD132" s="1247"/>
      <c r="FF132" s="107"/>
    </row>
    <row r="133" spans="4:162" ht="30.75" thickBot="1" x14ac:dyDescent="0.25">
      <c r="D133" s="185"/>
      <c r="E133" s="186"/>
      <c r="F133" s="186"/>
      <c r="G133" s="186"/>
      <c r="H133" s="187"/>
      <c r="I133" s="188" t="s">
        <v>371</v>
      </c>
      <c r="J133" s="189" t="s">
        <v>267</v>
      </c>
      <c r="K133" s="190"/>
      <c r="L133" s="190"/>
      <c r="M133" s="190"/>
      <c r="N133" s="191"/>
      <c r="O133" s="191"/>
      <c r="P133" s="195"/>
      <c r="Q133" s="192"/>
      <c r="R133" s="193"/>
      <c r="S133" s="194"/>
      <c r="T133" s="195"/>
      <c r="AQ133" s="219"/>
      <c r="AR133" s="219"/>
      <c r="AS133" s="221"/>
      <c r="AT133" s="222"/>
      <c r="BA133" s="219" t="str">
        <f t="shared" si="103"/>
        <v>Off treatment - all lines
(beyond 12 weeks)</v>
      </c>
      <c r="BB133" s="219"/>
      <c r="BC133" s="219" t="str">
        <f t="shared" si="103"/>
        <v>per cycle</v>
      </c>
      <c r="BD133" s="219">
        <f t="shared" si="102"/>
        <v>8</v>
      </c>
      <c r="BE133" s="467">
        <f t="shared" si="104"/>
        <v>38.556539999999998</v>
      </c>
      <c r="BF133" s="467">
        <f t="shared" si="104"/>
        <v>7.7113079999999998</v>
      </c>
      <c r="BG133" s="219">
        <f t="shared" si="104"/>
        <v>12</v>
      </c>
      <c r="BH133" s="219">
        <f t="shared" si="104"/>
        <v>2088</v>
      </c>
      <c r="BJ133" s="219"/>
      <c r="BK133" s="219"/>
      <c r="BL133" s="219"/>
      <c r="BM133" s="219"/>
      <c r="BN133" s="988"/>
      <c r="BO133" s="884"/>
      <c r="DC133" s="107"/>
      <c r="EL133" s="1244"/>
      <c r="EN133" s="107"/>
      <c r="FD133" s="1247"/>
      <c r="FF133" s="107"/>
    </row>
    <row r="134" spans="4:162" ht="30" x14ac:dyDescent="0.2">
      <c r="D134" s="223" t="s">
        <v>386</v>
      </c>
      <c r="E134" s="224"/>
      <c r="F134" s="224"/>
      <c r="G134" s="224"/>
      <c r="H134" s="224"/>
      <c r="I134" s="225" t="s">
        <v>387</v>
      </c>
      <c r="J134" s="160" t="s">
        <v>267</v>
      </c>
      <c r="K134" s="226">
        <v>0.25</v>
      </c>
      <c r="L134" s="161"/>
      <c r="M134" s="161"/>
      <c r="N134" s="162"/>
      <c r="O134" s="163">
        <v>164.19</v>
      </c>
      <c r="P134" s="481">
        <f>i_SE_costs*O134</f>
        <v>32.838000000000001</v>
      </c>
      <c r="Q134" s="1528">
        <v>1</v>
      </c>
      <c r="R134" s="1525">
        <f>ROUNDUP(ui_time_horizon*365.25*i_days_to_weeks,0)</f>
        <v>2088</v>
      </c>
      <c r="S134" s="164">
        <f>K134*O134</f>
        <v>41.047499999999999</v>
      </c>
      <c r="T134" s="481">
        <f>i_SE_costs*S134</f>
        <v>8.2095000000000002</v>
      </c>
      <c r="V134" s="107" t="s">
        <v>388</v>
      </c>
      <c r="AQ134" s="219"/>
      <c r="AR134" s="219" t="s">
        <v>392</v>
      </c>
      <c r="AS134" s="221">
        <v>1.2500000000000001E-2</v>
      </c>
      <c r="AT134" s="222">
        <f>AT132*(1+AS134)</f>
        <v>304.058303874675</v>
      </c>
      <c r="BA134" s="219" t="str">
        <f t="shared" si="103"/>
        <v>On treatment - all lines
(from treatment initiation until 12 weeks)</v>
      </c>
      <c r="BB134" s="219"/>
      <c r="BC134" s="219" t="str">
        <f t="shared" si="103"/>
        <v>per cycle</v>
      </c>
      <c r="BD134" s="219">
        <f t="shared" si="102"/>
        <v>9</v>
      </c>
      <c r="BE134" s="467">
        <f t="shared" si="104"/>
        <v>63.185039999999994</v>
      </c>
      <c r="BF134" s="467">
        <f t="shared" si="104"/>
        <v>12.637008</v>
      </c>
      <c r="BG134" s="219">
        <f t="shared" si="104"/>
        <v>1</v>
      </c>
      <c r="BH134" s="219">
        <f t="shared" si="104"/>
        <v>11</v>
      </c>
      <c r="BJ134" s="219"/>
      <c r="BK134" s="219"/>
      <c r="BL134" s="219"/>
      <c r="BM134" s="219"/>
      <c r="BN134" s="988"/>
      <c r="BO134" s="884"/>
      <c r="DC134" s="107"/>
      <c r="EL134" s="1244"/>
      <c r="EN134" s="107"/>
      <c r="FD134" s="1247"/>
      <c r="FF134" s="107"/>
    </row>
    <row r="135" spans="4:162" ht="15.75" x14ac:dyDescent="0.2">
      <c r="D135" s="227"/>
      <c r="E135" s="228"/>
      <c r="F135" s="228"/>
      <c r="G135" s="228"/>
      <c r="H135" s="229"/>
      <c r="I135" s="213" t="s">
        <v>367</v>
      </c>
      <c r="J135" s="160" t="s">
        <v>267</v>
      </c>
      <c r="K135" s="199">
        <v>0.25</v>
      </c>
      <c r="L135" s="199"/>
      <c r="M135" s="199"/>
      <c r="N135" s="214"/>
      <c r="O135" s="171">
        <v>53</v>
      </c>
      <c r="P135" s="481">
        <f>i_SE_costs*O135</f>
        <v>10.600000000000001</v>
      </c>
      <c r="Q135" s="1529"/>
      <c r="R135" s="1526"/>
      <c r="S135" s="201">
        <f>K135*O135</f>
        <v>13.25</v>
      </c>
      <c r="T135" s="481">
        <f>i_SE_costs*S135</f>
        <v>2.6500000000000004</v>
      </c>
      <c r="V135" s="107" t="s">
        <v>389</v>
      </c>
      <c r="AQ135" s="219"/>
      <c r="AR135" s="219" t="s">
        <v>393</v>
      </c>
      <c r="AS135" s="221">
        <v>1.6199999999999999E-2</v>
      </c>
      <c r="AT135" s="222">
        <f>AT134*(1+AS135)</f>
        <v>308.98404839744472</v>
      </c>
      <c r="BA135" s="219" t="str">
        <f t="shared" si="103"/>
        <v>Off treatment - all lines
(until 12 weeks)</v>
      </c>
      <c r="BB135" s="219"/>
      <c r="BC135" s="219" t="str">
        <f t="shared" si="103"/>
        <v>per cycle</v>
      </c>
      <c r="BD135" s="219">
        <f t="shared" si="102"/>
        <v>9</v>
      </c>
      <c r="BE135" s="467">
        <f t="shared" si="104"/>
        <v>63.185039999999994</v>
      </c>
      <c r="BF135" s="467">
        <f t="shared" si="104"/>
        <v>12.637008</v>
      </c>
      <c r="BG135" s="219">
        <f t="shared" si="104"/>
        <v>1</v>
      </c>
      <c r="BH135" s="219">
        <f t="shared" si="104"/>
        <v>11</v>
      </c>
      <c r="BJ135" s="219"/>
      <c r="BK135" s="219"/>
      <c r="BL135" s="219"/>
      <c r="BM135" s="219"/>
      <c r="BN135" s="988"/>
      <c r="BO135" s="884"/>
      <c r="DC135" s="107"/>
      <c r="EL135" s="1244"/>
      <c r="EN135" s="107"/>
      <c r="FD135" s="1247"/>
      <c r="FF135" s="107"/>
    </row>
    <row r="136" spans="4:162" ht="15.75" x14ac:dyDescent="0.2">
      <c r="D136" s="227"/>
      <c r="E136" s="228"/>
      <c r="F136" s="228"/>
      <c r="G136" s="228"/>
      <c r="H136" s="229"/>
      <c r="I136" s="230" t="s">
        <v>369</v>
      </c>
      <c r="J136" s="160" t="s">
        <v>267</v>
      </c>
      <c r="K136" s="202">
        <v>7</v>
      </c>
      <c r="L136" s="202"/>
      <c r="M136" s="202"/>
      <c r="N136" s="231"/>
      <c r="O136" s="176">
        <v>5.78</v>
      </c>
      <c r="P136" s="481">
        <f>i_SE_costs*O136</f>
        <v>1.1560000000000001</v>
      </c>
      <c r="Q136" s="1530"/>
      <c r="R136" s="1527"/>
      <c r="S136" s="201">
        <f>K136*O136</f>
        <v>40.46</v>
      </c>
      <c r="T136" s="481">
        <f>i_SE_costs*S136</f>
        <v>8.0920000000000005</v>
      </c>
      <c r="V136" s="107" t="s">
        <v>391</v>
      </c>
      <c r="AQ136" s="219"/>
      <c r="AR136" s="219" t="s">
        <v>397</v>
      </c>
      <c r="AS136" s="221">
        <v>2.18E-2</v>
      </c>
      <c r="AT136" s="222">
        <f>AT135*(1+AS136)</f>
        <v>315.71990065250901</v>
      </c>
      <c r="BA136" s="219" t="str">
        <f t="shared" si="103"/>
        <v>On treatment - all lines
(beyond 12 weeks)</v>
      </c>
      <c r="BB136" s="219"/>
      <c r="BC136" s="219" t="str">
        <f t="shared" si="103"/>
        <v>per cycle</v>
      </c>
      <c r="BD136" s="219">
        <f t="shared" si="102"/>
        <v>9</v>
      </c>
      <c r="BE136" s="467">
        <f t="shared" si="104"/>
        <v>38.556539999999998</v>
      </c>
      <c r="BF136" s="467">
        <f t="shared" si="104"/>
        <v>7.7113079999999998</v>
      </c>
      <c r="BG136" s="219">
        <f t="shared" si="104"/>
        <v>12</v>
      </c>
      <c r="BH136" s="219">
        <f t="shared" si="104"/>
        <v>2088</v>
      </c>
      <c r="BJ136" s="219"/>
      <c r="BK136" s="219"/>
      <c r="BL136" s="219"/>
      <c r="BM136" s="219"/>
      <c r="BN136" s="988"/>
      <c r="BO136" s="884"/>
      <c r="DC136" s="107"/>
      <c r="EL136" s="1244"/>
      <c r="EN136" s="107"/>
      <c r="FD136" s="1247"/>
      <c r="FF136" s="107"/>
    </row>
    <row r="137" spans="4:162" ht="16.5" thickBot="1" x14ac:dyDescent="0.3">
      <c r="D137" s="232"/>
      <c r="E137" s="233"/>
      <c r="F137" s="233"/>
      <c r="G137" s="233"/>
      <c r="H137" s="234"/>
      <c r="I137" s="216" t="s">
        <v>370</v>
      </c>
      <c r="J137" s="178" t="s">
        <v>267</v>
      </c>
      <c r="K137" s="179"/>
      <c r="L137" s="206"/>
      <c r="M137" s="206"/>
      <c r="N137" s="207"/>
      <c r="O137" s="181"/>
      <c r="P137" s="482"/>
      <c r="Q137" s="217"/>
      <c r="R137" s="218"/>
      <c r="S137" s="235">
        <f>SUM(S134:S136)</f>
        <v>94.757499999999993</v>
      </c>
      <c r="T137" s="482">
        <f>i_SE_costs*S137</f>
        <v>18.951499999999999</v>
      </c>
      <c r="AQ137" s="219"/>
      <c r="AR137" s="219" t="s">
        <v>400</v>
      </c>
      <c r="AS137" s="221">
        <v>2.47E-2</v>
      </c>
      <c r="AT137" s="222">
        <f>AT136*(1+AS137)</f>
        <v>323.51818219862599</v>
      </c>
      <c r="BA137" s="219" t="str">
        <f t="shared" si="103"/>
        <v>Off treatment - all lines
(beyond 12 weeks)</v>
      </c>
      <c r="BB137" s="219"/>
      <c r="BC137" s="219" t="str">
        <f t="shared" si="103"/>
        <v>per cycle</v>
      </c>
      <c r="BD137" s="219">
        <f t="shared" si="102"/>
        <v>9</v>
      </c>
      <c r="BE137" s="467">
        <f t="shared" si="104"/>
        <v>38.556539999999998</v>
      </c>
      <c r="BF137" s="467">
        <f t="shared" si="104"/>
        <v>7.7113079999999998</v>
      </c>
      <c r="BG137" s="219">
        <f t="shared" si="104"/>
        <v>12</v>
      </c>
      <c r="BH137" s="219">
        <f t="shared" si="104"/>
        <v>2088</v>
      </c>
      <c r="BJ137" s="219"/>
      <c r="BK137" s="219"/>
      <c r="BL137" s="219"/>
      <c r="BM137" s="219"/>
      <c r="BN137" s="988"/>
      <c r="BO137" s="884"/>
      <c r="DC137" s="107"/>
      <c r="EL137" s="1244"/>
      <c r="EN137" s="107"/>
      <c r="FD137" s="1247"/>
      <c r="FF137" s="107"/>
    </row>
    <row r="138" spans="4:162" ht="30.75" thickBot="1" x14ac:dyDescent="0.3">
      <c r="D138" s="236"/>
      <c r="E138" s="237"/>
      <c r="F138" s="237"/>
      <c r="G138" s="237"/>
      <c r="H138" s="238"/>
      <c r="I138" s="188" t="s">
        <v>371</v>
      </c>
      <c r="J138" s="189" t="s">
        <v>267</v>
      </c>
      <c r="K138" s="190"/>
      <c r="L138" s="190"/>
      <c r="M138" s="190"/>
      <c r="N138" s="191"/>
      <c r="O138" s="191"/>
      <c r="P138" s="195"/>
      <c r="Q138" s="192"/>
      <c r="R138" s="193"/>
      <c r="S138" s="194"/>
      <c r="T138" s="195"/>
      <c r="AQ138" s="219"/>
      <c r="AR138" s="219" t="s">
        <v>403</v>
      </c>
      <c r="AS138" s="221">
        <v>2.7199999999999998E-2</v>
      </c>
      <c r="AT138" s="248">
        <f>AT137*(1+AS138)</f>
        <v>332.3178767544286</v>
      </c>
      <c r="BA138" s="219" t="str">
        <f t="shared" si="103"/>
        <v>On treatment - all lines
(from treatment initiation until 12 weeks)</v>
      </c>
      <c r="BB138" s="219"/>
      <c r="BC138" s="219" t="str">
        <f t="shared" si="103"/>
        <v>per cycle</v>
      </c>
      <c r="BD138" s="219">
        <f t="shared" si="102"/>
        <v>10</v>
      </c>
      <c r="BE138" s="467">
        <f t="shared" si="104"/>
        <v>63.185039999999994</v>
      </c>
      <c r="BF138" s="467">
        <f t="shared" si="104"/>
        <v>12.637008</v>
      </c>
      <c r="BG138" s="219">
        <f t="shared" si="104"/>
        <v>1</v>
      </c>
      <c r="BH138" s="219">
        <f t="shared" si="104"/>
        <v>11</v>
      </c>
      <c r="BJ138" s="219"/>
      <c r="BK138" s="219"/>
      <c r="BL138" s="219"/>
      <c r="BM138" s="219"/>
      <c r="BN138" s="988"/>
      <c r="BO138" s="884"/>
      <c r="DC138" s="107"/>
      <c r="EL138" s="1244"/>
      <c r="EN138" s="107"/>
      <c r="FD138" s="1247"/>
      <c r="FF138" s="107"/>
    </row>
    <row r="139" spans="4:162" ht="30.75" x14ac:dyDescent="0.25">
      <c r="D139" s="1658" t="s">
        <v>394</v>
      </c>
      <c r="E139" s="1659"/>
      <c r="F139" s="1659"/>
      <c r="G139" s="1659"/>
      <c r="H139" s="1660"/>
      <c r="I139" s="196" t="s">
        <v>395</v>
      </c>
      <c r="J139" s="213"/>
      <c r="K139" s="199">
        <v>11.4</v>
      </c>
      <c r="L139" s="199">
        <v>6.2</v>
      </c>
      <c r="M139" s="199"/>
      <c r="N139" s="214"/>
      <c r="O139" s="239">
        <v>42</v>
      </c>
      <c r="P139" s="481">
        <f>i_SE_costs*O139</f>
        <v>8.4</v>
      </c>
      <c r="Q139" s="240"/>
      <c r="R139" s="241"/>
      <c r="S139" s="242">
        <f>K139*O139</f>
        <v>478.8</v>
      </c>
      <c r="T139" s="481">
        <f>i_SE_costs*S139</f>
        <v>95.76</v>
      </c>
      <c r="V139" s="107" t="s">
        <v>396</v>
      </c>
      <c r="AN139" s="215" t="s">
        <v>406</v>
      </c>
      <c r="BA139" s="219" t="str">
        <f t="shared" si="103"/>
        <v>Off treatment - all lines
(until 12 weeks)</v>
      </c>
      <c r="BB139" s="219"/>
      <c r="BC139" s="219" t="str">
        <f t="shared" si="103"/>
        <v>per cycle</v>
      </c>
      <c r="BD139" s="219">
        <f t="shared" si="102"/>
        <v>10</v>
      </c>
      <c r="BE139" s="467">
        <f t="shared" si="104"/>
        <v>63.185039999999994</v>
      </c>
      <c r="BF139" s="467">
        <f t="shared" si="104"/>
        <v>12.637008</v>
      </c>
      <c r="BG139" s="219">
        <f t="shared" si="104"/>
        <v>1</v>
      </c>
      <c r="BH139" s="219">
        <f t="shared" si="104"/>
        <v>11</v>
      </c>
      <c r="BJ139" s="219"/>
      <c r="BK139" s="219"/>
      <c r="BL139" s="219"/>
      <c r="BM139" s="219"/>
      <c r="BN139" s="988"/>
      <c r="BO139" s="884"/>
      <c r="DC139" s="107"/>
      <c r="EL139" s="1244"/>
      <c r="EN139" s="107"/>
      <c r="FD139" s="1247"/>
      <c r="FF139" s="107"/>
    </row>
    <row r="140" spans="4:162" ht="30" x14ac:dyDescent="0.2">
      <c r="D140" s="1661"/>
      <c r="E140" s="1662"/>
      <c r="F140" s="1662"/>
      <c r="G140" s="1662"/>
      <c r="H140" s="1663"/>
      <c r="I140" s="159" t="s">
        <v>398</v>
      </c>
      <c r="J140" s="159"/>
      <c r="K140" s="166">
        <v>7.53</v>
      </c>
      <c r="L140" s="166">
        <v>19.57</v>
      </c>
      <c r="M140" s="166"/>
      <c r="N140" s="167"/>
      <c r="O140" s="171">
        <v>53</v>
      </c>
      <c r="P140" s="481">
        <f>i_SE_costs*O140</f>
        <v>10.600000000000001</v>
      </c>
      <c r="Q140" s="243"/>
      <c r="R140" s="244"/>
      <c r="S140" s="245">
        <f>K140*O140</f>
        <v>399.09000000000003</v>
      </c>
      <c r="T140" s="481">
        <f>i_SE_costs*S140</f>
        <v>79.818000000000012</v>
      </c>
      <c r="V140" s="107" t="s">
        <v>399</v>
      </c>
      <c r="BA140" s="219" t="str">
        <f t="shared" si="103"/>
        <v>On treatment - all lines
(beyond 12 weeks)</v>
      </c>
      <c r="BB140" s="219"/>
      <c r="BC140" s="219" t="str">
        <f t="shared" si="103"/>
        <v>per cycle</v>
      </c>
      <c r="BD140" s="219">
        <f t="shared" si="102"/>
        <v>10</v>
      </c>
      <c r="BE140" s="467">
        <f t="shared" si="104"/>
        <v>38.556539999999998</v>
      </c>
      <c r="BF140" s="467">
        <f t="shared" si="104"/>
        <v>7.7113079999999998</v>
      </c>
      <c r="BG140" s="219">
        <f t="shared" si="104"/>
        <v>12</v>
      </c>
      <c r="BH140" s="219">
        <f t="shared" si="104"/>
        <v>2088</v>
      </c>
      <c r="BJ140" s="219"/>
      <c r="BK140" s="219"/>
      <c r="BL140" s="219"/>
      <c r="BM140" s="219"/>
      <c r="BN140" s="988"/>
      <c r="BO140" s="884"/>
      <c r="DC140" s="107"/>
      <c r="EL140" s="1244"/>
      <c r="EN140" s="107"/>
      <c r="FD140" s="1247"/>
      <c r="FF140" s="107"/>
    </row>
    <row r="141" spans="4:162" ht="30" x14ac:dyDescent="0.2">
      <c r="D141" s="1661"/>
      <c r="E141" s="1662"/>
      <c r="F141" s="1662"/>
      <c r="G141" s="1662"/>
      <c r="H141" s="1663"/>
      <c r="I141" s="159" t="s">
        <v>401</v>
      </c>
      <c r="J141" s="159"/>
      <c r="K141" s="246">
        <v>1</v>
      </c>
      <c r="L141" s="246"/>
      <c r="M141" s="246"/>
      <c r="N141" s="247"/>
      <c r="O141" s="171">
        <v>444</v>
      </c>
      <c r="P141" s="481">
        <f>i_SE_costs*O141</f>
        <v>88.800000000000011</v>
      </c>
      <c r="Q141" s="243"/>
      <c r="R141" s="244"/>
      <c r="S141" s="245">
        <f>(O141/268.6)*332.3</f>
        <v>549.29709605361131</v>
      </c>
      <c r="T141" s="481">
        <f>i_SE_costs*S141</f>
        <v>109.85941921072227</v>
      </c>
      <c r="V141" s="107" t="s">
        <v>402</v>
      </c>
      <c r="AN141" s="219" t="s">
        <v>407</v>
      </c>
      <c r="AO141" s="219" t="s">
        <v>408</v>
      </c>
      <c r="AP141" s="219" t="s">
        <v>409</v>
      </c>
      <c r="AQ141" s="219">
        <v>133</v>
      </c>
      <c r="AR141" s="844">
        <v>9467.11</v>
      </c>
      <c r="AS141" s="843"/>
      <c r="AT141" s="219" t="s">
        <v>407</v>
      </c>
      <c r="AU141" s="219" t="s">
        <v>408</v>
      </c>
      <c r="AV141" s="219" t="s">
        <v>410</v>
      </c>
      <c r="AW141" s="219">
        <v>101</v>
      </c>
      <c r="AX141" s="844">
        <v>7973.6</v>
      </c>
      <c r="BA141" s="219" t="str">
        <f t="shared" si="103"/>
        <v>Off treatment - all lines
(beyond 12 weeks)</v>
      </c>
      <c r="BB141" s="219"/>
      <c r="BC141" s="219" t="str">
        <f t="shared" si="103"/>
        <v>per cycle</v>
      </c>
      <c r="BD141" s="219">
        <f t="shared" si="102"/>
        <v>10</v>
      </c>
      <c r="BE141" s="467">
        <f t="shared" si="104"/>
        <v>38.556539999999998</v>
      </c>
      <c r="BF141" s="467">
        <f t="shared" si="104"/>
        <v>7.7113079999999998</v>
      </c>
      <c r="BG141" s="219">
        <f t="shared" si="104"/>
        <v>12</v>
      </c>
      <c r="BH141" s="219">
        <f t="shared" si="104"/>
        <v>2088</v>
      </c>
      <c r="BJ141" s="219"/>
      <c r="BK141" s="219"/>
      <c r="BL141" s="219"/>
      <c r="BM141" s="219"/>
      <c r="BN141" s="988"/>
      <c r="BO141" s="884"/>
      <c r="DB141" s="107"/>
      <c r="DC141" s="107"/>
      <c r="EL141" s="1244"/>
      <c r="EN141" s="107"/>
      <c r="FD141" s="1247"/>
      <c r="FF141" s="107"/>
    </row>
    <row r="142" spans="4:162" ht="30" x14ac:dyDescent="0.2">
      <c r="D142" s="1661"/>
      <c r="E142" s="1662"/>
      <c r="F142" s="1662"/>
      <c r="G142" s="1662"/>
      <c r="H142" s="1663"/>
      <c r="I142" s="159" t="s">
        <v>404</v>
      </c>
      <c r="J142" s="159"/>
      <c r="K142" s="246">
        <v>1</v>
      </c>
      <c r="L142" s="246"/>
      <c r="M142" s="246"/>
      <c r="N142" s="247"/>
      <c r="O142" s="171">
        <v>5890</v>
      </c>
      <c r="P142" s="481">
        <f>i_SE_costs*O142</f>
        <v>1178</v>
      </c>
      <c r="Q142" s="243"/>
      <c r="R142" s="244"/>
      <c r="S142" s="245">
        <f>(O142/268.6)*332.3</f>
        <v>7286.8466120625462</v>
      </c>
      <c r="T142" s="481">
        <f>i_SE_costs*S142</f>
        <v>1457.3693224125093</v>
      </c>
      <c r="V142" s="107" t="s">
        <v>405</v>
      </c>
      <c r="AN142" s="219" t="s">
        <v>407</v>
      </c>
      <c r="AO142" s="219" t="s">
        <v>408</v>
      </c>
      <c r="AP142" s="219" t="s">
        <v>413</v>
      </c>
      <c r="AQ142" s="219">
        <v>168</v>
      </c>
      <c r="AR142" s="844">
        <v>5866.5</v>
      </c>
      <c r="AS142" s="843"/>
      <c r="AT142" s="219" t="s">
        <v>407</v>
      </c>
      <c r="AU142" s="219" t="s">
        <v>408</v>
      </c>
      <c r="AV142" s="219" t="s">
        <v>414</v>
      </c>
      <c r="AW142" s="219">
        <v>150</v>
      </c>
      <c r="AX142" s="844">
        <v>4761.22</v>
      </c>
      <c r="BA142" s="219" t="str">
        <f t="shared" si="103"/>
        <v>On treatment - all lines
(from treatment initiation until 12 weeks)</v>
      </c>
      <c r="BB142" s="219"/>
      <c r="BC142" s="219" t="str">
        <f t="shared" si="103"/>
        <v>per cycle</v>
      </c>
      <c r="BD142" s="219">
        <f t="shared" si="102"/>
        <v>11</v>
      </c>
      <c r="BE142" s="467">
        <f t="shared" si="104"/>
        <v>63.185039999999994</v>
      </c>
      <c r="BF142" s="467">
        <f t="shared" si="104"/>
        <v>12.637008</v>
      </c>
      <c r="BG142" s="219">
        <f t="shared" si="104"/>
        <v>1</v>
      </c>
      <c r="BH142" s="219">
        <f t="shared" si="104"/>
        <v>11</v>
      </c>
      <c r="BJ142" s="219"/>
      <c r="BK142" s="219"/>
      <c r="BL142" s="219"/>
      <c r="BM142" s="219"/>
      <c r="BN142" s="988"/>
      <c r="BO142" s="884"/>
      <c r="DB142" s="107"/>
      <c r="DC142" s="107"/>
      <c r="EL142" s="1244"/>
      <c r="EN142" s="107"/>
      <c r="FD142" s="1247"/>
      <c r="FF142" s="107"/>
    </row>
    <row r="143" spans="4:162" ht="16.5" thickBot="1" x14ac:dyDescent="0.3">
      <c r="D143" s="1664"/>
      <c r="E143" s="1665"/>
      <c r="F143" s="1665"/>
      <c r="G143" s="1665"/>
      <c r="H143" s="1666"/>
      <c r="I143" s="177" t="s">
        <v>370</v>
      </c>
      <c r="J143" s="178" t="s">
        <v>287</v>
      </c>
      <c r="K143" s="249"/>
      <c r="L143" s="249"/>
      <c r="M143" s="249"/>
      <c r="N143" s="247"/>
      <c r="O143" s="250"/>
      <c r="P143" s="483"/>
      <c r="Q143" s="243"/>
      <c r="R143" s="244"/>
      <c r="S143" s="251">
        <f>SUM(S139:S142)</f>
        <v>8714.0337081161579</v>
      </c>
      <c r="T143" s="483">
        <f>i_SE_costs*S143</f>
        <v>1742.8067416232316</v>
      </c>
      <c r="AN143" s="219" t="s">
        <v>407</v>
      </c>
      <c r="AO143" s="219" t="s">
        <v>408</v>
      </c>
      <c r="AP143" s="219" t="s">
        <v>417</v>
      </c>
      <c r="AQ143" s="219">
        <v>208</v>
      </c>
      <c r="AR143" s="844">
        <v>5962.16</v>
      </c>
      <c r="AS143" s="843"/>
      <c r="AT143" s="219" t="s">
        <v>407</v>
      </c>
      <c r="AU143" s="219" t="s">
        <v>408</v>
      </c>
      <c r="AV143" s="219" t="s">
        <v>418</v>
      </c>
      <c r="AW143" s="219">
        <v>290</v>
      </c>
      <c r="AX143" s="844">
        <v>4106.57</v>
      </c>
      <c r="BA143" s="219" t="str">
        <f t="shared" si="103"/>
        <v>Off treatment - all lines
(until 12 weeks)</v>
      </c>
      <c r="BB143" s="219"/>
      <c r="BC143" s="219" t="str">
        <f t="shared" si="103"/>
        <v>per cycle</v>
      </c>
      <c r="BD143" s="219">
        <f t="shared" si="102"/>
        <v>11</v>
      </c>
      <c r="BE143" s="467">
        <f t="shared" si="104"/>
        <v>63.185039999999994</v>
      </c>
      <c r="BF143" s="467">
        <f t="shared" si="104"/>
        <v>12.637008</v>
      </c>
      <c r="BG143" s="219">
        <f t="shared" si="104"/>
        <v>1</v>
      </c>
      <c r="BH143" s="219">
        <f t="shared" si="104"/>
        <v>11</v>
      </c>
      <c r="BJ143" s="219"/>
      <c r="BK143" s="219"/>
      <c r="BL143" s="219"/>
      <c r="BM143" s="219"/>
      <c r="BN143" s="988"/>
      <c r="BO143" s="884"/>
      <c r="DB143" s="107"/>
      <c r="DC143" s="107"/>
      <c r="EL143" s="1244"/>
      <c r="EN143" s="107"/>
      <c r="FD143" s="1247"/>
      <c r="FF143" s="107"/>
    </row>
    <row r="144" spans="4:162" ht="30.75" thickBot="1" x14ac:dyDescent="0.25">
      <c r="D144" s="768"/>
      <c r="E144" s="767"/>
      <c r="F144" s="767"/>
      <c r="G144" s="767"/>
      <c r="H144" s="769"/>
      <c r="I144" s="770" t="s">
        <v>371</v>
      </c>
      <c r="J144" s="771" t="s">
        <v>287</v>
      </c>
      <c r="K144" s="190"/>
      <c r="L144" s="190"/>
      <c r="M144" s="190"/>
      <c r="N144" s="191"/>
      <c r="O144" s="191"/>
      <c r="P144" s="193"/>
      <c r="Q144" s="192"/>
      <c r="R144" s="193"/>
      <c r="S144" s="194"/>
      <c r="T144" s="195"/>
      <c r="AN144" s="219" t="s">
        <v>407</v>
      </c>
      <c r="AO144" s="219" t="s">
        <v>408</v>
      </c>
      <c r="AP144" s="219" t="s">
        <v>419</v>
      </c>
      <c r="AQ144" s="219">
        <v>253</v>
      </c>
      <c r="AR144" s="844">
        <v>4463.1099999999997</v>
      </c>
      <c r="AS144" s="843"/>
      <c r="AT144" s="219"/>
      <c r="AU144" s="219"/>
      <c r="AV144" s="219"/>
      <c r="AW144" s="219"/>
      <c r="AX144" s="844"/>
      <c r="BA144" s="219" t="str">
        <f t="shared" si="103"/>
        <v>On treatment - all lines
(beyond 12 weeks)</v>
      </c>
      <c r="BB144" s="219"/>
      <c r="BC144" s="219" t="str">
        <f t="shared" si="103"/>
        <v>per cycle</v>
      </c>
      <c r="BD144" s="219">
        <f t="shared" si="102"/>
        <v>11</v>
      </c>
      <c r="BE144" s="467">
        <f t="shared" si="104"/>
        <v>38.556539999999998</v>
      </c>
      <c r="BF144" s="467">
        <f t="shared" si="104"/>
        <v>7.7113079999999998</v>
      </c>
      <c r="BG144" s="219">
        <f t="shared" si="104"/>
        <v>12</v>
      </c>
      <c r="BH144" s="219">
        <f t="shared" si="104"/>
        <v>2088</v>
      </c>
      <c r="BJ144" s="219"/>
      <c r="BK144" s="219"/>
      <c r="BL144" s="219"/>
      <c r="BM144" s="219"/>
      <c r="BN144" s="988"/>
      <c r="BO144" s="884"/>
      <c r="DB144" s="107"/>
      <c r="DC144" s="107"/>
      <c r="EL144" s="1244"/>
      <c r="EN144" s="107"/>
      <c r="FD144" s="1247"/>
      <c r="FF144" s="107"/>
    </row>
    <row r="145" spans="2:162" ht="16.5" thickBot="1" x14ac:dyDescent="0.25">
      <c r="D145" s="1654" t="s">
        <v>411</v>
      </c>
      <c r="E145" s="1655"/>
      <c r="F145" s="1655"/>
      <c r="G145" s="1655"/>
      <c r="H145" s="1655"/>
      <c r="I145" s="770"/>
      <c r="J145" s="773" t="s">
        <v>287</v>
      </c>
      <c r="K145" s="1157">
        <v>2</v>
      </c>
      <c r="L145" s="1158"/>
      <c r="M145" s="1158"/>
      <c r="N145" s="1159"/>
      <c r="O145" s="1160">
        <v>255.51</v>
      </c>
      <c r="P145" s="1161">
        <f>i_SE_costs*O145</f>
        <v>51.102000000000004</v>
      </c>
      <c r="Q145" s="1162"/>
      <c r="R145" s="1163"/>
      <c r="S145" s="1164">
        <f>O145*K145</f>
        <v>511.02</v>
      </c>
      <c r="T145" s="1165">
        <f>i_SE_costs*S145</f>
        <v>102.20400000000001</v>
      </c>
      <c r="V145" s="107" t="s">
        <v>412</v>
      </c>
      <c r="AN145" s="219" t="s">
        <v>407</v>
      </c>
      <c r="AO145" s="219" t="s">
        <v>408</v>
      </c>
      <c r="AP145" s="219" t="s">
        <v>420</v>
      </c>
      <c r="AQ145" s="219">
        <v>229</v>
      </c>
      <c r="AR145" s="844">
        <v>4849.38</v>
      </c>
      <c r="AS145" s="843"/>
      <c r="AT145" s="219"/>
      <c r="AU145" s="219"/>
      <c r="AV145" s="219"/>
      <c r="AW145" s="219"/>
      <c r="AX145" s="844"/>
      <c r="BA145" s="219" t="str">
        <f t="shared" si="103"/>
        <v>Off treatment - all lines
(beyond 12 weeks)</v>
      </c>
      <c r="BB145" s="219"/>
      <c r="BC145" s="219" t="str">
        <f t="shared" si="103"/>
        <v>per cycle</v>
      </c>
      <c r="BD145" s="219">
        <f t="shared" si="102"/>
        <v>11</v>
      </c>
      <c r="BE145" s="467">
        <f t="shared" si="104"/>
        <v>38.556539999999998</v>
      </c>
      <c r="BF145" s="467">
        <f t="shared" si="104"/>
        <v>7.7113079999999998</v>
      </c>
      <c r="BG145" s="219">
        <f t="shared" si="104"/>
        <v>12</v>
      </c>
      <c r="BH145" s="219">
        <f t="shared" si="104"/>
        <v>2088</v>
      </c>
      <c r="BN145" s="884"/>
      <c r="BO145" s="884"/>
      <c r="DB145" s="107"/>
      <c r="DC145" s="107"/>
      <c r="EL145" s="1244"/>
      <c r="EN145" s="107"/>
      <c r="FD145" s="1247"/>
      <c r="FF145" s="107"/>
    </row>
    <row r="146" spans="2:162" ht="16.5" thickBot="1" x14ac:dyDescent="0.25">
      <c r="D146" s="1656" t="s">
        <v>415</v>
      </c>
      <c r="E146" s="1657"/>
      <c r="F146" s="1657"/>
      <c r="G146" s="1657"/>
      <c r="H146" s="1657"/>
      <c r="I146" s="1166"/>
      <c r="J146" s="772" t="s">
        <v>287</v>
      </c>
      <c r="K146" s="1157">
        <v>1</v>
      </c>
      <c r="L146" s="1158"/>
      <c r="M146" s="1158"/>
      <c r="N146" s="1159"/>
      <c r="O146" s="1160">
        <f>AVERAGE(AR147,AX147)</f>
        <v>5393.2560839235184</v>
      </c>
      <c r="P146" s="1161">
        <f>i_SE_costs*O146</f>
        <v>1078.6512167847038</v>
      </c>
      <c r="Q146" s="1162"/>
      <c r="R146" s="1163"/>
      <c r="S146" s="1164">
        <f>O146*K146</f>
        <v>5393.2560839235184</v>
      </c>
      <c r="T146" s="1161">
        <f>P146</f>
        <v>1078.6512167847038</v>
      </c>
      <c r="V146" s="107" t="s">
        <v>416</v>
      </c>
      <c r="BA146" s="219" t="str">
        <f>D134</f>
        <v>Last line of treatment (5L) - BSC</v>
      </c>
      <c r="BB146" s="219"/>
      <c r="BC146" s="219" t="str">
        <f>J134</f>
        <v>per cycle</v>
      </c>
      <c r="BD146" s="219">
        <v>999</v>
      </c>
      <c r="BE146" s="466">
        <f>S137</f>
        <v>94.757499999999993</v>
      </c>
      <c r="BF146" s="467">
        <f>T137</f>
        <v>18.951499999999999</v>
      </c>
      <c r="BG146" s="469">
        <f>Q134</f>
        <v>1</v>
      </c>
      <c r="BH146" s="470">
        <f>R134</f>
        <v>2088</v>
      </c>
      <c r="BN146" s="884"/>
      <c r="BO146" s="884"/>
      <c r="DB146" s="107"/>
      <c r="DC146" s="107"/>
      <c r="EL146" s="1244"/>
      <c r="EN146" s="107"/>
      <c r="FD146" s="1247"/>
      <c r="FF146" s="107"/>
    </row>
    <row r="147" spans="2:162" ht="15.75" thickBot="1" x14ac:dyDescent="0.25">
      <c r="AR147" s="937">
        <f>SUMPRODUCT(AQ141:AQ145,AR141:AR145)/SUM(AQ141:AQ145)</f>
        <v>5776.4901715438946</v>
      </c>
      <c r="AX147" s="937">
        <f>SUMPRODUCT(AW141:AW143,AX141:AX143)/SUM(AW141:AW143)</f>
        <v>5010.0219963031423</v>
      </c>
      <c r="BA147" s="784"/>
      <c r="BB147" s="784"/>
      <c r="BC147" s="784"/>
      <c r="BD147" s="784"/>
      <c r="BE147" s="784"/>
      <c r="BF147" s="784"/>
      <c r="BH147" s="784"/>
      <c r="BI147" s="784"/>
      <c r="BJ147" s="784"/>
    </row>
    <row r="148" spans="2:162" ht="15.75" thickTop="1" x14ac:dyDescent="0.2">
      <c r="BA148" s="784"/>
      <c r="BB148" s="784"/>
      <c r="BC148" s="784"/>
      <c r="BD148" s="784"/>
      <c r="BE148" s="784"/>
      <c r="BF148" s="784"/>
      <c r="BH148" s="784"/>
      <c r="BI148" s="784"/>
      <c r="BJ148" s="784"/>
    </row>
    <row r="149" spans="2:162" ht="15.75" thickBot="1" x14ac:dyDescent="0.25">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897"/>
      <c r="AE149" s="149"/>
      <c r="AF149" s="149"/>
      <c r="AG149" s="149"/>
      <c r="AH149" s="149"/>
      <c r="AI149" s="149"/>
      <c r="AJ149" s="149"/>
      <c r="BA149" s="784"/>
      <c r="BB149" s="784"/>
      <c r="BC149" s="784"/>
      <c r="BD149" s="784"/>
      <c r="BE149" s="784"/>
      <c r="BF149" s="784"/>
      <c r="BH149" s="784"/>
      <c r="BI149" s="784"/>
      <c r="BJ149" s="784"/>
    </row>
    <row r="151" spans="2:162" x14ac:dyDescent="0.2">
      <c r="AN151" s="219"/>
      <c r="AO151" s="219" t="s">
        <v>426</v>
      </c>
      <c r="AP151" s="219"/>
      <c r="AQ151" s="219" t="s">
        <v>427</v>
      </c>
      <c r="AR151" s="219"/>
      <c r="BD151" s="784"/>
    </row>
    <row r="152" spans="2:162" ht="15" customHeight="1" x14ac:dyDescent="0.25">
      <c r="D152" s="108" t="s">
        <v>421</v>
      </c>
      <c r="AN152" s="219"/>
      <c r="AO152" s="219" t="s">
        <v>429</v>
      </c>
      <c r="AP152" s="219" t="s">
        <v>430</v>
      </c>
      <c r="AQ152" s="219" t="s">
        <v>429</v>
      </c>
      <c r="AR152" s="219" t="s">
        <v>430</v>
      </c>
      <c r="BD152" s="784"/>
    </row>
    <row r="153" spans="2:162" ht="15" customHeight="1" thickBot="1" x14ac:dyDescent="0.25">
      <c r="P153" s="107" t="s">
        <v>162</v>
      </c>
      <c r="AN153" s="219" t="str" cm="1">
        <f t="array" ref="AN153:AN166">List_comparators</f>
        <v>nivolumab_monotherapy</v>
      </c>
      <c r="AO153" s="936">
        <v>1</v>
      </c>
      <c r="AP153" s="936">
        <f>1-AO153</f>
        <v>0</v>
      </c>
      <c r="AQ153" s="936">
        <v>1</v>
      </c>
      <c r="AR153" s="936">
        <f>1-AQ153</f>
        <v>0</v>
      </c>
      <c r="BD153" s="784"/>
    </row>
    <row r="154" spans="2:162" ht="15" customHeight="1" thickBot="1" x14ac:dyDescent="0.25">
      <c r="B154" s="785">
        <v>1</v>
      </c>
      <c r="C154" s="785" t="str" cm="1">
        <f t="array" ref="C154:C156">List_AEs_all_grade</f>
        <v>Diarrhoea</v>
      </c>
      <c r="D154" s="1633" t="s">
        <v>422</v>
      </c>
      <c r="E154" s="1633"/>
      <c r="F154" s="1633"/>
      <c r="G154" s="1633"/>
      <c r="H154" s="1634"/>
      <c r="I154" s="1633" t="s">
        <v>423</v>
      </c>
      <c r="J154" s="1522"/>
      <c r="K154" s="1639" t="s">
        <v>424</v>
      </c>
      <c r="L154" s="1640"/>
      <c r="M154" s="1521" t="s">
        <v>425</v>
      </c>
      <c r="N154" s="1522"/>
      <c r="AN154" s="219" t="str">
        <v>cabozantinib_plus_nivolumab</v>
      </c>
      <c r="AO154" s="1407">
        <v>0.5</v>
      </c>
      <c r="AP154" s="1407">
        <f t="shared" ref="AP154:AP166" si="106">1-AO154</f>
        <v>0.5</v>
      </c>
      <c r="AQ154" s="1407">
        <v>0.5</v>
      </c>
      <c r="AR154" s="1407">
        <f t="shared" ref="AR154:AR166" si="107">1-AQ154</f>
        <v>0.5</v>
      </c>
      <c r="BD154" s="784"/>
    </row>
    <row r="155" spans="2:162" ht="15" customHeight="1" thickBot="1" x14ac:dyDescent="0.25">
      <c r="B155" s="785">
        <v>2</v>
      </c>
      <c r="C155" s="785" t="str">
        <v>Fatigue</v>
      </c>
      <c r="D155" s="1635"/>
      <c r="E155" s="1635"/>
      <c r="F155" s="1635"/>
      <c r="G155" s="1635"/>
      <c r="H155" s="1636"/>
      <c r="I155" s="1637"/>
      <c r="J155" s="1638"/>
      <c r="K155" s="279" t="s">
        <v>428</v>
      </c>
      <c r="L155" s="277" t="s">
        <v>161</v>
      </c>
      <c r="M155" s="1521"/>
      <c r="N155" s="1522"/>
      <c r="AN155" s="219" t="str">
        <v>nivolumab_plus_ipilimumab</v>
      </c>
      <c r="AO155" s="936">
        <v>1</v>
      </c>
      <c r="AP155" s="936">
        <f t="shared" si="106"/>
        <v>0</v>
      </c>
      <c r="AQ155" s="936">
        <v>1</v>
      </c>
      <c r="AR155" s="936">
        <f t="shared" si="107"/>
        <v>0</v>
      </c>
      <c r="BD155" s="784"/>
    </row>
    <row r="156" spans="2:162" ht="15" customHeight="1" x14ac:dyDescent="0.2">
      <c r="B156" s="785">
        <v>3</v>
      </c>
      <c r="C156" s="785" t="str">
        <v>Palmar-plantar erythrodysaesthesia syndrome</v>
      </c>
      <c r="D156" s="750" t="s">
        <v>431</v>
      </c>
      <c r="E156" s="761"/>
      <c r="F156" s="761"/>
      <c r="G156" s="761"/>
      <c r="H156" s="749"/>
      <c r="I156" s="757"/>
      <c r="J156" s="758"/>
      <c r="K156" s="279"/>
      <c r="L156" s="277"/>
      <c r="M156" s="1652"/>
      <c r="N156" s="1653"/>
      <c r="AN156" s="219" t="str">
        <v>lenvatinib_plus_pembrolizumab</v>
      </c>
      <c r="AO156" s="1407">
        <f>AO154</f>
        <v>0.5</v>
      </c>
      <c r="AP156" s="1407">
        <f t="shared" si="106"/>
        <v>0.5</v>
      </c>
      <c r="AQ156" s="1407">
        <v>0.5</v>
      </c>
      <c r="AR156" s="1407">
        <f t="shared" si="107"/>
        <v>0.5</v>
      </c>
      <c r="BD156" s="784"/>
    </row>
    <row r="157" spans="2:162" ht="15" customHeight="1" x14ac:dyDescent="0.2">
      <c r="B157" s="785">
        <v>4</v>
      </c>
      <c r="D157" s="1167" t="str">
        <f t="array" ref="D157:D178">List_AEs_g3</f>
        <v>ALT increased</v>
      </c>
      <c r="E157" s="1168"/>
      <c r="F157" s="1168"/>
      <c r="G157" s="1168"/>
      <c r="H157" s="1169"/>
      <c r="I157" s="1624" t="s">
        <v>432</v>
      </c>
      <c r="J157" s="1625"/>
      <c r="K157" s="269">
        <f>'Safety parameters'!AU30</f>
        <v>3</v>
      </c>
      <c r="L157" s="477">
        <f>i_SE_costs*K157</f>
        <v>0.60000000000000009</v>
      </c>
      <c r="M157" s="1631">
        <v>0</v>
      </c>
      <c r="N157" s="1632"/>
      <c r="P157" s="107" t="s">
        <v>433</v>
      </c>
      <c r="AN157" s="219" t="str">
        <v>avelumab_plus_axitinib</v>
      </c>
      <c r="AO157" s="1407">
        <f>AO154</f>
        <v>0.5</v>
      </c>
      <c r="AP157" s="1407">
        <f t="shared" si="106"/>
        <v>0.5</v>
      </c>
      <c r="AQ157" s="1407">
        <v>0.5</v>
      </c>
      <c r="AR157" s="1407">
        <f t="shared" si="107"/>
        <v>0.5</v>
      </c>
    </row>
    <row r="158" spans="2:162" x14ac:dyDescent="0.2">
      <c r="B158" s="785">
        <v>4</v>
      </c>
      <c r="D158" s="1167" t="str">
        <v>Anaemia</v>
      </c>
      <c r="E158" s="1168"/>
      <c r="F158" s="1168"/>
      <c r="G158" s="1168"/>
      <c r="H158" s="1169"/>
      <c r="I158" s="1624" t="s">
        <v>434</v>
      </c>
      <c r="J158" s="1625"/>
      <c r="K158" s="269">
        <f>'Safety parameters'!AU31</f>
        <v>3</v>
      </c>
      <c r="L158" s="477">
        <f t="shared" ref="L158:L178" si="108">i_SE_costs*K158</f>
        <v>0.60000000000000009</v>
      </c>
      <c r="M158" s="1517">
        <f>603.75+52</f>
        <v>655.75</v>
      </c>
      <c r="N158" s="1518"/>
      <c r="P158" s="107" t="s">
        <v>435</v>
      </c>
      <c r="AN158" s="219" t="str">
        <v>pazopanib</v>
      </c>
      <c r="AO158" s="936">
        <v>0</v>
      </c>
      <c r="AP158" s="936">
        <f t="shared" si="106"/>
        <v>1</v>
      </c>
      <c r="AQ158" s="936">
        <v>0</v>
      </c>
      <c r="AR158" s="936">
        <f t="shared" si="107"/>
        <v>1</v>
      </c>
    </row>
    <row r="159" spans="2:162" x14ac:dyDescent="0.2">
      <c r="B159" s="785">
        <v>5</v>
      </c>
      <c r="D159" s="1167" t="str">
        <v>Decreased appetite</v>
      </c>
      <c r="E159" s="1168"/>
      <c r="F159" s="1168"/>
      <c r="G159" s="1168"/>
      <c r="H159" s="1169"/>
      <c r="I159" s="1626" t="s">
        <v>436</v>
      </c>
      <c r="J159" s="1627"/>
      <c r="K159" s="269">
        <f>'Safety parameters'!AU32</f>
        <v>3</v>
      </c>
      <c r="L159" s="477">
        <f t="shared" si="108"/>
        <v>0.60000000000000009</v>
      </c>
      <c r="M159" s="1519">
        <v>0</v>
      </c>
      <c r="N159" s="1520"/>
      <c r="O159" s="784"/>
      <c r="P159" s="107" t="s">
        <v>437</v>
      </c>
      <c r="AN159" s="219" t="str">
        <v>tivozanib</v>
      </c>
      <c r="AO159" s="936">
        <v>0</v>
      </c>
      <c r="AP159" s="936">
        <f t="shared" si="106"/>
        <v>1</v>
      </c>
      <c r="AQ159" s="936">
        <v>0</v>
      </c>
      <c r="AR159" s="936">
        <f t="shared" si="107"/>
        <v>1</v>
      </c>
    </row>
    <row r="160" spans="2:162" ht="15" customHeight="1" x14ac:dyDescent="0.2">
      <c r="B160" s="785">
        <v>6</v>
      </c>
      <c r="D160" s="1167" t="str">
        <v>Diarrhoea _TKI induced</v>
      </c>
      <c r="E160" s="1168"/>
      <c r="F160" s="1168"/>
      <c r="G160" s="1168"/>
      <c r="H160" s="1169"/>
      <c r="I160" s="1624" t="s">
        <v>438</v>
      </c>
      <c r="J160" s="1625"/>
      <c r="K160" s="269">
        <f>'Safety parameters'!AU33</f>
        <v>3</v>
      </c>
      <c r="L160" s="477">
        <f t="shared" si="108"/>
        <v>0.60000000000000009</v>
      </c>
      <c r="M160" s="1631">
        <v>827.18</v>
      </c>
      <c r="N160" s="1632"/>
      <c r="P160" s="107" t="s">
        <v>437</v>
      </c>
      <c r="AN160" s="219" t="str">
        <v>sunitinib</v>
      </c>
      <c r="AO160" s="936">
        <v>0</v>
      </c>
      <c r="AP160" s="936">
        <f t="shared" si="106"/>
        <v>1</v>
      </c>
      <c r="AQ160" s="936">
        <v>0</v>
      </c>
      <c r="AR160" s="936">
        <f t="shared" si="107"/>
        <v>1</v>
      </c>
    </row>
    <row r="161" spans="2:61" ht="15" customHeight="1" x14ac:dyDescent="0.2">
      <c r="B161" s="785">
        <v>7</v>
      </c>
      <c r="D161" s="1167" t="str">
        <v>Diarrhoea _IO induced</v>
      </c>
      <c r="E161" s="1168"/>
      <c r="F161" s="1168"/>
      <c r="G161" s="1168"/>
      <c r="H161" s="1169"/>
      <c r="I161" s="1624" t="s">
        <v>439</v>
      </c>
      <c r="J161" s="1625"/>
      <c r="K161" s="269">
        <f>K160</f>
        <v>3</v>
      </c>
      <c r="L161" s="477">
        <f>i_SE_costs*K161</f>
        <v>0.60000000000000009</v>
      </c>
      <c r="M161" s="1631">
        <v>4321.12</v>
      </c>
      <c r="N161" s="1632"/>
      <c r="P161" s="107" t="s">
        <v>440</v>
      </c>
      <c r="AN161" s="219" t="str">
        <v>cabozantinib</v>
      </c>
      <c r="AO161" s="936">
        <v>0</v>
      </c>
      <c r="AP161" s="936">
        <f t="shared" si="106"/>
        <v>1</v>
      </c>
      <c r="AQ161" s="936">
        <v>0</v>
      </c>
      <c r="AR161" s="936">
        <f t="shared" si="107"/>
        <v>1</v>
      </c>
    </row>
    <row r="162" spans="2:61" ht="15" customHeight="1" x14ac:dyDescent="0.2">
      <c r="B162" s="785">
        <v>8</v>
      </c>
      <c r="D162" s="1167" t="str">
        <v>Fatigue</v>
      </c>
      <c r="E162" s="1168"/>
      <c r="F162" s="1168"/>
      <c r="G162" s="1168"/>
      <c r="H162" s="1169"/>
      <c r="I162" s="1624" t="s">
        <v>441</v>
      </c>
      <c r="J162" s="1625"/>
      <c r="K162" s="269">
        <f>'Safety parameters'!AU35</f>
        <v>3</v>
      </c>
      <c r="L162" s="477">
        <f t="shared" si="108"/>
        <v>0.60000000000000009</v>
      </c>
      <c r="M162" s="1517">
        <f>3*220.87</f>
        <v>662.61</v>
      </c>
      <c r="N162" s="1518"/>
      <c r="P162" s="107" t="s">
        <v>440</v>
      </c>
      <c r="AN162" s="219" t="str">
        <v>lenvatinib_plus_everolimus</v>
      </c>
      <c r="AO162" s="936">
        <v>0</v>
      </c>
      <c r="AP162" s="936">
        <f t="shared" si="106"/>
        <v>1</v>
      </c>
      <c r="AQ162" s="936">
        <v>0</v>
      </c>
      <c r="AR162" s="936">
        <f t="shared" si="107"/>
        <v>1</v>
      </c>
    </row>
    <row r="163" spans="2:61" ht="15" customHeight="1" x14ac:dyDescent="0.2">
      <c r="B163" s="785">
        <v>9</v>
      </c>
      <c r="D163" s="1167" t="str">
        <v>HFS</v>
      </c>
      <c r="E163" s="1168"/>
      <c r="F163" s="1168"/>
      <c r="G163" s="1168"/>
      <c r="H163" s="1169"/>
      <c r="I163" s="1541" t="s">
        <v>442</v>
      </c>
      <c r="J163" s="1538"/>
      <c r="K163" s="269">
        <f>'Safety parameters'!AU36</f>
        <v>3</v>
      </c>
      <c r="L163" s="477">
        <f t="shared" si="108"/>
        <v>0.60000000000000009</v>
      </c>
      <c r="M163" s="1517">
        <f>0.5*801.11+0.5*2*220.87</f>
        <v>621.42499999999995</v>
      </c>
      <c r="N163" s="1518"/>
      <c r="P163" s="107" t="s">
        <v>440</v>
      </c>
      <c r="AN163" s="219" t="str">
        <v>everolimus</v>
      </c>
      <c r="AO163" s="936">
        <v>0</v>
      </c>
      <c r="AP163" s="936">
        <f t="shared" si="106"/>
        <v>1</v>
      </c>
      <c r="AQ163" s="936">
        <v>0</v>
      </c>
      <c r="AR163" s="936">
        <f t="shared" si="107"/>
        <v>1</v>
      </c>
    </row>
    <row r="164" spans="2:61" ht="15" customHeight="1" x14ac:dyDescent="0.2">
      <c r="B164" s="785">
        <v>10</v>
      </c>
      <c r="D164" s="1167" t="str">
        <v>Hypertension</v>
      </c>
      <c r="E164" s="1168"/>
      <c r="F164" s="1168"/>
      <c r="G164" s="1168"/>
      <c r="H164" s="1169"/>
      <c r="I164" s="1667" t="s">
        <v>443</v>
      </c>
      <c r="J164" s="1668"/>
      <c r="K164" s="269">
        <f>'Safety parameters'!AU37</f>
        <v>3</v>
      </c>
      <c r="L164" s="477">
        <f t="shared" si="108"/>
        <v>0.60000000000000009</v>
      </c>
      <c r="M164" s="1519">
        <v>424.6</v>
      </c>
      <c r="N164" s="1520"/>
      <c r="P164" s="107" t="s">
        <v>437</v>
      </c>
      <c r="AN164" s="219" t="str">
        <v>axitinib</v>
      </c>
      <c r="AO164" s="936">
        <v>0</v>
      </c>
      <c r="AP164" s="936">
        <f t="shared" si="106"/>
        <v>1</v>
      </c>
      <c r="AQ164" s="936">
        <v>0</v>
      </c>
      <c r="AR164" s="936">
        <f t="shared" si="107"/>
        <v>1</v>
      </c>
    </row>
    <row r="165" spans="2:61" ht="15" customHeight="1" x14ac:dyDescent="0.2">
      <c r="B165" s="785">
        <v>11</v>
      </c>
      <c r="D165" s="1167" t="str">
        <v>Hypertriglyceridemia</v>
      </c>
      <c r="E165" s="1168"/>
      <c r="F165" s="1168"/>
      <c r="G165" s="1168"/>
      <c r="H165" s="1169"/>
      <c r="I165" s="1541" t="s">
        <v>444</v>
      </c>
      <c r="J165" s="1538"/>
      <c r="K165" s="269">
        <f>'Safety parameters'!AU38</f>
        <v>3</v>
      </c>
      <c r="L165" s="477">
        <f t="shared" si="108"/>
        <v>0.60000000000000009</v>
      </c>
      <c r="M165" s="1519">
        <v>0</v>
      </c>
      <c r="N165" s="1520"/>
      <c r="P165" s="107" t="s">
        <v>445</v>
      </c>
      <c r="AN165" s="219" t="str">
        <v>sorafenib</v>
      </c>
      <c r="AO165" s="936">
        <v>0</v>
      </c>
      <c r="AP165" s="936">
        <f t="shared" si="106"/>
        <v>1</v>
      </c>
      <c r="AQ165" s="936">
        <v>0</v>
      </c>
      <c r="AR165" s="936">
        <f t="shared" si="107"/>
        <v>1</v>
      </c>
    </row>
    <row r="166" spans="2:61" ht="15" customHeight="1" x14ac:dyDescent="0.2">
      <c r="B166" s="785">
        <v>12</v>
      </c>
      <c r="D166" s="1167" t="str">
        <v>Hyponatraemia</v>
      </c>
      <c r="E166" s="1168"/>
      <c r="F166" s="1168"/>
      <c r="G166" s="1168"/>
      <c r="H166" s="1169"/>
      <c r="I166" s="1626" t="s">
        <v>446</v>
      </c>
      <c r="J166" s="1627"/>
      <c r="K166" s="269">
        <f>'Safety parameters'!AU39</f>
        <v>3</v>
      </c>
      <c r="L166" s="477">
        <f t="shared" si="108"/>
        <v>0.60000000000000009</v>
      </c>
      <c r="M166" s="1519">
        <v>574.71</v>
      </c>
      <c r="N166" s="1520"/>
      <c r="P166" s="107" t="s">
        <v>437</v>
      </c>
      <c r="AN166" s="219" t="str">
        <v>placebo_BSC</v>
      </c>
      <c r="AO166" s="936">
        <v>0</v>
      </c>
      <c r="AP166" s="936">
        <f t="shared" si="106"/>
        <v>1</v>
      </c>
      <c r="AQ166" s="936">
        <v>0</v>
      </c>
      <c r="AR166" s="936">
        <f t="shared" si="107"/>
        <v>1</v>
      </c>
    </row>
    <row r="167" spans="2:61" ht="15" customHeight="1" x14ac:dyDescent="0.2">
      <c r="B167" s="785">
        <v>13</v>
      </c>
      <c r="D167" s="1167" t="str">
        <v>Hypophosphatemia</v>
      </c>
      <c r="E167" s="1168"/>
      <c r="F167" s="1168"/>
      <c r="G167" s="1168"/>
      <c r="H167" s="1169"/>
      <c r="I167" s="1541" t="s">
        <v>432</v>
      </c>
      <c r="J167" s="1538"/>
      <c r="K167" s="269">
        <f>'Safety parameters'!AU40</f>
        <v>3</v>
      </c>
      <c r="L167" s="477">
        <f t="shared" si="108"/>
        <v>0.60000000000000009</v>
      </c>
      <c r="M167" s="1519">
        <v>0</v>
      </c>
      <c r="N167" s="1520"/>
      <c r="P167" s="107" t="s">
        <v>447</v>
      </c>
    </row>
    <row r="168" spans="2:61" ht="15" customHeight="1" x14ac:dyDescent="0.2">
      <c r="B168" s="785">
        <v>14</v>
      </c>
      <c r="D168" s="1167" t="str">
        <v>Increase in lipase</v>
      </c>
      <c r="E168" s="1168"/>
      <c r="F168" s="1168"/>
      <c r="G168" s="1168"/>
      <c r="H168" s="1169"/>
      <c r="I168" s="1531" t="s">
        <v>448</v>
      </c>
      <c r="J168" s="1532"/>
      <c r="K168" s="269">
        <f>'Safety parameters'!AU41</f>
        <v>3</v>
      </c>
      <c r="L168" s="477">
        <f t="shared" si="108"/>
        <v>0.60000000000000009</v>
      </c>
      <c r="M168" s="1517">
        <f>M158</f>
        <v>655.75</v>
      </c>
      <c r="N168" s="1518"/>
      <c r="P168" s="107" t="s">
        <v>449</v>
      </c>
    </row>
    <row r="169" spans="2:61" ht="15" customHeight="1" x14ac:dyDescent="0.2">
      <c r="B169" s="785">
        <v>15</v>
      </c>
      <c r="D169" s="1167" t="str">
        <v>Increased AST</v>
      </c>
      <c r="E169" s="1168"/>
      <c r="F169" s="1168"/>
      <c r="G169" s="1168"/>
      <c r="H169" s="1169"/>
      <c r="I169" s="1541" t="s">
        <v>432</v>
      </c>
      <c r="J169" s="1538"/>
      <c r="K169" s="1170">
        <f>'Safety parameters'!AU42</f>
        <v>3</v>
      </c>
      <c r="L169" s="1171">
        <f t="shared" si="108"/>
        <v>0.60000000000000009</v>
      </c>
      <c r="M169" s="1519">
        <v>0</v>
      </c>
      <c r="N169" s="1520"/>
      <c r="P169" s="107" t="s">
        <v>450</v>
      </c>
    </row>
    <row r="170" spans="2:61" ht="15" customHeight="1" thickBot="1" x14ac:dyDescent="0.25">
      <c r="B170" s="785">
        <v>16</v>
      </c>
      <c r="D170" s="1167" t="str">
        <v>Leukopenia</v>
      </c>
      <c r="E170" s="1168"/>
      <c r="F170" s="1168"/>
      <c r="G170" s="1168"/>
      <c r="H170" s="1169"/>
      <c r="I170" s="1541" t="s">
        <v>432</v>
      </c>
      <c r="J170" s="1538"/>
      <c r="K170" s="1170">
        <f>'Safety parameters'!AU43</f>
        <v>3</v>
      </c>
      <c r="L170" s="1171">
        <f t="shared" si="108"/>
        <v>0.60000000000000009</v>
      </c>
      <c r="M170" s="1519">
        <v>0</v>
      </c>
      <c r="N170" s="1520"/>
      <c r="P170" s="107" t="s">
        <v>450</v>
      </c>
      <c r="BA170" s="180" t="s">
        <v>451</v>
      </c>
      <c r="BB170" s="180"/>
      <c r="BC170" s="180" t="s">
        <v>452</v>
      </c>
      <c r="BD170" s="180" t="s">
        <v>453</v>
      </c>
      <c r="BE170" s="180" t="s">
        <v>454</v>
      </c>
      <c r="BF170" s="180"/>
      <c r="BG170" s="1259"/>
      <c r="BH170" s="930" t="s">
        <v>455</v>
      </c>
      <c r="BI170" s="180" t="s">
        <v>456</v>
      </c>
    </row>
    <row r="171" spans="2:61" ht="15" customHeight="1" x14ac:dyDescent="0.2">
      <c r="B171" s="785">
        <v>17</v>
      </c>
      <c r="D171" s="1167" t="str">
        <v>Lymphopenia</v>
      </c>
      <c r="E171" s="1168"/>
      <c r="F171" s="1168"/>
      <c r="G171" s="1168"/>
      <c r="H171" s="1169"/>
      <c r="I171" s="1531" t="s">
        <v>458</v>
      </c>
      <c r="J171" s="1532"/>
      <c r="K171" s="1170">
        <f>'Safety parameters'!AU44</f>
        <v>3</v>
      </c>
      <c r="L171" s="1171">
        <f t="shared" si="108"/>
        <v>0.60000000000000009</v>
      </c>
      <c r="M171" s="1517">
        <f>627.97+52</f>
        <v>679.97</v>
      </c>
      <c r="N171" s="1518"/>
      <c r="P171" s="107" t="s">
        <v>450</v>
      </c>
      <c r="BA171" s="1172" t="str">
        <f t="shared" ref="BA171:BA192" si="109">"G3+ "&amp;D157</f>
        <v>G3+ ALT increased</v>
      </c>
      <c r="BB171" s="1172"/>
      <c r="BC171" s="485" t="s">
        <v>457</v>
      </c>
      <c r="BD171" s="931">
        <f t="shared" ref="BD171:BD192" si="110">IF(i_double_AE_impact=1,2*M157,M157)</f>
        <v>0</v>
      </c>
      <c r="BE171" s="479">
        <f t="shared" ref="BE171:BE195" si="111">BD171*i_SE_costs</f>
        <v>0</v>
      </c>
      <c r="BF171" s="479"/>
      <c r="BG171" s="1258"/>
      <c r="BH171" s="934">
        <f t="shared" ref="BH171:BH195" si="112">K157</f>
        <v>3</v>
      </c>
      <c r="BI171" s="934">
        <f t="shared" ref="BI171:BI195" si="113">L157</f>
        <v>0.60000000000000009</v>
      </c>
    </row>
    <row r="172" spans="2:61" ht="15" customHeight="1" x14ac:dyDescent="0.2">
      <c r="B172" s="785">
        <v>18</v>
      </c>
      <c r="D172" s="1167" t="str">
        <v>Nausea</v>
      </c>
      <c r="E172" s="1168"/>
      <c r="F172" s="1168"/>
      <c r="G172" s="1168"/>
      <c r="H172" s="1169"/>
      <c r="I172" s="1531" t="s">
        <v>459</v>
      </c>
      <c r="J172" s="1532"/>
      <c r="K172" s="1170">
        <f>'Safety parameters'!AU45</f>
        <v>3</v>
      </c>
      <c r="L172" s="1171">
        <f t="shared" si="108"/>
        <v>0.60000000000000009</v>
      </c>
      <c r="M172" s="1519">
        <v>801.11</v>
      </c>
      <c r="N172" s="1520"/>
      <c r="P172" s="107" t="s">
        <v>460</v>
      </c>
      <c r="BA172" s="1172" t="str">
        <f t="shared" si="109"/>
        <v>G3+ Anaemia</v>
      </c>
      <c r="BB172" s="1172"/>
      <c r="BC172" s="219" t="s">
        <v>457</v>
      </c>
      <c r="BD172" s="931">
        <f t="shared" si="110"/>
        <v>655.75</v>
      </c>
      <c r="BE172" s="479">
        <f t="shared" si="111"/>
        <v>131.15</v>
      </c>
      <c r="BF172" s="479"/>
      <c r="BG172" s="1258"/>
      <c r="BH172" s="934">
        <f t="shared" si="112"/>
        <v>3</v>
      </c>
      <c r="BI172" s="934">
        <f t="shared" si="113"/>
        <v>0.60000000000000009</v>
      </c>
    </row>
    <row r="173" spans="2:61" ht="15" customHeight="1" x14ac:dyDescent="0.2">
      <c r="B173" s="785">
        <v>19</v>
      </c>
      <c r="D173" s="1167" t="str">
        <v>Neutropenia</v>
      </c>
      <c r="E173" s="1168"/>
      <c r="F173" s="1168"/>
      <c r="G173" s="1168"/>
      <c r="H173" s="1169"/>
      <c r="I173" s="1531" t="s">
        <v>448</v>
      </c>
      <c r="J173" s="1532"/>
      <c r="K173" s="1170">
        <f>'Safety parameters'!AU46</f>
        <v>3</v>
      </c>
      <c r="L173" s="1171">
        <f t="shared" si="108"/>
        <v>0.60000000000000009</v>
      </c>
      <c r="M173" s="1517">
        <f>M158</f>
        <v>655.75</v>
      </c>
      <c r="N173" s="1518"/>
      <c r="P173" s="107" t="s">
        <v>460</v>
      </c>
      <c r="BA173" s="1172" t="str">
        <f t="shared" si="109"/>
        <v>G3+ Decreased appetite</v>
      </c>
      <c r="BB173" s="1172"/>
      <c r="BC173" s="219" t="s">
        <v>457</v>
      </c>
      <c r="BD173" s="931">
        <f t="shared" si="110"/>
        <v>0</v>
      </c>
      <c r="BE173" s="479">
        <f t="shared" si="111"/>
        <v>0</v>
      </c>
      <c r="BF173" s="479"/>
      <c r="BG173" s="1258"/>
      <c r="BH173" s="934">
        <f t="shared" si="112"/>
        <v>3</v>
      </c>
      <c r="BI173" s="934">
        <f t="shared" si="113"/>
        <v>0.60000000000000009</v>
      </c>
    </row>
    <row r="174" spans="2:61" ht="15" customHeight="1" x14ac:dyDescent="0.2">
      <c r="B174" s="785">
        <v>20</v>
      </c>
      <c r="D174" s="1167" t="str">
        <v>Platelets count decreased</v>
      </c>
      <c r="E174" s="1168"/>
      <c r="F174" s="1168"/>
      <c r="G174" s="1168"/>
      <c r="H174" s="1169"/>
      <c r="I174" s="1531" t="s">
        <v>461</v>
      </c>
      <c r="J174" s="1532"/>
      <c r="K174" s="1170">
        <f>'Safety parameters'!AU47</f>
        <v>3</v>
      </c>
      <c r="L174" s="1171">
        <f t="shared" si="108"/>
        <v>0.60000000000000009</v>
      </c>
      <c r="M174" s="1519">
        <v>801.11</v>
      </c>
      <c r="N174" s="1520"/>
      <c r="P174" s="107" t="s">
        <v>462</v>
      </c>
      <c r="BA174" s="1172" t="str">
        <f t="shared" si="109"/>
        <v>G3+ Diarrhoea _TKI induced</v>
      </c>
      <c r="BB174" s="1172"/>
      <c r="BC174" s="219" t="s">
        <v>457</v>
      </c>
      <c r="BD174" s="931">
        <f t="shared" si="110"/>
        <v>827.18</v>
      </c>
      <c r="BE174" s="479">
        <f t="shared" si="111"/>
        <v>165.43600000000001</v>
      </c>
      <c r="BF174" s="479"/>
      <c r="BG174" s="1258"/>
      <c r="BH174" s="934">
        <f t="shared" si="112"/>
        <v>3</v>
      </c>
      <c r="BI174" s="934">
        <f t="shared" si="113"/>
        <v>0.60000000000000009</v>
      </c>
    </row>
    <row r="175" spans="2:61" ht="15" customHeight="1" x14ac:dyDescent="0.2">
      <c r="B175" s="785">
        <v>21</v>
      </c>
      <c r="D175" s="1167" t="str">
        <v>Proteinuria</v>
      </c>
      <c r="E175" s="1168"/>
      <c r="F175" s="1168"/>
      <c r="G175" s="1168"/>
      <c r="H175" s="1169"/>
      <c r="I175" s="1531" t="s">
        <v>463</v>
      </c>
      <c r="J175" s="1532"/>
      <c r="K175" s="1170">
        <f>'Safety parameters'!AU48</f>
        <v>3</v>
      </c>
      <c r="L175" s="1171">
        <f t="shared" si="108"/>
        <v>0.60000000000000009</v>
      </c>
      <c r="M175" s="1519">
        <v>220.87</v>
      </c>
      <c r="N175" s="1520"/>
      <c r="P175" s="107" t="s">
        <v>464</v>
      </c>
      <c r="BA175" s="1172" t="str">
        <f t="shared" si="109"/>
        <v>G3+ Diarrhoea _IO induced</v>
      </c>
      <c r="BB175" s="1172"/>
      <c r="BC175" s="219" t="s">
        <v>457</v>
      </c>
      <c r="BD175" s="931">
        <f t="shared" si="110"/>
        <v>4321.12</v>
      </c>
      <c r="BE175" s="479">
        <f t="shared" si="111"/>
        <v>864.22400000000005</v>
      </c>
      <c r="BF175" s="479"/>
      <c r="BG175" s="1258"/>
      <c r="BH175" s="934">
        <f t="shared" si="112"/>
        <v>3</v>
      </c>
      <c r="BI175" s="934">
        <f t="shared" si="113"/>
        <v>0.60000000000000009</v>
      </c>
    </row>
    <row r="176" spans="2:61" ht="15" customHeight="1" x14ac:dyDescent="0.2">
      <c r="D176" s="1167" t="str">
        <v>Stomatitis</v>
      </c>
      <c r="E176" s="1168"/>
      <c r="F176" s="1168"/>
      <c r="G176" s="1168"/>
      <c r="H176" s="1169"/>
      <c r="I176" s="1531" t="s">
        <v>465</v>
      </c>
      <c r="J176" s="1532"/>
      <c r="K176" s="1170">
        <f>'Safety parameters'!AU49</f>
        <v>3</v>
      </c>
      <c r="L176" s="1171">
        <f t="shared" si="108"/>
        <v>0.60000000000000009</v>
      </c>
      <c r="M176" s="1517">
        <f>M178</f>
        <v>801.11</v>
      </c>
      <c r="N176" s="1518"/>
      <c r="P176" s="107" t="s">
        <v>466</v>
      </c>
      <c r="BA176" s="1172" t="str">
        <f t="shared" si="109"/>
        <v>G3+ Fatigue</v>
      </c>
      <c r="BB176" s="1172"/>
      <c r="BC176" s="219" t="s">
        <v>457</v>
      </c>
      <c r="BD176" s="931">
        <f t="shared" si="110"/>
        <v>662.61</v>
      </c>
      <c r="BE176" s="479">
        <f t="shared" si="111"/>
        <v>132.52200000000002</v>
      </c>
      <c r="BF176" s="479"/>
      <c r="BG176" s="1258"/>
      <c r="BH176" s="934">
        <f t="shared" si="112"/>
        <v>3</v>
      </c>
      <c r="BI176" s="934">
        <f t="shared" si="113"/>
        <v>0.60000000000000009</v>
      </c>
    </row>
    <row r="177" spans="2:61" ht="15" customHeight="1" x14ac:dyDescent="0.2">
      <c r="B177" s="785">
        <v>1</v>
      </c>
      <c r="D177" s="1167" t="str">
        <v>Vomiting</v>
      </c>
      <c r="E177" s="1168"/>
      <c r="F177" s="1168"/>
      <c r="G177" s="1168"/>
      <c r="H177" s="1169"/>
      <c r="I177" s="1531" t="s">
        <v>467</v>
      </c>
      <c r="J177" s="1532"/>
      <c r="K177" s="1170">
        <f>'Safety parameters'!AU50</f>
        <v>3</v>
      </c>
      <c r="L177" s="1171">
        <f t="shared" si="108"/>
        <v>0.60000000000000009</v>
      </c>
      <c r="M177" s="1517">
        <f>M172</f>
        <v>801.11</v>
      </c>
      <c r="N177" s="1518"/>
      <c r="P177" s="107" t="s">
        <v>468</v>
      </c>
      <c r="BA177" s="1172" t="str">
        <f t="shared" si="109"/>
        <v>G3+ HFS</v>
      </c>
      <c r="BB177" s="1172"/>
      <c r="BC177" s="219" t="s">
        <v>457</v>
      </c>
      <c r="BD177" s="931">
        <f t="shared" si="110"/>
        <v>621.42499999999995</v>
      </c>
      <c r="BE177" s="479">
        <f t="shared" si="111"/>
        <v>124.285</v>
      </c>
      <c r="BF177" s="479"/>
      <c r="BG177" s="1258"/>
      <c r="BH177" s="934">
        <f t="shared" si="112"/>
        <v>3</v>
      </c>
      <c r="BI177" s="934">
        <f t="shared" si="113"/>
        <v>0.60000000000000009</v>
      </c>
    </row>
    <row r="178" spans="2:61" ht="15" customHeight="1" x14ac:dyDescent="0.2">
      <c r="B178" s="785">
        <v>2</v>
      </c>
      <c r="D178" s="1167" t="str">
        <v>Weight loss</v>
      </c>
      <c r="E178" s="1168"/>
      <c r="F178" s="1168"/>
      <c r="G178" s="1168"/>
      <c r="H178" s="1168"/>
      <c r="I178" s="1537" t="s">
        <v>459</v>
      </c>
      <c r="J178" s="1538"/>
      <c r="K178" s="1170">
        <f>'Safety parameters'!AU51</f>
        <v>3</v>
      </c>
      <c r="L178" s="1171">
        <f t="shared" si="108"/>
        <v>0.60000000000000009</v>
      </c>
      <c r="M178" s="1519">
        <v>801.11</v>
      </c>
      <c r="N178" s="1520"/>
      <c r="P178" s="107" t="s">
        <v>460</v>
      </c>
      <c r="BA178" s="1172" t="str">
        <f t="shared" si="109"/>
        <v>G3+ Hypertension</v>
      </c>
      <c r="BB178" s="1172"/>
      <c r="BC178" s="219" t="s">
        <v>457</v>
      </c>
      <c r="BD178" s="931">
        <f t="shared" si="110"/>
        <v>424.6</v>
      </c>
      <c r="BE178" s="479">
        <f t="shared" si="111"/>
        <v>84.920000000000016</v>
      </c>
      <c r="BF178" s="479"/>
      <c r="BG178" s="1258"/>
      <c r="BH178" s="934">
        <f t="shared" si="112"/>
        <v>3</v>
      </c>
      <c r="BI178" s="934">
        <f t="shared" si="113"/>
        <v>0.60000000000000009</v>
      </c>
    </row>
    <row r="179" spans="2:61" ht="15" customHeight="1" x14ac:dyDescent="0.25">
      <c r="B179" s="785">
        <v>3</v>
      </c>
      <c r="D179" s="1173" t="s">
        <v>469</v>
      </c>
      <c r="E179" s="1168"/>
      <c r="F179" s="1168"/>
      <c r="G179" s="1168"/>
      <c r="H179" s="1169"/>
      <c r="I179" s="1537"/>
      <c r="J179" s="1538"/>
      <c r="K179" s="1174"/>
      <c r="L179" s="754"/>
      <c r="M179" s="1517"/>
      <c r="N179" s="1518"/>
      <c r="BA179" s="1172" t="str">
        <f t="shared" si="109"/>
        <v>G3+ Hypertriglyceridemia</v>
      </c>
      <c r="BB179" s="1172"/>
      <c r="BC179" s="219" t="s">
        <v>457</v>
      </c>
      <c r="BD179" s="931">
        <f t="shared" si="110"/>
        <v>0</v>
      </c>
      <c r="BE179" s="479">
        <f t="shared" si="111"/>
        <v>0</v>
      </c>
      <c r="BF179" s="479"/>
      <c r="BG179" s="1258"/>
      <c r="BH179" s="934">
        <f t="shared" si="112"/>
        <v>3</v>
      </c>
      <c r="BI179" s="934">
        <f t="shared" si="113"/>
        <v>0.60000000000000009</v>
      </c>
    </row>
    <row r="180" spans="2:61" ht="15" customHeight="1" x14ac:dyDescent="0.2">
      <c r="D180" s="1167" t="str" cm="1">
        <f t="array" ref="D180">INDEX(List_AEs_all_grade,B177)</f>
        <v>Diarrhoea</v>
      </c>
      <c r="E180" s="1168"/>
      <c r="F180" s="1168"/>
      <c r="G180" s="1168"/>
      <c r="H180" s="1169"/>
      <c r="I180" s="1539" t="s">
        <v>470</v>
      </c>
      <c r="J180" s="1540"/>
      <c r="K180" s="753">
        <f>'Safety parameters'!AU18</f>
        <v>3</v>
      </c>
      <c r="L180" s="1175">
        <f>'Safety parameters'!AV18</f>
        <v>0.6</v>
      </c>
      <c r="M180" s="1519">
        <v>220.87</v>
      </c>
      <c r="N180" s="1520"/>
      <c r="P180" s="107" t="s">
        <v>440</v>
      </c>
      <c r="BA180" s="1172" t="str">
        <f t="shared" si="109"/>
        <v>G3+ Hyponatraemia</v>
      </c>
      <c r="BB180" s="1172"/>
      <c r="BC180" s="219" t="s">
        <v>457</v>
      </c>
      <c r="BD180" s="931">
        <f t="shared" si="110"/>
        <v>574.71</v>
      </c>
      <c r="BE180" s="479">
        <f t="shared" si="111"/>
        <v>114.94200000000001</v>
      </c>
      <c r="BF180" s="479"/>
      <c r="BG180" s="1258"/>
      <c r="BH180" s="934">
        <f t="shared" si="112"/>
        <v>3</v>
      </c>
      <c r="BI180" s="934">
        <f t="shared" si="113"/>
        <v>0.60000000000000009</v>
      </c>
    </row>
    <row r="181" spans="2:61" ht="15" customHeight="1" x14ac:dyDescent="0.2">
      <c r="D181" s="1167" t="str" cm="1">
        <f t="array" ref="D181">INDEX(List_AEs_all_grade,B178)</f>
        <v>Fatigue</v>
      </c>
      <c r="E181" s="1168"/>
      <c r="F181" s="1168"/>
      <c r="G181" s="1168"/>
      <c r="H181" s="1169"/>
      <c r="I181" s="1541" t="s">
        <v>471</v>
      </c>
      <c r="J181" s="1538"/>
      <c r="K181" s="753">
        <f>'Safety parameters'!AU19</f>
        <v>3</v>
      </c>
      <c r="L181" s="1175">
        <f>'Safety parameters'!AV19</f>
        <v>0.6</v>
      </c>
      <c r="M181" s="1517">
        <f>2*220.87</f>
        <v>441.74</v>
      </c>
      <c r="N181" s="1518"/>
      <c r="P181" s="107" t="s">
        <v>440</v>
      </c>
      <c r="BA181" s="1172" t="str">
        <f t="shared" si="109"/>
        <v>G3+ Hypophosphatemia</v>
      </c>
      <c r="BB181" s="1172"/>
      <c r="BC181" s="219" t="s">
        <v>457</v>
      </c>
      <c r="BD181" s="931">
        <f t="shared" si="110"/>
        <v>0</v>
      </c>
      <c r="BE181" s="479">
        <f t="shared" si="111"/>
        <v>0</v>
      </c>
      <c r="BF181" s="479"/>
      <c r="BG181" s="1258"/>
      <c r="BH181" s="934">
        <f t="shared" si="112"/>
        <v>3</v>
      </c>
      <c r="BI181" s="934">
        <f t="shared" si="113"/>
        <v>0.60000000000000009</v>
      </c>
    </row>
    <row r="182" spans="2:61" ht="15" customHeight="1" x14ac:dyDescent="0.2">
      <c r="D182" s="1167" t="str" cm="1">
        <f t="array" ref="D182">INDEX(List_AEs_all_grade,B179)</f>
        <v>Palmar-plantar erythrodysaesthesia syndrome</v>
      </c>
      <c r="E182" s="1168"/>
      <c r="F182" s="1168"/>
      <c r="G182" s="1168"/>
      <c r="H182" s="1169"/>
      <c r="I182" s="1541" t="s">
        <v>471</v>
      </c>
      <c r="J182" s="1538"/>
      <c r="K182" s="753">
        <f>'Safety parameters'!AU20</f>
        <v>3</v>
      </c>
      <c r="L182" s="1175">
        <f>'Safety parameters'!AV20</f>
        <v>0.6</v>
      </c>
      <c r="M182" s="1517">
        <f>2*220.87</f>
        <v>441.74</v>
      </c>
      <c r="N182" s="1518"/>
      <c r="P182" s="107" t="s">
        <v>440</v>
      </c>
      <c r="BA182" s="1172" t="str">
        <f t="shared" si="109"/>
        <v>G3+ Increase in lipase</v>
      </c>
      <c r="BB182" s="1172"/>
      <c r="BC182" s="219" t="s">
        <v>457</v>
      </c>
      <c r="BD182" s="931">
        <f t="shared" si="110"/>
        <v>655.75</v>
      </c>
      <c r="BE182" s="479">
        <f t="shared" si="111"/>
        <v>131.15</v>
      </c>
      <c r="BF182" s="479"/>
      <c r="BG182" s="1258"/>
      <c r="BH182" s="934">
        <f t="shared" si="112"/>
        <v>3</v>
      </c>
      <c r="BI182" s="934">
        <f t="shared" si="113"/>
        <v>0.60000000000000009</v>
      </c>
    </row>
    <row r="183" spans="2:61" ht="15" customHeight="1" x14ac:dyDescent="0.2">
      <c r="D183" s="755"/>
      <c r="E183" s="756"/>
      <c r="F183" s="756"/>
      <c r="G183" s="756"/>
      <c r="H183" s="759"/>
      <c r="I183" s="1533"/>
      <c r="J183" s="1534"/>
      <c r="K183" s="753"/>
      <c r="L183" s="754"/>
      <c r="M183" s="1517"/>
      <c r="N183" s="1518"/>
      <c r="BA183" s="1172" t="str">
        <f t="shared" si="109"/>
        <v>G3+ Increased AST</v>
      </c>
      <c r="BB183" s="1172"/>
      <c r="BC183" s="219" t="s">
        <v>457</v>
      </c>
      <c r="BD183" s="931">
        <f t="shared" si="110"/>
        <v>0</v>
      </c>
      <c r="BE183" s="479">
        <f t="shared" si="111"/>
        <v>0</v>
      </c>
      <c r="BF183" s="479"/>
      <c r="BG183" s="1258"/>
      <c r="BH183" s="934">
        <f t="shared" si="112"/>
        <v>3</v>
      </c>
      <c r="BI183" s="934">
        <f t="shared" si="113"/>
        <v>0.60000000000000009</v>
      </c>
    </row>
    <row r="184" spans="2:61" ht="15" customHeight="1" x14ac:dyDescent="0.2">
      <c r="D184" s="751"/>
      <c r="E184" s="752"/>
      <c r="F184" s="752"/>
      <c r="G184" s="752"/>
      <c r="H184" s="760"/>
      <c r="I184" s="1533"/>
      <c r="J184" s="1534"/>
      <c r="K184" s="753"/>
      <c r="L184" s="754"/>
      <c r="M184" s="1517"/>
      <c r="N184" s="1518"/>
      <c r="BA184" s="1172" t="str">
        <f t="shared" si="109"/>
        <v>G3+ Leukopenia</v>
      </c>
      <c r="BB184" s="1172"/>
      <c r="BC184" s="219" t="s">
        <v>457</v>
      </c>
      <c r="BD184" s="931">
        <f t="shared" si="110"/>
        <v>0</v>
      </c>
      <c r="BE184" s="479">
        <f t="shared" si="111"/>
        <v>0</v>
      </c>
      <c r="BF184" s="479"/>
      <c r="BG184" s="1258"/>
      <c r="BH184" s="934">
        <f t="shared" si="112"/>
        <v>3</v>
      </c>
      <c r="BI184" s="934">
        <f t="shared" si="113"/>
        <v>0.60000000000000009</v>
      </c>
    </row>
    <row r="185" spans="2:61" x14ac:dyDescent="0.2">
      <c r="D185" s="751"/>
      <c r="E185" s="752"/>
      <c r="F185" s="752"/>
      <c r="G185" s="752"/>
      <c r="H185" s="760"/>
      <c r="I185" s="1533"/>
      <c r="J185" s="1534"/>
      <c r="K185" s="753"/>
      <c r="L185" s="754"/>
      <c r="M185" s="1517"/>
      <c r="N185" s="1518"/>
      <c r="BA185" s="1172" t="str">
        <f t="shared" si="109"/>
        <v>G3+ Lymphopenia</v>
      </c>
      <c r="BB185" s="1172"/>
      <c r="BC185" s="219" t="s">
        <v>457</v>
      </c>
      <c r="BD185" s="931">
        <f t="shared" si="110"/>
        <v>679.97</v>
      </c>
      <c r="BE185" s="479">
        <f t="shared" si="111"/>
        <v>135.994</v>
      </c>
      <c r="BF185" s="479"/>
      <c r="BG185" s="1258"/>
      <c r="BH185" s="934">
        <f t="shared" si="112"/>
        <v>3</v>
      </c>
      <c r="BI185" s="934">
        <f t="shared" si="113"/>
        <v>0.60000000000000009</v>
      </c>
    </row>
    <row r="186" spans="2:61" x14ac:dyDescent="0.2">
      <c r="D186" s="751"/>
      <c r="E186" s="752"/>
      <c r="F186" s="752"/>
      <c r="G186" s="752"/>
      <c r="H186" s="752"/>
      <c r="I186" s="1535"/>
      <c r="J186" s="1536"/>
      <c r="K186" s="753"/>
      <c r="L186" s="754"/>
      <c r="M186" s="1517"/>
      <c r="N186" s="1518"/>
      <c r="BA186" s="1172" t="str">
        <f t="shared" si="109"/>
        <v>G3+ Nausea</v>
      </c>
      <c r="BB186" s="1172"/>
      <c r="BC186" s="219" t="s">
        <v>457</v>
      </c>
      <c r="BD186" s="931">
        <f t="shared" si="110"/>
        <v>801.11</v>
      </c>
      <c r="BE186" s="479">
        <f t="shared" si="111"/>
        <v>160.22200000000001</v>
      </c>
      <c r="BF186" s="479"/>
      <c r="BG186" s="1258"/>
      <c r="BH186" s="934">
        <f t="shared" si="112"/>
        <v>3</v>
      </c>
      <c r="BI186" s="934">
        <f t="shared" si="113"/>
        <v>0.60000000000000009</v>
      </c>
    </row>
    <row r="187" spans="2:61" ht="15.75" thickBot="1" x14ac:dyDescent="0.25">
      <c r="D187" s="1617">
        <f>C184</f>
        <v>0</v>
      </c>
      <c r="E187" s="1618"/>
      <c r="F187" s="1618"/>
      <c r="G187" s="1618"/>
      <c r="H187" s="1619"/>
      <c r="I187" s="1620"/>
      <c r="J187" s="1621"/>
      <c r="K187" s="280"/>
      <c r="L187" s="278"/>
      <c r="M187" s="1622"/>
      <c r="N187" s="1623"/>
      <c r="BA187" s="1172" t="str">
        <f t="shared" si="109"/>
        <v>G3+ Neutropenia</v>
      </c>
      <c r="BB187" s="1172"/>
      <c r="BC187" s="219" t="s">
        <v>457</v>
      </c>
      <c r="BD187" s="931">
        <f t="shared" si="110"/>
        <v>655.75</v>
      </c>
      <c r="BE187" s="479">
        <f t="shared" si="111"/>
        <v>131.15</v>
      </c>
      <c r="BF187" s="479"/>
      <c r="BG187" s="1258"/>
      <c r="BH187" s="934">
        <f t="shared" si="112"/>
        <v>3</v>
      </c>
      <c r="BI187" s="934">
        <f t="shared" si="113"/>
        <v>0.60000000000000009</v>
      </c>
    </row>
    <row r="188" spans="2:61" x14ac:dyDescent="0.2">
      <c r="BA188" s="1172" t="str">
        <f t="shared" si="109"/>
        <v>G3+ Platelets count decreased</v>
      </c>
      <c r="BB188" s="1172"/>
      <c r="BC188" s="219" t="s">
        <v>457</v>
      </c>
      <c r="BD188" s="931">
        <f t="shared" si="110"/>
        <v>801.11</v>
      </c>
      <c r="BE188" s="479">
        <f t="shared" si="111"/>
        <v>160.22200000000001</v>
      </c>
      <c r="BF188" s="479"/>
      <c r="BG188" s="1258"/>
      <c r="BH188" s="934">
        <f t="shared" si="112"/>
        <v>3</v>
      </c>
      <c r="BI188" s="934">
        <f t="shared" si="113"/>
        <v>0.60000000000000009</v>
      </c>
    </row>
    <row r="189" spans="2:61" x14ac:dyDescent="0.2">
      <c r="BA189" s="1172" t="str">
        <f t="shared" si="109"/>
        <v>G3+ Proteinuria</v>
      </c>
      <c r="BB189" s="1172"/>
      <c r="BC189" s="219" t="s">
        <v>457</v>
      </c>
      <c r="BD189" s="931">
        <f t="shared" si="110"/>
        <v>220.87</v>
      </c>
      <c r="BE189" s="479">
        <f t="shared" si="111"/>
        <v>44.174000000000007</v>
      </c>
      <c r="BF189" s="479"/>
      <c r="BG189" s="1258"/>
      <c r="BH189" s="934">
        <f t="shared" si="112"/>
        <v>3</v>
      </c>
      <c r="BI189" s="934">
        <f t="shared" si="113"/>
        <v>0.60000000000000009</v>
      </c>
    </row>
    <row r="190" spans="2:61" x14ac:dyDescent="0.2">
      <c r="BA190" s="1172" t="str">
        <f t="shared" si="109"/>
        <v>G3+ Stomatitis</v>
      </c>
      <c r="BB190" s="1172"/>
      <c r="BC190" s="219" t="s">
        <v>457</v>
      </c>
      <c r="BD190" s="931">
        <f t="shared" si="110"/>
        <v>801.11</v>
      </c>
      <c r="BE190" s="479">
        <f t="shared" si="111"/>
        <v>160.22200000000001</v>
      </c>
      <c r="BF190" s="479"/>
      <c r="BG190" s="1258"/>
      <c r="BH190" s="934">
        <f t="shared" si="112"/>
        <v>3</v>
      </c>
      <c r="BI190" s="934">
        <f t="shared" si="113"/>
        <v>0.60000000000000009</v>
      </c>
    </row>
    <row r="191" spans="2:61" x14ac:dyDescent="0.2">
      <c r="BA191" s="1172" t="str">
        <f t="shared" si="109"/>
        <v>G3+ Vomiting</v>
      </c>
      <c r="BB191" s="1172"/>
      <c r="BC191" s="219" t="s">
        <v>457</v>
      </c>
      <c r="BD191" s="931">
        <f t="shared" si="110"/>
        <v>801.11</v>
      </c>
      <c r="BE191" s="479">
        <f t="shared" si="111"/>
        <v>160.22200000000001</v>
      </c>
      <c r="BF191" s="479"/>
      <c r="BG191" s="1258"/>
      <c r="BH191" s="934">
        <f t="shared" si="112"/>
        <v>3</v>
      </c>
      <c r="BI191" s="934">
        <f t="shared" si="113"/>
        <v>0.60000000000000009</v>
      </c>
    </row>
    <row r="192" spans="2:61" ht="15.75" thickBot="1" x14ac:dyDescent="0.25">
      <c r="BA192" s="1172" t="str">
        <f t="shared" si="109"/>
        <v>G3+ Weight loss</v>
      </c>
      <c r="BB192" s="1231"/>
      <c r="BC192" s="180" t="s">
        <v>457</v>
      </c>
      <c r="BD192" s="932">
        <f t="shared" si="110"/>
        <v>801.11</v>
      </c>
      <c r="BE192" s="932">
        <f t="shared" si="111"/>
        <v>160.22200000000001</v>
      </c>
      <c r="BF192" s="932"/>
      <c r="BG192" s="1259"/>
      <c r="BH192" s="935">
        <f t="shared" si="112"/>
        <v>3</v>
      </c>
      <c r="BI192" s="935">
        <f t="shared" si="113"/>
        <v>0.60000000000000009</v>
      </c>
    </row>
    <row r="193" spans="53:61" x14ac:dyDescent="0.2">
      <c r="BA193" s="1167" t="str">
        <f>"G1&amp;2 "&amp;D180</f>
        <v>G1&amp;2 Diarrhoea</v>
      </c>
      <c r="BB193" s="1168"/>
      <c r="BC193" s="485" t="s">
        <v>472</v>
      </c>
      <c r="BD193" s="933">
        <f>IF(i_double_AE_impact=1,2*M180,M180)</f>
        <v>220.87</v>
      </c>
      <c r="BE193" s="485">
        <f t="shared" si="111"/>
        <v>44.174000000000007</v>
      </c>
      <c r="BF193" s="485"/>
      <c r="BG193" s="1258"/>
      <c r="BH193" s="934">
        <f>K180</f>
        <v>3</v>
      </c>
      <c r="BI193" s="934">
        <f>L180</f>
        <v>0.6</v>
      </c>
    </row>
    <row r="194" spans="53:61" x14ac:dyDescent="0.2">
      <c r="BA194" s="1167" t="str">
        <f>"G1&amp;2 "&amp;D181</f>
        <v>G1&amp;2 Fatigue</v>
      </c>
      <c r="BB194" s="1168"/>
      <c r="BC194" s="1172" t="s">
        <v>472</v>
      </c>
      <c r="BD194" s="933">
        <f>IF(i_double_AE_impact=1,2*M181,M181)</f>
        <v>441.74</v>
      </c>
      <c r="BE194" s="485">
        <f t="shared" si="111"/>
        <v>88.348000000000013</v>
      </c>
      <c r="BF194" s="485"/>
      <c r="BG194" s="1258"/>
      <c r="BH194" s="934">
        <f t="shared" ref="BH194:BH195" si="114">K181</f>
        <v>3</v>
      </c>
      <c r="BI194" s="934">
        <f t="shared" si="113"/>
        <v>0.6</v>
      </c>
    </row>
    <row r="195" spans="53:61" x14ac:dyDescent="0.2">
      <c r="BA195" s="1167" t="str">
        <f>"G1&amp;2 "&amp;D182</f>
        <v>G1&amp;2 Palmar-plantar erythrodysaesthesia syndrome</v>
      </c>
      <c r="BB195" s="1168"/>
      <c r="BC195" s="1172" t="s">
        <v>472</v>
      </c>
      <c r="BD195" s="933">
        <f>IF(i_double_AE_impact=1,2*M182,M182)</f>
        <v>441.74</v>
      </c>
      <c r="BE195" s="485">
        <f t="shared" si="111"/>
        <v>88.348000000000013</v>
      </c>
      <c r="BF195" s="485"/>
      <c r="BG195" s="1258"/>
      <c r="BH195" s="934">
        <f t="shared" si="114"/>
        <v>3</v>
      </c>
      <c r="BI195" s="934">
        <f t="shared" si="113"/>
        <v>0.6</v>
      </c>
    </row>
    <row r="196" spans="53:61" x14ac:dyDescent="0.2">
      <c r="BA196" s="219"/>
      <c r="BB196" s="219"/>
      <c r="BC196" s="219"/>
      <c r="BD196" s="219"/>
      <c r="BE196" s="219"/>
      <c r="BF196" s="219"/>
      <c r="BG196" s="1257"/>
      <c r="BH196" s="219"/>
      <c r="BI196" s="219"/>
    </row>
    <row r="197" spans="53:61" x14ac:dyDescent="0.2">
      <c r="BA197" s="219"/>
      <c r="BB197" s="219"/>
      <c r="BC197" s="219"/>
      <c r="BD197" s="219"/>
      <c r="BE197" s="219"/>
      <c r="BF197" s="219"/>
      <c r="BG197" s="1257"/>
      <c r="BH197" s="219"/>
      <c r="BI197" s="219"/>
    </row>
  </sheetData>
  <sheetProtection selectLockedCells="1" selectUnlockedCells="1"/>
  <mergeCells count="284">
    <mergeCell ref="AK9:AK10"/>
    <mergeCell ref="T38:T39"/>
    <mergeCell ref="D12:H12"/>
    <mergeCell ref="D13:H13"/>
    <mergeCell ref="D14:H14"/>
    <mergeCell ref="K12:L12"/>
    <mergeCell ref="K13:L13"/>
    <mergeCell ref="K14:L14"/>
    <mergeCell ref="D17:H17"/>
    <mergeCell ref="D18:H18"/>
    <mergeCell ref="K17:L17"/>
    <mergeCell ref="K18:L18"/>
    <mergeCell ref="K20:L20"/>
    <mergeCell ref="K21:L21"/>
    <mergeCell ref="K23:L23"/>
    <mergeCell ref="D20:H20"/>
    <mergeCell ref="D21:H21"/>
    <mergeCell ref="D23:H23"/>
    <mergeCell ref="D25:H25"/>
    <mergeCell ref="D26:H26"/>
    <mergeCell ref="K25:L25"/>
    <mergeCell ref="K26:L26"/>
    <mergeCell ref="D24:H24"/>
    <mergeCell ref="K24:L24"/>
    <mergeCell ref="D22:H22"/>
    <mergeCell ref="K44:L44"/>
    <mergeCell ref="K48:L48"/>
    <mergeCell ref="K49:L49"/>
    <mergeCell ref="K50:L50"/>
    <mergeCell ref="K51:L51"/>
    <mergeCell ref="K52:L52"/>
    <mergeCell ref="D45:H45"/>
    <mergeCell ref="K45:L45"/>
    <mergeCell ref="D46:H46"/>
    <mergeCell ref="K46:L46"/>
    <mergeCell ref="D52:H52"/>
    <mergeCell ref="D40:H40"/>
    <mergeCell ref="D41:H41"/>
    <mergeCell ref="K40:L40"/>
    <mergeCell ref="K22:L22"/>
    <mergeCell ref="D36:H36"/>
    <mergeCell ref="D37:H37"/>
    <mergeCell ref="K27:L27"/>
    <mergeCell ref="K36:L36"/>
    <mergeCell ref="K37:L37"/>
    <mergeCell ref="D27:H27"/>
    <mergeCell ref="K39:L39"/>
    <mergeCell ref="D30:H30"/>
    <mergeCell ref="Q100:Q103"/>
    <mergeCell ref="R100:R103"/>
    <mergeCell ref="Q134:Q136"/>
    <mergeCell ref="K42:L42"/>
    <mergeCell ref="K47:L47"/>
    <mergeCell ref="K53:L53"/>
    <mergeCell ref="K69:L69"/>
    <mergeCell ref="K74:L74"/>
    <mergeCell ref="K56:L56"/>
    <mergeCell ref="K57:L57"/>
    <mergeCell ref="K54:L54"/>
    <mergeCell ref="Q98:Q99"/>
    <mergeCell ref="R98:R99"/>
    <mergeCell ref="O98:P98"/>
    <mergeCell ref="Q113:Q117"/>
    <mergeCell ref="R113:R117"/>
    <mergeCell ref="Q127:Q131"/>
    <mergeCell ref="R127:R131"/>
    <mergeCell ref="K80:L80"/>
    <mergeCell ref="K73:L73"/>
    <mergeCell ref="K68:L68"/>
    <mergeCell ref="K78:L78"/>
    <mergeCell ref="K84:L84"/>
    <mergeCell ref="K89:L89"/>
    <mergeCell ref="D81:H81"/>
    <mergeCell ref="D82:H82"/>
    <mergeCell ref="D83:H83"/>
    <mergeCell ref="D80:H80"/>
    <mergeCell ref="K79:L79"/>
    <mergeCell ref="D76:H76"/>
    <mergeCell ref="D77:H77"/>
    <mergeCell ref="D73:H73"/>
    <mergeCell ref="I167:J167"/>
    <mergeCell ref="I157:J157"/>
    <mergeCell ref="D89:H89"/>
    <mergeCell ref="D120:H125"/>
    <mergeCell ref="D100:H104"/>
    <mergeCell ref="K98:N98"/>
    <mergeCell ref="D85:H85"/>
    <mergeCell ref="D86:H86"/>
    <mergeCell ref="D87:H87"/>
    <mergeCell ref="D88:H88"/>
    <mergeCell ref="I98:I99"/>
    <mergeCell ref="D113:H118"/>
    <mergeCell ref="K85:L85"/>
    <mergeCell ref="K86:L86"/>
    <mergeCell ref="K87:L87"/>
    <mergeCell ref="M167:N167"/>
    <mergeCell ref="I164:J164"/>
    <mergeCell ref="M164:N164"/>
    <mergeCell ref="I165:J165"/>
    <mergeCell ref="M165:N165"/>
    <mergeCell ref="M160:N160"/>
    <mergeCell ref="I160:J160"/>
    <mergeCell ref="I159:J159"/>
    <mergeCell ref="M159:N159"/>
    <mergeCell ref="M161:N161"/>
    <mergeCell ref="I161:J161"/>
    <mergeCell ref="M157:N157"/>
    <mergeCell ref="I158:J158"/>
    <mergeCell ref="M158:N158"/>
    <mergeCell ref="D154:H155"/>
    <mergeCell ref="I154:J155"/>
    <mergeCell ref="K154:L154"/>
    <mergeCell ref="D98:H99"/>
    <mergeCell ref="J98:J99"/>
    <mergeCell ref="D106:H111"/>
    <mergeCell ref="M156:N156"/>
    <mergeCell ref="D145:H145"/>
    <mergeCell ref="D146:H146"/>
    <mergeCell ref="D139:H143"/>
    <mergeCell ref="D127:H132"/>
    <mergeCell ref="D57:H57"/>
    <mergeCell ref="D79:H79"/>
    <mergeCell ref="I168:J168"/>
    <mergeCell ref="M168:N168"/>
    <mergeCell ref="D187:H187"/>
    <mergeCell ref="I187:J187"/>
    <mergeCell ref="M187:N187"/>
    <mergeCell ref="I162:J162"/>
    <mergeCell ref="M162:N162"/>
    <mergeCell ref="I163:J163"/>
    <mergeCell ref="M163:N163"/>
    <mergeCell ref="I166:J166"/>
    <mergeCell ref="M166:N166"/>
    <mergeCell ref="I169:J169"/>
    <mergeCell ref="I170:J170"/>
    <mergeCell ref="I171:J171"/>
    <mergeCell ref="I172:J172"/>
    <mergeCell ref="I173:J173"/>
    <mergeCell ref="I174:J174"/>
    <mergeCell ref="I175:J175"/>
    <mergeCell ref="I176:J176"/>
    <mergeCell ref="D67:H67"/>
    <mergeCell ref="I183:J183"/>
    <mergeCell ref="I184:J184"/>
    <mergeCell ref="K10:L10"/>
    <mergeCell ref="W9:X9"/>
    <mergeCell ref="T9:T10"/>
    <mergeCell ref="D15:H15"/>
    <mergeCell ref="D19:H19"/>
    <mergeCell ref="K15:L15"/>
    <mergeCell ref="K19:L19"/>
    <mergeCell ref="M9:N10"/>
    <mergeCell ref="O9:P10"/>
    <mergeCell ref="D16:H16"/>
    <mergeCell ref="Q9:Q10"/>
    <mergeCell ref="R9:R10"/>
    <mergeCell ref="D11:H11"/>
    <mergeCell ref="K11:L11"/>
    <mergeCell ref="K16:L16"/>
    <mergeCell ref="U11:U14"/>
    <mergeCell ref="U9:U10"/>
    <mergeCell ref="V9:V10"/>
    <mergeCell ref="D9:H10"/>
    <mergeCell ref="K9:L9"/>
    <mergeCell ref="S9:S10"/>
    <mergeCell ref="D28:H28"/>
    <mergeCell ref="D32:H32"/>
    <mergeCell ref="D33:H33"/>
    <mergeCell ref="K38:L38"/>
    <mergeCell ref="D29:H29"/>
    <mergeCell ref="D34:H34"/>
    <mergeCell ref="K29:L29"/>
    <mergeCell ref="K34:L34"/>
    <mergeCell ref="K30:L30"/>
    <mergeCell ref="D31:H31"/>
    <mergeCell ref="K31:L31"/>
    <mergeCell ref="D38:H38"/>
    <mergeCell ref="D54:H54"/>
    <mergeCell ref="D56:H56"/>
    <mergeCell ref="K41:L41"/>
    <mergeCell ref="K43:L43"/>
    <mergeCell ref="D75:H75"/>
    <mergeCell ref="K28:L28"/>
    <mergeCell ref="K32:L32"/>
    <mergeCell ref="K33:L33"/>
    <mergeCell ref="D53:H53"/>
    <mergeCell ref="K55:L55"/>
    <mergeCell ref="K61:L61"/>
    <mergeCell ref="K62:L62"/>
    <mergeCell ref="K65:L65"/>
    <mergeCell ref="K58:L58"/>
    <mergeCell ref="K59:L59"/>
    <mergeCell ref="K60:L60"/>
    <mergeCell ref="K63:L63"/>
    <mergeCell ref="K64:L64"/>
    <mergeCell ref="D70:H70"/>
    <mergeCell ref="D71:H71"/>
    <mergeCell ref="D72:H72"/>
    <mergeCell ref="K70:L70"/>
    <mergeCell ref="D35:H35"/>
    <mergeCell ref="K35:L35"/>
    <mergeCell ref="D42:H42"/>
    <mergeCell ref="D47:H47"/>
    <mergeCell ref="D55:H55"/>
    <mergeCell ref="D61:H61"/>
    <mergeCell ref="D68:H68"/>
    <mergeCell ref="D78:H78"/>
    <mergeCell ref="D84:H84"/>
    <mergeCell ref="D39:H39"/>
    <mergeCell ref="D43:H43"/>
    <mergeCell ref="D44:H44"/>
    <mergeCell ref="D48:H48"/>
    <mergeCell ref="D49:H49"/>
    <mergeCell ref="D62:H62"/>
    <mergeCell ref="D65:H65"/>
    <mergeCell ref="D69:H69"/>
    <mergeCell ref="D74:H74"/>
    <mergeCell ref="D58:H58"/>
    <mergeCell ref="D60:H60"/>
    <mergeCell ref="D59:H59"/>
    <mergeCell ref="D66:H66"/>
    <mergeCell ref="D63:H63"/>
    <mergeCell ref="D64:H64"/>
    <mergeCell ref="D50:H50"/>
    <mergeCell ref="D51:H51"/>
    <mergeCell ref="M186:N186"/>
    <mergeCell ref="I177:J177"/>
    <mergeCell ref="I185:J185"/>
    <mergeCell ref="I186:J186"/>
    <mergeCell ref="I179:J179"/>
    <mergeCell ref="I178:J178"/>
    <mergeCell ref="I180:J180"/>
    <mergeCell ref="I181:J181"/>
    <mergeCell ref="I182:J182"/>
    <mergeCell ref="M177:N177"/>
    <mergeCell ref="M178:N178"/>
    <mergeCell ref="CT9:CW9"/>
    <mergeCell ref="CP9:CS9"/>
    <mergeCell ref="M179:N179"/>
    <mergeCell ref="M180:N180"/>
    <mergeCell ref="M181:N181"/>
    <mergeCell ref="M182:N182"/>
    <mergeCell ref="M183:N183"/>
    <mergeCell ref="M184:N184"/>
    <mergeCell ref="M185:N185"/>
    <mergeCell ref="M170:N170"/>
    <mergeCell ref="M171:N171"/>
    <mergeCell ref="M172:N172"/>
    <mergeCell ref="M173:N173"/>
    <mergeCell ref="M174:N174"/>
    <mergeCell ref="M175:N175"/>
    <mergeCell ref="M176:N176"/>
    <mergeCell ref="M169:N169"/>
    <mergeCell ref="M154:N155"/>
    <mergeCell ref="S98:T98"/>
    <mergeCell ref="R134:R136"/>
    <mergeCell ref="Q120:Q124"/>
    <mergeCell ref="R120:R124"/>
    <mergeCell ref="Q106:Q110"/>
    <mergeCell ref="R106:R110"/>
    <mergeCell ref="K71:L71"/>
    <mergeCell ref="K72:L72"/>
    <mergeCell ref="Y5:Z5"/>
    <mergeCell ref="CZ8:DC8"/>
    <mergeCell ref="BP9:BQ9"/>
    <mergeCell ref="BR9:BS9"/>
    <mergeCell ref="BT9:BU9"/>
    <mergeCell ref="BV9:BW9"/>
    <mergeCell ref="BX9:BY9"/>
    <mergeCell ref="BZ9:CA9"/>
    <mergeCell ref="BL9:BM9"/>
    <mergeCell ref="CB9:CC9"/>
    <mergeCell ref="CD9:CE9"/>
    <mergeCell ref="AG8:AH8"/>
    <mergeCell ref="AH9:AH10"/>
    <mergeCell ref="AG9:AG10"/>
    <mergeCell ref="AA9:AA10"/>
    <mergeCell ref="AB9:AB10"/>
    <mergeCell ref="AC9:AC10"/>
    <mergeCell ref="AD9:AD10"/>
    <mergeCell ref="Y7:Z7"/>
    <mergeCell ref="Y9:Z9"/>
    <mergeCell ref="AI9:AI10"/>
    <mergeCell ref="AJ9:AJ10"/>
  </mergeCells>
  <phoneticPr fontId="41" type="noConversion"/>
  <conditionalFormatting sqref="Y11:Y15">
    <cfRule type="expression" dxfId="286" priority="309">
      <formula>$AA$7&lt;&gt;3</formula>
    </cfRule>
    <cfRule type="expression" dxfId="285" priority="310">
      <formula>$AA$7=3</formula>
    </cfRule>
  </conditionalFormatting>
  <conditionalFormatting sqref="Y16:Y18">
    <cfRule type="expression" dxfId="284" priority="308">
      <formula>$AA$7&lt;&gt;3</formula>
    </cfRule>
  </conditionalFormatting>
  <conditionalFormatting sqref="Y16:Y18">
    <cfRule type="expression" dxfId="283" priority="307">
      <formula>$AA$7=3</formula>
    </cfRule>
  </conditionalFormatting>
  <conditionalFormatting sqref="Y20">
    <cfRule type="expression" dxfId="282" priority="306">
      <formula>$AA$7&lt;&gt;3</formula>
    </cfRule>
  </conditionalFormatting>
  <conditionalFormatting sqref="Y20">
    <cfRule type="expression" dxfId="281" priority="305">
      <formula>$AA$7=3</formula>
    </cfRule>
  </conditionalFormatting>
  <conditionalFormatting sqref="Y34:Y35">
    <cfRule type="expression" dxfId="280" priority="300">
      <formula>$AA$7&lt;&gt;3</formula>
    </cfRule>
    <cfRule type="expression" dxfId="279" priority="301">
      <formula>$AA$7=3</formula>
    </cfRule>
  </conditionalFormatting>
  <conditionalFormatting sqref="Y37">
    <cfRule type="expression" dxfId="278" priority="298">
      <formula>$AA$7&lt;&gt;3</formula>
    </cfRule>
    <cfRule type="expression" dxfId="277" priority="299">
      <formula>$AA$7=3</formula>
    </cfRule>
  </conditionalFormatting>
  <conditionalFormatting sqref="Y38:Y39">
    <cfRule type="expression" dxfId="276" priority="296">
      <formula>$AA$7&lt;&gt;3</formula>
    </cfRule>
    <cfRule type="expression" dxfId="275" priority="297">
      <formula>$AA$7=3</formula>
    </cfRule>
  </conditionalFormatting>
  <conditionalFormatting sqref="Y41">
    <cfRule type="expression" dxfId="274" priority="294">
      <formula>$AA$7&lt;&gt;3</formula>
    </cfRule>
    <cfRule type="expression" dxfId="273" priority="295">
      <formula>$AA$7=3</formula>
    </cfRule>
  </conditionalFormatting>
  <conditionalFormatting sqref="Y42">
    <cfRule type="expression" dxfId="272" priority="292">
      <formula>$AA$7&lt;&gt;3</formula>
    </cfRule>
    <cfRule type="expression" dxfId="271" priority="293">
      <formula>$AA$7=3</formula>
    </cfRule>
  </conditionalFormatting>
  <conditionalFormatting sqref="Y47:Y50">
    <cfRule type="expression" dxfId="270" priority="290">
      <formula>$AA$7&lt;&gt;3</formula>
    </cfRule>
    <cfRule type="expression" dxfId="269" priority="291">
      <formula>$AA$7=3</formula>
    </cfRule>
  </conditionalFormatting>
  <conditionalFormatting sqref="Y52">
    <cfRule type="expression" dxfId="268" priority="288">
      <formula>$AA$7&lt;&gt;3</formula>
    </cfRule>
    <cfRule type="expression" dxfId="267" priority="289">
      <formula>$AA$7=3</formula>
    </cfRule>
  </conditionalFormatting>
  <conditionalFormatting sqref="Y56:Y58">
    <cfRule type="expression" dxfId="266" priority="287">
      <formula>$AA$7&lt;&gt;3</formula>
    </cfRule>
  </conditionalFormatting>
  <conditionalFormatting sqref="Y60">
    <cfRule type="expression" dxfId="265" priority="286">
      <formula>$AA$7&lt;&gt;3</formula>
    </cfRule>
  </conditionalFormatting>
  <conditionalFormatting sqref="Y62:Y64">
    <cfRule type="expression" dxfId="264" priority="284">
      <formula>$AA$7&lt;&gt;3</formula>
    </cfRule>
    <cfRule type="expression" dxfId="263" priority="285">
      <formula>$AA$7=3</formula>
    </cfRule>
  </conditionalFormatting>
  <conditionalFormatting sqref="Y65">
    <cfRule type="expression" dxfId="262" priority="282">
      <formula>$AA$7&lt;&gt;3</formula>
    </cfRule>
    <cfRule type="expression" dxfId="261" priority="283">
      <formula>$AA$7=3</formula>
    </cfRule>
  </conditionalFormatting>
  <conditionalFormatting sqref="Y67">
    <cfRule type="expression" dxfId="260" priority="280">
      <formula>$AA$7&lt;&gt;3</formula>
    </cfRule>
    <cfRule type="expression" dxfId="259" priority="281">
      <formula>$AA$7=3</formula>
    </cfRule>
  </conditionalFormatting>
  <conditionalFormatting sqref="Y74">
    <cfRule type="expression" dxfId="258" priority="279">
      <formula>OR($AA$7=1,$AA$7=2)</formula>
    </cfRule>
  </conditionalFormatting>
  <conditionalFormatting sqref="Y77">
    <cfRule type="expression" dxfId="257" priority="278">
      <formula>OR($AA$7=1,$AA$7=2)</formula>
    </cfRule>
  </conditionalFormatting>
  <conditionalFormatting sqref="Y69:Y73">
    <cfRule type="expression" dxfId="256" priority="273">
      <formula>$AA$7&lt;&gt;3</formula>
    </cfRule>
    <cfRule type="expression" dxfId="255" priority="274">
      <formula>$AA$7=3</formula>
    </cfRule>
  </conditionalFormatting>
  <conditionalFormatting sqref="Y76">
    <cfRule type="expression" dxfId="254" priority="271">
      <formula>$AA$7&lt;&gt;3</formula>
    </cfRule>
    <cfRule type="expression" dxfId="253" priority="272">
      <formula>$AA$7=3</formula>
    </cfRule>
  </conditionalFormatting>
  <conditionalFormatting sqref="Y29:Y31">
    <cfRule type="expression" dxfId="252" priority="269">
      <formula>AND($AA$5=2,$AA$7=2)</formula>
    </cfRule>
    <cfRule type="expression" dxfId="251" priority="270">
      <formula>$AA$7=3</formula>
    </cfRule>
    <cfRule type="expression" dxfId="250" priority="302">
      <formula>OR($AA$7=1,$AA$7=5)</formula>
    </cfRule>
    <cfRule type="expression" dxfId="249" priority="303">
      <formula>AND($AA$5=1,$AA$7=2)</formula>
    </cfRule>
    <cfRule type="expression" dxfId="248" priority="304">
      <formula>$AA$7=4</formula>
    </cfRule>
  </conditionalFormatting>
  <conditionalFormatting sqref="Y33">
    <cfRule type="expression" dxfId="247" priority="264">
      <formula>AND($AA$5=2,$AA$7=2)</formula>
    </cfRule>
    <cfRule type="expression" dxfId="246" priority="265">
      <formula>$AA$7=3</formula>
    </cfRule>
    <cfRule type="expression" dxfId="245" priority="266">
      <formula>OR($AA$7=1,$AA$7=5)</formula>
    </cfRule>
    <cfRule type="expression" dxfId="244" priority="267">
      <formula>AND($AA$5=1,$AA$7=2)</formula>
    </cfRule>
    <cfRule type="expression" dxfId="243" priority="268">
      <formula>$AA$7=4</formula>
    </cfRule>
  </conditionalFormatting>
  <conditionalFormatting sqref="Y80">
    <cfRule type="expression" dxfId="242" priority="275">
      <formula>$AA$7=1</formula>
    </cfRule>
    <cfRule type="expression" dxfId="241" priority="276">
      <formula>$AA$7=3</formula>
    </cfRule>
    <cfRule type="expression" dxfId="240" priority="277">
      <formula>OR($AA$7=4,$AA$7=5,$AA$7=2)</formula>
    </cfRule>
  </conditionalFormatting>
  <conditionalFormatting sqref="Y79">
    <cfRule type="expression" dxfId="239" priority="260">
      <formula>$AA$7=2</formula>
    </cfRule>
    <cfRule type="expression" dxfId="238" priority="261">
      <formula>$AA$7=1</formula>
    </cfRule>
    <cfRule type="expression" dxfId="237" priority="262">
      <formula>$AA$7=3</formula>
    </cfRule>
    <cfRule type="expression" dxfId="236" priority="263">
      <formula>OR($AA$7=4,$AA$7=5)</formula>
    </cfRule>
  </conditionalFormatting>
  <conditionalFormatting sqref="BZ11">
    <cfRule type="expression" dxfId="235" priority="241">
      <formula>OR($AA$7=2,$AA$7=3)</formula>
    </cfRule>
  </conditionalFormatting>
  <conditionalFormatting sqref="BZ12:BZ15">
    <cfRule type="expression" dxfId="234" priority="239">
      <formula>OR($AA$7=2,$AA$7=3)</formula>
    </cfRule>
    <cfRule type="expression" dxfId="233" priority="240">
      <formula>OR($AA$7=4,$AA$7=5)</formula>
    </cfRule>
  </conditionalFormatting>
  <conditionalFormatting sqref="CB11">
    <cfRule type="expression" dxfId="232" priority="238">
      <formula>OR($AA$7=2,$AA$7=3)</formula>
    </cfRule>
  </conditionalFormatting>
  <conditionalFormatting sqref="CB12:CB15">
    <cfRule type="expression" dxfId="231" priority="236">
      <formula>OR($AA$7=2,$AA$7=3)</formula>
    </cfRule>
    <cfRule type="expression" dxfId="230" priority="237">
      <formula>OR($AA$7=4,$AA$7=5)</formula>
    </cfRule>
  </conditionalFormatting>
  <conditionalFormatting sqref="CD11">
    <cfRule type="expression" dxfId="229" priority="235">
      <formula>OR($AA$7=2,$AA$7=3)</formula>
    </cfRule>
  </conditionalFormatting>
  <conditionalFormatting sqref="CD12:CD15">
    <cfRule type="expression" dxfId="228" priority="233">
      <formula>OR($AA$7=2,$AA$7=3)</formula>
    </cfRule>
    <cfRule type="expression" dxfId="227" priority="234">
      <formula>OR($AA$7=4,$AA$7=5)</formula>
    </cfRule>
  </conditionalFormatting>
  <conditionalFormatting sqref="BZ29:BZ30">
    <cfRule type="expression" dxfId="226" priority="231">
      <formula>OR($AA$7=2,$AA$7=3)</formula>
    </cfRule>
  </conditionalFormatting>
  <conditionalFormatting sqref="CB29:CB30">
    <cfRule type="expression" dxfId="225" priority="230">
      <formula>OR($AA$7=2,$AA$7=3)</formula>
    </cfRule>
  </conditionalFormatting>
  <conditionalFormatting sqref="CD29:CD30">
    <cfRule type="expression" dxfId="224" priority="229">
      <formula>OR($AA$7=2,$AA$7=3)</formula>
    </cfRule>
  </conditionalFormatting>
  <conditionalFormatting sqref="BZ31:BZ33">
    <cfRule type="expression" dxfId="223" priority="227">
      <formula>OR($AA$7=2,$AA$7=3)</formula>
    </cfRule>
  </conditionalFormatting>
  <conditionalFormatting sqref="CB31:CB33">
    <cfRule type="expression" dxfId="222" priority="226">
      <formula>OR($AA$7=2,$AA$7=3)</formula>
    </cfRule>
  </conditionalFormatting>
  <conditionalFormatting sqref="CD31:CD33">
    <cfRule type="expression" dxfId="221" priority="225">
      <formula>OR($AA$7=2,$AA$7=3)</formula>
    </cfRule>
  </conditionalFormatting>
  <conditionalFormatting sqref="BZ34:BZ47">
    <cfRule type="expression" dxfId="220" priority="223">
      <formula>OR($AA$7=2,$AA$7=3)</formula>
    </cfRule>
  </conditionalFormatting>
  <conditionalFormatting sqref="CB34:CB47">
    <cfRule type="expression" dxfId="219" priority="222">
      <formula>OR($AA$7=2,$AA$7=3)</formula>
    </cfRule>
  </conditionalFormatting>
  <conditionalFormatting sqref="CD34:CD47">
    <cfRule type="expression" dxfId="218" priority="221">
      <formula>OR($AA$7=2,$AA$7=3)</formula>
    </cfRule>
  </conditionalFormatting>
  <conditionalFormatting sqref="BZ48:BZ52">
    <cfRule type="expression" dxfId="217" priority="219">
      <formula>OR($AA$7=2,$AA$7=3)</formula>
    </cfRule>
  </conditionalFormatting>
  <conditionalFormatting sqref="CB48:CB52">
    <cfRule type="expression" dxfId="216" priority="218">
      <formula>OR($AA$7=2,$AA$7=3)</formula>
    </cfRule>
  </conditionalFormatting>
  <conditionalFormatting sqref="CD48:CD52">
    <cfRule type="expression" dxfId="215" priority="217">
      <formula>OR($AA$7=2,$AA$7=3)</formula>
    </cfRule>
  </conditionalFormatting>
  <conditionalFormatting sqref="BV12:BV15">
    <cfRule type="expression" dxfId="214" priority="161">
      <formula>OR($AA$7=2,$AA$7=3)</formula>
    </cfRule>
    <cfRule type="expression" dxfId="213" priority="162">
      <formula>OR($AA$7=4,$AA$7=5)</formula>
    </cfRule>
  </conditionalFormatting>
  <conditionalFormatting sqref="BV17">
    <cfRule type="expression" dxfId="212" priority="151">
      <formula>OR($AA$7=2,$AA$7=3)</formula>
    </cfRule>
    <cfRule type="expression" dxfId="211" priority="152">
      <formula>OR($AA$7=4,$AA$7=5)</formula>
    </cfRule>
  </conditionalFormatting>
  <conditionalFormatting sqref="AI11">
    <cfRule type="expression" dxfId="210" priority="145">
      <formula>i_drug_price_options&lt;&gt;2</formula>
    </cfRule>
    <cfRule type="expression" dxfId="209" priority="146">
      <formula>i_drug_price_options=2</formula>
    </cfRule>
  </conditionalFormatting>
  <conditionalFormatting sqref="AJ11:AJ14">
    <cfRule type="expression" dxfId="208" priority="143">
      <formula>i_drug_price_options&lt;&gt;2</formula>
    </cfRule>
    <cfRule type="expression" dxfId="207" priority="144">
      <formula>i_drug_price_options=2</formula>
    </cfRule>
  </conditionalFormatting>
  <conditionalFormatting sqref="AJ25:AJ26">
    <cfRule type="expression" dxfId="206" priority="141">
      <formula>i_drug_price_options&lt;&gt;2</formula>
    </cfRule>
    <cfRule type="expression" dxfId="205" priority="142">
      <formula>i_drug_price_options=2</formula>
    </cfRule>
  </conditionalFormatting>
  <conditionalFormatting sqref="AI34">
    <cfRule type="expression" dxfId="204" priority="139">
      <formula>i_drug_price_options&lt;&gt;2</formula>
    </cfRule>
    <cfRule type="expression" dxfId="203" priority="140">
      <formula>i_drug_price_options=2</formula>
    </cfRule>
  </conditionalFormatting>
  <conditionalFormatting sqref="AJ34:AJ35">
    <cfRule type="expression" dxfId="202" priority="137">
      <formula>i_drug_price_options&lt;&gt;2</formula>
    </cfRule>
    <cfRule type="expression" dxfId="201" priority="138">
      <formula>i_drug_price_options=2</formula>
    </cfRule>
  </conditionalFormatting>
  <conditionalFormatting sqref="AI38">
    <cfRule type="expression" dxfId="200" priority="135">
      <formula>i_drug_price_options&lt;&gt;2</formula>
    </cfRule>
    <cfRule type="expression" dxfId="199" priority="136">
      <formula>i_drug_price_options=2</formula>
    </cfRule>
  </conditionalFormatting>
  <conditionalFormatting sqref="AJ38:AJ39">
    <cfRule type="expression" dxfId="198" priority="133">
      <formula>i_drug_price_options&lt;&gt;2</formula>
    </cfRule>
    <cfRule type="expression" dxfId="197" priority="134">
      <formula>i_drug_price_options=2</formula>
    </cfRule>
  </conditionalFormatting>
  <conditionalFormatting sqref="AI53">
    <cfRule type="expression" dxfId="196" priority="131">
      <formula>i_drug_price_options&lt;&gt;2</formula>
    </cfRule>
    <cfRule type="expression" dxfId="195" priority="132">
      <formula>i_drug_price_options=2</formula>
    </cfRule>
  </conditionalFormatting>
  <conditionalFormatting sqref="AJ53">
    <cfRule type="expression" dxfId="194" priority="129">
      <formula>i_drug_price_options&lt;&gt;2</formula>
    </cfRule>
    <cfRule type="expression" dxfId="193" priority="130">
      <formula>i_drug_price_options=2</formula>
    </cfRule>
  </conditionalFormatting>
  <conditionalFormatting sqref="AI56:AI57">
    <cfRule type="expression" dxfId="192" priority="127">
      <formula>i_drug_price_options&lt;&gt;2</formula>
    </cfRule>
    <cfRule type="expression" dxfId="191" priority="128">
      <formula>i_drug_price_options=2</formula>
    </cfRule>
  </conditionalFormatting>
  <conditionalFormatting sqref="AJ56:AJ57">
    <cfRule type="expression" dxfId="190" priority="125">
      <formula>i_drug_price_options&lt;&gt;2</formula>
    </cfRule>
    <cfRule type="expression" dxfId="189" priority="126">
      <formula>i_drug_price_options=2</formula>
    </cfRule>
  </conditionalFormatting>
  <conditionalFormatting sqref="AI79">
    <cfRule type="expression" dxfId="188" priority="123">
      <formula>i_drug_price_options&lt;&gt;2</formula>
    </cfRule>
    <cfRule type="expression" dxfId="187" priority="124">
      <formula>i_drug_price_options=2</formula>
    </cfRule>
  </conditionalFormatting>
  <conditionalFormatting sqref="AJ79">
    <cfRule type="expression" dxfId="186" priority="121">
      <formula>i_drug_price_options&lt;&gt;2</formula>
    </cfRule>
    <cfRule type="expression" dxfId="185" priority="122">
      <formula>i_drug_price_options=2</formula>
    </cfRule>
  </conditionalFormatting>
  <conditionalFormatting sqref="BP12:BP15">
    <cfRule type="expression" dxfId="184" priority="115">
      <formula>OR($AA$7=2,$AA$7=3)</formula>
    </cfRule>
    <cfRule type="expression" dxfId="183" priority="116">
      <formula>OR($AA$7=4,$AA$7=5)</formula>
    </cfRule>
  </conditionalFormatting>
  <conditionalFormatting sqref="BZ17">
    <cfRule type="expression" dxfId="182" priority="79">
      <formula>OR($AA$7=2,$AA$7=3)</formula>
    </cfRule>
    <cfRule type="expression" dxfId="181" priority="80">
      <formula>OR($AA$7=4,$AA$7=5)</formula>
    </cfRule>
  </conditionalFormatting>
  <conditionalFormatting sqref="CB17">
    <cfRule type="expression" dxfId="180" priority="77">
      <formula>OR($AA$7=2,$AA$7=3)</formula>
    </cfRule>
    <cfRule type="expression" dxfId="179" priority="78">
      <formula>OR($AA$7=4,$AA$7=5)</formula>
    </cfRule>
  </conditionalFormatting>
  <conditionalFormatting sqref="CD17">
    <cfRule type="expression" dxfId="178" priority="75">
      <formula>OR($AA$7=2,$AA$7=3)</formula>
    </cfRule>
    <cfRule type="expression" dxfId="177" priority="76">
      <formula>OR($AA$7=4,$AA$7=5)</formula>
    </cfRule>
  </conditionalFormatting>
  <conditionalFormatting sqref="BR12:BR13">
    <cfRule type="expression" dxfId="176" priority="73">
      <formula>OR($AA$7=2,$AA$7=3)</formula>
    </cfRule>
    <cfRule type="expression" dxfId="175" priority="74">
      <formula>OR($AA$7=4,$AA$7=5)</formula>
    </cfRule>
  </conditionalFormatting>
  <conditionalFormatting sqref="BT12:BT13">
    <cfRule type="expression" dxfId="174" priority="71">
      <formula>OR($AA$7=2,$AA$7=3)</formula>
    </cfRule>
    <cfRule type="expression" dxfId="173" priority="72">
      <formula>OR($AA$7=4,$AA$7=5)</formula>
    </cfRule>
  </conditionalFormatting>
  <conditionalFormatting sqref="BT14">
    <cfRule type="expression" dxfId="172" priority="69">
      <formula>OR($AA$7=2,$AA$7=3)</formula>
    </cfRule>
    <cfRule type="expression" dxfId="171" priority="70">
      <formula>OR($AA$7=4,$AA$7=5)</formula>
    </cfRule>
  </conditionalFormatting>
  <conditionalFormatting sqref="BR14">
    <cfRule type="expression" dxfId="170" priority="67">
      <formula>OR($AA$7=2,$AA$7=3)</formula>
    </cfRule>
    <cfRule type="expression" dxfId="169" priority="68">
      <formula>OR($AA$7=4,$AA$7=5)</formula>
    </cfRule>
  </conditionalFormatting>
  <conditionalFormatting sqref="BP17">
    <cfRule type="expression" dxfId="168" priority="65">
      <formula>OR($AA$7=2,$AA$7=3)</formula>
    </cfRule>
    <cfRule type="expression" dxfId="167" priority="66">
      <formula>OR($AA$7=4,$AA$7=5)</formula>
    </cfRule>
  </conditionalFormatting>
  <conditionalFormatting sqref="BR17">
    <cfRule type="expression" dxfId="166" priority="63">
      <formula>OR($AA$7=2,$AA$7=3)</formula>
    </cfRule>
    <cfRule type="expression" dxfId="165" priority="64">
      <formula>OR($AA$7=4,$AA$7=5)</formula>
    </cfRule>
  </conditionalFormatting>
  <conditionalFormatting sqref="BT17">
    <cfRule type="expression" dxfId="164" priority="61">
      <formula>OR($AA$7=2,$AA$7=3)</formula>
    </cfRule>
    <cfRule type="expression" dxfId="163" priority="62">
      <formula>OR($AA$7=4,$AA$7=5)</formula>
    </cfRule>
  </conditionalFormatting>
  <conditionalFormatting sqref="BP37:BP39">
    <cfRule type="expression" dxfId="162" priority="29">
      <formula>$AA$7=3</formula>
    </cfRule>
    <cfRule type="expression" dxfId="161" priority="30">
      <formula>OR($AA$7=1,$AA$7=5)</formula>
    </cfRule>
    <cfRule type="expression" dxfId="160" priority="31">
      <formula>$AA$7=2</formula>
    </cfRule>
    <cfRule type="expression" dxfId="159" priority="32">
      <formula>$AA$7=4</formula>
    </cfRule>
  </conditionalFormatting>
  <conditionalFormatting sqref="Y83">
    <cfRule type="expression" dxfId="158" priority="26">
      <formula>$AA$7=1</formula>
    </cfRule>
    <cfRule type="expression" dxfId="157" priority="27">
      <formula>$AA$7=3</formula>
    </cfRule>
    <cfRule type="expression" dxfId="156" priority="28">
      <formula>OR($AA$7=4,$AA$7=5,$AA$7=2)</formula>
    </cfRule>
  </conditionalFormatting>
  <conditionalFormatting sqref="Y81">
    <cfRule type="expression" dxfId="155" priority="22">
      <formula>$AA$7=2</formula>
    </cfRule>
    <cfRule type="expression" dxfId="154" priority="23">
      <formula>$AA$7=1</formula>
    </cfRule>
    <cfRule type="expression" dxfId="153" priority="24">
      <formula>$AA$7=3</formula>
    </cfRule>
    <cfRule type="expression" dxfId="152" priority="25">
      <formula>OR($AA$7=4,$AA$7=5)</formula>
    </cfRule>
  </conditionalFormatting>
  <conditionalFormatting sqref="Y86">
    <cfRule type="expression" dxfId="151" priority="18">
      <formula>$AA$7=2</formula>
    </cfRule>
    <cfRule type="expression" dxfId="150" priority="19">
      <formula>$AA$7=1</formula>
    </cfRule>
    <cfRule type="expression" dxfId="149" priority="20">
      <formula>$AA$7=3</formula>
    </cfRule>
    <cfRule type="expression" dxfId="148" priority="21">
      <formula>OR($AA$7=4,$AA$7=5)</formula>
    </cfRule>
  </conditionalFormatting>
  <conditionalFormatting sqref="Y88">
    <cfRule type="expression" dxfId="147" priority="14">
      <formula>$AA$7=2</formula>
    </cfRule>
    <cfRule type="expression" dxfId="146" priority="15">
      <formula>$AA$7=1</formula>
    </cfRule>
    <cfRule type="expression" dxfId="145" priority="16">
      <formula>$AA$7=3</formula>
    </cfRule>
    <cfRule type="expression" dxfId="144" priority="17">
      <formula>OR($AA$7=4,$AA$7=5)</formula>
    </cfRule>
  </conditionalFormatting>
  <conditionalFormatting sqref="BR15">
    <cfRule type="expression" dxfId="143" priority="12">
      <formula>OR($AA$7=2,$AA$7=3)</formula>
    </cfRule>
    <cfRule type="expression" dxfId="142" priority="13">
      <formula>OR($AA$7=4,$AA$7=5)</formula>
    </cfRule>
  </conditionalFormatting>
  <conditionalFormatting sqref="BT15">
    <cfRule type="expression" dxfId="141" priority="10">
      <formula>OR($AA$7=2,$AA$7=3)</formula>
    </cfRule>
    <cfRule type="expression" dxfId="140" priority="11">
      <formula>OR($AA$7=4,$AA$7=5)</formula>
    </cfRule>
  </conditionalFormatting>
  <conditionalFormatting sqref="BX11">
    <cfRule type="expression" dxfId="139" priority="9">
      <formula>OR($AA$7=2,$AA$7=3)</formula>
    </cfRule>
  </conditionalFormatting>
  <conditionalFormatting sqref="BX12:BX15">
    <cfRule type="expression" dxfId="138" priority="7">
      <formula>OR($AA$7=2,$AA$7=3)</formula>
    </cfRule>
    <cfRule type="expression" dxfId="137" priority="8">
      <formula>OR($AA$7=4,$AA$7=5)</formula>
    </cfRule>
  </conditionalFormatting>
  <conditionalFormatting sqref="BX29:BX30">
    <cfRule type="expression" dxfId="136" priority="6">
      <formula>OR($AA$7=2,$AA$7=3)</formula>
    </cfRule>
  </conditionalFormatting>
  <conditionalFormatting sqref="BX31:BX33">
    <cfRule type="expression" dxfId="135" priority="5">
      <formula>OR($AA$7=2,$AA$7=3)</formula>
    </cfRule>
  </conditionalFormatting>
  <conditionalFormatting sqref="BX34:BX47">
    <cfRule type="expression" dxfId="134" priority="4">
      <formula>OR($AA$7=2,$AA$7=3)</formula>
    </cfRule>
  </conditionalFormatting>
  <conditionalFormatting sqref="BX48:BX52">
    <cfRule type="expression" dxfId="133" priority="3">
      <formula>OR($AA$7=2,$AA$7=3)</formula>
    </cfRule>
  </conditionalFormatting>
  <conditionalFormatting sqref="BX17">
    <cfRule type="expression" dxfId="132" priority="1">
      <formula>OR($AA$7=2,$AA$7=3)</formula>
    </cfRule>
    <cfRule type="expression" dxfId="131" priority="2">
      <formula>OR($AA$7=4,$AA$7=5)</formula>
    </cfRule>
  </conditionalFormatting>
  <dataValidations count="2">
    <dataValidation type="list" allowBlank="1" showInputMessage="1" showErrorMessage="1" sqref="J100:J138 J143:J146 J85:J88 J56:J60 J62:J67 J79:J83 J11:J54 J69:J77" xr:uid="{AB60E74F-93C3-474C-BF4F-0AAFE24F56F7}">
      <formula1>List_apply_AE_options</formula1>
    </dataValidation>
    <dataValidation type="list" allowBlank="1" showInputMessage="1" showErrorMessage="1" sqref="Y7" xr:uid="{94DF4227-816B-4644-ABBA-4EA7B26017B5}">
      <formula1>List_RDI_scenarios</formula1>
    </dataValidation>
  </dataValidations>
  <hyperlinks>
    <hyperlink ref="D2" location="'Navigation control'!A1" display="Navigation control" xr:uid="{F7E9F5D9-71DE-47B2-8775-8C6DF4F075BF}"/>
  </hyperlinks>
  <pageMargins left="0.7" right="0.7" top="0.75" bottom="0.75" header="0.511811023622047" footer="0.511811023622047"/>
  <pageSetup orientation="portrait" horizontalDpi="300" verticalDpi="300" r:id="rId1"/>
  <ignoredErrors>
    <ignoredError sqref="D187:H187" unlockedFormula="1"/>
  </ignoredErrors>
  <extLst>
    <ext xmlns:x14="http://schemas.microsoft.com/office/spreadsheetml/2009/9/main" uri="{78C0D931-6437-407d-A8EE-F0AAD7539E65}">
      <x14:conditionalFormattings>
        <x14:conditionalFormatting xmlns:xm="http://schemas.microsoft.com/office/excel/2006/main">
          <x14:cfRule type="expression" priority="321" id="{32B10798-077A-48C9-8BAE-208C7B21C8F0}">
            <xm:f>'Model settings'!$N$84=1</xm:f>
            <x14:dxf>
              <fill>
                <patternFill>
                  <bgColor rgb="FF00FFFF"/>
                </patternFill>
              </fill>
            </x14:dxf>
          </x14:cfRule>
          <xm:sqref>DK68:DQ68 DK74:DQ74</xm:sqref>
        </x14:conditionalFormatting>
        <x14:conditionalFormatting xmlns:xm="http://schemas.microsoft.com/office/excel/2006/main">
          <x14:cfRule type="expression" priority="319" id="{5E9AA2F0-DB26-487E-90B4-633DC2F5AA80}">
            <xm:f>'Model settings'!$N$84=1</xm:f>
            <x14:dxf>
              <fill>
                <patternFill>
                  <bgColor rgb="FF00FFFF"/>
                </patternFill>
              </fill>
            </x14:dxf>
          </x14:cfRule>
          <xm:sqref>DJ67:DJ68</xm:sqref>
        </x14:conditionalFormatting>
        <x14:conditionalFormatting xmlns:xm="http://schemas.microsoft.com/office/excel/2006/main">
          <x14:cfRule type="expression" priority="318" id="{53F84CE6-E0B5-443B-A4E1-7E9D1CF7BCCB}">
            <xm:f>'Model settings'!$N$84=1</xm:f>
            <x14:dxf>
              <fill>
                <patternFill>
                  <bgColor rgb="FF00FFFF"/>
                </patternFill>
              </fill>
            </x14:dxf>
          </x14:cfRule>
          <xm:sqref>DJ73:DJ74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C137F58-9CC0-4808-85DD-3BAA3008134C}">
          <x14:formula1>
            <xm:f>Lists!$G$51:$G$54</xm:f>
          </x14:formula1>
          <xm:sqref>Y5:Z5</xm:sqref>
        </x14:dataValidation>
        <x14:dataValidation type="list" allowBlank="1" showInputMessage="1" showErrorMessage="1" xr:uid="{00000000-0002-0000-0B00-000000000000}">
          <x14:formula1>
            <xm:f>Lists!$H$11:$H$12</xm:f>
          </x14:formula1>
          <x14:formula2>
            <xm:f>0</xm:f>
          </x14:formula2>
          <xm:sqref>Q11:Q89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5F99CA"/>
  </sheetPr>
  <dimension ref="A1:HN1000"/>
  <sheetViews>
    <sheetView showGridLines="0" zoomScale="60" zoomScaleNormal="60" workbookViewId="0">
      <pane ySplit="11" topLeftCell="A28" activePane="bottomLeft" state="frozen"/>
      <selection activeCell="B1" sqref="B1"/>
      <selection pane="bottomLeft" activeCell="F61" sqref="F61:K61"/>
    </sheetView>
  </sheetViews>
  <sheetFormatPr defaultColWidth="8.5703125" defaultRowHeight="15" x14ac:dyDescent="0.25"/>
  <cols>
    <col min="1" max="8" width="8.5703125" style="58"/>
    <col min="9" max="9" width="25.5703125" style="58" customWidth="1"/>
    <col min="10" max="10" width="34.7109375" style="58" bestFit="1" customWidth="1"/>
    <col min="11" max="11" width="34.5703125" style="58" customWidth="1"/>
    <col min="12" max="14" width="25.5703125" style="58" customWidth="1"/>
    <col min="15" max="15" width="31.28515625" style="58" bestFit="1" customWidth="1"/>
    <col min="16" max="16" width="25.5703125" style="58" customWidth="1"/>
    <col min="17" max="17" width="31.85546875" style="58" customWidth="1"/>
    <col min="18" max="18" width="25.5703125" style="58" hidden="1" customWidth="1"/>
    <col min="19" max="19" width="25.5703125" style="511" customWidth="1"/>
    <col min="20" max="21" width="20.7109375" style="511" customWidth="1"/>
    <col min="22" max="23" width="37.28515625" style="58" customWidth="1"/>
    <col min="24" max="24" width="29.5703125" style="58" customWidth="1"/>
    <col min="25" max="25" width="35.5703125" style="58" customWidth="1"/>
    <col min="26" max="32" width="29.5703125" style="58" customWidth="1"/>
    <col min="33" max="33" width="29.5703125" style="58" hidden="1" customWidth="1"/>
    <col min="34" max="34" width="29.5703125" style="511" customWidth="1"/>
    <col min="35" max="36" width="21.42578125" style="511" customWidth="1"/>
    <col min="37" max="37" width="32" style="58" bestFit="1" customWidth="1"/>
    <col min="38" max="38" width="29.5703125" style="58" customWidth="1"/>
    <col min="39" max="39" width="36.28515625" style="58" customWidth="1"/>
    <col min="40" max="46" width="29.5703125" style="58" customWidth="1"/>
    <col min="47" max="47" width="29.5703125" style="58" hidden="1" customWidth="1"/>
    <col min="48" max="50" width="29.5703125" style="58" customWidth="1"/>
    <col min="51" max="51" width="8.5703125" style="58"/>
    <col min="52" max="52" width="28.5703125" style="58" customWidth="1"/>
    <col min="53" max="53" width="36.5703125" style="58" bestFit="1" customWidth="1"/>
    <col min="54" max="60" width="28.5703125" style="58" customWidth="1"/>
    <col min="61" max="61" width="28.5703125" style="58" hidden="1" customWidth="1"/>
    <col min="62" max="62" width="28.5703125" style="58" customWidth="1"/>
    <col min="63" max="64" width="23.5703125" style="58" customWidth="1"/>
    <col min="65" max="69" width="8.5703125" style="58"/>
    <col min="70" max="73" width="26.7109375" style="58" customWidth="1"/>
    <col min="74" max="74" width="34.28515625" style="58" bestFit="1" customWidth="1"/>
    <col min="75" max="76" width="26.7109375" style="58" customWidth="1"/>
    <col min="77" max="77" width="33.7109375" style="58" bestFit="1" customWidth="1"/>
    <col min="78" max="78" width="26.7109375" style="58" customWidth="1"/>
    <col min="79" max="79" width="41.28515625" style="58" bestFit="1" customWidth="1"/>
    <col min="80" max="84" width="41.28515625" style="58" customWidth="1"/>
    <col min="85" max="85" width="30.28515625" style="58" bestFit="1" customWidth="1"/>
    <col min="86" max="87" width="26.7109375" style="58" customWidth="1"/>
    <col min="88" max="88" width="18.28515625" style="58" bestFit="1" customWidth="1"/>
    <col min="89" max="89" width="8.5703125" style="58"/>
    <col min="95" max="99" width="8.5703125" style="58"/>
    <col min="100" max="104" width="23.28515625" style="940" customWidth="1"/>
    <col min="105" max="105" width="34.28515625" style="940" customWidth="1"/>
    <col min="106" max="109" width="23.28515625" style="940" customWidth="1"/>
    <col min="110" max="110" width="24.7109375" style="940" bestFit="1" customWidth="1"/>
    <col min="111" max="111" width="29.42578125" style="940" bestFit="1" customWidth="1"/>
    <col min="112" max="112" width="25.7109375" style="58" customWidth="1"/>
    <col min="113" max="114" width="8.5703125" style="58"/>
    <col min="115" max="115" width="16.7109375" style="58" bestFit="1" customWidth="1"/>
    <col min="116" max="116" width="17.7109375" style="58" customWidth="1"/>
    <col min="117" max="117" width="19.7109375" style="740" hidden="1" customWidth="1"/>
    <col min="118" max="118" width="17.7109375" style="740" hidden="1" customWidth="1"/>
    <col min="119" max="119" width="16.85546875" style="58" customWidth="1"/>
    <col min="120" max="126" width="8.5703125" style="58"/>
    <col min="127" max="127" width="23.28515625" style="58" bestFit="1" customWidth="1"/>
    <col min="128" max="128" width="21.28515625" style="58" customWidth="1"/>
    <col min="129" max="129" width="20.42578125" style="58" bestFit="1" customWidth="1"/>
    <col min="130" max="130" width="22.5703125" style="58" customWidth="1"/>
    <col min="131" max="131" width="8.140625" style="58" customWidth="1"/>
    <col min="132" max="132" width="8.28515625" style="58" customWidth="1"/>
    <col min="133" max="133" width="9.7109375" style="58" bestFit="1" customWidth="1"/>
    <col min="134" max="137" width="8.5703125" style="58"/>
    <col min="138" max="138" width="8.5703125" style="58" customWidth="1"/>
    <col min="139" max="140" width="27" style="58" customWidth="1"/>
    <col min="141" max="141" width="20.42578125" style="58" bestFit="1" customWidth="1"/>
    <col min="142" max="142" width="20" style="58" customWidth="1"/>
    <col min="143" max="143" width="9.85546875" style="58" customWidth="1"/>
    <col min="144" max="144" width="8.28515625" style="58" customWidth="1"/>
    <col min="145" max="147" width="8.5703125" style="58"/>
    <col min="148" max="148" width="15.42578125" style="58" bestFit="1" customWidth="1"/>
    <col min="149" max="150" width="8.5703125" style="58"/>
    <col min="151" max="152" width="14.7109375" style="58" customWidth="1"/>
    <col min="153" max="153" width="20.42578125" style="58" bestFit="1" customWidth="1"/>
    <col min="154" max="154" width="20" style="58" bestFit="1" customWidth="1"/>
    <col min="155" max="155" width="8.5703125" style="58"/>
    <col min="156" max="156" width="10.28515625" style="58" customWidth="1"/>
    <col min="157" max="157" width="9.85546875" style="58" bestFit="1" customWidth="1"/>
    <col min="158" max="158" width="8.85546875" style="58" bestFit="1" customWidth="1"/>
    <col min="159" max="159" width="9.85546875" style="58" bestFit="1" customWidth="1"/>
    <col min="160" max="160" width="15.42578125" style="58" bestFit="1" customWidth="1"/>
    <col min="161" max="162" width="8.5703125" style="58"/>
    <col min="163" max="163" width="23.85546875" style="58" bestFit="1" customWidth="1"/>
    <col min="164" max="165" width="15.7109375" style="58" bestFit="1" customWidth="1"/>
    <col min="166" max="172" width="13.7109375" style="58" customWidth="1"/>
    <col min="173" max="174" width="8.5703125" style="58"/>
    <col min="175" max="175" width="4" style="1057" customWidth="1"/>
    <col min="176" max="176" width="28.85546875" style="58" bestFit="1" customWidth="1"/>
    <col min="177" max="178" width="2.5703125" style="58" customWidth="1"/>
    <col min="179" max="179" width="20.42578125" style="58" bestFit="1" customWidth="1"/>
    <col min="180" max="180" width="21.85546875" style="58" bestFit="1" customWidth="1"/>
    <col min="181" max="181" width="36.7109375" style="58" bestFit="1" customWidth="1"/>
    <col min="182" max="182" width="42.7109375" style="58" bestFit="1" customWidth="1"/>
    <col min="183" max="183" width="41.28515625" style="58" bestFit="1" customWidth="1"/>
    <col min="184" max="184" width="40.28515625" style="58" bestFit="1" customWidth="1"/>
    <col min="185" max="185" width="34.28515625" style="58" bestFit="1" customWidth="1"/>
    <col min="186" max="186" width="34.28515625" style="58" customWidth="1"/>
    <col min="187" max="187" width="28.28515625" style="58" bestFit="1" customWidth="1"/>
    <col min="188" max="188" width="26.85546875" style="58" bestFit="1" customWidth="1"/>
    <col min="189" max="189" width="29.140625" style="58" bestFit="1" customWidth="1"/>
    <col min="190" max="190" width="58.42578125" style="58" bestFit="1" customWidth="1"/>
    <col min="191" max="191" width="58.42578125" style="58" customWidth="1"/>
    <col min="192" max="192" width="17.85546875" style="58" customWidth="1"/>
    <col min="193" max="193" width="10.28515625" style="58" bestFit="1" customWidth="1"/>
    <col min="194" max="194" width="9.28515625" style="58" bestFit="1" customWidth="1"/>
    <col min="195" max="195" width="10.28515625" style="58" bestFit="1" customWidth="1"/>
    <col min="196" max="196" width="15.42578125" style="58" bestFit="1" customWidth="1"/>
    <col min="197" max="198" width="3.28515625" style="58" customWidth="1"/>
    <col min="199" max="199" width="48.28515625" style="58" bestFit="1" customWidth="1"/>
    <col min="200" max="200" width="46.85546875" style="58" bestFit="1" customWidth="1"/>
    <col min="201" max="201" width="45.7109375" style="58" bestFit="1" customWidth="1"/>
    <col min="202" max="202" width="45.7109375" style="58" customWidth="1"/>
    <col min="203" max="203" width="35" style="58" bestFit="1" customWidth="1"/>
    <col min="204" max="204" width="36.42578125" style="58" bestFit="1" customWidth="1"/>
    <col min="205" max="205" width="48.5703125" style="58" bestFit="1" customWidth="1"/>
    <col min="206" max="206" width="8.5703125" style="58" customWidth="1"/>
    <col min="207" max="207" width="41" style="58" bestFit="1" customWidth="1"/>
    <col min="208" max="208" width="44.7109375" style="58" bestFit="1" customWidth="1"/>
    <col min="209" max="209" width="8.5703125" style="58"/>
    <col min="210" max="210" width="15.7109375" style="58" bestFit="1" customWidth="1"/>
    <col min="211" max="217" width="8.5703125" style="58"/>
    <col min="218" max="218" width="30.140625" style="58" bestFit="1" customWidth="1"/>
    <col min="219" max="220" width="26.140625" style="58" bestFit="1" customWidth="1"/>
    <col min="221" max="221" width="11.28515625" style="58" bestFit="1" customWidth="1"/>
    <col min="222" max="222" width="11.7109375" style="58" bestFit="1" customWidth="1"/>
    <col min="223" max="16384" width="8.5703125" style="58"/>
  </cols>
  <sheetData>
    <row r="1" spans="2:216" s="53" customFormat="1" x14ac:dyDescent="0.2">
      <c r="S1" s="507"/>
      <c r="T1" s="507"/>
      <c r="U1" s="507"/>
      <c r="AH1" s="507"/>
      <c r="AI1" s="507"/>
      <c r="AJ1" s="507"/>
      <c r="CV1" s="938"/>
      <c r="CW1" s="938"/>
      <c r="CX1" s="938"/>
      <c r="CY1" s="938"/>
      <c r="CZ1" s="938"/>
      <c r="DA1" s="938"/>
      <c r="DB1" s="938"/>
      <c r="DC1" s="938"/>
      <c r="DD1" s="938"/>
      <c r="DE1" s="938"/>
      <c r="DF1" s="938"/>
      <c r="DG1" s="938"/>
      <c r="DM1" s="1026"/>
      <c r="DN1" s="1026"/>
    </row>
    <row r="2" spans="2:216" s="57" customFormat="1" ht="18" x14ac:dyDescent="0.25">
      <c r="B2" s="54"/>
      <c r="C2" s="55"/>
      <c r="D2" s="56" t="s">
        <v>11</v>
      </c>
      <c r="E2" s="55"/>
      <c r="F2" s="55"/>
      <c r="G2" s="54"/>
      <c r="H2" s="55"/>
      <c r="I2" s="55"/>
      <c r="J2" s="54"/>
      <c r="K2" s="55"/>
      <c r="L2" s="55"/>
      <c r="M2" s="55"/>
      <c r="N2" s="55"/>
      <c r="O2" s="55"/>
      <c r="P2" s="55"/>
      <c r="Q2" s="54"/>
      <c r="R2" s="54"/>
      <c r="S2" s="508"/>
      <c r="T2" s="509"/>
      <c r="U2" s="509"/>
      <c r="V2" s="55"/>
      <c r="W2" s="55"/>
      <c r="X2" s="54"/>
      <c r="Y2" s="55"/>
      <c r="AH2" s="510"/>
      <c r="AI2" s="510"/>
      <c r="AJ2" s="510"/>
      <c r="CV2" s="939"/>
      <c r="CW2" s="939"/>
      <c r="CX2" s="939"/>
      <c r="CY2" s="939"/>
      <c r="CZ2" s="939"/>
      <c r="DA2" s="939"/>
      <c r="DB2" s="939"/>
      <c r="DC2" s="939"/>
      <c r="DD2" s="939"/>
      <c r="DE2" s="939"/>
      <c r="DF2" s="939"/>
      <c r="DG2" s="939"/>
      <c r="DM2" s="1027"/>
      <c r="DN2" s="1027"/>
    </row>
    <row r="3" spans="2:216" s="57" customFormat="1" ht="15.75" x14ac:dyDescent="0.25">
      <c r="S3" s="510"/>
      <c r="T3" s="510"/>
      <c r="U3" s="510"/>
      <c r="AH3" s="510"/>
      <c r="AI3" s="510"/>
      <c r="AJ3" s="510"/>
      <c r="CV3" s="939"/>
      <c r="CW3" s="939"/>
      <c r="CX3" s="939"/>
      <c r="CY3" s="939"/>
      <c r="CZ3" s="939"/>
      <c r="DA3" s="939"/>
      <c r="DB3" s="939"/>
      <c r="DC3" s="939"/>
      <c r="DD3" s="939"/>
      <c r="DE3" s="939"/>
      <c r="DF3" s="939"/>
      <c r="DG3" s="939"/>
      <c r="DM3" s="1027"/>
      <c r="DN3" s="1027"/>
    </row>
    <row r="5" spans="2:216" x14ac:dyDescent="0.25">
      <c r="D5" s="1059"/>
      <c r="E5" s="58" t="s">
        <v>473</v>
      </c>
      <c r="M5" s="663"/>
      <c r="BY5" s="58">
        <f>MATCH(BY13,List_eff_endpoints,0)-1</f>
        <v>0</v>
      </c>
    </row>
    <row r="6" spans="2:216" ht="15.75" x14ac:dyDescent="0.25">
      <c r="D6" s="1058"/>
      <c r="E6" s="58" t="s">
        <v>474</v>
      </c>
    </row>
    <row r="7" spans="2:216" ht="16.5" thickBot="1" x14ac:dyDescent="0.3">
      <c r="I7" s="1702" t="s">
        <v>151</v>
      </c>
      <c r="J7" s="1702"/>
      <c r="K7" s="1702"/>
      <c r="L7" s="1702"/>
      <c r="M7" s="1702"/>
      <c r="N7" s="1702"/>
      <c r="O7" s="1702"/>
      <c r="P7" s="1702"/>
      <c r="Q7" s="1702"/>
      <c r="R7" s="1702"/>
      <c r="S7" s="1702"/>
      <c r="T7" s="1702"/>
      <c r="U7" s="66"/>
      <c r="V7" s="59"/>
      <c r="W7" s="59"/>
      <c r="X7" s="1702" t="s">
        <v>152</v>
      </c>
      <c r="Y7" s="1702"/>
      <c r="Z7" s="1702"/>
      <c r="AA7" s="1702"/>
      <c r="AB7" s="1702"/>
      <c r="AC7" s="1702"/>
      <c r="AD7" s="1702"/>
      <c r="AE7" s="1702"/>
      <c r="AF7" s="1702"/>
      <c r="AG7" s="1702"/>
      <c r="AH7" s="1702"/>
      <c r="AI7" s="1702"/>
      <c r="AJ7" s="66"/>
      <c r="AL7" s="1702" t="s">
        <v>153</v>
      </c>
      <c r="AM7" s="1702"/>
      <c r="AN7" s="1702"/>
      <c r="AO7" s="1702"/>
      <c r="AP7" s="1702"/>
      <c r="AQ7" s="1702"/>
      <c r="AR7" s="1702"/>
      <c r="AS7" s="1702"/>
      <c r="AT7" s="1702"/>
      <c r="AU7" s="1702"/>
      <c r="AV7" s="1702"/>
      <c r="AW7" s="1702"/>
      <c r="AX7" s="66"/>
      <c r="AZ7" s="1702" t="s">
        <v>154</v>
      </c>
      <c r="BA7" s="1702"/>
      <c r="BB7" s="1702"/>
      <c r="BC7" s="1702"/>
      <c r="BD7" s="1702"/>
      <c r="BE7" s="1702"/>
      <c r="BF7" s="1702"/>
      <c r="BG7" s="1702"/>
      <c r="BH7" s="1702"/>
      <c r="BI7" s="1702"/>
      <c r="BJ7" s="1702"/>
      <c r="BK7" s="1702"/>
      <c r="BL7" s="66"/>
    </row>
    <row r="8" spans="2:216" ht="4.1500000000000004" customHeight="1" x14ac:dyDescent="0.25">
      <c r="I8" s="66"/>
      <c r="J8" s="66"/>
      <c r="K8" s="66"/>
      <c r="L8" s="66"/>
      <c r="M8" s="66"/>
      <c r="N8" s="66"/>
      <c r="O8" s="66"/>
      <c r="P8" s="66"/>
      <c r="Q8" s="66"/>
      <c r="R8" s="66"/>
      <c r="S8" s="66"/>
      <c r="T8" s="66"/>
      <c r="U8" s="66"/>
      <c r="V8" s="59"/>
      <c r="W8" s="59"/>
      <c r="X8" s="59"/>
      <c r="Y8" s="59"/>
      <c r="Z8" s="59"/>
    </row>
    <row r="9" spans="2:216" ht="15.75" thickBot="1" x14ac:dyDescent="0.3">
      <c r="B9" s="1696" t="s">
        <v>475</v>
      </c>
      <c r="C9" s="1696"/>
      <c r="D9" s="1696"/>
      <c r="E9" s="1696"/>
      <c r="F9" s="1696"/>
      <c r="G9" s="1696"/>
      <c r="H9" s="1696"/>
      <c r="I9" s="1696"/>
      <c r="J9" s="1697"/>
      <c r="K9" s="1698" t="s">
        <v>476</v>
      </c>
      <c r="L9" s="1697"/>
      <c r="M9" s="1698" t="s">
        <v>477</v>
      </c>
      <c r="N9" s="1696"/>
      <c r="O9" s="1696"/>
      <c r="P9" s="1696"/>
      <c r="Q9" s="1697"/>
      <c r="Y9" s="517"/>
      <c r="Z9" s="1696" t="s">
        <v>476</v>
      </c>
      <c r="AA9" s="1697"/>
      <c r="AB9" s="1698" t="s">
        <v>477</v>
      </c>
      <c r="AC9" s="1696"/>
      <c r="AD9" s="1696"/>
      <c r="AE9" s="1696"/>
      <c r="AF9" s="1697"/>
      <c r="AM9" s="517"/>
      <c r="AN9" s="1696" t="s">
        <v>476</v>
      </c>
      <c r="AO9" s="1697"/>
      <c r="AP9" s="1698" t="s">
        <v>477</v>
      </c>
      <c r="AQ9" s="1696"/>
      <c r="AR9" s="1696"/>
      <c r="AS9" s="1696"/>
      <c r="AT9" s="1697"/>
      <c r="AV9" s="511"/>
      <c r="AW9" s="511"/>
      <c r="AX9" s="511"/>
      <c r="BA9" s="517"/>
      <c r="BB9" s="1696" t="s">
        <v>476</v>
      </c>
      <c r="BC9" s="1697"/>
      <c r="BD9" s="1698" t="s">
        <v>477</v>
      </c>
      <c r="BE9" s="1696"/>
      <c r="BF9" s="1696"/>
      <c r="BG9" s="1696"/>
      <c r="BH9" s="1697"/>
      <c r="BJ9" s="511"/>
      <c r="BK9" s="511"/>
      <c r="BL9" s="511"/>
      <c r="BR9" s="1700" t="s">
        <v>475</v>
      </c>
      <c r="BS9" s="1700"/>
      <c r="BT9" s="1700"/>
      <c r="BU9" s="1700"/>
      <c r="BV9" s="1700"/>
      <c r="BW9" s="1700"/>
      <c r="BX9" s="1700"/>
      <c r="BY9" s="1701"/>
      <c r="BZ9" s="1699" t="s">
        <v>476</v>
      </c>
      <c r="CA9" s="1701"/>
      <c r="CB9" s="1699" t="s">
        <v>477</v>
      </c>
      <c r="CC9" s="1700"/>
      <c r="CD9" s="1700"/>
      <c r="CE9" s="1700"/>
      <c r="CF9" s="1701"/>
      <c r="CG9" s="480"/>
      <c r="DW9" s="1694" t="s">
        <v>478</v>
      </c>
      <c r="DX9" s="1694"/>
      <c r="DY9" s="1694"/>
      <c r="DZ9" s="1694"/>
      <c r="EA9" s="1694"/>
      <c r="EB9" s="1694"/>
      <c r="EC9" s="1694"/>
      <c r="ED9" s="1694"/>
      <c r="EE9" s="1694"/>
      <c r="EF9" s="1694"/>
      <c r="EG9" s="1694"/>
      <c r="EI9" s="1694" t="s">
        <v>479</v>
      </c>
      <c r="EJ9" s="1694"/>
      <c r="EK9" s="1694"/>
      <c r="EL9" s="1694"/>
      <c r="EM9" s="1694"/>
      <c r="EN9" s="1694"/>
      <c r="EO9" s="1694"/>
      <c r="EP9" s="1694"/>
      <c r="EQ9" s="1694"/>
      <c r="ER9" s="1694"/>
      <c r="EU9" s="1694" t="s">
        <v>480</v>
      </c>
      <c r="EV9" s="1694"/>
      <c r="EW9" s="1694"/>
      <c r="EX9" s="1694"/>
      <c r="EY9" s="1694"/>
      <c r="EZ9" s="1694"/>
      <c r="FA9" s="1694"/>
      <c r="FB9" s="1694"/>
      <c r="FC9" s="1694"/>
      <c r="FD9" s="1694"/>
      <c r="FG9" s="1694" t="s">
        <v>481</v>
      </c>
      <c r="FH9" s="1694"/>
      <c r="FI9" s="1694"/>
      <c r="FJ9" s="1694"/>
      <c r="FK9" s="1694"/>
      <c r="FL9" s="1694"/>
      <c r="FM9" s="1694"/>
      <c r="FN9" s="1694"/>
      <c r="FO9" s="1694"/>
      <c r="FP9" s="1694"/>
      <c r="FY9" s="740" t="s">
        <v>482</v>
      </c>
      <c r="FZ9" s="740">
        <f>IF(OR(i_use_PHnma_for_FPnma_num,i_eq_eff_pazo_suni_num,i_eq_eff_tivo_suni_num,i_eq_eff_evero_axi_num,i_TTD_same_as_PFS,i_CheckMate214_TTD)=1,1,0)</f>
        <v>0</v>
      </c>
    </row>
    <row r="10" spans="2:216" x14ac:dyDescent="0.25">
      <c r="J10" s="517"/>
      <c r="K10" s="521"/>
      <c r="L10" s="517"/>
      <c r="M10" s="521"/>
      <c r="Q10" s="517"/>
      <c r="T10" s="1695" t="s">
        <v>483</v>
      </c>
      <c r="U10" s="1695"/>
      <c r="Y10" s="517"/>
      <c r="AA10" s="517"/>
      <c r="AF10" s="517"/>
      <c r="AI10" s="1695" t="s">
        <v>483</v>
      </c>
      <c r="AJ10" s="1695"/>
      <c r="AM10" s="517"/>
      <c r="AO10" s="517"/>
      <c r="AT10" s="517"/>
      <c r="AV10" s="511"/>
      <c r="AW10" s="1695" t="s">
        <v>483</v>
      </c>
      <c r="AX10" s="1695"/>
      <c r="BA10" s="517"/>
      <c r="BC10" s="517"/>
      <c r="BH10" s="517"/>
      <c r="BJ10" s="511"/>
      <c r="BK10" s="1695" t="s">
        <v>483</v>
      </c>
      <c r="BL10" s="1695"/>
      <c r="BR10" s="515"/>
      <c r="BS10" s="515"/>
      <c r="BT10" s="515"/>
      <c r="BU10" s="515"/>
      <c r="BV10" s="515"/>
      <c r="BW10" s="515"/>
      <c r="BX10" s="515"/>
      <c r="BY10" s="528"/>
      <c r="BZ10" s="533"/>
      <c r="CA10" s="528"/>
      <c r="CB10" s="533"/>
      <c r="CC10" s="515"/>
      <c r="CD10" s="659"/>
      <c r="CE10" s="515"/>
      <c r="CF10" s="528"/>
      <c r="CG10" s="515"/>
      <c r="CH10" s="515"/>
      <c r="CI10" s="515"/>
      <c r="CJ10" s="515"/>
      <c r="CV10" s="946" t="s">
        <v>484</v>
      </c>
      <c r="DO10" s="58" t="s">
        <v>485</v>
      </c>
      <c r="HE10" s="1693" t="s">
        <v>1832</v>
      </c>
      <c r="HF10" s="1693"/>
      <c r="HG10" s="1693"/>
      <c r="HH10" s="1693"/>
    </row>
    <row r="11" spans="2:216" ht="45" customHeight="1" x14ac:dyDescent="0.25">
      <c r="D11" s="60"/>
      <c r="I11" s="62" t="s">
        <v>486</v>
      </c>
      <c r="J11" s="518" t="s">
        <v>142</v>
      </c>
      <c r="K11" s="522" t="s">
        <v>487</v>
      </c>
      <c r="L11" s="523" t="s">
        <v>488</v>
      </c>
      <c r="M11" s="526" t="s">
        <v>489</v>
      </c>
      <c r="N11" s="489" t="s">
        <v>490</v>
      </c>
      <c r="O11" s="489" t="s">
        <v>491</v>
      </c>
      <c r="P11" s="489" t="s">
        <v>492</v>
      </c>
      <c r="Q11" s="527" t="s">
        <v>493</v>
      </c>
      <c r="R11" s="62" t="s">
        <v>494</v>
      </c>
      <c r="S11" s="62" t="s">
        <v>495</v>
      </c>
      <c r="T11" s="63" t="s">
        <v>496</v>
      </c>
      <c r="U11" s="62" t="s">
        <v>497</v>
      </c>
      <c r="X11" s="75" t="s">
        <v>486</v>
      </c>
      <c r="Y11" s="624" t="s">
        <v>142</v>
      </c>
      <c r="Z11" s="75" t="s">
        <v>487</v>
      </c>
      <c r="AA11" s="617" t="s">
        <v>488</v>
      </c>
      <c r="AB11" s="489" t="s">
        <v>489</v>
      </c>
      <c r="AC11" s="489" t="s">
        <v>490</v>
      </c>
      <c r="AD11" s="489" t="s">
        <v>491</v>
      </c>
      <c r="AE11" s="489" t="s">
        <v>498</v>
      </c>
      <c r="AF11" s="527" t="s">
        <v>493</v>
      </c>
      <c r="AG11" s="62" t="s">
        <v>494</v>
      </c>
      <c r="AH11" s="62" t="s">
        <v>495</v>
      </c>
      <c r="AI11" s="63" t="s">
        <v>496</v>
      </c>
      <c r="AJ11" s="62" t="s">
        <v>497</v>
      </c>
      <c r="AK11" s="62"/>
      <c r="AL11" s="75" t="s">
        <v>486</v>
      </c>
      <c r="AM11" s="624" t="s">
        <v>142</v>
      </c>
      <c r="AN11" s="75" t="s">
        <v>487</v>
      </c>
      <c r="AO11" s="617" t="s">
        <v>488</v>
      </c>
      <c r="AP11" s="489" t="s">
        <v>489</v>
      </c>
      <c r="AQ11" s="489" t="s">
        <v>490</v>
      </c>
      <c r="AR11" s="489" t="s">
        <v>491</v>
      </c>
      <c r="AS11" s="489" t="s">
        <v>498</v>
      </c>
      <c r="AT11" s="527" t="s">
        <v>493</v>
      </c>
      <c r="AU11" s="62" t="s">
        <v>494</v>
      </c>
      <c r="AV11" s="62" t="s">
        <v>495</v>
      </c>
      <c r="AW11" s="63" t="s">
        <v>496</v>
      </c>
      <c r="AX11" s="62" t="s">
        <v>497</v>
      </c>
      <c r="AZ11" s="75" t="s">
        <v>486</v>
      </c>
      <c r="BA11" s="624" t="s">
        <v>142</v>
      </c>
      <c r="BB11" s="75" t="s">
        <v>487</v>
      </c>
      <c r="BC11" s="617" t="s">
        <v>488</v>
      </c>
      <c r="BD11" s="489" t="s">
        <v>489</v>
      </c>
      <c r="BE11" s="489" t="s">
        <v>490</v>
      </c>
      <c r="BF11" s="489" t="s">
        <v>491</v>
      </c>
      <c r="BG11" s="489" t="s">
        <v>492</v>
      </c>
      <c r="BH11" s="527" t="s">
        <v>493</v>
      </c>
      <c r="BI11" s="62" t="s">
        <v>494</v>
      </c>
      <c r="BJ11" s="62" t="s">
        <v>495</v>
      </c>
      <c r="BK11" s="63" t="s">
        <v>496</v>
      </c>
      <c r="BL11" s="62" t="s">
        <v>497</v>
      </c>
      <c r="BQ11" s="58" t="s">
        <v>499</v>
      </c>
      <c r="BR11" s="505" t="s">
        <v>30</v>
      </c>
      <c r="BS11" s="505" t="s">
        <v>139</v>
      </c>
      <c r="BT11" s="505" t="s">
        <v>129</v>
      </c>
      <c r="BU11" s="505" t="s">
        <v>202</v>
      </c>
      <c r="BV11" s="505" t="s">
        <v>140</v>
      </c>
      <c r="BW11" s="505" t="s">
        <v>486</v>
      </c>
      <c r="BX11" s="505" t="s">
        <v>142</v>
      </c>
      <c r="BY11" s="531" t="s">
        <v>141</v>
      </c>
      <c r="BZ11" s="529" t="s">
        <v>487</v>
      </c>
      <c r="CA11" s="531" t="s">
        <v>500</v>
      </c>
      <c r="CB11" s="505" t="s">
        <v>489</v>
      </c>
      <c r="CC11" s="505" t="s">
        <v>501</v>
      </c>
      <c r="CD11" s="505" t="s">
        <v>491</v>
      </c>
      <c r="CE11" s="505" t="s">
        <v>492</v>
      </c>
      <c r="CF11" s="531" t="s">
        <v>502</v>
      </c>
      <c r="CG11" s="505" t="s">
        <v>503</v>
      </c>
      <c r="CH11" s="505" t="s">
        <v>495</v>
      </c>
      <c r="CI11" s="505" t="s">
        <v>504</v>
      </c>
      <c r="CJ11" s="505" t="s">
        <v>505</v>
      </c>
      <c r="CV11" s="940" t="s">
        <v>30</v>
      </c>
      <c r="CW11" s="940" t="s">
        <v>139</v>
      </c>
      <c r="CX11" s="940" t="s">
        <v>129</v>
      </c>
      <c r="CY11" s="940" t="s">
        <v>506</v>
      </c>
      <c r="CZ11" s="940" t="s">
        <v>507</v>
      </c>
      <c r="DA11" s="940" t="s">
        <v>508</v>
      </c>
      <c r="DB11" s="940" t="s">
        <v>509</v>
      </c>
      <c r="DC11" s="940" t="s">
        <v>510</v>
      </c>
      <c r="DD11" s="940" t="s">
        <v>511</v>
      </c>
      <c r="DE11" s="940" t="s">
        <v>512</v>
      </c>
      <c r="DF11" s="940" t="s">
        <v>513</v>
      </c>
      <c r="DG11" s="940" t="s">
        <v>514</v>
      </c>
      <c r="DH11" s="58" t="s">
        <v>515</v>
      </c>
      <c r="DK11" s="58" t="s">
        <v>509</v>
      </c>
      <c r="DL11" s="940" t="s">
        <v>516</v>
      </c>
      <c r="DM11" s="1028" t="s">
        <v>511</v>
      </c>
      <c r="DN11" s="1028" t="s">
        <v>512</v>
      </c>
      <c r="DO11" s="940" t="s">
        <v>513</v>
      </c>
      <c r="DW11" s="58" t="s">
        <v>486</v>
      </c>
      <c r="DX11" s="58" t="s">
        <v>517</v>
      </c>
      <c r="DY11" s="58" t="s">
        <v>518</v>
      </c>
      <c r="DZ11" s="1061" t="s">
        <v>500</v>
      </c>
      <c r="EA11" s="1061"/>
      <c r="EB11" s="58" t="s">
        <v>519</v>
      </c>
      <c r="EC11" s="58" t="s">
        <v>520</v>
      </c>
      <c r="ED11" s="58" t="s">
        <v>521</v>
      </c>
      <c r="EE11" s="58" t="s">
        <v>522</v>
      </c>
      <c r="EF11" s="58" t="s">
        <v>523</v>
      </c>
      <c r="EI11" s="58" t="s">
        <v>486</v>
      </c>
      <c r="EJ11" s="58" t="s">
        <v>517</v>
      </c>
      <c r="EK11" s="58" t="s">
        <v>518</v>
      </c>
      <c r="EL11" s="1061" t="s">
        <v>500</v>
      </c>
      <c r="EM11" s="1061"/>
      <c r="EN11" s="58" t="s">
        <v>519</v>
      </c>
      <c r="EO11" s="58" t="s">
        <v>520</v>
      </c>
      <c r="EP11" s="58" t="s">
        <v>521</v>
      </c>
      <c r="EQ11" s="58" t="s">
        <v>522</v>
      </c>
      <c r="ER11" s="58" t="s">
        <v>523</v>
      </c>
      <c r="EU11" s="58" t="s">
        <v>486</v>
      </c>
      <c r="EV11" s="58" t="s">
        <v>517</v>
      </c>
      <c r="EW11" s="58" t="s">
        <v>518</v>
      </c>
      <c r="EX11" s="1061" t="s">
        <v>500</v>
      </c>
      <c r="EZ11" s="58" t="s">
        <v>519</v>
      </c>
      <c r="FA11" s="58" t="s">
        <v>520</v>
      </c>
      <c r="FB11" s="58" t="s">
        <v>521</v>
      </c>
      <c r="FC11" s="58" t="s">
        <v>522</v>
      </c>
      <c r="FD11" s="58" t="s">
        <v>523</v>
      </c>
      <c r="FG11" s="58" t="s">
        <v>486</v>
      </c>
      <c r="FH11" s="58" t="s">
        <v>517</v>
      </c>
      <c r="FI11" s="58" t="s">
        <v>518</v>
      </c>
      <c r="FJ11" s="1061" t="s">
        <v>500</v>
      </c>
      <c r="FL11" s="58" t="s">
        <v>519</v>
      </c>
      <c r="FM11" s="58" t="s">
        <v>520</v>
      </c>
      <c r="FN11" s="58" t="s">
        <v>521</v>
      </c>
      <c r="FO11" s="58" t="s">
        <v>522</v>
      </c>
      <c r="FP11" s="58" t="s">
        <v>523</v>
      </c>
      <c r="FT11" s="58" t="s">
        <v>524</v>
      </c>
      <c r="FW11" s="58" t="s">
        <v>525</v>
      </c>
      <c r="FX11" s="58" t="s">
        <v>526</v>
      </c>
      <c r="FY11" s="58" t="s">
        <v>527</v>
      </c>
      <c r="FZ11" s="58" t="s">
        <v>528</v>
      </c>
      <c r="GA11" s="58" t="s">
        <v>529</v>
      </c>
      <c r="GB11" s="58" t="s">
        <v>530</v>
      </c>
      <c r="GC11" s="58" t="s">
        <v>531</v>
      </c>
      <c r="GD11" s="58" t="s">
        <v>532</v>
      </c>
      <c r="GE11" s="58" t="s">
        <v>533</v>
      </c>
      <c r="GF11" s="58" t="s">
        <v>534</v>
      </c>
      <c r="GG11" s="58" t="s">
        <v>1741</v>
      </c>
      <c r="GH11" s="58" t="s">
        <v>1820</v>
      </c>
      <c r="GI11" s="58" t="s">
        <v>1831</v>
      </c>
      <c r="GK11" s="58" t="s">
        <v>501</v>
      </c>
      <c r="GL11" s="58" t="s">
        <v>535</v>
      </c>
      <c r="GM11" s="58" t="s">
        <v>492</v>
      </c>
      <c r="GN11" s="58" t="s">
        <v>502</v>
      </c>
      <c r="GQ11" s="58" t="s">
        <v>536</v>
      </c>
      <c r="GR11" s="58" t="s">
        <v>537</v>
      </c>
      <c r="GS11" s="58" t="s">
        <v>538</v>
      </c>
      <c r="GT11" s="58" t="s">
        <v>539</v>
      </c>
      <c r="GU11" s="58" t="s">
        <v>540</v>
      </c>
      <c r="GV11" s="58" t="s">
        <v>1799</v>
      </c>
      <c r="GW11" s="58" t="s">
        <v>1821</v>
      </c>
      <c r="GY11" s="58" t="s">
        <v>541</v>
      </c>
      <c r="GZ11" s="58" t="s">
        <v>542</v>
      </c>
      <c r="HB11" s="58" t="s">
        <v>489</v>
      </c>
      <c r="HD11" s="58" t="s">
        <v>489</v>
      </c>
      <c r="HE11" s="58" t="s">
        <v>501</v>
      </c>
      <c r="HF11" s="58" t="s">
        <v>535</v>
      </c>
      <c r="HG11" s="58" t="s">
        <v>492</v>
      </c>
      <c r="HH11" s="58" t="s">
        <v>502</v>
      </c>
    </row>
    <row r="12" spans="2:216" ht="15.75" x14ac:dyDescent="0.25">
      <c r="D12" s="69" t="s">
        <v>543</v>
      </c>
      <c r="I12" s="62"/>
      <c r="J12" s="518"/>
      <c r="K12" s="522"/>
      <c r="L12" s="523"/>
      <c r="M12" s="489"/>
      <c r="N12" s="489"/>
      <c r="O12" s="489"/>
      <c r="P12" s="489"/>
      <c r="Q12" s="527"/>
      <c r="R12" s="62"/>
      <c r="S12" s="62"/>
      <c r="T12" s="63"/>
      <c r="U12" s="62"/>
      <c r="Y12" s="517"/>
      <c r="AA12" s="517"/>
      <c r="AF12" s="517"/>
      <c r="AM12" s="517"/>
      <c r="AO12" s="517"/>
      <c r="AT12" s="517"/>
      <c r="AV12" s="511"/>
      <c r="AW12" s="511"/>
      <c r="AX12" s="511"/>
      <c r="BA12" s="517"/>
      <c r="BC12" s="517"/>
      <c r="BH12" s="517"/>
      <c r="BJ12" s="511"/>
      <c r="BK12" s="511"/>
      <c r="BL12" s="511"/>
      <c r="BQ12" s="58">
        <v>0</v>
      </c>
      <c r="BR12" s="505"/>
      <c r="BS12" s="505"/>
      <c r="BT12" s="505"/>
      <c r="BU12" s="505"/>
      <c r="BV12" s="505"/>
      <c r="BW12" s="505"/>
      <c r="BX12" s="505"/>
      <c r="BY12" s="532"/>
      <c r="BZ12" s="529"/>
      <c r="CA12" s="532"/>
      <c r="CB12" s="505"/>
      <c r="CC12" s="505"/>
      <c r="CD12" s="505"/>
      <c r="CE12" s="505"/>
      <c r="CF12" s="1300"/>
      <c r="CG12" s="505"/>
      <c r="CH12" s="505"/>
      <c r="CI12" s="505"/>
      <c r="CJ12" s="505"/>
    </row>
    <row r="13" spans="2:216" ht="15.75" x14ac:dyDescent="0.25">
      <c r="D13" s="58" t="str" cm="1">
        <f t="array" ref="D13:D26">List_comparators</f>
        <v>nivolumab_monotherapy</v>
      </c>
      <c r="I13" s="64" t="s">
        <v>58</v>
      </c>
      <c r="J13" s="519" t="s">
        <v>544</v>
      </c>
      <c r="K13" s="524"/>
      <c r="L13" s="519"/>
      <c r="M13" s="516" t="s">
        <v>545</v>
      </c>
      <c r="N13" s="64" t="s">
        <v>546</v>
      </c>
      <c r="O13" s="64" t="s">
        <v>117</v>
      </c>
      <c r="P13" s="64" t="s">
        <v>547</v>
      </c>
      <c r="Q13" s="519" t="s">
        <v>544</v>
      </c>
      <c r="R13" s="516" t="s">
        <v>548</v>
      </c>
      <c r="S13" s="497"/>
      <c r="T13" s="497"/>
      <c r="U13" s="497"/>
      <c r="Y13" s="517"/>
      <c r="AA13" s="517"/>
      <c r="AF13" s="517"/>
      <c r="AM13" s="517"/>
      <c r="AO13" s="517"/>
      <c r="AT13" s="517"/>
      <c r="AV13" s="511"/>
      <c r="AW13" s="511"/>
      <c r="AX13" s="511"/>
      <c r="BA13" s="517"/>
      <c r="BC13" s="517"/>
      <c r="BH13" s="517"/>
      <c r="BJ13" s="511"/>
      <c r="BK13" s="511"/>
      <c r="BL13" s="511"/>
      <c r="BQ13" s="58">
        <f t="shared" ref="BQ13:BQ76" si="0">BQ12+IF(ISBLANK(BR13),0,1)</f>
        <v>1</v>
      </c>
      <c r="BR13" s="17">
        <v>1</v>
      </c>
      <c r="BS13" s="252" t="s">
        <v>549</v>
      </c>
      <c r="BT13" s="17">
        <v>1</v>
      </c>
      <c r="BU13" s="17">
        <v>0</v>
      </c>
      <c r="BV13" s="17" t="str">
        <f t="shared" ref="BV13:BV26" si="1">D13</f>
        <v>nivolumab_monotherapy</v>
      </c>
      <c r="BW13" s="17" t="str" cm="1">
        <f t="array" ref="BW13">IF(I13="No",I13,INDEX(List_incl_anal_1L_PorI,IF(BU13=999,35,BU13+1)))</f>
        <v>No</v>
      </c>
      <c r="BX13" s="61">
        <f t="shared" ref="BX13:BX26" si="2">MATCH(BY13,List_eff_endpoints,0)-1</f>
        <v>0</v>
      </c>
      <c r="BY13" s="531" t="str">
        <f>J13</f>
        <v>Overall survival</v>
      </c>
      <c r="BZ13" s="530">
        <f t="shared" ref="BZ13:BZ26" si="3">GI13</f>
        <v>0</v>
      </c>
      <c r="CA13" s="531">
        <f>FT13</f>
        <v>0</v>
      </c>
      <c r="CB13" s="530">
        <f t="shared" ref="CB13:CB26" si="4">HD13</f>
        <v>1</v>
      </c>
      <c r="CC13" s="530">
        <f t="shared" ref="CC13:CC26" si="5">HE13</f>
        <v>1</v>
      </c>
      <c r="CD13" s="530">
        <f t="shared" ref="CD13:CD26" si="6">HF13</f>
        <v>7</v>
      </c>
      <c r="CE13" s="1295">
        <f t="shared" ref="CE13:CE26" si="7">HG13</f>
        <v>2</v>
      </c>
      <c r="CF13" s="1301">
        <f t="shared" ref="CF13:CF26" si="8">HH13</f>
        <v>0</v>
      </c>
      <c r="CG13" s="530" t="str">
        <f t="shared" ref="CG13:CG26" si="9">IF(i_surv_cur=1,DK13,DL13)</f>
        <v>Exponential</v>
      </c>
      <c r="CH13" s="61">
        <f t="shared" ref="CH13:CH26" si="10">S13</f>
        <v>0</v>
      </c>
      <c r="CI13" s="61">
        <f t="shared" ref="CI13:CI26" si="11">T13</f>
        <v>0</v>
      </c>
      <c r="CJ13" s="61">
        <f t="shared" ref="CJ13:CJ26" si="12">U13</f>
        <v>0</v>
      </c>
      <c r="CV13" s="940">
        <v>1</v>
      </c>
      <c r="CW13" s="940" t="s">
        <v>549</v>
      </c>
      <c r="CX13" s="940">
        <v>1</v>
      </c>
      <c r="CY13" s="940">
        <v>2</v>
      </c>
      <c r="CZ13" s="940" t="str" cm="1">
        <f t="array" ref="CZ13">INDEX(List_trials,CY13+1)</f>
        <v>Real world evidence</v>
      </c>
      <c r="DA13" s="941" t="s">
        <v>544</v>
      </c>
      <c r="DB13" s="941" t="s">
        <v>550</v>
      </c>
      <c r="DC13" s="941" t="s">
        <v>551</v>
      </c>
      <c r="DD13" s="941"/>
      <c r="DE13" s="941"/>
      <c r="DF13" s="941" t="s">
        <v>103</v>
      </c>
      <c r="DG13" s="941" t="s">
        <v>117</v>
      </c>
      <c r="DH13" s="58">
        <f>IF(MATCH(DG13,List_comparators,0)-1=13,999,MATCH(DG13,List_comparators,0)-1)</f>
        <v>7</v>
      </c>
      <c r="DK13" s="58" t="str" cm="1">
        <f t="array" ref="DK13">IF(AND($BT13=4,$BX13=4,$BU13=999),$DB$36,_xlfn.IFNA(INDEX(DB$13:DB$70,MATCH(1,($BR13=$CV$13:$CV$70)*($BT13=$CX$13:$CX$70)*($CE13=$CY$13:$CY$70)*($BY13=$DA$13:$DA$70)*($CD13=$DH$13:$DH$70),0)),""))</f>
        <v>Exponential</v>
      </c>
      <c r="DL13" s="58" t="str" cm="1">
        <f t="array" ref="DL13">IF(AND($BT13=4,$BX13=4,$BU13=999),$DC$36,_xlfn.IFNA(INDEX(CHOOSE(DP13,DB$13:DB$70,DC$13:DC$70,DD$13:DD$70,DE$13:DE$70),MATCH(1,($BR13=$CV$13:$CV$70)*($BT13=$CX$13:$CX$70)*($CE13=$CY$13:$CY$70)*($BY13=$DA$13:$DA$70)*($CD13=$DH$13:$DH$70),0)),""))</f>
        <v>Exponential</v>
      </c>
      <c r="DM13" s="740" cm="1">
        <f t="array" ref="DM13">IF(AND($BT13=4,$BX13=4,$BU13=999),$DD$36,_xlfn.IFNA(INDEX(DD$13:DD$68,MATCH(1,($BR13=$CV$13:$CV$68)*($BT13=$CX$13:$CX$68)*($CE13=$CY$13:$CY$68)*($BY13=$DA$13:$DA$68)*($CD13=$DH$13:$DH$68),0)),""))</f>
        <v>0</v>
      </c>
      <c r="DN13" s="740" cm="1">
        <f t="array" ref="DN13">IF(AND($BT13=4,$BX13=4,$BU13=999),$DD$36,_xlfn.IFNA(INDEX(DE$13:DE$68,MATCH(1,($BR13=$CV$13:$CV$68)*($BT13=$CX$13:$CX$68)*($CE13=$CY$13:$CY$68)*($BY13=$DA$13:$DA$68)*($CD13=$DH$13:$DH$68),0)),""))</f>
        <v>0</v>
      </c>
      <c r="DO13" s="58" t="str" cm="1">
        <f t="array" ref="DO13">IF(AND($BT13=4,$BX13=4,$BU13=999),$DF$36,_xlfn.IFNA(INDEX(DF$13:DF$70,MATCH(1,($BR13=$CV$13:$CV$70)*($BT13=$CX$13:$CX$70)*($CE13=$CY$13:$CY$70)*($BY13=$DA$13:$DA$70)*($CD13=$DH$13:$DH$70),0)),""))</f>
        <v>Base case</v>
      </c>
      <c r="DP13" s="58">
        <f t="shared" ref="DP13:DP76" si="13">MATCH(DO13,List_surv_cur_ext,0)</f>
        <v>1</v>
      </c>
      <c r="DW13" s="58" t="s">
        <v>58</v>
      </c>
      <c r="DX13" s="58" t="s">
        <v>544</v>
      </c>
      <c r="DY13" s="58">
        <v>0</v>
      </c>
      <c r="DZ13" s="58">
        <v>0</v>
      </c>
      <c r="EB13" s="58">
        <v>1</v>
      </c>
      <c r="EC13" s="58">
        <v>1</v>
      </c>
      <c r="ED13" s="58">
        <v>7</v>
      </c>
      <c r="EE13" s="58">
        <v>2</v>
      </c>
      <c r="EF13" s="58">
        <v>0</v>
      </c>
      <c r="EI13" s="58" t="s">
        <v>58</v>
      </c>
      <c r="EJ13" s="58" t="s">
        <v>544</v>
      </c>
      <c r="EK13" s="58">
        <v>0</v>
      </c>
      <c r="EL13" s="58">
        <v>0</v>
      </c>
      <c r="EN13" s="58">
        <v>1</v>
      </c>
      <c r="EO13" s="58">
        <v>1</v>
      </c>
      <c r="EP13" s="58">
        <v>7</v>
      </c>
      <c r="EQ13" s="58">
        <v>0</v>
      </c>
      <c r="ER13" s="58">
        <v>0</v>
      </c>
      <c r="EU13" s="58" t="str">
        <f t="shared" ref="EU13:EU26" si="14">IF(i_eff_inputs_based_on_num=2,DW13,I13)</f>
        <v>No</v>
      </c>
      <c r="EV13" s="58" t="str">
        <f t="shared" ref="EV13:EV26" si="15">IF(i_eff_inputs_based_on_num=2,DX13,J13)</f>
        <v>Overall survival</v>
      </c>
      <c r="EW13" s="58">
        <f t="shared" ref="EW13:EW26" si="16">IF(i_eff_inputs_based_on_num=2,DY13,K13)</f>
        <v>0</v>
      </c>
      <c r="EX13" s="58">
        <f t="shared" ref="EX13:EX26" si="17">IF(i_eff_inputs_based_on_num=2,DZ13,L13)</f>
        <v>0</v>
      </c>
      <c r="EZ13" s="58">
        <f t="shared" ref="EZ13:EZ26" si="18">IF(i_eff_inputs_based_on_num=2,EB13,VLOOKUP(M13,r_pld_lookup_line,3,FALSE))</f>
        <v>1</v>
      </c>
      <c r="FA13" s="58">
        <f t="shared" ref="FA13:FA26" si="19">IF(i_eff_inputs_based_on_num=2,EC13,VLOOKUP(N13,r_pld_lookup_line,3,FALSE))</f>
        <v>1</v>
      </c>
      <c r="FB13" s="58">
        <f>IF(i_eff_inputs_based_on_num=2,ED13,(INDEX(Lists!$L$51:$L$85,MATCH(O13,Lists!$K$51:$K$85,0))))</f>
        <v>7</v>
      </c>
      <c r="FC13" s="58">
        <f>IF(i_eff_inputs_based_on_num=2,EE13,(INDEX(Lists!$L$51:$L$85,MATCH(P13,Lists!$K$51:$K$85,0))))</f>
        <v>2</v>
      </c>
      <c r="FD13" s="58">
        <f>IF(i_eff_inputs_based_on_num=2,EF13,(INDEX(Lists!$L$51:$L$85,MATCH(Q13,Lists!$K$51:$K$85,0))))</f>
        <v>0</v>
      </c>
      <c r="FG13" s="58" t="str">
        <f t="shared" ref="FG13:FG26" si="20">IF(i_eff_inputs_based_on_num=2,EI13,I13)</f>
        <v>No</v>
      </c>
      <c r="FH13" s="58" t="str">
        <f t="shared" ref="FH13:FH26" si="21">IF(i_eff_inputs_based_on_num=2,EJ13,J13)</f>
        <v>Overall survival</v>
      </c>
      <c r="FI13" s="58">
        <f t="shared" ref="FI13:FI26" si="22">IF(i_eff_inputs_based_on_num=2,EK13,K13)</f>
        <v>0</v>
      </c>
      <c r="FJ13" s="58">
        <f t="shared" ref="FJ13:FJ26" si="23">IF(i_eff_inputs_based_on_num=2,EL13,L13)</f>
        <v>0</v>
      </c>
      <c r="FL13" s="58">
        <f t="shared" ref="FL13:FL26" si="24">IF(i_eff_inputs_based_on_num=2,EN13,VLOOKUP(M13,r_pld_lookup_line,3,FALSE))</f>
        <v>1</v>
      </c>
      <c r="FM13" s="58">
        <f t="shared" ref="FM13:FM26" si="25">IF(i_eff_inputs_based_on_num=2,EO13,VLOOKUP(N13,r_pld_lookup_line,3,FALSE))</f>
        <v>1</v>
      </c>
      <c r="FN13" s="58">
        <f>IF(i_eff_inputs_based_on_num=2,EP13,(INDEX(Lists!$L$51:$L$85,MATCH(O13,Lists!$K$51:$K$85,0))))</f>
        <v>7</v>
      </c>
      <c r="FO13" s="58">
        <f>IF(i_eff_inputs_based_on_num=2,EQ13,(INDEX(Lists!$L$51:$L$85,MATCH(P13,Lists!$K$51:$K$85,0))))</f>
        <v>0</v>
      </c>
      <c r="FP13" s="58">
        <f>IF(i_eff_inputs_based_on_num=2,ER13,(INDEX(Lists!$L$51:$L$85,MATCH(Q13,Lists!$K$51:$K$85,0))))</f>
        <v>0</v>
      </c>
      <c r="FT13" s="58">
        <f t="shared" ref="FT13:FT76" si="26">IF(AND(BZ13="Trial survival analysis",CE13=0),INDEX(List_trials,1),IF(AND(BZ13="Trial survival analysis",CE13=1),INDEX(List_trials,2),IF(AND(BZ13="Trial survival analysis",OR(CE13=2,CC13=4)),INDEX(List_trials,3),0)))</f>
        <v>0</v>
      </c>
      <c r="FW13" s="58">
        <f>IF(i_baseline_risk_from=2,'Effectiveness settings'!EW13,'Effectiveness settings'!FI13)</f>
        <v>0</v>
      </c>
      <c r="FX13" s="58">
        <f t="shared" ref="FX13:FX76" si="27">IF(AND(BT13&gt;1,FW13="FP_NMA",dd_2ndline_NMA="PH_NMA"),"PH_NMA",FW13)</f>
        <v>0</v>
      </c>
      <c r="FY13" s="58">
        <f t="shared" ref="FY13:FY76" si="28">IF(AND(BU13=1,OR(FX13="PH_NMA",FX13="FP_NMA",FX13="Trial survival analysis")),IF(dd_cabo_nivo_outcome_from="FP_NMA",FX13,dd_cabo_nivo_outcome_from),FX13)</f>
        <v>0</v>
      </c>
      <c r="FZ13" s="58">
        <f t="shared" ref="FZ13:FZ76" si="29">IF(AND(dd_eq_eff_pazo_suni="Yes",BX13&lt;4,$BU13=5,BT13&lt;4,FY13&lt;&gt;"Apply HR to"),"Assume equal to",FY13)</f>
        <v>0</v>
      </c>
      <c r="GA13" s="58">
        <f t="shared" ref="GA13:GA76" si="30">IF(AND(dd_eq_eff_tivo_suni="Yes",BX13&lt;4,$BU13=6,BT13=1,FZ13&lt;&gt;"Apply HR to"),"Assume equal to",FZ13)</f>
        <v>0</v>
      </c>
      <c r="GB13" s="58">
        <f t="shared" ref="GB13:GB76" si="31">IF(AND(dd_eq_eff_evero_axi="Yes",BX13&lt;4,$BU13=11,BT13&lt;4,GA13&lt;&gt;"Apply HR to"),"Assume equal to",GA13)</f>
        <v>0</v>
      </c>
      <c r="GC13" s="58">
        <f t="shared" ref="GC13:GC76" si="32">IF(AND(BX13=4,BR13=1),GB13,(IF(AND(OR(GB13="PH_NMA",GB13="FP_NMA"),BU13=3,BR13&lt;&gt;2),dd_pemlen_NMA,GB13)))</f>
        <v>0</v>
      </c>
      <c r="GD13" s="58">
        <f t="shared" ref="GD13:GD76" si="33">IF(AND(BU13=3,dd_pemlen_equal = "Yes"),"Assume equal to",GC13)</f>
        <v>0</v>
      </c>
      <c r="GE13" s="58">
        <f>IF(AND(dd_CheckMate214_TTD="Yes",'Effectiveness settings'!BU13=2,'Effectiveness settings'!BX13=2),"Apply HR to",GD13)</f>
        <v>0</v>
      </c>
      <c r="GF13" s="58">
        <f t="shared" ref="GF13:GF76" si="34">IF(AND(dd_TTD_same_as_PFS="Yes",BX13=2),"Assume equal to", GE13)</f>
        <v>0</v>
      </c>
      <c r="GG13" s="58">
        <f t="shared" ref="GG13:GG76" si="35">IF(AND(dd_nivoipiPFS="TTNT",BR13=1,BT13=1,BU13=2,BX13=1,dd_use_PHnma_for_FPnma="Yes"),"Apply HR to",GF13)</f>
        <v>0</v>
      </c>
      <c r="GH13" s="58">
        <f t="shared" ref="GH13:GH76" si="36">IF(AND(dd_eq_eff_cabo_suni="Yes",$BX13&lt;4,$BU13=8,$BT13=1,$BR13=1,$GG13&lt;&gt;"Apply HR to"),"Assume equal to",GG13)</f>
        <v>0</v>
      </c>
      <c r="GI13" s="58">
        <f t="shared" ref="GI13:GI44" si="37">GH13</f>
        <v>0</v>
      </c>
      <c r="GK13" s="58">
        <f>IF(i_baseline_risk_from=2,'Effectiveness settings'!FA13,'Effectiveness settings'!FM13)</f>
        <v>1</v>
      </c>
      <c r="GL13" s="58">
        <f>IF(i_baseline_risk_from=2,'Effectiveness settings'!FB13,'Effectiveness settings'!FN13)</f>
        <v>7</v>
      </c>
      <c r="GM13" s="58">
        <f>IF(i_baseline_risk_from=2,'Effectiveness settings'!FC13,'Effectiveness settings'!FO13)</f>
        <v>2</v>
      </c>
      <c r="GN13" s="58">
        <f>IF(i_baseline_risk_from=2,'Effectiveness settings'!FD13,'Effectiveness settings'!FP13)</f>
        <v>0</v>
      </c>
      <c r="GQ13" s="58">
        <f t="shared" ref="GQ13:GQ76" si="38">IF(AND(dd_eq_eff_pazo_suni="Yes",BX13&lt;4,$BU13=5,BT13&lt;4,FY13&lt;&gt;"Apply HR to"),7,GL13)</f>
        <v>7</v>
      </c>
      <c r="GR13" s="58">
        <f t="shared" ref="GR13:GR76" si="39">IF(AND(dd_eq_eff_tivo_suni="Yes",BX13&lt;4,$BU13=6,BT13=1,FY13&lt;&gt;"Apply HR to"),7,IF(AND(BX13&lt;4,$BU13=7,BT13&gt;1,FY13&lt;&gt;"Apply HR to"),6,GQ13))</f>
        <v>7</v>
      </c>
      <c r="GS13" s="58">
        <f t="shared" ref="GS13:GS76" si="40">IF(AND(dd_eq_eff_evero_axi="Yes",BX13&lt;4,$BU13=11,BT13&lt;4,FY13&lt;&gt;"Apply HR to"),10,GR13)</f>
        <v>7</v>
      </c>
      <c r="GT13" s="58">
        <f t="shared" ref="GT13:GT76" si="41">IF(AND(BU13=3,dd_pemlen_equal = "Yes"),1,GS13)</f>
        <v>7</v>
      </c>
      <c r="GU13" s="58">
        <f>IF(AND(dd_CheckMate214_TTD="Yes",'Effectiveness settings'!BU13=2,'Effectiveness settings'!BX13=2),2,GT13)</f>
        <v>7</v>
      </c>
      <c r="GV13" s="58">
        <f t="shared" ref="GV13:GV76" si="42">IF(AND(BY13="Time to treatment discontinuation",dd_TTD_same_as_PFS="Yes"),BU13,GU13)</f>
        <v>7</v>
      </c>
      <c r="GW13" s="58">
        <f t="shared" ref="GW13:GW76" si="43">IF(AND(dd_eq_eff_cabo_suni="Yes",$BX13&lt;4,$BU13=8,$BT13=1,$BR13=1,$GG13&lt;&gt;"Apply HR to"),7,GV13)</f>
        <v>7</v>
      </c>
      <c r="GY13" s="58">
        <f>IF(AND(dd_CheckMate214_TTD="Yes",'Effectiveness settings'!BU13=2,'Effectiveness settings'!BX13=2),1,GN13)</f>
        <v>0</v>
      </c>
      <c r="GZ13" s="58">
        <f t="shared" ref="GZ13:GZ76" si="44">IF(AND(dd_TTD_same_as_PFS="Yes",BX13=2),1, GY13)</f>
        <v>0</v>
      </c>
      <c r="HB13" s="58">
        <f t="shared" ref="HB13:HB76" si="45">IF(i_baseline_risk_from=2,EZ13,FL13)</f>
        <v>1</v>
      </c>
      <c r="HD13" s="58">
        <f t="shared" ref="HD13:HD44" si="46">HB13</f>
        <v>1</v>
      </c>
      <c r="HE13" s="58">
        <f t="shared" ref="HE13:HE44" si="47">GK13</f>
        <v>1</v>
      </c>
      <c r="HF13" s="58">
        <f t="shared" ref="HF13:HF44" si="48">GW13</f>
        <v>7</v>
      </c>
      <c r="HG13" s="58">
        <f t="shared" ref="HG13:HG44" si="49">GM13</f>
        <v>2</v>
      </c>
      <c r="HH13" s="58">
        <f t="shared" ref="HH13:HH44" si="50">GZ13</f>
        <v>0</v>
      </c>
    </row>
    <row r="14" spans="2:216" ht="15.75" x14ac:dyDescent="0.25">
      <c r="D14" s="58" t="str">
        <v>cabozantinib_plus_nivolumab</v>
      </c>
      <c r="I14" s="64" t="s">
        <v>74</v>
      </c>
      <c r="J14" s="519" t="s">
        <v>544</v>
      </c>
      <c r="K14" s="524" t="s">
        <v>63</v>
      </c>
      <c r="L14" s="519"/>
      <c r="M14" s="516" t="s">
        <v>545</v>
      </c>
      <c r="N14" s="64" t="s">
        <v>546</v>
      </c>
      <c r="O14" s="64" t="s">
        <v>117</v>
      </c>
      <c r="P14" s="64" t="s">
        <v>547</v>
      </c>
      <c r="Q14" s="519" t="s">
        <v>544</v>
      </c>
      <c r="R14" s="516" t="s">
        <v>548</v>
      </c>
      <c r="S14" s="497"/>
      <c r="T14" s="497"/>
      <c r="U14" s="497"/>
      <c r="Y14" s="517"/>
      <c r="AA14" s="517"/>
      <c r="AF14" s="517"/>
      <c r="AM14" s="517"/>
      <c r="AO14" s="517"/>
      <c r="AT14" s="517"/>
      <c r="AV14" s="511"/>
      <c r="AW14" s="511"/>
      <c r="AX14" s="511"/>
      <c r="BA14" s="517"/>
      <c r="BC14" s="517"/>
      <c r="BH14" s="517"/>
      <c r="BJ14" s="511"/>
      <c r="BK14" s="511"/>
      <c r="BL14" s="511"/>
      <c r="BQ14" s="58">
        <f t="shared" si="0"/>
        <v>2</v>
      </c>
      <c r="BR14" s="17">
        <v>1</v>
      </c>
      <c r="BS14" s="17" t="s">
        <v>549</v>
      </c>
      <c r="BT14" s="17">
        <v>1</v>
      </c>
      <c r="BU14" s="17">
        <v>1</v>
      </c>
      <c r="BV14" s="17" t="str">
        <f t="shared" si="1"/>
        <v>cabozantinib_plus_nivolumab</v>
      </c>
      <c r="BW14" s="1006" t="str" cm="1">
        <f t="array" ref="BW14">IF(I14="No",I14,INDEX(List_incl_anal_1L_PorI,IF(BU14=999,35,BU14+1)))</f>
        <v>Yes</v>
      </c>
      <c r="BX14" s="61">
        <f t="shared" si="2"/>
        <v>0</v>
      </c>
      <c r="BY14" s="531" t="str">
        <f t="shared" ref="BY14:BY26" si="51">J14</f>
        <v>Overall survival</v>
      </c>
      <c r="BZ14" s="530" t="str">
        <f t="shared" si="3"/>
        <v>FP_NMA</v>
      </c>
      <c r="CA14" s="531">
        <f t="shared" ref="CA14:CA26" si="52">FT14</f>
        <v>0</v>
      </c>
      <c r="CB14" s="530">
        <f t="shared" si="4"/>
        <v>1</v>
      </c>
      <c r="CC14" s="530">
        <f t="shared" si="5"/>
        <v>1</v>
      </c>
      <c r="CD14" s="530">
        <f t="shared" si="6"/>
        <v>7</v>
      </c>
      <c r="CE14" s="1295">
        <f t="shared" si="7"/>
        <v>2</v>
      </c>
      <c r="CF14" s="1301">
        <f t="shared" si="8"/>
        <v>0</v>
      </c>
      <c r="CG14" s="530" t="str">
        <f t="shared" si="9"/>
        <v>Exponential</v>
      </c>
      <c r="CH14" s="61">
        <f t="shared" si="10"/>
        <v>0</v>
      </c>
      <c r="CI14" s="61">
        <f t="shared" si="11"/>
        <v>0</v>
      </c>
      <c r="CJ14" s="61">
        <f t="shared" si="12"/>
        <v>0</v>
      </c>
      <c r="CV14" s="940">
        <v>1</v>
      </c>
      <c r="CW14" s="940" t="s">
        <v>549</v>
      </c>
      <c r="CX14" s="940">
        <v>1</v>
      </c>
      <c r="CY14" s="940">
        <v>2</v>
      </c>
      <c r="CZ14" s="940" t="str" cm="1">
        <f t="array" ref="CZ14">INDEX(List_trials,CY14+1)</f>
        <v>Real world evidence</v>
      </c>
      <c r="DA14" s="941" t="s">
        <v>552</v>
      </c>
      <c r="DB14" s="941" t="s">
        <v>553</v>
      </c>
      <c r="DC14" s="941" t="s">
        <v>551</v>
      </c>
      <c r="DD14" s="941" t="s">
        <v>548</v>
      </c>
      <c r="DE14" s="941"/>
      <c r="DF14" s="941" t="s">
        <v>103</v>
      </c>
      <c r="DG14" s="941" t="s">
        <v>117</v>
      </c>
      <c r="DH14" s="58">
        <f>IF(MATCH(DG14,List_comparators,0)-1=13,999,MATCH(DG14,List_comparators,0)-1)</f>
        <v>7</v>
      </c>
      <c r="DK14" s="58" t="str" cm="1">
        <f t="array" ref="DK14">IF(AND($BT14=4,$BX14=4,$BU14=999),$DB$36,_xlfn.IFNA(INDEX(DB$13:DB$70,MATCH(1,($BR14=$CV$13:$CV$70)*($BT14=$CX$13:$CX$70)*($CE14=$CY$13:$CY$70)*($BY14=$DA$13:$DA$70)*($CD14=$DH$13:$DH$70),0)),""))</f>
        <v>Exponential</v>
      </c>
      <c r="DL14" s="58" t="str" cm="1">
        <f t="array" ref="DL14">IF(AND($BT14=4,$BX14=4,$BU14=999),$DC$36,_xlfn.IFNA(INDEX(CHOOSE(DP14,DB$13:DB$70,DC$13:DC$70,DD$13:DD$70,DE$13:DE$70),MATCH(1,($BR14=$CV$13:$CV$70)*($BT14=$CX$13:$CX$70)*($CE14=$CY$13:$CY$70)*($BY14=$DA$13:$DA$70)*($CD14=$DH$13:$DH$70),0)),""))</f>
        <v>Exponential</v>
      </c>
      <c r="DM14" s="740" cm="1">
        <f t="array" ref="DM14">IF(AND($BT14=4,$BX14=4,$BU14=999),$DD$36,_xlfn.IFNA(INDEX(DD$13:DD$68,MATCH(1,($BR14=$CV$13:$CV$68)*($BT14=$CX$13:$CX$68)*($CE14=$CY$13:$CY$68)*($BY14=$DA$13:$DA$68)*($CD14=$DH$13:$DH$68),0)),""))</f>
        <v>0</v>
      </c>
      <c r="DN14" s="740" cm="1">
        <f t="array" ref="DN14">IF(AND($BT14=4,$BX14=4,$BU14=999),$DD$36,_xlfn.IFNA(INDEX(DE$13:DE$68,MATCH(1,($BR14=$CV$13:$CV$68)*($BT14=$CX$13:$CX$68)*($CE14=$CY$13:$CY$68)*($BY14=$DA$13:$DA$68)*($CD14=$DH$13:$DH$68),0)),""))</f>
        <v>0</v>
      </c>
      <c r="DO14" s="58" t="str" cm="1">
        <f t="array" ref="DO14">IF(AND($BT14=4,$BX14=4,$BU14=999),$DF$36,_xlfn.IFNA(INDEX(DF$13:DF$70,MATCH(1,($BR14=$CV$13:$CV$70)*($BT14=$CX$13:$CX$70)*($CE14=$CY$13:$CY$70)*($BY14=$DA$13:$DA$70)*($CD14=$DH$13:$DH$70),0)),""))</f>
        <v>Base case</v>
      </c>
      <c r="DP14" s="58">
        <f t="shared" si="13"/>
        <v>1</v>
      </c>
      <c r="DW14" s="58" t="s">
        <v>74</v>
      </c>
      <c r="DX14" s="58" t="s">
        <v>544</v>
      </c>
      <c r="DY14" s="58" t="s">
        <v>63</v>
      </c>
      <c r="DZ14" s="58">
        <v>0</v>
      </c>
      <c r="EB14" s="58">
        <v>1</v>
      </c>
      <c r="EC14" s="58">
        <v>1</v>
      </c>
      <c r="ED14" s="58">
        <v>7</v>
      </c>
      <c r="EE14" s="58">
        <v>2</v>
      </c>
      <c r="EF14" s="58">
        <v>0</v>
      </c>
      <c r="EI14" s="58" t="s">
        <v>74</v>
      </c>
      <c r="EJ14" s="58" t="s">
        <v>544</v>
      </c>
      <c r="EK14" s="58" t="s">
        <v>63</v>
      </c>
      <c r="EL14" s="58">
        <v>0</v>
      </c>
      <c r="EN14" s="58">
        <v>1</v>
      </c>
      <c r="EO14" s="58">
        <v>1</v>
      </c>
      <c r="EP14" s="58">
        <v>7</v>
      </c>
      <c r="EQ14" s="58">
        <v>0</v>
      </c>
      <c r="ER14" s="58">
        <v>0</v>
      </c>
      <c r="EU14" s="58" t="str">
        <f t="shared" si="14"/>
        <v>Yes</v>
      </c>
      <c r="EV14" s="58" t="str">
        <f t="shared" si="15"/>
        <v>Overall survival</v>
      </c>
      <c r="EW14" s="58" t="str">
        <f t="shared" si="16"/>
        <v>FP_NMA</v>
      </c>
      <c r="EX14" s="58">
        <f t="shared" si="17"/>
        <v>0</v>
      </c>
      <c r="EZ14" s="58">
        <f t="shared" si="18"/>
        <v>1</v>
      </c>
      <c r="FA14" s="58">
        <f t="shared" si="19"/>
        <v>1</v>
      </c>
      <c r="FB14" s="58">
        <f>IF(i_eff_inputs_based_on_num=2,ED14,(INDEX(Lists!$L$51:$L$85,MATCH(O14,Lists!$K$51:$K$85,0))))</f>
        <v>7</v>
      </c>
      <c r="FC14" s="58">
        <f>IF(i_eff_inputs_based_on_num=2,EE14,(INDEX(Lists!$L$51:$L$85,MATCH(P14,Lists!$K$51:$K$85,0))))</f>
        <v>2</v>
      </c>
      <c r="FD14" s="58">
        <f>IF(i_eff_inputs_based_on_num=2,EF14,(INDEX(Lists!$L$51:$L$85,MATCH(Q14,Lists!$K$51:$K$85,0))))</f>
        <v>0</v>
      </c>
      <c r="FG14" s="58" t="str">
        <f t="shared" si="20"/>
        <v>Yes</v>
      </c>
      <c r="FH14" s="58" t="str">
        <f t="shared" si="21"/>
        <v>Overall survival</v>
      </c>
      <c r="FI14" s="58" t="str">
        <f t="shared" si="22"/>
        <v>FP_NMA</v>
      </c>
      <c r="FJ14" s="58">
        <f t="shared" si="23"/>
        <v>0</v>
      </c>
      <c r="FL14" s="58">
        <f t="shared" si="24"/>
        <v>1</v>
      </c>
      <c r="FM14" s="58">
        <f t="shared" si="25"/>
        <v>1</v>
      </c>
      <c r="FN14" s="58">
        <f>IF(i_eff_inputs_based_on_num=2,EP14,(INDEX(Lists!$L$51:$L$85,MATCH(O14,Lists!$K$51:$K$85,0))))</f>
        <v>7</v>
      </c>
      <c r="FO14" s="58">
        <f>IF(i_eff_inputs_based_on_num=2,EQ14,(INDEX(Lists!$L$51:$L$85,MATCH(P14,Lists!$K$51:$K$85,0))))</f>
        <v>0</v>
      </c>
      <c r="FP14" s="58">
        <f>IF(i_eff_inputs_based_on_num=2,ER14,(INDEX(Lists!$L$51:$L$85,MATCH(Q14,Lists!$K$51:$K$85,0))))</f>
        <v>0</v>
      </c>
      <c r="FT14" s="58">
        <f t="shared" si="26"/>
        <v>0</v>
      </c>
      <c r="FW14" s="58" t="str">
        <f>IF(i_baseline_risk_from=2,'Effectiveness settings'!EW14,'Effectiveness settings'!FI14)</f>
        <v>FP_NMA</v>
      </c>
      <c r="FX14" s="58" t="str">
        <f t="shared" si="27"/>
        <v>FP_NMA</v>
      </c>
      <c r="FY14" s="58" t="str">
        <f t="shared" si="28"/>
        <v>FP_NMA</v>
      </c>
      <c r="FZ14" s="58" t="str">
        <f t="shared" si="29"/>
        <v>FP_NMA</v>
      </c>
      <c r="GA14" s="58" t="str">
        <f t="shared" si="30"/>
        <v>FP_NMA</v>
      </c>
      <c r="GB14" s="58" t="str">
        <f t="shared" si="31"/>
        <v>FP_NMA</v>
      </c>
      <c r="GC14" s="58" t="str">
        <f t="shared" si="32"/>
        <v>FP_NMA</v>
      </c>
      <c r="GD14" s="58" t="str">
        <f t="shared" si="33"/>
        <v>FP_NMA</v>
      </c>
      <c r="GE14" s="58" t="str">
        <f>IF(AND(dd_CheckMate214_TTD="Yes",'Effectiveness settings'!BU14=2,'Effectiveness settings'!BX14=2),"Apply HR to",GD14)</f>
        <v>FP_NMA</v>
      </c>
      <c r="GF14" s="58" t="str">
        <f t="shared" si="34"/>
        <v>FP_NMA</v>
      </c>
      <c r="GG14" s="58" t="str">
        <f t="shared" si="35"/>
        <v>FP_NMA</v>
      </c>
      <c r="GH14" s="58" t="str">
        <f t="shared" si="36"/>
        <v>FP_NMA</v>
      </c>
      <c r="GI14" s="58" t="str">
        <f t="shared" si="37"/>
        <v>FP_NMA</v>
      </c>
      <c r="GK14" s="58">
        <f>IF(i_baseline_risk_from=2,'Effectiveness settings'!FA14,'Effectiveness settings'!FM14)</f>
        <v>1</v>
      </c>
      <c r="GL14" s="58">
        <f>IF(i_baseline_risk_from=2,'Effectiveness settings'!FB14,'Effectiveness settings'!FN14)</f>
        <v>7</v>
      </c>
      <c r="GM14" s="58">
        <f>IF(i_baseline_risk_from=2,'Effectiveness settings'!FC14,'Effectiveness settings'!FO14)</f>
        <v>2</v>
      </c>
      <c r="GN14" s="58">
        <f>IF(i_baseline_risk_from=2,'Effectiveness settings'!FD14,'Effectiveness settings'!FP14)</f>
        <v>0</v>
      </c>
      <c r="GQ14" s="58">
        <f t="shared" si="38"/>
        <v>7</v>
      </c>
      <c r="GR14" s="58">
        <f t="shared" si="39"/>
        <v>7</v>
      </c>
      <c r="GS14" s="58">
        <f t="shared" si="40"/>
        <v>7</v>
      </c>
      <c r="GT14" s="58">
        <f t="shared" si="41"/>
        <v>7</v>
      </c>
      <c r="GU14" s="58">
        <f>IF(AND(dd_CheckMate214_TTD="Yes",'Effectiveness settings'!BU14=2,'Effectiveness settings'!BX14=2),2,GT14)</f>
        <v>7</v>
      </c>
      <c r="GV14" s="58">
        <f t="shared" si="42"/>
        <v>7</v>
      </c>
      <c r="GW14" s="58">
        <f t="shared" si="43"/>
        <v>7</v>
      </c>
      <c r="GY14" s="58">
        <f>IF(AND(dd_CheckMate214_TTD="Yes",'Effectiveness settings'!BU14=2,'Effectiveness settings'!BX14=2),1,GN14)</f>
        <v>0</v>
      </c>
      <c r="GZ14" s="58">
        <f t="shared" si="44"/>
        <v>0</v>
      </c>
      <c r="HB14" s="58">
        <f t="shared" si="45"/>
        <v>1</v>
      </c>
      <c r="HD14" s="58">
        <f t="shared" si="46"/>
        <v>1</v>
      </c>
      <c r="HE14" s="58">
        <f t="shared" si="47"/>
        <v>1</v>
      </c>
      <c r="HF14" s="58">
        <f t="shared" si="48"/>
        <v>7</v>
      </c>
      <c r="HG14" s="58">
        <f t="shared" si="49"/>
        <v>2</v>
      </c>
      <c r="HH14" s="58">
        <f t="shared" si="50"/>
        <v>0</v>
      </c>
    </row>
    <row r="15" spans="2:216" ht="15.75" x14ac:dyDescent="0.25">
      <c r="D15" s="58" t="str">
        <v>nivolumab_plus_ipilimumab</v>
      </c>
      <c r="I15" s="64" t="s">
        <v>74</v>
      </c>
      <c r="J15" s="519" t="s">
        <v>544</v>
      </c>
      <c r="K15" s="524" t="s">
        <v>63</v>
      </c>
      <c r="L15" s="519"/>
      <c r="M15" s="516" t="s">
        <v>545</v>
      </c>
      <c r="N15" s="64" t="s">
        <v>546</v>
      </c>
      <c r="O15" s="64" t="s">
        <v>117</v>
      </c>
      <c r="P15" s="64" t="s">
        <v>547</v>
      </c>
      <c r="Q15" s="519" t="s">
        <v>544</v>
      </c>
      <c r="R15" s="516" t="s">
        <v>548</v>
      </c>
      <c r="S15" s="497"/>
      <c r="T15" s="497"/>
      <c r="U15" s="497"/>
      <c r="Y15" s="517"/>
      <c r="AA15" s="517"/>
      <c r="AF15" s="517"/>
      <c r="AM15" s="517"/>
      <c r="AO15" s="517"/>
      <c r="AT15" s="517"/>
      <c r="AV15" s="511"/>
      <c r="AW15" s="511"/>
      <c r="AX15" s="511"/>
      <c r="BA15" s="517"/>
      <c r="BC15" s="517"/>
      <c r="BH15" s="517"/>
      <c r="BJ15" s="511"/>
      <c r="BK15" s="511"/>
      <c r="BL15" s="511"/>
      <c r="BQ15" s="58">
        <f t="shared" si="0"/>
        <v>3</v>
      </c>
      <c r="BR15" s="17">
        <v>1</v>
      </c>
      <c r="BS15" s="17" t="s">
        <v>549</v>
      </c>
      <c r="BT15" s="17">
        <v>1</v>
      </c>
      <c r="BU15" s="17">
        <v>2</v>
      </c>
      <c r="BV15" s="17" t="str">
        <f t="shared" si="1"/>
        <v>nivolumab_plus_ipilimumab</v>
      </c>
      <c r="BW15" s="1006" t="str" cm="1">
        <f t="array" ref="BW15">IF(I15="No",I15,INDEX(List_incl_anal_1L_PorI,IF(BU15=999,35,BU15+1)))</f>
        <v>Yes</v>
      </c>
      <c r="BX15" s="61">
        <f t="shared" si="2"/>
        <v>0</v>
      </c>
      <c r="BY15" s="531" t="str">
        <f t="shared" si="51"/>
        <v>Overall survival</v>
      </c>
      <c r="BZ15" s="530" t="str">
        <f t="shared" si="3"/>
        <v>FP_NMA</v>
      </c>
      <c r="CA15" s="531">
        <f t="shared" si="52"/>
        <v>0</v>
      </c>
      <c r="CB15" s="530">
        <f t="shared" si="4"/>
        <v>1</v>
      </c>
      <c r="CC15" s="530">
        <f t="shared" si="5"/>
        <v>1</v>
      </c>
      <c r="CD15" s="530">
        <f t="shared" si="6"/>
        <v>7</v>
      </c>
      <c r="CE15" s="1295">
        <f t="shared" si="7"/>
        <v>2</v>
      </c>
      <c r="CF15" s="1301">
        <f t="shared" si="8"/>
        <v>0</v>
      </c>
      <c r="CG15" s="530" t="str">
        <f t="shared" si="9"/>
        <v>Exponential</v>
      </c>
      <c r="CH15" s="61">
        <f t="shared" si="10"/>
        <v>0</v>
      </c>
      <c r="CI15" s="61">
        <f t="shared" si="11"/>
        <v>0</v>
      </c>
      <c r="CJ15" s="61">
        <f t="shared" si="12"/>
        <v>0</v>
      </c>
      <c r="CV15" s="940">
        <v>1</v>
      </c>
      <c r="CW15" s="940" t="s">
        <v>549</v>
      </c>
      <c r="CX15" s="940">
        <v>1</v>
      </c>
      <c r="CY15" s="940">
        <v>2</v>
      </c>
      <c r="CZ15" s="940" t="str" cm="1">
        <f t="array" ref="CZ15">INDEX(List_trials,CY15+1)</f>
        <v>Real world evidence</v>
      </c>
      <c r="DA15" s="941" t="s">
        <v>554</v>
      </c>
      <c r="DB15" s="941" t="s">
        <v>553</v>
      </c>
      <c r="DC15" s="941" t="s">
        <v>551</v>
      </c>
      <c r="DD15" s="941"/>
      <c r="DE15" s="941"/>
      <c r="DF15" s="941" t="s">
        <v>103</v>
      </c>
      <c r="DG15" s="941" t="s">
        <v>117</v>
      </c>
      <c r="DH15" s="58">
        <f>IF(MATCH(DG15,List_comparators,0)-1=13,999,MATCH(DG15,List_comparators,0)-1)</f>
        <v>7</v>
      </c>
      <c r="DK15" s="58" t="str" cm="1">
        <f t="array" ref="DK15">IF(AND($BT15=4,$BX15=4,$BU15=999),$DB$36,_xlfn.IFNA(INDEX(DB$13:DB$70,MATCH(1,($BR15=$CV$13:$CV$70)*($BT15=$CX$13:$CX$70)*($CE15=$CY$13:$CY$70)*($BY15=$DA$13:$DA$70)*($CD15=$DH$13:$DH$70),0)),""))</f>
        <v>Exponential</v>
      </c>
      <c r="DL15" s="58" t="str" cm="1">
        <f t="array" ref="DL15">IF(AND($BT15=4,$BX15=4,$BU15=999),$DC$36,_xlfn.IFNA(INDEX(CHOOSE(DP15,DB$13:DB$70,DC$13:DC$70,DD$13:DD$70,DE$13:DE$70),MATCH(1,($BR15=$CV$13:$CV$70)*($BT15=$CX$13:$CX$70)*($CE15=$CY$13:$CY$70)*($BY15=$DA$13:$DA$70)*($CD15=$DH$13:$DH$70),0)),""))</f>
        <v>Exponential</v>
      </c>
      <c r="DM15" s="740" cm="1">
        <f t="array" ref="DM15">IF(AND($BT15=4,$BX15=4,$BU15=999),$DD$36,_xlfn.IFNA(INDEX(DD$13:DD$68,MATCH(1,($BR15=$CV$13:$CV$68)*($BT15=$CX$13:$CX$68)*($CE15=$CY$13:$CY$68)*($BY15=$DA$13:$DA$68)*($CD15=$DH$13:$DH$68),0)),""))</f>
        <v>0</v>
      </c>
      <c r="DN15" s="740" cm="1">
        <f t="array" ref="DN15">IF(AND($BT15=4,$BX15=4,$BU15=999),$DD$36,_xlfn.IFNA(INDEX(DE$13:DE$68,MATCH(1,($BR15=$CV$13:$CV$68)*($BT15=$CX$13:$CX$68)*($CE15=$CY$13:$CY$68)*($BY15=$DA$13:$DA$68)*($CD15=$DH$13:$DH$68),0)),""))</f>
        <v>0</v>
      </c>
      <c r="DO15" s="58" t="str" cm="1">
        <f t="array" ref="DO15">IF(AND($BT15=4,$BX15=4,$BU15=999),$DF$36,_xlfn.IFNA(INDEX(DF$13:DF$70,MATCH(1,($BR15=$CV$13:$CV$70)*($BT15=$CX$13:$CX$70)*($CE15=$CY$13:$CY$70)*($BY15=$DA$13:$DA$70)*($CD15=$DH$13:$DH$70),0)),""))</f>
        <v>Base case</v>
      </c>
      <c r="DP15" s="58">
        <f t="shared" si="13"/>
        <v>1</v>
      </c>
      <c r="DW15" s="58" t="s">
        <v>74</v>
      </c>
      <c r="DX15" s="58" t="s">
        <v>544</v>
      </c>
      <c r="DY15" s="58" t="s">
        <v>63</v>
      </c>
      <c r="DZ15" s="58">
        <v>0</v>
      </c>
      <c r="EB15" s="58">
        <v>1</v>
      </c>
      <c r="EC15" s="58">
        <v>1</v>
      </c>
      <c r="ED15" s="58">
        <v>7</v>
      </c>
      <c r="EE15" s="58">
        <v>2</v>
      </c>
      <c r="EF15" s="58">
        <v>0</v>
      </c>
      <c r="EI15" s="58" t="s">
        <v>74</v>
      </c>
      <c r="EJ15" s="58" t="s">
        <v>544</v>
      </c>
      <c r="EK15" s="58" t="s">
        <v>63</v>
      </c>
      <c r="EL15" s="58">
        <v>0</v>
      </c>
      <c r="EN15" s="58">
        <v>1</v>
      </c>
      <c r="EO15" s="58">
        <v>1</v>
      </c>
      <c r="EP15" s="58">
        <v>7</v>
      </c>
      <c r="EQ15" s="58">
        <v>0</v>
      </c>
      <c r="ER15" s="58">
        <v>0</v>
      </c>
      <c r="EU15" s="58" t="str">
        <f t="shared" si="14"/>
        <v>Yes</v>
      </c>
      <c r="EV15" s="58" t="str">
        <f t="shared" si="15"/>
        <v>Overall survival</v>
      </c>
      <c r="EW15" s="58" t="str">
        <f t="shared" si="16"/>
        <v>FP_NMA</v>
      </c>
      <c r="EX15" s="58">
        <f t="shared" si="17"/>
        <v>0</v>
      </c>
      <c r="EZ15" s="58">
        <f t="shared" si="18"/>
        <v>1</v>
      </c>
      <c r="FA15" s="58">
        <f t="shared" si="19"/>
        <v>1</v>
      </c>
      <c r="FB15" s="58">
        <f>IF(i_eff_inputs_based_on_num=2,ED15,(INDEX(Lists!$L$51:$L$85,MATCH(O15,Lists!$K$51:$K$85,0))))</f>
        <v>7</v>
      </c>
      <c r="FC15" s="58">
        <f>IF(i_eff_inputs_based_on_num=2,EE15,(INDEX(Lists!$L$51:$L$85,MATCH(P15,Lists!$K$51:$K$85,0))))</f>
        <v>2</v>
      </c>
      <c r="FD15" s="58">
        <f>IF(i_eff_inputs_based_on_num=2,EF15,(INDEX(Lists!$L$51:$L$85,MATCH(Q15,Lists!$K$51:$K$85,0))))</f>
        <v>0</v>
      </c>
      <c r="FG15" s="58" t="str">
        <f t="shared" si="20"/>
        <v>Yes</v>
      </c>
      <c r="FH15" s="58" t="str">
        <f t="shared" si="21"/>
        <v>Overall survival</v>
      </c>
      <c r="FI15" s="58" t="str">
        <f t="shared" si="22"/>
        <v>FP_NMA</v>
      </c>
      <c r="FJ15" s="58">
        <f t="shared" si="23"/>
        <v>0</v>
      </c>
      <c r="FL15" s="58">
        <f t="shared" si="24"/>
        <v>1</v>
      </c>
      <c r="FM15" s="58">
        <f t="shared" si="25"/>
        <v>1</v>
      </c>
      <c r="FN15" s="58">
        <f>IF(i_eff_inputs_based_on_num=2,EP15,(INDEX(Lists!$L$51:$L$85,MATCH(O15,Lists!$K$51:$K$85,0))))</f>
        <v>7</v>
      </c>
      <c r="FO15" s="58">
        <f>IF(i_eff_inputs_based_on_num=2,EQ15,(INDEX(Lists!$L$51:$L$85,MATCH(P15,Lists!$K$51:$K$85,0))))</f>
        <v>0</v>
      </c>
      <c r="FP15" s="58">
        <f>IF(i_eff_inputs_based_on_num=2,ER15,(INDEX(Lists!$L$51:$L$85,MATCH(Q15,Lists!$K$51:$K$85,0))))</f>
        <v>0</v>
      </c>
      <c r="FT15" s="58">
        <f t="shared" si="26"/>
        <v>0</v>
      </c>
      <c r="FW15" s="58" t="str">
        <f>IF(i_baseline_risk_from=2,'Effectiveness settings'!EW15,'Effectiveness settings'!FI15)</f>
        <v>FP_NMA</v>
      </c>
      <c r="FX15" s="58" t="str">
        <f t="shared" si="27"/>
        <v>FP_NMA</v>
      </c>
      <c r="FY15" s="58" t="str">
        <f t="shared" si="28"/>
        <v>FP_NMA</v>
      </c>
      <c r="FZ15" s="58" t="str">
        <f t="shared" si="29"/>
        <v>FP_NMA</v>
      </c>
      <c r="GA15" s="58" t="str">
        <f t="shared" si="30"/>
        <v>FP_NMA</v>
      </c>
      <c r="GB15" s="58" t="str">
        <f t="shared" si="31"/>
        <v>FP_NMA</v>
      </c>
      <c r="GC15" s="58" t="str">
        <f t="shared" si="32"/>
        <v>FP_NMA</v>
      </c>
      <c r="GD15" s="58" t="str">
        <f t="shared" si="33"/>
        <v>FP_NMA</v>
      </c>
      <c r="GE15" s="58" t="str">
        <f>IF(AND(dd_CheckMate214_TTD="Yes",'Effectiveness settings'!BU15=2,'Effectiveness settings'!BX15=2),"Apply HR to",GD15)</f>
        <v>FP_NMA</v>
      </c>
      <c r="GF15" s="58" t="str">
        <f t="shared" si="34"/>
        <v>FP_NMA</v>
      </c>
      <c r="GG15" s="58" t="str">
        <f t="shared" si="35"/>
        <v>FP_NMA</v>
      </c>
      <c r="GH15" s="58" t="str">
        <f t="shared" si="36"/>
        <v>FP_NMA</v>
      </c>
      <c r="GI15" s="58" t="str">
        <f t="shared" si="37"/>
        <v>FP_NMA</v>
      </c>
      <c r="GK15" s="58">
        <f>IF(i_baseline_risk_from=2,'Effectiveness settings'!FA15,'Effectiveness settings'!FM15)</f>
        <v>1</v>
      </c>
      <c r="GL15" s="58">
        <f>IF(i_baseline_risk_from=2,'Effectiveness settings'!FB15,'Effectiveness settings'!FN15)</f>
        <v>7</v>
      </c>
      <c r="GM15" s="58">
        <f>IF(i_baseline_risk_from=2,'Effectiveness settings'!FC15,'Effectiveness settings'!FO15)</f>
        <v>2</v>
      </c>
      <c r="GN15" s="58">
        <f>IF(i_baseline_risk_from=2,'Effectiveness settings'!FD15,'Effectiveness settings'!FP15)</f>
        <v>0</v>
      </c>
      <c r="GQ15" s="58">
        <f t="shared" si="38"/>
        <v>7</v>
      </c>
      <c r="GR15" s="58">
        <f t="shared" si="39"/>
        <v>7</v>
      </c>
      <c r="GS15" s="58">
        <f t="shared" si="40"/>
        <v>7</v>
      </c>
      <c r="GT15" s="58">
        <f t="shared" si="41"/>
        <v>7</v>
      </c>
      <c r="GU15" s="58">
        <f>IF(AND(dd_CheckMate214_TTD="Yes",'Effectiveness settings'!BU15=2,'Effectiveness settings'!BX15=2),2,GT15)</f>
        <v>7</v>
      </c>
      <c r="GV15" s="58">
        <f t="shared" si="42"/>
        <v>7</v>
      </c>
      <c r="GW15" s="58">
        <f t="shared" si="43"/>
        <v>7</v>
      </c>
      <c r="GY15" s="58">
        <f>IF(AND(dd_CheckMate214_TTD="Yes",'Effectiveness settings'!BU15=2,'Effectiveness settings'!BX15=2),1,GN15)</f>
        <v>0</v>
      </c>
      <c r="GZ15" s="58">
        <f t="shared" si="44"/>
        <v>0</v>
      </c>
      <c r="HB15" s="58">
        <f t="shared" si="45"/>
        <v>1</v>
      </c>
      <c r="HD15" s="58">
        <f t="shared" si="46"/>
        <v>1</v>
      </c>
      <c r="HE15" s="58">
        <f t="shared" si="47"/>
        <v>1</v>
      </c>
      <c r="HF15" s="58">
        <f t="shared" si="48"/>
        <v>7</v>
      </c>
      <c r="HG15" s="58">
        <f t="shared" si="49"/>
        <v>2</v>
      </c>
      <c r="HH15" s="58">
        <f t="shared" si="50"/>
        <v>0</v>
      </c>
    </row>
    <row r="16" spans="2:216" ht="15.75" x14ac:dyDescent="0.25">
      <c r="D16" s="58" t="str">
        <v>lenvatinib_plus_pembrolizumab</v>
      </c>
      <c r="I16" s="64" t="s">
        <v>74</v>
      </c>
      <c r="J16" s="519" t="s">
        <v>544</v>
      </c>
      <c r="K16" s="524" t="s">
        <v>578</v>
      </c>
      <c r="L16" s="519"/>
      <c r="M16" s="516" t="s">
        <v>545</v>
      </c>
      <c r="N16" s="64" t="s">
        <v>546</v>
      </c>
      <c r="O16" s="64" t="s">
        <v>571</v>
      </c>
      <c r="P16" s="64" t="s">
        <v>547</v>
      </c>
      <c r="Q16" s="519" t="s">
        <v>544</v>
      </c>
      <c r="R16" s="516" t="s">
        <v>548</v>
      </c>
      <c r="S16" s="1459">
        <v>1.1339999999999999</v>
      </c>
      <c r="T16" s="1459">
        <v>0.8</v>
      </c>
      <c r="U16" s="1459">
        <v>1.619</v>
      </c>
      <c r="Y16" s="517"/>
      <c r="AA16" s="517"/>
      <c r="AF16" s="517"/>
      <c r="AM16" s="517"/>
      <c r="AO16" s="517"/>
      <c r="AT16" s="517"/>
      <c r="AV16" s="511"/>
      <c r="AW16" s="511"/>
      <c r="AX16" s="511"/>
      <c r="BA16" s="517"/>
      <c r="BC16" s="517"/>
      <c r="BH16" s="517"/>
      <c r="BJ16" s="511"/>
      <c r="BK16" s="511"/>
      <c r="BL16" s="511"/>
      <c r="BQ16" s="58">
        <f t="shared" si="0"/>
        <v>4</v>
      </c>
      <c r="BR16" s="17">
        <v>1</v>
      </c>
      <c r="BS16" s="17" t="s">
        <v>549</v>
      </c>
      <c r="BT16" s="17">
        <v>1</v>
      </c>
      <c r="BU16" s="17">
        <v>3</v>
      </c>
      <c r="BV16" s="17" t="str">
        <f t="shared" si="1"/>
        <v>lenvatinib_plus_pembrolizumab</v>
      </c>
      <c r="BW16" s="1006" t="str" cm="1">
        <f t="array" ref="BW16">IF(I16="No",I16,INDEX(List_incl_anal_1L_PorI,IF(BU16=999,35,BU16+1)))</f>
        <v>Yes</v>
      </c>
      <c r="BX16" s="61">
        <f t="shared" si="2"/>
        <v>0</v>
      </c>
      <c r="BY16" s="531" t="str">
        <f t="shared" si="51"/>
        <v>Overall survival</v>
      </c>
      <c r="BZ16" s="530" t="str">
        <f t="shared" si="3"/>
        <v>Apply HR to</v>
      </c>
      <c r="CA16" s="531">
        <f t="shared" si="52"/>
        <v>0</v>
      </c>
      <c r="CB16" s="530">
        <f t="shared" si="4"/>
        <v>1</v>
      </c>
      <c r="CC16" s="530">
        <f t="shared" si="5"/>
        <v>1</v>
      </c>
      <c r="CD16" s="530">
        <f t="shared" si="6"/>
        <v>1</v>
      </c>
      <c r="CE16" s="1295">
        <f t="shared" si="7"/>
        <v>2</v>
      </c>
      <c r="CF16" s="1301">
        <f t="shared" si="8"/>
        <v>0</v>
      </c>
      <c r="CG16" s="530" t="str">
        <f>IF(i_surv_cur=1,DK16,DL16)</f>
        <v/>
      </c>
      <c r="CH16" s="1376">
        <f t="shared" ref="CH16:CJ17" si="53">S16</f>
        <v>1.1339999999999999</v>
      </c>
      <c r="CI16" s="1376">
        <f t="shared" si="53"/>
        <v>0.8</v>
      </c>
      <c r="CJ16" s="1376">
        <f t="shared" si="53"/>
        <v>1.619</v>
      </c>
      <c r="CV16" s="940">
        <v>1</v>
      </c>
      <c r="CW16" s="940" t="s">
        <v>549</v>
      </c>
      <c r="CX16" s="940">
        <v>1</v>
      </c>
      <c r="CY16" s="940">
        <v>2</v>
      </c>
      <c r="CZ16" s="940" t="str" cm="1">
        <f t="array" ref="CZ16">INDEX(List_trials,CY16+1)</f>
        <v>Real world evidence</v>
      </c>
      <c r="DA16" s="941" t="s">
        <v>555</v>
      </c>
      <c r="DB16" s="941" t="s">
        <v>553</v>
      </c>
      <c r="DC16" s="941" t="s">
        <v>551</v>
      </c>
      <c r="DD16" s="941"/>
      <c r="DE16" s="941"/>
      <c r="DF16" s="941" t="s">
        <v>103</v>
      </c>
      <c r="DG16" s="941" t="s">
        <v>117</v>
      </c>
      <c r="DH16" s="58">
        <f>IF(MATCH(DG16,List_comparators,0)-1=13,999,MATCH(DG16,List_comparators,0)-1)</f>
        <v>7</v>
      </c>
      <c r="DK16" s="58" t="str" cm="1">
        <f t="array" ref="DK16">IF(AND($BT16=4,$BX16=4,$BU16=999),$DB$36,_xlfn.IFNA(INDEX(DB$13:DB$70,MATCH(1,($BR16=$CV$13:$CV$70)*($BT16=$CX$13:$CX$70)*($CE16=$CY$13:$CY$70)*($BY16=$DA$13:$DA$70)*($CD16=$DH$13:$DH$70),0)),""))</f>
        <v/>
      </c>
      <c r="DL16" s="58" t="str" cm="1">
        <f t="array" ref="DL16">IF(AND($BT16=4,$BX16=4,$BU16=999),$DC$36,_xlfn.IFNA(INDEX(CHOOSE(DP16,DB$13:DB$70,DC$13:DC$70,DD$13:DD$70,DE$13:DE$70),MATCH(1,($BR16=$CV$13:$CV$70)*($BT16=$CX$13:$CX$70)*($CE16=$CY$13:$CY$70)*($BY16=$DA$13:$DA$70)*($CD16=$DH$13:$DH$70),0)),""))</f>
        <v/>
      </c>
      <c r="DM16" s="740" t="str" cm="1">
        <f t="array" ref="DM16">IF(AND($BT16=4,$BX16=4,$BU16=999),$DD$36,_xlfn.IFNA(INDEX(DD$13:DD$68,MATCH(1,($BR16=$CV$13:$CV$68)*($BT16=$CX$13:$CX$68)*($CE16=$CY$13:$CY$68)*($BY16=$DA$13:$DA$68)*($CD16=$DH$13:$DH$68),0)),""))</f>
        <v/>
      </c>
      <c r="DN16" s="740" t="str" cm="1">
        <f t="array" ref="DN16">IF(AND($BT16=4,$BX16=4,$BU16=999),$DD$36,_xlfn.IFNA(INDEX(DE$13:DE$68,MATCH(1,($BR16=$CV$13:$CV$68)*($BT16=$CX$13:$CX$68)*($CE16=$CY$13:$CY$68)*($BY16=$DA$13:$DA$68)*($CD16=$DH$13:$DH$68),0)),""))</f>
        <v/>
      </c>
      <c r="DO16" s="58" t="str" cm="1">
        <f t="array" ref="DO16">IF(AND($BT16=4,$BX16=4,$BU16=999),$DF$36,_xlfn.IFNA(INDEX(DF$13:DF$70,MATCH(1,($BR16=$CV$13:$CV$70)*($BT16=$CX$13:$CX$70)*($CE16=$CY$13:$CY$70)*($BY16=$DA$13:$DA$70)*($CD16=$DH$13:$DH$70),0)),""))</f>
        <v/>
      </c>
      <c r="DP16" s="58" t="e">
        <f>MATCH(DO16,List_surv_cur_ext,0)</f>
        <v>#N/A</v>
      </c>
      <c r="DW16" s="58" t="s">
        <v>74</v>
      </c>
      <c r="DX16" s="58" t="s">
        <v>544</v>
      </c>
      <c r="DY16" s="58" t="str">
        <f>IF(i_set_HR_pem_len=1,"Apply HR to","PH_NMA")</f>
        <v>Apply HR to</v>
      </c>
      <c r="DZ16" s="58">
        <v>0</v>
      </c>
      <c r="EB16" s="58">
        <v>1</v>
      </c>
      <c r="EC16" s="58">
        <v>1</v>
      </c>
      <c r="ED16" s="58">
        <f>IF(AND(i_set_HR_pem_len=1,EF16=0),1,7)</f>
        <v>1</v>
      </c>
      <c r="EE16" s="58">
        <v>2</v>
      </c>
      <c r="EF16" s="58">
        <v>0</v>
      </c>
      <c r="EI16" s="58" t="s">
        <v>74</v>
      </c>
      <c r="EJ16" s="58" t="s">
        <v>544</v>
      </c>
      <c r="EK16" s="58" t="s">
        <v>67</v>
      </c>
      <c r="EL16" s="58">
        <v>0</v>
      </c>
      <c r="EN16" s="58">
        <v>1</v>
      </c>
      <c r="EO16" s="58">
        <v>1</v>
      </c>
      <c r="EP16" s="58">
        <v>7</v>
      </c>
      <c r="EQ16" s="58">
        <v>0</v>
      </c>
      <c r="ER16" s="58">
        <v>0</v>
      </c>
      <c r="EU16" s="58" t="str">
        <f t="shared" si="14"/>
        <v>Yes</v>
      </c>
      <c r="EV16" s="58" t="str">
        <f t="shared" si="15"/>
        <v>Overall survival</v>
      </c>
      <c r="EW16" s="58" t="str">
        <f t="shared" si="16"/>
        <v>Apply HR to</v>
      </c>
      <c r="EX16" s="58">
        <f t="shared" si="17"/>
        <v>0</v>
      </c>
      <c r="EZ16" s="58">
        <f t="shared" si="18"/>
        <v>1</v>
      </c>
      <c r="FA16" s="58">
        <f t="shared" si="19"/>
        <v>1</v>
      </c>
      <c r="FB16" s="58">
        <f>IF(i_eff_inputs_based_on_num=2,ED16,(INDEX(Lists!$L$51:$L$85,MATCH(O16,Lists!$K$51:$K$85,0))))</f>
        <v>1</v>
      </c>
      <c r="FC16" s="58">
        <f>IF(i_eff_inputs_based_on_num=2,EE16,(INDEX(Lists!$L$51:$L$85,MATCH(P16,Lists!$K$51:$K$85,0))))</f>
        <v>2</v>
      </c>
      <c r="FD16" s="58">
        <f>IF(i_eff_inputs_based_on_num=2,EF16,(INDEX(Lists!$L$51:$L$85,MATCH(Q16,Lists!$K$51:$K$85,0))))</f>
        <v>0</v>
      </c>
      <c r="FG16" s="58" t="str">
        <f t="shared" si="20"/>
        <v>Yes</v>
      </c>
      <c r="FH16" s="58" t="str">
        <f t="shared" si="21"/>
        <v>Overall survival</v>
      </c>
      <c r="FI16" s="58" t="str">
        <f t="shared" si="22"/>
        <v>PH_NMA</v>
      </c>
      <c r="FJ16" s="58">
        <f t="shared" si="23"/>
        <v>0</v>
      </c>
      <c r="FL16" s="58">
        <f t="shared" si="24"/>
        <v>1</v>
      </c>
      <c r="FM16" s="58">
        <f t="shared" si="25"/>
        <v>1</v>
      </c>
      <c r="FN16" s="58">
        <f>IF(i_eff_inputs_based_on_num=2,EP16,(INDEX(Lists!$L$51:$L$85,MATCH(O16,Lists!$K$51:$K$85,0))))</f>
        <v>7</v>
      </c>
      <c r="FO16" s="58">
        <f>IF(i_eff_inputs_based_on_num=2,EQ16,(INDEX(Lists!$L$51:$L$85,MATCH(P16,Lists!$K$51:$K$85,0))))</f>
        <v>0</v>
      </c>
      <c r="FP16" s="58">
        <f>IF(i_eff_inputs_based_on_num=2,ER16,(INDEX(Lists!$L$51:$L$85,MATCH(Q16,Lists!$K$51:$K$85,0))))</f>
        <v>0</v>
      </c>
      <c r="FT16" s="58">
        <f t="shared" si="26"/>
        <v>0</v>
      </c>
      <c r="FW16" s="58" t="str">
        <f>IF(i_baseline_risk_from=2,'Effectiveness settings'!EW16,'Effectiveness settings'!FI16)</f>
        <v>Apply HR to</v>
      </c>
      <c r="FX16" s="58" t="str">
        <f t="shared" si="27"/>
        <v>Apply HR to</v>
      </c>
      <c r="FY16" s="58" t="str">
        <f t="shared" si="28"/>
        <v>Apply HR to</v>
      </c>
      <c r="FZ16" s="58" t="str">
        <f t="shared" si="29"/>
        <v>Apply HR to</v>
      </c>
      <c r="GA16" s="58" t="str">
        <f t="shared" si="30"/>
        <v>Apply HR to</v>
      </c>
      <c r="GB16" s="58" t="str">
        <f t="shared" si="31"/>
        <v>Apply HR to</v>
      </c>
      <c r="GC16" s="58" t="str">
        <f t="shared" si="32"/>
        <v>Apply HR to</v>
      </c>
      <c r="GD16" s="58" t="str">
        <f t="shared" si="33"/>
        <v>Apply HR to</v>
      </c>
      <c r="GE16" s="58" t="str">
        <f>IF(AND(dd_CheckMate214_TTD="Yes",'Effectiveness settings'!BU16=2,'Effectiveness settings'!BX16=2),"Apply HR to",GD16)</f>
        <v>Apply HR to</v>
      </c>
      <c r="GF16" s="58" t="str">
        <f t="shared" si="34"/>
        <v>Apply HR to</v>
      </c>
      <c r="GG16" s="58" t="str">
        <f t="shared" si="35"/>
        <v>Apply HR to</v>
      </c>
      <c r="GH16" s="58" t="str">
        <f t="shared" si="36"/>
        <v>Apply HR to</v>
      </c>
      <c r="GI16" s="58" t="str">
        <f t="shared" si="37"/>
        <v>Apply HR to</v>
      </c>
      <c r="GK16" s="58">
        <f>IF(i_baseline_risk_from=2,'Effectiveness settings'!FA16,'Effectiveness settings'!FM16)</f>
        <v>1</v>
      </c>
      <c r="GL16" s="58">
        <f>IF(i_baseline_risk_from=2,'Effectiveness settings'!FB16,'Effectiveness settings'!FN16)</f>
        <v>1</v>
      </c>
      <c r="GM16" s="58">
        <f>IF(i_baseline_risk_from=2,'Effectiveness settings'!FC16,'Effectiveness settings'!FO16)</f>
        <v>2</v>
      </c>
      <c r="GN16" s="58">
        <f>IF(i_baseline_risk_from=2,'Effectiveness settings'!FD16,'Effectiveness settings'!FP16)</f>
        <v>0</v>
      </c>
      <c r="GQ16" s="58">
        <f t="shared" si="38"/>
        <v>1</v>
      </c>
      <c r="GR16" s="58">
        <f t="shared" si="39"/>
        <v>1</v>
      </c>
      <c r="GS16" s="58">
        <f t="shared" si="40"/>
        <v>1</v>
      </c>
      <c r="GT16" s="58">
        <f t="shared" si="41"/>
        <v>1</v>
      </c>
      <c r="GU16" s="58">
        <f>IF(AND(dd_CheckMate214_TTD="Yes",'Effectiveness settings'!BU16=2,'Effectiveness settings'!BX16=2),2,GT16)</f>
        <v>1</v>
      </c>
      <c r="GV16" s="58">
        <f t="shared" si="42"/>
        <v>1</v>
      </c>
      <c r="GW16" s="58">
        <f t="shared" si="43"/>
        <v>1</v>
      </c>
      <c r="GY16" s="58">
        <f>IF(AND(dd_CheckMate214_TTD="Yes",'Effectiveness settings'!BU16=2,'Effectiveness settings'!BX16=2),1,GN16)</f>
        <v>0</v>
      </c>
      <c r="GZ16" s="58">
        <f t="shared" si="44"/>
        <v>0</v>
      </c>
      <c r="HB16" s="58">
        <f t="shared" si="45"/>
        <v>1</v>
      </c>
      <c r="HD16" s="58">
        <f t="shared" si="46"/>
        <v>1</v>
      </c>
      <c r="HE16" s="58">
        <f t="shared" si="47"/>
        <v>1</v>
      </c>
      <c r="HF16" s="58">
        <f t="shared" si="48"/>
        <v>1</v>
      </c>
      <c r="HG16" s="58">
        <f t="shared" si="49"/>
        <v>2</v>
      </c>
      <c r="HH16" s="58">
        <f t="shared" si="50"/>
        <v>0</v>
      </c>
    </row>
    <row r="17" spans="1:216" ht="16.5" thickBot="1" x14ac:dyDescent="0.3">
      <c r="A17" s="58" t="s">
        <v>556</v>
      </c>
      <c r="D17" s="58" t="str">
        <v>avelumab_plus_axitinib</v>
      </c>
      <c r="I17" s="739" t="str">
        <f>dd_incl_ave_plus_axi</f>
        <v>No</v>
      </c>
      <c r="J17" s="519" t="s">
        <v>544</v>
      </c>
      <c r="K17" s="524" t="s">
        <v>67</v>
      </c>
      <c r="L17" s="519"/>
      <c r="M17" s="516" t="s">
        <v>545</v>
      </c>
      <c r="N17" s="64" t="s">
        <v>546</v>
      </c>
      <c r="O17" s="64" t="s">
        <v>117</v>
      </c>
      <c r="P17" s="64" t="s">
        <v>547</v>
      </c>
      <c r="Q17" s="519" t="s">
        <v>544</v>
      </c>
      <c r="R17" s="516" t="s">
        <v>548</v>
      </c>
      <c r="S17" s="497"/>
      <c r="T17" s="497"/>
      <c r="U17" s="497"/>
      <c r="Y17" s="517"/>
      <c r="AA17" s="517"/>
      <c r="AF17" s="517"/>
      <c r="AM17" s="517"/>
      <c r="AO17" s="517"/>
      <c r="AT17" s="517"/>
      <c r="AV17" s="511"/>
      <c r="AW17" s="511"/>
      <c r="AX17" s="511"/>
      <c r="BA17" s="517"/>
      <c r="BC17" s="517"/>
      <c r="BH17" s="517"/>
      <c r="BJ17" s="511"/>
      <c r="BK17" s="511"/>
      <c r="BL17" s="511"/>
      <c r="BQ17" s="58">
        <f t="shared" si="0"/>
        <v>5</v>
      </c>
      <c r="BR17" s="17">
        <v>1</v>
      </c>
      <c r="BS17" s="17" t="s">
        <v>549</v>
      </c>
      <c r="BT17" s="17">
        <v>1</v>
      </c>
      <c r="BU17" s="17">
        <v>4</v>
      </c>
      <c r="BV17" s="17" t="str">
        <f t="shared" si="1"/>
        <v>avelumab_plus_axitinib</v>
      </c>
      <c r="BW17" s="1006" t="str" cm="1">
        <f t="array" ref="BW17">IF(I17="No",I17,INDEX(List_incl_anal_1L_PorI,IF(BU17=999,35,BU17+1)))</f>
        <v>No</v>
      </c>
      <c r="BX17" s="61">
        <f t="shared" si="2"/>
        <v>0</v>
      </c>
      <c r="BY17" s="531" t="str">
        <f t="shared" si="51"/>
        <v>Overall survival</v>
      </c>
      <c r="BZ17" s="530" t="str">
        <f t="shared" si="3"/>
        <v>PH_NMA</v>
      </c>
      <c r="CA17" s="531">
        <f t="shared" si="52"/>
        <v>0</v>
      </c>
      <c r="CB17" s="530">
        <f t="shared" si="4"/>
        <v>1</v>
      </c>
      <c r="CC17" s="530">
        <f t="shared" si="5"/>
        <v>1</v>
      </c>
      <c r="CD17" s="530">
        <f t="shared" si="6"/>
        <v>7</v>
      </c>
      <c r="CE17" s="1295">
        <f t="shared" si="7"/>
        <v>2</v>
      </c>
      <c r="CF17" s="1301">
        <f t="shared" si="8"/>
        <v>0</v>
      </c>
      <c r="CG17" s="530" t="str">
        <f t="shared" si="9"/>
        <v>Exponential</v>
      </c>
      <c r="CH17" s="61">
        <f t="shared" si="53"/>
        <v>0</v>
      </c>
      <c r="CI17" s="61">
        <f t="shared" si="53"/>
        <v>0</v>
      </c>
      <c r="CJ17" s="61">
        <f t="shared" si="53"/>
        <v>0</v>
      </c>
      <c r="CV17" s="943">
        <v>1</v>
      </c>
      <c r="CW17" s="943" t="s">
        <v>549</v>
      </c>
      <c r="CX17" s="943">
        <v>1</v>
      </c>
      <c r="CY17" s="943">
        <v>2</v>
      </c>
      <c r="CZ17" s="943" t="str" cm="1">
        <f t="array" ref="CZ17">INDEX(List_trials,CY17+1)</f>
        <v>Real world evidence</v>
      </c>
      <c r="DA17" s="944" t="s">
        <v>557</v>
      </c>
      <c r="DB17" s="944" t="s">
        <v>550</v>
      </c>
      <c r="DC17" s="944" t="s">
        <v>548</v>
      </c>
      <c r="DD17" s="944"/>
      <c r="DE17" s="944"/>
      <c r="DF17" s="944" t="s">
        <v>103</v>
      </c>
      <c r="DG17" s="944" t="s">
        <v>117</v>
      </c>
      <c r="DH17" s="945">
        <f>IF(MATCH(DG17,List_comparators,0)-1=13,999,MATCH(DG17,List_comparators,0)-1)</f>
        <v>7</v>
      </c>
      <c r="DK17" s="58" t="str" cm="1">
        <f t="array" ref="DK17">IF(AND($BT17=4,$BX17=4,$BU17=999),$DB$36,_xlfn.IFNA(INDEX(DB$13:DB$70,MATCH(1,($BR17=$CV$13:$CV$70)*($BT17=$CX$13:$CX$70)*($CE17=$CY$13:$CY$70)*($BY17=$DA$13:$DA$70)*($CD17=$DH$13:$DH$70),0)),""))</f>
        <v>Exponential</v>
      </c>
      <c r="DL17" s="58" t="str" cm="1">
        <f t="array" ref="DL17">IF(AND($BT17=4,$BX17=4,$BU17=999),$DC$36,_xlfn.IFNA(INDEX(CHOOSE(DP17,DB$13:DB$70,DC$13:DC$70,DD$13:DD$70,DE$13:DE$70),MATCH(1,($BR17=$CV$13:$CV$70)*($BT17=$CX$13:$CX$70)*($CE17=$CY$13:$CY$70)*($BY17=$DA$13:$DA$70)*($CD17=$DH$13:$DH$70),0)),""))</f>
        <v>Exponential</v>
      </c>
      <c r="DM17" s="740" cm="1">
        <f t="array" ref="DM17">IF(AND($BT17=4,$BX17=4,$BU17=999),$DD$36,_xlfn.IFNA(INDEX(DD$13:DD$68,MATCH(1,($BR17=$CV$13:$CV$68)*($BT17=$CX$13:$CX$68)*($CE17=$CY$13:$CY$68)*($BY17=$DA$13:$DA$68)*($CD17=$DH$13:$DH$68),0)),""))</f>
        <v>0</v>
      </c>
      <c r="DN17" s="740" cm="1">
        <f t="array" ref="DN17">IF(AND($BT17=4,$BX17=4,$BU17=999),$DD$36,_xlfn.IFNA(INDEX(DE$13:DE$68,MATCH(1,($BR17=$CV$13:$CV$68)*($BT17=$CX$13:$CX$68)*($CE17=$CY$13:$CY$68)*($BY17=$DA$13:$DA$68)*($CD17=$DH$13:$DH$68),0)),""))</f>
        <v>0</v>
      </c>
      <c r="DO17" s="58" t="str" cm="1">
        <f t="array" ref="DO17">IF(AND($BT17=4,$BX17=4,$BU17=999),$DF$36,_xlfn.IFNA(INDEX(DF$13:DF$70,MATCH(1,($BR17=$CV$13:$CV$70)*($BT17=$CX$13:$CX$70)*($CE17=$CY$13:$CY$70)*($BY17=$DA$13:$DA$70)*($CD17=$DH$13:$DH$70),0)),""))</f>
        <v>Base case</v>
      </c>
      <c r="DP17" s="58">
        <f t="shared" si="13"/>
        <v>1</v>
      </c>
      <c r="DW17" s="58" t="s">
        <v>58</v>
      </c>
      <c r="DX17" s="58" t="s">
        <v>544</v>
      </c>
      <c r="DY17" s="58" t="s">
        <v>67</v>
      </c>
      <c r="DZ17" s="58">
        <v>0</v>
      </c>
      <c r="EB17" s="58">
        <v>1</v>
      </c>
      <c r="EC17" s="58">
        <v>1</v>
      </c>
      <c r="ED17" s="58">
        <v>7</v>
      </c>
      <c r="EE17" s="58">
        <v>2</v>
      </c>
      <c r="EF17" s="58">
        <v>0</v>
      </c>
      <c r="EI17" s="58" t="s">
        <v>58</v>
      </c>
      <c r="EJ17" s="58" t="s">
        <v>544</v>
      </c>
      <c r="EK17" s="58" t="s">
        <v>67</v>
      </c>
      <c r="EL17" s="58">
        <v>0</v>
      </c>
      <c r="EN17" s="58">
        <v>1</v>
      </c>
      <c r="EO17" s="58">
        <v>1</v>
      </c>
      <c r="EP17" s="58">
        <v>7</v>
      </c>
      <c r="EQ17" s="58">
        <v>0</v>
      </c>
      <c r="ER17" s="58">
        <v>0</v>
      </c>
      <c r="EU17" s="58" t="str">
        <f t="shared" si="14"/>
        <v>No</v>
      </c>
      <c r="EV17" s="58" t="str">
        <f t="shared" si="15"/>
        <v>Overall survival</v>
      </c>
      <c r="EW17" s="58" t="str">
        <f t="shared" si="16"/>
        <v>PH_NMA</v>
      </c>
      <c r="EX17" s="58">
        <f t="shared" si="17"/>
        <v>0</v>
      </c>
      <c r="EZ17" s="58">
        <f t="shared" si="18"/>
        <v>1</v>
      </c>
      <c r="FA17" s="58">
        <f t="shared" si="19"/>
        <v>1</v>
      </c>
      <c r="FB17" s="58">
        <f>IF(i_eff_inputs_based_on_num=2,ED17,(INDEX(Lists!$L$51:$L$85,MATCH(O17,Lists!$K$51:$K$85,0))))</f>
        <v>7</v>
      </c>
      <c r="FC17" s="58">
        <f>IF(i_eff_inputs_based_on_num=2,EE17,(INDEX(Lists!$L$51:$L$85,MATCH(P17,Lists!$K$51:$K$85,0))))</f>
        <v>2</v>
      </c>
      <c r="FD17" s="58">
        <f>IF(i_eff_inputs_based_on_num=2,EF17,(INDEX(Lists!$L$51:$L$85,MATCH(Q17,Lists!$K$51:$K$85,0))))</f>
        <v>0</v>
      </c>
      <c r="FG17" s="58" t="str">
        <f t="shared" si="20"/>
        <v>No</v>
      </c>
      <c r="FH17" s="58" t="str">
        <f t="shared" si="21"/>
        <v>Overall survival</v>
      </c>
      <c r="FI17" s="58" t="str">
        <f t="shared" si="22"/>
        <v>PH_NMA</v>
      </c>
      <c r="FJ17" s="58">
        <f t="shared" si="23"/>
        <v>0</v>
      </c>
      <c r="FL17" s="58">
        <f t="shared" si="24"/>
        <v>1</v>
      </c>
      <c r="FM17" s="58">
        <f t="shared" si="25"/>
        <v>1</v>
      </c>
      <c r="FN17" s="58">
        <f>IF(i_eff_inputs_based_on_num=2,EP17,(INDEX(Lists!$L$51:$L$85,MATCH(O17,Lists!$K$51:$K$85,0))))</f>
        <v>7</v>
      </c>
      <c r="FO17" s="58">
        <f>IF(i_eff_inputs_based_on_num=2,EQ17,(INDEX(Lists!$L$51:$L$85,MATCH(P17,Lists!$K$51:$K$85,0))))</f>
        <v>0</v>
      </c>
      <c r="FP17" s="58">
        <f>IF(i_eff_inputs_based_on_num=2,ER17,(INDEX(Lists!$L$51:$L$85,MATCH(Q17,Lists!$K$51:$K$85,0))))</f>
        <v>0</v>
      </c>
      <c r="FT17" s="58">
        <f t="shared" si="26"/>
        <v>0</v>
      </c>
      <c r="FW17" s="58" t="str">
        <f>IF(i_baseline_risk_from=2,'Effectiveness settings'!EW17,'Effectiveness settings'!FI17)</f>
        <v>PH_NMA</v>
      </c>
      <c r="FX17" s="58" t="str">
        <f t="shared" si="27"/>
        <v>PH_NMA</v>
      </c>
      <c r="FY17" s="58" t="str">
        <f t="shared" si="28"/>
        <v>PH_NMA</v>
      </c>
      <c r="FZ17" s="58" t="str">
        <f t="shared" si="29"/>
        <v>PH_NMA</v>
      </c>
      <c r="GA17" s="58" t="str">
        <f t="shared" si="30"/>
        <v>PH_NMA</v>
      </c>
      <c r="GB17" s="58" t="str">
        <f t="shared" si="31"/>
        <v>PH_NMA</v>
      </c>
      <c r="GC17" s="58" t="str">
        <f t="shared" si="32"/>
        <v>PH_NMA</v>
      </c>
      <c r="GD17" s="58" t="str">
        <f t="shared" si="33"/>
        <v>PH_NMA</v>
      </c>
      <c r="GE17" s="58" t="str">
        <f>IF(AND(dd_CheckMate214_TTD="Yes",'Effectiveness settings'!BU17=2,'Effectiveness settings'!BX17=2),"Apply HR to",GD17)</f>
        <v>PH_NMA</v>
      </c>
      <c r="GF17" s="58" t="str">
        <f t="shared" si="34"/>
        <v>PH_NMA</v>
      </c>
      <c r="GG17" s="58" t="str">
        <f t="shared" si="35"/>
        <v>PH_NMA</v>
      </c>
      <c r="GH17" s="58" t="str">
        <f t="shared" si="36"/>
        <v>PH_NMA</v>
      </c>
      <c r="GI17" s="58" t="str">
        <f t="shared" si="37"/>
        <v>PH_NMA</v>
      </c>
      <c r="GK17" s="58">
        <f>IF(i_baseline_risk_from=2,'Effectiveness settings'!FA17,'Effectiveness settings'!FM17)</f>
        <v>1</v>
      </c>
      <c r="GL17" s="58">
        <f>IF(i_baseline_risk_from=2,'Effectiveness settings'!FB17,'Effectiveness settings'!FN17)</f>
        <v>7</v>
      </c>
      <c r="GM17" s="58">
        <f>IF(i_baseline_risk_from=2,'Effectiveness settings'!FC17,'Effectiveness settings'!FO17)</f>
        <v>2</v>
      </c>
      <c r="GN17" s="58">
        <f>IF(i_baseline_risk_from=2,'Effectiveness settings'!FD17,'Effectiveness settings'!FP17)</f>
        <v>0</v>
      </c>
      <c r="GQ17" s="58">
        <f t="shared" si="38"/>
        <v>7</v>
      </c>
      <c r="GR17" s="58">
        <f t="shared" si="39"/>
        <v>7</v>
      </c>
      <c r="GS17" s="58">
        <f t="shared" si="40"/>
        <v>7</v>
      </c>
      <c r="GT17" s="58">
        <f t="shared" si="41"/>
        <v>7</v>
      </c>
      <c r="GU17" s="58">
        <f>IF(AND(dd_CheckMate214_TTD="Yes",'Effectiveness settings'!BU17=2,'Effectiveness settings'!BX17=2),2,GT17)</f>
        <v>7</v>
      </c>
      <c r="GV17" s="58">
        <f t="shared" si="42"/>
        <v>7</v>
      </c>
      <c r="GW17" s="58">
        <f t="shared" si="43"/>
        <v>7</v>
      </c>
      <c r="GY17" s="58">
        <f>IF(AND(dd_CheckMate214_TTD="Yes",'Effectiveness settings'!BU17=2,'Effectiveness settings'!BX17=2),1,GN17)</f>
        <v>0</v>
      </c>
      <c r="GZ17" s="58">
        <f t="shared" si="44"/>
        <v>0</v>
      </c>
      <c r="HB17" s="58">
        <f t="shared" si="45"/>
        <v>1</v>
      </c>
      <c r="HD17" s="58">
        <f t="shared" si="46"/>
        <v>1</v>
      </c>
      <c r="HE17" s="58">
        <f t="shared" si="47"/>
        <v>1</v>
      </c>
      <c r="HF17" s="58">
        <f t="shared" si="48"/>
        <v>7</v>
      </c>
      <c r="HG17" s="58">
        <f t="shared" si="49"/>
        <v>2</v>
      </c>
      <c r="HH17" s="58">
        <f t="shared" si="50"/>
        <v>0</v>
      </c>
    </row>
    <row r="18" spans="1:216" ht="15.75" x14ac:dyDescent="0.25">
      <c r="A18" s="58" t="s">
        <v>558</v>
      </c>
      <c r="D18" s="58" t="str">
        <v>pazopanib</v>
      </c>
      <c r="I18" s="64" t="s">
        <v>74</v>
      </c>
      <c r="J18" s="519" t="s">
        <v>544</v>
      </c>
      <c r="K18" s="524" t="s">
        <v>67</v>
      </c>
      <c r="L18" s="519"/>
      <c r="M18" s="516" t="s">
        <v>545</v>
      </c>
      <c r="N18" s="64" t="s">
        <v>546</v>
      </c>
      <c r="O18" s="64" t="s">
        <v>117</v>
      </c>
      <c r="P18" s="64" t="s">
        <v>547</v>
      </c>
      <c r="Q18" s="519" t="s">
        <v>544</v>
      </c>
      <c r="R18" s="516" t="s">
        <v>548</v>
      </c>
      <c r="S18" s="497"/>
      <c r="T18" s="497"/>
      <c r="U18" s="497"/>
      <c r="Y18" s="517"/>
      <c r="AA18" s="517"/>
      <c r="AF18" s="517"/>
      <c r="AM18" s="517"/>
      <c r="AO18" s="517"/>
      <c r="AT18" s="517"/>
      <c r="AV18" s="511"/>
      <c r="AW18" s="511"/>
      <c r="AX18" s="511"/>
      <c r="BA18" s="517"/>
      <c r="BC18" s="517"/>
      <c r="BH18" s="517"/>
      <c r="BJ18" s="511"/>
      <c r="BK18" s="511"/>
      <c r="BL18" s="511"/>
      <c r="BQ18" s="58">
        <f t="shared" si="0"/>
        <v>6</v>
      </c>
      <c r="BR18" s="17">
        <v>1</v>
      </c>
      <c r="BS18" s="17" t="s">
        <v>549</v>
      </c>
      <c r="BT18" s="17">
        <v>1</v>
      </c>
      <c r="BU18" s="17">
        <v>5</v>
      </c>
      <c r="BV18" s="17" t="str">
        <f t="shared" si="1"/>
        <v>pazopanib</v>
      </c>
      <c r="BW18" s="1006" t="str" cm="1">
        <f t="array" ref="BW18">IF(I18="No",I18,INDEX(List_incl_anal_1L_PorI,IF(BU18=999,35,BU18+1)))</f>
        <v>Yes</v>
      </c>
      <c r="BX18" s="61">
        <f t="shared" si="2"/>
        <v>0</v>
      </c>
      <c r="BY18" s="531" t="str">
        <f t="shared" si="51"/>
        <v>Overall survival</v>
      </c>
      <c r="BZ18" s="530" t="str">
        <f t="shared" si="3"/>
        <v>Assume equal to</v>
      </c>
      <c r="CA18" s="531">
        <f t="shared" si="52"/>
        <v>0</v>
      </c>
      <c r="CB18" s="530">
        <f t="shared" si="4"/>
        <v>1</v>
      </c>
      <c r="CC18" s="530">
        <f t="shared" si="5"/>
        <v>1</v>
      </c>
      <c r="CD18" s="530">
        <f t="shared" si="6"/>
        <v>7</v>
      </c>
      <c r="CE18" s="1295">
        <f t="shared" si="7"/>
        <v>2</v>
      </c>
      <c r="CF18" s="1301">
        <f t="shared" si="8"/>
        <v>0</v>
      </c>
      <c r="CG18" s="530" t="str">
        <f t="shared" si="9"/>
        <v>Exponential</v>
      </c>
      <c r="CH18" s="61">
        <f t="shared" si="10"/>
        <v>0</v>
      </c>
      <c r="CI18" s="61">
        <f t="shared" si="11"/>
        <v>0</v>
      </c>
      <c r="CJ18" s="61">
        <f t="shared" si="12"/>
        <v>0</v>
      </c>
      <c r="CV18" s="940">
        <v>2</v>
      </c>
      <c r="CW18" s="940" t="s">
        <v>559</v>
      </c>
      <c r="CX18" s="940">
        <v>1</v>
      </c>
      <c r="CY18" s="940">
        <v>2</v>
      </c>
      <c r="CZ18" s="940" t="str" cm="1">
        <f t="array" ref="CZ18">INDEX(List_trials,CY18+1)</f>
        <v>Real world evidence</v>
      </c>
      <c r="DA18" s="942" t="s">
        <v>544</v>
      </c>
      <c r="DB18" s="942" t="s">
        <v>550</v>
      </c>
      <c r="DC18" s="942" t="s">
        <v>551</v>
      </c>
      <c r="DD18" s="942"/>
      <c r="DE18" s="941"/>
      <c r="DF18" s="941" t="s">
        <v>103</v>
      </c>
      <c r="DG18" s="942" t="s">
        <v>117</v>
      </c>
      <c r="DH18" s="58">
        <f t="shared" ref="DH18:DH41" si="54">IF(MATCH(DG18,List_comparators,0)-1=13,999,MATCH(DG18,List_comparators,0)-1)</f>
        <v>7</v>
      </c>
      <c r="DK18" s="58" t="str" cm="1">
        <f t="array" ref="DK18">IF(AND($BT18=4,$BX18=4,$BU18=999),$DB$36,_xlfn.IFNA(INDEX(DB$13:DB$70,MATCH(1,($BR18=$CV$13:$CV$70)*($BT18=$CX$13:$CX$70)*($CE18=$CY$13:$CY$70)*($BY18=$DA$13:$DA$70)*($CD18=$DH$13:$DH$70),0)),""))</f>
        <v>Exponential</v>
      </c>
      <c r="DL18" s="58" t="str" cm="1">
        <f t="array" ref="DL18">IF(AND($BT18=4,$BX18=4,$BU18=999),$DC$36,_xlfn.IFNA(INDEX(CHOOSE(DP18,DB$13:DB$70,DC$13:DC$70,DD$13:DD$70,DE$13:DE$70),MATCH(1,($BR18=$CV$13:$CV$70)*($BT18=$CX$13:$CX$70)*($CE18=$CY$13:$CY$70)*($BY18=$DA$13:$DA$70)*($CD18=$DH$13:$DH$70),0)),""))</f>
        <v>Exponential</v>
      </c>
      <c r="DM18" s="740" cm="1">
        <f t="array" ref="DM18">IF(AND($BT18=4,$BX18=4,$BU18=999),$DD$36,_xlfn.IFNA(INDEX(DD$13:DD$68,MATCH(1,($BR18=$CV$13:$CV$68)*($BT18=$CX$13:$CX$68)*($CE18=$CY$13:$CY$68)*($BY18=$DA$13:$DA$68)*($CD18=$DH$13:$DH$68),0)),""))</f>
        <v>0</v>
      </c>
      <c r="DN18" s="740" cm="1">
        <f t="array" ref="DN18">IF(AND($BT18=4,$BX18=4,$BU18=999),$DD$36,_xlfn.IFNA(INDEX(DE$13:DE$68,MATCH(1,($BR18=$CV$13:$CV$68)*($BT18=$CX$13:$CX$68)*($CE18=$CY$13:$CY$68)*($BY18=$DA$13:$DA$68)*($CD18=$DH$13:$DH$68),0)),""))</f>
        <v>0</v>
      </c>
      <c r="DO18" s="58" t="str" cm="1">
        <f t="array" ref="DO18">IF(AND($BT18=4,$BX18=4,$BU18=999),$DF$36,_xlfn.IFNA(INDEX(DF$13:DF$70,MATCH(1,($BR18=$CV$13:$CV$70)*($BT18=$CX$13:$CX$70)*($CE18=$CY$13:$CY$70)*($BY18=$DA$13:$DA$70)*($CD18=$DH$13:$DH$70),0)),""))</f>
        <v>Base case</v>
      </c>
      <c r="DP18" s="58">
        <f t="shared" si="13"/>
        <v>1</v>
      </c>
      <c r="DW18" s="58" t="s">
        <v>74</v>
      </c>
      <c r="DX18" s="58" t="s">
        <v>544</v>
      </c>
      <c r="DY18" s="58" t="s">
        <v>67</v>
      </c>
      <c r="DZ18" s="58">
        <v>0</v>
      </c>
      <c r="EB18" s="58">
        <v>1</v>
      </c>
      <c r="EC18" s="58">
        <v>1</v>
      </c>
      <c r="ED18" s="58">
        <v>7</v>
      </c>
      <c r="EE18" s="58">
        <v>2</v>
      </c>
      <c r="EF18" s="58">
        <v>0</v>
      </c>
      <c r="EI18" s="58" t="s">
        <v>74</v>
      </c>
      <c r="EJ18" s="58" t="s">
        <v>544</v>
      </c>
      <c r="EK18" s="58" t="s">
        <v>67</v>
      </c>
      <c r="EL18" s="58">
        <v>0</v>
      </c>
      <c r="EN18" s="58">
        <v>1</v>
      </c>
      <c r="EO18" s="58">
        <v>1</v>
      </c>
      <c r="EP18" s="58">
        <v>7</v>
      </c>
      <c r="EQ18" s="58">
        <v>0</v>
      </c>
      <c r="ER18" s="58">
        <v>0</v>
      </c>
      <c r="EU18" s="58" t="str">
        <f t="shared" si="14"/>
        <v>Yes</v>
      </c>
      <c r="EV18" s="58" t="str">
        <f t="shared" si="15"/>
        <v>Overall survival</v>
      </c>
      <c r="EW18" s="58" t="str">
        <f t="shared" si="16"/>
        <v>PH_NMA</v>
      </c>
      <c r="EX18" s="58">
        <f t="shared" si="17"/>
        <v>0</v>
      </c>
      <c r="EZ18" s="58">
        <f t="shared" si="18"/>
        <v>1</v>
      </c>
      <c r="FA18" s="58">
        <f t="shared" si="19"/>
        <v>1</v>
      </c>
      <c r="FB18" s="58">
        <f>IF(i_eff_inputs_based_on_num=2,ED18,(INDEX(Lists!$L$51:$L$85,MATCH(O18,Lists!$K$51:$K$85,0))))</f>
        <v>7</v>
      </c>
      <c r="FC18" s="58">
        <f>IF(i_eff_inputs_based_on_num=2,EE18,(INDEX(Lists!$L$51:$L$85,MATCH(P18,Lists!$K$51:$K$85,0))))</f>
        <v>2</v>
      </c>
      <c r="FD18" s="58">
        <f>IF(i_eff_inputs_based_on_num=2,EF18,(INDEX(Lists!$L$51:$L$85,MATCH(Q18,Lists!$K$51:$K$85,0))))</f>
        <v>0</v>
      </c>
      <c r="FG18" s="58" t="str">
        <f t="shared" si="20"/>
        <v>Yes</v>
      </c>
      <c r="FH18" s="58" t="str">
        <f t="shared" si="21"/>
        <v>Overall survival</v>
      </c>
      <c r="FI18" s="58" t="str">
        <f t="shared" si="22"/>
        <v>PH_NMA</v>
      </c>
      <c r="FJ18" s="58">
        <f t="shared" si="23"/>
        <v>0</v>
      </c>
      <c r="FL18" s="58">
        <f t="shared" si="24"/>
        <v>1</v>
      </c>
      <c r="FM18" s="58">
        <f t="shared" si="25"/>
        <v>1</v>
      </c>
      <c r="FN18" s="58">
        <f>IF(i_eff_inputs_based_on_num=2,EP18,(INDEX(Lists!$L$51:$L$85,MATCH(O18,Lists!$K$51:$K$85,0))))</f>
        <v>7</v>
      </c>
      <c r="FO18" s="58">
        <f>IF(i_eff_inputs_based_on_num=2,EQ18,(INDEX(Lists!$L$51:$L$85,MATCH(P18,Lists!$K$51:$K$85,0))))</f>
        <v>0</v>
      </c>
      <c r="FP18" s="58">
        <f>IF(i_eff_inputs_based_on_num=2,ER18,(INDEX(Lists!$L$51:$L$85,MATCH(Q18,Lists!$K$51:$K$85,0))))</f>
        <v>0</v>
      </c>
      <c r="FT18" s="58">
        <f t="shared" si="26"/>
        <v>0</v>
      </c>
      <c r="FW18" s="58" t="str">
        <f>IF(i_baseline_risk_from=2,'Effectiveness settings'!EW18,'Effectiveness settings'!FI18)</f>
        <v>PH_NMA</v>
      </c>
      <c r="FX18" s="58" t="str">
        <f t="shared" si="27"/>
        <v>PH_NMA</v>
      </c>
      <c r="FY18" s="58" t="str">
        <f t="shared" si="28"/>
        <v>PH_NMA</v>
      </c>
      <c r="FZ18" s="58" t="str">
        <f t="shared" si="29"/>
        <v>Assume equal to</v>
      </c>
      <c r="GA18" s="58" t="str">
        <f t="shared" si="30"/>
        <v>Assume equal to</v>
      </c>
      <c r="GB18" s="58" t="str">
        <f t="shared" si="31"/>
        <v>Assume equal to</v>
      </c>
      <c r="GC18" s="58" t="str">
        <f t="shared" si="32"/>
        <v>Assume equal to</v>
      </c>
      <c r="GD18" s="58" t="str">
        <f t="shared" si="33"/>
        <v>Assume equal to</v>
      </c>
      <c r="GE18" s="58" t="str">
        <f>IF(AND(dd_CheckMate214_TTD="Yes",'Effectiveness settings'!BU18=2,'Effectiveness settings'!BX18=2),"Apply HR to",GD18)</f>
        <v>Assume equal to</v>
      </c>
      <c r="GF18" s="58" t="str">
        <f t="shared" si="34"/>
        <v>Assume equal to</v>
      </c>
      <c r="GG18" s="58" t="str">
        <f t="shared" si="35"/>
        <v>Assume equal to</v>
      </c>
      <c r="GH18" s="58" t="str">
        <f t="shared" si="36"/>
        <v>Assume equal to</v>
      </c>
      <c r="GI18" s="58" t="str">
        <f t="shared" si="37"/>
        <v>Assume equal to</v>
      </c>
      <c r="GK18" s="58">
        <f>IF(i_baseline_risk_from=2,'Effectiveness settings'!FA18,'Effectiveness settings'!FM18)</f>
        <v>1</v>
      </c>
      <c r="GL18" s="58">
        <f>IF(i_baseline_risk_from=2,'Effectiveness settings'!FB18,'Effectiveness settings'!FN18)</f>
        <v>7</v>
      </c>
      <c r="GM18" s="58">
        <f>IF(i_baseline_risk_from=2,'Effectiveness settings'!FC18,'Effectiveness settings'!FO18)</f>
        <v>2</v>
      </c>
      <c r="GN18" s="58">
        <f>IF(i_baseline_risk_from=2,'Effectiveness settings'!FD18,'Effectiveness settings'!FP18)</f>
        <v>0</v>
      </c>
      <c r="GQ18" s="58">
        <f t="shared" si="38"/>
        <v>7</v>
      </c>
      <c r="GR18" s="58">
        <f t="shared" si="39"/>
        <v>7</v>
      </c>
      <c r="GS18" s="58">
        <f t="shared" si="40"/>
        <v>7</v>
      </c>
      <c r="GT18" s="58">
        <f t="shared" si="41"/>
        <v>7</v>
      </c>
      <c r="GU18" s="58">
        <f>IF(AND(dd_CheckMate214_TTD="Yes",'Effectiveness settings'!BU18=2,'Effectiveness settings'!BX18=2),2,GT18)</f>
        <v>7</v>
      </c>
      <c r="GV18" s="58">
        <f t="shared" si="42"/>
        <v>7</v>
      </c>
      <c r="GW18" s="58">
        <f t="shared" si="43"/>
        <v>7</v>
      </c>
      <c r="GY18" s="58">
        <f>IF(AND(dd_CheckMate214_TTD="Yes",'Effectiveness settings'!BU18=2,'Effectiveness settings'!BX18=2),1,GN18)</f>
        <v>0</v>
      </c>
      <c r="GZ18" s="58">
        <f t="shared" si="44"/>
        <v>0</v>
      </c>
      <c r="HB18" s="58">
        <f t="shared" si="45"/>
        <v>1</v>
      </c>
      <c r="HD18" s="58">
        <f t="shared" si="46"/>
        <v>1</v>
      </c>
      <c r="HE18" s="58">
        <f t="shared" si="47"/>
        <v>1</v>
      </c>
      <c r="HF18" s="58">
        <f t="shared" si="48"/>
        <v>7</v>
      </c>
      <c r="HG18" s="58">
        <f t="shared" si="49"/>
        <v>2</v>
      </c>
      <c r="HH18" s="58">
        <f t="shared" si="50"/>
        <v>0</v>
      </c>
    </row>
    <row r="19" spans="1:216" ht="15.75" x14ac:dyDescent="0.25">
      <c r="A19" s="58" t="s">
        <v>560</v>
      </c>
      <c r="D19" s="58" t="str">
        <v>tivozanib</v>
      </c>
      <c r="I19" s="64" t="s">
        <v>74</v>
      </c>
      <c r="J19" s="519" t="s">
        <v>544</v>
      </c>
      <c r="K19" s="524" t="s">
        <v>561</v>
      </c>
      <c r="L19" s="519"/>
      <c r="M19" s="516" t="s">
        <v>545</v>
      </c>
      <c r="N19" s="64" t="s">
        <v>546</v>
      </c>
      <c r="O19" s="64" t="s">
        <v>117</v>
      </c>
      <c r="P19" s="64" t="s">
        <v>547</v>
      </c>
      <c r="Q19" s="519" t="s">
        <v>544</v>
      </c>
      <c r="R19" s="516" t="s">
        <v>548</v>
      </c>
      <c r="S19" s="497"/>
      <c r="T19" s="497"/>
      <c r="U19" s="497"/>
      <c r="Y19" s="517"/>
      <c r="AA19" s="517"/>
      <c r="AF19" s="517"/>
      <c r="AM19" s="517"/>
      <c r="AO19" s="517"/>
      <c r="AT19" s="517"/>
      <c r="AV19" s="511"/>
      <c r="AW19" s="511"/>
      <c r="AX19" s="511"/>
      <c r="BA19" s="517"/>
      <c r="BC19" s="517"/>
      <c r="BH19" s="517"/>
      <c r="BJ19" s="511"/>
      <c r="BK19" s="511"/>
      <c r="BL19" s="511"/>
      <c r="BQ19" s="58">
        <f t="shared" si="0"/>
        <v>7</v>
      </c>
      <c r="BR19" s="17">
        <v>1</v>
      </c>
      <c r="BS19" s="17" t="s">
        <v>549</v>
      </c>
      <c r="BT19" s="17">
        <v>1</v>
      </c>
      <c r="BU19" s="17">
        <v>6</v>
      </c>
      <c r="BV19" s="17" t="str">
        <f t="shared" si="1"/>
        <v>tivozanib</v>
      </c>
      <c r="BW19" s="1006" t="str" cm="1">
        <f t="array" ref="BW19">IF(I19="No",I19,INDEX(List_incl_anal_1L_PorI,IF(BU19=999,35,BU19+1)))</f>
        <v>Yes</v>
      </c>
      <c r="BX19" s="61">
        <f t="shared" si="2"/>
        <v>0</v>
      </c>
      <c r="BY19" s="531" t="str">
        <f t="shared" si="51"/>
        <v>Overall survival</v>
      </c>
      <c r="BZ19" s="530" t="str">
        <f t="shared" si="3"/>
        <v>Assume equal to</v>
      </c>
      <c r="CA19" s="531">
        <f t="shared" si="52"/>
        <v>0</v>
      </c>
      <c r="CB19" s="530">
        <f t="shared" si="4"/>
        <v>1</v>
      </c>
      <c r="CC19" s="530">
        <f t="shared" si="5"/>
        <v>1</v>
      </c>
      <c r="CD19" s="530">
        <f t="shared" si="6"/>
        <v>7</v>
      </c>
      <c r="CE19" s="1295">
        <f t="shared" si="7"/>
        <v>2</v>
      </c>
      <c r="CF19" s="1301">
        <f t="shared" si="8"/>
        <v>0</v>
      </c>
      <c r="CG19" s="530" t="str">
        <f t="shared" si="9"/>
        <v>Exponential</v>
      </c>
      <c r="CH19" s="61">
        <f t="shared" si="10"/>
        <v>0</v>
      </c>
      <c r="CI19" s="61">
        <f t="shared" si="11"/>
        <v>0</v>
      </c>
      <c r="CJ19" s="61">
        <f t="shared" si="12"/>
        <v>0</v>
      </c>
      <c r="CV19" s="940">
        <v>2</v>
      </c>
      <c r="CW19" s="940" t="s">
        <v>559</v>
      </c>
      <c r="CX19" s="940">
        <v>1</v>
      </c>
      <c r="CY19" s="940">
        <v>2</v>
      </c>
      <c r="CZ19" s="940" t="str" cm="1">
        <f t="array" ref="CZ19">INDEX(List_trials,CY19+1)</f>
        <v>Real world evidence</v>
      </c>
      <c r="DA19" s="941" t="s">
        <v>552</v>
      </c>
      <c r="DB19" s="941" t="s">
        <v>553</v>
      </c>
      <c r="DC19" s="941" t="s">
        <v>551</v>
      </c>
      <c r="DD19" s="942"/>
      <c r="DE19" s="941"/>
      <c r="DF19" s="941" t="s">
        <v>103</v>
      </c>
      <c r="DG19" s="941" t="s">
        <v>117</v>
      </c>
      <c r="DH19" s="58">
        <f t="shared" si="54"/>
        <v>7</v>
      </c>
      <c r="DK19" s="58" t="str" cm="1">
        <f t="array" ref="DK19">IF(AND($BT19=4,$BX19=4,$BU19=999),$DB$36,_xlfn.IFNA(INDEX(DB$13:DB$70,MATCH(1,($BR19=$CV$13:$CV$70)*($BT19=$CX$13:$CX$70)*($CE19=$CY$13:$CY$70)*($BY19=$DA$13:$DA$70)*($CD19=$DH$13:$DH$70),0)),""))</f>
        <v>Exponential</v>
      </c>
      <c r="DL19" s="58" t="str" cm="1">
        <f t="array" ref="DL19">IF(AND($BT19=4,$BX19=4,$BU19=999),$DC$36,_xlfn.IFNA(INDEX(CHOOSE(DP19,DB$13:DB$70,DC$13:DC$70,DD$13:DD$70,DE$13:DE$70),MATCH(1,($BR19=$CV$13:$CV$70)*($BT19=$CX$13:$CX$70)*($CE19=$CY$13:$CY$70)*($BY19=$DA$13:$DA$70)*($CD19=$DH$13:$DH$70),0)),""))</f>
        <v>Exponential</v>
      </c>
      <c r="DM19" s="740" cm="1">
        <f t="array" ref="DM19">IF(AND($BT19=4,$BX19=4,$BU19=999),$DD$36,_xlfn.IFNA(INDEX(DD$13:DD$68,MATCH(1,($BR19=$CV$13:$CV$68)*($BT19=$CX$13:$CX$68)*($CE19=$CY$13:$CY$68)*($BY19=$DA$13:$DA$68)*($CD19=$DH$13:$DH$68),0)),""))</f>
        <v>0</v>
      </c>
      <c r="DN19" s="740" cm="1">
        <f t="array" ref="DN19">IF(AND($BT19=4,$BX19=4,$BU19=999),$DD$36,_xlfn.IFNA(INDEX(DE$13:DE$68,MATCH(1,($BR19=$CV$13:$CV$68)*($BT19=$CX$13:$CX$68)*($CE19=$CY$13:$CY$68)*($BY19=$DA$13:$DA$68)*($CD19=$DH$13:$DH$68),0)),""))</f>
        <v>0</v>
      </c>
      <c r="DO19" s="58" t="str" cm="1">
        <f t="array" ref="DO19">IF(AND($BT19=4,$BX19=4,$BU19=999),$DF$36,_xlfn.IFNA(INDEX(DF$13:DF$70,MATCH(1,($BR19=$CV$13:$CV$70)*($BT19=$CX$13:$CX$70)*($CE19=$CY$13:$CY$70)*($BY19=$DA$13:$DA$70)*($CD19=$DH$13:$DH$70),0)),""))</f>
        <v>Base case</v>
      </c>
      <c r="DP19" s="58">
        <f t="shared" si="13"/>
        <v>1</v>
      </c>
      <c r="DW19" s="58" t="s">
        <v>74</v>
      </c>
      <c r="DX19" s="58" t="s">
        <v>544</v>
      </c>
      <c r="DY19" s="58" t="s">
        <v>561</v>
      </c>
      <c r="DZ19" s="58">
        <v>0</v>
      </c>
      <c r="EB19" s="58">
        <v>1</v>
      </c>
      <c r="EC19" s="58">
        <v>1</v>
      </c>
      <c r="ED19" s="58">
        <v>7</v>
      </c>
      <c r="EE19" s="58">
        <v>2</v>
      </c>
      <c r="EF19" s="58">
        <v>0</v>
      </c>
      <c r="EI19" s="58" t="s">
        <v>74</v>
      </c>
      <c r="EJ19" s="58" t="s">
        <v>544</v>
      </c>
      <c r="EK19" s="58" t="s">
        <v>561</v>
      </c>
      <c r="EL19" s="58">
        <v>0</v>
      </c>
      <c r="EN19" s="58">
        <v>1</v>
      </c>
      <c r="EO19" s="58">
        <v>1</v>
      </c>
      <c r="EP19" s="58">
        <v>7</v>
      </c>
      <c r="EQ19" s="58">
        <v>0</v>
      </c>
      <c r="ER19" s="58">
        <v>0</v>
      </c>
      <c r="EU19" s="58" t="str">
        <f t="shared" si="14"/>
        <v>Yes</v>
      </c>
      <c r="EV19" s="58" t="str">
        <f t="shared" si="15"/>
        <v>Overall survival</v>
      </c>
      <c r="EW19" s="58" t="str">
        <f t="shared" si="16"/>
        <v>Assume equal to</v>
      </c>
      <c r="EX19" s="58">
        <f t="shared" si="17"/>
        <v>0</v>
      </c>
      <c r="EZ19" s="58">
        <f t="shared" si="18"/>
        <v>1</v>
      </c>
      <c r="FA19" s="58">
        <f t="shared" si="19"/>
        <v>1</v>
      </c>
      <c r="FB19" s="58">
        <f>IF(i_eff_inputs_based_on_num=2,ED19,(INDEX(Lists!$L$51:$L$85,MATCH(O19,Lists!$K$51:$K$85,0))))</f>
        <v>7</v>
      </c>
      <c r="FC19" s="58">
        <f>IF(i_eff_inputs_based_on_num=2,EE19,(INDEX(Lists!$L$51:$L$85,MATCH(P19,Lists!$K$51:$K$85,0))))</f>
        <v>2</v>
      </c>
      <c r="FD19" s="58">
        <f>IF(i_eff_inputs_based_on_num=2,EF19,(INDEX(Lists!$L$51:$L$85,MATCH(Q19,Lists!$K$51:$K$85,0))))</f>
        <v>0</v>
      </c>
      <c r="FG19" s="58" t="str">
        <f t="shared" si="20"/>
        <v>Yes</v>
      </c>
      <c r="FH19" s="58" t="str">
        <f t="shared" si="21"/>
        <v>Overall survival</v>
      </c>
      <c r="FI19" s="58" t="str">
        <f t="shared" si="22"/>
        <v>Assume equal to</v>
      </c>
      <c r="FJ19" s="58">
        <f t="shared" si="23"/>
        <v>0</v>
      </c>
      <c r="FL19" s="58">
        <f t="shared" si="24"/>
        <v>1</v>
      </c>
      <c r="FM19" s="58">
        <f t="shared" si="25"/>
        <v>1</v>
      </c>
      <c r="FN19" s="58">
        <f>IF(i_eff_inputs_based_on_num=2,EP19,(INDEX(Lists!$L$51:$L$85,MATCH(O19,Lists!$K$51:$K$85,0))))</f>
        <v>7</v>
      </c>
      <c r="FO19" s="58">
        <f>IF(i_eff_inputs_based_on_num=2,EQ19,(INDEX(Lists!$L$51:$L$85,MATCH(P19,Lists!$K$51:$K$85,0))))</f>
        <v>0</v>
      </c>
      <c r="FP19" s="58">
        <f>IF(i_eff_inputs_based_on_num=2,ER19,(INDEX(Lists!$L$51:$L$85,MATCH(Q19,Lists!$K$51:$K$85,0))))</f>
        <v>0</v>
      </c>
      <c r="FT19" s="58">
        <f t="shared" si="26"/>
        <v>0</v>
      </c>
      <c r="FW19" s="58" t="str">
        <f>IF(i_baseline_risk_from=2,'Effectiveness settings'!EW19,'Effectiveness settings'!FI19)</f>
        <v>Assume equal to</v>
      </c>
      <c r="FX19" s="58" t="str">
        <f t="shared" si="27"/>
        <v>Assume equal to</v>
      </c>
      <c r="FY19" s="58" t="str">
        <f t="shared" si="28"/>
        <v>Assume equal to</v>
      </c>
      <c r="FZ19" s="58" t="str">
        <f t="shared" si="29"/>
        <v>Assume equal to</v>
      </c>
      <c r="GA19" s="58" t="str">
        <f t="shared" si="30"/>
        <v>Assume equal to</v>
      </c>
      <c r="GB19" s="58" t="str">
        <f t="shared" si="31"/>
        <v>Assume equal to</v>
      </c>
      <c r="GC19" s="58" t="str">
        <f t="shared" si="32"/>
        <v>Assume equal to</v>
      </c>
      <c r="GD19" s="58" t="str">
        <f t="shared" si="33"/>
        <v>Assume equal to</v>
      </c>
      <c r="GE19" s="58" t="str">
        <f>IF(AND(dd_CheckMate214_TTD="Yes",'Effectiveness settings'!BU19=2,'Effectiveness settings'!BX19=2),"Apply HR to",GD19)</f>
        <v>Assume equal to</v>
      </c>
      <c r="GF19" s="58" t="str">
        <f t="shared" si="34"/>
        <v>Assume equal to</v>
      </c>
      <c r="GG19" s="58" t="str">
        <f t="shared" si="35"/>
        <v>Assume equal to</v>
      </c>
      <c r="GH19" s="58" t="str">
        <f t="shared" si="36"/>
        <v>Assume equal to</v>
      </c>
      <c r="GI19" s="58" t="str">
        <f t="shared" si="37"/>
        <v>Assume equal to</v>
      </c>
      <c r="GK19" s="58">
        <f>IF(i_baseline_risk_from=2,'Effectiveness settings'!FA19,'Effectiveness settings'!FM19)</f>
        <v>1</v>
      </c>
      <c r="GL19" s="58">
        <f>IF(i_baseline_risk_from=2,'Effectiveness settings'!FB19,'Effectiveness settings'!FN19)</f>
        <v>7</v>
      </c>
      <c r="GM19" s="58">
        <f>IF(i_baseline_risk_from=2,'Effectiveness settings'!FC19,'Effectiveness settings'!FO19)</f>
        <v>2</v>
      </c>
      <c r="GN19" s="58">
        <f>IF(i_baseline_risk_from=2,'Effectiveness settings'!FD19,'Effectiveness settings'!FP19)</f>
        <v>0</v>
      </c>
      <c r="GQ19" s="58">
        <f t="shared" si="38"/>
        <v>7</v>
      </c>
      <c r="GR19" s="58">
        <f t="shared" si="39"/>
        <v>7</v>
      </c>
      <c r="GS19" s="58">
        <f t="shared" si="40"/>
        <v>7</v>
      </c>
      <c r="GT19" s="58">
        <f t="shared" si="41"/>
        <v>7</v>
      </c>
      <c r="GU19" s="58">
        <f>IF(AND(dd_CheckMate214_TTD="Yes",'Effectiveness settings'!BU19=2,'Effectiveness settings'!BX19=2),2,GT19)</f>
        <v>7</v>
      </c>
      <c r="GV19" s="58">
        <f t="shared" si="42"/>
        <v>7</v>
      </c>
      <c r="GW19" s="58">
        <f t="shared" si="43"/>
        <v>7</v>
      </c>
      <c r="GY19" s="58">
        <f>IF(AND(dd_CheckMate214_TTD="Yes",'Effectiveness settings'!BU19=2,'Effectiveness settings'!BX19=2),1,GN19)</f>
        <v>0</v>
      </c>
      <c r="GZ19" s="58">
        <f t="shared" si="44"/>
        <v>0</v>
      </c>
      <c r="HB19" s="58">
        <f t="shared" si="45"/>
        <v>1</v>
      </c>
      <c r="HD19" s="58">
        <f t="shared" si="46"/>
        <v>1</v>
      </c>
      <c r="HE19" s="58">
        <f t="shared" si="47"/>
        <v>1</v>
      </c>
      <c r="HF19" s="58">
        <f t="shared" si="48"/>
        <v>7</v>
      </c>
      <c r="HG19" s="58">
        <f t="shared" si="49"/>
        <v>2</v>
      </c>
      <c r="HH19" s="58">
        <f t="shared" si="50"/>
        <v>0</v>
      </c>
    </row>
    <row r="20" spans="1:216" ht="15.75" x14ac:dyDescent="0.25">
      <c r="D20" s="58" t="str">
        <v>sunitinib</v>
      </c>
      <c r="I20" s="64" t="s">
        <v>74</v>
      </c>
      <c r="J20" s="519" t="s">
        <v>544</v>
      </c>
      <c r="K20" s="524" t="s">
        <v>562</v>
      </c>
      <c r="L20" s="519" t="s">
        <v>547</v>
      </c>
      <c r="M20" s="516" t="s">
        <v>545</v>
      </c>
      <c r="N20" s="64" t="s">
        <v>546</v>
      </c>
      <c r="O20" s="64" t="s">
        <v>117</v>
      </c>
      <c r="P20" s="64" t="s">
        <v>547</v>
      </c>
      <c r="Q20" s="519" t="s">
        <v>544</v>
      </c>
      <c r="R20" s="516" t="s">
        <v>548</v>
      </c>
      <c r="S20" s="497"/>
      <c r="T20" s="497"/>
      <c r="U20" s="497"/>
      <c r="Y20" s="517"/>
      <c r="AA20" s="517"/>
      <c r="AF20" s="517"/>
      <c r="AM20" s="517"/>
      <c r="AO20" s="517"/>
      <c r="AT20" s="517"/>
      <c r="AV20" s="511"/>
      <c r="AW20" s="511"/>
      <c r="AX20" s="511"/>
      <c r="BA20" s="517"/>
      <c r="BC20" s="517"/>
      <c r="BH20" s="517"/>
      <c r="BJ20" s="511"/>
      <c r="BK20" s="511"/>
      <c r="BL20" s="511"/>
      <c r="BQ20" s="58">
        <f t="shared" si="0"/>
        <v>8</v>
      </c>
      <c r="BR20" s="17">
        <v>1</v>
      </c>
      <c r="BS20" s="17" t="s">
        <v>549</v>
      </c>
      <c r="BT20" s="17">
        <v>1</v>
      </c>
      <c r="BU20" s="17">
        <v>7</v>
      </c>
      <c r="BV20" s="17" t="str">
        <f t="shared" si="1"/>
        <v>sunitinib</v>
      </c>
      <c r="BW20" s="1006" t="str" cm="1">
        <f t="array" ref="BW20">IF(I20="No",I20,INDEX(List_incl_anal_1L_PorI,IF(BU20=999,35,BU20+1)))</f>
        <v>Yes</v>
      </c>
      <c r="BX20" s="61">
        <f t="shared" si="2"/>
        <v>0</v>
      </c>
      <c r="BY20" s="531" t="str">
        <f t="shared" si="51"/>
        <v>Overall survival</v>
      </c>
      <c r="BZ20" s="530" t="str">
        <f t="shared" si="3"/>
        <v>Trial survival analysis</v>
      </c>
      <c r="CA20" s="531" t="str">
        <f t="shared" si="52"/>
        <v>Real world evidence</v>
      </c>
      <c r="CB20" s="530">
        <f t="shared" si="4"/>
        <v>1</v>
      </c>
      <c r="CC20" s="530">
        <f t="shared" si="5"/>
        <v>1</v>
      </c>
      <c r="CD20" s="530">
        <f t="shared" si="6"/>
        <v>7</v>
      </c>
      <c r="CE20" s="1295">
        <f t="shared" si="7"/>
        <v>2</v>
      </c>
      <c r="CF20" s="1301">
        <f t="shared" si="8"/>
        <v>0</v>
      </c>
      <c r="CG20" s="530" t="str">
        <f t="shared" si="9"/>
        <v>Exponential</v>
      </c>
      <c r="CH20" s="61">
        <f t="shared" si="10"/>
        <v>0</v>
      </c>
      <c r="CI20" s="61">
        <f t="shared" si="11"/>
        <v>0</v>
      </c>
      <c r="CJ20" s="61">
        <f t="shared" si="12"/>
        <v>0</v>
      </c>
      <c r="CV20" s="940">
        <v>2</v>
      </c>
      <c r="CW20" s="940" t="s">
        <v>559</v>
      </c>
      <c r="CX20" s="940">
        <v>1</v>
      </c>
      <c r="CY20" s="940">
        <v>2</v>
      </c>
      <c r="CZ20" s="940" t="str" cm="1">
        <f t="array" ref="CZ20">INDEX(List_trials,CY20+1)</f>
        <v>Real world evidence</v>
      </c>
      <c r="DA20" s="941" t="s">
        <v>554</v>
      </c>
      <c r="DB20" s="941" t="s">
        <v>553</v>
      </c>
      <c r="DC20" s="941" t="s">
        <v>563</v>
      </c>
      <c r="DD20" s="942"/>
      <c r="DE20" s="941"/>
      <c r="DF20" s="941" t="s">
        <v>103</v>
      </c>
      <c r="DG20" s="941" t="s">
        <v>117</v>
      </c>
      <c r="DH20" s="58">
        <f t="shared" si="54"/>
        <v>7</v>
      </c>
      <c r="DK20" s="58" t="str" cm="1">
        <f t="array" ref="DK20">IF(AND($BT20=4,$BX20=4,$BU20=999),$DB$36,_xlfn.IFNA(INDEX(DB$13:DB$70,MATCH(1,($BR20=$CV$13:$CV$70)*($BT20=$CX$13:$CX$70)*($CE20=$CY$13:$CY$70)*($BY20=$DA$13:$DA$70)*($CD20=$DH$13:$DH$70),0)),""))</f>
        <v>Exponential</v>
      </c>
      <c r="DL20" s="58" t="str" cm="1">
        <f t="array" ref="DL20">IF(AND($BT20=4,$BX20=4,$BU20=999),$DC$36,_xlfn.IFNA(INDEX(CHOOSE(DP20,DB$13:DB$70,DC$13:DC$70,DD$13:DD$70,DE$13:DE$70),MATCH(1,($BR20=$CV$13:$CV$70)*($BT20=$CX$13:$CX$70)*($CE20=$CY$13:$CY$70)*($BY20=$DA$13:$DA$70)*($CD20=$DH$13:$DH$70),0)),""))</f>
        <v>Exponential</v>
      </c>
      <c r="DM20" s="740" cm="1">
        <f t="array" ref="DM20">IF(AND($BT20=4,$BX20=4,$BU20=999),$DD$36,_xlfn.IFNA(INDEX(DD$13:DD$68,MATCH(1,($BR20=$CV$13:$CV$68)*($BT20=$CX$13:$CX$68)*($CE20=$CY$13:$CY$68)*($BY20=$DA$13:$DA$68)*($CD20=$DH$13:$DH$68),0)),""))</f>
        <v>0</v>
      </c>
      <c r="DN20" s="740" cm="1">
        <f t="array" ref="DN20">IF(AND($BT20=4,$BX20=4,$BU20=999),$DD$36,_xlfn.IFNA(INDEX(DE$13:DE$68,MATCH(1,($BR20=$CV$13:$CV$68)*($BT20=$CX$13:$CX$68)*($CE20=$CY$13:$CY$68)*($BY20=$DA$13:$DA$68)*($CD20=$DH$13:$DH$68),0)),""))</f>
        <v>0</v>
      </c>
      <c r="DO20" s="58" t="str" cm="1">
        <f t="array" ref="DO20">IF(AND($BT20=4,$BX20=4,$BU20=999),$DF$36,_xlfn.IFNA(INDEX(DF$13:DF$70,MATCH(1,($BR20=$CV$13:$CV$70)*($BT20=$CX$13:$CX$70)*($CE20=$CY$13:$CY$70)*($BY20=$DA$13:$DA$70)*($CD20=$DH$13:$DH$70),0)),""))</f>
        <v>Base case</v>
      </c>
      <c r="DP20" s="58">
        <f t="shared" si="13"/>
        <v>1</v>
      </c>
      <c r="DW20" s="58" t="s">
        <v>74</v>
      </c>
      <c r="DX20" s="58" t="s">
        <v>544</v>
      </c>
      <c r="DY20" s="58" t="s">
        <v>562</v>
      </c>
      <c r="DZ20" s="58" t="s">
        <v>547</v>
      </c>
      <c r="EB20" s="58">
        <v>1</v>
      </c>
      <c r="EC20" s="58">
        <v>1</v>
      </c>
      <c r="ED20" s="58">
        <v>7</v>
      </c>
      <c r="EE20" s="58">
        <v>2</v>
      </c>
      <c r="EF20" s="58">
        <v>0</v>
      </c>
      <c r="EI20" s="58" t="s">
        <v>74</v>
      </c>
      <c r="EJ20" s="58" t="s">
        <v>544</v>
      </c>
      <c r="EK20" s="58" t="s">
        <v>562</v>
      </c>
      <c r="EL20" s="58" t="s">
        <v>564</v>
      </c>
      <c r="EN20" s="58">
        <v>1</v>
      </c>
      <c r="EO20" s="58">
        <v>1</v>
      </c>
      <c r="EP20" s="58">
        <v>7</v>
      </c>
      <c r="EQ20" s="58">
        <v>0</v>
      </c>
      <c r="ER20" s="58">
        <v>0</v>
      </c>
      <c r="EU20" s="58" t="str">
        <f t="shared" si="14"/>
        <v>Yes</v>
      </c>
      <c r="EV20" s="58" t="str">
        <f t="shared" si="15"/>
        <v>Overall survival</v>
      </c>
      <c r="EW20" s="58" t="str">
        <f t="shared" si="16"/>
        <v>Trial survival analysis</v>
      </c>
      <c r="EX20" s="58" t="str">
        <f t="shared" si="17"/>
        <v>Real world evidence</v>
      </c>
      <c r="EZ20" s="58">
        <f t="shared" si="18"/>
        <v>1</v>
      </c>
      <c r="FA20" s="58">
        <f t="shared" si="19"/>
        <v>1</v>
      </c>
      <c r="FB20" s="58">
        <f>IF(i_eff_inputs_based_on_num=2,ED20,(INDEX(Lists!$L$51:$L$85,MATCH(O20,Lists!$K$51:$K$85,0))))</f>
        <v>7</v>
      </c>
      <c r="FC20" s="58">
        <f>IF(i_eff_inputs_based_on_num=2,EE20,(INDEX(Lists!$L$51:$L$85,MATCH(P20,Lists!$K$51:$K$85,0))))</f>
        <v>2</v>
      </c>
      <c r="FD20" s="58">
        <f>IF(i_eff_inputs_based_on_num=2,EF20,(INDEX(Lists!$L$51:$L$85,MATCH(Q20,Lists!$K$51:$K$85,0))))</f>
        <v>0</v>
      </c>
      <c r="FG20" s="58" t="str">
        <f t="shared" si="20"/>
        <v>Yes</v>
      </c>
      <c r="FH20" s="58" t="str">
        <f t="shared" si="21"/>
        <v>Overall survival</v>
      </c>
      <c r="FI20" s="58" t="str">
        <f t="shared" si="22"/>
        <v>Trial survival analysis</v>
      </c>
      <c r="FJ20" s="58" t="str">
        <f t="shared" si="23"/>
        <v>CheckMate 9ER</v>
      </c>
      <c r="FL20" s="58">
        <f t="shared" si="24"/>
        <v>1</v>
      </c>
      <c r="FM20" s="58">
        <f t="shared" si="25"/>
        <v>1</v>
      </c>
      <c r="FN20" s="58">
        <f>IF(i_eff_inputs_based_on_num=2,EP20,(INDEX(Lists!$L$51:$L$85,MATCH(O20,Lists!$K$51:$K$85,0))))</f>
        <v>7</v>
      </c>
      <c r="FO20" s="58">
        <f>IF(i_eff_inputs_based_on_num=2,EQ20,(INDEX(Lists!$L$51:$L$85,MATCH(P20,Lists!$K$51:$K$85,0))))</f>
        <v>0</v>
      </c>
      <c r="FP20" s="58">
        <f>IF(i_eff_inputs_based_on_num=2,ER20,(INDEX(Lists!$L$51:$L$85,MATCH(Q20,Lists!$K$51:$K$85,0))))</f>
        <v>0</v>
      </c>
      <c r="FT20" s="58" t="str">
        <f t="shared" si="26"/>
        <v>Real world evidence</v>
      </c>
      <c r="FW20" s="58" t="str">
        <f>IF(i_baseline_risk_from=2,'Effectiveness settings'!EW20,'Effectiveness settings'!FI20)</f>
        <v>Trial survival analysis</v>
      </c>
      <c r="FX20" s="58" t="str">
        <f t="shared" si="27"/>
        <v>Trial survival analysis</v>
      </c>
      <c r="FY20" s="58" t="str">
        <f t="shared" si="28"/>
        <v>Trial survival analysis</v>
      </c>
      <c r="FZ20" s="58" t="str">
        <f t="shared" si="29"/>
        <v>Trial survival analysis</v>
      </c>
      <c r="GA20" s="58" t="str">
        <f t="shared" si="30"/>
        <v>Trial survival analysis</v>
      </c>
      <c r="GB20" s="58" t="str">
        <f t="shared" si="31"/>
        <v>Trial survival analysis</v>
      </c>
      <c r="GC20" s="58" t="str">
        <f t="shared" si="32"/>
        <v>Trial survival analysis</v>
      </c>
      <c r="GD20" s="58" t="str">
        <f t="shared" si="33"/>
        <v>Trial survival analysis</v>
      </c>
      <c r="GE20" s="58" t="str">
        <f>IF(AND(dd_CheckMate214_TTD="Yes",'Effectiveness settings'!BU20=2,'Effectiveness settings'!BX20=2),"Apply HR to",GD20)</f>
        <v>Trial survival analysis</v>
      </c>
      <c r="GF20" s="58" t="str">
        <f t="shared" si="34"/>
        <v>Trial survival analysis</v>
      </c>
      <c r="GG20" s="58" t="str">
        <f t="shared" si="35"/>
        <v>Trial survival analysis</v>
      </c>
      <c r="GH20" s="58" t="str">
        <f t="shared" si="36"/>
        <v>Trial survival analysis</v>
      </c>
      <c r="GI20" s="58" t="str">
        <f t="shared" si="37"/>
        <v>Trial survival analysis</v>
      </c>
      <c r="GK20" s="58">
        <f>IF(i_baseline_risk_from=2,'Effectiveness settings'!FA20,'Effectiveness settings'!FM20)</f>
        <v>1</v>
      </c>
      <c r="GL20" s="58">
        <f>IF(i_baseline_risk_from=2,'Effectiveness settings'!FB20,'Effectiveness settings'!FN20)</f>
        <v>7</v>
      </c>
      <c r="GM20" s="58">
        <f>IF(i_baseline_risk_from=2,'Effectiveness settings'!FC20,'Effectiveness settings'!FO20)</f>
        <v>2</v>
      </c>
      <c r="GN20" s="58">
        <f>IF(i_baseline_risk_from=2,'Effectiveness settings'!FD20,'Effectiveness settings'!FP20)</f>
        <v>0</v>
      </c>
      <c r="GQ20" s="58">
        <f t="shared" si="38"/>
        <v>7</v>
      </c>
      <c r="GR20" s="58">
        <f t="shared" si="39"/>
        <v>7</v>
      </c>
      <c r="GS20" s="58">
        <f t="shared" si="40"/>
        <v>7</v>
      </c>
      <c r="GT20" s="58">
        <f t="shared" si="41"/>
        <v>7</v>
      </c>
      <c r="GU20" s="58">
        <f>IF(AND(dd_CheckMate214_TTD="Yes",'Effectiveness settings'!BU20=2,'Effectiveness settings'!BX20=2),2,GT20)</f>
        <v>7</v>
      </c>
      <c r="GV20" s="58">
        <f t="shared" si="42"/>
        <v>7</v>
      </c>
      <c r="GW20" s="58">
        <f t="shared" si="43"/>
        <v>7</v>
      </c>
      <c r="GY20" s="58">
        <f>IF(AND(dd_CheckMate214_TTD="Yes",'Effectiveness settings'!BU20=2,'Effectiveness settings'!BX20=2),1,GN20)</f>
        <v>0</v>
      </c>
      <c r="GZ20" s="58">
        <f t="shared" si="44"/>
        <v>0</v>
      </c>
      <c r="HB20" s="58">
        <f t="shared" si="45"/>
        <v>1</v>
      </c>
      <c r="HD20" s="58">
        <f t="shared" si="46"/>
        <v>1</v>
      </c>
      <c r="HE20" s="58">
        <f t="shared" si="47"/>
        <v>1</v>
      </c>
      <c r="HF20" s="58">
        <f t="shared" si="48"/>
        <v>7</v>
      </c>
      <c r="HG20" s="58">
        <f t="shared" si="49"/>
        <v>2</v>
      </c>
      <c r="HH20" s="58">
        <f t="shared" si="50"/>
        <v>0</v>
      </c>
    </row>
    <row r="21" spans="1:216" ht="15.75" x14ac:dyDescent="0.25">
      <c r="D21" s="58" t="str">
        <v>cabozantinib</v>
      </c>
      <c r="I21" s="64" t="s">
        <v>74</v>
      </c>
      <c r="J21" s="519" t="s">
        <v>544</v>
      </c>
      <c r="K21" s="524" t="s">
        <v>63</v>
      </c>
      <c r="L21" s="519"/>
      <c r="M21" s="516" t="s">
        <v>545</v>
      </c>
      <c r="N21" s="64" t="s">
        <v>546</v>
      </c>
      <c r="O21" s="64" t="s">
        <v>117</v>
      </c>
      <c r="P21" s="64" t="s">
        <v>547</v>
      </c>
      <c r="Q21" s="519" t="s">
        <v>544</v>
      </c>
      <c r="R21" s="516" t="s">
        <v>548</v>
      </c>
      <c r="S21" s="497"/>
      <c r="T21" s="497"/>
      <c r="U21" s="497"/>
      <c r="Y21" s="517"/>
      <c r="AA21" s="517"/>
      <c r="AF21" s="517"/>
      <c r="AM21" s="517"/>
      <c r="AO21" s="517"/>
      <c r="AT21" s="517"/>
      <c r="AV21" s="511"/>
      <c r="AW21" s="511"/>
      <c r="AX21" s="511"/>
      <c r="BA21" s="517"/>
      <c r="BC21" s="517"/>
      <c r="BH21" s="517"/>
      <c r="BJ21" s="511"/>
      <c r="BK21" s="511"/>
      <c r="BL21" s="511"/>
      <c r="BQ21" s="58">
        <f t="shared" si="0"/>
        <v>9</v>
      </c>
      <c r="BR21" s="17">
        <v>1</v>
      </c>
      <c r="BS21" s="17" t="s">
        <v>549</v>
      </c>
      <c r="BT21" s="17">
        <v>1</v>
      </c>
      <c r="BU21" s="17">
        <v>8</v>
      </c>
      <c r="BV21" s="17" t="str">
        <f t="shared" si="1"/>
        <v>cabozantinib</v>
      </c>
      <c r="BW21" s="1006" t="str" cm="1">
        <f t="array" ref="BW21">IF(I21="No",I21,INDEX(List_incl_anal_1L_PorI,IF(BU21=999,35,BU21+1)))</f>
        <v>Yes</v>
      </c>
      <c r="BX21" s="61">
        <f t="shared" si="2"/>
        <v>0</v>
      </c>
      <c r="BY21" s="531" t="str">
        <f t="shared" si="51"/>
        <v>Overall survival</v>
      </c>
      <c r="BZ21" s="530" t="str">
        <f t="shared" si="3"/>
        <v>Assume equal to</v>
      </c>
      <c r="CA21" s="531">
        <f t="shared" si="52"/>
        <v>0</v>
      </c>
      <c r="CB21" s="530">
        <f t="shared" si="4"/>
        <v>1</v>
      </c>
      <c r="CC21" s="530">
        <f t="shared" si="5"/>
        <v>1</v>
      </c>
      <c r="CD21" s="530">
        <f t="shared" si="6"/>
        <v>7</v>
      </c>
      <c r="CE21" s="1295">
        <f t="shared" si="7"/>
        <v>2</v>
      </c>
      <c r="CF21" s="1301">
        <f t="shared" si="8"/>
        <v>0</v>
      </c>
      <c r="CG21" s="530" t="str">
        <f t="shared" si="9"/>
        <v>Exponential</v>
      </c>
      <c r="CH21" s="61">
        <f t="shared" si="10"/>
        <v>0</v>
      </c>
      <c r="CI21" s="61">
        <f t="shared" si="11"/>
        <v>0</v>
      </c>
      <c r="CJ21" s="61">
        <f t="shared" si="12"/>
        <v>0</v>
      </c>
      <c r="CV21" s="940">
        <v>2</v>
      </c>
      <c r="CW21" s="940" t="s">
        <v>559</v>
      </c>
      <c r="CX21" s="940">
        <v>1</v>
      </c>
      <c r="CY21" s="940">
        <v>2</v>
      </c>
      <c r="CZ21" s="940" t="str" cm="1">
        <f t="array" ref="CZ21">INDEX(List_trials,CY21+1)</f>
        <v>Real world evidence</v>
      </c>
      <c r="DA21" s="941" t="s">
        <v>555</v>
      </c>
      <c r="DB21" s="941" t="s">
        <v>553</v>
      </c>
      <c r="DC21" s="941" t="s">
        <v>551</v>
      </c>
      <c r="DD21" s="942"/>
      <c r="DE21" s="941"/>
      <c r="DF21" s="941" t="s">
        <v>103</v>
      </c>
      <c r="DG21" s="941" t="s">
        <v>117</v>
      </c>
      <c r="DH21" s="58">
        <f t="shared" si="54"/>
        <v>7</v>
      </c>
      <c r="DK21" s="58" t="str" cm="1">
        <f t="array" ref="DK21">IF(AND($BT21=4,$BX21=4,$BU21=999),$DB$36,_xlfn.IFNA(INDEX(DB$13:DB$70,MATCH(1,($BR21=$CV$13:$CV$70)*($BT21=$CX$13:$CX$70)*($CE21=$CY$13:$CY$70)*($BY21=$DA$13:$DA$70)*($CD21=$DH$13:$DH$70),0)),""))</f>
        <v>Exponential</v>
      </c>
      <c r="DL21" s="58" t="str" cm="1">
        <f t="array" ref="DL21">IF(AND($BT21=4,$BX21=4,$BU21=999),$DC$36,_xlfn.IFNA(INDEX(CHOOSE(DP21,DB$13:DB$70,DC$13:DC$70,DD$13:DD$70,DE$13:DE$70),MATCH(1,($BR21=$CV$13:$CV$70)*($BT21=$CX$13:$CX$70)*($CE21=$CY$13:$CY$70)*($BY21=$DA$13:$DA$70)*($CD21=$DH$13:$DH$70),0)),""))</f>
        <v>Exponential</v>
      </c>
      <c r="DM21" s="740" cm="1">
        <f t="array" ref="DM21">IF(AND($BT21=4,$BX21=4,$BU21=999),$DD$36,_xlfn.IFNA(INDEX(DD$13:DD$68,MATCH(1,($BR21=$CV$13:$CV$68)*($BT21=$CX$13:$CX$68)*($CE21=$CY$13:$CY$68)*($BY21=$DA$13:$DA$68)*($CD21=$DH$13:$DH$68),0)),""))</f>
        <v>0</v>
      </c>
      <c r="DN21" s="740" cm="1">
        <f t="array" ref="DN21">IF(AND($BT21=4,$BX21=4,$BU21=999),$DD$36,_xlfn.IFNA(INDEX(DE$13:DE$68,MATCH(1,($BR21=$CV$13:$CV$68)*($BT21=$CX$13:$CX$68)*($CE21=$CY$13:$CY$68)*($BY21=$DA$13:$DA$68)*($CD21=$DH$13:$DH$68),0)),""))</f>
        <v>0</v>
      </c>
      <c r="DO21" s="58" t="str" cm="1">
        <f t="array" ref="DO21">IF(AND($BT21=4,$BX21=4,$BU21=999),$DF$36,_xlfn.IFNA(INDEX(DF$13:DF$70,MATCH(1,($BR21=$CV$13:$CV$70)*($BT21=$CX$13:$CX$70)*($CE21=$CY$13:$CY$70)*($BY21=$DA$13:$DA$70)*($CD21=$DH$13:$DH$70),0)),""))</f>
        <v>Base case</v>
      </c>
      <c r="DP21" s="58">
        <f t="shared" si="13"/>
        <v>1</v>
      </c>
      <c r="DW21" s="58" t="s">
        <v>74</v>
      </c>
      <c r="DX21" s="58" t="s">
        <v>544</v>
      </c>
      <c r="DY21" s="58" t="s">
        <v>63</v>
      </c>
      <c r="DZ21" s="58">
        <v>0</v>
      </c>
      <c r="EB21" s="58">
        <v>1</v>
      </c>
      <c r="EC21" s="58">
        <v>1</v>
      </c>
      <c r="ED21" s="58">
        <v>7</v>
      </c>
      <c r="EE21" s="58">
        <v>2</v>
      </c>
      <c r="EF21" s="58">
        <v>0</v>
      </c>
      <c r="EI21" s="58" t="s">
        <v>74</v>
      </c>
      <c r="EJ21" s="58" t="s">
        <v>544</v>
      </c>
      <c r="EK21" s="58" t="s">
        <v>63</v>
      </c>
      <c r="EL21" s="58">
        <v>0</v>
      </c>
      <c r="EN21" s="58">
        <v>1</v>
      </c>
      <c r="EO21" s="58">
        <v>1</v>
      </c>
      <c r="EP21" s="58">
        <v>7</v>
      </c>
      <c r="EQ21" s="58">
        <v>0</v>
      </c>
      <c r="ER21" s="58">
        <v>0</v>
      </c>
      <c r="EU21" s="58" t="str">
        <f t="shared" si="14"/>
        <v>Yes</v>
      </c>
      <c r="EV21" s="58" t="str">
        <f t="shared" si="15"/>
        <v>Overall survival</v>
      </c>
      <c r="EW21" s="58" t="str">
        <f t="shared" si="16"/>
        <v>FP_NMA</v>
      </c>
      <c r="EX21" s="58">
        <f t="shared" si="17"/>
        <v>0</v>
      </c>
      <c r="EZ21" s="58">
        <f t="shared" si="18"/>
        <v>1</v>
      </c>
      <c r="FA21" s="58">
        <f t="shared" si="19"/>
        <v>1</v>
      </c>
      <c r="FB21" s="58">
        <f>IF(i_eff_inputs_based_on_num=2,ED21,(INDEX(Lists!$L$51:$L$85,MATCH(O21,Lists!$K$51:$K$85,0))))</f>
        <v>7</v>
      </c>
      <c r="FC21" s="58">
        <f>IF(i_eff_inputs_based_on_num=2,EE21,(INDEX(Lists!$L$51:$L$85,MATCH(P21,Lists!$K$51:$K$85,0))))</f>
        <v>2</v>
      </c>
      <c r="FD21" s="58">
        <f>IF(i_eff_inputs_based_on_num=2,EF21,(INDEX(Lists!$L$51:$L$85,MATCH(Q21,Lists!$K$51:$K$85,0))))</f>
        <v>0</v>
      </c>
      <c r="FG21" s="58" t="str">
        <f t="shared" si="20"/>
        <v>Yes</v>
      </c>
      <c r="FH21" s="58" t="str">
        <f t="shared" si="21"/>
        <v>Overall survival</v>
      </c>
      <c r="FI21" s="58" t="str">
        <f t="shared" si="22"/>
        <v>FP_NMA</v>
      </c>
      <c r="FJ21" s="58">
        <f t="shared" si="23"/>
        <v>0</v>
      </c>
      <c r="FL21" s="58">
        <f t="shared" si="24"/>
        <v>1</v>
      </c>
      <c r="FM21" s="58">
        <f t="shared" si="25"/>
        <v>1</v>
      </c>
      <c r="FN21" s="58">
        <f>IF(i_eff_inputs_based_on_num=2,EP21,(INDEX(Lists!$L$51:$L$85,MATCH(O21,Lists!$K$51:$K$85,0))))</f>
        <v>7</v>
      </c>
      <c r="FO21" s="58">
        <f>IF(i_eff_inputs_based_on_num=2,EQ21,(INDEX(Lists!$L$51:$L$85,MATCH(P21,Lists!$K$51:$K$85,0))))</f>
        <v>0</v>
      </c>
      <c r="FP21" s="58">
        <f>IF(i_eff_inputs_based_on_num=2,ER21,(INDEX(Lists!$L$51:$L$85,MATCH(Q21,Lists!$K$51:$K$85,0))))</f>
        <v>0</v>
      </c>
      <c r="FT21" s="58">
        <f t="shared" si="26"/>
        <v>0</v>
      </c>
      <c r="FW21" s="58" t="str">
        <f>IF(i_baseline_risk_from=2,'Effectiveness settings'!EW21,'Effectiveness settings'!FI21)</f>
        <v>FP_NMA</v>
      </c>
      <c r="FX21" s="58" t="str">
        <f t="shared" si="27"/>
        <v>FP_NMA</v>
      </c>
      <c r="FY21" s="58" t="str">
        <f t="shared" si="28"/>
        <v>FP_NMA</v>
      </c>
      <c r="FZ21" s="58" t="str">
        <f t="shared" si="29"/>
        <v>FP_NMA</v>
      </c>
      <c r="GA21" s="58" t="str">
        <f t="shared" si="30"/>
        <v>FP_NMA</v>
      </c>
      <c r="GB21" s="58" t="str">
        <f t="shared" si="31"/>
        <v>FP_NMA</v>
      </c>
      <c r="GC21" s="58" t="str">
        <f t="shared" si="32"/>
        <v>FP_NMA</v>
      </c>
      <c r="GD21" s="58" t="str">
        <f t="shared" si="33"/>
        <v>FP_NMA</v>
      </c>
      <c r="GE21" s="58" t="str">
        <f>IF(AND(dd_CheckMate214_TTD="Yes",'Effectiveness settings'!BU21=2,'Effectiveness settings'!BX21=2),"Apply HR to",GD21)</f>
        <v>FP_NMA</v>
      </c>
      <c r="GF21" s="58" t="str">
        <f t="shared" si="34"/>
        <v>FP_NMA</v>
      </c>
      <c r="GG21" s="58" t="str">
        <f t="shared" si="35"/>
        <v>FP_NMA</v>
      </c>
      <c r="GH21" s="58" t="str">
        <f t="shared" si="36"/>
        <v>Assume equal to</v>
      </c>
      <c r="GI21" s="58" t="str">
        <f t="shared" si="37"/>
        <v>Assume equal to</v>
      </c>
      <c r="GK21" s="58">
        <f>IF(i_baseline_risk_from=2,'Effectiveness settings'!FA21,'Effectiveness settings'!FM21)</f>
        <v>1</v>
      </c>
      <c r="GL21" s="58">
        <f>IF(i_baseline_risk_from=2,'Effectiveness settings'!FB21,'Effectiveness settings'!FN21)</f>
        <v>7</v>
      </c>
      <c r="GM21" s="58">
        <f>IF(i_baseline_risk_from=2,'Effectiveness settings'!FC21,'Effectiveness settings'!FO21)</f>
        <v>2</v>
      </c>
      <c r="GN21" s="58">
        <f>IF(i_baseline_risk_from=2,'Effectiveness settings'!FD21,'Effectiveness settings'!FP21)</f>
        <v>0</v>
      </c>
      <c r="GQ21" s="58">
        <f t="shared" si="38"/>
        <v>7</v>
      </c>
      <c r="GR21" s="58">
        <f t="shared" si="39"/>
        <v>7</v>
      </c>
      <c r="GS21" s="58">
        <f t="shared" si="40"/>
        <v>7</v>
      </c>
      <c r="GT21" s="58">
        <f t="shared" si="41"/>
        <v>7</v>
      </c>
      <c r="GU21" s="58">
        <f>IF(AND(dd_CheckMate214_TTD="Yes",'Effectiveness settings'!BU21=2,'Effectiveness settings'!BX21=2),2,GT21)</f>
        <v>7</v>
      </c>
      <c r="GV21" s="58">
        <f t="shared" si="42"/>
        <v>7</v>
      </c>
      <c r="GW21" s="58">
        <f t="shared" si="43"/>
        <v>7</v>
      </c>
      <c r="GY21" s="58">
        <f>IF(AND(dd_CheckMate214_TTD="Yes",'Effectiveness settings'!BU21=2,'Effectiveness settings'!BX21=2),1,GN21)</f>
        <v>0</v>
      </c>
      <c r="GZ21" s="58">
        <f t="shared" si="44"/>
        <v>0</v>
      </c>
      <c r="HB21" s="58">
        <f t="shared" si="45"/>
        <v>1</v>
      </c>
      <c r="HD21" s="58">
        <f t="shared" si="46"/>
        <v>1</v>
      </c>
      <c r="HE21" s="58">
        <f t="shared" si="47"/>
        <v>1</v>
      </c>
      <c r="HF21" s="58">
        <f t="shared" si="48"/>
        <v>7</v>
      </c>
      <c r="HG21" s="58">
        <f t="shared" si="49"/>
        <v>2</v>
      </c>
      <c r="HH21" s="58">
        <f t="shared" si="50"/>
        <v>0</v>
      </c>
    </row>
    <row r="22" spans="1:216" ht="16.5" thickBot="1" x14ac:dyDescent="0.3">
      <c r="D22" s="58" t="str">
        <v>lenvatinib_plus_everolimus</v>
      </c>
      <c r="I22" s="64" t="s">
        <v>58</v>
      </c>
      <c r="J22" s="519" t="s">
        <v>544</v>
      </c>
      <c r="K22" s="524"/>
      <c r="L22" s="519"/>
      <c r="M22" s="516" t="s">
        <v>545</v>
      </c>
      <c r="N22" s="64" t="s">
        <v>546</v>
      </c>
      <c r="O22" s="64" t="s">
        <v>117</v>
      </c>
      <c r="P22" s="64" t="s">
        <v>547</v>
      </c>
      <c r="Q22" s="519" t="s">
        <v>544</v>
      </c>
      <c r="R22" s="516" t="s">
        <v>548</v>
      </c>
      <c r="S22" s="497"/>
      <c r="T22" s="497"/>
      <c r="U22" s="497"/>
      <c r="Y22" s="517"/>
      <c r="AA22" s="517"/>
      <c r="AF22" s="517"/>
      <c r="AM22" s="517"/>
      <c r="AO22" s="517"/>
      <c r="AT22" s="517"/>
      <c r="AV22" s="511"/>
      <c r="AW22" s="511"/>
      <c r="AX22" s="511"/>
      <c r="BA22" s="517"/>
      <c r="BC22" s="517"/>
      <c r="BH22" s="517"/>
      <c r="BJ22" s="511"/>
      <c r="BK22" s="511"/>
      <c r="BL22" s="511"/>
      <c r="BQ22" s="58">
        <f t="shared" si="0"/>
        <v>10</v>
      </c>
      <c r="BR22" s="17">
        <v>1</v>
      </c>
      <c r="BS22" s="17" t="s">
        <v>549</v>
      </c>
      <c r="BT22" s="17">
        <v>1</v>
      </c>
      <c r="BU22" s="17">
        <v>9</v>
      </c>
      <c r="BV22" s="17" t="str">
        <f t="shared" si="1"/>
        <v>lenvatinib_plus_everolimus</v>
      </c>
      <c r="BW22" s="1006" t="str" cm="1">
        <f t="array" ref="BW22">IF(I22="No",I22,INDEX(List_incl_anal_1L_PorI,IF(BU22=999,35,BU22+1)))</f>
        <v>No</v>
      </c>
      <c r="BX22" s="61">
        <f t="shared" si="2"/>
        <v>0</v>
      </c>
      <c r="BY22" s="531" t="str">
        <f t="shared" si="51"/>
        <v>Overall survival</v>
      </c>
      <c r="BZ22" s="530">
        <f t="shared" si="3"/>
        <v>0</v>
      </c>
      <c r="CA22" s="531">
        <f t="shared" si="52"/>
        <v>0</v>
      </c>
      <c r="CB22" s="530">
        <f t="shared" si="4"/>
        <v>1</v>
      </c>
      <c r="CC22" s="530">
        <f t="shared" si="5"/>
        <v>1</v>
      </c>
      <c r="CD22" s="530">
        <f t="shared" si="6"/>
        <v>7</v>
      </c>
      <c r="CE22" s="1295">
        <f t="shared" si="7"/>
        <v>2</v>
      </c>
      <c r="CF22" s="1301">
        <f t="shared" si="8"/>
        <v>0</v>
      </c>
      <c r="CG22" s="530" t="str">
        <f t="shared" si="9"/>
        <v>Exponential</v>
      </c>
      <c r="CH22" s="61">
        <f t="shared" si="10"/>
        <v>0</v>
      </c>
      <c r="CI22" s="61">
        <f t="shared" si="11"/>
        <v>0</v>
      </c>
      <c r="CJ22" s="61">
        <f t="shared" si="12"/>
        <v>0</v>
      </c>
      <c r="CV22" s="943">
        <v>2</v>
      </c>
      <c r="CW22" s="943" t="s">
        <v>559</v>
      </c>
      <c r="CX22" s="943">
        <v>1</v>
      </c>
      <c r="CY22" s="943">
        <v>2</v>
      </c>
      <c r="CZ22" s="943" t="str" cm="1">
        <f t="array" ref="CZ22">INDEX(List_trials,CY22+1)</f>
        <v>Real world evidence</v>
      </c>
      <c r="DA22" s="944" t="s">
        <v>557</v>
      </c>
      <c r="DB22" s="944" t="s">
        <v>550</v>
      </c>
      <c r="DC22" s="944" t="s">
        <v>548</v>
      </c>
      <c r="DD22" s="944"/>
      <c r="DE22" s="944"/>
      <c r="DF22" s="944" t="s">
        <v>103</v>
      </c>
      <c r="DG22" s="944" t="s">
        <v>117</v>
      </c>
      <c r="DH22" s="945">
        <f t="shared" si="54"/>
        <v>7</v>
      </c>
      <c r="DK22" s="58" t="str" cm="1">
        <f t="array" ref="DK22">IF(AND($BT22=4,$BX22=4,$BU22=999),$DB$36,_xlfn.IFNA(INDEX(DB$13:DB$70,MATCH(1,($BR22=$CV$13:$CV$70)*($BT22=$CX$13:$CX$70)*($CE22=$CY$13:$CY$70)*($BY22=$DA$13:$DA$70)*($CD22=$DH$13:$DH$70),0)),""))</f>
        <v>Exponential</v>
      </c>
      <c r="DL22" s="58" t="str" cm="1">
        <f t="array" ref="DL22">IF(AND($BT22=4,$BX22=4,$BU22=999),$DC$36,_xlfn.IFNA(INDEX(CHOOSE(DP22,DB$13:DB$70,DC$13:DC$70,DD$13:DD$70,DE$13:DE$70),MATCH(1,($BR22=$CV$13:$CV$70)*($BT22=$CX$13:$CX$70)*($CE22=$CY$13:$CY$70)*($BY22=$DA$13:$DA$70)*($CD22=$DH$13:$DH$70),0)),""))</f>
        <v>Exponential</v>
      </c>
      <c r="DM22" s="740" cm="1">
        <f t="array" ref="DM22">IF(AND($BT22=4,$BX22=4,$BU22=999),$DD$36,_xlfn.IFNA(INDEX(DD$13:DD$68,MATCH(1,($BR22=$CV$13:$CV$68)*($BT22=$CX$13:$CX$68)*($CE22=$CY$13:$CY$68)*($BY22=$DA$13:$DA$68)*($CD22=$DH$13:$DH$68),0)),""))</f>
        <v>0</v>
      </c>
      <c r="DN22" s="740" cm="1">
        <f t="array" ref="DN22">IF(AND($BT22=4,$BX22=4,$BU22=999),$DD$36,_xlfn.IFNA(INDEX(DE$13:DE$68,MATCH(1,($BR22=$CV$13:$CV$68)*($BT22=$CX$13:$CX$68)*($CE22=$CY$13:$CY$68)*($BY22=$DA$13:$DA$68)*($CD22=$DH$13:$DH$68),0)),""))</f>
        <v>0</v>
      </c>
      <c r="DO22" s="58" t="str" cm="1">
        <f t="array" ref="DO22">IF(AND($BT22=4,$BX22=4,$BU22=999),$DF$36,_xlfn.IFNA(INDEX(DF$13:DF$70,MATCH(1,($BR22=$CV$13:$CV$70)*($BT22=$CX$13:$CX$70)*($CE22=$CY$13:$CY$70)*($BY22=$DA$13:$DA$70)*($CD22=$DH$13:$DH$70),0)),""))</f>
        <v>Base case</v>
      </c>
      <c r="DP22" s="58">
        <f t="shared" si="13"/>
        <v>1</v>
      </c>
      <c r="DW22" s="58" t="s">
        <v>58</v>
      </c>
      <c r="DX22" s="58" t="s">
        <v>544</v>
      </c>
      <c r="DY22" s="58">
        <v>0</v>
      </c>
      <c r="DZ22" s="58">
        <v>0</v>
      </c>
      <c r="EB22" s="58">
        <v>1</v>
      </c>
      <c r="EC22" s="58">
        <v>1</v>
      </c>
      <c r="ED22" s="58">
        <v>7</v>
      </c>
      <c r="EE22" s="58">
        <v>2</v>
      </c>
      <c r="EF22" s="58">
        <v>0</v>
      </c>
      <c r="EI22" s="58" t="s">
        <v>58</v>
      </c>
      <c r="EJ22" s="58" t="s">
        <v>544</v>
      </c>
      <c r="EK22" s="58">
        <v>0</v>
      </c>
      <c r="EL22" s="58">
        <v>0</v>
      </c>
      <c r="EN22" s="58">
        <v>1</v>
      </c>
      <c r="EO22" s="58">
        <v>1</v>
      </c>
      <c r="EP22" s="58">
        <v>7</v>
      </c>
      <c r="EQ22" s="58">
        <v>0</v>
      </c>
      <c r="ER22" s="58">
        <v>0</v>
      </c>
      <c r="EU22" s="58" t="str">
        <f t="shared" si="14"/>
        <v>No</v>
      </c>
      <c r="EV22" s="58" t="str">
        <f t="shared" si="15"/>
        <v>Overall survival</v>
      </c>
      <c r="EW22" s="58">
        <f t="shared" si="16"/>
        <v>0</v>
      </c>
      <c r="EX22" s="58">
        <f t="shared" si="17"/>
        <v>0</v>
      </c>
      <c r="EZ22" s="58">
        <f t="shared" si="18"/>
        <v>1</v>
      </c>
      <c r="FA22" s="58">
        <f t="shared" si="19"/>
        <v>1</v>
      </c>
      <c r="FB22" s="58">
        <f>IF(i_eff_inputs_based_on_num=2,ED22,(INDEX(Lists!$L$51:$L$85,MATCH(O22,Lists!$K$51:$K$85,0))))</f>
        <v>7</v>
      </c>
      <c r="FC22" s="58">
        <f>IF(i_eff_inputs_based_on_num=2,EE22,(INDEX(Lists!$L$51:$L$85,MATCH(P22,Lists!$K$51:$K$85,0))))</f>
        <v>2</v>
      </c>
      <c r="FD22" s="58">
        <f>IF(i_eff_inputs_based_on_num=2,EF22,(INDEX(Lists!$L$51:$L$85,MATCH(Q22,Lists!$K$51:$K$85,0))))</f>
        <v>0</v>
      </c>
      <c r="FG22" s="58" t="str">
        <f t="shared" si="20"/>
        <v>No</v>
      </c>
      <c r="FH22" s="58" t="str">
        <f t="shared" si="21"/>
        <v>Overall survival</v>
      </c>
      <c r="FI22" s="58">
        <f t="shared" si="22"/>
        <v>0</v>
      </c>
      <c r="FJ22" s="58">
        <f t="shared" si="23"/>
        <v>0</v>
      </c>
      <c r="FL22" s="58">
        <f t="shared" si="24"/>
        <v>1</v>
      </c>
      <c r="FM22" s="58">
        <f t="shared" si="25"/>
        <v>1</v>
      </c>
      <c r="FN22" s="58">
        <f>IF(i_eff_inputs_based_on_num=2,EP22,(INDEX(Lists!$L$51:$L$85,MATCH(O22,Lists!$K$51:$K$85,0))))</f>
        <v>7</v>
      </c>
      <c r="FO22" s="58">
        <f>IF(i_eff_inputs_based_on_num=2,EQ22,(INDEX(Lists!$L$51:$L$85,MATCH(P22,Lists!$K$51:$K$85,0))))</f>
        <v>0</v>
      </c>
      <c r="FP22" s="58">
        <f>IF(i_eff_inputs_based_on_num=2,ER22,(INDEX(Lists!$L$51:$L$85,MATCH(Q22,Lists!$K$51:$K$85,0))))</f>
        <v>0</v>
      </c>
      <c r="FT22" s="58">
        <f t="shared" si="26"/>
        <v>0</v>
      </c>
      <c r="FW22" s="58">
        <f>IF(i_baseline_risk_from=2,'Effectiveness settings'!EW22,'Effectiveness settings'!FI22)</f>
        <v>0</v>
      </c>
      <c r="FX22" s="58">
        <f t="shared" si="27"/>
        <v>0</v>
      </c>
      <c r="FY22" s="58">
        <f t="shared" si="28"/>
        <v>0</v>
      </c>
      <c r="FZ22" s="58">
        <f t="shared" si="29"/>
        <v>0</v>
      </c>
      <c r="GA22" s="58">
        <f t="shared" si="30"/>
        <v>0</v>
      </c>
      <c r="GB22" s="58">
        <f t="shared" si="31"/>
        <v>0</v>
      </c>
      <c r="GC22" s="58">
        <f t="shared" si="32"/>
        <v>0</v>
      </c>
      <c r="GD22" s="58">
        <f t="shared" si="33"/>
        <v>0</v>
      </c>
      <c r="GE22" s="58">
        <f>IF(AND(dd_CheckMate214_TTD="Yes",'Effectiveness settings'!BU22=2,'Effectiveness settings'!BX22=2),"Apply HR to",GD22)</f>
        <v>0</v>
      </c>
      <c r="GF22" s="58">
        <f t="shared" si="34"/>
        <v>0</v>
      </c>
      <c r="GG22" s="58">
        <f t="shared" si="35"/>
        <v>0</v>
      </c>
      <c r="GH22" s="58">
        <f t="shared" si="36"/>
        <v>0</v>
      </c>
      <c r="GI22" s="58">
        <f t="shared" si="37"/>
        <v>0</v>
      </c>
      <c r="GK22" s="58">
        <f>IF(i_baseline_risk_from=2,'Effectiveness settings'!FA22,'Effectiveness settings'!FM22)</f>
        <v>1</v>
      </c>
      <c r="GL22" s="58">
        <f>IF(i_baseline_risk_from=2,'Effectiveness settings'!FB22,'Effectiveness settings'!FN22)</f>
        <v>7</v>
      </c>
      <c r="GM22" s="58">
        <f>IF(i_baseline_risk_from=2,'Effectiveness settings'!FC22,'Effectiveness settings'!FO22)</f>
        <v>2</v>
      </c>
      <c r="GN22" s="58">
        <f>IF(i_baseline_risk_from=2,'Effectiveness settings'!FD22,'Effectiveness settings'!FP22)</f>
        <v>0</v>
      </c>
      <c r="GQ22" s="58">
        <f t="shared" si="38"/>
        <v>7</v>
      </c>
      <c r="GR22" s="58">
        <f t="shared" si="39"/>
        <v>7</v>
      </c>
      <c r="GS22" s="58">
        <f t="shared" si="40"/>
        <v>7</v>
      </c>
      <c r="GT22" s="58">
        <f t="shared" si="41"/>
        <v>7</v>
      </c>
      <c r="GU22" s="58">
        <f>IF(AND(dd_CheckMate214_TTD="Yes",'Effectiveness settings'!BU22=2,'Effectiveness settings'!BX22=2),2,GT22)</f>
        <v>7</v>
      </c>
      <c r="GV22" s="58">
        <f t="shared" si="42"/>
        <v>7</v>
      </c>
      <c r="GW22" s="58">
        <f t="shared" si="43"/>
        <v>7</v>
      </c>
      <c r="GY22" s="58">
        <f>IF(AND(dd_CheckMate214_TTD="Yes",'Effectiveness settings'!BU22=2,'Effectiveness settings'!BX22=2),1,GN22)</f>
        <v>0</v>
      </c>
      <c r="GZ22" s="58">
        <f t="shared" si="44"/>
        <v>0</v>
      </c>
      <c r="HB22" s="58">
        <f t="shared" si="45"/>
        <v>1</v>
      </c>
      <c r="HD22" s="58">
        <f t="shared" si="46"/>
        <v>1</v>
      </c>
      <c r="HE22" s="58">
        <f t="shared" si="47"/>
        <v>1</v>
      </c>
      <c r="HF22" s="58">
        <f t="shared" si="48"/>
        <v>7</v>
      </c>
      <c r="HG22" s="58">
        <f t="shared" si="49"/>
        <v>2</v>
      </c>
      <c r="HH22" s="58">
        <f t="shared" si="50"/>
        <v>0</v>
      </c>
    </row>
    <row r="23" spans="1:216" ht="15.75" x14ac:dyDescent="0.25">
      <c r="D23" s="58" t="str">
        <v>everolimus</v>
      </c>
      <c r="I23" s="64" t="s">
        <v>58</v>
      </c>
      <c r="J23" s="519" t="s">
        <v>544</v>
      </c>
      <c r="K23" s="524"/>
      <c r="L23" s="519"/>
      <c r="M23" s="516" t="s">
        <v>545</v>
      </c>
      <c r="N23" s="64" t="s">
        <v>546</v>
      </c>
      <c r="O23" s="64" t="s">
        <v>117</v>
      </c>
      <c r="P23" s="64" t="s">
        <v>547</v>
      </c>
      <c r="Q23" s="519" t="s">
        <v>544</v>
      </c>
      <c r="R23" s="516" t="s">
        <v>548</v>
      </c>
      <c r="S23" s="497"/>
      <c r="T23" s="497"/>
      <c r="U23" s="497"/>
      <c r="Y23" s="517"/>
      <c r="AA23" s="517"/>
      <c r="AF23" s="517"/>
      <c r="AM23" s="517"/>
      <c r="AO23" s="517"/>
      <c r="AT23" s="517"/>
      <c r="AV23" s="511"/>
      <c r="AW23" s="511"/>
      <c r="AX23" s="511"/>
      <c r="BA23" s="517"/>
      <c r="BC23" s="517"/>
      <c r="BH23" s="517"/>
      <c r="BJ23" s="511"/>
      <c r="BK23" s="511"/>
      <c r="BL23" s="511"/>
      <c r="BQ23" s="58">
        <f t="shared" si="0"/>
        <v>11</v>
      </c>
      <c r="BR23" s="17">
        <v>1</v>
      </c>
      <c r="BS23" s="17" t="s">
        <v>549</v>
      </c>
      <c r="BT23" s="17">
        <v>1</v>
      </c>
      <c r="BU23" s="17">
        <v>10</v>
      </c>
      <c r="BV23" s="17" t="str">
        <f t="shared" si="1"/>
        <v>everolimus</v>
      </c>
      <c r="BW23" s="1006" t="str" cm="1">
        <f t="array" ref="BW23">IF(I23="No",I23,INDEX(List_incl_anal_1L_PorI,IF(BU23=999,35,BU23+1)))</f>
        <v>No</v>
      </c>
      <c r="BX23" s="61">
        <f t="shared" si="2"/>
        <v>0</v>
      </c>
      <c r="BY23" s="531" t="str">
        <f t="shared" si="51"/>
        <v>Overall survival</v>
      </c>
      <c r="BZ23" s="530">
        <f t="shared" si="3"/>
        <v>0</v>
      </c>
      <c r="CA23" s="531">
        <f t="shared" si="52"/>
        <v>0</v>
      </c>
      <c r="CB23" s="530">
        <f t="shared" si="4"/>
        <v>1</v>
      </c>
      <c r="CC23" s="530">
        <f t="shared" si="5"/>
        <v>1</v>
      </c>
      <c r="CD23" s="530">
        <f t="shared" si="6"/>
        <v>7</v>
      </c>
      <c r="CE23" s="1295">
        <f t="shared" si="7"/>
        <v>2</v>
      </c>
      <c r="CF23" s="1301">
        <f t="shared" si="8"/>
        <v>0</v>
      </c>
      <c r="CG23" s="530" t="str">
        <f t="shared" si="9"/>
        <v>Exponential</v>
      </c>
      <c r="CH23" s="61">
        <f t="shared" si="10"/>
        <v>0</v>
      </c>
      <c r="CI23" s="61">
        <f t="shared" si="11"/>
        <v>0</v>
      </c>
      <c r="CJ23" s="61">
        <f t="shared" si="12"/>
        <v>0</v>
      </c>
      <c r="CV23" s="940">
        <v>0</v>
      </c>
      <c r="CW23" s="940" t="s">
        <v>31</v>
      </c>
      <c r="CX23" s="940">
        <v>1</v>
      </c>
      <c r="CY23" s="940">
        <v>2</v>
      </c>
      <c r="CZ23" s="940" t="str" cm="1">
        <f t="array" ref="CZ23">INDEX(List_trials,CY23+1)</f>
        <v>Real world evidence</v>
      </c>
      <c r="DA23" s="942" t="s">
        <v>544</v>
      </c>
      <c r="DB23" s="942" t="s">
        <v>550</v>
      </c>
      <c r="DC23" s="942" t="s">
        <v>551</v>
      </c>
      <c r="DD23" s="942"/>
      <c r="DE23" s="941"/>
      <c r="DF23" s="941" t="s">
        <v>103</v>
      </c>
      <c r="DG23" s="942" t="s">
        <v>117</v>
      </c>
      <c r="DH23" s="58">
        <f t="shared" si="54"/>
        <v>7</v>
      </c>
      <c r="DK23" s="58" t="str" cm="1">
        <f t="array" ref="DK23">IF(AND($BT23=4,$BX23=4,$BU23=999),$DB$36,_xlfn.IFNA(INDEX(DB$13:DB$70,MATCH(1,($BR23=$CV$13:$CV$70)*($BT23=$CX$13:$CX$70)*($CE23=$CY$13:$CY$70)*($BY23=$DA$13:$DA$70)*($CD23=$DH$13:$DH$70),0)),""))</f>
        <v>Exponential</v>
      </c>
      <c r="DL23" s="58" t="str" cm="1">
        <f t="array" ref="DL23">IF(AND($BT23=4,$BX23=4,$BU23=999),$DC$36,_xlfn.IFNA(INDEX(CHOOSE(DP23,DB$13:DB$70,DC$13:DC$70,DD$13:DD$70,DE$13:DE$70),MATCH(1,($BR23=$CV$13:$CV$70)*($BT23=$CX$13:$CX$70)*($CE23=$CY$13:$CY$70)*($BY23=$DA$13:$DA$70)*($CD23=$DH$13:$DH$70),0)),""))</f>
        <v>Exponential</v>
      </c>
      <c r="DM23" s="740" cm="1">
        <f t="array" ref="DM23">IF(AND($BT23=4,$BX23=4,$BU23=999),$DD$36,_xlfn.IFNA(INDEX(DD$13:DD$68,MATCH(1,($BR23=$CV$13:$CV$68)*($BT23=$CX$13:$CX$68)*($CE23=$CY$13:$CY$68)*($BY23=$DA$13:$DA$68)*($CD23=$DH$13:$DH$68),0)),""))</f>
        <v>0</v>
      </c>
      <c r="DN23" s="740" cm="1">
        <f t="array" ref="DN23">IF(AND($BT23=4,$BX23=4,$BU23=999),$DD$36,_xlfn.IFNA(INDEX(DE$13:DE$68,MATCH(1,($BR23=$CV$13:$CV$68)*($BT23=$CX$13:$CX$68)*($CE23=$CY$13:$CY$68)*($BY23=$DA$13:$DA$68)*($CD23=$DH$13:$DH$68),0)),""))</f>
        <v>0</v>
      </c>
      <c r="DO23" s="58" t="str" cm="1">
        <f t="array" ref="DO23">IF(AND($BT23=4,$BX23=4,$BU23=999),$DF$36,_xlfn.IFNA(INDEX(DF$13:DF$70,MATCH(1,($BR23=$CV$13:$CV$70)*($BT23=$CX$13:$CX$70)*($CE23=$CY$13:$CY$70)*($BY23=$DA$13:$DA$70)*($CD23=$DH$13:$DH$70),0)),""))</f>
        <v>Base case</v>
      </c>
      <c r="DP23" s="58">
        <f t="shared" si="13"/>
        <v>1</v>
      </c>
      <c r="DW23" s="58" t="s">
        <v>58</v>
      </c>
      <c r="DX23" s="58" t="s">
        <v>544</v>
      </c>
      <c r="DY23" s="58">
        <v>0</v>
      </c>
      <c r="DZ23" s="58">
        <v>0</v>
      </c>
      <c r="EB23" s="58">
        <v>1</v>
      </c>
      <c r="EC23" s="58">
        <v>1</v>
      </c>
      <c r="ED23" s="58">
        <v>7</v>
      </c>
      <c r="EE23" s="58">
        <v>2</v>
      </c>
      <c r="EF23" s="58">
        <v>0</v>
      </c>
      <c r="EI23" s="58" t="s">
        <v>58</v>
      </c>
      <c r="EJ23" s="58" t="s">
        <v>544</v>
      </c>
      <c r="EK23" s="58">
        <v>0</v>
      </c>
      <c r="EL23" s="58">
        <v>0</v>
      </c>
      <c r="EN23" s="58">
        <v>1</v>
      </c>
      <c r="EO23" s="58">
        <v>1</v>
      </c>
      <c r="EP23" s="58">
        <v>7</v>
      </c>
      <c r="EQ23" s="58">
        <v>0</v>
      </c>
      <c r="ER23" s="58">
        <v>0</v>
      </c>
      <c r="EU23" s="58" t="str">
        <f t="shared" si="14"/>
        <v>No</v>
      </c>
      <c r="EV23" s="58" t="str">
        <f t="shared" si="15"/>
        <v>Overall survival</v>
      </c>
      <c r="EW23" s="58">
        <f t="shared" si="16"/>
        <v>0</v>
      </c>
      <c r="EX23" s="58">
        <f t="shared" si="17"/>
        <v>0</v>
      </c>
      <c r="EZ23" s="58">
        <f t="shared" si="18"/>
        <v>1</v>
      </c>
      <c r="FA23" s="58">
        <f t="shared" si="19"/>
        <v>1</v>
      </c>
      <c r="FB23" s="58">
        <f>IF(i_eff_inputs_based_on_num=2,ED23,(INDEX(Lists!$L$51:$L$85,MATCH(O23,Lists!$K$51:$K$85,0))))</f>
        <v>7</v>
      </c>
      <c r="FC23" s="58">
        <f>IF(i_eff_inputs_based_on_num=2,EE23,(INDEX(Lists!$L$51:$L$85,MATCH(P23,Lists!$K$51:$K$85,0))))</f>
        <v>2</v>
      </c>
      <c r="FD23" s="58">
        <f>IF(i_eff_inputs_based_on_num=2,EF23,(INDEX(Lists!$L$51:$L$85,MATCH(Q23,Lists!$K$51:$K$85,0))))</f>
        <v>0</v>
      </c>
      <c r="FG23" s="58" t="str">
        <f t="shared" si="20"/>
        <v>No</v>
      </c>
      <c r="FH23" s="58" t="str">
        <f t="shared" si="21"/>
        <v>Overall survival</v>
      </c>
      <c r="FI23" s="58">
        <f t="shared" si="22"/>
        <v>0</v>
      </c>
      <c r="FJ23" s="58">
        <f t="shared" si="23"/>
        <v>0</v>
      </c>
      <c r="FL23" s="58">
        <f t="shared" si="24"/>
        <v>1</v>
      </c>
      <c r="FM23" s="58">
        <f t="shared" si="25"/>
        <v>1</v>
      </c>
      <c r="FN23" s="58">
        <f>IF(i_eff_inputs_based_on_num=2,EP23,(INDEX(Lists!$L$51:$L$85,MATCH(O23,Lists!$K$51:$K$85,0))))</f>
        <v>7</v>
      </c>
      <c r="FO23" s="58">
        <f>IF(i_eff_inputs_based_on_num=2,EQ23,(INDEX(Lists!$L$51:$L$85,MATCH(P23,Lists!$K$51:$K$85,0))))</f>
        <v>0</v>
      </c>
      <c r="FP23" s="58">
        <f>IF(i_eff_inputs_based_on_num=2,ER23,(INDEX(Lists!$L$51:$L$85,MATCH(Q23,Lists!$K$51:$K$85,0))))</f>
        <v>0</v>
      </c>
      <c r="FT23" s="58">
        <f t="shared" si="26"/>
        <v>0</v>
      </c>
      <c r="FW23" s="58">
        <f>IF(i_baseline_risk_from=2,'Effectiveness settings'!EW23,'Effectiveness settings'!FI23)</f>
        <v>0</v>
      </c>
      <c r="FX23" s="58">
        <f t="shared" si="27"/>
        <v>0</v>
      </c>
      <c r="FY23" s="58">
        <f t="shared" si="28"/>
        <v>0</v>
      </c>
      <c r="FZ23" s="58">
        <f t="shared" si="29"/>
        <v>0</v>
      </c>
      <c r="GA23" s="58">
        <f t="shared" si="30"/>
        <v>0</v>
      </c>
      <c r="GB23" s="58">
        <f t="shared" si="31"/>
        <v>0</v>
      </c>
      <c r="GC23" s="58">
        <f t="shared" si="32"/>
        <v>0</v>
      </c>
      <c r="GD23" s="58">
        <f t="shared" si="33"/>
        <v>0</v>
      </c>
      <c r="GE23" s="58">
        <f>IF(AND(dd_CheckMate214_TTD="Yes",'Effectiveness settings'!BU23=2,'Effectiveness settings'!BX23=2),"Apply HR to",GD23)</f>
        <v>0</v>
      </c>
      <c r="GF23" s="58">
        <f t="shared" si="34"/>
        <v>0</v>
      </c>
      <c r="GG23" s="58">
        <f t="shared" si="35"/>
        <v>0</v>
      </c>
      <c r="GH23" s="58">
        <f t="shared" si="36"/>
        <v>0</v>
      </c>
      <c r="GI23" s="58">
        <f t="shared" si="37"/>
        <v>0</v>
      </c>
      <c r="GK23" s="58">
        <f>IF(i_baseline_risk_from=2,'Effectiveness settings'!FA23,'Effectiveness settings'!FM23)</f>
        <v>1</v>
      </c>
      <c r="GL23" s="58">
        <f>IF(i_baseline_risk_from=2,'Effectiveness settings'!FB23,'Effectiveness settings'!FN23)</f>
        <v>7</v>
      </c>
      <c r="GM23" s="58">
        <f>IF(i_baseline_risk_from=2,'Effectiveness settings'!FC23,'Effectiveness settings'!FO23)</f>
        <v>2</v>
      </c>
      <c r="GN23" s="58">
        <f>IF(i_baseline_risk_from=2,'Effectiveness settings'!FD23,'Effectiveness settings'!FP23)</f>
        <v>0</v>
      </c>
      <c r="GQ23" s="58">
        <f t="shared" si="38"/>
        <v>7</v>
      </c>
      <c r="GR23" s="58">
        <f t="shared" si="39"/>
        <v>7</v>
      </c>
      <c r="GS23" s="58">
        <f t="shared" si="40"/>
        <v>7</v>
      </c>
      <c r="GT23" s="58">
        <f t="shared" si="41"/>
        <v>7</v>
      </c>
      <c r="GU23" s="58">
        <f>IF(AND(dd_CheckMate214_TTD="Yes",'Effectiveness settings'!BU23=2,'Effectiveness settings'!BX23=2),2,GT23)</f>
        <v>7</v>
      </c>
      <c r="GV23" s="58">
        <f t="shared" si="42"/>
        <v>7</v>
      </c>
      <c r="GW23" s="58">
        <f t="shared" si="43"/>
        <v>7</v>
      </c>
      <c r="GY23" s="58">
        <f>IF(AND(dd_CheckMate214_TTD="Yes",'Effectiveness settings'!BU23=2,'Effectiveness settings'!BX23=2),1,GN23)</f>
        <v>0</v>
      </c>
      <c r="GZ23" s="58">
        <f t="shared" si="44"/>
        <v>0</v>
      </c>
      <c r="HB23" s="58">
        <f t="shared" si="45"/>
        <v>1</v>
      </c>
      <c r="HD23" s="58">
        <f t="shared" si="46"/>
        <v>1</v>
      </c>
      <c r="HE23" s="58">
        <f t="shared" si="47"/>
        <v>1</v>
      </c>
      <c r="HF23" s="58">
        <f t="shared" si="48"/>
        <v>7</v>
      </c>
      <c r="HG23" s="58">
        <f t="shared" si="49"/>
        <v>2</v>
      </c>
      <c r="HH23" s="58">
        <f t="shared" si="50"/>
        <v>0</v>
      </c>
    </row>
    <row r="24" spans="1:216" ht="15.75" x14ac:dyDescent="0.25">
      <c r="D24" s="58" t="str">
        <v>axitinib</v>
      </c>
      <c r="I24" s="64" t="s">
        <v>58</v>
      </c>
      <c r="J24" s="519" t="s">
        <v>544</v>
      </c>
      <c r="K24" s="524"/>
      <c r="L24" s="519"/>
      <c r="M24" s="516" t="s">
        <v>545</v>
      </c>
      <c r="N24" s="64" t="s">
        <v>546</v>
      </c>
      <c r="O24" s="64" t="s">
        <v>117</v>
      </c>
      <c r="P24" s="64" t="s">
        <v>547</v>
      </c>
      <c r="Q24" s="519" t="s">
        <v>544</v>
      </c>
      <c r="R24" s="516" t="s">
        <v>548</v>
      </c>
      <c r="S24" s="497"/>
      <c r="T24" s="497"/>
      <c r="U24" s="497"/>
      <c r="Y24" s="517"/>
      <c r="AA24" s="517"/>
      <c r="AF24" s="517"/>
      <c r="AM24" s="517"/>
      <c r="AO24" s="517"/>
      <c r="AT24" s="517"/>
      <c r="AV24" s="511"/>
      <c r="AW24" s="511"/>
      <c r="AX24" s="511"/>
      <c r="BA24" s="517"/>
      <c r="BC24" s="517"/>
      <c r="BH24" s="517"/>
      <c r="BJ24" s="511"/>
      <c r="BK24" s="511"/>
      <c r="BL24" s="511"/>
      <c r="BQ24" s="58">
        <f t="shared" si="0"/>
        <v>12</v>
      </c>
      <c r="BR24" s="17">
        <v>1</v>
      </c>
      <c r="BS24" s="17" t="s">
        <v>549</v>
      </c>
      <c r="BT24" s="17">
        <v>1</v>
      </c>
      <c r="BU24" s="17">
        <v>11</v>
      </c>
      <c r="BV24" s="17" t="str">
        <f t="shared" si="1"/>
        <v>axitinib</v>
      </c>
      <c r="BW24" s="1006" t="str" cm="1">
        <f t="array" ref="BW24">IF(I24="No",I24,INDEX(List_incl_anal_1L_PorI,IF(BU24=999,35,BU24+1)))</f>
        <v>No</v>
      </c>
      <c r="BX24" s="61">
        <f t="shared" si="2"/>
        <v>0</v>
      </c>
      <c r="BY24" s="531" t="str">
        <f t="shared" si="51"/>
        <v>Overall survival</v>
      </c>
      <c r="BZ24" s="530">
        <f t="shared" si="3"/>
        <v>0</v>
      </c>
      <c r="CA24" s="531">
        <f t="shared" si="52"/>
        <v>0</v>
      </c>
      <c r="CB24" s="530">
        <f t="shared" si="4"/>
        <v>1</v>
      </c>
      <c r="CC24" s="530">
        <f t="shared" si="5"/>
        <v>1</v>
      </c>
      <c r="CD24" s="530">
        <f t="shared" si="6"/>
        <v>7</v>
      </c>
      <c r="CE24" s="1295">
        <f t="shared" si="7"/>
        <v>2</v>
      </c>
      <c r="CF24" s="1301">
        <f t="shared" si="8"/>
        <v>0</v>
      </c>
      <c r="CG24" s="530" t="str">
        <f t="shared" si="9"/>
        <v>Exponential</v>
      </c>
      <c r="CH24" s="61">
        <f t="shared" si="10"/>
        <v>0</v>
      </c>
      <c r="CI24" s="61">
        <f t="shared" si="11"/>
        <v>0</v>
      </c>
      <c r="CJ24" s="61">
        <f t="shared" si="12"/>
        <v>0</v>
      </c>
      <c r="CV24" s="940">
        <v>0</v>
      </c>
      <c r="CW24" s="940" t="s">
        <v>31</v>
      </c>
      <c r="CX24" s="940">
        <v>1</v>
      </c>
      <c r="CY24" s="940">
        <v>2</v>
      </c>
      <c r="CZ24" s="940" t="str" cm="1">
        <f t="array" ref="CZ24">INDEX(List_trials,CY24+1)</f>
        <v>Real world evidence</v>
      </c>
      <c r="DA24" s="941" t="s">
        <v>552</v>
      </c>
      <c r="DB24" s="941" t="s">
        <v>553</v>
      </c>
      <c r="DC24" s="941" t="s">
        <v>551</v>
      </c>
      <c r="DD24" s="942"/>
      <c r="DE24" s="941"/>
      <c r="DF24" s="941" t="s">
        <v>103</v>
      </c>
      <c r="DG24" s="941" t="s">
        <v>117</v>
      </c>
      <c r="DH24" s="58">
        <f t="shared" si="54"/>
        <v>7</v>
      </c>
      <c r="DK24" s="58" t="str" cm="1">
        <f t="array" ref="DK24">IF(AND($BT24=4,$BX24=4,$BU24=999),$DB$36,_xlfn.IFNA(INDEX(DB$13:DB$70,MATCH(1,($BR24=$CV$13:$CV$70)*($BT24=$CX$13:$CX$70)*($CE24=$CY$13:$CY$70)*($BY24=$DA$13:$DA$70)*($CD24=$DH$13:$DH$70),0)),""))</f>
        <v>Exponential</v>
      </c>
      <c r="DL24" s="58" t="str" cm="1">
        <f t="array" ref="DL24">IF(AND($BT24=4,$BX24=4,$BU24=999),$DC$36,_xlfn.IFNA(INDEX(CHOOSE(DP24,DB$13:DB$70,DC$13:DC$70,DD$13:DD$70,DE$13:DE$70),MATCH(1,($BR24=$CV$13:$CV$70)*($BT24=$CX$13:$CX$70)*($CE24=$CY$13:$CY$70)*($BY24=$DA$13:$DA$70)*($CD24=$DH$13:$DH$70),0)),""))</f>
        <v>Exponential</v>
      </c>
      <c r="DM24" s="740" cm="1">
        <f t="array" ref="DM24">IF(AND($BT24=4,$BX24=4,$BU24=999),$DD$36,_xlfn.IFNA(INDEX(DD$13:DD$68,MATCH(1,($BR24=$CV$13:$CV$68)*($BT24=$CX$13:$CX$68)*($CE24=$CY$13:$CY$68)*($BY24=$DA$13:$DA$68)*($CD24=$DH$13:$DH$68),0)),""))</f>
        <v>0</v>
      </c>
      <c r="DN24" s="740" cm="1">
        <f t="array" ref="DN24">IF(AND($BT24=4,$BX24=4,$BU24=999),$DD$36,_xlfn.IFNA(INDEX(DE$13:DE$68,MATCH(1,($BR24=$CV$13:$CV$68)*($BT24=$CX$13:$CX$68)*($CE24=$CY$13:$CY$68)*($BY24=$DA$13:$DA$68)*($CD24=$DH$13:$DH$68),0)),""))</f>
        <v>0</v>
      </c>
      <c r="DO24" s="58" t="str" cm="1">
        <f t="array" ref="DO24">IF(AND($BT24=4,$BX24=4,$BU24=999),$DF$36,_xlfn.IFNA(INDEX(DF$13:DF$70,MATCH(1,($BR24=$CV$13:$CV$70)*($BT24=$CX$13:$CX$70)*($CE24=$CY$13:$CY$70)*($BY24=$DA$13:$DA$70)*($CD24=$DH$13:$DH$70),0)),""))</f>
        <v>Base case</v>
      </c>
      <c r="DP24" s="58">
        <f t="shared" si="13"/>
        <v>1</v>
      </c>
      <c r="DW24" s="58" t="s">
        <v>58</v>
      </c>
      <c r="DX24" s="58" t="s">
        <v>544</v>
      </c>
      <c r="DY24" s="58">
        <v>0</v>
      </c>
      <c r="DZ24" s="58">
        <v>0</v>
      </c>
      <c r="EB24" s="58">
        <v>1</v>
      </c>
      <c r="EC24" s="58">
        <v>1</v>
      </c>
      <c r="ED24" s="58">
        <v>7</v>
      </c>
      <c r="EE24" s="58">
        <v>2</v>
      </c>
      <c r="EF24" s="58">
        <v>0</v>
      </c>
      <c r="EI24" s="58" t="s">
        <v>58</v>
      </c>
      <c r="EJ24" s="58" t="s">
        <v>544</v>
      </c>
      <c r="EK24" s="58">
        <v>0</v>
      </c>
      <c r="EL24" s="58">
        <v>0</v>
      </c>
      <c r="EN24" s="58">
        <v>1</v>
      </c>
      <c r="EO24" s="58">
        <v>1</v>
      </c>
      <c r="EP24" s="58">
        <v>7</v>
      </c>
      <c r="EQ24" s="58">
        <v>0</v>
      </c>
      <c r="ER24" s="58">
        <v>0</v>
      </c>
      <c r="EU24" s="58" t="str">
        <f t="shared" si="14"/>
        <v>No</v>
      </c>
      <c r="EV24" s="58" t="str">
        <f t="shared" si="15"/>
        <v>Overall survival</v>
      </c>
      <c r="EW24" s="58">
        <f t="shared" si="16"/>
        <v>0</v>
      </c>
      <c r="EX24" s="58">
        <f t="shared" si="17"/>
        <v>0</v>
      </c>
      <c r="EZ24" s="58">
        <f t="shared" si="18"/>
        <v>1</v>
      </c>
      <c r="FA24" s="58">
        <f t="shared" si="19"/>
        <v>1</v>
      </c>
      <c r="FB24" s="58">
        <f>IF(i_eff_inputs_based_on_num=2,ED24,(INDEX(Lists!$L$51:$L$85,MATCH(O24,Lists!$K$51:$K$85,0))))</f>
        <v>7</v>
      </c>
      <c r="FC24" s="58">
        <f>IF(i_eff_inputs_based_on_num=2,EE24,(INDEX(Lists!$L$51:$L$85,MATCH(P24,Lists!$K$51:$K$85,0))))</f>
        <v>2</v>
      </c>
      <c r="FD24" s="58">
        <f>IF(i_eff_inputs_based_on_num=2,EF24,(INDEX(Lists!$L$51:$L$85,MATCH(Q24,Lists!$K$51:$K$85,0))))</f>
        <v>0</v>
      </c>
      <c r="FG24" s="58" t="str">
        <f t="shared" si="20"/>
        <v>No</v>
      </c>
      <c r="FH24" s="58" t="str">
        <f t="shared" si="21"/>
        <v>Overall survival</v>
      </c>
      <c r="FI24" s="58">
        <f t="shared" si="22"/>
        <v>0</v>
      </c>
      <c r="FJ24" s="58">
        <f t="shared" si="23"/>
        <v>0</v>
      </c>
      <c r="FL24" s="58">
        <f t="shared" si="24"/>
        <v>1</v>
      </c>
      <c r="FM24" s="58">
        <f t="shared" si="25"/>
        <v>1</v>
      </c>
      <c r="FN24" s="58">
        <f>IF(i_eff_inputs_based_on_num=2,EP24,(INDEX(Lists!$L$51:$L$85,MATCH(O24,Lists!$K$51:$K$85,0))))</f>
        <v>7</v>
      </c>
      <c r="FO24" s="58">
        <f>IF(i_eff_inputs_based_on_num=2,EQ24,(INDEX(Lists!$L$51:$L$85,MATCH(P24,Lists!$K$51:$K$85,0))))</f>
        <v>0</v>
      </c>
      <c r="FP24" s="58">
        <f>IF(i_eff_inputs_based_on_num=2,ER24,(INDEX(Lists!$L$51:$L$85,MATCH(Q24,Lists!$K$51:$K$85,0))))</f>
        <v>0</v>
      </c>
      <c r="FT24" s="58">
        <f t="shared" si="26"/>
        <v>0</v>
      </c>
      <c r="FW24" s="58">
        <f>IF(i_baseline_risk_from=2,'Effectiveness settings'!EW24,'Effectiveness settings'!FI24)</f>
        <v>0</v>
      </c>
      <c r="FX24" s="58">
        <f t="shared" si="27"/>
        <v>0</v>
      </c>
      <c r="FY24" s="58">
        <f t="shared" si="28"/>
        <v>0</v>
      </c>
      <c r="FZ24" s="58">
        <f t="shared" si="29"/>
        <v>0</v>
      </c>
      <c r="GA24" s="58">
        <f t="shared" si="30"/>
        <v>0</v>
      </c>
      <c r="GB24" s="58">
        <f t="shared" si="31"/>
        <v>0</v>
      </c>
      <c r="GC24" s="58">
        <f t="shared" si="32"/>
        <v>0</v>
      </c>
      <c r="GD24" s="58">
        <f t="shared" si="33"/>
        <v>0</v>
      </c>
      <c r="GE24" s="58">
        <f>IF(AND(dd_CheckMate214_TTD="Yes",'Effectiveness settings'!BU24=2,'Effectiveness settings'!BX24=2),"Apply HR to",GD24)</f>
        <v>0</v>
      </c>
      <c r="GF24" s="58">
        <f t="shared" si="34"/>
        <v>0</v>
      </c>
      <c r="GG24" s="58">
        <f t="shared" si="35"/>
        <v>0</v>
      </c>
      <c r="GH24" s="58">
        <f t="shared" si="36"/>
        <v>0</v>
      </c>
      <c r="GI24" s="58">
        <f t="shared" si="37"/>
        <v>0</v>
      </c>
      <c r="GK24" s="58">
        <f>IF(i_baseline_risk_from=2,'Effectiveness settings'!FA24,'Effectiveness settings'!FM24)</f>
        <v>1</v>
      </c>
      <c r="GL24" s="58">
        <f>IF(i_baseline_risk_from=2,'Effectiveness settings'!FB24,'Effectiveness settings'!FN24)</f>
        <v>7</v>
      </c>
      <c r="GM24" s="58">
        <f>IF(i_baseline_risk_from=2,'Effectiveness settings'!FC24,'Effectiveness settings'!FO24)</f>
        <v>2</v>
      </c>
      <c r="GN24" s="58">
        <f>IF(i_baseline_risk_from=2,'Effectiveness settings'!FD24,'Effectiveness settings'!FP24)</f>
        <v>0</v>
      </c>
      <c r="GQ24" s="58">
        <f t="shared" si="38"/>
        <v>7</v>
      </c>
      <c r="GR24" s="58">
        <f t="shared" si="39"/>
        <v>7</v>
      </c>
      <c r="GS24" s="58">
        <f t="shared" si="40"/>
        <v>7</v>
      </c>
      <c r="GT24" s="58">
        <f t="shared" si="41"/>
        <v>7</v>
      </c>
      <c r="GU24" s="58">
        <f>IF(AND(dd_CheckMate214_TTD="Yes",'Effectiveness settings'!BU24=2,'Effectiveness settings'!BX24=2),2,GT24)</f>
        <v>7</v>
      </c>
      <c r="GV24" s="58">
        <f t="shared" si="42"/>
        <v>7</v>
      </c>
      <c r="GW24" s="58">
        <f t="shared" si="43"/>
        <v>7</v>
      </c>
      <c r="GY24" s="58">
        <f>IF(AND(dd_CheckMate214_TTD="Yes",'Effectiveness settings'!BU24=2,'Effectiveness settings'!BX24=2),1,GN24)</f>
        <v>0</v>
      </c>
      <c r="GZ24" s="58">
        <f t="shared" si="44"/>
        <v>0</v>
      </c>
      <c r="HB24" s="58">
        <f t="shared" si="45"/>
        <v>1</v>
      </c>
      <c r="HD24" s="58">
        <f t="shared" si="46"/>
        <v>1</v>
      </c>
      <c r="HE24" s="58">
        <f t="shared" si="47"/>
        <v>1</v>
      </c>
      <c r="HF24" s="58">
        <f t="shared" si="48"/>
        <v>7</v>
      </c>
      <c r="HG24" s="58">
        <f t="shared" si="49"/>
        <v>2</v>
      </c>
      <c r="HH24" s="58">
        <f t="shared" si="50"/>
        <v>0</v>
      </c>
    </row>
    <row r="25" spans="1:216" ht="15.75" x14ac:dyDescent="0.25">
      <c r="D25" s="58" t="str">
        <v>sorafenib</v>
      </c>
      <c r="I25" s="64" t="s">
        <v>58</v>
      </c>
      <c r="J25" s="519" t="s">
        <v>544</v>
      </c>
      <c r="K25" s="524"/>
      <c r="L25" s="519"/>
      <c r="M25" s="516" t="s">
        <v>545</v>
      </c>
      <c r="N25" s="64" t="s">
        <v>546</v>
      </c>
      <c r="O25" s="64" t="s">
        <v>117</v>
      </c>
      <c r="P25" s="64" t="s">
        <v>547</v>
      </c>
      <c r="Q25" s="519" t="s">
        <v>544</v>
      </c>
      <c r="R25" s="516" t="s">
        <v>548</v>
      </c>
      <c r="S25" s="497"/>
      <c r="T25" s="497"/>
      <c r="U25" s="497"/>
      <c r="Y25" s="517"/>
      <c r="AA25" s="517"/>
      <c r="AF25" s="517"/>
      <c r="AM25" s="517"/>
      <c r="AO25" s="517"/>
      <c r="AT25" s="517"/>
      <c r="AV25" s="511"/>
      <c r="AW25" s="511"/>
      <c r="AX25" s="511"/>
      <c r="BA25" s="517"/>
      <c r="BC25" s="517"/>
      <c r="BH25" s="517"/>
      <c r="BJ25" s="511"/>
      <c r="BK25" s="511"/>
      <c r="BL25" s="511"/>
      <c r="BQ25" s="58">
        <f t="shared" si="0"/>
        <v>13</v>
      </c>
      <c r="BR25" s="17">
        <v>1</v>
      </c>
      <c r="BS25" s="17" t="s">
        <v>549</v>
      </c>
      <c r="BT25" s="17">
        <v>1</v>
      </c>
      <c r="BU25" s="17">
        <v>12</v>
      </c>
      <c r="BV25" s="17" t="str">
        <f t="shared" si="1"/>
        <v>sorafenib</v>
      </c>
      <c r="BW25" s="1006" t="str" cm="1">
        <f t="array" ref="BW25">IF(I25="No",I25,INDEX(List_incl_anal_1L_PorI,IF(BU25=999,35,BU25+1)))</f>
        <v>No</v>
      </c>
      <c r="BX25" s="61">
        <f t="shared" si="2"/>
        <v>0</v>
      </c>
      <c r="BY25" s="531" t="str">
        <f t="shared" si="51"/>
        <v>Overall survival</v>
      </c>
      <c r="BZ25" s="530">
        <f t="shared" si="3"/>
        <v>0</v>
      </c>
      <c r="CA25" s="531">
        <f t="shared" si="52"/>
        <v>0</v>
      </c>
      <c r="CB25" s="530">
        <f t="shared" si="4"/>
        <v>1</v>
      </c>
      <c r="CC25" s="530">
        <f t="shared" si="5"/>
        <v>1</v>
      </c>
      <c r="CD25" s="530">
        <f t="shared" si="6"/>
        <v>7</v>
      </c>
      <c r="CE25" s="1295">
        <f t="shared" si="7"/>
        <v>2</v>
      </c>
      <c r="CF25" s="1301">
        <f t="shared" si="8"/>
        <v>0</v>
      </c>
      <c r="CG25" s="530" t="str">
        <f t="shared" si="9"/>
        <v>Exponential</v>
      </c>
      <c r="CH25" s="61">
        <f t="shared" si="10"/>
        <v>0</v>
      </c>
      <c r="CI25" s="61">
        <f t="shared" si="11"/>
        <v>0</v>
      </c>
      <c r="CJ25" s="61">
        <f t="shared" si="12"/>
        <v>0</v>
      </c>
      <c r="CV25" s="940">
        <v>0</v>
      </c>
      <c r="CW25" s="940" t="s">
        <v>31</v>
      </c>
      <c r="CX25" s="940">
        <v>1</v>
      </c>
      <c r="CY25" s="940">
        <v>2</v>
      </c>
      <c r="CZ25" s="940" t="str" cm="1">
        <f t="array" ref="CZ25">INDEX(List_trials,CY25+1)</f>
        <v>Real world evidence</v>
      </c>
      <c r="DA25" s="941" t="s">
        <v>554</v>
      </c>
      <c r="DB25" s="941" t="s">
        <v>553</v>
      </c>
      <c r="DC25" s="941" t="s">
        <v>551</v>
      </c>
      <c r="DD25" s="942"/>
      <c r="DE25" s="941"/>
      <c r="DF25" s="941" t="s">
        <v>103</v>
      </c>
      <c r="DG25" s="941" t="s">
        <v>117</v>
      </c>
      <c r="DH25" s="58">
        <f t="shared" si="54"/>
        <v>7</v>
      </c>
      <c r="DK25" s="58" t="str" cm="1">
        <f t="array" ref="DK25">IF(AND($BT25=4,$BX25=4,$BU25=999),$DB$36,_xlfn.IFNA(INDEX(DB$13:DB$70,MATCH(1,($BR25=$CV$13:$CV$70)*($BT25=$CX$13:$CX$70)*($CE25=$CY$13:$CY$70)*($BY25=$DA$13:$DA$70)*($CD25=$DH$13:$DH$70),0)),""))</f>
        <v>Exponential</v>
      </c>
      <c r="DL25" s="58" t="str" cm="1">
        <f t="array" ref="DL25">IF(AND($BT25=4,$BX25=4,$BU25=999),$DC$36,_xlfn.IFNA(INDEX(CHOOSE(DP25,DB$13:DB$70,DC$13:DC$70,DD$13:DD$70,DE$13:DE$70),MATCH(1,($BR25=$CV$13:$CV$70)*($BT25=$CX$13:$CX$70)*($CE25=$CY$13:$CY$70)*($BY25=$DA$13:$DA$70)*($CD25=$DH$13:$DH$70),0)),""))</f>
        <v>Exponential</v>
      </c>
      <c r="DM25" s="740" cm="1">
        <f t="array" ref="DM25">IF(AND($BT25=4,$BX25=4,$BU25=999),$DD$36,_xlfn.IFNA(INDEX(DD$13:DD$68,MATCH(1,($BR25=$CV$13:$CV$68)*($BT25=$CX$13:$CX$68)*($CE25=$CY$13:$CY$68)*($BY25=$DA$13:$DA$68)*($CD25=$DH$13:$DH$68),0)),""))</f>
        <v>0</v>
      </c>
      <c r="DN25" s="740" cm="1">
        <f t="array" ref="DN25">IF(AND($BT25=4,$BX25=4,$BU25=999),$DD$36,_xlfn.IFNA(INDEX(DE$13:DE$68,MATCH(1,($BR25=$CV$13:$CV$68)*($BT25=$CX$13:$CX$68)*($CE25=$CY$13:$CY$68)*($BY25=$DA$13:$DA$68)*($CD25=$DH$13:$DH$68),0)),""))</f>
        <v>0</v>
      </c>
      <c r="DO25" s="58" t="str" cm="1">
        <f t="array" ref="DO25">IF(AND($BT25=4,$BX25=4,$BU25=999),$DF$36,_xlfn.IFNA(INDEX(DF$13:DF$70,MATCH(1,($BR25=$CV$13:$CV$70)*($BT25=$CX$13:$CX$70)*($CE25=$CY$13:$CY$70)*($BY25=$DA$13:$DA$70)*($CD25=$DH$13:$DH$70),0)),""))</f>
        <v>Base case</v>
      </c>
      <c r="DP25" s="58">
        <f t="shared" si="13"/>
        <v>1</v>
      </c>
      <c r="DW25" s="58" t="s">
        <v>58</v>
      </c>
      <c r="DX25" s="58" t="s">
        <v>544</v>
      </c>
      <c r="DY25" s="58">
        <v>0</v>
      </c>
      <c r="DZ25" s="58">
        <v>0</v>
      </c>
      <c r="EB25" s="58">
        <v>1</v>
      </c>
      <c r="EC25" s="58">
        <v>1</v>
      </c>
      <c r="ED25" s="58">
        <v>7</v>
      </c>
      <c r="EE25" s="58">
        <v>2</v>
      </c>
      <c r="EF25" s="58">
        <v>0</v>
      </c>
      <c r="EI25" s="58" t="s">
        <v>58</v>
      </c>
      <c r="EJ25" s="58" t="s">
        <v>544</v>
      </c>
      <c r="EK25" s="58">
        <v>0</v>
      </c>
      <c r="EL25" s="58">
        <v>0</v>
      </c>
      <c r="EN25" s="58">
        <v>1</v>
      </c>
      <c r="EO25" s="58">
        <v>1</v>
      </c>
      <c r="EP25" s="58">
        <v>7</v>
      </c>
      <c r="EQ25" s="58">
        <v>0</v>
      </c>
      <c r="ER25" s="58">
        <v>0</v>
      </c>
      <c r="EU25" s="58" t="str">
        <f t="shared" si="14"/>
        <v>No</v>
      </c>
      <c r="EV25" s="58" t="str">
        <f t="shared" si="15"/>
        <v>Overall survival</v>
      </c>
      <c r="EW25" s="58">
        <f t="shared" si="16"/>
        <v>0</v>
      </c>
      <c r="EX25" s="58">
        <f t="shared" si="17"/>
        <v>0</v>
      </c>
      <c r="EZ25" s="58">
        <f t="shared" si="18"/>
        <v>1</v>
      </c>
      <c r="FA25" s="58">
        <f t="shared" si="19"/>
        <v>1</v>
      </c>
      <c r="FB25" s="58">
        <f>IF(i_eff_inputs_based_on_num=2,ED25,(INDEX(Lists!$L$51:$L$85,MATCH(O25,Lists!$K$51:$K$85,0))))</f>
        <v>7</v>
      </c>
      <c r="FC25" s="58">
        <f>IF(i_eff_inputs_based_on_num=2,EE25,(INDEX(Lists!$L$51:$L$85,MATCH(P25,Lists!$K$51:$K$85,0))))</f>
        <v>2</v>
      </c>
      <c r="FD25" s="58">
        <f>IF(i_eff_inputs_based_on_num=2,EF25,(INDEX(Lists!$L$51:$L$85,MATCH(Q25,Lists!$K$51:$K$85,0))))</f>
        <v>0</v>
      </c>
      <c r="FG25" s="58" t="str">
        <f t="shared" si="20"/>
        <v>No</v>
      </c>
      <c r="FH25" s="58" t="str">
        <f t="shared" si="21"/>
        <v>Overall survival</v>
      </c>
      <c r="FI25" s="58">
        <f t="shared" si="22"/>
        <v>0</v>
      </c>
      <c r="FJ25" s="58">
        <f t="shared" si="23"/>
        <v>0</v>
      </c>
      <c r="FL25" s="58">
        <f t="shared" si="24"/>
        <v>1</v>
      </c>
      <c r="FM25" s="58">
        <f t="shared" si="25"/>
        <v>1</v>
      </c>
      <c r="FN25" s="58">
        <f>IF(i_eff_inputs_based_on_num=2,EP25,(INDEX(Lists!$L$51:$L$85,MATCH(O25,Lists!$K$51:$K$85,0))))</f>
        <v>7</v>
      </c>
      <c r="FO25" s="58">
        <f>IF(i_eff_inputs_based_on_num=2,EQ25,(INDEX(Lists!$L$51:$L$85,MATCH(P25,Lists!$K$51:$K$85,0))))</f>
        <v>0</v>
      </c>
      <c r="FP25" s="58">
        <f>IF(i_eff_inputs_based_on_num=2,ER25,(INDEX(Lists!$L$51:$L$85,MATCH(Q25,Lists!$K$51:$K$85,0))))</f>
        <v>0</v>
      </c>
      <c r="FT25" s="58">
        <f t="shared" si="26"/>
        <v>0</v>
      </c>
      <c r="FW25" s="58">
        <f>IF(i_baseline_risk_from=2,'Effectiveness settings'!EW25,'Effectiveness settings'!FI25)</f>
        <v>0</v>
      </c>
      <c r="FX25" s="58">
        <f t="shared" si="27"/>
        <v>0</v>
      </c>
      <c r="FY25" s="58">
        <f t="shared" si="28"/>
        <v>0</v>
      </c>
      <c r="FZ25" s="58">
        <f t="shared" si="29"/>
        <v>0</v>
      </c>
      <c r="GA25" s="58">
        <f t="shared" si="30"/>
        <v>0</v>
      </c>
      <c r="GB25" s="58">
        <f t="shared" si="31"/>
        <v>0</v>
      </c>
      <c r="GC25" s="58">
        <f t="shared" si="32"/>
        <v>0</v>
      </c>
      <c r="GD25" s="58">
        <f t="shared" si="33"/>
        <v>0</v>
      </c>
      <c r="GE25" s="58">
        <f>IF(AND(dd_CheckMate214_TTD="Yes",'Effectiveness settings'!BU25=2,'Effectiveness settings'!BX25=2),"Apply HR to",GD25)</f>
        <v>0</v>
      </c>
      <c r="GF25" s="58">
        <f t="shared" si="34"/>
        <v>0</v>
      </c>
      <c r="GG25" s="58">
        <f t="shared" si="35"/>
        <v>0</v>
      </c>
      <c r="GH25" s="58">
        <f t="shared" si="36"/>
        <v>0</v>
      </c>
      <c r="GI25" s="58">
        <f t="shared" si="37"/>
        <v>0</v>
      </c>
      <c r="GK25" s="58">
        <f>IF(i_baseline_risk_from=2,'Effectiveness settings'!FA25,'Effectiveness settings'!FM25)</f>
        <v>1</v>
      </c>
      <c r="GL25" s="58">
        <f>IF(i_baseline_risk_from=2,'Effectiveness settings'!FB25,'Effectiveness settings'!FN25)</f>
        <v>7</v>
      </c>
      <c r="GM25" s="58">
        <f>IF(i_baseline_risk_from=2,'Effectiveness settings'!FC25,'Effectiveness settings'!FO25)</f>
        <v>2</v>
      </c>
      <c r="GN25" s="58">
        <f>IF(i_baseline_risk_from=2,'Effectiveness settings'!FD25,'Effectiveness settings'!FP25)</f>
        <v>0</v>
      </c>
      <c r="GQ25" s="58">
        <f t="shared" si="38"/>
        <v>7</v>
      </c>
      <c r="GR25" s="58">
        <f t="shared" si="39"/>
        <v>7</v>
      </c>
      <c r="GS25" s="58">
        <f t="shared" si="40"/>
        <v>7</v>
      </c>
      <c r="GT25" s="58">
        <f t="shared" si="41"/>
        <v>7</v>
      </c>
      <c r="GU25" s="58">
        <f>IF(AND(dd_CheckMate214_TTD="Yes",'Effectiveness settings'!BU25=2,'Effectiveness settings'!BX25=2),2,GT25)</f>
        <v>7</v>
      </c>
      <c r="GV25" s="58">
        <f t="shared" si="42"/>
        <v>7</v>
      </c>
      <c r="GW25" s="58">
        <f t="shared" si="43"/>
        <v>7</v>
      </c>
      <c r="GY25" s="58">
        <f>IF(AND(dd_CheckMate214_TTD="Yes",'Effectiveness settings'!BU25=2,'Effectiveness settings'!BX25=2),1,GN25)</f>
        <v>0</v>
      </c>
      <c r="GZ25" s="58">
        <f t="shared" si="44"/>
        <v>0</v>
      </c>
      <c r="HB25" s="58">
        <f t="shared" si="45"/>
        <v>1</v>
      </c>
      <c r="HD25" s="58">
        <f t="shared" si="46"/>
        <v>1</v>
      </c>
      <c r="HE25" s="58">
        <f t="shared" si="47"/>
        <v>1</v>
      </c>
      <c r="HF25" s="58">
        <f t="shared" si="48"/>
        <v>7</v>
      </c>
      <c r="HG25" s="58">
        <f t="shared" si="49"/>
        <v>2</v>
      </c>
      <c r="HH25" s="58">
        <f t="shared" si="50"/>
        <v>0</v>
      </c>
    </row>
    <row r="26" spans="1:216" ht="15.75" x14ac:dyDescent="0.25">
      <c r="D26" s="58" t="str">
        <v>placebo_BSC</v>
      </c>
      <c r="I26" s="64" t="s">
        <v>58</v>
      </c>
      <c r="J26" s="519" t="s">
        <v>544</v>
      </c>
      <c r="K26" s="524"/>
      <c r="L26" s="519"/>
      <c r="M26" s="516" t="s">
        <v>31</v>
      </c>
      <c r="N26" s="64" t="s">
        <v>565</v>
      </c>
      <c r="O26" s="64" t="s">
        <v>566</v>
      </c>
      <c r="P26" s="64" t="s">
        <v>547</v>
      </c>
      <c r="Q26" s="519" t="s">
        <v>557</v>
      </c>
      <c r="R26" s="516" t="s">
        <v>548</v>
      </c>
      <c r="S26" s="497">
        <v>1</v>
      </c>
      <c r="T26" s="497">
        <v>1</v>
      </c>
      <c r="U26" s="497">
        <v>1</v>
      </c>
      <c r="Y26" s="517"/>
      <c r="AA26" s="517"/>
      <c r="AF26" s="517"/>
      <c r="AM26" s="517"/>
      <c r="AO26" s="517"/>
      <c r="AT26" s="517"/>
      <c r="AV26" s="511"/>
      <c r="AW26" s="511"/>
      <c r="AX26" s="511"/>
      <c r="BA26" s="517"/>
      <c r="BC26" s="517"/>
      <c r="BH26" s="517"/>
      <c r="BJ26" s="511"/>
      <c r="BK26" s="511"/>
      <c r="BL26" s="511"/>
      <c r="BQ26" s="58">
        <f t="shared" si="0"/>
        <v>14</v>
      </c>
      <c r="BR26" s="17">
        <v>1</v>
      </c>
      <c r="BS26" s="17" t="s">
        <v>549</v>
      </c>
      <c r="BT26" s="17">
        <v>1</v>
      </c>
      <c r="BU26" s="17">
        <v>999</v>
      </c>
      <c r="BV26" s="17" t="str">
        <f t="shared" si="1"/>
        <v>placebo_BSC</v>
      </c>
      <c r="BW26" s="1006" t="str" cm="1">
        <f t="array" ref="BW26">IF(I26="No",I26,INDEX(List_incl_anal_1L_PorI,IF(BU26=999,35,BU26+1)))</f>
        <v>No</v>
      </c>
      <c r="BX26" s="61">
        <f t="shared" si="2"/>
        <v>0</v>
      </c>
      <c r="BY26" s="531" t="str">
        <f t="shared" si="51"/>
        <v>Overall survival</v>
      </c>
      <c r="BZ26" s="530" t="str">
        <f t="shared" si="3"/>
        <v>Assume equal to</v>
      </c>
      <c r="CA26" s="531">
        <f t="shared" si="52"/>
        <v>0</v>
      </c>
      <c r="CB26" s="530">
        <f t="shared" si="4"/>
        <v>0</v>
      </c>
      <c r="CC26" s="530">
        <f t="shared" si="5"/>
        <v>4</v>
      </c>
      <c r="CD26" s="530">
        <f t="shared" si="6"/>
        <v>999</v>
      </c>
      <c r="CE26" s="1295">
        <f t="shared" si="7"/>
        <v>2</v>
      </c>
      <c r="CF26" s="1301">
        <f t="shared" si="8"/>
        <v>4</v>
      </c>
      <c r="CG26" s="530" t="str">
        <f t="shared" si="9"/>
        <v/>
      </c>
      <c r="CH26" s="61">
        <f t="shared" si="10"/>
        <v>1</v>
      </c>
      <c r="CI26" s="61">
        <f t="shared" si="11"/>
        <v>1</v>
      </c>
      <c r="CJ26" s="61">
        <f t="shared" si="12"/>
        <v>1</v>
      </c>
      <c r="CV26" s="940">
        <v>0</v>
      </c>
      <c r="CW26" s="940" t="s">
        <v>31</v>
      </c>
      <c r="CX26" s="940">
        <v>1</v>
      </c>
      <c r="CY26" s="940">
        <v>2</v>
      </c>
      <c r="CZ26" s="940" t="str" cm="1">
        <f t="array" ref="CZ26">INDEX(List_trials,CY26+1)</f>
        <v>Real world evidence</v>
      </c>
      <c r="DA26" s="941" t="s">
        <v>555</v>
      </c>
      <c r="DB26" s="941" t="s">
        <v>553</v>
      </c>
      <c r="DC26" s="941" t="s">
        <v>551</v>
      </c>
      <c r="DD26" s="942"/>
      <c r="DE26" s="941"/>
      <c r="DF26" s="941" t="s">
        <v>103</v>
      </c>
      <c r="DG26" s="941" t="s">
        <v>117</v>
      </c>
      <c r="DH26" s="58">
        <f t="shared" si="54"/>
        <v>7</v>
      </c>
      <c r="DK26" s="58" t="str" cm="1">
        <f t="array" ref="DK26">IF(AND($BT26=4,$BX26=4,$BU26=999),$DB$36,_xlfn.IFNA(INDEX(DB$13:DB$70,MATCH(1,($BR26=$CV$13:$CV$70)*($BT26=$CX$13:$CX$70)*($CE26=$CY$13:$CY$70)*($BY26=$DA$13:$DA$70)*($CD26=$DH$13:$DH$70),0)),""))</f>
        <v/>
      </c>
      <c r="DL26" s="58" t="str" cm="1">
        <f t="array" ref="DL26">IF(AND($BT26=4,$BX26=4,$BU26=999),$DC$36,_xlfn.IFNA(INDEX(CHOOSE(DP26,DB$13:DB$70,DC$13:DC$70,DD$13:DD$70,DE$13:DE$70),MATCH(1,($BR26=$CV$13:$CV$70)*($BT26=$CX$13:$CX$70)*($CE26=$CY$13:$CY$70)*($BY26=$DA$13:$DA$70)*($CD26=$DH$13:$DH$70),0)),""))</f>
        <v/>
      </c>
      <c r="DM26" s="740" t="str" cm="1">
        <f t="array" ref="DM26">IF(AND($BT26=4,$BX26=4,$BU26=999),$DD$36,_xlfn.IFNA(INDEX(DD$13:DD$68,MATCH(1,($BR26=$CV$13:$CV$68)*($BT26=$CX$13:$CX$68)*($CE26=$CY$13:$CY$68)*($BY26=$DA$13:$DA$68)*($CD26=$DH$13:$DH$68),0)),""))</f>
        <v/>
      </c>
      <c r="DN26" s="740" t="str" cm="1">
        <f t="array" ref="DN26">IF(AND($BT26=4,$BX26=4,$BU26=999),$DD$36,_xlfn.IFNA(INDEX(DE$13:DE$68,MATCH(1,($BR26=$CV$13:$CV$68)*($BT26=$CX$13:$CX$68)*($CE26=$CY$13:$CY$68)*($BY26=$DA$13:$DA$68)*($CD26=$DH$13:$DH$68),0)),""))</f>
        <v/>
      </c>
      <c r="DO26" s="58" t="str" cm="1">
        <f t="array" ref="DO26">IF(AND($BT26=4,$BX26=4,$BU26=999),$DF$36,_xlfn.IFNA(INDEX(DF$13:DF$70,MATCH(1,($BR26=$CV$13:$CV$70)*($BT26=$CX$13:$CX$70)*($CE26=$CY$13:$CY$70)*($BY26=$DA$13:$DA$70)*($CD26=$DH$13:$DH$70),0)),""))</f>
        <v/>
      </c>
      <c r="DP26" s="58" t="e">
        <f t="shared" si="13"/>
        <v>#N/A</v>
      </c>
      <c r="DW26" s="58" t="s">
        <v>58</v>
      </c>
      <c r="DX26" s="58" t="s">
        <v>544</v>
      </c>
      <c r="DY26" s="58" t="s">
        <v>561</v>
      </c>
      <c r="DZ26" s="58">
        <v>0</v>
      </c>
      <c r="EB26" s="58">
        <v>0</v>
      </c>
      <c r="EC26" s="58">
        <v>4</v>
      </c>
      <c r="ED26" s="58">
        <v>999</v>
      </c>
      <c r="EE26" s="58">
        <v>2</v>
      </c>
      <c r="EF26" s="58">
        <v>4</v>
      </c>
      <c r="EI26" s="58" t="s">
        <v>58</v>
      </c>
      <c r="EJ26" s="58" t="s">
        <v>544</v>
      </c>
      <c r="EK26" s="58" t="s">
        <v>561</v>
      </c>
      <c r="EL26" s="58">
        <v>0</v>
      </c>
      <c r="EN26" s="58">
        <v>0</v>
      </c>
      <c r="EO26" s="58">
        <v>4</v>
      </c>
      <c r="EP26" s="58">
        <v>999</v>
      </c>
      <c r="EQ26" s="58">
        <v>2</v>
      </c>
      <c r="ER26" s="58">
        <v>4</v>
      </c>
      <c r="EU26" s="58" t="str">
        <f t="shared" si="14"/>
        <v>No</v>
      </c>
      <c r="EV26" s="58" t="str">
        <f t="shared" si="15"/>
        <v>Overall survival</v>
      </c>
      <c r="EW26" s="58" t="str">
        <f t="shared" si="16"/>
        <v>Assume equal to</v>
      </c>
      <c r="EX26" s="58">
        <f t="shared" si="17"/>
        <v>0</v>
      </c>
      <c r="EZ26" s="58">
        <f t="shared" si="18"/>
        <v>0</v>
      </c>
      <c r="FA26" s="58">
        <f t="shared" si="19"/>
        <v>4</v>
      </c>
      <c r="FB26" s="58">
        <f>IF(i_eff_inputs_based_on_num=2,ED26,(INDEX(Lists!$L$51:$L$85,MATCH(O26,Lists!$K$51:$K$85,0))))</f>
        <v>999</v>
      </c>
      <c r="FC26" s="58">
        <f>IF(i_eff_inputs_based_on_num=2,EE26,(INDEX(Lists!$L$51:$L$85,MATCH(P26,Lists!$K$51:$K$85,0))))</f>
        <v>2</v>
      </c>
      <c r="FD26" s="58">
        <f>IF(i_eff_inputs_based_on_num=2,EF26,(INDEX(Lists!$L$51:$L$85,MATCH(Q26,Lists!$K$51:$K$85,0))))</f>
        <v>4</v>
      </c>
      <c r="FG26" s="58" t="str">
        <f t="shared" si="20"/>
        <v>No</v>
      </c>
      <c r="FH26" s="58" t="str">
        <f t="shared" si="21"/>
        <v>Overall survival</v>
      </c>
      <c r="FI26" s="58" t="str">
        <f t="shared" si="22"/>
        <v>Assume equal to</v>
      </c>
      <c r="FJ26" s="58">
        <f t="shared" si="23"/>
        <v>0</v>
      </c>
      <c r="FL26" s="58">
        <f t="shared" si="24"/>
        <v>0</v>
      </c>
      <c r="FM26" s="58">
        <f t="shared" si="25"/>
        <v>4</v>
      </c>
      <c r="FN26" s="58">
        <f>IF(i_eff_inputs_based_on_num=2,EP26,(INDEX(Lists!$L$51:$L$85,MATCH(O26,Lists!$K$51:$K$85,0))))</f>
        <v>999</v>
      </c>
      <c r="FO26" s="58">
        <f>IF(i_eff_inputs_based_on_num=2,EQ26,(INDEX(Lists!$L$51:$L$85,MATCH(P26,Lists!$K$51:$K$85,0))))</f>
        <v>2</v>
      </c>
      <c r="FP26" s="58">
        <f>IF(i_eff_inputs_based_on_num=2,ER26,(INDEX(Lists!$L$51:$L$85,MATCH(Q26,Lists!$K$51:$K$85,0))))</f>
        <v>4</v>
      </c>
      <c r="FT26" s="58">
        <f t="shared" si="26"/>
        <v>0</v>
      </c>
      <c r="FW26" s="58" t="str">
        <f>IF(i_baseline_risk_from=2,'Effectiveness settings'!EW26,'Effectiveness settings'!FI26)</f>
        <v>Assume equal to</v>
      </c>
      <c r="FX26" s="58" t="str">
        <f t="shared" si="27"/>
        <v>Assume equal to</v>
      </c>
      <c r="FY26" s="58" t="str">
        <f t="shared" si="28"/>
        <v>Assume equal to</v>
      </c>
      <c r="FZ26" s="58" t="str">
        <f t="shared" si="29"/>
        <v>Assume equal to</v>
      </c>
      <c r="GA26" s="58" t="str">
        <f t="shared" si="30"/>
        <v>Assume equal to</v>
      </c>
      <c r="GB26" s="58" t="str">
        <f t="shared" si="31"/>
        <v>Assume equal to</v>
      </c>
      <c r="GC26" s="58" t="str">
        <f t="shared" si="32"/>
        <v>Assume equal to</v>
      </c>
      <c r="GD26" s="58" t="str">
        <f t="shared" si="33"/>
        <v>Assume equal to</v>
      </c>
      <c r="GE26" s="58" t="str">
        <f>IF(AND(dd_CheckMate214_TTD="Yes",'Effectiveness settings'!BU26=2,'Effectiveness settings'!BX26=2),"Apply HR to",GD26)</f>
        <v>Assume equal to</v>
      </c>
      <c r="GF26" s="58" t="str">
        <f t="shared" si="34"/>
        <v>Assume equal to</v>
      </c>
      <c r="GG26" s="58" t="str">
        <f t="shared" si="35"/>
        <v>Assume equal to</v>
      </c>
      <c r="GH26" s="58" t="str">
        <f t="shared" si="36"/>
        <v>Assume equal to</v>
      </c>
      <c r="GI26" s="58" t="str">
        <f t="shared" si="37"/>
        <v>Assume equal to</v>
      </c>
      <c r="GK26" s="58">
        <f>IF(i_baseline_risk_from=2,'Effectiveness settings'!FA26,'Effectiveness settings'!FM26)</f>
        <v>4</v>
      </c>
      <c r="GL26" s="58">
        <f>IF(i_baseline_risk_from=2,'Effectiveness settings'!FB26,'Effectiveness settings'!FN26)</f>
        <v>999</v>
      </c>
      <c r="GM26" s="58">
        <f>IF(i_baseline_risk_from=2,'Effectiveness settings'!FC26,'Effectiveness settings'!FO26)</f>
        <v>2</v>
      </c>
      <c r="GN26" s="58">
        <f>IF(i_baseline_risk_from=2,'Effectiveness settings'!FD26,'Effectiveness settings'!FP26)</f>
        <v>4</v>
      </c>
      <c r="GQ26" s="58">
        <f t="shared" si="38"/>
        <v>999</v>
      </c>
      <c r="GR26" s="58">
        <f t="shared" si="39"/>
        <v>999</v>
      </c>
      <c r="GS26" s="58">
        <f t="shared" si="40"/>
        <v>999</v>
      </c>
      <c r="GT26" s="58">
        <f t="shared" si="41"/>
        <v>999</v>
      </c>
      <c r="GU26" s="58">
        <f>IF(AND(dd_CheckMate214_TTD="Yes",'Effectiveness settings'!BU26=2,'Effectiveness settings'!BX26=2),2,GT26)</f>
        <v>999</v>
      </c>
      <c r="GV26" s="58">
        <f t="shared" si="42"/>
        <v>999</v>
      </c>
      <c r="GW26" s="58">
        <f t="shared" si="43"/>
        <v>999</v>
      </c>
      <c r="GY26" s="58">
        <f>IF(AND(dd_CheckMate214_TTD="Yes",'Effectiveness settings'!BU26=2,'Effectiveness settings'!BX26=2),1,GN26)</f>
        <v>4</v>
      </c>
      <c r="GZ26" s="58">
        <f t="shared" si="44"/>
        <v>4</v>
      </c>
      <c r="HB26" s="58">
        <f t="shared" si="45"/>
        <v>0</v>
      </c>
      <c r="HD26" s="58">
        <f t="shared" si="46"/>
        <v>0</v>
      </c>
      <c r="HE26" s="58">
        <f t="shared" si="47"/>
        <v>4</v>
      </c>
      <c r="HF26" s="58">
        <f t="shared" si="48"/>
        <v>999</v>
      </c>
      <c r="HG26" s="58">
        <f t="shared" si="49"/>
        <v>2</v>
      </c>
      <c r="HH26" s="58">
        <f t="shared" si="50"/>
        <v>4</v>
      </c>
    </row>
    <row r="27" spans="1:216" ht="16.5" thickBot="1" x14ac:dyDescent="0.3">
      <c r="I27" s="67"/>
      <c r="J27" s="520"/>
      <c r="K27" s="525"/>
      <c r="L27" s="517"/>
      <c r="Q27" s="520"/>
      <c r="Y27" s="517"/>
      <c r="AA27" s="517"/>
      <c r="AF27" s="517"/>
      <c r="AM27" s="517"/>
      <c r="AO27" s="517"/>
      <c r="AT27" s="517"/>
      <c r="AV27" s="511"/>
      <c r="AW27" s="511"/>
      <c r="AX27" s="511"/>
      <c r="BA27" s="517"/>
      <c r="BC27" s="517"/>
      <c r="BH27" s="517"/>
      <c r="BJ27" s="511"/>
      <c r="BK27" s="511"/>
      <c r="BL27" s="511"/>
      <c r="BQ27" s="58">
        <f t="shared" si="0"/>
        <v>14</v>
      </c>
      <c r="BR27" s="17"/>
      <c r="BS27" s="252"/>
      <c r="BT27" s="505"/>
      <c r="BU27" s="505"/>
      <c r="BV27" s="17"/>
      <c r="BW27" s="17"/>
      <c r="BX27" s="505"/>
      <c r="BY27" s="531"/>
      <c r="BZ27" s="530"/>
      <c r="CA27" s="531"/>
      <c r="CB27" s="530"/>
      <c r="CC27" s="530"/>
      <c r="CD27" s="530"/>
      <c r="CE27" s="1295"/>
      <c r="CF27" s="1301"/>
      <c r="CG27" s="530"/>
      <c r="CH27" s="61"/>
      <c r="CI27" s="61"/>
      <c r="CJ27" s="61"/>
      <c r="CV27" s="943">
        <v>0</v>
      </c>
      <c r="CW27" s="943" t="s">
        <v>31</v>
      </c>
      <c r="CX27" s="943">
        <v>1</v>
      </c>
      <c r="CY27" s="943">
        <v>2</v>
      </c>
      <c r="CZ27" s="943" t="str" cm="1">
        <f t="array" ref="CZ27">INDEX(List_trials,CY27+1)</f>
        <v>Real world evidence</v>
      </c>
      <c r="DA27" s="944" t="s">
        <v>557</v>
      </c>
      <c r="DB27" s="944" t="s">
        <v>550</v>
      </c>
      <c r="DC27" s="944" t="s">
        <v>548</v>
      </c>
      <c r="DD27" s="944"/>
      <c r="DE27" s="944"/>
      <c r="DF27" s="944" t="s">
        <v>103</v>
      </c>
      <c r="DG27" s="944" t="s">
        <v>117</v>
      </c>
      <c r="DH27" s="945">
        <f t="shared" si="54"/>
        <v>7</v>
      </c>
      <c r="DK27" s="58" t="str" cm="1">
        <f t="array" ref="DK27">IF(AND($BT27=4,$BX27=4,$BU27=999),$DB$36,_xlfn.IFNA(INDEX(DB$13:DB$70,MATCH(1,($BR27=$CV$13:$CV$70)*($BT27=$CX$13:$CX$70)*($CE27=$CY$13:$CY$70)*($BY27=$DA$13:$DA$70)*($CD27=$DH$13:$DH$70),0)),""))</f>
        <v/>
      </c>
      <c r="DL27" s="58" t="str" cm="1">
        <f t="array" ref="DL27">IF(AND($BT27=4,$BX27=4,$BU27=999),$DC$36,_xlfn.IFNA(INDEX(CHOOSE(DP27,DB$13:DB$70,DC$13:DC$70,DD$13:DD$70,DE$13:DE$70),MATCH(1,($BR27=$CV$13:$CV$70)*($BT27=$CX$13:$CX$70)*($CE27=$CY$13:$CY$70)*($BY27=$DA$13:$DA$70)*($CD27=$DH$13:$DH$70),0)),""))</f>
        <v/>
      </c>
      <c r="DM27" s="740" t="str" cm="1">
        <f t="array" ref="DM27">IF(AND($BT27=4,$BX27=4,$BU27=999),$DD$36,_xlfn.IFNA(INDEX(DD$13:DD$68,MATCH(1,($BR27=$CV$13:$CV$68)*($BT27=$CX$13:$CX$68)*($CE27=$CY$13:$CY$68)*($BY27=$DA$13:$DA$68)*($CD27=$DH$13:$DH$68),0)),""))</f>
        <v/>
      </c>
      <c r="DN27" s="740" t="str" cm="1">
        <f t="array" ref="DN27">IF(AND($BT27=4,$BX27=4,$BU27=999),$DD$36,_xlfn.IFNA(INDEX(DE$13:DE$68,MATCH(1,($BR27=$CV$13:$CV$68)*($BT27=$CX$13:$CX$68)*($CE27=$CY$13:$CY$68)*($BY27=$DA$13:$DA$68)*($CD27=$DH$13:$DH$68),0)),""))</f>
        <v/>
      </c>
      <c r="DO27" s="58" t="str" cm="1">
        <f t="array" ref="DO27">IF(AND($BT27=4,$BX27=4,$BU27=999),$DF$36,_xlfn.IFNA(INDEX(DF$13:DF$70,MATCH(1,($BR27=$CV$13:$CV$70)*($BT27=$CX$13:$CX$70)*($CE27=$CY$13:$CY$70)*($BY27=$DA$13:$DA$70)*($CD27=$DH$13:$DH$70),0)),""))</f>
        <v/>
      </c>
      <c r="DP27" s="58" t="e">
        <f t="shared" si="13"/>
        <v>#N/A</v>
      </c>
      <c r="FT27" s="58">
        <f t="shared" si="26"/>
        <v>0</v>
      </c>
      <c r="FW27" s="58">
        <f>IF(i_baseline_risk_from=2,'Effectiveness settings'!EW27,'Effectiveness settings'!FI27)</f>
        <v>0</v>
      </c>
      <c r="FX27" s="58">
        <f t="shared" si="27"/>
        <v>0</v>
      </c>
      <c r="FY27" s="58">
        <f t="shared" si="28"/>
        <v>0</v>
      </c>
      <c r="FZ27" s="58">
        <f t="shared" si="29"/>
        <v>0</v>
      </c>
      <c r="GA27" s="58">
        <f t="shared" si="30"/>
        <v>0</v>
      </c>
      <c r="GB27" s="58">
        <f t="shared" si="31"/>
        <v>0</v>
      </c>
      <c r="GC27" s="58">
        <f t="shared" si="32"/>
        <v>0</v>
      </c>
      <c r="GD27" s="58">
        <f t="shared" si="33"/>
        <v>0</v>
      </c>
      <c r="GE27" s="58">
        <f>IF(AND(dd_CheckMate214_TTD="Yes",'Effectiveness settings'!BU27=2,'Effectiveness settings'!BX27=2),"Apply HR to",GD27)</f>
        <v>0</v>
      </c>
      <c r="GF27" s="58">
        <f t="shared" si="34"/>
        <v>0</v>
      </c>
      <c r="GG27" s="58">
        <f t="shared" si="35"/>
        <v>0</v>
      </c>
      <c r="GH27" s="58">
        <f t="shared" si="36"/>
        <v>0</v>
      </c>
      <c r="GI27" s="58">
        <f t="shared" si="37"/>
        <v>0</v>
      </c>
      <c r="GK27" s="58">
        <f>IF(i_baseline_risk_from=2,'Effectiveness settings'!FA27,'Effectiveness settings'!FM27)</f>
        <v>0</v>
      </c>
      <c r="GL27" s="58">
        <f>IF(i_baseline_risk_from=2,'Effectiveness settings'!FB27,'Effectiveness settings'!FN27)</f>
        <v>0</v>
      </c>
      <c r="GM27" s="58">
        <f>IF(i_baseline_risk_from=2,'Effectiveness settings'!FC27,'Effectiveness settings'!FO27)</f>
        <v>0</v>
      </c>
      <c r="GN27" s="58">
        <f>IF(i_baseline_risk_from=2,'Effectiveness settings'!FD27,'Effectiveness settings'!FP27)</f>
        <v>0</v>
      </c>
      <c r="GQ27" s="58">
        <f t="shared" si="38"/>
        <v>0</v>
      </c>
      <c r="GR27" s="58">
        <f t="shared" si="39"/>
        <v>0</v>
      </c>
      <c r="GS27" s="58">
        <f t="shared" si="40"/>
        <v>0</v>
      </c>
      <c r="GT27" s="58">
        <f t="shared" si="41"/>
        <v>0</v>
      </c>
      <c r="GU27" s="58">
        <f>IF(AND(dd_CheckMate214_TTD="Yes",'Effectiveness settings'!BU27=2,'Effectiveness settings'!BX27=2),2,GT27)</f>
        <v>0</v>
      </c>
      <c r="GV27" s="58">
        <f t="shared" si="42"/>
        <v>0</v>
      </c>
      <c r="GW27" s="58">
        <f t="shared" si="43"/>
        <v>0</v>
      </c>
      <c r="GY27" s="58">
        <f>IF(AND(dd_CheckMate214_TTD="Yes",'Effectiveness settings'!BU27=2,'Effectiveness settings'!BX27=2),1,GN27)</f>
        <v>0</v>
      </c>
      <c r="GZ27" s="58">
        <f t="shared" si="44"/>
        <v>0</v>
      </c>
      <c r="HB27" s="58">
        <f t="shared" si="45"/>
        <v>0</v>
      </c>
      <c r="HD27" s="58">
        <f t="shared" si="46"/>
        <v>0</v>
      </c>
      <c r="HE27" s="58">
        <f t="shared" si="47"/>
        <v>0</v>
      </c>
      <c r="HF27" s="58">
        <f t="shared" si="48"/>
        <v>0</v>
      </c>
      <c r="HG27" s="58">
        <f t="shared" si="49"/>
        <v>0</v>
      </c>
      <c r="HH27" s="58">
        <f t="shared" si="50"/>
        <v>0</v>
      </c>
    </row>
    <row r="28" spans="1:216" ht="15.75" x14ac:dyDescent="0.25">
      <c r="D28" s="58" t="str" cm="1">
        <f t="array" ref="D28:D41">List_comparators</f>
        <v>nivolumab_monotherapy</v>
      </c>
      <c r="I28" s="64" t="s">
        <v>58</v>
      </c>
      <c r="J28" s="519" t="s">
        <v>552</v>
      </c>
      <c r="K28" s="524"/>
      <c r="L28" s="519"/>
      <c r="M28" s="516" t="s">
        <v>545</v>
      </c>
      <c r="N28" s="64" t="s">
        <v>546</v>
      </c>
      <c r="O28" s="64" t="s">
        <v>117</v>
      </c>
      <c r="P28" s="64" t="s">
        <v>547</v>
      </c>
      <c r="Q28" s="519" t="s">
        <v>552</v>
      </c>
      <c r="R28" s="516" t="s">
        <v>548</v>
      </c>
      <c r="S28" s="497"/>
      <c r="T28" s="497"/>
      <c r="U28" s="497"/>
      <c r="Y28" s="517"/>
      <c r="AA28" s="517"/>
      <c r="AF28" s="517"/>
      <c r="AM28" s="517"/>
      <c r="AO28" s="517"/>
      <c r="AT28" s="517"/>
      <c r="AV28" s="511"/>
      <c r="AW28" s="511"/>
      <c r="AX28" s="511"/>
      <c r="BA28" s="517"/>
      <c r="BC28" s="517"/>
      <c r="BH28" s="517"/>
      <c r="BJ28" s="511"/>
      <c r="BK28" s="511"/>
      <c r="BL28" s="511"/>
      <c r="BQ28" s="58">
        <f t="shared" si="0"/>
        <v>15</v>
      </c>
      <c r="BR28" s="17">
        <v>1</v>
      </c>
      <c r="BS28" s="17" t="s">
        <v>549</v>
      </c>
      <c r="BT28" s="17">
        <v>1</v>
      </c>
      <c r="BU28" s="17">
        <v>0</v>
      </c>
      <c r="BV28" s="17" t="str">
        <f t="shared" ref="BV28:BV41" si="55">D28</f>
        <v>nivolumab_monotherapy</v>
      </c>
      <c r="BW28" s="1006" t="str" cm="1">
        <f t="array" ref="BW28">IF(I28="No",I28,INDEX(List_incl_anal_1L_PorI,IF(BU28=999,35,BU28+1)))</f>
        <v>No</v>
      </c>
      <c r="BX28" s="61">
        <f t="shared" ref="BX28:BX41" si="56">MATCH(BY28,List_eff_endpoints,0)-1</f>
        <v>1</v>
      </c>
      <c r="BY28" s="531" t="str">
        <f>J28</f>
        <v>Progression free survival</v>
      </c>
      <c r="BZ28" s="530">
        <f t="shared" ref="BZ28:BZ41" si="57">GI28</f>
        <v>0</v>
      </c>
      <c r="CA28" s="531">
        <f>FT28</f>
        <v>0</v>
      </c>
      <c r="CB28" s="530">
        <f t="shared" ref="CB28:CB41" si="58">HD28</f>
        <v>1</v>
      </c>
      <c r="CC28" s="530">
        <f t="shared" ref="CC28:CC41" si="59">HE28</f>
        <v>1</v>
      </c>
      <c r="CD28" s="530">
        <f t="shared" ref="CD28:CD41" si="60">HF28</f>
        <v>7</v>
      </c>
      <c r="CE28" s="1295">
        <f t="shared" ref="CE28:CE41" si="61">HG28</f>
        <v>2</v>
      </c>
      <c r="CF28" s="1301">
        <f t="shared" ref="CF28:CF41" si="62">HH28</f>
        <v>1</v>
      </c>
      <c r="CG28" s="530" t="str">
        <f t="shared" ref="CG28:CG41" si="63">IF(i_surv_cur=1,DK28,DL28)</f>
        <v>Log-logistic</v>
      </c>
      <c r="CH28" s="61">
        <f t="shared" ref="CH28:CH41" si="64">S28</f>
        <v>0</v>
      </c>
      <c r="CI28" s="61">
        <f t="shared" ref="CI28:CI41" si="65">T28</f>
        <v>0</v>
      </c>
      <c r="CJ28" s="61">
        <f t="shared" ref="CJ28:CJ41" si="66">U28</f>
        <v>0</v>
      </c>
      <c r="CV28" s="940">
        <v>0</v>
      </c>
      <c r="CW28" s="940" t="s">
        <v>31</v>
      </c>
      <c r="CX28" s="940">
        <v>2</v>
      </c>
      <c r="CY28" s="940">
        <v>2</v>
      </c>
      <c r="CZ28" s="940" t="str" cm="1">
        <f t="array" ref="CZ28">INDEX(List_trials,CY28+1)</f>
        <v>Real world evidence</v>
      </c>
      <c r="DA28" s="942" t="s">
        <v>544</v>
      </c>
      <c r="DB28" s="942" t="s">
        <v>553</v>
      </c>
      <c r="DC28" s="942" t="s">
        <v>551</v>
      </c>
      <c r="DD28" s="942"/>
      <c r="DE28" s="942"/>
      <c r="DF28" s="942" t="s">
        <v>103</v>
      </c>
      <c r="DG28" s="942" t="s">
        <v>118</v>
      </c>
      <c r="DH28" s="58">
        <f t="shared" si="54"/>
        <v>8</v>
      </c>
      <c r="DK28" s="58" t="str" cm="1">
        <f t="array" ref="DK28">IF(AND($BT28=4,$BX28=4,$BU28=999),$DB$36,_xlfn.IFNA(INDEX(DB$13:DB$70,MATCH(1,($BR28=$CV$13:$CV$70)*($BT28=$CX$13:$CX$70)*($CE28=$CY$13:$CY$70)*($BY28=$DA$13:$DA$70)*($CD28=$DH$13:$DH$70),0)),""))</f>
        <v>Log-logistic</v>
      </c>
      <c r="DL28" s="58" t="str" cm="1">
        <f t="array" ref="DL28">IF(AND($BT28=4,$BX28=4,$BU28=999),$DC$36,_xlfn.IFNA(INDEX(CHOOSE(DP28,DB$13:DB$70,DC$13:DC$70,DD$13:DD$70,DE$13:DE$70),MATCH(1,($BR28=$CV$13:$CV$70)*($BT28=$CX$13:$CX$70)*($CE28=$CY$13:$CY$70)*($BY28=$DA$13:$DA$70)*($CD28=$DH$13:$DH$70),0)),""))</f>
        <v>Log-logistic</v>
      </c>
      <c r="DM28" s="740" t="str" cm="1">
        <f t="array" ref="DM28">IF(AND($BT28=4,$BX28=4,$BU28=999),$DD$36,_xlfn.IFNA(INDEX(DD$13:DD$68,MATCH(1,($BR28=$CV$13:$CV$68)*($BT28=$CX$13:$CX$68)*($CE28=$CY$13:$CY$68)*($BY28=$DA$13:$DA$68)*($CD28=$DH$13:$DH$68),0)),""))</f>
        <v>Log-normal</v>
      </c>
      <c r="DN28" s="740" cm="1">
        <f t="array" ref="DN28">IF(AND($BT28=4,$BX28=4,$BU28=999),$DD$36,_xlfn.IFNA(INDEX(DE$13:DE$68,MATCH(1,($BR28=$CV$13:$CV$68)*($BT28=$CX$13:$CX$68)*($CE28=$CY$13:$CY$68)*($BY28=$DA$13:$DA$68)*($CD28=$DH$13:$DH$68),0)),""))</f>
        <v>0</v>
      </c>
      <c r="DO28" s="58" t="str" cm="1">
        <f t="array" ref="DO28">IF(AND($BT28=4,$BX28=4,$BU28=999),$DF$36,_xlfn.IFNA(INDEX(DF$13:DF$70,MATCH(1,($BR28=$CV$13:$CV$70)*($BT28=$CX$13:$CX$70)*($CE28=$CY$13:$CY$70)*($BY28=$DA$13:$DA$70)*($CD28=$DH$13:$DH$70),0)),""))</f>
        <v>Base case</v>
      </c>
      <c r="DP28" s="58">
        <f t="shared" si="13"/>
        <v>1</v>
      </c>
      <c r="DW28" s="58" t="s">
        <v>58</v>
      </c>
      <c r="DX28" s="58" t="s">
        <v>552</v>
      </c>
      <c r="DY28" s="58">
        <v>0</v>
      </c>
      <c r="DZ28" s="58">
        <v>0</v>
      </c>
      <c r="EB28" s="58">
        <v>1</v>
      </c>
      <c r="EC28" s="58">
        <v>1</v>
      </c>
      <c r="ED28" s="58">
        <v>7</v>
      </c>
      <c r="EE28" s="58">
        <v>2</v>
      </c>
      <c r="EF28" s="58">
        <v>1</v>
      </c>
      <c r="EI28" s="58" t="s">
        <v>58</v>
      </c>
      <c r="EJ28" s="58" t="s">
        <v>552</v>
      </c>
      <c r="EK28" s="58">
        <v>0</v>
      </c>
      <c r="EL28" s="58">
        <v>0</v>
      </c>
      <c r="EN28" s="58">
        <v>1</v>
      </c>
      <c r="EO28" s="58">
        <v>1</v>
      </c>
      <c r="EP28" s="58">
        <v>7</v>
      </c>
      <c r="EQ28" s="58">
        <v>0</v>
      </c>
      <c r="ER28" s="58">
        <v>1</v>
      </c>
      <c r="EU28" s="58" t="str">
        <f t="shared" ref="EU28:EU41" si="67">IF(i_eff_inputs_based_on_num=2,DW28,I28)</f>
        <v>No</v>
      </c>
      <c r="EV28" s="58" t="str">
        <f t="shared" ref="EV28:EV41" si="68">IF(i_eff_inputs_based_on_num=2,DX28,J28)</f>
        <v>Progression free survival</v>
      </c>
      <c r="EW28" s="58">
        <f t="shared" ref="EW28:EW41" si="69">IF(i_eff_inputs_based_on_num=2,DY28,K28)</f>
        <v>0</v>
      </c>
      <c r="EX28" s="58">
        <f t="shared" ref="EX28:EX41" si="70">IF(i_eff_inputs_based_on_num=2,DZ28,L28)</f>
        <v>0</v>
      </c>
      <c r="EZ28" s="58">
        <f t="shared" ref="EZ28:EZ41" si="71">IF(i_eff_inputs_based_on_num=2,EB28,VLOOKUP(M28,r_pld_lookup_line,3,FALSE))</f>
        <v>1</v>
      </c>
      <c r="FA28" s="58">
        <f t="shared" ref="FA28:FA41" si="72">IF(i_eff_inputs_based_on_num=2,EC28,VLOOKUP(N28,r_pld_lookup_line,3,FALSE))</f>
        <v>1</v>
      </c>
      <c r="FB28" s="58">
        <f>IF(i_eff_inputs_based_on_num=2,ED28,(INDEX(Lists!$L$51:$L$85,MATCH(O28,Lists!$K$51:$K$85,0))))</f>
        <v>7</v>
      </c>
      <c r="FC28" s="58">
        <f>IF(i_eff_inputs_based_on_num=2,EE28,(INDEX(Lists!$L$51:$L$85,MATCH(P28,Lists!$K$51:$K$85,0))))</f>
        <v>2</v>
      </c>
      <c r="FD28" s="58">
        <f>IF(i_eff_inputs_based_on_num=2,EF28,(INDEX(Lists!$L$51:$L$85,MATCH(Q28,Lists!$K$51:$K$85,0))))</f>
        <v>1</v>
      </c>
      <c r="FG28" s="58" t="str">
        <f t="shared" ref="FG28:FG41" si="73">IF(i_eff_inputs_based_on_num=2,EI28,I28)</f>
        <v>No</v>
      </c>
      <c r="FH28" s="58" t="str">
        <f t="shared" ref="FH28:FH41" si="74">IF(i_eff_inputs_based_on_num=2,EJ28,J28)</f>
        <v>Progression free survival</v>
      </c>
      <c r="FI28" s="58">
        <f t="shared" ref="FI28:FI41" si="75">IF(i_eff_inputs_based_on_num=2,EK28,K28)</f>
        <v>0</v>
      </c>
      <c r="FJ28" s="58">
        <f t="shared" ref="FJ28:FJ41" si="76">IF(i_eff_inputs_based_on_num=2,EL28,L28)</f>
        <v>0</v>
      </c>
      <c r="FL28" s="58">
        <f t="shared" ref="FL28:FL41" si="77">IF(i_eff_inputs_based_on_num=2,EN28,VLOOKUP(M28,r_pld_lookup_line,3,FALSE))</f>
        <v>1</v>
      </c>
      <c r="FM28" s="58">
        <f t="shared" ref="FM28:FM41" si="78">IF(i_eff_inputs_based_on_num=2,EO28,VLOOKUP(N28,r_pld_lookup_line,3,FALSE))</f>
        <v>1</v>
      </c>
      <c r="FN28" s="58">
        <f>IF(i_eff_inputs_based_on_num=2,EP28,(INDEX(Lists!$L$51:$L$85,MATCH(O28,Lists!$K$51:$K$85,0))))</f>
        <v>7</v>
      </c>
      <c r="FO28" s="58">
        <f>IF(i_eff_inputs_based_on_num=2,EQ28,(INDEX(Lists!$L$51:$L$85,MATCH(P28,Lists!$K$51:$K$85,0))))</f>
        <v>0</v>
      </c>
      <c r="FP28" s="58">
        <f>IF(i_eff_inputs_based_on_num=2,ER28,(INDEX(Lists!$L$51:$L$85,MATCH(Q28,Lists!$K$51:$K$85,0))))</f>
        <v>1</v>
      </c>
      <c r="FT28" s="58">
        <f t="shared" si="26"/>
        <v>0</v>
      </c>
      <c r="FW28" s="58">
        <f>IF(i_baseline_risk_from=2,'Effectiveness settings'!EW28,'Effectiveness settings'!FI28)</f>
        <v>0</v>
      </c>
      <c r="FX28" s="58">
        <f t="shared" si="27"/>
        <v>0</v>
      </c>
      <c r="FY28" s="58">
        <f t="shared" si="28"/>
        <v>0</v>
      </c>
      <c r="FZ28" s="58">
        <f t="shared" si="29"/>
        <v>0</v>
      </c>
      <c r="GA28" s="58">
        <f t="shared" si="30"/>
        <v>0</v>
      </c>
      <c r="GB28" s="58">
        <f t="shared" si="31"/>
        <v>0</v>
      </c>
      <c r="GC28" s="58">
        <f t="shared" si="32"/>
        <v>0</v>
      </c>
      <c r="GD28" s="58">
        <f t="shared" si="33"/>
        <v>0</v>
      </c>
      <c r="GE28" s="58">
        <f>IF(AND(dd_CheckMate214_TTD="Yes",'Effectiveness settings'!BU28=2,'Effectiveness settings'!BX28=2),"Apply HR to",GD28)</f>
        <v>0</v>
      </c>
      <c r="GF28" s="58">
        <f t="shared" si="34"/>
        <v>0</v>
      </c>
      <c r="GG28" s="58">
        <f t="shared" si="35"/>
        <v>0</v>
      </c>
      <c r="GH28" s="58">
        <f t="shared" si="36"/>
        <v>0</v>
      </c>
      <c r="GI28" s="58">
        <f t="shared" si="37"/>
        <v>0</v>
      </c>
      <c r="GK28" s="58">
        <f>IF(i_baseline_risk_from=2,'Effectiveness settings'!FA28,'Effectiveness settings'!FM28)</f>
        <v>1</v>
      </c>
      <c r="GL28" s="58">
        <f>IF(i_baseline_risk_from=2,'Effectiveness settings'!FB28,'Effectiveness settings'!FN28)</f>
        <v>7</v>
      </c>
      <c r="GM28" s="58">
        <f>IF(i_baseline_risk_from=2,'Effectiveness settings'!FC28,'Effectiveness settings'!FO28)</f>
        <v>2</v>
      </c>
      <c r="GN28" s="58">
        <f>IF(i_baseline_risk_from=2,'Effectiveness settings'!FD28,'Effectiveness settings'!FP28)</f>
        <v>1</v>
      </c>
      <c r="GQ28" s="58">
        <f t="shared" si="38"/>
        <v>7</v>
      </c>
      <c r="GR28" s="58">
        <f t="shared" si="39"/>
        <v>7</v>
      </c>
      <c r="GS28" s="58">
        <f t="shared" si="40"/>
        <v>7</v>
      </c>
      <c r="GT28" s="58">
        <f t="shared" si="41"/>
        <v>7</v>
      </c>
      <c r="GU28" s="58">
        <f>IF(AND(dd_CheckMate214_TTD="Yes",'Effectiveness settings'!BU28=2,'Effectiveness settings'!BX28=2),2,GT28)</f>
        <v>7</v>
      </c>
      <c r="GV28" s="58">
        <f t="shared" si="42"/>
        <v>7</v>
      </c>
      <c r="GW28" s="58">
        <f t="shared" si="43"/>
        <v>7</v>
      </c>
      <c r="GY28" s="58">
        <f>IF(AND(dd_CheckMate214_TTD="Yes",'Effectiveness settings'!BU28=2,'Effectiveness settings'!BX28=2),1,GN28)</f>
        <v>1</v>
      </c>
      <c r="GZ28" s="58">
        <f t="shared" si="44"/>
        <v>1</v>
      </c>
      <c r="HB28" s="58">
        <f t="shared" si="45"/>
        <v>1</v>
      </c>
      <c r="HD28" s="58">
        <f t="shared" si="46"/>
        <v>1</v>
      </c>
      <c r="HE28" s="58">
        <f t="shared" si="47"/>
        <v>1</v>
      </c>
      <c r="HF28" s="58">
        <f t="shared" si="48"/>
        <v>7</v>
      </c>
      <c r="HG28" s="58">
        <f t="shared" si="49"/>
        <v>2</v>
      </c>
      <c r="HH28" s="58">
        <f t="shared" si="50"/>
        <v>1</v>
      </c>
    </row>
    <row r="29" spans="1:216" ht="15.75" x14ac:dyDescent="0.25">
      <c r="D29" s="58" t="str">
        <v>cabozantinib_plus_nivolumab</v>
      </c>
      <c r="I29" s="64" t="s">
        <v>74</v>
      </c>
      <c r="J29" s="519" t="s">
        <v>552</v>
      </c>
      <c r="K29" s="524" t="s">
        <v>63</v>
      </c>
      <c r="L29" s="519"/>
      <c r="M29" s="516" t="s">
        <v>545</v>
      </c>
      <c r="N29" s="64" t="s">
        <v>546</v>
      </c>
      <c r="O29" s="64" t="s">
        <v>117</v>
      </c>
      <c r="P29" s="64" t="s">
        <v>547</v>
      </c>
      <c r="Q29" s="519" t="s">
        <v>552</v>
      </c>
      <c r="R29" s="516" t="s">
        <v>548</v>
      </c>
      <c r="S29" s="497"/>
      <c r="T29" s="497"/>
      <c r="U29" s="497"/>
      <c r="Y29" s="517"/>
      <c r="AA29" s="517"/>
      <c r="AF29" s="517"/>
      <c r="AM29" s="517"/>
      <c r="AO29" s="517"/>
      <c r="AT29" s="517"/>
      <c r="AV29" s="511"/>
      <c r="AW29" s="511"/>
      <c r="AX29" s="511"/>
      <c r="BA29" s="517"/>
      <c r="BC29" s="517"/>
      <c r="BH29" s="517"/>
      <c r="BJ29" s="511"/>
      <c r="BK29" s="511"/>
      <c r="BL29" s="511"/>
      <c r="BQ29" s="58">
        <f t="shared" si="0"/>
        <v>16</v>
      </c>
      <c r="BR29" s="17">
        <v>1</v>
      </c>
      <c r="BS29" s="17" t="s">
        <v>549</v>
      </c>
      <c r="BT29" s="17">
        <v>1</v>
      </c>
      <c r="BU29" s="17">
        <v>1</v>
      </c>
      <c r="BV29" s="17" t="str">
        <f t="shared" si="55"/>
        <v>cabozantinib_plus_nivolumab</v>
      </c>
      <c r="BW29" s="1006" t="str" cm="1">
        <f t="array" ref="BW29">IF(I29="No",I29,INDEX(List_incl_anal_1L_PorI,IF(BU29=999,35,BU29+1)))</f>
        <v>Yes</v>
      </c>
      <c r="BX29" s="61">
        <f t="shared" si="56"/>
        <v>1</v>
      </c>
      <c r="BY29" s="531" t="str">
        <f t="shared" ref="BY29:BY41" si="79">J29</f>
        <v>Progression free survival</v>
      </c>
      <c r="BZ29" s="530" t="str">
        <f t="shared" si="57"/>
        <v>FP_NMA</v>
      </c>
      <c r="CA29" s="531">
        <f t="shared" ref="CA29:CA41" si="80">FT29</f>
        <v>0</v>
      </c>
      <c r="CB29" s="530">
        <f t="shared" si="58"/>
        <v>1</v>
      </c>
      <c r="CC29" s="530">
        <f t="shared" si="59"/>
        <v>1</v>
      </c>
      <c r="CD29" s="530">
        <f t="shared" si="60"/>
        <v>7</v>
      </c>
      <c r="CE29" s="1295">
        <f t="shared" si="61"/>
        <v>2</v>
      </c>
      <c r="CF29" s="1301">
        <f t="shared" si="62"/>
        <v>1</v>
      </c>
      <c r="CG29" s="530" t="str">
        <f t="shared" si="63"/>
        <v>Log-logistic</v>
      </c>
      <c r="CH29" s="61">
        <f t="shared" si="64"/>
        <v>0</v>
      </c>
      <c r="CI29" s="61">
        <f t="shared" si="65"/>
        <v>0</v>
      </c>
      <c r="CJ29" s="61">
        <f t="shared" si="66"/>
        <v>0</v>
      </c>
      <c r="CV29" s="940">
        <v>0</v>
      </c>
      <c r="CW29" s="940" t="s">
        <v>31</v>
      </c>
      <c r="CX29" s="940">
        <v>2</v>
      </c>
      <c r="CY29" s="940">
        <v>2</v>
      </c>
      <c r="CZ29" s="940" t="str" cm="1">
        <f t="array" ref="CZ29">INDEX(List_trials,CY29+1)</f>
        <v>Real world evidence</v>
      </c>
      <c r="DA29" s="941" t="s">
        <v>552</v>
      </c>
      <c r="DB29" s="941" t="s">
        <v>553</v>
      </c>
      <c r="DC29" s="941" t="s">
        <v>563</v>
      </c>
      <c r="DD29" s="942" t="s">
        <v>551</v>
      </c>
      <c r="DE29" s="941"/>
      <c r="DF29" s="941" t="s">
        <v>103</v>
      </c>
      <c r="DG29" s="941" t="s">
        <v>118</v>
      </c>
      <c r="DH29" s="58">
        <f t="shared" si="54"/>
        <v>8</v>
      </c>
      <c r="DK29" s="58" t="str" cm="1">
        <f t="array" ref="DK29">IF(AND($BT29=4,$BX29=4,$BU29=999),$DB$36,_xlfn.IFNA(INDEX(DB$13:DB$70,MATCH(1,($BR29=$CV$13:$CV$70)*($BT29=$CX$13:$CX$70)*($CE29=$CY$13:$CY$70)*($BY29=$DA$13:$DA$70)*($CD29=$DH$13:$DH$70),0)),""))</f>
        <v>Log-logistic</v>
      </c>
      <c r="DL29" s="58" t="str" cm="1">
        <f t="array" ref="DL29">IF(AND($BT29=4,$BX29=4,$BU29=999),$DC$36,_xlfn.IFNA(INDEX(CHOOSE(DP29,DB$13:DB$70,DC$13:DC$70,DD$13:DD$70,DE$13:DE$70),MATCH(1,($BR29=$CV$13:$CV$70)*($BT29=$CX$13:$CX$70)*($CE29=$CY$13:$CY$70)*($BY29=$DA$13:$DA$70)*($CD29=$DH$13:$DH$70),0)),""))</f>
        <v>Log-logistic</v>
      </c>
      <c r="DM29" s="740" t="str" cm="1">
        <f t="array" ref="DM29">IF(AND($BT29=4,$BX29=4,$BU29=999),$DD$36,_xlfn.IFNA(INDEX(DD$13:DD$68,MATCH(1,($BR29=$CV$13:$CV$68)*($BT29=$CX$13:$CX$68)*($CE29=$CY$13:$CY$68)*($BY29=$DA$13:$DA$68)*($CD29=$DH$13:$DH$68),0)),""))</f>
        <v>Log-normal</v>
      </c>
      <c r="DN29" s="740" cm="1">
        <f t="array" ref="DN29">IF(AND($BT29=4,$BX29=4,$BU29=999),$DD$36,_xlfn.IFNA(INDEX(DE$13:DE$68,MATCH(1,($BR29=$CV$13:$CV$68)*($BT29=$CX$13:$CX$68)*($CE29=$CY$13:$CY$68)*($BY29=$DA$13:$DA$68)*($CD29=$DH$13:$DH$68),0)),""))</f>
        <v>0</v>
      </c>
      <c r="DO29" s="58" t="str" cm="1">
        <f t="array" ref="DO29">IF(AND($BT29=4,$BX29=4,$BU29=999),$DF$36,_xlfn.IFNA(INDEX(DF$13:DF$70,MATCH(1,($BR29=$CV$13:$CV$70)*($BT29=$CX$13:$CX$70)*($CE29=$CY$13:$CY$70)*($BY29=$DA$13:$DA$70)*($CD29=$DH$13:$DH$70),0)),""))</f>
        <v>Base case</v>
      </c>
      <c r="DP29" s="58">
        <f t="shared" si="13"/>
        <v>1</v>
      </c>
      <c r="DW29" s="58" t="s">
        <v>74</v>
      </c>
      <c r="DX29" s="58" t="s">
        <v>552</v>
      </c>
      <c r="DY29" s="58" t="s">
        <v>63</v>
      </c>
      <c r="DZ29" s="58">
        <v>0</v>
      </c>
      <c r="EB29" s="58">
        <v>1</v>
      </c>
      <c r="EC29" s="58">
        <v>1</v>
      </c>
      <c r="ED29" s="58">
        <v>7</v>
      </c>
      <c r="EE29" s="58">
        <v>2</v>
      </c>
      <c r="EF29" s="58">
        <v>1</v>
      </c>
      <c r="EI29" s="58" t="s">
        <v>74</v>
      </c>
      <c r="EJ29" s="58" t="s">
        <v>552</v>
      </c>
      <c r="EK29" s="58" t="s">
        <v>63</v>
      </c>
      <c r="EL29" s="58">
        <v>0</v>
      </c>
      <c r="EN29" s="58">
        <v>1</v>
      </c>
      <c r="EO29" s="58">
        <v>1</v>
      </c>
      <c r="EP29" s="58">
        <v>7</v>
      </c>
      <c r="EQ29" s="58">
        <v>0</v>
      </c>
      <c r="ER29" s="58">
        <v>1</v>
      </c>
      <c r="EU29" s="58" t="str">
        <f t="shared" si="67"/>
        <v>Yes</v>
      </c>
      <c r="EV29" s="58" t="str">
        <f t="shared" si="68"/>
        <v>Progression free survival</v>
      </c>
      <c r="EW29" s="58" t="str">
        <f t="shared" si="69"/>
        <v>FP_NMA</v>
      </c>
      <c r="EX29" s="58">
        <f t="shared" si="70"/>
        <v>0</v>
      </c>
      <c r="EZ29" s="58">
        <f t="shared" si="71"/>
        <v>1</v>
      </c>
      <c r="FA29" s="58">
        <f t="shared" si="72"/>
        <v>1</v>
      </c>
      <c r="FB29" s="58">
        <f>IF(i_eff_inputs_based_on_num=2,ED29,(INDEX(Lists!$L$51:$L$85,MATCH(O29,Lists!$K$51:$K$85,0))))</f>
        <v>7</v>
      </c>
      <c r="FC29" s="58">
        <f>IF(i_eff_inputs_based_on_num=2,EE29,(INDEX(Lists!$L$51:$L$85,MATCH(P29,Lists!$K$51:$K$85,0))))</f>
        <v>2</v>
      </c>
      <c r="FD29" s="58">
        <f>IF(i_eff_inputs_based_on_num=2,EF29,(INDEX(Lists!$L$51:$L$85,MATCH(Q29,Lists!$K$51:$K$85,0))))</f>
        <v>1</v>
      </c>
      <c r="FG29" s="58" t="str">
        <f t="shared" si="73"/>
        <v>Yes</v>
      </c>
      <c r="FH29" s="58" t="str">
        <f t="shared" si="74"/>
        <v>Progression free survival</v>
      </c>
      <c r="FI29" s="58" t="str">
        <f t="shared" si="75"/>
        <v>FP_NMA</v>
      </c>
      <c r="FJ29" s="58">
        <f t="shared" si="76"/>
        <v>0</v>
      </c>
      <c r="FL29" s="58">
        <f t="shared" si="77"/>
        <v>1</v>
      </c>
      <c r="FM29" s="58">
        <f t="shared" si="78"/>
        <v>1</v>
      </c>
      <c r="FN29" s="58">
        <f>IF(i_eff_inputs_based_on_num=2,EP29,(INDEX(Lists!$L$51:$L$85,MATCH(O29,Lists!$K$51:$K$85,0))))</f>
        <v>7</v>
      </c>
      <c r="FO29" s="58">
        <f>IF(i_eff_inputs_based_on_num=2,EQ29,(INDEX(Lists!$L$51:$L$85,MATCH(P29,Lists!$K$51:$K$85,0))))</f>
        <v>0</v>
      </c>
      <c r="FP29" s="58">
        <f>IF(i_eff_inputs_based_on_num=2,ER29,(INDEX(Lists!$L$51:$L$85,MATCH(Q29,Lists!$K$51:$K$85,0))))</f>
        <v>1</v>
      </c>
      <c r="FT29" s="58">
        <f t="shared" si="26"/>
        <v>0</v>
      </c>
      <c r="FW29" s="58" t="str">
        <f>IF(i_baseline_risk_from=2,'Effectiveness settings'!EW29,'Effectiveness settings'!FI29)</f>
        <v>FP_NMA</v>
      </c>
      <c r="FX29" s="58" t="str">
        <f t="shared" si="27"/>
        <v>FP_NMA</v>
      </c>
      <c r="FY29" s="58" t="str">
        <f t="shared" si="28"/>
        <v>FP_NMA</v>
      </c>
      <c r="FZ29" s="58" t="str">
        <f t="shared" si="29"/>
        <v>FP_NMA</v>
      </c>
      <c r="GA29" s="58" t="str">
        <f t="shared" si="30"/>
        <v>FP_NMA</v>
      </c>
      <c r="GB29" s="58" t="str">
        <f t="shared" si="31"/>
        <v>FP_NMA</v>
      </c>
      <c r="GC29" s="58" t="str">
        <f t="shared" si="32"/>
        <v>FP_NMA</v>
      </c>
      <c r="GD29" s="58" t="str">
        <f t="shared" si="33"/>
        <v>FP_NMA</v>
      </c>
      <c r="GE29" s="58" t="str">
        <f>IF(AND(dd_CheckMate214_TTD="Yes",'Effectiveness settings'!BU29=2,'Effectiveness settings'!BX29=2),"Apply HR to",GD29)</f>
        <v>FP_NMA</v>
      </c>
      <c r="GF29" s="58" t="str">
        <f t="shared" si="34"/>
        <v>FP_NMA</v>
      </c>
      <c r="GG29" s="58" t="str">
        <f t="shared" si="35"/>
        <v>FP_NMA</v>
      </c>
      <c r="GH29" s="58" t="str">
        <f t="shared" si="36"/>
        <v>FP_NMA</v>
      </c>
      <c r="GI29" s="58" t="str">
        <f t="shared" si="37"/>
        <v>FP_NMA</v>
      </c>
      <c r="GK29" s="58">
        <f>IF(i_baseline_risk_from=2,'Effectiveness settings'!FA29,'Effectiveness settings'!FM29)</f>
        <v>1</v>
      </c>
      <c r="GL29" s="58">
        <f>IF(i_baseline_risk_from=2,'Effectiveness settings'!FB29,'Effectiveness settings'!FN29)</f>
        <v>7</v>
      </c>
      <c r="GM29" s="58">
        <f>IF(i_baseline_risk_from=2,'Effectiveness settings'!FC29,'Effectiveness settings'!FO29)</f>
        <v>2</v>
      </c>
      <c r="GN29" s="58">
        <f>IF(i_baseline_risk_from=2,'Effectiveness settings'!FD29,'Effectiveness settings'!FP29)</f>
        <v>1</v>
      </c>
      <c r="GQ29" s="58">
        <f t="shared" si="38"/>
        <v>7</v>
      </c>
      <c r="GR29" s="58">
        <f t="shared" si="39"/>
        <v>7</v>
      </c>
      <c r="GS29" s="58">
        <f t="shared" si="40"/>
        <v>7</v>
      </c>
      <c r="GT29" s="58">
        <f t="shared" si="41"/>
        <v>7</v>
      </c>
      <c r="GU29" s="58">
        <f>IF(AND(dd_CheckMate214_TTD="Yes",'Effectiveness settings'!BU29=2,'Effectiveness settings'!BX29=2),2,GT29)</f>
        <v>7</v>
      </c>
      <c r="GV29" s="58">
        <f t="shared" si="42"/>
        <v>7</v>
      </c>
      <c r="GW29" s="58">
        <f t="shared" si="43"/>
        <v>7</v>
      </c>
      <c r="GY29" s="58">
        <f>IF(AND(dd_CheckMate214_TTD="Yes",'Effectiveness settings'!BU29=2,'Effectiveness settings'!BX29=2),1,GN29)</f>
        <v>1</v>
      </c>
      <c r="GZ29" s="58">
        <f t="shared" si="44"/>
        <v>1</v>
      </c>
      <c r="HB29" s="58">
        <f t="shared" si="45"/>
        <v>1</v>
      </c>
      <c r="HD29" s="58">
        <f t="shared" si="46"/>
        <v>1</v>
      </c>
      <c r="HE29" s="58">
        <f t="shared" si="47"/>
        <v>1</v>
      </c>
      <c r="HF29" s="58">
        <f t="shared" si="48"/>
        <v>7</v>
      </c>
      <c r="HG29" s="58">
        <f t="shared" si="49"/>
        <v>2</v>
      </c>
      <c r="HH29" s="58">
        <f t="shared" si="50"/>
        <v>1</v>
      </c>
    </row>
    <row r="30" spans="1:216" ht="15.75" x14ac:dyDescent="0.25">
      <c r="D30" s="58" t="str">
        <v>nivolumab_plus_ipilimumab</v>
      </c>
      <c r="I30" s="64" t="s">
        <v>74</v>
      </c>
      <c r="J30" s="519" t="s">
        <v>552</v>
      </c>
      <c r="K30" s="524" t="s">
        <v>63</v>
      </c>
      <c r="L30" s="519"/>
      <c r="M30" s="516" t="s">
        <v>545</v>
      </c>
      <c r="N30" s="64" t="s">
        <v>546</v>
      </c>
      <c r="O30" s="64" t="s">
        <v>117</v>
      </c>
      <c r="P30" s="64" t="s">
        <v>547</v>
      </c>
      <c r="Q30" s="519" t="s">
        <v>552</v>
      </c>
      <c r="R30" s="516" t="s">
        <v>548</v>
      </c>
      <c r="S30" s="1377">
        <f>1/1</f>
        <v>1</v>
      </c>
      <c r="T30" s="1377">
        <f>1/1</f>
        <v>1</v>
      </c>
      <c r="U30" s="1377">
        <f>1/1</f>
        <v>1</v>
      </c>
      <c r="Y30" s="517"/>
      <c r="AA30" s="517"/>
      <c r="AF30" s="517"/>
      <c r="AM30" s="517"/>
      <c r="AO30" s="517"/>
      <c r="AT30" s="517"/>
      <c r="AV30" s="511"/>
      <c r="AW30" s="511"/>
      <c r="AX30" s="511"/>
      <c r="BA30" s="517"/>
      <c r="BC30" s="517"/>
      <c r="BH30" s="517"/>
      <c r="BJ30" s="511"/>
      <c r="BK30" s="511"/>
      <c r="BL30" s="511"/>
      <c r="BQ30" s="58">
        <f t="shared" si="0"/>
        <v>17</v>
      </c>
      <c r="BR30" s="17">
        <v>1</v>
      </c>
      <c r="BS30" s="17" t="s">
        <v>549</v>
      </c>
      <c r="BT30" s="17">
        <v>1</v>
      </c>
      <c r="BU30" s="17">
        <v>2</v>
      </c>
      <c r="BV30" s="17" t="str">
        <f t="shared" si="55"/>
        <v>nivolumab_plus_ipilimumab</v>
      </c>
      <c r="BW30" s="1006" t="str" cm="1">
        <f t="array" ref="BW30">IF(I30="No",I30,INDEX(List_incl_anal_1L_PorI,IF(BU30=999,35,BU30+1)))</f>
        <v>Yes</v>
      </c>
      <c r="BX30" s="61">
        <f t="shared" si="56"/>
        <v>1</v>
      </c>
      <c r="BY30" s="531" t="str">
        <f t="shared" si="79"/>
        <v>Progression free survival</v>
      </c>
      <c r="BZ30" s="530" t="str">
        <f t="shared" si="57"/>
        <v>FP_NMA</v>
      </c>
      <c r="CA30" s="531">
        <f t="shared" si="80"/>
        <v>0</v>
      </c>
      <c r="CB30" s="530">
        <f t="shared" si="58"/>
        <v>1</v>
      </c>
      <c r="CC30" s="530">
        <f t="shared" si="59"/>
        <v>1</v>
      </c>
      <c r="CD30" s="530">
        <f t="shared" si="60"/>
        <v>7</v>
      </c>
      <c r="CE30" s="1295">
        <f t="shared" si="61"/>
        <v>2</v>
      </c>
      <c r="CF30" s="1301">
        <f t="shared" si="62"/>
        <v>1</v>
      </c>
      <c r="CG30" s="530" t="str">
        <f t="shared" si="63"/>
        <v>Log-logistic</v>
      </c>
      <c r="CH30" s="1376">
        <f t="shared" si="64"/>
        <v>1</v>
      </c>
      <c r="CI30" s="1376">
        <f t="shared" si="65"/>
        <v>1</v>
      </c>
      <c r="CJ30" s="1376">
        <f t="shared" si="66"/>
        <v>1</v>
      </c>
      <c r="CV30" s="940">
        <v>0</v>
      </c>
      <c r="CW30" s="940" t="s">
        <v>31</v>
      </c>
      <c r="CX30" s="940">
        <v>2</v>
      </c>
      <c r="CY30" s="940">
        <v>2</v>
      </c>
      <c r="CZ30" s="940" t="str" cm="1">
        <f t="array" ref="CZ30">INDEX(List_trials,CY30+1)</f>
        <v>Real world evidence</v>
      </c>
      <c r="DA30" s="941" t="s">
        <v>555</v>
      </c>
      <c r="DB30" s="941" t="s">
        <v>548</v>
      </c>
      <c r="DC30" s="941" t="s">
        <v>551</v>
      </c>
      <c r="DD30" s="942"/>
      <c r="DE30" s="941"/>
      <c r="DF30" s="941" t="s">
        <v>103</v>
      </c>
      <c r="DG30" s="941" t="s">
        <v>118</v>
      </c>
      <c r="DH30" s="58">
        <f t="shared" si="54"/>
        <v>8</v>
      </c>
      <c r="DK30" s="58" t="str" cm="1">
        <f t="array" ref="DK30">IF(AND($BT30=4,$BX30=4,$BU30=999),$DB$36,_xlfn.IFNA(INDEX(DB$13:DB$70,MATCH(1,($BR30=$CV$13:$CV$70)*($BT30=$CX$13:$CX$70)*($CE30=$CY$13:$CY$70)*($BY30=$DA$13:$DA$70)*($CD30=$DH$13:$DH$70),0)),""))</f>
        <v>Log-logistic</v>
      </c>
      <c r="DL30" s="58" t="str" cm="1">
        <f t="array" ref="DL30">IF(AND($BT30=4,$BX30=4,$BU30=999),$DC$36,_xlfn.IFNA(INDEX(CHOOSE(DP30,DB$13:DB$70,DC$13:DC$70,DD$13:DD$70,DE$13:DE$70),MATCH(1,($BR30=$CV$13:$CV$70)*($BT30=$CX$13:$CX$70)*($CE30=$CY$13:$CY$70)*($BY30=$DA$13:$DA$70)*($CD30=$DH$13:$DH$70),0)),""))</f>
        <v>Log-logistic</v>
      </c>
      <c r="DM30" s="740" t="str" cm="1">
        <f t="array" ref="DM30">IF(AND($BT30=4,$BX30=4,$BU30=999),$DD$36,_xlfn.IFNA(INDEX(DD$13:DD$68,MATCH(1,($BR30=$CV$13:$CV$68)*($BT30=$CX$13:$CX$68)*($CE30=$CY$13:$CY$68)*($BY30=$DA$13:$DA$68)*($CD30=$DH$13:$DH$68),0)),""))</f>
        <v>Log-normal</v>
      </c>
      <c r="DN30" s="740" cm="1">
        <f t="array" ref="DN30">IF(AND($BT30=4,$BX30=4,$BU30=999),$DD$36,_xlfn.IFNA(INDEX(DE$13:DE$68,MATCH(1,($BR30=$CV$13:$CV$68)*($BT30=$CX$13:$CX$68)*($CE30=$CY$13:$CY$68)*($BY30=$DA$13:$DA$68)*($CD30=$DH$13:$DH$68),0)),""))</f>
        <v>0</v>
      </c>
      <c r="DO30" s="58" t="str" cm="1">
        <f t="array" ref="DO30">IF(AND($BT30=4,$BX30=4,$BU30=999),$DF$36,_xlfn.IFNA(INDEX(DF$13:DF$70,MATCH(1,($BR30=$CV$13:$CV$70)*($BT30=$CX$13:$CX$70)*($CE30=$CY$13:$CY$70)*($BY30=$DA$13:$DA$70)*($CD30=$DH$13:$DH$70),0)),""))</f>
        <v>Base case</v>
      </c>
      <c r="DP30" s="58">
        <f t="shared" si="13"/>
        <v>1</v>
      </c>
      <c r="DW30" s="58" t="s">
        <v>74</v>
      </c>
      <c r="DX30" s="58" t="s">
        <v>552</v>
      </c>
      <c r="DY30" s="58" t="s">
        <v>63</v>
      </c>
      <c r="DZ30" s="58">
        <v>0</v>
      </c>
      <c r="EB30" s="58">
        <v>1</v>
      </c>
      <c r="EC30" s="58">
        <v>1</v>
      </c>
      <c r="ED30" s="58">
        <v>7</v>
      </c>
      <c r="EE30" s="58">
        <v>2</v>
      </c>
      <c r="EF30" s="58">
        <v>1</v>
      </c>
      <c r="EI30" s="58" t="s">
        <v>74</v>
      </c>
      <c r="EJ30" s="58" t="s">
        <v>552</v>
      </c>
      <c r="EK30" s="58" t="s">
        <v>63</v>
      </c>
      <c r="EL30" s="58">
        <v>0</v>
      </c>
      <c r="EN30" s="58">
        <v>1</v>
      </c>
      <c r="EO30" s="58">
        <v>1</v>
      </c>
      <c r="EP30" s="58">
        <v>7</v>
      </c>
      <c r="EQ30" s="58">
        <v>0</v>
      </c>
      <c r="ER30" s="58">
        <v>1</v>
      </c>
      <c r="EU30" s="58" t="str">
        <f t="shared" si="67"/>
        <v>Yes</v>
      </c>
      <c r="EV30" s="58" t="str">
        <f t="shared" si="68"/>
        <v>Progression free survival</v>
      </c>
      <c r="EW30" s="58" t="str">
        <f t="shared" si="69"/>
        <v>FP_NMA</v>
      </c>
      <c r="EX30" s="58">
        <f t="shared" si="70"/>
        <v>0</v>
      </c>
      <c r="EZ30" s="58">
        <f t="shared" si="71"/>
        <v>1</v>
      </c>
      <c r="FA30" s="58">
        <f t="shared" si="72"/>
        <v>1</v>
      </c>
      <c r="FB30" s="58">
        <f>IF(i_eff_inputs_based_on_num=2,ED30,(INDEX(Lists!$L$51:$L$85,MATCH(O30,Lists!$K$51:$K$85,0))))</f>
        <v>7</v>
      </c>
      <c r="FC30" s="58">
        <f>IF(i_eff_inputs_based_on_num=2,EE30,(INDEX(Lists!$L$51:$L$85,MATCH(P30,Lists!$K$51:$K$85,0))))</f>
        <v>2</v>
      </c>
      <c r="FD30" s="58">
        <f>IF(i_eff_inputs_based_on_num=2,EF30,(INDEX(Lists!$L$51:$L$85,MATCH(Q30,Lists!$K$51:$K$85,0))))</f>
        <v>1</v>
      </c>
      <c r="FG30" s="58" t="str">
        <f t="shared" si="73"/>
        <v>Yes</v>
      </c>
      <c r="FH30" s="58" t="str">
        <f t="shared" si="74"/>
        <v>Progression free survival</v>
      </c>
      <c r="FI30" s="58" t="str">
        <f t="shared" si="75"/>
        <v>FP_NMA</v>
      </c>
      <c r="FJ30" s="58">
        <f t="shared" si="76"/>
        <v>0</v>
      </c>
      <c r="FL30" s="58">
        <f t="shared" si="77"/>
        <v>1</v>
      </c>
      <c r="FM30" s="58">
        <f t="shared" si="78"/>
        <v>1</v>
      </c>
      <c r="FN30" s="58">
        <f>IF(i_eff_inputs_based_on_num=2,EP30,(INDEX(Lists!$L$51:$L$85,MATCH(O30,Lists!$K$51:$K$85,0))))</f>
        <v>7</v>
      </c>
      <c r="FO30" s="58">
        <f>IF(i_eff_inputs_based_on_num=2,EQ30,(INDEX(Lists!$L$51:$L$85,MATCH(P30,Lists!$K$51:$K$85,0))))</f>
        <v>0</v>
      </c>
      <c r="FP30" s="58">
        <f>IF(i_eff_inputs_based_on_num=2,ER30,(INDEX(Lists!$L$51:$L$85,MATCH(Q30,Lists!$K$51:$K$85,0))))</f>
        <v>1</v>
      </c>
      <c r="FT30" s="58">
        <f t="shared" si="26"/>
        <v>0</v>
      </c>
      <c r="FW30" s="58" t="str">
        <f>IF(i_baseline_risk_from=2,'Effectiveness settings'!EW30,'Effectiveness settings'!FI30)</f>
        <v>FP_NMA</v>
      </c>
      <c r="FX30" s="58" t="str">
        <f t="shared" si="27"/>
        <v>FP_NMA</v>
      </c>
      <c r="FY30" s="58" t="str">
        <f t="shared" si="28"/>
        <v>FP_NMA</v>
      </c>
      <c r="FZ30" s="58" t="str">
        <f t="shared" si="29"/>
        <v>FP_NMA</v>
      </c>
      <c r="GA30" s="58" t="str">
        <f t="shared" si="30"/>
        <v>FP_NMA</v>
      </c>
      <c r="GB30" s="58" t="str">
        <f t="shared" si="31"/>
        <v>FP_NMA</v>
      </c>
      <c r="GC30" s="58" t="str">
        <f t="shared" si="32"/>
        <v>FP_NMA</v>
      </c>
      <c r="GD30" s="58" t="str">
        <f t="shared" si="33"/>
        <v>FP_NMA</v>
      </c>
      <c r="GE30" s="58" t="str">
        <f>IF(AND(dd_CheckMate214_TTD="Yes",'Effectiveness settings'!BU30=2,'Effectiveness settings'!BX30=2),"Apply HR to",GD30)</f>
        <v>FP_NMA</v>
      </c>
      <c r="GF30" s="58" t="str">
        <f t="shared" si="34"/>
        <v>FP_NMA</v>
      </c>
      <c r="GG30" s="58" t="str">
        <f t="shared" si="35"/>
        <v>FP_NMA</v>
      </c>
      <c r="GH30" s="58" t="str">
        <f t="shared" si="36"/>
        <v>FP_NMA</v>
      </c>
      <c r="GI30" s="58" t="str">
        <f t="shared" si="37"/>
        <v>FP_NMA</v>
      </c>
      <c r="GK30" s="58">
        <f>IF(i_baseline_risk_from=2,'Effectiveness settings'!FA30,'Effectiveness settings'!FM30)</f>
        <v>1</v>
      </c>
      <c r="GL30" s="58">
        <f>IF(i_baseline_risk_from=2,'Effectiveness settings'!FB30,'Effectiveness settings'!FN30)</f>
        <v>7</v>
      </c>
      <c r="GM30" s="58">
        <f>IF(i_baseline_risk_from=2,'Effectiveness settings'!FC30,'Effectiveness settings'!FO30)</f>
        <v>2</v>
      </c>
      <c r="GN30" s="58">
        <f>IF(i_baseline_risk_from=2,'Effectiveness settings'!FD30,'Effectiveness settings'!FP30)</f>
        <v>1</v>
      </c>
      <c r="GQ30" s="58">
        <f t="shared" si="38"/>
        <v>7</v>
      </c>
      <c r="GR30" s="58">
        <f t="shared" si="39"/>
        <v>7</v>
      </c>
      <c r="GS30" s="58">
        <f t="shared" si="40"/>
        <v>7</v>
      </c>
      <c r="GT30" s="58">
        <f t="shared" si="41"/>
        <v>7</v>
      </c>
      <c r="GU30" s="58">
        <f>IF(AND(dd_CheckMate214_TTD="Yes",'Effectiveness settings'!BU30=2,'Effectiveness settings'!BX30=2),2,GT30)</f>
        <v>7</v>
      </c>
      <c r="GV30" s="58">
        <f t="shared" si="42"/>
        <v>7</v>
      </c>
      <c r="GW30" s="58">
        <f t="shared" si="43"/>
        <v>7</v>
      </c>
      <c r="GY30" s="58">
        <f>IF(AND(dd_CheckMate214_TTD="Yes",'Effectiveness settings'!BU30=2,'Effectiveness settings'!BX30=2),1,GN30)</f>
        <v>1</v>
      </c>
      <c r="GZ30" s="58">
        <f t="shared" si="44"/>
        <v>1</v>
      </c>
      <c r="HB30" s="58">
        <f t="shared" si="45"/>
        <v>1</v>
      </c>
      <c r="HD30" s="58">
        <f t="shared" si="46"/>
        <v>1</v>
      </c>
      <c r="HE30" s="58">
        <f t="shared" si="47"/>
        <v>1</v>
      </c>
      <c r="HF30" s="58">
        <f t="shared" si="48"/>
        <v>7</v>
      </c>
      <c r="HG30" s="58">
        <f t="shared" si="49"/>
        <v>2</v>
      </c>
      <c r="HH30" s="58">
        <f t="shared" si="50"/>
        <v>1</v>
      </c>
    </row>
    <row r="31" spans="1:216" ht="16.5" thickBot="1" x14ac:dyDescent="0.3">
      <c r="A31" s="58" t="s">
        <v>567</v>
      </c>
      <c r="D31" s="58" t="str">
        <v>lenvatinib_plus_pembrolizumab</v>
      </c>
      <c r="I31" s="64" t="s">
        <v>74</v>
      </c>
      <c r="J31" s="519" t="s">
        <v>552</v>
      </c>
      <c r="K31" s="524" t="s">
        <v>67</v>
      </c>
      <c r="L31" s="519"/>
      <c r="M31" s="516" t="s">
        <v>545</v>
      </c>
      <c r="N31" s="64" t="s">
        <v>546</v>
      </c>
      <c r="O31" s="64" t="s">
        <v>117</v>
      </c>
      <c r="P31" s="64" t="s">
        <v>547</v>
      </c>
      <c r="Q31" s="519" t="s">
        <v>552</v>
      </c>
      <c r="R31" s="516" t="s">
        <v>548</v>
      </c>
      <c r="S31" s="497"/>
      <c r="T31" s="497"/>
      <c r="U31" s="497"/>
      <c r="Y31" s="517"/>
      <c r="AA31" s="517"/>
      <c r="AF31" s="517"/>
      <c r="AM31" s="517"/>
      <c r="AO31" s="517"/>
      <c r="AT31" s="517"/>
      <c r="AV31" s="511"/>
      <c r="AW31" s="511"/>
      <c r="AX31" s="511"/>
      <c r="BA31" s="517"/>
      <c r="BC31" s="517"/>
      <c r="BH31" s="517"/>
      <c r="BJ31" s="511"/>
      <c r="BK31" s="511"/>
      <c r="BL31" s="511"/>
      <c r="BQ31" s="58">
        <f t="shared" si="0"/>
        <v>18</v>
      </c>
      <c r="BR31" s="17">
        <v>1</v>
      </c>
      <c r="BS31" s="17" t="s">
        <v>549</v>
      </c>
      <c r="BT31" s="17">
        <v>1</v>
      </c>
      <c r="BU31" s="17">
        <v>3</v>
      </c>
      <c r="BV31" s="17" t="str">
        <f t="shared" si="55"/>
        <v>lenvatinib_plus_pembrolizumab</v>
      </c>
      <c r="BW31" s="1006" t="str" cm="1">
        <f t="array" ref="BW31">IF(I31="No",I31,INDEX(List_incl_anal_1L_PorI,IF(BU31=999,35,BU31+1)))</f>
        <v>Yes</v>
      </c>
      <c r="BX31" s="61">
        <f t="shared" si="56"/>
        <v>1</v>
      </c>
      <c r="BY31" s="531" t="str">
        <f t="shared" si="79"/>
        <v>Progression free survival</v>
      </c>
      <c r="BZ31" s="530" t="str">
        <f t="shared" si="57"/>
        <v>FP_NMA</v>
      </c>
      <c r="CA31" s="531">
        <f t="shared" si="80"/>
        <v>0</v>
      </c>
      <c r="CB31" s="530">
        <f t="shared" si="58"/>
        <v>1</v>
      </c>
      <c r="CC31" s="530">
        <f t="shared" si="59"/>
        <v>1</v>
      </c>
      <c r="CD31" s="530">
        <f t="shared" si="60"/>
        <v>7</v>
      </c>
      <c r="CE31" s="1295">
        <f t="shared" si="61"/>
        <v>2</v>
      </c>
      <c r="CF31" s="1301">
        <f t="shared" si="62"/>
        <v>1</v>
      </c>
      <c r="CG31" s="530" t="str">
        <f t="shared" si="63"/>
        <v>Log-logistic</v>
      </c>
      <c r="CH31" s="61">
        <f t="shared" si="64"/>
        <v>0</v>
      </c>
      <c r="CI31" s="61">
        <f t="shared" si="65"/>
        <v>0</v>
      </c>
      <c r="CJ31" s="61">
        <f t="shared" si="66"/>
        <v>0</v>
      </c>
      <c r="CV31" s="943">
        <v>0</v>
      </c>
      <c r="CW31" s="943" t="s">
        <v>31</v>
      </c>
      <c r="CX31" s="943">
        <v>2</v>
      </c>
      <c r="CY31" s="943">
        <v>2</v>
      </c>
      <c r="CZ31" s="943" t="str" cm="1">
        <f t="array" ref="CZ31">INDEX(List_trials,CY31+1)</f>
        <v>Real world evidence</v>
      </c>
      <c r="DA31" s="944" t="s">
        <v>557</v>
      </c>
      <c r="DB31" s="944" t="s">
        <v>553</v>
      </c>
      <c r="DC31" s="944" t="s">
        <v>563</v>
      </c>
      <c r="DD31" s="1176"/>
      <c r="DE31" s="944"/>
      <c r="DF31" s="944" t="s">
        <v>103</v>
      </c>
      <c r="DG31" s="944" t="s">
        <v>118</v>
      </c>
      <c r="DH31" s="945">
        <f t="shared" si="54"/>
        <v>8</v>
      </c>
      <c r="DK31" s="58" t="str" cm="1">
        <f t="array" ref="DK31">IF(AND($BT31=4,$BX31=4,$BU31=999),$DB$36,_xlfn.IFNA(INDEX(DB$13:DB$70,MATCH(1,($BR31=$CV$13:$CV$70)*($BT31=$CX$13:$CX$70)*($CE31=$CY$13:$CY$70)*($BY31=$DA$13:$DA$70)*($CD31=$DH$13:$DH$70),0)),""))</f>
        <v>Log-logistic</v>
      </c>
      <c r="DL31" s="58" t="str" cm="1">
        <f t="array" ref="DL31">IF(AND($BT31=4,$BX31=4,$BU31=999),$DC$36,_xlfn.IFNA(INDEX(CHOOSE(DP31,DB$13:DB$70,DC$13:DC$70,DD$13:DD$70,DE$13:DE$70),MATCH(1,($BR31=$CV$13:$CV$70)*($BT31=$CX$13:$CX$70)*($CE31=$CY$13:$CY$70)*($BY31=$DA$13:$DA$70)*($CD31=$DH$13:$DH$70),0)),""))</f>
        <v>Log-logistic</v>
      </c>
      <c r="DM31" s="740" t="str" cm="1">
        <f t="array" ref="DM31">IF(AND($BT31=4,$BX31=4,$BU31=999),$DD$36,_xlfn.IFNA(INDEX(DD$13:DD$68,MATCH(1,($BR31=$CV$13:$CV$68)*($BT31=$CX$13:$CX$68)*($CE31=$CY$13:$CY$68)*($BY31=$DA$13:$DA$68)*($CD31=$DH$13:$DH$68),0)),""))</f>
        <v>Log-normal</v>
      </c>
      <c r="DN31" s="740" cm="1">
        <f t="array" ref="DN31">IF(AND($BT31=4,$BX31=4,$BU31=999),$DD$36,_xlfn.IFNA(INDEX(DE$13:DE$68,MATCH(1,($BR31=$CV$13:$CV$68)*($BT31=$CX$13:$CX$68)*($CE31=$CY$13:$CY$68)*($BY31=$DA$13:$DA$68)*($CD31=$DH$13:$DH$68),0)),""))</f>
        <v>0</v>
      </c>
      <c r="DO31" s="58" t="str" cm="1">
        <f t="array" ref="DO31">IF(AND($BT31=4,$BX31=4,$BU31=999),$DF$36,_xlfn.IFNA(INDEX(DF$13:DF$70,MATCH(1,($BR31=$CV$13:$CV$70)*($BT31=$CX$13:$CX$70)*($CE31=$CY$13:$CY$70)*($BY31=$DA$13:$DA$70)*($CD31=$DH$13:$DH$70),0)),""))</f>
        <v>Base case</v>
      </c>
      <c r="DP31" s="58">
        <f t="shared" si="13"/>
        <v>1</v>
      </c>
      <c r="DW31" s="58" t="s">
        <v>74</v>
      </c>
      <c r="DX31" s="58" t="s">
        <v>552</v>
      </c>
      <c r="DY31" s="58" t="s">
        <v>67</v>
      </c>
      <c r="DZ31" s="58">
        <v>0</v>
      </c>
      <c r="EB31" s="58">
        <v>1</v>
      </c>
      <c r="EC31" s="58">
        <v>1</v>
      </c>
      <c r="ED31" s="58">
        <v>7</v>
      </c>
      <c r="EE31" s="58">
        <v>2</v>
      </c>
      <c r="EF31" s="58">
        <v>1</v>
      </c>
      <c r="EI31" s="58" t="s">
        <v>74</v>
      </c>
      <c r="EJ31" s="58" t="s">
        <v>552</v>
      </c>
      <c r="EK31" s="58" t="s">
        <v>67</v>
      </c>
      <c r="EL31" s="58">
        <v>0</v>
      </c>
      <c r="EN31" s="58">
        <v>1</v>
      </c>
      <c r="EO31" s="58">
        <v>1</v>
      </c>
      <c r="EP31" s="58">
        <v>7</v>
      </c>
      <c r="EQ31" s="58">
        <v>0</v>
      </c>
      <c r="ER31" s="58">
        <v>1</v>
      </c>
      <c r="EU31" s="58" t="str">
        <f t="shared" si="67"/>
        <v>Yes</v>
      </c>
      <c r="EV31" s="58" t="str">
        <f t="shared" si="68"/>
        <v>Progression free survival</v>
      </c>
      <c r="EW31" s="58" t="str">
        <f t="shared" si="69"/>
        <v>PH_NMA</v>
      </c>
      <c r="EX31" s="58">
        <f t="shared" si="70"/>
        <v>0</v>
      </c>
      <c r="EZ31" s="58">
        <f t="shared" si="71"/>
        <v>1</v>
      </c>
      <c r="FA31" s="58">
        <f t="shared" si="72"/>
        <v>1</v>
      </c>
      <c r="FB31" s="58">
        <f>IF(i_eff_inputs_based_on_num=2,ED31,(INDEX(Lists!$L$51:$L$85,MATCH(O31,Lists!$K$51:$K$85,0))))</f>
        <v>7</v>
      </c>
      <c r="FC31" s="58">
        <f>IF(i_eff_inputs_based_on_num=2,EE31,(INDEX(Lists!$L$51:$L$85,MATCH(P31,Lists!$K$51:$K$85,0))))</f>
        <v>2</v>
      </c>
      <c r="FD31" s="58">
        <f>IF(i_eff_inputs_based_on_num=2,EF31,(INDEX(Lists!$L$51:$L$85,MATCH(Q31,Lists!$K$51:$K$85,0))))</f>
        <v>1</v>
      </c>
      <c r="FG31" s="58" t="str">
        <f t="shared" si="73"/>
        <v>Yes</v>
      </c>
      <c r="FH31" s="58" t="str">
        <f t="shared" si="74"/>
        <v>Progression free survival</v>
      </c>
      <c r="FI31" s="58" t="str">
        <f t="shared" si="75"/>
        <v>PH_NMA</v>
      </c>
      <c r="FJ31" s="58">
        <f t="shared" si="76"/>
        <v>0</v>
      </c>
      <c r="FL31" s="58">
        <f t="shared" si="77"/>
        <v>1</v>
      </c>
      <c r="FM31" s="58">
        <f t="shared" si="78"/>
        <v>1</v>
      </c>
      <c r="FN31" s="58">
        <f>IF(i_eff_inputs_based_on_num=2,EP31,(INDEX(Lists!$L$51:$L$85,MATCH(O31,Lists!$K$51:$K$85,0))))</f>
        <v>7</v>
      </c>
      <c r="FO31" s="58">
        <f>IF(i_eff_inputs_based_on_num=2,EQ31,(INDEX(Lists!$L$51:$L$85,MATCH(P31,Lists!$K$51:$K$85,0))))</f>
        <v>0</v>
      </c>
      <c r="FP31" s="58">
        <f>IF(i_eff_inputs_based_on_num=2,ER31,(INDEX(Lists!$L$51:$L$85,MATCH(Q31,Lists!$K$51:$K$85,0))))</f>
        <v>1</v>
      </c>
      <c r="FT31" s="58">
        <f t="shared" si="26"/>
        <v>0</v>
      </c>
      <c r="FW31" s="58" t="str">
        <f>IF(i_baseline_risk_from=2,'Effectiveness settings'!EW31,'Effectiveness settings'!FI31)</f>
        <v>PH_NMA</v>
      </c>
      <c r="FX31" s="58" t="str">
        <f t="shared" si="27"/>
        <v>PH_NMA</v>
      </c>
      <c r="FY31" s="58" t="str">
        <f t="shared" si="28"/>
        <v>PH_NMA</v>
      </c>
      <c r="FZ31" s="58" t="str">
        <f t="shared" si="29"/>
        <v>PH_NMA</v>
      </c>
      <c r="GA31" s="58" t="str">
        <f t="shared" si="30"/>
        <v>PH_NMA</v>
      </c>
      <c r="GB31" s="58" t="str">
        <f t="shared" si="31"/>
        <v>PH_NMA</v>
      </c>
      <c r="GC31" s="58" t="str">
        <f t="shared" si="32"/>
        <v>FP_NMA</v>
      </c>
      <c r="GD31" s="58" t="str">
        <f t="shared" si="33"/>
        <v>FP_NMA</v>
      </c>
      <c r="GE31" s="58" t="str">
        <f>IF(AND(dd_CheckMate214_TTD="Yes",'Effectiveness settings'!BU31=2,'Effectiveness settings'!BX31=2),"Apply HR to",GD31)</f>
        <v>FP_NMA</v>
      </c>
      <c r="GF31" s="58" t="str">
        <f t="shared" si="34"/>
        <v>FP_NMA</v>
      </c>
      <c r="GG31" s="58" t="str">
        <f t="shared" si="35"/>
        <v>FP_NMA</v>
      </c>
      <c r="GH31" s="58" t="str">
        <f t="shared" si="36"/>
        <v>FP_NMA</v>
      </c>
      <c r="GI31" s="58" t="str">
        <f t="shared" si="37"/>
        <v>FP_NMA</v>
      </c>
      <c r="GK31" s="58">
        <f>IF(i_baseline_risk_from=2,'Effectiveness settings'!FA31,'Effectiveness settings'!FM31)</f>
        <v>1</v>
      </c>
      <c r="GL31" s="58">
        <f>IF(i_baseline_risk_from=2,'Effectiveness settings'!FB31,'Effectiveness settings'!FN31)</f>
        <v>7</v>
      </c>
      <c r="GM31" s="58">
        <f>IF(i_baseline_risk_from=2,'Effectiveness settings'!FC31,'Effectiveness settings'!FO31)</f>
        <v>2</v>
      </c>
      <c r="GN31" s="58">
        <f>IF(i_baseline_risk_from=2,'Effectiveness settings'!FD31,'Effectiveness settings'!FP31)</f>
        <v>1</v>
      </c>
      <c r="GQ31" s="58">
        <f t="shared" si="38"/>
        <v>7</v>
      </c>
      <c r="GR31" s="58">
        <f t="shared" si="39"/>
        <v>7</v>
      </c>
      <c r="GS31" s="58">
        <f t="shared" si="40"/>
        <v>7</v>
      </c>
      <c r="GT31" s="58">
        <f t="shared" si="41"/>
        <v>7</v>
      </c>
      <c r="GU31" s="58">
        <f>IF(AND(dd_CheckMate214_TTD="Yes",'Effectiveness settings'!BU31=2,'Effectiveness settings'!BX31=2),2,GT31)</f>
        <v>7</v>
      </c>
      <c r="GV31" s="58">
        <f t="shared" si="42"/>
        <v>7</v>
      </c>
      <c r="GW31" s="58">
        <f t="shared" si="43"/>
        <v>7</v>
      </c>
      <c r="GY31" s="58">
        <f>IF(AND(dd_CheckMate214_TTD="Yes",'Effectiveness settings'!BU31=2,'Effectiveness settings'!BX31=2),1,GN31)</f>
        <v>1</v>
      </c>
      <c r="GZ31" s="58">
        <f t="shared" si="44"/>
        <v>1</v>
      </c>
      <c r="HB31" s="58">
        <f t="shared" si="45"/>
        <v>1</v>
      </c>
      <c r="HD31" s="58">
        <f t="shared" si="46"/>
        <v>1</v>
      </c>
      <c r="HE31" s="58">
        <f t="shared" si="47"/>
        <v>1</v>
      </c>
      <c r="HF31" s="58">
        <f t="shared" si="48"/>
        <v>7</v>
      </c>
      <c r="HG31" s="58">
        <f t="shared" si="49"/>
        <v>2</v>
      </c>
      <c r="HH31" s="58">
        <f t="shared" si="50"/>
        <v>1</v>
      </c>
    </row>
    <row r="32" spans="1:216" ht="15.75" x14ac:dyDescent="0.25">
      <c r="D32" s="58" t="str">
        <v>avelumab_plus_axitinib</v>
      </c>
      <c r="I32" s="739" t="str">
        <f>dd_incl_ave_plus_axi</f>
        <v>No</v>
      </c>
      <c r="J32" s="519" t="s">
        <v>552</v>
      </c>
      <c r="K32" s="524" t="s">
        <v>63</v>
      </c>
      <c r="L32" s="519"/>
      <c r="M32" s="516" t="s">
        <v>545</v>
      </c>
      <c r="N32" s="64" t="s">
        <v>546</v>
      </c>
      <c r="O32" s="64" t="s">
        <v>117</v>
      </c>
      <c r="P32" s="64" t="s">
        <v>547</v>
      </c>
      <c r="Q32" s="519" t="s">
        <v>552</v>
      </c>
      <c r="R32" s="516" t="s">
        <v>548</v>
      </c>
      <c r="S32" s="497"/>
      <c r="T32" s="497"/>
      <c r="U32" s="497"/>
      <c r="Y32" s="517"/>
      <c r="AA32" s="517"/>
      <c r="AF32" s="517"/>
      <c r="AM32" s="517"/>
      <c r="AO32" s="517"/>
      <c r="AT32" s="517"/>
      <c r="AV32" s="511"/>
      <c r="AW32" s="511"/>
      <c r="AX32" s="511"/>
      <c r="BA32" s="517"/>
      <c r="BC32" s="517"/>
      <c r="BH32" s="517"/>
      <c r="BJ32" s="511"/>
      <c r="BK32" s="511"/>
      <c r="BL32" s="511"/>
      <c r="BQ32" s="58">
        <f t="shared" si="0"/>
        <v>19</v>
      </c>
      <c r="BR32" s="17">
        <v>1</v>
      </c>
      <c r="BS32" s="17" t="s">
        <v>549</v>
      </c>
      <c r="BT32" s="17">
        <v>1</v>
      </c>
      <c r="BU32" s="17">
        <v>4</v>
      </c>
      <c r="BV32" s="17" t="str">
        <f t="shared" si="55"/>
        <v>avelumab_plus_axitinib</v>
      </c>
      <c r="BW32" s="1006" t="str" cm="1">
        <f t="array" ref="BW32">IF(I32="No",I32,INDEX(List_incl_anal_1L_PorI,IF(BU32=999,35,BU32+1)))</f>
        <v>No</v>
      </c>
      <c r="BX32" s="61">
        <f t="shared" si="56"/>
        <v>1</v>
      </c>
      <c r="BY32" s="531" t="str">
        <f t="shared" si="79"/>
        <v>Progression free survival</v>
      </c>
      <c r="BZ32" s="530" t="str">
        <f t="shared" si="57"/>
        <v>FP_NMA</v>
      </c>
      <c r="CA32" s="531">
        <f t="shared" si="80"/>
        <v>0</v>
      </c>
      <c r="CB32" s="530">
        <f t="shared" si="58"/>
        <v>1</v>
      </c>
      <c r="CC32" s="530">
        <f t="shared" si="59"/>
        <v>1</v>
      </c>
      <c r="CD32" s="530">
        <f t="shared" si="60"/>
        <v>7</v>
      </c>
      <c r="CE32" s="1295">
        <f t="shared" si="61"/>
        <v>2</v>
      </c>
      <c r="CF32" s="1301">
        <f t="shared" si="62"/>
        <v>1</v>
      </c>
      <c r="CG32" s="530" t="str">
        <f t="shared" si="63"/>
        <v>Log-logistic</v>
      </c>
      <c r="CH32" s="61">
        <f t="shared" si="64"/>
        <v>0</v>
      </c>
      <c r="CI32" s="61">
        <f t="shared" si="65"/>
        <v>0</v>
      </c>
      <c r="CJ32" s="61">
        <f t="shared" si="66"/>
        <v>0</v>
      </c>
      <c r="CV32" s="940">
        <v>0</v>
      </c>
      <c r="CW32" s="940" t="s">
        <v>31</v>
      </c>
      <c r="CX32" s="940">
        <v>3</v>
      </c>
      <c r="CY32" s="940">
        <v>2</v>
      </c>
      <c r="CZ32" s="940" t="str" cm="1">
        <f t="array" ref="CZ32">INDEX(List_trials,CY32+1)</f>
        <v>Real world evidence</v>
      </c>
      <c r="DA32" s="942" t="s">
        <v>544</v>
      </c>
      <c r="DB32" s="942" t="s">
        <v>553</v>
      </c>
      <c r="DC32" s="942" t="s">
        <v>551</v>
      </c>
      <c r="DD32" s="942"/>
      <c r="DE32" s="942"/>
      <c r="DF32" s="942" t="s">
        <v>103</v>
      </c>
      <c r="DG32" s="942" t="s">
        <v>118</v>
      </c>
      <c r="DH32" s="58">
        <f t="shared" si="54"/>
        <v>8</v>
      </c>
      <c r="DK32" s="58" t="str" cm="1">
        <f t="array" ref="DK32">IF(AND($BT32=4,$BX32=4,$BU32=999),$DB$36,_xlfn.IFNA(INDEX(DB$13:DB$70,MATCH(1,($BR32=$CV$13:$CV$70)*($BT32=$CX$13:$CX$70)*($CE32=$CY$13:$CY$70)*($BY32=$DA$13:$DA$70)*($CD32=$DH$13:$DH$70),0)),""))</f>
        <v>Log-logistic</v>
      </c>
      <c r="DL32" s="58" t="str" cm="1">
        <f t="array" ref="DL32">IF(AND($BT32=4,$BX32=4,$BU32=999),$DC$36,_xlfn.IFNA(INDEX(CHOOSE(DP32,DB$13:DB$70,DC$13:DC$70,DD$13:DD$70,DE$13:DE$70),MATCH(1,($BR32=$CV$13:$CV$70)*($BT32=$CX$13:$CX$70)*($CE32=$CY$13:$CY$70)*($BY32=$DA$13:$DA$70)*($CD32=$DH$13:$DH$70),0)),""))</f>
        <v>Log-logistic</v>
      </c>
      <c r="DM32" s="740" t="str" cm="1">
        <f t="array" ref="DM32">IF(AND($BT32=4,$BX32=4,$BU32=999),$DD$36,_xlfn.IFNA(INDEX(DD$13:DD$68,MATCH(1,($BR32=$CV$13:$CV$68)*($BT32=$CX$13:$CX$68)*($CE32=$CY$13:$CY$68)*($BY32=$DA$13:$DA$68)*($CD32=$DH$13:$DH$68),0)),""))</f>
        <v>Log-normal</v>
      </c>
      <c r="DN32" s="740" cm="1">
        <f t="array" ref="DN32">IF(AND($BT32=4,$BX32=4,$BU32=999),$DD$36,_xlfn.IFNA(INDEX(DE$13:DE$68,MATCH(1,($BR32=$CV$13:$CV$68)*($BT32=$CX$13:$CX$68)*($CE32=$CY$13:$CY$68)*($BY32=$DA$13:$DA$68)*($CD32=$DH$13:$DH$68),0)),""))</f>
        <v>0</v>
      </c>
      <c r="DO32" s="58" t="str" cm="1">
        <f t="array" ref="DO32">IF(AND($BT32=4,$BX32=4,$BU32=999),$DF$36,_xlfn.IFNA(INDEX(DF$13:DF$70,MATCH(1,($BR32=$CV$13:$CV$70)*($BT32=$CX$13:$CX$70)*($CE32=$CY$13:$CY$70)*($BY32=$DA$13:$DA$70)*($CD32=$DH$13:$DH$70),0)),""))</f>
        <v>Base case</v>
      </c>
      <c r="DP32" s="58">
        <f t="shared" si="13"/>
        <v>1</v>
      </c>
      <c r="DW32" s="58" t="s">
        <v>58</v>
      </c>
      <c r="DX32" s="58" t="s">
        <v>552</v>
      </c>
      <c r="DY32" s="58" t="s">
        <v>63</v>
      </c>
      <c r="DZ32" s="58">
        <v>0</v>
      </c>
      <c r="EB32" s="58">
        <v>1</v>
      </c>
      <c r="EC32" s="58">
        <v>1</v>
      </c>
      <c r="ED32" s="58">
        <v>7</v>
      </c>
      <c r="EE32" s="58">
        <v>2</v>
      </c>
      <c r="EF32" s="58">
        <v>1</v>
      </c>
      <c r="EI32" s="58" t="s">
        <v>58</v>
      </c>
      <c r="EJ32" s="58" t="s">
        <v>552</v>
      </c>
      <c r="EK32" s="58" t="s">
        <v>63</v>
      </c>
      <c r="EL32" s="58">
        <v>0</v>
      </c>
      <c r="EN32" s="58">
        <v>1</v>
      </c>
      <c r="EO32" s="58">
        <v>1</v>
      </c>
      <c r="EP32" s="58">
        <v>7</v>
      </c>
      <c r="EQ32" s="58">
        <v>0</v>
      </c>
      <c r="ER32" s="58">
        <v>1</v>
      </c>
      <c r="EU32" s="58" t="str">
        <f t="shared" si="67"/>
        <v>No</v>
      </c>
      <c r="EV32" s="58" t="str">
        <f t="shared" si="68"/>
        <v>Progression free survival</v>
      </c>
      <c r="EW32" s="58" t="str">
        <f t="shared" si="69"/>
        <v>FP_NMA</v>
      </c>
      <c r="EX32" s="58">
        <f t="shared" si="70"/>
        <v>0</v>
      </c>
      <c r="EZ32" s="58">
        <f t="shared" si="71"/>
        <v>1</v>
      </c>
      <c r="FA32" s="58">
        <f t="shared" si="72"/>
        <v>1</v>
      </c>
      <c r="FB32" s="58">
        <f>IF(i_eff_inputs_based_on_num=2,ED32,(INDEX(Lists!$L$51:$L$85,MATCH(O32,Lists!$K$51:$K$85,0))))</f>
        <v>7</v>
      </c>
      <c r="FC32" s="58">
        <f>IF(i_eff_inputs_based_on_num=2,EE32,(INDEX(Lists!$L$51:$L$85,MATCH(P32,Lists!$K$51:$K$85,0))))</f>
        <v>2</v>
      </c>
      <c r="FD32" s="58">
        <f>IF(i_eff_inputs_based_on_num=2,EF32,(INDEX(Lists!$L$51:$L$85,MATCH(Q32,Lists!$K$51:$K$85,0))))</f>
        <v>1</v>
      </c>
      <c r="FG32" s="58" t="str">
        <f t="shared" si="73"/>
        <v>No</v>
      </c>
      <c r="FH32" s="58" t="str">
        <f t="shared" si="74"/>
        <v>Progression free survival</v>
      </c>
      <c r="FI32" s="58" t="str">
        <f t="shared" si="75"/>
        <v>FP_NMA</v>
      </c>
      <c r="FJ32" s="58">
        <f t="shared" si="76"/>
        <v>0</v>
      </c>
      <c r="FL32" s="58">
        <f t="shared" si="77"/>
        <v>1</v>
      </c>
      <c r="FM32" s="58">
        <f t="shared" si="78"/>
        <v>1</v>
      </c>
      <c r="FN32" s="58">
        <f>IF(i_eff_inputs_based_on_num=2,EP32,(INDEX(Lists!$L$51:$L$85,MATCH(O32,Lists!$K$51:$K$85,0))))</f>
        <v>7</v>
      </c>
      <c r="FO32" s="58">
        <f>IF(i_eff_inputs_based_on_num=2,EQ32,(INDEX(Lists!$L$51:$L$85,MATCH(P32,Lists!$K$51:$K$85,0))))</f>
        <v>0</v>
      </c>
      <c r="FP32" s="58">
        <f>IF(i_eff_inputs_based_on_num=2,ER32,(INDEX(Lists!$L$51:$L$85,MATCH(Q32,Lists!$K$51:$K$85,0))))</f>
        <v>1</v>
      </c>
      <c r="FT32" s="58">
        <f t="shared" si="26"/>
        <v>0</v>
      </c>
      <c r="FW32" s="58" t="str">
        <f>IF(i_baseline_risk_from=2,'Effectiveness settings'!EW32,'Effectiveness settings'!FI32)</f>
        <v>FP_NMA</v>
      </c>
      <c r="FX32" s="58" t="str">
        <f t="shared" si="27"/>
        <v>FP_NMA</v>
      </c>
      <c r="FY32" s="58" t="str">
        <f t="shared" si="28"/>
        <v>FP_NMA</v>
      </c>
      <c r="FZ32" s="58" t="str">
        <f t="shared" si="29"/>
        <v>FP_NMA</v>
      </c>
      <c r="GA32" s="58" t="str">
        <f t="shared" si="30"/>
        <v>FP_NMA</v>
      </c>
      <c r="GB32" s="58" t="str">
        <f t="shared" si="31"/>
        <v>FP_NMA</v>
      </c>
      <c r="GC32" s="58" t="str">
        <f t="shared" si="32"/>
        <v>FP_NMA</v>
      </c>
      <c r="GD32" s="58" t="str">
        <f t="shared" si="33"/>
        <v>FP_NMA</v>
      </c>
      <c r="GE32" s="58" t="str">
        <f>IF(AND(dd_CheckMate214_TTD="Yes",'Effectiveness settings'!BU32=2,'Effectiveness settings'!BX32=2),"Apply HR to",GD32)</f>
        <v>FP_NMA</v>
      </c>
      <c r="GF32" s="58" t="str">
        <f t="shared" si="34"/>
        <v>FP_NMA</v>
      </c>
      <c r="GG32" s="58" t="str">
        <f t="shared" si="35"/>
        <v>FP_NMA</v>
      </c>
      <c r="GH32" s="58" t="str">
        <f t="shared" si="36"/>
        <v>FP_NMA</v>
      </c>
      <c r="GI32" s="58" t="str">
        <f t="shared" si="37"/>
        <v>FP_NMA</v>
      </c>
      <c r="GK32" s="58">
        <f>IF(i_baseline_risk_from=2,'Effectiveness settings'!FA32,'Effectiveness settings'!FM32)</f>
        <v>1</v>
      </c>
      <c r="GL32" s="58">
        <f>IF(i_baseline_risk_from=2,'Effectiveness settings'!FB32,'Effectiveness settings'!FN32)</f>
        <v>7</v>
      </c>
      <c r="GM32" s="58">
        <f>IF(i_baseline_risk_from=2,'Effectiveness settings'!FC32,'Effectiveness settings'!FO32)</f>
        <v>2</v>
      </c>
      <c r="GN32" s="58">
        <f>IF(i_baseline_risk_from=2,'Effectiveness settings'!FD32,'Effectiveness settings'!FP32)</f>
        <v>1</v>
      </c>
      <c r="GQ32" s="58">
        <f t="shared" si="38"/>
        <v>7</v>
      </c>
      <c r="GR32" s="58">
        <f t="shared" si="39"/>
        <v>7</v>
      </c>
      <c r="GS32" s="58">
        <f t="shared" si="40"/>
        <v>7</v>
      </c>
      <c r="GT32" s="58">
        <f t="shared" si="41"/>
        <v>7</v>
      </c>
      <c r="GU32" s="58">
        <f>IF(AND(dd_CheckMate214_TTD="Yes",'Effectiveness settings'!BU32=2,'Effectiveness settings'!BX32=2),2,GT32)</f>
        <v>7</v>
      </c>
      <c r="GV32" s="58">
        <f t="shared" si="42"/>
        <v>7</v>
      </c>
      <c r="GW32" s="58">
        <f t="shared" si="43"/>
        <v>7</v>
      </c>
      <c r="GY32" s="58">
        <f>IF(AND(dd_CheckMate214_TTD="Yes",'Effectiveness settings'!BU32=2,'Effectiveness settings'!BX32=2),1,GN32)</f>
        <v>1</v>
      </c>
      <c r="GZ32" s="58">
        <f t="shared" si="44"/>
        <v>1</v>
      </c>
      <c r="HB32" s="58">
        <f t="shared" si="45"/>
        <v>1</v>
      </c>
      <c r="HD32" s="58">
        <f t="shared" si="46"/>
        <v>1</v>
      </c>
      <c r="HE32" s="58">
        <f t="shared" si="47"/>
        <v>1</v>
      </c>
      <c r="HF32" s="58">
        <f t="shared" si="48"/>
        <v>7</v>
      </c>
      <c r="HG32" s="58">
        <f t="shared" si="49"/>
        <v>2</v>
      </c>
      <c r="HH32" s="58">
        <f t="shared" si="50"/>
        <v>1</v>
      </c>
    </row>
    <row r="33" spans="1:216" ht="15.75" x14ac:dyDescent="0.25">
      <c r="A33" s="58" t="s">
        <v>558</v>
      </c>
      <c r="D33" s="58" t="str">
        <v>pazopanib</v>
      </c>
      <c r="I33" s="64" t="s">
        <v>74</v>
      </c>
      <c r="J33" s="519" t="s">
        <v>552</v>
      </c>
      <c r="K33" s="524" t="s">
        <v>67</v>
      </c>
      <c r="L33" s="519"/>
      <c r="M33" s="516" t="s">
        <v>545</v>
      </c>
      <c r="N33" s="64" t="s">
        <v>546</v>
      </c>
      <c r="O33" s="64" t="s">
        <v>117</v>
      </c>
      <c r="P33" s="64" t="s">
        <v>547</v>
      </c>
      <c r="Q33" s="519" t="s">
        <v>552</v>
      </c>
      <c r="R33" s="516" t="s">
        <v>548</v>
      </c>
      <c r="S33" s="497"/>
      <c r="T33" s="497"/>
      <c r="U33" s="497"/>
      <c r="Y33" s="517"/>
      <c r="AA33" s="517"/>
      <c r="AF33" s="517"/>
      <c r="AM33" s="517"/>
      <c r="AO33" s="517"/>
      <c r="AT33" s="517"/>
      <c r="AV33" s="511"/>
      <c r="AW33" s="511"/>
      <c r="AX33" s="511"/>
      <c r="BA33" s="517"/>
      <c r="BC33" s="517"/>
      <c r="BH33" s="517"/>
      <c r="BJ33" s="511"/>
      <c r="BK33" s="511"/>
      <c r="BL33" s="511"/>
      <c r="BQ33" s="58">
        <f t="shared" si="0"/>
        <v>20</v>
      </c>
      <c r="BR33" s="17">
        <v>1</v>
      </c>
      <c r="BS33" s="17" t="s">
        <v>549</v>
      </c>
      <c r="BT33" s="17">
        <v>1</v>
      </c>
      <c r="BU33" s="17">
        <v>5</v>
      </c>
      <c r="BV33" s="17" t="str">
        <f t="shared" si="55"/>
        <v>pazopanib</v>
      </c>
      <c r="BW33" s="1006" t="str" cm="1">
        <f t="array" ref="BW33">IF(I33="No",I33,INDEX(List_incl_anal_1L_PorI,IF(BU33=999,35,BU33+1)))</f>
        <v>Yes</v>
      </c>
      <c r="BX33" s="61">
        <f t="shared" si="56"/>
        <v>1</v>
      </c>
      <c r="BY33" s="531" t="str">
        <f t="shared" si="79"/>
        <v>Progression free survival</v>
      </c>
      <c r="BZ33" s="530" t="str">
        <f t="shared" si="57"/>
        <v>Assume equal to</v>
      </c>
      <c r="CA33" s="531">
        <f t="shared" si="80"/>
        <v>0</v>
      </c>
      <c r="CB33" s="530">
        <f t="shared" si="58"/>
        <v>1</v>
      </c>
      <c r="CC33" s="530">
        <f t="shared" si="59"/>
        <v>1</v>
      </c>
      <c r="CD33" s="530">
        <f t="shared" si="60"/>
        <v>7</v>
      </c>
      <c r="CE33" s="1295">
        <f t="shared" si="61"/>
        <v>2</v>
      </c>
      <c r="CF33" s="1301">
        <f t="shared" si="62"/>
        <v>1</v>
      </c>
      <c r="CG33" s="530" t="str">
        <f t="shared" si="63"/>
        <v>Log-logistic</v>
      </c>
      <c r="CH33" s="61">
        <f t="shared" si="64"/>
        <v>0</v>
      </c>
      <c r="CI33" s="61">
        <f t="shared" si="65"/>
        <v>0</v>
      </c>
      <c r="CJ33" s="61">
        <f t="shared" si="66"/>
        <v>0</v>
      </c>
      <c r="CV33" s="940">
        <v>0</v>
      </c>
      <c r="CW33" s="940" t="s">
        <v>31</v>
      </c>
      <c r="CX33" s="940">
        <v>3</v>
      </c>
      <c r="CY33" s="940">
        <v>2</v>
      </c>
      <c r="CZ33" s="940" t="str" cm="1">
        <f t="array" ref="CZ33">INDEX(List_trials,CY33+1)</f>
        <v>Real world evidence</v>
      </c>
      <c r="DA33" s="941" t="s">
        <v>552</v>
      </c>
      <c r="DB33" s="941" t="s">
        <v>553</v>
      </c>
      <c r="DC33" s="941" t="s">
        <v>563</v>
      </c>
      <c r="DD33" s="942" t="s">
        <v>551</v>
      </c>
      <c r="DE33" s="941"/>
      <c r="DF33" s="941" t="s">
        <v>103</v>
      </c>
      <c r="DG33" s="941" t="s">
        <v>118</v>
      </c>
      <c r="DH33" s="58">
        <f t="shared" si="54"/>
        <v>8</v>
      </c>
      <c r="DK33" s="58" t="str" cm="1">
        <f t="array" ref="DK33">IF(AND($BT33=4,$BX33=4,$BU33=999),$DB$36,_xlfn.IFNA(INDEX(DB$13:DB$70,MATCH(1,($BR33=$CV$13:$CV$70)*($BT33=$CX$13:$CX$70)*($CE33=$CY$13:$CY$70)*($BY33=$DA$13:$DA$70)*($CD33=$DH$13:$DH$70),0)),""))</f>
        <v>Log-logistic</v>
      </c>
      <c r="DL33" s="58" t="str" cm="1">
        <f t="array" ref="DL33">IF(AND($BT33=4,$BX33=4,$BU33=999),$DC$36,_xlfn.IFNA(INDEX(CHOOSE(DP33,DB$13:DB$70,DC$13:DC$70,DD$13:DD$70,DE$13:DE$70),MATCH(1,($BR33=$CV$13:$CV$70)*($BT33=$CX$13:$CX$70)*($CE33=$CY$13:$CY$70)*($BY33=$DA$13:$DA$70)*($CD33=$DH$13:$DH$70),0)),""))</f>
        <v>Log-logistic</v>
      </c>
      <c r="DM33" s="740" t="str" cm="1">
        <f t="array" ref="DM33">IF(AND($BT33=4,$BX33=4,$BU33=999),$DD$36,_xlfn.IFNA(INDEX(DD$13:DD$68,MATCH(1,($BR33=$CV$13:$CV$68)*($BT33=$CX$13:$CX$68)*($CE33=$CY$13:$CY$68)*($BY33=$DA$13:$DA$68)*($CD33=$DH$13:$DH$68),0)),""))</f>
        <v>Log-normal</v>
      </c>
      <c r="DN33" s="740" cm="1">
        <f t="array" ref="DN33">IF(AND($BT33=4,$BX33=4,$BU33=999),$DD$36,_xlfn.IFNA(INDEX(DE$13:DE$68,MATCH(1,($BR33=$CV$13:$CV$68)*($BT33=$CX$13:$CX$68)*($CE33=$CY$13:$CY$68)*($BY33=$DA$13:$DA$68)*($CD33=$DH$13:$DH$68),0)),""))</f>
        <v>0</v>
      </c>
      <c r="DO33" s="58" t="str" cm="1">
        <f t="array" ref="DO33">IF(AND($BT33=4,$BX33=4,$BU33=999),$DF$36,_xlfn.IFNA(INDEX(DF$13:DF$70,MATCH(1,($BR33=$CV$13:$CV$70)*($BT33=$CX$13:$CX$70)*($CE33=$CY$13:$CY$70)*($BY33=$DA$13:$DA$70)*($CD33=$DH$13:$DH$70),0)),""))</f>
        <v>Base case</v>
      </c>
      <c r="DP33" s="58">
        <f t="shared" si="13"/>
        <v>1</v>
      </c>
      <c r="DW33" s="58" t="s">
        <v>74</v>
      </c>
      <c r="DX33" s="58" t="s">
        <v>552</v>
      </c>
      <c r="DY33" s="58" t="s">
        <v>67</v>
      </c>
      <c r="DZ33" s="58">
        <v>0</v>
      </c>
      <c r="EB33" s="58">
        <v>1</v>
      </c>
      <c r="EC33" s="58">
        <v>1</v>
      </c>
      <c r="ED33" s="58">
        <v>7</v>
      </c>
      <c r="EE33" s="58">
        <v>2</v>
      </c>
      <c r="EF33" s="58">
        <v>1</v>
      </c>
      <c r="EI33" s="58" t="s">
        <v>74</v>
      </c>
      <c r="EJ33" s="58" t="s">
        <v>552</v>
      </c>
      <c r="EK33" s="58" t="s">
        <v>67</v>
      </c>
      <c r="EL33" s="58">
        <v>0</v>
      </c>
      <c r="EN33" s="58">
        <v>1</v>
      </c>
      <c r="EO33" s="58">
        <v>1</v>
      </c>
      <c r="EP33" s="58">
        <v>7</v>
      </c>
      <c r="EQ33" s="58">
        <v>0</v>
      </c>
      <c r="ER33" s="58">
        <v>1</v>
      </c>
      <c r="EU33" s="58" t="str">
        <f t="shared" si="67"/>
        <v>Yes</v>
      </c>
      <c r="EV33" s="58" t="str">
        <f t="shared" si="68"/>
        <v>Progression free survival</v>
      </c>
      <c r="EW33" s="58" t="str">
        <f t="shared" si="69"/>
        <v>PH_NMA</v>
      </c>
      <c r="EX33" s="58">
        <f t="shared" si="70"/>
        <v>0</v>
      </c>
      <c r="EZ33" s="58">
        <f t="shared" si="71"/>
        <v>1</v>
      </c>
      <c r="FA33" s="58">
        <f t="shared" si="72"/>
        <v>1</v>
      </c>
      <c r="FB33" s="58">
        <f>IF(i_eff_inputs_based_on_num=2,ED33,(INDEX(Lists!$L$51:$L$85,MATCH(O33,Lists!$K$51:$K$85,0))))</f>
        <v>7</v>
      </c>
      <c r="FC33" s="58">
        <f>IF(i_eff_inputs_based_on_num=2,EE33,(INDEX(Lists!$L$51:$L$85,MATCH(P33,Lists!$K$51:$K$85,0))))</f>
        <v>2</v>
      </c>
      <c r="FD33" s="58">
        <f>IF(i_eff_inputs_based_on_num=2,EF33,(INDEX(Lists!$L$51:$L$85,MATCH(Q33,Lists!$K$51:$K$85,0))))</f>
        <v>1</v>
      </c>
      <c r="FG33" s="58" t="str">
        <f t="shared" si="73"/>
        <v>Yes</v>
      </c>
      <c r="FH33" s="58" t="str">
        <f t="shared" si="74"/>
        <v>Progression free survival</v>
      </c>
      <c r="FI33" s="58" t="str">
        <f t="shared" si="75"/>
        <v>PH_NMA</v>
      </c>
      <c r="FJ33" s="58">
        <f t="shared" si="76"/>
        <v>0</v>
      </c>
      <c r="FL33" s="58">
        <f t="shared" si="77"/>
        <v>1</v>
      </c>
      <c r="FM33" s="58">
        <f t="shared" si="78"/>
        <v>1</v>
      </c>
      <c r="FN33" s="58">
        <f>IF(i_eff_inputs_based_on_num=2,EP33,(INDEX(Lists!$L$51:$L$85,MATCH(O33,Lists!$K$51:$K$85,0))))</f>
        <v>7</v>
      </c>
      <c r="FO33" s="58">
        <f>IF(i_eff_inputs_based_on_num=2,EQ33,(INDEX(Lists!$L$51:$L$85,MATCH(P33,Lists!$K$51:$K$85,0))))</f>
        <v>0</v>
      </c>
      <c r="FP33" s="58">
        <f>IF(i_eff_inputs_based_on_num=2,ER33,(INDEX(Lists!$L$51:$L$85,MATCH(Q33,Lists!$K$51:$K$85,0))))</f>
        <v>1</v>
      </c>
      <c r="FT33" s="58">
        <f t="shared" si="26"/>
        <v>0</v>
      </c>
      <c r="FW33" s="58" t="str">
        <f>IF(i_baseline_risk_from=2,'Effectiveness settings'!EW33,'Effectiveness settings'!FI33)</f>
        <v>PH_NMA</v>
      </c>
      <c r="FX33" s="58" t="str">
        <f t="shared" si="27"/>
        <v>PH_NMA</v>
      </c>
      <c r="FY33" s="58" t="str">
        <f t="shared" si="28"/>
        <v>PH_NMA</v>
      </c>
      <c r="FZ33" s="58" t="str">
        <f t="shared" si="29"/>
        <v>Assume equal to</v>
      </c>
      <c r="GA33" s="58" t="str">
        <f t="shared" si="30"/>
        <v>Assume equal to</v>
      </c>
      <c r="GB33" s="58" t="str">
        <f t="shared" si="31"/>
        <v>Assume equal to</v>
      </c>
      <c r="GC33" s="58" t="str">
        <f t="shared" si="32"/>
        <v>Assume equal to</v>
      </c>
      <c r="GD33" s="58" t="str">
        <f t="shared" si="33"/>
        <v>Assume equal to</v>
      </c>
      <c r="GE33" s="58" t="str">
        <f>IF(AND(dd_CheckMate214_TTD="Yes",'Effectiveness settings'!BU33=2,'Effectiveness settings'!BX33=2),"Apply HR to",GD33)</f>
        <v>Assume equal to</v>
      </c>
      <c r="GF33" s="58" t="str">
        <f t="shared" si="34"/>
        <v>Assume equal to</v>
      </c>
      <c r="GG33" s="58" t="str">
        <f t="shared" si="35"/>
        <v>Assume equal to</v>
      </c>
      <c r="GH33" s="58" t="str">
        <f t="shared" si="36"/>
        <v>Assume equal to</v>
      </c>
      <c r="GI33" s="58" t="str">
        <f t="shared" si="37"/>
        <v>Assume equal to</v>
      </c>
      <c r="GK33" s="58">
        <f>IF(i_baseline_risk_from=2,'Effectiveness settings'!FA33,'Effectiveness settings'!FM33)</f>
        <v>1</v>
      </c>
      <c r="GL33" s="58">
        <f>IF(i_baseline_risk_from=2,'Effectiveness settings'!FB33,'Effectiveness settings'!FN33)</f>
        <v>7</v>
      </c>
      <c r="GM33" s="58">
        <f>IF(i_baseline_risk_from=2,'Effectiveness settings'!FC33,'Effectiveness settings'!FO33)</f>
        <v>2</v>
      </c>
      <c r="GN33" s="58">
        <f>IF(i_baseline_risk_from=2,'Effectiveness settings'!FD33,'Effectiveness settings'!FP33)</f>
        <v>1</v>
      </c>
      <c r="GQ33" s="58">
        <f t="shared" si="38"/>
        <v>7</v>
      </c>
      <c r="GR33" s="58">
        <f t="shared" si="39"/>
        <v>7</v>
      </c>
      <c r="GS33" s="58">
        <f t="shared" si="40"/>
        <v>7</v>
      </c>
      <c r="GT33" s="58">
        <f t="shared" si="41"/>
        <v>7</v>
      </c>
      <c r="GU33" s="58">
        <f>IF(AND(dd_CheckMate214_TTD="Yes",'Effectiveness settings'!BU33=2,'Effectiveness settings'!BX33=2),2,GT33)</f>
        <v>7</v>
      </c>
      <c r="GV33" s="58">
        <f t="shared" si="42"/>
        <v>7</v>
      </c>
      <c r="GW33" s="58">
        <f t="shared" si="43"/>
        <v>7</v>
      </c>
      <c r="GY33" s="58">
        <f>IF(AND(dd_CheckMate214_TTD="Yes",'Effectiveness settings'!BU33=2,'Effectiveness settings'!BX33=2),1,GN33)</f>
        <v>1</v>
      </c>
      <c r="GZ33" s="58">
        <f t="shared" si="44"/>
        <v>1</v>
      </c>
      <c r="HB33" s="58">
        <f t="shared" si="45"/>
        <v>1</v>
      </c>
      <c r="HD33" s="58">
        <f t="shared" si="46"/>
        <v>1</v>
      </c>
      <c r="HE33" s="58">
        <f t="shared" si="47"/>
        <v>1</v>
      </c>
      <c r="HF33" s="58">
        <f t="shared" si="48"/>
        <v>7</v>
      </c>
      <c r="HG33" s="58">
        <f t="shared" si="49"/>
        <v>2</v>
      </c>
      <c r="HH33" s="58">
        <f t="shared" si="50"/>
        <v>1</v>
      </c>
    </row>
    <row r="34" spans="1:216" ht="15.75" x14ac:dyDescent="0.25">
      <c r="A34" s="58" t="s">
        <v>558</v>
      </c>
      <c r="D34" s="58" t="str">
        <v>tivozanib</v>
      </c>
      <c r="I34" s="64" t="s">
        <v>74</v>
      </c>
      <c r="J34" s="519" t="s">
        <v>552</v>
      </c>
      <c r="K34" s="524" t="s">
        <v>67</v>
      </c>
      <c r="L34" s="519"/>
      <c r="M34" s="516" t="s">
        <v>545</v>
      </c>
      <c r="N34" s="64" t="s">
        <v>546</v>
      </c>
      <c r="O34" s="64" t="s">
        <v>117</v>
      </c>
      <c r="P34" s="64" t="s">
        <v>547</v>
      </c>
      <c r="Q34" s="519" t="s">
        <v>552</v>
      </c>
      <c r="R34" s="516" t="s">
        <v>548</v>
      </c>
      <c r="S34" s="497"/>
      <c r="T34" s="497"/>
      <c r="U34" s="497"/>
      <c r="Y34" s="517"/>
      <c r="AA34" s="517"/>
      <c r="AF34" s="517"/>
      <c r="AM34" s="517"/>
      <c r="AO34" s="517"/>
      <c r="AT34" s="517"/>
      <c r="AV34" s="511"/>
      <c r="AW34" s="511"/>
      <c r="AX34" s="511"/>
      <c r="BA34" s="517"/>
      <c r="BC34" s="517"/>
      <c r="BH34" s="517"/>
      <c r="BJ34" s="511"/>
      <c r="BK34" s="511"/>
      <c r="BL34" s="511"/>
      <c r="BQ34" s="58">
        <f t="shared" si="0"/>
        <v>21</v>
      </c>
      <c r="BR34" s="17">
        <v>1</v>
      </c>
      <c r="BS34" s="17" t="s">
        <v>549</v>
      </c>
      <c r="BT34" s="17">
        <v>1</v>
      </c>
      <c r="BU34" s="17">
        <v>6</v>
      </c>
      <c r="BV34" s="17" t="str">
        <f t="shared" si="55"/>
        <v>tivozanib</v>
      </c>
      <c r="BW34" s="1006" t="str" cm="1">
        <f t="array" ref="BW34">IF(I34="No",I34,INDEX(List_incl_anal_1L_PorI,IF(BU34=999,35,BU34+1)))</f>
        <v>Yes</v>
      </c>
      <c r="BX34" s="61">
        <f t="shared" si="56"/>
        <v>1</v>
      </c>
      <c r="BY34" s="531" t="str">
        <f t="shared" si="79"/>
        <v>Progression free survival</v>
      </c>
      <c r="BZ34" s="530" t="str">
        <f t="shared" si="57"/>
        <v>Assume equal to</v>
      </c>
      <c r="CA34" s="531">
        <f t="shared" si="80"/>
        <v>0</v>
      </c>
      <c r="CB34" s="530">
        <f t="shared" si="58"/>
        <v>1</v>
      </c>
      <c r="CC34" s="530">
        <f t="shared" si="59"/>
        <v>1</v>
      </c>
      <c r="CD34" s="530">
        <f t="shared" si="60"/>
        <v>7</v>
      </c>
      <c r="CE34" s="1295">
        <f t="shared" si="61"/>
        <v>2</v>
      </c>
      <c r="CF34" s="1301">
        <f t="shared" si="62"/>
        <v>1</v>
      </c>
      <c r="CG34" s="530" t="str">
        <f t="shared" si="63"/>
        <v>Log-logistic</v>
      </c>
      <c r="CH34" s="61">
        <f t="shared" si="64"/>
        <v>0</v>
      </c>
      <c r="CI34" s="61">
        <f t="shared" si="65"/>
        <v>0</v>
      </c>
      <c r="CJ34" s="61">
        <f t="shared" si="66"/>
        <v>0</v>
      </c>
      <c r="CV34" s="940">
        <v>0</v>
      </c>
      <c r="CW34" s="940" t="s">
        <v>31</v>
      </c>
      <c r="CX34" s="940">
        <v>3</v>
      </c>
      <c r="CY34" s="940">
        <v>2</v>
      </c>
      <c r="CZ34" s="940" t="str" cm="1">
        <f t="array" ref="CZ34">INDEX(List_trials,CY34+1)</f>
        <v>Real world evidence</v>
      </c>
      <c r="DA34" s="941" t="s">
        <v>555</v>
      </c>
      <c r="DB34" s="941" t="s">
        <v>548</v>
      </c>
      <c r="DC34" s="941" t="s">
        <v>553</v>
      </c>
      <c r="DD34" s="942" t="s">
        <v>563</v>
      </c>
      <c r="DE34" s="941"/>
      <c r="DF34" s="941" t="s">
        <v>103</v>
      </c>
      <c r="DG34" s="941" t="s">
        <v>118</v>
      </c>
      <c r="DH34" s="58">
        <f t="shared" si="54"/>
        <v>8</v>
      </c>
      <c r="DK34" s="58" t="str" cm="1">
        <f t="array" ref="DK34">IF(AND($BT34=4,$BX34=4,$BU34=999),$DB$36,_xlfn.IFNA(INDEX(DB$13:DB$70,MATCH(1,($BR34=$CV$13:$CV$70)*($BT34=$CX$13:$CX$70)*($CE34=$CY$13:$CY$70)*($BY34=$DA$13:$DA$70)*($CD34=$DH$13:$DH$70),0)),""))</f>
        <v>Log-logistic</v>
      </c>
      <c r="DL34" s="58" t="str" cm="1">
        <f t="array" ref="DL34">IF(AND($BT34=4,$BX34=4,$BU34=999),$DC$36,_xlfn.IFNA(INDEX(CHOOSE(DP34,DB$13:DB$70,DC$13:DC$70,DD$13:DD$70,DE$13:DE$70),MATCH(1,($BR34=$CV$13:$CV$70)*($BT34=$CX$13:$CX$70)*($CE34=$CY$13:$CY$70)*($BY34=$DA$13:$DA$70)*($CD34=$DH$13:$DH$70),0)),""))</f>
        <v>Log-logistic</v>
      </c>
      <c r="DM34" s="740" t="str" cm="1">
        <f t="array" ref="DM34">IF(AND($BT34=4,$BX34=4,$BU34=999),$DD$36,_xlfn.IFNA(INDEX(DD$13:DD$68,MATCH(1,($BR34=$CV$13:$CV$68)*($BT34=$CX$13:$CX$68)*($CE34=$CY$13:$CY$68)*($BY34=$DA$13:$DA$68)*($CD34=$DH$13:$DH$68),0)),""))</f>
        <v>Log-normal</v>
      </c>
      <c r="DN34" s="740" cm="1">
        <f t="array" ref="DN34">IF(AND($BT34=4,$BX34=4,$BU34=999),$DD$36,_xlfn.IFNA(INDEX(DE$13:DE$68,MATCH(1,($BR34=$CV$13:$CV$68)*($BT34=$CX$13:$CX$68)*($CE34=$CY$13:$CY$68)*($BY34=$DA$13:$DA$68)*($CD34=$DH$13:$DH$68),0)),""))</f>
        <v>0</v>
      </c>
      <c r="DO34" s="58" t="str" cm="1">
        <f t="array" ref="DO34">IF(AND($BT34=4,$BX34=4,$BU34=999),$DF$36,_xlfn.IFNA(INDEX(DF$13:DF$70,MATCH(1,($BR34=$CV$13:$CV$70)*($BT34=$CX$13:$CX$70)*($CE34=$CY$13:$CY$70)*($BY34=$DA$13:$DA$70)*($CD34=$DH$13:$DH$70),0)),""))</f>
        <v>Base case</v>
      </c>
      <c r="DP34" s="58">
        <f t="shared" si="13"/>
        <v>1</v>
      </c>
      <c r="DW34" s="58" t="s">
        <v>74</v>
      </c>
      <c r="DX34" s="58" t="s">
        <v>552</v>
      </c>
      <c r="DY34" s="58" t="s">
        <v>67</v>
      </c>
      <c r="DZ34" s="58">
        <v>0</v>
      </c>
      <c r="EB34" s="58">
        <v>1</v>
      </c>
      <c r="EC34" s="58">
        <v>1</v>
      </c>
      <c r="ED34" s="58">
        <v>7</v>
      </c>
      <c r="EE34" s="58">
        <v>2</v>
      </c>
      <c r="EF34" s="58">
        <v>1</v>
      </c>
      <c r="EI34" s="58" t="s">
        <v>74</v>
      </c>
      <c r="EJ34" s="58" t="s">
        <v>552</v>
      </c>
      <c r="EK34" s="58" t="s">
        <v>67</v>
      </c>
      <c r="EL34" s="58">
        <v>0</v>
      </c>
      <c r="EN34" s="58">
        <v>1</v>
      </c>
      <c r="EO34" s="58">
        <v>1</v>
      </c>
      <c r="EP34" s="58">
        <v>7</v>
      </c>
      <c r="EQ34" s="58">
        <v>0</v>
      </c>
      <c r="ER34" s="58">
        <v>1</v>
      </c>
      <c r="EU34" s="58" t="str">
        <f t="shared" si="67"/>
        <v>Yes</v>
      </c>
      <c r="EV34" s="58" t="str">
        <f t="shared" si="68"/>
        <v>Progression free survival</v>
      </c>
      <c r="EW34" s="58" t="str">
        <f t="shared" si="69"/>
        <v>PH_NMA</v>
      </c>
      <c r="EX34" s="58">
        <f t="shared" si="70"/>
        <v>0</v>
      </c>
      <c r="EZ34" s="58">
        <f t="shared" si="71"/>
        <v>1</v>
      </c>
      <c r="FA34" s="58">
        <f t="shared" si="72"/>
        <v>1</v>
      </c>
      <c r="FB34" s="58">
        <f>IF(i_eff_inputs_based_on_num=2,ED34,(INDEX(Lists!$L$51:$L$85,MATCH(O34,Lists!$K$51:$K$85,0))))</f>
        <v>7</v>
      </c>
      <c r="FC34" s="58">
        <f>IF(i_eff_inputs_based_on_num=2,EE34,(INDEX(Lists!$L$51:$L$85,MATCH(P34,Lists!$K$51:$K$85,0))))</f>
        <v>2</v>
      </c>
      <c r="FD34" s="58">
        <f>IF(i_eff_inputs_based_on_num=2,EF34,(INDEX(Lists!$L$51:$L$85,MATCH(Q34,Lists!$K$51:$K$85,0))))</f>
        <v>1</v>
      </c>
      <c r="FG34" s="58" t="str">
        <f t="shared" si="73"/>
        <v>Yes</v>
      </c>
      <c r="FH34" s="58" t="str">
        <f t="shared" si="74"/>
        <v>Progression free survival</v>
      </c>
      <c r="FI34" s="58" t="str">
        <f t="shared" si="75"/>
        <v>PH_NMA</v>
      </c>
      <c r="FJ34" s="58">
        <f t="shared" si="76"/>
        <v>0</v>
      </c>
      <c r="FL34" s="58">
        <f t="shared" si="77"/>
        <v>1</v>
      </c>
      <c r="FM34" s="58">
        <f t="shared" si="78"/>
        <v>1</v>
      </c>
      <c r="FN34" s="58">
        <f>IF(i_eff_inputs_based_on_num=2,EP34,(INDEX(Lists!$L$51:$L$85,MATCH(O34,Lists!$K$51:$K$85,0))))</f>
        <v>7</v>
      </c>
      <c r="FO34" s="58">
        <f>IF(i_eff_inputs_based_on_num=2,EQ34,(INDEX(Lists!$L$51:$L$85,MATCH(P34,Lists!$K$51:$K$85,0))))</f>
        <v>0</v>
      </c>
      <c r="FP34" s="58">
        <f>IF(i_eff_inputs_based_on_num=2,ER34,(INDEX(Lists!$L$51:$L$85,MATCH(Q34,Lists!$K$51:$K$85,0))))</f>
        <v>1</v>
      </c>
      <c r="FT34" s="58">
        <f t="shared" si="26"/>
        <v>0</v>
      </c>
      <c r="FW34" s="58" t="str">
        <f>IF(i_baseline_risk_from=2,'Effectiveness settings'!EW34,'Effectiveness settings'!FI34)</f>
        <v>PH_NMA</v>
      </c>
      <c r="FX34" s="58" t="str">
        <f t="shared" si="27"/>
        <v>PH_NMA</v>
      </c>
      <c r="FY34" s="58" t="str">
        <f t="shared" si="28"/>
        <v>PH_NMA</v>
      </c>
      <c r="FZ34" s="58" t="str">
        <f t="shared" si="29"/>
        <v>PH_NMA</v>
      </c>
      <c r="GA34" s="58" t="str">
        <f t="shared" si="30"/>
        <v>Assume equal to</v>
      </c>
      <c r="GB34" s="58" t="str">
        <f t="shared" si="31"/>
        <v>Assume equal to</v>
      </c>
      <c r="GC34" s="58" t="str">
        <f t="shared" si="32"/>
        <v>Assume equal to</v>
      </c>
      <c r="GD34" s="58" t="str">
        <f t="shared" si="33"/>
        <v>Assume equal to</v>
      </c>
      <c r="GE34" s="58" t="str">
        <f>IF(AND(dd_CheckMate214_TTD="Yes",'Effectiveness settings'!BU34=2,'Effectiveness settings'!BX34=2),"Apply HR to",GD34)</f>
        <v>Assume equal to</v>
      </c>
      <c r="GF34" s="58" t="str">
        <f t="shared" si="34"/>
        <v>Assume equal to</v>
      </c>
      <c r="GG34" s="58" t="str">
        <f t="shared" si="35"/>
        <v>Assume equal to</v>
      </c>
      <c r="GH34" s="58" t="str">
        <f t="shared" si="36"/>
        <v>Assume equal to</v>
      </c>
      <c r="GI34" s="58" t="str">
        <f t="shared" si="37"/>
        <v>Assume equal to</v>
      </c>
      <c r="GK34" s="58">
        <f>IF(i_baseline_risk_from=2,'Effectiveness settings'!FA34,'Effectiveness settings'!FM34)</f>
        <v>1</v>
      </c>
      <c r="GL34" s="58">
        <f>IF(i_baseline_risk_from=2,'Effectiveness settings'!FB34,'Effectiveness settings'!FN34)</f>
        <v>7</v>
      </c>
      <c r="GM34" s="58">
        <f>IF(i_baseline_risk_from=2,'Effectiveness settings'!FC34,'Effectiveness settings'!FO34)</f>
        <v>2</v>
      </c>
      <c r="GN34" s="58">
        <f>IF(i_baseline_risk_from=2,'Effectiveness settings'!FD34,'Effectiveness settings'!FP34)</f>
        <v>1</v>
      </c>
      <c r="GQ34" s="58">
        <f t="shared" si="38"/>
        <v>7</v>
      </c>
      <c r="GR34" s="58">
        <f t="shared" si="39"/>
        <v>7</v>
      </c>
      <c r="GS34" s="58">
        <f t="shared" si="40"/>
        <v>7</v>
      </c>
      <c r="GT34" s="58">
        <f t="shared" si="41"/>
        <v>7</v>
      </c>
      <c r="GU34" s="58">
        <f>IF(AND(dd_CheckMate214_TTD="Yes",'Effectiveness settings'!BU34=2,'Effectiveness settings'!BX34=2),2,GT34)</f>
        <v>7</v>
      </c>
      <c r="GV34" s="58">
        <f t="shared" si="42"/>
        <v>7</v>
      </c>
      <c r="GW34" s="58">
        <f t="shared" si="43"/>
        <v>7</v>
      </c>
      <c r="GY34" s="58">
        <f>IF(AND(dd_CheckMate214_TTD="Yes",'Effectiveness settings'!BU34=2,'Effectiveness settings'!BX34=2),1,GN34)</f>
        <v>1</v>
      </c>
      <c r="GZ34" s="58">
        <f t="shared" si="44"/>
        <v>1</v>
      </c>
      <c r="HB34" s="58">
        <f t="shared" si="45"/>
        <v>1</v>
      </c>
      <c r="HD34" s="58">
        <f t="shared" si="46"/>
        <v>1</v>
      </c>
      <c r="HE34" s="58">
        <f t="shared" si="47"/>
        <v>1</v>
      </c>
      <c r="HF34" s="58">
        <f t="shared" si="48"/>
        <v>7</v>
      </c>
      <c r="HG34" s="58">
        <f t="shared" si="49"/>
        <v>2</v>
      </c>
      <c r="HH34" s="58">
        <f t="shared" si="50"/>
        <v>1</v>
      </c>
    </row>
    <row r="35" spans="1:216" ht="16.5" thickBot="1" x14ac:dyDescent="0.3">
      <c r="D35" s="58" t="str">
        <v>sunitinib</v>
      </c>
      <c r="I35" s="64" t="s">
        <v>74</v>
      </c>
      <c r="J35" s="519" t="s">
        <v>552</v>
      </c>
      <c r="K35" s="524" t="s">
        <v>562</v>
      </c>
      <c r="L35" s="519" t="s">
        <v>547</v>
      </c>
      <c r="M35" s="516" t="s">
        <v>545</v>
      </c>
      <c r="N35" s="64" t="s">
        <v>546</v>
      </c>
      <c r="O35" s="64" t="s">
        <v>117</v>
      </c>
      <c r="P35" s="64" t="s">
        <v>547</v>
      </c>
      <c r="Q35" s="519" t="s">
        <v>552</v>
      </c>
      <c r="R35" s="516" t="s">
        <v>548</v>
      </c>
      <c r="S35" s="497"/>
      <c r="T35" s="497"/>
      <c r="U35" s="497"/>
      <c r="Y35" s="517"/>
      <c r="AA35" s="517"/>
      <c r="AF35" s="517"/>
      <c r="AM35" s="517"/>
      <c r="AO35" s="517"/>
      <c r="AT35" s="517"/>
      <c r="AV35" s="511"/>
      <c r="AW35" s="511"/>
      <c r="AX35" s="511"/>
      <c r="BA35" s="517"/>
      <c r="BC35" s="517"/>
      <c r="BH35" s="517"/>
      <c r="BJ35" s="511"/>
      <c r="BK35" s="511"/>
      <c r="BL35" s="511"/>
      <c r="BQ35" s="58">
        <f t="shared" si="0"/>
        <v>22</v>
      </c>
      <c r="BR35" s="17">
        <v>1</v>
      </c>
      <c r="BS35" s="17" t="s">
        <v>549</v>
      </c>
      <c r="BT35" s="17">
        <v>1</v>
      </c>
      <c r="BU35" s="17">
        <v>7</v>
      </c>
      <c r="BV35" s="17" t="str">
        <f t="shared" si="55"/>
        <v>sunitinib</v>
      </c>
      <c r="BW35" s="1006" t="str" cm="1">
        <f t="array" ref="BW35">IF(I35="No",I35,INDEX(List_incl_anal_1L_PorI,IF(BU35=999,35,BU35+1)))</f>
        <v>Yes</v>
      </c>
      <c r="BX35" s="61">
        <f t="shared" si="56"/>
        <v>1</v>
      </c>
      <c r="BY35" s="531" t="str">
        <f t="shared" si="79"/>
        <v>Progression free survival</v>
      </c>
      <c r="BZ35" s="530" t="str">
        <f t="shared" si="57"/>
        <v>Trial survival analysis</v>
      </c>
      <c r="CA35" s="531" t="str">
        <f t="shared" si="80"/>
        <v>Real world evidence</v>
      </c>
      <c r="CB35" s="530">
        <f t="shared" si="58"/>
        <v>1</v>
      </c>
      <c r="CC35" s="530">
        <f t="shared" si="59"/>
        <v>1</v>
      </c>
      <c r="CD35" s="530">
        <f t="shared" si="60"/>
        <v>7</v>
      </c>
      <c r="CE35" s="1295">
        <f t="shared" si="61"/>
        <v>2</v>
      </c>
      <c r="CF35" s="1301">
        <f t="shared" si="62"/>
        <v>1</v>
      </c>
      <c r="CG35" s="530" t="str">
        <f t="shared" si="63"/>
        <v>Log-logistic</v>
      </c>
      <c r="CH35" s="61">
        <f t="shared" si="64"/>
        <v>0</v>
      </c>
      <c r="CI35" s="61">
        <f t="shared" si="65"/>
        <v>0</v>
      </c>
      <c r="CJ35" s="61">
        <f t="shared" si="66"/>
        <v>0</v>
      </c>
      <c r="CV35" s="943">
        <v>0</v>
      </c>
      <c r="CW35" s="943" t="s">
        <v>31</v>
      </c>
      <c r="CX35" s="943">
        <v>3</v>
      </c>
      <c r="CY35" s="943">
        <v>2</v>
      </c>
      <c r="CZ35" s="943" t="str" cm="1">
        <f t="array" ref="CZ35">INDEX(List_trials,CY35+1)</f>
        <v>Real world evidence</v>
      </c>
      <c r="DA35" s="944" t="s">
        <v>557</v>
      </c>
      <c r="DB35" s="944" t="s">
        <v>553</v>
      </c>
      <c r="DC35" s="944" t="s">
        <v>551</v>
      </c>
      <c r="DD35" s="1176" t="s">
        <v>563</v>
      </c>
      <c r="DE35" s="944"/>
      <c r="DF35" s="944" t="s">
        <v>103</v>
      </c>
      <c r="DG35" s="944" t="s">
        <v>118</v>
      </c>
      <c r="DH35" s="945">
        <f t="shared" si="54"/>
        <v>8</v>
      </c>
      <c r="DK35" s="58" t="str" cm="1">
        <f t="array" ref="DK35">IF(AND($BT35=4,$BX35=4,$BU35=999),$DB$36,_xlfn.IFNA(INDEX(DB$13:DB$70,MATCH(1,($BR35=$CV$13:$CV$70)*($BT35=$CX$13:$CX$70)*($CE35=$CY$13:$CY$70)*($BY35=$DA$13:$DA$70)*($CD35=$DH$13:$DH$70),0)),""))</f>
        <v>Log-logistic</v>
      </c>
      <c r="DL35" s="58" t="str" cm="1">
        <f t="array" ref="DL35">IF(AND($BT35=4,$BX35=4,$BU35=999),$DC$36,_xlfn.IFNA(INDEX(CHOOSE(DP35,DB$13:DB$70,DC$13:DC$70,DD$13:DD$70,DE$13:DE$70),MATCH(1,($BR35=$CV$13:$CV$70)*($BT35=$CX$13:$CX$70)*($CE35=$CY$13:$CY$70)*($BY35=$DA$13:$DA$70)*($CD35=$DH$13:$DH$70),0)),""))</f>
        <v>Log-logistic</v>
      </c>
      <c r="DM35" s="740" t="str" cm="1">
        <f t="array" ref="DM35">IF(AND($BT35=4,$BX35=4,$BU35=999),$DD$36,_xlfn.IFNA(INDEX(DD$13:DD$68,MATCH(1,($BR35=$CV$13:$CV$68)*($BT35=$CX$13:$CX$68)*($CE35=$CY$13:$CY$68)*($BY35=$DA$13:$DA$68)*($CD35=$DH$13:$DH$68),0)),""))</f>
        <v>Log-normal</v>
      </c>
      <c r="DN35" s="740" cm="1">
        <f t="array" ref="DN35">IF(AND($BT35=4,$BX35=4,$BU35=999),$DD$36,_xlfn.IFNA(INDEX(DE$13:DE$68,MATCH(1,($BR35=$CV$13:$CV$68)*($BT35=$CX$13:$CX$68)*($CE35=$CY$13:$CY$68)*($BY35=$DA$13:$DA$68)*($CD35=$DH$13:$DH$68),0)),""))</f>
        <v>0</v>
      </c>
      <c r="DO35" s="58" t="str" cm="1">
        <f t="array" ref="DO35">IF(AND($BT35=4,$BX35=4,$BU35=999),$DF$36,_xlfn.IFNA(INDEX(DF$13:DF$70,MATCH(1,($BR35=$CV$13:$CV$70)*($BT35=$CX$13:$CX$70)*($CE35=$CY$13:$CY$70)*($BY35=$DA$13:$DA$70)*($CD35=$DH$13:$DH$70),0)),""))</f>
        <v>Base case</v>
      </c>
      <c r="DP35" s="58">
        <f t="shared" si="13"/>
        <v>1</v>
      </c>
      <c r="DW35" s="58" t="s">
        <v>74</v>
      </c>
      <c r="DX35" s="58" t="s">
        <v>552</v>
      </c>
      <c r="DY35" s="58" t="s">
        <v>562</v>
      </c>
      <c r="DZ35" s="58" t="s">
        <v>547</v>
      </c>
      <c r="EB35" s="58">
        <v>1</v>
      </c>
      <c r="EC35" s="58">
        <v>1</v>
      </c>
      <c r="ED35" s="58">
        <v>7</v>
      </c>
      <c r="EE35" s="58">
        <v>2</v>
      </c>
      <c r="EF35" s="58">
        <v>1</v>
      </c>
      <c r="EI35" s="58" t="s">
        <v>74</v>
      </c>
      <c r="EJ35" s="58" t="s">
        <v>552</v>
      </c>
      <c r="EK35" s="58" t="s">
        <v>562</v>
      </c>
      <c r="EL35" s="58" t="s">
        <v>564</v>
      </c>
      <c r="EN35" s="58">
        <v>1</v>
      </c>
      <c r="EO35" s="58">
        <v>1</v>
      </c>
      <c r="EP35" s="58">
        <v>7</v>
      </c>
      <c r="EQ35" s="58">
        <v>0</v>
      </c>
      <c r="ER35" s="58">
        <v>1</v>
      </c>
      <c r="EU35" s="58" t="str">
        <f t="shared" si="67"/>
        <v>Yes</v>
      </c>
      <c r="EV35" s="58" t="str">
        <f t="shared" si="68"/>
        <v>Progression free survival</v>
      </c>
      <c r="EW35" s="58" t="str">
        <f t="shared" si="69"/>
        <v>Trial survival analysis</v>
      </c>
      <c r="EX35" s="58" t="str">
        <f t="shared" si="70"/>
        <v>Real world evidence</v>
      </c>
      <c r="EZ35" s="58">
        <f t="shared" si="71"/>
        <v>1</v>
      </c>
      <c r="FA35" s="58">
        <f t="shared" si="72"/>
        <v>1</v>
      </c>
      <c r="FB35" s="58">
        <f>IF(i_eff_inputs_based_on_num=2,ED35,(INDEX(Lists!$L$51:$L$85,MATCH(O35,Lists!$K$51:$K$85,0))))</f>
        <v>7</v>
      </c>
      <c r="FC35" s="58">
        <f>IF(i_eff_inputs_based_on_num=2,EE35,(INDEX(Lists!$L$51:$L$85,MATCH(P35,Lists!$K$51:$K$85,0))))</f>
        <v>2</v>
      </c>
      <c r="FD35" s="58">
        <f>IF(i_eff_inputs_based_on_num=2,EF35,(INDEX(Lists!$L$51:$L$85,MATCH(Q35,Lists!$K$51:$K$85,0))))</f>
        <v>1</v>
      </c>
      <c r="FG35" s="58" t="str">
        <f t="shared" si="73"/>
        <v>Yes</v>
      </c>
      <c r="FH35" s="58" t="str">
        <f t="shared" si="74"/>
        <v>Progression free survival</v>
      </c>
      <c r="FI35" s="58" t="str">
        <f t="shared" si="75"/>
        <v>Trial survival analysis</v>
      </c>
      <c r="FJ35" s="58" t="str">
        <f t="shared" si="76"/>
        <v>CheckMate 9ER</v>
      </c>
      <c r="FL35" s="58">
        <f t="shared" si="77"/>
        <v>1</v>
      </c>
      <c r="FM35" s="58">
        <f t="shared" si="78"/>
        <v>1</v>
      </c>
      <c r="FN35" s="58">
        <f>IF(i_eff_inputs_based_on_num=2,EP35,(INDEX(Lists!$L$51:$L$85,MATCH(O35,Lists!$K$51:$K$85,0))))</f>
        <v>7</v>
      </c>
      <c r="FO35" s="58">
        <f>IF(i_eff_inputs_based_on_num=2,EQ35,(INDEX(Lists!$L$51:$L$85,MATCH(P35,Lists!$K$51:$K$85,0))))</f>
        <v>0</v>
      </c>
      <c r="FP35" s="58">
        <f>IF(i_eff_inputs_based_on_num=2,ER35,(INDEX(Lists!$L$51:$L$85,MATCH(Q35,Lists!$K$51:$K$85,0))))</f>
        <v>1</v>
      </c>
      <c r="FT35" s="58" t="str">
        <f t="shared" si="26"/>
        <v>Real world evidence</v>
      </c>
      <c r="FW35" s="58" t="str">
        <f>IF(i_baseline_risk_from=2,'Effectiveness settings'!EW35,'Effectiveness settings'!FI35)</f>
        <v>Trial survival analysis</v>
      </c>
      <c r="FX35" s="58" t="str">
        <f t="shared" si="27"/>
        <v>Trial survival analysis</v>
      </c>
      <c r="FY35" s="58" t="str">
        <f t="shared" si="28"/>
        <v>Trial survival analysis</v>
      </c>
      <c r="FZ35" s="58" t="str">
        <f t="shared" si="29"/>
        <v>Trial survival analysis</v>
      </c>
      <c r="GA35" s="58" t="str">
        <f t="shared" si="30"/>
        <v>Trial survival analysis</v>
      </c>
      <c r="GB35" s="58" t="str">
        <f t="shared" si="31"/>
        <v>Trial survival analysis</v>
      </c>
      <c r="GC35" s="58" t="str">
        <f t="shared" si="32"/>
        <v>Trial survival analysis</v>
      </c>
      <c r="GD35" s="58" t="str">
        <f t="shared" si="33"/>
        <v>Trial survival analysis</v>
      </c>
      <c r="GE35" s="58" t="str">
        <f>IF(AND(dd_CheckMate214_TTD="Yes",'Effectiveness settings'!BU35=2,'Effectiveness settings'!BX35=2),"Apply HR to",GD35)</f>
        <v>Trial survival analysis</v>
      </c>
      <c r="GF35" s="58" t="str">
        <f t="shared" si="34"/>
        <v>Trial survival analysis</v>
      </c>
      <c r="GG35" s="58" t="str">
        <f t="shared" si="35"/>
        <v>Trial survival analysis</v>
      </c>
      <c r="GH35" s="58" t="str">
        <f t="shared" si="36"/>
        <v>Trial survival analysis</v>
      </c>
      <c r="GI35" s="58" t="str">
        <f t="shared" si="37"/>
        <v>Trial survival analysis</v>
      </c>
      <c r="GK35" s="58">
        <f>IF(i_baseline_risk_from=2,'Effectiveness settings'!FA35,'Effectiveness settings'!FM35)</f>
        <v>1</v>
      </c>
      <c r="GL35" s="58">
        <f>IF(i_baseline_risk_from=2,'Effectiveness settings'!FB35,'Effectiveness settings'!FN35)</f>
        <v>7</v>
      </c>
      <c r="GM35" s="58">
        <f>IF(i_baseline_risk_from=2,'Effectiveness settings'!FC35,'Effectiveness settings'!FO35)</f>
        <v>2</v>
      </c>
      <c r="GN35" s="58">
        <f>IF(i_baseline_risk_from=2,'Effectiveness settings'!FD35,'Effectiveness settings'!FP35)</f>
        <v>1</v>
      </c>
      <c r="GQ35" s="58">
        <f t="shared" si="38"/>
        <v>7</v>
      </c>
      <c r="GR35" s="58">
        <f t="shared" si="39"/>
        <v>7</v>
      </c>
      <c r="GS35" s="58">
        <f t="shared" si="40"/>
        <v>7</v>
      </c>
      <c r="GT35" s="58">
        <f t="shared" si="41"/>
        <v>7</v>
      </c>
      <c r="GU35" s="58">
        <f>IF(AND(dd_CheckMate214_TTD="Yes",'Effectiveness settings'!BU35=2,'Effectiveness settings'!BX35=2),2,GT35)</f>
        <v>7</v>
      </c>
      <c r="GV35" s="58">
        <f t="shared" si="42"/>
        <v>7</v>
      </c>
      <c r="GW35" s="58">
        <f t="shared" si="43"/>
        <v>7</v>
      </c>
      <c r="GY35" s="58">
        <f>IF(AND(dd_CheckMate214_TTD="Yes",'Effectiveness settings'!BU35=2,'Effectiveness settings'!BX35=2),1,GN35)</f>
        <v>1</v>
      </c>
      <c r="GZ35" s="58">
        <f t="shared" si="44"/>
        <v>1</v>
      </c>
      <c r="HB35" s="58">
        <f t="shared" si="45"/>
        <v>1</v>
      </c>
      <c r="HD35" s="58">
        <f t="shared" si="46"/>
        <v>1</v>
      </c>
      <c r="HE35" s="58">
        <f t="shared" si="47"/>
        <v>1</v>
      </c>
      <c r="HF35" s="58">
        <f t="shared" si="48"/>
        <v>7</v>
      </c>
      <c r="HG35" s="58">
        <f t="shared" si="49"/>
        <v>2</v>
      </c>
      <c r="HH35" s="58">
        <f t="shared" si="50"/>
        <v>1</v>
      </c>
    </row>
    <row r="36" spans="1:216" ht="16.5" thickBot="1" x14ac:dyDescent="0.3">
      <c r="D36" s="58" t="str">
        <v>cabozantinib</v>
      </c>
      <c r="I36" s="64" t="s">
        <v>74</v>
      </c>
      <c r="J36" s="519" t="s">
        <v>552</v>
      </c>
      <c r="K36" s="524" t="s">
        <v>63</v>
      </c>
      <c r="L36" s="519"/>
      <c r="M36" s="516" t="s">
        <v>545</v>
      </c>
      <c r="N36" s="64" t="s">
        <v>546</v>
      </c>
      <c r="O36" s="64" t="s">
        <v>117</v>
      </c>
      <c r="P36" s="64" t="s">
        <v>547</v>
      </c>
      <c r="Q36" s="519" t="s">
        <v>552</v>
      </c>
      <c r="R36" s="516" t="s">
        <v>548</v>
      </c>
      <c r="S36" s="497"/>
      <c r="T36" s="497"/>
      <c r="U36" s="497"/>
      <c r="Y36" s="517"/>
      <c r="AA36" s="517"/>
      <c r="AF36" s="517"/>
      <c r="AM36" s="517"/>
      <c r="AO36" s="517"/>
      <c r="AT36" s="517"/>
      <c r="AV36" s="511"/>
      <c r="AW36" s="511"/>
      <c r="AX36" s="511"/>
      <c r="BA36" s="517"/>
      <c r="BC36" s="517"/>
      <c r="BH36" s="517"/>
      <c r="BJ36" s="511"/>
      <c r="BK36" s="511"/>
      <c r="BL36" s="511"/>
      <c r="BQ36" s="58">
        <f t="shared" si="0"/>
        <v>23</v>
      </c>
      <c r="BR36" s="17">
        <v>1</v>
      </c>
      <c r="BS36" s="17" t="s">
        <v>549</v>
      </c>
      <c r="BT36" s="17">
        <v>1</v>
      </c>
      <c r="BU36" s="17">
        <v>8</v>
      </c>
      <c r="BV36" s="17" t="str">
        <f t="shared" si="55"/>
        <v>cabozantinib</v>
      </c>
      <c r="BW36" s="1006" t="str" cm="1">
        <f t="array" ref="BW36">IF(I36="No",I36,INDEX(List_incl_anal_1L_PorI,IF(BU36=999,35,BU36+1)))</f>
        <v>Yes</v>
      </c>
      <c r="BX36" s="61">
        <f t="shared" si="56"/>
        <v>1</v>
      </c>
      <c r="BY36" s="531" t="str">
        <f t="shared" si="79"/>
        <v>Progression free survival</v>
      </c>
      <c r="BZ36" s="530" t="str">
        <f t="shared" si="57"/>
        <v>Assume equal to</v>
      </c>
      <c r="CA36" s="531">
        <f t="shared" si="80"/>
        <v>0</v>
      </c>
      <c r="CB36" s="530">
        <f t="shared" si="58"/>
        <v>1</v>
      </c>
      <c r="CC36" s="530">
        <f t="shared" si="59"/>
        <v>1</v>
      </c>
      <c r="CD36" s="530">
        <f t="shared" si="60"/>
        <v>7</v>
      </c>
      <c r="CE36" s="1295">
        <f t="shared" si="61"/>
        <v>2</v>
      </c>
      <c r="CF36" s="1301">
        <f t="shared" si="62"/>
        <v>1</v>
      </c>
      <c r="CG36" s="530" t="str">
        <f t="shared" si="63"/>
        <v>Log-logistic</v>
      </c>
      <c r="CH36" s="61">
        <f t="shared" si="64"/>
        <v>0</v>
      </c>
      <c r="CI36" s="61">
        <f t="shared" si="65"/>
        <v>0</v>
      </c>
      <c r="CJ36" s="61">
        <f t="shared" si="66"/>
        <v>0</v>
      </c>
      <c r="CV36" s="1022">
        <v>0</v>
      </c>
      <c r="CW36" s="1022" t="s">
        <v>31</v>
      </c>
      <c r="CX36" s="1022">
        <v>4</v>
      </c>
      <c r="CY36" s="1022">
        <v>2</v>
      </c>
      <c r="CZ36" s="1022" t="str" cm="1">
        <f t="array" ref="CZ36">INDEX(List_trials,CY36+1)</f>
        <v>Real world evidence</v>
      </c>
      <c r="DA36" s="1177" t="str">
        <f>DA31</f>
        <v>Post progression survival</v>
      </c>
      <c r="DB36" s="1177" t="s">
        <v>548</v>
      </c>
      <c r="DC36" s="1177" t="s">
        <v>550</v>
      </c>
      <c r="DD36" s="1177"/>
      <c r="DE36" s="1177"/>
      <c r="DF36" s="1177" t="s">
        <v>103</v>
      </c>
      <c r="DG36" s="1177" t="s">
        <v>566</v>
      </c>
      <c r="DH36" s="1023">
        <f t="shared" si="54"/>
        <v>999</v>
      </c>
      <c r="DK36" s="58" t="str" cm="1">
        <f t="array" ref="DK36">IF(AND($BT36=4,$BX36=4,$BU36=999),$DB$36,_xlfn.IFNA(INDEX(DB$13:DB$70,MATCH(1,($BR36=$CV$13:$CV$70)*($BT36=$CX$13:$CX$70)*($CE36=$CY$13:$CY$70)*($BY36=$DA$13:$DA$70)*($CD36=$DH$13:$DH$70),0)),""))</f>
        <v>Log-logistic</v>
      </c>
      <c r="DL36" s="58" t="str" cm="1">
        <f t="array" ref="DL36">IF(AND($BT36=4,$BX36=4,$BU36=999),$DC$36,_xlfn.IFNA(INDEX(CHOOSE(DP36,DB$13:DB$70,DC$13:DC$70,DD$13:DD$70,DE$13:DE$70),MATCH(1,($BR36=$CV$13:$CV$70)*($BT36=$CX$13:$CX$70)*($CE36=$CY$13:$CY$70)*($BY36=$DA$13:$DA$70)*($CD36=$DH$13:$DH$70),0)),""))</f>
        <v>Log-logistic</v>
      </c>
      <c r="DM36" s="740" t="str" cm="1">
        <f t="array" ref="DM36">IF(AND($BT36=4,$BX36=4,$BU36=999),$DD$36,_xlfn.IFNA(INDEX(DD$13:DD$68,MATCH(1,($BR36=$CV$13:$CV$68)*($BT36=$CX$13:$CX$68)*($CE36=$CY$13:$CY$68)*($BY36=$DA$13:$DA$68)*($CD36=$DH$13:$DH$68),0)),""))</f>
        <v>Log-normal</v>
      </c>
      <c r="DN36" s="740" cm="1">
        <f t="array" ref="DN36">IF(AND($BT36=4,$BX36=4,$BU36=999),$DD$36,_xlfn.IFNA(INDEX(DE$13:DE$68,MATCH(1,($BR36=$CV$13:$CV$68)*($BT36=$CX$13:$CX$68)*($CE36=$CY$13:$CY$68)*($BY36=$DA$13:$DA$68)*($CD36=$DH$13:$DH$68),0)),""))</f>
        <v>0</v>
      </c>
      <c r="DO36" s="58" t="str" cm="1">
        <f t="array" ref="DO36">IF(AND($BT36=4,$BX36=4,$BU36=999),$DF$36,_xlfn.IFNA(INDEX(DF$13:DF$70,MATCH(1,($BR36=$CV$13:$CV$70)*($BT36=$CX$13:$CX$70)*($CE36=$CY$13:$CY$70)*($BY36=$DA$13:$DA$70)*($CD36=$DH$13:$DH$70),0)),""))</f>
        <v>Base case</v>
      </c>
      <c r="DP36" s="58">
        <f t="shared" si="13"/>
        <v>1</v>
      </c>
      <c r="DW36" s="58" t="s">
        <v>74</v>
      </c>
      <c r="DX36" s="58" t="s">
        <v>552</v>
      </c>
      <c r="DY36" s="58" t="s">
        <v>63</v>
      </c>
      <c r="DZ36" s="58">
        <v>0</v>
      </c>
      <c r="EB36" s="58">
        <v>1</v>
      </c>
      <c r="EC36" s="58">
        <v>1</v>
      </c>
      <c r="ED36" s="58">
        <v>7</v>
      </c>
      <c r="EE36" s="58">
        <v>2</v>
      </c>
      <c r="EF36" s="58">
        <v>1</v>
      </c>
      <c r="EI36" s="58" t="s">
        <v>74</v>
      </c>
      <c r="EJ36" s="58" t="s">
        <v>552</v>
      </c>
      <c r="EK36" s="58" t="s">
        <v>63</v>
      </c>
      <c r="EL36" s="58">
        <v>0</v>
      </c>
      <c r="EN36" s="58">
        <v>1</v>
      </c>
      <c r="EO36" s="58">
        <v>1</v>
      </c>
      <c r="EP36" s="58">
        <v>7</v>
      </c>
      <c r="EQ36" s="58">
        <v>0</v>
      </c>
      <c r="ER36" s="58">
        <v>1</v>
      </c>
      <c r="EU36" s="58" t="str">
        <f t="shared" si="67"/>
        <v>Yes</v>
      </c>
      <c r="EV36" s="58" t="str">
        <f t="shared" si="68"/>
        <v>Progression free survival</v>
      </c>
      <c r="EW36" s="58" t="str">
        <f t="shared" si="69"/>
        <v>FP_NMA</v>
      </c>
      <c r="EX36" s="58">
        <f t="shared" si="70"/>
        <v>0</v>
      </c>
      <c r="EZ36" s="58">
        <f t="shared" si="71"/>
        <v>1</v>
      </c>
      <c r="FA36" s="58">
        <f t="shared" si="72"/>
        <v>1</v>
      </c>
      <c r="FB36" s="58">
        <f>IF(i_eff_inputs_based_on_num=2,ED36,(INDEX(Lists!$L$51:$L$85,MATCH(O36,Lists!$K$51:$K$85,0))))</f>
        <v>7</v>
      </c>
      <c r="FC36" s="58">
        <f>IF(i_eff_inputs_based_on_num=2,EE36,(INDEX(Lists!$L$51:$L$85,MATCH(P36,Lists!$K$51:$K$85,0))))</f>
        <v>2</v>
      </c>
      <c r="FD36" s="58">
        <f>IF(i_eff_inputs_based_on_num=2,EF36,(INDEX(Lists!$L$51:$L$85,MATCH(Q36,Lists!$K$51:$K$85,0))))</f>
        <v>1</v>
      </c>
      <c r="FG36" s="58" t="str">
        <f t="shared" si="73"/>
        <v>Yes</v>
      </c>
      <c r="FH36" s="58" t="str">
        <f t="shared" si="74"/>
        <v>Progression free survival</v>
      </c>
      <c r="FI36" s="58" t="str">
        <f t="shared" si="75"/>
        <v>FP_NMA</v>
      </c>
      <c r="FJ36" s="58">
        <f t="shared" si="76"/>
        <v>0</v>
      </c>
      <c r="FL36" s="58">
        <f t="shared" si="77"/>
        <v>1</v>
      </c>
      <c r="FM36" s="58">
        <f t="shared" si="78"/>
        <v>1</v>
      </c>
      <c r="FN36" s="58">
        <f>IF(i_eff_inputs_based_on_num=2,EP36,(INDEX(Lists!$L$51:$L$85,MATCH(O36,Lists!$K$51:$K$85,0))))</f>
        <v>7</v>
      </c>
      <c r="FO36" s="58">
        <f>IF(i_eff_inputs_based_on_num=2,EQ36,(INDEX(Lists!$L$51:$L$85,MATCH(P36,Lists!$K$51:$K$85,0))))</f>
        <v>0</v>
      </c>
      <c r="FP36" s="58">
        <f>IF(i_eff_inputs_based_on_num=2,ER36,(INDEX(Lists!$L$51:$L$85,MATCH(Q36,Lists!$K$51:$K$85,0))))</f>
        <v>1</v>
      </c>
      <c r="FT36" s="58">
        <f t="shared" si="26"/>
        <v>0</v>
      </c>
      <c r="FW36" s="58" t="str">
        <f>IF(i_baseline_risk_from=2,'Effectiveness settings'!EW36,'Effectiveness settings'!FI36)</f>
        <v>FP_NMA</v>
      </c>
      <c r="FX36" s="58" t="str">
        <f t="shared" si="27"/>
        <v>FP_NMA</v>
      </c>
      <c r="FY36" s="58" t="str">
        <f t="shared" si="28"/>
        <v>FP_NMA</v>
      </c>
      <c r="FZ36" s="58" t="str">
        <f t="shared" si="29"/>
        <v>FP_NMA</v>
      </c>
      <c r="GA36" s="58" t="str">
        <f t="shared" si="30"/>
        <v>FP_NMA</v>
      </c>
      <c r="GB36" s="58" t="str">
        <f t="shared" si="31"/>
        <v>FP_NMA</v>
      </c>
      <c r="GC36" s="58" t="str">
        <f t="shared" si="32"/>
        <v>FP_NMA</v>
      </c>
      <c r="GD36" s="58" t="str">
        <f t="shared" si="33"/>
        <v>FP_NMA</v>
      </c>
      <c r="GE36" s="58" t="str">
        <f>IF(AND(dd_CheckMate214_TTD="Yes",'Effectiveness settings'!BU36=2,'Effectiveness settings'!BX36=2),"Apply HR to",GD36)</f>
        <v>FP_NMA</v>
      </c>
      <c r="GF36" s="58" t="str">
        <f t="shared" si="34"/>
        <v>FP_NMA</v>
      </c>
      <c r="GG36" s="58" t="str">
        <f t="shared" si="35"/>
        <v>FP_NMA</v>
      </c>
      <c r="GH36" s="58" t="str">
        <f t="shared" si="36"/>
        <v>Assume equal to</v>
      </c>
      <c r="GI36" s="58" t="str">
        <f t="shared" si="37"/>
        <v>Assume equal to</v>
      </c>
      <c r="GK36" s="58">
        <f>IF(i_baseline_risk_from=2,'Effectiveness settings'!FA36,'Effectiveness settings'!FM36)</f>
        <v>1</v>
      </c>
      <c r="GL36" s="58">
        <f>IF(i_baseline_risk_from=2,'Effectiveness settings'!FB36,'Effectiveness settings'!FN36)</f>
        <v>7</v>
      </c>
      <c r="GM36" s="58">
        <f>IF(i_baseline_risk_from=2,'Effectiveness settings'!FC36,'Effectiveness settings'!FO36)</f>
        <v>2</v>
      </c>
      <c r="GN36" s="58">
        <f>IF(i_baseline_risk_from=2,'Effectiveness settings'!FD36,'Effectiveness settings'!FP36)</f>
        <v>1</v>
      </c>
      <c r="GQ36" s="58">
        <f t="shared" si="38"/>
        <v>7</v>
      </c>
      <c r="GR36" s="58">
        <f t="shared" si="39"/>
        <v>7</v>
      </c>
      <c r="GS36" s="58">
        <f t="shared" si="40"/>
        <v>7</v>
      </c>
      <c r="GT36" s="58">
        <f t="shared" si="41"/>
        <v>7</v>
      </c>
      <c r="GU36" s="58">
        <f>IF(AND(dd_CheckMate214_TTD="Yes",'Effectiveness settings'!BU36=2,'Effectiveness settings'!BX36=2),2,GT36)</f>
        <v>7</v>
      </c>
      <c r="GV36" s="58">
        <f t="shared" si="42"/>
        <v>7</v>
      </c>
      <c r="GW36" s="58">
        <f t="shared" si="43"/>
        <v>7</v>
      </c>
      <c r="GY36" s="58">
        <f>IF(AND(dd_CheckMate214_TTD="Yes",'Effectiveness settings'!BU36=2,'Effectiveness settings'!BX36=2),1,GN36)</f>
        <v>1</v>
      </c>
      <c r="GZ36" s="58">
        <f t="shared" si="44"/>
        <v>1</v>
      </c>
      <c r="HB36" s="58">
        <f t="shared" si="45"/>
        <v>1</v>
      </c>
      <c r="HD36" s="58">
        <f t="shared" si="46"/>
        <v>1</v>
      </c>
      <c r="HE36" s="58">
        <f t="shared" si="47"/>
        <v>1</v>
      </c>
      <c r="HF36" s="58">
        <f t="shared" si="48"/>
        <v>7</v>
      </c>
      <c r="HG36" s="58">
        <f t="shared" si="49"/>
        <v>2</v>
      </c>
      <c r="HH36" s="58">
        <f t="shared" si="50"/>
        <v>1</v>
      </c>
    </row>
    <row r="37" spans="1:216" ht="15.75" x14ac:dyDescent="0.25">
      <c r="D37" s="58" t="str">
        <v>lenvatinib_plus_everolimus</v>
      </c>
      <c r="I37" s="64" t="s">
        <v>58</v>
      </c>
      <c r="J37" s="519" t="s">
        <v>552</v>
      </c>
      <c r="K37" s="524"/>
      <c r="L37" s="519"/>
      <c r="M37" s="516" t="s">
        <v>545</v>
      </c>
      <c r="N37" s="64" t="s">
        <v>546</v>
      </c>
      <c r="O37" s="64" t="s">
        <v>117</v>
      </c>
      <c r="P37" s="64" t="s">
        <v>547</v>
      </c>
      <c r="Q37" s="519" t="s">
        <v>552</v>
      </c>
      <c r="R37" s="516" t="s">
        <v>548</v>
      </c>
      <c r="S37" s="497"/>
      <c r="T37" s="497"/>
      <c r="U37" s="497"/>
      <c r="Y37" s="517"/>
      <c r="AA37" s="517"/>
      <c r="AF37" s="517"/>
      <c r="AM37" s="517"/>
      <c r="AO37" s="517"/>
      <c r="AT37" s="517"/>
      <c r="AV37" s="511"/>
      <c r="AW37" s="511"/>
      <c r="AX37" s="511"/>
      <c r="BA37" s="517"/>
      <c r="BC37" s="517"/>
      <c r="BH37" s="517"/>
      <c r="BJ37" s="511"/>
      <c r="BK37" s="511"/>
      <c r="BL37" s="511"/>
      <c r="BQ37" s="58">
        <f t="shared" si="0"/>
        <v>24</v>
      </c>
      <c r="BR37" s="17">
        <v>1</v>
      </c>
      <c r="BS37" s="17" t="s">
        <v>549</v>
      </c>
      <c r="BT37" s="17">
        <v>1</v>
      </c>
      <c r="BU37" s="17">
        <v>9</v>
      </c>
      <c r="BV37" s="17" t="str">
        <f t="shared" si="55"/>
        <v>lenvatinib_plus_everolimus</v>
      </c>
      <c r="BW37" s="1006" t="str" cm="1">
        <f t="array" ref="BW37">IF(I37="No",I37,INDEX(List_incl_anal_1L_PorI,IF(BU37=999,35,BU37+1)))</f>
        <v>No</v>
      </c>
      <c r="BX37" s="61">
        <f t="shared" si="56"/>
        <v>1</v>
      </c>
      <c r="BY37" s="531" t="str">
        <f t="shared" si="79"/>
        <v>Progression free survival</v>
      </c>
      <c r="BZ37" s="530">
        <f t="shared" si="57"/>
        <v>0</v>
      </c>
      <c r="CA37" s="531">
        <f t="shared" si="80"/>
        <v>0</v>
      </c>
      <c r="CB37" s="530">
        <f t="shared" si="58"/>
        <v>1</v>
      </c>
      <c r="CC37" s="530">
        <f t="shared" si="59"/>
        <v>1</v>
      </c>
      <c r="CD37" s="530">
        <f t="shared" si="60"/>
        <v>7</v>
      </c>
      <c r="CE37" s="1295">
        <f t="shared" si="61"/>
        <v>2</v>
      </c>
      <c r="CF37" s="1301">
        <f t="shared" si="62"/>
        <v>1</v>
      </c>
      <c r="CG37" s="530" t="str">
        <f t="shared" si="63"/>
        <v>Log-logistic</v>
      </c>
      <c r="CH37" s="61">
        <f t="shared" si="64"/>
        <v>0</v>
      </c>
      <c r="CI37" s="61">
        <f t="shared" si="65"/>
        <v>0</v>
      </c>
      <c r="CJ37" s="61">
        <f t="shared" si="66"/>
        <v>0</v>
      </c>
      <c r="CV37" s="940">
        <v>1</v>
      </c>
      <c r="CW37" s="940" t="s">
        <v>549</v>
      </c>
      <c r="CX37" s="940">
        <v>1</v>
      </c>
      <c r="CY37" s="940">
        <v>0</v>
      </c>
      <c r="CZ37" s="940" t="str" cm="1">
        <f t="array" ref="CZ37">INDEX(List_trials,CY37+1)</f>
        <v>CheckMate 9ER</v>
      </c>
      <c r="DA37" s="941" t="s">
        <v>544</v>
      </c>
      <c r="DB37" s="941" t="s">
        <v>548</v>
      </c>
      <c r="DC37" s="941" t="s">
        <v>553</v>
      </c>
      <c r="DD37" s="941" t="s">
        <v>563</v>
      </c>
      <c r="DE37" s="941" t="s">
        <v>551</v>
      </c>
      <c r="DF37" s="941" t="s">
        <v>103</v>
      </c>
      <c r="DG37" s="941" t="s">
        <v>117</v>
      </c>
      <c r="DH37" s="58">
        <f t="shared" si="54"/>
        <v>7</v>
      </c>
      <c r="DK37" s="58" t="str" cm="1">
        <f t="array" ref="DK37">IF(AND($BT37=4,$BX37=4,$BU37=999),$DB$36,_xlfn.IFNA(INDEX(DB$13:DB$70,MATCH(1,($BR37=$CV$13:$CV$70)*($BT37=$CX$13:$CX$70)*($CE37=$CY$13:$CY$70)*($BY37=$DA$13:$DA$70)*($CD37=$DH$13:$DH$70),0)),""))</f>
        <v>Log-logistic</v>
      </c>
      <c r="DL37" s="58" t="str" cm="1">
        <f t="array" ref="DL37">IF(AND($BT37=4,$BX37=4,$BU37=999),$DC$36,_xlfn.IFNA(INDEX(CHOOSE(DP37,DB$13:DB$70,DC$13:DC$70,DD$13:DD$70,DE$13:DE$70),MATCH(1,($BR37=$CV$13:$CV$70)*($BT37=$CX$13:$CX$70)*($CE37=$CY$13:$CY$70)*($BY37=$DA$13:$DA$70)*($CD37=$DH$13:$DH$70),0)),""))</f>
        <v>Log-logistic</v>
      </c>
      <c r="DM37" s="740" t="str" cm="1">
        <f t="array" ref="DM37">IF(AND($BT37=4,$BX37=4,$BU37=999),$DD$36,_xlfn.IFNA(INDEX(DD$13:DD$68,MATCH(1,($BR37=$CV$13:$CV$68)*($BT37=$CX$13:$CX$68)*($CE37=$CY$13:$CY$68)*($BY37=$DA$13:$DA$68)*($CD37=$DH$13:$DH$68),0)),""))</f>
        <v>Log-normal</v>
      </c>
      <c r="DN37" s="740" cm="1">
        <f t="array" ref="DN37">IF(AND($BT37=4,$BX37=4,$BU37=999),$DD$36,_xlfn.IFNA(INDEX(DE$13:DE$68,MATCH(1,($BR37=$CV$13:$CV$68)*($BT37=$CX$13:$CX$68)*($CE37=$CY$13:$CY$68)*($BY37=$DA$13:$DA$68)*($CD37=$DH$13:$DH$68),0)),""))</f>
        <v>0</v>
      </c>
      <c r="DO37" s="58" t="str" cm="1">
        <f t="array" ref="DO37">IF(AND($BT37=4,$BX37=4,$BU37=999),$DF$36,_xlfn.IFNA(INDEX(DF$13:DF$70,MATCH(1,($BR37=$CV$13:$CV$70)*($BT37=$CX$13:$CX$70)*($CE37=$CY$13:$CY$70)*($BY37=$DA$13:$DA$70)*($CD37=$DH$13:$DH$70),0)),""))</f>
        <v>Base case</v>
      </c>
      <c r="DP37" s="58">
        <f t="shared" si="13"/>
        <v>1</v>
      </c>
      <c r="DW37" s="58" t="s">
        <v>58</v>
      </c>
      <c r="DX37" s="58" t="s">
        <v>552</v>
      </c>
      <c r="DY37" s="58">
        <v>0</v>
      </c>
      <c r="DZ37" s="58">
        <v>0</v>
      </c>
      <c r="EB37" s="58">
        <v>1</v>
      </c>
      <c r="EC37" s="58">
        <v>1</v>
      </c>
      <c r="ED37" s="58">
        <v>7</v>
      </c>
      <c r="EE37" s="58">
        <v>2</v>
      </c>
      <c r="EF37" s="58">
        <v>1</v>
      </c>
      <c r="EI37" s="58" t="s">
        <v>58</v>
      </c>
      <c r="EJ37" s="58" t="s">
        <v>552</v>
      </c>
      <c r="EK37" s="58">
        <v>0</v>
      </c>
      <c r="EL37" s="58">
        <v>0</v>
      </c>
      <c r="EN37" s="58">
        <v>1</v>
      </c>
      <c r="EO37" s="58">
        <v>1</v>
      </c>
      <c r="EP37" s="58">
        <v>7</v>
      </c>
      <c r="EQ37" s="58">
        <v>0</v>
      </c>
      <c r="ER37" s="58">
        <v>1</v>
      </c>
      <c r="EU37" s="58" t="str">
        <f t="shared" si="67"/>
        <v>No</v>
      </c>
      <c r="EV37" s="58" t="str">
        <f t="shared" si="68"/>
        <v>Progression free survival</v>
      </c>
      <c r="EW37" s="58">
        <f t="shared" si="69"/>
        <v>0</v>
      </c>
      <c r="EX37" s="58">
        <f t="shared" si="70"/>
        <v>0</v>
      </c>
      <c r="EZ37" s="58">
        <f t="shared" si="71"/>
        <v>1</v>
      </c>
      <c r="FA37" s="58">
        <f t="shared" si="72"/>
        <v>1</v>
      </c>
      <c r="FB37" s="58">
        <f>IF(i_eff_inputs_based_on_num=2,ED37,(INDEX(Lists!$L$51:$L$85,MATCH(O37,Lists!$K$51:$K$85,0))))</f>
        <v>7</v>
      </c>
      <c r="FC37" s="58">
        <f>IF(i_eff_inputs_based_on_num=2,EE37,(INDEX(Lists!$L$51:$L$85,MATCH(P37,Lists!$K$51:$K$85,0))))</f>
        <v>2</v>
      </c>
      <c r="FD37" s="58">
        <f>IF(i_eff_inputs_based_on_num=2,EF37,(INDEX(Lists!$L$51:$L$85,MATCH(Q37,Lists!$K$51:$K$85,0))))</f>
        <v>1</v>
      </c>
      <c r="FG37" s="58" t="str">
        <f t="shared" si="73"/>
        <v>No</v>
      </c>
      <c r="FH37" s="58" t="str">
        <f t="shared" si="74"/>
        <v>Progression free survival</v>
      </c>
      <c r="FI37" s="58">
        <f t="shared" si="75"/>
        <v>0</v>
      </c>
      <c r="FJ37" s="58">
        <f t="shared" si="76"/>
        <v>0</v>
      </c>
      <c r="FL37" s="58">
        <f t="shared" si="77"/>
        <v>1</v>
      </c>
      <c r="FM37" s="58">
        <f t="shared" si="78"/>
        <v>1</v>
      </c>
      <c r="FN37" s="58">
        <f>IF(i_eff_inputs_based_on_num=2,EP37,(INDEX(Lists!$L$51:$L$85,MATCH(O37,Lists!$K$51:$K$85,0))))</f>
        <v>7</v>
      </c>
      <c r="FO37" s="58">
        <f>IF(i_eff_inputs_based_on_num=2,EQ37,(INDEX(Lists!$L$51:$L$85,MATCH(P37,Lists!$K$51:$K$85,0))))</f>
        <v>0</v>
      </c>
      <c r="FP37" s="58">
        <f>IF(i_eff_inputs_based_on_num=2,ER37,(INDEX(Lists!$L$51:$L$85,MATCH(Q37,Lists!$K$51:$K$85,0))))</f>
        <v>1</v>
      </c>
      <c r="FT37" s="58">
        <f t="shared" si="26"/>
        <v>0</v>
      </c>
      <c r="FW37" s="58">
        <f>IF(i_baseline_risk_from=2,'Effectiveness settings'!EW37,'Effectiveness settings'!FI37)</f>
        <v>0</v>
      </c>
      <c r="FX37" s="58">
        <f t="shared" si="27"/>
        <v>0</v>
      </c>
      <c r="FY37" s="58">
        <f t="shared" si="28"/>
        <v>0</v>
      </c>
      <c r="FZ37" s="58">
        <f t="shared" si="29"/>
        <v>0</v>
      </c>
      <c r="GA37" s="58">
        <f t="shared" si="30"/>
        <v>0</v>
      </c>
      <c r="GB37" s="58">
        <f t="shared" si="31"/>
        <v>0</v>
      </c>
      <c r="GC37" s="58">
        <f t="shared" si="32"/>
        <v>0</v>
      </c>
      <c r="GD37" s="58">
        <f t="shared" si="33"/>
        <v>0</v>
      </c>
      <c r="GE37" s="58">
        <f>IF(AND(dd_CheckMate214_TTD="Yes",'Effectiveness settings'!BU37=2,'Effectiveness settings'!BX37=2),"Apply HR to",GD37)</f>
        <v>0</v>
      </c>
      <c r="GF37" s="58">
        <f t="shared" si="34"/>
        <v>0</v>
      </c>
      <c r="GG37" s="58">
        <f t="shared" si="35"/>
        <v>0</v>
      </c>
      <c r="GH37" s="58">
        <f t="shared" si="36"/>
        <v>0</v>
      </c>
      <c r="GI37" s="58">
        <f t="shared" si="37"/>
        <v>0</v>
      </c>
      <c r="GK37" s="58">
        <f>IF(i_baseline_risk_from=2,'Effectiveness settings'!FA37,'Effectiveness settings'!FM37)</f>
        <v>1</v>
      </c>
      <c r="GL37" s="58">
        <f>IF(i_baseline_risk_from=2,'Effectiveness settings'!FB37,'Effectiveness settings'!FN37)</f>
        <v>7</v>
      </c>
      <c r="GM37" s="58">
        <f>IF(i_baseline_risk_from=2,'Effectiveness settings'!FC37,'Effectiveness settings'!FO37)</f>
        <v>2</v>
      </c>
      <c r="GN37" s="58">
        <f>IF(i_baseline_risk_from=2,'Effectiveness settings'!FD37,'Effectiveness settings'!FP37)</f>
        <v>1</v>
      </c>
      <c r="GQ37" s="58">
        <f t="shared" si="38"/>
        <v>7</v>
      </c>
      <c r="GR37" s="58">
        <f t="shared" si="39"/>
        <v>7</v>
      </c>
      <c r="GS37" s="58">
        <f t="shared" si="40"/>
        <v>7</v>
      </c>
      <c r="GT37" s="58">
        <f t="shared" si="41"/>
        <v>7</v>
      </c>
      <c r="GU37" s="58">
        <f>IF(AND(dd_CheckMate214_TTD="Yes",'Effectiveness settings'!BU37=2,'Effectiveness settings'!BX37=2),2,GT37)</f>
        <v>7</v>
      </c>
      <c r="GV37" s="58">
        <f t="shared" si="42"/>
        <v>7</v>
      </c>
      <c r="GW37" s="58">
        <f t="shared" si="43"/>
        <v>7</v>
      </c>
      <c r="GY37" s="58">
        <f>IF(AND(dd_CheckMate214_TTD="Yes",'Effectiveness settings'!BU37=2,'Effectiveness settings'!BX37=2),1,GN37)</f>
        <v>1</v>
      </c>
      <c r="GZ37" s="58">
        <f t="shared" si="44"/>
        <v>1</v>
      </c>
      <c r="HB37" s="58">
        <f t="shared" si="45"/>
        <v>1</v>
      </c>
      <c r="HD37" s="58">
        <f t="shared" si="46"/>
        <v>1</v>
      </c>
      <c r="HE37" s="58">
        <f t="shared" si="47"/>
        <v>1</v>
      </c>
      <c r="HF37" s="58">
        <f t="shared" si="48"/>
        <v>7</v>
      </c>
      <c r="HG37" s="58">
        <f t="shared" si="49"/>
        <v>2</v>
      </c>
      <c r="HH37" s="58">
        <f t="shared" si="50"/>
        <v>1</v>
      </c>
    </row>
    <row r="38" spans="1:216" ht="15.75" x14ac:dyDescent="0.25">
      <c r="D38" s="58" t="str">
        <v>everolimus</v>
      </c>
      <c r="I38" s="64" t="s">
        <v>58</v>
      </c>
      <c r="J38" s="519" t="s">
        <v>552</v>
      </c>
      <c r="K38" s="524"/>
      <c r="L38" s="519"/>
      <c r="M38" s="516" t="s">
        <v>545</v>
      </c>
      <c r="N38" s="64" t="s">
        <v>546</v>
      </c>
      <c r="O38" s="64" t="s">
        <v>117</v>
      </c>
      <c r="P38" s="64" t="s">
        <v>547</v>
      </c>
      <c r="Q38" s="519" t="s">
        <v>552</v>
      </c>
      <c r="R38" s="516" t="s">
        <v>548</v>
      </c>
      <c r="S38" s="497"/>
      <c r="T38" s="497"/>
      <c r="U38" s="497"/>
      <c r="Y38" s="517"/>
      <c r="AA38" s="517"/>
      <c r="AF38" s="517"/>
      <c r="AM38" s="517"/>
      <c r="AO38" s="517"/>
      <c r="AT38" s="517"/>
      <c r="AV38" s="511"/>
      <c r="AW38" s="511"/>
      <c r="AX38" s="511"/>
      <c r="BA38" s="517"/>
      <c r="BC38" s="517"/>
      <c r="BH38" s="517"/>
      <c r="BJ38" s="511"/>
      <c r="BK38" s="511"/>
      <c r="BL38" s="511"/>
      <c r="BQ38" s="58">
        <f t="shared" si="0"/>
        <v>25</v>
      </c>
      <c r="BR38" s="17">
        <v>1</v>
      </c>
      <c r="BS38" s="17" t="s">
        <v>549</v>
      </c>
      <c r="BT38" s="17">
        <v>1</v>
      </c>
      <c r="BU38" s="17">
        <v>10</v>
      </c>
      <c r="BV38" s="17" t="str">
        <f t="shared" si="55"/>
        <v>everolimus</v>
      </c>
      <c r="BW38" s="1006" t="str" cm="1">
        <f t="array" ref="BW38">IF(I38="No",I38,INDEX(List_incl_anal_1L_PorI,IF(BU38=999,35,BU38+1)))</f>
        <v>No</v>
      </c>
      <c r="BX38" s="61">
        <f t="shared" si="56"/>
        <v>1</v>
      </c>
      <c r="BY38" s="531" t="str">
        <f t="shared" si="79"/>
        <v>Progression free survival</v>
      </c>
      <c r="BZ38" s="530">
        <f t="shared" si="57"/>
        <v>0</v>
      </c>
      <c r="CA38" s="531">
        <f t="shared" si="80"/>
        <v>0</v>
      </c>
      <c r="CB38" s="530">
        <f t="shared" si="58"/>
        <v>1</v>
      </c>
      <c r="CC38" s="530">
        <f t="shared" si="59"/>
        <v>1</v>
      </c>
      <c r="CD38" s="530">
        <f t="shared" si="60"/>
        <v>7</v>
      </c>
      <c r="CE38" s="1295">
        <f t="shared" si="61"/>
        <v>2</v>
      </c>
      <c r="CF38" s="1301">
        <f t="shared" si="62"/>
        <v>1</v>
      </c>
      <c r="CG38" s="530" t="str">
        <f t="shared" si="63"/>
        <v>Log-logistic</v>
      </c>
      <c r="CH38" s="61">
        <f t="shared" si="64"/>
        <v>0</v>
      </c>
      <c r="CI38" s="61">
        <f t="shared" si="65"/>
        <v>0</v>
      </c>
      <c r="CJ38" s="61">
        <f t="shared" si="66"/>
        <v>0</v>
      </c>
      <c r="CV38" s="940">
        <v>1</v>
      </c>
      <c r="CW38" s="940" t="s">
        <v>549</v>
      </c>
      <c r="CX38" s="940">
        <v>1</v>
      </c>
      <c r="CY38" s="940">
        <v>0</v>
      </c>
      <c r="CZ38" s="940" t="str" cm="1">
        <f t="array" ref="CZ38">INDEX(List_trials,CY38+1)</f>
        <v>CheckMate 9ER</v>
      </c>
      <c r="DA38" s="941" t="s">
        <v>552</v>
      </c>
      <c r="DB38" s="941" t="s">
        <v>548</v>
      </c>
      <c r="DC38" s="941" t="s">
        <v>563</v>
      </c>
      <c r="DD38" s="941" t="s">
        <v>551</v>
      </c>
      <c r="DE38" s="941"/>
      <c r="DF38" s="941" t="s">
        <v>103</v>
      </c>
      <c r="DG38" s="941" t="s">
        <v>117</v>
      </c>
      <c r="DH38" s="58">
        <f t="shared" si="54"/>
        <v>7</v>
      </c>
      <c r="DK38" s="58" t="str" cm="1">
        <f t="array" ref="DK38">IF(AND($BT38=4,$BX38=4,$BU38=999),$DB$36,_xlfn.IFNA(INDEX(DB$13:DB$70,MATCH(1,($BR38=$CV$13:$CV$70)*($BT38=$CX$13:$CX$70)*($CE38=$CY$13:$CY$70)*($BY38=$DA$13:$DA$70)*($CD38=$DH$13:$DH$70),0)),""))</f>
        <v>Log-logistic</v>
      </c>
      <c r="DL38" s="58" t="str" cm="1">
        <f t="array" ref="DL38">IF(AND($BT38=4,$BX38=4,$BU38=999),$DC$36,_xlfn.IFNA(INDEX(CHOOSE(DP38,DB$13:DB$70,DC$13:DC$70,DD$13:DD$70,DE$13:DE$70),MATCH(1,($BR38=$CV$13:$CV$70)*($BT38=$CX$13:$CX$70)*($CE38=$CY$13:$CY$70)*($BY38=$DA$13:$DA$70)*($CD38=$DH$13:$DH$70),0)),""))</f>
        <v>Log-logistic</v>
      </c>
      <c r="DM38" s="740" t="str" cm="1">
        <f t="array" ref="DM38">IF(AND($BT38=4,$BX38=4,$BU38=999),$DD$36,_xlfn.IFNA(INDEX(DD$13:DD$68,MATCH(1,($BR38=$CV$13:$CV$68)*($BT38=$CX$13:$CX$68)*($CE38=$CY$13:$CY$68)*($BY38=$DA$13:$DA$68)*($CD38=$DH$13:$DH$68),0)),""))</f>
        <v>Log-normal</v>
      </c>
      <c r="DN38" s="740" cm="1">
        <f t="array" ref="DN38">IF(AND($BT38=4,$BX38=4,$BU38=999),$DD$36,_xlfn.IFNA(INDEX(DE$13:DE$68,MATCH(1,($BR38=$CV$13:$CV$68)*($BT38=$CX$13:$CX$68)*($CE38=$CY$13:$CY$68)*($BY38=$DA$13:$DA$68)*($CD38=$DH$13:$DH$68),0)),""))</f>
        <v>0</v>
      </c>
      <c r="DO38" s="58" t="str" cm="1">
        <f t="array" ref="DO38">IF(AND($BT38=4,$BX38=4,$BU38=999),$DF$36,_xlfn.IFNA(INDEX(DF$13:DF$70,MATCH(1,($BR38=$CV$13:$CV$70)*($BT38=$CX$13:$CX$70)*($CE38=$CY$13:$CY$70)*($BY38=$DA$13:$DA$70)*($CD38=$DH$13:$DH$70),0)),""))</f>
        <v>Base case</v>
      </c>
      <c r="DP38" s="58">
        <f t="shared" si="13"/>
        <v>1</v>
      </c>
      <c r="DW38" s="58" t="s">
        <v>58</v>
      </c>
      <c r="DX38" s="58" t="s">
        <v>552</v>
      </c>
      <c r="DY38" s="58">
        <v>0</v>
      </c>
      <c r="DZ38" s="58">
        <v>0</v>
      </c>
      <c r="EB38" s="58">
        <v>1</v>
      </c>
      <c r="EC38" s="58">
        <v>1</v>
      </c>
      <c r="ED38" s="58">
        <v>7</v>
      </c>
      <c r="EE38" s="58">
        <v>2</v>
      </c>
      <c r="EF38" s="58">
        <v>1</v>
      </c>
      <c r="EI38" s="58" t="s">
        <v>58</v>
      </c>
      <c r="EJ38" s="58" t="s">
        <v>552</v>
      </c>
      <c r="EK38" s="58">
        <v>0</v>
      </c>
      <c r="EL38" s="58">
        <v>0</v>
      </c>
      <c r="EN38" s="58">
        <v>1</v>
      </c>
      <c r="EO38" s="58">
        <v>1</v>
      </c>
      <c r="EP38" s="58">
        <v>7</v>
      </c>
      <c r="EQ38" s="58">
        <v>0</v>
      </c>
      <c r="ER38" s="58">
        <v>1</v>
      </c>
      <c r="EU38" s="58" t="str">
        <f t="shared" si="67"/>
        <v>No</v>
      </c>
      <c r="EV38" s="58" t="str">
        <f t="shared" si="68"/>
        <v>Progression free survival</v>
      </c>
      <c r="EW38" s="58">
        <f t="shared" si="69"/>
        <v>0</v>
      </c>
      <c r="EX38" s="58">
        <f t="shared" si="70"/>
        <v>0</v>
      </c>
      <c r="EZ38" s="58">
        <f t="shared" si="71"/>
        <v>1</v>
      </c>
      <c r="FA38" s="58">
        <f t="shared" si="72"/>
        <v>1</v>
      </c>
      <c r="FB38" s="58">
        <f>IF(i_eff_inputs_based_on_num=2,ED38,(INDEX(Lists!$L$51:$L$85,MATCH(O38,Lists!$K$51:$K$85,0))))</f>
        <v>7</v>
      </c>
      <c r="FC38" s="58">
        <f>IF(i_eff_inputs_based_on_num=2,EE38,(INDEX(Lists!$L$51:$L$85,MATCH(P38,Lists!$K$51:$K$85,0))))</f>
        <v>2</v>
      </c>
      <c r="FD38" s="58">
        <f>IF(i_eff_inputs_based_on_num=2,EF38,(INDEX(Lists!$L$51:$L$85,MATCH(Q38,Lists!$K$51:$K$85,0))))</f>
        <v>1</v>
      </c>
      <c r="FG38" s="58" t="str">
        <f t="shared" si="73"/>
        <v>No</v>
      </c>
      <c r="FH38" s="58" t="str">
        <f t="shared" si="74"/>
        <v>Progression free survival</v>
      </c>
      <c r="FI38" s="58">
        <f t="shared" si="75"/>
        <v>0</v>
      </c>
      <c r="FJ38" s="58">
        <f t="shared" si="76"/>
        <v>0</v>
      </c>
      <c r="FL38" s="58">
        <f t="shared" si="77"/>
        <v>1</v>
      </c>
      <c r="FM38" s="58">
        <f t="shared" si="78"/>
        <v>1</v>
      </c>
      <c r="FN38" s="58">
        <f>IF(i_eff_inputs_based_on_num=2,EP38,(INDEX(Lists!$L$51:$L$85,MATCH(O38,Lists!$K$51:$K$85,0))))</f>
        <v>7</v>
      </c>
      <c r="FO38" s="58">
        <f>IF(i_eff_inputs_based_on_num=2,EQ38,(INDEX(Lists!$L$51:$L$85,MATCH(P38,Lists!$K$51:$K$85,0))))</f>
        <v>0</v>
      </c>
      <c r="FP38" s="58">
        <f>IF(i_eff_inputs_based_on_num=2,ER38,(INDEX(Lists!$L$51:$L$85,MATCH(Q38,Lists!$K$51:$K$85,0))))</f>
        <v>1</v>
      </c>
      <c r="FT38" s="58">
        <f t="shared" si="26"/>
        <v>0</v>
      </c>
      <c r="FW38" s="58">
        <f>IF(i_baseline_risk_from=2,'Effectiveness settings'!EW38,'Effectiveness settings'!FI38)</f>
        <v>0</v>
      </c>
      <c r="FX38" s="58">
        <f t="shared" si="27"/>
        <v>0</v>
      </c>
      <c r="FY38" s="58">
        <f t="shared" si="28"/>
        <v>0</v>
      </c>
      <c r="FZ38" s="58">
        <f t="shared" si="29"/>
        <v>0</v>
      </c>
      <c r="GA38" s="58">
        <f t="shared" si="30"/>
        <v>0</v>
      </c>
      <c r="GB38" s="58">
        <f t="shared" si="31"/>
        <v>0</v>
      </c>
      <c r="GC38" s="58">
        <f t="shared" si="32"/>
        <v>0</v>
      </c>
      <c r="GD38" s="58">
        <f t="shared" si="33"/>
        <v>0</v>
      </c>
      <c r="GE38" s="58">
        <f>IF(AND(dd_CheckMate214_TTD="Yes",'Effectiveness settings'!BU38=2,'Effectiveness settings'!BX38=2),"Apply HR to",GD38)</f>
        <v>0</v>
      </c>
      <c r="GF38" s="58">
        <f t="shared" si="34"/>
        <v>0</v>
      </c>
      <c r="GG38" s="58">
        <f t="shared" si="35"/>
        <v>0</v>
      </c>
      <c r="GH38" s="58">
        <f t="shared" si="36"/>
        <v>0</v>
      </c>
      <c r="GI38" s="58">
        <f t="shared" si="37"/>
        <v>0</v>
      </c>
      <c r="GK38" s="58">
        <f>IF(i_baseline_risk_from=2,'Effectiveness settings'!FA38,'Effectiveness settings'!FM38)</f>
        <v>1</v>
      </c>
      <c r="GL38" s="58">
        <f>IF(i_baseline_risk_from=2,'Effectiveness settings'!FB38,'Effectiveness settings'!FN38)</f>
        <v>7</v>
      </c>
      <c r="GM38" s="58">
        <f>IF(i_baseline_risk_from=2,'Effectiveness settings'!FC38,'Effectiveness settings'!FO38)</f>
        <v>2</v>
      </c>
      <c r="GN38" s="58">
        <f>IF(i_baseline_risk_from=2,'Effectiveness settings'!FD38,'Effectiveness settings'!FP38)</f>
        <v>1</v>
      </c>
      <c r="GQ38" s="58">
        <f t="shared" si="38"/>
        <v>7</v>
      </c>
      <c r="GR38" s="58">
        <f t="shared" si="39"/>
        <v>7</v>
      </c>
      <c r="GS38" s="58">
        <f t="shared" si="40"/>
        <v>7</v>
      </c>
      <c r="GT38" s="58">
        <f t="shared" si="41"/>
        <v>7</v>
      </c>
      <c r="GU38" s="58">
        <f>IF(AND(dd_CheckMate214_TTD="Yes",'Effectiveness settings'!BU38=2,'Effectiveness settings'!BX38=2),2,GT38)</f>
        <v>7</v>
      </c>
      <c r="GV38" s="58">
        <f t="shared" si="42"/>
        <v>7</v>
      </c>
      <c r="GW38" s="58">
        <f t="shared" si="43"/>
        <v>7</v>
      </c>
      <c r="GY38" s="58">
        <f>IF(AND(dd_CheckMate214_TTD="Yes",'Effectiveness settings'!BU38=2,'Effectiveness settings'!BX38=2),1,GN38)</f>
        <v>1</v>
      </c>
      <c r="GZ38" s="58">
        <f t="shared" si="44"/>
        <v>1</v>
      </c>
      <c r="HB38" s="58">
        <f t="shared" si="45"/>
        <v>1</v>
      </c>
      <c r="HD38" s="58">
        <f t="shared" si="46"/>
        <v>1</v>
      </c>
      <c r="HE38" s="58">
        <f t="shared" si="47"/>
        <v>1</v>
      </c>
      <c r="HF38" s="58">
        <f t="shared" si="48"/>
        <v>7</v>
      </c>
      <c r="HG38" s="58">
        <f t="shared" si="49"/>
        <v>2</v>
      </c>
      <c r="HH38" s="58">
        <f t="shared" si="50"/>
        <v>1</v>
      </c>
    </row>
    <row r="39" spans="1:216" ht="15.75" x14ac:dyDescent="0.25">
      <c r="D39" s="58" t="str">
        <v>axitinib</v>
      </c>
      <c r="I39" s="64" t="s">
        <v>58</v>
      </c>
      <c r="J39" s="519" t="s">
        <v>552</v>
      </c>
      <c r="K39" s="524"/>
      <c r="L39" s="519"/>
      <c r="M39" s="516" t="s">
        <v>545</v>
      </c>
      <c r="N39" s="64" t="s">
        <v>546</v>
      </c>
      <c r="O39" s="64" t="s">
        <v>117</v>
      </c>
      <c r="P39" s="64" t="s">
        <v>547</v>
      </c>
      <c r="Q39" s="519" t="s">
        <v>552</v>
      </c>
      <c r="R39" s="516" t="s">
        <v>548</v>
      </c>
      <c r="S39" s="497"/>
      <c r="T39" s="497"/>
      <c r="U39" s="497"/>
      <c r="Y39" s="517"/>
      <c r="AA39" s="517"/>
      <c r="AF39" s="517"/>
      <c r="AM39" s="517"/>
      <c r="AO39" s="517"/>
      <c r="AT39" s="517"/>
      <c r="AV39" s="511"/>
      <c r="AW39" s="511"/>
      <c r="AX39" s="511"/>
      <c r="BA39" s="517"/>
      <c r="BC39" s="517"/>
      <c r="BH39" s="517"/>
      <c r="BJ39" s="511"/>
      <c r="BK39" s="511"/>
      <c r="BL39" s="511"/>
      <c r="BQ39" s="58">
        <f t="shared" si="0"/>
        <v>26</v>
      </c>
      <c r="BR39" s="17">
        <v>1</v>
      </c>
      <c r="BS39" s="17" t="s">
        <v>549</v>
      </c>
      <c r="BT39" s="17">
        <v>1</v>
      </c>
      <c r="BU39" s="17">
        <v>11</v>
      </c>
      <c r="BV39" s="17" t="str">
        <f t="shared" si="55"/>
        <v>axitinib</v>
      </c>
      <c r="BW39" s="1006" t="str" cm="1">
        <f t="array" ref="BW39">IF(I39="No",I39,INDEX(List_incl_anal_1L_PorI,IF(BU39=999,35,BU39+1)))</f>
        <v>No</v>
      </c>
      <c r="BX39" s="61">
        <f t="shared" si="56"/>
        <v>1</v>
      </c>
      <c r="BY39" s="531" t="str">
        <f t="shared" si="79"/>
        <v>Progression free survival</v>
      </c>
      <c r="BZ39" s="530">
        <f t="shared" si="57"/>
        <v>0</v>
      </c>
      <c r="CA39" s="531">
        <f t="shared" si="80"/>
        <v>0</v>
      </c>
      <c r="CB39" s="530">
        <f t="shared" si="58"/>
        <v>1</v>
      </c>
      <c r="CC39" s="530">
        <f t="shared" si="59"/>
        <v>1</v>
      </c>
      <c r="CD39" s="530">
        <f t="shared" si="60"/>
        <v>7</v>
      </c>
      <c r="CE39" s="1295">
        <f t="shared" si="61"/>
        <v>2</v>
      </c>
      <c r="CF39" s="1301">
        <f t="shared" si="62"/>
        <v>1</v>
      </c>
      <c r="CG39" s="530" t="str">
        <f t="shared" si="63"/>
        <v>Log-logistic</v>
      </c>
      <c r="CH39" s="61">
        <f t="shared" si="64"/>
        <v>0</v>
      </c>
      <c r="CI39" s="61">
        <f t="shared" si="65"/>
        <v>0</v>
      </c>
      <c r="CJ39" s="61">
        <f t="shared" si="66"/>
        <v>0</v>
      </c>
      <c r="CV39" s="940">
        <v>1</v>
      </c>
      <c r="CW39" s="940" t="s">
        <v>549</v>
      </c>
      <c r="CX39" s="940">
        <v>1</v>
      </c>
      <c r="CY39" s="940">
        <v>0</v>
      </c>
      <c r="CZ39" s="940" t="str" cm="1">
        <f t="array" ref="CZ39">INDEX(List_trials,CY39+1)</f>
        <v>CheckMate 9ER</v>
      </c>
      <c r="DA39" s="941" t="s">
        <v>554</v>
      </c>
      <c r="DB39" s="941" t="s">
        <v>551</v>
      </c>
      <c r="DC39" s="941" t="s">
        <v>568</v>
      </c>
      <c r="DD39" s="941" t="s">
        <v>548</v>
      </c>
      <c r="DE39" s="941"/>
      <c r="DF39" s="941" t="s">
        <v>103</v>
      </c>
      <c r="DG39" s="941" t="s">
        <v>117</v>
      </c>
      <c r="DH39" s="58">
        <f t="shared" si="54"/>
        <v>7</v>
      </c>
      <c r="DK39" s="58" t="str" cm="1">
        <f t="array" ref="DK39">IF(AND($BT39=4,$BX39=4,$BU39=999),$DB$36,_xlfn.IFNA(INDEX(DB$13:DB$70,MATCH(1,($BR39=$CV$13:$CV$70)*($BT39=$CX$13:$CX$70)*($CE39=$CY$13:$CY$70)*($BY39=$DA$13:$DA$70)*($CD39=$DH$13:$DH$70),0)),""))</f>
        <v>Log-logistic</v>
      </c>
      <c r="DL39" s="58" t="str" cm="1">
        <f t="array" ref="DL39">IF(AND($BT39=4,$BX39=4,$BU39=999),$DC$36,_xlfn.IFNA(INDEX(CHOOSE(DP39,DB$13:DB$70,DC$13:DC$70,DD$13:DD$70,DE$13:DE$70),MATCH(1,($BR39=$CV$13:$CV$70)*($BT39=$CX$13:$CX$70)*($CE39=$CY$13:$CY$70)*($BY39=$DA$13:$DA$70)*($CD39=$DH$13:$DH$70),0)),""))</f>
        <v>Log-logistic</v>
      </c>
      <c r="DM39" s="740" t="str" cm="1">
        <f t="array" ref="DM39">IF(AND($BT39=4,$BX39=4,$BU39=999),$DD$36,_xlfn.IFNA(INDEX(DD$13:DD$68,MATCH(1,($BR39=$CV$13:$CV$68)*($BT39=$CX$13:$CX$68)*($CE39=$CY$13:$CY$68)*($BY39=$DA$13:$DA$68)*($CD39=$DH$13:$DH$68),0)),""))</f>
        <v>Log-normal</v>
      </c>
      <c r="DN39" s="740" cm="1">
        <f t="array" ref="DN39">IF(AND($BT39=4,$BX39=4,$BU39=999),$DD$36,_xlfn.IFNA(INDEX(DE$13:DE$68,MATCH(1,($BR39=$CV$13:$CV$68)*($BT39=$CX$13:$CX$68)*($CE39=$CY$13:$CY$68)*($BY39=$DA$13:$DA$68)*($CD39=$DH$13:$DH$68),0)),""))</f>
        <v>0</v>
      </c>
      <c r="DO39" s="58" t="str" cm="1">
        <f t="array" ref="DO39">IF(AND($BT39=4,$BX39=4,$BU39=999),$DF$36,_xlfn.IFNA(INDEX(DF$13:DF$70,MATCH(1,($BR39=$CV$13:$CV$70)*($BT39=$CX$13:$CX$70)*($CE39=$CY$13:$CY$70)*($BY39=$DA$13:$DA$70)*($CD39=$DH$13:$DH$70),0)),""))</f>
        <v>Base case</v>
      </c>
      <c r="DP39" s="58">
        <f t="shared" si="13"/>
        <v>1</v>
      </c>
      <c r="DW39" s="58" t="s">
        <v>58</v>
      </c>
      <c r="DX39" s="58" t="s">
        <v>552</v>
      </c>
      <c r="DY39" s="58">
        <v>0</v>
      </c>
      <c r="DZ39" s="58">
        <v>0</v>
      </c>
      <c r="EB39" s="58">
        <v>1</v>
      </c>
      <c r="EC39" s="58">
        <v>1</v>
      </c>
      <c r="ED39" s="58">
        <v>7</v>
      </c>
      <c r="EE39" s="58">
        <v>2</v>
      </c>
      <c r="EF39" s="58">
        <v>1</v>
      </c>
      <c r="EI39" s="58" t="s">
        <v>58</v>
      </c>
      <c r="EJ39" s="58" t="s">
        <v>552</v>
      </c>
      <c r="EK39" s="58">
        <v>0</v>
      </c>
      <c r="EL39" s="58">
        <v>0</v>
      </c>
      <c r="EN39" s="58">
        <v>1</v>
      </c>
      <c r="EO39" s="58">
        <v>1</v>
      </c>
      <c r="EP39" s="58">
        <v>7</v>
      </c>
      <c r="EQ39" s="58">
        <v>0</v>
      </c>
      <c r="ER39" s="58">
        <v>1</v>
      </c>
      <c r="EU39" s="58" t="str">
        <f t="shared" si="67"/>
        <v>No</v>
      </c>
      <c r="EV39" s="58" t="str">
        <f t="shared" si="68"/>
        <v>Progression free survival</v>
      </c>
      <c r="EW39" s="58">
        <f t="shared" si="69"/>
        <v>0</v>
      </c>
      <c r="EX39" s="58">
        <f t="shared" si="70"/>
        <v>0</v>
      </c>
      <c r="EZ39" s="58">
        <f t="shared" si="71"/>
        <v>1</v>
      </c>
      <c r="FA39" s="58">
        <f t="shared" si="72"/>
        <v>1</v>
      </c>
      <c r="FB39" s="58">
        <f>IF(i_eff_inputs_based_on_num=2,ED39,(INDEX(Lists!$L$51:$L$85,MATCH(O39,Lists!$K$51:$K$85,0))))</f>
        <v>7</v>
      </c>
      <c r="FC39" s="58">
        <f>IF(i_eff_inputs_based_on_num=2,EE39,(INDEX(Lists!$L$51:$L$85,MATCH(P39,Lists!$K$51:$K$85,0))))</f>
        <v>2</v>
      </c>
      <c r="FD39" s="58">
        <f>IF(i_eff_inputs_based_on_num=2,EF39,(INDEX(Lists!$L$51:$L$85,MATCH(Q39,Lists!$K$51:$K$85,0))))</f>
        <v>1</v>
      </c>
      <c r="FG39" s="58" t="str">
        <f t="shared" si="73"/>
        <v>No</v>
      </c>
      <c r="FH39" s="58" t="str">
        <f t="shared" si="74"/>
        <v>Progression free survival</v>
      </c>
      <c r="FI39" s="58">
        <f t="shared" si="75"/>
        <v>0</v>
      </c>
      <c r="FJ39" s="58">
        <f t="shared" si="76"/>
        <v>0</v>
      </c>
      <c r="FL39" s="58">
        <f t="shared" si="77"/>
        <v>1</v>
      </c>
      <c r="FM39" s="58">
        <f t="shared" si="78"/>
        <v>1</v>
      </c>
      <c r="FN39" s="58">
        <f>IF(i_eff_inputs_based_on_num=2,EP39,(INDEX(Lists!$L$51:$L$85,MATCH(O39,Lists!$K$51:$K$85,0))))</f>
        <v>7</v>
      </c>
      <c r="FO39" s="58">
        <f>IF(i_eff_inputs_based_on_num=2,EQ39,(INDEX(Lists!$L$51:$L$85,MATCH(P39,Lists!$K$51:$K$85,0))))</f>
        <v>0</v>
      </c>
      <c r="FP39" s="58">
        <f>IF(i_eff_inputs_based_on_num=2,ER39,(INDEX(Lists!$L$51:$L$85,MATCH(Q39,Lists!$K$51:$K$85,0))))</f>
        <v>1</v>
      </c>
      <c r="FT39" s="58">
        <f t="shared" si="26"/>
        <v>0</v>
      </c>
      <c r="FW39" s="58">
        <f>IF(i_baseline_risk_from=2,'Effectiveness settings'!EW39,'Effectiveness settings'!FI39)</f>
        <v>0</v>
      </c>
      <c r="FX39" s="58">
        <f t="shared" si="27"/>
        <v>0</v>
      </c>
      <c r="FY39" s="58">
        <f t="shared" si="28"/>
        <v>0</v>
      </c>
      <c r="FZ39" s="58">
        <f t="shared" si="29"/>
        <v>0</v>
      </c>
      <c r="GA39" s="58">
        <f t="shared" si="30"/>
        <v>0</v>
      </c>
      <c r="GB39" s="58">
        <f t="shared" si="31"/>
        <v>0</v>
      </c>
      <c r="GC39" s="58">
        <f t="shared" si="32"/>
        <v>0</v>
      </c>
      <c r="GD39" s="58">
        <f t="shared" si="33"/>
        <v>0</v>
      </c>
      <c r="GE39" s="58">
        <f>IF(AND(dd_CheckMate214_TTD="Yes",'Effectiveness settings'!BU39=2,'Effectiveness settings'!BX39=2),"Apply HR to",GD39)</f>
        <v>0</v>
      </c>
      <c r="GF39" s="58">
        <f t="shared" si="34"/>
        <v>0</v>
      </c>
      <c r="GG39" s="58">
        <f t="shared" si="35"/>
        <v>0</v>
      </c>
      <c r="GH39" s="58">
        <f t="shared" si="36"/>
        <v>0</v>
      </c>
      <c r="GI39" s="58">
        <f t="shared" si="37"/>
        <v>0</v>
      </c>
      <c r="GK39" s="58">
        <f>IF(i_baseline_risk_from=2,'Effectiveness settings'!FA39,'Effectiveness settings'!FM39)</f>
        <v>1</v>
      </c>
      <c r="GL39" s="58">
        <f>IF(i_baseline_risk_from=2,'Effectiveness settings'!FB39,'Effectiveness settings'!FN39)</f>
        <v>7</v>
      </c>
      <c r="GM39" s="58">
        <f>IF(i_baseline_risk_from=2,'Effectiveness settings'!FC39,'Effectiveness settings'!FO39)</f>
        <v>2</v>
      </c>
      <c r="GN39" s="58">
        <f>IF(i_baseline_risk_from=2,'Effectiveness settings'!FD39,'Effectiveness settings'!FP39)</f>
        <v>1</v>
      </c>
      <c r="GQ39" s="58">
        <f t="shared" si="38"/>
        <v>7</v>
      </c>
      <c r="GR39" s="58">
        <f t="shared" si="39"/>
        <v>7</v>
      </c>
      <c r="GS39" s="58">
        <f t="shared" si="40"/>
        <v>7</v>
      </c>
      <c r="GT39" s="58">
        <f t="shared" si="41"/>
        <v>7</v>
      </c>
      <c r="GU39" s="58">
        <f>IF(AND(dd_CheckMate214_TTD="Yes",'Effectiveness settings'!BU39=2,'Effectiveness settings'!BX39=2),2,GT39)</f>
        <v>7</v>
      </c>
      <c r="GV39" s="58">
        <f t="shared" si="42"/>
        <v>7</v>
      </c>
      <c r="GW39" s="58">
        <f t="shared" si="43"/>
        <v>7</v>
      </c>
      <c r="GY39" s="58">
        <f>IF(AND(dd_CheckMate214_TTD="Yes",'Effectiveness settings'!BU39=2,'Effectiveness settings'!BX39=2),1,GN39)</f>
        <v>1</v>
      </c>
      <c r="GZ39" s="58">
        <f t="shared" si="44"/>
        <v>1</v>
      </c>
      <c r="HB39" s="58">
        <f t="shared" si="45"/>
        <v>1</v>
      </c>
      <c r="HD39" s="58">
        <f t="shared" si="46"/>
        <v>1</v>
      </c>
      <c r="HE39" s="58">
        <f t="shared" si="47"/>
        <v>1</v>
      </c>
      <c r="HF39" s="58">
        <f t="shared" si="48"/>
        <v>7</v>
      </c>
      <c r="HG39" s="58">
        <f t="shared" si="49"/>
        <v>2</v>
      </c>
      <c r="HH39" s="58">
        <f t="shared" si="50"/>
        <v>1</v>
      </c>
    </row>
    <row r="40" spans="1:216" ht="15.75" x14ac:dyDescent="0.25">
      <c r="D40" s="58" t="str">
        <v>sorafenib</v>
      </c>
      <c r="I40" s="64" t="s">
        <v>58</v>
      </c>
      <c r="J40" s="519" t="s">
        <v>552</v>
      </c>
      <c r="K40" s="524"/>
      <c r="L40" s="519"/>
      <c r="M40" s="516" t="s">
        <v>545</v>
      </c>
      <c r="N40" s="64" t="s">
        <v>546</v>
      </c>
      <c r="O40" s="64" t="s">
        <v>117</v>
      </c>
      <c r="P40" s="64" t="s">
        <v>547</v>
      </c>
      <c r="Q40" s="519" t="s">
        <v>552</v>
      </c>
      <c r="R40" s="516" t="s">
        <v>548</v>
      </c>
      <c r="S40" s="497"/>
      <c r="T40" s="497"/>
      <c r="U40" s="497"/>
      <c r="Y40" s="517"/>
      <c r="AA40" s="517"/>
      <c r="AF40" s="517"/>
      <c r="AM40" s="517"/>
      <c r="AO40" s="517"/>
      <c r="AT40" s="517"/>
      <c r="AV40" s="511"/>
      <c r="AW40" s="511"/>
      <c r="AX40" s="511"/>
      <c r="BA40" s="517"/>
      <c r="BC40" s="517"/>
      <c r="BH40" s="517"/>
      <c r="BJ40" s="511"/>
      <c r="BK40" s="511"/>
      <c r="BL40" s="511"/>
      <c r="BQ40" s="58">
        <f t="shared" si="0"/>
        <v>27</v>
      </c>
      <c r="BR40" s="17">
        <v>1</v>
      </c>
      <c r="BS40" s="17" t="s">
        <v>549</v>
      </c>
      <c r="BT40" s="17">
        <v>1</v>
      </c>
      <c r="BU40" s="17">
        <v>12</v>
      </c>
      <c r="BV40" s="17" t="str">
        <f t="shared" si="55"/>
        <v>sorafenib</v>
      </c>
      <c r="BW40" s="1006" t="str" cm="1">
        <f t="array" ref="BW40">IF(I40="No",I40,INDEX(List_incl_anal_1L_PorI,IF(BU40=999,35,BU40+1)))</f>
        <v>No</v>
      </c>
      <c r="BX40" s="61">
        <f t="shared" si="56"/>
        <v>1</v>
      </c>
      <c r="BY40" s="531" t="str">
        <f t="shared" si="79"/>
        <v>Progression free survival</v>
      </c>
      <c r="BZ40" s="530">
        <f t="shared" si="57"/>
        <v>0</v>
      </c>
      <c r="CA40" s="531">
        <f t="shared" si="80"/>
        <v>0</v>
      </c>
      <c r="CB40" s="530">
        <f t="shared" si="58"/>
        <v>1</v>
      </c>
      <c r="CC40" s="530">
        <f t="shared" si="59"/>
        <v>1</v>
      </c>
      <c r="CD40" s="530">
        <f t="shared" si="60"/>
        <v>7</v>
      </c>
      <c r="CE40" s="1295">
        <f t="shared" si="61"/>
        <v>2</v>
      </c>
      <c r="CF40" s="1301">
        <f t="shared" si="62"/>
        <v>1</v>
      </c>
      <c r="CG40" s="530" t="str">
        <f t="shared" si="63"/>
        <v>Log-logistic</v>
      </c>
      <c r="CH40" s="61">
        <f t="shared" si="64"/>
        <v>0</v>
      </c>
      <c r="CI40" s="61">
        <f t="shared" si="65"/>
        <v>0</v>
      </c>
      <c r="CJ40" s="61">
        <f t="shared" si="66"/>
        <v>0</v>
      </c>
      <c r="CV40" s="940">
        <v>1</v>
      </c>
      <c r="CW40" s="940" t="s">
        <v>549</v>
      </c>
      <c r="CX40" s="940">
        <v>1</v>
      </c>
      <c r="CY40" s="940">
        <v>0</v>
      </c>
      <c r="CZ40" s="940" t="str" cm="1">
        <f t="array" ref="CZ40">INDEX(List_trials,CY40+1)</f>
        <v>CheckMate 9ER</v>
      </c>
      <c r="DA40" s="941" t="s">
        <v>555</v>
      </c>
      <c r="DB40" s="941" t="s">
        <v>548</v>
      </c>
      <c r="DC40" s="941" t="s">
        <v>563</v>
      </c>
      <c r="DD40" s="941" t="s">
        <v>553</v>
      </c>
      <c r="DE40" s="941"/>
      <c r="DF40" s="941" t="s">
        <v>103</v>
      </c>
      <c r="DG40" s="941" t="s">
        <v>117</v>
      </c>
      <c r="DH40" s="58">
        <f t="shared" si="54"/>
        <v>7</v>
      </c>
      <c r="DK40" s="58" t="str" cm="1">
        <f t="array" ref="DK40">IF(AND($BT40=4,$BX40=4,$BU40=999),$DB$36,_xlfn.IFNA(INDEX(DB$13:DB$70,MATCH(1,($BR40=$CV$13:$CV$70)*($BT40=$CX$13:$CX$70)*($CE40=$CY$13:$CY$70)*($BY40=$DA$13:$DA$70)*($CD40=$DH$13:$DH$70),0)),""))</f>
        <v>Log-logistic</v>
      </c>
      <c r="DL40" s="58" t="str" cm="1">
        <f t="array" ref="DL40">IF(AND($BT40=4,$BX40=4,$BU40=999),$DC$36,_xlfn.IFNA(INDEX(CHOOSE(DP40,DB$13:DB$70,DC$13:DC$70,DD$13:DD$70,DE$13:DE$70),MATCH(1,($BR40=$CV$13:$CV$70)*($BT40=$CX$13:$CX$70)*($CE40=$CY$13:$CY$70)*($BY40=$DA$13:$DA$70)*($CD40=$DH$13:$DH$70),0)),""))</f>
        <v>Log-logistic</v>
      </c>
      <c r="DM40" s="740" t="str" cm="1">
        <f t="array" ref="DM40">IF(AND($BT40=4,$BX40=4,$BU40=999),$DD$36,_xlfn.IFNA(INDEX(DD$13:DD$68,MATCH(1,($BR40=$CV$13:$CV$68)*($BT40=$CX$13:$CX$68)*($CE40=$CY$13:$CY$68)*($BY40=$DA$13:$DA$68)*($CD40=$DH$13:$DH$68),0)),""))</f>
        <v>Log-normal</v>
      </c>
      <c r="DN40" s="740" cm="1">
        <f t="array" ref="DN40">IF(AND($BT40=4,$BX40=4,$BU40=999),$DD$36,_xlfn.IFNA(INDEX(DE$13:DE$68,MATCH(1,($BR40=$CV$13:$CV$68)*($BT40=$CX$13:$CX$68)*($CE40=$CY$13:$CY$68)*($BY40=$DA$13:$DA$68)*($CD40=$DH$13:$DH$68),0)),""))</f>
        <v>0</v>
      </c>
      <c r="DO40" s="58" t="str" cm="1">
        <f t="array" ref="DO40">IF(AND($BT40=4,$BX40=4,$BU40=999),$DF$36,_xlfn.IFNA(INDEX(DF$13:DF$70,MATCH(1,($BR40=$CV$13:$CV$70)*($BT40=$CX$13:$CX$70)*($CE40=$CY$13:$CY$70)*($BY40=$DA$13:$DA$70)*($CD40=$DH$13:$DH$70),0)),""))</f>
        <v>Base case</v>
      </c>
      <c r="DP40" s="58">
        <f t="shared" si="13"/>
        <v>1</v>
      </c>
      <c r="DW40" s="58" t="s">
        <v>58</v>
      </c>
      <c r="DX40" s="58" t="s">
        <v>552</v>
      </c>
      <c r="DY40" s="58">
        <v>0</v>
      </c>
      <c r="DZ40" s="58">
        <v>0</v>
      </c>
      <c r="EB40" s="58">
        <v>1</v>
      </c>
      <c r="EC40" s="58">
        <v>1</v>
      </c>
      <c r="ED40" s="58">
        <v>7</v>
      </c>
      <c r="EE40" s="58">
        <v>2</v>
      </c>
      <c r="EF40" s="58">
        <v>1</v>
      </c>
      <c r="EI40" s="58" t="s">
        <v>58</v>
      </c>
      <c r="EJ40" s="58" t="s">
        <v>552</v>
      </c>
      <c r="EK40" s="58">
        <v>0</v>
      </c>
      <c r="EL40" s="58">
        <v>0</v>
      </c>
      <c r="EN40" s="58">
        <v>1</v>
      </c>
      <c r="EO40" s="58">
        <v>1</v>
      </c>
      <c r="EP40" s="58">
        <v>7</v>
      </c>
      <c r="EQ40" s="58">
        <v>0</v>
      </c>
      <c r="ER40" s="58">
        <v>1</v>
      </c>
      <c r="EU40" s="58" t="str">
        <f t="shared" si="67"/>
        <v>No</v>
      </c>
      <c r="EV40" s="58" t="str">
        <f t="shared" si="68"/>
        <v>Progression free survival</v>
      </c>
      <c r="EW40" s="58">
        <f t="shared" si="69"/>
        <v>0</v>
      </c>
      <c r="EX40" s="58">
        <f t="shared" si="70"/>
        <v>0</v>
      </c>
      <c r="EZ40" s="58">
        <f t="shared" si="71"/>
        <v>1</v>
      </c>
      <c r="FA40" s="58">
        <f t="shared" si="72"/>
        <v>1</v>
      </c>
      <c r="FB40" s="58">
        <f>IF(i_eff_inputs_based_on_num=2,ED40,(INDEX(Lists!$L$51:$L$85,MATCH(O40,Lists!$K$51:$K$85,0))))</f>
        <v>7</v>
      </c>
      <c r="FC40" s="58">
        <f>IF(i_eff_inputs_based_on_num=2,EE40,(INDEX(Lists!$L$51:$L$85,MATCH(P40,Lists!$K$51:$K$85,0))))</f>
        <v>2</v>
      </c>
      <c r="FD40" s="58">
        <f>IF(i_eff_inputs_based_on_num=2,EF40,(INDEX(Lists!$L$51:$L$85,MATCH(Q40,Lists!$K$51:$K$85,0))))</f>
        <v>1</v>
      </c>
      <c r="FG40" s="58" t="str">
        <f t="shared" si="73"/>
        <v>No</v>
      </c>
      <c r="FH40" s="58" t="str">
        <f t="shared" si="74"/>
        <v>Progression free survival</v>
      </c>
      <c r="FI40" s="58">
        <f t="shared" si="75"/>
        <v>0</v>
      </c>
      <c r="FJ40" s="58">
        <f t="shared" si="76"/>
        <v>0</v>
      </c>
      <c r="FL40" s="58">
        <f t="shared" si="77"/>
        <v>1</v>
      </c>
      <c r="FM40" s="58">
        <f t="shared" si="78"/>
        <v>1</v>
      </c>
      <c r="FN40" s="58">
        <f>IF(i_eff_inputs_based_on_num=2,EP40,(INDEX(Lists!$L$51:$L$85,MATCH(O40,Lists!$K$51:$K$85,0))))</f>
        <v>7</v>
      </c>
      <c r="FO40" s="58">
        <f>IF(i_eff_inputs_based_on_num=2,EQ40,(INDEX(Lists!$L$51:$L$85,MATCH(P40,Lists!$K$51:$K$85,0))))</f>
        <v>0</v>
      </c>
      <c r="FP40" s="58">
        <f>IF(i_eff_inputs_based_on_num=2,ER40,(INDEX(Lists!$L$51:$L$85,MATCH(Q40,Lists!$K$51:$K$85,0))))</f>
        <v>1</v>
      </c>
      <c r="FT40" s="58">
        <f t="shared" si="26"/>
        <v>0</v>
      </c>
      <c r="FW40" s="58">
        <f>IF(i_baseline_risk_from=2,'Effectiveness settings'!EW40,'Effectiveness settings'!FI40)</f>
        <v>0</v>
      </c>
      <c r="FX40" s="58">
        <f t="shared" si="27"/>
        <v>0</v>
      </c>
      <c r="FY40" s="58">
        <f t="shared" si="28"/>
        <v>0</v>
      </c>
      <c r="FZ40" s="58">
        <f t="shared" si="29"/>
        <v>0</v>
      </c>
      <c r="GA40" s="58">
        <f t="shared" si="30"/>
        <v>0</v>
      </c>
      <c r="GB40" s="58">
        <f t="shared" si="31"/>
        <v>0</v>
      </c>
      <c r="GC40" s="58">
        <f t="shared" si="32"/>
        <v>0</v>
      </c>
      <c r="GD40" s="58">
        <f t="shared" si="33"/>
        <v>0</v>
      </c>
      <c r="GE40" s="58">
        <f>IF(AND(dd_CheckMate214_TTD="Yes",'Effectiveness settings'!BU40=2,'Effectiveness settings'!BX40=2),"Apply HR to",GD40)</f>
        <v>0</v>
      </c>
      <c r="GF40" s="58">
        <f t="shared" si="34"/>
        <v>0</v>
      </c>
      <c r="GG40" s="58">
        <f t="shared" si="35"/>
        <v>0</v>
      </c>
      <c r="GH40" s="58">
        <f t="shared" si="36"/>
        <v>0</v>
      </c>
      <c r="GI40" s="58">
        <f t="shared" si="37"/>
        <v>0</v>
      </c>
      <c r="GK40" s="58">
        <f>IF(i_baseline_risk_from=2,'Effectiveness settings'!FA40,'Effectiveness settings'!FM40)</f>
        <v>1</v>
      </c>
      <c r="GL40" s="58">
        <f>IF(i_baseline_risk_from=2,'Effectiveness settings'!FB40,'Effectiveness settings'!FN40)</f>
        <v>7</v>
      </c>
      <c r="GM40" s="58">
        <f>IF(i_baseline_risk_from=2,'Effectiveness settings'!FC40,'Effectiveness settings'!FO40)</f>
        <v>2</v>
      </c>
      <c r="GN40" s="58">
        <f>IF(i_baseline_risk_from=2,'Effectiveness settings'!FD40,'Effectiveness settings'!FP40)</f>
        <v>1</v>
      </c>
      <c r="GQ40" s="58">
        <f t="shared" si="38"/>
        <v>7</v>
      </c>
      <c r="GR40" s="58">
        <f t="shared" si="39"/>
        <v>7</v>
      </c>
      <c r="GS40" s="58">
        <f t="shared" si="40"/>
        <v>7</v>
      </c>
      <c r="GT40" s="58">
        <f t="shared" si="41"/>
        <v>7</v>
      </c>
      <c r="GU40" s="58">
        <f>IF(AND(dd_CheckMate214_TTD="Yes",'Effectiveness settings'!BU40=2,'Effectiveness settings'!BX40=2),2,GT40)</f>
        <v>7</v>
      </c>
      <c r="GV40" s="58">
        <f t="shared" si="42"/>
        <v>7</v>
      </c>
      <c r="GW40" s="58">
        <f t="shared" si="43"/>
        <v>7</v>
      </c>
      <c r="GY40" s="58">
        <f>IF(AND(dd_CheckMate214_TTD="Yes",'Effectiveness settings'!BU40=2,'Effectiveness settings'!BX40=2),1,GN40)</f>
        <v>1</v>
      </c>
      <c r="GZ40" s="58">
        <f t="shared" si="44"/>
        <v>1</v>
      </c>
      <c r="HB40" s="58">
        <f t="shared" si="45"/>
        <v>1</v>
      </c>
      <c r="HD40" s="58">
        <f t="shared" si="46"/>
        <v>1</v>
      </c>
      <c r="HE40" s="58">
        <f t="shared" si="47"/>
        <v>1</v>
      </c>
      <c r="HF40" s="58">
        <f t="shared" si="48"/>
        <v>7</v>
      </c>
      <c r="HG40" s="58">
        <f t="shared" si="49"/>
        <v>2</v>
      </c>
      <c r="HH40" s="58">
        <f t="shared" si="50"/>
        <v>1</v>
      </c>
    </row>
    <row r="41" spans="1:216" ht="16.5" thickBot="1" x14ac:dyDescent="0.3">
      <c r="D41" s="58" t="str">
        <v>placebo_BSC</v>
      </c>
      <c r="I41" s="64" t="s">
        <v>58</v>
      </c>
      <c r="J41" s="519" t="s">
        <v>552</v>
      </c>
      <c r="K41" s="524"/>
      <c r="L41" s="519"/>
      <c r="M41" s="516" t="s">
        <v>545</v>
      </c>
      <c r="N41" s="64" t="s">
        <v>546</v>
      </c>
      <c r="O41" s="64" t="s">
        <v>117</v>
      </c>
      <c r="P41" s="64" t="s">
        <v>547</v>
      </c>
      <c r="Q41" s="519" t="s">
        <v>552</v>
      </c>
      <c r="R41" s="516" t="s">
        <v>548</v>
      </c>
      <c r="S41" s="497"/>
      <c r="T41" s="497"/>
      <c r="U41" s="497"/>
      <c r="Y41" s="517"/>
      <c r="AA41" s="517"/>
      <c r="AF41" s="517"/>
      <c r="AM41" s="517"/>
      <c r="AO41" s="517"/>
      <c r="AT41" s="517"/>
      <c r="AV41" s="511"/>
      <c r="AW41" s="511"/>
      <c r="AX41" s="511"/>
      <c r="BA41" s="517"/>
      <c r="BC41" s="517"/>
      <c r="BH41" s="517"/>
      <c r="BJ41" s="511"/>
      <c r="BK41" s="511"/>
      <c r="BL41" s="511"/>
      <c r="BQ41" s="58">
        <f t="shared" si="0"/>
        <v>28</v>
      </c>
      <c r="BR41" s="17">
        <v>1</v>
      </c>
      <c r="BS41" s="17" t="s">
        <v>549</v>
      </c>
      <c r="BT41" s="17">
        <v>1</v>
      </c>
      <c r="BU41" s="17">
        <v>999</v>
      </c>
      <c r="BV41" s="17" t="str">
        <f t="shared" si="55"/>
        <v>placebo_BSC</v>
      </c>
      <c r="BW41" s="1006" t="str" cm="1">
        <f t="array" ref="BW41">IF(I41="No",I41,INDEX(List_incl_anal_1L_PorI,IF(BU41=999,35,BU41+1)))</f>
        <v>No</v>
      </c>
      <c r="BX41" s="61">
        <f t="shared" si="56"/>
        <v>1</v>
      </c>
      <c r="BY41" s="531" t="str">
        <f t="shared" si="79"/>
        <v>Progression free survival</v>
      </c>
      <c r="BZ41" s="530">
        <f t="shared" si="57"/>
        <v>0</v>
      </c>
      <c r="CA41" s="531">
        <f t="shared" si="80"/>
        <v>0</v>
      </c>
      <c r="CB41" s="530">
        <f t="shared" si="58"/>
        <v>1</v>
      </c>
      <c r="CC41" s="530">
        <f t="shared" si="59"/>
        <v>4</v>
      </c>
      <c r="CD41" s="530">
        <f t="shared" si="60"/>
        <v>999</v>
      </c>
      <c r="CE41" s="1295">
        <f t="shared" si="61"/>
        <v>2</v>
      </c>
      <c r="CF41" s="1301">
        <f t="shared" si="62"/>
        <v>4</v>
      </c>
      <c r="CG41" s="530" t="str">
        <f t="shared" si="63"/>
        <v/>
      </c>
      <c r="CH41" s="61">
        <f t="shared" si="64"/>
        <v>0</v>
      </c>
      <c r="CI41" s="61">
        <f t="shared" si="65"/>
        <v>0</v>
      </c>
      <c r="CJ41" s="61">
        <f t="shared" si="66"/>
        <v>0</v>
      </c>
      <c r="CV41" s="943">
        <v>1</v>
      </c>
      <c r="CW41" s="943" t="s">
        <v>549</v>
      </c>
      <c r="CX41" s="943">
        <v>1</v>
      </c>
      <c r="CY41" s="943">
        <v>0</v>
      </c>
      <c r="CZ41" s="943" t="str" cm="1">
        <f t="array" ref="CZ41">INDEX(List_trials,CY41+1)</f>
        <v>CheckMate 9ER</v>
      </c>
      <c r="DA41" s="944" t="s">
        <v>557</v>
      </c>
      <c r="DB41" s="944" t="s">
        <v>548</v>
      </c>
      <c r="DC41" s="944" t="s">
        <v>553</v>
      </c>
      <c r="DD41" s="944" t="s">
        <v>563</v>
      </c>
      <c r="DE41" s="944" t="s">
        <v>551</v>
      </c>
      <c r="DF41" s="944" t="s">
        <v>103</v>
      </c>
      <c r="DG41" s="944" t="s">
        <v>117</v>
      </c>
      <c r="DH41" s="945">
        <f t="shared" si="54"/>
        <v>7</v>
      </c>
      <c r="DK41" s="58" t="str" cm="1">
        <f t="array" ref="DK41">IF(AND($BT41=4,$BX41=4,$BU41=999),$DB$36,_xlfn.IFNA(INDEX(DB$13:DB$70,MATCH(1,($BR41=$CV$13:$CV$70)*($BT41=$CX$13:$CX$70)*($CE41=$CY$13:$CY$70)*($BY41=$DA$13:$DA$70)*($CD41=$DH$13:$DH$70),0)),""))</f>
        <v/>
      </c>
      <c r="DL41" s="58" t="str" cm="1">
        <f t="array" ref="DL41">IF(AND($BT41=4,$BX41=4,$BU41=999),$DC$36,_xlfn.IFNA(INDEX(CHOOSE(DP41,DB$13:DB$70,DC$13:DC$70,DD$13:DD$70,DE$13:DE$70),MATCH(1,($BR41=$CV$13:$CV$70)*($BT41=$CX$13:$CX$70)*($CE41=$CY$13:$CY$70)*($BY41=$DA$13:$DA$70)*($CD41=$DH$13:$DH$70),0)),""))</f>
        <v/>
      </c>
      <c r="DM41" s="740" t="str" cm="1">
        <f t="array" ref="DM41">IF(AND($BT41=4,$BX41=4,$BU41=999),$DD$36,_xlfn.IFNA(INDEX(DD$13:DD$68,MATCH(1,($BR41=$CV$13:$CV$68)*($BT41=$CX$13:$CX$68)*($CE41=$CY$13:$CY$68)*($BY41=$DA$13:$DA$68)*($CD41=$DH$13:$DH$68),0)),""))</f>
        <v/>
      </c>
      <c r="DN41" s="740" t="str" cm="1">
        <f t="array" ref="DN41">IF(AND($BT41=4,$BX41=4,$BU41=999),$DD$36,_xlfn.IFNA(INDEX(DE$13:DE$68,MATCH(1,($BR41=$CV$13:$CV$68)*($BT41=$CX$13:$CX$68)*($CE41=$CY$13:$CY$68)*($BY41=$DA$13:$DA$68)*($CD41=$DH$13:$DH$68),0)),""))</f>
        <v/>
      </c>
      <c r="DO41" s="58" t="str" cm="1">
        <f t="array" ref="DO41">IF(AND($BT41=4,$BX41=4,$BU41=999),$DF$36,_xlfn.IFNA(INDEX(DF$13:DF$70,MATCH(1,($BR41=$CV$13:$CV$70)*($BT41=$CX$13:$CX$70)*($CE41=$CY$13:$CY$70)*($BY41=$DA$13:$DA$70)*($CD41=$DH$13:$DH$70),0)),""))</f>
        <v/>
      </c>
      <c r="DP41" s="58" t="e">
        <f t="shared" si="13"/>
        <v>#N/A</v>
      </c>
      <c r="DW41" s="58" t="s">
        <v>58</v>
      </c>
      <c r="DX41" s="58" t="s">
        <v>552</v>
      </c>
      <c r="DY41" s="58">
        <v>0</v>
      </c>
      <c r="DZ41" s="58">
        <v>0</v>
      </c>
      <c r="EB41" s="58">
        <v>1</v>
      </c>
      <c r="EC41" s="58">
        <v>4</v>
      </c>
      <c r="ED41" s="58">
        <v>999</v>
      </c>
      <c r="EE41" s="58">
        <v>2</v>
      </c>
      <c r="EF41" s="58">
        <v>4</v>
      </c>
      <c r="EI41" s="58" t="s">
        <v>58</v>
      </c>
      <c r="EJ41" s="58" t="s">
        <v>552</v>
      </c>
      <c r="EK41" s="58">
        <v>0</v>
      </c>
      <c r="EL41" s="58">
        <v>0</v>
      </c>
      <c r="EN41" s="58">
        <v>1</v>
      </c>
      <c r="EO41" s="58">
        <v>4</v>
      </c>
      <c r="EP41" s="58">
        <v>999</v>
      </c>
      <c r="EQ41" s="58">
        <v>2</v>
      </c>
      <c r="ER41" s="58">
        <v>4</v>
      </c>
      <c r="EU41" s="58" t="str">
        <f t="shared" si="67"/>
        <v>No</v>
      </c>
      <c r="EV41" s="58" t="str">
        <f t="shared" si="68"/>
        <v>Progression free survival</v>
      </c>
      <c r="EW41" s="58">
        <f t="shared" si="69"/>
        <v>0</v>
      </c>
      <c r="EX41" s="58">
        <f t="shared" si="70"/>
        <v>0</v>
      </c>
      <c r="EZ41" s="58">
        <f t="shared" si="71"/>
        <v>1</v>
      </c>
      <c r="FA41" s="58">
        <f t="shared" si="72"/>
        <v>4</v>
      </c>
      <c r="FB41" s="58">
        <f>IF(i_eff_inputs_based_on_num=2,ED41,(INDEX(Lists!$L$51:$L$85,MATCH(O41,Lists!$K$51:$K$85,0))))</f>
        <v>999</v>
      </c>
      <c r="FC41" s="58">
        <f>IF(i_eff_inputs_based_on_num=2,EE41,(INDEX(Lists!$L$51:$L$85,MATCH(P41,Lists!$K$51:$K$85,0))))</f>
        <v>2</v>
      </c>
      <c r="FD41" s="58">
        <f>IF(i_eff_inputs_based_on_num=2,EF41,(INDEX(Lists!$L$51:$L$85,MATCH(Q41,Lists!$K$51:$K$85,0))))</f>
        <v>4</v>
      </c>
      <c r="FG41" s="58" t="str">
        <f t="shared" si="73"/>
        <v>No</v>
      </c>
      <c r="FH41" s="58" t="str">
        <f t="shared" si="74"/>
        <v>Progression free survival</v>
      </c>
      <c r="FI41" s="58">
        <f t="shared" si="75"/>
        <v>0</v>
      </c>
      <c r="FJ41" s="58">
        <f t="shared" si="76"/>
        <v>0</v>
      </c>
      <c r="FL41" s="58">
        <f t="shared" si="77"/>
        <v>1</v>
      </c>
      <c r="FM41" s="58">
        <f t="shared" si="78"/>
        <v>4</v>
      </c>
      <c r="FN41" s="58">
        <f>IF(i_eff_inputs_based_on_num=2,EP41,(INDEX(Lists!$L$51:$L$85,MATCH(O41,Lists!$K$51:$K$85,0))))</f>
        <v>999</v>
      </c>
      <c r="FO41" s="58">
        <f>IF(i_eff_inputs_based_on_num=2,EQ41,(INDEX(Lists!$L$51:$L$85,MATCH(P41,Lists!$K$51:$K$85,0))))</f>
        <v>2</v>
      </c>
      <c r="FP41" s="58">
        <f>IF(i_eff_inputs_based_on_num=2,ER41,(INDEX(Lists!$L$51:$L$85,MATCH(Q41,Lists!$K$51:$K$85,0))))</f>
        <v>4</v>
      </c>
      <c r="FT41" s="58">
        <f t="shared" si="26"/>
        <v>0</v>
      </c>
      <c r="FW41" s="58">
        <f>IF(i_baseline_risk_from=2,'Effectiveness settings'!EW41,'Effectiveness settings'!FI41)</f>
        <v>0</v>
      </c>
      <c r="FX41" s="58">
        <f t="shared" si="27"/>
        <v>0</v>
      </c>
      <c r="FY41" s="58">
        <f t="shared" si="28"/>
        <v>0</v>
      </c>
      <c r="FZ41" s="58">
        <f t="shared" si="29"/>
        <v>0</v>
      </c>
      <c r="GA41" s="58">
        <f t="shared" si="30"/>
        <v>0</v>
      </c>
      <c r="GB41" s="58">
        <f t="shared" si="31"/>
        <v>0</v>
      </c>
      <c r="GC41" s="58">
        <f t="shared" si="32"/>
        <v>0</v>
      </c>
      <c r="GD41" s="58">
        <f t="shared" si="33"/>
        <v>0</v>
      </c>
      <c r="GE41" s="58">
        <f>IF(AND(dd_CheckMate214_TTD="Yes",'Effectiveness settings'!BU41=2,'Effectiveness settings'!BX41=2),"Apply HR to",GD41)</f>
        <v>0</v>
      </c>
      <c r="GF41" s="58">
        <f t="shared" si="34"/>
        <v>0</v>
      </c>
      <c r="GG41" s="58">
        <f t="shared" si="35"/>
        <v>0</v>
      </c>
      <c r="GH41" s="58">
        <f t="shared" si="36"/>
        <v>0</v>
      </c>
      <c r="GI41" s="58">
        <f t="shared" si="37"/>
        <v>0</v>
      </c>
      <c r="GK41" s="58">
        <f>IF(i_baseline_risk_from=2,'Effectiveness settings'!FA41,'Effectiveness settings'!FM41)</f>
        <v>4</v>
      </c>
      <c r="GL41" s="58">
        <f>IF(i_baseline_risk_from=2,'Effectiveness settings'!FB41,'Effectiveness settings'!FN41)</f>
        <v>999</v>
      </c>
      <c r="GM41" s="58">
        <f>IF(i_baseline_risk_from=2,'Effectiveness settings'!FC41,'Effectiveness settings'!FO41)</f>
        <v>2</v>
      </c>
      <c r="GN41" s="58">
        <f>IF(i_baseline_risk_from=2,'Effectiveness settings'!FD41,'Effectiveness settings'!FP41)</f>
        <v>4</v>
      </c>
      <c r="GQ41" s="58">
        <f t="shared" si="38"/>
        <v>999</v>
      </c>
      <c r="GR41" s="58">
        <f t="shared" si="39"/>
        <v>999</v>
      </c>
      <c r="GS41" s="58">
        <f t="shared" si="40"/>
        <v>999</v>
      </c>
      <c r="GT41" s="58">
        <f t="shared" si="41"/>
        <v>999</v>
      </c>
      <c r="GU41" s="58">
        <f>IF(AND(dd_CheckMate214_TTD="Yes",'Effectiveness settings'!BU41=2,'Effectiveness settings'!BX41=2),2,GT41)</f>
        <v>999</v>
      </c>
      <c r="GV41" s="58">
        <f t="shared" si="42"/>
        <v>999</v>
      </c>
      <c r="GW41" s="58">
        <f t="shared" si="43"/>
        <v>999</v>
      </c>
      <c r="GY41" s="58">
        <f>IF(AND(dd_CheckMate214_TTD="Yes",'Effectiveness settings'!BU41=2,'Effectiveness settings'!BX41=2),1,GN41)</f>
        <v>4</v>
      </c>
      <c r="GZ41" s="58">
        <f t="shared" si="44"/>
        <v>4</v>
      </c>
      <c r="HB41" s="58">
        <f t="shared" si="45"/>
        <v>1</v>
      </c>
      <c r="HD41" s="58">
        <f t="shared" si="46"/>
        <v>1</v>
      </c>
      <c r="HE41" s="58">
        <f t="shared" si="47"/>
        <v>4</v>
      </c>
      <c r="HF41" s="58">
        <f t="shared" si="48"/>
        <v>999</v>
      </c>
      <c r="HG41" s="58">
        <f t="shared" si="49"/>
        <v>2</v>
      </c>
      <c r="HH41" s="58">
        <f t="shared" si="50"/>
        <v>4</v>
      </c>
    </row>
    <row r="42" spans="1:216" ht="15.75" x14ac:dyDescent="0.25">
      <c r="I42" s="67"/>
      <c r="J42" s="520"/>
      <c r="K42" s="525"/>
      <c r="L42" s="517"/>
      <c r="Q42" s="520"/>
      <c r="Y42" s="517"/>
      <c r="AA42" s="517"/>
      <c r="AF42" s="517"/>
      <c r="AM42" s="517"/>
      <c r="AO42" s="517"/>
      <c r="AT42" s="517"/>
      <c r="AV42" s="511"/>
      <c r="AW42" s="511"/>
      <c r="AX42" s="511"/>
      <c r="BA42" s="517"/>
      <c r="BC42" s="517"/>
      <c r="BH42" s="517"/>
      <c r="BJ42" s="511"/>
      <c r="BK42" s="511"/>
      <c r="BL42" s="511"/>
      <c r="BQ42" s="58">
        <f t="shared" si="0"/>
        <v>28</v>
      </c>
      <c r="BR42" s="17"/>
      <c r="BS42" s="17"/>
      <c r="BT42" s="17"/>
      <c r="BU42" s="61"/>
      <c r="BV42" s="17"/>
      <c r="BW42" s="17"/>
      <c r="BX42" s="61"/>
      <c r="BY42" s="531"/>
      <c r="BZ42" s="530"/>
      <c r="CA42" s="531"/>
      <c r="CB42" s="530"/>
      <c r="CC42" s="530"/>
      <c r="CD42" s="530"/>
      <c r="CE42" s="1295"/>
      <c r="CF42" s="1301"/>
      <c r="CG42" s="530"/>
      <c r="CH42" s="61"/>
      <c r="CI42" s="61"/>
      <c r="CJ42" s="61"/>
      <c r="CV42" s="940">
        <v>2</v>
      </c>
      <c r="CW42" s="940" t="s">
        <v>559</v>
      </c>
      <c r="CX42" s="940">
        <v>1</v>
      </c>
      <c r="CY42" s="940">
        <v>0</v>
      </c>
      <c r="CZ42" s="940" t="str" cm="1">
        <f t="array" ref="CZ42">INDEX(List_trials,CY42+1)</f>
        <v>CheckMate 9ER</v>
      </c>
      <c r="DA42" s="941" t="s">
        <v>544</v>
      </c>
      <c r="DB42" s="941" t="s">
        <v>568</v>
      </c>
      <c r="DC42" s="941" t="s">
        <v>548</v>
      </c>
      <c r="DD42" s="941" t="s">
        <v>551</v>
      </c>
      <c r="DE42" s="941"/>
      <c r="DF42" s="941" t="s">
        <v>103</v>
      </c>
      <c r="DG42" s="941" t="s">
        <v>117</v>
      </c>
      <c r="DH42" s="58">
        <f>IF(MATCH(DG42,List_comparators,0)-1=13,999,MATCH(DG42,List_comparators,0)-1)</f>
        <v>7</v>
      </c>
      <c r="DK42" s="58" t="str" cm="1">
        <f t="array" ref="DK42">IF(AND($BT42=4,$BX42=4,$BU42=999),$DB$36,_xlfn.IFNA(INDEX(DB$13:DB$70,MATCH(1,($BR42=$CV$13:$CV$70)*($BT42=$CX$13:$CX$70)*($CE42=$CY$13:$CY$70)*($BY42=$DA$13:$DA$70)*($CD42=$DH$13:$DH$70),0)),""))</f>
        <v/>
      </c>
      <c r="DL42" s="58" t="str" cm="1">
        <f t="array" ref="DL42">IF(AND($BT42=4,$BX42=4,$BU42=999),$DC$36,_xlfn.IFNA(INDEX(CHOOSE(DP42,DB$13:DB$70,DC$13:DC$70,DD$13:DD$70,DE$13:DE$70),MATCH(1,($BR42=$CV$13:$CV$70)*($BT42=$CX$13:$CX$70)*($CE42=$CY$13:$CY$70)*($BY42=$DA$13:$DA$70)*($CD42=$DH$13:$DH$70),0)),""))</f>
        <v/>
      </c>
      <c r="DM42" s="740" t="str" cm="1">
        <f t="array" ref="DM42">IF(AND($BT42=4,$BX42=4,$BU42=999),$DD$36,_xlfn.IFNA(INDEX(DD$13:DD$68,MATCH(1,($BR42=$CV$13:$CV$68)*($BT42=$CX$13:$CX$68)*($CE42=$CY$13:$CY$68)*($BY42=$DA$13:$DA$68)*($CD42=$DH$13:$DH$68),0)),""))</f>
        <v/>
      </c>
      <c r="DN42" s="740" t="str" cm="1">
        <f t="array" ref="DN42">IF(AND($BT42=4,$BX42=4,$BU42=999),$DD$36,_xlfn.IFNA(INDEX(DE$13:DE$68,MATCH(1,($BR42=$CV$13:$CV$68)*($BT42=$CX$13:$CX$68)*($CE42=$CY$13:$CY$68)*($BY42=$DA$13:$DA$68)*($CD42=$DH$13:$DH$68),0)),""))</f>
        <v/>
      </c>
      <c r="DO42" s="58" t="str" cm="1">
        <f t="array" ref="DO42">IF(AND($BT42=4,$BX42=4,$BU42=999),$DF$36,_xlfn.IFNA(INDEX(DF$13:DF$70,MATCH(1,($BR42=$CV$13:$CV$70)*($BT42=$CX$13:$CX$70)*($CE42=$CY$13:$CY$70)*($BY42=$DA$13:$DA$70)*($CD42=$DH$13:$DH$70),0)),""))</f>
        <v/>
      </c>
      <c r="DP42" s="58" t="e">
        <f t="shared" si="13"/>
        <v>#N/A</v>
      </c>
      <c r="FT42" s="58">
        <f t="shared" si="26"/>
        <v>0</v>
      </c>
      <c r="FW42" s="58">
        <f>IF(i_baseline_risk_from=2,'Effectiveness settings'!EW42,'Effectiveness settings'!FI42)</f>
        <v>0</v>
      </c>
      <c r="FX42" s="58">
        <f t="shared" si="27"/>
        <v>0</v>
      </c>
      <c r="FY42" s="58">
        <f t="shared" si="28"/>
        <v>0</v>
      </c>
      <c r="FZ42" s="58">
        <f t="shared" si="29"/>
        <v>0</v>
      </c>
      <c r="GA42" s="58">
        <f t="shared" si="30"/>
        <v>0</v>
      </c>
      <c r="GB42" s="58">
        <f t="shared" si="31"/>
        <v>0</v>
      </c>
      <c r="GC42" s="58">
        <f t="shared" si="32"/>
        <v>0</v>
      </c>
      <c r="GD42" s="58">
        <f t="shared" si="33"/>
        <v>0</v>
      </c>
      <c r="GE42" s="58">
        <f>IF(AND(dd_CheckMate214_TTD="Yes",'Effectiveness settings'!BU42=2,'Effectiveness settings'!BX42=2),"Apply HR to",GD42)</f>
        <v>0</v>
      </c>
      <c r="GF42" s="58">
        <f t="shared" si="34"/>
        <v>0</v>
      </c>
      <c r="GG42" s="58">
        <f t="shared" si="35"/>
        <v>0</v>
      </c>
      <c r="GH42" s="58">
        <f t="shared" si="36"/>
        <v>0</v>
      </c>
      <c r="GI42" s="58">
        <f t="shared" si="37"/>
        <v>0</v>
      </c>
      <c r="GK42" s="58">
        <f>IF(i_baseline_risk_from=2,'Effectiveness settings'!FA42,'Effectiveness settings'!FM42)</f>
        <v>0</v>
      </c>
      <c r="GL42" s="58">
        <f>IF(i_baseline_risk_from=2,'Effectiveness settings'!FB42,'Effectiveness settings'!FN42)</f>
        <v>0</v>
      </c>
      <c r="GM42" s="58">
        <f>IF(i_baseline_risk_from=2,'Effectiveness settings'!FC42,'Effectiveness settings'!FO42)</f>
        <v>0</v>
      </c>
      <c r="GN42" s="58">
        <f>IF(i_baseline_risk_from=2,'Effectiveness settings'!FD42,'Effectiveness settings'!FP42)</f>
        <v>0</v>
      </c>
      <c r="GQ42" s="58">
        <f t="shared" si="38"/>
        <v>0</v>
      </c>
      <c r="GR42" s="58">
        <f t="shared" si="39"/>
        <v>0</v>
      </c>
      <c r="GS42" s="58">
        <f t="shared" si="40"/>
        <v>0</v>
      </c>
      <c r="GT42" s="58">
        <f t="shared" si="41"/>
        <v>0</v>
      </c>
      <c r="GU42" s="58">
        <f>IF(AND(dd_CheckMate214_TTD="Yes",'Effectiveness settings'!BU42=2,'Effectiveness settings'!BX42=2),2,GT42)</f>
        <v>0</v>
      </c>
      <c r="GV42" s="58">
        <f t="shared" si="42"/>
        <v>0</v>
      </c>
      <c r="GW42" s="58">
        <f t="shared" si="43"/>
        <v>0</v>
      </c>
      <c r="GY42" s="58">
        <f>IF(AND(dd_CheckMate214_TTD="Yes",'Effectiveness settings'!BU42=2,'Effectiveness settings'!BX42=2),1,GN42)</f>
        <v>0</v>
      </c>
      <c r="GZ42" s="58">
        <f t="shared" si="44"/>
        <v>0</v>
      </c>
      <c r="HB42" s="58">
        <f t="shared" si="45"/>
        <v>0</v>
      </c>
      <c r="HD42" s="58">
        <f t="shared" si="46"/>
        <v>0</v>
      </c>
      <c r="HE42" s="58">
        <f t="shared" si="47"/>
        <v>0</v>
      </c>
      <c r="HF42" s="58">
        <f t="shared" si="48"/>
        <v>0</v>
      </c>
      <c r="HG42" s="58">
        <f t="shared" si="49"/>
        <v>0</v>
      </c>
      <c r="HH42" s="58">
        <f t="shared" si="50"/>
        <v>0</v>
      </c>
    </row>
    <row r="43" spans="1:216" ht="15.75" x14ac:dyDescent="0.25">
      <c r="D43" s="58" t="str" cm="1">
        <f t="array" ref="D43:D56">List_comparators</f>
        <v>nivolumab_monotherapy</v>
      </c>
      <c r="I43" s="64" t="s">
        <v>58</v>
      </c>
      <c r="J43" s="519" t="s">
        <v>554</v>
      </c>
      <c r="K43" s="524"/>
      <c r="L43" s="519"/>
      <c r="M43" s="516" t="s">
        <v>545</v>
      </c>
      <c r="N43" s="64" t="s">
        <v>546</v>
      </c>
      <c r="O43" s="64" t="s">
        <v>117</v>
      </c>
      <c r="P43" s="64" t="s">
        <v>547</v>
      </c>
      <c r="Q43" s="519" t="s">
        <v>554</v>
      </c>
      <c r="R43" s="516" t="s">
        <v>548</v>
      </c>
      <c r="S43" s="497"/>
      <c r="T43" s="497"/>
      <c r="U43" s="497"/>
      <c r="Y43" s="517"/>
      <c r="AA43" s="517"/>
      <c r="AF43" s="517"/>
      <c r="AM43" s="517"/>
      <c r="AO43" s="517"/>
      <c r="AT43" s="517"/>
      <c r="AV43" s="511"/>
      <c r="AW43" s="511"/>
      <c r="AX43" s="511"/>
      <c r="BA43" s="517"/>
      <c r="BC43" s="517"/>
      <c r="BH43" s="517"/>
      <c r="BJ43" s="511"/>
      <c r="BK43" s="511"/>
      <c r="BL43" s="511"/>
      <c r="BQ43" s="58">
        <f t="shared" si="0"/>
        <v>29</v>
      </c>
      <c r="BR43" s="17">
        <v>1</v>
      </c>
      <c r="BS43" s="17" t="s">
        <v>549</v>
      </c>
      <c r="BT43" s="17">
        <v>1</v>
      </c>
      <c r="BU43" s="17">
        <v>0</v>
      </c>
      <c r="BV43" s="17" t="str">
        <f t="shared" ref="BV43:BV56" si="81">D43</f>
        <v>nivolumab_monotherapy</v>
      </c>
      <c r="BW43" s="1006" t="str" cm="1">
        <f t="array" ref="BW43">IF(I43="No",I43,INDEX(List_incl_anal_1L_PorI,IF(BU43=999,35,BU43+1)))</f>
        <v>No</v>
      </c>
      <c r="BX43" s="61">
        <f t="shared" ref="BX43:BX56" si="82">MATCH(BY43,List_eff_endpoints,0)-1</f>
        <v>2</v>
      </c>
      <c r="BY43" s="531" t="str">
        <f>J43</f>
        <v>Time to treatment discontinuation</v>
      </c>
      <c r="BZ43" s="530">
        <f t="shared" ref="BZ43:BZ56" si="83">GI43</f>
        <v>0</v>
      </c>
      <c r="CA43" s="531">
        <f>FT43</f>
        <v>0</v>
      </c>
      <c r="CB43" s="530">
        <f t="shared" ref="CB43:CB56" si="84">HD43</f>
        <v>1</v>
      </c>
      <c r="CC43" s="530">
        <f t="shared" ref="CC43:CC56" si="85">HE43</f>
        <v>1</v>
      </c>
      <c r="CD43" s="530">
        <f t="shared" ref="CD43:CD56" si="86">HF43</f>
        <v>7</v>
      </c>
      <c r="CE43" s="1295">
        <f t="shared" ref="CE43:CE56" si="87">HG43</f>
        <v>2</v>
      </c>
      <c r="CF43" s="1301">
        <f t="shared" ref="CF43:CF56" si="88">HH43</f>
        <v>2</v>
      </c>
      <c r="CG43" s="530" t="str">
        <f t="shared" ref="CG43:CG56" si="89">IF(i_surv_cur=1,DK43,DL43)</f>
        <v>Log-logistic</v>
      </c>
      <c r="CH43" s="61">
        <f t="shared" ref="CH43:CH56" si="90">S43</f>
        <v>0</v>
      </c>
      <c r="CI43" s="61">
        <f t="shared" ref="CI43:CI56" si="91">T43</f>
        <v>0</v>
      </c>
      <c r="CJ43" s="61">
        <f t="shared" ref="CJ43:CJ56" si="92">U43</f>
        <v>0</v>
      </c>
      <c r="CV43" s="940">
        <v>2</v>
      </c>
      <c r="CW43" s="940" t="s">
        <v>559</v>
      </c>
      <c r="CX43" s="940">
        <v>1</v>
      </c>
      <c r="CY43" s="940">
        <v>0</v>
      </c>
      <c r="CZ43" s="940" t="str" cm="1">
        <f t="array" ref="CZ43">INDEX(List_trials,CY43+1)</f>
        <v>CheckMate 9ER</v>
      </c>
      <c r="DA43" s="941" t="s">
        <v>552</v>
      </c>
      <c r="DB43" s="941" t="s">
        <v>548</v>
      </c>
      <c r="DC43" s="941" t="s">
        <v>563</v>
      </c>
      <c r="DD43" s="941" t="s">
        <v>568</v>
      </c>
      <c r="DE43" s="941"/>
      <c r="DF43" s="941" t="s">
        <v>103</v>
      </c>
      <c r="DG43" s="941" t="s">
        <v>117</v>
      </c>
      <c r="DH43" s="58">
        <f>IF(MATCH(DG43,List_comparators,0)-1=13,999,MATCH(DG43,List_comparators,0)-1)</f>
        <v>7</v>
      </c>
      <c r="DK43" s="58" t="str" cm="1">
        <f t="array" ref="DK43">IF(AND($BT43=4,$BX43=4,$BU43=999),$DB$36,_xlfn.IFNA(INDEX(DB$13:DB$70,MATCH(1,($BR43=$CV$13:$CV$70)*($BT43=$CX$13:$CX$70)*($CE43=$CY$13:$CY$70)*($BY43=$DA$13:$DA$70)*($CD43=$DH$13:$DH$70),0)),""))</f>
        <v>Log-logistic</v>
      </c>
      <c r="DL43" s="58" t="str" cm="1">
        <f t="array" ref="DL43">IF(AND($BT43=4,$BX43=4,$BU43=999),$DC$36,_xlfn.IFNA(INDEX(CHOOSE(DP43,DB$13:DB$70,DC$13:DC$70,DD$13:DD$70,DE$13:DE$70),MATCH(1,($BR43=$CV$13:$CV$70)*($BT43=$CX$13:$CX$70)*($CE43=$CY$13:$CY$70)*($BY43=$DA$13:$DA$70)*($CD43=$DH$13:$DH$70),0)),""))</f>
        <v>Log-logistic</v>
      </c>
      <c r="DM43" s="740" cm="1">
        <f t="array" ref="DM43">IF(AND($BT43=4,$BX43=4,$BU43=999),$DD$36,_xlfn.IFNA(INDEX(DD$13:DD$68,MATCH(1,($BR43=$CV$13:$CV$68)*($BT43=$CX$13:$CX$68)*($CE43=$CY$13:$CY$68)*($BY43=$DA$13:$DA$68)*($CD43=$DH$13:$DH$68),0)),""))</f>
        <v>0</v>
      </c>
      <c r="DN43" s="740" cm="1">
        <f t="array" ref="DN43">IF(AND($BT43=4,$BX43=4,$BU43=999),$DD$36,_xlfn.IFNA(INDEX(DE$13:DE$68,MATCH(1,($BR43=$CV$13:$CV$68)*($BT43=$CX$13:$CX$68)*($CE43=$CY$13:$CY$68)*($BY43=$DA$13:$DA$68)*($CD43=$DH$13:$DH$68),0)),""))</f>
        <v>0</v>
      </c>
      <c r="DO43" s="58" t="str" cm="1">
        <f t="array" ref="DO43">IF(AND($BT43=4,$BX43=4,$BU43=999),$DF$36,_xlfn.IFNA(INDEX(DF$13:DF$70,MATCH(1,($BR43=$CV$13:$CV$70)*($BT43=$CX$13:$CX$70)*($CE43=$CY$13:$CY$70)*($BY43=$DA$13:$DA$70)*($CD43=$DH$13:$DH$70),0)),""))</f>
        <v>Base case</v>
      </c>
      <c r="DP43" s="58">
        <f t="shared" si="13"/>
        <v>1</v>
      </c>
      <c r="DW43" s="58" t="s">
        <v>58</v>
      </c>
      <c r="DX43" s="58" t="s">
        <v>554</v>
      </c>
      <c r="DY43" s="58">
        <v>0</v>
      </c>
      <c r="DZ43" s="58">
        <v>0</v>
      </c>
      <c r="EB43" s="58">
        <v>1</v>
      </c>
      <c r="EC43" s="58">
        <v>1</v>
      </c>
      <c r="ED43" s="58">
        <v>7</v>
      </c>
      <c r="EE43" s="58">
        <v>2</v>
      </c>
      <c r="EF43" s="58">
        <v>2</v>
      </c>
      <c r="EI43" s="58" t="s">
        <v>58</v>
      </c>
      <c r="EJ43" s="58" t="s">
        <v>554</v>
      </c>
      <c r="EK43" s="58">
        <v>0</v>
      </c>
      <c r="EL43" s="58">
        <v>0</v>
      </c>
      <c r="EN43" s="58">
        <v>1</v>
      </c>
      <c r="EO43" s="58">
        <v>1</v>
      </c>
      <c r="EP43" s="58">
        <v>7</v>
      </c>
      <c r="EQ43" s="58">
        <v>0</v>
      </c>
      <c r="ER43" s="58">
        <v>2</v>
      </c>
      <c r="EU43" s="58" t="str">
        <f t="shared" ref="EU43:EU56" si="93">IF(i_eff_inputs_based_on_num=2,DW43,I43)</f>
        <v>No</v>
      </c>
      <c r="EV43" s="58" t="str">
        <f t="shared" ref="EV43:EV56" si="94">IF(i_eff_inputs_based_on_num=2,DX43,J43)</f>
        <v>Time to treatment discontinuation</v>
      </c>
      <c r="EW43" s="58">
        <f t="shared" ref="EW43:EW56" si="95">IF(i_eff_inputs_based_on_num=2,DY43,K43)</f>
        <v>0</v>
      </c>
      <c r="EX43" s="58">
        <f t="shared" ref="EX43:EX56" si="96">IF(i_eff_inputs_based_on_num=2,DZ43,L43)</f>
        <v>0</v>
      </c>
      <c r="EZ43" s="58">
        <f t="shared" ref="EZ43:EZ56" si="97">IF(i_eff_inputs_based_on_num=2,EB43,VLOOKUP(M43,r_pld_lookup_line,3,FALSE))</f>
        <v>1</v>
      </c>
      <c r="FA43" s="58">
        <f t="shared" ref="FA43:FA56" si="98">IF(i_eff_inputs_based_on_num=2,EC43,VLOOKUP(N43,r_pld_lookup_line,3,FALSE))</f>
        <v>1</v>
      </c>
      <c r="FB43" s="58">
        <f>IF(i_eff_inputs_based_on_num=2,ED43,(INDEX(Lists!$L$51:$L$85,MATCH(O43,Lists!$K$51:$K$85,0))))</f>
        <v>7</v>
      </c>
      <c r="FC43" s="58">
        <f>IF(i_eff_inputs_based_on_num=2,EE43,(INDEX(Lists!$L$51:$L$85,MATCH(P43,Lists!$K$51:$K$85,0))))</f>
        <v>2</v>
      </c>
      <c r="FD43" s="58">
        <f>IF(i_eff_inputs_based_on_num=2,EF43,(INDEX(Lists!$L$51:$L$85,MATCH(Q43,Lists!$K$51:$K$85,0))))</f>
        <v>2</v>
      </c>
      <c r="FG43" s="58" t="str">
        <f t="shared" ref="FG43:FG56" si="99">IF(i_eff_inputs_based_on_num=2,EI43,I43)</f>
        <v>No</v>
      </c>
      <c r="FH43" s="58" t="str">
        <f t="shared" ref="FH43:FH56" si="100">IF(i_eff_inputs_based_on_num=2,EJ43,J43)</f>
        <v>Time to treatment discontinuation</v>
      </c>
      <c r="FI43" s="58">
        <f t="shared" ref="FI43:FI56" si="101">IF(i_eff_inputs_based_on_num=2,EK43,K43)</f>
        <v>0</v>
      </c>
      <c r="FJ43" s="58">
        <f t="shared" ref="FJ43:FJ56" si="102">IF(i_eff_inputs_based_on_num=2,EL43,L43)</f>
        <v>0</v>
      </c>
      <c r="FL43" s="58">
        <f t="shared" ref="FL43:FL56" si="103">IF(i_eff_inputs_based_on_num=2,EN43,VLOOKUP(M43,r_pld_lookup_line,3,FALSE))</f>
        <v>1</v>
      </c>
      <c r="FM43" s="58">
        <f t="shared" ref="FM43:FM56" si="104">IF(i_eff_inputs_based_on_num=2,EO43,VLOOKUP(N43,r_pld_lookup_line,3,FALSE))</f>
        <v>1</v>
      </c>
      <c r="FN43" s="58">
        <f>IF(i_eff_inputs_based_on_num=2,EP43,(INDEX(Lists!$L$51:$L$85,MATCH(O43,Lists!$K$51:$K$85,0))))</f>
        <v>7</v>
      </c>
      <c r="FO43" s="58">
        <f>IF(i_eff_inputs_based_on_num=2,EQ43,(INDEX(Lists!$L$51:$L$85,MATCH(P43,Lists!$K$51:$K$85,0))))</f>
        <v>0</v>
      </c>
      <c r="FP43" s="58">
        <f>IF(i_eff_inputs_based_on_num=2,ER43,(INDEX(Lists!$L$51:$L$85,MATCH(Q43,Lists!$K$51:$K$85,0))))</f>
        <v>2</v>
      </c>
      <c r="FT43" s="58">
        <f t="shared" si="26"/>
        <v>0</v>
      </c>
      <c r="FW43" s="58">
        <f>IF(i_baseline_risk_from=2,'Effectiveness settings'!EW43,'Effectiveness settings'!FI43)</f>
        <v>0</v>
      </c>
      <c r="FX43" s="58">
        <f t="shared" si="27"/>
        <v>0</v>
      </c>
      <c r="FY43" s="58">
        <f t="shared" si="28"/>
        <v>0</v>
      </c>
      <c r="FZ43" s="58">
        <f t="shared" si="29"/>
        <v>0</v>
      </c>
      <c r="GA43" s="58">
        <f t="shared" si="30"/>
        <v>0</v>
      </c>
      <c r="GB43" s="58">
        <f t="shared" si="31"/>
        <v>0</v>
      </c>
      <c r="GC43" s="58">
        <f t="shared" si="32"/>
        <v>0</v>
      </c>
      <c r="GD43" s="58">
        <f t="shared" si="33"/>
        <v>0</v>
      </c>
      <c r="GE43" s="58">
        <f>IF(AND(dd_CheckMate214_TTD="Yes",'Effectiveness settings'!BU43=2,'Effectiveness settings'!BX43=2),"Apply HR to",GD43)</f>
        <v>0</v>
      </c>
      <c r="GF43" s="58">
        <f t="shared" si="34"/>
        <v>0</v>
      </c>
      <c r="GG43" s="58">
        <f t="shared" si="35"/>
        <v>0</v>
      </c>
      <c r="GH43" s="58">
        <f t="shared" si="36"/>
        <v>0</v>
      </c>
      <c r="GI43" s="58">
        <f t="shared" si="37"/>
        <v>0</v>
      </c>
      <c r="GK43" s="58">
        <f>IF(i_baseline_risk_from=2,'Effectiveness settings'!FA43,'Effectiveness settings'!FM43)</f>
        <v>1</v>
      </c>
      <c r="GL43" s="58">
        <f>IF(i_baseline_risk_from=2,'Effectiveness settings'!FB43,'Effectiveness settings'!FN43)</f>
        <v>7</v>
      </c>
      <c r="GM43" s="58">
        <f>IF(i_baseline_risk_from=2,'Effectiveness settings'!FC43,'Effectiveness settings'!FO43)</f>
        <v>2</v>
      </c>
      <c r="GN43" s="58">
        <f>IF(i_baseline_risk_from=2,'Effectiveness settings'!FD43,'Effectiveness settings'!FP43)</f>
        <v>2</v>
      </c>
      <c r="GQ43" s="58">
        <f t="shared" si="38"/>
        <v>7</v>
      </c>
      <c r="GR43" s="58">
        <f t="shared" si="39"/>
        <v>7</v>
      </c>
      <c r="GS43" s="58">
        <f t="shared" si="40"/>
        <v>7</v>
      </c>
      <c r="GT43" s="58">
        <f t="shared" si="41"/>
        <v>7</v>
      </c>
      <c r="GU43" s="58">
        <f>IF(AND(dd_CheckMate214_TTD="Yes",'Effectiveness settings'!BU43=2,'Effectiveness settings'!BX43=2),2,GT43)</f>
        <v>7</v>
      </c>
      <c r="GV43" s="58">
        <f t="shared" si="42"/>
        <v>7</v>
      </c>
      <c r="GW43" s="58">
        <f t="shared" si="43"/>
        <v>7</v>
      </c>
      <c r="GY43" s="58">
        <f>IF(AND(dd_CheckMate214_TTD="Yes",'Effectiveness settings'!BU43=2,'Effectiveness settings'!BX43=2),1,GN43)</f>
        <v>2</v>
      </c>
      <c r="GZ43" s="58">
        <f t="shared" si="44"/>
        <v>2</v>
      </c>
      <c r="HB43" s="58">
        <f t="shared" si="45"/>
        <v>1</v>
      </c>
      <c r="HD43" s="58">
        <f t="shared" si="46"/>
        <v>1</v>
      </c>
      <c r="HE43" s="58">
        <f t="shared" si="47"/>
        <v>1</v>
      </c>
      <c r="HF43" s="58">
        <f t="shared" si="48"/>
        <v>7</v>
      </c>
      <c r="HG43" s="58">
        <f t="shared" si="49"/>
        <v>2</v>
      </c>
      <c r="HH43" s="58">
        <f t="shared" si="50"/>
        <v>2</v>
      </c>
    </row>
    <row r="44" spans="1:216" ht="15.75" x14ac:dyDescent="0.25">
      <c r="A44" s="58" t="s">
        <v>569</v>
      </c>
      <c r="D44" s="58" t="str">
        <v>cabozantinib_plus_nivolumab</v>
      </c>
      <c r="I44" s="64" t="s">
        <v>74</v>
      </c>
      <c r="J44" s="519" t="s">
        <v>554</v>
      </c>
      <c r="K44" s="524" t="s">
        <v>63</v>
      </c>
      <c r="L44" s="519"/>
      <c r="M44" s="516" t="s">
        <v>545</v>
      </c>
      <c r="N44" s="64" t="s">
        <v>546</v>
      </c>
      <c r="O44" s="64" t="s">
        <v>117</v>
      </c>
      <c r="P44" s="64" t="s">
        <v>547</v>
      </c>
      <c r="Q44" s="519" t="s">
        <v>554</v>
      </c>
      <c r="R44" s="516" t="s">
        <v>548</v>
      </c>
      <c r="S44" s="497"/>
      <c r="T44" s="497"/>
      <c r="U44" s="497"/>
      <c r="Y44" s="517"/>
      <c r="AA44" s="517"/>
      <c r="AF44" s="517"/>
      <c r="AM44" s="517"/>
      <c r="AO44" s="517"/>
      <c r="AT44" s="517"/>
      <c r="AV44" s="511"/>
      <c r="AW44" s="511"/>
      <c r="AX44" s="511"/>
      <c r="BA44" s="517"/>
      <c r="BC44" s="517"/>
      <c r="BH44" s="517"/>
      <c r="BJ44" s="511"/>
      <c r="BK44" s="511"/>
      <c r="BL44" s="511"/>
      <c r="BQ44" s="58">
        <f t="shared" si="0"/>
        <v>30</v>
      </c>
      <c r="BR44" s="17">
        <v>1</v>
      </c>
      <c r="BS44" s="17" t="s">
        <v>549</v>
      </c>
      <c r="BT44" s="17">
        <v>1</v>
      </c>
      <c r="BU44" s="17">
        <v>1</v>
      </c>
      <c r="BV44" s="17" t="str">
        <f t="shared" si="81"/>
        <v>cabozantinib_plus_nivolumab</v>
      </c>
      <c r="BW44" s="1006" t="str" cm="1">
        <f t="array" ref="BW44">IF(I44="No",I44,INDEX(List_incl_anal_1L_PorI,IF(BU44=999,35,BU44+1)))</f>
        <v>Yes</v>
      </c>
      <c r="BX44" s="61">
        <f t="shared" si="82"/>
        <v>2</v>
      </c>
      <c r="BY44" s="531" t="str">
        <f>J44</f>
        <v>Time to treatment discontinuation</v>
      </c>
      <c r="BZ44" s="530" t="str">
        <f t="shared" si="83"/>
        <v>FP_NMA</v>
      </c>
      <c r="CA44" s="531">
        <f t="shared" ref="CA44:CA56" si="105">FT44</f>
        <v>0</v>
      </c>
      <c r="CB44" s="530">
        <f t="shared" si="84"/>
        <v>1</v>
      </c>
      <c r="CC44" s="530">
        <f t="shared" si="85"/>
        <v>1</v>
      </c>
      <c r="CD44" s="530">
        <f t="shared" si="86"/>
        <v>7</v>
      </c>
      <c r="CE44" s="1295">
        <f t="shared" si="87"/>
        <v>2</v>
      </c>
      <c r="CF44" s="1301">
        <f t="shared" si="88"/>
        <v>2</v>
      </c>
      <c r="CG44" s="530" t="str">
        <f t="shared" si="89"/>
        <v>Log-logistic</v>
      </c>
      <c r="CH44" s="61">
        <f>S44</f>
        <v>0</v>
      </c>
      <c r="CI44" s="61">
        <f t="shared" si="91"/>
        <v>0</v>
      </c>
      <c r="CJ44" s="61">
        <f t="shared" si="92"/>
        <v>0</v>
      </c>
      <c r="CV44" s="940">
        <v>2</v>
      </c>
      <c r="CW44" s="940" t="s">
        <v>559</v>
      </c>
      <c r="CX44" s="940">
        <v>1</v>
      </c>
      <c r="CY44" s="940">
        <v>0</v>
      </c>
      <c r="CZ44" s="940" t="str" cm="1">
        <f t="array" ref="CZ44">INDEX(List_trials,CY44+1)</f>
        <v>CheckMate 9ER</v>
      </c>
      <c r="DA44" s="941" t="s">
        <v>554</v>
      </c>
      <c r="DB44" s="941" t="s">
        <v>568</v>
      </c>
      <c r="DC44" s="941" t="s">
        <v>551</v>
      </c>
      <c r="DD44" s="941" t="s">
        <v>563</v>
      </c>
      <c r="DE44" s="941"/>
      <c r="DF44" s="941" t="s">
        <v>103</v>
      </c>
      <c r="DG44" s="941" t="s">
        <v>117</v>
      </c>
      <c r="DH44" s="58">
        <f>IF(MATCH(DG44,List_comparators,0)-1=13,999,MATCH(DG44,List_comparators,0)-1)</f>
        <v>7</v>
      </c>
      <c r="DK44" s="58" t="str" cm="1">
        <f t="array" ref="DK44">IF(AND($BT44=4,$BX44=4,$BU44=999),$DB$36,_xlfn.IFNA(INDEX(DB$13:DB$70,MATCH(1,($BR44=$CV$13:$CV$70)*($BT44=$CX$13:$CX$70)*($CE44=$CY$13:$CY$70)*($BY44=$DA$13:$DA$70)*($CD44=$DH$13:$DH$70),0)),""))</f>
        <v>Log-logistic</v>
      </c>
      <c r="DL44" s="58" t="str" cm="1">
        <f t="array" ref="DL44">IF(AND($BT44=4,$BX44=4,$BU44=999),$DC$36,_xlfn.IFNA(INDEX(CHOOSE(DP44,DB$13:DB$70,DC$13:DC$70,DD$13:DD$70,DE$13:DE$70),MATCH(1,($BR44=$CV$13:$CV$70)*($BT44=$CX$13:$CX$70)*($CE44=$CY$13:$CY$70)*($BY44=$DA$13:$DA$70)*($CD44=$DH$13:$DH$70),0)),""))</f>
        <v>Log-logistic</v>
      </c>
      <c r="DM44" s="740" cm="1">
        <f t="array" ref="DM44">IF(AND($BT44=4,$BX44=4,$BU44=999),$DD$36,_xlfn.IFNA(INDEX(DD$13:DD$68,MATCH(1,($BR44=$CV$13:$CV$68)*($BT44=$CX$13:$CX$68)*($CE44=$CY$13:$CY$68)*($BY44=$DA$13:$DA$68)*($CD44=$DH$13:$DH$68),0)),""))</f>
        <v>0</v>
      </c>
      <c r="DN44" s="740" cm="1">
        <f t="array" ref="DN44">IF(AND($BT44=4,$BX44=4,$BU44=999),$DD$36,_xlfn.IFNA(INDEX(DE$13:DE$68,MATCH(1,($BR44=$CV$13:$CV$68)*($BT44=$CX$13:$CX$68)*($CE44=$CY$13:$CY$68)*($BY44=$DA$13:$DA$68)*($CD44=$DH$13:$DH$68),0)),""))</f>
        <v>0</v>
      </c>
      <c r="DO44" s="58" t="str" cm="1">
        <f t="array" ref="DO44">IF(AND($BT44=4,$BX44=4,$BU44=999),$DF$36,_xlfn.IFNA(INDEX(DF$13:DF$70,MATCH(1,($BR44=$CV$13:$CV$70)*($BT44=$CX$13:$CX$70)*($CE44=$CY$13:$CY$70)*($BY44=$DA$13:$DA$70)*($CD44=$DH$13:$DH$70),0)),""))</f>
        <v>Base case</v>
      </c>
      <c r="DP44" s="58">
        <f t="shared" si="13"/>
        <v>1</v>
      </c>
      <c r="DW44" s="58" t="s">
        <v>74</v>
      </c>
      <c r="DX44" s="58" t="s">
        <v>554</v>
      </c>
      <c r="DY44" s="58" t="s">
        <v>63</v>
      </c>
      <c r="DZ44" s="58">
        <v>0</v>
      </c>
      <c r="EB44" s="58">
        <v>1</v>
      </c>
      <c r="EC44" s="58">
        <v>1</v>
      </c>
      <c r="ED44" s="58">
        <v>7</v>
      </c>
      <c r="EE44" s="58">
        <v>2</v>
      </c>
      <c r="EF44" s="58">
        <v>2</v>
      </c>
      <c r="EI44" s="58" t="s">
        <v>74</v>
      </c>
      <c r="EJ44" s="58" t="s">
        <v>554</v>
      </c>
      <c r="EK44" s="58" t="s">
        <v>63</v>
      </c>
      <c r="EL44" s="58">
        <v>0</v>
      </c>
      <c r="EN44" s="58">
        <v>1</v>
      </c>
      <c r="EO44" s="58">
        <v>1</v>
      </c>
      <c r="EP44" s="58">
        <v>7</v>
      </c>
      <c r="EQ44" s="58">
        <v>0</v>
      </c>
      <c r="ER44" s="58">
        <v>2</v>
      </c>
      <c r="EU44" s="58" t="str">
        <f t="shared" si="93"/>
        <v>Yes</v>
      </c>
      <c r="EV44" s="58" t="str">
        <f t="shared" si="94"/>
        <v>Time to treatment discontinuation</v>
      </c>
      <c r="EW44" s="58" t="str">
        <f t="shared" si="95"/>
        <v>FP_NMA</v>
      </c>
      <c r="EX44" s="58">
        <f t="shared" si="96"/>
        <v>0</v>
      </c>
      <c r="EZ44" s="58">
        <f t="shared" si="97"/>
        <v>1</v>
      </c>
      <c r="FA44" s="58">
        <f t="shared" si="98"/>
        <v>1</v>
      </c>
      <c r="FB44" s="58">
        <f>IF(i_eff_inputs_based_on_num=2,ED44,(INDEX(Lists!$L$51:$L$85,MATCH(O44,Lists!$K$51:$K$85,0))))</f>
        <v>7</v>
      </c>
      <c r="FC44" s="58">
        <f>IF(i_eff_inputs_based_on_num=2,EE44,(INDEX(Lists!$L$51:$L$85,MATCH(P44,Lists!$K$51:$K$85,0))))</f>
        <v>2</v>
      </c>
      <c r="FD44" s="58">
        <f>IF(i_eff_inputs_based_on_num=2,EF44,(INDEX(Lists!$L$51:$L$85,MATCH(Q44,Lists!$K$51:$K$85,0))))</f>
        <v>2</v>
      </c>
      <c r="FG44" s="58" t="str">
        <f t="shared" si="99"/>
        <v>Yes</v>
      </c>
      <c r="FH44" s="58" t="str">
        <f t="shared" si="100"/>
        <v>Time to treatment discontinuation</v>
      </c>
      <c r="FI44" s="58" t="str">
        <f t="shared" si="101"/>
        <v>FP_NMA</v>
      </c>
      <c r="FJ44" s="58">
        <f t="shared" si="102"/>
        <v>0</v>
      </c>
      <c r="FL44" s="58">
        <f t="shared" si="103"/>
        <v>1</v>
      </c>
      <c r="FM44" s="58">
        <f t="shared" si="104"/>
        <v>1</v>
      </c>
      <c r="FN44" s="58">
        <f>IF(i_eff_inputs_based_on_num=2,EP44,(INDEX(Lists!$L$51:$L$85,MATCH(O44,Lists!$K$51:$K$85,0))))</f>
        <v>7</v>
      </c>
      <c r="FO44" s="58">
        <f>IF(i_eff_inputs_based_on_num=2,EQ44,(INDEX(Lists!$L$51:$L$85,MATCH(P44,Lists!$K$51:$K$85,0))))</f>
        <v>0</v>
      </c>
      <c r="FP44" s="58">
        <f>IF(i_eff_inputs_based_on_num=2,ER44,(INDEX(Lists!$L$51:$L$85,MATCH(Q44,Lists!$K$51:$K$85,0))))</f>
        <v>2</v>
      </c>
      <c r="FT44" s="58">
        <f t="shared" si="26"/>
        <v>0</v>
      </c>
      <c r="FW44" s="58" t="str">
        <f>IF(i_baseline_risk_from=2,'Effectiveness settings'!EW44,'Effectiveness settings'!FI44)</f>
        <v>FP_NMA</v>
      </c>
      <c r="FX44" s="58" t="str">
        <f t="shared" si="27"/>
        <v>FP_NMA</v>
      </c>
      <c r="FY44" s="58" t="str">
        <f t="shared" si="28"/>
        <v>FP_NMA</v>
      </c>
      <c r="FZ44" s="58" t="str">
        <f t="shared" si="29"/>
        <v>FP_NMA</v>
      </c>
      <c r="GA44" s="58" t="str">
        <f t="shared" si="30"/>
        <v>FP_NMA</v>
      </c>
      <c r="GB44" s="58" t="str">
        <f t="shared" si="31"/>
        <v>FP_NMA</v>
      </c>
      <c r="GC44" s="58" t="str">
        <f t="shared" si="32"/>
        <v>FP_NMA</v>
      </c>
      <c r="GD44" s="58" t="str">
        <f t="shared" si="33"/>
        <v>FP_NMA</v>
      </c>
      <c r="GE44" s="58" t="str">
        <f>IF(AND(dd_CheckMate214_TTD="Yes",'Effectiveness settings'!BU44=2,'Effectiveness settings'!BX44=2),"Apply HR to",GD44)</f>
        <v>FP_NMA</v>
      </c>
      <c r="GF44" s="58" t="str">
        <f t="shared" si="34"/>
        <v>FP_NMA</v>
      </c>
      <c r="GG44" s="58" t="str">
        <f t="shared" si="35"/>
        <v>FP_NMA</v>
      </c>
      <c r="GH44" s="58" t="str">
        <f t="shared" si="36"/>
        <v>FP_NMA</v>
      </c>
      <c r="GI44" s="58" t="str">
        <f t="shared" si="37"/>
        <v>FP_NMA</v>
      </c>
      <c r="GK44" s="58">
        <f>IF(i_baseline_risk_from=2,'Effectiveness settings'!FA44,'Effectiveness settings'!FM44)</f>
        <v>1</v>
      </c>
      <c r="GL44" s="58">
        <f>IF(i_baseline_risk_from=2,'Effectiveness settings'!FB44,'Effectiveness settings'!FN44)</f>
        <v>7</v>
      </c>
      <c r="GM44" s="58">
        <f>IF(i_baseline_risk_from=2,'Effectiveness settings'!FC44,'Effectiveness settings'!FO44)</f>
        <v>2</v>
      </c>
      <c r="GN44" s="58">
        <f>IF(i_baseline_risk_from=2,'Effectiveness settings'!FD44,'Effectiveness settings'!FP44)</f>
        <v>2</v>
      </c>
      <c r="GQ44" s="58">
        <f t="shared" si="38"/>
        <v>7</v>
      </c>
      <c r="GR44" s="58">
        <f t="shared" si="39"/>
        <v>7</v>
      </c>
      <c r="GS44" s="58">
        <f t="shared" si="40"/>
        <v>7</v>
      </c>
      <c r="GT44" s="58">
        <f t="shared" si="41"/>
        <v>7</v>
      </c>
      <c r="GU44" s="58">
        <f>IF(AND(dd_CheckMate214_TTD="Yes",'Effectiveness settings'!BU44=2,'Effectiveness settings'!BX44=2),2,GT44)</f>
        <v>7</v>
      </c>
      <c r="GV44" s="58">
        <f t="shared" si="42"/>
        <v>7</v>
      </c>
      <c r="GW44" s="58">
        <f t="shared" si="43"/>
        <v>7</v>
      </c>
      <c r="GY44" s="58">
        <f>IF(AND(dd_CheckMate214_TTD="Yes",'Effectiveness settings'!BU44=2,'Effectiveness settings'!BX44=2),1,GN44)</f>
        <v>2</v>
      </c>
      <c r="GZ44" s="58">
        <f t="shared" si="44"/>
        <v>2</v>
      </c>
      <c r="HB44" s="58">
        <f t="shared" si="45"/>
        <v>1</v>
      </c>
      <c r="HD44" s="58">
        <f t="shared" si="46"/>
        <v>1</v>
      </c>
      <c r="HE44" s="58">
        <f t="shared" si="47"/>
        <v>1</v>
      </c>
      <c r="HF44" s="58">
        <f t="shared" si="48"/>
        <v>7</v>
      </c>
      <c r="HG44" s="58">
        <f t="shared" si="49"/>
        <v>2</v>
      </c>
      <c r="HH44" s="58">
        <f t="shared" si="50"/>
        <v>2</v>
      </c>
    </row>
    <row r="45" spans="1:216" ht="15.75" x14ac:dyDescent="0.25">
      <c r="A45" s="58" t="s">
        <v>569</v>
      </c>
      <c r="D45" s="58" t="str">
        <v>nivolumab_plus_ipilimumab</v>
      </c>
      <c r="I45" s="64" t="s">
        <v>74</v>
      </c>
      <c r="J45" s="519" t="s">
        <v>554</v>
      </c>
      <c r="K45" s="524" t="s">
        <v>63</v>
      </c>
      <c r="L45" s="519"/>
      <c r="M45" s="516" t="s">
        <v>545</v>
      </c>
      <c r="N45" s="64" t="s">
        <v>546</v>
      </c>
      <c r="O45" s="64" t="s">
        <v>117</v>
      </c>
      <c r="P45" s="64" t="s">
        <v>547</v>
      </c>
      <c r="Q45" s="519" t="s">
        <v>554</v>
      </c>
      <c r="R45" s="516" t="s">
        <v>548</v>
      </c>
      <c r="S45" s="497"/>
      <c r="T45" s="497"/>
      <c r="U45" s="497"/>
      <c r="Y45" s="517"/>
      <c r="AA45" s="517"/>
      <c r="AF45" s="517"/>
      <c r="AM45" s="517"/>
      <c r="AO45" s="517"/>
      <c r="AT45" s="517"/>
      <c r="AV45" s="511"/>
      <c r="AW45" s="511"/>
      <c r="AX45" s="511"/>
      <c r="BA45" s="517"/>
      <c r="BC45" s="517"/>
      <c r="BH45" s="517"/>
      <c r="BJ45" s="511"/>
      <c r="BK45" s="511"/>
      <c r="BL45" s="511"/>
      <c r="BQ45" s="58">
        <f t="shared" si="0"/>
        <v>31</v>
      </c>
      <c r="BR45" s="17">
        <v>1</v>
      </c>
      <c r="BS45" s="17" t="s">
        <v>549</v>
      </c>
      <c r="BT45" s="17">
        <v>1</v>
      </c>
      <c r="BU45" s="17">
        <v>2</v>
      </c>
      <c r="BV45" s="17" t="str">
        <f t="shared" si="81"/>
        <v>nivolumab_plus_ipilimumab</v>
      </c>
      <c r="BW45" s="1006" t="str" cm="1">
        <f t="array" ref="BW45">IF(I45="No",I45,INDEX(List_incl_anal_1L_PorI,IF(BU45=999,35,BU45+1)))</f>
        <v>Yes</v>
      </c>
      <c r="BX45" s="61">
        <f t="shared" si="82"/>
        <v>2</v>
      </c>
      <c r="BY45" s="531" t="str">
        <f>J45</f>
        <v>Time to treatment discontinuation</v>
      </c>
      <c r="BZ45" s="530" t="str">
        <f t="shared" si="83"/>
        <v>FP_NMA</v>
      </c>
      <c r="CA45" s="531">
        <f t="shared" si="105"/>
        <v>0</v>
      </c>
      <c r="CB45" s="530">
        <f t="shared" si="84"/>
        <v>1</v>
      </c>
      <c r="CC45" s="530">
        <f t="shared" si="85"/>
        <v>1</v>
      </c>
      <c r="CD45" s="530">
        <f t="shared" si="86"/>
        <v>7</v>
      </c>
      <c r="CE45" s="1295">
        <f t="shared" si="87"/>
        <v>2</v>
      </c>
      <c r="CF45" s="1301">
        <f t="shared" si="88"/>
        <v>2</v>
      </c>
      <c r="CG45" s="530" t="str">
        <f t="shared" si="89"/>
        <v>Log-logistic</v>
      </c>
      <c r="CH45" s="1376">
        <f>IF(dd_CheckMate214_TTD="Yes",1,S45)</f>
        <v>0</v>
      </c>
      <c r="CI45" s="1376">
        <f>IF(dd_CheckMate214_TTD="Yes",1,T45)</f>
        <v>0</v>
      </c>
      <c r="CJ45" s="1376">
        <f>IF(dd_CheckMate214_TTD="Yes",1,U45)</f>
        <v>0</v>
      </c>
      <c r="CV45" s="940">
        <v>2</v>
      </c>
      <c r="CW45" s="940" t="s">
        <v>559</v>
      </c>
      <c r="CX45" s="940">
        <v>1</v>
      </c>
      <c r="CY45" s="940">
        <v>0</v>
      </c>
      <c r="CZ45" s="940" t="str" cm="1">
        <f t="array" ref="CZ45">INDEX(List_trials,CY45+1)</f>
        <v>CheckMate 9ER</v>
      </c>
      <c r="DA45" s="941" t="s">
        <v>555</v>
      </c>
      <c r="DB45" s="941" t="s">
        <v>548</v>
      </c>
      <c r="DC45" s="941" t="s">
        <v>563</v>
      </c>
      <c r="DD45" s="941" t="s">
        <v>568</v>
      </c>
      <c r="DE45" s="941"/>
      <c r="DF45" s="941" t="s">
        <v>103</v>
      </c>
      <c r="DG45" s="941" t="s">
        <v>117</v>
      </c>
      <c r="DH45" s="58">
        <f>IF(MATCH(DG45,List_comparators,0)-1=13,999,MATCH(DG45,List_comparators,0)-1)</f>
        <v>7</v>
      </c>
      <c r="DK45" s="58" t="str" cm="1">
        <f t="array" ref="DK45">IF(AND($BT45=4,$BX45=4,$BU45=999),$DB$36,_xlfn.IFNA(INDEX(DB$13:DB$70,MATCH(1,($BR45=$CV$13:$CV$70)*($BT45=$CX$13:$CX$70)*($CE45=$CY$13:$CY$70)*($BY45=$DA$13:$DA$70)*($CD45=$DH$13:$DH$70),0)),""))</f>
        <v>Log-logistic</v>
      </c>
      <c r="DL45" s="58" t="str" cm="1">
        <f t="array" ref="DL45">IF(AND($BT45=4,$BX45=4,$BU45=999),$DC$36,_xlfn.IFNA(INDEX(CHOOSE(DP45,DB$13:DB$70,DC$13:DC$70,DD$13:DD$70,DE$13:DE$70),MATCH(1,($BR45=$CV$13:$CV$70)*($BT45=$CX$13:$CX$70)*($CE45=$CY$13:$CY$70)*($BY45=$DA$13:$DA$70)*($CD45=$DH$13:$DH$70),0)),""))</f>
        <v>Log-logistic</v>
      </c>
      <c r="DM45" s="740" cm="1">
        <f t="array" ref="DM45">IF(AND($BT45=4,$BX45=4,$BU45=999),$DD$36,_xlfn.IFNA(INDEX(DD$13:DD$68,MATCH(1,($BR45=$CV$13:$CV$68)*($BT45=$CX$13:$CX$68)*($CE45=$CY$13:$CY$68)*($BY45=$DA$13:$DA$68)*($CD45=$DH$13:$DH$68),0)),""))</f>
        <v>0</v>
      </c>
      <c r="DN45" s="740" cm="1">
        <f t="array" ref="DN45">IF(AND($BT45=4,$BX45=4,$BU45=999),$DD$36,_xlfn.IFNA(INDEX(DE$13:DE$68,MATCH(1,($BR45=$CV$13:$CV$68)*($BT45=$CX$13:$CX$68)*($CE45=$CY$13:$CY$68)*($BY45=$DA$13:$DA$68)*($CD45=$DH$13:$DH$68),0)),""))</f>
        <v>0</v>
      </c>
      <c r="DO45" s="58" t="str" cm="1">
        <f t="array" ref="DO45">IF(AND($BT45=4,$BX45=4,$BU45=999),$DF$36,_xlfn.IFNA(INDEX(DF$13:DF$70,MATCH(1,($BR45=$CV$13:$CV$70)*($BT45=$CX$13:$CX$70)*($CE45=$CY$13:$CY$70)*($BY45=$DA$13:$DA$70)*($CD45=$DH$13:$DH$70),0)),""))</f>
        <v>Base case</v>
      </c>
      <c r="DP45" s="58">
        <f t="shared" si="13"/>
        <v>1</v>
      </c>
      <c r="DW45" s="58" t="s">
        <v>74</v>
      </c>
      <c r="DX45" s="58" t="s">
        <v>554</v>
      </c>
      <c r="DY45" s="58" t="s">
        <v>63</v>
      </c>
      <c r="DZ45" s="58">
        <v>0</v>
      </c>
      <c r="EB45" s="58">
        <v>1</v>
      </c>
      <c r="EC45" s="58">
        <v>1</v>
      </c>
      <c r="ED45" s="58">
        <v>7</v>
      </c>
      <c r="EE45" s="58">
        <v>2</v>
      </c>
      <c r="EF45" s="58">
        <v>2</v>
      </c>
      <c r="EI45" s="58" t="s">
        <v>74</v>
      </c>
      <c r="EJ45" s="58" t="s">
        <v>554</v>
      </c>
      <c r="EK45" s="58" t="s">
        <v>63</v>
      </c>
      <c r="EL45" s="58">
        <v>0</v>
      </c>
      <c r="EN45" s="58">
        <v>1</v>
      </c>
      <c r="EO45" s="58">
        <v>1</v>
      </c>
      <c r="EP45" s="58">
        <v>7</v>
      </c>
      <c r="EQ45" s="58">
        <v>0</v>
      </c>
      <c r="ER45" s="58">
        <v>2</v>
      </c>
      <c r="EU45" s="58" t="str">
        <f t="shared" si="93"/>
        <v>Yes</v>
      </c>
      <c r="EV45" s="58" t="str">
        <f t="shared" si="94"/>
        <v>Time to treatment discontinuation</v>
      </c>
      <c r="EW45" s="58" t="str">
        <f t="shared" si="95"/>
        <v>FP_NMA</v>
      </c>
      <c r="EX45" s="58">
        <f t="shared" si="96"/>
        <v>0</v>
      </c>
      <c r="EZ45" s="58">
        <f t="shared" si="97"/>
        <v>1</v>
      </c>
      <c r="FA45" s="58">
        <f t="shared" si="98"/>
        <v>1</v>
      </c>
      <c r="FB45" s="58">
        <f>IF(i_eff_inputs_based_on_num=2,ED45,(INDEX(Lists!$L$51:$L$85,MATCH(O45,Lists!$K$51:$K$85,0))))</f>
        <v>7</v>
      </c>
      <c r="FC45" s="58">
        <f>IF(i_eff_inputs_based_on_num=2,EE45,(INDEX(Lists!$L$51:$L$85,MATCH(P45,Lists!$K$51:$K$85,0))))</f>
        <v>2</v>
      </c>
      <c r="FD45" s="58">
        <f>IF(i_eff_inputs_based_on_num=2,EF45,(INDEX(Lists!$L$51:$L$85,MATCH(Q45,Lists!$K$51:$K$85,0))))</f>
        <v>2</v>
      </c>
      <c r="FG45" s="58" t="str">
        <f t="shared" si="99"/>
        <v>Yes</v>
      </c>
      <c r="FH45" s="58" t="str">
        <f t="shared" si="100"/>
        <v>Time to treatment discontinuation</v>
      </c>
      <c r="FI45" s="58" t="str">
        <f t="shared" si="101"/>
        <v>FP_NMA</v>
      </c>
      <c r="FJ45" s="58">
        <f t="shared" si="102"/>
        <v>0</v>
      </c>
      <c r="FL45" s="58">
        <f t="shared" si="103"/>
        <v>1</v>
      </c>
      <c r="FM45" s="58">
        <f t="shared" si="104"/>
        <v>1</v>
      </c>
      <c r="FN45" s="58">
        <f>IF(i_eff_inputs_based_on_num=2,EP45,(INDEX(Lists!$L$51:$L$85,MATCH(O45,Lists!$K$51:$K$85,0))))</f>
        <v>7</v>
      </c>
      <c r="FO45" s="58">
        <f>IF(i_eff_inputs_based_on_num=2,EQ45,(INDEX(Lists!$L$51:$L$85,MATCH(P45,Lists!$K$51:$K$85,0))))</f>
        <v>0</v>
      </c>
      <c r="FP45" s="58">
        <f>IF(i_eff_inputs_based_on_num=2,ER45,(INDEX(Lists!$L$51:$L$85,MATCH(Q45,Lists!$K$51:$K$85,0))))</f>
        <v>2</v>
      </c>
      <c r="FT45" s="58">
        <f t="shared" si="26"/>
        <v>0</v>
      </c>
      <c r="FW45" s="58" t="str">
        <f>IF(i_baseline_risk_from=2,'Effectiveness settings'!EW45,'Effectiveness settings'!FI45)</f>
        <v>FP_NMA</v>
      </c>
      <c r="FX45" s="58" t="str">
        <f t="shared" si="27"/>
        <v>FP_NMA</v>
      </c>
      <c r="FY45" s="58" t="str">
        <f t="shared" si="28"/>
        <v>FP_NMA</v>
      </c>
      <c r="FZ45" s="58" t="str">
        <f t="shared" si="29"/>
        <v>FP_NMA</v>
      </c>
      <c r="GA45" s="58" t="str">
        <f t="shared" si="30"/>
        <v>FP_NMA</v>
      </c>
      <c r="GB45" s="58" t="str">
        <f t="shared" si="31"/>
        <v>FP_NMA</v>
      </c>
      <c r="GC45" s="58" t="str">
        <f t="shared" si="32"/>
        <v>FP_NMA</v>
      </c>
      <c r="GD45" s="58" t="str">
        <f t="shared" si="33"/>
        <v>FP_NMA</v>
      </c>
      <c r="GE45" s="58" t="str">
        <f>IF(AND(dd_CheckMate214_TTD="Yes",'Effectiveness settings'!BU45=2,'Effectiveness settings'!BX45=2),"Apply HR to",GD45)</f>
        <v>FP_NMA</v>
      </c>
      <c r="GF45" s="58" t="str">
        <f t="shared" si="34"/>
        <v>FP_NMA</v>
      </c>
      <c r="GG45" s="58" t="str">
        <f t="shared" si="35"/>
        <v>FP_NMA</v>
      </c>
      <c r="GH45" s="58" t="str">
        <f t="shared" si="36"/>
        <v>FP_NMA</v>
      </c>
      <c r="GI45" s="58" t="str">
        <f t="shared" ref="GI45:GI76" si="106">GH45</f>
        <v>FP_NMA</v>
      </c>
      <c r="GK45" s="58">
        <f>IF(i_baseline_risk_from=2,'Effectiveness settings'!FA45,'Effectiveness settings'!FM45)</f>
        <v>1</v>
      </c>
      <c r="GL45" s="58">
        <f>IF(i_baseline_risk_from=2,'Effectiveness settings'!FB45,'Effectiveness settings'!FN45)</f>
        <v>7</v>
      </c>
      <c r="GM45" s="58">
        <f>IF(i_baseline_risk_from=2,'Effectiveness settings'!FC45,'Effectiveness settings'!FO45)</f>
        <v>2</v>
      </c>
      <c r="GN45" s="58">
        <f>IF(i_baseline_risk_from=2,'Effectiveness settings'!FD45,'Effectiveness settings'!FP45)</f>
        <v>2</v>
      </c>
      <c r="GQ45" s="58">
        <f t="shared" si="38"/>
        <v>7</v>
      </c>
      <c r="GR45" s="58">
        <f t="shared" si="39"/>
        <v>7</v>
      </c>
      <c r="GS45" s="58">
        <f t="shared" si="40"/>
        <v>7</v>
      </c>
      <c r="GT45" s="58">
        <f t="shared" si="41"/>
        <v>7</v>
      </c>
      <c r="GU45" s="58">
        <f>IF(AND(dd_CheckMate214_TTD="Yes",'Effectiveness settings'!BU45=2,'Effectiveness settings'!BX45=2),2,GT45)</f>
        <v>7</v>
      </c>
      <c r="GV45" s="58">
        <f t="shared" si="42"/>
        <v>7</v>
      </c>
      <c r="GW45" s="58">
        <f t="shared" si="43"/>
        <v>7</v>
      </c>
      <c r="GY45" s="58">
        <f>IF(AND(dd_CheckMate214_TTD="Yes",'Effectiveness settings'!BU45=2,'Effectiveness settings'!BX45=2),1,GN45)</f>
        <v>2</v>
      </c>
      <c r="GZ45" s="58">
        <f t="shared" si="44"/>
        <v>2</v>
      </c>
      <c r="HB45" s="58">
        <f t="shared" si="45"/>
        <v>1</v>
      </c>
      <c r="HD45" s="58">
        <f t="shared" ref="HD45:HD76" si="107">HB45</f>
        <v>1</v>
      </c>
      <c r="HE45" s="58">
        <f t="shared" ref="HE45:HE76" si="108">GK45</f>
        <v>1</v>
      </c>
      <c r="HF45" s="58">
        <f t="shared" ref="HF45:HF76" si="109">GW45</f>
        <v>7</v>
      </c>
      <c r="HG45" s="58">
        <f t="shared" ref="HG45:HG76" si="110">GM45</f>
        <v>2</v>
      </c>
      <c r="HH45" s="58">
        <f t="shared" ref="HH45:HH76" si="111">GZ45</f>
        <v>2</v>
      </c>
    </row>
    <row r="46" spans="1:216" ht="16.5" thickBot="1" x14ac:dyDescent="0.3">
      <c r="D46" s="58" t="str">
        <v>lenvatinib_plus_pembrolizumab</v>
      </c>
      <c r="I46" s="64" t="s">
        <v>74</v>
      </c>
      <c r="J46" s="519" t="s">
        <v>554</v>
      </c>
      <c r="K46" s="524" t="s">
        <v>67</v>
      </c>
      <c r="L46" s="519"/>
      <c r="M46" s="516" t="s">
        <v>545</v>
      </c>
      <c r="N46" s="64" t="s">
        <v>546</v>
      </c>
      <c r="O46" s="64" t="s">
        <v>117</v>
      </c>
      <c r="P46" s="64" t="s">
        <v>547</v>
      </c>
      <c r="Q46" s="519" t="s">
        <v>554</v>
      </c>
      <c r="R46" s="516" t="s">
        <v>548</v>
      </c>
      <c r="S46" s="497"/>
      <c r="T46" s="497"/>
      <c r="U46" s="497"/>
      <c r="Y46" s="517"/>
      <c r="AA46" s="517"/>
      <c r="AF46" s="517"/>
      <c r="AM46" s="517"/>
      <c r="AO46" s="517"/>
      <c r="AT46" s="517"/>
      <c r="AV46" s="511"/>
      <c r="AW46" s="511"/>
      <c r="AX46" s="511"/>
      <c r="BA46" s="517"/>
      <c r="BC46" s="517"/>
      <c r="BH46" s="517"/>
      <c r="BJ46" s="511"/>
      <c r="BK46" s="511"/>
      <c r="BL46" s="511"/>
      <c r="BQ46" s="58">
        <f t="shared" si="0"/>
        <v>32</v>
      </c>
      <c r="BR46" s="17">
        <v>1</v>
      </c>
      <c r="BS46" s="17" t="s">
        <v>549</v>
      </c>
      <c r="BT46" s="17">
        <v>1</v>
      </c>
      <c r="BU46" s="17">
        <v>3</v>
      </c>
      <c r="BV46" s="17" t="str">
        <f t="shared" si="81"/>
        <v>lenvatinib_plus_pembrolizumab</v>
      </c>
      <c r="BW46" s="1006" t="str" cm="1">
        <f t="array" ref="BW46">IF(I46="No",I46,INDEX(List_incl_anal_1L_PorI,IF(BU46=999,35,BU46+1)))</f>
        <v>Yes</v>
      </c>
      <c r="BX46" s="61">
        <f t="shared" si="82"/>
        <v>2</v>
      </c>
      <c r="BY46" s="531" t="str">
        <f>J46</f>
        <v>Time to treatment discontinuation</v>
      </c>
      <c r="BZ46" s="530" t="str">
        <f t="shared" si="83"/>
        <v>FP_NMA</v>
      </c>
      <c r="CA46" s="531">
        <f t="shared" si="105"/>
        <v>0</v>
      </c>
      <c r="CB46" s="530">
        <f t="shared" si="84"/>
        <v>1</v>
      </c>
      <c r="CC46" s="530">
        <f t="shared" si="85"/>
        <v>1</v>
      </c>
      <c r="CD46" s="530">
        <f t="shared" si="86"/>
        <v>7</v>
      </c>
      <c r="CE46" s="1295">
        <f t="shared" si="87"/>
        <v>2</v>
      </c>
      <c r="CF46" s="1301">
        <f t="shared" si="88"/>
        <v>2</v>
      </c>
      <c r="CG46" s="530" t="str">
        <f t="shared" si="89"/>
        <v>Log-logistic</v>
      </c>
      <c r="CH46" s="61">
        <f t="shared" si="90"/>
        <v>0</v>
      </c>
      <c r="CI46" s="61">
        <f t="shared" si="91"/>
        <v>0</v>
      </c>
      <c r="CJ46" s="61">
        <f t="shared" si="92"/>
        <v>0</v>
      </c>
      <c r="CV46" s="943">
        <v>2</v>
      </c>
      <c r="CW46" s="943" t="s">
        <v>559</v>
      </c>
      <c r="CX46" s="943">
        <v>1</v>
      </c>
      <c r="CY46" s="943">
        <v>0</v>
      </c>
      <c r="CZ46" s="943" t="str" cm="1">
        <f t="array" ref="CZ46">INDEX(List_trials,CY46+1)</f>
        <v>CheckMate 9ER</v>
      </c>
      <c r="DA46" s="944" t="s">
        <v>557</v>
      </c>
      <c r="DB46" s="944" t="s">
        <v>568</v>
      </c>
      <c r="DC46" s="944" t="s">
        <v>548</v>
      </c>
      <c r="DD46" s="944"/>
      <c r="DE46" s="944"/>
      <c r="DF46" s="944" t="s">
        <v>103</v>
      </c>
      <c r="DG46" s="944" t="s">
        <v>117</v>
      </c>
      <c r="DH46" s="947">
        <f>IF(MATCH(DG46,List_comparators,0)-1=13,999,MATCH(DG46,List_comparators,0)-1)</f>
        <v>7</v>
      </c>
      <c r="DK46" s="58" t="str" cm="1">
        <f t="array" ref="DK46">IF(AND($BT46=4,$BX46=4,$BU46=999),$DB$36,_xlfn.IFNA(INDEX(DB$13:DB$70,MATCH(1,($BR46=$CV$13:$CV$70)*($BT46=$CX$13:$CX$70)*($CE46=$CY$13:$CY$70)*($BY46=$DA$13:$DA$70)*($CD46=$DH$13:$DH$70),0)),""))</f>
        <v>Log-logistic</v>
      </c>
      <c r="DL46" s="58" t="str" cm="1">
        <f t="array" ref="DL46">IF(AND($BT46=4,$BX46=4,$BU46=999),$DC$36,_xlfn.IFNA(INDEX(CHOOSE(DP46,DB$13:DB$70,DC$13:DC$70,DD$13:DD$70,DE$13:DE$70),MATCH(1,($BR46=$CV$13:$CV$70)*($BT46=$CX$13:$CX$70)*($CE46=$CY$13:$CY$70)*($BY46=$DA$13:$DA$70)*($CD46=$DH$13:$DH$70),0)),""))</f>
        <v>Log-logistic</v>
      </c>
      <c r="DM46" s="740" cm="1">
        <f t="array" ref="DM46">IF(AND($BT46=4,$BX46=4,$BU46=999),$DD$36,_xlfn.IFNA(INDEX(DD$13:DD$68,MATCH(1,($BR46=$CV$13:$CV$68)*($BT46=$CX$13:$CX$68)*($CE46=$CY$13:$CY$68)*($BY46=$DA$13:$DA$68)*($CD46=$DH$13:$DH$68),0)),""))</f>
        <v>0</v>
      </c>
      <c r="DN46" s="740" cm="1">
        <f t="array" ref="DN46">IF(AND($BT46=4,$BX46=4,$BU46=999),$DD$36,_xlfn.IFNA(INDEX(DE$13:DE$68,MATCH(1,($BR46=$CV$13:$CV$68)*($BT46=$CX$13:$CX$68)*($CE46=$CY$13:$CY$68)*($BY46=$DA$13:$DA$68)*($CD46=$DH$13:$DH$68),0)),""))</f>
        <v>0</v>
      </c>
      <c r="DO46" s="58" t="str" cm="1">
        <f t="array" ref="DO46">IF(AND($BT46=4,$BX46=4,$BU46=999),$DF$36,_xlfn.IFNA(INDEX(DF$13:DF$70,MATCH(1,($BR46=$CV$13:$CV$70)*($BT46=$CX$13:$CX$70)*($CE46=$CY$13:$CY$70)*($BY46=$DA$13:$DA$70)*($CD46=$DH$13:$DH$70),0)),""))</f>
        <v>Base case</v>
      </c>
      <c r="DP46" s="58">
        <f t="shared" si="13"/>
        <v>1</v>
      </c>
      <c r="DW46" s="58" t="s">
        <v>74</v>
      </c>
      <c r="DX46" s="58" t="s">
        <v>554</v>
      </c>
      <c r="DY46" s="58" t="s">
        <v>67</v>
      </c>
      <c r="DZ46" s="58">
        <v>0</v>
      </c>
      <c r="EB46" s="58">
        <v>1</v>
      </c>
      <c r="EC46" s="58">
        <v>1</v>
      </c>
      <c r="ED46" s="58">
        <v>7</v>
      </c>
      <c r="EE46" s="58">
        <v>2</v>
      </c>
      <c r="EF46" s="58">
        <v>2</v>
      </c>
      <c r="EI46" s="58" t="s">
        <v>74</v>
      </c>
      <c r="EJ46" s="58" t="s">
        <v>554</v>
      </c>
      <c r="EK46" s="58" t="s">
        <v>67</v>
      </c>
      <c r="EL46" s="58">
        <v>0</v>
      </c>
      <c r="EN46" s="58">
        <v>1</v>
      </c>
      <c r="EO46" s="58">
        <v>1</v>
      </c>
      <c r="EP46" s="58">
        <v>7</v>
      </c>
      <c r="EQ46" s="58">
        <v>0</v>
      </c>
      <c r="ER46" s="58">
        <v>2</v>
      </c>
      <c r="EU46" s="58" t="str">
        <f t="shared" si="93"/>
        <v>Yes</v>
      </c>
      <c r="EV46" s="58" t="str">
        <f t="shared" si="94"/>
        <v>Time to treatment discontinuation</v>
      </c>
      <c r="EW46" s="58" t="str">
        <f t="shared" si="95"/>
        <v>PH_NMA</v>
      </c>
      <c r="EX46" s="58">
        <f t="shared" si="96"/>
        <v>0</v>
      </c>
      <c r="EZ46" s="58">
        <f t="shared" si="97"/>
        <v>1</v>
      </c>
      <c r="FA46" s="58">
        <f t="shared" si="98"/>
        <v>1</v>
      </c>
      <c r="FB46" s="58">
        <f>IF(i_eff_inputs_based_on_num=2,ED46,(INDEX(Lists!$L$51:$L$85,MATCH(O46,Lists!$K$51:$K$85,0))))</f>
        <v>7</v>
      </c>
      <c r="FC46" s="58">
        <f>IF(i_eff_inputs_based_on_num=2,EE46,(INDEX(Lists!$L$51:$L$85,MATCH(P46,Lists!$K$51:$K$85,0))))</f>
        <v>2</v>
      </c>
      <c r="FD46" s="58">
        <f>IF(i_eff_inputs_based_on_num=2,EF46,(INDEX(Lists!$L$51:$L$85,MATCH(Q46,Lists!$K$51:$K$85,0))))</f>
        <v>2</v>
      </c>
      <c r="FG46" s="58" t="str">
        <f t="shared" si="99"/>
        <v>Yes</v>
      </c>
      <c r="FH46" s="58" t="str">
        <f t="shared" si="100"/>
        <v>Time to treatment discontinuation</v>
      </c>
      <c r="FI46" s="58" t="str">
        <f t="shared" si="101"/>
        <v>PH_NMA</v>
      </c>
      <c r="FJ46" s="58">
        <f t="shared" si="102"/>
        <v>0</v>
      </c>
      <c r="FL46" s="58">
        <f t="shared" si="103"/>
        <v>1</v>
      </c>
      <c r="FM46" s="58">
        <f t="shared" si="104"/>
        <v>1</v>
      </c>
      <c r="FN46" s="58">
        <f>IF(i_eff_inputs_based_on_num=2,EP46,(INDEX(Lists!$L$51:$L$85,MATCH(O46,Lists!$K$51:$K$85,0))))</f>
        <v>7</v>
      </c>
      <c r="FO46" s="58">
        <f>IF(i_eff_inputs_based_on_num=2,EQ46,(INDEX(Lists!$L$51:$L$85,MATCH(P46,Lists!$K$51:$K$85,0))))</f>
        <v>0</v>
      </c>
      <c r="FP46" s="58">
        <f>IF(i_eff_inputs_based_on_num=2,ER46,(INDEX(Lists!$L$51:$L$85,MATCH(Q46,Lists!$K$51:$K$85,0))))</f>
        <v>2</v>
      </c>
      <c r="FT46" s="58">
        <f t="shared" si="26"/>
        <v>0</v>
      </c>
      <c r="FW46" s="58" t="str">
        <f>IF(i_baseline_risk_from=2,'Effectiveness settings'!EW46,'Effectiveness settings'!FI46)</f>
        <v>PH_NMA</v>
      </c>
      <c r="FX46" s="58" t="str">
        <f t="shared" si="27"/>
        <v>PH_NMA</v>
      </c>
      <c r="FY46" s="58" t="str">
        <f t="shared" si="28"/>
        <v>PH_NMA</v>
      </c>
      <c r="FZ46" s="58" t="str">
        <f t="shared" si="29"/>
        <v>PH_NMA</v>
      </c>
      <c r="GA46" s="58" t="str">
        <f t="shared" si="30"/>
        <v>PH_NMA</v>
      </c>
      <c r="GB46" s="58" t="str">
        <f t="shared" si="31"/>
        <v>PH_NMA</v>
      </c>
      <c r="GC46" s="58" t="str">
        <f t="shared" si="32"/>
        <v>FP_NMA</v>
      </c>
      <c r="GD46" s="58" t="str">
        <f t="shared" si="33"/>
        <v>FP_NMA</v>
      </c>
      <c r="GE46" s="58" t="str">
        <f>IF(AND(dd_CheckMate214_TTD="Yes",'Effectiveness settings'!BU46=2,'Effectiveness settings'!BX46=2),"Apply HR to",GD46)</f>
        <v>FP_NMA</v>
      </c>
      <c r="GF46" s="58" t="str">
        <f t="shared" si="34"/>
        <v>FP_NMA</v>
      </c>
      <c r="GG46" s="58" t="str">
        <f t="shared" si="35"/>
        <v>FP_NMA</v>
      </c>
      <c r="GH46" s="58" t="str">
        <f t="shared" si="36"/>
        <v>FP_NMA</v>
      </c>
      <c r="GI46" s="58" t="str">
        <f t="shared" si="106"/>
        <v>FP_NMA</v>
      </c>
      <c r="GK46" s="58">
        <f>IF(i_baseline_risk_from=2,'Effectiveness settings'!FA46,'Effectiveness settings'!FM46)</f>
        <v>1</v>
      </c>
      <c r="GL46" s="58">
        <f>IF(i_baseline_risk_from=2,'Effectiveness settings'!FB46,'Effectiveness settings'!FN46)</f>
        <v>7</v>
      </c>
      <c r="GM46" s="58">
        <f>IF(i_baseline_risk_from=2,'Effectiveness settings'!FC46,'Effectiveness settings'!FO46)</f>
        <v>2</v>
      </c>
      <c r="GN46" s="58">
        <f>IF(i_baseline_risk_from=2,'Effectiveness settings'!FD46,'Effectiveness settings'!FP46)</f>
        <v>2</v>
      </c>
      <c r="GQ46" s="58">
        <f t="shared" si="38"/>
        <v>7</v>
      </c>
      <c r="GR46" s="58">
        <f t="shared" si="39"/>
        <v>7</v>
      </c>
      <c r="GS46" s="58">
        <f t="shared" si="40"/>
        <v>7</v>
      </c>
      <c r="GT46" s="58">
        <f t="shared" si="41"/>
        <v>7</v>
      </c>
      <c r="GU46" s="58">
        <f>IF(AND(dd_CheckMate214_TTD="Yes",'Effectiveness settings'!BU46=2,'Effectiveness settings'!BX46=2),2,GT46)</f>
        <v>7</v>
      </c>
      <c r="GV46" s="58">
        <f t="shared" si="42"/>
        <v>7</v>
      </c>
      <c r="GW46" s="58">
        <f t="shared" si="43"/>
        <v>7</v>
      </c>
      <c r="GY46" s="58">
        <f>IF(AND(dd_CheckMate214_TTD="Yes",'Effectiveness settings'!BU46=2,'Effectiveness settings'!BX46=2),1,GN46)</f>
        <v>2</v>
      </c>
      <c r="GZ46" s="58">
        <f t="shared" si="44"/>
        <v>2</v>
      </c>
      <c r="HB46" s="58">
        <f t="shared" si="45"/>
        <v>1</v>
      </c>
      <c r="HD46" s="58">
        <f t="shared" si="107"/>
        <v>1</v>
      </c>
      <c r="HE46" s="58">
        <f t="shared" si="108"/>
        <v>1</v>
      </c>
      <c r="HF46" s="58">
        <f t="shared" si="109"/>
        <v>7</v>
      </c>
      <c r="HG46" s="58">
        <f t="shared" si="110"/>
        <v>2</v>
      </c>
      <c r="HH46" s="58">
        <f t="shared" si="111"/>
        <v>2</v>
      </c>
    </row>
    <row r="47" spans="1:216" ht="15.75" x14ac:dyDescent="0.25">
      <c r="D47" s="58" t="str">
        <v>avelumab_plus_axitinib</v>
      </c>
      <c r="I47" s="739" t="str">
        <f>dd_incl_ave_plus_axi</f>
        <v>No</v>
      </c>
      <c r="J47" s="519" t="s">
        <v>554</v>
      </c>
      <c r="K47" s="524" t="s">
        <v>63</v>
      </c>
      <c r="L47" s="519"/>
      <c r="M47" s="516" t="s">
        <v>545</v>
      </c>
      <c r="N47" s="64" t="s">
        <v>546</v>
      </c>
      <c r="O47" s="64" t="s">
        <v>117</v>
      </c>
      <c r="P47" s="64" t="s">
        <v>547</v>
      </c>
      <c r="Q47" s="519" t="s">
        <v>554</v>
      </c>
      <c r="R47" s="516" t="s">
        <v>548</v>
      </c>
      <c r="S47" s="497"/>
      <c r="T47" s="497"/>
      <c r="U47" s="497"/>
      <c r="Y47" s="517"/>
      <c r="AA47" s="517"/>
      <c r="AF47" s="517"/>
      <c r="AM47" s="517"/>
      <c r="AO47" s="517"/>
      <c r="AT47" s="517"/>
      <c r="AV47" s="511"/>
      <c r="AW47" s="511"/>
      <c r="AX47" s="511"/>
      <c r="BA47" s="517"/>
      <c r="BC47" s="517"/>
      <c r="BH47" s="517"/>
      <c r="BJ47" s="511"/>
      <c r="BK47" s="511"/>
      <c r="BL47" s="511"/>
      <c r="BQ47" s="58">
        <f t="shared" si="0"/>
        <v>33</v>
      </c>
      <c r="BR47" s="17">
        <v>1</v>
      </c>
      <c r="BS47" s="17" t="s">
        <v>549</v>
      </c>
      <c r="BT47" s="17">
        <v>1</v>
      </c>
      <c r="BU47" s="17">
        <v>4</v>
      </c>
      <c r="BV47" s="17" t="str">
        <f t="shared" si="81"/>
        <v>avelumab_plus_axitinib</v>
      </c>
      <c r="BW47" s="1006" t="str" cm="1">
        <f t="array" ref="BW47">IF(I47="No",I47,INDEX(List_incl_anal_1L_PorI,IF(BU47=999,35,BU47+1)))</f>
        <v>No</v>
      </c>
      <c r="BX47" s="61">
        <f t="shared" si="82"/>
        <v>2</v>
      </c>
      <c r="BY47" s="531" t="str">
        <f>J47</f>
        <v>Time to treatment discontinuation</v>
      </c>
      <c r="BZ47" s="530" t="str">
        <f t="shared" si="83"/>
        <v>FP_NMA</v>
      </c>
      <c r="CA47" s="531">
        <f t="shared" si="105"/>
        <v>0</v>
      </c>
      <c r="CB47" s="530">
        <f t="shared" si="84"/>
        <v>1</v>
      </c>
      <c r="CC47" s="530">
        <f t="shared" si="85"/>
        <v>1</v>
      </c>
      <c r="CD47" s="530">
        <f t="shared" si="86"/>
        <v>7</v>
      </c>
      <c r="CE47" s="1295">
        <f t="shared" si="87"/>
        <v>2</v>
      </c>
      <c r="CF47" s="1301">
        <f t="shared" si="88"/>
        <v>2</v>
      </c>
      <c r="CG47" s="530" t="str">
        <f t="shared" si="89"/>
        <v>Log-logistic</v>
      </c>
      <c r="CH47" s="61">
        <f t="shared" si="90"/>
        <v>0</v>
      </c>
      <c r="CI47" s="61">
        <f t="shared" si="91"/>
        <v>0</v>
      </c>
      <c r="CJ47" s="61">
        <f t="shared" si="92"/>
        <v>0</v>
      </c>
      <c r="CV47" s="940">
        <v>0</v>
      </c>
      <c r="CW47" s="940" t="s">
        <v>31</v>
      </c>
      <c r="CX47" s="940">
        <v>1</v>
      </c>
      <c r="CY47" s="940">
        <v>0</v>
      </c>
      <c r="CZ47" s="940" t="str" cm="1">
        <f t="array" ref="CZ47">INDEX(List_trials,CY47+1)</f>
        <v>CheckMate 9ER</v>
      </c>
      <c r="DA47" s="942" t="s">
        <v>544</v>
      </c>
      <c r="DB47" s="942" t="s">
        <v>548</v>
      </c>
      <c r="DC47" s="942" t="s">
        <v>563</v>
      </c>
      <c r="DD47" s="942" t="s">
        <v>553</v>
      </c>
      <c r="DE47" s="941" t="s">
        <v>551</v>
      </c>
      <c r="DF47" s="941" t="s">
        <v>103</v>
      </c>
      <c r="DG47" s="942" t="s">
        <v>117</v>
      </c>
      <c r="DH47" s="58">
        <f t="shared" ref="DH47:DH68" si="112">IF(MATCH(DG47,List_comparators,0)-1=13,999,MATCH(DG47,List_comparators,0)-1)</f>
        <v>7</v>
      </c>
      <c r="DK47" s="58" t="str" cm="1">
        <f t="array" ref="DK47">IF(AND($BT47=4,$BX47=4,$BU47=999),$DB$36,_xlfn.IFNA(INDEX(DB$13:DB$70,MATCH(1,($BR47=$CV$13:$CV$70)*($BT47=$CX$13:$CX$70)*($CE47=$CY$13:$CY$70)*($BY47=$DA$13:$DA$70)*($CD47=$DH$13:$DH$70),0)),""))</f>
        <v>Log-logistic</v>
      </c>
      <c r="DL47" s="58" t="str" cm="1">
        <f t="array" ref="DL47">IF(AND($BT47=4,$BX47=4,$BU47=999),$DC$36,_xlfn.IFNA(INDEX(CHOOSE(DP47,DB$13:DB$70,DC$13:DC$70,DD$13:DD$70,DE$13:DE$70),MATCH(1,($BR47=$CV$13:$CV$70)*($BT47=$CX$13:$CX$70)*($CE47=$CY$13:$CY$70)*($BY47=$DA$13:$DA$70)*($CD47=$DH$13:$DH$70),0)),""))</f>
        <v>Log-logistic</v>
      </c>
      <c r="DM47" s="740" cm="1">
        <f t="array" ref="DM47">IF(AND($BT47=4,$BX47=4,$BU47=999),$DD$36,_xlfn.IFNA(INDEX(DD$13:DD$68,MATCH(1,($BR47=$CV$13:$CV$68)*($BT47=$CX$13:$CX$68)*($CE47=$CY$13:$CY$68)*($BY47=$DA$13:$DA$68)*($CD47=$DH$13:$DH$68),0)),""))</f>
        <v>0</v>
      </c>
      <c r="DN47" s="740" cm="1">
        <f t="array" ref="DN47">IF(AND($BT47=4,$BX47=4,$BU47=999),$DD$36,_xlfn.IFNA(INDEX(DE$13:DE$68,MATCH(1,($BR47=$CV$13:$CV$68)*($BT47=$CX$13:$CX$68)*($CE47=$CY$13:$CY$68)*($BY47=$DA$13:$DA$68)*($CD47=$DH$13:$DH$68),0)),""))</f>
        <v>0</v>
      </c>
      <c r="DO47" s="58" t="str" cm="1">
        <f t="array" ref="DO47">IF(AND($BT47=4,$BX47=4,$BU47=999),$DF$36,_xlfn.IFNA(INDEX(DF$13:DF$70,MATCH(1,($BR47=$CV$13:$CV$70)*($BT47=$CX$13:$CX$70)*($CE47=$CY$13:$CY$70)*($BY47=$DA$13:$DA$70)*($CD47=$DH$13:$DH$70),0)),""))</f>
        <v>Base case</v>
      </c>
      <c r="DP47" s="58">
        <f t="shared" si="13"/>
        <v>1</v>
      </c>
      <c r="DW47" s="58" t="s">
        <v>58</v>
      </c>
      <c r="DX47" s="58" t="s">
        <v>554</v>
      </c>
      <c r="DY47" s="58" t="s">
        <v>63</v>
      </c>
      <c r="DZ47" s="58">
        <v>0</v>
      </c>
      <c r="EB47" s="58">
        <v>1</v>
      </c>
      <c r="EC47" s="58">
        <v>1</v>
      </c>
      <c r="ED47" s="58">
        <v>7</v>
      </c>
      <c r="EE47" s="58">
        <v>2</v>
      </c>
      <c r="EF47" s="58">
        <v>2</v>
      </c>
      <c r="EI47" s="58" t="s">
        <v>58</v>
      </c>
      <c r="EJ47" s="58" t="s">
        <v>554</v>
      </c>
      <c r="EK47" s="58" t="s">
        <v>63</v>
      </c>
      <c r="EL47" s="58">
        <v>0</v>
      </c>
      <c r="EN47" s="58">
        <v>1</v>
      </c>
      <c r="EO47" s="58">
        <v>1</v>
      </c>
      <c r="EP47" s="58">
        <v>7</v>
      </c>
      <c r="EQ47" s="58">
        <v>0</v>
      </c>
      <c r="ER47" s="58">
        <v>2</v>
      </c>
      <c r="EU47" s="58" t="str">
        <f t="shared" si="93"/>
        <v>No</v>
      </c>
      <c r="EV47" s="58" t="str">
        <f t="shared" si="94"/>
        <v>Time to treatment discontinuation</v>
      </c>
      <c r="EW47" s="58" t="str">
        <f t="shared" si="95"/>
        <v>FP_NMA</v>
      </c>
      <c r="EX47" s="58">
        <f t="shared" si="96"/>
        <v>0</v>
      </c>
      <c r="EZ47" s="58">
        <f t="shared" si="97"/>
        <v>1</v>
      </c>
      <c r="FA47" s="58">
        <f t="shared" si="98"/>
        <v>1</v>
      </c>
      <c r="FB47" s="58">
        <f>IF(i_eff_inputs_based_on_num=2,ED47,(INDEX(Lists!$L$51:$L$85,MATCH(O47,Lists!$K$51:$K$85,0))))</f>
        <v>7</v>
      </c>
      <c r="FC47" s="58">
        <f>IF(i_eff_inputs_based_on_num=2,EE47,(INDEX(Lists!$L$51:$L$85,MATCH(P47,Lists!$K$51:$K$85,0))))</f>
        <v>2</v>
      </c>
      <c r="FD47" s="58">
        <f>IF(i_eff_inputs_based_on_num=2,EF47,(INDEX(Lists!$L$51:$L$85,MATCH(Q47,Lists!$K$51:$K$85,0))))</f>
        <v>2</v>
      </c>
      <c r="FG47" s="58" t="str">
        <f t="shared" si="99"/>
        <v>No</v>
      </c>
      <c r="FH47" s="58" t="str">
        <f t="shared" si="100"/>
        <v>Time to treatment discontinuation</v>
      </c>
      <c r="FI47" s="58" t="str">
        <f t="shared" si="101"/>
        <v>FP_NMA</v>
      </c>
      <c r="FJ47" s="58">
        <f t="shared" si="102"/>
        <v>0</v>
      </c>
      <c r="FL47" s="58">
        <f t="shared" si="103"/>
        <v>1</v>
      </c>
      <c r="FM47" s="58">
        <f t="shared" si="104"/>
        <v>1</v>
      </c>
      <c r="FN47" s="58">
        <f>IF(i_eff_inputs_based_on_num=2,EP47,(INDEX(Lists!$L$51:$L$85,MATCH(O47,Lists!$K$51:$K$85,0))))</f>
        <v>7</v>
      </c>
      <c r="FO47" s="58">
        <f>IF(i_eff_inputs_based_on_num=2,EQ47,(INDEX(Lists!$L$51:$L$85,MATCH(P47,Lists!$K$51:$K$85,0))))</f>
        <v>0</v>
      </c>
      <c r="FP47" s="58">
        <f>IF(i_eff_inputs_based_on_num=2,ER47,(INDEX(Lists!$L$51:$L$85,MATCH(Q47,Lists!$K$51:$K$85,0))))</f>
        <v>2</v>
      </c>
      <c r="FT47" s="58">
        <f t="shared" si="26"/>
        <v>0</v>
      </c>
      <c r="FW47" s="58" t="str">
        <f>IF(i_baseline_risk_from=2,'Effectiveness settings'!EW47,'Effectiveness settings'!FI47)</f>
        <v>FP_NMA</v>
      </c>
      <c r="FX47" s="58" t="str">
        <f t="shared" si="27"/>
        <v>FP_NMA</v>
      </c>
      <c r="FY47" s="58" t="str">
        <f t="shared" si="28"/>
        <v>FP_NMA</v>
      </c>
      <c r="FZ47" s="58" t="str">
        <f t="shared" si="29"/>
        <v>FP_NMA</v>
      </c>
      <c r="GA47" s="58" t="str">
        <f t="shared" si="30"/>
        <v>FP_NMA</v>
      </c>
      <c r="GB47" s="58" t="str">
        <f t="shared" si="31"/>
        <v>FP_NMA</v>
      </c>
      <c r="GC47" s="58" t="str">
        <f t="shared" si="32"/>
        <v>FP_NMA</v>
      </c>
      <c r="GD47" s="58" t="str">
        <f t="shared" si="33"/>
        <v>FP_NMA</v>
      </c>
      <c r="GE47" s="58" t="str">
        <f>IF(AND(dd_CheckMate214_TTD="Yes",'Effectiveness settings'!BU47=2,'Effectiveness settings'!BX47=2),"Apply HR to",GD47)</f>
        <v>FP_NMA</v>
      </c>
      <c r="GF47" s="58" t="str">
        <f t="shared" si="34"/>
        <v>FP_NMA</v>
      </c>
      <c r="GG47" s="58" t="str">
        <f t="shared" si="35"/>
        <v>FP_NMA</v>
      </c>
      <c r="GH47" s="58" t="str">
        <f t="shared" si="36"/>
        <v>FP_NMA</v>
      </c>
      <c r="GI47" s="58" t="str">
        <f t="shared" si="106"/>
        <v>FP_NMA</v>
      </c>
      <c r="GK47" s="58">
        <f>IF(i_baseline_risk_from=2,'Effectiveness settings'!FA47,'Effectiveness settings'!FM47)</f>
        <v>1</v>
      </c>
      <c r="GL47" s="58">
        <f>IF(i_baseline_risk_from=2,'Effectiveness settings'!FB47,'Effectiveness settings'!FN47)</f>
        <v>7</v>
      </c>
      <c r="GM47" s="58">
        <f>IF(i_baseline_risk_from=2,'Effectiveness settings'!FC47,'Effectiveness settings'!FO47)</f>
        <v>2</v>
      </c>
      <c r="GN47" s="58">
        <f>IF(i_baseline_risk_from=2,'Effectiveness settings'!FD47,'Effectiveness settings'!FP47)</f>
        <v>2</v>
      </c>
      <c r="GQ47" s="58">
        <f t="shared" si="38"/>
        <v>7</v>
      </c>
      <c r="GR47" s="58">
        <f t="shared" si="39"/>
        <v>7</v>
      </c>
      <c r="GS47" s="58">
        <f t="shared" si="40"/>
        <v>7</v>
      </c>
      <c r="GT47" s="58">
        <f t="shared" si="41"/>
        <v>7</v>
      </c>
      <c r="GU47" s="58">
        <f>IF(AND(dd_CheckMate214_TTD="Yes",'Effectiveness settings'!BU47=2,'Effectiveness settings'!BX47=2),2,GT47)</f>
        <v>7</v>
      </c>
      <c r="GV47" s="58">
        <f t="shared" si="42"/>
        <v>7</v>
      </c>
      <c r="GW47" s="58">
        <f t="shared" si="43"/>
        <v>7</v>
      </c>
      <c r="GY47" s="58">
        <f>IF(AND(dd_CheckMate214_TTD="Yes",'Effectiveness settings'!BU47=2,'Effectiveness settings'!BX47=2),1,GN47)</f>
        <v>2</v>
      </c>
      <c r="GZ47" s="58">
        <f t="shared" si="44"/>
        <v>2</v>
      </c>
      <c r="HB47" s="58">
        <f t="shared" si="45"/>
        <v>1</v>
      </c>
      <c r="HD47" s="58">
        <f t="shared" si="107"/>
        <v>1</v>
      </c>
      <c r="HE47" s="58">
        <f t="shared" si="108"/>
        <v>1</v>
      </c>
      <c r="HF47" s="58">
        <f t="shared" si="109"/>
        <v>7</v>
      </c>
      <c r="HG47" s="58">
        <f t="shared" si="110"/>
        <v>2</v>
      </c>
      <c r="HH47" s="58">
        <f t="shared" si="111"/>
        <v>2</v>
      </c>
    </row>
    <row r="48" spans="1:216" ht="15.75" x14ac:dyDescent="0.25">
      <c r="D48" s="58" t="str">
        <v>pazopanib</v>
      </c>
      <c r="I48" s="64" t="s">
        <v>74</v>
      </c>
      <c r="J48" s="519" t="s">
        <v>554</v>
      </c>
      <c r="K48" s="524" t="s">
        <v>67</v>
      </c>
      <c r="L48" s="519"/>
      <c r="M48" s="516" t="s">
        <v>545</v>
      </c>
      <c r="N48" s="64" t="s">
        <v>546</v>
      </c>
      <c r="O48" s="64" t="s">
        <v>117</v>
      </c>
      <c r="P48" s="64" t="s">
        <v>547</v>
      </c>
      <c r="Q48" s="519" t="s">
        <v>554</v>
      </c>
      <c r="R48" s="516" t="s">
        <v>548</v>
      </c>
      <c r="S48" s="497"/>
      <c r="T48" s="497"/>
      <c r="U48" s="497"/>
      <c r="Y48" s="517"/>
      <c r="AA48" s="517"/>
      <c r="AF48" s="517"/>
      <c r="AM48" s="517"/>
      <c r="AO48" s="517"/>
      <c r="AT48" s="517"/>
      <c r="AV48" s="511"/>
      <c r="AW48" s="511"/>
      <c r="AX48" s="511"/>
      <c r="BA48" s="517"/>
      <c r="BC48" s="517"/>
      <c r="BH48" s="517"/>
      <c r="BJ48" s="511"/>
      <c r="BK48" s="511"/>
      <c r="BL48" s="511"/>
      <c r="BQ48" s="58">
        <f t="shared" si="0"/>
        <v>34</v>
      </c>
      <c r="BR48" s="17">
        <v>1</v>
      </c>
      <c r="BS48" s="17" t="s">
        <v>549</v>
      </c>
      <c r="BT48" s="17">
        <v>1</v>
      </c>
      <c r="BU48" s="17">
        <v>5</v>
      </c>
      <c r="BV48" s="17" t="str">
        <f t="shared" si="81"/>
        <v>pazopanib</v>
      </c>
      <c r="BW48" s="1006" t="str" cm="1">
        <f t="array" ref="BW48">IF(I48="No",I48,INDEX(List_incl_anal_1L_PorI,IF(BU48=999,35,BU48+1)))</f>
        <v>Yes</v>
      </c>
      <c r="BX48" s="61">
        <f t="shared" si="82"/>
        <v>2</v>
      </c>
      <c r="BY48" s="531" t="str">
        <f t="shared" ref="BY48:BY56" si="113">J48</f>
        <v>Time to treatment discontinuation</v>
      </c>
      <c r="BZ48" s="530" t="str">
        <f t="shared" si="83"/>
        <v>Assume equal to</v>
      </c>
      <c r="CA48" s="531">
        <f t="shared" si="105"/>
        <v>0</v>
      </c>
      <c r="CB48" s="530">
        <f t="shared" si="84"/>
        <v>1</v>
      </c>
      <c r="CC48" s="530">
        <f t="shared" si="85"/>
        <v>1</v>
      </c>
      <c r="CD48" s="530">
        <f t="shared" si="86"/>
        <v>7</v>
      </c>
      <c r="CE48" s="1295">
        <f t="shared" si="87"/>
        <v>2</v>
      </c>
      <c r="CF48" s="1301">
        <f t="shared" si="88"/>
        <v>2</v>
      </c>
      <c r="CG48" s="530" t="str">
        <f t="shared" si="89"/>
        <v>Log-logistic</v>
      </c>
      <c r="CH48" s="61">
        <f t="shared" si="90"/>
        <v>0</v>
      </c>
      <c r="CI48" s="61">
        <f t="shared" si="91"/>
        <v>0</v>
      </c>
      <c r="CJ48" s="61">
        <f t="shared" si="92"/>
        <v>0</v>
      </c>
      <c r="CV48" s="940">
        <v>0</v>
      </c>
      <c r="CW48" s="940" t="s">
        <v>31</v>
      </c>
      <c r="CX48" s="940">
        <v>1</v>
      </c>
      <c r="CY48" s="940">
        <v>0</v>
      </c>
      <c r="CZ48" s="940" t="str" cm="1">
        <f t="array" ref="CZ48">INDEX(List_trials,CY48+1)</f>
        <v>CheckMate 9ER</v>
      </c>
      <c r="DA48" s="941" t="s">
        <v>552</v>
      </c>
      <c r="DB48" s="941" t="s">
        <v>548</v>
      </c>
      <c r="DC48" s="941" t="s">
        <v>553</v>
      </c>
      <c r="DD48" s="942"/>
      <c r="DE48" s="941"/>
      <c r="DF48" s="941" t="s">
        <v>103</v>
      </c>
      <c r="DG48" s="941" t="s">
        <v>117</v>
      </c>
      <c r="DH48" s="58">
        <f t="shared" si="112"/>
        <v>7</v>
      </c>
      <c r="DK48" s="58" t="str" cm="1">
        <f t="array" ref="DK48">IF(AND($BT48=4,$BX48=4,$BU48=999),$DB$36,_xlfn.IFNA(INDEX(DB$13:DB$70,MATCH(1,($BR48=$CV$13:$CV$70)*($BT48=$CX$13:$CX$70)*($CE48=$CY$13:$CY$70)*($BY48=$DA$13:$DA$70)*($CD48=$DH$13:$DH$70),0)),""))</f>
        <v>Log-logistic</v>
      </c>
      <c r="DL48" s="58" t="str" cm="1">
        <f t="array" ref="DL48">IF(AND($BT48=4,$BX48=4,$BU48=999),$DC$36,_xlfn.IFNA(INDEX(CHOOSE(DP48,DB$13:DB$70,DC$13:DC$70,DD$13:DD$70,DE$13:DE$70),MATCH(1,($BR48=$CV$13:$CV$70)*($BT48=$CX$13:$CX$70)*($CE48=$CY$13:$CY$70)*($BY48=$DA$13:$DA$70)*($CD48=$DH$13:$DH$70),0)),""))</f>
        <v>Log-logistic</v>
      </c>
      <c r="DM48" s="740" cm="1">
        <f t="array" ref="DM48">IF(AND($BT48=4,$BX48=4,$BU48=999),$DD$36,_xlfn.IFNA(INDEX(DD$13:DD$68,MATCH(1,($BR48=$CV$13:$CV$68)*($BT48=$CX$13:$CX$68)*($CE48=$CY$13:$CY$68)*($BY48=$DA$13:$DA$68)*($CD48=$DH$13:$DH$68),0)),""))</f>
        <v>0</v>
      </c>
      <c r="DN48" s="740" cm="1">
        <f t="array" ref="DN48">IF(AND($BT48=4,$BX48=4,$BU48=999),$DD$36,_xlfn.IFNA(INDEX(DE$13:DE$68,MATCH(1,($BR48=$CV$13:$CV$68)*($BT48=$CX$13:$CX$68)*($CE48=$CY$13:$CY$68)*($BY48=$DA$13:$DA$68)*($CD48=$DH$13:$DH$68),0)),""))</f>
        <v>0</v>
      </c>
      <c r="DO48" s="58" t="str" cm="1">
        <f t="array" ref="DO48">IF(AND($BT48=4,$BX48=4,$BU48=999),$DF$36,_xlfn.IFNA(INDEX(DF$13:DF$70,MATCH(1,($BR48=$CV$13:$CV$70)*($BT48=$CX$13:$CX$70)*($CE48=$CY$13:$CY$70)*($BY48=$DA$13:$DA$70)*($CD48=$DH$13:$DH$70),0)),""))</f>
        <v>Base case</v>
      </c>
      <c r="DP48" s="58">
        <f t="shared" si="13"/>
        <v>1</v>
      </c>
      <c r="DW48" s="58" t="s">
        <v>74</v>
      </c>
      <c r="DX48" s="58" t="s">
        <v>554</v>
      </c>
      <c r="DY48" s="58" t="s">
        <v>67</v>
      </c>
      <c r="DZ48" s="58">
        <v>0</v>
      </c>
      <c r="EB48" s="58">
        <v>1</v>
      </c>
      <c r="EC48" s="58">
        <v>1</v>
      </c>
      <c r="ED48" s="58">
        <v>7</v>
      </c>
      <c r="EE48" s="58">
        <v>2</v>
      </c>
      <c r="EF48" s="58">
        <v>2</v>
      </c>
      <c r="EI48" s="58" t="s">
        <v>74</v>
      </c>
      <c r="EJ48" s="58" t="s">
        <v>554</v>
      </c>
      <c r="EK48" s="58" t="s">
        <v>67</v>
      </c>
      <c r="EL48" s="58">
        <v>0</v>
      </c>
      <c r="EN48" s="58">
        <v>1</v>
      </c>
      <c r="EO48" s="58">
        <v>1</v>
      </c>
      <c r="EP48" s="58">
        <v>7</v>
      </c>
      <c r="EQ48" s="58">
        <v>0</v>
      </c>
      <c r="ER48" s="58">
        <v>2</v>
      </c>
      <c r="EU48" s="58" t="str">
        <f t="shared" si="93"/>
        <v>Yes</v>
      </c>
      <c r="EV48" s="58" t="str">
        <f t="shared" si="94"/>
        <v>Time to treatment discontinuation</v>
      </c>
      <c r="EW48" s="58" t="str">
        <f t="shared" si="95"/>
        <v>PH_NMA</v>
      </c>
      <c r="EX48" s="58">
        <f t="shared" si="96"/>
        <v>0</v>
      </c>
      <c r="EZ48" s="58">
        <f t="shared" si="97"/>
        <v>1</v>
      </c>
      <c r="FA48" s="58">
        <f t="shared" si="98"/>
        <v>1</v>
      </c>
      <c r="FB48" s="58">
        <f>IF(i_eff_inputs_based_on_num=2,ED48,(INDEX(Lists!$L$51:$L$85,MATCH(O48,Lists!$K$51:$K$85,0))))</f>
        <v>7</v>
      </c>
      <c r="FC48" s="58">
        <f>IF(i_eff_inputs_based_on_num=2,EE48,(INDEX(Lists!$L$51:$L$85,MATCH(P48,Lists!$K$51:$K$85,0))))</f>
        <v>2</v>
      </c>
      <c r="FD48" s="58">
        <f>IF(i_eff_inputs_based_on_num=2,EF48,(INDEX(Lists!$L$51:$L$85,MATCH(Q48,Lists!$K$51:$K$85,0))))</f>
        <v>2</v>
      </c>
      <c r="FG48" s="58" t="str">
        <f t="shared" si="99"/>
        <v>Yes</v>
      </c>
      <c r="FH48" s="58" t="str">
        <f t="shared" si="100"/>
        <v>Time to treatment discontinuation</v>
      </c>
      <c r="FI48" s="58" t="str">
        <f t="shared" si="101"/>
        <v>PH_NMA</v>
      </c>
      <c r="FJ48" s="58">
        <f t="shared" si="102"/>
        <v>0</v>
      </c>
      <c r="FL48" s="58">
        <f t="shared" si="103"/>
        <v>1</v>
      </c>
      <c r="FM48" s="58">
        <f t="shared" si="104"/>
        <v>1</v>
      </c>
      <c r="FN48" s="58">
        <f>IF(i_eff_inputs_based_on_num=2,EP48,(INDEX(Lists!$L$51:$L$85,MATCH(O48,Lists!$K$51:$K$85,0))))</f>
        <v>7</v>
      </c>
      <c r="FO48" s="58">
        <f>IF(i_eff_inputs_based_on_num=2,EQ48,(INDEX(Lists!$L$51:$L$85,MATCH(P48,Lists!$K$51:$K$85,0))))</f>
        <v>0</v>
      </c>
      <c r="FP48" s="58">
        <f>IF(i_eff_inputs_based_on_num=2,ER48,(INDEX(Lists!$L$51:$L$85,MATCH(Q48,Lists!$K$51:$K$85,0))))</f>
        <v>2</v>
      </c>
      <c r="FT48" s="58">
        <f t="shared" si="26"/>
        <v>0</v>
      </c>
      <c r="FW48" s="58" t="str">
        <f>IF(i_baseline_risk_from=2,'Effectiveness settings'!EW48,'Effectiveness settings'!FI48)</f>
        <v>PH_NMA</v>
      </c>
      <c r="FX48" s="58" t="str">
        <f t="shared" si="27"/>
        <v>PH_NMA</v>
      </c>
      <c r="FY48" s="58" t="str">
        <f t="shared" si="28"/>
        <v>PH_NMA</v>
      </c>
      <c r="FZ48" s="58" t="str">
        <f t="shared" si="29"/>
        <v>Assume equal to</v>
      </c>
      <c r="GA48" s="58" t="str">
        <f t="shared" si="30"/>
        <v>Assume equal to</v>
      </c>
      <c r="GB48" s="58" t="str">
        <f t="shared" si="31"/>
        <v>Assume equal to</v>
      </c>
      <c r="GC48" s="58" t="str">
        <f t="shared" si="32"/>
        <v>Assume equal to</v>
      </c>
      <c r="GD48" s="58" t="str">
        <f t="shared" si="33"/>
        <v>Assume equal to</v>
      </c>
      <c r="GE48" s="58" t="str">
        <f>IF(AND(dd_CheckMate214_TTD="Yes",'Effectiveness settings'!BU48=2,'Effectiveness settings'!BX48=2),"Apply HR to",GD48)</f>
        <v>Assume equal to</v>
      </c>
      <c r="GF48" s="58" t="str">
        <f t="shared" si="34"/>
        <v>Assume equal to</v>
      </c>
      <c r="GG48" s="58" t="str">
        <f t="shared" si="35"/>
        <v>Assume equal to</v>
      </c>
      <c r="GH48" s="58" t="str">
        <f t="shared" si="36"/>
        <v>Assume equal to</v>
      </c>
      <c r="GI48" s="58" t="str">
        <f t="shared" si="106"/>
        <v>Assume equal to</v>
      </c>
      <c r="GK48" s="58">
        <f>IF(i_baseline_risk_from=2,'Effectiveness settings'!FA48,'Effectiveness settings'!FM48)</f>
        <v>1</v>
      </c>
      <c r="GL48" s="58">
        <f>IF(i_baseline_risk_from=2,'Effectiveness settings'!FB48,'Effectiveness settings'!FN48)</f>
        <v>7</v>
      </c>
      <c r="GM48" s="58">
        <f>IF(i_baseline_risk_from=2,'Effectiveness settings'!FC48,'Effectiveness settings'!FO48)</f>
        <v>2</v>
      </c>
      <c r="GN48" s="58">
        <f>IF(i_baseline_risk_from=2,'Effectiveness settings'!FD48,'Effectiveness settings'!FP48)</f>
        <v>2</v>
      </c>
      <c r="GQ48" s="58">
        <f t="shared" si="38"/>
        <v>7</v>
      </c>
      <c r="GR48" s="58">
        <f t="shared" si="39"/>
        <v>7</v>
      </c>
      <c r="GS48" s="58">
        <f t="shared" si="40"/>
        <v>7</v>
      </c>
      <c r="GT48" s="58">
        <f t="shared" si="41"/>
        <v>7</v>
      </c>
      <c r="GU48" s="58">
        <f>IF(AND(dd_CheckMate214_TTD="Yes",'Effectiveness settings'!BU48=2,'Effectiveness settings'!BX48=2),2,GT48)</f>
        <v>7</v>
      </c>
      <c r="GV48" s="58">
        <f t="shared" si="42"/>
        <v>7</v>
      </c>
      <c r="GW48" s="58">
        <f t="shared" si="43"/>
        <v>7</v>
      </c>
      <c r="GY48" s="58">
        <f>IF(AND(dd_CheckMate214_TTD="Yes",'Effectiveness settings'!BU48=2,'Effectiveness settings'!BX48=2),1,GN48)</f>
        <v>2</v>
      </c>
      <c r="GZ48" s="58">
        <f t="shared" si="44"/>
        <v>2</v>
      </c>
      <c r="HB48" s="58">
        <f t="shared" si="45"/>
        <v>1</v>
      </c>
      <c r="HD48" s="58">
        <f t="shared" si="107"/>
        <v>1</v>
      </c>
      <c r="HE48" s="58">
        <f t="shared" si="108"/>
        <v>1</v>
      </c>
      <c r="HF48" s="58">
        <f t="shared" si="109"/>
        <v>7</v>
      </c>
      <c r="HG48" s="58">
        <f t="shared" si="110"/>
        <v>2</v>
      </c>
      <c r="HH48" s="58">
        <f t="shared" si="111"/>
        <v>2</v>
      </c>
    </row>
    <row r="49" spans="1:216" ht="15.75" x14ac:dyDescent="0.25">
      <c r="D49" s="58" t="str">
        <v>tivozanib</v>
      </c>
      <c r="I49" s="64" t="s">
        <v>74</v>
      </c>
      <c r="J49" s="519" t="s">
        <v>554</v>
      </c>
      <c r="K49" s="524" t="s">
        <v>67</v>
      </c>
      <c r="L49" s="519"/>
      <c r="M49" s="516" t="s">
        <v>545</v>
      </c>
      <c r="N49" s="64" t="s">
        <v>546</v>
      </c>
      <c r="O49" s="64" t="s">
        <v>117</v>
      </c>
      <c r="P49" s="64" t="s">
        <v>547</v>
      </c>
      <c r="Q49" s="519" t="s">
        <v>554</v>
      </c>
      <c r="R49" s="516" t="s">
        <v>548</v>
      </c>
      <c r="S49" s="497"/>
      <c r="T49" s="497"/>
      <c r="U49" s="497"/>
      <c r="Y49" s="517"/>
      <c r="AA49" s="517"/>
      <c r="AF49" s="517"/>
      <c r="AM49" s="517"/>
      <c r="AO49" s="517"/>
      <c r="AT49" s="517"/>
      <c r="AV49" s="511"/>
      <c r="AW49" s="511"/>
      <c r="AX49" s="511"/>
      <c r="BA49" s="517"/>
      <c r="BC49" s="517"/>
      <c r="BH49" s="517"/>
      <c r="BJ49" s="511"/>
      <c r="BK49" s="511"/>
      <c r="BL49" s="511"/>
      <c r="BQ49" s="58">
        <f t="shared" si="0"/>
        <v>35</v>
      </c>
      <c r="BR49" s="17">
        <v>1</v>
      </c>
      <c r="BS49" s="17" t="s">
        <v>549</v>
      </c>
      <c r="BT49" s="17">
        <v>1</v>
      </c>
      <c r="BU49" s="17">
        <v>6</v>
      </c>
      <c r="BV49" s="17" t="str">
        <f t="shared" si="81"/>
        <v>tivozanib</v>
      </c>
      <c r="BW49" s="1006" t="str" cm="1">
        <f t="array" ref="BW49">IF(I49="No",I49,INDEX(List_incl_anal_1L_PorI,IF(BU49=999,35,BU49+1)))</f>
        <v>Yes</v>
      </c>
      <c r="BX49" s="61">
        <f t="shared" si="82"/>
        <v>2</v>
      </c>
      <c r="BY49" s="531" t="str">
        <f t="shared" si="113"/>
        <v>Time to treatment discontinuation</v>
      </c>
      <c r="BZ49" s="530" t="str">
        <f t="shared" si="83"/>
        <v>Assume equal to</v>
      </c>
      <c r="CA49" s="531">
        <f t="shared" si="105"/>
        <v>0</v>
      </c>
      <c r="CB49" s="530">
        <f t="shared" si="84"/>
        <v>1</v>
      </c>
      <c r="CC49" s="530">
        <f t="shared" si="85"/>
        <v>1</v>
      </c>
      <c r="CD49" s="530">
        <f t="shared" si="86"/>
        <v>7</v>
      </c>
      <c r="CE49" s="1295">
        <f t="shared" si="87"/>
        <v>2</v>
      </c>
      <c r="CF49" s="1301">
        <f t="shared" si="88"/>
        <v>2</v>
      </c>
      <c r="CG49" s="530" t="str">
        <f t="shared" si="89"/>
        <v>Log-logistic</v>
      </c>
      <c r="CH49" s="61">
        <f t="shared" si="90"/>
        <v>0</v>
      </c>
      <c r="CI49" s="61">
        <f t="shared" si="91"/>
        <v>0</v>
      </c>
      <c r="CJ49" s="61">
        <f t="shared" si="92"/>
        <v>0</v>
      </c>
      <c r="CV49" s="940">
        <v>0</v>
      </c>
      <c r="CW49" s="940" t="s">
        <v>31</v>
      </c>
      <c r="CX49" s="940">
        <v>1</v>
      </c>
      <c r="CY49" s="940">
        <v>0</v>
      </c>
      <c r="CZ49" s="940" t="str" cm="1">
        <f t="array" ref="CZ49">INDEX(List_trials,CY49+1)</f>
        <v>CheckMate 9ER</v>
      </c>
      <c r="DA49" s="941" t="s">
        <v>554</v>
      </c>
      <c r="DB49" s="941" t="s">
        <v>551</v>
      </c>
      <c r="DC49" s="941" t="s">
        <v>568</v>
      </c>
      <c r="DD49" s="942" t="s">
        <v>563</v>
      </c>
      <c r="DE49" s="941"/>
      <c r="DF49" s="941" t="s">
        <v>103</v>
      </c>
      <c r="DG49" s="941" t="s">
        <v>117</v>
      </c>
      <c r="DH49" s="58">
        <f t="shared" si="112"/>
        <v>7</v>
      </c>
      <c r="DK49" s="58" t="str" cm="1">
        <f t="array" ref="DK49">IF(AND($BT49=4,$BX49=4,$BU49=999),$DB$36,_xlfn.IFNA(INDEX(DB$13:DB$70,MATCH(1,($BR49=$CV$13:$CV$70)*($BT49=$CX$13:$CX$70)*($CE49=$CY$13:$CY$70)*($BY49=$DA$13:$DA$70)*($CD49=$DH$13:$DH$70),0)),""))</f>
        <v>Log-logistic</v>
      </c>
      <c r="DL49" s="58" t="str" cm="1">
        <f t="array" ref="DL49">IF(AND($BT49=4,$BX49=4,$BU49=999),$DC$36,_xlfn.IFNA(INDEX(CHOOSE(DP49,DB$13:DB$70,DC$13:DC$70,DD$13:DD$70,DE$13:DE$70),MATCH(1,($BR49=$CV$13:$CV$70)*($BT49=$CX$13:$CX$70)*($CE49=$CY$13:$CY$70)*($BY49=$DA$13:$DA$70)*($CD49=$DH$13:$DH$70),0)),""))</f>
        <v>Log-logistic</v>
      </c>
      <c r="DM49" s="740" cm="1">
        <f t="array" ref="DM49">IF(AND($BT49=4,$BX49=4,$BU49=999),$DD$36,_xlfn.IFNA(INDEX(DD$13:DD$68,MATCH(1,($BR49=$CV$13:$CV$68)*($BT49=$CX$13:$CX$68)*($CE49=$CY$13:$CY$68)*($BY49=$DA$13:$DA$68)*($CD49=$DH$13:$DH$68),0)),""))</f>
        <v>0</v>
      </c>
      <c r="DN49" s="740" cm="1">
        <f t="array" ref="DN49">IF(AND($BT49=4,$BX49=4,$BU49=999),$DD$36,_xlfn.IFNA(INDEX(DE$13:DE$68,MATCH(1,($BR49=$CV$13:$CV$68)*($BT49=$CX$13:$CX$68)*($CE49=$CY$13:$CY$68)*($BY49=$DA$13:$DA$68)*($CD49=$DH$13:$DH$68),0)),""))</f>
        <v>0</v>
      </c>
      <c r="DO49" s="58" t="str" cm="1">
        <f t="array" ref="DO49">IF(AND($BT49=4,$BX49=4,$BU49=999),$DF$36,_xlfn.IFNA(INDEX(DF$13:DF$70,MATCH(1,($BR49=$CV$13:$CV$70)*($BT49=$CX$13:$CX$70)*($CE49=$CY$13:$CY$70)*($BY49=$DA$13:$DA$70)*($CD49=$DH$13:$DH$70),0)),""))</f>
        <v>Base case</v>
      </c>
      <c r="DP49" s="58">
        <f t="shared" si="13"/>
        <v>1</v>
      </c>
      <c r="DW49" s="58" t="s">
        <v>74</v>
      </c>
      <c r="DX49" s="58" t="s">
        <v>554</v>
      </c>
      <c r="DY49" s="58" t="s">
        <v>67</v>
      </c>
      <c r="DZ49" s="58">
        <v>0</v>
      </c>
      <c r="EB49" s="58">
        <v>1</v>
      </c>
      <c r="EC49" s="58">
        <v>1</v>
      </c>
      <c r="ED49" s="58">
        <v>7</v>
      </c>
      <c r="EE49" s="58">
        <v>2</v>
      </c>
      <c r="EF49" s="58">
        <v>2</v>
      </c>
      <c r="EI49" s="58" t="s">
        <v>74</v>
      </c>
      <c r="EJ49" s="58" t="s">
        <v>554</v>
      </c>
      <c r="EK49" s="58" t="s">
        <v>67</v>
      </c>
      <c r="EL49" s="58">
        <v>0</v>
      </c>
      <c r="EN49" s="58">
        <v>1</v>
      </c>
      <c r="EO49" s="58">
        <v>1</v>
      </c>
      <c r="EP49" s="58">
        <v>7</v>
      </c>
      <c r="EQ49" s="58">
        <v>0</v>
      </c>
      <c r="ER49" s="58">
        <v>2</v>
      </c>
      <c r="EU49" s="58" t="str">
        <f t="shared" si="93"/>
        <v>Yes</v>
      </c>
      <c r="EV49" s="58" t="str">
        <f t="shared" si="94"/>
        <v>Time to treatment discontinuation</v>
      </c>
      <c r="EW49" s="58" t="str">
        <f t="shared" si="95"/>
        <v>PH_NMA</v>
      </c>
      <c r="EX49" s="58">
        <f t="shared" si="96"/>
        <v>0</v>
      </c>
      <c r="EZ49" s="58">
        <f t="shared" si="97"/>
        <v>1</v>
      </c>
      <c r="FA49" s="58">
        <f t="shared" si="98"/>
        <v>1</v>
      </c>
      <c r="FB49" s="58">
        <f>IF(i_eff_inputs_based_on_num=2,ED49,(INDEX(Lists!$L$51:$L$85,MATCH(O49,Lists!$K$51:$K$85,0))))</f>
        <v>7</v>
      </c>
      <c r="FC49" s="58">
        <f>IF(i_eff_inputs_based_on_num=2,EE49,(INDEX(Lists!$L$51:$L$85,MATCH(P49,Lists!$K$51:$K$85,0))))</f>
        <v>2</v>
      </c>
      <c r="FD49" s="58">
        <f>IF(i_eff_inputs_based_on_num=2,EF49,(INDEX(Lists!$L$51:$L$85,MATCH(Q49,Lists!$K$51:$K$85,0))))</f>
        <v>2</v>
      </c>
      <c r="FG49" s="58" t="str">
        <f t="shared" si="99"/>
        <v>Yes</v>
      </c>
      <c r="FH49" s="58" t="str">
        <f t="shared" si="100"/>
        <v>Time to treatment discontinuation</v>
      </c>
      <c r="FI49" s="58" t="str">
        <f t="shared" si="101"/>
        <v>PH_NMA</v>
      </c>
      <c r="FJ49" s="58">
        <f t="shared" si="102"/>
        <v>0</v>
      </c>
      <c r="FL49" s="58">
        <f t="shared" si="103"/>
        <v>1</v>
      </c>
      <c r="FM49" s="58">
        <f t="shared" si="104"/>
        <v>1</v>
      </c>
      <c r="FN49" s="58">
        <f>IF(i_eff_inputs_based_on_num=2,EP49,(INDEX(Lists!$L$51:$L$85,MATCH(O49,Lists!$K$51:$K$85,0))))</f>
        <v>7</v>
      </c>
      <c r="FO49" s="58">
        <f>IF(i_eff_inputs_based_on_num=2,EQ49,(INDEX(Lists!$L$51:$L$85,MATCH(P49,Lists!$K$51:$K$85,0))))</f>
        <v>0</v>
      </c>
      <c r="FP49" s="58">
        <f>IF(i_eff_inputs_based_on_num=2,ER49,(INDEX(Lists!$L$51:$L$85,MATCH(Q49,Lists!$K$51:$K$85,0))))</f>
        <v>2</v>
      </c>
      <c r="FT49" s="58">
        <f t="shared" si="26"/>
        <v>0</v>
      </c>
      <c r="FW49" s="58" t="str">
        <f>IF(i_baseline_risk_from=2,'Effectiveness settings'!EW49,'Effectiveness settings'!FI49)</f>
        <v>PH_NMA</v>
      </c>
      <c r="FX49" s="58" t="str">
        <f t="shared" si="27"/>
        <v>PH_NMA</v>
      </c>
      <c r="FY49" s="58" t="str">
        <f t="shared" si="28"/>
        <v>PH_NMA</v>
      </c>
      <c r="FZ49" s="58" t="str">
        <f t="shared" si="29"/>
        <v>PH_NMA</v>
      </c>
      <c r="GA49" s="58" t="str">
        <f t="shared" si="30"/>
        <v>Assume equal to</v>
      </c>
      <c r="GB49" s="58" t="str">
        <f t="shared" si="31"/>
        <v>Assume equal to</v>
      </c>
      <c r="GC49" s="58" t="str">
        <f t="shared" si="32"/>
        <v>Assume equal to</v>
      </c>
      <c r="GD49" s="58" t="str">
        <f t="shared" si="33"/>
        <v>Assume equal to</v>
      </c>
      <c r="GE49" s="58" t="str">
        <f>IF(AND(dd_CheckMate214_TTD="Yes",'Effectiveness settings'!BU49=2,'Effectiveness settings'!BX49=2),"Apply HR to",GD49)</f>
        <v>Assume equal to</v>
      </c>
      <c r="GF49" s="58" t="str">
        <f t="shared" si="34"/>
        <v>Assume equal to</v>
      </c>
      <c r="GG49" s="58" t="str">
        <f t="shared" si="35"/>
        <v>Assume equal to</v>
      </c>
      <c r="GH49" s="58" t="str">
        <f t="shared" si="36"/>
        <v>Assume equal to</v>
      </c>
      <c r="GI49" s="58" t="str">
        <f t="shared" si="106"/>
        <v>Assume equal to</v>
      </c>
      <c r="GK49" s="58">
        <f>IF(i_baseline_risk_from=2,'Effectiveness settings'!FA49,'Effectiveness settings'!FM49)</f>
        <v>1</v>
      </c>
      <c r="GL49" s="58">
        <f>IF(i_baseline_risk_from=2,'Effectiveness settings'!FB49,'Effectiveness settings'!FN49)</f>
        <v>7</v>
      </c>
      <c r="GM49" s="58">
        <f>IF(i_baseline_risk_from=2,'Effectiveness settings'!FC49,'Effectiveness settings'!FO49)</f>
        <v>2</v>
      </c>
      <c r="GN49" s="58">
        <f>IF(i_baseline_risk_from=2,'Effectiveness settings'!FD49,'Effectiveness settings'!FP49)</f>
        <v>2</v>
      </c>
      <c r="GQ49" s="58">
        <f t="shared" si="38"/>
        <v>7</v>
      </c>
      <c r="GR49" s="58">
        <f t="shared" si="39"/>
        <v>7</v>
      </c>
      <c r="GS49" s="58">
        <f t="shared" si="40"/>
        <v>7</v>
      </c>
      <c r="GT49" s="58">
        <f t="shared" si="41"/>
        <v>7</v>
      </c>
      <c r="GU49" s="58">
        <f>IF(AND(dd_CheckMate214_TTD="Yes",'Effectiveness settings'!BU49=2,'Effectiveness settings'!BX49=2),2,GT49)</f>
        <v>7</v>
      </c>
      <c r="GV49" s="58">
        <f t="shared" si="42"/>
        <v>7</v>
      </c>
      <c r="GW49" s="58">
        <f t="shared" si="43"/>
        <v>7</v>
      </c>
      <c r="GY49" s="58">
        <f>IF(AND(dd_CheckMate214_TTD="Yes",'Effectiveness settings'!BU49=2,'Effectiveness settings'!BX49=2),1,GN49)</f>
        <v>2</v>
      </c>
      <c r="GZ49" s="58">
        <f t="shared" si="44"/>
        <v>2</v>
      </c>
      <c r="HB49" s="58">
        <f t="shared" si="45"/>
        <v>1</v>
      </c>
      <c r="HD49" s="58">
        <f t="shared" si="107"/>
        <v>1</v>
      </c>
      <c r="HE49" s="58">
        <f t="shared" si="108"/>
        <v>1</v>
      </c>
      <c r="HF49" s="58">
        <f t="shared" si="109"/>
        <v>7</v>
      </c>
      <c r="HG49" s="58">
        <f t="shared" si="110"/>
        <v>2</v>
      </c>
      <c r="HH49" s="58">
        <f t="shared" si="111"/>
        <v>2</v>
      </c>
    </row>
    <row r="50" spans="1:216" ht="15.75" x14ac:dyDescent="0.25">
      <c r="A50" s="58" t="s">
        <v>570</v>
      </c>
      <c r="D50" s="58" t="str">
        <v>sunitinib</v>
      </c>
      <c r="I50" s="64" t="s">
        <v>74</v>
      </c>
      <c r="J50" s="519" t="s">
        <v>554</v>
      </c>
      <c r="K50" s="524" t="s">
        <v>562</v>
      </c>
      <c r="L50" s="519" t="s">
        <v>547</v>
      </c>
      <c r="M50" s="516" t="s">
        <v>545</v>
      </c>
      <c r="N50" s="64" t="s">
        <v>546</v>
      </c>
      <c r="O50" s="64" t="s">
        <v>117</v>
      </c>
      <c r="P50" s="64" t="s">
        <v>547</v>
      </c>
      <c r="Q50" s="519" t="s">
        <v>554</v>
      </c>
      <c r="R50" s="516" t="s">
        <v>548</v>
      </c>
      <c r="S50" s="497"/>
      <c r="T50" s="497"/>
      <c r="U50" s="497"/>
      <c r="Y50" s="517"/>
      <c r="AA50" s="517"/>
      <c r="AF50" s="517"/>
      <c r="AM50" s="517"/>
      <c r="AO50" s="517"/>
      <c r="AT50" s="517"/>
      <c r="AV50" s="511"/>
      <c r="AW50" s="511"/>
      <c r="AX50" s="511"/>
      <c r="BA50" s="517"/>
      <c r="BC50" s="517"/>
      <c r="BH50" s="517"/>
      <c r="BJ50" s="511"/>
      <c r="BK50" s="511"/>
      <c r="BL50" s="511"/>
      <c r="BQ50" s="58">
        <f t="shared" si="0"/>
        <v>36</v>
      </c>
      <c r="BR50" s="17">
        <v>1</v>
      </c>
      <c r="BS50" s="17" t="s">
        <v>549</v>
      </c>
      <c r="BT50" s="17">
        <v>1</v>
      </c>
      <c r="BU50" s="17">
        <v>7</v>
      </c>
      <c r="BV50" s="17" t="str">
        <f t="shared" si="81"/>
        <v>sunitinib</v>
      </c>
      <c r="BW50" s="1006" t="str" cm="1">
        <f t="array" ref="BW50">IF(I50="No",I50,INDEX(List_incl_anal_1L_PorI,IF(BU50=999,35,BU50+1)))</f>
        <v>Yes</v>
      </c>
      <c r="BX50" s="61">
        <f t="shared" si="82"/>
        <v>2</v>
      </c>
      <c r="BY50" s="531" t="str">
        <f t="shared" si="113"/>
        <v>Time to treatment discontinuation</v>
      </c>
      <c r="BZ50" s="530" t="str">
        <f t="shared" si="83"/>
        <v>Trial survival analysis</v>
      </c>
      <c r="CA50" s="531" t="str">
        <f t="shared" si="105"/>
        <v>Real world evidence</v>
      </c>
      <c r="CB50" s="530">
        <f t="shared" si="84"/>
        <v>1</v>
      </c>
      <c r="CC50" s="530">
        <f t="shared" si="85"/>
        <v>1</v>
      </c>
      <c r="CD50" s="530">
        <f t="shared" si="86"/>
        <v>7</v>
      </c>
      <c r="CE50" s="1295">
        <f t="shared" si="87"/>
        <v>2</v>
      </c>
      <c r="CF50" s="1301">
        <f t="shared" si="88"/>
        <v>2</v>
      </c>
      <c r="CG50" s="530" t="str">
        <f t="shared" si="89"/>
        <v>Log-logistic</v>
      </c>
      <c r="CH50" s="61">
        <f t="shared" si="90"/>
        <v>0</v>
      </c>
      <c r="CI50" s="61">
        <f t="shared" si="91"/>
        <v>0</v>
      </c>
      <c r="CJ50" s="61">
        <f t="shared" si="92"/>
        <v>0</v>
      </c>
      <c r="CV50" s="940">
        <v>0</v>
      </c>
      <c r="CW50" s="940" t="s">
        <v>31</v>
      </c>
      <c r="CX50" s="940">
        <v>1</v>
      </c>
      <c r="CY50" s="940">
        <v>0</v>
      </c>
      <c r="CZ50" s="940" t="str" cm="1">
        <f t="array" ref="CZ50">INDEX(List_trials,CY50+1)</f>
        <v>CheckMate 9ER</v>
      </c>
      <c r="DA50" s="941" t="s">
        <v>555</v>
      </c>
      <c r="DB50" s="941" t="s">
        <v>548</v>
      </c>
      <c r="DC50" s="941" t="s">
        <v>563</v>
      </c>
      <c r="DD50" s="942"/>
      <c r="DE50" s="941"/>
      <c r="DF50" s="941" t="s">
        <v>103</v>
      </c>
      <c r="DG50" s="941" t="s">
        <v>117</v>
      </c>
      <c r="DH50" s="58">
        <f t="shared" si="112"/>
        <v>7</v>
      </c>
      <c r="DK50" s="58" t="str" cm="1">
        <f t="array" ref="DK50">IF(AND($BT50=4,$BX50=4,$BU50=999),$DB$36,_xlfn.IFNA(INDEX(DB$13:DB$70,MATCH(1,($BR50=$CV$13:$CV$70)*($BT50=$CX$13:$CX$70)*($CE50=$CY$13:$CY$70)*($BY50=$DA$13:$DA$70)*($CD50=$DH$13:$DH$70),0)),""))</f>
        <v>Log-logistic</v>
      </c>
      <c r="DL50" s="58" t="str" cm="1">
        <f t="array" ref="DL50">IF(AND($BT50=4,$BX50=4,$BU50=999),$DC$36,_xlfn.IFNA(INDEX(CHOOSE(DP50,DB$13:DB$70,DC$13:DC$70,DD$13:DD$70,DE$13:DE$70),MATCH(1,($BR50=$CV$13:$CV$70)*($BT50=$CX$13:$CX$70)*($CE50=$CY$13:$CY$70)*($BY50=$DA$13:$DA$70)*($CD50=$DH$13:$DH$70),0)),""))</f>
        <v>Log-logistic</v>
      </c>
      <c r="DM50" s="740" cm="1">
        <f t="array" ref="DM50">IF(AND($BT50=4,$BX50=4,$BU50=999),$DD$36,_xlfn.IFNA(INDEX(DD$13:DD$68,MATCH(1,($BR50=$CV$13:$CV$68)*($BT50=$CX$13:$CX$68)*($CE50=$CY$13:$CY$68)*($BY50=$DA$13:$DA$68)*($CD50=$DH$13:$DH$68),0)),""))</f>
        <v>0</v>
      </c>
      <c r="DN50" s="740" cm="1">
        <f t="array" ref="DN50">IF(AND($BT50=4,$BX50=4,$BU50=999),$DD$36,_xlfn.IFNA(INDEX(DE$13:DE$68,MATCH(1,($BR50=$CV$13:$CV$68)*($BT50=$CX$13:$CX$68)*($CE50=$CY$13:$CY$68)*($BY50=$DA$13:$DA$68)*($CD50=$DH$13:$DH$68),0)),""))</f>
        <v>0</v>
      </c>
      <c r="DO50" s="58" t="str" cm="1">
        <f t="array" ref="DO50">IF(AND($BT50=4,$BX50=4,$BU50=999),$DF$36,_xlfn.IFNA(INDEX(DF$13:DF$70,MATCH(1,($BR50=$CV$13:$CV$70)*($BT50=$CX$13:$CX$70)*($CE50=$CY$13:$CY$70)*($BY50=$DA$13:$DA$70)*($CD50=$DH$13:$DH$70),0)),""))</f>
        <v>Base case</v>
      </c>
      <c r="DP50" s="58">
        <f t="shared" si="13"/>
        <v>1</v>
      </c>
      <c r="DW50" s="58" t="s">
        <v>74</v>
      </c>
      <c r="DX50" s="58" t="s">
        <v>554</v>
      </c>
      <c r="DY50" s="58" t="s">
        <v>562</v>
      </c>
      <c r="DZ50" s="58" t="s">
        <v>547</v>
      </c>
      <c r="EB50" s="58">
        <v>1</v>
      </c>
      <c r="EC50" s="58">
        <v>1</v>
      </c>
      <c r="ED50" s="58">
        <v>7</v>
      </c>
      <c r="EE50" s="58">
        <v>2</v>
      </c>
      <c r="EF50" s="58">
        <v>2</v>
      </c>
      <c r="EI50" s="58" t="s">
        <v>74</v>
      </c>
      <c r="EJ50" s="58" t="s">
        <v>554</v>
      </c>
      <c r="EK50" s="58" t="s">
        <v>562</v>
      </c>
      <c r="EL50" s="58" t="s">
        <v>564</v>
      </c>
      <c r="EN50" s="58">
        <v>1</v>
      </c>
      <c r="EO50" s="58">
        <v>1</v>
      </c>
      <c r="EP50" s="58">
        <v>7</v>
      </c>
      <c r="EQ50" s="58">
        <v>0</v>
      </c>
      <c r="ER50" s="58">
        <v>2</v>
      </c>
      <c r="EU50" s="58" t="str">
        <f t="shared" si="93"/>
        <v>Yes</v>
      </c>
      <c r="EV50" s="58" t="str">
        <f t="shared" si="94"/>
        <v>Time to treatment discontinuation</v>
      </c>
      <c r="EW50" s="58" t="str">
        <f t="shared" si="95"/>
        <v>Trial survival analysis</v>
      </c>
      <c r="EX50" s="58" t="str">
        <f t="shared" si="96"/>
        <v>Real world evidence</v>
      </c>
      <c r="EZ50" s="58">
        <f t="shared" si="97"/>
        <v>1</v>
      </c>
      <c r="FA50" s="58">
        <f t="shared" si="98"/>
        <v>1</v>
      </c>
      <c r="FB50" s="58">
        <f>IF(i_eff_inputs_based_on_num=2,ED50,(INDEX(Lists!$L$51:$L$85,MATCH(O50,Lists!$K$51:$K$85,0))))</f>
        <v>7</v>
      </c>
      <c r="FC50" s="58">
        <f>IF(i_eff_inputs_based_on_num=2,EE50,(INDEX(Lists!$L$51:$L$85,MATCH(P50,Lists!$K$51:$K$85,0))))</f>
        <v>2</v>
      </c>
      <c r="FD50" s="58">
        <f>IF(i_eff_inputs_based_on_num=2,EF50,(INDEX(Lists!$L$51:$L$85,MATCH(Q50,Lists!$K$51:$K$85,0))))</f>
        <v>2</v>
      </c>
      <c r="FG50" s="58" t="str">
        <f t="shared" si="99"/>
        <v>Yes</v>
      </c>
      <c r="FH50" s="58" t="str">
        <f t="shared" si="100"/>
        <v>Time to treatment discontinuation</v>
      </c>
      <c r="FI50" s="58" t="str">
        <f t="shared" si="101"/>
        <v>Trial survival analysis</v>
      </c>
      <c r="FJ50" s="58" t="str">
        <f t="shared" si="102"/>
        <v>CheckMate 9ER</v>
      </c>
      <c r="FL50" s="58">
        <f t="shared" si="103"/>
        <v>1</v>
      </c>
      <c r="FM50" s="58">
        <f t="shared" si="104"/>
        <v>1</v>
      </c>
      <c r="FN50" s="58">
        <f>IF(i_eff_inputs_based_on_num=2,EP50,(INDEX(Lists!$L$51:$L$85,MATCH(O50,Lists!$K$51:$K$85,0))))</f>
        <v>7</v>
      </c>
      <c r="FO50" s="58">
        <f>IF(i_eff_inputs_based_on_num=2,EQ50,(INDEX(Lists!$L$51:$L$85,MATCH(P50,Lists!$K$51:$K$85,0))))</f>
        <v>0</v>
      </c>
      <c r="FP50" s="58">
        <f>IF(i_eff_inputs_based_on_num=2,ER50,(INDEX(Lists!$L$51:$L$85,MATCH(Q50,Lists!$K$51:$K$85,0))))</f>
        <v>2</v>
      </c>
      <c r="FT50" s="58" t="str">
        <f t="shared" si="26"/>
        <v>Real world evidence</v>
      </c>
      <c r="FW50" s="58" t="str">
        <f>IF(i_baseline_risk_from=2,'Effectiveness settings'!EW50,'Effectiveness settings'!FI50)</f>
        <v>Trial survival analysis</v>
      </c>
      <c r="FX50" s="58" t="str">
        <f t="shared" si="27"/>
        <v>Trial survival analysis</v>
      </c>
      <c r="FY50" s="58" t="str">
        <f t="shared" si="28"/>
        <v>Trial survival analysis</v>
      </c>
      <c r="FZ50" s="58" t="str">
        <f t="shared" si="29"/>
        <v>Trial survival analysis</v>
      </c>
      <c r="GA50" s="58" t="str">
        <f t="shared" si="30"/>
        <v>Trial survival analysis</v>
      </c>
      <c r="GB50" s="58" t="str">
        <f t="shared" si="31"/>
        <v>Trial survival analysis</v>
      </c>
      <c r="GC50" s="58" t="str">
        <f t="shared" si="32"/>
        <v>Trial survival analysis</v>
      </c>
      <c r="GD50" s="58" t="str">
        <f t="shared" si="33"/>
        <v>Trial survival analysis</v>
      </c>
      <c r="GE50" s="58" t="str">
        <f>IF(AND(dd_CheckMate214_TTD="Yes",'Effectiveness settings'!BU50=2,'Effectiveness settings'!BX50=2),"Apply HR to",GD50)</f>
        <v>Trial survival analysis</v>
      </c>
      <c r="GF50" s="58" t="str">
        <f t="shared" si="34"/>
        <v>Trial survival analysis</v>
      </c>
      <c r="GG50" s="58" t="str">
        <f t="shared" si="35"/>
        <v>Trial survival analysis</v>
      </c>
      <c r="GH50" s="58" t="str">
        <f t="shared" si="36"/>
        <v>Trial survival analysis</v>
      </c>
      <c r="GI50" s="58" t="str">
        <f t="shared" si="106"/>
        <v>Trial survival analysis</v>
      </c>
      <c r="GK50" s="58">
        <f>IF(i_baseline_risk_from=2,'Effectiveness settings'!FA50,'Effectiveness settings'!FM50)</f>
        <v>1</v>
      </c>
      <c r="GL50" s="58">
        <f>IF(i_baseline_risk_from=2,'Effectiveness settings'!FB50,'Effectiveness settings'!FN50)</f>
        <v>7</v>
      </c>
      <c r="GM50" s="58">
        <f>IF(i_baseline_risk_from=2,'Effectiveness settings'!FC50,'Effectiveness settings'!FO50)</f>
        <v>2</v>
      </c>
      <c r="GN50" s="58">
        <f>IF(i_baseline_risk_from=2,'Effectiveness settings'!FD50,'Effectiveness settings'!FP50)</f>
        <v>2</v>
      </c>
      <c r="GQ50" s="58">
        <f t="shared" si="38"/>
        <v>7</v>
      </c>
      <c r="GR50" s="58">
        <f t="shared" si="39"/>
        <v>7</v>
      </c>
      <c r="GS50" s="58">
        <f t="shared" si="40"/>
        <v>7</v>
      </c>
      <c r="GT50" s="58">
        <f t="shared" si="41"/>
        <v>7</v>
      </c>
      <c r="GU50" s="58">
        <f>IF(AND(dd_CheckMate214_TTD="Yes",'Effectiveness settings'!BU50=2,'Effectiveness settings'!BX50=2),2,GT50)</f>
        <v>7</v>
      </c>
      <c r="GV50" s="58">
        <f t="shared" si="42"/>
        <v>7</v>
      </c>
      <c r="GW50" s="58">
        <f t="shared" si="43"/>
        <v>7</v>
      </c>
      <c r="GY50" s="58">
        <f>IF(AND(dd_CheckMate214_TTD="Yes",'Effectiveness settings'!BU50=2,'Effectiveness settings'!BX50=2),1,GN50)</f>
        <v>2</v>
      </c>
      <c r="GZ50" s="58">
        <f t="shared" si="44"/>
        <v>2</v>
      </c>
      <c r="HB50" s="58">
        <f t="shared" si="45"/>
        <v>1</v>
      </c>
      <c r="HD50" s="58">
        <f t="shared" si="107"/>
        <v>1</v>
      </c>
      <c r="HE50" s="58">
        <f t="shared" si="108"/>
        <v>1</v>
      </c>
      <c r="HF50" s="58">
        <f t="shared" si="109"/>
        <v>7</v>
      </c>
      <c r="HG50" s="58">
        <f t="shared" si="110"/>
        <v>2</v>
      </c>
      <c r="HH50" s="58">
        <f t="shared" si="111"/>
        <v>2</v>
      </c>
    </row>
    <row r="51" spans="1:216" ht="16.5" thickBot="1" x14ac:dyDescent="0.3">
      <c r="D51" s="58" t="str">
        <v>cabozantinib</v>
      </c>
      <c r="I51" s="64" t="s">
        <v>74</v>
      </c>
      <c r="J51" s="519" t="s">
        <v>554</v>
      </c>
      <c r="K51" s="524" t="s">
        <v>63</v>
      </c>
      <c r="L51" s="519"/>
      <c r="M51" s="516" t="s">
        <v>545</v>
      </c>
      <c r="N51" s="64" t="s">
        <v>546</v>
      </c>
      <c r="O51" s="64" t="s">
        <v>117</v>
      </c>
      <c r="P51" s="64" t="s">
        <v>547</v>
      </c>
      <c r="Q51" s="519" t="s">
        <v>554</v>
      </c>
      <c r="R51" s="516" t="s">
        <v>548</v>
      </c>
      <c r="S51" s="497"/>
      <c r="T51" s="497"/>
      <c r="U51" s="497"/>
      <c r="Y51" s="517"/>
      <c r="AA51" s="517"/>
      <c r="AF51" s="517"/>
      <c r="AM51" s="517"/>
      <c r="AO51" s="517"/>
      <c r="AT51" s="517"/>
      <c r="AV51" s="511"/>
      <c r="AW51" s="511"/>
      <c r="AX51" s="511"/>
      <c r="BA51" s="517"/>
      <c r="BC51" s="517"/>
      <c r="BH51" s="517"/>
      <c r="BJ51" s="511"/>
      <c r="BK51" s="511"/>
      <c r="BL51" s="511"/>
      <c r="BQ51" s="58">
        <f t="shared" si="0"/>
        <v>37</v>
      </c>
      <c r="BR51" s="17">
        <v>1</v>
      </c>
      <c r="BS51" s="17" t="s">
        <v>549</v>
      </c>
      <c r="BT51" s="17">
        <v>1</v>
      </c>
      <c r="BU51" s="17">
        <v>8</v>
      </c>
      <c r="BV51" s="17" t="str">
        <f t="shared" si="81"/>
        <v>cabozantinib</v>
      </c>
      <c r="BW51" s="1006" t="str" cm="1">
        <f t="array" ref="BW51">IF(I51="No",I51,INDEX(List_incl_anal_1L_PorI,IF(BU51=999,35,BU51+1)))</f>
        <v>Yes</v>
      </c>
      <c r="BX51" s="61">
        <f t="shared" si="82"/>
        <v>2</v>
      </c>
      <c r="BY51" s="531" t="str">
        <f t="shared" si="113"/>
        <v>Time to treatment discontinuation</v>
      </c>
      <c r="BZ51" s="530" t="str">
        <f t="shared" si="83"/>
        <v>Assume equal to</v>
      </c>
      <c r="CA51" s="531">
        <f t="shared" si="105"/>
        <v>0</v>
      </c>
      <c r="CB51" s="530">
        <f t="shared" si="84"/>
        <v>1</v>
      </c>
      <c r="CC51" s="530">
        <f t="shared" si="85"/>
        <v>1</v>
      </c>
      <c r="CD51" s="530">
        <f t="shared" si="86"/>
        <v>7</v>
      </c>
      <c r="CE51" s="1295">
        <f t="shared" si="87"/>
        <v>2</v>
      </c>
      <c r="CF51" s="1301">
        <f t="shared" si="88"/>
        <v>2</v>
      </c>
      <c r="CG51" s="530" t="str">
        <f t="shared" si="89"/>
        <v>Log-logistic</v>
      </c>
      <c r="CH51" s="61">
        <f t="shared" si="90"/>
        <v>0</v>
      </c>
      <c r="CI51" s="61">
        <f t="shared" si="91"/>
        <v>0</v>
      </c>
      <c r="CJ51" s="61">
        <f t="shared" si="92"/>
        <v>0</v>
      </c>
      <c r="CV51" s="943">
        <v>0</v>
      </c>
      <c r="CW51" s="943" t="s">
        <v>31</v>
      </c>
      <c r="CX51" s="943">
        <v>1</v>
      </c>
      <c r="CY51" s="943">
        <v>0</v>
      </c>
      <c r="CZ51" s="943" t="str" cm="1">
        <f t="array" ref="CZ51">INDEX(List_trials,CY51+1)</f>
        <v>CheckMate 9ER</v>
      </c>
      <c r="DA51" s="944" t="s">
        <v>557</v>
      </c>
      <c r="DB51" s="944" t="s">
        <v>548</v>
      </c>
      <c r="DC51" s="944" t="s">
        <v>553</v>
      </c>
      <c r="DD51" s="944" t="s">
        <v>563</v>
      </c>
      <c r="DE51" s="944" t="s">
        <v>551</v>
      </c>
      <c r="DF51" s="944" t="s">
        <v>103</v>
      </c>
      <c r="DG51" s="944" t="s">
        <v>117</v>
      </c>
      <c r="DH51" s="945">
        <f t="shared" si="112"/>
        <v>7</v>
      </c>
      <c r="DK51" s="58" t="str" cm="1">
        <f t="array" ref="DK51">IF(AND($BT51=4,$BX51=4,$BU51=999),$DB$36,_xlfn.IFNA(INDEX(DB$13:DB$70,MATCH(1,($BR51=$CV$13:$CV$70)*($BT51=$CX$13:$CX$70)*($CE51=$CY$13:$CY$70)*($BY51=$DA$13:$DA$70)*($CD51=$DH$13:$DH$70),0)),""))</f>
        <v>Log-logistic</v>
      </c>
      <c r="DL51" s="58" t="str" cm="1">
        <f t="array" ref="DL51">IF(AND($BT51=4,$BX51=4,$BU51=999),$DC$36,_xlfn.IFNA(INDEX(CHOOSE(DP51,DB$13:DB$70,DC$13:DC$70,DD$13:DD$70,DE$13:DE$70),MATCH(1,($BR51=$CV$13:$CV$70)*($BT51=$CX$13:$CX$70)*($CE51=$CY$13:$CY$70)*($BY51=$DA$13:$DA$70)*($CD51=$DH$13:$DH$70),0)),""))</f>
        <v>Log-logistic</v>
      </c>
      <c r="DM51" s="740" cm="1">
        <f t="array" ref="DM51">IF(AND($BT51=4,$BX51=4,$BU51=999),$DD$36,_xlfn.IFNA(INDEX(DD$13:DD$68,MATCH(1,($BR51=$CV$13:$CV$68)*($BT51=$CX$13:$CX$68)*($CE51=$CY$13:$CY$68)*($BY51=$DA$13:$DA$68)*($CD51=$DH$13:$DH$68),0)),""))</f>
        <v>0</v>
      </c>
      <c r="DN51" s="740" cm="1">
        <f t="array" ref="DN51">IF(AND($BT51=4,$BX51=4,$BU51=999),$DD$36,_xlfn.IFNA(INDEX(DE$13:DE$68,MATCH(1,($BR51=$CV$13:$CV$68)*($BT51=$CX$13:$CX$68)*($CE51=$CY$13:$CY$68)*($BY51=$DA$13:$DA$68)*($CD51=$DH$13:$DH$68),0)),""))</f>
        <v>0</v>
      </c>
      <c r="DO51" s="58" t="str" cm="1">
        <f t="array" ref="DO51">IF(AND($BT51=4,$BX51=4,$BU51=999),$DF$36,_xlfn.IFNA(INDEX(DF$13:DF$70,MATCH(1,($BR51=$CV$13:$CV$70)*($BT51=$CX$13:$CX$70)*($CE51=$CY$13:$CY$70)*($BY51=$DA$13:$DA$70)*($CD51=$DH$13:$DH$70),0)),""))</f>
        <v>Base case</v>
      </c>
      <c r="DP51" s="58">
        <f t="shared" si="13"/>
        <v>1</v>
      </c>
      <c r="DW51" s="58" t="s">
        <v>74</v>
      </c>
      <c r="DX51" s="58" t="s">
        <v>554</v>
      </c>
      <c r="DY51" s="58" t="s">
        <v>63</v>
      </c>
      <c r="DZ51" s="58">
        <v>0</v>
      </c>
      <c r="EB51" s="58">
        <v>1</v>
      </c>
      <c r="EC51" s="58">
        <v>1</v>
      </c>
      <c r="ED51" s="58">
        <v>7</v>
      </c>
      <c r="EE51" s="58">
        <v>2</v>
      </c>
      <c r="EF51" s="58">
        <v>2</v>
      </c>
      <c r="EI51" s="58" t="s">
        <v>74</v>
      </c>
      <c r="EJ51" s="58" t="s">
        <v>554</v>
      </c>
      <c r="EK51" s="58" t="s">
        <v>63</v>
      </c>
      <c r="EL51" s="58">
        <v>0</v>
      </c>
      <c r="EN51" s="58">
        <v>1</v>
      </c>
      <c r="EO51" s="58">
        <v>1</v>
      </c>
      <c r="EP51" s="58">
        <v>7</v>
      </c>
      <c r="EQ51" s="58">
        <v>0</v>
      </c>
      <c r="ER51" s="58">
        <v>2</v>
      </c>
      <c r="EU51" s="58" t="str">
        <f t="shared" si="93"/>
        <v>Yes</v>
      </c>
      <c r="EV51" s="58" t="str">
        <f t="shared" si="94"/>
        <v>Time to treatment discontinuation</v>
      </c>
      <c r="EW51" s="58" t="str">
        <f t="shared" si="95"/>
        <v>FP_NMA</v>
      </c>
      <c r="EX51" s="58">
        <f t="shared" si="96"/>
        <v>0</v>
      </c>
      <c r="EZ51" s="58">
        <f t="shared" si="97"/>
        <v>1</v>
      </c>
      <c r="FA51" s="58">
        <f t="shared" si="98"/>
        <v>1</v>
      </c>
      <c r="FB51" s="58">
        <f>IF(i_eff_inputs_based_on_num=2,ED51,(INDEX(Lists!$L$51:$L$85,MATCH(O51,Lists!$K$51:$K$85,0))))</f>
        <v>7</v>
      </c>
      <c r="FC51" s="58">
        <f>IF(i_eff_inputs_based_on_num=2,EE51,(INDEX(Lists!$L$51:$L$85,MATCH(P51,Lists!$K$51:$K$85,0))))</f>
        <v>2</v>
      </c>
      <c r="FD51" s="58">
        <f>IF(i_eff_inputs_based_on_num=2,EF51,(INDEX(Lists!$L$51:$L$85,MATCH(Q51,Lists!$K$51:$K$85,0))))</f>
        <v>2</v>
      </c>
      <c r="FG51" s="58" t="str">
        <f t="shared" si="99"/>
        <v>Yes</v>
      </c>
      <c r="FH51" s="58" t="str">
        <f t="shared" si="100"/>
        <v>Time to treatment discontinuation</v>
      </c>
      <c r="FI51" s="58" t="str">
        <f t="shared" si="101"/>
        <v>FP_NMA</v>
      </c>
      <c r="FJ51" s="58">
        <f t="shared" si="102"/>
        <v>0</v>
      </c>
      <c r="FL51" s="58">
        <f t="shared" si="103"/>
        <v>1</v>
      </c>
      <c r="FM51" s="58">
        <f t="shared" si="104"/>
        <v>1</v>
      </c>
      <c r="FN51" s="58">
        <f>IF(i_eff_inputs_based_on_num=2,EP51,(INDEX(Lists!$L$51:$L$85,MATCH(O51,Lists!$K$51:$K$85,0))))</f>
        <v>7</v>
      </c>
      <c r="FO51" s="58">
        <f>IF(i_eff_inputs_based_on_num=2,EQ51,(INDEX(Lists!$L$51:$L$85,MATCH(P51,Lists!$K$51:$K$85,0))))</f>
        <v>0</v>
      </c>
      <c r="FP51" s="58">
        <f>IF(i_eff_inputs_based_on_num=2,ER51,(INDEX(Lists!$L$51:$L$85,MATCH(Q51,Lists!$K$51:$K$85,0))))</f>
        <v>2</v>
      </c>
      <c r="FT51" s="58">
        <f t="shared" si="26"/>
        <v>0</v>
      </c>
      <c r="FW51" s="58" t="str">
        <f>IF(i_baseline_risk_from=2,'Effectiveness settings'!EW51,'Effectiveness settings'!FI51)</f>
        <v>FP_NMA</v>
      </c>
      <c r="FX51" s="58" t="str">
        <f t="shared" si="27"/>
        <v>FP_NMA</v>
      </c>
      <c r="FY51" s="58" t="str">
        <f t="shared" si="28"/>
        <v>FP_NMA</v>
      </c>
      <c r="FZ51" s="58" t="str">
        <f t="shared" si="29"/>
        <v>FP_NMA</v>
      </c>
      <c r="GA51" s="58" t="str">
        <f t="shared" si="30"/>
        <v>FP_NMA</v>
      </c>
      <c r="GB51" s="58" t="str">
        <f t="shared" si="31"/>
        <v>FP_NMA</v>
      </c>
      <c r="GC51" s="58" t="str">
        <f t="shared" si="32"/>
        <v>FP_NMA</v>
      </c>
      <c r="GD51" s="58" t="str">
        <f t="shared" si="33"/>
        <v>FP_NMA</v>
      </c>
      <c r="GE51" s="58" t="str">
        <f>IF(AND(dd_CheckMate214_TTD="Yes",'Effectiveness settings'!BU51=2,'Effectiveness settings'!BX51=2),"Apply HR to",GD51)</f>
        <v>FP_NMA</v>
      </c>
      <c r="GF51" s="58" t="str">
        <f t="shared" si="34"/>
        <v>FP_NMA</v>
      </c>
      <c r="GG51" s="58" t="str">
        <f t="shared" si="35"/>
        <v>FP_NMA</v>
      </c>
      <c r="GH51" s="58" t="str">
        <f t="shared" si="36"/>
        <v>Assume equal to</v>
      </c>
      <c r="GI51" s="58" t="str">
        <f t="shared" si="106"/>
        <v>Assume equal to</v>
      </c>
      <c r="GK51" s="58">
        <f>IF(i_baseline_risk_from=2,'Effectiveness settings'!FA51,'Effectiveness settings'!FM51)</f>
        <v>1</v>
      </c>
      <c r="GL51" s="58">
        <f>IF(i_baseline_risk_from=2,'Effectiveness settings'!FB51,'Effectiveness settings'!FN51)</f>
        <v>7</v>
      </c>
      <c r="GM51" s="58">
        <f>IF(i_baseline_risk_from=2,'Effectiveness settings'!FC51,'Effectiveness settings'!FO51)</f>
        <v>2</v>
      </c>
      <c r="GN51" s="58">
        <f>IF(i_baseline_risk_from=2,'Effectiveness settings'!FD51,'Effectiveness settings'!FP51)</f>
        <v>2</v>
      </c>
      <c r="GQ51" s="58">
        <f t="shared" si="38"/>
        <v>7</v>
      </c>
      <c r="GR51" s="58">
        <f t="shared" si="39"/>
        <v>7</v>
      </c>
      <c r="GS51" s="58">
        <f t="shared" si="40"/>
        <v>7</v>
      </c>
      <c r="GT51" s="58">
        <f t="shared" si="41"/>
        <v>7</v>
      </c>
      <c r="GU51" s="58">
        <f>IF(AND(dd_CheckMate214_TTD="Yes",'Effectiveness settings'!BU51=2,'Effectiveness settings'!BX51=2),2,GT51)</f>
        <v>7</v>
      </c>
      <c r="GV51" s="58">
        <f t="shared" si="42"/>
        <v>7</v>
      </c>
      <c r="GW51" s="58">
        <f t="shared" si="43"/>
        <v>7</v>
      </c>
      <c r="GY51" s="58">
        <f>IF(AND(dd_CheckMate214_TTD="Yes",'Effectiveness settings'!BU51=2,'Effectiveness settings'!BX51=2),1,GN51)</f>
        <v>2</v>
      </c>
      <c r="GZ51" s="58">
        <f t="shared" si="44"/>
        <v>2</v>
      </c>
      <c r="HB51" s="58">
        <f t="shared" si="45"/>
        <v>1</v>
      </c>
      <c r="HD51" s="58">
        <f t="shared" si="107"/>
        <v>1</v>
      </c>
      <c r="HE51" s="58">
        <f t="shared" si="108"/>
        <v>1</v>
      </c>
      <c r="HF51" s="58">
        <f t="shared" si="109"/>
        <v>7</v>
      </c>
      <c r="HG51" s="58">
        <f t="shared" si="110"/>
        <v>2</v>
      </c>
      <c r="HH51" s="58">
        <f t="shared" si="111"/>
        <v>2</v>
      </c>
    </row>
    <row r="52" spans="1:216" ht="15.75" x14ac:dyDescent="0.25">
      <c r="D52" s="58" t="str">
        <v>lenvatinib_plus_everolimus</v>
      </c>
      <c r="I52" s="64" t="s">
        <v>58</v>
      </c>
      <c r="J52" s="519" t="s">
        <v>554</v>
      </c>
      <c r="K52" s="524"/>
      <c r="L52" s="519"/>
      <c r="M52" s="516" t="s">
        <v>545</v>
      </c>
      <c r="N52" s="64" t="s">
        <v>546</v>
      </c>
      <c r="O52" s="64" t="s">
        <v>117</v>
      </c>
      <c r="P52" s="64" t="s">
        <v>547</v>
      </c>
      <c r="Q52" s="519" t="s">
        <v>554</v>
      </c>
      <c r="R52" s="516" t="s">
        <v>548</v>
      </c>
      <c r="S52" s="497"/>
      <c r="T52" s="497"/>
      <c r="U52" s="497"/>
      <c r="Y52" s="517"/>
      <c r="AA52" s="517"/>
      <c r="AF52" s="517"/>
      <c r="AM52" s="517"/>
      <c r="AO52" s="517"/>
      <c r="AT52" s="517"/>
      <c r="AV52" s="511"/>
      <c r="AW52" s="511"/>
      <c r="AX52" s="511"/>
      <c r="BA52" s="517"/>
      <c r="BC52" s="517"/>
      <c r="BH52" s="517"/>
      <c r="BJ52" s="511"/>
      <c r="BK52" s="511"/>
      <c r="BL52" s="511"/>
      <c r="BQ52" s="58">
        <f t="shared" si="0"/>
        <v>38</v>
      </c>
      <c r="BR52" s="17">
        <v>1</v>
      </c>
      <c r="BS52" s="17" t="s">
        <v>549</v>
      </c>
      <c r="BT52" s="17">
        <v>1</v>
      </c>
      <c r="BU52" s="17">
        <v>9</v>
      </c>
      <c r="BV52" s="17" t="str">
        <f t="shared" si="81"/>
        <v>lenvatinib_plus_everolimus</v>
      </c>
      <c r="BW52" s="1006" t="str" cm="1">
        <f t="array" ref="BW52">IF(I52="No",I52,INDEX(List_incl_anal_1L_PorI,IF(BU52=999,35,BU52+1)))</f>
        <v>No</v>
      </c>
      <c r="BX52" s="61">
        <f t="shared" si="82"/>
        <v>2</v>
      </c>
      <c r="BY52" s="531" t="str">
        <f t="shared" si="113"/>
        <v>Time to treatment discontinuation</v>
      </c>
      <c r="BZ52" s="530">
        <f t="shared" si="83"/>
        <v>0</v>
      </c>
      <c r="CA52" s="531">
        <f t="shared" si="105"/>
        <v>0</v>
      </c>
      <c r="CB52" s="530">
        <f t="shared" si="84"/>
        <v>1</v>
      </c>
      <c r="CC52" s="530">
        <f t="shared" si="85"/>
        <v>1</v>
      </c>
      <c r="CD52" s="530">
        <f t="shared" si="86"/>
        <v>7</v>
      </c>
      <c r="CE52" s="1295">
        <f t="shared" si="87"/>
        <v>2</v>
      </c>
      <c r="CF52" s="1301">
        <f t="shared" si="88"/>
        <v>2</v>
      </c>
      <c r="CG52" s="530" t="str">
        <f t="shared" si="89"/>
        <v>Log-logistic</v>
      </c>
      <c r="CH52" s="61">
        <f t="shared" si="90"/>
        <v>0</v>
      </c>
      <c r="CI52" s="61">
        <f t="shared" si="91"/>
        <v>0</v>
      </c>
      <c r="CJ52" s="61">
        <f t="shared" si="92"/>
        <v>0</v>
      </c>
      <c r="CV52" s="940">
        <v>1</v>
      </c>
      <c r="CW52" s="940" t="s">
        <v>549</v>
      </c>
      <c r="CX52" s="940">
        <v>1</v>
      </c>
      <c r="CY52" s="940">
        <v>0</v>
      </c>
      <c r="CZ52" s="940" t="str" cm="1">
        <f t="array" ref="CZ52">INDEX(List_trials,CY52+1)</f>
        <v>CheckMate 9ER</v>
      </c>
      <c r="DA52" s="941" t="s">
        <v>544</v>
      </c>
      <c r="DB52" s="941" t="s">
        <v>548</v>
      </c>
      <c r="DC52" s="941" t="s">
        <v>563</v>
      </c>
      <c r="DD52" s="941" t="s">
        <v>553</v>
      </c>
      <c r="DE52" s="941" t="s">
        <v>551</v>
      </c>
      <c r="DF52" s="941" t="s">
        <v>103</v>
      </c>
      <c r="DG52" s="941" t="s">
        <v>571</v>
      </c>
      <c r="DH52" s="58">
        <f t="shared" si="112"/>
        <v>1</v>
      </c>
      <c r="DK52" s="58" t="str" cm="1">
        <f t="array" ref="DK52">IF(AND($BT52=4,$BX52=4,$BU52=999),$DB$36,_xlfn.IFNA(INDEX(DB$13:DB$70,MATCH(1,($BR52=$CV$13:$CV$70)*($BT52=$CX$13:$CX$70)*($CE52=$CY$13:$CY$70)*($BY52=$DA$13:$DA$70)*($CD52=$DH$13:$DH$70),0)),""))</f>
        <v>Log-logistic</v>
      </c>
      <c r="DL52" s="58" t="str" cm="1">
        <f t="array" ref="DL52">IF(AND($BT52=4,$BX52=4,$BU52=999),$DC$36,_xlfn.IFNA(INDEX(CHOOSE(DP52,DB$13:DB$70,DC$13:DC$70,DD$13:DD$70,DE$13:DE$70),MATCH(1,($BR52=$CV$13:$CV$70)*($BT52=$CX$13:$CX$70)*($CE52=$CY$13:$CY$70)*($BY52=$DA$13:$DA$70)*($CD52=$DH$13:$DH$70),0)),""))</f>
        <v>Log-logistic</v>
      </c>
      <c r="DM52" s="740" cm="1">
        <f t="array" ref="DM52">IF(AND($BT52=4,$BX52=4,$BU52=999),$DD$36,_xlfn.IFNA(INDEX(DD$13:DD$68,MATCH(1,($BR52=$CV$13:$CV$68)*($BT52=$CX$13:$CX$68)*($CE52=$CY$13:$CY$68)*($BY52=$DA$13:$DA$68)*($CD52=$DH$13:$DH$68),0)),""))</f>
        <v>0</v>
      </c>
      <c r="DN52" s="740" cm="1">
        <f t="array" ref="DN52">IF(AND($BT52=4,$BX52=4,$BU52=999),$DD$36,_xlfn.IFNA(INDEX(DE$13:DE$68,MATCH(1,($BR52=$CV$13:$CV$68)*($BT52=$CX$13:$CX$68)*($CE52=$CY$13:$CY$68)*($BY52=$DA$13:$DA$68)*($CD52=$DH$13:$DH$68),0)),""))</f>
        <v>0</v>
      </c>
      <c r="DO52" s="58" t="str" cm="1">
        <f t="array" ref="DO52">IF(AND($BT52=4,$BX52=4,$BU52=999),$DF$36,_xlfn.IFNA(INDEX(DF$13:DF$70,MATCH(1,($BR52=$CV$13:$CV$70)*($BT52=$CX$13:$CX$70)*($CE52=$CY$13:$CY$70)*($BY52=$DA$13:$DA$70)*($CD52=$DH$13:$DH$70),0)),""))</f>
        <v>Base case</v>
      </c>
      <c r="DP52" s="58">
        <f t="shared" si="13"/>
        <v>1</v>
      </c>
      <c r="DW52" s="58" t="s">
        <v>58</v>
      </c>
      <c r="DX52" s="58" t="s">
        <v>554</v>
      </c>
      <c r="DY52" s="58">
        <v>0</v>
      </c>
      <c r="DZ52" s="58">
        <v>0</v>
      </c>
      <c r="EB52" s="58">
        <v>1</v>
      </c>
      <c r="EC52" s="58">
        <v>1</v>
      </c>
      <c r="ED52" s="58">
        <v>7</v>
      </c>
      <c r="EE52" s="58">
        <v>2</v>
      </c>
      <c r="EF52" s="58">
        <v>2</v>
      </c>
      <c r="EI52" s="58" t="s">
        <v>58</v>
      </c>
      <c r="EJ52" s="58" t="s">
        <v>554</v>
      </c>
      <c r="EK52" s="58">
        <v>0</v>
      </c>
      <c r="EL52" s="58">
        <v>0</v>
      </c>
      <c r="EN52" s="58">
        <v>1</v>
      </c>
      <c r="EO52" s="58">
        <v>1</v>
      </c>
      <c r="EP52" s="58">
        <v>7</v>
      </c>
      <c r="EQ52" s="58">
        <v>0</v>
      </c>
      <c r="ER52" s="58">
        <v>2</v>
      </c>
      <c r="EU52" s="58" t="str">
        <f t="shared" si="93"/>
        <v>No</v>
      </c>
      <c r="EV52" s="58" t="str">
        <f t="shared" si="94"/>
        <v>Time to treatment discontinuation</v>
      </c>
      <c r="EW52" s="58">
        <f t="shared" si="95"/>
        <v>0</v>
      </c>
      <c r="EX52" s="58">
        <f t="shared" si="96"/>
        <v>0</v>
      </c>
      <c r="EZ52" s="58">
        <f t="shared" si="97"/>
        <v>1</v>
      </c>
      <c r="FA52" s="58">
        <f t="shared" si="98"/>
        <v>1</v>
      </c>
      <c r="FB52" s="58">
        <f>IF(i_eff_inputs_based_on_num=2,ED52,(INDEX(Lists!$L$51:$L$85,MATCH(O52,Lists!$K$51:$K$85,0))))</f>
        <v>7</v>
      </c>
      <c r="FC52" s="58">
        <f>IF(i_eff_inputs_based_on_num=2,EE52,(INDEX(Lists!$L$51:$L$85,MATCH(P52,Lists!$K$51:$K$85,0))))</f>
        <v>2</v>
      </c>
      <c r="FD52" s="58">
        <f>IF(i_eff_inputs_based_on_num=2,EF52,(INDEX(Lists!$L$51:$L$85,MATCH(Q52,Lists!$K$51:$K$85,0))))</f>
        <v>2</v>
      </c>
      <c r="FG52" s="58" t="str">
        <f t="shared" si="99"/>
        <v>No</v>
      </c>
      <c r="FH52" s="58" t="str">
        <f t="shared" si="100"/>
        <v>Time to treatment discontinuation</v>
      </c>
      <c r="FI52" s="58">
        <f t="shared" si="101"/>
        <v>0</v>
      </c>
      <c r="FJ52" s="58">
        <f t="shared" si="102"/>
        <v>0</v>
      </c>
      <c r="FL52" s="58">
        <f t="shared" si="103"/>
        <v>1</v>
      </c>
      <c r="FM52" s="58">
        <f t="shared" si="104"/>
        <v>1</v>
      </c>
      <c r="FN52" s="58">
        <f>IF(i_eff_inputs_based_on_num=2,EP52,(INDEX(Lists!$L$51:$L$85,MATCH(O52,Lists!$K$51:$K$85,0))))</f>
        <v>7</v>
      </c>
      <c r="FO52" s="58">
        <f>IF(i_eff_inputs_based_on_num=2,EQ52,(INDEX(Lists!$L$51:$L$85,MATCH(P52,Lists!$K$51:$K$85,0))))</f>
        <v>0</v>
      </c>
      <c r="FP52" s="58">
        <f>IF(i_eff_inputs_based_on_num=2,ER52,(INDEX(Lists!$L$51:$L$85,MATCH(Q52,Lists!$K$51:$K$85,0))))</f>
        <v>2</v>
      </c>
      <c r="FT52" s="58">
        <f t="shared" si="26"/>
        <v>0</v>
      </c>
      <c r="FW52" s="58">
        <f>IF(i_baseline_risk_from=2,'Effectiveness settings'!EW52,'Effectiveness settings'!FI52)</f>
        <v>0</v>
      </c>
      <c r="FX52" s="58">
        <f t="shared" si="27"/>
        <v>0</v>
      </c>
      <c r="FY52" s="58">
        <f t="shared" si="28"/>
        <v>0</v>
      </c>
      <c r="FZ52" s="58">
        <f t="shared" si="29"/>
        <v>0</v>
      </c>
      <c r="GA52" s="58">
        <f t="shared" si="30"/>
        <v>0</v>
      </c>
      <c r="GB52" s="58">
        <f t="shared" si="31"/>
        <v>0</v>
      </c>
      <c r="GC52" s="58">
        <f t="shared" si="32"/>
        <v>0</v>
      </c>
      <c r="GD52" s="58">
        <f t="shared" si="33"/>
        <v>0</v>
      </c>
      <c r="GE52" s="58">
        <f>IF(AND(dd_CheckMate214_TTD="Yes",'Effectiveness settings'!BU52=2,'Effectiveness settings'!BX52=2),"Apply HR to",GD52)</f>
        <v>0</v>
      </c>
      <c r="GF52" s="58">
        <f t="shared" si="34"/>
        <v>0</v>
      </c>
      <c r="GG52" s="58">
        <f t="shared" si="35"/>
        <v>0</v>
      </c>
      <c r="GH52" s="58">
        <f t="shared" si="36"/>
        <v>0</v>
      </c>
      <c r="GI52" s="58">
        <f t="shared" si="106"/>
        <v>0</v>
      </c>
      <c r="GK52" s="58">
        <f>IF(i_baseline_risk_from=2,'Effectiveness settings'!FA52,'Effectiveness settings'!FM52)</f>
        <v>1</v>
      </c>
      <c r="GL52" s="58">
        <f>IF(i_baseline_risk_from=2,'Effectiveness settings'!FB52,'Effectiveness settings'!FN52)</f>
        <v>7</v>
      </c>
      <c r="GM52" s="58">
        <f>IF(i_baseline_risk_from=2,'Effectiveness settings'!FC52,'Effectiveness settings'!FO52)</f>
        <v>2</v>
      </c>
      <c r="GN52" s="58">
        <f>IF(i_baseline_risk_from=2,'Effectiveness settings'!FD52,'Effectiveness settings'!FP52)</f>
        <v>2</v>
      </c>
      <c r="GQ52" s="58">
        <f t="shared" si="38"/>
        <v>7</v>
      </c>
      <c r="GR52" s="58">
        <f t="shared" si="39"/>
        <v>7</v>
      </c>
      <c r="GS52" s="58">
        <f t="shared" si="40"/>
        <v>7</v>
      </c>
      <c r="GT52" s="58">
        <f t="shared" si="41"/>
        <v>7</v>
      </c>
      <c r="GU52" s="58">
        <f>IF(AND(dd_CheckMate214_TTD="Yes",'Effectiveness settings'!BU52=2,'Effectiveness settings'!BX52=2),2,GT52)</f>
        <v>7</v>
      </c>
      <c r="GV52" s="58">
        <f t="shared" si="42"/>
        <v>7</v>
      </c>
      <c r="GW52" s="58">
        <f t="shared" si="43"/>
        <v>7</v>
      </c>
      <c r="GY52" s="58">
        <f>IF(AND(dd_CheckMate214_TTD="Yes",'Effectiveness settings'!BU52=2,'Effectiveness settings'!BX52=2),1,GN52)</f>
        <v>2</v>
      </c>
      <c r="GZ52" s="58">
        <f t="shared" si="44"/>
        <v>2</v>
      </c>
      <c r="HB52" s="58">
        <f t="shared" si="45"/>
        <v>1</v>
      </c>
      <c r="HD52" s="58">
        <f t="shared" si="107"/>
        <v>1</v>
      </c>
      <c r="HE52" s="58">
        <f t="shared" si="108"/>
        <v>1</v>
      </c>
      <c r="HF52" s="58">
        <f t="shared" si="109"/>
        <v>7</v>
      </c>
      <c r="HG52" s="58">
        <f t="shared" si="110"/>
        <v>2</v>
      </c>
      <c r="HH52" s="58">
        <f t="shared" si="111"/>
        <v>2</v>
      </c>
    </row>
    <row r="53" spans="1:216" ht="15.75" x14ac:dyDescent="0.25">
      <c r="D53" s="58" t="str">
        <v>everolimus</v>
      </c>
      <c r="I53" s="64" t="s">
        <v>58</v>
      </c>
      <c r="J53" s="519" t="s">
        <v>554</v>
      </c>
      <c r="K53" s="524"/>
      <c r="L53" s="519"/>
      <c r="M53" s="516" t="s">
        <v>545</v>
      </c>
      <c r="N53" s="64" t="s">
        <v>546</v>
      </c>
      <c r="O53" s="64" t="s">
        <v>117</v>
      </c>
      <c r="P53" s="64" t="s">
        <v>547</v>
      </c>
      <c r="Q53" s="519" t="s">
        <v>554</v>
      </c>
      <c r="R53" s="516" t="s">
        <v>548</v>
      </c>
      <c r="S53" s="497"/>
      <c r="T53" s="497"/>
      <c r="U53" s="497"/>
      <c r="Y53" s="517"/>
      <c r="AA53" s="517"/>
      <c r="AF53" s="517"/>
      <c r="AM53" s="517"/>
      <c r="AO53" s="517"/>
      <c r="AT53" s="517"/>
      <c r="AV53" s="511"/>
      <c r="AW53" s="511"/>
      <c r="AX53" s="511"/>
      <c r="BA53" s="517"/>
      <c r="BC53" s="517"/>
      <c r="BH53" s="517"/>
      <c r="BJ53" s="511"/>
      <c r="BK53" s="511"/>
      <c r="BL53" s="511"/>
      <c r="BQ53" s="58">
        <f t="shared" si="0"/>
        <v>39</v>
      </c>
      <c r="BR53" s="17">
        <v>1</v>
      </c>
      <c r="BS53" s="17" t="s">
        <v>549</v>
      </c>
      <c r="BT53" s="17">
        <v>1</v>
      </c>
      <c r="BU53" s="17">
        <v>10</v>
      </c>
      <c r="BV53" s="17" t="str">
        <f t="shared" si="81"/>
        <v>everolimus</v>
      </c>
      <c r="BW53" s="1006" t="str" cm="1">
        <f t="array" ref="BW53">IF(I53="No",I53,INDEX(List_incl_anal_1L_PorI,IF(BU53=999,35,BU53+1)))</f>
        <v>No</v>
      </c>
      <c r="BX53" s="61">
        <f t="shared" si="82"/>
        <v>2</v>
      </c>
      <c r="BY53" s="531" t="str">
        <f t="shared" si="113"/>
        <v>Time to treatment discontinuation</v>
      </c>
      <c r="BZ53" s="530">
        <f t="shared" si="83"/>
        <v>0</v>
      </c>
      <c r="CA53" s="531">
        <f t="shared" si="105"/>
        <v>0</v>
      </c>
      <c r="CB53" s="530">
        <f t="shared" si="84"/>
        <v>1</v>
      </c>
      <c r="CC53" s="530">
        <f t="shared" si="85"/>
        <v>1</v>
      </c>
      <c r="CD53" s="530">
        <f t="shared" si="86"/>
        <v>7</v>
      </c>
      <c r="CE53" s="1295">
        <f t="shared" si="87"/>
        <v>2</v>
      </c>
      <c r="CF53" s="1301">
        <f t="shared" si="88"/>
        <v>2</v>
      </c>
      <c r="CG53" s="530" t="str">
        <f t="shared" si="89"/>
        <v>Log-logistic</v>
      </c>
      <c r="CH53" s="61">
        <f t="shared" si="90"/>
        <v>0</v>
      </c>
      <c r="CI53" s="61">
        <f t="shared" si="91"/>
        <v>0</v>
      </c>
      <c r="CJ53" s="61">
        <f t="shared" si="92"/>
        <v>0</v>
      </c>
      <c r="CV53" s="940">
        <v>1</v>
      </c>
      <c r="CW53" s="940" t="s">
        <v>549</v>
      </c>
      <c r="CX53" s="940">
        <v>1</v>
      </c>
      <c r="CY53" s="940">
        <v>0</v>
      </c>
      <c r="CZ53" s="940" t="str" cm="1">
        <f t="array" ref="CZ53">INDEX(List_trials,CY53+1)</f>
        <v>CheckMate 9ER</v>
      </c>
      <c r="DA53" s="941" t="s">
        <v>552</v>
      </c>
      <c r="DB53" s="941" t="s">
        <v>548</v>
      </c>
      <c r="DC53" s="941" t="s">
        <v>563</v>
      </c>
      <c r="DD53" s="941" t="s">
        <v>551</v>
      </c>
      <c r="DE53" s="941"/>
      <c r="DF53" s="941" t="s">
        <v>103</v>
      </c>
      <c r="DG53" s="941" t="s">
        <v>571</v>
      </c>
      <c r="DH53" s="58">
        <f t="shared" si="112"/>
        <v>1</v>
      </c>
      <c r="DK53" s="58" t="str" cm="1">
        <f t="array" ref="DK53">IF(AND($BT53=4,$BX53=4,$BU53=999),$DB$36,_xlfn.IFNA(INDEX(DB$13:DB$70,MATCH(1,($BR53=$CV$13:$CV$70)*($BT53=$CX$13:$CX$70)*($CE53=$CY$13:$CY$70)*($BY53=$DA$13:$DA$70)*($CD53=$DH$13:$DH$70),0)),""))</f>
        <v>Log-logistic</v>
      </c>
      <c r="DL53" s="58" t="str" cm="1">
        <f t="array" ref="DL53">IF(AND($BT53=4,$BX53=4,$BU53=999),$DC$36,_xlfn.IFNA(INDEX(CHOOSE(DP53,DB$13:DB$70,DC$13:DC$70,DD$13:DD$70,DE$13:DE$70),MATCH(1,($BR53=$CV$13:$CV$70)*($BT53=$CX$13:$CX$70)*($CE53=$CY$13:$CY$70)*($BY53=$DA$13:$DA$70)*($CD53=$DH$13:$DH$70),0)),""))</f>
        <v>Log-logistic</v>
      </c>
      <c r="DM53" s="740" cm="1">
        <f t="array" ref="DM53">IF(AND($BT53=4,$BX53=4,$BU53=999),$DD$36,_xlfn.IFNA(INDEX(DD$13:DD$68,MATCH(1,($BR53=$CV$13:$CV$68)*($BT53=$CX$13:$CX$68)*($CE53=$CY$13:$CY$68)*($BY53=$DA$13:$DA$68)*($CD53=$DH$13:$DH$68),0)),""))</f>
        <v>0</v>
      </c>
      <c r="DN53" s="740" cm="1">
        <f t="array" ref="DN53">IF(AND($BT53=4,$BX53=4,$BU53=999),$DD$36,_xlfn.IFNA(INDEX(DE$13:DE$68,MATCH(1,($BR53=$CV$13:$CV$68)*($BT53=$CX$13:$CX$68)*($CE53=$CY$13:$CY$68)*($BY53=$DA$13:$DA$68)*($CD53=$DH$13:$DH$68),0)),""))</f>
        <v>0</v>
      </c>
      <c r="DO53" s="58" t="str" cm="1">
        <f t="array" ref="DO53">IF(AND($BT53=4,$BX53=4,$BU53=999),$DF$36,_xlfn.IFNA(INDEX(DF$13:DF$70,MATCH(1,($BR53=$CV$13:$CV$70)*($BT53=$CX$13:$CX$70)*($CE53=$CY$13:$CY$70)*($BY53=$DA$13:$DA$70)*($CD53=$DH$13:$DH$70),0)),""))</f>
        <v>Base case</v>
      </c>
      <c r="DP53" s="58">
        <f t="shared" si="13"/>
        <v>1</v>
      </c>
      <c r="DW53" s="58" t="s">
        <v>58</v>
      </c>
      <c r="DX53" s="58" t="s">
        <v>554</v>
      </c>
      <c r="DY53" s="58">
        <v>0</v>
      </c>
      <c r="DZ53" s="58">
        <v>0</v>
      </c>
      <c r="EB53" s="58">
        <v>1</v>
      </c>
      <c r="EC53" s="58">
        <v>1</v>
      </c>
      <c r="ED53" s="58">
        <v>7</v>
      </c>
      <c r="EE53" s="58">
        <v>2</v>
      </c>
      <c r="EF53" s="58">
        <v>2</v>
      </c>
      <c r="EI53" s="58" t="s">
        <v>58</v>
      </c>
      <c r="EJ53" s="58" t="s">
        <v>554</v>
      </c>
      <c r="EK53" s="58">
        <v>0</v>
      </c>
      <c r="EL53" s="58">
        <v>0</v>
      </c>
      <c r="EN53" s="58">
        <v>1</v>
      </c>
      <c r="EO53" s="58">
        <v>1</v>
      </c>
      <c r="EP53" s="58">
        <v>7</v>
      </c>
      <c r="EQ53" s="58">
        <v>0</v>
      </c>
      <c r="ER53" s="58">
        <v>2</v>
      </c>
      <c r="EU53" s="58" t="str">
        <f t="shared" si="93"/>
        <v>No</v>
      </c>
      <c r="EV53" s="58" t="str">
        <f t="shared" si="94"/>
        <v>Time to treatment discontinuation</v>
      </c>
      <c r="EW53" s="58">
        <f t="shared" si="95"/>
        <v>0</v>
      </c>
      <c r="EX53" s="58">
        <f t="shared" si="96"/>
        <v>0</v>
      </c>
      <c r="EZ53" s="58">
        <f t="shared" si="97"/>
        <v>1</v>
      </c>
      <c r="FA53" s="58">
        <f t="shared" si="98"/>
        <v>1</v>
      </c>
      <c r="FB53" s="58">
        <f>IF(i_eff_inputs_based_on_num=2,ED53,(INDEX(Lists!$L$51:$L$85,MATCH(O53,Lists!$K$51:$K$85,0))))</f>
        <v>7</v>
      </c>
      <c r="FC53" s="58">
        <f>IF(i_eff_inputs_based_on_num=2,EE53,(INDEX(Lists!$L$51:$L$85,MATCH(P53,Lists!$K$51:$K$85,0))))</f>
        <v>2</v>
      </c>
      <c r="FD53" s="58">
        <f>IF(i_eff_inputs_based_on_num=2,EF53,(INDEX(Lists!$L$51:$L$85,MATCH(Q53,Lists!$K$51:$K$85,0))))</f>
        <v>2</v>
      </c>
      <c r="FG53" s="58" t="str">
        <f t="shared" si="99"/>
        <v>No</v>
      </c>
      <c r="FH53" s="58" t="str">
        <f t="shared" si="100"/>
        <v>Time to treatment discontinuation</v>
      </c>
      <c r="FI53" s="58">
        <f t="shared" si="101"/>
        <v>0</v>
      </c>
      <c r="FJ53" s="58">
        <f t="shared" si="102"/>
        <v>0</v>
      </c>
      <c r="FL53" s="58">
        <f t="shared" si="103"/>
        <v>1</v>
      </c>
      <c r="FM53" s="58">
        <f t="shared" si="104"/>
        <v>1</v>
      </c>
      <c r="FN53" s="58">
        <f>IF(i_eff_inputs_based_on_num=2,EP53,(INDEX(Lists!$L$51:$L$85,MATCH(O53,Lists!$K$51:$K$85,0))))</f>
        <v>7</v>
      </c>
      <c r="FO53" s="58">
        <f>IF(i_eff_inputs_based_on_num=2,EQ53,(INDEX(Lists!$L$51:$L$85,MATCH(P53,Lists!$K$51:$K$85,0))))</f>
        <v>0</v>
      </c>
      <c r="FP53" s="58">
        <f>IF(i_eff_inputs_based_on_num=2,ER53,(INDEX(Lists!$L$51:$L$85,MATCH(Q53,Lists!$K$51:$K$85,0))))</f>
        <v>2</v>
      </c>
      <c r="FT53" s="58">
        <f t="shared" si="26"/>
        <v>0</v>
      </c>
      <c r="FW53" s="58">
        <f>IF(i_baseline_risk_from=2,'Effectiveness settings'!EW53,'Effectiveness settings'!FI53)</f>
        <v>0</v>
      </c>
      <c r="FX53" s="58">
        <f t="shared" si="27"/>
        <v>0</v>
      </c>
      <c r="FY53" s="58">
        <f t="shared" si="28"/>
        <v>0</v>
      </c>
      <c r="FZ53" s="58">
        <f t="shared" si="29"/>
        <v>0</v>
      </c>
      <c r="GA53" s="58">
        <f t="shared" si="30"/>
        <v>0</v>
      </c>
      <c r="GB53" s="58">
        <f t="shared" si="31"/>
        <v>0</v>
      </c>
      <c r="GC53" s="58">
        <f t="shared" si="32"/>
        <v>0</v>
      </c>
      <c r="GD53" s="58">
        <f t="shared" si="33"/>
        <v>0</v>
      </c>
      <c r="GE53" s="58">
        <f>IF(AND(dd_CheckMate214_TTD="Yes",'Effectiveness settings'!BU53=2,'Effectiveness settings'!BX53=2),"Apply HR to",GD53)</f>
        <v>0</v>
      </c>
      <c r="GF53" s="58">
        <f t="shared" si="34"/>
        <v>0</v>
      </c>
      <c r="GG53" s="58">
        <f t="shared" si="35"/>
        <v>0</v>
      </c>
      <c r="GH53" s="58">
        <f t="shared" si="36"/>
        <v>0</v>
      </c>
      <c r="GI53" s="58">
        <f t="shared" si="106"/>
        <v>0</v>
      </c>
      <c r="GK53" s="58">
        <f>IF(i_baseline_risk_from=2,'Effectiveness settings'!FA53,'Effectiveness settings'!FM53)</f>
        <v>1</v>
      </c>
      <c r="GL53" s="58">
        <f>IF(i_baseline_risk_from=2,'Effectiveness settings'!FB53,'Effectiveness settings'!FN53)</f>
        <v>7</v>
      </c>
      <c r="GM53" s="58">
        <f>IF(i_baseline_risk_from=2,'Effectiveness settings'!FC53,'Effectiveness settings'!FO53)</f>
        <v>2</v>
      </c>
      <c r="GN53" s="58">
        <f>IF(i_baseline_risk_from=2,'Effectiveness settings'!FD53,'Effectiveness settings'!FP53)</f>
        <v>2</v>
      </c>
      <c r="GQ53" s="58">
        <f t="shared" si="38"/>
        <v>7</v>
      </c>
      <c r="GR53" s="58">
        <f t="shared" si="39"/>
        <v>7</v>
      </c>
      <c r="GS53" s="58">
        <f t="shared" si="40"/>
        <v>7</v>
      </c>
      <c r="GT53" s="58">
        <f t="shared" si="41"/>
        <v>7</v>
      </c>
      <c r="GU53" s="58">
        <f>IF(AND(dd_CheckMate214_TTD="Yes",'Effectiveness settings'!BU53=2,'Effectiveness settings'!BX53=2),2,GT53)</f>
        <v>7</v>
      </c>
      <c r="GV53" s="58">
        <f t="shared" si="42"/>
        <v>7</v>
      </c>
      <c r="GW53" s="58">
        <f t="shared" si="43"/>
        <v>7</v>
      </c>
      <c r="GY53" s="58">
        <f>IF(AND(dd_CheckMate214_TTD="Yes",'Effectiveness settings'!BU53=2,'Effectiveness settings'!BX53=2),1,GN53)</f>
        <v>2</v>
      </c>
      <c r="GZ53" s="58">
        <f t="shared" si="44"/>
        <v>2</v>
      </c>
      <c r="HB53" s="58">
        <f t="shared" si="45"/>
        <v>1</v>
      </c>
      <c r="HD53" s="58">
        <f t="shared" si="107"/>
        <v>1</v>
      </c>
      <c r="HE53" s="58">
        <f t="shared" si="108"/>
        <v>1</v>
      </c>
      <c r="HF53" s="58">
        <f t="shared" si="109"/>
        <v>7</v>
      </c>
      <c r="HG53" s="58">
        <f t="shared" si="110"/>
        <v>2</v>
      </c>
      <c r="HH53" s="58">
        <f t="shared" si="111"/>
        <v>2</v>
      </c>
    </row>
    <row r="54" spans="1:216" ht="15.75" x14ac:dyDescent="0.25">
      <c r="D54" s="58" t="str">
        <v>axitinib</v>
      </c>
      <c r="I54" s="64" t="s">
        <v>58</v>
      </c>
      <c r="J54" s="519" t="s">
        <v>554</v>
      </c>
      <c r="K54" s="524"/>
      <c r="L54" s="519"/>
      <c r="M54" s="516" t="s">
        <v>545</v>
      </c>
      <c r="N54" s="64" t="s">
        <v>546</v>
      </c>
      <c r="O54" s="64" t="s">
        <v>117</v>
      </c>
      <c r="P54" s="64" t="s">
        <v>547</v>
      </c>
      <c r="Q54" s="519" t="s">
        <v>554</v>
      </c>
      <c r="R54" s="516" t="s">
        <v>548</v>
      </c>
      <c r="S54" s="497"/>
      <c r="T54" s="497"/>
      <c r="U54" s="497"/>
      <c r="Y54" s="517"/>
      <c r="AA54" s="517"/>
      <c r="AF54" s="517"/>
      <c r="AM54" s="517"/>
      <c r="AO54" s="517"/>
      <c r="AT54" s="517"/>
      <c r="AV54" s="511"/>
      <c r="AW54" s="511"/>
      <c r="AX54" s="511"/>
      <c r="BA54" s="517"/>
      <c r="BC54" s="517"/>
      <c r="BH54" s="517"/>
      <c r="BJ54" s="511"/>
      <c r="BK54" s="511"/>
      <c r="BL54" s="511"/>
      <c r="BQ54" s="58">
        <f t="shared" si="0"/>
        <v>40</v>
      </c>
      <c r="BR54" s="17">
        <v>1</v>
      </c>
      <c r="BS54" s="17" t="s">
        <v>549</v>
      </c>
      <c r="BT54" s="17">
        <v>1</v>
      </c>
      <c r="BU54" s="17">
        <v>11</v>
      </c>
      <c r="BV54" s="17" t="str">
        <f t="shared" si="81"/>
        <v>axitinib</v>
      </c>
      <c r="BW54" s="1006" t="str" cm="1">
        <f t="array" ref="BW54">IF(I54="No",I54,INDEX(List_incl_anal_1L_PorI,IF(BU54=999,35,BU54+1)))</f>
        <v>No</v>
      </c>
      <c r="BX54" s="61">
        <f t="shared" si="82"/>
        <v>2</v>
      </c>
      <c r="BY54" s="531" t="str">
        <f t="shared" si="113"/>
        <v>Time to treatment discontinuation</v>
      </c>
      <c r="BZ54" s="530">
        <f t="shared" si="83"/>
        <v>0</v>
      </c>
      <c r="CA54" s="531">
        <f t="shared" si="105"/>
        <v>0</v>
      </c>
      <c r="CB54" s="530">
        <f t="shared" si="84"/>
        <v>1</v>
      </c>
      <c r="CC54" s="530">
        <f t="shared" si="85"/>
        <v>1</v>
      </c>
      <c r="CD54" s="530">
        <f t="shared" si="86"/>
        <v>7</v>
      </c>
      <c r="CE54" s="1295">
        <f t="shared" si="87"/>
        <v>2</v>
      </c>
      <c r="CF54" s="1301">
        <f t="shared" si="88"/>
        <v>2</v>
      </c>
      <c r="CG54" s="530" t="str">
        <f t="shared" si="89"/>
        <v>Log-logistic</v>
      </c>
      <c r="CH54" s="61">
        <f t="shared" si="90"/>
        <v>0</v>
      </c>
      <c r="CI54" s="61">
        <f t="shared" si="91"/>
        <v>0</v>
      </c>
      <c r="CJ54" s="61">
        <f t="shared" si="92"/>
        <v>0</v>
      </c>
      <c r="CV54" s="940">
        <v>1</v>
      </c>
      <c r="CW54" s="940" t="s">
        <v>549</v>
      </c>
      <c r="CX54" s="940">
        <v>1</v>
      </c>
      <c r="CY54" s="940">
        <v>0</v>
      </c>
      <c r="CZ54" s="940" t="str" cm="1">
        <f t="array" ref="CZ54">INDEX(List_trials,CY54+1)</f>
        <v>CheckMate 9ER</v>
      </c>
      <c r="DA54" s="941" t="s">
        <v>554</v>
      </c>
      <c r="DB54" s="941" t="s">
        <v>551</v>
      </c>
      <c r="DC54" s="941" t="s">
        <v>568</v>
      </c>
      <c r="DD54" s="941" t="s">
        <v>548</v>
      </c>
      <c r="DE54" s="941"/>
      <c r="DF54" s="941" t="s">
        <v>103</v>
      </c>
      <c r="DG54" s="941" t="s">
        <v>571</v>
      </c>
      <c r="DH54" s="58">
        <f t="shared" si="112"/>
        <v>1</v>
      </c>
      <c r="DK54" s="58" t="str" cm="1">
        <f t="array" ref="DK54">IF(AND($BT54=4,$BX54=4,$BU54=999),$DB$36,_xlfn.IFNA(INDEX(DB$13:DB$70,MATCH(1,($BR54=$CV$13:$CV$70)*($BT54=$CX$13:$CX$70)*($CE54=$CY$13:$CY$70)*($BY54=$DA$13:$DA$70)*($CD54=$DH$13:$DH$70),0)),""))</f>
        <v>Log-logistic</v>
      </c>
      <c r="DL54" s="58" t="str" cm="1">
        <f t="array" ref="DL54">IF(AND($BT54=4,$BX54=4,$BU54=999),$DC$36,_xlfn.IFNA(INDEX(CHOOSE(DP54,DB$13:DB$70,DC$13:DC$70,DD$13:DD$70,DE$13:DE$70),MATCH(1,($BR54=$CV$13:$CV$70)*($BT54=$CX$13:$CX$70)*($CE54=$CY$13:$CY$70)*($BY54=$DA$13:$DA$70)*($CD54=$DH$13:$DH$70),0)),""))</f>
        <v>Log-logistic</v>
      </c>
      <c r="DM54" s="740" cm="1">
        <f t="array" ref="DM54">IF(AND($BT54=4,$BX54=4,$BU54=999),$DD$36,_xlfn.IFNA(INDEX(DD$13:DD$68,MATCH(1,($BR54=$CV$13:$CV$68)*($BT54=$CX$13:$CX$68)*($CE54=$CY$13:$CY$68)*($BY54=$DA$13:$DA$68)*($CD54=$DH$13:$DH$68),0)),""))</f>
        <v>0</v>
      </c>
      <c r="DN54" s="740" cm="1">
        <f t="array" ref="DN54">IF(AND($BT54=4,$BX54=4,$BU54=999),$DD$36,_xlfn.IFNA(INDEX(DE$13:DE$68,MATCH(1,($BR54=$CV$13:$CV$68)*($BT54=$CX$13:$CX$68)*($CE54=$CY$13:$CY$68)*($BY54=$DA$13:$DA$68)*($CD54=$DH$13:$DH$68),0)),""))</f>
        <v>0</v>
      </c>
      <c r="DO54" s="58" t="str" cm="1">
        <f t="array" ref="DO54">IF(AND($BT54=4,$BX54=4,$BU54=999),$DF$36,_xlfn.IFNA(INDEX(DF$13:DF$70,MATCH(1,($BR54=$CV$13:$CV$70)*($BT54=$CX$13:$CX$70)*($CE54=$CY$13:$CY$70)*($BY54=$DA$13:$DA$70)*($CD54=$DH$13:$DH$70),0)),""))</f>
        <v>Base case</v>
      </c>
      <c r="DP54" s="58">
        <f t="shared" si="13"/>
        <v>1</v>
      </c>
      <c r="DW54" s="58" t="s">
        <v>58</v>
      </c>
      <c r="DX54" s="58" t="s">
        <v>554</v>
      </c>
      <c r="DY54" s="58">
        <v>0</v>
      </c>
      <c r="DZ54" s="58">
        <v>0</v>
      </c>
      <c r="EB54" s="58">
        <v>1</v>
      </c>
      <c r="EC54" s="58">
        <v>1</v>
      </c>
      <c r="ED54" s="58">
        <v>7</v>
      </c>
      <c r="EE54" s="58">
        <v>2</v>
      </c>
      <c r="EF54" s="58">
        <v>2</v>
      </c>
      <c r="EI54" s="58" t="s">
        <v>58</v>
      </c>
      <c r="EJ54" s="58" t="s">
        <v>554</v>
      </c>
      <c r="EK54" s="58">
        <v>0</v>
      </c>
      <c r="EL54" s="58">
        <v>0</v>
      </c>
      <c r="EN54" s="58">
        <v>1</v>
      </c>
      <c r="EO54" s="58">
        <v>1</v>
      </c>
      <c r="EP54" s="58">
        <v>7</v>
      </c>
      <c r="EQ54" s="58">
        <v>0</v>
      </c>
      <c r="ER54" s="58">
        <v>2</v>
      </c>
      <c r="EU54" s="58" t="str">
        <f t="shared" si="93"/>
        <v>No</v>
      </c>
      <c r="EV54" s="58" t="str">
        <f t="shared" si="94"/>
        <v>Time to treatment discontinuation</v>
      </c>
      <c r="EW54" s="58">
        <f t="shared" si="95"/>
        <v>0</v>
      </c>
      <c r="EX54" s="58">
        <f t="shared" si="96"/>
        <v>0</v>
      </c>
      <c r="EZ54" s="58">
        <f t="shared" si="97"/>
        <v>1</v>
      </c>
      <c r="FA54" s="58">
        <f t="shared" si="98"/>
        <v>1</v>
      </c>
      <c r="FB54" s="58">
        <f>IF(i_eff_inputs_based_on_num=2,ED54,(INDEX(Lists!$L$51:$L$85,MATCH(O54,Lists!$K$51:$K$85,0))))</f>
        <v>7</v>
      </c>
      <c r="FC54" s="58">
        <f>IF(i_eff_inputs_based_on_num=2,EE54,(INDEX(Lists!$L$51:$L$85,MATCH(P54,Lists!$K$51:$K$85,0))))</f>
        <v>2</v>
      </c>
      <c r="FD54" s="58">
        <f>IF(i_eff_inputs_based_on_num=2,EF54,(INDEX(Lists!$L$51:$L$85,MATCH(Q54,Lists!$K$51:$K$85,0))))</f>
        <v>2</v>
      </c>
      <c r="FG54" s="58" t="str">
        <f t="shared" si="99"/>
        <v>No</v>
      </c>
      <c r="FH54" s="58" t="str">
        <f t="shared" si="100"/>
        <v>Time to treatment discontinuation</v>
      </c>
      <c r="FI54" s="58">
        <f t="shared" si="101"/>
        <v>0</v>
      </c>
      <c r="FJ54" s="58">
        <f t="shared" si="102"/>
        <v>0</v>
      </c>
      <c r="FL54" s="58">
        <f t="shared" si="103"/>
        <v>1</v>
      </c>
      <c r="FM54" s="58">
        <f t="shared" si="104"/>
        <v>1</v>
      </c>
      <c r="FN54" s="58">
        <f>IF(i_eff_inputs_based_on_num=2,EP54,(INDEX(Lists!$L$51:$L$85,MATCH(O54,Lists!$K$51:$K$85,0))))</f>
        <v>7</v>
      </c>
      <c r="FO54" s="58">
        <f>IF(i_eff_inputs_based_on_num=2,EQ54,(INDEX(Lists!$L$51:$L$85,MATCH(P54,Lists!$K$51:$K$85,0))))</f>
        <v>0</v>
      </c>
      <c r="FP54" s="58">
        <f>IF(i_eff_inputs_based_on_num=2,ER54,(INDEX(Lists!$L$51:$L$85,MATCH(Q54,Lists!$K$51:$K$85,0))))</f>
        <v>2</v>
      </c>
      <c r="FT54" s="58">
        <f t="shared" si="26"/>
        <v>0</v>
      </c>
      <c r="FW54" s="58">
        <f>IF(i_baseline_risk_from=2,'Effectiveness settings'!EW54,'Effectiveness settings'!FI54)</f>
        <v>0</v>
      </c>
      <c r="FX54" s="58">
        <f t="shared" si="27"/>
        <v>0</v>
      </c>
      <c r="FY54" s="58">
        <f t="shared" si="28"/>
        <v>0</v>
      </c>
      <c r="FZ54" s="58">
        <f t="shared" si="29"/>
        <v>0</v>
      </c>
      <c r="GA54" s="58">
        <f t="shared" si="30"/>
        <v>0</v>
      </c>
      <c r="GB54" s="58">
        <f t="shared" si="31"/>
        <v>0</v>
      </c>
      <c r="GC54" s="58">
        <f t="shared" si="32"/>
        <v>0</v>
      </c>
      <c r="GD54" s="58">
        <f t="shared" si="33"/>
        <v>0</v>
      </c>
      <c r="GE54" s="58">
        <f>IF(AND(dd_CheckMate214_TTD="Yes",'Effectiveness settings'!BU54=2,'Effectiveness settings'!BX54=2),"Apply HR to",GD54)</f>
        <v>0</v>
      </c>
      <c r="GF54" s="58">
        <f t="shared" si="34"/>
        <v>0</v>
      </c>
      <c r="GG54" s="58">
        <f t="shared" si="35"/>
        <v>0</v>
      </c>
      <c r="GH54" s="58">
        <f t="shared" si="36"/>
        <v>0</v>
      </c>
      <c r="GI54" s="58">
        <f t="shared" si="106"/>
        <v>0</v>
      </c>
      <c r="GK54" s="58">
        <f>IF(i_baseline_risk_from=2,'Effectiveness settings'!FA54,'Effectiveness settings'!FM54)</f>
        <v>1</v>
      </c>
      <c r="GL54" s="58">
        <f>IF(i_baseline_risk_from=2,'Effectiveness settings'!FB54,'Effectiveness settings'!FN54)</f>
        <v>7</v>
      </c>
      <c r="GM54" s="58">
        <f>IF(i_baseline_risk_from=2,'Effectiveness settings'!FC54,'Effectiveness settings'!FO54)</f>
        <v>2</v>
      </c>
      <c r="GN54" s="58">
        <f>IF(i_baseline_risk_from=2,'Effectiveness settings'!FD54,'Effectiveness settings'!FP54)</f>
        <v>2</v>
      </c>
      <c r="GQ54" s="58">
        <f t="shared" si="38"/>
        <v>7</v>
      </c>
      <c r="GR54" s="58">
        <f t="shared" si="39"/>
        <v>7</v>
      </c>
      <c r="GS54" s="58">
        <f t="shared" si="40"/>
        <v>7</v>
      </c>
      <c r="GT54" s="58">
        <f t="shared" si="41"/>
        <v>7</v>
      </c>
      <c r="GU54" s="58">
        <f>IF(AND(dd_CheckMate214_TTD="Yes",'Effectiveness settings'!BU54=2,'Effectiveness settings'!BX54=2),2,GT54)</f>
        <v>7</v>
      </c>
      <c r="GV54" s="58">
        <f t="shared" si="42"/>
        <v>7</v>
      </c>
      <c r="GW54" s="58">
        <f t="shared" si="43"/>
        <v>7</v>
      </c>
      <c r="GY54" s="58">
        <f>IF(AND(dd_CheckMate214_TTD="Yes",'Effectiveness settings'!BU54=2,'Effectiveness settings'!BX54=2),1,GN54)</f>
        <v>2</v>
      </c>
      <c r="GZ54" s="58">
        <f t="shared" si="44"/>
        <v>2</v>
      </c>
      <c r="HB54" s="58">
        <f t="shared" si="45"/>
        <v>1</v>
      </c>
      <c r="HD54" s="58">
        <f t="shared" si="107"/>
        <v>1</v>
      </c>
      <c r="HE54" s="58">
        <f t="shared" si="108"/>
        <v>1</v>
      </c>
      <c r="HF54" s="58">
        <f t="shared" si="109"/>
        <v>7</v>
      </c>
      <c r="HG54" s="58">
        <f t="shared" si="110"/>
        <v>2</v>
      </c>
      <c r="HH54" s="58">
        <f t="shared" si="111"/>
        <v>2</v>
      </c>
    </row>
    <row r="55" spans="1:216" ht="15.75" x14ac:dyDescent="0.25">
      <c r="D55" s="58" t="str">
        <v>sorafenib</v>
      </c>
      <c r="I55" s="64" t="s">
        <v>58</v>
      </c>
      <c r="J55" s="519" t="s">
        <v>554</v>
      </c>
      <c r="K55" s="524"/>
      <c r="L55" s="519"/>
      <c r="M55" s="516" t="s">
        <v>545</v>
      </c>
      <c r="N55" s="64" t="s">
        <v>546</v>
      </c>
      <c r="O55" s="64" t="s">
        <v>117</v>
      </c>
      <c r="P55" s="64" t="s">
        <v>547</v>
      </c>
      <c r="Q55" s="519" t="s">
        <v>554</v>
      </c>
      <c r="R55" s="516" t="s">
        <v>548</v>
      </c>
      <c r="S55" s="497"/>
      <c r="T55" s="497"/>
      <c r="U55" s="497"/>
      <c r="Y55" s="517"/>
      <c r="AA55" s="517"/>
      <c r="AF55" s="517"/>
      <c r="AM55" s="517"/>
      <c r="AO55" s="517"/>
      <c r="AT55" s="517"/>
      <c r="AV55" s="511"/>
      <c r="AW55" s="511"/>
      <c r="AX55" s="511"/>
      <c r="BA55" s="517"/>
      <c r="BC55" s="517"/>
      <c r="BH55" s="517"/>
      <c r="BJ55" s="511"/>
      <c r="BK55" s="511"/>
      <c r="BL55" s="511"/>
      <c r="BQ55" s="58">
        <f t="shared" si="0"/>
        <v>41</v>
      </c>
      <c r="BR55" s="17">
        <v>1</v>
      </c>
      <c r="BS55" s="17" t="s">
        <v>549</v>
      </c>
      <c r="BT55" s="17">
        <v>1</v>
      </c>
      <c r="BU55" s="17">
        <v>12</v>
      </c>
      <c r="BV55" s="17" t="str">
        <f t="shared" si="81"/>
        <v>sorafenib</v>
      </c>
      <c r="BW55" s="1006" t="str" cm="1">
        <f t="array" ref="BW55">IF(I55="No",I55,INDEX(List_incl_anal_1L_PorI,IF(BU55=999,35,BU55+1)))</f>
        <v>No</v>
      </c>
      <c r="BX55" s="61">
        <f t="shared" si="82"/>
        <v>2</v>
      </c>
      <c r="BY55" s="531" t="str">
        <f t="shared" si="113"/>
        <v>Time to treatment discontinuation</v>
      </c>
      <c r="BZ55" s="530">
        <f t="shared" si="83"/>
        <v>0</v>
      </c>
      <c r="CA55" s="531">
        <f t="shared" si="105"/>
        <v>0</v>
      </c>
      <c r="CB55" s="530">
        <f t="shared" si="84"/>
        <v>1</v>
      </c>
      <c r="CC55" s="530">
        <f t="shared" si="85"/>
        <v>1</v>
      </c>
      <c r="CD55" s="530">
        <f t="shared" si="86"/>
        <v>7</v>
      </c>
      <c r="CE55" s="1295">
        <f t="shared" si="87"/>
        <v>2</v>
      </c>
      <c r="CF55" s="1301">
        <f t="shared" si="88"/>
        <v>2</v>
      </c>
      <c r="CG55" s="530" t="str">
        <f t="shared" si="89"/>
        <v>Log-logistic</v>
      </c>
      <c r="CH55" s="61">
        <f t="shared" si="90"/>
        <v>0</v>
      </c>
      <c r="CI55" s="61">
        <f t="shared" si="91"/>
        <v>0</v>
      </c>
      <c r="CJ55" s="61">
        <f t="shared" si="92"/>
        <v>0</v>
      </c>
      <c r="CV55" s="940">
        <v>1</v>
      </c>
      <c r="CW55" s="940" t="s">
        <v>549</v>
      </c>
      <c r="CX55" s="940">
        <v>1</v>
      </c>
      <c r="CY55" s="940">
        <v>0</v>
      </c>
      <c r="CZ55" s="940" t="str" cm="1">
        <f t="array" ref="CZ55">INDEX(List_trials,CY55+1)</f>
        <v>CheckMate 9ER</v>
      </c>
      <c r="DA55" s="941" t="s">
        <v>555</v>
      </c>
      <c r="DB55" s="941" t="s">
        <v>548</v>
      </c>
      <c r="DC55" s="941" t="s">
        <v>563</v>
      </c>
      <c r="DD55" s="941" t="s">
        <v>553</v>
      </c>
      <c r="DE55" s="941"/>
      <c r="DF55" s="941" t="s">
        <v>103</v>
      </c>
      <c r="DG55" s="941" t="s">
        <v>571</v>
      </c>
      <c r="DH55" s="58">
        <f t="shared" si="112"/>
        <v>1</v>
      </c>
      <c r="DK55" s="58" t="str" cm="1">
        <f t="array" ref="DK55">IF(AND($BT55=4,$BX55=4,$BU55=999),$DB$36,_xlfn.IFNA(INDEX(DB$13:DB$70,MATCH(1,($BR55=$CV$13:$CV$70)*($BT55=$CX$13:$CX$70)*($CE55=$CY$13:$CY$70)*($BY55=$DA$13:$DA$70)*($CD55=$DH$13:$DH$70),0)),""))</f>
        <v>Log-logistic</v>
      </c>
      <c r="DL55" s="58" t="str" cm="1">
        <f t="array" ref="DL55">IF(AND($BT55=4,$BX55=4,$BU55=999),$DC$36,_xlfn.IFNA(INDEX(CHOOSE(DP55,DB$13:DB$70,DC$13:DC$70,DD$13:DD$70,DE$13:DE$70),MATCH(1,($BR55=$CV$13:$CV$70)*($BT55=$CX$13:$CX$70)*($CE55=$CY$13:$CY$70)*($BY55=$DA$13:$DA$70)*($CD55=$DH$13:$DH$70),0)),""))</f>
        <v>Log-logistic</v>
      </c>
      <c r="DM55" s="740" cm="1">
        <f t="array" ref="DM55">IF(AND($BT55=4,$BX55=4,$BU55=999),$DD$36,_xlfn.IFNA(INDEX(DD$13:DD$68,MATCH(1,($BR55=$CV$13:$CV$68)*($BT55=$CX$13:$CX$68)*($CE55=$CY$13:$CY$68)*($BY55=$DA$13:$DA$68)*($CD55=$DH$13:$DH$68),0)),""))</f>
        <v>0</v>
      </c>
      <c r="DN55" s="740" cm="1">
        <f t="array" ref="DN55">IF(AND($BT55=4,$BX55=4,$BU55=999),$DD$36,_xlfn.IFNA(INDEX(DE$13:DE$68,MATCH(1,($BR55=$CV$13:$CV$68)*($BT55=$CX$13:$CX$68)*($CE55=$CY$13:$CY$68)*($BY55=$DA$13:$DA$68)*($CD55=$DH$13:$DH$68),0)),""))</f>
        <v>0</v>
      </c>
      <c r="DO55" s="58" t="str" cm="1">
        <f t="array" ref="DO55">IF(AND($BT55=4,$BX55=4,$BU55=999),$DF$36,_xlfn.IFNA(INDEX(DF$13:DF$70,MATCH(1,($BR55=$CV$13:$CV$70)*($BT55=$CX$13:$CX$70)*($CE55=$CY$13:$CY$70)*($BY55=$DA$13:$DA$70)*($CD55=$DH$13:$DH$70),0)),""))</f>
        <v>Base case</v>
      </c>
      <c r="DP55" s="58">
        <f t="shared" si="13"/>
        <v>1</v>
      </c>
      <c r="DW55" s="58" t="s">
        <v>58</v>
      </c>
      <c r="DX55" s="58" t="s">
        <v>554</v>
      </c>
      <c r="DY55" s="58">
        <v>0</v>
      </c>
      <c r="DZ55" s="58">
        <v>0</v>
      </c>
      <c r="EB55" s="58">
        <v>1</v>
      </c>
      <c r="EC55" s="58">
        <v>1</v>
      </c>
      <c r="ED55" s="58">
        <v>7</v>
      </c>
      <c r="EE55" s="58">
        <v>2</v>
      </c>
      <c r="EF55" s="58">
        <v>2</v>
      </c>
      <c r="EI55" s="58" t="s">
        <v>58</v>
      </c>
      <c r="EJ55" s="58" t="s">
        <v>554</v>
      </c>
      <c r="EK55" s="58">
        <v>0</v>
      </c>
      <c r="EL55" s="58">
        <v>0</v>
      </c>
      <c r="EN55" s="58">
        <v>1</v>
      </c>
      <c r="EO55" s="58">
        <v>1</v>
      </c>
      <c r="EP55" s="58">
        <v>7</v>
      </c>
      <c r="EQ55" s="58">
        <v>0</v>
      </c>
      <c r="ER55" s="58">
        <v>2</v>
      </c>
      <c r="EU55" s="58" t="str">
        <f t="shared" si="93"/>
        <v>No</v>
      </c>
      <c r="EV55" s="58" t="str">
        <f t="shared" si="94"/>
        <v>Time to treatment discontinuation</v>
      </c>
      <c r="EW55" s="58">
        <f t="shared" si="95"/>
        <v>0</v>
      </c>
      <c r="EX55" s="58">
        <f t="shared" si="96"/>
        <v>0</v>
      </c>
      <c r="EZ55" s="58">
        <f t="shared" si="97"/>
        <v>1</v>
      </c>
      <c r="FA55" s="58">
        <f t="shared" si="98"/>
        <v>1</v>
      </c>
      <c r="FB55" s="58">
        <f>IF(i_eff_inputs_based_on_num=2,ED55,(INDEX(Lists!$L$51:$L$85,MATCH(O55,Lists!$K$51:$K$85,0))))</f>
        <v>7</v>
      </c>
      <c r="FC55" s="58">
        <f>IF(i_eff_inputs_based_on_num=2,EE55,(INDEX(Lists!$L$51:$L$85,MATCH(P55,Lists!$K$51:$K$85,0))))</f>
        <v>2</v>
      </c>
      <c r="FD55" s="58">
        <f>IF(i_eff_inputs_based_on_num=2,EF55,(INDEX(Lists!$L$51:$L$85,MATCH(Q55,Lists!$K$51:$K$85,0))))</f>
        <v>2</v>
      </c>
      <c r="FG55" s="58" t="str">
        <f t="shared" si="99"/>
        <v>No</v>
      </c>
      <c r="FH55" s="58" t="str">
        <f t="shared" si="100"/>
        <v>Time to treatment discontinuation</v>
      </c>
      <c r="FI55" s="58">
        <f t="shared" si="101"/>
        <v>0</v>
      </c>
      <c r="FJ55" s="58">
        <f t="shared" si="102"/>
        <v>0</v>
      </c>
      <c r="FL55" s="58">
        <f t="shared" si="103"/>
        <v>1</v>
      </c>
      <c r="FM55" s="58">
        <f t="shared" si="104"/>
        <v>1</v>
      </c>
      <c r="FN55" s="58">
        <f>IF(i_eff_inputs_based_on_num=2,EP55,(INDEX(Lists!$L$51:$L$85,MATCH(O55,Lists!$K$51:$K$85,0))))</f>
        <v>7</v>
      </c>
      <c r="FO55" s="58">
        <f>IF(i_eff_inputs_based_on_num=2,EQ55,(INDEX(Lists!$L$51:$L$85,MATCH(P55,Lists!$K$51:$K$85,0))))</f>
        <v>0</v>
      </c>
      <c r="FP55" s="58">
        <f>IF(i_eff_inputs_based_on_num=2,ER55,(INDEX(Lists!$L$51:$L$85,MATCH(Q55,Lists!$K$51:$K$85,0))))</f>
        <v>2</v>
      </c>
      <c r="FT55" s="58">
        <f t="shared" si="26"/>
        <v>0</v>
      </c>
      <c r="FW55" s="58">
        <f>IF(i_baseline_risk_from=2,'Effectiveness settings'!EW55,'Effectiveness settings'!FI55)</f>
        <v>0</v>
      </c>
      <c r="FX55" s="58">
        <f t="shared" si="27"/>
        <v>0</v>
      </c>
      <c r="FY55" s="58">
        <f t="shared" si="28"/>
        <v>0</v>
      </c>
      <c r="FZ55" s="58">
        <f t="shared" si="29"/>
        <v>0</v>
      </c>
      <c r="GA55" s="58">
        <f t="shared" si="30"/>
        <v>0</v>
      </c>
      <c r="GB55" s="58">
        <f t="shared" si="31"/>
        <v>0</v>
      </c>
      <c r="GC55" s="58">
        <f t="shared" si="32"/>
        <v>0</v>
      </c>
      <c r="GD55" s="58">
        <f t="shared" si="33"/>
        <v>0</v>
      </c>
      <c r="GE55" s="58">
        <f>IF(AND(dd_CheckMate214_TTD="Yes",'Effectiveness settings'!BU55=2,'Effectiveness settings'!BX55=2),"Apply HR to",GD55)</f>
        <v>0</v>
      </c>
      <c r="GF55" s="58">
        <f t="shared" si="34"/>
        <v>0</v>
      </c>
      <c r="GG55" s="58">
        <f t="shared" si="35"/>
        <v>0</v>
      </c>
      <c r="GH55" s="58">
        <f t="shared" si="36"/>
        <v>0</v>
      </c>
      <c r="GI55" s="58">
        <f t="shared" si="106"/>
        <v>0</v>
      </c>
      <c r="GK55" s="58">
        <f>IF(i_baseline_risk_from=2,'Effectiveness settings'!FA55,'Effectiveness settings'!FM55)</f>
        <v>1</v>
      </c>
      <c r="GL55" s="58">
        <f>IF(i_baseline_risk_from=2,'Effectiveness settings'!FB55,'Effectiveness settings'!FN55)</f>
        <v>7</v>
      </c>
      <c r="GM55" s="58">
        <f>IF(i_baseline_risk_from=2,'Effectiveness settings'!FC55,'Effectiveness settings'!FO55)</f>
        <v>2</v>
      </c>
      <c r="GN55" s="58">
        <f>IF(i_baseline_risk_from=2,'Effectiveness settings'!FD55,'Effectiveness settings'!FP55)</f>
        <v>2</v>
      </c>
      <c r="GQ55" s="58">
        <f t="shared" si="38"/>
        <v>7</v>
      </c>
      <c r="GR55" s="58">
        <f t="shared" si="39"/>
        <v>7</v>
      </c>
      <c r="GS55" s="58">
        <f t="shared" si="40"/>
        <v>7</v>
      </c>
      <c r="GT55" s="58">
        <f t="shared" si="41"/>
        <v>7</v>
      </c>
      <c r="GU55" s="58">
        <f>IF(AND(dd_CheckMate214_TTD="Yes",'Effectiveness settings'!BU55=2,'Effectiveness settings'!BX55=2),2,GT55)</f>
        <v>7</v>
      </c>
      <c r="GV55" s="58">
        <f t="shared" si="42"/>
        <v>7</v>
      </c>
      <c r="GW55" s="58">
        <f t="shared" si="43"/>
        <v>7</v>
      </c>
      <c r="GY55" s="58">
        <f>IF(AND(dd_CheckMate214_TTD="Yes",'Effectiveness settings'!BU55=2,'Effectiveness settings'!BX55=2),1,GN55)</f>
        <v>2</v>
      </c>
      <c r="GZ55" s="58">
        <f t="shared" si="44"/>
        <v>2</v>
      </c>
      <c r="HB55" s="58">
        <f t="shared" si="45"/>
        <v>1</v>
      </c>
      <c r="HD55" s="58">
        <f t="shared" si="107"/>
        <v>1</v>
      </c>
      <c r="HE55" s="58">
        <f t="shared" si="108"/>
        <v>1</v>
      </c>
      <c r="HF55" s="58">
        <f t="shared" si="109"/>
        <v>7</v>
      </c>
      <c r="HG55" s="58">
        <f t="shared" si="110"/>
        <v>2</v>
      </c>
      <c r="HH55" s="58">
        <f t="shared" si="111"/>
        <v>2</v>
      </c>
    </row>
    <row r="56" spans="1:216" ht="16.5" thickBot="1" x14ac:dyDescent="0.3">
      <c r="D56" s="58" t="str">
        <v>placebo_BSC</v>
      </c>
      <c r="I56" s="64" t="s">
        <v>58</v>
      </c>
      <c r="J56" s="519" t="s">
        <v>554</v>
      </c>
      <c r="K56" s="524"/>
      <c r="L56" s="519"/>
      <c r="M56" s="516" t="s">
        <v>545</v>
      </c>
      <c r="N56" s="64" t="s">
        <v>546</v>
      </c>
      <c r="O56" s="64" t="s">
        <v>117</v>
      </c>
      <c r="P56" s="64" t="s">
        <v>547</v>
      </c>
      <c r="Q56" s="519" t="s">
        <v>554</v>
      </c>
      <c r="R56" s="516" t="s">
        <v>548</v>
      </c>
      <c r="S56" s="497"/>
      <c r="T56" s="497"/>
      <c r="U56" s="497"/>
      <c r="Y56" s="517"/>
      <c r="AA56" s="517"/>
      <c r="AF56" s="517"/>
      <c r="AM56" s="517"/>
      <c r="AO56" s="517"/>
      <c r="AT56" s="517"/>
      <c r="AV56" s="511"/>
      <c r="AW56" s="511"/>
      <c r="AX56" s="511"/>
      <c r="BA56" s="517"/>
      <c r="BC56" s="517"/>
      <c r="BH56" s="517"/>
      <c r="BJ56" s="511"/>
      <c r="BK56" s="511"/>
      <c r="BL56" s="511"/>
      <c r="BQ56" s="58">
        <f t="shared" si="0"/>
        <v>42</v>
      </c>
      <c r="BR56" s="17">
        <v>1</v>
      </c>
      <c r="BS56" s="17" t="s">
        <v>549</v>
      </c>
      <c r="BT56" s="17">
        <v>1</v>
      </c>
      <c r="BU56" s="17">
        <v>999</v>
      </c>
      <c r="BV56" s="17" t="str">
        <f t="shared" si="81"/>
        <v>placebo_BSC</v>
      </c>
      <c r="BW56" s="1006" t="str" cm="1">
        <f t="array" ref="BW56">IF(I56="No",I56,INDEX(List_incl_anal_1L_PorI,IF(BU56=999,35,BU56+1)))</f>
        <v>No</v>
      </c>
      <c r="BX56" s="61">
        <f t="shared" si="82"/>
        <v>2</v>
      </c>
      <c r="BY56" s="531" t="str">
        <f t="shared" si="113"/>
        <v>Time to treatment discontinuation</v>
      </c>
      <c r="BZ56" s="530">
        <f t="shared" si="83"/>
        <v>0</v>
      </c>
      <c r="CA56" s="531">
        <f t="shared" si="105"/>
        <v>0</v>
      </c>
      <c r="CB56" s="530">
        <f t="shared" si="84"/>
        <v>1</v>
      </c>
      <c r="CC56" s="530">
        <f t="shared" si="85"/>
        <v>4</v>
      </c>
      <c r="CD56" s="530">
        <f t="shared" si="86"/>
        <v>999</v>
      </c>
      <c r="CE56" s="1295">
        <f t="shared" si="87"/>
        <v>2</v>
      </c>
      <c r="CF56" s="1301">
        <f t="shared" si="88"/>
        <v>4</v>
      </c>
      <c r="CG56" s="530" t="str">
        <f t="shared" si="89"/>
        <v/>
      </c>
      <c r="CH56" s="61">
        <f t="shared" si="90"/>
        <v>0</v>
      </c>
      <c r="CI56" s="61">
        <f t="shared" si="91"/>
        <v>0</v>
      </c>
      <c r="CJ56" s="61">
        <f t="shared" si="92"/>
        <v>0</v>
      </c>
      <c r="CV56" s="943">
        <v>1</v>
      </c>
      <c r="CW56" s="943" t="s">
        <v>549</v>
      </c>
      <c r="CX56" s="943">
        <v>1</v>
      </c>
      <c r="CY56" s="943">
        <v>0</v>
      </c>
      <c r="CZ56" s="943" t="str" cm="1">
        <f t="array" ref="CZ56">INDEX(List_trials,CY56+1)</f>
        <v>CheckMate 9ER</v>
      </c>
      <c r="DA56" s="944" t="s">
        <v>557</v>
      </c>
      <c r="DB56" s="944" t="s">
        <v>548</v>
      </c>
      <c r="DC56" s="944" t="s">
        <v>553</v>
      </c>
      <c r="DD56" s="944" t="s">
        <v>563</v>
      </c>
      <c r="DE56" s="944" t="s">
        <v>568</v>
      </c>
      <c r="DF56" s="944" t="s">
        <v>103</v>
      </c>
      <c r="DG56" s="944" t="s">
        <v>571</v>
      </c>
      <c r="DH56" s="945">
        <f t="shared" si="112"/>
        <v>1</v>
      </c>
      <c r="DK56" s="58" t="str" cm="1">
        <f t="array" ref="DK56">IF(AND($BT56=4,$BX56=4,$BU56=999),$DB$36,_xlfn.IFNA(INDEX(DB$13:DB$70,MATCH(1,($BR56=$CV$13:$CV$70)*($BT56=$CX$13:$CX$70)*($CE56=$CY$13:$CY$70)*($BY56=$DA$13:$DA$70)*($CD56=$DH$13:$DH$70),0)),""))</f>
        <v/>
      </c>
      <c r="DL56" s="58" t="str" cm="1">
        <f t="array" ref="DL56">IF(AND($BT56=4,$BX56=4,$BU56=999),$DC$36,_xlfn.IFNA(INDEX(CHOOSE(DP56,DB$13:DB$70,DC$13:DC$70,DD$13:DD$70,DE$13:DE$70),MATCH(1,($BR56=$CV$13:$CV$70)*($BT56=$CX$13:$CX$70)*($CE56=$CY$13:$CY$70)*($BY56=$DA$13:$DA$70)*($CD56=$DH$13:$DH$70),0)),""))</f>
        <v/>
      </c>
      <c r="DM56" s="740" t="str" cm="1">
        <f t="array" ref="DM56">IF(AND($BT56=4,$BX56=4,$BU56=999),$DD$36,_xlfn.IFNA(INDEX(DD$13:DD$68,MATCH(1,($BR56=$CV$13:$CV$68)*($BT56=$CX$13:$CX$68)*($CE56=$CY$13:$CY$68)*($BY56=$DA$13:$DA$68)*($CD56=$DH$13:$DH$68),0)),""))</f>
        <v/>
      </c>
      <c r="DN56" s="740" t="str" cm="1">
        <f t="array" ref="DN56">IF(AND($BT56=4,$BX56=4,$BU56=999),$DD$36,_xlfn.IFNA(INDEX(DE$13:DE$68,MATCH(1,($BR56=$CV$13:$CV$68)*($BT56=$CX$13:$CX$68)*($CE56=$CY$13:$CY$68)*($BY56=$DA$13:$DA$68)*($CD56=$DH$13:$DH$68),0)),""))</f>
        <v/>
      </c>
      <c r="DO56" s="58" t="str" cm="1">
        <f t="array" ref="DO56">IF(AND($BT56=4,$BX56=4,$BU56=999),$DF$36,_xlfn.IFNA(INDEX(DF$13:DF$70,MATCH(1,($BR56=$CV$13:$CV$70)*($BT56=$CX$13:$CX$70)*($CE56=$CY$13:$CY$70)*($BY56=$DA$13:$DA$70)*($CD56=$DH$13:$DH$70),0)),""))</f>
        <v/>
      </c>
      <c r="DP56" s="58" t="e">
        <f t="shared" si="13"/>
        <v>#N/A</v>
      </c>
      <c r="DW56" s="58" t="s">
        <v>58</v>
      </c>
      <c r="DX56" s="58" t="s">
        <v>554</v>
      </c>
      <c r="DY56" s="58">
        <v>0</v>
      </c>
      <c r="DZ56" s="58">
        <v>0</v>
      </c>
      <c r="EB56" s="58">
        <v>1</v>
      </c>
      <c r="EC56" s="58">
        <v>4</v>
      </c>
      <c r="ED56" s="58">
        <v>999</v>
      </c>
      <c r="EE56" s="58">
        <v>2</v>
      </c>
      <c r="EF56" s="58">
        <v>4</v>
      </c>
      <c r="EI56" s="58" t="s">
        <v>58</v>
      </c>
      <c r="EJ56" s="58" t="s">
        <v>554</v>
      </c>
      <c r="EK56" s="58">
        <v>0</v>
      </c>
      <c r="EL56" s="58">
        <v>0</v>
      </c>
      <c r="EN56" s="58">
        <v>1</v>
      </c>
      <c r="EO56" s="58">
        <v>4</v>
      </c>
      <c r="EP56" s="58">
        <v>999</v>
      </c>
      <c r="EQ56" s="58">
        <v>2</v>
      </c>
      <c r="ER56" s="58">
        <v>4</v>
      </c>
      <c r="EU56" s="58" t="str">
        <f t="shared" si="93"/>
        <v>No</v>
      </c>
      <c r="EV56" s="58" t="str">
        <f t="shared" si="94"/>
        <v>Time to treatment discontinuation</v>
      </c>
      <c r="EW56" s="58">
        <f t="shared" si="95"/>
        <v>0</v>
      </c>
      <c r="EX56" s="58">
        <f t="shared" si="96"/>
        <v>0</v>
      </c>
      <c r="EZ56" s="58">
        <f t="shared" si="97"/>
        <v>1</v>
      </c>
      <c r="FA56" s="58">
        <f t="shared" si="98"/>
        <v>4</v>
      </c>
      <c r="FB56" s="58">
        <f>IF(i_eff_inputs_based_on_num=2,ED56,(INDEX(Lists!$L$51:$L$85,MATCH(O56,Lists!$K$51:$K$85,0))))</f>
        <v>999</v>
      </c>
      <c r="FC56" s="58">
        <f>IF(i_eff_inputs_based_on_num=2,EE56,(INDEX(Lists!$L$51:$L$85,MATCH(P56,Lists!$K$51:$K$85,0))))</f>
        <v>2</v>
      </c>
      <c r="FD56" s="58">
        <f>IF(i_eff_inputs_based_on_num=2,EF56,(INDEX(Lists!$L$51:$L$85,MATCH(Q56,Lists!$K$51:$K$85,0))))</f>
        <v>4</v>
      </c>
      <c r="FG56" s="58" t="str">
        <f t="shared" si="99"/>
        <v>No</v>
      </c>
      <c r="FH56" s="58" t="str">
        <f t="shared" si="100"/>
        <v>Time to treatment discontinuation</v>
      </c>
      <c r="FI56" s="58">
        <f t="shared" si="101"/>
        <v>0</v>
      </c>
      <c r="FJ56" s="58">
        <f t="shared" si="102"/>
        <v>0</v>
      </c>
      <c r="FL56" s="58">
        <f t="shared" si="103"/>
        <v>1</v>
      </c>
      <c r="FM56" s="58">
        <f t="shared" si="104"/>
        <v>4</v>
      </c>
      <c r="FN56" s="58">
        <f>IF(i_eff_inputs_based_on_num=2,EP56,(INDEX(Lists!$L$51:$L$85,MATCH(O56,Lists!$K$51:$K$85,0))))</f>
        <v>999</v>
      </c>
      <c r="FO56" s="58">
        <f>IF(i_eff_inputs_based_on_num=2,EQ56,(INDEX(Lists!$L$51:$L$85,MATCH(P56,Lists!$K$51:$K$85,0))))</f>
        <v>2</v>
      </c>
      <c r="FP56" s="58">
        <f>IF(i_eff_inputs_based_on_num=2,ER56,(INDEX(Lists!$L$51:$L$85,MATCH(Q56,Lists!$K$51:$K$85,0))))</f>
        <v>4</v>
      </c>
      <c r="FT56" s="58">
        <f t="shared" si="26"/>
        <v>0</v>
      </c>
      <c r="FW56" s="58">
        <f>IF(i_baseline_risk_from=2,'Effectiveness settings'!EW56,'Effectiveness settings'!FI56)</f>
        <v>0</v>
      </c>
      <c r="FX56" s="58">
        <f t="shared" si="27"/>
        <v>0</v>
      </c>
      <c r="FY56" s="58">
        <f t="shared" si="28"/>
        <v>0</v>
      </c>
      <c r="FZ56" s="58">
        <f t="shared" si="29"/>
        <v>0</v>
      </c>
      <c r="GA56" s="58">
        <f t="shared" si="30"/>
        <v>0</v>
      </c>
      <c r="GB56" s="58">
        <f t="shared" si="31"/>
        <v>0</v>
      </c>
      <c r="GC56" s="58">
        <f t="shared" si="32"/>
        <v>0</v>
      </c>
      <c r="GD56" s="58">
        <f t="shared" si="33"/>
        <v>0</v>
      </c>
      <c r="GE56" s="58">
        <f>IF(AND(dd_CheckMate214_TTD="Yes",'Effectiveness settings'!BU56=2,'Effectiveness settings'!BX56=2),"Apply HR to",GD56)</f>
        <v>0</v>
      </c>
      <c r="GF56" s="58">
        <f t="shared" si="34"/>
        <v>0</v>
      </c>
      <c r="GG56" s="58">
        <f t="shared" si="35"/>
        <v>0</v>
      </c>
      <c r="GH56" s="58">
        <f t="shared" si="36"/>
        <v>0</v>
      </c>
      <c r="GI56" s="58">
        <f t="shared" si="106"/>
        <v>0</v>
      </c>
      <c r="GK56" s="58">
        <f>IF(i_baseline_risk_from=2,'Effectiveness settings'!FA56,'Effectiveness settings'!FM56)</f>
        <v>4</v>
      </c>
      <c r="GL56" s="58">
        <f>IF(i_baseline_risk_from=2,'Effectiveness settings'!FB56,'Effectiveness settings'!FN56)</f>
        <v>999</v>
      </c>
      <c r="GM56" s="58">
        <f>IF(i_baseline_risk_from=2,'Effectiveness settings'!FC56,'Effectiveness settings'!FO56)</f>
        <v>2</v>
      </c>
      <c r="GN56" s="58">
        <f>IF(i_baseline_risk_from=2,'Effectiveness settings'!FD56,'Effectiveness settings'!FP56)</f>
        <v>4</v>
      </c>
      <c r="GQ56" s="58">
        <f t="shared" si="38"/>
        <v>999</v>
      </c>
      <c r="GR56" s="58">
        <f t="shared" si="39"/>
        <v>999</v>
      </c>
      <c r="GS56" s="58">
        <f t="shared" si="40"/>
        <v>999</v>
      </c>
      <c r="GT56" s="58">
        <f t="shared" si="41"/>
        <v>999</v>
      </c>
      <c r="GU56" s="58">
        <f>IF(AND(dd_CheckMate214_TTD="Yes",'Effectiveness settings'!BU56=2,'Effectiveness settings'!BX56=2),2,GT56)</f>
        <v>999</v>
      </c>
      <c r="GV56" s="58">
        <f t="shared" si="42"/>
        <v>999</v>
      </c>
      <c r="GW56" s="58">
        <f t="shared" si="43"/>
        <v>999</v>
      </c>
      <c r="GY56" s="58">
        <f>IF(AND(dd_CheckMate214_TTD="Yes",'Effectiveness settings'!BU56=2,'Effectiveness settings'!BX56=2),1,GN56)</f>
        <v>4</v>
      </c>
      <c r="GZ56" s="58">
        <f t="shared" si="44"/>
        <v>4</v>
      </c>
      <c r="HB56" s="58">
        <f t="shared" si="45"/>
        <v>1</v>
      </c>
      <c r="HD56" s="58">
        <f t="shared" si="107"/>
        <v>1</v>
      </c>
      <c r="HE56" s="58">
        <f t="shared" si="108"/>
        <v>4</v>
      </c>
      <c r="HF56" s="58">
        <f t="shared" si="109"/>
        <v>999</v>
      </c>
      <c r="HG56" s="58">
        <f t="shared" si="110"/>
        <v>2</v>
      </c>
      <c r="HH56" s="58">
        <f t="shared" si="111"/>
        <v>4</v>
      </c>
    </row>
    <row r="57" spans="1:216" ht="15.75" x14ac:dyDescent="0.25">
      <c r="I57" s="67"/>
      <c r="J57" s="520"/>
      <c r="K57" s="525"/>
      <c r="L57" s="517"/>
      <c r="Q57" s="520"/>
      <c r="Y57" s="517"/>
      <c r="AA57" s="517"/>
      <c r="AF57" s="517"/>
      <c r="AM57" s="517"/>
      <c r="AO57" s="517"/>
      <c r="AT57" s="517"/>
      <c r="AV57" s="511"/>
      <c r="AW57" s="511"/>
      <c r="AX57" s="511"/>
      <c r="BA57" s="517"/>
      <c r="BC57" s="517"/>
      <c r="BH57" s="517"/>
      <c r="BJ57" s="511"/>
      <c r="BK57" s="511"/>
      <c r="BL57" s="511"/>
      <c r="BQ57" s="58">
        <f t="shared" si="0"/>
        <v>42</v>
      </c>
      <c r="BR57" s="17"/>
      <c r="BS57" s="17"/>
      <c r="BT57" s="17"/>
      <c r="BU57" s="61"/>
      <c r="BV57" s="17"/>
      <c r="BW57" s="17"/>
      <c r="BX57" s="61"/>
      <c r="BY57" s="531"/>
      <c r="BZ57" s="530"/>
      <c r="CA57" s="531"/>
      <c r="CB57" s="530"/>
      <c r="CC57" s="530"/>
      <c r="CD57" s="530"/>
      <c r="CE57" s="1295"/>
      <c r="CF57" s="1301"/>
      <c r="CG57" s="530"/>
      <c r="CH57" s="61"/>
      <c r="CI57" s="61"/>
      <c r="CJ57" s="61"/>
      <c r="CV57" s="940">
        <v>2</v>
      </c>
      <c r="CW57" s="940" t="s">
        <v>559</v>
      </c>
      <c r="CX57" s="940">
        <v>1</v>
      </c>
      <c r="CY57" s="940">
        <v>0</v>
      </c>
      <c r="CZ57" s="940" t="str" cm="1">
        <f t="array" ref="CZ57">INDEX(List_trials,CY57+1)</f>
        <v>CheckMate 9ER</v>
      </c>
      <c r="DA57" s="941" t="s">
        <v>544</v>
      </c>
      <c r="DB57" s="941" t="s">
        <v>568</v>
      </c>
      <c r="DC57" s="941" t="s">
        <v>548</v>
      </c>
      <c r="DD57" s="941" t="s">
        <v>551</v>
      </c>
      <c r="DE57" s="941"/>
      <c r="DF57" s="941" t="s">
        <v>103</v>
      </c>
      <c r="DG57" s="941" t="s">
        <v>571</v>
      </c>
      <c r="DH57" s="58">
        <f t="shared" si="112"/>
        <v>1</v>
      </c>
      <c r="DK57" s="58" t="str" cm="1">
        <f t="array" ref="DK57">IF(AND($BT57=4,$BX57=4,$BU57=999),$DB$36,_xlfn.IFNA(INDEX(DB$13:DB$70,MATCH(1,($BR57=$CV$13:$CV$70)*($BT57=$CX$13:$CX$70)*($CE57=$CY$13:$CY$70)*($BY57=$DA$13:$DA$70)*($CD57=$DH$13:$DH$70),0)),""))</f>
        <v/>
      </c>
      <c r="DL57" s="58" t="str" cm="1">
        <f t="array" ref="DL57">IF(AND($BT57=4,$BX57=4,$BU57=999),$DC$36,_xlfn.IFNA(INDEX(CHOOSE(DP57,DB$13:DB$70,DC$13:DC$70,DD$13:DD$70,DE$13:DE$70),MATCH(1,($BR57=$CV$13:$CV$70)*($BT57=$CX$13:$CX$70)*($CE57=$CY$13:$CY$70)*($BY57=$DA$13:$DA$70)*($CD57=$DH$13:$DH$70),0)),""))</f>
        <v/>
      </c>
      <c r="DM57" s="740" t="str" cm="1">
        <f t="array" ref="DM57">IF(AND($BT57=4,$BX57=4,$BU57=999),$DD$36,_xlfn.IFNA(INDEX(DD$13:DD$68,MATCH(1,($BR57=$CV$13:$CV$68)*($BT57=$CX$13:$CX$68)*($CE57=$CY$13:$CY$68)*($BY57=$DA$13:$DA$68)*($CD57=$DH$13:$DH$68),0)),""))</f>
        <v/>
      </c>
      <c r="DN57" s="740" t="str" cm="1">
        <f t="array" ref="DN57">IF(AND($BT57=4,$BX57=4,$BU57=999),$DD$36,_xlfn.IFNA(INDEX(DE$13:DE$68,MATCH(1,($BR57=$CV$13:$CV$68)*($BT57=$CX$13:$CX$68)*($CE57=$CY$13:$CY$68)*($BY57=$DA$13:$DA$68)*($CD57=$DH$13:$DH$68),0)),""))</f>
        <v/>
      </c>
      <c r="DO57" s="58" t="str" cm="1">
        <f t="array" ref="DO57">IF(AND($BT57=4,$BX57=4,$BU57=999),$DF$36,_xlfn.IFNA(INDEX(DF$13:DF$70,MATCH(1,($BR57=$CV$13:$CV$70)*($BT57=$CX$13:$CX$70)*($CE57=$CY$13:$CY$70)*($BY57=$DA$13:$DA$70)*($CD57=$DH$13:$DH$70),0)),""))</f>
        <v/>
      </c>
      <c r="DP57" s="58" t="e">
        <f t="shared" si="13"/>
        <v>#N/A</v>
      </c>
      <c r="FT57" s="58">
        <f t="shared" si="26"/>
        <v>0</v>
      </c>
      <c r="FW57" s="58">
        <f>IF(i_baseline_risk_from=2,'Effectiveness settings'!EW57,'Effectiveness settings'!FI57)</f>
        <v>0</v>
      </c>
      <c r="FX57" s="58">
        <f t="shared" si="27"/>
        <v>0</v>
      </c>
      <c r="FY57" s="58">
        <f t="shared" si="28"/>
        <v>0</v>
      </c>
      <c r="FZ57" s="58">
        <f t="shared" si="29"/>
        <v>0</v>
      </c>
      <c r="GA57" s="58">
        <f t="shared" si="30"/>
        <v>0</v>
      </c>
      <c r="GB57" s="58">
        <f t="shared" si="31"/>
        <v>0</v>
      </c>
      <c r="GC57" s="58">
        <f t="shared" si="32"/>
        <v>0</v>
      </c>
      <c r="GD57" s="58">
        <f t="shared" si="33"/>
        <v>0</v>
      </c>
      <c r="GE57" s="58">
        <f>IF(AND(dd_CheckMate214_TTD="Yes",'Effectiveness settings'!BU57=2,'Effectiveness settings'!BX57=2),"Apply HR to",GD57)</f>
        <v>0</v>
      </c>
      <c r="GF57" s="58">
        <f t="shared" si="34"/>
        <v>0</v>
      </c>
      <c r="GG57" s="58">
        <f t="shared" si="35"/>
        <v>0</v>
      </c>
      <c r="GH57" s="58">
        <f t="shared" si="36"/>
        <v>0</v>
      </c>
      <c r="GI57" s="58">
        <f t="shared" si="106"/>
        <v>0</v>
      </c>
      <c r="GK57" s="58">
        <f>IF(i_baseline_risk_from=2,'Effectiveness settings'!FA57,'Effectiveness settings'!FM57)</f>
        <v>0</v>
      </c>
      <c r="GL57" s="58">
        <f>IF(i_baseline_risk_from=2,'Effectiveness settings'!FB57,'Effectiveness settings'!FN57)</f>
        <v>0</v>
      </c>
      <c r="GM57" s="58">
        <f>IF(i_baseline_risk_from=2,'Effectiveness settings'!FC57,'Effectiveness settings'!FO57)</f>
        <v>0</v>
      </c>
      <c r="GN57" s="58">
        <f>IF(i_baseline_risk_from=2,'Effectiveness settings'!FD57,'Effectiveness settings'!FP57)</f>
        <v>0</v>
      </c>
      <c r="GQ57" s="58">
        <f t="shared" si="38"/>
        <v>0</v>
      </c>
      <c r="GR57" s="58">
        <f t="shared" si="39"/>
        <v>0</v>
      </c>
      <c r="GS57" s="58">
        <f t="shared" si="40"/>
        <v>0</v>
      </c>
      <c r="GT57" s="58">
        <f t="shared" si="41"/>
        <v>0</v>
      </c>
      <c r="GU57" s="58">
        <f>IF(AND(dd_CheckMate214_TTD="Yes",'Effectiveness settings'!BU57=2,'Effectiveness settings'!BX57=2),2,GT57)</f>
        <v>0</v>
      </c>
      <c r="GV57" s="58">
        <f t="shared" si="42"/>
        <v>0</v>
      </c>
      <c r="GW57" s="58">
        <f t="shared" si="43"/>
        <v>0</v>
      </c>
      <c r="GY57" s="58">
        <f>IF(AND(dd_CheckMate214_TTD="Yes",'Effectiveness settings'!BU57=2,'Effectiveness settings'!BX57=2),1,GN57)</f>
        <v>0</v>
      </c>
      <c r="GZ57" s="58">
        <f t="shared" si="44"/>
        <v>0</v>
      </c>
      <c r="HB57" s="58">
        <f t="shared" si="45"/>
        <v>0</v>
      </c>
      <c r="HD57" s="58">
        <f t="shared" si="107"/>
        <v>0</v>
      </c>
      <c r="HE57" s="58">
        <f t="shared" si="108"/>
        <v>0</v>
      </c>
      <c r="HF57" s="58">
        <f t="shared" si="109"/>
        <v>0</v>
      </c>
      <c r="HG57" s="58">
        <f t="shared" si="110"/>
        <v>0</v>
      </c>
      <c r="HH57" s="58">
        <f t="shared" si="111"/>
        <v>0</v>
      </c>
    </row>
    <row r="58" spans="1:216" ht="15.75" x14ac:dyDescent="0.25">
      <c r="D58" s="58" t="str" cm="1">
        <f t="array" ref="D58:D71">List_comparators</f>
        <v>nivolumab_monotherapy</v>
      </c>
      <c r="I58" s="64" t="s">
        <v>58</v>
      </c>
      <c r="J58" s="519" t="s">
        <v>555</v>
      </c>
      <c r="K58" s="524"/>
      <c r="L58" s="519"/>
      <c r="M58" s="516" t="s">
        <v>545</v>
      </c>
      <c r="N58" s="64" t="s">
        <v>546</v>
      </c>
      <c r="O58" s="64" t="s">
        <v>117</v>
      </c>
      <c r="P58" s="64" t="s">
        <v>547</v>
      </c>
      <c r="Q58" s="519" t="s">
        <v>555</v>
      </c>
      <c r="R58" s="516" t="s">
        <v>548</v>
      </c>
      <c r="S58" s="497"/>
      <c r="T58" s="497"/>
      <c r="U58" s="497"/>
      <c r="Y58" s="517"/>
      <c r="AA58" s="517"/>
      <c r="AF58" s="517"/>
      <c r="AM58" s="517"/>
      <c r="AO58" s="517"/>
      <c r="AT58" s="517"/>
      <c r="AV58" s="511"/>
      <c r="AW58" s="511"/>
      <c r="AX58" s="511"/>
      <c r="BA58" s="517"/>
      <c r="BC58" s="517"/>
      <c r="BH58" s="517"/>
      <c r="BJ58" s="511"/>
      <c r="BK58" s="511"/>
      <c r="BL58" s="511"/>
      <c r="BQ58" s="58">
        <f t="shared" si="0"/>
        <v>43</v>
      </c>
      <c r="BR58" s="17">
        <v>1</v>
      </c>
      <c r="BS58" s="17" t="s">
        <v>549</v>
      </c>
      <c r="BT58" s="17">
        <v>1</v>
      </c>
      <c r="BU58" s="17">
        <v>0</v>
      </c>
      <c r="BV58" s="17" t="str">
        <f t="shared" ref="BV58:BV71" si="114">D58</f>
        <v>nivolumab_monotherapy</v>
      </c>
      <c r="BW58" s="1006" t="str" cm="1">
        <f t="array" ref="BW58">IF(I58="No",I58,INDEX(List_incl_anal_1L_PorI,IF(BU58=999,35,BU58+1)))</f>
        <v>No</v>
      </c>
      <c r="BX58" s="61">
        <f t="shared" ref="BX58:BX71" si="115">MATCH(BY58,List_eff_endpoints,0)-1</f>
        <v>3</v>
      </c>
      <c r="BY58" s="531" t="str">
        <f>J58</f>
        <v>Time to progression</v>
      </c>
      <c r="BZ58" s="530">
        <f t="shared" ref="BZ58:BZ71" si="116">GI58</f>
        <v>0</v>
      </c>
      <c r="CA58" s="531">
        <f>FT58</f>
        <v>0</v>
      </c>
      <c r="CB58" s="530">
        <f t="shared" ref="CB58:CB71" si="117">HD58</f>
        <v>1</v>
      </c>
      <c r="CC58" s="530">
        <f t="shared" ref="CC58:CC71" si="118">HE58</f>
        <v>1</v>
      </c>
      <c r="CD58" s="530">
        <f t="shared" ref="CD58:CD71" si="119">HF58</f>
        <v>7</v>
      </c>
      <c r="CE58" s="1295">
        <f t="shared" ref="CE58:CE71" si="120">HG58</f>
        <v>2</v>
      </c>
      <c r="CF58" s="1301">
        <f t="shared" ref="CF58:CF71" si="121">HH58</f>
        <v>3</v>
      </c>
      <c r="CG58" s="530" t="str">
        <f t="shared" ref="CG58:CG71" si="122">IF(i_surv_cur=1,DK58,DL58)</f>
        <v>Log-logistic</v>
      </c>
      <c r="CH58" s="61">
        <f t="shared" ref="CH58:CH71" si="123">S58</f>
        <v>0</v>
      </c>
      <c r="CI58" s="61">
        <f t="shared" ref="CI58:CI71" si="124">T58</f>
        <v>0</v>
      </c>
      <c r="CJ58" s="61">
        <f t="shared" ref="CJ58:CJ71" si="125">U58</f>
        <v>0</v>
      </c>
      <c r="CV58" s="940">
        <v>2</v>
      </c>
      <c r="CW58" s="940" t="s">
        <v>559</v>
      </c>
      <c r="CX58" s="940">
        <v>1</v>
      </c>
      <c r="CY58" s="940">
        <v>0</v>
      </c>
      <c r="CZ58" s="940" t="str" cm="1">
        <f t="array" ref="CZ58">INDEX(List_trials,CY58+1)</f>
        <v>CheckMate 9ER</v>
      </c>
      <c r="DA58" s="941" t="s">
        <v>552</v>
      </c>
      <c r="DB58" s="941" t="s">
        <v>548</v>
      </c>
      <c r="DC58" s="941" t="s">
        <v>563</v>
      </c>
      <c r="DD58" s="941" t="s">
        <v>568</v>
      </c>
      <c r="DE58" s="941"/>
      <c r="DF58" s="941" t="s">
        <v>103</v>
      </c>
      <c r="DG58" s="941" t="s">
        <v>571</v>
      </c>
      <c r="DH58" s="58">
        <f t="shared" si="112"/>
        <v>1</v>
      </c>
      <c r="DK58" s="58" t="str" cm="1">
        <f t="array" ref="DK58">IF(AND($BT58=4,$BX58=4,$BU58=999),$DB$36,_xlfn.IFNA(INDEX(DB$13:DB$70,MATCH(1,($BR58=$CV$13:$CV$70)*($BT58=$CX$13:$CX$70)*($CE58=$CY$13:$CY$70)*($BY58=$DA$13:$DA$70)*($CD58=$DH$13:$DH$70),0)),""))</f>
        <v>Log-logistic</v>
      </c>
      <c r="DL58" s="58" t="str" cm="1">
        <f t="array" ref="DL58">IF(AND($BT58=4,$BX58=4,$BU58=999),$DC$36,_xlfn.IFNA(INDEX(CHOOSE(DP58,DB$13:DB$70,DC$13:DC$70,DD$13:DD$70,DE$13:DE$70),MATCH(1,($BR58=$CV$13:$CV$70)*($BT58=$CX$13:$CX$70)*($CE58=$CY$13:$CY$70)*($BY58=$DA$13:$DA$70)*($CD58=$DH$13:$DH$70),0)),""))</f>
        <v>Log-logistic</v>
      </c>
      <c r="DM58" s="740" cm="1">
        <f t="array" ref="DM58">IF(AND($BT58=4,$BX58=4,$BU58=999),$DD$36,_xlfn.IFNA(INDEX(DD$13:DD$68,MATCH(1,($BR58=$CV$13:$CV$68)*($BT58=$CX$13:$CX$68)*($CE58=$CY$13:$CY$68)*($BY58=$DA$13:$DA$68)*($CD58=$DH$13:$DH$68),0)),""))</f>
        <v>0</v>
      </c>
      <c r="DN58" s="740" cm="1">
        <f t="array" ref="DN58">IF(AND($BT58=4,$BX58=4,$BU58=999),$DD$36,_xlfn.IFNA(INDEX(DE$13:DE$68,MATCH(1,($BR58=$CV$13:$CV$68)*($BT58=$CX$13:$CX$68)*($CE58=$CY$13:$CY$68)*($BY58=$DA$13:$DA$68)*($CD58=$DH$13:$DH$68),0)),""))</f>
        <v>0</v>
      </c>
      <c r="DO58" s="58" t="str" cm="1">
        <f t="array" ref="DO58">IF(AND($BT58=4,$BX58=4,$BU58=999),$DF$36,_xlfn.IFNA(INDEX(DF$13:DF$70,MATCH(1,($BR58=$CV$13:$CV$70)*($BT58=$CX$13:$CX$70)*($CE58=$CY$13:$CY$70)*($BY58=$DA$13:$DA$70)*($CD58=$DH$13:$DH$70),0)),""))</f>
        <v>Base case</v>
      </c>
      <c r="DP58" s="58">
        <f t="shared" si="13"/>
        <v>1</v>
      </c>
      <c r="DW58" s="58" t="s">
        <v>58</v>
      </c>
      <c r="DX58" s="58" t="s">
        <v>555</v>
      </c>
      <c r="DY58" s="58">
        <v>0</v>
      </c>
      <c r="DZ58" s="58">
        <v>0</v>
      </c>
      <c r="EB58" s="58">
        <v>1</v>
      </c>
      <c r="EC58" s="58">
        <v>1</v>
      </c>
      <c r="ED58" s="58">
        <v>7</v>
      </c>
      <c r="EE58" s="58">
        <v>2</v>
      </c>
      <c r="EF58" s="58">
        <v>3</v>
      </c>
      <c r="EI58" s="58" t="s">
        <v>58</v>
      </c>
      <c r="EJ58" s="58" t="s">
        <v>555</v>
      </c>
      <c r="EK58" s="58">
        <v>0</v>
      </c>
      <c r="EL58" s="58">
        <v>0</v>
      </c>
      <c r="EN58" s="58">
        <v>1</v>
      </c>
      <c r="EO58" s="58">
        <v>1</v>
      </c>
      <c r="EP58" s="58">
        <v>7</v>
      </c>
      <c r="EQ58" s="58">
        <v>0</v>
      </c>
      <c r="ER58" s="58">
        <v>3</v>
      </c>
      <c r="EU58" s="58" t="str">
        <f t="shared" ref="EU58:EU71" si="126">IF(i_eff_inputs_based_on_num=2,DW58,I58)</f>
        <v>No</v>
      </c>
      <c r="EV58" s="58" t="str">
        <f t="shared" ref="EV58:EV71" si="127">IF(i_eff_inputs_based_on_num=2,DX58,J58)</f>
        <v>Time to progression</v>
      </c>
      <c r="EW58" s="58">
        <f t="shared" ref="EW58:EW71" si="128">IF(i_eff_inputs_based_on_num=2,DY58,K58)</f>
        <v>0</v>
      </c>
      <c r="EX58" s="58">
        <f t="shared" ref="EX58:EX71" si="129">IF(i_eff_inputs_based_on_num=2,DZ58,L58)</f>
        <v>0</v>
      </c>
      <c r="EZ58" s="58">
        <f t="shared" ref="EZ58:EZ71" si="130">IF(i_eff_inputs_based_on_num=2,EB58,VLOOKUP(M58,r_pld_lookup_line,3,FALSE))</f>
        <v>1</v>
      </c>
      <c r="FA58" s="58">
        <f t="shared" ref="FA58:FA71" si="131">IF(i_eff_inputs_based_on_num=2,EC58,VLOOKUP(N58,r_pld_lookup_line,3,FALSE))</f>
        <v>1</v>
      </c>
      <c r="FB58" s="58">
        <f>IF(i_eff_inputs_based_on_num=2,ED58,(INDEX(Lists!$L$51:$L$85,MATCH(O58,Lists!$K$51:$K$85,0))))</f>
        <v>7</v>
      </c>
      <c r="FC58" s="58">
        <f>IF(i_eff_inputs_based_on_num=2,EE58,(INDEX(Lists!$L$51:$L$85,MATCH(P58,Lists!$K$51:$K$85,0))))</f>
        <v>2</v>
      </c>
      <c r="FD58" s="58">
        <f>IF(i_eff_inputs_based_on_num=2,EF58,(INDEX(Lists!$L$51:$L$85,MATCH(Q58,Lists!$K$51:$K$85,0))))</f>
        <v>3</v>
      </c>
      <c r="FG58" s="58" t="str">
        <f t="shared" ref="FG58:FG71" si="132">IF(i_eff_inputs_based_on_num=2,EI58,I58)</f>
        <v>No</v>
      </c>
      <c r="FH58" s="58" t="str">
        <f t="shared" ref="FH58:FH71" si="133">IF(i_eff_inputs_based_on_num=2,EJ58,J58)</f>
        <v>Time to progression</v>
      </c>
      <c r="FI58" s="58">
        <f t="shared" ref="FI58:FI71" si="134">IF(i_eff_inputs_based_on_num=2,EK58,K58)</f>
        <v>0</v>
      </c>
      <c r="FJ58" s="58">
        <f t="shared" ref="FJ58:FJ71" si="135">IF(i_eff_inputs_based_on_num=2,EL58,L58)</f>
        <v>0</v>
      </c>
      <c r="FL58" s="58">
        <f t="shared" ref="FL58:FL71" si="136">IF(i_eff_inputs_based_on_num=2,EN58,VLOOKUP(M58,r_pld_lookup_line,3,FALSE))</f>
        <v>1</v>
      </c>
      <c r="FM58" s="58">
        <f t="shared" ref="FM58:FM71" si="137">IF(i_eff_inputs_based_on_num=2,EO58,VLOOKUP(N58,r_pld_lookup_line,3,FALSE))</f>
        <v>1</v>
      </c>
      <c r="FN58" s="58">
        <f>IF(i_eff_inputs_based_on_num=2,EP58,(INDEX(Lists!$L$51:$L$85,MATCH(O58,Lists!$K$51:$K$85,0))))</f>
        <v>7</v>
      </c>
      <c r="FO58" s="58">
        <f>IF(i_eff_inputs_based_on_num=2,EQ58,(INDEX(Lists!$L$51:$L$85,MATCH(P58,Lists!$K$51:$K$85,0))))</f>
        <v>0</v>
      </c>
      <c r="FP58" s="58">
        <f>IF(i_eff_inputs_based_on_num=2,ER58,(INDEX(Lists!$L$51:$L$85,MATCH(Q58,Lists!$K$51:$K$85,0))))</f>
        <v>3</v>
      </c>
      <c r="FT58" s="58">
        <f t="shared" si="26"/>
        <v>0</v>
      </c>
      <c r="FW58" s="58">
        <f>IF(i_baseline_risk_from=2,'Effectiveness settings'!EW58,'Effectiveness settings'!FI58)</f>
        <v>0</v>
      </c>
      <c r="FX58" s="58">
        <f t="shared" si="27"/>
        <v>0</v>
      </c>
      <c r="FY58" s="58">
        <f t="shared" si="28"/>
        <v>0</v>
      </c>
      <c r="FZ58" s="58">
        <f t="shared" si="29"/>
        <v>0</v>
      </c>
      <c r="GA58" s="58">
        <f t="shared" si="30"/>
        <v>0</v>
      </c>
      <c r="GB58" s="58">
        <f t="shared" si="31"/>
        <v>0</v>
      </c>
      <c r="GC58" s="58">
        <f t="shared" si="32"/>
        <v>0</v>
      </c>
      <c r="GD58" s="58">
        <f t="shared" si="33"/>
        <v>0</v>
      </c>
      <c r="GE58" s="58">
        <f>IF(AND(dd_CheckMate214_TTD="Yes",'Effectiveness settings'!BU58=2,'Effectiveness settings'!BX58=2),"Apply HR to",GD58)</f>
        <v>0</v>
      </c>
      <c r="GF58" s="58">
        <f t="shared" si="34"/>
        <v>0</v>
      </c>
      <c r="GG58" s="58">
        <f t="shared" si="35"/>
        <v>0</v>
      </c>
      <c r="GH58" s="58">
        <f t="shared" si="36"/>
        <v>0</v>
      </c>
      <c r="GI58" s="58">
        <f t="shared" si="106"/>
        <v>0</v>
      </c>
      <c r="GK58" s="58">
        <f>IF(i_baseline_risk_from=2,'Effectiveness settings'!FA58,'Effectiveness settings'!FM58)</f>
        <v>1</v>
      </c>
      <c r="GL58" s="58">
        <f>IF(i_baseline_risk_from=2,'Effectiveness settings'!FB58,'Effectiveness settings'!FN58)</f>
        <v>7</v>
      </c>
      <c r="GM58" s="58">
        <f>IF(i_baseline_risk_from=2,'Effectiveness settings'!FC58,'Effectiveness settings'!FO58)</f>
        <v>2</v>
      </c>
      <c r="GN58" s="58">
        <f>IF(i_baseline_risk_from=2,'Effectiveness settings'!FD58,'Effectiveness settings'!FP58)</f>
        <v>3</v>
      </c>
      <c r="GQ58" s="58">
        <f t="shared" si="38"/>
        <v>7</v>
      </c>
      <c r="GR58" s="58">
        <f t="shared" si="39"/>
        <v>7</v>
      </c>
      <c r="GS58" s="58">
        <f t="shared" si="40"/>
        <v>7</v>
      </c>
      <c r="GT58" s="58">
        <f t="shared" si="41"/>
        <v>7</v>
      </c>
      <c r="GU58" s="58">
        <f>IF(AND(dd_CheckMate214_TTD="Yes",'Effectiveness settings'!BU58=2,'Effectiveness settings'!BX58=2),2,GT58)</f>
        <v>7</v>
      </c>
      <c r="GV58" s="58">
        <f t="shared" si="42"/>
        <v>7</v>
      </c>
      <c r="GW58" s="58">
        <f t="shared" si="43"/>
        <v>7</v>
      </c>
      <c r="GY58" s="58">
        <f>IF(AND(dd_CheckMate214_TTD="Yes",'Effectiveness settings'!BU58=2,'Effectiveness settings'!BX58=2),1,GN58)</f>
        <v>3</v>
      </c>
      <c r="GZ58" s="58">
        <f t="shared" si="44"/>
        <v>3</v>
      </c>
      <c r="HB58" s="58">
        <f t="shared" si="45"/>
        <v>1</v>
      </c>
      <c r="HD58" s="58">
        <f t="shared" si="107"/>
        <v>1</v>
      </c>
      <c r="HE58" s="58">
        <f t="shared" si="108"/>
        <v>1</v>
      </c>
      <c r="HF58" s="58">
        <f t="shared" si="109"/>
        <v>7</v>
      </c>
      <c r="HG58" s="58">
        <f t="shared" si="110"/>
        <v>2</v>
      </c>
      <c r="HH58" s="58">
        <f t="shared" si="111"/>
        <v>3</v>
      </c>
    </row>
    <row r="59" spans="1:216" ht="15.75" x14ac:dyDescent="0.25">
      <c r="A59" s="58" t="s">
        <v>569</v>
      </c>
      <c r="D59" s="58" t="str">
        <v>cabozantinib_plus_nivolumab</v>
      </c>
      <c r="I59" s="64" t="s">
        <v>74</v>
      </c>
      <c r="J59" s="519" t="s">
        <v>555</v>
      </c>
      <c r="K59" s="524" t="s">
        <v>63</v>
      </c>
      <c r="L59" s="519"/>
      <c r="M59" s="516" t="s">
        <v>545</v>
      </c>
      <c r="N59" s="64" t="s">
        <v>546</v>
      </c>
      <c r="O59" s="64" t="s">
        <v>117</v>
      </c>
      <c r="P59" s="64" t="s">
        <v>547</v>
      </c>
      <c r="Q59" s="519" t="s">
        <v>555</v>
      </c>
      <c r="R59" s="516" t="s">
        <v>548</v>
      </c>
      <c r="S59" s="497"/>
      <c r="T59" s="497"/>
      <c r="U59" s="497"/>
      <c r="Y59" s="517"/>
      <c r="AA59" s="517"/>
      <c r="AF59" s="517"/>
      <c r="AM59" s="517"/>
      <c r="AO59" s="517"/>
      <c r="AT59" s="517"/>
      <c r="AV59" s="511"/>
      <c r="AW59" s="511"/>
      <c r="AX59" s="511"/>
      <c r="BA59" s="517"/>
      <c r="BC59" s="517"/>
      <c r="BH59" s="517"/>
      <c r="BJ59" s="511"/>
      <c r="BK59" s="511"/>
      <c r="BL59" s="511"/>
      <c r="BQ59" s="58">
        <f t="shared" si="0"/>
        <v>44</v>
      </c>
      <c r="BR59" s="17">
        <v>1</v>
      </c>
      <c r="BS59" s="17" t="s">
        <v>549</v>
      </c>
      <c r="BT59" s="17">
        <v>1</v>
      </c>
      <c r="BU59" s="17">
        <v>1</v>
      </c>
      <c r="BV59" s="17" t="str">
        <f t="shared" si="114"/>
        <v>cabozantinib_plus_nivolumab</v>
      </c>
      <c r="BW59" s="1006" t="str" cm="1">
        <f t="array" ref="BW59">IF(I59="No",I59,INDEX(List_incl_anal_1L_PorI,IF(BU59=999,35,BU59+1)))</f>
        <v>Yes</v>
      </c>
      <c r="BX59" s="61">
        <f t="shared" si="115"/>
        <v>3</v>
      </c>
      <c r="BY59" s="531" t="str">
        <f>J59</f>
        <v>Time to progression</v>
      </c>
      <c r="BZ59" s="530" t="str">
        <f t="shared" si="116"/>
        <v>FP_NMA</v>
      </c>
      <c r="CA59" s="531">
        <f t="shared" ref="CA59:CA71" si="138">FT59</f>
        <v>0</v>
      </c>
      <c r="CB59" s="530">
        <f t="shared" si="117"/>
        <v>1</v>
      </c>
      <c r="CC59" s="530">
        <f t="shared" si="118"/>
        <v>1</v>
      </c>
      <c r="CD59" s="530">
        <f t="shared" si="119"/>
        <v>7</v>
      </c>
      <c r="CE59" s="1295">
        <f t="shared" si="120"/>
        <v>2</v>
      </c>
      <c r="CF59" s="1301">
        <f t="shared" si="121"/>
        <v>3</v>
      </c>
      <c r="CG59" s="530" t="str">
        <f t="shared" si="122"/>
        <v>Log-logistic</v>
      </c>
      <c r="CH59" s="61">
        <f t="shared" si="123"/>
        <v>0</v>
      </c>
      <c r="CI59" s="61">
        <f t="shared" si="124"/>
        <v>0</v>
      </c>
      <c r="CJ59" s="61">
        <f t="shared" si="125"/>
        <v>0</v>
      </c>
      <c r="CV59" s="940">
        <v>2</v>
      </c>
      <c r="CW59" s="940" t="s">
        <v>559</v>
      </c>
      <c r="CX59" s="940">
        <v>1</v>
      </c>
      <c r="CY59" s="940">
        <v>0</v>
      </c>
      <c r="CZ59" s="940" t="str" cm="1">
        <f t="array" ref="CZ59">INDEX(List_trials,CY59+1)</f>
        <v>CheckMate 9ER</v>
      </c>
      <c r="DA59" s="941" t="s">
        <v>554</v>
      </c>
      <c r="DB59" s="941" t="s">
        <v>568</v>
      </c>
      <c r="DC59" s="941" t="s">
        <v>551</v>
      </c>
      <c r="DD59" s="941" t="s">
        <v>563</v>
      </c>
      <c r="DE59" s="941"/>
      <c r="DF59" s="941" t="s">
        <v>103</v>
      </c>
      <c r="DG59" s="941" t="s">
        <v>571</v>
      </c>
      <c r="DH59" s="58">
        <f t="shared" si="112"/>
        <v>1</v>
      </c>
      <c r="DK59" s="58" t="str" cm="1">
        <f t="array" ref="DK59">IF(AND($BT59=4,$BX59=4,$BU59=999),$DB$36,_xlfn.IFNA(INDEX(DB$13:DB$70,MATCH(1,($BR59=$CV$13:$CV$70)*($BT59=$CX$13:$CX$70)*($CE59=$CY$13:$CY$70)*($BY59=$DA$13:$DA$70)*($CD59=$DH$13:$DH$70),0)),""))</f>
        <v>Log-logistic</v>
      </c>
      <c r="DL59" s="58" t="str" cm="1">
        <f t="array" ref="DL59">IF(AND($BT59=4,$BX59=4,$BU59=999),$DC$36,_xlfn.IFNA(INDEX(CHOOSE(DP59,DB$13:DB$70,DC$13:DC$70,DD$13:DD$70,DE$13:DE$70),MATCH(1,($BR59=$CV$13:$CV$70)*($BT59=$CX$13:$CX$70)*($CE59=$CY$13:$CY$70)*($BY59=$DA$13:$DA$70)*($CD59=$DH$13:$DH$70),0)),""))</f>
        <v>Log-logistic</v>
      </c>
      <c r="DM59" s="740" cm="1">
        <f t="array" ref="DM59">IF(AND($BT59=4,$BX59=4,$BU59=999),$DD$36,_xlfn.IFNA(INDEX(DD$13:DD$68,MATCH(1,($BR59=$CV$13:$CV$68)*($BT59=$CX$13:$CX$68)*($CE59=$CY$13:$CY$68)*($BY59=$DA$13:$DA$68)*($CD59=$DH$13:$DH$68),0)),""))</f>
        <v>0</v>
      </c>
      <c r="DN59" s="740" cm="1">
        <f t="array" ref="DN59">IF(AND($BT59=4,$BX59=4,$BU59=999),$DD$36,_xlfn.IFNA(INDEX(DE$13:DE$68,MATCH(1,($BR59=$CV$13:$CV$68)*($BT59=$CX$13:$CX$68)*($CE59=$CY$13:$CY$68)*($BY59=$DA$13:$DA$68)*($CD59=$DH$13:$DH$68),0)),""))</f>
        <v>0</v>
      </c>
      <c r="DO59" s="58" t="str" cm="1">
        <f t="array" ref="DO59">IF(AND($BT59=4,$BX59=4,$BU59=999),$DF$36,_xlfn.IFNA(INDEX(DF$13:DF$70,MATCH(1,($BR59=$CV$13:$CV$70)*($BT59=$CX$13:$CX$70)*($CE59=$CY$13:$CY$70)*($BY59=$DA$13:$DA$70)*($CD59=$DH$13:$DH$70),0)),""))</f>
        <v>Base case</v>
      </c>
      <c r="DP59" s="58">
        <f t="shared" si="13"/>
        <v>1</v>
      </c>
      <c r="DW59" s="58" t="s">
        <v>74</v>
      </c>
      <c r="DX59" s="58" t="s">
        <v>555</v>
      </c>
      <c r="DY59" s="58" t="s">
        <v>63</v>
      </c>
      <c r="DZ59" s="58">
        <v>0</v>
      </c>
      <c r="EB59" s="58">
        <v>1</v>
      </c>
      <c r="EC59" s="58">
        <v>1</v>
      </c>
      <c r="ED59" s="58">
        <v>7</v>
      </c>
      <c r="EE59" s="58">
        <v>2</v>
      </c>
      <c r="EF59" s="58">
        <v>3</v>
      </c>
      <c r="EI59" s="58" t="s">
        <v>74</v>
      </c>
      <c r="EJ59" s="58" t="s">
        <v>555</v>
      </c>
      <c r="EK59" s="58" t="s">
        <v>63</v>
      </c>
      <c r="EL59" s="58">
        <v>0</v>
      </c>
      <c r="EN59" s="58">
        <v>1</v>
      </c>
      <c r="EO59" s="58">
        <v>1</v>
      </c>
      <c r="EP59" s="58">
        <v>7</v>
      </c>
      <c r="EQ59" s="58">
        <v>0</v>
      </c>
      <c r="ER59" s="58">
        <v>3</v>
      </c>
      <c r="EU59" s="58" t="str">
        <f t="shared" si="126"/>
        <v>Yes</v>
      </c>
      <c r="EV59" s="58" t="str">
        <f t="shared" si="127"/>
        <v>Time to progression</v>
      </c>
      <c r="EW59" s="58" t="str">
        <f t="shared" si="128"/>
        <v>FP_NMA</v>
      </c>
      <c r="EX59" s="58">
        <f t="shared" si="129"/>
        <v>0</v>
      </c>
      <c r="EZ59" s="58">
        <f t="shared" si="130"/>
        <v>1</v>
      </c>
      <c r="FA59" s="58">
        <f t="shared" si="131"/>
        <v>1</v>
      </c>
      <c r="FB59" s="58">
        <f>IF(i_eff_inputs_based_on_num=2,ED59,(INDEX(Lists!$L$51:$L$85,MATCH(O59,Lists!$K$51:$K$85,0))))</f>
        <v>7</v>
      </c>
      <c r="FC59" s="58">
        <f>IF(i_eff_inputs_based_on_num=2,EE59,(INDEX(Lists!$L$51:$L$85,MATCH(P59,Lists!$K$51:$K$85,0))))</f>
        <v>2</v>
      </c>
      <c r="FD59" s="58">
        <f>IF(i_eff_inputs_based_on_num=2,EF59,(INDEX(Lists!$L$51:$L$85,MATCH(Q59,Lists!$K$51:$K$85,0))))</f>
        <v>3</v>
      </c>
      <c r="FG59" s="58" t="str">
        <f t="shared" si="132"/>
        <v>Yes</v>
      </c>
      <c r="FH59" s="58" t="str">
        <f t="shared" si="133"/>
        <v>Time to progression</v>
      </c>
      <c r="FI59" s="58" t="str">
        <f t="shared" si="134"/>
        <v>FP_NMA</v>
      </c>
      <c r="FJ59" s="58">
        <f t="shared" si="135"/>
        <v>0</v>
      </c>
      <c r="FL59" s="58">
        <f t="shared" si="136"/>
        <v>1</v>
      </c>
      <c r="FM59" s="58">
        <f t="shared" si="137"/>
        <v>1</v>
      </c>
      <c r="FN59" s="58">
        <f>IF(i_eff_inputs_based_on_num=2,EP59,(INDEX(Lists!$L$51:$L$85,MATCH(O59,Lists!$K$51:$K$85,0))))</f>
        <v>7</v>
      </c>
      <c r="FO59" s="58">
        <f>IF(i_eff_inputs_based_on_num=2,EQ59,(INDEX(Lists!$L$51:$L$85,MATCH(P59,Lists!$K$51:$K$85,0))))</f>
        <v>0</v>
      </c>
      <c r="FP59" s="58">
        <f>IF(i_eff_inputs_based_on_num=2,ER59,(INDEX(Lists!$L$51:$L$85,MATCH(Q59,Lists!$K$51:$K$85,0))))</f>
        <v>3</v>
      </c>
      <c r="FT59" s="58">
        <f t="shared" si="26"/>
        <v>0</v>
      </c>
      <c r="FW59" s="58" t="str">
        <f>IF(i_baseline_risk_from=2,'Effectiveness settings'!EW59,'Effectiveness settings'!FI59)</f>
        <v>FP_NMA</v>
      </c>
      <c r="FX59" s="58" t="str">
        <f t="shared" si="27"/>
        <v>FP_NMA</v>
      </c>
      <c r="FY59" s="58" t="str">
        <f t="shared" si="28"/>
        <v>FP_NMA</v>
      </c>
      <c r="FZ59" s="58" t="str">
        <f t="shared" si="29"/>
        <v>FP_NMA</v>
      </c>
      <c r="GA59" s="58" t="str">
        <f t="shared" si="30"/>
        <v>FP_NMA</v>
      </c>
      <c r="GB59" s="58" t="str">
        <f t="shared" si="31"/>
        <v>FP_NMA</v>
      </c>
      <c r="GC59" s="58" t="str">
        <f t="shared" si="32"/>
        <v>FP_NMA</v>
      </c>
      <c r="GD59" s="58" t="str">
        <f t="shared" si="33"/>
        <v>FP_NMA</v>
      </c>
      <c r="GE59" s="58" t="str">
        <f>IF(AND(dd_CheckMate214_TTD="Yes",'Effectiveness settings'!BU59=2,'Effectiveness settings'!BX59=2),"Apply HR to",GD59)</f>
        <v>FP_NMA</v>
      </c>
      <c r="GF59" s="58" t="str">
        <f t="shared" si="34"/>
        <v>FP_NMA</v>
      </c>
      <c r="GG59" s="58" t="str">
        <f t="shared" si="35"/>
        <v>FP_NMA</v>
      </c>
      <c r="GH59" s="58" t="str">
        <f t="shared" si="36"/>
        <v>FP_NMA</v>
      </c>
      <c r="GI59" s="58" t="str">
        <f t="shared" si="106"/>
        <v>FP_NMA</v>
      </c>
      <c r="GK59" s="58">
        <f>IF(i_baseline_risk_from=2,'Effectiveness settings'!FA59,'Effectiveness settings'!FM59)</f>
        <v>1</v>
      </c>
      <c r="GL59" s="58">
        <f>IF(i_baseline_risk_from=2,'Effectiveness settings'!FB59,'Effectiveness settings'!FN59)</f>
        <v>7</v>
      </c>
      <c r="GM59" s="58">
        <f>IF(i_baseline_risk_from=2,'Effectiveness settings'!FC59,'Effectiveness settings'!FO59)</f>
        <v>2</v>
      </c>
      <c r="GN59" s="58">
        <f>IF(i_baseline_risk_from=2,'Effectiveness settings'!FD59,'Effectiveness settings'!FP59)</f>
        <v>3</v>
      </c>
      <c r="GQ59" s="58">
        <f t="shared" si="38"/>
        <v>7</v>
      </c>
      <c r="GR59" s="58">
        <f t="shared" si="39"/>
        <v>7</v>
      </c>
      <c r="GS59" s="58">
        <f t="shared" si="40"/>
        <v>7</v>
      </c>
      <c r="GT59" s="58">
        <f t="shared" si="41"/>
        <v>7</v>
      </c>
      <c r="GU59" s="58">
        <f>IF(AND(dd_CheckMate214_TTD="Yes",'Effectiveness settings'!BU59=2,'Effectiveness settings'!BX59=2),2,GT59)</f>
        <v>7</v>
      </c>
      <c r="GV59" s="58">
        <f t="shared" si="42"/>
        <v>7</v>
      </c>
      <c r="GW59" s="58">
        <f t="shared" si="43"/>
        <v>7</v>
      </c>
      <c r="GY59" s="58">
        <f>IF(AND(dd_CheckMate214_TTD="Yes",'Effectiveness settings'!BU59=2,'Effectiveness settings'!BX59=2),1,GN59)</f>
        <v>3</v>
      </c>
      <c r="GZ59" s="58">
        <f t="shared" si="44"/>
        <v>3</v>
      </c>
      <c r="HB59" s="58">
        <f t="shared" si="45"/>
        <v>1</v>
      </c>
      <c r="HD59" s="58">
        <f t="shared" si="107"/>
        <v>1</v>
      </c>
      <c r="HE59" s="58">
        <f t="shared" si="108"/>
        <v>1</v>
      </c>
      <c r="HF59" s="58">
        <f t="shared" si="109"/>
        <v>7</v>
      </c>
      <c r="HG59" s="58">
        <f t="shared" si="110"/>
        <v>2</v>
      </c>
      <c r="HH59" s="58">
        <f t="shared" si="111"/>
        <v>3</v>
      </c>
    </row>
    <row r="60" spans="1:216" ht="15.75" x14ac:dyDescent="0.25">
      <c r="D60" s="58" t="str">
        <v>nivolumab_plus_ipilimumab</v>
      </c>
      <c r="I60" s="64" t="s">
        <v>74</v>
      </c>
      <c r="J60" s="519" t="s">
        <v>555</v>
      </c>
      <c r="K60" s="524" t="s">
        <v>63</v>
      </c>
      <c r="L60" s="519"/>
      <c r="M60" s="516" t="s">
        <v>545</v>
      </c>
      <c r="N60" s="64" t="s">
        <v>546</v>
      </c>
      <c r="O60" s="64" t="s">
        <v>117</v>
      </c>
      <c r="P60" s="64" t="s">
        <v>547</v>
      </c>
      <c r="Q60" s="519" t="s">
        <v>555</v>
      </c>
      <c r="R60" s="516" t="s">
        <v>548</v>
      </c>
      <c r="S60" s="497"/>
      <c r="T60" s="497"/>
      <c r="U60" s="497"/>
      <c r="Y60" s="517"/>
      <c r="AA60" s="517"/>
      <c r="AF60" s="517"/>
      <c r="AM60" s="517"/>
      <c r="AO60" s="517"/>
      <c r="AT60" s="517"/>
      <c r="AV60" s="511"/>
      <c r="AW60" s="511"/>
      <c r="AX60" s="511"/>
      <c r="BA60" s="517"/>
      <c r="BC60" s="517"/>
      <c r="BH60" s="517"/>
      <c r="BJ60" s="511"/>
      <c r="BK60" s="511"/>
      <c r="BL60" s="511"/>
      <c r="BQ60" s="58">
        <f t="shared" si="0"/>
        <v>45</v>
      </c>
      <c r="BR60" s="17">
        <v>1</v>
      </c>
      <c r="BS60" s="17" t="s">
        <v>549</v>
      </c>
      <c r="BT60" s="17">
        <v>1</v>
      </c>
      <c r="BU60" s="17">
        <v>2</v>
      </c>
      <c r="BV60" s="17" t="str">
        <f t="shared" si="114"/>
        <v>nivolumab_plus_ipilimumab</v>
      </c>
      <c r="BW60" s="1006" t="str" cm="1">
        <f t="array" ref="BW60">IF(I60="No",I60,INDEX(List_incl_anal_1L_PorI,IF(BU60=999,35,BU60+1)))</f>
        <v>Yes</v>
      </c>
      <c r="BX60" s="61">
        <f t="shared" si="115"/>
        <v>3</v>
      </c>
      <c r="BY60" s="531" t="str">
        <f>J60</f>
        <v>Time to progression</v>
      </c>
      <c r="BZ60" s="530" t="str">
        <f t="shared" si="116"/>
        <v>FP_NMA</v>
      </c>
      <c r="CA60" s="531">
        <f t="shared" si="138"/>
        <v>0</v>
      </c>
      <c r="CB60" s="530">
        <f t="shared" si="117"/>
        <v>1</v>
      </c>
      <c r="CC60" s="530">
        <f t="shared" si="118"/>
        <v>1</v>
      </c>
      <c r="CD60" s="530">
        <f t="shared" si="119"/>
        <v>7</v>
      </c>
      <c r="CE60" s="1295">
        <f t="shared" si="120"/>
        <v>2</v>
      </c>
      <c r="CF60" s="1301">
        <f t="shared" si="121"/>
        <v>3</v>
      </c>
      <c r="CG60" s="530" t="str">
        <f t="shared" si="122"/>
        <v>Log-logistic</v>
      </c>
      <c r="CH60" s="61">
        <f t="shared" si="123"/>
        <v>0</v>
      </c>
      <c r="CI60" s="61">
        <f t="shared" si="124"/>
        <v>0</v>
      </c>
      <c r="CJ60" s="61">
        <f t="shared" si="125"/>
        <v>0</v>
      </c>
      <c r="CV60" s="940">
        <v>2</v>
      </c>
      <c r="CW60" s="940" t="s">
        <v>559</v>
      </c>
      <c r="CX60" s="940">
        <v>1</v>
      </c>
      <c r="CY60" s="940">
        <v>0</v>
      </c>
      <c r="CZ60" s="940" t="str" cm="1">
        <f t="array" ref="CZ60">INDEX(List_trials,CY60+1)</f>
        <v>CheckMate 9ER</v>
      </c>
      <c r="DA60" s="941" t="s">
        <v>555</v>
      </c>
      <c r="DB60" s="941" t="s">
        <v>548</v>
      </c>
      <c r="DC60" s="941" t="s">
        <v>563</v>
      </c>
      <c r="DD60" s="941" t="s">
        <v>568</v>
      </c>
      <c r="DE60" s="941"/>
      <c r="DF60" s="941" t="s">
        <v>103</v>
      </c>
      <c r="DG60" s="941" t="s">
        <v>571</v>
      </c>
      <c r="DH60" s="58">
        <f t="shared" si="112"/>
        <v>1</v>
      </c>
      <c r="DK60" s="58" t="str" cm="1">
        <f t="array" ref="DK60">IF(AND($BT60=4,$BX60=4,$BU60=999),$DB$36,_xlfn.IFNA(INDEX(DB$13:DB$70,MATCH(1,($BR60=$CV$13:$CV$70)*($BT60=$CX$13:$CX$70)*($CE60=$CY$13:$CY$70)*($BY60=$DA$13:$DA$70)*($CD60=$DH$13:$DH$70),0)),""))</f>
        <v>Log-logistic</v>
      </c>
      <c r="DL60" s="58" t="str" cm="1">
        <f t="array" ref="DL60">IF(AND($BT60=4,$BX60=4,$BU60=999),$DC$36,_xlfn.IFNA(INDEX(CHOOSE(DP60,DB$13:DB$70,DC$13:DC$70,DD$13:DD$70,DE$13:DE$70),MATCH(1,($BR60=$CV$13:$CV$70)*($BT60=$CX$13:$CX$70)*($CE60=$CY$13:$CY$70)*($BY60=$DA$13:$DA$70)*($CD60=$DH$13:$DH$70),0)),""))</f>
        <v>Log-logistic</v>
      </c>
      <c r="DM60" s="740" cm="1">
        <f t="array" ref="DM60">IF(AND($BT60=4,$BX60=4,$BU60=999),$DD$36,_xlfn.IFNA(INDEX(DD$13:DD$68,MATCH(1,($BR60=$CV$13:$CV$68)*($BT60=$CX$13:$CX$68)*($CE60=$CY$13:$CY$68)*($BY60=$DA$13:$DA$68)*($CD60=$DH$13:$DH$68),0)),""))</f>
        <v>0</v>
      </c>
      <c r="DN60" s="740" cm="1">
        <f t="array" ref="DN60">IF(AND($BT60=4,$BX60=4,$BU60=999),$DD$36,_xlfn.IFNA(INDEX(DE$13:DE$68,MATCH(1,($BR60=$CV$13:$CV$68)*($BT60=$CX$13:$CX$68)*($CE60=$CY$13:$CY$68)*($BY60=$DA$13:$DA$68)*($CD60=$DH$13:$DH$68),0)),""))</f>
        <v>0</v>
      </c>
      <c r="DO60" s="58" t="str" cm="1">
        <f t="array" ref="DO60">IF(AND($BT60=4,$BX60=4,$BU60=999),$DF$36,_xlfn.IFNA(INDEX(DF$13:DF$70,MATCH(1,($BR60=$CV$13:$CV$70)*($BT60=$CX$13:$CX$70)*($CE60=$CY$13:$CY$70)*($BY60=$DA$13:$DA$70)*($CD60=$DH$13:$DH$70),0)),""))</f>
        <v>Base case</v>
      </c>
      <c r="DP60" s="58">
        <f t="shared" si="13"/>
        <v>1</v>
      </c>
      <c r="DW60" s="58" t="s">
        <v>74</v>
      </c>
      <c r="DX60" s="58" t="s">
        <v>555</v>
      </c>
      <c r="DY60" s="58" t="s">
        <v>63</v>
      </c>
      <c r="DZ60" s="58">
        <v>0</v>
      </c>
      <c r="EB60" s="58">
        <v>1</v>
      </c>
      <c r="EC60" s="58">
        <v>1</v>
      </c>
      <c r="ED60" s="58">
        <v>7</v>
      </c>
      <c r="EE60" s="58">
        <v>2</v>
      </c>
      <c r="EF60" s="58">
        <v>3</v>
      </c>
      <c r="EI60" s="58" t="s">
        <v>74</v>
      </c>
      <c r="EJ60" s="58" t="s">
        <v>555</v>
      </c>
      <c r="EK60" s="58" t="s">
        <v>63</v>
      </c>
      <c r="EL60" s="58">
        <v>0</v>
      </c>
      <c r="EN60" s="58">
        <v>1</v>
      </c>
      <c r="EO60" s="58">
        <v>1</v>
      </c>
      <c r="EP60" s="58">
        <v>7</v>
      </c>
      <c r="EQ60" s="58">
        <v>0</v>
      </c>
      <c r="ER60" s="58">
        <v>3</v>
      </c>
      <c r="EU60" s="58" t="str">
        <f t="shared" si="126"/>
        <v>Yes</v>
      </c>
      <c r="EV60" s="58" t="str">
        <f t="shared" si="127"/>
        <v>Time to progression</v>
      </c>
      <c r="EW60" s="58" t="str">
        <f t="shared" si="128"/>
        <v>FP_NMA</v>
      </c>
      <c r="EX60" s="58">
        <f t="shared" si="129"/>
        <v>0</v>
      </c>
      <c r="EZ60" s="58">
        <f t="shared" si="130"/>
        <v>1</v>
      </c>
      <c r="FA60" s="58">
        <f t="shared" si="131"/>
        <v>1</v>
      </c>
      <c r="FB60" s="58">
        <f>IF(i_eff_inputs_based_on_num=2,ED60,(INDEX(Lists!$L$51:$L$85,MATCH(O60,Lists!$K$51:$K$85,0))))</f>
        <v>7</v>
      </c>
      <c r="FC60" s="58">
        <f>IF(i_eff_inputs_based_on_num=2,EE60,(INDEX(Lists!$L$51:$L$85,MATCH(P60,Lists!$K$51:$K$85,0))))</f>
        <v>2</v>
      </c>
      <c r="FD60" s="58">
        <f>IF(i_eff_inputs_based_on_num=2,EF60,(INDEX(Lists!$L$51:$L$85,MATCH(Q60,Lists!$K$51:$K$85,0))))</f>
        <v>3</v>
      </c>
      <c r="FG60" s="58" t="str">
        <f t="shared" si="132"/>
        <v>Yes</v>
      </c>
      <c r="FH60" s="58" t="str">
        <f t="shared" si="133"/>
        <v>Time to progression</v>
      </c>
      <c r="FI60" s="58" t="str">
        <f t="shared" si="134"/>
        <v>FP_NMA</v>
      </c>
      <c r="FJ60" s="58">
        <f t="shared" si="135"/>
        <v>0</v>
      </c>
      <c r="FL60" s="58">
        <f t="shared" si="136"/>
        <v>1</v>
      </c>
      <c r="FM60" s="58">
        <f t="shared" si="137"/>
        <v>1</v>
      </c>
      <c r="FN60" s="58">
        <f>IF(i_eff_inputs_based_on_num=2,EP60,(INDEX(Lists!$L$51:$L$85,MATCH(O60,Lists!$K$51:$K$85,0))))</f>
        <v>7</v>
      </c>
      <c r="FO60" s="58">
        <f>IF(i_eff_inputs_based_on_num=2,EQ60,(INDEX(Lists!$L$51:$L$85,MATCH(P60,Lists!$K$51:$K$85,0))))</f>
        <v>0</v>
      </c>
      <c r="FP60" s="58">
        <f>IF(i_eff_inputs_based_on_num=2,ER60,(INDEX(Lists!$L$51:$L$85,MATCH(Q60,Lists!$K$51:$K$85,0))))</f>
        <v>3</v>
      </c>
      <c r="FT60" s="58">
        <f t="shared" si="26"/>
        <v>0</v>
      </c>
      <c r="FW60" s="58" t="str">
        <f>IF(i_baseline_risk_from=2,'Effectiveness settings'!EW60,'Effectiveness settings'!FI60)</f>
        <v>FP_NMA</v>
      </c>
      <c r="FX60" s="58" t="str">
        <f t="shared" si="27"/>
        <v>FP_NMA</v>
      </c>
      <c r="FY60" s="58" t="str">
        <f t="shared" si="28"/>
        <v>FP_NMA</v>
      </c>
      <c r="FZ60" s="58" t="str">
        <f t="shared" si="29"/>
        <v>FP_NMA</v>
      </c>
      <c r="GA60" s="58" t="str">
        <f t="shared" si="30"/>
        <v>FP_NMA</v>
      </c>
      <c r="GB60" s="58" t="str">
        <f t="shared" si="31"/>
        <v>FP_NMA</v>
      </c>
      <c r="GC60" s="58" t="str">
        <f t="shared" si="32"/>
        <v>FP_NMA</v>
      </c>
      <c r="GD60" s="58" t="str">
        <f t="shared" si="33"/>
        <v>FP_NMA</v>
      </c>
      <c r="GE60" s="58" t="str">
        <f>IF(AND(dd_CheckMate214_TTD="Yes",'Effectiveness settings'!BU60=2,'Effectiveness settings'!BX60=2),"Apply HR to",GD60)</f>
        <v>FP_NMA</v>
      </c>
      <c r="GF60" s="58" t="str">
        <f t="shared" si="34"/>
        <v>FP_NMA</v>
      </c>
      <c r="GG60" s="58" t="str">
        <f t="shared" si="35"/>
        <v>FP_NMA</v>
      </c>
      <c r="GH60" s="58" t="str">
        <f t="shared" si="36"/>
        <v>FP_NMA</v>
      </c>
      <c r="GI60" s="58" t="str">
        <f t="shared" si="106"/>
        <v>FP_NMA</v>
      </c>
      <c r="GK60" s="58">
        <f>IF(i_baseline_risk_from=2,'Effectiveness settings'!FA60,'Effectiveness settings'!FM60)</f>
        <v>1</v>
      </c>
      <c r="GL60" s="58">
        <f>IF(i_baseline_risk_from=2,'Effectiveness settings'!FB60,'Effectiveness settings'!FN60)</f>
        <v>7</v>
      </c>
      <c r="GM60" s="58">
        <f>IF(i_baseline_risk_from=2,'Effectiveness settings'!FC60,'Effectiveness settings'!FO60)</f>
        <v>2</v>
      </c>
      <c r="GN60" s="58">
        <f>IF(i_baseline_risk_from=2,'Effectiveness settings'!FD60,'Effectiveness settings'!FP60)</f>
        <v>3</v>
      </c>
      <c r="GQ60" s="58">
        <f t="shared" si="38"/>
        <v>7</v>
      </c>
      <c r="GR60" s="58">
        <f t="shared" si="39"/>
        <v>7</v>
      </c>
      <c r="GS60" s="58">
        <f t="shared" si="40"/>
        <v>7</v>
      </c>
      <c r="GT60" s="58">
        <f t="shared" si="41"/>
        <v>7</v>
      </c>
      <c r="GU60" s="58">
        <f>IF(AND(dd_CheckMate214_TTD="Yes",'Effectiveness settings'!BU60=2,'Effectiveness settings'!BX60=2),2,GT60)</f>
        <v>7</v>
      </c>
      <c r="GV60" s="58">
        <f t="shared" si="42"/>
        <v>7</v>
      </c>
      <c r="GW60" s="58">
        <f t="shared" si="43"/>
        <v>7</v>
      </c>
      <c r="GY60" s="58">
        <f>IF(AND(dd_CheckMate214_TTD="Yes",'Effectiveness settings'!BU60=2,'Effectiveness settings'!BX60=2),1,GN60)</f>
        <v>3</v>
      </c>
      <c r="GZ60" s="58">
        <f t="shared" si="44"/>
        <v>3</v>
      </c>
      <c r="HB60" s="58">
        <f t="shared" si="45"/>
        <v>1</v>
      </c>
      <c r="HD60" s="58">
        <f t="shared" si="107"/>
        <v>1</v>
      </c>
      <c r="HE60" s="58">
        <f t="shared" si="108"/>
        <v>1</v>
      </c>
      <c r="HF60" s="58">
        <f t="shared" si="109"/>
        <v>7</v>
      </c>
      <c r="HG60" s="58">
        <f t="shared" si="110"/>
        <v>2</v>
      </c>
      <c r="HH60" s="58">
        <f t="shared" si="111"/>
        <v>3</v>
      </c>
    </row>
    <row r="61" spans="1:216" ht="16.5" thickBot="1" x14ac:dyDescent="0.3">
      <c r="D61" s="58" t="str">
        <v>lenvatinib_plus_pembrolizumab</v>
      </c>
      <c r="I61" s="64" t="s">
        <v>74</v>
      </c>
      <c r="J61" s="519" t="s">
        <v>555</v>
      </c>
      <c r="K61" s="524" t="s">
        <v>67</v>
      </c>
      <c r="L61" s="519"/>
      <c r="M61" s="516" t="s">
        <v>545</v>
      </c>
      <c r="N61" s="64" t="s">
        <v>546</v>
      </c>
      <c r="O61" s="64" t="s">
        <v>117</v>
      </c>
      <c r="P61" s="64" t="s">
        <v>547</v>
      </c>
      <c r="Q61" s="519" t="s">
        <v>555</v>
      </c>
      <c r="R61" s="516" t="s">
        <v>548</v>
      </c>
      <c r="S61" s="497"/>
      <c r="T61" s="497"/>
      <c r="U61" s="497"/>
      <c r="Y61" s="517"/>
      <c r="AA61" s="517"/>
      <c r="AF61" s="517"/>
      <c r="AM61" s="517"/>
      <c r="AO61" s="517"/>
      <c r="AT61" s="517"/>
      <c r="AV61" s="511"/>
      <c r="AW61" s="511"/>
      <c r="AX61" s="511"/>
      <c r="BA61" s="517"/>
      <c r="BC61" s="517"/>
      <c r="BH61" s="517"/>
      <c r="BJ61" s="511"/>
      <c r="BK61" s="511"/>
      <c r="BL61" s="511"/>
      <c r="BQ61" s="58">
        <f t="shared" si="0"/>
        <v>46</v>
      </c>
      <c r="BR61" s="17">
        <v>1</v>
      </c>
      <c r="BS61" s="17" t="s">
        <v>549</v>
      </c>
      <c r="BT61" s="17">
        <v>1</v>
      </c>
      <c r="BU61" s="17">
        <v>3</v>
      </c>
      <c r="BV61" s="17" t="str">
        <f t="shared" si="114"/>
        <v>lenvatinib_plus_pembrolizumab</v>
      </c>
      <c r="BW61" s="1006" t="str" cm="1">
        <f t="array" ref="BW61">IF(I61="No",I61,INDEX(List_incl_anal_1L_PorI,IF(BU61=999,35,BU61+1)))</f>
        <v>Yes</v>
      </c>
      <c r="BX61" s="61">
        <f t="shared" si="115"/>
        <v>3</v>
      </c>
      <c r="BY61" s="531" t="str">
        <f>J61</f>
        <v>Time to progression</v>
      </c>
      <c r="BZ61" s="530" t="str">
        <f t="shared" si="116"/>
        <v>FP_NMA</v>
      </c>
      <c r="CA61" s="531">
        <f t="shared" si="138"/>
        <v>0</v>
      </c>
      <c r="CB61" s="530">
        <f t="shared" si="117"/>
        <v>1</v>
      </c>
      <c r="CC61" s="530">
        <f t="shared" si="118"/>
        <v>1</v>
      </c>
      <c r="CD61" s="530">
        <f t="shared" si="119"/>
        <v>7</v>
      </c>
      <c r="CE61" s="1295">
        <f t="shared" si="120"/>
        <v>2</v>
      </c>
      <c r="CF61" s="1301">
        <f t="shared" si="121"/>
        <v>3</v>
      </c>
      <c r="CG61" s="530" t="str">
        <f t="shared" si="122"/>
        <v>Log-logistic</v>
      </c>
      <c r="CH61" s="61">
        <f t="shared" si="123"/>
        <v>0</v>
      </c>
      <c r="CI61" s="61">
        <f t="shared" si="124"/>
        <v>0</v>
      </c>
      <c r="CJ61" s="61">
        <f t="shared" si="125"/>
        <v>0</v>
      </c>
      <c r="CV61" s="943">
        <v>2</v>
      </c>
      <c r="CW61" s="943" t="s">
        <v>559</v>
      </c>
      <c r="CX61" s="943">
        <v>1</v>
      </c>
      <c r="CY61" s="943">
        <v>0</v>
      </c>
      <c r="CZ61" s="943" t="str" cm="1">
        <f t="array" ref="CZ61">INDEX(List_trials,CY61+1)</f>
        <v>CheckMate 9ER</v>
      </c>
      <c r="DA61" s="944" t="s">
        <v>557</v>
      </c>
      <c r="DB61" s="944" t="s">
        <v>568</v>
      </c>
      <c r="DC61" s="944" t="s">
        <v>548</v>
      </c>
      <c r="DD61" s="944"/>
      <c r="DE61" s="944"/>
      <c r="DF61" s="944" t="s">
        <v>103</v>
      </c>
      <c r="DG61" s="944" t="s">
        <v>571</v>
      </c>
      <c r="DH61" s="947">
        <f t="shared" si="112"/>
        <v>1</v>
      </c>
      <c r="DK61" s="58" t="str" cm="1">
        <f t="array" ref="DK61">IF(AND($BT61=4,$BX61=4,$BU61=999),$DB$36,_xlfn.IFNA(INDEX(DB$13:DB$70,MATCH(1,($BR61=$CV$13:$CV$70)*($BT61=$CX$13:$CX$70)*($CE61=$CY$13:$CY$70)*($BY61=$DA$13:$DA$70)*($CD61=$DH$13:$DH$70),0)),""))</f>
        <v>Log-logistic</v>
      </c>
      <c r="DL61" s="58" t="str" cm="1">
        <f t="array" ref="DL61">IF(AND($BT61=4,$BX61=4,$BU61=999),$DC$36,_xlfn.IFNA(INDEX(CHOOSE(DP61,DB$13:DB$70,DC$13:DC$70,DD$13:DD$70,DE$13:DE$70),MATCH(1,($BR61=$CV$13:$CV$70)*($BT61=$CX$13:$CX$70)*($CE61=$CY$13:$CY$70)*($BY61=$DA$13:$DA$70)*($CD61=$DH$13:$DH$70),0)),""))</f>
        <v>Log-logistic</v>
      </c>
      <c r="DM61" s="740" cm="1">
        <f t="array" ref="DM61">IF(AND($BT61=4,$BX61=4,$BU61=999),$DD$36,_xlfn.IFNA(INDEX(DD$13:DD$68,MATCH(1,($BR61=$CV$13:$CV$68)*($BT61=$CX$13:$CX$68)*($CE61=$CY$13:$CY$68)*($BY61=$DA$13:$DA$68)*($CD61=$DH$13:$DH$68),0)),""))</f>
        <v>0</v>
      </c>
      <c r="DN61" s="740" cm="1">
        <f t="array" ref="DN61">IF(AND($BT61=4,$BX61=4,$BU61=999),$DD$36,_xlfn.IFNA(INDEX(DE$13:DE$68,MATCH(1,($BR61=$CV$13:$CV$68)*($BT61=$CX$13:$CX$68)*($CE61=$CY$13:$CY$68)*($BY61=$DA$13:$DA$68)*($CD61=$DH$13:$DH$68),0)),""))</f>
        <v>0</v>
      </c>
      <c r="DO61" s="58" t="str" cm="1">
        <f t="array" ref="DO61">IF(AND($BT61=4,$BX61=4,$BU61=999),$DF$36,_xlfn.IFNA(INDEX(DF$13:DF$70,MATCH(1,($BR61=$CV$13:$CV$70)*($BT61=$CX$13:$CX$70)*($CE61=$CY$13:$CY$70)*($BY61=$DA$13:$DA$70)*($CD61=$DH$13:$DH$70),0)),""))</f>
        <v>Base case</v>
      </c>
      <c r="DP61" s="58">
        <f t="shared" si="13"/>
        <v>1</v>
      </c>
      <c r="DW61" s="58" t="s">
        <v>74</v>
      </c>
      <c r="DX61" s="58" t="s">
        <v>555</v>
      </c>
      <c r="DY61" s="58" t="s">
        <v>67</v>
      </c>
      <c r="DZ61" s="58">
        <v>0</v>
      </c>
      <c r="EB61" s="58">
        <v>1</v>
      </c>
      <c r="EC61" s="58">
        <v>1</v>
      </c>
      <c r="ED61" s="58">
        <v>7</v>
      </c>
      <c r="EE61" s="58">
        <v>2</v>
      </c>
      <c r="EF61" s="58">
        <v>3</v>
      </c>
      <c r="EI61" s="58" t="s">
        <v>74</v>
      </c>
      <c r="EJ61" s="58" t="s">
        <v>555</v>
      </c>
      <c r="EK61" s="58" t="s">
        <v>67</v>
      </c>
      <c r="EL61" s="58">
        <v>0</v>
      </c>
      <c r="EN61" s="58">
        <v>1</v>
      </c>
      <c r="EO61" s="58">
        <v>1</v>
      </c>
      <c r="EP61" s="58">
        <v>7</v>
      </c>
      <c r="EQ61" s="58">
        <v>0</v>
      </c>
      <c r="ER61" s="58">
        <v>3</v>
      </c>
      <c r="EU61" s="58" t="str">
        <f t="shared" si="126"/>
        <v>Yes</v>
      </c>
      <c r="EV61" s="58" t="str">
        <f t="shared" si="127"/>
        <v>Time to progression</v>
      </c>
      <c r="EW61" s="58" t="str">
        <f t="shared" si="128"/>
        <v>PH_NMA</v>
      </c>
      <c r="EX61" s="58">
        <f t="shared" si="129"/>
        <v>0</v>
      </c>
      <c r="EZ61" s="58">
        <f t="shared" si="130"/>
        <v>1</v>
      </c>
      <c r="FA61" s="58">
        <f t="shared" si="131"/>
        <v>1</v>
      </c>
      <c r="FB61" s="58">
        <f>IF(i_eff_inputs_based_on_num=2,ED61,(INDEX(Lists!$L$51:$L$85,MATCH(O61,Lists!$K$51:$K$85,0))))</f>
        <v>7</v>
      </c>
      <c r="FC61" s="58">
        <f>IF(i_eff_inputs_based_on_num=2,EE61,(INDEX(Lists!$L$51:$L$85,MATCH(P61,Lists!$K$51:$K$85,0))))</f>
        <v>2</v>
      </c>
      <c r="FD61" s="58">
        <f>IF(i_eff_inputs_based_on_num=2,EF61,(INDEX(Lists!$L$51:$L$85,MATCH(Q61,Lists!$K$51:$K$85,0))))</f>
        <v>3</v>
      </c>
      <c r="FG61" s="58" t="str">
        <f t="shared" si="132"/>
        <v>Yes</v>
      </c>
      <c r="FH61" s="58" t="str">
        <f t="shared" si="133"/>
        <v>Time to progression</v>
      </c>
      <c r="FI61" s="58" t="str">
        <f t="shared" si="134"/>
        <v>PH_NMA</v>
      </c>
      <c r="FJ61" s="58">
        <f t="shared" si="135"/>
        <v>0</v>
      </c>
      <c r="FL61" s="58">
        <f t="shared" si="136"/>
        <v>1</v>
      </c>
      <c r="FM61" s="58">
        <f t="shared" si="137"/>
        <v>1</v>
      </c>
      <c r="FN61" s="58">
        <f>IF(i_eff_inputs_based_on_num=2,EP61,(INDEX(Lists!$L$51:$L$85,MATCH(O61,Lists!$K$51:$K$85,0))))</f>
        <v>7</v>
      </c>
      <c r="FO61" s="58">
        <f>IF(i_eff_inputs_based_on_num=2,EQ61,(INDEX(Lists!$L$51:$L$85,MATCH(P61,Lists!$K$51:$K$85,0))))</f>
        <v>0</v>
      </c>
      <c r="FP61" s="58">
        <f>IF(i_eff_inputs_based_on_num=2,ER61,(INDEX(Lists!$L$51:$L$85,MATCH(Q61,Lists!$K$51:$K$85,0))))</f>
        <v>3</v>
      </c>
      <c r="FT61" s="58">
        <f t="shared" si="26"/>
        <v>0</v>
      </c>
      <c r="FW61" s="58" t="str">
        <f>IF(i_baseline_risk_from=2,'Effectiveness settings'!EW61,'Effectiveness settings'!FI61)</f>
        <v>PH_NMA</v>
      </c>
      <c r="FX61" s="58" t="str">
        <f t="shared" si="27"/>
        <v>PH_NMA</v>
      </c>
      <c r="FY61" s="58" t="str">
        <f t="shared" si="28"/>
        <v>PH_NMA</v>
      </c>
      <c r="FZ61" s="58" t="str">
        <f t="shared" si="29"/>
        <v>PH_NMA</v>
      </c>
      <c r="GA61" s="58" t="str">
        <f t="shared" si="30"/>
        <v>PH_NMA</v>
      </c>
      <c r="GB61" s="58" t="str">
        <f t="shared" si="31"/>
        <v>PH_NMA</v>
      </c>
      <c r="GC61" s="58" t="str">
        <f t="shared" si="32"/>
        <v>FP_NMA</v>
      </c>
      <c r="GD61" s="58" t="str">
        <f t="shared" si="33"/>
        <v>FP_NMA</v>
      </c>
      <c r="GE61" s="58" t="str">
        <f>IF(AND(dd_CheckMate214_TTD="Yes",'Effectiveness settings'!BU61=2,'Effectiveness settings'!BX61=2),"Apply HR to",GD61)</f>
        <v>FP_NMA</v>
      </c>
      <c r="GF61" s="58" t="str">
        <f t="shared" si="34"/>
        <v>FP_NMA</v>
      </c>
      <c r="GG61" s="58" t="str">
        <f t="shared" si="35"/>
        <v>FP_NMA</v>
      </c>
      <c r="GH61" s="58" t="str">
        <f t="shared" si="36"/>
        <v>FP_NMA</v>
      </c>
      <c r="GI61" s="58" t="str">
        <f t="shared" si="106"/>
        <v>FP_NMA</v>
      </c>
      <c r="GK61" s="58">
        <f>IF(i_baseline_risk_from=2,'Effectiveness settings'!FA61,'Effectiveness settings'!FM61)</f>
        <v>1</v>
      </c>
      <c r="GL61" s="58">
        <f>IF(i_baseline_risk_from=2,'Effectiveness settings'!FB61,'Effectiveness settings'!FN61)</f>
        <v>7</v>
      </c>
      <c r="GM61" s="58">
        <f>IF(i_baseline_risk_from=2,'Effectiveness settings'!FC61,'Effectiveness settings'!FO61)</f>
        <v>2</v>
      </c>
      <c r="GN61" s="58">
        <f>IF(i_baseline_risk_from=2,'Effectiveness settings'!FD61,'Effectiveness settings'!FP61)</f>
        <v>3</v>
      </c>
      <c r="GQ61" s="58">
        <f t="shared" si="38"/>
        <v>7</v>
      </c>
      <c r="GR61" s="58">
        <f t="shared" si="39"/>
        <v>7</v>
      </c>
      <c r="GS61" s="58">
        <f t="shared" si="40"/>
        <v>7</v>
      </c>
      <c r="GT61" s="58">
        <f t="shared" si="41"/>
        <v>7</v>
      </c>
      <c r="GU61" s="58">
        <f>IF(AND(dd_CheckMate214_TTD="Yes",'Effectiveness settings'!BU61=2,'Effectiveness settings'!BX61=2),2,GT61)</f>
        <v>7</v>
      </c>
      <c r="GV61" s="58">
        <f t="shared" si="42"/>
        <v>7</v>
      </c>
      <c r="GW61" s="58">
        <f t="shared" si="43"/>
        <v>7</v>
      </c>
      <c r="GY61" s="58">
        <f>IF(AND(dd_CheckMate214_TTD="Yes",'Effectiveness settings'!BU61=2,'Effectiveness settings'!BX61=2),1,GN61)</f>
        <v>3</v>
      </c>
      <c r="GZ61" s="58">
        <f t="shared" si="44"/>
        <v>3</v>
      </c>
      <c r="HB61" s="58">
        <f t="shared" si="45"/>
        <v>1</v>
      </c>
      <c r="HD61" s="58">
        <f t="shared" si="107"/>
        <v>1</v>
      </c>
      <c r="HE61" s="58">
        <f t="shared" si="108"/>
        <v>1</v>
      </c>
      <c r="HF61" s="58">
        <f t="shared" si="109"/>
        <v>7</v>
      </c>
      <c r="HG61" s="58">
        <f t="shared" si="110"/>
        <v>2</v>
      </c>
      <c r="HH61" s="58">
        <f t="shared" si="111"/>
        <v>3</v>
      </c>
    </row>
    <row r="62" spans="1:216" ht="15.75" x14ac:dyDescent="0.25">
      <c r="D62" s="58" t="str">
        <v>avelumab_plus_axitinib</v>
      </c>
      <c r="I62" s="739" t="str">
        <f>dd_incl_ave_plus_axi</f>
        <v>No</v>
      </c>
      <c r="J62" s="519" t="s">
        <v>555</v>
      </c>
      <c r="K62" s="524" t="s">
        <v>63</v>
      </c>
      <c r="L62" s="519"/>
      <c r="M62" s="516" t="s">
        <v>545</v>
      </c>
      <c r="N62" s="64" t="s">
        <v>546</v>
      </c>
      <c r="O62" s="64" t="s">
        <v>117</v>
      </c>
      <c r="P62" s="64" t="s">
        <v>547</v>
      </c>
      <c r="Q62" s="519" t="s">
        <v>555</v>
      </c>
      <c r="R62" s="516" t="s">
        <v>548</v>
      </c>
      <c r="S62" s="497"/>
      <c r="T62" s="497"/>
      <c r="U62" s="497"/>
      <c r="Y62" s="517"/>
      <c r="AA62" s="517"/>
      <c r="AF62" s="517"/>
      <c r="AM62" s="517"/>
      <c r="AO62" s="517"/>
      <c r="AT62" s="517"/>
      <c r="AV62" s="511"/>
      <c r="AW62" s="511"/>
      <c r="AX62" s="511"/>
      <c r="BA62" s="517"/>
      <c r="BC62" s="517"/>
      <c r="BH62" s="517"/>
      <c r="BJ62" s="511"/>
      <c r="BK62" s="511"/>
      <c r="BL62" s="511"/>
      <c r="BQ62" s="58">
        <f t="shared" si="0"/>
        <v>47</v>
      </c>
      <c r="BR62" s="17">
        <v>1</v>
      </c>
      <c r="BS62" s="17" t="s">
        <v>549</v>
      </c>
      <c r="BT62" s="17">
        <v>1</v>
      </c>
      <c r="BU62" s="17">
        <v>4</v>
      </c>
      <c r="BV62" s="17" t="str">
        <f t="shared" si="114"/>
        <v>avelumab_plus_axitinib</v>
      </c>
      <c r="BW62" s="1006" t="str" cm="1">
        <f t="array" ref="BW62">IF(I62="No",I62,INDEX(List_incl_anal_1L_PorI,IF(BU62=999,35,BU62+1)))</f>
        <v>No</v>
      </c>
      <c r="BX62" s="61">
        <f t="shared" si="115"/>
        <v>3</v>
      </c>
      <c r="BY62" s="531" t="str">
        <f>J62</f>
        <v>Time to progression</v>
      </c>
      <c r="BZ62" s="530" t="str">
        <f t="shared" si="116"/>
        <v>FP_NMA</v>
      </c>
      <c r="CA62" s="531">
        <f t="shared" si="138"/>
        <v>0</v>
      </c>
      <c r="CB62" s="530">
        <f t="shared" si="117"/>
        <v>1</v>
      </c>
      <c r="CC62" s="530">
        <f t="shared" si="118"/>
        <v>1</v>
      </c>
      <c r="CD62" s="530">
        <f t="shared" si="119"/>
        <v>7</v>
      </c>
      <c r="CE62" s="1295">
        <f t="shared" si="120"/>
        <v>2</v>
      </c>
      <c r="CF62" s="1301">
        <f t="shared" si="121"/>
        <v>3</v>
      </c>
      <c r="CG62" s="530" t="str">
        <f t="shared" si="122"/>
        <v>Log-logistic</v>
      </c>
      <c r="CH62" s="61">
        <f t="shared" si="123"/>
        <v>0</v>
      </c>
      <c r="CI62" s="61">
        <f t="shared" si="124"/>
        <v>0</v>
      </c>
      <c r="CJ62" s="61">
        <f t="shared" si="125"/>
        <v>0</v>
      </c>
      <c r="CV62" s="940">
        <v>0</v>
      </c>
      <c r="CW62" s="940" t="s">
        <v>31</v>
      </c>
      <c r="CX62" s="940">
        <v>1</v>
      </c>
      <c r="CY62" s="940">
        <v>0</v>
      </c>
      <c r="CZ62" s="940" t="str" cm="1">
        <f t="array" ref="CZ62">INDEX(List_trials,CY62+1)</f>
        <v>CheckMate 9ER</v>
      </c>
      <c r="DA62" s="942" t="s">
        <v>544</v>
      </c>
      <c r="DB62" s="942" t="s">
        <v>548</v>
      </c>
      <c r="DC62" s="942" t="s">
        <v>563</v>
      </c>
      <c r="DD62" s="942" t="s">
        <v>553</v>
      </c>
      <c r="DE62" s="941" t="s">
        <v>551</v>
      </c>
      <c r="DF62" s="941" t="s">
        <v>103</v>
      </c>
      <c r="DG62" s="941" t="s">
        <v>571</v>
      </c>
      <c r="DH62" s="58">
        <f t="shared" si="112"/>
        <v>1</v>
      </c>
      <c r="DK62" s="58" t="str" cm="1">
        <f t="array" ref="DK62">IF(AND($BT62=4,$BX62=4,$BU62=999),$DB$36,_xlfn.IFNA(INDEX(DB$13:DB$70,MATCH(1,($BR62=$CV$13:$CV$70)*($BT62=$CX$13:$CX$70)*($CE62=$CY$13:$CY$70)*($BY62=$DA$13:$DA$70)*($CD62=$DH$13:$DH$70),0)),""))</f>
        <v>Log-logistic</v>
      </c>
      <c r="DL62" s="58" t="str" cm="1">
        <f t="array" ref="DL62">IF(AND($BT62=4,$BX62=4,$BU62=999),$DC$36,_xlfn.IFNA(INDEX(CHOOSE(DP62,DB$13:DB$70,DC$13:DC$70,DD$13:DD$70,DE$13:DE$70),MATCH(1,($BR62=$CV$13:$CV$70)*($BT62=$CX$13:$CX$70)*($CE62=$CY$13:$CY$70)*($BY62=$DA$13:$DA$70)*($CD62=$DH$13:$DH$70),0)),""))</f>
        <v>Log-logistic</v>
      </c>
      <c r="DM62" s="740" cm="1">
        <f t="array" ref="DM62">IF(AND($BT62=4,$BX62=4,$BU62=999),$DD$36,_xlfn.IFNA(INDEX(DD$13:DD$68,MATCH(1,($BR62=$CV$13:$CV$68)*($BT62=$CX$13:$CX$68)*($CE62=$CY$13:$CY$68)*($BY62=$DA$13:$DA$68)*($CD62=$DH$13:$DH$68),0)),""))</f>
        <v>0</v>
      </c>
      <c r="DN62" s="740" cm="1">
        <f t="array" ref="DN62">IF(AND($BT62=4,$BX62=4,$BU62=999),$DD$36,_xlfn.IFNA(INDEX(DE$13:DE$68,MATCH(1,($BR62=$CV$13:$CV$68)*($BT62=$CX$13:$CX$68)*($CE62=$CY$13:$CY$68)*($BY62=$DA$13:$DA$68)*($CD62=$DH$13:$DH$68),0)),""))</f>
        <v>0</v>
      </c>
      <c r="DO62" s="58" t="str" cm="1">
        <f t="array" ref="DO62">IF(AND($BT62=4,$BX62=4,$BU62=999),$DF$36,_xlfn.IFNA(INDEX(DF$13:DF$70,MATCH(1,($BR62=$CV$13:$CV$70)*($BT62=$CX$13:$CX$70)*($CE62=$CY$13:$CY$70)*($BY62=$DA$13:$DA$70)*($CD62=$DH$13:$DH$70),0)),""))</f>
        <v>Base case</v>
      </c>
      <c r="DP62" s="58">
        <f t="shared" si="13"/>
        <v>1</v>
      </c>
      <c r="DW62" s="58" t="s">
        <v>58</v>
      </c>
      <c r="DX62" s="58" t="s">
        <v>555</v>
      </c>
      <c r="DY62" s="58" t="s">
        <v>63</v>
      </c>
      <c r="DZ62" s="58">
        <v>0</v>
      </c>
      <c r="EB62" s="58">
        <v>1</v>
      </c>
      <c r="EC62" s="58">
        <v>1</v>
      </c>
      <c r="ED62" s="58">
        <v>7</v>
      </c>
      <c r="EE62" s="58">
        <v>2</v>
      </c>
      <c r="EF62" s="58">
        <v>3</v>
      </c>
      <c r="EI62" s="58" t="s">
        <v>58</v>
      </c>
      <c r="EJ62" s="58" t="s">
        <v>555</v>
      </c>
      <c r="EK62" s="58" t="s">
        <v>63</v>
      </c>
      <c r="EL62" s="58">
        <v>0</v>
      </c>
      <c r="EN62" s="58">
        <v>1</v>
      </c>
      <c r="EO62" s="58">
        <v>1</v>
      </c>
      <c r="EP62" s="58">
        <v>7</v>
      </c>
      <c r="EQ62" s="58">
        <v>0</v>
      </c>
      <c r="ER62" s="58">
        <v>3</v>
      </c>
      <c r="EU62" s="58" t="str">
        <f t="shared" si="126"/>
        <v>No</v>
      </c>
      <c r="EV62" s="58" t="str">
        <f t="shared" si="127"/>
        <v>Time to progression</v>
      </c>
      <c r="EW62" s="58" t="str">
        <f t="shared" si="128"/>
        <v>FP_NMA</v>
      </c>
      <c r="EX62" s="58">
        <f t="shared" si="129"/>
        <v>0</v>
      </c>
      <c r="EZ62" s="58">
        <f t="shared" si="130"/>
        <v>1</v>
      </c>
      <c r="FA62" s="58">
        <f t="shared" si="131"/>
        <v>1</v>
      </c>
      <c r="FB62" s="58">
        <f>IF(i_eff_inputs_based_on_num=2,ED62,(INDEX(Lists!$L$51:$L$85,MATCH(O62,Lists!$K$51:$K$85,0))))</f>
        <v>7</v>
      </c>
      <c r="FC62" s="58">
        <f>IF(i_eff_inputs_based_on_num=2,EE62,(INDEX(Lists!$L$51:$L$85,MATCH(P62,Lists!$K$51:$K$85,0))))</f>
        <v>2</v>
      </c>
      <c r="FD62" s="58">
        <f>IF(i_eff_inputs_based_on_num=2,EF62,(INDEX(Lists!$L$51:$L$85,MATCH(Q62,Lists!$K$51:$K$85,0))))</f>
        <v>3</v>
      </c>
      <c r="FG62" s="58" t="str">
        <f t="shared" si="132"/>
        <v>No</v>
      </c>
      <c r="FH62" s="58" t="str">
        <f t="shared" si="133"/>
        <v>Time to progression</v>
      </c>
      <c r="FI62" s="58" t="str">
        <f t="shared" si="134"/>
        <v>FP_NMA</v>
      </c>
      <c r="FJ62" s="58">
        <f t="shared" si="135"/>
        <v>0</v>
      </c>
      <c r="FL62" s="58">
        <f t="shared" si="136"/>
        <v>1</v>
      </c>
      <c r="FM62" s="58">
        <f t="shared" si="137"/>
        <v>1</v>
      </c>
      <c r="FN62" s="58">
        <f>IF(i_eff_inputs_based_on_num=2,EP62,(INDEX(Lists!$L$51:$L$85,MATCH(O62,Lists!$K$51:$K$85,0))))</f>
        <v>7</v>
      </c>
      <c r="FO62" s="58">
        <f>IF(i_eff_inputs_based_on_num=2,EQ62,(INDEX(Lists!$L$51:$L$85,MATCH(P62,Lists!$K$51:$K$85,0))))</f>
        <v>0</v>
      </c>
      <c r="FP62" s="58">
        <f>IF(i_eff_inputs_based_on_num=2,ER62,(INDEX(Lists!$L$51:$L$85,MATCH(Q62,Lists!$K$51:$K$85,0))))</f>
        <v>3</v>
      </c>
      <c r="FT62" s="58">
        <f t="shared" si="26"/>
        <v>0</v>
      </c>
      <c r="FW62" s="58" t="str">
        <f>IF(i_baseline_risk_from=2,'Effectiveness settings'!EW62,'Effectiveness settings'!FI62)</f>
        <v>FP_NMA</v>
      </c>
      <c r="FX62" s="58" t="str">
        <f t="shared" si="27"/>
        <v>FP_NMA</v>
      </c>
      <c r="FY62" s="58" t="str">
        <f t="shared" si="28"/>
        <v>FP_NMA</v>
      </c>
      <c r="FZ62" s="58" t="str">
        <f t="shared" si="29"/>
        <v>FP_NMA</v>
      </c>
      <c r="GA62" s="58" t="str">
        <f t="shared" si="30"/>
        <v>FP_NMA</v>
      </c>
      <c r="GB62" s="58" t="str">
        <f t="shared" si="31"/>
        <v>FP_NMA</v>
      </c>
      <c r="GC62" s="58" t="str">
        <f t="shared" si="32"/>
        <v>FP_NMA</v>
      </c>
      <c r="GD62" s="58" t="str">
        <f t="shared" si="33"/>
        <v>FP_NMA</v>
      </c>
      <c r="GE62" s="58" t="str">
        <f>IF(AND(dd_CheckMate214_TTD="Yes",'Effectiveness settings'!BU62=2,'Effectiveness settings'!BX62=2),"Apply HR to",GD62)</f>
        <v>FP_NMA</v>
      </c>
      <c r="GF62" s="58" t="str">
        <f t="shared" si="34"/>
        <v>FP_NMA</v>
      </c>
      <c r="GG62" s="58" t="str">
        <f t="shared" si="35"/>
        <v>FP_NMA</v>
      </c>
      <c r="GH62" s="58" t="str">
        <f t="shared" si="36"/>
        <v>FP_NMA</v>
      </c>
      <c r="GI62" s="58" t="str">
        <f t="shared" si="106"/>
        <v>FP_NMA</v>
      </c>
      <c r="GK62" s="58">
        <f>IF(i_baseline_risk_from=2,'Effectiveness settings'!FA62,'Effectiveness settings'!FM62)</f>
        <v>1</v>
      </c>
      <c r="GL62" s="58">
        <f>IF(i_baseline_risk_from=2,'Effectiveness settings'!FB62,'Effectiveness settings'!FN62)</f>
        <v>7</v>
      </c>
      <c r="GM62" s="58">
        <f>IF(i_baseline_risk_from=2,'Effectiveness settings'!FC62,'Effectiveness settings'!FO62)</f>
        <v>2</v>
      </c>
      <c r="GN62" s="58">
        <f>IF(i_baseline_risk_from=2,'Effectiveness settings'!FD62,'Effectiveness settings'!FP62)</f>
        <v>3</v>
      </c>
      <c r="GQ62" s="58">
        <f t="shared" si="38"/>
        <v>7</v>
      </c>
      <c r="GR62" s="58">
        <f t="shared" si="39"/>
        <v>7</v>
      </c>
      <c r="GS62" s="58">
        <f t="shared" si="40"/>
        <v>7</v>
      </c>
      <c r="GT62" s="58">
        <f t="shared" si="41"/>
        <v>7</v>
      </c>
      <c r="GU62" s="58">
        <f>IF(AND(dd_CheckMate214_TTD="Yes",'Effectiveness settings'!BU62=2,'Effectiveness settings'!BX62=2),2,GT62)</f>
        <v>7</v>
      </c>
      <c r="GV62" s="58">
        <f t="shared" si="42"/>
        <v>7</v>
      </c>
      <c r="GW62" s="58">
        <f t="shared" si="43"/>
        <v>7</v>
      </c>
      <c r="GY62" s="58">
        <f>IF(AND(dd_CheckMate214_TTD="Yes",'Effectiveness settings'!BU62=2,'Effectiveness settings'!BX62=2),1,GN62)</f>
        <v>3</v>
      </c>
      <c r="GZ62" s="58">
        <f t="shared" si="44"/>
        <v>3</v>
      </c>
      <c r="HB62" s="58">
        <f t="shared" si="45"/>
        <v>1</v>
      </c>
      <c r="HD62" s="58">
        <f t="shared" si="107"/>
        <v>1</v>
      </c>
      <c r="HE62" s="58">
        <f t="shared" si="108"/>
        <v>1</v>
      </c>
      <c r="HF62" s="58">
        <f t="shared" si="109"/>
        <v>7</v>
      </c>
      <c r="HG62" s="58">
        <f t="shared" si="110"/>
        <v>2</v>
      </c>
      <c r="HH62" s="58">
        <f t="shared" si="111"/>
        <v>3</v>
      </c>
    </row>
    <row r="63" spans="1:216" ht="15.75" x14ac:dyDescent="0.25">
      <c r="D63" s="58" t="str">
        <v>pazopanib</v>
      </c>
      <c r="I63" s="64" t="s">
        <v>74</v>
      </c>
      <c r="J63" s="519" t="s">
        <v>555</v>
      </c>
      <c r="K63" s="524" t="s">
        <v>67</v>
      </c>
      <c r="L63" s="519"/>
      <c r="M63" s="516" t="s">
        <v>545</v>
      </c>
      <c r="N63" s="64" t="s">
        <v>546</v>
      </c>
      <c r="O63" s="64" t="s">
        <v>117</v>
      </c>
      <c r="P63" s="64" t="s">
        <v>547</v>
      </c>
      <c r="Q63" s="519" t="s">
        <v>555</v>
      </c>
      <c r="R63" s="516" t="s">
        <v>548</v>
      </c>
      <c r="S63" s="497"/>
      <c r="T63" s="497"/>
      <c r="U63" s="497"/>
      <c r="Y63" s="517"/>
      <c r="AA63" s="517"/>
      <c r="AF63" s="517"/>
      <c r="AM63" s="517"/>
      <c r="AO63" s="517"/>
      <c r="AT63" s="517"/>
      <c r="AV63" s="511"/>
      <c r="AW63" s="511"/>
      <c r="AX63" s="511"/>
      <c r="BA63" s="517"/>
      <c r="BC63" s="517"/>
      <c r="BH63" s="517"/>
      <c r="BJ63" s="511"/>
      <c r="BK63" s="511"/>
      <c r="BL63" s="511"/>
      <c r="BQ63" s="58">
        <f t="shared" si="0"/>
        <v>48</v>
      </c>
      <c r="BR63" s="17">
        <v>1</v>
      </c>
      <c r="BS63" s="17" t="s">
        <v>549</v>
      </c>
      <c r="BT63" s="17">
        <v>1</v>
      </c>
      <c r="BU63" s="17">
        <v>5</v>
      </c>
      <c r="BV63" s="17" t="str">
        <f t="shared" si="114"/>
        <v>pazopanib</v>
      </c>
      <c r="BW63" s="1006" t="str" cm="1">
        <f t="array" ref="BW63">IF(I63="No",I63,INDEX(List_incl_anal_1L_PorI,IF(BU63=999,35,BU63+1)))</f>
        <v>Yes</v>
      </c>
      <c r="BX63" s="61">
        <f t="shared" si="115"/>
        <v>3</v>
      </c>
      <c r="BY63" s="531" t="str">
        <f t="shared" ref="BY63:BY71" si="139">J63</f>
        <v>Time to progression</v>
      </c>
      <c r="BZ63" s="530" t="str">
        <f t="shared" si="116"/>
        <v>Assume equal to</v>
      </c>
      <c r="CA63" s="531">
        <f t="shared" si="138"/>
        <v>0</v>
      </c>
      <c r="CB63" s="530">
        <f t="shared" si="117"/>
        <v>1</v>
      </c>
      <c r="CC63" s="530">
        <f t="shared" si="118"/>
        <v>1</v>
      </c>
      <c r="CD63" s="530">
        <f t="shared" si="119"/>
        <v>7</v>
      </c>
      <c r="CE63" s="1295">
        <f t="shared" si="120"/>
        <v>2</v>
      </c>
      <c r="CF63" s="1301">
        <f t="shared" si="121"/>
        <v>3</v>
      </c>
      <c r="CG63" s="530" t="str">
        <f t="shared" si="122"/>
        <v>Log-logistic</v>
      </c>
      <c r="CH63" s="61">
        <f t="shared" si="123"/>
        <v>0</v>
      </c>
      <c r="CI63" s="61">
        <f t="shared" si="124"/>
        <v>0</v>
      </c>
      <c r="CJ63" s="61">
        <f t="shared" si="125"/>
        <v>0</v>
      </c>
      <c r="CV63" s="940">
        <v>0</v>
      </c>
      <c r="CW63" s="940" t="s">
        <v>31</v>
      </c>
      <c r="CX63" s="940">
        <v>1</v>
      </c>
      <c r="CY63" s="940">
        <v>0</v>
      </c>
      <c r="CZ63" s="940" t="str" cm="1">
        <f t="array" ref="CZ63">INDEX(List_trials,CY63+1)</f>
        <v>CheckMate 9ER</v>
      </c>
      <c r="DA63" s="941" t="s">
        <v>552</v>
      </c>
      <c r="DB63" s="941" t="s">
        <v>548</v>
      </c>
      <c r="DC63" s="941" t="s">
        <v>563</v>
      </c>
      <c r="DD63" s="942" t="s">
        <v>553</v>
      </c>
      <c r="DE63" s="941"/>
      <c r="DF63" s="941" t="s">
        <v>103</v>
      </c>
      <c r="DG63" s="941" t="s">
        <v>571</v>
      </c>
      <c r="DH63" s="58">
        <f t="shared" si="112"/>
        <v>1</v>
      </c>
      <c r="DK63" s="58" t="str" cm="1">
        <f t="array" ref="DK63">IF(AND($BT63=4,$BX63=4,$BU63=999),$DB$36,_xlfn.IFNA(INDEX(DB$13:DB$70,MATCH(1,($BR63=$CV$13:$CV$70)*($BT63=$CX$13:$CX$70)*($CE63=$CY$13:$CY$70)*($BY63=$DA$13:$DA$70)*($CD63=$DH$13:$DH$70),0)),""))</f>
        <v>Log-logistic</v>
      </c>
      <c r="DL63" s="58" t="str" cm="1">
        <f t="array" ref="DL63">IF(AND($BT63=4,$BX63=4,$BU63=999),$DC$36,_xlfn.IFNA(INDEX(CHOOSE(DP63,DB$13:DB$70,DC$13:DC$70,DD$13:DD$70,DE$13:DE$70),MATCH(1,($BR63=$CV$13:$CV$70)*($BT63=$CX$13:$CX$70)*($CE63=$CY$13:$CY$70)*($BY63=$DA$13:$DA$70)*($CD63=$DH$13:$DH$70),0)),""))</f>
        <v>Log-logistic</v>
      </c>
      <c r="DM63" s="740" cm="1">
        <f t="array" ref="DM63">IF(AND($BT63=4,$BX63=4,$BU63=999),$DD$36,_xlfn.IFNA(INDEX(DD$13:DD$68,MATCH(1,($BR63=$CV$13:$CV$68)*($BT63=$CX$13:$CX$68)*($CE63=$CY$13:$CY$68)*($BY63=$DA$13:$DA$68)*($CD63=$DH$13:$DH$68),0)),""))</f>
        <v>0</v>
      </c>
      <c r="DN63" s="740" cm="1">
        <f t="array" ref="DN63">IF(AND($BT63=4,$BX63=4,$BU63=999),$DD$36,_xlfn.IFNA(INDEX(DE$13:DE$68,MATCH(1,($BR63=$CV$13:$CV$68)*($BT63=$CX$13:$CX$68)*($CE63=$CY$13:$CY$68)*($BY63=$DA$13:$DA$68)*($CD63=$DH$13:$DH$68),0)),""))</f>
        <v>0</v>
      </c>
      <c r="DO63" s="58" t="str" cm="1">
        <f t="array" ref="DO63">IF(AND($BT63=4,$BX63=4,$BU63=999),$DF$36,_xlfn.IFNA(INDEX(DF$13:DF$70,MATCH(1,($BR63=$CV$13:$CV$70)*($BT63=$CX$13:$CX$70)*($CE63=$CY$13:$CY$70)*($BY63=$DA$13:$DA$70)*($CD63=$DH$13:$DH$70),0)),""))</f>
        <v>Base case</v>
      </c>
      <c r="DP63" s="58">
        <f t="shared" si="13"/>
        <v>1</v>
      </c>
      <c r="DW63" s="58" t="s">
        <v>74</v>
      </c>
      <c r="DX63" s="58" t="s">
        <v>555</v>
      </c>
      <c r="DY63" s="58" t="s">
        <v>67</v>
      </c>
      <c r="DZ63" s="58">
        <v>0</v>
      </c>
      <c r="EB63" s="58">
        <v>1</v>
      </c>
      <c r="EC63" s="58">
        <v>1</v>
      </c>
      <c r="ED63" s="58">
        <v>7</v>
      </c>
      <c r="EE63" s="58">
        <v>2</v>
      </c>
      <c r="EF63" s="58">
        <v>3</v>
      </c>
      <c r="EI63" s="58" t="s">
        <v>74</v>
      </c>
      <c r="EJ63" s="58" t="s">
        <v>555</v>
      </c>
      <c r="EK63" s="58" t="s">
        <v>67</v>
      </c>
      <c r="EL63" s="58">
        <v>0</v>
      </c>
      <c r="EN63" s="58">
        <v>1</v>
      </c>
      <c r="EO63" s="58">
        <v>1</v>
      </c>
      <c r="EP63" s="58">
        <v>7</v>
      </c>
      <c r="EQ63" s="58">
        <v>0</v>
      </c>
      <c r="ER63" s="58">
        <v>3</v>
      </c>
      <c r="EU63" s="58" t="str">
        <f t="shared" si="126"/>
        <v>Yes</v>
      </c>
      <c r="EV63" s="58" t="str">
        <f t="shared" si="127"/>
        <v>Time to progression</v>
      </c>
      <c r="EW63" s="58" t="str">
        <f t="shared" si="128"/>
        <v>PH_NMA</v>
      </c>
      <c r="EX63" s="58">
        <f t="shared" si="129"/>
        <v>0</v>
      </c>
      <c r="EZ63" s="58">
        <f t="shared" si="130"/>
        <v>1</v>
      </c>
      <c r="FA63" s="58">
        <f t="shared" si="131"/>
        <v>1</v>
      </c>
      <c r="FB63" s="58">
        <f>IF(i_eff_inputs_based_on_num=2,ED63,(INDEX(Lists!$L$51:$L$85,MATCH(O63,Lists!$K$51:$K$85,0))))</f>
        <v>7</v>
      </c>
      <c r="FC63" s="58">
        <f>IF(i_eff_inputs_based_on_num=2,EE63,(INDEX(Lists!$L$51:$L$85,MATCH(P63,Lists!$K$51:$K$85,0))))</f>
        <v>2</v>
      </c>
      <c r="FD63" s="58">
        <f>IF(i_eff_inputs_based_on_num=2,EF63,(INDEX(Lists!$L$51:$L$85,MATCH(Q63,Lists!$K$51:$K$85,0))))</f>
        <v>3</v>
      </c>
      <c r="FG63" s="58" t="str">
        <f t="shared" si="132"/>
        <v>Yes</v>
      </c>
      <c r="FH63" s="58" t="str">
        <f t="shared" si="133"/>
        <v>Time to progression</v>
      </c>
      <c r="FI63" s="58" t="str">
        <f t="shared" si="134"/>
        <v>PH_NMA</v>
      </c>
      <c r="FJ63" s="58">
        <f t="shared" si="135"/>
        <v>0</v>
      </c>
      <c r="FL63" s="58">
        <f t="shared" si="136"/>
        <v>1</v>
      </c>
      <c r="FM63" s="58">
        <f t="shared" si="137"/>
        <v>1</v>
      </c>
      <c r="FN63" s="58">
        <f>IF(i_eff_inputs_based_on_num=2,EP63,(INDEX(Lists!$L$51:$L$85,MATCH(O63,Lists!$K$51:$K$85,0))))</f>
        <v>7</v>
      </c>
      <c r="FO63" s="58">
        <f>IF(i_eff_inputs_based_on_num=2,EQ63,(INDEX(Lists!$L$51:$L$85,MATCH(P63,Lists!$K$51:$K$85,0))))</f>
        <v>0</v>
      </c>
      <c r="FP63" s="58">
        <f>IF(i_eff_inputs_based_on_num=2,ER63,(INDEX(Lists!$L$51:$L$85,MATCH(Q63,Lists!$K$51:$K$85,0))))</f>
        <v>3</v>
      </c>
      <c r="FT63" s="58">
        <f t="shared" si="26"/>
        <v>0</v>
      </c>
      <c r="FW63" s="58" t="str">
        <f>IF(i_baseline_risk_from=2,'Effectiveness settings'!EW63,'Effectiveness settings'!FI63)</f>
        <v>PH_NMA</v>
      </c>
      <c r="FX63" s="58" t="str">
        <f t="shared" si="27"/>
        <v>PH_NMA</v>
      </c>
      <c r="FY63" s="58" t="str">
        <f t="shared" si="28"/>
        <v>PH_NMA</v>
      </c>
      <c r="FZ63" s="58" t="str">
        <f t="shared" si="29"/>
        <v>Assume equal to</v>
      </c>
      <c r="GA63" s="58" t="str">
        <f t="shared" si="30"/>
        <v>Assume equal to</v>
      </c>
      <c r="GB63" s="58" t="str">
        <f t="shared" si="31"/>
        <v>Assume equal to</v>
      </c>
      <c r="GC63" s="58" t="str">
        <f t="shared" si="32"/>
        <v>Assume equal to</v>
      </c>
      <c r="GD63" s="58" t="str">
        <f t="shared" si="33"/>
        <v>Assume equal to</v>
      </c>
      <c r="GE63" s="58" t="str">
        <f>IF(AND(dd_CheckMate214_TTD="Yes",'Effectiveness settings'!BU63=2,'Effectiveness settings'!BX63=2),"Apply HR to",GD63)</f>
        <v>Assume equal to</v>
      </c>
      <c r="GF63" s="58" t="str">
        <f t="shared" si="34"/>
        <v>Assume equal to</v>
      </c>
      <c r="GG63" s="58" t="str">
        <f t="shared" si="35"/>
        <v>Assume equal to</v>
      </c>
      <c r="GH63" s="58" t="str">
        <f t="shared" si="36"/>
        <v>Assume equal to</v>
      </c>
      <c r="GI63" s="58" t="str">
        <f t="shared" si="106"/>
        <v>Assume equal to</v>
      </c>
      <c r="GK63" s="58">
        <f>IF(i_baseline_risk_from=2,'Effectiveness settings'!FA63,'Effectiveness settings'!FM63)</f>
        <v>1</v>
      </c>
      <c r="GL63" s="58">
        <f>IF(i_baseline_risk_from=2,'Effectiveness settings'!FB63,'Effectiveness settings'!FN63)</f>
        <v>7</v>
      </c>
      <c r="GM63" s="58">
        <f>IF(i_baseline_risk_from=2,'Effectiveness settings'!FC63,'Effectiveness settings'!FO63)</f>
        <v>2</v>
      </c>
      <c r="GN63" s="58">
        <f>IF(i_baseline_risk_from=2,'Effectiveness settings'!FD63,'Effectiveness settings'!FP63)</f>
        <v>3</v>
      </c>
      <c r="GQ63" s="58">
        <f t="shared" si="38"/>
        <v>7</v>
      </c>
      <c r="GR63" s="58">
        <f t="shared" si="39"/>
        <v>7</v>
      </c>
      <c r="GS63" s="58">
        <f t="shared" si="40"/>
        <v>7</v>
      </c>
      <c r="GT63" s="58">
        <f t="shared" si="41"/>
        <v>7</v>
      </c>
      <c r="GU63" s="58">
        <f>IF(AND(dd_CheckMate214_TTD="Yes",'Effectiveness settings'!BU63=2,'Effectiveness settings'!BX63=2),2,GT63)</f>
        <v>7</v>
      </c>
      <c r="GV63" s="58">
        <f t="shared" si="42"/>
        <v>7</v>
      </c>
      <c r="GW63" s="58">
        <f t="shared" si="43"/>
        <v>7</v>
      </c>
      <c r="GY63" s="58">
        <f>IF(AND(dd_CheckMate214_TTD="Yes",'Effectiveness settings'!BU63=2,'Effectiveness settings'!BX63=2),1,GN63)</f>
        <v>3</v>
      </c>
      <c r="GZ63" s="58">
        <f t="shared" si="44"/>
        <v>3</v>
      </c>
      <c r="HB63" s="58">
        <f t="shared" si="45"/>
        <v>1</v>
      </c>
      <c r="HD63" s="58">
        <f t="shared" si="107"/>
        <v>1</v>
      </c>
      <c r="HE63" s="58">
        <f t="shared" si="108"/>
        <v>1</v>
      </c>
      <c r="HF63" s="58">
        <f t="shared" si="109"/>
        <v>7</v>
      </c>
      <c r="HG63" s="58">
        <f t="shared" si="110"/>
        <v>2</v>
      </c>
      <c r="HH63" s="58">
        <f t="shared" si="111"/>
        <v>3</v>
      </c>
    </row>
    <row r="64" spans="1:216" ht="15.75" x14ac:dyDescent="0.25">
      <c r="D64" s="58" t="str">
        <v>tivozanib</v>
      </c>
      <c r="I64" s="64" t="s">
        <v>74</v>
      </c>
      <c r="J64" s="519" t="s">
        <v>555</v>
      </c>
      <c r="K64" s="524" t="s">
        <v>67</v>
      </c>
      <c r="L64" s="519"/>
      <c r="M64" s="516" t="s">
        <v>545</v>
      </c>
      <c r="N64" s="64" t="s">
        <v>546</v>
      </c>
      <c r="O64" s="64" t="s">
        <v>117</v>
      </c>
      <c r="P64" s="64" t="s">
        <v>547</v>
      </c>
      <c r="Q64" s="519" t="s">
        <v>555</v>
      </c>
      <c r="R64" s="516" t="s">
        <v>548</v>
      </c>
      <c r="S64" s="497"/>
      <c r="T64" s="497"/>
      <c r="U64" s="497"/>
      <c r="Y64" s="517"/>
      <c r="AA64" s="517"/>
      <c r="AF64" s="517"/>
      <c r="AM64" s="517"/>
      <c r="AO64" s="517"/>
      <c r="AT64" s="517"/>
      <c r="AV64" s="511"/>
      <c r="AW64" s="511"/>
      <c r="AX64" s="511"/>
      <c r="BA64" s="517"/>
      <c r="BC64" s="517"/>
      <c r="BH64" s="517"/>
      <c r="BJ64" s="511"/>
      <c r="BK64" s="511"/>
      <c r="BL64" s="511"/>
      <c r="BQ64" s="58">
        <f t="shared" si="0"/>
        <v>49</v>
      </c>
      <c r="BR64" s="17">
        <v>1</v>
      </c>
      <c r="BS64" s="17" t="s">
        <v>549</v>
      </c>
      <c r="BT64" s="17">
        <v>1</v>
      </c>
      <c r="BU64" s="17">
        <v>6</v>
      </c>
      <c r="BV64" s="17" t="str">
        <f t="shared" si="114"/>
        <v>tivozanib</v>
      </c>
      <c r="BW64" s="1006" t="str" cm="1">
        <f t="array" ref="BW64">IF(I64="No",I64,INDEX(List_incl_anal_1L_PorI,IF(BU64=999,35,BU64+1)))</f>
        <v>Yes</v>
      </c>
      <c r="BX64" s="61">
        <f t="shared" si="115"/>
        <v>3</v>
      </c>
      <c r="BY64" s="531" t="str">
        <f t="shared" si="139"/>
        <v>Time to progression</v>
      </c>
      <c r="BZ64" s="530" t="str">
        <f t="shared" si="116"/>
        <v>Assume equal to</v>
      </c>
      <c r="CA64" s="531">
        <f t="shared" si="138"/>
        <v>0</v>
      </c>
      <c r="CB64" s="530">
        <f t="shared" si="117"/>
        <v>1</v>
      </c>
      <c r="CC64" s="530">
        <f t="shared" si="118"/>
        <v>1</v>
      </c>
      <c r="CD64" s="530">
        <f t="shared" si="119"/>
        <v>7</v>
      </c>
      <c r="CE64" s="1295">
        <f t="shared" si="120"/>
        <v>2</v>
      </c>
      <c r="CF64" s="1301">
        <f t="shared" si="121"/>
        <v>3</v>
      </c>
      <c r="CG64" s="530" t="str">
        <f t="shared" si="122"/>
        <v>Log-logistic</v>
      </c>
      <c r="CH64" s="61">
        <f t="shared" si="123"/>
        <v>0</v>
      </c>
      <c r="CI64" s="61">
        <f t="shared" si="124"/>
        <v>0</v>
      </c>
      <c r="CJ64" s="61">
        <f t="shared" si="125"/>
        <v>0</v>
      </c>
      <c r="CV64" s="940">
        <v>0</v>
      </c>
      <c r="CW64" s="940" t="s">
        <v>31</v>
      </c>
      <c r="CX64" s="940">
        <v>1</v>
      </c>
      <c r="CY64" s="940">
        <v>0</v>
      </c>
      <c r="CZ64" s="940" t="str" cm="1">
        <f t="array" ref="CZ64">INDEX(List_trials,CY64+1)</f>
        <v>CheckMate 9ER</v>
      </c>
      <c r="DA64" s="941" t="s">
        <v>554</v>
      </c>
      <c r="DB64" s="941" t="s">
        <v>551</v>
      </c>
      <c r="DC64" s="941" t="s">
        <v>568</v>
      </c>
      <c r="DD64" s="942" t="s">
        <v>563</v>
      </c>
      <c r="DE64" s="941" t="s">
        <v>550</v>
      </c>
      <c r="DF64" s="941" t="s">
        <v>103</v>
      </c>
      <c r="DG64" s="941" t="s">
        <v>571</v>
      </c>
      <c r="DH64" s="58">
        <f t="shared" si="112"/>
        <v>1</v>
      </c>
      <c r="DK64" s="58" t="str" cm="1">
        <f t="array" ref="DK64">IF(AND($BT64=4,$BX64=4,$BU64=999),$DB$36,_xlfn.IFNA(INDEX(DB$13:DB$70,MATCH(1,($BR64=$CV$13:$CV$70)*($BT64=$CX$13:$CX$70)*($CE64=$CY$13:$CY$70)*($BY64=$DA$13:$DA$70)*($CD64=$DH$13:$DH$70),0)),""))</f>
        <v>Log-logistic</v>
      </c>
      <c r="DL64" s="58" t="str" cm="1">
        <f t="array" ref="DL64">IF(AND($BT64=4,$BX64=4,$BU64=999),$DC$36,_xlfn.IFNA(INDEX(CHOOSE(DP64,DB$13:DB$70,DC$13:DC$70,DD$13:DD$70,DE$13:DE$70),MATCH(1,($BR64=$CV$13:$CV$70)*($BT64=$CX$13:$CX$70)*($CE64=$CY$13:$CY$70)*($BY64=$DA$13:$DA$70)*($CD64=$DH$13:$DH$70),0)),""))</f>
        <v>Log-logistic</v>
      </c>
      <c r="DM64" s="740" cm="1">
        <f t="array" ref="DM64">IF(AND($BT64=4,$BX64=4,$BU64=999),$DD$36,_xlfn.IFNA(INDEX(DD$13:DD$68,MATCH(1,($BR64=$CV$13:$CV$68)*($BT64=$CX$13:$CX$68)*($CE64=$CY$13:$CY$68)*($BY64=$DA$13:$DA$68)*($CD64=$DH$13:$DH$68),0)),""))</f>
        <v>0</v>
      </c>
      <c r="DN64" s="740" cm="1">
        <f t="array" ref="DN64">IF(AND($BT64=4,$BX64=4,$BU64=999),$DD$36,_xlfn.IFNA(INDEX(DE$13:DE$68,MATCH(1,($BR64=$CV$13:$CV$68)*($BT64=$CX$13:$CX$68)*($CE64=$CY$13:$CY$68)*($BY64=$DA$13:$DA$68)*($CD64=$DH$13:$DH$68),0)),""))</f>
        <v>0</v>
      </c>
      <c r="DO64" s="58" t="str" cm="1">
        <f t="array" ref="DO64">IF(AND($BT64=4,$BX64=4,$BU64=999),$DF$36,_xlfn.IFNA(INDEX(DF$13:DF$70,MATCH(1,($BR64=$CV$13:$CV$70)*($BT64=$CX$13:$CX$70)*($CE64=$CY$13:$CY$70)*($BY64=$DA$13:$DA$70)*($CD64=$DH$13:$DH$70),0)),""))</f>
        <v>Base case</v>
      </c>
      <c r="DP64" s="58">
        <f t="shared" si="13"/>
        <v>1</v>
      </c>
      <c r="DW64" s="58" t="s">
        <v>74</v>
      </c>
      <c r="DX64" s="58" t="s">
        <v>555</v>
      </c>
      <c r="DY64" s="58" t="s">
        <v>67</v>
      </c>
      <c r="DZ64" s="58">
        <v>0</v>
      </c>
      <c r="EB64" s="58">
        <v>1</v>
      </c>
      <c r="EC64" s="58">
        <v>1</v>
      </c>
      <c r="ED64" s="58">
        <v>7</v>
      </c>
      <c r="EE64" s="58">
        <v>2</v>
      </c>
      <c r="EF64" s="58">
        <v>3</v>
      </c>
      <c r="EI64" s="58" t="s">
        <v>74</v>
      </c>
      <c r="EJ64" s="58" t="s">
        <v>555</v>
      </c>
      <c r="EK64" s="58" t="s">
        <v>67</v>
      </c>
      <c r="EL64" s="58">
        <v>0</v>
      </c>
      <c r="EN64" s="58">
        <v>1</v>
      </c>
      <c r="EO64" s="58">
        <v>1</v>
      </c>
      <c r="EP64" s="58">
        <v>7</v>
      </c>
      <c r="EQ64" s="58">
        <v>0</v>
      </c>
      <c r="ER64" s="58">
        <v>3</v>
      </c>
      <c r="EU64" s="58" t="str">
        <f t="shared" si="126"/>
        <v>Yes</v>
      </c>
      <c r="EV64" s="58" t="str">
        <f t="shared" si="127"/>
        <v>Time to progression</v>
      </c>
      <c r="EW64" s="58" t="str">
        <f t="shared" si="128"/>
        <v>PH_NMA</v>
      </c>
      <c r="EX64" s="58">
        <f t="shared" si="129"/>
        <v>0</v>
      </c>
      <c r="EZ64" s="58">
        <f t="shared" si="130"/>
        <v>1</v>
      </c>
      <c r="FA64" s="58">
        <f t="shared" si="131"/>
        <v>1</v>
      </c>
      <c r="FB64" s="58">
        <f>IF(i_eff_inputs_based_on_num=2,ED64,(INDEX(Lists!$L$51:$L$85,MATCH(O64,Lists!$K$51:$K$85,0))))</f>
        <v>7</v>
      </c>
      <c r="FC64" s="58">
        <f>IF(i_eff_inputs_based_on_num=2,EE64,(INDEX(Lists!$L$51:$L$85,MATCH(P64,Lists!$K$51:$K$85,0))))</f>
        <v>2</v>
      </c>
      <c r="FD64" s="58">
        <f>IF(i_eff_inputs_based_on_num=2,EF64,(INDEX(Lists!$L$51:$L$85,MATCH(Q64,Lists!$K$51:$K$85,0))))</f>
        <v>3</v>
      </c>
      <c r="FG64" s="58" t="str">
        <f t="shared" si="132"/>
        <v>Yes</v>
      </c>
      <c r="FH64" s="58" t="str">
        <f t="shared" si="133"/>
        <v>Time to progression</v>
      </c>
      <c r="FI64" s="58" t="str">
        <f t="shared" si="134"/>
        <v>PH_NMA</v>
      </c>
      <c r="FJ64" s="58">
        <f t="shared" si="135"/>
        <v>0</v>
      </c>
      <c r="FL64" s="58">
        <f t="shared" si="136"/>
        <v>1</v>
      </c>
      <c r="FM64" s="58">
        <f t="shared" si="137"/>
        <v>1</v>
      </c>
      <c r="FN64" s="58">
        <f>IF(i_eff_inputs_based_on_num=2,EP64,(INDEX(Lists!$L$51:$L$85,MATCH(O64,Lists!$K$51:$K$85,0))))</f>
        <v>7</v>
      </c>
      <c r="FO64" s="58">
        <f>IF(i_eff_inputs_based_on_num=2,EQ64,(INDEX(Lists!$L$51:$L$85,MATCH(P64,Lists!$K$51:$K$85,0))))</f>
        <v>0</v>
      </c>
      <c r="FP64" s="58">
        <f>IF(i_eff_inputs_based_on_num=2,ER64,(INDEX(Lists!$L$51:$L$85,MATCH(Q64,Lists!$K$51:$K$85,0))))</f>
        <v>3</v>
      </c>
      <c r="FT64" s="58">
        <f t="shared" si="26"/>
        <v>0</v>
      </c>
      <c r="FW64" s="58" t="str">
        <f>IF(i_baseline_risk_from=2,'Effectiveness settings'!EW64,'Effectiveness settings'!FI64)</f>
        <v>PH_NMA</v>
      </c>
      <c r="FX64" s="58" t="str">
        <f t="shared" si="27"/>
        <v>PH_NMA</v>
      </c>
      <c r="FY64" s="58" t="str">
        <f t="shared" si="28"/>
        <v>PH_NMA</v>
      </c>
      <c r="FZ64" s="58" t="str">
        <f t="shared" si="29"/>
        <v>PH_NMA</v>
      </c>
      <c r="GA64" s="58" t="str">
        <f t="shared" si="30"/>
        <v>Assume equal to</v>
      </c>
      <c r="GB64" s="58" t="str">
        <f t="shared" si="31"/>
        <v>Assume equal to</v>
      </c>
      <c r="GC64" s="58" t="str">
        <f t="shared" si="32"/>
        <v>Assume equal to</v>
      </c>
      <c r="GD64" s="58" t="str">
        <f t="shared" si="33"/>
        <v>Assume equal to</v>
      </c>
      <c r="GE64" s="58" t="str">
        <f>IF(AND(dd_CheckMate214_TTD="Yes",'Effectiveness settings'!BU64=2,'Effectiveness settings'!BX64=2),"Apply HR to",GD64)</f>
        <v>Assume equal to</v>
      </c>
      <c r="GF64" s="58" t="str">
        <f t="shared" si="34"/>
        <v>Assume equal to</v>
      </c>
      <c r="GG64" s="58" t="str">
        <f t="shared" si="35"/>
        <v>Assume equal to</v>
      </c>
      <c r="GH64" s="58" t="str">
        <f t="shared" si="36"/>
        <v>Assume equal to</v>
      </c>
      <c r="GI64" s="58" t="str">
        <f t="shared" si="106"/>
        <v>Assume equal to</v>
      </c>
      <c r="GK64" s="58">
        <f>IF(i_baseline_risk_from=2,'Effectiveness settings'!FA64,'Effectiveness settings'!FM64)</f>
        <v>1</v>
      </c>
      <c r="GL64" s="58">
        <f>IF(i_baseline_risk_from=2,'Effectiveness settings'!FB64,'Effectiveness settings'!FN64)</f>
        <v>7</v>
      </c>
      <c r="GM64" s="58">
        <f>IF(i_baseline_risk_from=2,'Effectiveness settings'!FC64,'Effectiveness settings'!FO64)</f>
        <v>2</v>
      </c>
      <c r="GN64" s="58">
        <f>IF(i_baseline_risk_from=2,'Effectiveness settings'!FD64,'Effectiveness settings'!FP64)</f>
        <v>3</v>
      </c>
      <c r="GQ64" s="58">
        <f t="shared" si="38"/>
        <v>7</v>
      </c>
      <c r="GR64" s="58">
        <f t="shared" si="39"/>
        <v>7</v>
      </c>
      <c r="GS64" s="58">
        <f t="shared" si="40"/>
        <v>7</v>
      </c>
      <c r="GT64" s="58">
        <f t="shared" si="41"/>
        <v>7</v>
      </c>
      <c r="GU64" s="58">
        <f>IF(AND(dd_CheckMate214_TTD="Yes",'Effectiveness settings'!BU64=2,'Effectiveness settings'!BX64=2),2,GT64)</f>
        <v>7</v>
      </c>
      <c r="GV64" s="58">
        <f t="shared" si="42"/>
        <v>7</v>
      </c>
      <c r="GW64" s="58">
        <f t="shared" si="43"/>
        <v>7</v>
      </c>
      <c r="GY64" s="58">
        <f>IF(AND(dd_CheckMate214_TTD="Yes",'Effectiveness settings'!BU64=2,'Effectiveness settings'!BX64=2),1,GN64)</f>
        <v>3</v>
      </c>
      <c r="GZ64" s="58">
        <f t="shared" si="44"/>
        <v>3</v>
      </c>
      <c r="HB64" s="58">
        <f t="shared" si="45"/>
        <v>1</v>
      </c>
      <c r="HD64" s="58">
        <f t="shared" si="107"/>
        <v>1</v>
      </c>
      <c r="HE64" s="58">
        <f t="shared" si="108"/>
        <v>1</v>
      </c>
      <c r="HF64" s="58">
        <f t="shared" si="109"/>
        <v>7</v>
      </c>
      <c r="HG64" s="58">
        <f t="shared" si="110"/>
        <v>2</v>
      </c>
      <c r="HH64" s="58">
        <f t="shared" si="111"/>
        <v>3</v>
      </c>
    </row>
    <row r="65" spans="1:216" ht="15.75" x14ac:dyDescent="0.25">
      <c r="A65" s="58" t="s">
        <v>572</v>
      </c>
      <c r="D65" s="58" t="str">
        <v>sunitinib</v>
      </c>
      <c r="I65" s="64" t="s">
        <v>74</v>
      </c>
      <c r="J65" s="519" t="s">
        <v>555</v>
      </c>
      <c r="K65" s="524" t="s">
        <v>562</v>
      </c>
      <c r="L65" s="519" t="s">
        <v>547</v>
      </c>
      <c r="M65" s="516" t="s">
        <v>545</v>
      </c>
      <c r="N65" s="64" t="s">
        <v>546</v>
      </c>
      <c r="O65" s="64" t="s">
        <v>117</v>
      </c>
      <c r="P65" s="64" t="s">
        <v>547</v>
      </c>
      <c r="Q65" s="519" t="s">
        <v>555</v>
      </c>
      <c r="R65" s="516" t="s">
        <v>548</v>
      </c>
      <c r="S65" s="497"/>
      <c r="T65" s="497"/>
      <c r="U65" s="497"/>
      <c r="Y65" s="517"/>
      <c r="AA65" s="517"/>
      <c r="AF65" s="517"/>
      <c r="AM65" s="517"/>
      <c r="AO65" s="517"/>
      <c r="AT65" s="517"/>
      <c r="AV65" s="511"/>
      <c r="AW65" s="511"/>
      <c r="AX65" s="511"/>
      <c r="BA65" s="517"/>
      <c r="BC65" s="517"/>
      <c r="BH65" s="517"/>
      <c r="BJ65" s="511"/>
      <c r="BK65" s="511"/>
      <c r="BL65" s="511"/>
      <c r="BQ65" s="58">
        <f t="shared" si="0"/>
        <v>50</v>
      </c>
      <c r="BR65" s="17">
        <v>1</v>
      </c>
      <c r="BS65" s="17" t="s">
        <v>549</v>
      </c>
      <c r="BT65" s="17">
        <v>1</v>
      </c>
      <c r="BU65" s="17">
        <v>7</v>
      </c>
      <c r="BV65" s="17" t="str">
        <f t="shared" si="114"/>
        <v>sunitinib</v>
      </c>
      <c r="BW65" s="1006" t="str" cm="1">
        <f t="array" ref="BW65">IF(I65="No",I65,INDEX(List_incl_anal_1L_PorI,IF(BU65=999,35,BU65+1)))</f>
        <v>Yes</v>
      </c>
      <c r="BX65" s="61">
        <f t="shared" si="115"/>
        <v>3</v>
      </c>
      <c r="BY65" s="531" t="str">
        <f t="shared" si="139"/>
        <v>Time to progression</v>
      </c>
      <c r="BZ65" s="530" t="str">
        <f t="shared" si="116"/>
        <v>Trial survival analysis</v>
      </c>
      <c r="CA65" s="531" t="str">
        <f t="shared" si="138"/>
        <v>Real world evidence</v>
      </c>
      <c r="CB65" s="530">
        <f t="shared" si="117"/>
        <v>1</v>
      </c>
      <c r="CC65" s="530">
        <f t="shared" si="118"/>
        <v>1</v>
      </c>
      <c r="CD65" s="530">
        <f t="shared" si="119"/>
        <v>7</v>
      </c>
      <c r="CE65" s="1295">
        <f t="shared" si="120"/>
        <v>2</v>
      </c>
      <c r="CF65" s="1301">
        <f t="shared" si="121"/>
        <v>3</v>
      </c>
      <c r="CG65" s="530" t="str">
        <f t="shared" si="122"/>
        <v>Log-logistic</v>
      </c>
      <c r="CH65" s="61">
        <f t="shared" si="123"/>
        <v>0</v>
      </c>
      <c r="CI65" s="61">
        <f t="shared" si="124"/>
        <v>0</v>
      </c>
      <c r="CJ65" s="61">
        <f t="shared" si="125"/>
        <v>0</v>
      </c>
      <c r="CV65" s="940">
        <v>0</v>
      </c>
      <c r="CW65" s="940" t="s">
        <v>31</v>
      </c>
      <c r="CX65" s="940">
        <v>1</v>
      </c>
      <c r="CY65" s="940">
        <v>0</v>
      </c>
      <c r="CZ65" s="940" t="str" cm="1">
        <f t="array" ref="CZ65">INDEX(List_trials,CY65+1)</f>
        <v>CheckMate 9ER</v>
      </c>
      <c r="DA65" s="941" t="s">
        <v>555</v>
      </c>
      <c r="DB65" s="941" t="s">
        <v>548</v>
      </c>
      <c r="DC65" s="941" t="s">
        <v>563</v>
      </c>
      <c r="DD65" s="942" t="s">
        <v>553</v>
      </c>
      <c r="DE65" s="941"/>
      <c r="DF65" s="941" t="s">
        <v>103</v>
      </c>
      <c r="DG65" s="941" t="s">
        <v>571</v>
      </c>
      <c r="DH65" s="58">
        <f t="shared" si="112"/>
        <v>1</v>
      </c>
      <c r="DK65" s="58" t="str" cm="1">
        <f t="array" ref="DK65">IF(AND($BT65=4,$BX65=4,$BU65=999),$DB$36,_xlfn.IFNA(INDEX(DB$13:DB$70,MATCH(1,($BR65=$CV$13:$CV$70)*($BT65=$CX$13:$CX$70)*($CE65=$CY$13:$CY$70)*($BY65=$DA$13:$DA$70)*($CD65=$DH$13:$DH$70),0)),""))</f>
        <v>Log-logistic</v>
      </c>
      <c r="DL65" s="58" t="str" cm="1">
        <f t="array" ref="DL65">IF(AND($BT65=4,$BX65=4,$BU65=999),$DC$36,_xlfn.IFNA(INDEX(CHOOSE(DP65,DB$13:DB$70,DC$13:DC$70,DD$13:DD$70,DE$13:DE$70),MATCH(1,($BR65=$CV$13:$CV$70)*($BT65=$CX$13:$CX$70)*($CE65=$CY$13:$CY$70)*($BY65=$DA$13:$DA$70)*($CD65=$DH$13:$DH$70),0)),""))</f>
        <v>Log-logistic</v>
      </c>
      <c r="DM65" s="740" cm="1">
        <f t="array" ref="DM65">IF(AND($BT65=4,$BX65=4,$BU65=999),$DD$36,_xlfn.IFNA(INDEX(DD$13:DD$68,MATCH(1,($BR65=$CV$13:$CV$68)*($BT65=$CX$13:$CX$68)*($CE65=$CY$13:$CY$68)*($BY65=$DA$13:$DA$68)*($CD65=$DH$13:$DH$68),0)),""))</f>
        <v>0</v>
      </c>
      <c r="DN65" s="740" cm="1">
        <f t="array" ref="DN65">IF(AND($BT65=4,$BX65=4,$BU65=999),$DD$36,_xlfn.IFNA(INDEX(DE$13:DE$68,MATCH(1,($BR65=$CV$13:$CV$68)*($BT65=$CX$13:$CX$68)*($CE65=$CY$13:$CY$68)*($BY65=$DA$13:$DA$68)*($CD65=$DH$13:$DH$68),0)),""))</f>
        <v>0</v>
      </c>
      <c r="DO65" s="58" t="str" cm="1">
        <f t="array" ref="DO65">IF(AND($BT65=4,$BX65=4,$BU65=999),$DF$36,_xlfn.IFNA(INDEX(DF$13:DF$70,MATCH(1,($BR65=$CV$13:$CV$70)*($BT65=$CX$13:$CX$70)*($CE65=$CY$13:$CY$70)*($BY65=$DA$13:$DA$70)*($CD65=$DH$13:$DH$70),0)),""))</f>
        <v>Base case</v>
      </c>
      <c r="DP65" s="58">
        <f t="shared" si="13"/>
        <v>1</v>
      </c>
      <c r="DW65" s="58" t="s">
        <v>74</v>
      </c>
      <c r="DX65" s="58" t="s">
        <v>555</v>
      </c>
      <c r="DY65" s="58" t="s">
        <v>562</v>
      </c>
      <c r="DZ65" s="58" t="s">
        <v>547</v>
      </c>
      <c r="EB65" s="58">
        <v>1</v>
      </c>
      <c r="EC65" s="58">
        <v>1</v>
      </c>
      <c r="ED65" s="58">
        <v>7</v>
      </c>
      <c r="EE65" s="58">
        <v>2</v>
      </c>
      <c r="EF65" s="58">
        <v>3</v>
      </c>
      <c r="EI65" s="58" t="s">
        <v>74</v>
      </c>
      <c r="EJ65" s="58" t="s">
        <v>555</v>
      </c>
      <c r="EK65" s="58" t="s">
        <v>562</v>
      </c>
      <c r="EL65" s="58" t="s">
        <v>564</v>
      </c>
      <c r="EN65" s="58">
        <v>1</v>
      </c>
      <c r="EO65" s="58">
        <v>1</v>
      </c>
      <c r="EP65" s="58">
        <v>7</v>
      </c>
      <c r="EQ65" s="58">
        <v>0</v>
      </c>
      <c r="ER65" s="58">
        <v>3</v>
      </c>
      <c r="EU65" s="58" t="str">
        <f t="shared" si="126"/>
        <v>Yes</v>
      </c>
      <c r="EV65" s="58" t="str">
        <f t="shared" si="127"/>
        <v>Time to progression</v>
      </c>
      <c r="EW65" s="58" t="str">
        <f t="shared" si="128"/>
        <v>Trial survival analysis</v>
      </c>
      <c r="EX65" s="58" t="str">
        <f t="shared" si="129"/>
        <v>Real world evidence</v>
      </c>
      <c r="EZ65" s="58">
        <f t="shared" si="130"/>
        <v>1</v>
      </c>
      <c r="FA65" s="58">
        <f t="shared" si="131"/>
        <v>1</v>
      </c>
      <c r="FB65" s="58">
        <f>IF(i_eff_inputs_based_on_num=2,ED65,(INDEX(Lists!$L$51:$L$85,MATCH(O65,Lists!$K$51:$K$85,0))))</f>
        <v>7</v>
      </c>
      <c r="FC65" s="58">
        <f>IF(i_eff_inputs_based_on_num=2,EE65,(INDEX(Lists!$L$51:$L$85,MATCH(P65,Lists!$K$51:$K$85,0))))</f>
        <v>2</v>
      </c>
      <c r="FD65" s="58">
        <f>IF(i_eff_inputs_based_on_num=2,EF65,(INDEX(Lists!$L$51:$L$85,MATCH(Q65,Lists!$K$51:$K$85,0))))</f>
        <v>3</v>
      </c>
      <c r="FG65" s="58" t="str">
        <f t="shared" si="132"/>
        <v>Yes</v>
      </c>
      <c r="FH65" s="58" t="str">
        <f t="shared" si="133"/>
        <v>Time to progression</v>
      </c>
      <c r="FI65" s="58" t="str">
        <f t="shared" si="134"/>
        <v>Trial survival analysis</v>
      </c>
      <c r="FJ65" s="58" t="str">
        <f t="shared" si="135"/>
        <v>CheckMate 9ER</v>
      </c>
      <c r="FL65" s="58">
        <f t="shared" si="136"/>
        <v>1</v>
      </c>
      <c r="FM65" s="58">
        <f t="shared" si="137"/>
        <v>1</v>
      </c>
      <c r="FN65" s="58">
        <f>IF(i_eff_inputs_based_on_num=2,EP65,(INDEX(Lists!$L$51:$L$85,MATCH(O65,Lists!$K$51:$K$85,0))))</f>
        <v>7</v>
      </c>
      <c r="FO65" s="58">
        <f>IF(i_eff_inputs_based_on_num=2,EQ65,(INDEX(Lists!$L$51:$L$85,MATCH(P65,Lists!$K$51:$K$85,0))))</f>
        <v>0</v>
      </c>
      <c r="FP65" s="58">
        <f>IF(i_eff_inputs_based_on_num=2,ER65,(INDEX(Lists!$L$51:$L$85,MATCH(Q65,Lists!$K$51:$K$85,0))))</f>
        <v>3</v>
      </c>
      <c r="FT65" s="58" t="str">
        <f t="shared" si="26"/>
        <v>Real world evidence</v>
      </c>
      <c r="FW65" s="58" t="str">
        <f>IF(i_baseline_risk_from=2,'Effectiveness settings'!EW65,'Effectiveness settings'!FI65)</f>
        <v>Trial survival analysis</v>
      </c>
      <c r="FX65" s="58" t="str">
        <f t="shared" si="27"/>
        <v>Trial survival analysis</v>
      </c>
      <c r="FY65" s="58" t="str">
        <f t="shared" si="28"/>
        <v>Trial survival analysis</v>
      </c>
      <c r="FZ65" s="58" t="str">
        <f t="shared" si="29"/>
        <v>Trial survival analysis</v>
      </c>
      <c r="GA65" s="58" t="str">
        <f t="shared" si="30"/>
        <v>Trial survival analysis</v>
      </c>
      <c r="GB65" s="58" t="str">
        <f t="shared" si="31"/>
        <v>Trial survival analysis</v>
      </c>
      <c r="GC65" s="58" t="str">
        <f t="shared" si="32"/>
        <v>Trial survival analysis</v>
      </c>
      <c r="GD65" s="58" t="str">
        <f t="shared" si="33"/>
        <v>Trial survival analysis</v>
      </c>
      <c r="GE65" s="58" t="str">
        <f>IF(AND(dd_CheckMate214_TTD="Yes",'Effectiveness settings'!BU65=2,'Effectiveness settings'!BX65=2),"Apply HR to",GD65)</f>
        <v>Trial survival analysis</v>
      </c>
      <c r="GF65" s="58" t="str">
        <f t="shared" si="34"/>
        <v>Trial survival analysis</v>
      </c>
      <c r="GG65" s="58" t="str">
        <f t="shared" si="35"/>
        <v>Trial survival analysis</v>
      </c>
      <c r="GH65" s="58" t="str">
        <f t="shared" si="36"/>
        <v>Trial survival analysis</v>
      </c>
      <c r="GI65" s="58" t="str">
        <f t="shared" si="106"/>
        <v>Trial survival analysis</v>
      </c>
      <c r="GK65" s="58">
        <f>IF(i_baseline_risk_from=2,'Effectiveness settings'!FA65,'Effectiveness settings'!FM65)</f>
        <v>1</v>
      </c>
      <c r="GL65" s="58">
        <f>IF(i_baseline_risk_from=2,'Effectiveness settings'!FB65,'Effectiveness settings'!FN65)</f>
        <v>7</v>
      </c>
      <c r="GM65" s="58">
        <f>IF(i_baseline_risk_from=2,'Effectiveness settings'!FC65,'Effectiveness settings'!FO65)</f>
        <v>2</v>
      </c>
      <c r="GN65" s="58">
        <f>IF(i_baseline_risk_from=2,'Effectiveness settings'!FD65,'Effectiveness settings'!FP65)</f>
        <v>3</v>
      </c>
      <c r="GQ65" s="58">
        <f t="shared" si="38"/>
        <v>7</v>
      </c>
      <c r="GR65" s="58">
        <f t="shared" si="39"/>
        <v>7</v>
      </c>
      <c r="GS65" s="58">
        <f t="shared" si="40"/>
        <v>7</v>
      </c>
      <c r="GT65" s="58">
        <f t="shared" si="41"/>
        <v>7</v>
      </c>
      <c r="GU65" s="58">
        <f>IF(AND(dd_CheckMate214_TTD="Yes",'Effectiveness settings'!BU65=2,'Effectiveness settings'!BX65=2),2,GT65)</f>
        <v>7</v>
      </c>
      <c r="GV65" s="58">
        <f t="shared" si="42"/>
        <v>7</v>
      </c>
      <c r="GW65" s="58">
        <f t="shared" si="43"/>
        <v>7</v>
      </c>
      <c r="GY65" s="58">
        <f>IF(AND(dd_CheckMate214_TTD="Yes",'Effectiveness settings'!BU65=2,'Effectiveness settings'!BX65=2),1,GN65)</f>
        <v>3</v>
      </c>
      <c r="GZ65" s="58">
        <f t="shared" si="44"/>
        <v>3</v>
      </c>
      <c r="HB65" s="58">
        <f t="shared" si="45"/>
        <v>1</v>
      </c>
      <c r="HD65" s="58">
        <f t="shared" si="107"/>
        <v>1</v>
      </c>
      <c r="HE65" s="58">
        <f t="shared" si="108"/>
        <v>1</v>
      </c>
      <c r="HF65" s="58">
        <f t="shared" si="109"/>
        <v>7</v>
      </c>
      <c r="HG65" s="58">
        <f t="shared" si="110"/>
        <v>2</v>
      </c>
      <c r="HH65" s="58">
        <f t="shared" si="111"/>
        <v>3</v>
      </c>
    </row>
    <row r="66" spans="1:216" ht="16.5" thickBot="1" x14ac:dyDescent="0.3">
      <c r="D66" s="58" t="str">
        <v>cabozantinib</v>
      </c>
      <c r="I66" s="64" t="s">
        <v>74</v>
      </c>
      <c r="J66" s="519" t="s">
        <v>555</v>
      </c>
      <c r="K66" s="524" t="s">
        <v>63</v>
      </c>
      <c r="L66" s="519"/>
      <c r="M66" s="516" t="s">
        <v>545</v>
      </c>
      <c r="N66" s="64" t="s">
        <v>546</v>
      </c>
      <c r="O66" s="64" t="s">
        <v>117</v>
      </c>
      <c r="P66" s="64" t="s">
        <v>547</v>
      </c>
      <c r="Q66" s="519" t="s">
        <v>555</v>
      </c>
      <c r="R66" s="516" t="s">
        <v>548</v>
      </c>
      <c r="S66" s="497"/>
      <c r="T66" s="497"/>
      <c r="U66" s="497"/>
      <c r="Y66" s="517"/>
      <c r="AA66" s="517"/>
      <c r="AF66" s="517"/>
      <c r="AM66" s="517"/>
      <c r="AO66" s="517"/>
      <c r="AT66" s="517"/>
      <c r="AV66" s="511"/>
      <c r="AW66" s="511"/>
      <c r="AX66" s="511"/>
      <c r="BA66" s="517"/>
      <c r="BC66" s="517"/>
      <c r="BH66" s="517"/>
      <c r="BJ66" s="511"/>
      <c r="BK66" s="511"/>
      <c r="BL66" s="511"/>
      <c r="BQ66" s="58">
        <f t="shared" si="0"/>
        <v>51</v>
      </c>
      <c r="BR66" s="17">
        <v>1</v>
      </c>
      <c r="BS66" s="17" t="s">
        <v>549</v>
      </c>
      <c r="BT66" s="17">
        <v>1</v>
      </c>
      <c r="BU66" s="17">
        <v>8</v>
      </c>
      <c r="BV66" s="17" t="str">
        <f t="shared" si="114"/>
        <v>cabozantinib</v>
      </c>
      <c r="BW66" s="1006" t="str" cm="1">
        <f t="array" ref="BW66">IF(I66="No",I66,INDEX(List_incl_anal_1L_PorI,IF(BU66=999,35,BU66+1)))</f>
        <v>Yes</v>
      </c>
      <c r="BX66" s="61">
        <f t="shared" si="115"/>
        <v>3</v>
      </c>
      <c r="BY66" s="531" t="str">
        <f t="shared" si="139"/>
        <v>Time to progression</v>
      </c>
      <c r="BZ66" s="530" t="str">
        <f t="shared" si="116"/>
        <v>Assume equal to</v>
      </c>
      <c r="CA66" s="531">
        <f t="shared" si="138"/>
        <v>0</v>
      </c>
      <c r="CB66" s="530">
        <f t="shared" si="117"/>
        <v>1</v>
      </c>
      <c r="CC66" s="530">
        <f t="shared" si="118"/>
        <v>1</v>
      </c>
      <c r="CD66" s="530">
        <f t="shared" si="119"/>
        <v>7</v>
      </c>
      <c r="CE66" s="1295">
        <f t="shared" si="120"/>
        <v>2</v>
      </c>
      <c r="CF66" s="1301">
        <f t="shared" si="121"/>
        <v>3</v>
      </c>
      <c r="CG66" s="530" t="str">
        <f t="shared" si="122"/>
        <v>Log-logistic</v>
      </c>
      <c r="CH66" s="61">
        <f t="shared" si="123"/>
        <v>0</v>
      </c>
      <c r="CI66" s="61">
        <f t="shared" si="124"/>
        <v>0</v>
      </c>
      <c r="CJ66" s="61">
        <f t="shared" si="125"/>
        <v>0</v>
      </c>
      <c r="CV66" s="943">
        <v>0</v>
      </c>
      <c r="CW66" s="943" t="s">
        <v>31</v>
      </c>
      <c r="CX66" s="943">
        <v>1</v>
      </c>
      <c r="CY66" s="943">
        <v>0</v>
      </c>
      <c r="CZ66" s="943" t="str" cm="1">
        <f t="array" ref="CZ66">INDEX(List_trials,CY66+1)</f>
        <v>CheckMate 9ER</v>
      </c>
      <c r="DA66" s="944" t="s">
        <v>557</v>
      </c>
      <c r="DB66" s="944" t="s">
        <v>548</v>
      </c>
      <c r="DC66" s="944" t="s">
        <v>553</v>
      </c>
      <c r="DD66" s="944" t="s">
        <v>563</v>
      </c>
      <c r="DE66" s="944" t="s">
        <v>551</v>
      </c>
      <c r="DF66" s="944" t="s">
        <v>103</v>
      </c>
      <c r="DG66" s="944" t="s">
        <v>571</v>
      </c>
      <c r="DH66" s="945">
        <f t="shared" si="112"/>
        <v>1</v>
      </c>
      <c r="DK66" s="58" t="str" cm="1">
        <f t="array" ref="DK66">IF(AND($BT66=4,$BX66=4,$BU66=999),$DB$36,_xlfn.IFNA(INDEX(DB$13:DB$70,MATCH(1,($BR66=$CV$13:$CV$70)*($BT66=$CX$13:$CX$70)*($CE66=$CY$13:$CY$70)*($BY66=$DA$13:$DA$70)*($CD66=$DH$13:$DH$70),0)),""))</f>
        <v>Log-logistic</v>
      </c>
      <c r="DL66" s="58" t="str" cm="1">
        <f t="array" ref="DL66">IF(AND($BT66=4,$BX66=4,$BU66=999),$DC$36,_xlfn.IFNA(INDEX(CHOOSE(DP66,DB$13:DB$70,DC$13:DC$70,DD$13:DD$70,DE$13:DE$70),MATCH(1,($BR66=$CV$13:$CV$70)*($BT66=$CX$13:$CX$70)*($CE66=$CY$13:$CY$70)*($BY66=$DA$13:$DA$70)*($CD66=$DH$13:$DH$70),0)),""))</f>
        <v>Log-logistic</v>
      </c>
      <c r="DM66" s="740" cm="1">
        <f t="array" ref="DM66">IF(AND($BT66=4,$BX66=4,$BU66=999),$DD$36,_xlfn.IFNA(INDEX(DD$13:DD$68,MATCH(1,($BR66=$CV$13:$CV$68)*($BT66=$CX$13:$CX$68)*($CE66=$CY$13:$CY$68)*($BY66=$DA$13:$DA$68)*($CD66=$DH$13:$DH$68),0)),""))</f>
        <v>0</v>
      </c>
      <c r="DN66" s="740" cm="1">
        <f t="array" ref="DN66">IF(AND($BT66=4,$BX66=4,$BU66=999),$DD$36,_xlfn.IFNA(INDEX(DE$13:DE$68,MATCH(1,($BR66=$CV$13:$CV$68)*($BT66=$CX$13:$CX$68)*($CE66=$CY$13:$CY$68)*($BY66=$DA$13:$DA$68)*($CD66=$DH$13:$DH$68),0)),""))</f>
        <v>0</v>
      </c>
      <c r="DO66" s="58" t="str" cm="1">
        <f t="array" ref="DO66">IF(AND($BT66=4,$BX66=4,$BU66=999),$DF$36,_xlfn.IFNA(INDEX(DF$13:DF$70,MATCH(1,($BR66=$CV$13:$CV$70)*($BT66=$CX$13:$CX$70)*($CE66=$CY$13:$CY$70)*($BY66=$DA$13:$DA$70)*($CD66=$DH$13:$DH$70),0)),""))</f>
        <v>Base case</v>
      </c>
      <c r="DP66" s="58">
        <f t="shared" si="13"/>
        <v>1</v>
      </c>
      <c r="DW66" s="58" t="s">
        <v>74</v>
      </c>
      <c r="DX66" s="58" t="s">
        <v>555</v>
      </c>
      <c r="DY66" s="58" t="s">
        <v>63</v>
      </c>
      <c r="DZ66" s="58">
        <v>0</v>
      </c>
      <c r="EB66" s="58">
        <v>1</v>
      </c>
      <c r="EC66" s="58">
        <v>1</v>
      </c>
      <c r="ED66" s="58">
        <v>7</v>
      </c>
      <c r="EE66" s="58">
        <v>2</v>
      </c>
      <c r="EF66" s="58">
        <v>3</v>
      </c>
      <c r="EI66" s="58" t="s">
        <v>74</v>
      </c>
      <c r="EJ66" s="58" t="s">
        <v>555</v>
      </c>
      <c r="EK66" s="58" t="s">
        <v>63</v>
      </c>
      <c r="EL66" s="58">
        <v>0</v>
      </c>
      <c r="EN66" s="58">
        <v>1</v>
      </c>
      <c r="EO66" s="58">
        <v>1</v>
      </c>
      <c r="EP66" s="58">
        <v>7</v>
      </c>
      <c r="EQ66" s="58">
        <v>0</v>
      </c>
      <c r="ER66" s="58">
        <v>3</v>
      </c>
      <c r="EU66" s="58" t="str">
        <f t="shared" si="126"/>
        <v>Yes</v>
      </c>
      <c r="EV66" s="58" t="str">
        <f t="shared" si="127"/>
        <v>Time to progression</v>
      </c>
      <c r="EW66" s="58" t="str">
        <f t="shared" si="128"/>
        <v>FP_NMA</v>
      </c>
      <c r="EX66" s="58">
        <f t="shared" si="129"/>
        <v>0</v>
      </c>
      <c r="EZ66" s="58">
        <f t="shared" si="130"/>
        <v>1</v>
      </c>
      <c r="FA66" s="58">
        <f t="shared" si="131"/>
        <v>1</v>
      </c>
      <c r="FB66" s="58">
        <f>IF(i_eff_inputs_based_on_num=2,ED66,(INDEX(Lists!$L$51:$L$85,MATCH(O66,Lists!$K$51:$K$85,0))))</f>
        <v>7</v>
      </c>
      <c r="FC66" s="58">
        <f>IF(i_eff_inputs_based_on_num=2,EE66,(INDEX(Lists!$L$51:$L$85,MATCH(P66,Lists!$K$51:$K$85,0))))</f>
        <v>2</v>
      </c>
      <c r="FD66" s="58">
        <f>IF(i_eff_inputs_based_on_num=2,EF66,(INDEX(Lists!$L$51:$L$85,MATCH(Q66,Lists!$K$51:$K$85,0))))</f>
        <v>3</v>
      </c>
      <c r="FG66" s="58" t="str">
        <f t="shared" si="132"/>
        <v>Yes</v>
      </c>
      <c r="FH66" s="58" t="str">
        <f t="shared" si="133"/>
        <v>Time to progression</v>
      </c>
      <c r="FI66" s="58" t="str">
        <f t="shared" si="134"/>
        <v>FP_NMA</v>
      </c>
      <c r="FJ66" s="58">
        <f t="shared" si="135"/>
        <v>0</v>
      </c>
      <c r="FL66" s="58">
        <f t="shared" si="136"/>
        <v>1</v>
      </c>
      <c r="FM66" s="58">
        <f t="shared" si="137"/>
        <v>1</v>
      </c>
      <c r="FN66" s="58">
        <f>IF(i_eff_inputs_based_on_num=2,EP66,(INDEX(Lists!$L$51:$L$85,MATCH(O66,Lists!$K$51:$K$85,0))))</f>
        <v>7</v>
      </c>
      <c r="FO66" s="58">
        <f>IF(i_eff_inputs_based_on_num=2,EQ66,(INDEX(Lists!$L$51:$L$85,MATCH(P66,Lists!$K$51:$K$85,0))))</f>
        <v>0</v>
      </c>
      <c r="FP66" s="58">
        <f>IF(i_eff_inputs_based_on_num=2,ER66,(INDEX(Lists!$L$51:$L$85,MATCH(Q66,Lists!$K$51:$K$85,0))))</f>
        <v>3</v>
      </c>
      <c r="FT66" s="58">
        <f t="shared" si="26"/>
        <v>0</v>
      </c>
      <c r="FW66" s="58" t="str">
        <f>IF(i_baseline_risk_from=2,'Effectiveness settings'!EW66,'Effectiveness settings'!FI66)</f>
        <v>FP_NMA</v>
      </c>
      <c r="FX66" s="58" t="str">
        <f t="shared" si="27"/>
        <v>FP_NMA</v>
      </c>
      <c r="FY66" s="58" t="str">
        <f t="shared" si="28"/>
        <v>FP_NMA</v>
      </c>
      <c r="FZ66" s="58" t="str">
        <f t="shared" si="29"/>
        <v>FP_NMA</v>
      </c>
      <c r="GA66" s="58" t="str">
        <f t="shared" si="30"/>
        <v>FP_NMA</v>
      </c>
      <c r="GB66" s="58" t="str">
        <f t="shared" si="31"/>
        <v>FP_NMA</v>
      </c>
      <c r="GC66" s="58" t="str">
        <f t="shared" si="32"/>
        <v>FP_NMA</v>
      </c>
      <c r="GD66" s="58" t="str">
        <f t="shared" si="33"/>
        <v>FP_NMA</v>
      </c>
      <c r="GE66" s="58" t="str">
        <f>IF(AND(dd_CheckMate214_TTD="Yes",'Effectiveness settings'!BU66=2,'Effectiveness settings'!BX66=2),"Apply HR to",GD66)</f>
        <v>FP_NMA</v>
      </c>
      <c r="GF66" s="58" t="str">
        <f t="shared" si="34"/>
        <v>FP_NMA</v>
      </c>
      <c r="GG66" s="58" t="str">
        <f t="shared" si="35"/>
        <v>FP_NMA</v>
      </c>
      <c r="GH66" s="58" t="str">
        <f t="shared" si="36"/>
        <v>Assume equal to</v>
      </c>
      <c r="GI66" s="58" t="str">
        <f t="shared" si="106"/>
        <v>Assume equal to</v>
      </c>
      <c r="GK66" s="58">
        <f>IF(i_baseline_risk_from=2,'Effectiveness settings'!FA66,'Effectiveness settings'!FM66)</f>
        <v>1</v>
      </c>
      <c r="GL66" s="58">
        <f>IF(i_baseline_risk_from=2,'Effectiveness settings'!FB66,'Effectiveness settings'!FN66)</f>
        <v>7</v>
      </c>
      <c r="GM66" s="58">
        <f>IF(i_baseline_risk_from=2,'Effectiveness settings'!FC66,'Effectiveness settings'!FO66)</f>
        <v>2</v>
      </c>
      <c r="GN66" s="58">
        <f>IF(i_baseline_risk_from=2,'Effectiveness settings'!FD66,'Effectiveness settings'!FP66)</f>
        <v>3</v>
      </c>
      <c r="GQ66" s="58">
        <f t="shared" si="38"/>
        <v>7</v>
      </c>
      <c r="GR66" s="58">
        <f t="shared" si="39"/>
        <v>7</v>
      </c>
      <c r="GS66" s="58">
        <f t="shared" si="40"/>
        <v>7</v>
      </c>
      <c r="GT66" s="58">
        <f t="shared" si="41"/>
        <v>7</v>
      </c>
      <c r="GU66" s="58">
        <f>IF(AND(dd_CheckMate214_TTD="Yes",'Effectiveness settings'!BU66=2,'Effectiveness settings'!BX66=2),2,GT66)</f>
        <v>7</v>
      </c>
      <c r="GV66" s="58">
        <f t="shared" si="42"/>
        <v>7</v>
      </c>
      <c r="GW66" s="58">
        <f t="shared" si="43"/>
        <v>7</v>
      </c>
      <c r="GY66" s="58">
        <f>IF(AND(dd_CheckMate214_TTD="Yes",'Effectiveness settings'!BU66=2,'Effectiveness settings'!BX66=2),1,GN66)</f>
        <v>3</v>
      </c>
      <c r="GZ66" s="58">
        <f t="shared" si="44"/>
        <v>3</v>
      </c>
      <c r="HB66" s="58">
        <f t="shared" si="45"/>
        <v>1</v>
      </c>
      <c r="HD66" s="58">
        <f t="shared" si="107"/>
        <v>1</v>
      </c>
      <c r="HE66" s="58">
        <f t="shared" si="108"/>
        <v>1</v>
      </c>
      <c r="HF66" s="58">
        <f t="shared" si="109"/>
        <v>7</v>
      </c>
      <c r="HG66" s="58">
        <f t="shared" si="110"/>
        <v>2</v>
      </c>
      <c r="HH66" s="58">
        <f t="shared" si="111"/>
        <v>3</v>
      </c>
    </row>
    <row r="67" spans="1:216" ht="15.75" x14ac:dyDescent="0.25">
      <c r="D67" s="58" t="str">
        <v>lenvatinib_plus_everolimus</v>
      </c>
      <c r="I67" s="64" t="s">
        <v>58</v>
      </c>
      <c r="J67" s="519" t="s">
        <v>555</v>
      </c>
      <c r="K67" s="524"/>
      <c r="L67" s="519"/>
      <c r="M67" s="516" t="s">
        <v>545</v>
      </c>
      <c r="N67" s="64" t="s">
        <v>546</v>
      </c>
      <c r="O67" s="64" t="s">
        <v>117</v>
      </c>
      <c r="P67" s="64" t="s">
        <v>547</v>
      </c>
      <c r="Q67" s="519" t="s">
        <v>555</v>
      </c>
      <c r="R67" s="516" t="s">
        <v>548</v>
      </c>
      <c r="S67" s="497"/>
      <c r="T67" s="497"/>
      <c r="U67" s="497"/>
      <c r="Y67" s="517"/>
      <c r="AA67" s="517"/>
      <c r="AF67" s="517"/>
      <c r="AM67" s="517"/>
      <c r="AO67" s="517"/>
      <c r="AT67" s="517"/>
      <c r="AV67" s="511"/>
      <c r="AW67" s="511"/>
      <c r="AX67" s="511"/>
      <c r="BA67" s="517"/>
      <c r="BC67" s="517"/>
      <c r="BH67" s="517"/>
      <c r="BJ67" s="511"/>
      <c r="BK67" s="511"/>
      <c r="BL67" s="511"/>
      <c r="BQ67" s="58">
        <f t="shared" si="0"/>
        <v>52</v>
      </c>
      <c r="BR67" s="17">
        <v>1</v>
      </c>
      <c r="BS67" s="17" t="s">
        <v>549</v>
      </c>
      <c r="BT67" s="17">
        <v>1</v>
      </c>
      <c r="BU67" s="17">
        <v>9</v>
      </c>
      <c r="BV67" s="17" t="str">
        <f t="shared" si="114"/>
        <v>lenvatinib_plus_everolimus</v>
      </c>
      <c r="BW67" s="1006" t="str" cm="1">
        <f t="array" ref="BW67">IF(I67="No",I67,INDEX(List_incl_anal_1L_PorI,IF(BU67=999,35,BU67+1)))</f>
        <v>No</v>
      </c>
      <c r="BX67" s="61">
        <f t="shared" si="115"/>
        <v>3</v>
      </c>
      <c r="BY67" s="531" t="str">
        <f t="shared" si="139"/>
        <v>Time to progression</v>
      </c>
      <c r="BZ67" s="530">
        <f t="shared" si="116"/>
        <v>0</v>
      </c>
      <c r="CA67" s="531">
        <f t="shared" si="138"/>
        <v>0</v>
      </c>
      <c r="CB67" s="530">
        <f t="shared" si="117"/>
        <v>1</v>
      </c>
      <c r="CC67" s="530">
        <f t="shared" si="118"/>
        <v>1</v>
      </c>
      <c r="CD67" s="530">
        <f t="shared" si="119"/>
        <v>7</v>
      </c>
      <c r="CE67" s="1295">
        <f t="shared" si="120"/>
        <v>2</v>
      </c>
      <c r="CF67" s="1301">
        <f t="shared" si="121"/>
        <v>3</v>
      </c>
      <c r="CG67" s="530" t="str">
        <f t="shared" si="122"/>
        <v>Log-logistic</v>
      </c>
      <c r="CH67" s="61">
        <f t="shared" si="123"/>
        <v>0</v>
      </c>
      <c r="CI67" s="61">
        <f t="shared" si="124"/>
        <v>0</v>
      </c>
      <c r="CJ67" s="61">
        <f t="shared" si="125"/>
        <v>0</v>
      </c>
      <c r="CV67" s="940">
        <v>0</v>
      </c>
      <c r="CW67" s="940" t="s">
        <v>31</v>
      </c>
      <c r="CX67" s="940">
        <v>2</v>
      </c>
      <c r="CY67" s="940">
        <v>1</v>
      </c>
      <c r="CZ67" s="940" t="str" cm="1">
        <f t="array" ref="CZ67">INDEX(List_trials,CY67+1)</f>
        <v>CheckMate 025</v>
      </c>
      <c r="DA67" s="942" t="s">
        <v>544</v>
      </c>
      <c r="DB67" s="942" t="s">
        <v>553</v>
      </c>
      <c r="DC67" s="942" t="s">
        <v>551</v>
      </c>
      <c r="DD67" s="942" t="s">
        <v>548</v>
      </c>
      <c r="DE67" s="942"/>
      <c r="DF67" s="942" t="s">
        <v>103</v>
      </c>
      <c r="DG67" s="942" t="s">
        <v>119</v>
      </c>
      <c r="DH67" s="58">
        <f t="shared" si="112"/>
        <v>10</v>
      </c>
      <c r="DK67" s="58" t="str" cm="1">
        <f t="array" ref="DK67">IF(AND($BT67=4,$BX67=4,$BU67=999),$DB$36,_xlfn.IFNA(INDEX(DB$13:DB$70,MATCH(1,($BR67=$CV$13:$CV$70)*($BT67=$CX$13:$CX$70)*($CE67=$CY$13:$CY$70)*($BY67=$DA$13:$DA$70)*($CD67=$DH$13:$DH$70),0)),""))</f>
        <v>Log-logistic</v>
      </c>
      <c r="DL67" s="58" t="str" cm="1">
        <f t="array" ref="DL67">IF(AND($BT67=4,$BX67=4,$BU67=999),$DC$36,_xlfn.IFNA(INDEX(CHOOSE(DP67,DB$13:DB$70,DC$13:DC$70,DD$13:DD$70,DE$13:DE$70),MATCH(1,($BR67=$CV$13:$CV$70)*($BT67=$CX$13:$CX$70)*($CE67=$CY$13:$CY$70)*($BY67=$DA$13:$DA$70)*($CD67=$DH$13:$DH$70),0)),""))</f>
        <v>Log-logistic</v>
      </c>
      <c r="DM67" s="740" cm="1">
        <f t="array" ref="DM67">IF(AND($BT67=4,$BX67=4,$BU67=999),$DD$36,_xlfn.IFNA(INDEX(DD$13:DD$68,MATCH(1,($BR67=$CV$13:$CV$68)*($BT67=$CX$13:$CX$68)*($CE67=$CY$13:$CY$68)*($BY67=$DA$13:$DA$68)*($CD67=$DH$13:$DH$68),0)),""))</f>
        <v>0</v>
      </c>
      <c r="DN67" s="740" cm="1">
        <f t="array" ref="DN67">IF(AND($BT67=4,$BX67=4,$BU67=999),$DD$36,_xlfn.IFNA(INDEX(DE$13:DE$68,MATCH(1,($BR67=$CV$13:$CV$68)*($BT67=$CX$13:$CX$68)*($CE67=$CY$13:$CY$68)*($BY67=$DA$13:$DA$68)*($CD67=$DH$13:$DH$68),0)),""))</f>
        <v>0</v>
      </c>
      <c r="DO67" s="58" t="str" cm="1">
        <f t="array" ref="DO67">IF(AND($BT67=4,$BX67=4,$BU67=999),$DF$36,_xlfn.IFNA(INDEX(DF$13:DF$70,MATCH(1,($BR67=$CV$13:$CV$70)*($BT67=$CX$13:$CX$70)*($CE67=$CY$13:$CY$70)*($BY67=$DA$13:$DA$70)*($CD67=$DH$13:$DH$70),0)),""))</f>
        <v>Base case</v>
      </c>
      <c r="DP67" s="58">
        <f t="shared" si="13"/>
        <v>1</v>
      </c>
      <c r="DW67" s="58" t="s">
        <v>58</v>
      </c>
      <c r="DX67" s="58" t="s">
        <v>555</v>
      </c>
      <c r="DY67" s="58">
        <v>0</v>
      </c>
      <c r="DZ67" s="58">
        <v>0</v>
      </c>
      <c r="EB67" s="58">
        <v>1</v>
      </c>
      <c r="EC67" s="58">
        <v>1</v>
      </c>
      <c r="ED67" s="58">
        <v>7</v>
      </c>
      <c r="EE67" s="58">
        <v>2</v>
      </c>
      <c r="EF67" s="58">
        <v>3</v>
      </c>
      <c r="EI67" s="58" t="s">
        <v>58</v>
      </c>
      <c r="EJ67" s="58" t="s">
        <v>555</v>
      </c>
      <c r="EK67" s="58">
        <v>0</v>
      </c>
      <c r="EL67" s="58">
        <v>0</v>
      </c>
      <c r="EN67" s="58">
        <v>1</v>
      </c>
      <c r="EO67" s="58">
        <v>1</v>
      </c>
      <c r="EP67" s="58">
        <v>7</v>
      </c>
      <c r="EQ67" s="58">
        <v>0</v>
      </c>
      <c r="ER67" s="58">
        <v>3</v>
      </c>
      <c r="EU67" s="58" t="str">
        <f t="shared" si="126"/>
        <v>No</v>
      </c>
      <c r="EV67" s="58" t="str">
        <f t="shared" si="127"/>
        <v>Time to progression</v>
      </c>
      <c r="EW67" s="58">
        <f t="shared" si="128"/>
        <v>0</v>
      </c>
      <c r="EX67" s="58">
        <f t="shared" si="129"/>
        <v>0</v>
      </c>
      <c r="EZ67" s="58">
        <f t="shared" si="130"/>
        <v>1</v>
      </c>
      <c r="FA67" s="58">
        <f t="shared" si="131"/>
        <v>1</v>
      </c>
      <c r="FB67" s="58">
        <f>IF(i_eff_inputs_based_on_num=2,ED67,(INDEX(Lists!$L$51:$L$85,MATCH(O67,Lists!$K$51:$K$85,0))))</f>
        <v>7</v>
      </c>
      <c r="FC67" s="58">
        <f>IF(i_eff_inputs_based_on_num=2,EE67,(INDEX(Lists!$L$51:$L$85,MATCH(P67,Lists!$K$51:$K$85,0))))</f>
        <v>2</v>
      </c>
      <c r="FD67" s="58">
        <f>IF(i_eff_inputs_based_on_num=2,EF67,(INDEX(Lists!$L$51:$L$85,MATCH(Q67,Lists!$K$51:$K$85,0))))</f>
        <v>3</v>
      </c>
      <c r="FG67" s="58" t="str">
        <f t="shared" si="132"/>
        <v>No</v>
      </c>
      <c r="FH67" s="58" t="str">
        <f t="shared" si="133"/>
        <v>Time to progression</v>
      </c>
      <c r="FI67" s="58">
        <f t="shared" si="134"/>
        <v>0</v>
      </c>
      <c r="FJ67" s="58">
        <f t="shared" si="135"/>
        <v>0</v>
      </c>
      <c r="FL67" s="58">
        <f t="shared" si="136"/>
        <v>1</v>
      </c>
      <c r="FM67" s="58">
        <f t="shared" si="137"/>
        <v>1</v>
      </c>
      <c r="FN67" s="58">
        <f>IF(i_eff_inputs_based_on_num=2,EP67,(INDEX(Lists!$L$51:$L$85,MATCH(O67,Lists!$K$51:$K$85,0))))</f>
        <v>7</v>
      </c>
      <c r="FO67" s="58">
        <f>IF(i_eff_inputs_based_on_num=2,EQ67,(INDEX(Lists!$L$51:$L$85,MATCH(P67,Lists!$K$51:$K$85,0))))</f>
        <v>0</v>
      </c>
      <c r="FP67" s="58">
        <f>IF(i_eff_inputs_based_on_num=2,ER67,(INDEX(Lists!$L$51:$L$85,MATCH(Q67,Lists!$K$51:$K$85,0))))</f>
        <v>3</v>
      </c>
      <c r="FT67" s="58">
        <f t="shared" si="26"/>
        <v>0</v>
      </c>
      <c r="FW67" s="58">
        <f>IF(i_baseline_risk_from=2,'Effectiveness settings'!EW67,'Effectiveness settings'!FI67)</f>
        <v>0</v>
      </c>
      <c r="FX67" s="58">
        <f t="shared" si="27"/>
        <v>0</v>
      </c>
      <c r="FY67" s="58">
        <f t="shared" si="28"/>
        <v>0</v>
      </c>
      <c r="FZ67" s="58">
        <f t="shared" si="29"/>
        <v>0</v>
      </c>
      <c r="GA67" s="58">
        <f t="shared" si="30"/>
        <v>0</v>
      </c>
      <c r="GB67" s="58">
        <f t="shared" si="31"/>
        <v>0</v>
      </c>
      <c r="GC67" s="58">
        <f t="shared" si="32"/>
        <v>0</v>
      </c>
      <c r="GD67" s="58">
        <f t="shared" si="33"/>
        <v>0</v>
      </c>
      <c r="GE67" s="58">
        <f>IF(AND(dd_CheckMate214_TTD="Yes",'Effectiveness settings'!BU67=2,'Effectiveness settings'!BX67=2),"Apply HR to",GD67)</f>
        <v>0</v>
      </c>
      <c r="GF67" s="58">
        <f t="shared" si="34"/>
        <v>0</v>
      </c>
      <c r="GG67" s="58">
        <f t="shared" si="35"/>
        <v>0</v>
      </c>
      <c r="GH67" s="58">
        <f t="shared" si="36"/>
        <v>0</v>
      </c>
      <c r="GI67" s="58">
        <f t="shared" si="106"/>
        <v>0</v>
      </c>
      <c r="GK67" s="58">
        <f>IF(i_baseline_risk_from=2,'Effectiveness settings'!FA67,'Effectiveness settings'!FM67)</f>
        <v>1</v>
      </c>
      <c r="GL67" s="58">
        <f>IF(i_baseline_risk_from=2,'Effectiveness settings'!FB67,'Effectiveness settings'!FN67)</f>
        <v>7</v>
      </c>
      <c r="GM67" s="58">
        <f>IF(i_baseline_risk_from=2,'Effectiveness settings'!FC67,'Effectiveness settings'!FO67)</f>
        <v>2</v>
      </c>
      <c r="GN67" s="58">
        <f>IF(i_baseline_risk_from=2,'Effectiveness settings'!FD67,'Effectiveness settings'!FP67)</f>
        <v>3</v>
      </c>
      <c r="GQ67" s="58">
        <f t="shared" si="38"/>
        <v>7</v>
      </c>
      <c r="GR67" s="58">
        <f t="shared" si="39"/>
        <v>7</v>
      </c>
      <c r="GS67" s="58">
        <f t="shared" si="40"/>
        <v>7</v>
      </c>
      <c r="GT67" s="58">
        <f t="shared" si="41"/>
        <v>7</v>
      </c>
      <c r="GU67" s="58">
        <f>IF(AND(dd_CheckMate214_TTD="Yes",'Effectiveness settings'!BU67=2,'Effectiveness settings'!BX67=2),2,GT67)</f>
        <v>7</v>
      </c>
      <c r="GV67" s="58">
        <f t="shared" si="42"/>
        <v>7</v>
      </c>
      <c r="GW67" s="58">
        <f t="shared" si="43"/>
        <v>7</v>
      </c>
      <c r="GY67" s="58">
        <f>IF(AND(dd_CheckMate214_TTD="Yes",'Effectiveness settings'!BU67=2,'Effectiveness settings'!BX67=2),1,GN67)</f>
        <v>3</v>
      </c>
      <c r="GZ67" s="58">
        <f t="shared" si="44"/>
        <v>3</v>
      </c>
      <c r="HB67" s="58">
        <f t="shared" si="45"/>
        <v>1</v>
      </c>
      <c r="HD67" s="58">
        <f t="shared" si="107"/>
        <v>1</v>
      </c>
      <c r="HE67" s="58">
        <f t="shared" si="108"/>
        <v>1</v>
      </c>
      <c r="HF67" s="58">
        <f t="shared" si="109"/>
        <v>7</v>
      </c>
      <c r="HG67" s="58">
        <f t="shared" si="110"/>
        <v>2</v>
      </c>
      <c r="HH67" s="58">
        <f t="shared" si="111"/>
        <v>3</v>
      </c>
    </row>
    <row r="68" spans="1:216" ht="16.5" thickBot="1" x14ac:dyDescent="0.3">
      <c r="D68" s="58" t="str">
        <v>everolimus</v>
      </c>
      <c r="I68" s="64" t="s">
        <v>58</v>
      </c>
      <c r="J68" s="519" t="s">
        <v>555</v>
      </c>
      <c r="K68" s="524"/>
      <c r="L68" s="519"/>
      <c r="M68" s="516" t="s">
        <v>545</v>
      </c>
      <c r="N68" s="64" t="s">
        <v>546</v>
      </c>
      <c r="O68" s="64" t="s">
        <v>117</v>
      </c>
      <c r="P68" s="64" t="s">
        <v>547</v>
      </c>
      <c r="Q68" s="519" t="s">
        <v>555</v>
      </c>
      <c r="R68" s="516" t="s">
        <v>548</v>
      </c>
      <c r="S68" s="497"/>
      <c r="T68" s="497"/>
      <c r="U68" s="497"/>
      <c r="Y68" s="517"/>
      <c r="AA68" s="517"/>
      <c r="AF68" s="517"/>
      <c r="AM68" s="517"/>
      <c r="AO68" s="517"/>
      <c r="AT68" s="517"/>
      <c r="AV68" s="511"/>
      <c r="AW68" s="511"/>
      <c r="AX68" s="511"/>
      <c r="BA68" s="517"/>
      <c r="BC68" s="517"/>
      <c r="BH68" s="517"/>
      <c r="BJ68" s="511"/>
      <c r="BK68" s="511"/>
      <c r="BL68" s="511"/>
      <c r="BQ68" s="58">
        <f t="shared" si="0"/>
        <v>53</v>
      </c>
      <c r="BR68" s="17">
        <v>1</v>
      </c>
      <c r="BS68" s="17" t="s">
        <v>549</v>
      </c>
      <c r="BT68" s="17">
        <v>1</v>
      </c>
      <c r="BU68" s="17">
        <v>10</v>
      </c>
      <c r="BV68" s="17" t="str">
        <f t="shared" si="114"/>
        <v>everolimus</v>
      </c>
      <c r="BW68" s="1006" t="str" cm="1">
        <f t="array" ref="BW68">IF(I68="No",I68,INDEX(List_incl_anal_1L_PorI,IF(BU68=999,35,BU68+1)))</f>
        <v>No</v>
      </c>
      <c r="BX68" s="61">
        <f t="shared" si="115"/>
        <v>3</v>
      </c>
      <c r="BY68" s="531" t="str">
        <f t="shared" si="139"/>
        <v>Time to progression</v>
      </c>
      <c r="BZ68" s="530">
        <f t="shared" si="116"/>
        <v>0</v>
      </c>
      <c r="CA68" s="531">
        <f t="shared" si="138"/>
        <v>0</v>
      </c>
      <c r="CB68" s="530">
        <f t="shared" si="117"/>
        <v>1</v>
      </c>
      <c r="CC68" s="530">
        <f t="shared" si="118"/>
        <v>1</v>
      </c>
      <c r="CD68" s="530">
        <f t="shared" si="119"/>
        <v>7</v>
      </c>
      <c r="CE68" s="1295">
        <f t="shared" si="120"/>
        <v>2</v>
      </c>
      <c r="CF68" s="1301">
        <f t="shared" si="121"/>
        <v>3</v>
      </c>
      <c r="CG68" s="530" t="str">
        <f t="shared" si="122"/>
        <v>Log-logistic</v>
      </c>
      <c r="CH68" s="61">
        <f t="shared" si="123"/>
        <v>0</v>
      </c>
      <c r="CI68" s="61">
        <f t="shared" si="124"/>
        <v>0</v>
      </c>
      <c r="CJ68" s="61">
        <f t="shared" si="125"/>
        <v>0</v>
      </c>
      <c r="CV68" s="943">
        <v>0</v>
      </c>
      <c r="CW68" s="943" t="s">
        <v>31</v>
      </c>
      <c r="CX68" s="943">
        <v>2</v>
      </c>
      <c r="CY68" s="943">
        <v>1</v>
      </c>
      <c r="CZ68" s="943" t="str" cm="1">
        <f t="array" ref="CZ68">INDEX(List_trials,CY68+1)</f>
        <v>CheckMate 025</v>
      </c>
      <c r="DA68" s="944" t="s">
        <v>552</v>
      </c>
      <c r="DB68" s="944" t="s">
        <v>563</v>
      </c>
      <c r="DC68" s="944" t="s">
        <v>551</v>
      </c>
      <c r="DD68" s="944"/>
      <c r="DE68" s="944"/>
      <c r="DF68" s="944" t="s">
        <v>103</v>
      </c>
      <c r="DG68" s="944" t="s">
        <v>119</v>
      </c>
      <c r="DH68" s="945">
        <f t="shared" si="112"/>
        <v>10</v>
      </c>
      <c r="DK68" s="58" t="str" cm="1">
        <f t="array" ref="DK68">IF(AND($BT68=4,$BX68=4,$BU68=999),$DB$36,_xlfn.IFNA(INDEX(DB$13:DB$70,MATCH(1,($BR68=$CV$13:$CV$70)*($BT68=$CX$13:$CX$70)*($CE68=$CY$13:$CY$70)*($BY68=$DA$13:$DA$70)*($CD68=$DH$13:$DH$70),0)),""))</f>
        <v>Log-logistic</v>
      </c>
      <c r="DL68" s="58" t="str" cm="1">
        <f t="array" ref="DL68">IF(AND($BT68=4,$BX68=4,$BU68=999),$DC$36,_xlfn.IFNA(INDEX(CHOOSE(DP68,DB$13:DB$70,DC$13:DC$70,DD$13:DD$70,DE$13:DE$70),MATCH(1,($BR68=$CV$13:$CV$70)*($BT68=$CX$13:$CX$70)*($CE68=$CY$13:$CY$70)*($BY68=$DA$13:$DA$70)*($CD68=$DH$13:$DH$70),0)),""))</f>
        <v>Log-logistic</v>
      </c>
      <c r="DM68" s="740" cm="1">
        <f t="array" ref="DM68">IF(AND($BT68=4,$BX68=4,$BU68=999),$DD$36,_xlfn.IFNA(INDEX(DD$13:DD$68,MATCH(1,($BR68=$CV$13:$CV$68)*($BT68=$CX$13:$CX$68)*($CE68=$CY$13:$CY$68)*($BY68=$DA$13:$DA$68)*($CD68=$DH$13:$DH$68),0)),""))</f>
        <v>0</v>
      </c>
      <c r="DN68" s="740" cm="1">
        <f t="array" ref="DN68">IF(AND($BT68=4,$BX68=4,$BU68=999),$DD$36,_xlfn.IFNA(INDEX(DE$13:DE$68,MATCH(1,($BR68=$CV$13:$CV$68)*($BT68=$CX$13:$CX$68)*($CE68=$CY$13:$CY$68)*($BY68=$DA$13:$DA$68)*($CD68=$DH$13:$DH$68),0)),""))</f>
        <v>0</v>
      </c>
      <c r="DO68" s="58" t="str" cm="1">
        <f t="array" ref="DO68">IF(AND($BT68=4,$BX68=4,$BU68=999),$DF$36,_xlfn.IFNA(INDEX(DF$13:DF$70,MATCH(1,($BR68=$CV$13:$CV$70)*($BT68=$CX$13:$CX$70)*($CE68=$CY$13:$CY$70)*($BY68=$DA$13:$DA$70)*($CD68=$DH$13:$DH$70),0)),""))</f>
        <v>Base case</v>
      </c>
      <c r="DP68" s="58">
        <f t="shared" si="13"/>
        <v>1</v>
      </c>
      <c r="DW68" s="58" t="s">
        <v>58</v>
      </c>
      <c r="DX68" s="58" t="s">
        <v>555</v>
      </c>
      <c r="DY68" s="58">
        <v>0</v>
      </c>
      <c r="DZ68" s="58">
        <v>0</v>
      </c>
      <c r="EB68" s="58">
        <v>1</v>
      </c>
      <c r="EC68" s="58">
        <v>1</v>
      </c>
      <c r="ED68" s="58">
        <v>7</v>
      </c>
      <c r="EE68" s="58">
        <v>2</v>
      </c>
      <c r="EF68" s="58">
        <v>3</v>
      </c>
      <c r="EI68" s="58" t="s">
        <v>58</v>
      </c>
      <c r="EJ68" s="58" t="s">
        <v>555</v>
      </c>
      <c r="EK68" s="58">
        <v>0</v>
      </c>
      <c r="EL68" s="58">
        <v>0</v>
      </c>
      <c r="EN68" s="58">
        <v>1</v>
      </c>
      <c r="EO68" s="58">
        <v>1</v>
      </c>
      <c r="EP68" s="58">
        <v>7</v>
      </c>
      <c r="EQ68" s="58">
        <v>0</v>
      </c>
      <c r="ER68" s="58">
        <v>3</v>
      </c>
      <c r="EU68" s="58" t="str">
        <f t="shared" si="126"/>
        <v>No</v>
      </c>
      <c r="EV68" s="58" t="str">
        <f t="shared" si="127"/>
        <v>Time to progression</v>
      </c>
      <c r="EW68" s="58">
        <f t="shared" si="128"/>
        <v>0</v>
      </c>
      <c r="EX68" s="58">
        <f t="shared" si="129"/>
        <v>0</v>
      </c>
      <c r="EZ68" s="58">
        <f t="shared" si="130"/>
        <v>1</v>
      </c>
      <c r="FA68" s="58">
        <f t="shared" si="131"/>
        <v>1</v>
      </c>
      <c r="FB68" s="58">
        <f>IF(i_eff_inputs_based_on_num=2,ED68,(INDEX(Lists!$L$51:$L$85,MATCH(O68,Lists!$K$51:$K$85,0))))</f>
        <v>7</v>
      </c>
      <c r="FC68" s="58">
        <f>IF(i_eff_inputs_based_on_num=2,EE68,(INDEX(Lists!$L$51:$L$85,MATCH(P68,Lists!$K$51:$K$85,0))))</f>
        <v>2</v>
      </c>
      <c r="FD68" s="58">
        <f>IF(i_eff_inputs_based_on_num=2,EF68,(INDEX(Lists!$L$51:$L$85,MATCH(Q68,Lists!$K$51:$K$85,0))))</f>
        <v>3</v>
      </c>
      <c r="FG68" s="58" t="str">
        <f t="shared" si="132"/>
        <v>No</v>
      </c>
      <c r="FH68" s="58" t="str">
        <f t="shared" si="133"/>
        <v>Time to progression</v>
      </c>
      <c r="FI68" s="58">
        <f t="shared" si="134"/>
        <v>0</v>
      </c>
      <c r="FJ68" s="58">
        <f t="shared" si="135"/>
        <v>0</v>
      </c>
      <c r="FL68" s="58">
        <f t="shared" si="136"/>
        <v>1</v>
      </c>
      <c r="FM68" s="58">
        <f t="shared" si="137"/>
        <v>1</v>
      </c>
      <c r="FN68" s="58">
        <f>IF(i_eff_inputs_based_on_num=2,EP68,(INDEX(Lists!$L$51:$L$85,MATCH(O68,Lists!$K$51:$K$85,0))))</f>
        <v>7</v>
      </c>
      <c r="FO68" s="58">
        <f>IF(i_eff_inputs_based_on_num=2,EQ68,(INDEX(Lists!$L$51:$L$85,MATCH(P68,Lists!$K$51:$K$85,0))))</f>
        <v>0</v>
      </c>
      <c r="FP68" s="58">
        <f>IF(i_eff_inputs_based_on_num=2,ER68,(INDEX(Lists!$L$51:$L$85,MATCH(Q68,Lists!$K$51:$K$85,0))))</f>
        <v>3</v>
      </c>
      <c r="FT68" s="58">
        <f t="shared" si="26"/>
        <v>0</v>
      </c>
      <c r="FW68" s="58">
        <f>IF(i_baseline_risk_from=2,'Effectiveness settings'!EW68,'Effectiveness settings'!FI68)</f>
        <v>0</v>
      </c>
      <c r="FX68" s="58">
        <f t="shared" si="27"/>
        <v>0</v>
      </c>
      <c r="FY68" s="58">
        <f t="shared" si="28"/>
        <v>0</v>
      </c>
      <c r="FZ68" s="58">
        <f t="shared" si="29"/>
        <v>0</v>
      </c>
      <c r="GA68" s="58">
        <f t="shared" si="30"/>
        <v>0</v>
      </c>
      <c r="GB68" s="58">
        <f t="shared" si="31"/>
        <v>0</v>
      </c>
      <c r="GC68" s="58">
        <f t="shared" si="32"/>
        <v>0</v>
      </c>
      <c r="GD68" s="58">
        <f t="shared" si="33"/>
        <v>0</v>
      </c>
      <c r="GE68" s="58">
        <f>IF(AND(dd_CheckMate214_TTD="Yes",'Effectiveness settings'!BU68=2,'Effectiveness settings'!BX68=2),"Apply HR to",GD68)</f>
        <v>0</v>
      </c>
      <c r="GF68" s="58">
        <f t="shared" si="34"/>
        <v>0</v>
      </c>
      <c r="GG68" s="58">
        <f t="shared" si="35"/>
        <v>0</v>
      </c>
      <c r="GH68" s="58">
        <f t="shared" si="36"/>
        <v>0</v>
      </c>
      <c r="GI68" s="58">
        <f t="shared" si="106"/>
        <v>0</v>
      </c>
      <c r="GK68" s="58">
        <f>IF(i_baseline_risk_from=2,'Effectiveness settings'!FA68,'Effectiveness settings'!FM68)</f>
        <v>1</v>
      </c>
      <c r="GL68" s="58">
        <f>IF(i_baseline_risk_from=2,'Effectiveness settings'!FB68,'Effectiveness settings'!FN68)</f>
        <v>7</v>
      </c>
      <c r="GM68" s="58">
        <f>IF(i_baseline_risk_from=2,'Effectiveness settings'!FC68,'Effectiveness settings'!FO68)</f>
        <v>2</v>
      </c>
      <c r="GN68" s="58">
        <f>IF(i_baseline_risk_from=2,'Effectiveness settings'!FD68,'Effectiveness settings'!FP68)</f>
        <v>3</v>
      </c>
      <c r="GQ68" s="58">
        <f t="shared" si="38"/>
        <v>7</v>
      </c>
      <c r="GR68" s="58">
        <f t="shared" si="39"/>
        <v>7</v>
      </c>
      <c r="GS68" s="58">
        <f t="shared" si="40"/>
        <v>7</v>
      </c>
      <c r="GT68" s="58">
        <f t="shared" si="41"/>
        <v>7</v>
      </c>
      <c r="GU68" s="58">
        <f>IF(AND(dd_CheckMate214_TTD="Yes",'Effectiveness settings'!BU68=2,'Effectiveness settings'!BX68=2),2,GT68)</f>
        <v>7</v>
      </c>
      <c r="GV68" s="58">
        <f t="shared" si="42"/>
        <v>7</v>
      </c>
      <c r="GW68" s="58">
        <f t="shared" si="43"/>
        <v>7</v>
      </c>
      <c r="GY68" s="58">
        <f>IF(AND(dd_CheckMate214_TTD="Yes",'Effectiveness settings'!BU68=2,'Effectiveness settings'!BX68=2),1,GN68)</f>
        <v>3</v>
      </c>
      <c r="GZ68" s="58">
        <f t="shared" si="44"/>
        <v>3</v>
      </c>
      <c r="HB68" s="58">
        <f t="shared" si="45"/>
        <v>1</v>
      </c>
      <c r="HD68" s="58">
        <f t="shared" si="107"/>
        <v>1</v>
      </c>
      <c r="HE68" s="58">
        <f t="shared" si="108"/>
        <v>1</v>
      </c>
      <c r="HF68" s="58">
        <f t="shared" si="109"/>
        <v>7</v>
      </c>
      <c r="HG68" s="58">
        <f t="shared" si="110"/>
        <v>2</v>
      </c>
      <c r="HH68" s="58">
        <f t="shared" si="111"/>
        <v>3</v>
      </c>
    </row>
    <row r="69" spans="1:216" ht="15.75" x14ac:dyDescent="0.25">
      <c r="D69" s="58" t="str">
        <v>axitinib</v>
      </c>
      <c r="I69" s="64" t="s">
        <v>58</v>
      </c>
      <c r="J69" s="519" t="s">
        <v>555</v>
      </c>
      <c r="K69" s="524"/>
      <c r="L69" s="519"/>
      <c r="M69" s="516" t="s">
        <v>545</v>
      </c>
      <c r="N69" s="64" t="s">
        <v>546</v>
      </c>
      <c r="O69" s="64" t="s">
        <v>117</v>
      </c>
      <c r="P69" s="64" t="s">
        <v>547</v>
      </c>
      <c r="Q69" s="519" t="s">
        <v>555</v>
      </c>
      <c r="R69" s="516" t="s">
        <v>548</v>
      </c>
      <c r="S69" s="497"/>
      <c r="T69" s="497"/>
      <c r="U69" s="497"/>
      <c r="Y69" s="517"/>
      <c r="AA69" s="517"/>
      <c r="AF69" s="517"/>
      <c r="AM69" s="517"/>
      <c r="AO69" s="517"/>
      <c r="AT69" s="517"/>
      <c r="AV69" s="511"/>
      <c r="AW69" s="511"/>
      <c r="AX69" s="511"/>
      <c r="BA69" s="517"/>
      <c r="BC69" s="517"/>
      <c r="BH69" s="517"/>
      <c r="BJ69" s="511"/>
      <c r="BK69" s="511"/>
      <c r="BL69" s="511"/>
      <c r="BQ69" s="58">
        <f t="shared" si="0"/>
        <v>54</v>
      </c>
      <c r="BR69" s="17">
        <v>1</v>
      </c>
      <c r="BS69" s="17" t="s">
        <v>549</v>
      </c>
      <c r="BT69" s="17">
        <v>1</v>
      </c>
      <c r="BU69" s="17">
        <v>11</v>
      </c>
      <c r="BV69" s="17" t="str">
        <f t="shared" si="114"/>
        <v>axitinib</v>
      </c>
      <c r="BW69" s="1006" t="str" cm="1">
        <f t="array" ref="BW69">IF(I69="No",I69,INDEX(List_incl_anal_1L_PorI,IF(BU69=999,35,BU69+1)))</f>
        <v>No</v>
      </c>
      <c r="BX69" s="61">
        <f t="shared" si="115"/>
        <v>3</v>
      </c>
      <c r="BY69" s="531" t="str">
        <f t="shared" si="139"/>
        <v>Time to progression</v>
      </c>
      <c r="BZ69" s="530">
        <f t="shared" si="116"/>
        <v>0</v>
      </c>
      <c r="CA69" s="531">
        <f t="shared" si="138"/>
        <v>0</v>
      </c>
      <c r="CB69" s="530">
        <f t="shared" si="117"/>
        <v>1</v>
      </c>
      <c r="CC69" s="530">
        <f t="shared" si="118"/>
        <v>1</v>
      </c>
      <c r="CD69" s="530">
        <f t="shared" si="119"/>
        <v>7</v>
      </c>
      <c r="CE69" s="1295">
        <f t="shared" si="120"/>
        <v>2</v>
      </c>
      <c r="CF69" s="1301">
        <f t="shared" si="121"/>
        <v>3</v>
      </c>
      <c r="CG69" s="530" t="str">
        <f t="shared" si="122"/>
        <v>Log-logistic</v>
      </c>
      <c r="CH69" s="61">
        <f t="shared" si="123"/>
        <v>0</v>
      </c>
      <c r="CI69" s="61">
        <f t="shared" si="124"/>
        <v>0</v>
      </c>
      <c r="CJ69" s="61">
        <f t="shared" si="125"/>
        <v>0</v>
      </c>
      <c r="CV69" s="940">
        <v>0</v>
      </c>
      <c r="CW69" s="940" t="s">
        <v>31</v>
      </c>
      <c r="CX69" s="940">
        <v>3</v>
      </c>
      <c r="CY69" s="940">
        <v>1</v>
      </c>
      <c r="CZ69" s="940" t="str" cm="1">
        <f t="array" ref="CZ69">INDEX(List_trials,CY69+1)</f>
        <v>CheckMate 025</v>
      </c>
      <c r="DA69" s="942" t="s">
        <v>544</v>
      </c>
      <c r="DB69" s="942" t="s">
        <v>553</v>
      </c>
      <c r="DC69" s="942" t="s">
        <v>551</v>
      </c>
      <c r="DD69" s="942" t="s">
        <v>548</v>
      </c>
      <c r="DE69" s="942"/>
      <c r="DF69" s="942" t="s">
        <v>103</v>
      </c>
      <c r="DG69" s="942" t="s">
        <v>119</v>
      </c>
      <c r="DH69" s="58">
        <f>IF(MATCH(DG69,List_comparators,0)-1=13,999,MATCH(DG69,List_comparators,0)-1)</f>
        <v>10</v>
      </c>
      <c r="DK69" s="58" t="str" cm="1">
        <f t="array" ref="DK69">IF(AND($BT69=4,$BX69=4,$BU69=999),$DB$36,_xlfn.IFNA(INDEX(DB$13:DB$70,MATCH(1,($BR69=$CV$13:$CV$70)*($BT69=$CX$13:$CX$70)*($CE69=$CY$13:$CY$70)*($BY69=$DA$13:$DA$70)*($CD69=$DH$13:$DH$70),0)),""))</f>
        <v>Log-logistic</v>
      </c>
      <c r="DL69" s="58" t="str" cm="1">
        <f t="array" ref="DL69">IF(AND($BT69=4,$BX69=4,$BU69=999),$DC$36,_xlfn.IFNA(INDEX(CHOOSE(DP69,DB$13:DB$70,DC$13:DC$70,DD$13:DD$70,DE$13:DE$70),MATCH(1,($BR69=$CV$13:$CV$70)*($BT69=$CX$13:$CX$70)*($CE69=$CY$13:$CY$70)*($BY69=$DA$13:$DA$70)*($CD69=$DH$13:$DH$70),0)),""))</f>
        <v>Log-logistic</v>
      </c>
      <c r="DM69" s="740" cm="1">
        <f t="array" ref="DM69">IF(AND($BT69=4,$BX69=4,$BU69=999),$DD$36,_xlfn.IFNA(INDEX(DD$13:DD$68,MATCH(1,($BR69=$CV$13:$CV$68)*($BT69=$CX$13:$CX$68)*($CE69=$CY$13:$CY$68)*($BY69=$DA$13:$DA$68)*($CD69=$DH$13:$DH$68),0)),""))</f>
        <v>0</v>
      </c>
      <c r="DN69" s="740" cm="1">
        <f t="array" ref="DN69">IF(AND($BT69=4,$BX69=4,$BU69=999),$DD$36,_xlfn.IFNA(INDEX(DE$13:DE$68,MATCH(1,($BR69=$CV$13:$CV$68)*($BT69=$CX$13:$CX$68)*($CE69=$CY$13:$CY$68)*($BY69=$DA$13:$DA$68)*($CD69=$DH$13:$DH$68),0)),""))</f>
        <v>0</v>
      </c>
      <c r="DO69" s="58" t="str" cm="1">
        <f t="array" ref="DO69">IF(AND($BT69=4,$BX69=4,$BU69=999),$DF$36,_xlfn.IFNA(INDEX(DF$13:DF$70,MATCH(1,($BR69=$CV$13:$CV$70)*($BT69=$CX$13:$CX$70)*($CE69=$CY$13:$CY$70)*($BY69=$DA$13:$DA$70)*($CD69=$DH$13:$DH$70),0)),""))</f>
        <v>Base case</v>
      </c>
      <c r="DP69" s="58">
        <f t="shared" si="13"/>
        <v>1</v>
      </c>
      <c r="DW69" s="58" t="s">
        <v>58</v>
      </c>
      <c r="DX69" s="58" t="s">
        <v>555</v>
      </c>
      <c r="DY69" s="58">
        <v>0</v>
      </c>
      <c r="DZ69" s="58">
        <v>0</v>
      </c>
      <c r="EB69" s="58">
        <v>1</v>
      </c>
      <c r="EC69" s="58">
        <v>1</v>
      </c>
      <c r="ED69" s="58">
        <v>7</v>
      </c>
      <c r="EE69" s="58">
        <v>2</v>
      </c>
      <c r="EF69" s="58">
        <v>3</v>
      </c>
      <c r="EI69" s="58" t="s">
        <v>58</v>
      </c>
      <c r="EJ69" s="58" t="s">
        <v>555</v>
      </c>
      <c r="EK69" s="58">
        <v>0</v>
      </c>
      <c r="EL69" s="58">
        <v>0</v>
      </c>
      <c r="EN69" s="58">
        <v>1</v>
      </c>
      <c r="EO69" s="58">
        <v>1</v>
      </c>
      <c r="EP69" s="58">
        <v>7</v>
      </c>
      <c r="EQ69" s="58">
        <v>0</v>
      </c>
      <c r="ER69" s="58">
        <v>3</v>
      </c>
      <c r="EU69" s="58" t="str">
        <f t="shared" si="126"/>
        <v>No</v>
      </c>
      <c r="EV69" s="58" t="str">
        <f t="shared" si="127"/>
        <v>Time to progression</v>
      </c>
      <c r="EW69" s="58">
        <f t="shared" si="128"/>
        <v>0</v>
      </c>
      <c r="EX69" s="58">
        <f t="shared" si="129"/>
        <v>0</v>
      </c>
      <c r="EZ69" s="58">
        <f t="shared" si="130"/>
        <v>1</v>
      </c>
      <c r="FA69" s="58">
        <f t="shared" si="131"/>
        <v>1</v>
      </c>
      <c r="FB69" s="58">
        <f>IF(i_eff_inputs_based_on_num=2,ED69,(INDEX(Lists!$L$51:$L$85,MATCH(O69,Lists!$K$51:$K$85,0))))</f>
        <v>7</v>
      </c>
      <c r="FC69" s="58">
        <f>IF(i_eff_inputs_based_on_num=2,EE69,(INDEX(Lists!$L$51:$L$85,MATCH(P69,Lists!$K$51:$K$85,0))))</f>
        <v>2</v>
      </c>
      <c r="FD69" s="58">
        <f>IF(i_eff_inputs_based_on_num=2,EF69,(INDEX(Lists!$L$51:$L$85,MATCH(Q69,Lists!$K$51:$K$85,0))))</f>
        <v>3</v>
      </c>
      <c r="FG69" s="58" t="str">
        <f t="shared" si="132"/>
        <v>No</v>
      </c>
      <c r="FH69" s="58" t="str">
        <f t="shared" si="133"/>
        <v>Time to progression</v>
      </c>
      <c r="FI69" s="58">
        <f t="shared" si="134"/>
        <v>0</v>
      </c>
      <c r="FJ69" s="58">
        <f t="shared" si="135"/>
        <v>0</v>
      </c>
      <c r="FL69" s="58">
        <f t="shared" si="136"/>
        <v>1</v>
      </c>
      <c r="FM69" s="58">
        <f t="shared" si="137"/>
        <v>1</v>
      </c>
      <c r="FN69" s="58">
        <f>IF(i_eff_inputs_based_on_num=2,EP69,(INDEX(Lists!$L$51:$L$85,MATCH(O69,Lists!$K$51:$K$85,0))))</f>
        <v>7</v>
      </c>
      <c r="FO69" s="58">
        <f>IF(i_eff_inputs_based_on_num=2,EQ69,(INDEX(Lists!$L$51:$L$85,MATCH(P69,Lists!$K$51:$K$85,0))))</f>
        <v>0</v>
      </c>
      <c r="FP69" s="58">
        <f>IF(i_eff_inputs_based_on_num=2,ER69,(INDEX(Lists!$L$51:$L$85,MATCH(Q69,Lists!$K$51:$K$85,0))))</f>
        <v>3</v>
      </c>
      <c r="FT69" s="58">
        <f t="shared" si="26"/>
        <v>0</v>
      </c>
      <c r="FW69" s="58">
        <f>IF(i_baseline_risk_from=2,'Effectiveness settings'!EW69,'Effectiveness settings'!FI69)</f>
        <v>0</v>
      </c>
      <c r="FX69" s="58">
        <f t="shared" si="27"/>
        <v>0</v>
      </c>
      <c r="FY69" s="58">
        <f t="shared" si="28"/>
        <v>0</v>
      </c>
      <c r="FZ69" s="58">
        <f t="shared" si="29"/>
        <v>0</v>
      </c>
      <c r="GA69" s="58">
        <f t="shared" si="30"/>
        <v>0</v>
      </c>
      <c r="GB69" s="58">
        <f t="shared" si="31"/>
        <v>0</v>
      </c>
      <c r="GC69" s="58">
        <f t="shared" si="32"/>
        <v>0</v>
      </c>
      <c r="GD69" s="58">
        <f t="shared" si="33"/>
        <v>0</v>
      </c>
      <c r="GE69" s="58">
        <f>IF(AND(dd_CheckMate214_TTD="Yes",'Effectiveness settings'!BU69=2,'Effectiveness settings'!BX69=2),"Apply HR to",GD69)</f>
        <v>0</v>
      </c>
      <c r="GF69" s="58">
        <f t="shared" si="34"/>
        <v>0</v>
      </c>
      <c r="GG69" s="58">
        <f t="shared" si="35"/>
        <v>0</v>
      </c>
      <c r="GH69" s="58">
        <f t="shared" si="36"/>
        <v>0</v>
      </c>
      <c r="GI69" s="58">
        <f t="shared" si="106"/>
        <v>0</v>
      </c>
      <c r="GK69" s="58">
        <f>IF(i_baseline_risk_from=2,'Effectiveness settings'!FA69,'Effectiveness settings'!FM69)</f>
        <v>1</v>
      </c>
      <c r="GL69" s="58">
        <f>IF(i_baseline_risk_from=2,'Effectiveness settings'!FB69,'Effectiveness settings'!FN69)</f>
        <v>7</v>
      </c>
      <c r="GM69" s="58">
        <f>IF(i_baseline_risk_from=2,'Effectiveness settings'!FC69,'Effectiveness settings'!FO69)</f>
        <v>2</v>
      </c>
      <c r="GN69" s="58">
        <f>IF(i_baseline_risk_from=2,'Effectiveness settings'!FD69,'Effectiveness settings'!FP69)</f>
        <v>3</v>
      </c>
      <c r="GQ69" s="58">
        <f t="shared" si="38"/>
        <v>7</v>
      </c>
      <c r="GR69" s="58">
        <f t="shared" si="39"/>
        <v>7</v>
      </c>
      <c r="GS69" s="58">
        <f t="shared" si="40"/>
        <v>7</v>
      </c>
      <c r="GT69" s="58">
        <f t="shared" si="41"/>
        <v>7</v>
      </c>
      <c r="GU69" s="58">
        <f>IF(AND(dd_CheckMate214_TTD="Yes",'Effectiveness settings'!BU69=2,'Effectiveness settings'!BX69=2),2,GT69)</f>
        <v>7</v>
      </c>
      <c r="GV69" s="58">
        <f t="shared" si="42"/>
        <v>7</v>
      </c>
      <c r="GW69" s="58">
        <f t="shared" si="43"/>
        <v>7</v>
      </c>
      <c r="GY69" s="58">
        <f>IF(AND(dd_CheckMate214_TTD="Yes",'Effectiveness settings'!BU69=2,'Effectiveness settings'!BX69=2),1,GN69)</f>
        <v>3</v>
      </c>
      <c r="GZ69" s="58">
        <f t="shared" si="44"/>
        <v>3</v>
      </c>
      <c r="HB69" s="58">
        <f t="shared" si="45"/>
        <v>1</v>
      </c>
      <c r="HD69" s="58">
        <f t="shared" si="107"/>
        <v>1</v>
      </c>
      <c r="HE69" s="58">
        <f t="shared" si="108"/>
        <v>1</v>
      </c>
      <c r="HF69" s="58">
        <f t="shared" si="109"/>
        <v>7</v>
      </c>
      <c r="HG69" s="58">
        <f t="shared" si="110"/>
        <v>2</v>
      </c>
      <c r="HH69" s="58">
        <f t="shared" si="111"/>
        <v>3</v>
      </c>
    </row>
    <row r="70" spans="1:216" ht="16.5" thickBot="1" x14ac:dyDescent="0.3">
      <c r="D70" s="58" t="str">
        <v>sorafenib</v>
      </c>
      <c r="I70" s="64" t="s">
        <v>58</v>
      </c>
      <c r="J70" s="519" t="s">
        <v>555</v>
      </c>
      <c r="K70" s="524"/>
      <c r="L70" s="519"/>
      <c r="M70" s="516" t="s">
        <v>545</v>
      </c>
      <c r="N70" s="64" t="s">
        <v>546</v>
      </c>
      <c r="O70" s="64" t="s">
        <v>117</v>
      </c>
      <c r="P70" s="64" t="s">
        <v>547</v>
      </c>
      <c r="Q70" s="519" t="s">
        <v>555</v>
      </c>
      <c r="R70" s="516" t="s">
        <v>548</v>
      </c>
      <c r="S70" s="497"/>
      <c r="T70" s="497"/>
      <c r="U70" s="497"/>
      <c r="Y70" s="517"/>
      <c r="AA70" s="517"/>
      <c r="AF70" s="517"/>
      <c r="AM70" s="517"/>
      <c r="AO70" s="517"/>
      <c r="AT70" s="517"/>
      <c r="AV70" s="511"/>
      <c r="AW70" s="511"/>
      <c r="AX70" s="511"/>
      <c r="BA70" s="517"/>
      <c r="BC70" s="517"/>
      <c r="BH70" s="517"/>
      <c r="BJ70" s="511"/>
      <c r="BK70" s="511"/>
      <c r="BL70" s="511"/>
      <c r="BQ70" s="58">
        <f t="shared" si="0"/>
        <v>55</v>
      </c>
      <c r="BR70" s="17">
        <v>1</v>
      </c>
      <c r="BS70" s="17" t="s">
        <v>549</v>
      </c>
      <c r="BT70" s="17">
        <v>1</v>
      </c>
      <c r="BU70" s="17">
        <v>12</v>
      </c>
      <c r="BV70" s="17" t="str">
        <f t="shared" si="114"/>
        <v>sorafenib</v>
      </c>
      <c r="BW70" s="1006" t="str" cm="1">
        <f t="array" ref="BW70">IF(I70="No",I70,INDEX(List_incl_anal_1L_PorI,IF(BU70=999,35,BU70+1)))</f>
        <v>No</v>
      </c>
      <c r="BX70" s="61">
        <f t="shared" si="115"/>
        <v>3</v>
      </c>
      <c r="BY70" s="531" t="str">
        <f t="shared" si="139"/>
        <v>Time to progression</v>
      </c>
      <c r="BZ70" s="530">
        <f t="shared" si="116"/>
        <v>0</v>
      </c>
      <c r="CA70" s="531">
        <f t="shared" si="138"/>
        <v>0</v>
      </c>
      <c r="CB70" s="530">
        <f t="shared" si="117"/>
        <v>1</v>
      </c>
      <c r="CC70" s="530">
        <f t="shared" si="118"/>
        <v>1</v>
      </c>
      <c r="CD70" s="530">
        <f t="shared" si="119"/>
        <v>7</v>
      </c>
      <c r="CE70" s="1295">
        <f t="shared" si="120"/>
        <v>2</v>
      </c>
      <c r="CF70" s="1301">
        <f t="shared" si="121"/>
        <v>3</v>
      </c>
      <c r="CG70" s="530" t="str">
        <f t="shared" si="122"/>
        <v>Log-logistic</v>
      </c>
      <c r="CH70" s="61">
        <f t="shared" si="123"/>
        <v>0</v>
      </c>
      <c r="CI70" s="61">
        <f t="shared" si="124"/>
        <v>0</v>
      </c>
      <c r="CJ70" s="61">
        <f t="shared" si="125"/>
        <v>0</v>
      </c>
      <c r="CV70" s="943">
        <v>0</v>
      </c>
      <c r="CW70" s="943" t="s">
        <v>31</v>
      </c>
      <c r="CX70" s="943">
        <v>3</v>
      </c>
      <c r="CY70" s="943">
        <v>1</v>
      </c>
      <c r="CZ70" s="943" t="str" cm="1">
        <f t="array" ref="CZ70">INDEX(List_trials,CY70+1)</f>
        <v>CheckMate 025</v>
      </c>
      <c r="DA70" s="944" t="s">
        <v>552</v>
      </c>
      <c r="DB70" s="944" t="s">
        <v>563</v>
      </c>
      <c r="DC70" s="944" t="s">
        <v>551</v>
      </c>
      <c r="DD70" s="944"/>
      <c r="DE70" s="944"/>
      <c r="DF70" s="944" t="s">
        <v>103</v>
      </c>
      <c r="DG70" s="944" t="s">
        <v>119</v>
      </c>
      <c r="DH70" s="945">
        <f>IF(MATCH(DG70,List_comparators,0)-1=13,999,MATCH(DG70,List_comparators,0)-1)</f>
        <v>10</v>
      </c>
      <c r="DK70" s="58" t="str" cm="1">
        <f t="array" ref="DK70">IF(AND($BT70=4,$BX70=4,$BU70=999),$DB$36,_xlfn.IFNA(INDEX(DB$13:DB$70,MATCH(1,($BR70=$CV$13:$CV$70)*($BT70=$CX$13:$CX$70)*($CE70=$CY$13:$CY$70)*($BY70=$DA$13:$DA$70)*($CD70=$DH$13:$DH$70),0)),""))</f>
        <v>Log-logistic</v>
      </c>
      <c r="DL70" s="58" t="str" cm="1">
        <f t="array" ref="DL70">IF(AND($BT70=4,$BX70=4,$BU70=999),$DC$36,_xlfn.IFNA(INDEX(CHOOSE(DP70,DB$13:DB$70,DC$13:DC$70,DD$13:DD$70,DE$13:DE$70),MATCH(1,($BR70=$CV$13:$CV$70)*($BT70=$CX$13:$CX$70)*($CE70=$CY$13:$CY$70)*($BY70=$DA$13:$DA$70)*($CD70=$DH$13:$DH$70),0)),""))</f>
        <v>Log-logistic</v>
      </c>
      <c r="DM70" s="740" cm="1">
        <f t="array" ref="DM70">IF(AND($BT70=4,$BX70=4,$BU70=999),$DD$36,_xlfn.IFNA(INDEX(DD$13:DD$68,MATCH(1,($BR70=$CV$13:$CV$68)*($BT70=$CX$13:$CX$68)*($CE70=$CY$13:$CY$68)*($BY70=$DA$13:$DA$68)*($CD70=$DH$13:$DH$68),0)),""))</f>
        <v>0</v>
      </c>
      <c r="DN70" s="740" cm="1">
        <f t="array" ref="DN70">IF(AND($BT70=4,$BX70=4,$BU70=999),$DD$36,_xlfn.IFNA(INDEX(DE$13:DE$68,MATCH(1,($BR70=$CV$13:$CV$68)*($BT70=$CX$13:$CX$68)*($CE70=$CY$13:$CY$68)*($BY70=$DA$13:$DA$68)*($CD70=$DH$13:$DH$68),0)),""))</f>
        <v>0</v>
      </c>
      <c r="DO70" s="58" t="str" cm="1">
        <f t="array" ref="DO70">IF(AND($BT70=4,$BX70=4,$BU70=999),$DF$36,_xlfn.IFNA(INDEX(DF$13:DF$70,MATCH(1,($BR70=$CV$13:$CV$70)*($BT70=$CX$13:$CX$70)*($CE70=$CY$13:$CY$70)*($BY70=$DA$13:$DA$70)*($CD70=$DH$13:$DH$70),0)),""))</f>
        <v>Base case</v>
      </c>
      <c r="DP70" s="58">
        <f t="shared" si="13"/>
        <v>1</v>
      </c>
      <c r="DW70" s="58" t="s">
        <v>58</v>
      </c>
      <c r="DX70" s="58" t="s">
        <v>555</v>
      </c>
      <c r="DY70" s="58">
        <v>0</v>
      </c>
      <c r="DZ70" s="58">
        <v>0</v>
      </c>
      <c r="EB70" s="58">
        <v>1</v>
      </c>
      <c r="EC70" s="58">
        <v>1</v>
      </c>
      <c r="ED70" s="58">
        <v>7</v>
      </c>
      <c r="EE70" s="58">
        <v>2</v>
      </c>
      <c r="EF70" s="58">
        <v>3</v>
      </c>
      <c r="EI70" s="58" t="s">
        <v>58</v>
      </c>
      <c r="EJ70" s="58" t="s">
        <v>555</v>
      </c>
      <c r="EK70" s="58">
        <v>0</v>
      </c>
      <c r="EL70" s="58">
        <v>0</v>
      </c>
      <c r="EN70" s="58">
        <v>1</v>
      </c>
      <c r="EO70" s="58">
        <v>1</v>
      </c>
      <c r="EP70" s="58">
        <v>7</v>
      </c>
      <c r="EQ70" s="58">
        <v>0</v>
      </c>
      <c r="ER70" s="58">
        <v>3</v>
      </c>
      <c r="EU70" s="58" t="str">
        <f t="shared" si="126"/>
        <v>No</v>
      </c>
      <c r="EV70" s="58" t="str">
        <f t="shared" si="127"/>
        <v>Time to progression</v>
      </c>
      <c r="EW70" s="58">
        <f t="shared" si="128"/>
        <v>0</v>
      </c>
      <c r="EX70" s="58">
        <f t="shared" si="129"/>
        <v>0</v>
      </c>
      <c r="EZ70" s="58">
        <f t="shared" si="130"/>
        <v>1</v>
      </c>
      <c r="FA70" s="58">
        <f t="shared" si="131"/>
        <v>1</v>
      </c>
      <c r="FB70" s="58">
        <f>IF(i_eff_inputs_based_on_num=2,ED70,(INDEX(Lists!$L$51:$L$85,MATCH(O70,Lists!$K$51:$K$85,0))))</f>
        <v>7</v>
      </c>
      <c r="FC70" s="58">
        <f>IF(i_eff_inputs_based_on_num=2,EE70,(INDEX(Lists!$L$51:$L$85,MATCH(P70,Lists!$K$51:$K$85,0))))</f>
        <v>2</v>
      </c>
      <c r="FD70" s="58">
        <f>IF(i_eff_inputs_based_on_num=2,EF70,(INDEX(Lists!$L$51:$L$85,MATCH(Q70,Lists!$K$51:$K$85,0))))</f>
        <v>3</v>
      </c>
      <c r="FG70" s="58" t="str">
        <f t="shared" si="132"/>
        <v>No</v>
      </c>
      <c r="FH70" s="58" t="str">
        <f t="shared" si="133"/>
        <v>Time to progression</v>
      </c>
      <c r="FI70" s="58">
        <f t="shared" si="134"/>
        <v>0</v>
      </c>
      <c r="FJ70" s="58">
        <f t="shared" si="135"/>
        <v>0</v>
      </c>
      <c r="FL70" s="58">
        <f t="shared" si="136"/>
        <v>1</v>
      </c>
      <c r="FM70" s="58">
        <f t="shared" si="137"/>
        <v>1</v>
      </c>
      <c r="FN70" s="58">
        <f>IF(i_eff_inputs_based_on_num=2,EP70,(INDEX(Lists!$L$51:$L$85,MATCH(O70,Lists!$K$51:$K$85,0))))</f>
        <v>7</v>
      </c>
      <c r="FO70" s="58">
        <f>IF(i_eff_inputs_based_on_num=2,EQ70,(INDEX(Lists!$L$51:$L$85,MATCH(P70,Lists!$K$51:$K$85,0))))</f>
        <v>0</v>
      </c>
      <c r="FP70" s="58">
        <f>IF(i_eff_inputs_based_on_num=2,ER70,(INDEX(Lists!$L$51:$L$85,MATCH(Q70,Lists!$K$51:$K$85,0))))</f>
        <v>3</v>
      </c>
      <c r="FT70" s="58">
        <f t="shared" si="26"/>
        <v>0</v>
      </c>
      <c r="FW70" s="58">
        <f>IF(i_baseline_risk_from=2,'Effectiveness settings'!EW70,'Effectiveness settings'!FI70)</f>
        <v>0</v>
      </c>
      <c r="FX70" s="58">
        <f t="shared" si="27"/>
        <v>0</v>
      </c>
      <c r="FY70" s="58">
        <f t="shared" si="28"/>
        <v>0</v>
      </c>
      <c r="FZ70" s="58">
        <f t="shared" si="29"/>
        <v>0</v>
      </c>
      <c r="GA70" s="58">
        <f t="shared" si="30"/>
        <v>0</v>
      </c>
      <c r="GB70" s="58">
        <f t="shared" si="31"/>
        <v>0</v>
      </c>
      <c r="GC70" s="58">
        <f t="shared" si="32"/>
        <v>0</v>
      </c>
      <c r="GD70" s="58">
        <f t="shared" si="33"/>
        <v>0</v>
      </c>
      <c r="GE70" s="58">
        <f>IF(AND(dd_CheckMate214_TTD="Yes",'Effectiveness settings'!BU70=2,'Effectiveness settings'!BX70=2),"Apply HR to",GD70)</f>
        <v>0</v>
      </c>
      <c r="GF70" s="58">
        <f t="shared" si="34"/>
        <v>0</v>
      </c>
      <c r="GG70" s="58">
        <f t="shared" si="35"/>
        <v>0</v>
      </c>
      <c r="GH70" s="58">
        <f t="shared" si="36"/>
        <v>0</v>
      </c>
      <c r="GI70" s="58">
        <f t="shared" si="106"/>
        <v>0</v>
      </c>
      <c r="GK70" s="58">
        <f>IF(i_baseline_risk_from=2,'Effectiveness settings'!FA70,'Effectiveness settings'!FM70)</f>
        <v>1</v>
      </c>
      <c r="GL70" s="58">
        <f>IF(i_baseline_risk_from=2,'Effectiveness settings'!FB70,'Effectiveness settings'!FN70)</f>
        <v>7</v>
      </c>
      <c r="GM70" s="58">
        <f>IF(i_baseline_risk_from=2,'Effectiveness settings'!FC70,'Effectiveness settings'!FO70)</f>
        <v>2</v>
      </c>
      <c r="GN70" s="58">
        <f>IF(i_baseline_risk_from=2,'Effectiveness settings'!FD70,'Effectiveness settings'!FP70)</f>
        <v>3</v>
      </c>
      <c r="GQ70" s="58">
        <f t="shared" si="38"/>
        <v>7</v>
      </c>
      <c r="GR70" s="58">
        <f t="shared" si="39"/>
        <v>7</v>
      </c>
      <c r="GS70" s="58">
        <f t="shared" si="40"/>
        <v>7</v>
      </c>
      <c r="GT70" s="58">
        <f t="shared" si="41"/>
        <v>7</v>
      </c>
      <c r="GU70" s="58">
        <f>IF(AND(dd_CheckMate214_TTD="Yes",'Effectiveness settings'!BU70=2,'Effectiveness settings'!BX70=2),2,GT70)</f>
        <v>7</v>
      </c>
      <c r="GV70" s="58">
        <f t="shared" si="42"/>
        <v>7</v>
      </c>
      <c r="GW70" s="58">
        <f t="shared" si="43"/>
        <v>7</v>
      </c>
      <c r="GY70" s="58">
        <f>IF(AND(dd_CheckMate214_TTD="Yes",'Effectiveness settings'!BU70=2,'Effectiveness settings'!BX70=2),1,GN70)</f>
        <v>3</v>
      </c>
      <c r="GZ70" s="58">
        <f t="shared" si="44"/>
        <v>3</v>
      </c>
      <c r="HB70" s="58">
        <f t="shared" si="45"/>
        <v>1</v>
      </c>
      <c r="HD70" s="58">
        <f t="shared" si="107"/>
        <v>1</v>
      </c>
      <c r="HE70" s="58">
        <f t="shared" si="108"/>
        <v>1</v>
      </c>
      <c r="HF70" s="58">
        <f t="shared" si="109"/>
        <v>7</v>
      </c>
      <c r="HG70" s="58">
        <f t="shared" si="110"/>
        <v>2</v>
      </c>
      <c r="HH70" s="58">
        <f t="shared" si="111"/>
        <v>3</v>
      </c>
    </row>
    <row r="71" spans="1:216" ht="15.75" x14ac:dyDescent="0.25">
      <c r="D71" s="58" t="str">
        <v>placebo_BSC</v>
      </c>
      <c r="I71" s="64" t="s">
        <v>58</v>
      </c>
      <c r="J71" s="519" t="s">
        <v>555</v>
      </c>
      <c r="K71" s="524"/>
      <c r="L71" s="519"/>
      <c r="M71" s="516" t="s">
        <v>545</v>
      </c>
      <c r="N71" s="64" t="s">
        <v>546</v>
      </c>
      <c r="O71" s="64" t="s">
        <v>117</v>
      </c>
      <c r="P71" s="64" t="s">
        <v>547</v>
      </c>
      <c r="Q71" s="519" t="s">
        <v>555</v>
      </c>
      <c r="R71" s="516" t="s">
        <v>548</v>
      </c>
      <c r="S71" s="497"/>
      <c r="T71" s="497"/>
      <c r="U71" s="497"/>
      <c r="Y71" s="517"/>
      <c r="AA71" s="517"/>
      <c r="AF71" s="517"/>
      <c r="AM71" s="517"/>
      <c r="AO71" s="517"/>
      <c r="AT71" s="517"/>
      <c r="AV71" s="511"/>
      <c r="AW71" s="511"/>
      <c r="AX71" s="511"/>
      <c r="BA71" s="517"/>
      <c r="BC71" s="517"/>
      <c r="BH71" s="517"/>
      <c r="BJ71" s="511"/>
      <c r="BK71" s="511"/>
      <c r="BL71" s="511"/>
      <c r="BQ71" s="58">
        <f t="shared" si="0"/>
        <v>56</v>
      </c>
      <c r="BR71" s="17">
        <v>1</v>
      </c>
      <c r="BS71" s="17" t="s">
        <v>549</v>
      </c>
      <c r="BT71" s="17">
        <v>1</v>
      </c>
      <c r="BU71" s="17">
        <v>999</v>
      </c>
      <c r="BV71" s="17" t="str">
        <f t="shared" si="114"/>
        <v>placebo_BSC</v>
      </c>
      <c r="BW71" s="1006" t="str" cm="1">
        <f t="array" ref="BW71">IF(I71="No",I71,INDEX(List_incl_anal_1L_PorI,IF(BU71=999,35,BU71+1)))</f>
        <v>No</v>
      </c>
      <c r="BX71" s="61">
        <f t="shared" si="115"/>
        <v>3</v>
      </c>
      <c r="BY71" s="531" t="str">
        <f t="shared" si="139"/>
        <v>Time to progression</v>
      </c>
      <c r="BZ71" s="530">
        <f t="shared" si="116"/>
        <v>0</v>
      </c>
      <c r="CA71" s="531">
        <f t="shared" si="138"/>
        <v>0</v>
      </c>
      <c r="CB71" s="530">
        <f t="shared" si="117"/>
        <v>1</v>
      </c>
      <c r="CC71" s="530">
        <f t="shared" si="118"/>
        <v>4</v>
      </c>
      <c r="CD71" s="530">
        <f t="shared" si="119"/>
        <v>999</v>
      </c>
      <c r="CE71" s="1295">
        <f t="shared" si="120"/>
        <v>2</v>
      </c>
      <c r="CF71" s="1301">
        <f t="shared" si="121"/>
        <v>4</v>
      </c>
      <c r="CG71" s="530" t="str">
        <f t="shared" si="122"/>
        <v/>
      </c>
      <c r="CH71" s="61">
        <f t="shared" si="123"/>
        <v>0</v>
      </c>
      <c r="CI71" s="61">
        <f t="shared" si="124"/>
        <v>0</v>
      </c>
      <c r="CJ71" s="61">
        <f t="shared" si="125"/>
        <v>0</v>
      </c>
      <c r="DA71" s="1024"/>
      <c r="DB71" s="1024"/>
      <c r="DC71" s="1024"/>
      <c r="DD71" s="1024"/>
      <c r="DE71" s="1024"/>
      <c r="DF71" s="1024"/>
      <c r="DG71" s="1024"/>
      <c r="DK71" s="58" t="str" cm="1">
        <f t="array" ref="DK71">IF(AND($BT71=4,$BX71=4,$BU71=999),$DB$36,_xlfn.IFNA(INDEX(DB$13:DB$70,MATCH(1,($BR71=$CV$13:$CV$70)*($BT71=$CX$13:$CX$70)*($CE71=$CY$13:$CY$70)*($BY71=$DA$13:$DA$70)*($CD71=$DH$13:$DH$70),0)),""))</f>
        <v/>
      </c>
      <c r="DL71" s="58" t="str" cm="1">
        <f t="array" ref="DL71">IF(AND($BT71=4,$BX71=4,$BU71=999),$DC$36,_xlfn.IFNA(INDEX(CHOOSE(DP71,DB$13:DB$70,DC$13:DC$70,DD$13:DD$70,DE$13:DE$70),MATCH(1,($BR71=$CV$13:$CV$70)*($BT71=$CX$13:$CX$70)*($CE71=$CY$13:$CY$70)*($BY71=$DA$13:$DA$70)*($CD71=$DH$13:$DH$70),0)),""))</f>
        <v/>
      </c>
      <c r="DM71" s="740" t="str" cm="1">
        <f t="array" ref="DM71">IF(AND($BT71=4,$BX71=4,$BU71=999),$DD$36,_xlfn.IFNA(INDEX(DD$13:DD$68,MATCH(1,($BR71=$CV$13:$CV$68)*($BT71=$CX$13:$CX$68)*($CE71=$CY$13:$CY$68)*($BY71=$DA$13:$DA$68)*($CD71=$DH$13:$DH$68),0)),""))</f>
        <v/>
      </c>
      <c r="DN71" s="740" t="str" cm="1">
        <f t="array" ref="DN71">IF(AND($BT71=4,$BX71=4,$BU71=999),$DD$36,_xlfn.IFNA(INDEX(DE$13:DE$68,MATCH(1,($BR71=$CV$13:$CV$68)*($BT71=$CX$13:$CX$68)*($CE71=$CY$13:$CY$68)*($BY71=$DA$13:$DA$68)*($CD71=$DH$13:$DH$68),0)),""))</f>
        <v/>
      </c>
      <c r="DO71" s="58" t="str" cm="1">
        <f t="array" ref="DO71">IF(AND($BT71=4,$BX71=4,$BU71=999),$DF$36,_xlfn.IFNA(INDEX(DF$13:DF$70,MATCH(1,($BR71=$CV$13:$CV$70)*($BT71=$CX$13:$CX$70)*($CE71=$CY$13:$CY$70)*($BY71=$DA$13:$DA$70)*($CD71=$DH$13:$DH$70),0)),""))</f>
        <v/>
      </c>
      <c r="DP71" s="58" t="e">
        <f t="shared" si="13"/>
        <v>#N/A</v>
      </c>
      <c r="DW71" s="58" t="s">
        <v>58</v>
      </c>
      <c r="DX71" s="58" t="s">
        <v>555</v>
      </c>
      <c r="DY71" s="58">
        <v>0</v>
      </c>
      <c r="DZ71" s="58">
        <v>0</v>
      </c>
      <c r="EB71" s="58">
        <v>1</v>
      </c>
      <c r="EC71" s="58">
        <v>4</v>
      </c>
      <c r="ED71" s="58">
        <v>999</v>
      </c>
      <c r="EE71" s="58">
        <v>2</v>
      </c>
      <c r="EF71" s="58">
        <v>4</v>
      </c>
      <c r="EI71" s="58" t="s">
        <v>58</v>
      </c>
      <c r="EJ71" s="58" t="s">
        <v>555</v>
      </c>
      <c r="EK71" s="58">
        <v>0</v>
      </c>
      <c r="EL71" s="58">
        <v>0</v>
      </c>
      <c r="EN71" s="58">
        <v>1</v>
      </c>
      <c r="EO71" s="58">
        <v>4</v>
      </c>
      <c r="EP71" s="58">
        <v>999</v>
      </c>
      <c r="EQ71" s="58">
        <v>2</v>
      </c>
      <c r="ER71" s="58">
        <v>4</v>
      </c>
      <c r="EU71" s="58" t="str">
        <f t="shared" si="126"/>
        <v>No</v>
      </c>
      <c r="EV71" s="58" t="str">
        <f t="shared" si="127"/>
        <v>Time to progression</v>
      </c>
      <c r="EW71" s="58">
        <f t="shared" si="128"/>
        <v>0</v>
      </c>
      <c r="EX71" s="58">
        <f t="shared" si="129"/>
        <v>0</v>
      </c>
      <c r="EZ71" s="58">
        <f t="shared" si="130"/>
        <v>1</v>
      </c>
      <c r="FA71" s="58">
        <f t="shared" si="131"/>
        <v>4</v>
      </c>
      <c r="FB71" s="58">
        <f>IF(i_eff_inputs_based_on_num=2,ED71,(INDEX(Lists!$L$51:$L$85,MATCH(O71,Lists!$K$51:$K$85,0))))</f>
        <v>999</v>
      </c>
      <c r="FC71" s="58">
        <f>IF(i_eff_inputs_based_on_num=2,EE71,(INDEX(Lists!$L$51:$L$85,MATCH(P71,Lists!$K$51:$K$85,0))))</f>
        <v>2</v>
      </c>
      <c r="FD71" s="58">
        <f>IF(i_eff_inputs_based_on_num=2,EF71,(INDEX(Lists!$L$51:$L$85,MATCH(Q71,Lists!$K$51:$K$85,0))))</f>
        <v>4</v>
      </c>
      <c r="FG71" s="58" t="str">
        <f t="shared" si="132"/>
        <v>No</v>
      </c>
      <c r="FH71" s="58" t="str">
        <f t="shared" si="133"/>
        <v>Time to progression</v>
      </c>
      <c r="FI71" s="58">
        <f t="shared" si="134"/>
        <v>0</v>
      </c>
      <c r="FJ71" s="58">
        <f t="shared" si="135"/>
        <v>0</v>
      </c>
      <c r="FL71" s="58">
        <f t="shared" si="136"/>
        <v>1</v>
      </c>
      <c r="FM71" s="58">
        <f t="shared" si="137"/>
        <v>4</v>
      </c>
      <c r="FN71" s="58">
        <f>IF(i_eff_inputs_based_on_num=2,EP71,(INDEX(Lists!$L$51:$L$85,MATCH(O71,Lists!$K$51:$K$85,0))))</f>
        <v>999</v>
      </c>
      <c r="FO71" s="58">
        <f>IF(i_eff_inputs_based_on_num=2,EQ71,(INDEX(Lists!$L$51:$L$85,MATCH(P71,Lists!$K$51:$K$85,0))))</f>
        <v>2</v>
      </c>
      <c r="FP71" s="58">
        <f>IF(i_eff_inputs_based_on_num=2,ER71,(INDEX(Lists!$L$51:$L$85,MATCH(Q71,Lists!$K$51:$K$85,0))))</f>
        <v>4</v>
      </c>
      <c r="FT71" s="58">
        <f t="shared" si="26"/>
        <v>0</v>
      </c>
      <c r="FW71" s="58">
        <f>IF(i_baseline_risk_from=2,'Effectiveness settings'!EW71,'Effectiveness settings'!FI71)</f>
        <v>0</v>
      </c>
      <c r="FX71" s="58">
        <f t="shared" si="27"/>
        <v>0</v>
      </c>
      <c r="FY71" s="58">
        <f t="shared" si="28"/>
        <v>0</v>
      </c>
      <c r="FZ71" s="58">
        <f t="shared" si="29"/>
        <v>0</v>
      </c>
      <c r="GA71" s="58">
        <f t="shared" si="30"/>
        <v>0</v>
      </c>
      <c r="GB71" s="58">
        <f t="shared" si="31"/>
        <v>0</v>
      </c>
      <c r="GC71" s="58">
        <f t="shared" si="32"/>
        <v>0</v>
      </c>
      <c r="GD71" s="58">
        <f t="shared" si="33"/>
        <v>0</v>
      </c>
      <c r="GE71" s="58">
        <f>IF(AND(dd_CheckMate214_TTD="Yes",'Effectiveness settings'!BU71=2,'Effectiveness settings'!BX71=2),"Apply HR to",GD71)</f>
        <v>0</v>
      </c>
      <c r="GF71" s="58">
        <f t="shared" si="34"/>
        <v>0</v>
      </c>
      <c r="GG71" s="58">
        <f t="shared" si="35"/>
        <v>0</v>
      </c>
      <c r="GH71" s="58">
        <f t="shared" si="36"/>
        <v>0</v>
      </c>
      <c r="GI71" s="58">
        <f t="shared" si="106"/>
        <v>0</v>
      </c>
      <c r="GK71" s="58">
        <f>IF(i_baseline_risk_from=2,'Effectiveness settings'!FA71,'Effectiveness settings'!FM71)</f>
        <v>4</v>
      </c>
      <c r="GL71" s="58">
        <f>IF(i_baseline_risk_from=2,'Effectiveness settings'!FB71,'Effectiveness settings'!FN71)</f>
        <v>999</v>
      </c>
      <c r="GM71" s="58">
        <f>IF(i_baseline_risk_from=2,'Effectiveness settings'!FC71,'Effectiveness settings'!FO71)</f>
        <v>2</v>
      </c>
      <c r="GN71" s="58">
        <f>IF(i_baseline_risk_from=2,'Effectiveness settings'!FD71,'Effectiveness settings'!FP71)</f>
        <v>4</v>
      </c>
      <c r="GQ71" s="58">
        <f t="shared" si="38"/>
        <v>999</v>
      </c>
      <c r="GR71" s="58">
        <f t="shared" si="39"/>
        <v>999</v>
      </c>
      <c r="GS71" s="58">
        <f t="shared" si="40"/>
        <v>999</v>
      </c>
      <c r="GT71" s="58">
        <f t="shared" si="41"/>
        <v>999</v>
      </c>
      <c r="GU71" s="58">
        <f>IF(AND(dd_CheckMate214_TTD="Yes",'Effectiveness settings'!BU71=2,'Effectiveness settings'!BX71=2),2,GT71)</f>
        <v>999</v>
      </c>
      <c r="GV71" s="58">
        <f t="shared" si="42"/>
        <v>999</v>
      </c>
      <c r="GW71" s="58">
        <f t="shared" si="43"/>
        <v>999</v>
      </c>
      <c r="GY71" s="58">
        <f>IF(AND(dd_CheckMate214_TTD="Yes",'Effectiveness settings'!BU71=2,'Effectiveness settings'!BX71=2),1,GN71)</f>
        <v>4</v>
      </c>
      <c r="GZ71" s="58">
        <f t="shared" si="44"/>
        <v>4</v>
      </c>
      <c r="HB71" s="58">
        <f t="shared" si="45"/>
        <v>1</v>
      </c>
      <c r="HD71" s="58">
        <f t="shared" si="107"/>
        <v>1</v>
      </c>
      <c r="HE71" s="58">
        <f t="shared" si="108"/>
        <v>4</v>
      </c>
      <c r="HF71" s="58">
        <f t="shared" si="109"/>
        <v>999</v>
      </c>
      <c r="HG71" s="58">
        <f t="shared" si="110"/>
        <v>2</v>
      </c>
      <c r="HH71" s="58">
        <f t="shared" si="111"/>
        <v>4</v>
      </c>
    </row>
    <row r="72" spans="1:216" ht="15.75" x14ac:dyDescent="0.25">
      <c r="I72" s="67"/>
      <c r="J72" s="520"/>
      <c r="K72" s="525"/>
      <c r="L72" s="517"/>
      <c r="Q72" s="520"/>
      <c r="Y72" s="517"/>
      <c r="AA72" s="517"/>
      <c r="AF72" s="517"/>
      <c r="AM72" s="517"/>
      <c r="AO72" s="517"/>
      <c r="AT72" s="517"/>
      <c r="AV72" s="511"/>
      <c r="AW72" s="511"/>
      <c r="AX72" s="511"/>
      <c r="BA72" s="517"/>
      <c r="BC72" s="517"/>
      <c r="BH72" s="517"/>
      <c r="BJ72" s="511"/>
      <c r="BK72" s="511"/>
      <c r="BL72" s="511"/>
      <c r="BQ72" s="58">
        <f t="shared" si="0"/>
        <v>56</v>
      </c>
      <c r="BR72" s="17"/>
      <c r="BS72" s="17"/>
      <c r="BT72" s="17"/>
      <c r="BU72" s="61"/>
      <c r="BV72" s="17"/>
      <c r="BW72" s="17"/>
      <c r="BX72" s="61"/>
      <c r="BY72" s="531"/>
      <c r="BZ72" s="530"/>
      <c r="CA72" s="531"/>
      <c r="CB72" s="530"/>
      <c r="CC72" s="530"/>
      <c r="CD72" s="530"/>
      <c r="CE72" s="1295"/>
      <c r="CF72" s="1301"/>
      <c r="CG72" s="530"/>
      <c r="CH72" s="61"/>
      <c r="CI72" s="61"/>
      <c r="CJ72" s="61"/>
      <c r="DA72" s="1024"/>
      <c r="DB72" s="1024"/>
      <c r="DC72" s="1024"/>
      <c r="DD72" s="1024"/>
      <c r="DE72" s="1024"/>
      <c r="DF72" s="1024"/>
      <c r="DG72" s="1024"/>
      <c r="DK72" s="58" t="str" cm="1">
        <f t="array" ref="DK72">IF(AND($BT72=4,$BX72=4,$BU72=999),$DB$36,_xlfn.IFNA(INDEX(DB$13:DB$70,MATCH(1,($BR72=$CV$13:$CV$70)*($BT72=$CX$13:$CX$70)*($CE72=$CY$13:$CY$70)*($BY72=$DA$13:$DA$70)*($CD72=$DH$13:$DH$70),0)),""))</f>
        <v/>
      </c>
      <c r="DL72" s="58" t="str" cm="1">
        <f t="array" ref="DL72">IF(AND($BT72=4,$BX72=4,$BU72=999),$DC$36,_xlfn.IFNA(INDEX(CHOOSE(DP72,DB$13:DB$70,DC$13:DC$70,DD$13:DD$70,DE$13:DE$70),MATCH(1,($BR72=$CV$13:$CV$70)*($BT72=$CX$13:$CX$70)*($CE72=$CY$13:$CY$70)*($BY72=$DA$13:$DA$70)*($CD72=$DH$13:$DH$70),0)),""))</f>
        <v/>
      </c>
      <c r="DM72" s="740" t="str" cm="1">
        <f t="array" ref="DM72">IF(AND($BT72=4,$BX72=4,$BU72=999),$DD$36,_xlfn.IFNA(INDEX(DD$13:DD$68,MATCH(1,($BR72=$CV$13:$CV$68)*($BT72=$CX$13:$CX$68)*($CE72=$CY$13:$CY$68)*($BY72=$DA$13:$DA$68)*($CD72=$DH$13:$DH$68),0)),""))</f>
        <v/>
      </c>
      <c r="DN72" s="740" t="str" cm="1">
        <f t="array" ref="DN72">IF(AND($BT72=4,$BX72=4,$BU72=999),$DD$36,_xlfn.IFNA(INDEX(DE$13:DE$68,MATCH(1,($BR72=$CV$13:$CV$68)*($BT72=$CX$13:$CX$68)*($CE72=$CY$13:$CY$68)*($BY72=$DA$13:$DA$68)*($CD72=$DH$13:$DH$68),0)),""))</f>
        <v/>
      </c>
      <c r="DO72" s="58" t="str" cm="1">
        <f t="array" ref="DO72">IF(AND($BT72=4,$BX72=4,$BU72=999),$DF$36,_xlfn.IFNA(INDEX(DF$13:DF$70,MATCH(1,($BR72=$CV$13:$CV$70)*($BT72=$CX$13:$CX$70)*($CE72=$CY$13:$CY$70)*($BY72=$DA$13:$DA$70)*($CD72=$DH$13:$DH$70),0)),""))</f>
        <v/>
      </c>
      <c r="DP72" s="58" t="e">
        <f t="shared" si="13"/>
        <v>#N/A</v>
      </c>
      <c r="FT72" s="58">
        <f t="shared" si="26"/>
        <v>0</v>
      </c>
      <c r="FW72" s="58">
        <f>IF(i_baseline_risk_from=2,'Effectiveness settings'!EW72,'Effectiveness settings'!FI72)</f>
        <v>0</v>
      </c>
      <c r="FX72" s="58">
        <f t="shared" si="27"/>
        <v>0</v>
      </c>
      <c r="FY72" s="58">
        <f t="shared" si="28"/>
        <v>0</v>
      </c>
      <c r="FZ72" s="58">
        <f t="shared" si="29"/>
        <v>0</v>
      </c>
      <c r="GA72" s="58">
        <f t="shared" si="30"/>
        <v>0</v>
      </c>
      <c r="GB72" s="58">
        <f t="shared" si="31"/>
        <v>0</v>
      </c>
      <c r="GC72" s="58">
        <f t="shared" si="32"/>
        <v>0</v>
      </c>
      <c r="GD72" s="58">
        <f t="shared" si="33"/>
        <v>0</v>
      </c>
      <c r="GE72" s="58">
        <f>IF(AND(dd_CheckMate214_TTD="Yes",'Effectiveness settings'!BU72=2,'Effectiveness settings'!BX72=2),"Apply HR to",GD72)</f>
        <v>0</v>
      </c>
      <c r="GF72" s="58">
        <f t="shared" si="34"/>
        <v>0</v>
      </c>
      <c r="GG72" s="58">
        <f t="shared" si="35"/>
        <v>0</v>
      </c>
      <c r="GH72" s="58">
        <f t="shared" si="36"/>
        <v>0</v>
      </c>
      <c r="GI72" s="58">
        <f t="shared" si="106"/>
        <v>0</v>
      </c>
      <c r="GK72" s="58">
        <f>IF(i_baseline_risk_from=2,'Effectiveness settings'!FA72,'Effectiveness settings'!FM72)</f>
        <v>0</v>
      </c>
      <c r="GL72" s="58">
        <f>IF(i_baseline_risk_from=2,'Effectiveness settings'!FB72,'Effectiveness settings'!FN72)</f>
        <v>0</v>
      </c>
      <c r="GM72" s="58">
        <f>IF(i_baseline_risk_from=2,'Effectiveness settings'!FC72,'Effectiveness settings'!FO72)</f>
        <v>0</v>
      </c>
      <c r="GN72" s="58">
        <f>IF(i_baseline_risk_from=2,'Effectiveness settings'!FD72,'Effectiveness settings'!FP72)</f>
        <v>0</v>
      </c>
      <c r="GQ72" s="58">
        <f t="shared" si="38"/>
        <v>0</v>
      </c>
      <c r="GR72" s="58">
        <f t="shared" si="39"/>
        <v>0</v>
      </c>
      <c r="GS72" s="58">
        <f t="shared" si="40"/>
        <v>0</v>
      </c>
      <c r="GT72" s="58">
        <f t="shared" si="41"/>
        <v>0</v>
      </c>
      <c r="GU72" s="58">
        <f>IF(AND(dd_CheckMate214_TTD="Yes",'Effectiveness settings'!BU72=2,'Effectiveness settings'!BX72=2),2,GT72)</f>
        <v>0</v>
      </c>
      <c r="GV72" s="58">
        <f t="shared" si="42"/>
        <v>0</v>
      </c>
      <c r="GW72" s="58">
        <f t="shared" si="43"/>
        <v>0</v>
      </c>
      <c r="GY72" s="58">
        <f>IF(AND(dd_CheckMate214_TTD="Yes",'Effectiveness settings'!BU72=2,'Effectiveness settings'!BX72=2),1,GN72)</f>
        <v>0</v>
      </c>
      <c r="GZ72" s="58">
        <f t="shared" si="44"/>
        <v>0</v>
      </c>
      <c r="HB72" s="58">
        <f t="shared" si="45"/>
        <v>0</v>
      </c>
      <c r="HD72" s="58">
        <f t="shared" si="107"/>
        <v>0</v>
      </c>
      <c r="HE72" s="58">
        <f t="shared" si="108"/>
        <v>0</v>
      </c>
      <c r="HF72" s="58">
        <f t="shared" si="109"/>
        <v>0</v>
      </c>
      <c r="HG72" s="58">
        <f t="shared" si="110"/>
        <v>0</v>
      </c>
      <c r="HH72" s="58">
        <f t="shared" si="111"/>
        <v>0</v>
      </c>
    </row>
    <row r="73" spans="1:216" ht="15.75" x14ac:dyDescent="0.25">
      <c r="A73" s="480"/>
      <c r="D73" s="58" t="str" cm="1">
        <f t="array" ref="D73:D86">List_comparators</f>
        <v>nivolumab_monotherapy</v>
      </c>
      <c r="I73" s="64" t="s">
        <v>58</v>
      </c>
      <c r="J73" s="519" t="s">
        <v>557</v>
      </c>
      <c r="K73" s="524"/>
      <c r="L73" s="519"/>
      <c r="M73" s="516" t="s">
        <v>545</v>
      </c>
      <c r="N73" s="64" t="s">
        <v>546</v>
      </c>
      <c r="O73" s="64" t="s">
        <v>117</v>
      </c>
      <c r="P73" s="64" t="s">
        <v>547</v>
      </c>
      <c r="Q73" s="519" t="s">
        <v>557</v>
      </c>
      <c r="R73" s="516" t="s">
        <v>548</v>
      </c>
      <c r="S73" s="497"/>
      <c r="T73" s="497"/>
      <c r="U73" s="497"/>
      <c r="Y73" s="517"/>
      <c r="AA73" s="517"/>
      <c r="AF73" s="517"/>
      <c r="AM73" s="517"/>
      <c r="AO73" s="517"/>
      <c r="AT73" s="517"/>
      <c r="AV73" s="511"/>
      <c r="AW73" s="511"/>
      <c r="AX73" s="511"/>
      <c r="BA73" s="517"/>
      <c r="BC73" s="517"/>
      <c r="BH73" s="517"/>
      <c r="BJ73" s="511"/>
      <c r="BK73" s="511"/>
      <c r="BL73" s="511"/>
      <c r="BQ73" s="58">
        <f t="shared" si="0"/>
        <v>57</v>
      </c>
      <c r="BR73" s="17">
        <v>1</v>
      </c>
      <c r="BS73" s="17" t="s">
        <v>549</v>
      </c>
      <c r="BT73" s="17">
        <v>1</v>
      </c>
      <c r="BU73" s="17">
        <v>0</v>
      </c>
      <c r="BV73" s="17" t="str">
        <f t="shared" ref="BV73:BV86" si="140">D73</f>
        <v>nivolumab_monotherapy</v>
      </c>
      <c r="BW73" s="1006" t="str" cm="1">
        <f t="array" ref="BW73">IF(I73="No",I73,INDEX(List_incl_anal_1L_PorI,IF(BU73=999,35,BU73+1)))</f>
        <v>No</v>
      </c>
      <c r="BX73" s="61">
        <f t="shared" ref="BX73:BX86" si="141">MATCH(BY73,List_eff_endpoints,0)-1</f>
        <v>4</v>
      </c>
      <c r="BY73" s="531" t="str">
        <f>J73</f>
        <v>Post progression survival</v>
      </c>
      <c r="BZ73" s="530">
        <f t="shared" ref="BZ73:BZ86" si="142">GI73</f>
        <v>0</v>
      </c>
      <c r="CA73" s="531">
        <f>FT73</f>
        <v>0</v>
      </c>
      <c r="CB73" s="530">
        <f t="shared" ref="CB73:CB86" si="143">HD73</f>
        <v>1</v>
      </c>
      <c r="CC73" s="530">
        <f t="shared" ref="CC73:CC86" si="144">HE73</f>
        <v>1</v>
      </c>
      <c r="CD73" s="530">
        <f t="shared" ref="CD73:CD86" si="145">HF73</f>
        <v>7</v>
      </c>
      <c r="CE73" s="1295">
        <f t="shared" ref="CE73:CE86" si="146">HG73</f>
        <v>2</v>
      </c>
      <c r="CF73" s="1301">
        <f t="shared" ref="CF73:CF86" si="147">HH73</f>
        <v>4</v>
      </c>
      <c r="CG73" s="530" t="str">
        <f t="shared" ref="CG73:CG86" si="148">IF(i_surv_cur=1,DK73,DL73)</f>
        <v>Exponential</v>
      </c>
      <c r="CH73" s="61">
        <f t="shared" ref="CH73:CH86" si="149">S73</f>
        <v>0</v>
      </c>
      <c r="CI73" s="61">
        <f t="shared" ref="CI73:CI86" si="150">T73</f>
        <v>0</v>
      </c>
      <c r="CJ73" s="61">
        <f t="shared" ref="CJ73:CJ86" si="151">U73</f>
        <v>0</v>
      </c>
      <c r="DA73" s="1024"/>
      <c r="DB73" s="1024"/>
      <c r="DC73" s="1024"/>
      <c r="DD73" s="1024"/>
      <c r="DE73" s="1024"/>
      <c r="DF73" s="1024"/>
      <c r="DG73" s="1024"/>
      <c r="DK73" s="58" t="str" cm="1">
        <f t="array" ref="DK73">IF(AND($BT73=4,$BX73=4,$BU73=999),$DB$36,_xlfn.IFNA(INDEX(DB$13:DB$70,MATCH(1,($BR73=$CV$13:$CV$70)*($BT73=$CX$13:$CX$70)*($CE73=$CY$13:$CY$70)*($BY73=$DA$13:$DA$70)*($CD73=$DH$13:$DH$70),0)),""))</f>
        <v>Exponential</v>
      </c>
      <c r="DL73" s="58" t="str" cm="1">
        <f t="array" ref="DL73">IF(AND($BT73=4,$BX73=4,$BU73=999),$DC$36,_xlfn.IFNA(INDEX(CHOOSE(DP73,DB$13:DB$70,DC$13:DC$70,DD$13:DD$70,DE$13:DE$70),MATCH(1,($BR73=$CV$13:$CV$70)*($BT73=$CX$13:$CX$70)*($CE73=$CY$13:$CY$70)*($BY73=$DA$13:$DA$70)*($CD73=$DH$13:$DH$70),0)),""))</f>
        <v>Exponential</v>
      </c>
      <c r="DM73" s="740" cm="1">
        <f t="array" ref="DM73">IF(AND($BT73=4,$BX73=4,$BU73=999),$DD$36,_xlfn.IFNA(INDEX(DD$13:DD$68,MATCH(1,($BR73=$CV$13:$CV$68)*($BT73=$CX$13:$CX$68)*($CE73=$CY$13:$CY$68)*($BY73=$DA$13:$DA$68)*($CD73=$DH$13:$DH$68),0)),""))</f>
        <v>0</v>
      </c>
      <c r="DN73" s="740" cm="1">
        <f t="array" ref="DN73">IF(AND($BT73=4,$BX73=4,$BU73=999),$DD$36,_xlfn.IFNA(INDEX(DE$13:DE$68,MATCH(1,($BR73=$CV$13:$CV$68)*($BT73=$CX$13:$CX$68)*($CE73=$CY$13:$CY$68)*($BY73=$DA$13:$DA$68)*($CD73=$DH$13:$DH$68),0)),""))</f>
        <v>0</v>
      </c>
      <c r="DO73" s="58" t="str" cm="1">
        <f t="array" ref="DO73">IF(AND($BT73=4,$BX73=4,$BU73=999),$DF$36,_xlfn.IFNA(INDEX(DF$13:DF$70,MATCH(1,($BR73=$CV$13:$CV$70)*($BT73=$CX$13:$CX$70)*($CE73=$CY$13:$CY$70)*($BY73=$DA$13:$DA$70)*($CD73=$DH$13:$DH$70),0)),""))</f>
        <v>Base case</v>
      </c>
      <c r="DP73" s="58">
        <f t="shared" si="13"/>
        <v>1</v>
      </c>
      <c r="DW73" s="58" t="s">
        <v>58</v>
      </c>
      <c r="DX73" s="58" t="s">
        <v>557</v>
      </c>
      <c r="DY73" s="58">
        <v>0</v>
      </c>
      <c r="DZ73" s="58">
        <v>0</v>
      </c>
      <c r="EB73" s="58">
        <v>1</v>
      </c>
      <c r="EC73" s="58">
        <v>1</v>
      </c>
      <c r="ED73" s="58">
        <v>7</v>
      </c>
      <c r="EE73" s="58">
        <v>2</v>
      </c>
      <c r="EF73" s="58">
        <v>4</v>
      </c>
      <c r="EI73" s="58" t="s">
        <v>58</v>
      </c>
      <c r="EJ73" s="58" t="s">
        <v>557</v>
      </c>
      <c r="EK73" s="58">
        <v>0</v>
      </c>
      <c r="EL73" s="58">
        <v>0</v>
      </c>
      <c r="EN73" s="58">
        <v>1</v>
      </c>
      <c r="EO73" s="58">
        <v>1</v>
      </c>
      <c r="EP73" s="58">
        <v>7</v>
      </c>
      <c r="EQ73" s="58">
        <v>2</v>
      </c>
      <c r="ER73" s="58">
        <v>4</v>
      </c>
      <c r="EU73" s="58" t="str">
        <f t="shared" ref="EU73:EU86" si="152">IF(i_eff_inputs_based_on_num=2,DW73,I73)</f>
        <v>No</v>
      </c>
      <c r="EV73" s="58" t="str">
        <f t="shared" ref="EV73:EV86" si="153">IF(i_eff_inputs_based_on_num=2,DX73,J73)</f>
        <v>Post progression survival</v>
      </c>
      <c r="EW73" s="58">
        <f t="shared" ref="EW73:EW86" si="154">IF(i_eff_inputs_based_on_num=2,DY73,K73)</f>
        <v>0</v>
      </c>
      <c r="EX73" s="58">
        <f t="shared" ref="EX73:EX86" si="155">IF(i_eff_inputs_based_on_num=2,DZ73,L73)</f>
        <v>0</v>
      </c>
      <c r="EZ73" s="58">
        <f t="shared" ref="EZ73:EZ86" si="156">IF(i_eff_inputs_based_on_num=2,EB73,VLOOKUP(M73,r_pld_lookup_line,3,FALSE))</f>
        <v>1</v>
      </c>
      <c r="FA73" s="58">
        <f t="shared" ref="FA73:FA86" si="157">IF(i_eff_inputs_based_on_num=2,EC73,VLOOKUP(N73,r_pld_lookup_line,3,FALSE))</f>
        <v>1</v>
      </c>
      <c r="FB73" s="58">
        <f>IF(i_eff_inputs_based_on_num=2,ED73,(INDEX(Lists!$L$51:$L$85,MATCH(O73,Lists!$K$51:$K$85,0))))</f>
        <v>7</v>
      </c>
      <c r="FC73" s="58">
        <f>IF(i_eff_inputs_based_on_num=2,EE73,(INDEX(Lists!$L$51:$L$85,MATCH(P73,Lists!$K$51:$K$85,0))))</f>
        <v>2</v>
      </c>
      <c r="FD73" s="58">
        <f>IF(i_eff_inputs_based_on_num=2,EF73,(INDEX(Lists!$L$51:$L$85,MATCH(Q73,Lists!$K$51:$K$85,0))))</f>
        <v>4</v>
      </c>
      <c r="FG73" s="58" t="str">
        <f t="shared" ref="FG73:FG86" si="158">IF(i_eff_inputs_based_on_num=2,EI73,I73)</f>
        <v>No</v>
      </c>
      <c r="FH73" s="58" t="str">
        <f t="shared" ref="FH73:FH86" si="159">IF(i_eff_inputs_based_on_num=2,EJ73,J73)</f>
        <v>Post progression survival</v>
      </c>
      <c r="FI73" s="58">
        <f t="shared" ref="FI73:FI86" si="160">IF(i_eff_inputs_based_on_num=2,EK73,K73)</f>
        <v>0</v>
      </c>
      <c r="FJ73" s="58">
        <f t="shared" ref="FJ73:FJ86" si="161">IF(i_eff_inputs_based_on_num=2,EL73,L73)</f>
        <v>0</v>
      </c>
      <c r="FL73" s="58">
        <f t="shared" ref="FL73:FL86" si="162">IF(i_eff_inputs_based_on_num=2,EN73,VLOOKUP(M73,r_pld_lookup_line,3,FALSE))</f>
        <v>1</v>
      </c>
      <c r="FM73" s="58">
        <f t="shared" ref="FM73:FM86" si="163">IF(i_eff_inputs_based_on_num=2,EO73,VLOOKUP(N73,r_pld_lookup_line,3,FALSE))</f>
        <v>1</v>
      </c>
      <c r="FN73" s="58">
        <f>IF(i_eff_inputs_based_on_num=2,EP73,(INDEX(Lists!$L$51:$L$85,MATCH(O73,Lists!$K$51:$K$85,0))))</f>
        <v>7</v>
      </c>
      <c r="FO73" s="58">
        <f>IF(i_eff_inputs_based_on_num=2,EQ73,(INDEX(Lists!$L$51:$L$85,MATCH(P73,Lists!$K$51:$K$85,0))))</f>
        <v>2</v>
      </c>
      <c r="FP73" s="58">
        <f>IF(i_eff_inputs_based_on_num=2,ER73,(INDEX(Lists!$L$51:$L$85,MATCH(Q73,Lists!$K$51:$K$85,0))))</f>
        <v>4</v>
      </c>
      <c r="FT73" s="58">
        <f t="shared" si="26"/>
        <v>0</v>
      </c>
      <c r="FW73" s="58">
        <f>IF(i_baseline_risk_from=2,'Effectiveness settings'!EW73,'Effectiveness settings'!FI73)</f>
        <v>0</v>
      </c>
      <c r="FX73" s="58">
        <f t="shared" si="27"/>
        <v>0</v>
      </c>
      <c r="FY73" s="58">
        <f t="shared" si="28"/>
        <v>0</v>
      </c>
      <c r="FZ73" s="58">
        <f t="shared" si="29"/>
        <v>0</v>
      </c>
      <c r="GA73" s="58">
        <f t="shared" si="30"/>
        <v>0</v>
      </c>
      <c r="GB73" s="58">
        <f t="shared" si="31"/>
        <v>0</v>
      </c>
      <c r="GC73" s="58">
        <f t="shared" si="32"/>
        <v>0</v>
      </c>
      <c r="GD73" s="58">
        <f t="shared" si="33"/>
        <v>0</v>
      </c>
      <c r="GE73" s="58">
        <f>IF(AND(dd_CheckMate214_TTD="Yes",'Effectiveness settings'!BU73=2,'Effectiveness settings'!BX73=2),"Apply HR to",GD73)</f>
        <v>0</v>
      </c>
      <c r="GF73" s="58">
        <f t="shared" si="34"/>
        <v>0</v>
      </c>
      <c r="GG73" s="58">
        <f t="shared" si="35"/>
        <v>0</v>
      </c>
      <c r="GH73" s="58">
        <f t="shared" si="36"/>
        <v>0</v>
      </c>
      <c r="GI73" s="58">
        <f t="shared" si="106"/>
        <v>0</v>
      </c>
      <c r="GK73" s="58">
        <f>IF(i_baseline_risk_from=2,'Effectiveness settings'!FA73,'Effectiveness settings'!FM73)</f>
        <v>1</v>
      </c>
      <c r="GL73" s="58">
        <f>IF(i_baseline_risk_from=2,'Effectiveness settings'!FB73,'Effectiveness settings'!FN73)</f>
        <v>7</v>
      </c>
      <c r="GM73" s="58">
        <f>IF(i_baseline_risk_from=2,'Effectiveness settings'!FC73,'Effectiveness settings'!FO73)</f>
        <v>2</v>
      </c>
      <c r="GN73" s="58">
        <f>IF(i_baseline_risk_from=2,'Effectiveness settings'!FD73,'Effectiveness settings'!FP73)</f>
        <v>4</v>
      </c>
      <c r="GQ73" s="58">
        <f t="shared" si="38"/>
        <v>7</v>
      </c>
      <c r="GR73" s="58">
        <f t="shared" si="39"/>
        <v>7</v>
      </c>
      <c r="GS73" s="58">
        <f t="shared" si="40"/>
        <v>7</v>
      </c>
      <c r="GT73" s="58">
        <f t="shared" si="41"/>
        <v>7</v>
      </c>
      <c r="GU73" s="58">
        <f>IF(AND(dd_CheckMate214_TTD="Yes",'Effectiveness settings'!BU73=2,'Effectiveness settings'!BX73=2),2,GT73)</f>
        <v>7</v>
      </c>
      <c r="GV73" s="58">
        <f t="shared" si="42"/>
        <v>7</v>
      </c>
      <c r="GW73" s="58">
        <f t="shared" si="43"/>
        <v>7</v>
      </c>
      <c r="GY73" s="58">
        <f>IF(AND(dd_CheckMate214_TTD="Yes",'Effectiveness settings'!BU73=2,'Effectiveness settings'!BX73=2),1,GN73)</f>
        <v>4</v>
      </c>
      <c r="GZ73" s="58">
        <f t="shared" si="44"/>
        <v>4</v>
      </c>
      <c r="HB73" s="58">
        <f t="shared" si="45"/>
        <v>1</v>
      </c>
      <c r="HD73" s="58">
        <f t="shared" si="107"/>
        <v>1</v>
      </c>
      <c r="HE73" s="58">
        <f t="shared" si="108"/>
        <v>1</v>
      </c>
      <c r="HF73" s="58">
        <f t="shared" si="109"/>
        <v>7</v>
      </c>
      <c r="HG73" s="58">
        <f t="shared" si="110"/>
        <v>2</v>
      </c>
      <c r="HH73" s="58">
        <f t="shared" si="111"/>
        <v>4</v>
      </c>
    </row>
    <row r="74" spans="1:216" ht="15.75" x14ac:dyDescent="0.25">
      <c r="A74" s="58" t="s">
        <v>569</v>
      </c>
      <c r="D74" s="58" t="str">
        <v>cabozantinib_plus_nivolumab</v>
      </c>
      <c r="I74" s="64" t="s">
        <v>58</v>
      </c>
      <c r="J74" s="519" t="s">
        <v>557</v>
      </c>
      <c r="K74" s="524"/>
      <c r="L74" s="519"/>
      <c r="M74" s="516" t="s">
        <v>545</v>
      </c>
      <c r="N74" s="64" t="s">
        <v>546</v>
      </c>
      <c r="O74" s="64" t="s">
        <v>117</v>
      </c>
      <c r="P74" s="64" t="s">
        <v>547</v>
      </c>
      <c r="Q74" s="519" t="s">
        <v>557</v>
      </c>
      <c r="R74" s="516" t="s">
        <v>548</v>
      </c>
      <c r="S74" s="497"/>
      <c r="T74" s="497"/>
      <c r="U74" s="497"/>
      <c r="Y74" s="517"/>
      <c r="AA74" s="517"/>
      <c r="AF74" s="517"/>
      <c r="AM74" s="517"/>
      <c r="AO74" s="517"/>
      <c r="AT74" s="517"/>
      <c r="AV74" s="511"/>
      <c r="AW74" s="511"/>
      <c r="AX74" s="511"/>
      <c r="BA74" s="517"/>
      <c r="BC74" s="517"/>
      <c r="BH74" s="517"/>
      <c r="BJ74" s="511"/>
      <c r="BK74" s="511"/>
      <c r="BL74" s="511"/>
      <c r="BQ74" s="58">
        <f t="shared" si="0"/>
        <v>58</v>
      </c>
      <c r="BR74" s="17">
        <v>1</v>
      </c>
      <c r="BS74" s="17" t="s">
        <v>549</v>
      </c>
      <c r="BT74" s="17">
        <v>1</v>
      </c>
      <c r="BU74" s="17">
        <v>1</v>
      </c>
      <c r="BV74" s="17" t="str">
        <f t="shared" si="140"/>
        <v>cabozantinib_plus_nivolumab</v>
      </c>
      <c r="BW74" s="1006" t="str" cm="1">
        <f t="array" ref="BW74">IF(I74="No",I74,INDEX(List_incl_anal_1L_PorI,IF(BU74=999,35,BU74+1)))</f>
        <v>No</v>
      </c>
      <c r="BX74" s="61">
        <f t="shared" si="141"/>
        <v>4</v>
      </c>
      <c r="BY74" s="531" t="str">
        <f>J74</f>
        <v>Post progression survival</v>
      </c>
      <c r="BZ74" s="530">
        <f t="shared" si="142"/>
        <v>0</v>
      </c>
      <c r="CA74" s="531">
        <f t="shared" ref="CA74:CA86" si="164">FT74</f>
        <v>0</v>
      </c>
      <c r="CB74" s="530">
        <f t="shared" si="143"/>
        <v>1</v>
      </c>
      <c r="CC74" s="530">
        <f t="shared" si="144"/>
        <v>1</v>
      </c>
      <c r="CD74" s="530">
        <f t="shared" si="145"/>
        <v>7</v>
      </c>
      <c r="CE74" s="1295">
        <f t="shared" si="146"/>
        <v>2</v>
      </c>
      <c r="CF74" s="1301">
        <f t="shared" si="147"/>
        <v>4</v>
      </c>
      <c r="CG74" s="530" t="str">
        <f t="shared" si="148"/>
        <v>Exponential</v>
      </c>
      <c r="CH74" s="61">
        <f t="shared" si="149"/>
        <v>0</v>
      </c>
      <c r="CI74" s="61">
        <f t="shared" si="150"/>
        <v>0</v>
      </c>
      <c r="CJ74" s="61">
        <f t="shared" si="151"/>
        <v>0</v>
      </c>
      <c r="DA74" s="1024"/>
      <c r="DB74" s="1024"/>
      <c r="DC74" s="1024"/>
      <c r="DD74" s="1024"/>
      <c r="DE74" s="1024"/>
      <c r="DF74" s="1024"/>
      <c r="DG74" s="1024"/>
      <c r="DK74" s="58" t="str" cm="1">
        <f t="array" ref="DK74">IF(AND($BT74=4,$BX74=4,$BU74=999),$DB$36,_xlfn.IFNA(INDEX(DB$13:DB$70,MATCH(1,($BR74=$CV$13:$CV$70)*($BT74=$CX$13:$CX$70)*($CE74=$CY$13:$CY$70)*($BY74=$DA$13:$DA$70)*($CD74=$DH$13:$DH$70),0)),""))</f>
        <v>Exponential</v>
      </c>
      <c r="DL74" s="58" t="str" cm="1">
        <f t="array" ref="DL74">IF(AND($BT74=4,$BX74=4,$BU74=999),$DC$36,_xlfn.IFNA(INDEX(CHOOSE(DP74,DB$13:DB$70,DC$13:DC$70,DD$13:DD$70,DE$13:DE$70),MATCH(1,($BR74=$CV$13:$CV$70)*($BT74=$CX$13:$CX$70)*($CE74=$CY$13:$CY$70)*($BY74=$DA$13:$DA$70)*($CD74=$DH$13:$DH$70),0)),""))</f>
        <v>Exponential</v>
      </c>
      <c r="DM74" s="740" cm="1">
        <f t="array" ref="DM74">IF(AND($BT74=4,$BX74=4,$BU74=999),$DD$36,_xlfn.IFNA(INDEX(DD$13:DD$68,MATCH(1,($BR74=$CV$13:$CV$68)*($BT74=$CX$13:$CX$68)*($CE74=$CY$13:$CY$68)*($BY74=$DA$13:$DA$68)*($CD74=$DH$13:$DH$68),0)),""))</f>
        <v>0</v>
      </c>
      <c r="DN74" s="740" cm="1">
        <f t="array" ref="DN74">IF(AND($BT74=4,$BX74=4,$BU74=999),$DD$36,_xlfn.IFNA(INDEX(DE$13:DE$68,MATCH(1,($BR74=$CV$13:$CV$68)*($BT74=$CX$13:$CX$68)*($CE74=$CY$13:$CY$68)*($BY74=$DA$13:$DA$68)*($CD74=$DH$13:$DH$68),0)),""))</f>
        <v>0</v>
      </c>
      <c r="DO74" s="58" t="str" cm="1">
        <f t="array" ref="DO74">IF(AND($BT74=4,$BX74=4,$BU74=999),$DF$36,_xlfn.IFNA(INDEX(DF$13:DF$70,MATCH(1,($BR74=$CV$13:$CV$70)*($BT74=$CX$13:$CX$70)*($CE74=$CY$13:$CY$70)*($BY74=$DA$13:$DA$70)*($CD74=$DH$13:$DH$70),0)),""))</f>
        <v>Base case</v>
      </c>
      <c r="DP74" s="58">
        <f t="shared" si="13"/>
        <v>1</v>
      </c>
      <c r="DW74" s="58" t="s">
        <v>58</v>
      </c>
      <c r="DX74" s="58" t="s">
        <v>557</v>
      </c>
      <c r="DY74" s="58">
        <v>0</v>
      </c>
      <c r="DZ74" s="58">
        <v>0</v>
      </c>
      <c r="EB74" s="58">
        <v>1</v>
      </c>
      <c r="EC74" s="58">
        <v>1</v>
      </c>
      <c r="ED74" s="58">
        <v>7</v>
      </c>
      <c r="EE74" s="58">
        <v>2</v>
      </c>
      <c r="EF74" s="58">
        <v>4</v>
      </c>
      <c r="EI74" s="58" t="s">
        <v>58</v>
      </c>
      <c r="EJ74" s="58" t="s">
        <v>557</v>
      </c>
      <c r="EK74" s="58">
        <v>0</v>
      </c>
      <c r="EL74" s="58">
        <v>0</v>
      </c>
      <c r="EN74" s="58">
        <v>1</v>
      </c>
      <c r="EO74" s="58">
        <v>1</v>
      </c>
      <c r="EP74" s="58">
        <v>7</v>
      </c>
      <c r="EQ74" s="58">
        <v>2</v>
      </c>
      <c r="ER74" s="58">
        <v>4</v>
      </c>
      <c r="EU74" s="58" t="str">
        <f t="shared" si="152"/>
        <v>No</v>
      </c>
      <c r="EV74" s="58" t="str">
        <f t="shared" si="153"/>
        <v>Post progression survival</v>
      </c>
      <c r="EW74" s="58">
        <f t="shared" si="154"/>
        <v>0</v>
      </c>
      <c r="EX74" s="58">
        <f t="shared" si="155"/>
        <v>0</v>
      </c>
      <c r="EZ74" s="58">
        <f t="shared" si="156"/>
        <v>1</v>
      </c>
      <c r="FA74" s="58">
        <f t="shared" si="157"/>
        <v>1</v>
      </c>
      <c r="FB74" s="58">
        <f>IF(i_eff_inputs_based_on_num=2,ED74,(INDEX(Lists!$L$51:$L$85,MATCH(O74,Lists!$K$51:$K$85,0))))</f>
        <v>7</v>
      </c>
      <c r="FC74" s="58">
        <f>IF(i_eff_inputs_based_on_num=2,EE74,(INDEX(Lists!$L$51:$L$85,MATCH(P74,Lists!$K$51:$K$85,0))))</f>
        <v>2</v>
      </c>
      <c r="FD74" s="58">
        <f>IF(i_eff_inputs_based_on_num=2,EF74,(INDEX(Lists!$L$51:$L$85,MATCH(Q74,Lists!$K$51:$K$85,0))))</f>
        <v>4</v>
      </c>
      <c r="FG74" s="58" t="str">
        <f t="shared" si="158"/>
        <v>No</v>
      </c>
      <c r="FH74" s="58" t="str">
        <f t="shared" si="159"/>
        <v>Post progression survival</v>
      </c>
      <c r="FI74" s="58">
        <f t="shared" si="160"/>
        <v>0</v>
      </c>
      <c r="FJ74" s="58">
        <f t="shared" si="161"/>
        <v>0</v>
      </c>
      <c r="FL74" s="58">
        <f t="shared" si="162"/>
        <v>1</v>
      </c>
      <c r="FM74" s="58">
        <f t="shared" si="163"/>
        <v>1</v>
      </c>
      <c r="FN74" s="58">
        <f>IF(i_eff_inputs_based_on_num=2,EP74,(INDEX(Lists!$L$51:$L$85,MATCH(O74,Lists!$K$51:$K$85,0))))</f>
        <v>7</v>
      </c>
      <c r="FO74" s="58">
        <f>IF(i_eff_inputs_based_on_num=2,EQ74,(INDEX(Lists!$L$51:$L$85,MATCH(P74,Lists!$K$51:$K$85,0))))</f>
        <v>2</v>
      </c>
      <c r="FP74" s="58">
        <f>IF(i_eff_inputs_based_on_num=2,ER74,(INDEX(Lists!$L$51:$L$85,MATCH(Q74,Lists!$K$51:$K$85,0))))</f>
        <v>4</v>
      </c>
      <c r="FT74" s="58">
        <f t="shared" si="26"/>
        <v>0</v>
      </c>
      <c r="FW74" s="58">
        <f>IF(i_baseline_risk_from=2,'Effectiveness settings'!EW74,'Effectiveness settings'!FI74)</f>
        <v>0</v>
      </c>
      <c r="FX74" s="58">
        <f t="shared" si="27"/>
        <v>0</v>
      </c>
      <c r="FY74" s="58">
        <f t="shared" si="28"/>
        <v>0</v>
      </c>
      <c r="FZ74" s="58">
        <f t="shared" si="29"/>
        <v>0</v>
      </c>
      <c r="GA74" s="58">
        <f t="shared" si="30"/>
        <v>0</v>
      </c>
      <c r="GB74" s="58">
        <f t="shared" si="31"/>
        <v>0</v>
      </c>
      <c r="GC74" s="58">
        <f t="shared" si="32"/>
        <v>0</v>
      </c>
      <c r="GD74" s="58">
        <f t="shared" si="33"/>
        <v>0</v>
      </c>
      <c r="GE74" s="58">
        <f>IF(AND(dd_CheckMate214_TTD="Yes",'Effectiveness settings'!BU74=2,'Effectiveness settings'!BX74=2),"Apply HR to",GD74)</f>
        <v>0</v>
      </c>
      <c r="GF74" s="58">
        <f t="shared" si="34"/>
        <v>0</v>
      </c>
      <c r="GG74" s="58">
        <f t="shared" si="35"/>
        <v>0</v>
      </c>
      <c r="GH74" s="58">
        <f t="shared" si="36"/>
        <v>0</v>
      </c>
      <c r="GI74" s="58">
        <f t="shared" si="106"/>
        <v>0</v>
      </c>
      <c r="GK74" s="58">
        <f>IF(i_baseline_risk_from=2,'Effectiveness settings'!FA74,'Effectiveness settings'!FM74)</f>
        <v>1</v>
      </c>
      <c r="GL74" s="58">
        <f>IF(i_baseline_risk_from=2,'Effectiveness settings'!FB74,'Effectiveness settings'!FN74)</f>
        <v>7</v>
      </c>
      <c r="GM74" s="58">
        <f>IF(i_baseline_risk_from=2,'Effectiveness settings'!FC74,'Effectiveness settings'!FO74)</f>
        <v>2</v>
      </c>
      <c r="GN74" s="58">
        <f>IF(i_baseline_risk_from=2,'Effectiveness settings'!FD74,'Effectiveness settings'!FP74)</f>
        <v>4</v>
      </c>
      <c r="GQ74" s="58">
        <f t="shared" si="38"/>
        <v>7</v>
      </c>
      <c r="GR74" s="58">
        <f t="shared" si="39"/>
        <v>7</v>
      </c>
      <c r="GS74" s="58">
        <f t="shared" si="40"/>
        <v>7</v>
      </c>
      <c r="GT74" s="58">
        <f t="shared" si="41"/>
        <v>7</v>
      </c>
      <c r="GU74" s="58">
        <f>IF(AND(dd_CheckMate214_TTD="Yes",'Effectiveness settings'!BU74=2,'Effectiveness settings'!BX74=2),2,GT74)</f>
        <v>7</v>
      </c>
      <c r="GV74" s="58">
        <f t="shared" si="42"/>
        <v>7</v>
      </c>
      <c r="GW74" s="58">
        <f t="shared" si="43"/>
        <v>7</v>
      </c>
      <c r="GY74" s="58">
        <f>IF(AND(dd_CheckMate214_TTD="Yes",'Effectiveness settings'!BU74=2,'Effectiveness settings'!BX74=2),1,GN74)</f>
        <v>4</v>
      </c>
      <c r="GZ74" s="58">
        <f t="shared" si="44"/>
        <v>4</v>
      </c>
      <c r="HB74" s="58">
        <f t="shared" si="45"/>
        <v>1</v>
      </c>
      <c r="HD74" s="58">
        <f t="shared" si="107"/>
        <v>1</v>
      </c>
      <c r="HE74" s="58">
        <f t="shared" si="108"/>
        <v>1</v>
      </c>
      <c r="HF74" s="58">
        <f t="shared" si="109"/>
        <v>7</v>
      </c>
      <c r="HG74" s="58">
        <f t="shared" si="110"/>
        <v>2</v>
      </c>
      <c r="HH74" s="58">
        <f t="shared" si="111"/>
        <v>4</v>
      </c>
    </row>
    <row r="75" spans="1:216" ht="15.75" x14ac:dyDescent="0.25">
      <c r="D75" s="58" t="str">
        <v>nivolumab_plus_ipilimumab</v>
      </c>
      <c r="I75" s="64" t="s">
        <v>58</v>
      </c>
      <c r="J75" s="519" t="s">
        <v>557</v>
      </c>
      <c r="K75" s="524"/>
      <c r="L75" s="519"/>
      <c r="M75" s="516" t="s">
        <v>545</v>
      </c>
      <c r="N75" s="64" t="s">
        <v>546</v>
      </c>
      <c r="O75" s="64" t="s">
        <v>117</v>
      </c>
      <c r="P75" s="64" t="s">
        <v>547</v>
      </c>
      <c r="Q75" s="519" t="s">
        <v>557</v>
      </c>
      <c r="R75" s="516" t="s">
        <v>548</v>
      </c>
      <c r="S75" s="497"/>
      <c r="T75" s="497"/>
      <c r="U75" s="497"/>
      <c r="Y75" s="517"/>
      <c r="AA75" s="517"/>
      <c r="AF75" s="517"/>
      <c r="AM75" s="517"/>
      <c r="AO75" s="517"/>
      <c r="AT75" s="517"/>
      <c r="AV75" s="511"/>
      <c r="AW75" s="511"/>
      <c r="AX75" s="511"/>
      <c r="BA75" s="517"/>
      <c r="BC75" s="517"/>
      <c r="BH75" s="517"/>
      <c r="BJ75" s="511"/>
      <c r="BK75" s="511"/>
      <c r="BL75" s="511"/>
      <c r="BQ75" s="58">
        <f t="shared" si="0"/>
        <v>59</v>
      </c>
      <c r="BR75" s="17">
        <v>1</v>
      </c>
      <c r="BS75" s="17" t="s">
        <v>549</v>
      </c>
      <c r="BT75" s="17">
        <v>1</v>
      </c>
      <c r="BU75" s="17">
        <v>2</v>
      </c>
      <c r="BV75" s="17" t="str">
        <f t="shared" si="140"/>
        <v>nivolumab_plus_ipilimumab</v>
      </c>
      <c r="BW75" s="1006" t="str" cm="1">
        <f t="array" ref="BW75">IF(I75="No",I75,INDEX(List_incl_anal_1L_PorI,IF(BU75=999,35,BU75+1)))</f>
        <v>No</v>
      </c>
      <c r="BX75" s="61">
        <f t="shared" si="141"/>
        <v>4</v>
      </c>
      <c r="BY75" s="531" t="str">
        <f>J75</f>
        <v>Post progression survival</v>
      </c>
      <c r="BZ75" s="530">
        <f t="shared" si="142"/>
        <v>0</v>
      </c>
      <c r="CA75" s="531">
        <f t="shared" si="164"/>
        <v>0</v>
      </c>
      <c r="CB75" s="530">
        <f t="shared" si="143"/>
        <v>1</v>
      </c>
      <c r="CC75" s="530">
        <f t="shared" si="144"/>
        <v>1</v>
      </c>
      <c r="CD75" s="530">
        <f t="shared" si="145"/>
        <v>7</v>
      </c>
      <c r="CE75" s="1295">
        <f t="shared" si="146"/>
        <v>2</v>
      </c>
      <c r="CF75" s="1301">
        <f t="shared" si="147"/>
        <v>4</v>
      </c>
      <c r="CG75" s="530" t="str">
        <f t="shared" si="148"/>
        <v>Exponential</v>
      </c>
      <c r="CH75" s="61">
        <f t="shared" si="149"/>
        <v>0</v>
      </c>
      <c r="CI75" s="61">
        <f t="shared" si="150"/>
        <v>0</v>
      </c>
      <c r="CJ75" s="61">
        <f t="shared" si="151"/>
        <v>0</v>
      </c>
      <c r="DA75" s="1024"/>
      <c r="DB75" s="1024"/>
      <c r="DC75" s="1024"/>
      <c r="DD75" s="1024"/>
      <c r="DE75" s="1024"/>
      <c r="DF75" s="1024"/>
      <c r="DG75" s="1024"/>
      <c r="DK75" s="58" t="str" cm="1">
        <f t="array" ref="DK75">IF(AND($BT75=4,$BX75=4,$BU75=999),$DB$36,_xlfn.IFNA(INDEX(DB$13:DB$70,MATCH(1,($BR75=$CV$13:$CV$70)*($BT75=$CX$13:$CX$70)*($CE75=$CY$13:$CY$70)*($BY75=$DA$13:$DA$70)*($CD75=$DH$13:$DH$70),0)),""))</f>
        <v>Exponential</v>
      </c>
      <c r="DL75" s="58" t="str" cm="1">
        <f t="array" ref="DL75">IF(AND($BT75=4,$BX75=4,$BU75=999),$DC$36,_xlfn.IFNA(INDEX(CHOOSE(DP75,DB$13:DB$70,DC$13:DC$70,DD$13:DD$70,DE$13:DE$70),MATCH(1,($BR75=$CV$13:$CV$70)*($BT75=$CX$13:$CX$70)*($CE75=$CY$13:$CY$70)*($BY75=$DA$13:$DA$70)*($CD75=$DH$13:$DH$70),0)),""))</f>
        <v>Exponential</v>
      </c>
      <c r="DM75" s="740" cm="1">
        <f t="array" ref="DM75">IF(AND($BT75=4,$BX75=4,$BU75=999),$DD$36,_xlfn.IFNA(INDEX(DD$13:DD$68,MATCH(1,($BR75=$CV$13:$CV$68)*($BT75=$CX$13:$CX$68)*($CE75=$CY$13:$CY$68)*($BY75=$DA$13:$DA$68)*($CD75=$DH$13:$DH$68),0)),""))</f>
        <v>0</v>
      </c>
      <c r="DN75" s="740" cm="1">
        <f t="array" ref="DN75">IF(AND($BT75=4,$BX75=4,$BU75=999),$DD$36,_xlfn.IFNA(INDEX(DE$13:DE$68,MATCH(1,($BR75=$CV$13:$CV$68)*($BT75=$CX$13:$CX$68)*($CE75=$CY$13:$CY$68)*($BY75=$DA$13:$DA$68)*($CD75=$DH$13:$DH$68),0)),""))</f>
        <v>0</v>
      </c>
      <c r="DO75" s="58" t="str" cm="1">
        <f t="array" ref="DO75">IF(AND($BT75=4,$BX75=4,$BU75=999),$DF$36,_xlfn.IFNA(INDEX(DF$13:DF$70,MATCH(1,($BR75=$CV$13:$CV$70)*($BT75=$CX$13:$CX$70)*($CE75=$CY$13:$CY$70)*($BY75=$DA$13:$DA$70)*($CD75=$DH$13:$DH$70),0)),""))</f>
        <v>Base case</v>
      </c>
      <c r="DP75" s="58">
        <f t="shared" si="13"/>
        <v>1</v>
      </c>
      <c r="DW75" s="58" t="s">
        <v>58</v>
      </c>
      <c r="DX75" s="58" t="s">
        <v>557</v>
      </c>
      <c r="DY75" s="58">
        <v>0</v>
      </c>
      <c r="DZ75" s="58">
        <v>0</v>
      </c>
      <c r="EB75" s="58">
        <v>1</v>
      </c>
      <c r="EC75" s="58">
        <v>1</v>
      </c>
      <c r="ED75" s="58">
        <v>7</v>
      </c>
      <c r="EE75" s="58">
        <v>2</v>
      </c>
      <c r="EF75" s="58">
        <v>4</v>
      </c>
      <c r="EI75" s="58" t="s">
        <v>58</v>
      </c>
      <c r="EJ75" s="58" t="s">
        <v>557</v>
      </c>
      <c r="EK75" s="58">
        <v>0</v>
      </c>
      <c r="EL75" s="58">
        <v>0</v>
      </c>
      <c r="EN75" s="58">
        <v>1</v>
      </c>
      <c r="EO75" s="58">
        <v>1</v>
      </c>
      <c r="EP75" s="58">
        <v>7</v>
      </c>
      <c r="EQ75" s="58">
        <v>2</v>
      </c>
      <c r="ER75" s="58">
        <v>4</v>
      </c>
      <c r="EU75" s="58" t="str">
        <f t="shared" si="152"/>
        <v>No</v>
      </c>
      <c r="EV75" s="58" t="str">
        <f t="shared" si="153"/>
        <v>Post progression survival</v>
      </c>
      <c r="EW75" s="58">
        <f t="shared" si="154"/>
        <v>0</v>
      </c>
      <c r="EX75" s="58">
        <f t="shared" si="155"/>
        <v>0</v>
      </c>
      <c r="EZ75" s="58">
        <f t="shared" si="156"/>
        <v>1</v>
      </c>
      <c r="FA75" s="58">
        <f t="shared" si="157"/>
        <v>1</v>
      </c>
      <c r="FB75" s="58">
        <f>IF(i_eff_inputs_based_on_num=2,ED75,(INDEX(Lists!$L$51:$L$85,MATCH(O75,Lists!$K$51:$K$85,0))))</f>
        <v>7</v>
      </c>
      <c r="FC75" s="58">
        <f>IF(i_eff_inputs_based_on_num=2,EE75,(INDEX(Lists!$L$51:$L$85,MATCH(P75,Lists!$K$51:$K$85,0))))</f>
        <v>2</v>
      </c>
      <c r="FD75" s="58">
        <f>IF(i_eff_inputs_based_on_num=2,EF75,(INDEX(Lists!$L$51:$L$85,MATCH(Q75,Lists!$K$51:$K$85,0))))</f>
        <v>4</v>
      </c>
      <c r="FG75" s="58" t="str">
        <f t="shared" si="158"/>
        <v>No</v>
      </c>
      <c r="FH75" s="58" t="str">
        <f t="shared" si="159"/>
        <v>Post progression survival</v>
      </c>
      <c r="FI75" s="58">
        <f t="shared" si="160"/>
        <v>0</v>
      </c>
      <c r="FJ75" s="58">
        <f t="shared" si="161"/>
        <v>0</v>
      </c>
      <c r="FL75" s="58">
        <f t="shared" si="162"/>
        <v>1</v>
      </c>
      <c r="FM75" s="58">
        <f t="shared" si="163"/>
        <v>1</v>
      </c>
      <c r="FN75" s="58">
        <f>IF(i_eff_inputs_based_on_num=2,EP75,(INDEX(Lists!$L$51:$L$85,MATCH(O75,Lists!$K$51:$K$85,0))))</f>
        <v>7</v>
      </c>
      <c r="FO75" s="58">
        <f>IF(i_eff_inputs_based_on_num=2,EQ75,(INDEX(Lists!$L$51:$L$85,MATCH(P75,Lists!$K$51:$K$85,0))))</f>
        <v>2</v>
      </c>
      <c r="FP75" s="58">
        <f>IF(i_eff_inputs_based_on_num=2,ER75,(INDEX(Lists!$L$51:$L$85,MATCH(Q75,Lists!$K$51:$K$85,0))))</f>
        <v>4</v>
      </c>
      <c r="FT75" s="58">
        <f t="shared" si="26"/>
        <v>0</v>
      </c>
      <c r="FW75" s="58">
        <f>IF(i_baseline_risk_from=2,'Effectiveness settings'!EW75,'Effectiveness settings'!FI75)</f>
        <v>0</v>
      </c>
      <c r="FX75" s="58">
        <f t="shared" si="27"/>
        <v>0</v>
      </c>
      <c r="FY75" s="58">
        <f t="shared" si="28"/>
        <v>0</v>
      </c>
      <c r="FZ75" s="58">
        <f t="shared" si="29"/>
        <v>0</v>
      </c>
      <c r="GA75" s="58">
        <f t="shared" si="30"/>
        <v>0</v>
      </c>
      <c r="GB75" s="58">
        <f t="shared" si="31"/>
        <v>0</v>
      </c>
      <c r="GC75" s="58">
        <f t="shared" si="32"/>
        <v>0</v>
      </c>
      <c r="GD75" s="58">
        <f t="shared" si="33"/>
        <v>0</v>
      </c>
      <c r="GE75" s="58">
        <f>IF(AND(dd_CheckMate214_TTD="Yes",'Effectiveness settings'!BU75=2,'Effectiveness settings'!BX75=2),"Apply HR to",GD75)</f>
        <v>0</v>
      </c>
      <c r="GF75" s="58">
        <f t="shared" si="34"/>
        <v>0</v>
      </c>
      <c r="GG75" s="58">
        <f t="shared" si="35"/>
        <v>0</v>
      </c>
      <c r="GH75" s="58">
        <f t="shared" si="36"/>
        <v>0</v>
      </c>
      <c r="GI75" s="58">
        <f t="shared" si="106"/>
        <v>0</v>
      </c>
      <c r="GK75" s="58">
        <f>IF(i_baseline_risk_from=2,'Effectiveness settings'!FA75,'Effectiveness settings'!FM75)</f>
        <v>1</v>
      </c>
      <c r="GL75" s="58">
        <f>IF(i_baseline_risk_from=2,'Effectiveness settings'!FB75,'Effectiveness settings'!FN75)</f>
        <v>7</v>
      </c>
      <c r="GM75" s="58">
        <f>IF(i_baseline_risk_from=2,'Effectiveness settings'!FC75,'Effectiveness settings'!FO75)</f>
        <v>2</v>
      </c>
      <c r="GN75" s="58">
        <f>IF(i_baseline_risk_from=2,'Effectiveness settings'!FD75,'Effectiveness settings'!FP75)</f>
        <v>4</v>
      </c>
      <c r="GQ75" s="58">
        <f t="shared" si="38"/>
        <v>7</v>
      </c>
      <c r="GR75" s="58">
        <f t="shared" si="39"/>
        <v>7</v>
      </c>
      <c r="GS75" s="58">
        <f t="shared" si="40"/>
        <v>7</v>
      </c>
      <c r="GT75" s="58">
        <f t="shared" si="41"/>
        <v>7</v>
      </c>
      <c r="GU75" s="58">
        <f>IF(AND(dd_CheckMate214_TTD="Yes",'Effectiveness settings'!BU75=2,'Effectiveness settings'!BX75=2),2,GT75)</f>
        <v>7</v>
      </c>
      <c r="GV75" s="58">
        <f t="shared" si="42"/>
        <v>7</v>
      </c>
      <c r="GW75" s="58">
        <f t="shared" si="43"/>
        <v>7</v>
      </c>
      <c r="GY75" s="58">
        <f>IF(AND(dd_CheckMate214_TTD="Yes",'Effectiveness settings'!BU75=2,'Effectiveness settings'!BX75=2),1,GN75)</f>
        <v>4</v>
      </c>
      <c r="GZ75" s="58">
        <f t="shared" si="44"/>
        <v>4</v>
      </c>
      <c r="HB75" s="58">
        <f t="shared" si="45"/>
        <v>1</v>
      </c>
      <c r="HD75" s="58">
        <f t="shared" si="107"/>
        <v>1</v>
      </c>
      <c r="HE75" s="58">
        <f t="shared" si="108"/>
        <v>1</v>
      </c>
      <c r="HF75" s="58">
        <f t="shared" si="109"/>
        <v>7</v>
      </c>
      <c r="HG75" s="58">
        <f t="shared" si="110"/>
        <v>2</v>
      </c>
      <c r="HH75" s="58">
        <f t="shared" si="111"/>
        <v>4</v>
      </c>
    </row>
    <row r="76" spans="1:216" ht="15.75" x14ac:dyDescent="0.25">
      <c r="D76" s="58" t="str">
        <v>lenvatinib_plus_pembrolizumab</v>
      </c>
      <c r="I76" s="64" t="s">
        <v>58</v>
      </c>
      <c r="J76" s="519" t="s">
        <v>557</v>
      </c>
      <c r="K76" s="524"/>
      <c r="L76" s="519"/>
      <c r="M76" s="516" t="s">
        <v>545</v>
      </c>
      <c r="N76" s="64" t="s">
        <v>546</v>
      </c>
      <c r="O76" s="64" t="s">
        <v>117</v>
      </c>
      <c r="P76" s="64" t="s">
        <v>547</v>
      </c>
      <c r="Q76" s="519" t="s">
        <v>557</v>
      </c>
      <c r="R76" s="516" t="s">
        <v>548</v>
      </c>
      <c r="S76" s="497"/>
      <c r="T76" s="497"/>
      <c r="U76" s="497"/>
      <c r="Y76" s="517"/>
      <c r="AA76" s="517"/>
      <c r="AF76" s="517"/>
      <c r="AM76" s="517"/>
      <c r="AO76" s="517"/>
      <c r="AT76" s="517"/>
      <c r="AV76" s="511"/>
      <c r="AW76" s="511"/>
      <c r="AX76" s="511"/>
      <c r="BA76" s="517"/>
      <c r="BC76" s="517"/>
      <c r="BH76" s="517"/>
      <c r="BJ76" s="511"/>
      <c r="BK76" s="511"/>
      <c r="BL76" s="511"/>
      <c r="BQ76" s="58">
        <f t="shared" si="0"/>
        <v>60</v>
      </c>
      <c r="BR76" s="17">
        <v>1</v>
      </c>
      <c r="BS76" s="17" t="s">
        <v>549</v>
      </c>
      <c r="BT76" s="17">
        <v>1</v>
      </c>
      <c r="BU76" s="17">
        <v>3</v>
      </c>
      <c r="BV76" s="17" t="str">
        <f t="shared" si="140"/>
        <v>lenvatinib_plus_pembrolizumab</v>
      </c>
      <c r="BW76" s="1006" t="str" cm="1">
        <f t="array" ref="BW76">IF(I76="No",I76,INDEX(List_incl_anal_1L_PorI,IF(BU76=999,35,BU76+1)))</f>
        <v>No</v>
      </c>
      <c r="BX76" s="61">
        <f t="shared" si="141"/>
        <v>4</v>
      </c>
      <c r="BY76" s="531" t="str">
        <f>J76</f>
        <v>Post progression survival</v>
      </c>
      <c r="BZ76" s="530">
        <f t="shared" si="142"/>
        <v>0</v>
      </c>
      <c r="CA76" s="531">
        <f t="shared" si="164"/>
        <v>0</v>
      </c>
      <c r="CB76" s="530">
        <f t="shared" si="143"/>
        <v>1</v>
      </c>
      <c r="CC76" s="530">
        <f t="shared" si="144"/>
        <v>1</v>
      </c>
      <c r="CD76" s="530">
        <f t="shared" si="145"/>
        <v>7</v>
      </c>
      <c r="CE76" s="1295">
        <f t="shared" si="146"/>
        <v>2</v>
      </c>
      <c r="CF76" s="1301">
        <f t="shared" si="147"/>
        <v>4</v>
      </c>
      <c r="CG76" s="530" t="str">
        <f t="shared" si="148"/>
        <v>Exponential</v>
      </c>
      <c r="CH76" s="61">
        <f t="shared" si="149"/>
        <v>0</v>
      </c>
      <c r="CI76" s="61">
        <f t="shared" si="150"/>
        <v>0</v>
      </c>
      <c r="CJ76" s="61">
        <f t="shared" si="151"/>
        <v>0</v>
      </c>
      <c r="DA76" s="1024"/>
      <c r="DB76" s="1024"/>
      <c r="DC76" s="1024"/>
      <c r="DD76" s="1024"/>
      <c r="DE76" s="1024"/>
      <c r="DF76" s="1024"/>
      <c r="DG76" s="1024"/>
      <c r="DK76" s="58" t="str" cm="1">
        <f t="array" ref="DK76">IF(AND($BT76=4,$BX76=4,$BU76=999),$DB$36,_xlfn.IFNA(INDEX(DB$13:DB$70,MATCH(1,($BR76=$CV$13:$CV$70)*($BT76=$CX$13:$CX$70)*($CE76=$CY$13:$CY$70)*($BY76=$DA$13:$DA$70)*($CD76=$DH$13:$DH$70),0)),""))</f>
        <v>Exponential</v>
      </c>
      <c r="DL76" s="58" t="str" cm="1">
        <f t="array" ref="DL76">IF(AND($BT76=4,$BX76=4,$BU76=999),$DC$36,_xlfn.IFNA(INDEX(CHOOSE(DP76,DB$13:DB$70,DC$13:DC$70,DD$13:DD$70,DE$13:DE$70),MATCH(1,($BR76=$CV$13:$CV$70)*($BT76=$CX$13:$CX$70)*($CE76=$CY$13:$CY$70)*($BY76=$DA$13:$DA$70)*($CD76=$DH$13:$DH$70),0)),""))</f>
        <v>Exponential</v>
      </c>
      <c r="DM76" s="740" cm="1">
        <f t="array" ref="DM76">IF(AND($BT76=4,$BX76=4,$BU76=999),$DD$36,_xlfn.IFNA(INDEX(DD$13:DD$68,MATCH(1,($BR76=$CV$13:$CV$68)*($BT76=$CX$13:$CX$68)*($CE76=$CY$13:$CY$68)*($BY76=$DA$13:$DA$68)*($CD76=$DH$13:$DH$68),0)),""))</f>
        <v>0</v>
      </c>
      <c r="DN76" s="740" cm="1">
        <f t="array" ref="DN76">IF(AND($BT76=4,$BX76=4,$BU76=999),$DD$36,_xlfn.IFNA(INDEX(DE$13:DE$68,MATCH(1,($BR76=$CV$13:$CV$68)*($BT76=$CX$13:$CX$68)*($CE76=$CY$13:$CY$68)*($BY76=$DA$13:$DA$68)*($CD76=$DH$13:$DH$68),0)),""))</f>
        <v>0</v>
      </c>
      <c r="DO76" s="58" t="str" cm="1">
        <f t="array" ref="DO76">IF(AND($BT76=4,$BX76=4,$BU76=999),$DF$36,_xlfn.IFNA(INDEX(DF$13:DF$70,MATCH(1,($BR76=$CV$13:$CV$70)*($BT76=$CX$13:$CX$70)*($CE76=$CY$13:$CY$70)*($BY76=$DA$13:$DA$70)*($CD76=$DH$13:$DH$70),0)),""))</f>
        <v>Base case</v>
      </c>
      <c r="DP76" s="58">
        <f t="shared" si="13"/>
        <v>1</v>
      </c>
      <c r="DW76" s="58" t="s">
        <v>58</v>
      </c>
      <c r="DX76" s="58" t="s">
        <v>557</v>
      </c>
      <c r="DY76" s="58">
        <v>0</v>
      </c>
      <c r="DZ76" s="58">
        <v>0</v>
      </c>
      <c r="EB76" s="58">
        <v>1</v>
      </c>
      <c r="EC76" s="58">
        <v>1</v>
      </c>
      <c r="ED76" s="58">
        <v>7</v>
      </c>
      <c r="EE76" s="58">
        <v>2</v>
      </c>
      <c r="EF76" s="58">
        <v>4</v>
      </c>
      <c r="EI76" s="58" t="s">
        <v>58</v>
      </c>
      <c r="EJ76" s="58" t="s">
        <v>557</v>
      </c>
      <c r="EK76" s="58">
        <v>0</v>
      </c>
      <c r="EL76" s="58">
        <v>0</v>
      </c>
      <c r="EN76" s="58">
        <v>1</v>
      </c>
      <c r="EO76" s="58">
        <v>1</v>
      </c>
      <c r="EP76" s="58">
        <v>7</v>
      </c>
      <c r="EQ76" s="58">
        <v>2</v>
      </c>
      <c r="ER76" s="58">
        <v>4</v>
      </c>
      <c r="EU76" s="58" t="str">
        <f t="shared" si="152"/>
        <v>No</v>
      </c>
      <c r="EV76" s="58" t="str">
        <f t="shared" si="153"/>
        <v>Post progression survival</v>
      </c>
      <c r="EW76" s="58">
        <f t="shared" si="154"/>
        <v>0</v>
      </c>
      <c r="EX76" s="58">
        <f t="shared" si="155"/>
        <v>0</v>
      </c>
      <c r="EZ76" s="58">
        <f t="shared" si="156"/>
        <v>1</v>
      </c>
      <c r="FA76" s="58">
        <f t="shared" si="157"/>
        <v>1</v>
      </c>
      <c r="FB76" s="58">
        <f>IF(i_eff_inputs_based_on_num=2,ED76,(INDEX(Lists!$L$51:$L$85,MATCH(O76,Lists!$K$51:$K$85,0))))</f>
        <v>7</v>
      </c>
      <c r="FC76" s="58">
        <f>IF(i_eff_inputs_based_on_num=2,EE76,(INDEX(Lists!$L$51:$L$85,MATCH(P76,Lists!$K$51:$K$85,0))))</f>
        <v>2</v>
      </c>
      <c r="FD76" s="58">
        <f>IF(i_eff_inputs_based_on_num=2,EF76,(INDEX(Lists!$L$51:$L$85,MATCH(Q76,Lists!$K$51:$K$85,0))))</f>
        <v>4</v>
      </c>
      <c r="FG76" s="58" t="str">
        <f t="shared" si="158"/>
        <v>No</v>
      </c>
      <c r="FH76" s="58" t="str">
        <f t="shared" si="159"/>
        <v>Post progression survival</v>
      </c>
      <c r="FI76" s="58">
        <f t="shared" si="160"/>
        <v>0</v>
      </c>
      <c r="FJ76" s="58">
        <f t="shared" si="161"/>
        <v>0</v>
      </c>
      <c r="FL76" s="58">
        <f t="shared" si="162"/>
        <v>1</v>
      </c>
      <c r="FM76" s="58">
        <f t="shared" si="163"/>
        <v>1</v>
      </c>
      <c r="FN76" s="58">
        <f>IF(i_eff_inputs_based_on_num=2,EP76,(INDEX(Lists!$L$51:$L$85,MATCH(O76,Lists!$K$51:$K$85,0))))</f>
        <v>7</v>
      </c>
      <c r="FO76" s="58">
        <f>IF(i_eff_inputs_based_on_num=2,EQ76,(INDEX(Lists!$L$51:$L$85,MATCH(P76,Lists!$K$51:$K$85,0))))</f>
        <v>2</v>
      </c>
      <c r="FP76" s="58">
        <f>IF(i_eff_inputs_based_on_num=2,ER76,(INDEX(Lists!$L$51:$L$85,MATCH(Q76,Lists!$K$51:$K$85,0))))</f>
        <v>4</v>
      </c>
      <c r="FT76" s="58">
        <f t="shared" si="26"/>
        <v>0</v>
      </c>
      <c r="FW76" s="58">
        <f>IF(i_baseline_risk_from=2,'Effectiveness settings'!EW76,'Effectiveness settings'!FI76)</f>
        <v>0</v>
      </c>
      <c r="FX76" s="58">
        <f t="shared" si="27"/>
        <v>0</v>
      </c>
      <c r="FY76" s="58">
        <f t="shared" si="28"/>
        <v>0</v>
      </c>
      <c r="FZ76" s="58">
        <f t="shared" si="29"/>
        <v>0</v>
      </c>
      <c r="GA76" s="58">
        <f t="shared" si="30"/>
        <v>0</v>
      </c>
      <c r="GB76" s="58">
        <f t="shared" si="31"/>
        <v>0</v>
      </c>
      <c r="GC76" s="58">
        <f t="shared" si="32"/>
        <v>0</v>
      </c>
      <c r="GD76" s="58">
        <f t="shared" si="33"/>
        <v>0</v>
      </c>
      <c r="GE76" s="58">
        <f>IF(AND(dd_CheckMate214_TTD="Yes",'Effectiveness settings'!BU76=2,'Effectiveness settings'!BX76=2),"Apply HR to",GD76)</f>
        <v>0</v>
      </c>
      <c r="GF76" s="58">
        <f t="shared" si="34"/>
        <v>0</v>
      </c>
      <c r="GG76" s="58">
        <f t="shared" si="35"/>
        <v>0</v>
      </c>
      <c r="GH76" s="58">
        <f t="shared" si="36"/>
        <v>0</v>
      </c>
      <c r="GI76" s="58">
        <f t="shared" si="106"/>
        <v>0</v>
      </c>
      <c r="GK76" s="58">
        <f>IF(i_baseline_risk_from=2,'Effectiveness settings'!FA76,'Effectiveness settings'!FM76)</f>
        <v>1</v>
      </c>
      <c r="GL76" s="58">
        <f>IF(i_baseline_risk_from=2,'Effectiveness settings'!FB76,'Effectiveness settings'!FN76)</f>
        <v>7</v>
      </c>
      <c r="GM76" s="58">
        <f>IF(i_baseline_risk_from=2,'Effectiveness settings'!FC76,'Effectiveness settings'!FO76)</f>
        <v>2</v>
      </c>
      <c r="GN76" s="58">
        <f>IF(i_baseline_risk_from=2,'Effectiveness settings'!FD76,'Effectiveness settings'!FP76)</f>
        <v>4</v>
      </c>
      <c r="GQ76" s="58">
        <f t="shared" si="38"/>
        <v>7</v>
      </c>
      <c r="GR76" s="58">
        <f t="shared" si="39"/>
        <v>7</v>
      </c>
      <c r="GS76" s="58">
        <f t="shared" si="40"/>
        <v>7</v>
      </c>
      <c r="GT76" s="58">
        <f t="shared" si="41"/>
        <v>7</v>
      </c>
      <c r="GU76" s="58">
        <f>IF(AND(dd_CheckMate214_TTD="Yes",'Effectiveness settings'!BU76=2,'Effectiveness settings'!BX76=2),2,GT76)</f>
        <v>7</v>
      </c>
      <c r="GV76" s="58">
        <f t="shared" si="42"/>
        <v>7</v>
      </c>
      <c r="GW76" s="58">
        <f t="shared" si="43"/>
        <v>7</v>
      </c>
      <c r="GY76" s="58">
        <f>IF(AND(dd_CheckMate214_TTD="Yes",'Effectiveness settings'!BU76=2,'Effectiveness settings'!BX76=2),1,GN76)</f>
        <v>4</v>
      </c>
      <c r="GZ76" s="58">
        <f t="shared" si="44"/>
        <v>4</v>
      </c>
      <c r="HB76" s="58">
        <f t="shared" si="45"/>
        <v>1</v>
      </c>
      <c r="HD76" s="58">
        <f t="shared" si="107"/>
        <v>1</v>
      </c>
      <c r="HE76" s="58">
        <f t="shared" si="108"/>
        <v>1</v>
      </c>
      <c r="HF76" s="58">
        <f t="shared" si="109"/>
        <v>7</v>
      </c>
      <c r="HG76" s="58">
        <f t="shared" si="110"/>
        <v>2</v>
      </c>
      <c r="HH76" s="58">
        <f t="shared" si="111"/>
        <v>4</v>
      </c>
    </row>
    <row r="77" spans="1:216" ht="15.75" x14ac:dyDescent="0.25">
      <c r="D77" s="58" t="str">
        <v>avelumab_plus_axitinib</v>
      </c>
      <c r="I77" s="64" t="s">
        <v>58</v>
      </c>
      <c r="J77" s="519" t="s">
        <v>557</v>
      </c>
      <c r="K77" s="524"/>
      <c r="L77" s="519"/>
      <c r="M77" s="516" t="s">
        <v>545</v>
      </c>
      <c r="N77" s="64" t="s">
        <v>546</v>
      </c>
      <c r="O77" s="64" t="s">
        <v>117</v>
      </c>
      <c r="P77" s="64" t="s">
        <v>547</v>
      </c>
      <c r="Q77" s="519" t="s">
        <v>557</v>
      </c>
      <c r="R77" s="516" t="s">
        <v>548</v>
      </c>
      <c r="S77" s="497"/>
      <c r="T77" s="497"/>
      <c r="U77" s="497"/>
      <c r="Y77" s="517"/>
      <c r="AA77" s="517"/>
      <c r="AF77" s="517"/>
      <c r="AM77" s="517"/>
      <c r="AO77" s="517"/>
      <c r="AT77" s="517"/>
      <c r="AV77" s="511"/>
      <c r="AW77" s="511"/>
      <c r="AX77" s="511"/>
      <c r="BA77" s="517"/>
      <c r="BC77" s="517"/>
      <c r="BH77" s="517"/>
      <c r="BJ77" s="511"/>
      <c r="BK77" s="511"/>
      <c r="BL77" s="511"/>
      <c r="BQ77" s="58">
        <f t="shared" ref="BQ77:BQ140" si="165">BQ76+IF(ISBLANK(BR77),0,1)</f>
        <v>61</v>
      </c>
      <c r="BR77" s="17">
        <v>1</v>
      </c>
      <c r="BS77" s="17" t="s">
        <v>549</v>
      </c>
      <c r="BT77" s="17">
        <v>1</v>
      </c>
      <c r="BU77" s="17">
        <v>4</v>
      </c>
      <c r="BV77" s="17" t="str">
        <f t="shared" si="140"/>
        <v>avelumab_plus_axitinib</v>
      </c>
      <c r="BW77" s="1006" t="str" cm="1">
        <f t="array" ref="BW77">IF(I77="No",I77,INDEX(List_incl_anal_1L_PorI,IF(BU77=999,35,BU77+1)))</f>
        <v>No</v>
      </c>
      <c r="BX77" s="61">
        <f t="shared" si="141"/>
        <v>4</v>
      </c>
      <c r="BY77" s="531" t="str">
        <f>J77</f>
        <v>Post progression survival</v>
      </c>
      <c r="BZ77" s="530">
        <f t="shared" si="142"/>
        <v>0</v>
      </c>
      <c r="CA77" s="531">
        <f t="shared" si="164"/>
        <v>0</v>
      </c>
      <c r="CB77" s="530">
        <f t="shared" si="143"/>
        <v>1</v>
      </c>
      <c r="CC77" s="530">
        <f t="shared" si="144"/>
        <v>1</v>
      </c>
      <c r="CD77" s="530">
        <f t="shared" si="145"/>
        <v>7</v>
      </c>
      <c r="CE77" s="1295">
        <f t="shared" si="146"/>
        <v>2</v>
      </c>
      <c r="CF77" s="1301">
        <f t="shared" si="147"/>
        <v>4</v>
      </c>
      <c r="CG77" s="530" t="str">
        <f t="shared" si="148"/>
        <v>Exponential</v>
      </c>
      <c r="CH77" s="61">
        <f t="shared" si="149"/>
        <v>0</v>
      </c>
      <c r="CI77" s="61">
        <f t="shared" si="150"/>
        <v>0</v>
      </c>
      <c r="CJ77" s="61">
        <f t="shared" si="151"/>
        <v>0</v>
      </c>
      <c r="DA77" s="1024"/>
      <c r="DB77" s="1024"/>
      <c r="DC77" s="1024"/>
      <c r="DD77" s="1024"/>
      <c r="DE77" s="1024"/>
      <c r="DF77" s="1024"/>
      <c r="DG77" s="1024"/>
      <c r="DK77" s="58" t="str" cm="1">
        <f t="array" ref="DK77">IF(AND($BT77=4,$BX77=4,$BU77=999),$DB$36,_xlfn.IFNA(INDEX(DB$13:DB$70,MATCH(1,($BR77=$CV$13:$CV$70)*($BT77=$CX$13:$CX$70)*($CE77=$CY$13:$CY$70)*($BY77=$DA$13:$DA$70)*($CD77=$DH$13:$DH$70),0)),""))</f>
        <v>Exponential</v>
      </c>
      <c r="DL77" s="58" t="str" cm="1">
        <f t="array" ref="DL77">IF(AND($BT77=4,$BX77=4,$BU77=999),$DC$36,_xlfn.IFNA(INDEX(CHOOSE(DP77,DB$13:DB$70,DC$13:DC$70,DD$13:DD$70,DE$13:DE$70),MATCH(1,($BR77=$CV$13:$CV$70)*($BT77=$CX$13:$CX$70)*($CE77=$CY$13:$CY$70)*($BY77=$DA$13:$DA$70)*($CD77=$DH$13:$DH$70),0)),""))</f>
        <v>Exponential</v>
      </c>
      <c r="DM77" s="740" cm="1">
        <f t="array" ref="DM77">IF(AND($BT77=4,$BX77=4,$BU77=999),$DD$36,_xlfn.IFNA(INDEX(DD$13:DD$68,MATCH(1,($BR77=$CV$13:$CV$68)*($BT77=$CX$13:$CX$68)*($CE77=$CY$13:$CY$68)*($BY77=$DA$13:$DA$68)*($CD77=$DH$13:$DH$68),0)),""))</f>
        <v>0</v>
      </c>
      <c r="DN77" s="740" cm="1">
        <f t="array" ref="DN77">IF(AND($BT77=4,$BX77=4,$BU77=999),$DD$36,_xlfn.IFNA(INDEX(DE$13:DE$68,MATCH(1,($BR77=$CV$13:$CV$68)*($BT77=$CX$13:$CX$68)*($CE77=$CY$13:$CY$68)*($BY77=$DA$13:$DA$68)*($CD77=$DH$13:$DH$68),0)),""))</f>
        <v>0</v>
      </c>
      <c r="DO77" s="58" t="str" cm="1">
        <f t="array" ref="DO77">IF(AND($BT77=4,$BX77=4,$BU77=999),$DF$36,_xlfn.IFNA(INDEX(DF$13:DF$70,MATCH(1,($BR77=$CV$13:$CV$70)*($BT77=$CX$13:$CX$70)*($CE77=$CY$13:$CY$70)*($BY77=$DA$13:$DA$70)*($CD77=$DH$13:$DH$70),0)),""))</f>
        <v>Base case</v>
      </c>
      <c r="DP77" s="58">
        <f t="shared" ref="DP77:DP140" si="166">MATCH(DO77,List_surv_cur_ext,0)</f>
        <v>1</v>
      </c>
      <c r="DW77" s="58" t="s">
        <v>58</v>
      </c>
      <c r="DX77" s="58" t="s">
        <v>557</v>
      </c>
      <c r="DY77" s="58">
        <v>0</v>
      </c>
      <c r="DZ77" s="58">
        <v>0</v>
      </c>
      <c r="EB77" s="58">
        <v>1</v>
      </c>
      <c r="EC77" s="58">
        <v>1</v>
      </c>
      <c r="ED77" s="58">
        <v>7</v>
      </c>
      <c r="EE77" s="58">
        <v>2</v>
      </c>
      <c r="EF77" s="58">
        <v>4</v>
      </c>
      <c r="EI77" s="58" t="s">
        <v>58</v>
      </c>
      <c r="EJ77" s="58" t="s">
        <v>557</v>
      </c>
      <c r="EK77" s="58">
        <v>0</v>
      </c>
      <c r="EL77" s="58">
        <v>0</v>
      </c>
      <c r="EN77" s="58">
        <v>1</v>
      </c>
      <c r="EO77" s="58">
        <v>1</v>
      </c>
      <c r="EP77" s="58">
        <v>7</v>
      </c>
      <c r="EQ77" s="58">
        <v>2</v>
      </c>
      <c r="ER77" s="58">
        <v>4</v>
      </c>
      <c r="EU77" s="58" t="str">
        <f t="shared" si="152"/>
        <v>No</v>
      </c>
      <c r="EV77" s="58" t="str">
        <f t="shared" si="153"/>
        <v>Post progression survival</v>
      </c>
      <c r="EW77" s="58">
        <f t="shared" si="154"/>
        <v>0</v>
      </c>
      <c r="EX77" s="58">
        <f t="shared" si="155"/>
        <v>0</v>
      </c>
      <c r="EZ77" s="58">
        <f t="shared" si="156"/>
        <v>1</v>
      </c>
      <c r="FA77" s="58">
        <f t="shared" si="157"/>
        <v>1</v>
      </c>
      <c r="FB77" s="58">
        <f>IF(i_eff_inputs_based_on_num=2,ED77,(INDEX(Lists!$L$51:$L$85,MATCH(O77,Lists!$K$51:$K$85,0))))</f>
        <v>7</v>
      </c>
      <c r="FC77" s="58">
        <f>IF(i_eff_inputs_based_on_num=2,EE77,(INDEX(Lists!$L$51:$L$85,MATCH(P77,Lists!$K$51:$K$85,0))))</f>
        <v>2</v>
      </c>
      <c r="FD77" s="58">
        <f>IF(i_eff_inputs_based_on_num=2,EF77,(INDEX(Lists!$L$51:$L$85,MATCH(Q77,Lists!$K$51:$K$85,0))))</f>
        <v>4</v>
      </c>
      <c r="FG77" s="58" t="str">
        <f t="shared" si="158"/>
        <v>No</v>
      </c>
      <c r="FH77" s="58" t="str">
        <f t="shared" si="159"/>
        <v>Post progression survival</v>
      </c>
      <c r="FI77" s="58">
        <f t="shared" si="160"/>
        <v>0</v>
      </c>
      <c r="FJ77" s="58">
        <f t="shared" si="161"/>
        <v>0</v>
      </c>
      <c r="FL77" s="58">
        <f t="shared" si="162"/>
        <v>1</v>
      </c>
      <c r="FM77" s="58">
        <f t="shared" si="163"/>
        <v>1</v>
      </c>
      <c r="FN77" s="58">
        <f>IF(i_eff_inputs_based_on_num=2,EP77,(INDEX(Lists!$L$51:$L$85,MATCH(O77,Lists!$K$51:$K$85,0))))</f>
        <v>7</v>
      </c>
      <c r="FO77" s="58">
        <f>IF(i_eff_inputs_based_on_num=2,EQ77,(INDEX(Lists!$L$51:$L$85,MATCH(P77,Lists!$K$51:$K$85,0))))</f>
        <v>2</v>
      </c>
      <c r="FP77" s="58">
        <f>IF(i_eff_inputs_based_on_num=2,ER77,(INDEX(Lists!$L$51:$L$85,MATCH(Q77,Lists!$K$51:$K$85,0))))</f>
        <v>4</v>
      </c>
      <c r="FT77" s="58">
        <f t="shared" ref="FT77:FT140" si="167">IF(AND(BZ77="Trial survival analysis",CE77=0),INDEX(List_trials,1),IF(AND(BZ77="Trial survival analysis",CE77=1),INDEX(List_trials,2),IF(AND(BZ77="Trial survival analysis",OR(CE77=2,CC77=4)),INDEX(List_trials,3),0)))</f>
        <v>0</v>
      </c>
      <c r="FW77" s="58">
        <f>IF(i_baseline_risk_from=2,'Effectiveness settings'!EW77,'Effectiveness settings'!FI77)</f>
        <v>0</v>
      </c>
      <c r="FX77" s="58">
        <f t="shared" ref="FX77:FX140" si="168">IF(AND(BT77&gt;1,FW77="FP_NMA",dd_2ndline_NMA="PH_NMA"),"PH_NMA",FW77)</f>
        <v>0</v>
      </c>
      <c r="FY77" s="58">
        <f t="shared" ref="FY77:FY140" si="169">IF(AND(BU77=1,OR(FX77="PH_NMA",FX77="FP_NMA",FX77="Trial survival analysis")),IF(dd_cabo_nivo_outcome_from="FP_NMA",FX77,dd_cabo_nivo_outcome_from),FX77)</f>
        <v>0</v>
      </c>
      <c r="FZ77" s="58">
        <f t="shared" ref="FZ77:FZ140" si="170">IF(AND(dd_eq_eff_pazo_suni="Yes",BX77&lt;4,$BU77=5,BT77&lt;4,FY77&lt;&gt;"Apply HR to"),"Assume equal to",FY77)</f>
        <v>0</v>
      </c>
      <c r="GA77" s="58">
        <f t="shared" ref="GA77:GA140" si="171">IF(AND(dd_eq_eff_tivo_suni="Yes",BX77&lt;4,$BU77=6,BT77=1,FZ77&lt;&gt;"Apply HR to"),"Assume equal to",FZ77)</f>
        <v>0</v>
      </c>
      <c r="GB77" s="58">
        <f t="shared" ref="GB77:GB140" si="172">IF(AND(dd_eq_eff_evero_axi="Yes",BX77&lt;4,$BU77=11,BT77&lt;4,GA77&lt;&gt;"Apply HR to"),"Assume equal to",GA77)</f>
        <v>0</v>
      </c>
      <c r="GC77" s="58">
        <f t="shared" ref="GC77:GC140" si="173">IF(AND(BX77=4,BR77=1),GB77,(IF(AND(OR(GB77="PH_NMA",GB77="FP_NMA"),BU77=3,BR77&lt;&gt;2),dd_pemlen_NMA,GB77)))</f>
        <v>0</v>
      </c>
      <c r="GD77" s="58">
        <f t="shared" ref="GD77:GD140" si="174">IF(AND(BU77=3,dd_pemlen_equal = "Yes"),"Assume equal to",GC77)</f>
        <v>0</v>
      </c>
      <c r="GE77" s="58">
        <f>IF(AND(dd_CheckMate214_TTD="Yes",'Effectiveness settings'!BU77=2,'Effectiveness settings'!BX77=2),"Apply HR to",GD77)</f>
        <v>0</v>
      </c>
      <c r="GF77" s="58">
        <f t="shared" ref="GF77:GF140" si="175">IF(AND(dd_TTD_same_as_PFS="Yes",BX77=2),"Assume equal to", GE77)</f>
        <v>0</v>
      </c>
      <c r="GG77" s="58">
        <f t="shared" ref="GG77:GG140" si="176">IF(AND(dd_nivoipiPFS="TTNT",BR77=1,BT77=1,BU77=2,BX77=1,dd_use_PHnma_for_FPnma="Yes"),"Apply HR to",GF77)</f>
        <v>0</v>
      </c>
      <c r="GH77" s="58">
        <f t="shared" ref="GH77:GH140" si="177">IF(AND(dd_eq_eff_cabo_suni="Yes",$BX77&lt;4,$BU77=8,$BT77=1,$BR77=1,$GG77&lt;&gt;"Apply HR to"),"Assume equal to",GG77)</f>
        <v>0</v>
      </c>
      <c r="GI77" s="58">
        <f t="shared" ref="GI77:GI108" si="178">GH77</f>
        <v>0</v>
      </c>
      <c r="GK77" s="58">
        <f>IF(i_baseline_risk_from=2,'Effectiveness settings'!FA77,'Effectiveness settings'!FM77)</f>
        <v>1</v>
      </c>
      <c r="GL77" s="58">
        <f>IF(i_baseline_risk_from=2,'Effectiveness settings'!FB77,'Effectiveness settings'!FN77)</f>
        <v>7</v>
      </c>
      <c r="GM77" s="58">
        <f>IF(i_baseline_risk_from=2,'Effectiveness settings'!FC77,'Effectiveness settings'!FO77)</f>
        <v>2</v>
      </c>
      <c r="GN77" s="58">
        <f>IF(i_baseline_risk_from=2,'Effectiveness settings'!FD77,'Effectiveness settings'!FP77)</f>
        <v>4</v>
      </c>
      <c r="GQ77" s="58">
        <f t="shared" ref="GQ77:GQ140" si="179">IF(AND(dd_eq_eff_pazo_suni="Yes",BX77&lt;4,$BU77=5,BT77&lt;4,FY77&lt;&gt;"Apply HR to"),7,GL77)</f>
        <v>7</v>
      </c>
      <c r="GR77" s="58">
        <f t="shared" ref="GR77:GR140" si="180">IF(AND(dd_eq_eff_tivo_suni="Yes",BX77&lt;4,$BU77=6,BT77=1,FY77&lt;&gt;"Apply HR to"),7,IF(AND(BX77&lt;4,$BU77=7,BT77&gt;1,FY77&lt;&gt;"Apply HR to"),6,GQ77))</f>
        <v>7</v>
      </c>
      <c r="GS77" s="58">
        <f t="shared" ref="GS77:GS140" si="181">IF(AND(dd_eq_eff_evero_axi="Yes",BX77&lt;4,$BU77=11,BT77&lt;4,FY77&lt;&gt;"Apply HR to"),10,GR77)</f>
        <v>7</v>
      </c>
      <c r="GT77" s="58">
        <f t="shared" ref="GT77:GT140" si="182">IF(AND(BU77=3,dd_pemlen_equal = "Yes"),1,GS77)</f>
        <v>7</v>
      </c>
      <c r="GU77" s="58">
        <f>IF(AND(dd_CheckMate214_TTD="Yes",'Effectiveness settings'!BU77=2,'Effectiveness settings'!BX77=2),2,GT77)</f>
        <v>7</v>
      </c>
      <c r="GV77" s="58">
        <f t="shared" ref="GV77:GV140" si="183">IF(AND(BY77="Time to treatment discontinuation",dd_TTD_same_as_PFS="Yes"),BU77,GU77)</f>
        <v>7</v>
      </c>
      <c r="GW77" s="58">
        <f t="shared" ref="GW77:GW140" si="184">IF(AND(dd_eq_eff_cabo_suni="Yes",$BX77&lt;4,$BU77=8,$BT77=1,$BR77=1,$GG77&lt;&gt;"Apply HR to"),7,GV77)</f>
        <v>7</v>
      </c>
      <c r="GY77" s="58">
        <f>IF(AND(dd_CheckMate214_TTD="Yes",'Effectiveness settings'!BU77=2,'Effectiveness settings'!BX77=2),1,GN77)</f>
        <v>4</v>
      </c>
      <c r="GZ77" s="58">
        <f t="shared" ref="GZ77:GZ140" si="185">IF(AND(dd_TTD_same_as_PFS="Yes",BX77=2),1, GY77)</f>
        <v>4</v>
      </c>
      <c r="HB77" s="58">
        <f t="shared" ref="HB77:HB140" si="186">IF(i_baseline_risk_from=2,EZ77,FL77)</f>
        <v>1</v>
      </c>
      <c r="HD77" s="58">
        <f t="shared" ref="HD77:HD108" si="187">HB77</f>
        <v>1</v>
      </c>
      <c r="HE77" s="58">
        <f t="shared" ref="HE77:HE108" si="188">GK77</f>
        <v>1</v>
      </c>
      <c r="HF77" s="58">
        <f t="shared" ref="HF77:HF87" si="189">GW77</f>
        <v>7</v>
      </c>
      <c r="HG77" s="58">
        <f t="shared" ref="HG77:HG108" si="190">GM77</f>
        <v>2</v>
      </c>
      <c r="HH77" s="58">
        <f t="shared" ref="HH77:HH87" si="191">GZ77</f>
        <v>4</v>
      </c>
    </row>
    <row r="78" spans="1:216" ht="15.75" x14ac:dyDescent="0.25">
      <c r="D78" s="58" t="str">
        <v>pazopanib</v>
      </c>
      <c r="I78" s="64" t="s">
        <v>58</v>
      </c>
      <c r="J78" s="519" t="s">
        <v>557</v>
      </c>
      <c r="K78" s="524"/>
      <c r="L78" s="519"/>
      <c r="M78" s="516" t="s">
        <v>545</v>
      </c>
      <c r="N78" s="64" t="s">
        <v>546</v>
      </c>
      <c r="O78" s="64" t="s">
        <v>117</v>
      </c>
      <c r="P78" s="64" t="s">
        <v>547</v>
      </c>
      <c r="Q78" s="519" t="s">
        <v>557</v>
      </c>
      <c r="R78" s="516" t="s">
        <v>548</v>
      </c>
      <c r="S78" s="497"/>
      <c r="T78" s="497"/>
      <c r="U78" s="497"/>
      <c r="Y78" s="517"/>
      <c r="AA78" s="517"/>
      <c r="AF78" s="517"/>
      <c r="AM78" s="517"/>
      <c r="AO78" s="517"/>
      <c r="AT78" s="517"/>
      <c r="AV78" s="511"/>
      <c r="AW78" s="511"/>
      <c r="AX78" s="511"/>
      <c r="BA78" s="517"/>
      <c r="BC78" s="517"/>
      <c r="BH78" s="517"/>
      <c r="BJ78" s="511"/>
      <c r="BK78" s="511"/>
      <c r="BL78" s="511"/>
      <c r="BQ78" s="58">
        <f t="shared" si="165"/>
        <v>62</v>
      </c>
      <c r="BR78" s="17">
        <v>1</v>
      </c>
      <c r="BS78" s="17" t="s">
        <v>549</v>
      </c>
      <c r="BT78" s="17">
        <v>1</v>
      </c>
      <c r="BU78" s="17">
        <v>5</v>
      </c>
      <c r="BV78" s="17" t="str">
        <f t="shared" si="140"/>
        <v>pazopanib</v>
      </c>
      <c r="BW78" s="1006" t="str" cm="1">
        <f t="array" ref="BW78">IF(I78="No",I78,INDEX(List_incl_anal_1L_PorI,IF(BU78=999,35,BU78+1)))</f>
        <v>No</v>
      </c>
      <c r="BX78" s="61">
        <f t="shared" si="141"/>
        <v>4</v>
      </c>
      <c r="BY78" s="531" t="str">
        <f t="shared" ref="BY78:BY86" si="192">J78</f>
        <v>Post progression survival</v>
      </c>
      <c r="BZ78" s="530">
        <f t="shared" si="142"/>
        <v>0</v>
      </c>
      <c r="CA78" s="531">
        <f t="shared" si="164"/>
        <v>0</v>
      </c>
      <c r="CB78" s="530">
        <f t="shared" si="143"/>
        <v>1</v>
      </c>
      <c r="CC78" s="530">
        <f t="shared" si="144"/>
        <v>1</v>
      </c>
      <c r="CD78" s="530">
        <f t="shared" si="145"/>
        <v>7</v>
      </c>
      <c r="CE78" s="1295">
        <f t="shared" si="146"/>
        <v>2</v>
      </c>
      <c r="CF78" s="1301">
        <f t="shared" si="147"/>
        <v>4</v>
      </c>
      <c r="CG78" s="530" t="str">
        <f t="shared" si="148"/>
        <v>Exponential</v>
      </c>
      <c r="CH78" s="61">
        <f t="shared" si="149"/>
        <v>0</v>
      </c>
      <c r="CI78" s="61">
        <f t="shared" si="150"/>
        <v>0</v>
      </c>
      <c r="CJ78" s="61">
        <f t="shared" si="151"/>
        <v>0</v>
      </c>
      <c r="DA78" s="1024"/>
      <c r="DB78" s="1024"/>
      <c r="DC78" s="1024"/>
      <c r="DD78" s="1024"/>
      <c r="DE78" s="1024"/>
      <c r="DF78" s="1024"/>
      <c r="DG78" s="1024"/>
      <c r="DK78" s="58" t="str" cm="1">
        <f t="array" ref="DK78">IF(AND($BT78=4,$BX78=4,$BU78=999),$DB$36,_xlfn.IFNA(INDEX(DB$13:DB$70,MATCH(1,($BR78=$CV$13:$CV$70)*($BT78=$CX$13:$CX$70)*($CE78=$CY$13:$CY$70)*($BY78=$DA$13:$DA$70)*($CD78=$DH$13:$DH$70),0)),""))</f>
        <v>Exponential</v>
      </c>
      <c r="DL78" s="58" t="str" cm="1">
        <f t="array" ref="DL78">IF(AND($BT78=4,$BX78=4,$BU78=999),$DC$36,_xlfn.IFNA(INDEX(CHOOSE(DP78,DB$13:DB$70,DC$13:DC$70,DD$13:DD$70,DE$13:DE$70),MATCH(1,($BR78=$CV$13:$CV$70)*($BT78=$CX$13:$CX$70)*($CE78=$CY$13:$CY$70)*($BY78=$DA$13:$DA$70)*($CD78=$DH$13:$DH$70),0)),""))</f>
        <v>Exponential</v>
      </c>
      <c r="DM78" s="740" cm="1">
        <f t="array" ref="DM78">IF(AND($BT78=4,$BX78=4,$BU78=999),$DD$36,_xlfn.IFNA(INDEX(DD$13:DD$68,MATCH(1,($BR78=$CV$13:$CV$68)*($BT78=$CX$13:$CX$68)*($CE78=$CY$13:$CY$68)*($BY78=$DA$13:$DA$68)*($CD78=$DH$13:$DH$68),0)),""))</f>
        <v>0</v>
      </c>
      <c r="DN78" s="740" cm="1">
        <f t="array" ref="DN78">IF(AND($BT78=4,$BX78=4,$BU78=999),$DD$36,_xlfn.IFNA(INDEX(DE$13:DE$68,MATCH(1,($BR78=$CV$13:$CV$68)*($BT78=$CX$13:$CX$68)*($CE78=$CY$13:$CY$68)*($BY78=$DA$13:$DA$68)*($CD78=$DH$13:$DH$68),0)),""))</f>
        <v>0</v>
      </c>
      <c r="DO78" s="58" t="str" cm="1">
        <f t="array" ref="DO78">IF(AND($BT78=4,$BX78=4,$BU78=999),$DF$36,_xlfn.IFNA(INDEX(DF$13:DF$70,MATCH(1,($BR78=$CV$13:$CV$70)*($BT78=$CX$13:$CX$70)*($CE78=$CY$13:$CY$70)*($BY78=$DA$13:$DA$70)*($CD78=$DH$13:$DH$70),0)),""))</f>
        <v>Base case</v>
      </c>
      <c r="DP78" s="58">
        <f t="shared" si="166"/>
        <v>1</v>
      </c>
      <c r="DW78" s="58" t="s">
        <v>58</v>
      </c>
      <c r="DX78" s="58" t="s">
        <v>557</v>
      </c>
      <c r="DY78" s="58">
        <v>0</v>
      </c>
      <c r="DZ78" s="58">
        <v>0</v>
      </c>
      <c r="EB78" s="58">
        <v>1</v>
      </c>
      <c r="EC78" s="58">
        <v>1</v>
      </c>
      <c r="ED78" s="58">
        <v>7</v>
      </c>
      <c r="EE78" s="58">
        <v>2</v>
      </c>
      <c r="EF78" s="58">
        <v>4</v>
      </c>
      <c r="EI78" s="58" t="s">
        <v>58</v>
      </c>
      <c r="EJ78" s="58" t="s">
        <v>557</v>
      </c>
      <c r="EK78" s="58">
        <v>0</v>
      </c>
      <c r="EL78" s="58">
        <v>0</v>
      </c>
      <c r="EN78" s="58">
        <v>1</v>
      </c>
      <c r="EO78" s="58">
        <v>1</v>
      </c>
      <c r="EP78" s="58">
        <v>7</v>
      </c>
      <c r="EQ78" s="58">
        <v>2</v>
      </c>
      <c r="ER78" s="58">
        <v>4</v>
      </c>
      <c r="EU78" s="58" t="str">
        <f t="shared" si="152"/>
        <v>No</v>
      </c>
      <c r="EV78" s="58" t="str">
        <f t="shared" si="153"/>
        <v>Post progression survival</v>
      </c>
      <c r="EW78" s="58">
        <f t="shared" si="154"/>
        <v>0</v>
      </c>
      <c r="EX78" s="58">
        <f t="shared" si="155"/>
        <v>0</v>
      </c>
      <c r="EZ78" s="58">
        <f t="shared" si="156"/>
        <v>1</v>
      </c>
      <c r="FA78" s="58">
        <f t="shared" si="157"/>
        <v>1</v>
      </c>
      <c r="FB78" s="58">
        <f>IF(i_eff_inputs_based_on_num=2,ED78,(INDEX(Lists!$L$51:$L$85,MATCH(O78,Lists!$K$51:$K$85,0))))</f>
        <v>7</v>
      </c>
      <c r="FC78" s="58">
        <f>IF(i_eff_inputs_based_on_num=2,EE78,(INDEX(Lists!$L$51:$L$85,MATCH(P78,Lists!$K$51:$K$85,0))))</f>
        <v>2</v>
      </c>
      <c r="FD78" s="58">
        <f>IF(i_eff_inputs_based_on_num=2,EF78,(INDEX(Lists!$L$51:$L$85,MATCH(Q78,Lists!$K$51:$K$85,0))))</f>
        <v>4</v>
      </c>
      <c r="FG78" s="58" t="str">
        <f t="shared" si="158"/>
        <v>No</v>
      </c>
      <c r="FH78" s="58" t="str">
        <f t="shared" si="159"/>
        <v>Post progression survival</v>
      </c>
      <c r="FI78" s="58">
        <f t="shared" si="160"/>
        <v>0</v>
      </c>
      <c r="FJ78" s="58">
        <f t="shared" si="161"/>
        <v>0</v>
      </c>
      <c r="FL78" s="58">
        <f t="shared" si="162"/>
        <v>1</v>
      </c>
      <c r="FM78" s="58">
        <f t="shared" si="163"/>
        <v>1</v>
      </c>
      <c r="FN78" s="58">
        <f>IF(i_eff_inputs_based_on_num=2,EP78,(INDEX(Lists!$L$51:$L$85,MATCH(O78,Lists!$K$51:$K$85,0))))</f>
        <v>7</v>
      </c>
      <c r="FO78" s="58">
        <f>IF(i_eff_inputs_based_on_num=2,EQ78,(INDEX(Lists!$L$51:$L$85,MATCH(P78,Lists!$K$51:$K$85,0))))</f>
        <v>2</v>
      </c>
      <c r="FP78" s="58">
        <f>IF(i_eff_inputs_based_on_num=2,ER78,(INDEX(Lists!$L$51:$L$85,MATCH(Q78,Lists!$K$51:$K$85,0))))</f>
        <v>4</v>
      </c>
      <c r="FT78" s="58">
        <f t="shared" si="167"/>
        <v>0</v>
      </c>
      <c r="FW78" s="58">
        <f>IF(i_baseline_risk_from=2,'Effectiveness settings'!EW78,'Effectiveness settings'!FI78)</f>
        <v>0</v>
      </c>
      <c r="FX78" s="58">
        <f t="shared" si="168"/>
        <v>0</v>
      </c>
      <c r="FY78" s="58">
        <f t="shared" si="169"/>
        <v>0</v>
      </c>
      <c r="FZ78" s="58">
        <f t="shared" si="170"/>
        <v>0</v>
      </c>
      <c r="GA78" s="58">
        <f t="shared" si="171"/>
        <v>0</v>
      </c>
      <c r="GB78" s="58">
        <f t="shared" si="172"/>
        <v>0</v>
      </c>
      <c r="GC78" s="58">
        <f t="shared" si="173"/>
        <v>0</v>
      </c>
      <c r="GD78" s="58">
        <f t="shared" si="174"/>
        <v>0</v>
      </c>
      <c r="GE78" s="58">
        <f>IF(AND(dd_CheckMate214_TTD="Yes",'Effectiveness settings'!BU78=2,'Effectiveness settings'!BX78=2),"Apply HR to",GD78)</f>
        <v>0</v>
      </c>
      <c r="GF78" s="58">
        <f t="shared" si="175"/>
        <v>0</v>
      </c>
      <c r="GG78" s="58">
        <f t="shared" si="176"/>
        <v>0</v>
      </c>
      <c r="GH78" s="58">
        <f t="shared" si="177"/>
        <v>0</v>
      </c>
      <c r="GI78" s="58">
        <f t="shared" si="178"/>
        <v>0</v>
      </c>
      <c r="GK78" s="58">
        <f>IF(i_baseline_risk_from=2,'Effectiveness settings'!FA78,'Effectiveness settings'!FM78)</f>
        <v>1</v>
      </c>
      <c r="GL78" s="58">
        <f>IF(i_baseline_risk_from=2,'Effectiveness settings'!FB78,'Effectiveness settings'!FN78)</f>
        <v>7</v>
      </c>
      <c r="GM78" s="58">
        <f>IF(i_baseline_risk_from=2,'Effectiveness settings'!FC78,'Effectiveness settings'!FO78)</f>
        <v>2</v>
      </c>
      <c r="GN78" s="58">
        <f>IF(i_baseline_risk_from=2,'Effectiveness settings'!FD78,'Effectiveness settings'!FP78)</f>
        <v>4</v>
      </c>
      <c r="GQ78" s="58">
        <f t="shared" si="179"/>
        <v>7</v>
      </c>
      <c r="GR78" s="58">
        <f t="shared" si="180"/>
        <v>7</v>
      </c>
      <c r="GS78" s="58">
        <f t="shared" si="181"/>
        <v>7</v>
      </c>
      <c r="GT78" s="58">
        <f t="shared" si="182"/>
        <v>7</v>
      </c>
      <c r="GU78" s="58">
        <f>IF(AND(dd_CheckMate214_TTD="Yes",'Effectiveness settings'!BU78=2,'Effectiveness settings'!BX78=2),2,GT78)</f>
        <v>7</v>
      </c>
      <c r="GV78" s="58">
        <f t="shared" si="183"/>
        <v>7</v>
      </c>
      <c r="GW78" s="58">
        <f t="shared" si="184"/>
        <v>7</v>
      </c>
      <c r="GY78" s="58">
        <f>IF(AND(dd_CheckMate214_TTD="Yes",'Effectiveness settings'!BU78=2,'Effectiveness settings'!BX78=2),1,GN78)</f>
        <v>4</v>
      </c>
      <c r="GZ78" s="58">
        <f t="shared" si="185"/>
        <v>4</v>
      </c>
      <c r="HB78" s="58">
        <f t="shared" si="186"/>
        <v>1</v>
      </c>
      <c r="HD78" s="58">
        <f t="shared" si="187"/>
        <v>1</v>
      </c>
      <c r="HE78" s="58">
        <f t="shared" si="188"/>
        <v>1</v>
      </c>
      <c r="HF78" s="58">
        <f t="shared" si="189"/>
        <v>7</v>
      </c>
      <c r="HG78" s="58">
        <f t="shared" si="190"/>
        <v>2</v>
      </c>
      <c r="HH78" s="58">
        <f t="shared" si="191"/>
        <v>4</v>
      </c>
    </row>
    <row r="79" spans="1:216" ht="15.75" x14ac:dyDescent="0.25">
      <c r="D79" s="58" t="str">
        <v>tivozanib</v>
      </c>
      <c r="I79" s="64" t="s">
        <v>58</v>
      </c>
      <c r="J79" s="519" t="s">
        <v>557</v>
      </c>
      <c r="K79" s="524"/>
      <c r="L79" s="519"/>
      <c r="M79" s="516" t="s">
        <v>545</v>
      </c>
      <c r="N79" s="64" t="s">
        <v>546</v>
      </c>
      <c r="O79" s="64" t="s">
        <v>117</v>
      </c>
      <c r="P79" s="64" t="s">
        <v>547</v>
      </c>
      <c r="Q79" s="519" t="s">
        <v>557</v>
      </c>
      <c r="R79" s="516" t="s">
        <v>548</v>
      </c>
      <c r="S79" s="497"/>
      <c r="T79" s="497"/>
      <c r="U79" s="497"/>
      <c r="Y79" s="517"/>
      <c r="AA79" s="517"/>
      <c r="AF79" s="517"/>
      <c r="AM79" s="517"/>
      <c r="AO79" s="517"/>
      <c r="AT79" s="517"/>
      <c r="AV79" s="511"/>
      <c r="AW79" s="511"/>
      <c r="AX79" s="511"/>
      <c r="BA79" s="517"/>
      <c r="BC79" s="517"/>
      <c r="BH79" s="517"/>
      <c r="BJ79" s="511"/>
      <c r="BK79" s="511"/>
      <c r="BL79" s="511"/>
      <c r="BQ79" s="58">
        <f t="shared" si="165"/>
        <v>63</v>
      </c>
      <c r="BR79" s="17">
        <v>1</v>
      </c>
      <c r="BS79" s="17" t="s">
        <v>549</v>
      </c>
      <c r="BT79" s="17">
        <v>1</v>
      </c>
      <c r="BU79" s="17">
        <v>6</v>
      </c>
      <c r="BV79" s="17" t="str">
        <f t="shared" si="140"/>
        <v>tivozanib</v>
      </c>
      <c r="BW79" s="1006" t="str" cm="1">
        <f t="array" ref="BW79">IF(I79="No",I79,INDEX(List_incl_anal_1L_PorI,IF(BU79=999,35,BU79+1)))</f>
        <v>No</v>
      </c>
      <c r="BX79" s="61">
        <f t="shared" si="141"/>
        <v>4</v>
      </c>
      <c r="BY79" s="531" t="str">
        <f t="shared" si="192"/>
        <v>Post progression survival</v>
      </c>
      <c r="BZ79" s="530">
        <f t="shared" si="142"/>
        <v>0</v>
      </c>
      <c r="CA79" s="531">
        <f t="shared" si="164"/>
        <v>0</v>
      </c>
      <c r="CB79" s="530">
        <f t="shared" si="143"/>
        <v>1</v>
      </c>
      <c r="CC79" s="530">
        <f t="shared" si="144"/>
        <v>1</v>
      </c>
      <c r="CD79" s="530">
        <f t="shared" si="145"/>
        <v>7</v>
      </c>
      <c r="CE79" s="1295">
        <f t="shared" si="146"/>
        <v>2</v>
      </c>
      <c r="CF79" s="1301">
        <f t="shared" si="147"/>
        <v>4</v>
      </c>
      <c r="CG79" s="530" t="str">
        <f t="shared" si="148"/>
        <v>Exponential</v>
      </c>
      <c r="CH79" s="61">
        <f t="shared" si="149"/>
        <v>0</v>
      </c>
      <c r="CI79" s="61">
        <f t="shared" si="150"/>
        <v>0</v>
      </c>
      <c r="CJ79" s="61">
        <f t="shared" si="151"/>
        <v>0</v>
      </c>
      <c r="DA79" s="1024"/>
      <c r="DB79" s="1024"/>
      <c r="DC79" s="1024"/>
      <c r="DD79" s="1024"/>
      <c r="DE79" s="1024"/>
      <c r="DF79" s="1024"/>
      <c r="DG79" s="1024"/>
      <c r="DK79" s="58" t="str" cm="1">
        <f t="array" ref="DK79">IF(AND($BT79=4,$BX79=4,$BU79=999),$DB$36,_xlfn.IFNA(INDEX(DB$13:DB$70,MATCH(1,($BR79=$CV$13:$CV$70)*($BT79=$CX$13:$CX$70)*($CE79=$CY$13:$CY$70)*($BY79=$DA$13:$DA$70)*($CD79=$DH$13:$DH$70),0)),""))</f>
        <v>Exponential</v>
      </c>
      <c r="DL79" s="58" t="str" cm="1">
        <f t="array" ref="DL79">IF(AND($BT79=4,$BX79=4,$BU79=999),$DC$36,_xlfn.IFNA(INDEX(CHOOSE(DP79,DB$13:DB$70,DC$13:DC$70,DD$13:DD$70,DE$13:DE$70),MATCH(1,($BR79=$CV$13:$CV$70)*($BT79=$CX$13:$CX$70)*($CE79=$CY$13:$CY$70)*($BY79=$DA$13:$DA$70)*($CD79=$DH$13:$DH$70),0)),""))</f>
        <v>Exponential</v>
      </c>
      <c r="DM79" s="740" cm="1">
        <f t="array" ref="DM79">IF(AND($BT79=4,$BX79=4,$BU79=999),$DD$36,_xlfn.IFNA(INDEX(DD$13:DD$68,MATCH(1,($BR79=$CV$13:$CV$68)*($BT79=$CX$13:$CX$68)*($CE79=$CY$13:$CY$68)*($BY79=$DA$13:$DA$68)*($CD79=$DH$13:$DH$68),0)),""))</f>
        <v>0</v>
      </c>
      <c r="DN79" s="740" cm="1">
        <f t="array" ref="DN79">IF(AND($BT79=4,$BX79=4,$BU79=999),$DD$36,_xlfn.IFNA(INDEX(DE$13:DE$68,MATCH(1,($BR79=$CV$13:$CV$68)*($BT79=$CX$13:$CX$68)*($CE79=$CY$13:$CY$68)*($BY79=$DA$13:$DA$68)*($CD79=$DH$13:$DH$68),0)),""))</f>
        <v>0</v>
      </c>
      <c r="DO79" s="58" t="str" cm="1">
        <f t="array" ref="DO79">IF(AND($BT79=4,$BX79=4,$BU79=999),$DF$36,_xlfn.IFNA(INDEX(DF$13:DF$70,MATCH(1,($BR79=$CV$13:$CV$70)*($BT79=$CX$13:$CX$70)*($CE79=$CY$13:$CY$70)*($BY79=$DA$13:$DA$70)*($CD79=$DH$13:$DH$70),0)),""))</f>
        <v>Base case</v>
      </c>
      <c r="DP79" s="58">
        <f t="shared" si="166"/>
        <v>1</v>
      </c>
      <c r="DW79" s="58" t="s">
        <v>58</v>
      </c>
      <c r="DX79" s="58" t="s">
        <v>557</v>
      </c>
      <c r="DY79" s="58">
        <v>0</v>
      </c>
      <c r="DZ79" s="58">
        <v>0</v>
      </c>
      <c r="EB79" s="58">
        <v>1</v>
      </c>
      <c r="EC79" s="58">
        <v>1</v>
      </c>
      <c r="ED79" s="58">
        <v>7</v>
      </c>
      <c r="EE79" s="58">
        <v>2</v>
      </c>
      <c r="EF79" s="58">
        <v>4</v>
      </c>
      <c r="EI79" s="58" t="s">
        <v>58</v>
      </c>
      <c r="EJ79" s="58" t="s">
        <v>557</v>
      </c>
      <c r="EK79" s="58">
        <v>0</v>
      </c>
      <c r="EL79" s="58">
        <v>0</v>
      </c>
      <c r="EN79" s="58">
        <v>1</v>
      </c>
      <c r="EO79" s="58">
        <v>1</v>
      </c>
      <c r="EP79" s="58">
        <v>7</v>
      </c>
      <c r="EQ79" s="58">
        <v>2</v>
      </c>
      <c r="ER79" s="58">
        <v>4</v>
      </c>
      <c r="EU79" s="58" t="str">
        <f t="shared" si="152"/>
        <v>No</v>
      </c>
      <c r="EV79" s="58" t="str">
        <f t="shared" si="153"/>
        <v>Post progression survival</v>
      </c>
      <c r="EW79" s="58">
        <f t="shared" si="154"/>
        <v>0</v>
      </c>
      <c r="EX79" s="58">
        <f t="shared" si="155"/>
        <v>0</v>
      </c>
      <c r="EZ79" s="58">
        <f t="shared" si="156"/>
        <v>1</v>
      </c>
      <c r="FA79" s="58">
        <f t="shared" si="157"/>
        <v>1</v>
      </c>
      <c r="FB79" s="58">
        <f>IF(i_eff_inputs_based_on_num=2,ED79,(INDEX(Lists!$L$51:$L$85,MATCH(O79,Lists!$K$51:$K$85,0))))</f>
        <v>7</v>
      </c>
      <c r="FC79" s="58">
        <f>IF(i_eff_inputs_based_on_num=2,EE79,(INDEX(Lists!$L$51:$L$85,MATCH(P79,Lists!$K$51:$K$85,0))))</f>
        <v>2</v>
      </c>
      <c r="FD79" s="58">
        <f>IF(i_eff_inputs_based_on_num=2,EF79,(INDEX(Lists!$L$51:$L$85,MATCH(Q79,Lists!$K$51:$K$85,0))))</f>
        <v>4</v>
      </c>
      <c r="FG79" s="58" t="str">
        <f t="shared" si="158"/>
        <v>No</v>
      </c>
      <c r="FH79" s="58" t="str">
        <f t="shared" si="159"/>
        <v>Post progression survival</v>
      </c>
      <c r="FI79" s="58">
        <f t="shared" si="160"/>
        <v>0</v>
      </c>
      <c r="FJ79" s="58">
        <f t="shared" si="161"/>
        <v>0</v>
      </c>
      <c r="FL79" s="58">
        <f t="shared" si="162"/>
        <v>1</v>
      </c>
      <c r="FM79" s="58">
        <f t="shared" si="163"/>
        <v>1</v>
      </c>
      <c r="FN79" s="58">
        <f>IF(i_eff_inputs_based_on_num=2,EP79,(INDEX(Lists!$L$51:$L$85,MATCH(O79,Lists!$K$51:$K$85,0))))</f>
        <v>7</v>
      </c>
      <c r="FO79" s="58">
        <f>IF(i_eff_inputs_based_on_num=2,EQ79,(INDEX(Lists!$L$51:$L$85,MATCH(P79,Lists!$K$51:$K$85,0))))</f>
        <v>2</v>
      </c>
      <c r="FP79" s="58">
        <f>IF(i_eff_inputs_based_on_num=2,ER79,(INDEX(Lists!$L$51:$L$85,MATCH(Q79,Lists!$K$51:$K$85,0))))</f>
        <v>4</v>
      </c>
      <c r="FT79" s="58">
        <f t="shared" si="167"/>
        <v>0</v>
      </c>
      <c r="FW79" s="58">
        <f>IF(i_baseline_risk_from=2,'Effectiveness settings'!EW79,'Effectiveness settings'!FI79)</f>
        <v>0</v>
      </c>
      <c r="FX79" s="58">
        <f t="shared" si="168"/>
        <v>0</v>
      </c>
      <c r="FY79" s="58">
        <f t="shared" si="169"/>
        <v>0</v>
      </c>
      <c r="FZ79" s="58">
        <f t="shared" si="170"/>
        <v>0</v>
      </c>
      <c r="GA79" s="58">
        <f t="shared" si="171"/>
        <v>0</v>
      </c>
      <c r="GB79" s="58">
        <f t="shared" si="172"/>
        <v>0</v>
      </c>
      <c r="GC79" s="58">
        <f t="shared" si="173"/>
        <v>0</v>
      </c>
      <c r="GD79" s="58">
        <f t="shared" si="174"/>
        <v>0</v>
      </c>
      <c r="GE79" s="58">
        <f>IF(AND(dd_CheckMate214_TTD="Yes",'Effectiveness settings'!BU79=2,'Effectiveness settings'!BX79=2),"Apply HR to",GD79)</f>
        <v>0</v>
      </c>
      <c r="GF79" s="58">
        <f t="shared" si="175"/>
        <v>0</v>
      </c>
      <c r="GG79" s="58">
        <f t="shared" si="176"/>
        <v>0</v>
      </c>
      <c r="GH79" s="58">
        <f t="shared" si="177"/>
        <v>0</v>
      </c>
      <c r="GI79" s="58">
        <f t="shared" si="178"/>
        <v>0</v>
      </c>
      <c r="GK79" s="58">
        <f>IF(i_baseline_risk_from=2,'Effectiveness settings'!FA79,'Effectiveness settings'!FM79)</f>
        <v>1</v>
      </c>
      <c r="GL79" s="58">
        <f>IF(i_baseline_risk_from=2,'Effectiveness settings'!FB79,'Effectiveness settings'!FN79)</f>
        <v>7</v>
      </c>
      <c r="GM79" s="58">
        <f>IF(i_baseline_risk_from=2,'Effectiveness settings'!FC79,'Effectiveness settings'!FO79)</f>
        <v>2</v>
      </c>
      <c r="GN79" s="58">
        <f>IF(i_baseline_risk_from=2,'Effectiveness settings'!FD79,'Effectiveness settings'!FP79)</f>
        <v>4</v>
      </c>
      <c r="GQ79" s="58">
        <f t="shared" si="179"/>
        <v>7</v>
      </c>
      <c r="GR79" s="58">
        <f t="shared" si="180"/>
        <v>7</v>
      </c>
      <c r="GS79" s="58">
        <f t="shared" si="181"/>
        <v>7</v>
      </c>
      <c r="GT79" s="58">
        <f t="shared" si="182"/>
        <v>7</v>
      </c>
      <c r="GU79" s="58">
        <f>IF(AND(dd_CheckMate214_TTD="Yes",'Effectiveness settings'!BU79=2,'Effectiveness settings'!BX79=2),2,GT79)</f>
        <v>7</v>
      </c>
      <c r="GV79" s="58">
        <f t="shared" si="183"/>
        <v>7</v>
      </c>
      <c r="GW79" s="58">
        <f t="shared" si="184"/>
        <v>7</v>
      </c>
      <c r="GY79" s="58">
        <f>IF(AND(dd_CheckMate214_TTD="Yes",'Effectiveness settings'!BU79=2,'Effectiveness settings'!BX79=2),1,GN79)</f>
        <v>4</v>
      </c>
      <c r="GZ79" s="58">
        <f t="shared" si="185"/>
        <v>4</v>
      </c>
      <c r="HB79" s="58">
        <f t="shared" si="186"/>
        <v>1</v>
      </c>
      <c r="HD79" s="58">
        <f t="shared" si="187"/>
        <v>1</v>
      </c>
      <c r="HE79" s="58">
        <f t="shared" si="188"/>
        <v>1</v>
      </c>
      <c r="HF79" s="58">
        <f t="shared" si="189"/>
        <v>7</v>
      </c>
      <c r="HG79" s="58">
        <f t="shared" si="190"/>
        <v>2</v>
      </c>
      <c r="HH79" s="58">
        <f t="shared" si="191"/>
        <v>4</v>
      </c>
    </row>
    <row r="80" spans="1:216" ht="15.75" x14ac:dyDescent="0.25">
      <c r="A80" s="58" t="s">
        <v>569</v>
      </c>
      <c r="D80" s="58" t="str">
        <v>sunitinib</v>
      </c>
      <c r="I80" s="64" t="s">
        <v>58</v>
      </c>
      <c r="J80" s="519" t="s">
        <v>557</v>
      </c>
      <c r="K80" s="524"/>
      <c r="L80" s="519"/>
      <c r="M80" s="516" t="s">
        <v>545</v>
      </c>
      <c r="N80" s="64" t="s">
        <v>546</v>
      </c>
      <c r="O80" s="64" t="s">
        <v>117</v>
      </c>
      <c r="P80" s="64" t="s">
        <v>547</v>
      </c>
      <c r="Q80" s="519" t="s">
        <v>557</v>
      </c>
      <c r="R80" s="516" t="s">
        <v>548</v>
      </c>
      <c r="S80" s="497"/>
      <c r="T80" s="497"/>
      <c r="U80" s="497"/>
      <c r="Y80" s="517"/>
      <c r="AA80" s="517"/>
      <c r="AF80" s="517"/>
      <c r="AM80" s="517"/>
      <c r="AO80" s="517"/>
      <c r="AT80" s="517"/>
      <c r="AV80" s="511"/>
      <c r="AW80" s="511"/>
      <c r="AX80" s="511"/>
      <c r="BA80" s="517"/>
      <c r="BC80" s="517"/>
      <c r="BH80" s="517"/>
      <c r="BJ80" s="511"/>
      <c r="BK80" s="511"/>
      <c r="BL80" s="511"/>
      <c r="BQ80" s="58">
        <f t="shared" si="165"/>
        <v>64</v>
      </c>
      <c r="BR80" s="17">
        <v>1</v>
      </c>
      <c r="BS80" s="17" t="s">
        <v>549</v>
      </c>
      <c r="BT80" s="17">
        <v>1</v>
      </c>
      <c r="BU80" s="17">
        <v>7</v>
      </c>
      <c r="BV80" s="17" t="str">
        <f t="shared" si="140"/>
        <v>sunitinib</v>
      </c>
      <c r="BW80" s="1006" t="str" cm="1">
        <f t="array" ref="BW80">IF(I80="No",I80,INDEX(List_incl_anal_1L_PorI,IF(BU80=999,35,BU80+1)))</f>
        <v>No</v>
      </c>
      <c r="BX80" s="61">
        <f t="shared" si="141"/>
        <v>4</v>
      </c>
      <c r="BY80" s="531" t="str">
        <f t="shared" si="192"/>
        <v>Post progression survival</v>
      </c>
      <c r="BZ80" s="530">
        <f t="shared" si="142"/>
        <v>0</v>
      </c>
      <c r="CA80" s="531">
        <f t="shared" si="164"/>
        <v>0</v>
      </c>
      <c r="CB80" s="530">
        <f t="shared" si="143"/>
        <v>1</v>
      </c>
      <c r="CC80" s="530">
        <f t="shared" si="144"/>
        <v>1</v>
      </c>
      <c r="CD80" s="530">
        <f t="shared" si="145"/>
        <v>7</v>
      </c>
      <c r="CE80" s="1295">
        <f t="shared" si="146"/>
        <v>2</v>
      </c>
      <c r="CF80" s="1301">
        <f t="shared" si="147"/>
        <v>4</v>
      </c>
      <c r="CG80" s="530" t="str">
        <f t="shared" si="148"/>
        <v>Exponential</v>
      </c>
      <c r="CH80" s="61">
        <f t="shared" si="149"/>
        <v>0</v>
      </c>
      <c r="CI80" s="61">
        <f t="shared" si="150"/>
        <v>0</v>
      </c>
      <c r="CJ80" s="61">
        <f t="shared" si="151"/>
        <v>0</v>
      </c>
      <c r="DA80" s="1024"/>
      <c r="DB80" s="1024"/>
      <c r="DC80" s="1024"/>
      <c r="DD80" s="1024"/>
      <c r="DE80" s="1024"/>
      <c r="DF80" s="1024"/>
      <c r="DG80" s="1024"/>
      <c r="DK80" s="58" t="str" cm="1">
        <f t="array" ref="DK80">IF(AND($BT80=4,$BX80=4,$BU80=999),$DB$36,_xlfn.IFNA(INDEX(DB$13:DB$70,MATCH(1,($BR80=$CV$13:$CV$70)*($BT80=$CX$13:$CX$70)*($CE80=$CY$13:$CY$70)*($BY80=$DA$13:$DA$70)*($CD80=$DH$13:$DH$70),0)),""))</f>
        <v>Exponential</v>
      </c>
      <c r="DL80" s="58" t="str" cm="1">
        <f t="array" ref="DL80">IF(AND($BT80=4,$BX80=4,$BU80=999),$DC$36,_xlfn.IFNA(INDEX(CHOOSE(DP80,DB$13:DB$70,DC$13:DC$70,DD$13:DD$70,DE$13:DE$70),MATCH(1,($BR80=$CV$13:$CV$70)*($BT80=$CX$13:$CX$70)*($CE80=$CY$13:$CY$70)*($BY80=$DA$13:$DA$70)*($CD80=$DH$13:$DH$70),0)),""))</f>
        <v>Exponential</v>
      </c>
      <c r="DM80" s="740" cm="1">
        <f t="array" ref="DM80">IF(AND($BT80=4,$BX80=4,$BU80=999),$DD$36,_xlfn.IFNA(INDEX(DD$13:DD$68,MATCH(1,($BR80=$CV$13:$CV$68)*($BT80=$CX$13:$CX$68)*($CE80=$CY$13:$CY$68)*($BY80=$DA$13:$DA$68)*($CD80=$DH$13:$DH$68),0)),""))</f>
        <v>0</v>
      </c>
      <c r="DN80" s="740" cm="1">
        <f t="array" ref="DN80">IF(AND($BT80=4,$BX80=4,$BU80=999),$DD$36,_xlfn.IFNA(INDEX(DE$13:DE$68,MATCH(1,($BR80=$CV$13:$CV$68)*($BT80=$CX$13:$CX$68)*($CE80=$CY$13:$CY$68)*($BY80=$DA$13:$DA$68)*($CD80=$DH$13:$DH$68),0)),""))</f>
        <v>0</v>
      </c>
      <c r="DO80" s="58" t="str" cm="1">
        <f t="array" ref="DO80">IF(AND($BT80=4,$BX80=4,$BU80=999),$DF$36,_xlfn.IFNA(INDEX(DF$13:DF$70,MATCH(1,($BR80=$CV$13:$CV$70)*($BT80=$CX$13:$CX$70)*($CE80=$CY$13:$CY$70)*($BY80=$DA$13:$DA$70)*($CD80=$DH$13:$DH$70),0)),""))</f>
        <v>Base case</v>
      </c>
      <c r="DP80" s="58">
        <f t="shared" si="166"/>
        <v>1</v>
      </c>
      <c r="DW80" s="58" t="s">
        <v>58</v>
      </c>
      <c r="DX80" s="58" t="s">
        <v>557</v>
      </c>
      <c r="DY80" s="58">
        <v>0</v>
      </c>
      <c r="DZ80" s="58">
        <v>0</v>
      </c>
      <c r="EB80" s="58">
        <v>1</v>
      </c>
      <c r="EC80" s="58">
        <v>1</v>
      </c>
      <c r="ED80" s="58">
        <v>7</v>
      </c>
      <c r="EE80" s="58">
        <v>2</v>
      </c>
      <c r="EF80" s="58">
        <v>4</v>
      </c>
      <c r="EI80" s="58" t="s">
        <v>58</v>
      </c>
      <c r="EJ80" s="58" t="s">
        <v>557</v>
      </c>
      <c r="EK80" s="58">
        <v>0</v>
      </c>
      <c r="EL80" s="58">
        <v>0</v>
      </c>
      <c r="EN80" s="58">
        <v>1</v>
      </c>
      <c r="EO80" s="58">
        <v>1</v>
      </c>
      <c r="EP80" s="58">
        <v>7</v>
      </c>
      <c r="EQ80" s="58">
        <v>2</v>
      </c>
      <c r="ER80" s="58">
        <v>4</v>
      </c>
      <c r="EU80" s="58" t="str">
        <f t="shared" si="152"/>
        <v>No</v>
      </c>
      <c r="EV80" s="58" t="str">
        <f t="shared" si="153"/>
        <v>Post progression survival</v>
      </c>
      <c r="EW80" s="58">
        <f t="shared" si="154"/>
        <v>0</v>
      </c>
      <c r="EX80" s="58">
        <f t="shared" si="155"/>
        <v>0</v>
      </c>
      <c r="EZ80" s="58">
        <f t="shared" si="156"/>
        <v>1</v>
      </c>
      <c r="FA80" s="58">
        <f t="shared" si="157"/>
        <v>1</v>
      </c>
      <c r="FB80" s="58">
        <f>IF(i_eff_inputs_based_on_num=2,ED80,(INDEX(Lists!$L$51:$L$85,MATCH(O80,Lists!$K$51:$K$85,0))))</f>
        <v>7</v>
      </c>
      <c r="FC80" s="58">
        <f>IF(i_eff_inputs_based_on_num=2,EE80,(INDEX(Lists!$L$51:$L$85,MATCH(P80,Lists!$K$51:$K$85,0))))</f>
        <v>2</v>
      </c>
      <c r="FD80" s="58">
        <f>IF(i_eff_inputs_based_on_num=2,EF80,(INDEX(Lists!$L$51:$L$85,MATCH(Q80,Lists!$K$51:$K$85,0))))</f>
        <v>4</v>
      </c>
      <c r="FG80" s="58" t="str">
        <f t="shared" si="158"/>
        <v>No</v>
      </c>
      <c r="FH80" s="58" t="str">
        <f t="shared" si="159"/>
        <v>Post progression survival</v>
      </c>
      <c r="FI80" s="58">
        <f t="shared" si="160"/>
        <v>0</v>
      </c>
      <c r="FJ80" s="58">
        <f t="shared" si="161"/>
        <v>0</v>
      </c>
      <c r="FL80" s="58">
        <f t="shared" si="162"/>
        <v>1</v>
      </c>
      <c r="FM80" s="58">
        <f t="shared" si="163"/>
        <v>1</v>
      </c>
      <c r="FN80" s="58">
        <f>IF(i_eff_inputs_based_on_num=2,EP80,(INDEX(Lists!$L$51:$L$85,MATCH(O80,Lists!$K$51:$K$85,0))))</f>
        <v>7</v>
      </c>
      <c r="FO80" s="58">
        <f>IF(i_eff_inputs_based_on_num=2,EQ80,(INDEX(Lists!$L$51:$L$85,MATCH(P80,Lists!$K$51:$K$85,0))))</f>
        <v>2</v>
      </c>
      <c r="FP80" s="58">
        <f>IF(i_eff_inputs_based_on_num=2,ER80,(INDEX(Lists!$L$51:$L$85,MATCH(Q80,Lists!$K$51:$K$85,0))))</f>
        <v>4</v>
      </c>
      <c r="FT80" s="58">
        <f t="shared" si="167"/>
        <v>0</v>
      </c>
      <c r="FW80" s="58">
        <f>IF(i_baseline_risk_from=2,'Effectiveness settings'!EW80,'Effectiveness settings'!FI80)</f>
        <v>0</v>
      </c>
      <c r="FX80" s="58">
        <f t="shared" si="168"/>
        <v>0</v>
      </c>
      <c r="FY80" s="58">
        <f t="shared" si="169"/>
        <v>0</v>
      </c>
      <c r="FZ80" s="58">
        <f t="shared" si="170"/>
        <v>0</v>
      </c>
      <c r="GA80" s="58">
        <f t="shared" si="171"/>
        <v>0</v>
      </c>
      <c r="GB80" s="58">
        <f t="shared" si="172"/>
        <v>0</v>
      </c>
      <c r="GC80" s="58">
        <f t="shared" si="173"/>
        <v>0</v>
      </c>
      <c r="GD80" s="58">
        <f t="shared" si="174"/>
        <v>0</v>
      </c>
      <c r="GE80" s="58">
        <f>IF(AND(dd_CheckMate214_TTD="Yes",'Effectiveness settings'!BU80=2,'Effectiveness settings'!BX80=2),"Apply HR to",GD80)</f>
        <v>0</v>
      </c>
      <c r="GF80" s="58">
        <f t="shared" si="175"/>
        <v>0</v>
      </c>
      <c r="GG80" s="58">
        <f t="shared" si="176"/>
        <v>0</v>
      </c>
      <c r="GH80" s="58">
        <f t="shared" si="177"/>
        <v>0</v>
      </c>
      <c r="GI80" s="58">
        <f t="shared" si="178"/>
        <v>0</v>
      </c>
      <c r="GK80" s="58">
        <f>IF(i_baseline_risk_from=2,'Effectiveness settings'!FA80,'Effectiveness settings'!FM80)</f>
        <v>1</v>
      </c>
      <c r="GL80" s="58">
        <f>IF(i_baseline_risk_from=2,'Effectiveness settings'!FB80,'Effectiveness settings'!FN80)</f>
        <v>7</v>
      </c>
      <c r="GM80" s="58">
        <f>IF(i_baseline_risk_from=2,'Effectiveness settings'!FC80,'Effectiveness settings'!FO80)</f>
        <v>2</v>
      </c>
      <c r="GN80" s="58">
        <f>IF(i_baseline_risk_from=2,'Effectiveness settings'!FD80,'Effectiveness settings'!FP80)</f>
        <v>4</v>
      </c>
      <c r="GQ80" s="58">
        <f t="shared" si="179"/>
        <v>7</v>
      </c>
      <c r="GR80" s="58">
        <f t="shared" si="180"/>
        <v>7</v>
      </c>
      <c r="GS80" s="58">
        <f t="shared" si="181"/>
        <v>7</v>
      </c>
      <c r="GT80" s="58">
        <f t="shared" si="182"/>
        <v>7</v>
      </c>
      <c r="GU80" s="58">
        <f>IF(AND(dd_CheckMate214_TTD="Yes",'Effectiveness settings'!BU80=2,'Effectiveness settings'!BX80=2),2,GT80)</f>
        <v>7</v>
      </c>
      <c r="GV80" s="58">
        <f t="shared" si="183"/>
        <v>7</v>
      </c>
      <c r="GW80" s="58">
        <f t="shared" si="184"/>
        <v>7</v>
      </c>
      <c r="GY80" s="58">
        <f>IF(AND(dd_CheckMate214_TTD="Yes",'Effectiveness settings'!BU80=2,'Effectiveness settings'!BX80=2),1,GN80)</f>
        <v>4</v>
      </c>
      <c r="GZ80" s="58">
        <f t="shared" si="185"/>
        <v>4</v>
      </c>
      <c r="HB80" s="58">
        <f t="shared" si="186"/>
        <v>1</v>
      </c>
      <c r="HD80" s="58">
        <f t="shared" si="187"/>
        <v>1</v>
      </c>
      <c r="HE80" s="58">
        <f t="shared" si="188"/>
        <v>1</v>
      </c>
      <c r="HF80" s="58">
        <f t="shared" si="189"/>
        <v>7</v>
      </c>
      <c r="HG80" s="58">
        <f t="shared" si="190"/>
        <v>2</v>
      </c>
      <c r="HH80" s="58">
        <f t="shared" si="191"/>
        <v>4</v>
      </c>
    </row>
    <row r="81" spans="4:216" ht="15.75" x14ac:dyDescent="0.25">
      <c r="D81" s="58" t="str">
        <v>cabozantinib</v>
      </c>
      <c r="I81" s="64" t="s">
        <v>58</v>
      </c>
      <c r="J81" s="519" t="s">
        <v>557</v>
      </c>
      <c r="K81" s="524"/>
      <c r="L81" s="519"/>
      <c r="M81" s="516" t="s">
        <v>545</v>
      </c>
      <c r="N81" s="64" t="s">
        <v>546</v>
      </c>
      <c r="O81" s="64" t="s">
        <v>117</v>
      </c>
      <c r="P81" s="64" t="s">
        <v>547</v>
      </c>
      <c r="Q81" s="519" t="s">
        <v>557</v>
      </c>
      <c r="R81" s="516" t="s">
        <v>548</v>
      </c>
      <c r="S81" s="497"/>
      <c r="T81" s="497"/>
      <c r="U81" s="497"/>
      <c r="Y81" s="517"/>
      <c r="AA81" s="517"/>
      <c r="AF81" s="517"/>
      <c r="AM81" s="517"/>
      <c r="AO81" s="517"/>
      <c r="AT81" s="517"/>
      <c r="AV81" s="511"/>
      <c r="AW81" s="511"/>
      <c r="AX81" s="511"/>
      <c r="BA81" s="517"/>
      <c r="BC81" s="517"/>
      <c r="BH81" s="517"/>
      <c r="BJ81" s="511"/>
      <c r="BK81" s="511"/>
      <c r="BL81" s="511"/>
      <c r="BQ81" s="58">
        <f t="shared" si="165"/>
        <v>65</v>
      </c>
      <c r="BR81" s="17">
        <v>1</v>
      </c>
      <c r="BS81" s="17" t="s">
        <v>549</v>
      </c>
      <c r="BT81" s="17">
        <v>1</v>
      </c>
      <c r="BU81" s="17">
        <v>8</v>
      </c>
      <c r="BV81" s="17" t="str">
        <f t="shared" si="140"/>
        <v>cabozantinib</v>
      </c>
      <c r="BW81" s="1006" t="str" cm="1">
        <f t="array" ref="BW81">IF(I81="No",I81,INDEX(List_incl_anal_1L_PorI,IF(BU81=999,35,BU81+1)))</f>
        <v>No</v>
      </c>
      <c r="BX81" s="61">
        <f t="shared" si="141"/>
        <v>4</v>
      </c>
      <c r="BY81" s="531" t="str">
        <f t="shared" si="192"/>
        <v>Post progression survival</v>
      </c>
      <c r="BZ81" s="530">
        <f t="shared" si="142"/>
        <v>0</v>
      </c>
      <c r="CA81" s="531">
        <f t="shared" si="164"/>
        <v>0</v>
      </c>
      <c r="CB81" s="530">
        <f t="shared" si="143"/>
        <v>1</v>
      </c>
      <c r="CC81" s="530">
        <f t="shared" si="144"/>
        <v>1</v>
      </c>
      <c r="CD81" s="530">
        <f t="shared" si="145"/>
        <v>7</v>
      </c>
      <c r="CE81" s="1295">
        <f t="shared" si="146"/>
        <v>2</v>
      </c>
      <c r="CF81" s="1301">
        <f t="shared" si="147"/>
        <v>4</v>
      </c>
      <c r="CG81" s="530" t="str">
        <f t="shared" si="148"/>
        <v>Exponential</v>
      </c>
      <c r="CH81" s="61">
        <f t="shared" si="149"/>
        <v>0</v>
      </c>
      <c r="CI81" s="61">
        <f t="shared" si="150"/>
        <v>0</v>
      </c>
      <c r="CJ81" s="61">
        <f t="shared" si="151"/>
        <v>0</v>
      </c>
      <c r="DA81" s="1024"/>
      <c r="DB81" s="1024"/>
      <c r="DC81" s="1024"/>
      <c r="DD81" s="1024"/>
      <c r="DE81" s="1024"/>
      <c r="DF81" s="1024"/>
      <c r="DG81" s="1024"/>
      <c r="DK81" s="58" t="str" cm="1">
        <f t="array" ref="DK81">IF(AND($BT81=4,$BX81=4,$BU81=999),$DB$36,_xlfn.IFNA(INDEX(DB$13:DB$70,MATCH(1,($BR81=$CV$13:$CV$70)*($BT81=$CX$13:$CX$70)*($CE81=$CY$13:$CY$70)*($BY81=$DA$13:$DA$70)*($CD81=$DH$13:$DH$70),0)),""))</f>
        <v>Exponential</v>
      </c>
      <c r="DL81" s="58" t="str" cm="1">
        <f t="array" ref="DL81">IF(AND($BT81=4,$BX81=4,$BU81=999),$DC$36,_xlfn.IFNA(INDEX(CHOOSE(DP81,DB$13:DB$70,DC$13:DC$70,DD$13:DD$70,DE$13:DE$70),MATCH(1,($BR81=$CV$13:$CV$70)*($BT81=$CX$13:$CX$70)*($CE81=$CY$13:$CY$70)*($BY81=$DA$13:$DA$70)*($CD81=$DH$13:$DH$70),0)),""))</f>
        <v>Exponential</v>
      </c>
      <c r="DM81" s="740" cm="1">
        <f t="array" ref="DM81">IF(AND($BT81=4,$BX81=4,$BU81=999),$DD$36,_xlfn.IFNA(INDEX(DD$13:DD$68,MATCH(1,($BR81=$CV$13:$CV$68)*($BT81=$CX$13:$CX$68)*($CE81=$CY$13:$CY$68)*($BY81=$DA$13:$DA$68)*($CD81=$DH$13:$DH$68),0)),""))</f>
        <v>0</v>
      </c>
      <c r="DN81" s="740" cm="1">
        <f t="array" ref="DN81">IF(AND($BT81=4,$BX81=4,$BU81=999),$DD$36,_xlfn.IFNA(INDEX(DE$13:DE$68,MATCH(1,($BR81=$CV$13:$CV$68)*($BT81=$CX$13:$CX$68)*($CE81=$CY$13:$CY$68)*($BY81=$DA$13:$DA$68)*($CD81=$DH$13:$DH$68),0)),""))</f>
        <v>0</v>
      </c>
      <c r="DO81" s="58" t="str" cm="1">
        <f t="array" ref="DO81">IF(AND($BT81=4,$BX81=4,$BU81=999),$DF$36,_xlfn.IFNA(INDEX(DF$13:DF$70,MATCH(1,($BR81=$CV$13:$CV$70)*($BT81=$CX$13:$CX$70)*($CE81=$CY$13:$CY$70)*($BY81=$DA$13:$DA$70)*($CD81=$DH$13:$DH$70),0)),""))</f>
        <v>Base case</v>
      </c>
      <c r="DP81" s="58">
        <f t="shared" si="166"/>
        <v>1</v>
      </c>
      <c r="DW81" s="58" t="s">
        <v>58</v>
      </c>
      <c r="DX81" s="58" t="s">
        <v>557</v>
      </c>
      <c r="DY81" s="58">
        <v>0</v>
      </c>
      <c r="DZ81" s="58">
        <v>0</v>
      </c>
      <c r="EB81" s="58">
        <v>1</v>
      </c>
      <c r="EC81" s="58">
        <v>1</v>
      </c>
      <c r="ED81" s="58">
        <v>7</v>
      </c>
      <c r="EE81" s="58">
        <v>2</v>
      </c>
      <c r="EF81" s="58">
        <v>4</v>
      </c>
      <c r="EI81" s="58" t="s">
        <v>58</v>
      </c>
      <c r="EJ81" s="58" t="s">
        <v>557</v>
      </c>
      <c r="EK81" s="58">
        <v>0</v>
      </c>
      <c r="EL81" s="58">
        <v>0</v>
      </c>
      <c r="EN81" s="58">
        <v>1</v>
      </c>
      <c r="EO81" s="58">
        <v>1</v>
      </c>
      <c r="EP81" s="58">
        <v>7</v>
      </c>
      <c r="EQ81" s="58">
        <v>2</v>
      </c>
      <c r="ER81" s="58">
        <v>4</v>
      </c>
      <c r="EU81" s="58" t="str">
        <f t="shared" si="152"/>
        <v>No</v>
      </c>
      <c r="EV81" s="58" t="str">
        <f t="shared" si="153"/>
        <v>Post progression survival</v>
      </c>
      <c r="EW81" s="58">
        <f t="shared" si="154"/>
        <v>0</v>
      </c>
      <c r="EX81" s="58">
        <f t="shared" si="155"/>
        <v>0</v>
      </c>
      <c r="EZ81" s="58">
        <f t="shared" si="156"/>
        <v>1</v>
      </c>
      <c r="FA81" s="58">
        <f t="shared" si="157"/>
        <v>1</v>
      </c>
      <c r="FB81" s="58">
        <f>IF(i_eff_inputs_based_on_num=2,ED81,(INDEX(Lists!$L$51:$L$85,MATCH(O81,Lists!$K$51:$K$85,0))))</f>
        <v>7</v>
      </c>
      <c r="FC81" s="58">
        <f>IF(i_eff_inputs_based_on_num=2,EE81,(INDEX(Lists!$L$51:$L$85,MATCH(P81,Lists!$K$51:$K$85,0))))</f>
        <v>2</v>
      </c>
      <c r="FD81" s="58">
        <f>IF(i_eff_inputs_based_on_num=2,EF81,(INDEX(Lists!$L$51:$L$85,MATCH(Q81,Lists!$K$51:$K$85,0))))</f>
        <v>4</v>
      </c>
      <c r="FG81" s="58" t="str">
        <f t="shared" si="158"/>
        <v>No</v>
      </c>
      <c r="FH81" s="58" t="str">
        <f t="shared" si="159"/>
        <v>Post progression survival</v>
      </c>
      <c r="FI81" s="58">
        <f t="shared" si="160"/>
        <v>0</v>
      </c>
      <c r="FJ81" s="58">
        <f t="shared" si="161"/>
        <v>0</v>
      </c>
      <c r="FL81" s="58">
        <f t="shared" si="162"/>
        <v>1</v>
      </c>
      <c r="FM81" s="58">
        <f t="shared" si="163"/>
        <v>1</v>
      </c>
      <c r="FN81" s="58">
        <f>IF(i_eff_inputs_based_on_num=2,EP81,(INDEX(Lists!$L$51:$L$85,MATCH(O81,Lists!$K$51:$K$85,0))))</f>
        <v>7</v>
      </c>
      <c r="FO81" s="58">
        <f>IF(i_eff_inputs_based_on_num=2,EQ81,(INDEX(Lists!$L$51:$L$85,MATCH(P81,Lists!$K$51:$K$85,0))))</f>
        <v>2</v>
      </c>
      <c r="FP81" s="58">
        <f>IF(i_eff_inputs_based_on_num=2,ER81,(INDEX(Lists!$L$51:$L$85,MATCH(Q81,Lists!$K$51:$K$85,0))))</f>
        <v>4</v>
      </c>
      <c r="FT81" s="58">
        <f t="shared" si="167"/>
        <v>0</v>
      </c>
      <c r="FW81" s="58">
        <f>IF(i_baseline_risk_from=2,'Effectiveness settings'!EW81,'Effectiveness settings'!FI81)</f>
        <v>0</v>
      </c>
      <c r="FX81" s="58">
        <f t="shared" si="168"/>
        <v>0</v>
      </c>
      <c r="FY81" s="58">
        <f t="shared" si="169"/>
        <v>0</v>
      </c>
      <c r="FZ81" s="58">
        <f t="shared" si="170"/>
        <v>0</v>
      </c>
      <c r="GA81" s="58">
        <f t="shared" si="171"/>
        <v>0</v>
      </c>
      <c r="GB81" s="58">
        <f t="shared" si="172"/>
        <v>0</v>
      </c>
      <c r="GC81" s="58">
        <f t="shared" si="173"/>
        <v>0</v>
      </c>
      <c r="GD81" s="58">
        <f t="shared" si="174"/>
        <v>0</v>
      </c>
      <c r="GE81" s="58">
        <f>IF(AND(dd_CheckMate214_TTD="Yes",'Effectiveness settings'!BU81=2,'Effectiveness settings'!BX81=2),"Apply HR to",GD81)</f>
        <v>0</v>
      </c>
      <c r="GF81" s="58">
        <f t="shared" si="175"/>
        <v>0</v>
      </c>
      <c r="GG81" s="58">
        <f t="shared" si="176"/>
        <v>0</v>
      </c>
      <c r="GH81" s="58">
        <f t="shared" si="177"/>
        <v>0</v>
      </c>
      <c r="GI81" s="58">
        <f t="shared" si="178"/>
        <v>0</v>
      </c>
      <c r="GK81" s="58">
        <f>IF(i_baseline_risk_from=2,'Effectiveness settings'!FA81,'Effectiveness settings'!FM81)</f>
        <v>1</v>
      </c>
      <c r="GL81" s="58">
        <f>IF(i_baseline_risk_from=2,'Effectiveness settings'!FB81,'Effectiveness settings'!FN81)</f>
        <v>7</v>
      </c>
      <c r="GM81" s="58">
        <f>IF(i_baseline_risk_from=2,'Effectiveness settings'!FC81,'Effectiveness settings'!FO81)</f>
        <v>2</v>
      </c>
      <c r="GN81" s="58">
        <f>IF(i_baseline_risk_from=2,'Effectiveness settings'!FD81,'Effectiveness settings'!FP81)</f>
        <v>4</v>
      </c>
      <c r="GQ81" s="58">
        <f t="shared" si="179"/>
        <v>7</v>
      </c>
      <c r="GR81" s="58">
        <f t="shared" si="180"/>
        <v>7</v>
      </c>
      <c r="GS81" s="58">
        <f t="shared" si="181"/>
        <v>7</v>
      </c>
      <c r="GT81" s="58">
        <f t="shared" si="182"/>
        <v>7</v>
      </c>
      <c r="GU81" s="58">
        <f>IF(AND(dd_CheckMate214_TTD="Yes",'Effectiveness settings'!BU81=2,'Effectiveness settings'!BX81=2),2,GT81)</f>
        <v>7</v>
      </c>
      <c r="GV81" s="58">
        <f t="shared" si="183"/>
        <v>7</v>
      </c>
      <c r="GW81" s="58">
        <f t="shared" si="184"/>
        <v>7</v>
      </c>
      <c r="GY81" s="58">
        <f>IF(AND(dd_CheckMate214_TTD="Yes",'Effectiveness settings'!BU81=2,'Effectiveness settings'!BX81=2),1,GN81)</f>
        <v>4</v>
      </c>
      <c r="GZ81" s="58">
        <f t="shared" si="185"/>
        <v>4</v>
      </c>
      <c r="HB81" s="58">
        <f t="shared" si="186"/>
        <v>1</v>
      </c>
      <c r="HD81" s="58">
        <f t="shared" si="187"/>
        <v>1</v>
      </c>
      <c r="HE81" s="58">
        <f t="shared" si="188"/>
        <v>1</v>
      </c>
      <c r="HF81" s="58">
        <f t="shared" si="189"/>
        <v>7</v>
      </c>
      <c r="HG81" s="58">
        <f t="shared" si="190"/>
        <v>2</v>
      </c>
      <c r="HH81" s="58">
        <f t="shared" si="191"/>
        <v>4</v>
      </c>
    </row>
    <row r="82" spans="4:216" ht="15.75" x14ac:dyDescent="0.25">
      <c r="D82" s="58" t="str">
        <v>lenvatinib_plus_everolimus</v>
      </c>
      <c r="I82" s="64" t="s">
        <v>58</v>
      </c>
      <c r="J82" s="519" t="s">
        <v>557</v>
      </c>
      <c r="K82" s="524"/>
      <c r="L82" s="519"/>
      <c r="M82" s="516" t="s">
        <v>545</v>
      </c>
      <c r="N82" s="64" t="s">
        <v>546</v>
      </c>
      <c r="O82" s="64" t="s">
        <v>117</v>
      </c>
      <c r="P82" s="64" t="s">
        <v>547</v>
      </c>
      <c r="Q82" s="519" t="s">
        <v>557</v>
      </c>
      <c r="R82" s="516" t="s">
        <v>548</v>
      </c>
      <c r="S82" s="497"/>
      <c r="T82" s="497"/>
      <c r="U82" s="497"/>
      <c r="Y82" s="517"/>
      <c r="AA82" s="517"/>
      <c r="AF82" s="517"/>
      <c r="AM82" s="517"/>
      <c r="AO82" s="517"/>
      <c r="AT82" s="517"/>
      <c r="AV82" s="511"/>
      <c r="AW82" s="511"/>
      <c r="AX82" s="511"/>
      <c r="BA82" s="517"/>
      <c r="BC82" s="517"/>
      <c r="BH82" s="517"/>
      <c r="BJ82" s="511"/>
      <c r="BK82" s="511"/>
      <c r="BL82" s="511"/>
      <c r="BQ82" s="58">
        <f t="shared" si="165"/>
        <v>66</v>
      </c>
      <c r="BR82" s="17">
        <v>1</v>
      </c>
      <c r="BS82" s="17" t="s">
        <v>549</v>
      </c>
      <c r="BT82" s="17">
        <v>1</v>
      </c>
      <c r="BU82" s="17">
        <v>9</v>
      </c>
      <c r="BV82" s="17" t="str">
        <f t="shared" si="140"/>
        <v>lenvatinib_plus_everolimus</v>
      </c>
      <c r="BW82" s="1006" t="str" cm="1">
        <f t="array" ref="BW82">IF(I82="No",I82,INDEX(List_incl_anal_1L_PorI,IF(BU82=999,35,BU82+1)))</f>
        <v>No</v>
      </c>
      <c r="BX82" s="61">
        <f t="shared" si="141"/>
        <v>4</v>
      </c>
      <c r="BY82" s="531" t="str">
        <f t="shared" si="192"/>
        <v>Post progression survival</v>
      </c>
      <c r="BZ82" s="530">
        <f t="shared" si="142"/>
        <v>0</v>
      </c>
      <c r="CA82" s="531">
        <f t="shared" si="164"/>
        <v>0</v>
      </c>
      <c r="CB82" s="530">
        <f t="shared" si="143"/>
        <v>1</v>
      </c>
      <c r="CC82" s="530">
        <f t="shared" si="144"/>
        <v>1</v>
      </c>
      <c r="CD82" s="530">
        <f t="shared" si="145"/>
        <v>7</v>
      </c>
      <c r="CE82" s="1295">
        <f t="shared" si="146"/>
        <v>2</v>
      </c>
      <c r="CF82" s="1301">
        <f t="shared" si="147"/>
        <v>4</v>
      </c>
      <c r="CG82" s="530" t="str">
        <f t="shared" si="148"/>
        <v>Exponential</v>
      </c>
      <c r="CH82" s="61">
        <f t="shared" si="149"/>
        <v>0</v>
      </c>
      <c r="CI82" s="61">
        <f t="shared" si="150"/>
        <v>0</v>
      </c>
      <c r="CJ82" s="61">
        <f t="shared" si="151"/>
        <v>0</v>
      </c>
      <c r="DA82" s="1024"/>
      <c r="DB82" s="1024"/>
      <c r="DC82" s="1024"/>
      <c r="DD82" s="1024"/>
      <c r="DE82" s="1024"/>
      <c r="DF82" s="1024"/>
      <c r="DG82" s="1024"/>
      <c r="DK82" s="58" t="str" cm="1">
        <f t="array" ref="DK82">IF(AND($BT82=4,$BX82=4,$BU82=999),$DB$36,_xlfn.IFNA(INDEX(DB$13:DB$70,MATCH(1,($BR82=$CV$13:$CV$70)*($BT82=$CX$13:$CX$70)*($CE82=$CY$13:$CY$70)*($BY82=$DA$13:$DA$70)*($CD82=$DH$13:$DH$70),0)),""))</f>
        <v>Exponential</v>
      </c>
      <c r="DL82" s="58" t="str" cm="1">
        <f t="array" ref="DL82">IF(AND($BT82=4,$BX82=4,$BU82=999),$DC$36,_xlfn.IFNA(INDEX(CHOOSE(DP82,DB$13:DB$70,DC$13:DC$70,DD$13:DD$70,DE$13:DE$70),MATCH(1,($BR82=$CV$13:$CV$70)*($BT82=$CX$13:$CX$70)*($CE82=$CY$13:$CY$70)*($BY82=$DA$13:$DA$70)*($CD82=$DH$13:$DH$70),0)),""))</f>
        <v>Exponential</v>
      </c>
      <c r="DM82" s="740" cm="1">
        <f t="array" ref="DM82">IF(AND($BT82=4,$BX82=4,$BU82=999),$DD$36,_xlfn.IFNA(INDEX(DD$13:DD$68,MATCH(1,($BR82=$CV$13:$CV$68)*($BT82=$CX$13:$CX$68)*($CE82=$CY$13:$CY$68)*($BY82=$DA$13:$DA$68)*($CD82=$DH$13:$DH$68),0)),""))</f>
        <v>0</v>
      </c>
      <c r="DN82" s="740" cm="1">
        <f t="array" ref="DN82">IF(AND($BT82=4,$BX82=4,$BU82=999),$DD$36,_xlfn.IFNA(INDEX(DE$13:DE$68,MATCH(1,($BR82=$CV$13:$CV$68)*($BT82=$CX$13:$CX$68)*($CE82=$CY$13:$CY$68)*($BY82=$DA$13:$DA$68)*($CD82=$DH$13:$DH$68),0)),""))</f>
        <v>0</v>
      </c>
      <c r="DO82" s="58" t="str" cm="1">
        <f t="array" ref="DO82">IF(AND($BT82=4,$BX82=4,$BU82=999),$DF$36,_xlfn.IFNA(INDEX(DF$13:DF$70,MATCH(1,($BR82=$CV$13:$CV$70)*($BT82=$CX$13:$CX$70)*($CE82=$CY$13:$CY$70)*($BY82=$DA$13:$DA$70)*($CD82=$DH$13:$DH$70),0)),""))</f>
        <v>Base case</v>
      </c>
      <c r="DP82" s="58">
        <f t="shared" si="166"/>
        <v>1</v>
      </c>
      <c r="DW82" s="58" t="s">
        <v>58</v>
      </c>
      <c r="DX82" s="58" t="s">
        <v>557</v>
      </c>
      <c r="DY82" s="58">
        <v>0</v>
      </c>
      <c r="DZ82" s="58">
        <v>0</v>
      </c>
      <c r="EB82" s="58">
        <v>1</v>
      </c>
      <c r="EC82" s="58">
        <v>1</v>
      </c>
      <c r="ED82" s="58">
        <v>7</v>
      </c>
      <c r="EE82" s="58">
        <v>2</v>
      </c>
      <c r="EF82" s="58">
        <v>4</v>
      </c>
      <c r="EI82" s="58" t="s">
        <v>58</v>
      </c>
      <c r="EJ82" s="58" t="s">
        <v>557</v>
      </c>
      <c r="EK82" s="58">
        <v>0</v>
      </c>
      <c r="EL82" s="58">
        <v>0</v>
      </c>
      <c r="EN82" s="58">
        <v>1</v>
      </c>
      <c r="EO82" s="58">
        <v>1</v>
      </c>
      <c r="EP82" s="58">
        <v>7</v>
      </c>
      <c r="EQ82" s="58">
        <v>2</v>
      </c>
      <c r="ER82" s="58">
        <v>4</v>
      </c>
      <c r="EU82" s="58" t="str">
        <f t="shared" si="152"/>
        <v>No</v>
      </c>
      <c r="EV82" s="58" t="str">
        <f t="shared" si="153"/>
        <v>Post progression survival</v>
      </c>
      <c r="EW82" s="58">
        <f t="shared" si="154"/>
        <v>0</v>
      </c>
      <c r="EX82" s="58">
        <f t="shared" si="155"/>
        <v>0</v>
      </c>
      <c r="EZ82" s="58">
        <f t="shared" si="156"/>
        <v>1</v>
      </c>
      <c r="FA82" s="58">
        <f t="shared" si="157"/>
        <v>1</v>
      </c>
      <c r="FB82" s="58">
        <f>IF(i_eff_inputs_based_on_num=2,ED82,(INDEX(Lists!$L$51:$L$85,MATCH(O82,Lists!$K$51:$K$85,0))))</f>
        <v>7</v>
      </c>
      <c r="FC82" s="58">
        <f>IF(i_eff_inputs_based_on_num=2,EE82,(INDEX(Lists!$L$51:$L$85,MATCH(P82,Lists!$K$51:$K$85,0))))</f>
        <v>2</v>
      </c>
      <c r="FD82" s="58">
        <f>IF(i_eff_inputs_based_on_num=2,EF82,(INDEX(Lists!$L$51:$L$85,MATCH(Q82,Lists!$K$51:$K$85,0))))</f>
        <v>4</v>
      </c>
      <c r="FG82" s="58" t="str">
        <f t="shared" si="158"/>
        <v>No</v>
      </c>
      <c r="FH82" s="58" t="str">
        <f t="shared" si="159"/>
        <v>Post progression survival</v>
      </c>
      <c r="FI82" s="58">
        <f t="shared" si="160"/>
        <v>0</v>
      </c>
      <c r="FJ82" s="58">
        <f t="shared" si="161"/>
        <v>0</v>
      </c>
      <c r="FL82" s="58">
        <f t="shared" si="162"/>
        <v>1</v>
      </c>
      <c r="FM82" s="58">
        <f t="shared" si="163"/>
        <v>1</v>
      </c>
      <c r="FN82" s="58">
        <f>IF(i_eff_inputs_based_on_num=2,EP82,(INDEX(Lists!$L$51:$L$85,MATCH(O82,Lists!$K$51:$K$85,0))))</f>
        <v>7</v>
      </c>
      <c r="FO82" s="58">
        <f>IF(i_eff_inputs_based_on_num=2,EQ82,(INDEX(Lists!$L$51:$L$85,MATCH(P82,Lists!$K$51:$K$85,0))))</f>
        <v>2</v>
      </c>
      <c r="FP82" s="58">
        <f>IF(i_eff_inputs_based_on_num=2,ER82,(INDEX(Lists!$L$51:$L$85,MATCH(Q82,Lists!$K$51:$K$85,0))))</f>
        <v>4</v>
      </c>
      <c r="FT82" s="58">
        <f t="shared" si="167"/>
        <v>0</v>
      </c>
      <c r="FW82" s="58">
        <f>IF(i_baseline_risk_from=2,'Effectiveness settings'!EW82,'Effectiveness settings'!FI82)</f>
        <v>0</v>
      </c>
      <c r="FX82" s="58">
        <f t="shared" si="168"/>
        <v>0</v>
      </c>
      <c r="FY82" s="58">
        <f t="shared" si="169"/>
        <v>0</v>
      </c>
      <c r="FZ82" s="58">
        <f t="shared" si="170"/>
        <v>0</v>
      </c>
      <c r="GA82" s="58">
        <f t="shared" si="171"/>
        <v>0</v>
      </c>
      <c r="GB82" s="58">
        <f t="shared" si="172"/>
        <v>0</v>
      </c>
      <c r="GC82" s="58">
        <f t="shared" si="173"/>
        <v>0</v>
      </c>
      <c r="GD82" s="58">
        <f t="shared" si="174"/>
        <v>0</v>
      </c>
      <c r="GE82" s="58">
        <f>IF(AND(dd_CheckMate214_TTD="Yes",'Effectiveness settings'!BU82=2,'Effectiveness settings'!BX82=2),"Apply HR to",GD82)</f>
        <v>0</v>
      </c>
      <c r="GF82" s="58">
        <f t="shared" si="175"/>
        <v>0</v>
      </c>
      <c r="GG82" s="58">
        <f t="shared" si="176"/>
        <v>0</v>
      </c>
      <c r="GH82" s="58">
        <f t="shared" si="177"/>
        <v>0</v>
      </c>
      <c r="GI82" s="58">
        <f t="shared" si="178"/>
        <v>0</v>
      </c>
      <c r="GK82" s="58">
        <f>IF(i_baseline_risk_from=2,'Effectiveness settings'!FA82,'Effectiveness settings'!FM82)</f>
        <v>1</v>
      </c>
      <c r="GL82" s="58">
        <f>IF(i_baseline_risk_from=2,'Effectiveness settings'!FB82,'Effectiveness settings'!FN82)</f>
        <v>7</v>
      </c>
      <c r="GM82" s="58">
        <f>IF(i_baseline_risk_from=2,'Effectiveness settings'!FC82,'Effectiveness settings'!FO82)</f>
        <v>2</v>
      </c>
      <c r="GN82" s="58">
        <f>IF(i_baseline_risk_from=2,'Effectiveness settings'!FD82,'Effectiveness settings'!FP82)</f>
        <v>4</v>
      </c>
      <c r="GQ82" s="58">
        <f t="shared" si="179"/>
        <v>7</v>
      </c>
      <c r="GR82" s="58">
        <f t="shared" si="180"/>
        <v>7</v>
      </c>
      <c r="GS82" s="58">
        <f t="shared" si="181"/>
        <v>7</v>
      </c>
      <c r="GT82" s="58">
        <f t="shared" si="182"/>
        <v>7</v>
      </c>
      <c r="GU82" s="58">
        <f>IF(AND(dd_CheckMate214_TTD="Yes",'Effectiveness settings'!BU82=2,'Effectiveness settings'!BX82=2),2,GT82)</f>
        <v>7</v>
      </c>
      <c r="GV82" s="58">
        <f t="shared" si="183"/>
        <v>7</v>
      </c>
      <c r="GW82" s="58">
        <f t="shared" si="184"/>
        <v>7</v>
      </c>
      <c r="GY82" s="58">
        <f>IF(AND(dd_CheckMate214_TTD="Yes",'Effectiveness settings'!BU82=2,'Effectiveness settings'!BX82=2),1,GN82)</f>
        <v>4</v>
      </c>
      <c r="GZ82" s="58">
        <f t="shared" si="185"/>
        <v>4</v>
      </c>
      <c r="HB82" s="58">
        <f t="shared" si="186"/>
        <v>1</v>
      </c>
      <c r="HD82" s="58">
        <f t="shared" si="187"/>
        <v>1</v>
      </c>
      <c r="HE82" s="58">
        <f t="shared" si="188"/>
        <v>1</v>
      </c>
      <c r="HF82" s="58">
        <f t="shared" si="189"/>
        <v>7</v>
      </c>
      <c r="HG82" s="58">
        <f t="shared" si="190"/>
        <v>2</v>
      </c>
      <c r="HH82" s="58">
        <f t="shared" si="191"/>
        <v>4</v>
      </c>
    </row>
    <row r="83" spans="4:216" ht="15.75" x14ac:dyDescent="0.25">
      <c r="D83" s="58" t="str">
        <v>everolimus</v>
      </c>
      <c r="I83" s="64" t="s">
        <v>58</v>
      </c>
      <c r="J83" s="519" t="s">
        <v>557</v>
      </c>
      <c r="K83" s="524"/>
      <c r="L83" s="519"/>
      <c r="M83" s="516" t="s">
        <v>545</v>
      </c>
      <c r="N83" s="64" t="s">
        <v>546</v>
      </c>
      <c r="O83" s="64" t="s">
        <v>117</v>
      </c>
      <c r="P83" s="64" t="s">
        <v>547</v>
      </c>
      <c r="Q83" s="519" t="s">
        <v>557</v>
      </c>
      <c r="R83" s="516" t="s">
        <v>548</v>
      </c>
      <c r="S83" s="497"/>
      <c r="T83" s="497"/>
      <c r="U83" s="497"/>
      <c r="Y83" s="517"/>
      <c r="AA83" s="517"/>
      <c r="AF83" s="517"/>
      <c r="AM83" s="517"/>
      <c r="AO83" s="517"/>
      <c r="AT83" s="517"/>
      <c r="AV83" s="511"/>
      <c r="AW83" s="511"/>
      <c r="AX83" s="511"/>
      <c r="BA83" s="517"/>
      <c r="BC83" s="517"/>
      <c r="BH83" s="517"/>
      <c r="BJ83" s="511"/>
      <c r="BK83" s="511"/>
      <c r="BL83" s="511"/>
      <c r="BQ83" s="58">
        <f t="shared" si="165"/>
        <v>67</v>
      </c>
      <c r="BR83" s="17">
        <v>1</v>
      </c>
      <c r="BS83" s="17" t="s">
        <v>549</v>
      </c>
      <c r="BT83" s="17">
        <v>1</v>
      </c>
      <c r="BU83" s="17">
        <v>10</v>
      </c>
      <c r="BV83" s="17" t="str">
        <f t="shared" si="140"/>
        <v>everolimus</v>
      </c>
      <c r="BW83" s="1006" t="str" cm="1">
        <f t="array" ref="BW83">IF(I83="No",I83,INDEX(List_incl_anal_1L_PorI,IF(BU83=999,35,BU83+1)))</f>
        <v>No</v>
      </c>
      <c r="BX83" s="61">
        <f t="shared" si="141"/>
        <v>4</v>
      </c>
      <c r="BY83" s="531" t="str">
        <f t="shared" si="192"/>
        <v>Post progression survival</v>
      </c>
      <c r="BZ83" s="530">
        <f t="shared" si="142"/>
        <v>0</v>
      </c>
      <c r="CA83" s="531">
        <f t="shared" si="164"/>
        <v>0</v>
      </c>
      <c r="CB83" s="530">
        <f t="shared" si="143"/>
        <v>1</v>
      </c>
      <c r="CC83" s="530">
        <f t="shared" si="144"/>
        <v>1</v>
      </c>
      <c r="CD83" s="530">
        <f t="shared" si="145"/>
        <v>7</v>
      </c>
      <c r="CE83" s="1295">
        <f t="shared" si="146"/>
        <v>2</v>
      </c>
      <c r="CF83" s="1301">
        <f t="shared" si="147"/>
        <v>4</v>
      </c>
      <c r="CG83" s="530" t="str">
        <f t="shared" si="148"/>
        <v>Exponential</v>
      </c>
      <c r="CH83" s="61">
        <f t="shared" si="149"/>
        <v>0</v>
      </c>
      <c r="CI83" s="61">
        <f t="shared" si="150"/>
        <v>0</v>
      </c>
      <c r="CJ83" s="61">
        <f t="shared" si="151"/>
        <v>0</v>
      </c>
      <c r="DA83" s="1024"/>
      <c r="DB83" s="1024"/>
      <c r="DC83" s="1024"/>
      <c r="DD83" s="1024"/>
      <c r="DE83" s="1024"/>
      <c r="DF83" s="1024"/>
      <c r="DG83" s="1024"/>
      <c r="DK83" s="58" t="str" cm="1">
        <f t="array" ref="DK83">IF(AND($BT83=4,$BX83=4,$BU83=999),$DB$36,_xlfn.IFNA(INDEX(DB$13:DB$70,MATCH(1,($BR83=$CV$13:$CV$70)*($BT83=$CX$13:$CX$70)*($CE83=$CY$13:$CY$70)*($BY83=$DA$13:$DA$70)*($CD83=$DH$13:$DH$70),0)),""))</f>
        <v>Exponential</v>
      </c>
      <c r="DL83" s="58" t="str" cm="1">
        <f t="array" ref="DL83">IF(AND($BT83=4,$BX83=4,$BU83=999),$DC$36,_xlfn.IFNA(INDEX(CHOOSE(DP83,DB$13:DB$70,DC$13:DC$70,DD$13:DD$70,DE$13:DE$70),MATCH(1,($BR83=$CV$13:$CV$70)*($BT83=$CX$13:$CX$70)*($CE83=$CY$13:$CY$70)*($BY83=$DA$13:$DA$70)*($CD83=$DH$13:$DH$70),0)),""))</f>
        <v>Exponential</v>
      </c>
      <c r="DM83" s="740" cm="1">
        <f t="array" ref="DM83">IF(AND($BT83=4,$BX83=4,$BU83=999),$DD$36,_xlfn.IFNA(INDEX(DD$13:DD$68,MATCH(1,($BR83=$CV$13:$CV$68)*($BT83=$CX$13:$CX$68)*($CE83=$CY$13:$CY$68)*($BY83=$DA$13:$DA$68)*($CD83=$DH$13:$DH$68),0)),""))</f>
        <v>0</v>
      </c>
      <c r="DN83" s="740" cm="1">
        <f t="array" ref="DN83">IF(AND($BT83=4,$BX83=4,$BU83=999),$DD$36,_xlfn.IFNA(INDEX(DE$13:DE$68,MATCH(1,($BR83=$CV$13:$CV$68)*($BT83=$CX$13:$CX$68)*($CE83=$CY$13:$CY$68)*($BY83=$DA$13:$DA$68)*($CD83=$DH$13:$DH$68),0)),""))</f>
        <v>0</v>
      </c>
      <c r="DO83" s="58" t="str" cm="1">
        <f t="array" ref="DO83">IF(AND($BT83=4,$BX83=4,$BU83=999),$DF$36,_xlfn.IFNA(INDEX(DF$13:DF$70,MATCH(1,($BR83=$CV$13:$CV$70)*($BT83=$CX$13:$CX$70)*($CE83=$CY$13:$CY$70)*($BY83=$DA$13:$DA$70)*($CD83=$DH$13:$DH$70),0)),""))</f>
        <v>Base case</v>
      </c>
      <c r="DP83" s="58">
        <f t="shared" si="166"/>
        <v>1</v>
      </c>
      <c r="DW83" s="58" t="s">
        <v>58</v>
      </c>
      <c r="DX83" s="58" t="s">
        <v>557</v>
      </c>
      <c r="DY83" s="58">
        <v>0</v>
      </c>
      <c r="DZ83" s="58">
        <v>0</v>
      </c>
      <c r="EB83" s="58">
        <v>1</v>
      </c>
      <c r="EC83" s="58">
        <v>1</v>
      </c>
      <c r="ED83" s="58">
        <v>7</v>
      </c>
      <c r="EE83" s="58">
        <v>2</v>
      </c>
      <c r="EF83" s="58">
        <v>4</v>
      </c>
      <c r="EI83" s="58" t="s">
        <v>58</v>
      </c>
      <c r="EJ83" s="58" t="s">
        <v>557</v>
      </c>
      <c r="EK83" s="58">
        <v>0</v>
      </c>
      <c r="EL83" s="58">
        <v>0</v>
      </c>
      <c r="EN83" s="58">
        <v>1</v>
      </c>
      <c r="EO83" s="58">
        <v>1</v>
      </c>
      <c r="EP83" s="58">
        <v>7</v>
      </c>
      <c r="EQ83" s="58">
        <v>2</v>
      </c>
      <c r="ER83" s="58">
        <v>4</v>
      </c>
      <c r="EU83" s="58" t="str">
        <f t="shared" si="152"/>
        <v>No</v>
      </c>
      <c r="EV83" s="58" t="str">
        <f t="shared" si="153"/>
        <v>Post progression survival</v>
      </c>
      <c r="EW83" s="58">
        <f t="shared" si="154"/>
        <v>0</v>
      </c>
      <c r="EX83" s="58">
        <f t="shared" si="155"/>
        <v>0</v>
      </c>
      <c r="EZ83" s="58">
        <f t="shared" si="156"/>
        <v>1</v>
      </c>
      <c r="FA83" s="58">
        <f t="shared" si="157"/>
        <v>1</v>
      </c>
      <c r="FB83" s="58">
        <f>IF(i_eff_inputs_based_on_num=2,ED83,(INDEX(Lists!$L$51:$L$85,MATCH(O83,Lists!$K$51:$K$85,0))))</f>
        <v>7</v>
      </c>
      <c r="FC83" s="58">
        <f>IF(i_eff_inputs_based_on_num=2,EE83,(INDEX(Lists!$L$51:$L$85,MATCH(P83,Lists!$K$51:$K$85,0))))</f>
        <v>2</v>
      </c>
      <c r="FD83" s="58">
        <f>IF(i_eff_inputs_based_on_num=2,EF83,(INDEX(Lists!$L$51:$L$85,MATCH(Q83,Lists!$K$51:$K$85,0))))</f>
        <v>4</v>
      </c>
      <c r="FG83" s="58" t="str">
        <f t="shared" si="158"/>
        <v>No</v>
      </c>
      <c r="FH83" s="58" t="str">
        <f t="shared" si="159"/>
        <v>Post progression survival</v>
      </c>
      <c r="FI83" s="58">
        <f t="shared" si="160"/>
        <v>0</v>
      </c>
      <c r="FJ83" s="58">
        <f t="shared" si="161"/>
        <v>0</v>
      </c>
      <c r="FL83" s="58">
        <f t="shared" si="162"/>
        <v>1</v>
      </c>
      <c r="FM83" s="58">
        <f t="shared" si="163"/>
        <v>1</v>
      </c>
      <c r="FN83" s="58">
        <f>IF(i_eff_inputs_based_on_num=2,EP83,(INDEX(Lists!$L$51:$L$85,MATCH(O83,Lists!$K$51:$K$85,0))))</f>
        <v>7</v>
      </c>
      <c r="FO83" s="58">
        <f>IF(i_eff_inputs_based_on_num=2,EQ83,(INDEX(Lists!$L$51:$L$85,MATCH(P83,Lists!$K$51:$K$85,0))))</f>
        <v>2</v>
      </c>
      <c r="FP83" s="58">
        <f>IF(i_eff_inputs_based_on_num=2,ER83,(INDEX(Lists!$L$51:$L$85,MATCH(Q83,Lists!$K$51:$K$85,0))))</f>
        <v>4</v>
      </c>
      <c r="FT83" s="58">
        <f t="shared" si="167"/>
        <v>0</v>
      </c>
      <c r="FW83" s="58">
        <f>IF(i_baseline_risk_from=2,'Effectiveness settings'!EW83,'Effectiveness settings'!FI83)</f>
        <v>0</v>
      </c>
      <c r="FX83" s="58">
        <f t="shared" si="168"/>
        <v>0</v>
      </c>
      <c r="FY83" s="58">
        <f t="shared" si="169"/>
        <v>0</v>
      </c>
      <c r="FZ83" s="58">
        <f t="shared" si="170"/>
        <v>0</v>
      </c>
      <c r="GA83" s="58">
        <f t="shared" si="171"/>
        <v>0</v>
      </c>
      <c r="GB83" s="58">
        <f t="shared" si="172"/>
        <v>0</v>
      </c>
      <c r="GC83" s="58">
        <f t="shared" si="173"/>
        <v>0</v>
      </c>
      <c r="GD83" s="58">
        <f t="shared" si="174"/>
        <v>0</v>
      </c>
      <c r="GE83" s="58">
        <f>IF(AND(dd_CheckMate214_TTD="Yes",'Effectiveness settings'!BU83=2,'Effectiveness settings'!BX83=2),"Apply HR to",GD83)</f>
        <v>0</v>
      </c>
      <c r="GF83" s="58">
        <f t="shared" si="175"/>
        <v>0</v>
      </c>
      <c r="GG83" s="58">
        <f t="shared" si="176"/>
        <v>0</v>
      </c>
      <c r="GH83" s="58">
        <f t="shared" si="177"/>
        <v>0</v>
      </c>
      <c r="GI83" s="58">
        <f t="shared" si="178"/>
        <v>0</v>
      </c>
      <c r="GK83" s="58">
        <f>IF(i_baseline_risk_from=2,'Effectiveness settings'!FA83,'Effectiveness settings'!FM83)</f>
        <v>1</v>
      </c>
      <c r="GL83" s="58">
        <f>IF(i_baseline_risk_from=2,'Effectiveness settings'!FB83,'Effectiveness settings'!FN83)</f>
        <v>7</v>
      </c>
      <c r="GM83" s="58">
        <f>IF(i_baseline_risk_from=2,'Effectiveness settings'!FC83,'Effectiveness settings'!FO83)</f>
        <v>2</v>
      </c>
      <c r="GN83" s="58">
        <f>IF(i_baseline_risk_from=2,'Effectiveness settings'!FD83,'Effectiveness settings'!FP83)</f>
        <v>4</v>
      </c>
      <c r="GQ83" s="58">
        <f t="shared" si="179"/>
        <v>7</v>
      </c>
      <c r="GR83" s="58">
        <f t="shared" si="180"/>
        <v>7</v>
      </c>
      <c r="GS83" s="58">
        <f t="shared" si="181"/>
        <v>7</v>
      </c>
      <c r="GT83" s="58">
        <f t="shared" si="182"/>
        <v>7</v>
      </c>
      <c r="GU83" s="58">
        <f>IF(AND(dd_CheckMate214_TTD="Yes",'Effectiveness settings'!BU83=2,'Effectiveness settings'!BX83=2),2,GT83)</f>
        <v>7</v>
      </c>
      <c r="GV83" s="58">
        <f t="shared" si="183"/>
        <v>7</v>
      </c>
      <c r="GW83" s="58">
        <f t="shared" si="184"/>
        <v>7</v>
      </c>
      <c r="GY83" s="58">
        <f>IF(AND(dd_CheckMate214_TTD="Yes",'Effectiveness settings'!BU83=2,'Effectiveness settings'!BX83=2),1,GN83)</f>
        <v>4</v>
      </c>
      <c r="GZ83" s="58">
        <f t="shared" si="185"/>
        <v>4</v>
      </c>
      <c r="HB83" s="58">
        <f t="shared" si="186"/>
        <v>1</v>
      </c>
      <c r="HD83" s="58">
        <f t="shared" si="187"/>
        <v>1</v>
      </c>
      <c r="HE83" s="58">
        <f t="shared" si="188"/>
        <v>1</v>
      </c>
      <c r="HF83" s="58">
        <f t="shared" si="189"/>
        <v>7</v>
      </c>
      <c r="HG83" s="58">
        <f t="shared" si="190"/>
        <v>2</v>
      </c>
      <c r="HH83" s="58">
        <f t="shared" si="191"/>
        <v>4</v>
      </c>
    </row>
    <row r="84" spans="4:216" ht="15.75" x14ac:dyDescent="0.25">
      <c r="D84" s="58" t="str">
        <v>axitinib</v>
      </c>
      <c r="I84" s="64" t="s">
        <v>58</v>
      </c>
      <c r="J84" s="519" t="s">
        <v>557</v>
      </c>
      <c r="K84" s="524"/>
      <c r="L84" s="519"/>
      <c r="M84" s="516" t="s">
        <v>545</v>
      </c>
      <c r="N84" s="64" t="s">
        <v>546</v>
      </c>
      <c r="O84" s="64" t="s">
        <v>117</v>
      </c>
      <c r="P84" s="64" t="s">
        <v>547</v>
      </c>
      <c r="Q84" s="519" t="s">
        <v>557</v>
      </c>
      <c r="R84" s="516" t="s">
        <v>548</v>
      </c>
      <c r="S84" s="497"/>
      <c r="T84" s="497"/>
      <c r="U84" s="497"/>
      <c r="Y84" s="517"/>
      <c r="AA84" s="517"/>
      <c r="AF84" s="517"/>
      <c r="AM84" s="517"/>
      <c r="AO84" s="517"/>
      <c r="AT84" s="517"/>
      <c r="AV84" s="511"/>
      <c r="AW84" s="511"/>
      <c r="AX84" s="511"/>
      <c r="BA84" s="517"/>
      <c r="BC84" s="517"/>
      <c r="BH84" s="517"/>
      <c r="BJ84" s="511"/>
      <c r="BK84" s="511"/>
      <c r="BL84" s="511"/>
      <c r="BQ84" s="58">
        <f t="shared" si="165"/>
        <v>68</v>
      </c>
      <c r="BR84" s="17">
        <v>1</v>
      </c>
      <c r="BS84" s="17" t="s">
        <v>549</v>
      </c>
      <c r="BT84" s="17">
        <v>1</v>
      </c>
      <c r="BU84" s="17">
        <v>11</v>
      </c>
      <c r="BV84" s="17" t="str">
        <f t="shared" si="140"/>
        <v>axitinib</v>
      </c>
      <c r="BW84" s="1006" t="str" cm="1">
        <f t="array" ref="BW84">IF(I84="No",I84,INDEX(List_incl_anal_1L_PorI,IF(BU84=999,35,BU84+1)))</f>
        <v>No</v>
      </c>
      <c r="BX84" s="61">
        <f t="shared" si="141"/>
        <v>4</v>
      </c>
      <c r="BY84" s="531" t="str">
        <f t="shared" si="192"/>
        <v>Post progression survival</v>
      </c>
      <c r="BZ84" s="530">
        <f t="shared" si="142"/>
        <v>0</v>
      </c>
      <c r="CA84" s="531">
        <f t="shared" si="164"/>
        <v>0</v>
      </c>
      <c r="CB84" s="530">
        <f t="shared" si="143"/>
        <v>1</v>
      </c>
      <c r="CC84" s="530">
        <f t="shared" si="144"/>
        <v>1</v>
      </c>
      <c r="CD84" s="530">
        <f t="shared" si="145"/>
        <v>7</v>
      </c>
      <c r="CE84" s="1295">
        <f t="shared" si="146"/>
        <v>2</v>
      </c>
      <c r="CF84" s="1301">
        <f t="shared" si="147"/>
        <v>4</v>
      </c>
      <c r="CG84" s="530" t="str">
        <f t="shared" si="148"/>
        <v>Exponential</v>
      </c>
      <c r="CH84" s="61">
        <f t="shared" si="149"/>
        <v>0</v>
      </c>
      <c r="CI84" s="61">
        <f t="shared" si="150"/>
        <v>0</v>
      </c>
      <c r="CJ84" s="61">
        <f t="shared" si="151"/>
        <v>0</v>
      </c>
      <c r="DA84" s="1024"/>
      <c r="DB84" s="1024"/>
      <c r="DC84" s="1024"/>
      <c r="DD84" s="1024"/>
      <c r="DE84" s="1024"/>
      <c r="DF84" s="1024"/>
      <c r="DG84" s="1024"/>
      <c r="DK84" s="58" t="str" cm="1">
        <f t="array" ref="DK84">IF(AND($BT84=4,$BX84=4,$BU84=999),$DB$36,_xlfn.IFNA(INDEX(DB$13:DB$70,MATCH(1,($BR84=$CV$13:$CV$70)*($BT84=$CX$13:$CX$70)*($CE84=$CY$13:$CY$70)*($BY84=$DA$13:$DA$70)*($CD84=$DH$13:$DH$70),0)),""))</f>
        <v>Exponential</v>
      </c>
      <c r="DL84" s="58" t="str" cm="1">
        <f t="array" ref="DL84">IF(AND($BT84=4,$BX84=4,$BU84=999),$DC$36,_xlfn.IFNA(INDEX(CHOOSE(DP84,DB$13:DB$70,DC$13:DC$70,DD$13:DD$70,DE$13:DE$70),MATCH(1,($BR84=$CV$13:$CV$70)*($BT84=$CX$13:$CX$70)*($CE84=$CY$13:$CY$70)*($BY84=$DA$13:$DA$70)*($CD84=$DH$13:$DH$70),0)),""))</f>
        <v>Exponential</v>
      </c>
      <c r="DM84" s="740" cm="1">
        <f t="array" ref="DM84">IF(AND($BT84=4,$BX84=4,$BU84=999),$DD$36,_xlfn.IFNA(INDEX(DD$13:DD$68,MATCH(1,($BR84=$CV$13:$CV$68)*($BT84=$CX$13:$CX$68)*($CE84=$CY$13:$CY$68)*($BY84=$DA$13:$DA$68)*($CD84=$DH$13:$DH$68),0)),""))</f>
        <v>0</v>
      </c>
      <c r="DN84" s="740" cm="1">
        <f t="array" ref="DN84">IF(AND($BT84=4,$BX84=4,$BU84=999),$DD$36,_xlfn.IFNA(INDEX(DE$13:DE$68,MATCH(1,($BR84=$CV$13:$CV$68)*($BT84=$CX$13:$CX$68)*($CE84=$CY$13:$CY$68)*($BY84=$DA$13:$DA$68)*($CD84=$DH$13:$DH$68),0)),""))</f>
        <v>0</v>
      </c>
      <c r="DO84" s="58" t="str" cm="1">
        <f t="array" ref="DO84">IF(AND($BT84=4,$BX84=4,$BU84=999),$DF$36,_xlfn.IFNA(INDEX(DF$13:DF$70,MATCH(1,($BR84=$CV$13:$CV$70)*($BT84=$CX$13:$CX$70)*($CE84=$CY$13:$CY$70)*($BY84=$DA$13:$DA$70)*($CD84=$DH$13:$DH$70),0)),""))</f>
        <v>Base case</v>
      </c>
      <c r="DP84" s="58">
        <f t="shared" si="166"/>
        <v>1</v>
      </c>
      <c r="DW84" s="58" t="s">
        <v>58</v>
      </c>
      <c r="DX84" s="58" t="s">
        <v>557</v>
      </c>
      <c r="DY84" s="58">
        <v>0</v>
      </c>
      <c r="DZ84" s="58">
        <v>0</v>
      </c>
      <c r="EB84" s="58">
        <v>1</v>
      </c>
      <c r="EC84" s="58">
        <v>1</v>
      </c>
      <c r="ED84" s="58">
        <v>7</v>
      </c>
      <c r="EE84" s="58">
        <v>2</v>
      </c>
      <c r="EF84" s="58">
        <v>4</v>
      </c>
      <c r="EI84" s="58" t="s">
        <v>58</v>
      </c>
      <c r="EJ84" s="58" t="s">
        <v>557</v>
      </c>
      <c r="EK84" s="58">
        <v>0</v>
      </c>
      <c r="EL84" s="58">
        <v>0</v>
      </c>
      <c r="EN84" s="58">
        <v>1</v>
      </c>
      <c r="EO84" s="58">
        <v>1</v>
      </c>
      <c r="EP84" s="58">
        <v>7</v>
      </c>
      <c r="EQ84" s="58">
        <v>2</v>
      </c>
      <c r="ER84" s="58">
        <v>4</v>
      </c>
      <c r="EU84" s="58" t="str">
        <f t="shared" si="152"/>
        <v>No</v>
      </c>
      <c r="EV84" s="58" t="str">
        <f t="shared" si="153"/>
        <v>Post progression survival</v>
      </c>
      <c r="EW84" s="58">
        <f t="shared" si="154"/>
        <v>0</v>
      </c>
      <c r="EX84" s="58">
        <f t="shared" si="155"/>
        <v>0</v>
      </c>
      <c r="EZ84" s="58">
        <f t="shared" si="156"/>
        <v>1</v>
      </c>
      <c r="FA84" s="58">
        <f t="shared" si="157"/>
        <v>1</v>
      </c>
      <c r="FB84" s="58">
        <f>IF(i_eff_inputs_based_on_num=2,ED84,(INDEX(Lists!$L$51:$L$85,MATCH(O84,Lists!$K$51:$K$85,0))))</f>
        <v>7</v>
      </c>
      <c r="FC84" s="58">
        <f>IF(i_eff_inputs_based_on_num=2,EE84,(INDEX(Lists!$L$51:$L$85,MATCH(P84,Lists!$K$51:$K$85,0))))</f>
        <v>2</v>
      </c>
      <c r="FD84" s="58">
        <f>IF(i_eff_inputs_based_on_num=2,EF84,(INDEX(Lists!$L$51:$L$85,MATCH(Q84,Lists!$K$51:$K$85,0))))</f>
        <v>4</v>
      </c>
      <c r="FG84" s="58" t="str">
        <f t="shared" si="158"/>
        <v>No</v>
      </c>
      <c r="FH84" s="58" t="str">
        <f t="shared" si="159"/>
        <v>Post progression survival</v>
      </c>
      <c r="FI84" s="58">
        <f t="shared" si="160"/>
        <v>0</v>
      </c>
      <c r="FJ84" s="58">
        <f t="shared" si="161"/>
        <v>0</v>
      </c>
      <c r="FL84" s="58">
        <f t="shared" si="162"/>
        <v>1</v>
      </c>
      <c r="FM84" s="58">
        <f t="shared" si="163"/>
        <v>1</v>
      </c>
      <c r="FN84" s="58">
        <f>IF(i_eff_inputs_based_on_num=2,EP84,(INDEX(Lists!$L$51:$L$85,MATCH(O84,Lists!$K$51:$K$85,0))))</f>
        <v>7</v>
      </c>
      <c r="FO84" s="58">
        <f>IF(i_eff_inputs_based_on_num=2,EQ84,(INDEX(Lists!$L$51:$L$85,MATCH(P84,Lists!$K$51:$K$85,0))))</f>
        <v>2</v>
      </c>
      <c r="FP84" s="58">
        <f>IF(i_eff_inputs_based_on_num=2,ER84,(INDEX(Lists!$L$51:$L$85,MATCH(Q84,Lists!$K$51:$K$85,0))))</f>
        <v>4</v>
      </c>
      <c r="FT84" s="58">
        <f t="shared" si="167"/>
        <v>0</v>
      </c>
      <c r="FW84" s="58">
        <f>IF(i_baseline_risk_from=2,'Effectiveness settings'!EW84,'Effectiveness settings'!FI84)</f>
        <v>0</v>
      </c>
      <c r="FX84" s="58">
        <f t="shared" si="168"/>
        <v>0</v>
      </c>
      <c r="FY84" s="58">
        <f t="shared" si="169"/>
        <v>0</v>
      </c>
      <c r="FZ84" s="58">
        <f t="shared" si="170"/>
        <v>0</v>
      </c>
      <c r="GA84" s="58">
        <f t="shared" si="171"/>
        <v>0</v>
      </c>
      <c r="GB84" s="58">
        <f t="shared" si="172"/>
        <v>0</v>
      </c>
      <c r="GC84" s="58">
        <f t="shared" si="173"/>
        <v>0</v>
      </c>
      <c r="GD84" s="58">
        <f t="shared" si="174"/>
        <v>0</v>
      </c>
      <c r="GE84" s="58">
        <f>IF(AND(dd_CheckMate214_TTD="Yes",'Effectiveness settings'!BU84=2,'Effectiveness settings'!BX84=2),"Apply HR to",GD84)</f>
        <v>0</v>
      </c>
      <c r="GF84" s="58">
        <f t="shared" si="175"/>
        <v>0</v>
      </c>
      <c r="GG84" s="58">
        <f t="shared" si="176"/>
        <v>0</v>
      </c>
      <c r="GH84" s="58">
        <f t="shared" si="177"/>
        <v>0</v>
      </c>
      <c r="GI84" s="58">
        <f t="shared" si="178"/>
        <v>0</v>
      </c>
      <c r="GK84" s="58">
        <f>IF(i_baseline_risk_from=2,'Effectiveness settings'!FA84,'Effectiveness settings'!FM84)</f>
        <v>1</v>
      </c>
      <c r="GL84" s="58">
        <f>IF(i_baseline_risk_from=2,'Effectiveness settings'!FB84,'Effectiveness settings'!FN84)</f>
        <v>7</v>
      </c>
      <c r="GM84" s="58">
        <f>IF(i_baseline_risk_from=2,'Effectiveness settings'!FC84,'Effectiveness settings'!FO84)</f>
        <v>2</v>
      </c>
      <c r="GN84" s="58">
        <f>IF(i_baseline_risk_from=2,'Effectiveness settings'!FD84,'Effectiveness settings'!FP84)</f>
        <v>4</v>
      </c>
      <c r="GQ84" s="58">
        <f t="shared" si="179"/>
        <v>7</v>
      </c>
      <c r="GR84" s="58">
        <f t="shared" si="180"/>
        <v>7</v>
      </c>
      <c r="GS84" s="58">
        <f t="shared" si="181"/>
        <v>7</v>
      </c>
      <c r="GT84" s="58">
        <f t="shared" si="182"/>
        <v>7</v>
      </c>
      <c r="GU84" s="58">
        <f>IF(AND(dd_CheckMate214_TTD="Yes",'Effectiveness settings'!BU84=2,'Effectiveness settings'!BX84=2),2,GT84)</f>
        <v>7</v>
      </c>
      <c r="GV84" s="58">
        <f t="shared" si="183"/>
        <v>7</v>
      </c>
      <c r="GW84" s="58">
        <f t="shared" si="184"/>
        <v>7</v>
      </c>
      <c r="GY84" s="58">
        <f>IF(AND(dd_CheckMate214_TTD="Yes",'Effectiveness settings'!BU84=2,'Effectiveness settings'!BX84=2),1,GN84)</f>
        <v>4</v>
      </c>
      <c r="GZ84" s="58">
        <f t="shared" si="185"/>
        <v>4</v>
      </c>
      <c r="HB84" s="58">
        <f t="shared" si="186"/>
        <v>1</v>
      </c>
      <c r="HD84" s="58">
        <f t="shared" si="187"/>
        <v>1</v>
      </c>
      <c r="HE84" s="58">
        <f t="shared" si="188"/>
        <v>1</v>
      </c>
      <c r="HF84" s="58">
        <f t="shared" si="189"/>
        <v>7</v>
      </c>
      <c r="HG84" s="58">
        <f t="shared" si="190"/>
        <v>2</v>
      </c>
      <c r="HH84" s="58">
        <f t="shared" si="191"/>
        <v>4</v>
      </c>
    </row>
    <row r="85" spans="4:216" ht="15.75" x14ac:dyDescent="0.25">
      <c r="D85" s="58" t="str">
        <v>sorafenib</v>
      </c>
      <c r="I85" s="64" t="s">
        <v>58</v>
      </c>
      <c r="J85" s="519" t="s">
        <v>557</v>
      </c>
      <c r="K85" s="524"/>
      <c r="L85" s="519"/>
      <c r="M85" s="516" t="s">
        <v>545</v>
      </c>
      <c r="N85" s="64" t="s">
        <v>546</v>
      </c>
      <c r="O85" s="64" t="s">
        <v>117</v>
      </c>
      <c r="P85" s="64" t="s">
        <v>547</v>
      </c>
      <c r="Q85" s="519" t="s">
        <v>557</v>
      </c>
      <c r="R85" s="516" t="s">
        <v>548</v>
      </c>
      <c r="S85" s="497"/>
      <c r="T85" s="497"/>
      <c r="U85" s="497"/>
      <c r="Y85" s="517"/>
      <c r="AA85" s="517"/>
      <c r="AF85" s="517"/>
      <c r="AM85" s="517"/>
      <c r="AO85" s="517"/>
      <c r="AT85" s="517"/>
      <c r="AV85" s="511"/>
      <c r="AW85" s="511"/>
      <c r="AX85" s="511"/>
      <c r="BA85" s="517"/>
      <c r="BC85" s="517"/>
      <c r="BH85" s="517"/>
      <c r="BJ85" s="511"/>
      <c r="BK85" s="511"/>
      <c r="BL85" s="511"/>
      <c r="BQ85" s="58">
        <f t="shared" si="165"/>
        <v>69</v>
      </c>
      <c r="BR85" s="17">
        <v>1</v>
      </c>
      <c r="BS85" s="17" t="s">
        <v>549</v>
      </c>
      <c r="BT85" s="17">
        <v>1</v>
      </c>
      <c r="BU85" s="17">
        <v>12</v>
      </c>
      <c r="BV85" s="17" t="str">
        <f t="shared" si="140"/>
        <v>sorafenib</v>
      </c>
      <c r="BW85" s="1006" t="str" cm="1">
        <f t="array" ref="BW85">IF(I85="No",I85,INDEX(List_incl_anal_1L_PorI,IF(BU85=999,35,BU85+1)))</f>
        <v>No</v>
      </c>
      <c r="BX85" s="61">
        <f t="shared" si="141"/>
        <v>4</v>
      </c>
      <c r="BY85" s="531" t="str">
        <f t="shared" si="192"/>
        <v>Post progression survival</v>
      </c>
      <c r="BZ85" s="530">
        <f t="shared" si="142"/>
        <v>0</v>
      </c>
      <c r="CA85" s="531">
        <f t="shared" si="164"/>
        <v>0</v>
      </c>
      <c r="CB85" s="530">
        <f t="shared" si="143"/>
        <v>1</v>
      </c>
      <c r="CC85" s="530">
        <f t="shared" si="144"/>
        <v>1</v>
      </c>
      <c r="CD85" s="530">
        <f t="shared" si="145"/>
        <v>7</v>
      </c>
      <c r="CE85" s="1295">
        <f t="shared" si="146"/>
        <v>2</v>
      </c>
      <c r="CF85" s="1301">
        <f t="shared" si="147"/>
        <v>4</v>
      </c>
      <c r="CG85" s="530" t="str">
        <f t="shared" si="148"/>
        <v>Exponential</v>
      </c>
      <c r="CH85" s="61">
        <f t="shared" si="149"/>
        <v>0</v>
      </c>
      <c r="CI85" s="61">
        <f t="shared" si="150"/>
        <v>0</v>
      </c>
      <c r="CJ85" s="61">
        <f t="shared" si="151"/>
        <v>0</v>
      </c>
      <c r="DA85" s="1024"/>
      <c r="DB85" s="1024"/>
      <c r="DC85" s="1024"/>
      <c r="DD85" s="1024"/>
      <c r="DE85" s="1024"/>
      <c r="DF85" s="1024"/>
      <c r="DG85" s="1024"/>
      <c r="DK85" s="58" t="str" cm="1">
        <f t="array" ref="DK85">IF(AND($BT85=4,$BX85=4,$BU85=999),$DB$36,_xlfn.IFNA(INDEX(DB$13:DB$70,MATCH(1,($BR85=$CV$13:$CV$70)*($BT85=$CX$13:$CX$70)*($CE85=$CY$13:$CY$70)*($BY85=$DA$13:$DA$70)*($CD85=$DH$13:$DH$70),0)),""))</f>
        <v>Exponential</v>
      </c>
      <c r="DL85" s="58" t="str" cm="1">
        <f t="array" ref="DL85">IF(AND($BT85=4,$BX85=4,$BU85=999),$DC$36,_xlfn.IFNA(INDEX(CHOOSE(DP85,DB$13:DB$70,DC$13:DC$70,DD$13:DD$70,DE$13:DE$70),MATCH(1,($BR85=$CV$13:$CV$70)*($BT85=$CX$13:$CX$70)*($CE85=$CY$13:$CY$70)*($BY85=$DA$13:$DA$70)*($CD85=$DH$13:$DH$70),0)),""))</f>
        <v>Exponential</v>
      </c>
      <c r="DM85" s="740" cm="1">
        <f t="array" ref="DM85">IF(AND($BT85=4,$BX85=4,$BU85=999),$DD$36,_xlfn.IFNA(INDEX(DD$13:DD$68,MATCH(1,($BR85=$CV$13:$CV$68)*($BT85=$CX$13:$CX$68)*($CE85=$CY$13:$CY$68)*($BY85=$DA$13:$DA$68)*($CD85=$DH$13:$DH$68),0)),""))</f>
        <v>0</v>
      </c>
      <c r="DN85" s="740" cm="1">
        <f t="array" ref="DN85">IF(AND($BT85=4,$BX85=4,$BU85=999),$DD$36,_xlfn.IFNA(INDEX(DE$13:DE$68,MATCH(1,($BR85=$CV$13:$CV$68)*($BT85=$CX$13:$CX$68)*($CE85=$CY$13:$CY$68)*($BY85=$DA$13:$DA$68)*($CD85=$DH$13:$DH$68),0)),""))</f>
        <v>0</v>
      </c>
      <c r="DO85" s="58" t="str" cm="1">
        <f t="array" ref="DO85">IF(AND($BT85=4,$BX85=4,$BU85=999),$DF$36,_xlfn.IFNA(INDEX(DF$13:DF$70,MATCH(1,($BR85=$CV$13:$CV$70)*($BT85=$CX$13:$CX$70)*($CE85=$CY$13:$CY$70)*($BY85=$DA$13:$DA$70)*($CD85=$DH$13:$DH$70),0)),""))</f>
        <v>Base case</v>
      </c>
      <c r="DP85" s="58">
        <f t="shared" si="166"/>
        <v>1</v>
      </c>
      <c r="DW85" s="58" t="s">
        <v>58</v>
      </c>
      <c r="DX85" s="58" t="s">
        <v>557</v>
      </c>
      <c r="DY85" s="58">
        <v>0</v>
      </c>
      <c r="DZ85" s="58">
        <v>0</v>
      </c>
      <c r="EB85" s="58">
        <v>1</v>
      </c>
      <c r="EC85" s="58">
        <v>1</v>
      </c>
      <c r="ED85" s="58">
        <v>7</v>
      </c>
      <c r="EE85" s="58">
        <v>2</v>
      </c>
      <c r="EF85" s="58">
        <v>4</v>
      </c>
      <c r="EI85" s="58" t="s">
        <v>58</v>
      </c>
      <c r="EJ85" s="58" t="s">
        <v>557</v>
      </c>
      <c r="EK85" s="58">
        <v>0</v>
      </c>
      <c r="EL85" s="58">
        <v>0</v>
      </c>
      <c r="EN85" s="58">
        <v>1</v>
      </c>
      <c r="EO85" s="58">
        <v>1</v>
      </c>
      <c r="EP85" s="58">
        <v>7</v>
      </c>
      <c r="EQ85" s="58">
        <v>2</v>
      </c>
      <c r="ER85" s="58">
        <v>4</v>
      </c>
      <c r="EU85" s="58" t="str">
        <f t="shared" si="152"/>
        <v>No</v>
      </c>
      <c r="EV85" s="58" t="str">
        <f t="shared" si="153"/>
        <v>Post progression survival</v>
      </c>
      <c r="EW85" s="58">
        <f t="shared" si="154"/>
        <v>0</v>
      </c>
      <c r="EX85" s="58">
        <f t="shared" si="155"/>
        <v>0</v>
      </c>
      <c r="EZ85" s="58">
        <f t="shared" si="156"/>
        <v>1</v>
      </c>
      <c r="FA85" s="58">
        <f t="shared" si="157"/>
        <v>1</v>
      </c>
      <c r="FB85" s="58">
        <f>IF(i_eff_inputs_based_on_num=2,ED85,(INDEX(Lists!$L$51:$L$85,MATCH(O85,Lists!$K$51:$K$85,0))))</f>
        <v>7</v>
      </c>
      <c r="FC85" s="58">
        <f>IF(i_eff_inputs_based_on_num=2,EE85,(INDEX(Lists!$L$51:$L$85,MATCH(P85,Lists!$K$51:$K$85,0))))</f>
        <v>2</v>
      </c>
      <c r="FD85" s="58">
        <f>IF(i_eff_inputs_based_on_num=2,EF85,(INDEX(Lists!$L$51:$L$85,MATCH(Q85,Lists!$K$51:$K$85,0))))</f>
        <v>4</v>
      </c>
      <c r="FG85" s="58" t="str">
        <f t="shared" si="158"/>
        <v>No</v>
      </c>
      <c r="FH85" s="58" t="str">
        <f t="shared" si="159"/>
        <v>Post progression survival</v>
      </c>
      <c r="FI85" s="58">
        <f t="shared" si="160"/>
        <v>0</v>
      </c>
      <c r="FJ85" s="58">
        <f t="shared" si="161"/>
        <v>0</v>
      </c>
      <c r="FL85" s="58">
        <f t="shared" si="162"/>
        <v>1</v>
      </c>
      <c r="FM85" s="58">
        <f t="shared" si="163"/>
        <v>1</v>
      </c>
      <c r="FN85" s="58">
        <f>IF(i_eff_inputs_based_on_num=2,EP85,(INDEX(Lists!$L$51:$L$85,MATCH(O85,Lists!$K$51:$K$85,0))))</f>
        <v>7</v>
      </c>
      <c r="FO85" s="58">
        <f>IF(i_eff_inputs_based_on_num=2,EQ85,(INDEX(Lists!$L$51:$L$85,MATCH(P85,Lists!$K$51:$K$85,0))))</f>
        <v>2</v>
      </c>
      <c r="FP85" s="58">
        <f>IF(i_eff_inputs_based_on_num=2,ER85,(INDEX(Lists!$L$51:$L$85,MATCH(Q85,Lists!$K$51:$K$85,0))))</f>
        <v>4</v>
      </c>
      <c r="FT85" s="58">
        <f t="shared" si="167"/>
        <v>0</v>
      </c>
      <c r="FW85" s="58">
        <f>IF(i_baseline_risk_from=2,'Effectiveness settings'!EW85,'Effectiveness settings'!FI85)</f>
        <v>0</v>
      </c>
      <c r="FX85" s="58">
        <f t="shared" si="168"/>
        <v>0</v>
      </c>
      <c r="FY85" s="58">
        <f t="shared" si="169"/>
        <v>0</v>
      </c>
      <c r="FZ85" s="58">
        <f t="shared" si="170"/>
        <v>0</v>
      </c>
      <c r="GA85" s="58">
        <f t="shared" si="171"/>
        <v>0</v>
      </c>
      <c r="GB85" s="58">
        <f t="shared" si="172"/>
        <v>0</v>
      </c>
      <c r="GC85" s="58">
        <f t="shared" si="173"/>
        <v>0</v>
      </c>
      <c r="GD85" s="58">
        <f t="shared" si="174"/>
        <v>0</v>
      </c>
      <c r="GE85" s="58">
        <f>IF(AND(dd_CheckMate214_TTD="Yes",'Effectiveness settings'!BU85=2,'Effectiveness settings'!BX85=2),"Apply HR to",GD85)</f>
        <v>0</v>
      </c>
      <c r="GF85" s="58">
        <f t="shared" si="175"/>
        <v>0</v>
      </c>
      <c r="GG85" s="58">
        <f t="shared" si="176"/>
        <v>0</v>
      </c>
      <c r="GH85" s="58">
        <f t="shared" si="177"/>
        <v>0</v>
      </c>
      <c r="GI85" s="58">
        <f t="shared" si="178"/>
        <v>0</v>
      </c>
      <c r="GK85" s="58">
        <f>IF(i_baseline_risk_from=2,'Effectiveness settings'!FA85,'Effectiveness settings'!FM85)</f>
        <v>1</v>
      </c>
      <c r="GL85" s="58">
        <f>IF(i_baseline_risk_from=2,'Effectiveness settings'!FB85,'Effectiveness settings'!FN85)</f>
        <v>7</v>
      </c>
      <c r="GM85" s="58">
        <f>IF(i_baseline_risk_from=2,'Effectiveness settings'!FC85,'Effectiveness settings'!FO85)</f>
        <v>2</v>
      </c>
      <c r="GN85" s="58">
        <f>IF(i_baseline_risk_from=2,'Effectiveness settings'!FD85,'Effectiveness settings'!FP85)</f>
        <v>4</v>
      </c>
      <c r="GQ85" s="58">
        <f t="shared" si="179"/>
        <v>7</v>
      </c>
      <c r="GR85" s="58">
        <f t="shared" si="180"/>
        <v>7</v>
      </c>
      <c r="GS85" s="58">
        <f t="shared" si="181"/>
        <v>7</v>
      </c>
      <c r="GT85" s="58">
        <f t="shared" si="182"/>
        <v>7</v>
      </c>
      <c r="GU85" s="58">
        <f>IF(AND(dd_CheckMate214_TTD="Yes",'Effectiveness settings'!BU85=2,'Effectiveness settings'!BX85=2),2,GT85)</f>
        <v>7</v>
      </c>
      <c r="GV85" s="58">
        <f t="shared" si="183"/>
        <v>7</v>
      </c>
      <c r="GW85" s="58">
        <f t="shared" si="184"/>
        <v>7</v>
      </c>
      <c r="GY85" s="58">
        <f>IF(AND(dd_CheckMate214_TTD="Yes",'Effectiveness settings'!BU85=2,'Effectiveness settings'!BX85=2),1,GN85)</f>
        <v>4</v>
      </c>
      <c r="GZ85" s="58">
        <f t="shared" si="185"/>
        <v>4</v>
      </c>
      <c r="HB85" s="58">
        <f t="shared" si="186"/>
        <v>1</v>
      </c>
      <c r="HD85" s="58">
        <f t="shared" si="187"/>
        <v>1</v>
      </c>
      <c r="HE85" s="58">
        <f t="shared" si="188"/>
        <v>1</v>
      </c>
      <c r="HF85" s="58">
        <f t="shared" si="189"/>
        <v>7</v>
      </c>
      <c r="HG85" s="58">
        <f t="shared" si="190"/>
        <v>2</v>
      </c>
      <c r="HH85" s="58">
        <f t="shared" si="191"/>
        <v>4</v>
      </c>
    </row>
    <row r="86" spans="4:216" ht="15.75" x14ac:dyDescent="0.25">
      <c r="D86" s="58" t="str">
        <v>placebo_BSC</v>
      </c>
      <c r="I86" s="64" t="s">
        <v>58</v>
      </c>
      <c r="J86" s="519" t="s">
        <v>557</v>
      </c>
      <c r="K86" s="524"/>
      <c r="L86" s="519"/>
      <c r="M86" s="516" t="s">
        <v>545</v>
      </c>
      <c r="N86" s="64" t="s">
        <v>546</v>
      </c>
      <c r="O86" s="64" t="s">
        <v>117</v>
      </c>
      <c r="P86" s="64" t="s">
        <v>547</v>
      </c>
      <c r="Q86" s="519" t="s">
        <v>557</v>
      </c>
      <c r="R86" s="516" t="s">
        <v>548</v>
      </c>
      <c r="S86" s="497"/>
      <c r="T86" s="497"/>
      <c r="U86" s="497"/>
      <c r="Y86" s="517"/>
      <c r="AA86" s="517"/>
      <c r="AF86" s="517"/>
      <c r="AM86" s="517"/>
      <c r="AO86" s="517"/>
      <c r="AT86" s="517"/>
      <c r="AV86" s="511"/>
      <c r="AW86" s="511"/>
      <c r="AX86" s="511"/>
      <c r="BA86" s="517"/>
      <c r="BC86" s="517"/>
      <c r="BH86" s="517"/>
      <c r="BJ86" s="511"/>
      <c r="BK86" s="511"/>
      <c r="BL86" s="511"/>
      <c r="BQ86" s="58">
        <f t="shared" si="165"/>
        <v>70</v>
      </c>
      <c r="BR86" s="17">
        <v>1</v>
      </c>
      <c r="BS86" s="17" t="s">
        <v>549</v>
      </c>
      <c r="BT86" s="17">
        <v>1</v>
      </c>
      <c r="BU86" s="17">
        <v>999</v>
      </c>
      <c r="BV86" s="17" t="str">
        <f t="shared" si="140"/>
        <v>placebo_BSC</v>
      </c>
      <c r="BW86" s="1006" t="str" cm="1">
        <f t="array" ref="BW86">IF(I86="No",I86,INDEX(List_incl_anal_1L_PorI,IF(BU86=999,35,BU86+1)))</f>
        <v>No</v>
      </c>
      <c r="BX86" s="61">
        <f t="shared" si="141"/>
        <v>4</v>
      </c>
      <c r="BY86" s="531" t="str">
        <f t="shared" si="192"/>
        <v>Post progression survival</v>
      </c>
      <c r="BZ86" s="530">
        <f t="shared" si="142"/>
        <v>0</v>
      </c>
      <c r="CA86" s="531">
        <f t="shared" si="164"/>
        <v>0</v>
      </c>
      <c r="CB86" s="530">
        <f t="shared" si="143"/>
        <v>1</v>
      </c>
      <c r="CC86" s="530">
        <f t="shared" si="144"/>
        <v>4</v>
      </c>
      <c r="CD86" s="530">
        <f t="shared" si="145"/>
        <v>999</v>
      </c>
      <c r="CE86" s="1295">
        <f t="shared" si="146"/>
        <v>2</v>
      </c>
      <c r="CF86" s="1301">
        <f t="shared" si="147"/>
        <v>4</v>
      </c>
      <c r="CG86" s="530" t="str">
        <f t="shared" si="148"/>
        <v/>
      </c>
      <c r="CH86" s="61">
        <f t="shared" si="149"/>
        <v>0</v>
      </c>
      <c r="CI86" s="61">
        <f t="shared" si="150"/>
        <v>0</v>
      </c>
      <c r="CJ86" s="61">
        <f t="shared" si="151"/>
        <v>0</v>
      </c>
      <c r="DA86" s="1024"/>
      <c r="DB86" s="1024"/>
      <c r="DC86" s="1024"/>
      <c r="DD86" s="1024"/>
      <c r="DE86" s="1024"/>
      <c r="DF86" s="1024"/>
      <c r="DG86" s="1024"/>
      <c r="DK86" s="58" t="str" cm="1">
        <f t="array" ref="DK86">IF(AND($BT86=4,$BX86=4,$BU86=999),$DB$36,_xlfn.IFNA(INDEX(DB$13:DB$70,MATCH(1,($BR86=$CV$13:$CV$70)*($BT86=$CX$13:$CX$70)*($CE86=$CY$13:$CY$70)*($BY86=$DA$13:$DA$70)*($CD86=$DH$13:$DH$70),0)),""))</f>
        <v/>
      </c>
      <c r="DL86" s="58" t="str" cm="1">
        <f t="array" ref="DL86">IF(AND($BT86=4,$BX86=4,$BU86=999),$DC$36,_xlfn.IFNA(INDEX(CHOOSE(DP86,DB$13:DB$70,DC$13:DC$70,DD$13:DD$70,DE$13:DE$70),MATCH(1,($BR86=$CV$13:$CV$70)*($BT86=$CX$13:$CX$70)*($CE86=$CY$13:$CY$70)*($BY86=$DA$13:$DA$70)*($CD86=$DH$13:$DH$70),0)),""))</f>
        <v/>
      </c>
      <c r="DM86" s="740" t="str" cm="1">
        <f t="array" ref="DM86">IF(AND($BT86=4,$BX86=4,$BU86=999),$DD$36,_xlfn.IFNA(INDEX(DD$13:DD$68,MATCH(1,($BR86=$CV$13:$CV$68)*($BT86=$CX$13:$CX$68)*($CE86=$CY$13:$CY$68)*($BY86=$DA$13:$DA$68)*($CD86=$DH$13:$DH$68),0)),""))</f>
        <v/>
      </c>
      <c r="DN86" s="740" t="str" cm="1">
        <f t="array" ref="DN86">IF(AND($BT86=4,$BX86=4,$BU86=999),$DD$36,_xlfn.IFNA(INDEX(DE$13:DE$68,MATCH(1,($BR86=$CV$13:$CV$68)*($BT86=$CX$13:$CX$68)*($CE86=$CY$13:$CY$68)*($BY86=$DA$13:$DA$68)*($CD86=$DH$13:$DH$68),0)),""))</f>
        <v/>
      </c>
      <c r="DO86" s="58" t="str" cm="1">
        <f t="array" ref="DO86">IF(AND($BT86=4,$BX86=4,$BU86=999),$DF$36,_xlfn.IFNA(INDEX(DF$13:DF$70,MATCH(1,($BR86=$CV$13:$CV$70)*($BT86=$CX$13:$CX$70)*($CE86=$CY$13:$CY$70)*($BY86=$DA$13:$DA$70)*($CD86=$DH$13:$DH$70),0)),""))</f>
        <v/>
      </c>
      <c r="DP86" s="58" t="e">
        <f t="shared" si="166"/>
        <v>#N/A</v>
      </c>
      <c r="DW86" s="58" t="s">
        <v>58</v>
      </c>
      <c r="DX86" s="58" t="s">
        <v>557</v>
      </c>
      <c r="DY86" s="58">
        <v>0</v>
      </c>
      <c r="DZ86" s="58">
        <v>0</v>
      </c>
      <c r="EB86" s="58">
        <v>1</v>
      </c>
      <c r="EC86" s="58">
        <v>4</v>
      </c>
      <c r="ED86" s="58">
        <v>999</v>
      </c>
      <c r="EE86" s="58">
        <v>2</v>
      </c>
      <c r="EF86" s="58">
        <v>4</v>
      </c>
      <c r="EI86" s="58" t="s">
        <v>58</v>
      </c>
      <c r="EJ86" s="58" t="s">
        <v>557</v>
      </c>
      <c r="EK86" s="58">
        <v>0</v>
      </c>
      <c r="EL86" s="58">
        <v>0</v>
      </c>
      <c r="EN86" s="58">
        <v>1</v>
      </c>
      <c r="EO86" s="58">
        <v>4</v>
      </c>
      <c r="EP86" s="58">
        <v>999</v>
      </c>
      <c r="EQ86" s="58">
        <v>2</v>
      </c>
      <c r="ER86" s="58">
        <v>4</v>
      </c>
      <c r="EU86" s="58" t="str">
        <f t="shared" si="152"/>
        <v>No</v>
      </c>
      <c r="EV86" s="58" t="str">
        <f t="shared" si="153"/>
        <v>Post progression survival</v>
      </c>
      <c r="EW86" s="58">
        <f t="shared" si="154"/>
        <v>0</v>
      </c>
      <c r="EX86" s="58">
        <f t="shared" si="155"/>
        <v>0</v>
      </c>
      <c r="EZ86" s="58">
        <f t="shared" si="156"/>
        <v>1</v>
      </c>
      <c r="FA86" s="58">
        <f t="shared" si="157"/>
        <v>4</v>
      </c>
      <c r="FB86" s="58">
        <f>IF(i_eff_inputs_based_on_num=2,ED86,(INDEX(Lists!$L$51:$L$85,MATCH(O86,Lists!$K$51:$K$85,0))))</f>
        <v>999</v>
      </c>
      <c r="FC86" s="58">
        <f>IF(i_eff_inputs_based_on_num=2,EE86,(INDEX(Lists!$L$51:$L$85,MATCH(P86,Lists!$K$51:$K$85,0))))</f>
        <v>2</v>
      </c>
      <c r="FD86" s="58">
        <f>IF(i_eff_inputs_based_on_num=2,EF86,(INDEX(Lists!$L$51:$L$85,MATCH(Q86,Lists!$K$51:$K$85,0))))</f>
        <v>4</v>
      </c>
      <c r="FG86" s="58" t="str">
        <f t="shared" si="158"/>
        <v>No</v>
      </c>
      <c r="FH86" s="58" t="str">
        <f t="shared" si="159"/>
        <v>Post progression survival</v>
      </c>
      <c r="FI86" s="58">
        <f t="shared" si="160"/>
        <v>0</v>
      </c>
      <c r="FJ86" s="58">
        <f t="shared" si="161"/>
        <v>0</v>
      </c>
      <c r="FL86" s="58">
        <f t="shared" si="162"/>
        <v>1</v>
      </c>
      <c r="FM86" s="58">
        <f t="shared" si="163"/>
        <v>4</v>
      </c>
      <c r="FN86" s="58">
        <f>IF(i_eff_inputs_based_on_num=2,EP86,(INDEX(Lists!$L$51:$L$85,MATCH(O86,Lists!$K$51:$K$85,0))))</f>
        <v>999</v>
      </c>
      <c r="FO86" s="58">
        <f>IF(i_eff_inputs_based_on_num=2,EQ86,(INDEX(Lists!$L$51:$L$85,MATCH(P86,Lists!$K$51:$K$85,0))))</f>
        <v>2</v>
      </c>
      <c r="FP86" s="58">
        <f>IF(i_eff_inputs_based_on_num=2,ER86,(INDEX(Lists!$L$51:$L$85,MATCH(Q86,Lists!$K$51:$K$85,0))))</f>
        <v>4</v>
      </c>
      <c r="FT86" s="58">
        <f t="shared" si="167"/>
        <v>0</v>
      </c>
      <c r="FW86" s="58">
        <f>IF(i_baseline_risk_from=2,'Effectiveness settings'!EW86,'Effectiveness settings'!FI86)</f>
        <v>0</v>
      </c>
      <c r="FX86" s="58">
        <f t="shared" si="168"/>
        <v>0</v>
      </c>
      <c r="FY86" s="58">
        <f t="shared" si="169"/>
        <v>0</v>
      </c>
      <c r="FZ86" s="58">
        <f t="shared" si="170"/>
        <v>0</v>
      </c>
      <c r="GA86" s="58">
        <f t="shared" si="171"/>
        <v>0</v>
      </c>
      <c r="GB86" s="58">
        <f t="shared" si="172"/>
        <v>0</v>
      </c>
      <c r="GC86" s="58">
        <f t="shared" si="173"/>
        <v>0</v>
      </c>
      <c r="GD86" s="58">
        <f t="shared" si="174"/>
        <v>0</v>
      </c>
      <c r="GE86" s="58">
        <f>IF(AND(dd_CheckMate214_TTD="Yes",'Effectiveness settings'!BU86=2,'Effectiveness settings'!BX86=2),"Apply HR to",GD86)</f>
        <v>0</v>
      </c>
      <c r="GF86" s="58">
        <f t="shared" si="175"/>
        <v>0</v>
      </c>
      <c r="GG86" s="58">
        <f t="shared" si="176"/>
        <v>0</v>
      </c>
      <c r="GH86" s="58">
        <f t="shared" si="177"/>
        <v>0</v>
      </c>
      <c r="GI86" s="58">
        <f t="shared" si="178"/>
        <v>0</v>
      </c>
      <c r="GK86" s="58">
        <f>IF(i_baseline_risk_from=2,'Effectiveness settings'!FA86,'Effectiveness settings'!FM86)</f>
        <v>4</v>
      </c>
      <c r="GL86" s="58">
        <f>IF(i_baseline_risk_from=2,'Effectiveness settings'!FB86,'Effectiveness settings'!FN86)</f>
        <v>999</v>
      </c>
      <c r="GM86" s="58">
        <f>IF(i_baseline_risk_from=2,'Effectiveness settings'!FC86,'Effectiveness settings'!FO86)</f>
        <v>2</v>
      </c>
      <c r="GN86" s="58">
        <f>IF(i_baseline_risk_from=2,'Effectiveness settings'!FD86,'Effectiveness settings'!FP86)</f>
        <v>4</v>
      </c>
      <c r="GQ86" s="58">
        <f t="shared" si="179"/>
        <v>999</v>
      </c>
      <c r="GR86" s="58">
        <f t="shared" si="180"/>
        <v>999</v>
      </c>
      <c r="GS86" s="58">
        <f t="shared" si="181"/>
        <v>999</v>
      </c>
      <c r="GT86" s="58">
        <f t="shared" si="182"/>
        <v>999</v>
      </c>
      <c r="GU86" s="58">
        <f>IF(AND(dd_CheckMate214_TTD="Yes",'Effectiveness settings'!BU86=2,'Effectiveness settings'!BX86=2),2,GT86)</f>
        <v>999</v>
      </c>
      <c r="GV86" s="58">
        <f t="shared" si="183"/>
        <v>999</v>
      </c>
      <c r="GW86" s="58">
        <f t="shared" si="184"/>
        <v>999</v>
      </c>
      <c r="GY86" s="58">
        <f>IF(AND(dd_CheckMate214_TTD="Yes",'Effectiveness settings'!BU86=2,'Effectiveness settings'!BX86=2),1,GN86)</f>
        <v>4</v>
      </c>
      <c r="GZ86" s="58">
        <f t="shared" si="185"/>
        <v>4</v>
      </c>
      <c r="HB86" s="58">
        <f t="shared" si="186"/>
        <v>1</v>
      </c>
      <c r="HD86" s="58">
        <f t="shared" si="187"/>
        <v>1</v>
      </c>
      <c r="HE86" s="58">
        <f t="shared" si="188"/>
        <v>4</v>
      </c>
      <c r="HF86" s="58">
        <f t="shared" si="189"/>
        <v>999</v>
      </c>
      <c r="HG86" s="58">
        <f t="shared" si="190"/>
        <v>2</v>
      </c>
      <c r="HH86" s="58">
        <f t="shared" si="191"/>
        <v>4</v>
      </c>
    </row>
    <row r="87" spans="4:216" ht="15.75" x14ac:dyDescent="0.25">
      <c r="I87" s="67"/>
      <c r="J87" s="520"/>
      <c r="K87" s="525"/>
      <c r="L87" s="517"/>
      <c r="Q87" s="520"/>
      <c r="Y87" s="517"/>
      <c r="AA87" s="517"/>
      <c r="AF87" s="517"/>
      <c r="AM87" s="517"/>
      <c r="AO87" s="517"/>
      <c r="AT87" s="517"/>
      <c r="AV87" s="511"/>
      <c r="AW87" s="511"/>
      <c r="AX87" s="511"/>
      <c r="BA87" s="517"/>
      <c r="BC87" s="517"/>
      <c r="BH87" s="517"/>
      <c r="BJ87" s="511"/>
      <c r="BK87" s="511"/>
      <c r="BL87" s="511"/>
      <c r="BQ87" s="58">
        <f t="shared" si="165"/>
        <v>70</v>
      </c>
      <c r="BR87" s="17"/>
      <c r="BS87" s="17"/>
      <c r="BT87" s="17"/>
      <c r="BU87" s="61"/>
      <c r="BV87" s="17"/>
      <c r="BW87" s="17"/>
      <c r="BX87" s="61"/>
      <c r="BY87" s="531"/>
      <c r="BZ87" s="530"/>
      <c r="CA87" s="531"/>
      <c r="CB87" s="530"/>
      <c r="CC87" s="530"/>
      <c r="CD87" s="530"/>
      <c r="CE87" s="1295"/>
      <c r="CF87" s="1301"/>
      <c r="CG87" s="530"/>
      <c r="CH87" s="61"/>
      <c r="CI87" s="61"/>
      <c r="CJ87" s="61"/>
      <c r="DA87" s="1024"/>
      <c r="DB87" s="1024"/>
      <c r="DC87" s="1024"/>
      <c r="DD87" s="1024"/>
      <c r="DE87" s="1024"/>
      <c r="DF87" s="1024"/>
      <c r="DG87" s="1024"/>
      <c r="DK87" s="58" t="str" cm="1">
        <f t="array" ref="DK87">IF(AND($BT87=4,$BX87=4,$BU87=999),$DB$36,_xlfn.IFNA(INDEX(DB$13:DB$70,MATCH(1,($BR87=$CV$13:$CV$70)*($BT87=$CX$13:$CX$70)*($CE87=$CY$13:$CY$70)*($BY87=$DA$13:$DA$70)*($CD87=$DH$13:$DH$70),0)),""))</f>
        <v/>
      </c>
      <c r="DL87" s="58" t="str" cm="1">
        <f t="array" ref="DL87">IF(AND($BT87=4,$BX87=4,$BU87=999),$DC$36,_xlfn.IFNA(INDEX(CHOOSE(DP87,DB$13:DB$70,DC$13:DC$70,DD$13:DD$70,DE$13:DE$70),MATCH(1,($BR87=$CV$13:$CV$70)*($BT87=$CX$13:$CX$70)*($CE87=$CY$13:$CY$70)*($BY87=$DA$13:$DA$70)*($CD87=$DH$13:$DH$70),0)),""))</f>
        <v/>
      </c>
      <c r="DM87" s="740" t="str" cm="1">
        <f t="array" ref="DM87">IF(AND($BT87=4,$BX87=4,$BU87=999),$DD$36,_xlfn.IFNA(INDEX(DD$13:DD$68,MATCH(1,($BR87=$CV$13:$CV$68)*($BT87=$CX$13:$CX$68)*($CE87=$CY$13:$CY$68)*($BY87=$DA$13:$DA$68)*($CD87=$DH$13:$DH$68),0)),""))</f>
        <v/>
      </c>
      <c r="DN87" s="740" t="str" cm="1">
        <f t="array" ref="DN87">IF(AND($BT87=4,$BX87=4,$BU87=999),$DD$36,_xlfn.IFNA(INDEX(DE$13:DE$68,MATCH(1,($BR87=$CV$13:$CV$68)*($BT87=$CX$13:$CX$68)*($CE87=$CY$13:$CY$68)*($BY87=$DA$13:$DA$68)*($CD87=$DH$13:$DH$68),0)),""))</f>
        <v/>
      </c>
      <c r="DO87" s="58" t="str" cm="1">
        <f t="array" ref="DO87">IF(AND($BT87=4,$BX87=4,$BU87=999),$DF$36,_xlfn.IFNA(INDEX(DF$13:DF$70,MATCH(1,($BR87=$CV$13:$CV$70)*($BT87=$CX$13:$CX$70)*($CE87=$CY$13:$CY$70)*($BY87=$DA$13:$DA$70)*($CD87=$DH$13:$DH$70),0)),""))</f>
        <v/>
      </c>
      <c r="DP87" s="58" t="e">
        <f t="shared" si="166"/>
        <v>#N/A</v>
      </c>
      <c r="FT87" s="58">
        <f t="shared" si="167"/>
        <v>0</v>
      </c>
      <c r="FW87" s="58">
        <f>IF(i_baseline_risk_from=2,'Effectiveness settings'!EW87,'Effectiveness settings'!FI87)</f>
        <v>0</v>
      </c>
      <c r="FX87" s="58">
        <f t="shared" si="168"/>
        <v>0</v>
      </c>
      <c r="FY87" s="58">
        <f t="shared" si="169"/>
        <v>0</v>
      </c>
      <c r="FZ87" s="58">
        <f t="shared" si="170"/>
        <v>0</v>
      </c>
      <c r="GA87" s="58">
        <f t="shared" si="171"/>
        <v>0</v>
      </c>
      <c r="GB87" s="58">
        <f t="shared" si="172"/>
        <v>0</v>
      </c>
      <c r="GC87" s="58">
        <f t="shared" si="173"/>
        <v>0</v>
      </c>
      <c r="GD87" s="58">
        <f t="shared" si="174"/>
        <v>0</v>
      </c>
      <c r="GE87" s="58">
        <f>IF(AND(dd_CheckMate214_TTD="Yes",'Effectiveness settings'!BU87=2,'Effectiveness settings'!BX87=2),"Apply HR to",GD87)</f>
        <v>0</v>
      </c>
      <c r="GF87" s="58">
        <f t="shared" si="175"/>
        <v>0</v>
      </c>
      <c r="GG87" s="58">
        <f t="shared" si="176"/>
        <v>0</v>
      </c>
      <c r="GH87" s="58">
        <f t="shared" si="177"/>
        <v>0</v>
      </c>
      <c r="GI87" s="58">
        <f t="shared" si="178"/>
        <v>0</v>
      </c>
      <c r="GK87" s="58">
        <f>IF(i_baseline_risk_from=2,'Effectiveness settings'!FA87,'Effectiveness settings'!FM87)</f>
        <v>0</v>
      </c>
      <c r="GL87" s="58">
        <f>IF(i_baseline_risk_from=2,'Effectiveness settings'!FB87,'Effectiveness settings'!FN87)</f>
        <v>0</v>
      </c>
      <c r="GM87" s="58">
        <f>IF(i_baseline_risk_from=2,'Effectiveness settings'!FC87,'Effectiveness settings'!FO87)</f>
        <v>0</v>
      </c>
      <c r="GN87" s="58">
        <f>IF(i_baseline_risk_from=2,'Effectiveness settings'!FD87,'Effectiveness settings'!FP87)</f>
        <v>0</v>
      </c>
      <c r="GQ87" s="58">
        <f t="shared" si="179"/>
        <v>0</v>
      </c>
      <c r="GR87" s="58">
        <f t="shared" si="180"/>
        <v>0</v>
      </c>
      <c r="GS87" s="58">
        <f t="shared" si="181"/>
        <v>0</v>
      </c>
      <c r="GT87" s="58">
        <f t="shared" si="182"/>
        <v>0</v>
      </c>
      <c r="GU87" s="58">
        <f>IF(AND(dd_CheckMate214_TTD="Yes",'Effectiveness settings'!BU87=2,'Effectiveness settings'!BX87=2),2,GT87)</f>
        <v>0</v>
      </c>
      <c r="GV87" s="58">
        <f t="shared" si="183"/>
        <v>0</v>
      </c>
      <c r="GW87" s="58">
        <f t="shared" si="184"/>
        <v>0</v>
      </c>
      <c r="GY87" s="58">
        <f>IF(AND(dd_CheckMate214_TTD="Yes",'Effectiveness settings'!BU87=2,'Effectiveness settings'!BX87=2),1,GN87)</f>
        <v>0</v>
      </c>
      <c r="GZ87" s="58">
        <f t="shared" si="185"/>
        <v>0</v>
      </c>
      <c r="HB87" s="58">
        <f t="shared" si="186"/>
        <v>0</v>
      </c>
      <c r="HD87" s="58">
        <f t="shared" si="187"/>
        <v>0</v>
      </c>
      <c r="HE87" s="58">
        <f t="shared" si="188"/>
        <v>0</v>
      </c>
      <c r="HF87" s="58">
        <f t="shared" si="189"/>
        <v>0</v>
      </c>
      <c r="HG87" s="58">
        <f t="shared" si="190"/>
        <v>0</v>
      </c>
      <c r="HH87" s="58">
        <f t="shared" si="191"/>
        <v>0</v>
      </c>
    </row>
    <row r="88" spans="4:216" ht="15.75" hidden="1" x14ac:dyDescent="0.25">
      <c r="I88" s="64"/>
      <c r="J88" s="519"/>
      <c r="K88" s="524"/>
      <c r="L88" s="519"/>
      <c r="M88" s="516"/>
      <c r="N88" s="64"/>
      <c r="O88" s="64"/>
      <c r="P88" s="64"/>
      <c r="Q88" s="519"/>
      <c r="R88" s="516"/>
      <c r="S88" s="497"/>
      <c r="T88" s="497"/>
      <c r="U88" s="497"/>
      <c r="Y88" s="517"/>
      <c r="AA88" s="517"/>
      <c r="AF88" s="517"/>
      <c r="AM88" s="517"/>
      <c r="AO88" s="517"/>
      <c r="AT88" s="517"/>
      <c r="AV88" s="511"/>
      <c r="AW88" s="511"/>
      <c r="AX88" s="511"/>
      <c r="BA88" s="517"/>
      <c r="BC88" s="517"/>
      <c r="BH88" s="517"/>
      <c r="BJ88" s="511"/>
      <c r="BK88" s="511"/>
      <c r="BL88" s="511"/>
      <c r="BQ88" s="58">
        <f t="shared" si="165"/>
        <v>70</v>
      </c>
      <c r="BR88" s="17"/>
      <c r="BS88" s="17"/>
      <c r="BT88" s="17"/>
      <c r="BU88" s="17"/>
      <c r="BV88" s="17"/>
      <c r="BW88" s="17"/>
      <c r="BX88" s="61"/>
      <c r="BY88" s="531"/>
      <c r="BZ88" s="530"/>
      <c r="CA88" s="531"/>
      <c r="CB88" s="530"/>
      <c r="CC88" s="530"/>
      <c r="CD88" s="530"/>
      <c r="CE88" s="1295"/>
      <c r="CF88" s="1301"/>
      <c r="CG88" s="530"/>
      <c r="CH88" s="61"/>
      <c r="CI88" s="61"/>
      <c r="CJ88" s="61"/>
      <c r="DA88" s="1024"/>
      <c r="DB88" s="1024"/>
      <c r="DC88" s="1024"/>
      <c r="DD88" s="1024"/>
      <c r="DE88" s="1024"/>
      <c r="DF88" s="1024"/>
      <c r="DG88" s="1024"/>
      <c r="DK88" s="58" t="str" cm="1">
        <f t="array" ref="DK88">IF(AND($BT88=4,$BX88=4,$BU88=999),$DB$36,_xlfn.IFNA(INDEX(DB$13:DB$70,MATCH(1,($BR88=$CV$13:$CV$70)*($BT88=$CX$13:$CX$70)*($CE88=$CY$13:$CY$70)*($BY88=$DA$13:$DA$70)*($CD88=$DH$13:$DH$70),0)),""))</f>
        <v/>
      </c>
      <c r="DL88" s="58" t="str" cm="1">
        <f t="array" ref="DL88">IF(AND($BT88=4,$BX88=4,$BU88=999),$DC$36,_xlfn.IFNA(INDEX(CHOOSE(DP88,DB$13:DB$70,DC$13:DC$70,DD$13:DD$70,DE$13:DE$70),MATCH(1,($BR88=$CV$13:$CV$70)*($BT88=$CX$13:$CX$70)*($CE88=$CY$13:$CY$70)*($BY88=$DA$13:$DA$70)*($CD88=$DH$13:$DH$70),0)),""))</f>
        <v/>
      </c>
      <c r="DM88" s="740" t="str" cm="1">
        <f t="array" ref="DM88">IF(AND($BT88=4,$BX88=4,$BU88=999),$DD$36,_xlfn.IFNA(INDEX(DD$13:DD$68,MATCH(1,($BR88=$CV$13:$CV$68)*($BT88=$CX$13:$CX$68)*($CE88=$CY$13:$CY$68)*($BY88=$DA$13:$DA$68)*($CD88=$DH$13:$DH$68),0)),""))</f>
        <v/>
      </c>
      <c r="DN88" s="740" t="str" cm="1">
        <f t="array" ref="DN88">IF(AND($BT88=4,$BX88=4,$BU88=999),$DD$36,_xlfn.IFNA(INDEX(DE$13:DE$68,MATCH(1,($BR88=$CV$13:$CV$68)*($BT88=$CX$13:$CX$68)*($CE88=$CY$13:$CY$68)*($BY88=$DA$13:$DA$68)*($CD88=$DH$13:$DH$68),0)),""))</f>
        <v/>
      </c>
      <c r="DO88" s="58" t="str" cm="1">
        <f t="array" ref="DO88">IF(AND($BT88=4,$BX88=4,$BU88=999),$DF$36,_xlfn.IFNA(INDEX(DF$13:DF$70,MATCH(1,($BR88=$CV$13:$CV$70)*($BT88=$CX$13:$CX$70)*($CE88=$CY$13:$CY$70)*($BY88=$DA$13:$DA$70)*($CD88=$DH$13:$DH$70),0)),""))</f>
        <v/>
      </c>
      <c r="DP88" s="58" t="e">
        <f t="shared" si="166"/>
        <v>#N/A</v>
      </c>
      <c r="FT88" s="58">
        <f t="shared" si="167"/>
        <v>0</v>
      </c>
      <c r="FW88" s="58">
        <f>IF(i_baseline_risk_from=2,'Effectiveness settings'!EW88,'Effectiveness settings'!FI88)</f>
        <v>0</v>
      </c>
      <c r="FX88" s="58">
        <f t="shared" si="168"/>
        <v>0</v>
      </c>
      <c r="FY88" s="58">
        <f t="shared" si="169"/>
        <v>0</v>
      </c>
      <c r="FZ88" s="58">
        <f t="shared" si="170"/>
        <v>0</v>
      </c>
      <c r="GA88" s="58">
        <f t="shared" si="171"/>
        <v>0</v>
      </c>
      <c r="GB88" s="58">
        <f t="shared" si="172"/>
        <v>0</v>
      </c>
      <c r="GC88" s="58">
        <f t="shared" si="173"/>
        <v>0</v>
      </c>
      <c r="GD88" s="58">
        <f t="shared" si="174"/>
        <v>0</v>
      </c>
      <c r="GE88" s="58">
        <f>IF(AND(dd_CheckMate214_TTD="Yes",'Effectiveness settings'!BU88=2,'Effectiveness settings'!BX88=2),"Apply HR to",GD88)</f>
        <v>0</v>
      </c>
      <c r="GF88" s="58">
        <f t="shared" si="175"/>
        <v>0</v>
      </c>
      <c r="GG88" s="58">
        <f t="shared" si="176"/>
        <v>0</v>
      </c>
      <c r="GH88" s="58">
        <f t="shared" si="177"/>
        <v>0</v>
      </c>
      <c r="GI88" s="58">
        <f t="shared" si="178"/>
        <v>0</v>
      </c>
      <c r="GK88" s="58">
        <f>IF(i_baseline_risk_from=2,'Effectiveness settings'!FA88,'Effectiveness settings'!FM88)</f>
        <v>0</v>
      </c>
      <c r="GL88" s="58">
        <f>IF(i_baseline_risk_from=2,'Effectiveness settings'!FB88,'Effectiveness settings'!FN88)</f>
        <v>0</v>
      </c>
      <c r="GM88" s="58">
        <f>IF(i_baseline_risk_from=2,'Effectiveness settings'!FC88,'Effectiveness settings'!FO88)</f>
        <v>0</v>
      </c>
      <c r="GN88" s="58">
        <f>IF(i_baseline_risk_from=2,'Effectiveness settings'!FD88,'Effectiveness settings'!FP88)</f>
        <v>0</v>
      </c>
      <c r="GQ88" s="58">
        <f t="shared" si="179"/>
        <v>0</v>
      </c>
      <c r="GR88" s="58">
        <f t="shared" si="180"/>
        <v>0</v>
      </c>
      <c r="GS88" s="58">
        <f t="shared" si="181"/>
        <v>0</v>
      </c>
      <c r="GT88" s="58">
        <f t="shared" si="182"/>
        <v>0</v>
      </c>
      <c r="GU88" s="58">
        <f>IF(AND(dd_CheckMate214_TTD="Yes",'Effectiveness settings'!BU88=2,'Effectiveness settings'!BX88=2),2,GT88)</f>
        <v>0</v>
      </c>
      <c r="GV88" s="58">
        <f t="shared" si="183"/>
        <v>0</v>
      </c>
      <c r="GW88" s="58">
        <f t="shared" si="184"/>
        <v>0</v>
      </c>
      <c r="GY88" s="58">
        <f>IF(AND(dd_CheckMate214_TTD="Yes",'Effectiveness settings'!BU88=2,'Effectiveness settings'!BX88=2),1,GN88)</f>
        <v>0</v>
      </c>
      <c r="GZ88" s="58">
        <f t="shared" si="185"/>
        <v>0</v>
      </c>
      <c r="HB88" s="58">
        <f t="shared" si="186"/>
        <v>0</v>
      </c>
      <c r="HD88" s="58">
        <f t="shared" si="187"/>
        <v>0</v>
      </c>
      <c r="HE88" s="58">
        <f t="shared" si="188"/>
        <v>0</v>
      </c>
      <c r="HF88" s="58">
        <f t="shared" ref="HF88:HF132" si="193">GL88</f>
        <v>0</v>
      </c>
      <c r="HG88" s="58">
        <f t="shared" si="190"/>
        <v>0</v>
      </c>
      <c r="HH88" s="58">
        <f t="shared" ref="HH88:HH132" si="194">GN88</f>
        <v>0</v>
      </c>
    </row>
    <row r="89" spans="4:216" ht="15.75" hidden="1" x14ac:dyDescent="0.25">
      <c r="I89" s="64"/>
      <c r="J89" s="519"/>
      <c r="K89" s="524"/>
      <c r="L89" s="519"/>
      <c r="M89" s="516"/>
      <c r="N89" s="64"/>
      <c r="O89" s="64"/>
      <c r="P89" s="64"/>
      <c r="Q89" s="519"/>
      <c r="R89" s="516"/>
      <c r="S89" s="497"/>
      <c r="T89" s="497"/>
      <c r="U89" s="497"/>
      <c r="Y89" s="517"/>
      <c r="AA89" s="517"/>
      <c r="AF89" s="517"/>
      <c r="AM89" s="517"/>
      <c r="AO89" s="517"/>
      <c r="AT89" s="517"/>
      <c r="AV89" s="511"/>
      <c r="AW89" s="511"/>
      <c r="AX89" s="511"/>
      <c r="BA89" s="517"/>
      <c r="BC89" s="517"/>
      <c r="BH89" s="517"/>
      <c r="BJ89" s="511"/>
      <c r="BK89" s="511"/>
      <c r="BL89" s="511"/>
      <c r="BQ89" s="58">
        <f t="shared" si="165"/>
        <v>70</v>
      </c>
      <c r="BR89" s="17"/>
      <c r="BS89" s="17"/>
      <c r="BT89" s="17"/>
      <c r="BU89" s="17"/>
      <c r="BV89" s="17"/>
      <c r="BW89" s="17"/>
      <c r="BX89" s="61"/>
      <c r="BY89" s="531"/>
      <c r="BZ89" s="530"/>
      <c r="CA89" s="531"/>
      <c r="CB89" s="530"/>
      <c r="CC89" s="530"/>
      <c r="CD89" s="530"/>
      <c r="CE89" s="1295"/>
      <c r="CF89" s="1301"/>
      <c r="CG89" s="530"/>
      <c r="CH89" s="61"/>
      <c r="CI89" s="61"/>
      <c r="CJ89" s="61"/>
      <c r="DA89" s="1024"/>
      <c r="DB89" s="1024"/>
      <c r="DC89" s="1024"/>
      <c r="DD89" s="1024"/>
      <c r="DE89" s="1024"/>
      <c r="DF89" s="1024"/>
      <c r="DG89" s="1024"/>
      <c r="DK89" s="58" t="str" cm="1">
        <f t="array" ref="DK89">IF(AND($BT89=4,$BX89=4,$BU89=999),$DB$36,_xlfn.IFNA(INDEX(DB$13:DB$70,MATCH(1,($BR89=$CV$13:$CV$70)*($BT89=$CX$13:$CX$70)*($CE89=$CY$13:$CY$70)*($BY89=$DA$13:$DA$70)*($CD89=$DH$13:$DH$70),0)),""))</f>
        <v/>
      </c>
      <c r="DL89" s="58" t="str" cm="1">
        <f t="array" ref="DL89">IF(AND($BT89=4,$BX89=4,$BU89=999),$DC$36,_xlfn.IFNA(INDEX(CHOOSE(DP89,DB$13:DB$70,DC$13:DC$70,DD$13:DD$70,DE$13:DE$70),MATCH(1,($BR89=$CV$13:$CV$70)*($BT89=$CX$13:$CX$70)*($CE89=$CY$13:$CY$70)*($BY89=$DA$13:$DA$70)*($CD89=$DH$13:$DH$70),0)),""))</f>
        <v/>
      </c>
      <c r="DM89" s="740" t="str" cm="1">
        <f t="array" ref="DM89">IF(AND($BT89=4,$BX89=4,$BU89=999),$DD$36,_xlfn.IFNA(INDEX(DD$13:DD$68,MATCH(1,($BR89=$CV$13:$CV$68)*($BT89=$CX$13:$CX$68)*($CE89=$CY$13:$CY$68)*($BY89=$DA$13:$DA$68)*($CD89=$DH$13:$DH$68),0)),""))</f>
        <v/>
      </c>
      <c r="DN89" s="740" t="str" cm="1">
        <f t="array" ref="DN89">IF(AND($BT89=4,$BX89=4,$BU89=999),$DD$36,_xlfn.IFNA(INDEX(DE$13:DE$68,MATCH(1,($BR89=$CV$13:$CV$68)*($BT89=$CX$13:$CX$68)*($CE89=$CY$13:$CY$68)*($BY89=$DA$13:$DA$68)*($CD89=$DH$13:$DH$68),0)),""))</f>
        <v/>
      </c>
      <c r="DO89" s="58" t="str" cm="1">
        <f t="array" ref="DO89">IF(AND($BT89=4,$BX89=4,$BU89=999),$DF$36,_xlfn.IFNA(INDEX(DF$13:DF$70,MATCH(1,($BR89=$CV$13:$CV$70)*($BT89=$CX$13:$CX$70)*($CE89=$CY$13:$CY$70)*($BY89=$DA$13:$DA$70)*($CD89=$DH$13:$DH$70),0)),""))</f>
        <v/>
      </c>
      <c r="DP89" s="58" t="e">
        <f t="shared" si="166"/>
        <v>#N/A</v>
      </c>
      <c r="FT89" s="58">
        <f t="shared" si="167"/>
        <v>0</v>
      </c>
      <c r="FW89" s="58">
        <f>IF(i_baseline_risk_from=2,'Effectiveness settings'!EW89,'Effectiveness settings'!FI89)</f>
        <v>0</v>
      </c>
      <c r="FX89" s="58">
        <f t="shared" si="168"/>
        <v>0</v>
      </c>
      <c r="FY89" s="58">
        <f t="shared" si="169"/>
        <v>0</v>
      </c>
      <c r="FZ89" s="58">
        <f t="shared" si="170"/>
        <v>0</v>
      </c>
      <c r="GA89" s="58">
        <f t="shared" si="171"/>
        <v>0</v>
      </c>
      <c r="GB89" s="58">
        <f t="shared" si="172"/>
        <v>0</v>
      </c>
      <c r="GC89" s="58">
        <f t="shared" si="173"/>
        <v>0</v>
      </c>
      <c r="GD89" s="58">
        <f t="shared" si="174"/>
        <v>0</v>
      </c>
      <c r="GE89" s="58">
        <f>IF(AND(dd_CheckMate214_TTD="Yes",'Effectiveness settings'!BU89=2,'Effectiveness settings'!BX89=2),"Apply HR to",GD89)</f>
        <v>0</v>
      </c>
      <c r="GF89" s="58">
        <f t="shared" si="175"/>
        <v>0</v>
      </c>
      <c r="GG89" s="58">
        <f t="shared" si="176"/>
        <v>0</v>
      </c>
      <c r="GH89" s="58">
        <f t="shared" si="177"/>
        <v>0</v>
      </c>
      <c r="GI89" s="58">
        <f t="shared" si="178"/>
        <v>0</v>
      </c>
      <c r="GK89" s="58">
        <f>IF(i_baseline_risk_from=2,'Effectiveness settings'!FA89,'Effectiveness settings'!FM89)</f>
        <v>0</v>
      </c>
      <c r="GL89" s="58">
        <f>IF(i_baseline_risk_from=2,'Effectiveness settings'!FB89,'Effectiveness settings'!FN89)</f>
        <v>0</v>
      </c>
      <c r="GM89" s="58">
        <f>IF(i_baseline_risk_from=2,'Effectiveness settings'!FC89,'Effectiveness settings'!FO89)</f>
        <v>0</v>
      </c>
      <c r="GN89" s="58">
        <f>IF(i_baseline_risk_from=2,'Effectiveness settings'!FD89,'Effectiveness settings'!FP89)</f>
        <v>0</v>
      </c>
      <c r="GQ89" s="58">
        <f t="shared" si="179"/>
        <v>0</v>
      </c>
      <c r="GR89" s="58">
        <f t="shared" si="180"/>
        <v>0</v>
      </c>
      <c r="GS89" s="58">
        <f t="shared" si="181"/>
        <v>0</v>
      </c>
      <c r="GT89" s="58">
        <f t="shared" si="182"/>
        <v>0</v>
      </c>
      <c r="GU89" s="58">
        <f>IF(AND(dd_CheckMate214_TTD="Yes",'Effectiveness settings'!BU89=2,'Effectiveness settings'!BX89=2),2,GT89)</f>
        <v>0</v>
      </c>
      <c r="GV89" s="58">
        <f t="shared" si="183"/>
        <v>0</v>
      </c>
      <c r="GW89" s="58">
        <f t="shared" si="184"/>
        <v>0</v>
      </c>
      <c r="GY89" s="58">
        <f>IF(AND(dd_CheckMate214_TTD="Yes",'Effectiveness settings'!BU89=2,'Effectiveness settings'!BX89=2),1,GN89)</f>
        <v>0</v>
      </c>
      <c r="GZ89" s="58">
        <f t="shared" si="185"/>
        <v>0</v>
      </c>
      <c r="HB89" s="58">
        <f t="shared" si="186"/>
        <v>0</v>
      </c>
      <c r="HD89" s="58">
        <f t="shared" si="187"/>
        <v>0</v>
      </c>
      <c r="HE89" s="58">
        <f t="shared" si="188"/>
        <v>0</v>
      </c>
      <c r="HF89" s="58">
        <f t="shared" si="193"/>
        <v>0</v>
      </c>
      <c r="HG89" s="58">
        <f t="shared" si="190"/>
        <v>0</v>
      </c>
      <c r="HH89" s="58">
        <f t="shared" si="194"/>
        <v>0</v>
      </c>
    </row>
    <row r="90" spans="4:216" ht="15.75" hidden="1" x14ac:dyDescent="0.25">
      <c r="I90" s="64"/>
      <c r="J90" s="519"/>
      <c r="K90" s="524"/>
      <c r="L90" s="519"/>
      <c r="M90" s="516"/>
      <c r="N90" s="64"/>
      <c r="O90" s="64"/>
      <c r="P90" s="64"/>
      <c r="Q90" s="519"/>
      <c r="R90" s="516"/>
      <c r="S90" s="497"/>
      <c r="T90" s="497"/>
      <c r="U90" s="497"/>
      <c r="Y90" s="517"/>
      <c r="AA90" s="517"/>
      <c r="AF90" s="517"/>
      <c r="AM90" s="517"/>
      <c r="AO90" s="517"/>
      <c r="AT90" s="517"/>
      <c r="AV90" s="511"/>
      <c r="AW90" s="511"/>
      <c r="AX90" s="511"/>
      <c r="BA90" s="517"/>
      <c r="BC90" s="517"/>
      <c r="BH90" s="517"/>
      <c r="BJ90" s="511"/>
      <c r="BK90" s="511"/>
      <c r="BL90" s="511"/>
      <c r="BQ90" s="58">
        <f t="shared" si="165"/>
        <v>70</v>
      </c>
      <c r="BR90" s="17"/>
      <c r="BS90" s="17"/>
      <c r="BT90" s="17"/>
      <c r="BU90" s="17"/>
      <c r="BV90" s="17"/>
      <c r="BW90" s="17"/>
      <c r="BX90" s="61"/>
      <c r="BY90" s="531"/>
      <c r="BZ90" s="530"/>
      <c r="CA90" s="531"/>
      <c r="CB90" s="530"/>
      <c r="CC90" s="530"/>
      <c r="CD90" s="530"/>
      <c r="CE90" s="1295"/>
      <c r="CF90" s="1301"/>
      <c r="CG90" s="530"/>
      <c r="CH90" s="61"/>
      <c r="CI90" s="61"/>
      <c r="CJ90" s="61"/>
      <c r="DA90" s="1024"/>
      <c r="DB90" s="1024"/>
      <c r="DC90" s="1024"/>
      <c r="DD90" s="1024"/>
      <c r="DE90" s="1024"/>
      <c r="DF90" s="1024"/>
      <c r="DG90" s="1024"/>
      <c r="DK90" s="58" t="str" cm="1">
        <f t="array" ref="DK90">IF(AND($BT90=4,$BX90=4,$BU90=999),$DB$36,_xlfn.IFNA(INDEX(DB$13:DB$70,MATCH(1,($BR90=$CV$13:$CV$70)*($BT90=$CX$13:$CX$70)*($CE90=$CY$13:$CY$70)*($BY90=$DA$13:$DA$70)*($CD90=$DH$13:$DH$70),0)),""))</f>
        <v/>
      </c>
      <c r="DL90" s="58" t="str" cm="1">
        <f t="array" ref="DL90">IF(AND($BT90=4,$BX90=4,$BU90=999),$DC$36,_xlfn.IFNA(INDEX(CHOOSE(DP90,DB$13:DB$70,DC$13:DC$70,DD$13:DD$70,DE$13:DE$70),MATCH(1,($BR90=$CV$13:$CV$70)*($BT90=$CX$13:$CX$70)*($CE90=$CY$13:$CY$70)*($BY90=$DA$13:$DA$70)*($CD90=$DH$13:$DH$70),0)),""))</f>
        <v/>
      </c>
      <c r="DM90" s="740" t="str" cm="1">
        <f t="array" ref="DM90">IF(AND($BT90=4,$BX90=4,$BU90=999),$DD$36,_xlfn.IFNA(INDEX(DD$13:DD$68,MATCH(1,($BR90=$CV$13:$CV$68)*($BT90=$CX$13:$CX$68)*($CE90=$CY$13:$CY$68)*($BY90=$DA$13:$DA$68)*($CD90=$DH$13:$DH$68),0)),""))</f>
        <v/>
      </c>
      <c r="DN90" s="740" t="str" cm="1">
        <f t="array" ref="DN90">IF(AND($BT90=4,$BX90=4,$BU90=999),$DD$36,_xlfn.IFNA(INDEX(DE$13:DE$68,MATCH(1,($BR90=$CV$13:$CV$68)*($BT90=$CX$13:$CX$68)*($CE90=$CY$13:$CY$68)*($BY90=$DA$13:$DA$68)*($CD90=$DH$13:$DH$68),0)),""))</f>
        <v/>
      </c>
      <c r="DO90" s="58" t="str" cm="1">
        <f t="array" ref="DO90">IF(AND($BT90=4,$BX90=4,$BU90=999),$DF$36,_xlfn.IFNA(INDEX(DF$13:DF$70,MATCH(1,($BR90=$CV$13:$CV$70)*($BT90=$CX$13:$CX$70)*($CE90=$CY$13:$CY$70)*($BY90=$DA$13:$DA$70)*($CD90=$DH$13:$DH$70),0)),""))</f>
        <v/>
      </c>
      <c r="DP90" s="58" t="e">
        <f t="shared" si="166"/>
        <v>#N/A</v>
      </c>
      <c r="FT90" s="58">
        <f t="shared" si="167"/>
        <v>0</v>
      </c>
      <c r="FW90" s="58">
        <f>IF(i_baseline_risk_from=2,'Effectiveness settings'!EW90,'Effectiveness settings'!FI90)</f>
        <v>0</v>
      </c>
      <c r="FX90" s="58">
        <f t="shared" si="168"/>
        <v>0</v>
      </c>
      <c r="FY90" s="58">
        <f t="shared" si="169"/>
        <v>0</v>
      </c>
      <c r="FZ90" s="58">
        <f t="shared" si="170"/>
        <v>0</v>
      </c>
      <c r="GA90" s="58">
        <f t="shared" si="171"/>
        <v>0</v>
      </c>
      <c r="GB90" s="58">
        <f t="shared" si="172"/>
        <v>0</v>
      </c>
      <c r="GC90" s="58">
        <f t="shared" si="173"/>
        <v>0</v>
      </c>
      <c r="GD90" s="58">
        <f t="shared" si="174"/>
        <v>0</v>
      </c>
      <c r="GE90" s="58">
        <f>IF(AND(dd_CheckMate214_TTD="Yes",'Effectiveness settings'!BU90=2,'Effectiveness settings'!BX90=2),"Apply HR to",GD90)</f>
        <v>0</v>
      </c>
      <c r="GF90" s="58">
        <f t="shared" si="175"/>
        <v>0</v>
      </c>
      <c r="GG90" s="58">
        <f t="shared" si="176"/>
        <v>0</v>
      </c>
      <c r="GH90" s="58">
        <f t="shared" si="177"/>
        <v>0</v>
      </c>
      <c r="GI90" s="58">
        <f t="shared" si="178"/>
        <v>0</v>
      </c>
      <c r="GK90" s="58">
        <f>IF(i_baseline_risk_from=2,'Effectiveness settings'!FA90,'Effectiveness settings'!FM90)</f>
        <v>0</v>
      </c>
      <c r="GL90" s="58">
        <f>IF(i_baseline_risk_from=2,'Effectiveness settings'!FB90,'Effectiveness settings'!FN90)</f>
        <v>0</v>
      </c>
      <c r="GM90" s="58">
        <f>IF(i_baseline_risk_from=2,'Effectiveness settings'!FC90,'Effectiveness settings'!FO90)</f>
        <v>0</v>
      </c>
      <c r="GN90" s="58">
        <f>IF(i_baseline_risk_from=2,'Effectiveness settings'!FD90,'Effectiveness settings'!FP90)</f>
        <v>0</v>
      </c>
      <c r="GQ90" s="58">
        <f t="shared" si="179"/>
        <v>0</v>
      </c>
      <c r="GR90" s="58">
        <f t="shared" si="180"/>
        <v>0</v>
      </c>
      <c r="GS90" s="58">
        <f t="shared" si="181"/>
        <v>0</v>
      </c>
      <c r="GT90" s="58">
        <f t="shared" si="182"/>
        <v>0</v>
      </c>
      <c r="GU90" s="58">
        <f>IF(AND(dd_CheckMate214_TTD="Yes",'Effectiveness settings'!BU90=2,'Effectiveness settings'!BX90=2),2,GT90)</f>
        <v>0</v>
      </c>
      <c r="GV90" s="58">
        <f t="shared" si="183"/>
        <v>0</v>
      </c>
      <c r="GW90" s="58">
        <f t="shared" si="184"/>
        <v>0</v>
      </c>
      <c r="GY90" s="58">
        <f>IF(AND(dd_CheckMate214_TTD="Yes",'Effectiveness settings'!BU90=2,'Effectiveness settings'!BX90=2),1,GN90)</f>
        <v>0</v>
      </c>
      <c r="GZ90" s="58">
        <f t="shared" si="185"/>
        <v>0</v>
      </c>
      <c r="HB90" s="58">
        <f t="shared" si="186"/>
        <v>0</v>
      </c>
      <c r="HD90" s="58">
        <f t="shared" si="187"/>
        <v>0</v>
      </c>
      <c r="HE90" s="58">
        <f t="shared" si="188"/>
        <v>0</v>
      </c>
      <c r="HF90" s="58">
        <f t="shared" si="193"/>
        <v>0</v>
      </c>
      <c r="HG90" s="58">
        <f t="shared" si="190"/>
        <v>0</v>
      </c>
      <c r="HH90" s="58">
        <f t="shared" si="194"/>
        <v>0</v>
      </c>
    </row>
    <row r="91" spans="4:216" ht="15.75" hidden="1" x14ac:dyDescent="0.25">
      <c r="I91" s="64"/>
      <c r="J91" s="519"/>
      <c r="K91" s="524"/>
      <c r="L91" s="519"/>
      <c r="M91" s="516"/>
      <c r="N91" s="64"/>
      <c r="O91" s="64"/>
      <c r="P91" s="64"/>
      <c r="Q91" s="519"/>
      <c r="R91" s="516"/>
      <c r="S91" s="497"/>
      <c r="T91" s="497"/>
      <c r="U91" s="497"/>
      <c r="Y91" s="517"/>
      <c r="AA91" s="517"/>
      <c r="AF91" s="517"/>
      <c r="AM91" s="517"/>
      <c r="AO91" s="517"/>
      <c r="AT91" s="517"/>
      <c r="AV91" s="511"/>
      <c r="AW91" s="511"/>
      <c r="AX91" s="511"/>
      <c r="BA91" s="517"/>
      <c r="BC91" s="517"/>
      <c r="BH91" s="517"/>
      <c r="BJ91" s="511"/>
      <c r="BK91" s="511"/>
      <c r="BL91" s="511"/>
      <c r="BQ91" s="58">
        <f t="shared" si="165"/>
        <v>70</v>
      </c>
      <c r="BR91" s="17"/>
      <c r="BS91" s="17"/>
      <c r="BT91" s="17"/>
      <c r="BU91" s="17"/>
      <c r="BV91" s="17"/>
      <c r="BW91" s="17"/>
      <c r="BX91" s="61"/>
      <c r="BY91" s="531"/>
      <c r="BZ91" s="530"/>
      <c r="CA91" s="531"/>
      <c r="CB91" s="530"/>
      <c r="CC91" s="530"/>
      <c r="CD91" s="530"/>
      <c r="CE91" s="1295"/>
      <c r="CF91" s="1301"/>
      <c r="CG91" s="530"/>
      <c r="CH91" s="61"/>
      <c r="CI91" s="61"/>
      <c r="CJ91" s="61"/>
      <c r="DA91" s="1024"/>
      <c r="DB91" s="1024"/>
      <c r="DC91" s="1024"/>
      <c r="DD91" s="1024"/>
      <c r="DE91" s="1024"/>
      <c r="DF91" s="1024"/>
      <c r="DG91" s="1024"/>
      <c r="DK91" s="58" t="str" cm="1">
        <f t="array" ref="DK91">IF(AND($BT91=4,$BX91=4,$BU91=999),$DB$36,_xlfn.IFNA(INDEX(DB$13:DB$70,MATCH(1,($BR91=$CV$13:$CV$70)*($BT91=$CX$13:$CX$70)*($CE91=$CY$13:$CY$70)*($BY91=$DA$13:$DA$70)*($CD91=$DH$13:$DH$70),0)),""))</f>
        <v/>
      </c>
      <c r="DL91" s="58" t="str" cm="1">
        <f t="array" ref="DL91">IF(AND($BT91=4,$BX91=4,$BU91=999),$DC$36,_xlfn.IFNA(INDEX(CHOOSE(DP91,DB$13:DB$70,DC$13:DC$70,DD$13:DD$70,DE$13:DE$70),MATCH(1,($BR91=$CV$13:$CV$70)*($BT91=$CX$13:$CX$70)*($CE91=$CY$13:$CY$70)*($BY91=$DA$13:$DA$70)*($CD91=$DH$13:$DH$70),0)),""))</f>
        <v/>
      </c>
      <c r="DM91" s="740" t="str" cm="1">
        <f t="array" ref="DM91">IF(AND($BT91=4,$BX91=4,$BU91=999),$DD$36,_xlfn.IFNA(INDEX(DD$13:DD$68,MATCH(1,($BR91=$CV$13:$CV$68)*($BT91=$CX$13:$CX$68)*($CE91=$CY$13:$CY$68)*($BY91=$DA$13:$DA$68)*($CD91=$DH$13:$DH$68),0)),""))</f>
        <v/>
      </c>
      <c r="DN91" s="740" t="str" cm="1">
        <f t="array" ref="DN91">IF(AND($BT91=4,$BX91=4,$BU91=999),$DD$36,_xlfn.IFNA(INDEX(DE$13:DE$68,MATCH(1,($BR91=$CV$13:$CV$68)*($BT91=$CX$13:$CX$68)*($CE91=$CY$13:$CY$68)*($BY91=$DA$13:$DA$68)*($CD91=$DH$13:$DH$68),0)),""))</f>
        <v/>
      </c>
      <c r="DO91" s="58" t="str" cm="1">
        <f t="array" ref="DO91">IF(AND($BT91=4,$BX91=4,$BU91=999),$DF$36,_xlfn.IFNA(INDEX(DF$13:DF$70,MATCH(1,($BR91=$CV$13:$CV$70)*($BT91=$CX$13:$CX$70)*($CE91=$CY$13:$CY$70)*($BY91=$DA$13:$DA$70)*($CD91=$DH$13:$DH$70),0)),""))</f>
        <v/>
      </c>
      <c r="DP91" s="58" t="e">
        <f t="shared" si="166"/>
        <v>#N/A</v>
      </c>
      <c r="FT91" s="58">
        <f t="shared" si="167"/>
        <v>0</v>
      </c>
      <c r="FW91" s="58">
        <f>IF(i_baseline_risk_from=2,'Effectiveness settings'!EW91,'Effectiveness settings'!FI91)</f>
        <v>0</v>
      </c>
      <c r="FX91" s="58">
        <f t="shared" si="168"/>
        <v>0</v>
      </c>
      <c r="FY91" s="58">
        <f t="shared" si="169"/>
        <v>0</v>
      </c>
      <c r="FZ91" s="58">
        <f t="shared" si="170"/>
        <v>0</v>
      </c>
      <c r="GA91" s="58">
        <f t="shared" si="171"/>
        <v>0</v>
      </c>
      <c r="GB91" s="58">
        <f t="shared" si="172"/>
        <v>0</v>
      </c>
      <c r="GC91" s="58">
        <f t="shared" si="173"/>
        <v>0</v>
      </c>
      <c r="GD91" s="58">
        <f t="shared" si="174"/>
        <v>0</v>
      </c>
      <c r="GE91" s="58">
        <f>IF(AND(dd_CheckMate214_TTD="Yes",'Effectiveness settings'!BU91=2,'Effectiveness settings'!BX91=2),"Apply HR to",GD91)</f>
        <v>0</v>
      </c>
      <c r="GF91" s="58">
        <f t="shared" si="175"/>
        <v>0</v>
      </c>
      <c r="GG91" s="58">
        <f t="shared" si="176"/>
        <v>0</v>
      </c>
      <c r="GH91" s="58">
        <f t="shared" si="177"/>
        <v>0</v>
      </c>
      <c r="GI91" s="58">
        <f t="shared" si="178"/>
        <v>0</v>
      </c>
      <c r="GK91" s="58">
        <f>IF(i_baseline_risk_from=2,'Effectiveness settings'!FA91,'Effectiveness settings'!FM91)</f>
        <v>0</v>
      </c>
      <c r="GL91" s="58">
        <f>IF(i_baseline_risk_from=2,'Effectiveness settings'!FB91,'Effectiveness settings'!FN91)</f>
        <v>0</v>
      </c>
      <c r="GM91" s="58">
        <f>IF(i_baseline_risk_from=2,'Effectiveness settings'!FC91,'Effectiveness settings'!FO91)</f>
        <v>0</v>
      </c>
      <c r="GN91" s="58">
        <f>IF(i_baseline_risk_from=2,'Effectiveness settings'!FD91,'Effectiveness settings'!FP91)</f>
        <v>0</v>
      </c>
      <c r="GQ91" s="58">
        <f t="shared" si="179"/>
        <v>0</v>
      </c>
      <c r="GR91" s="58">
        <f t="shared" si="180"/>
        <v>0</v>
      </c>
      <c r="GS91" s="58">
        <f t="shared" si="181"/>
        <v>0</v>
      </c>
      <c r="GT91" s="58">
        <f t="shared" si="182"/>
        <v>0</v>
      </c>
      <c r="GU91" s="58">
        <f>IF(AND(dd_CheckMate214_TTD="Yes",'Effectiveness settings'!BU91=2,'Effectiveness settings'!BX91=2),2,GT91)</f>
        <v>0</v>
      </c>
      <c r="GV91" s="58">
        <f t="shared" si="183"/>
        <v>0</v>
      </c>
      <c r="GW91" s="58">
        <f t="shared" si="184"/>
        <v>0</v>
      </c>
      <c r="GY91" s="58">
        <f>IF(AND(dd_CheckMate214_TTD="Yes",'Effectiveness settings'!BU91=2,'Effectiveness settings'!BX91=2),1,GN91)</f>
        <v>0</v>
      </c>
      <c r="GZ91" s="58">
        <f t="shared" si="185"/>
        <v>0</v>
      </c>
      <c r="HB91" s="58">
        <f t="shared" si="186"/>
        <v>0</v>
      </c>
      <c r="HD91" s="58">
        <f t="shared" si="187"/>
        <v>0</v>
      </c>
      <c r="HE91" s="58">
        <f t="shared" si="188"/>
        <v>0</v>
      </c>
      <c r="HF91" s="58">
        <f t="shared" si="193"/>
        <v>0</v>
      </c>
      <c r="HG91" s="58">
        <f t="shared" si="190"/>
        <v>0</v>
      </c>
      <c r="HH91" s="58">
        <f t="shared" si="194"/>
        <v>0</v>
      </c>
    </row>
    <row r="92" spans="4:216" ht="15.75" hidden="1" x14ac:dyDescent="0.25">
      <c r="I92" s="64"/>
      <c r="J92" s="519"/>
      <c r="K92" s="524"/>
      <c r="L92" s="519"/>
      <c r="M92" s="516"/>
      <c r="N92" s="64"/>
      <c r="O92" s="64"/>
      <c r="P92" s="64"/>
      <c r="Q92" s="519"/>
      <c r="R92" s="516"/>
      <c r="S92" s="497"/>
      <c r="T92" s="497"/>
      <c r="U92" s="497"/>
      <c r="Y92" s="517"/>
      <c r="AA92" s="517"/>
      <c r="AF92" s="517"/>
      <c r="AM92" s="517"/>
      <c r="AO92" s="517"/>
      <c r="AT92" s="517"/>
      <c r="AV92" s="511"/>
      <c r="AW92" s="511"/>
      <c r="AX92" s="511"/>
      <c r="BA92" s="517"/>
      <c r="BC92" s="517"/>
      <c r="BH92" s="517"/>
      <c r="BJ92" s="511"/>
      <c r="BK92" s="511"/>
      <c r="BL92" s="511"/>
      <c r="BQ92" s="58">
        <f t="shared" si="165"/>
        <v>70</v>
      </c>
      <c r="BR92" s="17"/>
      <c r="BS92" s="17"/>
      <c r="BT92" s="17"/>
      <c r="BU92" s="17"/>
      <c r="BV92" s="17"/>
      <c r="BW92" s="17"/>
      <c r="BX92" s="61"/>
      <c r="BY92" s="531"/>
      <c r="BZ92" s="530"/>
      <c r="CA92" s="531"/>
      <c r="CB92" s="530"/>
      <c r="CC92" s="530"/>
      <c r="CD92" s="530"/>
      <c r="CE92" s="1295"/>
      <c r="CF92" s="1301"/>
      <c r="CG92" s="530"/>
      <c r="CH92" s="61"/>
      <c r="CI92" s="61"/>
      <c r="CJ92" s="61"/>
      <c r="DA92" s="1024"/>
      <c r="DB92" s="1024"/>
      <c r="DC92" s="1024"/>
      <c r="DD92" s="1024"/>
      <c r="DE92" s="1024"/>
      <c r="DF92" s="1024"/>
      <c r="DG92" s="1024"/>
      <c r="DK92" s="58" t="str" cm="1">
        <f t="array" ref="DK92">IF(AND($BT92=4,$BX92=4,$BU92=999),$DB$36,_xlfn.IFNA(INDEX(DB$13:DB$70,MATCH(1,($BR92=$CV$13:$CV$70)*($BT92=$CX$13:$CX$70)*($CE92=$CY$13:$CY$70)*($BY92=$DA$13:$DA$70)*($CD92=$DH$13:$DH$70),0)),""))</f>
        <v/>
      </c>
      <c r="DL92" s="58" t="str" cm="1">
        <f t="array" ref="DL92">IF(AND($BT92=4,$BX92=4,$BU92=999),$DC$36,_xlfn.IFNA(INDEX(CHOOSE(DP92,DB$13:DB$70,DC$13:DC$70,DD$13:DD$70,DE$13:DE$70),MATCH(1,($BR92=$CV$13:$CV$70)*($BT92=$CX$13:$CX$70)*($CE92=$CY$13:$CY$70)*($BY92=$DA$13:$DA$70)*($CD92=$DH$13:$DH$70),0)),""))</f>
        <v/>
      </c>
      <c r="DM92" s="740" t="str" cm="1">
        <f t="array" ref="DM92">IF(AND($BT92=4,$BX92=4,$BU92=999),$DD$36,_xlfn.IFNA(INDEX(DD$13:DD$68,MATCH(1,($BR92=$CV$13:$CV$68)*($BT92=$CX$13:$CX$68)*($CE92=$CY$13:$CY$68)*($BY92=$DA$13:$DA$68)*($CD92=$DH$13:$DH$68),0)),""))</f>
        <v/>
      </c>
      <c r="DN92" s="740" t="str" cm="1">
        <f t="array" ref="DN92">IF(AND($BT92=4,$BX92=4,$BU92=999),$DD$36,_xlfn.IFNA(INDEX(DE$13:DE$68,MATCH(1,($BR92=$CV$13:$CV$68)*($BT92=$CX$13:$CX$68)*($CE92=$CY$13:$CY$68)*($BY92=$DA$13:$DA$68)*($CD92=$DH$13:$DH$68),0)),""))</f>
        <v/>
      </c>
      <c r="DO92" s="58" t="str" cm="1">
        <f t="array" ref="DO92">IF(AND($BT92=4,$BX92=4,$BU92=999),$DF$36,_xlfn.IFNA(INDEX(DF$13:DF$70,MATCH(1,($BR92=$CV$13:$CV$70)*($BT92=$CX$13:$CX$70)*($CE92=$CY$13:$CY$70)*($BY92=$DA$13:$DA$70)*($CD92=$DH$13:$DH$70),0)),""))</f>
        <v/>
      </c>
      <c r="DP92" s="58" t="e">
        <f t="shared" si="166"/>
        <v>#N/A</v>
      </c>
      <c r="FT92" s="58">
        <f t="shared" si="167"/>
        <v>0</v>
      </c>
      <c r="FW92" s="58">
        <f>IF(i_baseline_risk_from=2,'Effectiveness settings'!EW92,'Effectiveness settings'!FI92)</f>
        <v>0</v>
      </c>
      <c r="FX92" s="58">
        <f t="shared" si="168"/>
        <v>0</v>
      </c>
      <c r="FY92" s="58">
        <f t="shared" si="169"/>
        <v>0</v>
      </c>
      <c r="FZ92" s="58">
        <f t="shared" si="170"/>
        <v>0</v>
      </c>
      <c r="GA92" s="58">
        <f t="shared" si="171"/>
        <v>0</v>
      </c>
      <c r="GB92" s="58">
        <f t="shared" si="172"/>
        <v>0</v>
      </c>
      <c r="GC92" s="58">
        <f t="shared" si="173"/>
        <v>0</v>
      </c>
      <c r="GD92" s="58">
        <f t="shared" si="174"/>
        <v>0</v>
      </c>
      <c r="GE92" s="58">
        <f>IF(AND(dd_CheckMate214_TTD="Yes",'Effectiveness settings'!BU92=2,'Effectiveness settings'!BX92=2),"Apply HR to",GD92)</f>
        <v>0</v>
      </c>
      <c r="GF92" s="58">
        <f t="shared" si="175"/>
        <v>0</v>
      </c>
      <c r="GG92" s="58">
        <f t="shared" si="176"/>
        <v>0</v>
      </c>
      <c r="GH92" s="58">
        <f t="shared" si="177"/>
        <v>0</v>
      </c>
      <c r="GI92" s="58">
        <f t="shared" si="178"/>
        <v>0</v>
      </c>
      <c r="GK92" s="58">
        <f>IF(i_baseline_risk_from=2,'Effectiveness settings'!FA92,'Effectiveness settings'!FM92)</f>
        <v>0</v>
      </c>
      <c r="GL92" s="58">
        <f>IF(i_baseline_risk_from=2,'Effectiveness settings'!FB92,'Effectiveness settings'!FN92)</f>
        <v>0</v>
      </c>
      <c r="GM92" s="58">
        <f>IF(i_baseline_risk_from=2,'Effectiveness settings'!FC92,'Effectiveness settings'!FO92)</f>
        <v>0</v>
      </c>
      <c r="GN92" s="58">
        <f>IF(i_baseline_risk_from=2,'Effectiveness settings'!FD92,'Effectiveness settings'!FP92)</f>
        <v>0</v>
      </c>
      <c r="GQ92" s="58">
        <f t="shared" si="179"/>
        <v>0</v>
      </c>
      <c r="GR92" s="58">
        <f t="shared" si="180"/>
        <v>0</v>
      </c>
      <c r="GS92" s="58">
        <f t="shared" si="181"/>
        <v>0</v>
      </c>
      <c r="GT92" s="58">
        <f t="shared" si="182"/>
        <v>0</v>
      </c>
      <c r="GU92" s="58">
        <f>IF(AND(dd_CheckMate214_TTD="Yes",'Effectiveness settings'!BU92=2,'Effectiveness settings'!BX92=2),2,GT92)</f>
        <v>0</v>
      </c>
      <c r="GV92" s="58">
        <f t="shared" si="183"/>
        <v>0</v>
      </c>
      <c r="GW92" s="58">
        <f t="shared" si="184"/>
        <v>0</v>
      </c>
      <c r="GY92" s="58">
        <f>IF(AND(dd_CheckMate214_TTD="Yes",'Effectiveness settings'!BU92=2,'Effectiveness settings'!BX92=2),1,GN92)</f>
        <v>0</v>
      </c>
      <c r="GZ92" s="58">
        <f t="shared" si="185"/>
        <v>0</v>
      </c>
      <c r="HB92" s="58">
        <f t="shared" si="186"/>
        <v>0</v>
      </c>
      <c r="HD92" s="58">
        <f t="shared" si="187"/>
        <v>0</v>
      </c>
      <c r="HE92" s="58">
        <f t="shared" si="188"/>
        <v>0</v>
      </c>
      <c r="HF92" s="58">
        <f t="shared" si="193"/>
        <v>0</v>
      </c>
      <c r="HG92" s="58">
        <f t="shared" si="190"/>
        <v>0</v>
      </c>
      <c r="HH92" s="58">
        <f t="shared" si="194"/>
        <v>0</v>
      </c>
    </row>
    <row r="93" spans="4:216" ht="15.75" hidden="1" x14ac:dyDescent="0.25">
      <c r="I93" s="64"/>
      <c r="J93" s="519"/>
      <c r="K93" s="524"/>
      <c r="L93" s="519"/>
      <c r="M93" s="516"/>
      <c r="N93" s="64"/>
      <c r="O93" s="64"/>
      <c r="P93" s="64"/>
      <c r="Q93" s="519"/>
      <c r="R93" s="516"/>
      <c r="S93" s="497"/>
      <c r="T93" s="497"/>
      <c r="U93" s="497"/>
      <c r="Y93" s="517"/>
      <c r="AA93" s="517"/>
      <c r="AF93" s="517"/>
      <c r="AM93" s="517"/>
      <c r="AO93" s="517"/>
      <c r="AT93" s="517"/>
      <c r="AV93" s="511"/>
      <c r="AW93" s="511"/>
      <c r="AX93" s="511"/>
      <c r="BA93" s="517"/>
      <c r="BC93" s="517"/>
      <c r="BH93" s="517"/>
      <c r="BJ93" s="511"/>
      <c r="BK93" s="511"/>
      <c r="BL93" s="511"/>
      <c r="BQ93" s="58">
        <f t="shared" si="165"/>
        <v>70</v>
      </c>
      <c r="BR93" s="17"/>
      <c r="BS93" s="17"/>
      <c r="BT93" s="17"/>
      <c r="BU93" s="17"/>
      <c r="BV93" s="17"/>
      <c r="BW93" s="17"/>
      <c r="BX93" s="61"/>
      <c r="BY93" s="531"/>
      <c r="BZ93" s="530"/>
      <c r="CA93" s="531"/>
      <c r="CB93" s="530"/>
      <c r="CC93" s="530"/>
      <c r="CD93" s="530"/>
      <c r="CE93" s="1295"/>
      <c r="CF93" s="1301"/>
      <c r="CG93" s="530"/>
      <c r="CH93" s="61"/>
      <c r="CI93" s="61"/>
      <c r="CJ93" s="61"/>
      <c r="DA93" s="1024"/>
      <c r="DB93" s="1024"/>
      <c r="DC93" s="1024"/>
      <c r="DD93" s="1024"/>
      <c r="DE93" s="1024"/>
      <c r="DF93" s="1024"/>
      <c r="DG93" s="1024"/>
      <c r="DK93" s="58" t="str" cm="1">
        <f t="array" ref="DK93">IF(AND($BT93=4,$BX93=4,$BU93=999),$DB$36,_xlfn.IFNA(INDEX(DB$13:DB$70,MATCH(1,($BR93=$CV$13:$CV$70)*($BT93=$CX$13:$CX$70)*($CE93=$CY$13:$CY$70)*($BY93=$DA$13:$DA$70)*($CD93=$DH$13:$DH$70),0)),""))</f>
        <v/>
      </c>
      <c r="DL93" s="58" t="str" cm="1">
        <f t="array" ref="DL93">IF(AND($BT93=4,$BX93=4,$BU93=999),$DC$36,_xlfn.IFNA(INDEX(CHOOSE(DP93,DB$13:DB$70,DC$13:DC$70,DD$13:DD$70,DE$13:DE$70),MATCH(1,($BR93=$CV$13:$CV$70)*($BT93=$CX$13:$CX$70)*($CE93=$CY$13:$CY$70)*($BY93=$DA$13:$DA$70)*($CD93=$DH$13:$DH$70),0)),""))</f>
        <v/>
      </c>
      <c r="DM93" s="740" t="str" cm="1">
        <f t="array" ref="DM93">IF(AND($BT93=4,$BX93=4,$BU93=999),$DD$36,_xlfn.IFNA(INDEX(DD$13:DD$68,MATCH(1,($BR93=$CV$13:$CV$68)*($BT93=$CX$13:$CX$68)*($CE93=$CY$13:$CY$68)*($BY93=$DA$13:$DA$68)*($CD93=$DH$13:$DH$68),0)),""))</f>
        <v/>
      </c>
      <c r="DN93" s="740" t="str" cm="1">
        <f t="array" ref="DN93">IF(AND($BT93=4,$BX93=4,$BU93=999),$DD$36,_xlfn.IFNA(INDEX(DE$13:DE$68,MATCH(1,($BR93=$CV$13:$CV$68)*($BT93=$CX$13:$CX$68)*($CE93=$CY$13:$CY$68)*($BY93=$DA$13:$DA$68)*($CD93=$DH$13:$DH$68),0)),""))</f>
        <v/>
      </c>
      <c r="DO93" s="58" t="str" cm="1">
        <f t="array" ref="DO93">IF(AND($BT93=4,$BX93=4,$BU93=999),$DF$36,_xlfn.IFNA(INDEX(DF$13:DF$70,MATCH(1,($BR93=$CV$13:$CV$70)*($BT93=$CX$13:$CX$70)*($CE93=$CY$13:$CY$70)*($BY93=$DA$13:$DA$70)*($CD93=$DH$13:$DH$70),0)),""))</f>
        <v/>
      </c>
      <c r="DP93" s="58" t="e">
        <f t="shared" si="166"/>
        <v>#N/A</v>
      </c>
      <c r="FT93" s="58">
        <f t="shared" si="167"/>
        <v>0</v>
      </c>
      <c r="FW93" s="58">
        <f>IF(i_baseline_risk_from=2,'Effectiveness settings'!EW93,'Effectiveness settings'!FI93)</f>
        <v>0</v>
      </c>
      <c r="FX93" s="58">
        <f t="shared" si="168"/>
        <v>0</v>
      </c>
      <c r="FY93" s="58">
        <f t="shared" si="169"/>
        <v>0</v>
      </c>
      <c r="FZ93" s="58">
        <f t="shared" si="170"/>
        <v>0</v>
      </c>
      <c r="GA93" s="58">
        <f t="shared" si="171"/>
        <v>0</v>
      </c>
      <c r="GB93" s="58">
        <f t="shared" si="172"/>
        <v>0</v>
      </c>
      <c r="GC93" s="58">
        <f t="shared" si="173"/>
        <v>0</v>
      </c>
      <c r="GD93" s="58">
        <f t="shared" si="174"/>
        <v>0</v>
      </c>
      <c r="GE93" s="58">
        <f>IF(AND(dd_CheckMate214_TTD="Yes",'Effectiveness settings'!BU93=2,'Effectiveness settings'!BX93=2),"Apply HR to",GD93)</f>
        <v>0</v>
      </c>
      <c r="GF93" s="58">
        <f t="shared" si="175"/>
        <v>0</v>
      </c>
      <c r="GG93" s="58">
        <f t="shared" si="176"/>
        <v>0</v>
      </c>
      <c r="GH93" s="58">
        <f t="shared" si="177"/>
        <v>0</v>
      </c>
      <c r="GI93" s="58">
        <f t="shared" si="178"/>
        <v>0</v>
      </c>
      <c r="GK93" s="58">
        <f>IF(i_baseline_risk_from=2,'Effectiveness settings'!FA93,'Effectiveness settings'!FM93)</f>
        <v>0</v>
      </c>
      <c r="GL93" s="58">
        <f>IF(i_baseline_risk_from=2,'Effectiveness settings'!FB93,'Effectiveness settings'!FN93)</f>
        <v>0</v>
      </c>
      <c r="GM93" s="58">
        <f>IF(i_baseline_risk_from=2,'Effectiveness settings'!FC93,'Effectiveness settings'!FO93)</f>
        <v>0</v>
      </c>
      <c r="GN93" s="58">
        <f>IF(i_baseline_risk_from=2,'Effectiveness settings'!FD93,'Effectiveness settings'!FP93)</f>
        <v>0</v>
      </c>
      <c r="GQ93" s="58">
        <f t="shared" si="179"/>
        <v>0</v>
      </c>
      <c r="GR93" s="58">
        <f t="shared" si="180"/>
        <v>0</v>
      </c>
      <c r="GS93" s="58">
        <f t="shared" si="181"/>
        <v>0</v>
      </c>
      <c r="GT93" s="58">
        <f t="shared" si="182"/>
        <v>0</v>
      </c>
      <c r="GU93" s="58">
        <f>IF(AND(dd_CheckMate214_TTD="Yes",'Effectiveness settings'!BU93=2,'Effectiveness settings'!BX93=2),2,GT93)</f>
        <v>0</v>
      </c>
      <c r="GV93" s="58">
        <f t="shared" si="183"/>
        <v>0</v>
      </c>
      <c r="GW93" s="58">
        <f t="shared" si="184"/>
        <v>0</v>
      </c>
      <c r="GY93" s="58">
        <f>IF(AND(dd_CheckMate214_TTD="Yes",'Effectiveness settings'!BU93=2,'Effectiveness settings'!BX93=2),1,GN93)</f>
        <v>0</v>
      </c>
      <c r="GZ93" s="58">
        <f t="shared" si="185"/>
        <v>0</v>
      </c>
      <c r="HB93" s="58">
        <f t="shared" si="186"/>
        <v>0</v>
      </c>
      <c r="HD93" s="58">
        <f t="shared" si="187"/>
        <v>0</v>
      </c>
      <c r="HE93" s="58">
        <f t="shared" si="188"/>
        <v>0</v>
      </c>
      <c r="HF93" s="58">
        <f t="shared" si="193"/>
        <v>0</v>
      </c>
      <c r="HG93" s="58">
        <f t="shared" si="190"/>
        <v>0</v>
      </c>
      <c r="HH93" s="58">
        <f t="shared" si="194"/>
        <v>0</v>
      </c>
    </row>
    <row r="94" spans="4:216" ht="15.75" hidden="1" x14ac:dyDescent="0.25">
      <c r="I94" s="64"/>
      <c r="J94" s="519"/>
      <c r="K94" s="524"/>
      <c r="L94" s="519"/>
      <c r="M94" s="516"/>
      <c r="N94" s="64"/>
      <c r="O94" s="64"/>
      <c r="P94" s="64"/>
      <c r="Q94" s="519"/>
      <c r="R94" s="516"/>
      <c r="S94" s="497"/>
      <c r="T94" s="497"/>
      <c r="U94" s="497"/>
      <c r="Y94" s="517"/>
      <c r="AA94" s="517"/>
      <c r="AF94" s="517"/>
      <c r="AM94" s="517"/>
      <c r="AO94" s="517"/>
      <c r="AT94" s="517"/>
      <c r="AV94" s="511"/>
      <c r="AW94" s="511"/>
      <c r="AX94" s="511"/>
      <c r="BA94" s="517"/>
      <c r="BC94" s="517"/>
      <c r="BH94" s="517"/>
      <c r="BJ94" s="511"/>
      <c r="BK94" s="511"/>
      <c r="BL94" s="511"/>
      <c r="BQ94" s="58">
        <f t="shared" si="165"/>
        <v>70</v>
      </c>
      <c r="BR94" s="17"/>
      <c r="BS94" s="17"/>
      <c r="BT94" s="17"/>
      <c r="BU94" s="17"/>
      <c r="BV94" s="17"/>
      <c r="BW94" s="17"/>
      <c r="BX94" s="61"/>
      <c r="BY94" s="531"/>
      <c r="BZ94" s="530"/>
      <c r="CA94" s="531"/>
      <c r="CB94" s="530"/>
      <c r="CC94" s="530"/>
      <c r="CD94" s="530"/>
      <c r="CE94" s="1295"/>
      <c r="CF94" s="1301"/>
      <c r="CG94" s="530"/>
      <c r="CH94" s="61"/>
      <c r="CI94" s="61"/>
      <c r="CJ94" s="61"/>
      <c r="DA94" s="1024"/>
      <c r="DB94" s="1024"/>
      <c r="DC94" s="1024"/>
      <c r="DD94" s="1024"/>
      <c r="DE94" s="1024"/>
      <c r="DF94" s="1024"/>
      <c r="DG94" s="1024"/>
      <c r="DK94" s="58" t="str" cm="1">
        <f t="array" ref="DK94">IF(AND($BT94=4,$BX94=4,$BU94=999),$DB$36,_xlfn.IFNA(INDEX(DB$13:DB$70,MATCH(1,($BR94=$CV$13:$CV$70)*($BT94=$CX$13:$CX$70)*($CE94=$CY$13:$CY$70)*($BY94=$DA$13:$DA$70)*($CD94=$DH$13:$DH$70),0)),""))</f>
        <v/>
      </c>
      <c r="DL94" s="58" t="str" cm="1">
        <f t="array" ref="DL94">IF(AND($BT94=4,$BX94=4,$BU94=999),$DC$36,_xlfn.IFNA(INDEX(CHOOSE(DP94,DB$13:DB$70,DC$13:DC$70,DD$13:DD$70,DE$13:DE$70),MATCH(1,($BR94=$CV$13:$CV$70)*($BT94=$CX$13:$CX$70)*($CE94=$CY$13:$CY$70)*($BY94=$DA$13:$DA$70)*($CD94=$DH$13:$DH$70),0)),""))</f>
        <v/>
      </c>
      <c r="DM94" s="740" t="str" cm="1">
        <f t="array" ref="DM94">IF(AND($BT94=4,$BX94=4,$BU94=999),$DD$36,_xlfn.IFNA(INDEX(DD$13:DD$68,MATCH(1,($BR94=$CV$13:$CV$68)*($BT94=$CX$13:$CX$68)*($CE94=$CY$13:$CY$68)*($BY94=$DA$13:$DA$68)*($CD94=$DH$13:$DH$68),0)),""))</f>
        <v/>
      </c>
      <c r="DN94" s="740" t="str" cm="1">
        <f t="array" ref="DN94">IF(AND($BT94=4,$BX94=4,$BU94=999),$DD$36,_xlfn.IFNA(INDEX(DE$13:DE$68,MATCH(1,($BR94=$CV$13:$CV$68)*($BT94=$CX$13:$CX$68)*($CE94=$CY$13:$CY$68)*($BY94=$DA$13:$DA$68)*($CD94=$DH$13:$DH$68),0)),""))</f>
        <v/>
      </c>
      <c r="DO94" s="58" t="str" cm="1">
        <f t="array" ref="DO94">IF(AND($BT94=4,$BX94=4,$BU94=999),$DF$36,_xlfn.IFNA(INDEX(DF$13:DF$70,MATCH(1,($BR94=$CV$13:$CV$70)*($BT94=$CX$13:$CX$70)*($CE94=$CY$13:$CY$70)*($BY94=$DA$13:$DA$70)*($CD94=$DH$13:$DH$70),0)),""))</f>
        <v/>
      </c>
      <c r="DP94" s="58" t="e">
        <f t="shared" si="166"/>
        <v>#N/A</v>
      </c>
      <c r="FT94" s="58">
        <f t="shared" si="167"/>
        <v>0</v>
      </c>
      <c r="FW94" s="58">
        <f>IF(i_baseline_risk_from=2,'Effectiveness settings'!EW94,'Effectiveness settings'!FI94)</f>
        <v>0</v>
      </c>
      <c r="FX94" s="58">
        <f t="shared" si="168"/>
        <v>0</v>
      </c>
      <c r="FY94" s="58">
        <f t="shared" si="169"/>
        <v>0</v>
      </c>
      <c r="FZ94" s="58">
        <f t="shared" si="170"/>
        <v>0</v>
      </c>
      <c r="GA94" s="58">
        <f t="shared" si="171"/>
        <v>0</v>
      </c>
      <c r="GB94" s="58">
        <f t="shared" si="172"/>
        <v>0</v>
      </c>
      <c r="GC94" s="58">
        <f t="shared" si="173"/>
        <v>0</v>
      </c>
      <c r="GD94" s="58">
        <f t="shared" si="174"/>
        <v>0</v>
      </c>
      <c r="GE94" s="58">
        <f>IF(AND(dd_CheckMate214_TTD="Yes",'Effectiveness settings'!BU94=2,'Effectiveness settings'!BX94=2),"Apply HR to",GD94)</f>
        <v>0</v>
      </c>
      <c r="GF94" s="58">
        <f t="shared" si="175"/>
        <v>0</v>
      </c>
      <c r="GG94" s="58">
        <f t="shared" si="176"/>
        <v>0</v>
      </c>
      <c r="GH94" s="58">
        <f t="shared" si="177"/>
        <v>0</v>
      </c>
      <c r="GI94" s="58">
        <f t="shared" si="178"/>
        <v>0</v>
      </c>
      <c r="GK94" s="58">
        <f>IF(i_baseline_risk_from=2,'Effectiveness settings'!FA94,'Effectiveness settings'!FM94)</f>
        <v>0</v>
      </c>
      <c r="GL94" s="58">
        <f>IF(i_baseline_risk_from=2,'Effectiveness settings'!FB94,'Effectiveness settings'!FN94)</f>
        <v>0</v>
      </c>
      <c r="GM94" s="58">
        <f>IF(i_baseline_risk_from=2,'Effectiveness settings'!FC94,'Effectiveness settings'!FO94)</f>
        <v>0</v>
      </c>
      <c r="GN94" s="58">
        <f>IF(i_baseline_risk_from=2,'Effectiveness settings'!FD94,'Effectiveness settings'!FP94)</f>
        <v>0</v>
      </c>
      <c r="GQ94" s="58">
        <f t="shared" si="179"/>
        <v>0</v>
      </c>
      <c r="GR94" s="58">
        <f t="shared" si="180"/>
        <v>0</v>
      </c>
      <c r="GS94" s="58">
        <f t="shared" si="181"/>
        <v>0</v>
      </c>
      <c r="GT94" s="58">
        <f t="shared" si="182"/>
        <v>0</v>
      </c>
      <c r="GU94" s="58">
        <f>IF(AND(dd_CheckMate214_TTD="Yes",'Effectiveness settings'!BU94=2,'Effectiveness settings'!BX94=2),2,GT94)</f>
        <v>0</v>
      </c>
      <c r="GV94" s="58">
        <f t="shared" si="183"/>
        <v>0</v>
      </c>
      <c r="GW94" s="58">
        <f t="shared" si="184"/>
        <v>0</v>
      </c>
      <c r="GY94" s="58">
        <f>IF(AND(dd_CheckMate214_TTD="Yes",'Effectiveness settings'!BU94=2,'Effectiveness settings'!BX94=2),1,GN94)</f>
        <v>0</v>
      </c>
      <c r="GZ94" s="58">
        <f t="shared" si="185"/>
        <v>0</v>
      </c>
      <c r="HB94" s="58">
        <f t="shared" si="186"/>
        <v>0</v>
      </c>
      <c r="HD94" s="58">
        <f t="shared" si="187"/>
        <v>0</v>
      </c>
      <c r="HE94" s="58">
        <f t="shared" si="188"/>
        <v>0</v>
      </c>
      <c r="HF94" s="58">
        <f t="shared" si="193"/>
        <v>0</v>
      </c>
      <c r="HG94" s="58">
        <f t="shared" si="190"/>
        <v>0</v>
      </c>
      <c r="HH94" s="58">
        <f t="shared" si="194"/>
        <v>0</v>
      </c>
    </row>
    <row r="95" spans="4:216" ht="15.75" hidden="1" x14ac:dyDescent="0.25">
      <c r="I95" s="64"/>
      <c r="J95" s="519"/>
      <c r="K95" s="524"/>
      <c r="L95" s="519"/>
      <c r="M95" s="516"/>
      <c r="N95" s="64"/>
      <c r="O95" s="64"/>
      <c r="P95" s="64"/>
      <c r="Q95" s="519"/>
      <c r="R95" s="516"/>
      <c r="S95" s="497"/>
      <c r="T95" s="497"/>
      <c r="U95" s="497"/>
      <c r="Y95" s="517"/>
      <c r="AA95" s="517"/>
      <c r="AF95" s="517"/>
      <c r="AM95" s="517"/>
      <c r="AO95" s="517"/>
      <c r="AT95" s="517"/>
      <c r="AV95" s="511"/>
      <c r="AW95" s="511"/>
      <c r="AX95" s="511"/>
      <c r="BA95" s="517"/>
      <c r="BC95" s="517"/>
      <c r="BH95" s="517"/>
      <c r="BJ95" s="511"/>
      <c r="BK95" s="511"/>
      <c r="BL95" s="511"/>
      <c r="BQ95" s="58">
        <f t="shared" si="165"/>
        <v>70</v>
      </c>
      <c r="BR95" s="17"/>
      <c r="BS95" s="17"/>
      <c r="BT95" s="17"/>
      <c r="BU95" s="17"/>
      <c r="BV95" s="17"/>
      <c r="BW95" s="17"/>
      <c r="BX95" s="61"/>
      <c r="BY95" s="531"/>
      <c r="BZ95" s="530"/>
      <c r="CA95" s="531"/>
      <c r="CB95" s="530"/>
      <c r="CC95" s="530"/>
      <c r="CD95" s="530"/>
      <c r="CE95" s="1295"/>
      <c r="CF95" s="1301"/>
      <c r="CG95" s="530"/>
      <c r="CH95" s="61"/>
      <c r="CI95" s="61"/>
      <c r="CJ95" s="61"/>
      <c r="DA95" s="1024"/>
      <c r="DB95" s="1024"/>
      <c r="DC95" s="1024"/>
      <c r="DD95" s="1024"/>
      <c r="DE95" s="1024"/>
      <c r="DF95" s="1024"/>
      <c r="DG95" s="1024"/>
      <c r="DK95" s="58" t="str" cm="1">
        <f t="array" ref="DK95">IF(AND($BT95=4,$BX95=4,$BU95=999),$DB$36,_xlfn.IFNA(INDEX(DB$13:DB$70,MATCH(1,($BR95=$CV$13:$CV$70)*($BT95=$CX$13:$CX$70)*($CE95=$CY$13:$CY$70)*($BY95=$DA$13:$DA$70)*($CD95=$DH$13:$DH$70),0)),""))</f>
        <v/>
      </c>
      <c r="DL95" s="58" t="str" cm="1">
        <f t="array" ref="DL95">IF(AND($BT95=4,$BX95=4,$BU95=999),$DC$36,_xlfn.IFNA(INDEX(CHOOSE(DP95,DB$13:DB$70,DC$13:DC$70,DD$13:DD$70,DE$13:DE$70),MATCH(1,($BR95=$CV$13:$CV$70)*($BT95=$CX$13:$CX$70)*($CE95=$CY$13:$CY$70)*($BY95=$DA$13:$DA$70)*($CD95=$DH$13:$DH$70),0)),""))</f>
        <v/>
      </c>
      <c r="DM95" s="740" t="str" cm="1">
        <f t="array" ref="DM95">IF(AND($BT95=4,$BX95=4,$BU95=999),$DD$36,_xlfn.IFNA(INDEX(DD$13:DD$68,MATCH(1,($BR95=$CV$13:$CV$68)*($BT95=$CX$13:$CX$68)*($CE95=$CY$13:$CY$68)*($BY95=$DA$13:$DA$68)*($CD95=$DH$13:$DH$68),0)),""))</f>
        <v/>
      </c>
      <c r="DN95" s="740" t="str" cm="1">
        <f t="array" ref="DN95">IF(AND($BT95=4,$BX95=4,$BU95=999),$DD$36,_xlfn.IFNA(INDEX(DE$13:DE$68,MATCH(1,($BR95=$CV$13:$CV$68)*($BT95=$CX$13:$CX$68)*($CE95=$CY$13:$CY$68)*($BY95=$DA$13:$DA$68)*($CD95=$DH$13:$DH$68),0)),""))</f>
        <v/>
      </c>
      <c r="DO95" s="58" t="str" cm="1">
        <f t="array" ref="DO95">IF(AND($BT95=4,$BX95=4,$BU95=999),$DF$36,_xlfn.IFNA(INDEX(DF$13:DF$70,MATCH(1,($BR95=$CV$13:$CV$70)*($BT95=$CX$13:$CX$70)*($CE95=$CY$13:$CY$70)*($BY95=$DA$13:$DA$70)*($CD95=$DH$13:$DH$70),0)),""))</f>
        <v/>
      </c>
      <c r="DP95" s="58" t="e">
        <f t="shared" si="166"/>
        <v>#N/A</v>
      </c>
      <c r="FT95" s="58">
        <f t="shared" si="167"/>
        <v>0</v>
      </c>
      <c r="FW95" s="58">
        <f>IF(i_baseline_risk_from=2,'Effectiveness settings'!EW95,'Effectiveness settings'!FI95)</f>
        <v>0</v>
      </c>
      <c r="FX95" s="58">
        <f t="shared" si="168"/>
        <v>0</v>
      </c>
      <c r="FY95" s="58">
        <f t="shared" si="169"/>
        <v>0</v>
      </c>
      <c r="FZ95" s="58">
        <f t="shared" si="170"/>
        <v>0</v>
      </c>
      <c r="GA95" s="58">
        <f t="shared" si="171"/>
        <v>0</v>
      </c>
      <c r="GB95" s="58">
        <f t="shared" si="172"/>
        <v>0</v>
      </c>
      <c r="GC95" s="58">
        <f t="shared" si="173"/>
        <v>0</v>
      </c>
      <c r="GD95" s="58">
        <f t="shared" si="174"/>
        <v>0</v>
      </c>
      <c r="GE95" s="58">
        <f>IF(AND(dd_CheckMate214_TTD="Yes",'Effectiveness settings'!BU95=2,'Effectiveness settings'!BX95=2),"Apply HR to",GD95)</f>
        <v>0</v>
      </c>
      <c r="GF95" s="58">
        <f t="shared" si="175"/>
        <v>0</v>
      </c>
      <c r="GG95" s="58">
        <f t="shared" si="176"/>
        <v>0</v>
      </c>
      <c r="GH95" s="58">
        <f t="shared" si="177"/>
        <v>0</v>
      </c>
      <c r="GI95" s="58">
        <f t="shared" si="178"/>
        <v>0</v>
      </c>
      <c r="GK95" s="58">
        <f>IF(i_baseline_risk_from=2,'Effectiveness settings'!FA95,'Effectiveness settings'!FM95)</f>
        <v>0</v>
      </c>
      <c r="GL95" s="58">
        <f>IF(i_baseline_risk_from=2,'Effectiveness settings'!FB95,'Effectiveness settings'!FN95)</f>
        <v>0</v>
      </c>
      <c r="GM95" s="58">
        <f>IF(i_baseline_risk_from=2,'Effectiveness settings'!FC95,'Effectiveness settings'!FO95)</f>
        <v>0</v>
      </c>
      <c r="GN95" s="58">
        <f>IF(i_baseline_risk_from=2,'Effectiveness settings'!FD95,'Effectiveness settings'!FP95)</f>
        <v>0</v>
      </c>
      <c r="GQ95" s="58">
        <f t="shared" si="179"/>
        <v>0</v>
      </c>
      <c r="GR95" s="58">
        <f t="shared" si="180"/>
        <v>0</v>
      </c>
      <c r="GS95" s="58">
        <f t="shared" si="181"/>
        <v>0</v>
      </c>
      <c r="GT95" s="58">
        <f t="shared" si="182"/>
        <v>0</v>
      </c>
      <c r="GU95" s="58">
        <f>IF(AND(dd_CheckMate214_TTD="Yes",'Effectiveness settings'!BU95=2,'Effectiveness settings'!BX95=2),2,GT95)</f>
        <v>0</v>
      </c>
      <c r="GV95" s="58">
        <f t="shared" si="183"/>
        <v>0</v>
      </c>
      <c r="GW95" s="58">
        <f t="shared" si="184"/>
        <v>0</v>
      </c>
      <c r="GY95" s="58">
        <f>IF(AND(dd_CheckMate214_TTD="Yes",'Effectiveness settings'!BU95=2,'Effectiveness settings'!BX95=2),1,GN95)</f>
        <v>0</v>
      </c>
      <c r="GZ95" s="58">
        <f t="shared" si="185"/>
        <v>0</v>
      </c>
      <c r="HB95" s="58">
        <f t="shared" si="186"/>
        <v>0</v>
      </c>
      <c r="HD95" s="58">
        <f t="shared" si="187"/>
        <v>0</v>
      </c>
      <c r="HE95" s="58">
        <f t="shared" si="188"/>
        <v>0</v>
      </c>
      <c r="HF95" s="58">
        <f t="shared" si="193"/>
        <v>0</v>
      </c>
      <c r="HG95" s="58">
        <f t="shared" si="190"/>
        <v>0</v>
      </c>
      <c r="HH95" s="58">
        <f t="shared" si="194"/>
        <v>0</v>
      </c>
    </row>
    <row r="96" spans="4:216" ht="15.75" hidden="1" x14ac:dyDescent="0.25">
      <c r="I96" s="64"/>
      <c r="J96" s="519"/>
      <c r="K96" s="524"/>
      <c r="L96" s="519"/>
      <c r="M96" s="516"/>
      <c r="N96" s="64"/>
      <c r="O96" s="64"/>
      <c r="P96" s="64"/>
      <c r="Q96" s="519"/>
      <c r="R96" s="516"/>
      <c r="S96" s="497"/>
      <c r="T96" s="497"/>
      <c r="U96" s="497"/>
      <c r="Y96" s="517"/>
      <c r="AA96" s="517"/>
      <c r="AF96" s="517"/>
      <c r="AM96" s="517"/>
      <c r="AO96" s="517"/>
      <c r="AT96" s="517"/>
      <c r="AV96" s="511"/>
      <c r="AW96" s="511"/>
      <c r="AX96" s="511"/>
      <c r="BA96" s="517"/>
      <c r="BC96" s="517"/>
      <c r="BH96" s="517"/>
      <c r="BJ96" s="511"/>
      <c r="BK96" s="511"/>
      <c r="BL96" s="511"/>
      <c r="BQ96" s="58">
        <f t="shared" si="165"/>
        <v>70</v>
      </c>
      <c r="BR96" s="17"/>
      <c r="BS96" s="17"/>
      <c r="BT96" s="17"/>
      <c r="BU96" s="17"/>
      <c r="BV96" s="17"/>
      <c r="BW96" s="17"/>
      <c r="BX96" s="61"/>
      <c r="BY96" s="531"/>
      <c r="BZ96" s="530"/>
      <c r="CA96" s="531"/>
      <c r="CB96" s="530"/>
      <c r="CC96" s="530"/>
      <c r="CD96" s="530"/>
      <c r="CE96" s="1295"/>
      <c r="CF96" s="1301"/>
      <c r="CG96" s="530"/>
      <c r="CH96" s="61"/>
      <c r="CI96" s="61"/>
      <c r="CJ96" s="61"/>
      <c r="DA96" s="1024"/>
      <c r="DB96" s="1024"/>
      <c r="DC96" s="1024"/>
      <c r="DD96" s="1024"/>
      <c r="DE96" s="1024"/>
      <c r="DF96" s="1024"/>
      <c r="DG96" s="1024"/>
      <c r="DK96" s="58" t="str" cm="1">
        <f t="array" ref="DK96">IF(AND($BT96=4,$BX96=4,$BU96=999),$DB$36,_xlfn.IFNA(INDEX(DB$13:DB$70,MATCH(1,($BR96=$CV$13:$CV$70)*($BT96=$CX$13:$CX$70)*($CE96=$CY$13:$CY$70)*($BY96=$DA$13:$DA$70)*($CD96=$DH$13:$DH$70),0)),""))</f>
        <v/>
      </c>
      <c r="DL96" s="58" t="str" cm="1">
        <f t="array" ref="DL96">IF(AND($BT96=4,$BX96=4,$BU96=999),$DC$36,_xlfn.IFNA(INDEX(CHOOSE(DP96,DB$13:DB$70,DC$13:DC$70,DD$13:DD$70,DE$13:DE$70),MATCH(1,($BR96=$CV$13:$CV$70)*($BT96=$CX$13:$CX$70)*($CE96=$CY$13:$CY$70)*($BY96=$DA$13:$DA$70)*($CD96=$DH$13:$DH$70),0)),""))</f>
        <v/>
      </c>
      <c r="DM96" s="740" t="str" cm="1">
        <f t="array" ref="DM96">IF(AND($BT96=4,$BX96=4,$BU96=999),$DD$36,_xlfn.IFNA(INDEX(DD$13:DD$68,MATCH(1,($BR96=$CV$13:$CV$68)*($BT96=$CX$13:$CX$68)*($CE96=$CY$13:$CY$68)*($BY96=$DA$13:$DA$68)*($CD96=$DH$13:$DH$68),0)),""))</f>
        <v/>
      </c>
      <c r="DN96" s="740" t="str" cm="1">
        <f t="array" ref="DN96">IF(AND($BT96=4,$BX96=4,$BU96=999),$DD$36,_xlfn.IFNA(INDEX(DE$13:DE$68,MATCH(1,($BR96=$CV$13:$CV$68)*($BT96=$CX$13:$CX$68)*($CE96=$CY$13:$CY$68)*($BY96=$DA$13:$DA$68)*($CD96=$DH$13:$DH$68),0)),""))</f>
        <v/>
      </c>
      <c r="DO96" s="58" t="str" cm="1">
        <f t="array" ref="DO96">IF(AND($BT96=4,$BX96=4,$BU96=999),$DF$36,_xlfn.IFNA(INDEX(DF$13:DF$70,MATCH(1,($BR96=$CV$13:$CV$70)*($BT96=$CX$13:$CX$70)*($CE96=$CY$13:$CY$70)*($BY96=$DA$13:$DA$70)*($CD96=$DH$13:$DH$70),0)),""))</f>
        <v/>
      </c>
      <c r="DP96" s="58" t="e">
        <f t="shared" si="166"/>
        <v>#N/A</v>
      </c>
      <c r="FT96" s="58">
        <f t="shared" si="167"/>
        <v>0</v>
      </c>
      <c r="FW96" s="58">
        <f>IF(i_baseline_risk_from=2,'Effectiveness settings'!EW96,'Effectiveness settings'!FI96)</f>
        <v>0</v>
      </c>
      <c r="FX96" s="58">
        <f t="shared" si="168"/>
        <v>0</v>
      </c>
      <c r="FY96" s="58">
        <f t="shared" si="169"/>
        <v>0</v>
      </c>
      <c r="FZ96" s="58">
        <f t="shared" si="170"/>
        <v>0</v>
      </c>
      <c r="GA96" s="58">
        <f t="shared" si="171"/>
        <v>0</v>
      </c>
      <c r="GB96" s="58">
        <f t="shared" si="172"/>
        <v>0</v>
      </c>
      <c r="GC96" s="58">
        <f t="shared" si="173"/>
        <v>0</v>
      </c>
      <c r="GD96" s="58">
        <f t="shared" si="174"/>
        <v>0</v>
      </c>
      <c r="GE96" s="58">
        <f>IF(AND(dd_CheckMate214_TTD="Yes",'Effectiveness settings'!BU96=2,'Effectiveness settings'!BX96=2),"Apply HR to",GD96)</f>
        <v>0</v>
      </c>
      <c r="GF96" s="58">
        <f t="shared" si="175"/>
        <v>0</v>
      </c>
      <c r="GG96" s="58">
        <f t="shared" si="176"/>
        <v>0</v>
      </c>
      <c r="GH96" s="58">
        <f t="shared" si="177"/>
        <v>0</v>
      </c>
      <c r="GI96" s="58">
        <f t="shared" si="178"/>
        <v>0</v>
      </c>
      <c r="GK96" s="58">
        <f>IF(i_baseline_risk_from=2,'Effectiveness settings'!FA96,'Effectiveness settings'!FM96)</f>
        <v>0</v>
      </c>
      <c r="GL96" s="58">
        <f>IF(i_baseline_risk_from=2,'Effectiveness settings'!FB96,'Effectiveness settings'!FN96)</f>
        <v>0</v>
      </c>
      <c r="GM96" s="58">
        <f>IF(i_baseline_risk_from=2,'Effectiveness settings'!FC96,'Effectiveness settings'!FO96)</f>
        <v>0</v>
      </c>
      <c r="GN96" s="58">
        <f>IF(i_baseline_risk_from=2,'Effectiveness settings'!FD96,'Effectiveness settings'!FP96)</f>
        <v>0</v>
      </c>
      <c r="GQ96" s="58">
        <f t="shared" si="179"/>
        <v>0</v>
      </c>
      <c r="GR96" s="58">
        <f t="shared" si="180"/>
        <v>0</v>
      </c>
      <c r="GS96" s="58">
        <f t="shared" si="181"/>
        <v>0</v>
      </c>
      <c r="GT96" s="58">
        <f t="shared" si="182"/>
        <v>0</v>
      </c>
      <c r="GU96" s="58">
        <f>IF(AND(dd_CheckMate214_TTD="Yes",'Effectiveness settings'!BU96=2,'Effectiveness settings'!BX96=2),2,GT96)</f>
        <v>0</v>
      </c>
      <c r="GV96" s="58">
        <f t="shared" si="183"/>
        <v>0</v>
      </c>
      <c r="GW96" s="58">
        <f t="shared" si="184"/>
        <v>0</v>
      </c>
      <c r="GY96" s="58">
        <f>IF(AND(dd_CheckMate214_TTD="Yes",'Effectiveness settings'!BU96=2,'Effectiveness settings'!BX96=2),1,GN96)</f>
        <v>0</v>
      </c>
      <c r="GZ96" s="58">
        <f t="shared" si="185"/>
        <v>0</v>
      </c>
      <c r="HB96" s="58">
        <f t="shared" si="186"/>
        <v>0</v>
      </c>
      <c r="HD96" s="58">
        <f t="shared" si="187"/>
        <v>0</v>
      </c>
      <c r="HE96" s="58">
        <f t="shared" si="188"/>
        <v>0</v>
      </c>
      <c r="HF96" s="58">
        <f t="shared" si="193"/>
        <v>0</v>
      </c>
      <c r="HG96" s="58">
        <f t="shared" si="190"/>
        <v>0</v>
      </c>
      <c r="HH96" s="58">
        <f t="shared" si="194"/>
        <v>0</v>
      </c>
    </row>
    <row r="97" spans="9:216" ht="15.75" hidden="1" x14ac:dyDescent="0.25">
      <c r="I97" s="64"/>
      <c r="J97" s="519"/>
      <c r="K97" s="524"/>
      <c r="L97" s="519"/>
      <c r="M97" s="516"/>
      <c r="N97" s="64"/>
      <c r="O97" s="64"/>
      <c r="P97" s="64"/>
      <c r="Q97" s="519"/>
      <c r="R97" s="516"/>
      <c r="S97" s="497"/>
      <c r="T97" s="497"/>
      <c r="U97" s="497"/>
      <c r="Y97" s="517"/>
      <c r="AA97" s="517"/>
      <c r="AF97" s="517"/>
      <c r="AM97" s="517"/>
      <c r="AO97" s="517"/>
      <c r="AT97" s="517"/>
      <c r="AV97" s="511"/>
      <c r="AW97" s="511"/>
      <c r="AX97" s="511"/>
      <c r="BA97" s="517"/>
      <c r="BC97" s="517"/>
      <c r="BH97" s="517"/>
      <c r="BJ97" s="511"/>
      <c r="BK97" s="511"/>
      <c r="BL97" s="511"/>
      <c r="BQ97" s="58">
        <f t="shared" si="165"/>
        <v>70</v>
      </c>
      <c r="BR97" s="17"/>
      <c r="BS97" s="17"/>
      <c r="BT97" s="17"/>
      <c r="BU97" s="17"/>
      <c r="BV97" s="17"/>
      <c r="BW97" s="17"/>
      <c r="BX97" s="61"/>
      <c r="BY97" s="531"/>
      <c r="BZ97" s="530"/>
      <c r="CA97" s="531"/>
      <c r="CB97" s="530"/>
      <c r="CC97" s="530"/>
      <c r="CD97" s="530"/>
      <c r="CE97" s="1295"/>
      <c r="CF97" s="1301"/>
      <c r="CG97" s="530"/>
      <c r="CH97" s="61"/>
      <c r="CI97" s="61"/>
      <c r="CJ97" s="61"/>
      <c r="DA97" s="1024"/>
      <c r="DB97" s="1024"/>
      <c r="DC97" s="1024"/>
      <c r="DD97" s="1024"/>
      <c r="DE97" s="1024"/>
      <c r="DF97" s="1024"/>
      <c r="DG97" s="1024"/>
      <c r="DK97" s="58" t="str" cm="1">
        <f t="array" ref="DK97">IF(AND($BT97=4,$BX97=4,$BU97=999),$DB$36,_xlfn.IFNA(INDEX(DB$13:DB$70,MATCH(1,($BR97=$CV$13:$CV$70)*($BT97=$CX$13:$CX$70)*($CE97=$CY$13:$CY$70)*($BY97=$DA$13:$DA$70)*($CD97=$DH$13:$DH$70),0)),""))</f>
        <v/>
      </c>
      <c r="DL97" s="58" t="str" cm="1">
        <f t="array" ref="DL97">IF(AND($BT97=4,$BX97=4,$BU97=999),$DC$36,_xlfn.IFNA(INDEX(CHOOSE(DP97,DB$13:DB$70,DC$13:DC$70,DD$13:DD$70,DE$13:DE$70),MATCH(1,($BR97=$CV$13:$CV$70)*($BT97=$CX$13:$CX$70)*($CE97=$CY$13:$CY$70)*($BY97=$DA$13:$DA$70)*($CD97=$DH$13:$DH$70),0)),""))</f>
        <v/>
      </c>
      <c r="DM97" s="740" t="str" cm="1">
        <f t="array" ref="DM97">IF(AND($BT97=4,$BX97=4,$BU97=999),$DD$36,_xlfn.IFNA(INDEX(DD$13:DD$68,MATCH(1,($BR97=$CV$13:$CV$68)*($BT97=$CX$13:$CX$68)*($CE97=$CY$13:$CY$68)*($BY97=$DA$13:$DA$68)*($CD97=$DH$13:$DH$68),0)),""))</f>
        <v/>
      </c>
      <c r="DN97" s="740" t="str" cm="1">
        <f t="array" ref="DN97">IF(AND($BT97=4,$BX97=4,$BU97=999),$DD$36,_xlfn.IFNA(INDEX(DE$13:DE$68,MATCH(1,($BR97=$CV$13:$CV$68)*($BT97=$CX$13:$CX$68)*($CE97=$CY$13:$CY$68)*($BY97=$DA$13:$DA$68)*($CD97=$DH$13:$DH$68),0)),""))</f>
        <v/>
      </c>
      <c r="DO97" s="58" t="str" cm="1">
        <f t="array" ref="DO97">IF(AND($BT97=4,$BX97=4,$BU97=999),$DF$36,_xlfn.IFNA(INDEX(DF$13:DF$70,MATCH(1,($BR97=$CV$13:$CV$70)*($BT97=$CX$13:$CX$70)*($CE97=$CY$13:$CY$70)*($BY97=$DA$13:$DA$70)*($CD97=$DH$13:$DH$70),0)),""))</f>
        <v/>
      </c>
      <c r="DP97" s="58" t="e">
        <f t="shared" si="166"/>
        <v>#N/A</v>
      </c>
      <c r="FT97" s="58">
        <f t="shared" si="167"/>
        <v>0</v>
      </c>
      <c r="FW97" s="58">
        <f>IF(i_baseline_risk_from=2,'Effectiveness settings'!EW97,'Effectiveness settings'!FI97)</f>
        <v>0</v>
      </c>
      <c r="FX97" s="58">
        <f t="shared" si="168"/>
        <v>0</v>
      </c>
      <c r="FY97" s="58">
        <f t="shared" si="169"/>
        <v>0</v>
      </c>
      <c r="FZ97" s="58">
        <f t="shared" si="170"/>
        <v>0</v>
      </c>
      <c r="GA97" s="58">
        <f t="shared" si="171"/>
        <v>0</v>
      </c>
      <c r="GB97" s="58">
        <f t="shared" si="172"/>
        <v>0</v>
      </c>
      <c r="GC97" s="58">
        <f t="shared" si="173"/>
        <v>0</v>
      </c>
      <c r="GD97" s="58">
        <f t="shared" si="174"/>
        <v>0</v>
      </c>
      <c r="GE97" s="58">
        <f>IF(AND(dd_CheckMate214_TTD="Yes",'Effectiveness settings'!BU97=2,'Effectiveness settings'!BX97=2),"Apply HR to",GD97)</f>
        <v>0</v>
      </c>
      <c r="GF97" s="58">
        <f t="shared" si="175"/>
        <v>0</v>
      </c>
      <c r="GG97" s="58">
        <f t="shared" si="176"/>
        <v>0</v>
      </c>
      <c r="GH97" s="58">
        <f t="shared" si="177"/>
        <v>0</v>
      </c>
      <c r="GI97" s="58">
        <f t="shared" si="178"/>
        <v>0</v>
      </c>
      <c r="GK97" s="58">
        <f>IF(i_baseline_risk_from=2,'Effectiveness settings'!FA97,'Effectiveness settings'!FM97)</f>
        <v>0</v>
      </c>
      <c r="GL97" s="58">
        <f>IF(i_baseline_risk_from=2,'Effectiveness settings'!FB97,'Effectiveness settings'!FN97)</f>
        <v>0</v>
      </c>
      <c r="GM97" s="58">
        <f>IF(i_baseline_risk_from=2,'Effectiveness settings'!FC97,'Effectiveness settings'!FO97)</f>
        <v>0</v>
      </c>
      <c r="GN97" s="58">
        <f>IF(i_baseline_risk_from=2,'Effectiveness settings'!FD97,'Effectiveness settings'!FP97)</f>
        <v>0</v>
      </c>
      <c r="GQ97" s="58">
        <f t="shared" si="179"/>
        <v>0</v>
      </c>
      <c r="GR97" s="58">
        <f t="shared" si="180"/>
        <v>0</v>
      </c>
      <c r="GS97" s="58">
        <f t="shared" si="181"/>
        <v>0</v>
      </c>
      <c r="GT97" s="58">
        <f t="shared" si="182"/>
        <v>0</v>
      </c>
      <c r="GU97" s="58">
        <f>IF(AND(dd_CheckMate214_TTD="Yes",'Effectiveness settings'!BU97=2,'Effectiveness settings'!BX97=2),2,GT97)</f>
        <v>0</v>
      </c>
      <c r="GV97" s="58">
        <f t="shared" si="183"/>
        <v>0</v>
      </c>
      <c r="GW97" s="58">
        <f t="shared" si="184"/>
        <v>0</v>
      </c>
      <c r="GY97" s="58">
        <f>IF(AND(dd_CheckMate214_TTD="Yes",'Effectiveness settings'!BU97=2,'Effectiveness settings'!BX97=2),1,GN97)</f>
        <v>0</v>
      </c>
      <c r="GZ97" s="58">
        <f t="shared" si="185"/>
        <v>0</v>
      </c>
      <c r="HB97" s="58">
        <f t="shared" si="186"/>
        <v>0</v>
      </c>
      <c r="HD97" s="58">
        <f t="shared" si="187"/>
        <v>0</v>
      </c>
      <c r="HE97" s="58">
        <f t="shared" si="188"/>
        <v>0</v>
      </c>
      <c r="HF97" s="58">
        <f t="shared" si="193"/>
        <v>0</v>
      </c>
      <c r="HG97" s="58">
        <f t="shared" si="190"/>
        <v>0</v>
      </c>
      <c r="HH97" s="58">
        <f t="shared" si="194"/>
        <v>0</v>
      </c>
    </row>
    <row r="98" spans="9:216" ht="15.75" hidden="1" x14ac:dyDescent="0.25">
      <c r="I98" s="64"/>
      <c r="J98" s="519"/>
      <c r="K98" s="524"/>
      <c r="L98" s="519"/>
      <c r="M98" s="516"/>
      <c r="N98" s="64"/>
      <c r="O98" s="64"/>
      <c r="P98" s="64"/>
      <c r="Q98" s="519"/>
      <c r="R98" s="516"/>
      <c r="S98" s="497"/>
      <c r="T98" s="497"/>
      <c r="U98" s="497"/>
      <c r="Y98" s="517"/>
      <c r="AA98" s="517"/>
      <c r="AF98" s="517"/>
      <c r="AM98" s="517"/>
      <c r="AO98" s="517"/>
      <c r="AT98" s="517"/>
      <c r="AV98" s="511"/>
      <c r="AW98" s="511"/>
      <c r="AX98" s="511"/>
      <c r="BA98" s="517"/>
      <c r="BC98" s="517"/>
      <c r="BH98" s="517"/>
      <c r="BJ98" s="511"/>
      <c r="BK98" s="511"/>
      <c r="BL98" s="511"/>
      <c r="BQ98" s="58">
        <f t="shared" si="165"/>
        <v>70</v>
      </c>
      <c r="BR98" s="17"/>
      <c r="BS98" s="17"/>
      <c r="BT98" s="17"/>
      <c r="BU98" s="17"/>
      <c r="BV98" s="17"/>
      <c r="BW98" s="17"/>
      <c r="BX98" s="61"/>
      <c r="BY98" s="531"/>
      <c r="BZ98" s="530"/>
      <c r="CA98" s="531"/>
      <c r="CB98" s="530"/>
      <c r="CC98" s="530"/>
      <c r="CD98" s="530"/>
      <c r="CE98" s="1295"/>
      <c r="CF98" s="1301"/>
      <c r="CG98" s="530"/>
      <c r="CH98" s="61"/>
      <c r="CI98" s="61"/>
      <c r="CJ98" s="61"/>
      <c r="DA98" s="1024"/>
      <c r="DB98" s="1024"/>
      <c r="DC98" s="1024"/>
      <c r="DD98" s="1024"/>
      <c r="DE98" s="1024"/>
      <c r="DF98" s="1024"/>
      <c r="DG98" s="1024"/>
      <c r="DK98" s="58" t="str" cm="1">
        <f t="array" ref="DK98">IF(AND($BT98=4,$BX98=4,$BU98=999),$DB$36,_xlfn.IFNA(INDEX(DB$13:DB$70,MATCH(1,($BR98=$CV$13:$CV$70)*($BT98=$CX$13:$CX$70)*($CE98=$CY$13:$CY$70)*($BY98=$DA$13:$DA$70)*($CD98=$DH$13:$DH$70),0)),""))</f>
        <v/>
      </c>
      <c r="DL98" s="58" t="str" cm="1">
        <f t="array" ref="DL98">IF(AND($BT98=4,$BX98=4,$BU98=999),$DC$36,_xlfn.IFNA(INDEX(CHOOSE(DP98,DB$13:DB$70,DC$13:DC$70,DD$13:DD$70,DE$13:DE$70),MATCH(1,($BR98=$CV$13:$CV$70)*($BT98=$CX$13:$CX$70)*($CE98=$CY$13:$CY$70)*($BY98=$DA$13:$DA$70)*($CD98=$DH$13:$DH$70),0)),""))</f>
        <v/>
      </c>
      <c r="DM98" s="740" t="str" cm="1">
        <f t="array" ref="DM98">IF(AND($BT98=4,$BX98=4,$BU98=999),$DD$36,_xlfn.IFNA(INDEX(DD$13:DD$68,MATCH(1,($BR98=$CV$13:$CV$68)*($BT98=$CX$13:$CX$68)*($CE98=$CY$13:$CY$68)*($BY98=$DA$13:$DA$68)*($CD98=$DH$13:$DH$68),0)),""))</f>
        <v/>
      </c>
      <c r="DN98" s="740" t="str" cm="1">
        <f t="array" ref="DN98">IF(AND($BT98=4,$BX98=4,$BU98=999),$DD$36,_xlfn.IFNA(INDEX(DE$13:DE$68,MATCH(1,($BR98=$CV$13:$CV$68)*($BT98=$CX$13:$CX$68)*($CE98=$CY$13:$CY$68)*($BY98=$DA$13:$DA$68)*($CD98=$DH$13:$DH$68),0)),""))</f>
        <v/>
      </c>
      <c r="DO98" s="58" t="str" cm="1">
        <f t="array" ref="DO98">IF(AND($BT98=4,$BX98=4,$BU98=999),$DF$36,_xlfn.IFNA(INDEX(DF$13:DF$70,MATCH(1,($BR98=$CV$13:$CV$70)*($BT98=$CX$13:$CX$70)*($CE98=$CY$13:$CY$70)*($BY98=$DA$13:$DA$70)*($CD98=$DH$13:$DH$70),0)),""))</f>
        <v/>
      </c>
      <c r="DP98" s="58" t="e">
        <f t="shared" si="166"/>
        <v>#N/A</v>
      </c>
      <c r="FT98" s="58">
        <f t="shared" si="167"/>
        <v>0</v>
      </c>
      <c r="FW98" s="58">
        <f>IF(i_baseline_risk_from=2,'Effectiveness settings'!EW98,'Effectiveness settings'!FI98)</f>
        <v>0</v>
      </c>
      <c r="FX98" s="58">
        <f t="shared" si="168"/>
        <v>0</v>
      </c>
      <c r="FY98" s="58">
        <f t="shared" si="169"/>
        <v>0</v>
      </c>
      <c r="FZ98" s="58">
        <f t="shared" si="170"/>
        <v>0</v>
      </c>
      <c r="GA98" s="58">
        <f t="shared" si="171"/>
        <v>0</v>
      </c>
      <c r="GB98" s="58">
        <f t="shared" si="172"/>
        <v>0</v>
      </c>
      <c r="GC98" s="58">
        <f t="shared" si="173"/>
        <v>0</v>
      </c>
      <c r="GD98" s="58">
        <f t="shared" si="174"/>
        <v>0</v>
      </c>
      <c r="GE98" s="58">
        <f>IF(AND(dd_CheckMate214_TTD="Yes",'Effectiveness settings'!BU98=2,'Effectiveness settings'!BX98=2),"Apply HR to",GD98)</f>
        <v>0</v>
      </c>
      <c r="GF98" s="58">
        <f t="shared" si="175"/>
        <v>0</v>
      </c>
      <c r="GG98" s="58">
        <f t="shared" si="176"/>
        <v>0</v>
      </c>
      <c r="GH98" s="58">
        <f t="shared" si="177"/>
        <v>0</v>
      </c>
      <c r="GI98" s="58">
        <f t="shared" si="178"/>
        <v>0</v>
      </c>
      <c r="GK98" s="58">
        <f>IF(i_baseline_risk_from=2,'Effectiveness settings'!FA98,'Effectiveness settings'!FM98)</f>
        <v>0</v>
      </c>
      <c r="GL98" s="58">
        <f>IF(i_baseline_risk_from=2,'Effectiveness settings'!FB98,'Effectiveness settings'!FN98)</f>
        <v>0</v>
      </c>
      <c r="GM98" s="58">
        <f>IF(i_baseline_risk_from=2,'Effectiveness settings'!FC98,'Effectiveness settings'!FO98)</f>
        <v>0</v>
      </c>
      <c r="GN98" s="58">
        <f>IF(i_baseline_risk_from=2,'Effectiveness settings'!FD98,'Effectiveness settings'!FP98)</f>
        <v>0</v>
      </c>
      <c r="GQ98" s="58">
        <f t="shared" si="179"/>
        <v>0</v>
      </c>
      <c r="GR98" s="58">
        <f t="shared" si="180"/>
        <v>0</v>
      </c>
      <c r="GS98" s="58">
        <f t="shared" si="181"/>
        <v>0</v>
      </c>
      <c r="GT98" s="58">
        <f t="shared" si="182"/>
        <v>0</v>
      </c>
      <c r="GU98" s="58">
        <f>IF(AND(dd_CheckMate214_TTD="Yes",'Effectiveness settings'!BU98=2,'Effectiveness settings'!BX98=2),2,GT98)</f>
        <v>0</v>
      </c>
      <c r="GV98" s="58">
        <f t="shared" si="183"/>
        <v>0</v>
      </c>
      <c r="GW98" s="58">
        <f t="shared" si="184"/>
        <v>0</v>
      </c>
      <c r="GY98" s="58">
        <f>IF(AND(dd_CheckMate214_TTD="Yes",'Effectiveness settings'!BU98=2,'Effectiveness settings'!BX98=2),1,GN98)</f>
        <v>0</v>
      </c>
      <c r="GZ98" s="58">
        <f t="shared" si="185"/>
        <v>0</v>
      </c>
      <c r="HB98" s="58">
        <f t="shared" si="186"/>
        <v>0</v>
      </c>
      <c r="HD98" s="58">
        <f t="shared" si="187"/>
        <v>0</v>
      </c>
      <c r="HE98" s="58">
        <f t="shared" si="188"/>
        <v>0</v>
      </c>
      <c r="HF98" s="58">
        <f t="shared" si="193"/>
        <v>0</v>
      </c>
      <c r="HG98" s="58">
        <f t="shared" si="190"/>
        <v>0</v>
      </c>
      <c r="HH98" s="58">
        <f t="shared" si="194"/>
        <v>0</v>
      </c>
    </row>
    <row r="99" spans="9:216" ht="15.75" hidden="1" x14ac:dyDescent="0.25">
      <c r="I99" s="64"/>
      <c r="J99" s="519"/>
      <c r="K99" s="524"/>
      <c r="L99" s="519"/>
      <c r="M99" s="516"/>
      <c r="N99" s="64"/>
      <c r="O99" s="64"/>
      <c r="P99" s="64"/>
      <c r="Q99" s="519"/>
      <c r="R99" s="516"/>
      <c r="S99" s="497"/>
      <c r="T99" s="497"/>
      <c r="U99" s="497"/>
      <c r="Y99" s="517"/>
      <c r="AA99" s="517"/>
      <c r="AF99" s="517"/>
      <c r="AM99" s="517"/>
      <c r="AO99" s="517"/>
      <c r="AT99" s="517"/>
      <c r="AV99" s="511"/>
      <c r="AW99" s="511"/>
      <c r="AX99" s="511"/>
      <c r="BA99" s="517"/>
      <c r="BC99" s="517"/>
      <c r="BH99" s="517"/>
      <c r="BJ99" s="511"/>
      <c r="BK99" s="511"/>
      <c r="BL99" s="511"/>
      <c r="BQ99" s="58">
        <f t="shared" si="165"/>
        <v>70</v>
      </c>
      <c r="BR99" s="17"/>
      <c r="BS99" s="17"/>
      <c r="BT99" s="17"/>
      <c r="BU99" s="17"/>
      <c r="BV99" s="17"/>
      <c r="BW99" s="17"/>
      <c r="BX99" s="61"/>
      <c r="BY99" s="531"/>
      <c r="BZ99" s="530"/>
      <c r="CA99" s="531"/>
      <c r="CB99" s="530"/>
      <c r="CC99" s="530"/>
      <c r="CD99" s="530"/>
      <c r="CE99" s="1295"/>
      <c r="CF99" s="1301"/>
      <c r="CG99" s="530"/>
      <c r="CH99" s="61"/>
      <c r="CI99" s="61"/>
      <c r="CJ99" s="61"/>
      <c r="DA99" s="1024"/>
      <c r="DB99" s="1024"/>
      <c r="DC99" s="1024"/>
      <c r="DD99" s="1024"/>
      <c r="DE99" s="1024"/>
      <c r="DF99" s="1024"/>
      <c r="DG99" s="1024"/>
      <c r="DK99" s="58" t="str" cm="1">
        <f t="array" ref="DK99">IF(AND($BT99=4,$BX99=4,$BU99=999),$DB$36,_xlfn.IFNA(INDEX(DB$13:DB$70,MATCH(1,($BR99=$CV$13:$CV$70)*($BT99=$CX$13:$CX$70)*($CE99=$CY$13:$CY$70)*($BY99=$DA$13:$DA$70)*($CD99=$DH$13:$DH$70),0)),""))</f>
        <v/>
      </c>
      <c r="DL99" s="58" t="str" cm="1">
        <f t="array" ref="DL99">IF(AND($BT99=4,$BX99=4,$BU99=999),$DC$36,_xlfn.IFNA(INDEX(CHOOSE(DP99,DB$13:DB$70,DC$13:DC$70,DD$13:DD$70,DE$13:DE$70),MATCH(1,($BR99=$CV$13:$CV$70)*($BT99=$CX$13:$CX$70)*($CE99=$CY$13:$CY$70)*($BY99=$DA$13:$DA$70)*($CD99=$DH$13:$DH$70),0)),""))</f>
        <v/>
      </c>
      <c r="DM99" s="740" t="str" cm="1">
        <f t="array" ref="DM99">IF(AND($BT99=4,$BX99=4,$BU99=999),$DD$36,_xlfn.IFNA(INDEX(DD$13:DD$68,MATCH(1,($BR99=$CV$13:$CV$68)*($BT99=$CX$13:$CX$68)*($CE99=$CY$13:$CY$68)*($BY99=$DA$13:$DA$68)*($CD99=$DH$13:$DH$68),0)),""))</f>
        <v/>
      </c>
      <c r="DN99" s="740" t="str" cm="1">
        <f t="array" ref="DN99">IF(AND($BT99=4,$BX99=4,$BU99=999),$DD$36,_xlfn.IFNA(INDEX(DE$13:DE$68,MATCH(1,($BR99=$CV$13:$CV$68)*($BT99=$CX$13:$CX$68)*($CE99=$CY$13:$CY$68)*($BY99=$DA$13:$DA$68)*($CD99=$DH$13:$DH$68),0)),""))</f>
        <v/>
      </c>
      <c r="DO99" s="58" t="str" cm="1">
        <f t="array" ref="DO99">IF(AND($BT99=4,$BX99=4,$BU99=999),$DF$36,_xlfn.IFNA(INDEX(DF$13:DF$70,MATCH(1,($BR99=$CV$13:$CV$70)*($BT99=$CX$13:$CX$70)*($CE99=$CY$13:$CY$70)*($BY99=$DA$13:$DA$70)*($CD99=$DH$13:$DH$70),0)),""))</f>
        <v/>
      </c>
      <c r="DP99" s="58" t="e">
        <f t="shared" si="166"/>
        <v>#N/A</v>
      </c>
      <c r="FT99" s="58">
        <f t="shared" si="167"/>
        <v>0</v>
      </c>
      <c r="FW99" s="58">
        <f>IF(i_baseline_risk_from=2,'Effectiveness settings'!EW99,'Effectiveness settings'!FI99)</f>
        <v>0</v>
      </c>
      <c r="FX99" s="58">
        <f t="shared" si="168"/>
        <v>0</v>
      </c>
      <c r="FY99" s="58">
        <f t="shared" si="169"/>
        <v>0</v>
      </c>
      <c r="FZ99" s="58">
        <f t="shared" si="170"/>
        <v>0</v>
      </c>
      <c r="GA99" s="58">
        <f t="shared" si="171"/>
        <v>0</v>
      </c>
      <c r="GB99" s="58">
        <f t="shared" si="172"/>
        <v>0</v>
      </c>
      <c r="GC99" s="58">
        <f t="shared" si="173"/>
        <v>0</v>
      </c>
      <c r="GD99" s="58">
        <f t="shared" si="174"/>
        <v>0</v>
      </c>
      <c r="GE99" s="58">
        <f>IF(AND(dd_CheckMate214_TTD="Yes",'Effectiveness settings'!BU99=2,'Effectiveness settings'!BX99=2),"Apply HR to",GD99)</f>
        <v>0</v>
      </c>
      <c r="GF99" s="58">
        <f t="shared" si="175"/>
        <v>0</v>
      </c>
      <c r="GG99" s="58">
        <f t="shared" si="176"/>
        <v>0</v>
      </c>
      <c r="GH99" s="58">
        <f t="shared" si="177"/>
        <v>0</v>
      </c>
      <c r="GI99" s="58">
        <f t="shared" si="178"/>
        <v>0</v>
      </c>
      <c r="GK99" s="58">
        <f>IF(i_baseline_risk_from=2,'Effectiveness settings'!FA99,'Effectiveness settings'!FM99)</f>
        <v>0</v>
      </c>
      <c r="GL99" s="58">
        <f>IF(i_baseline_risk_from=2,'Effectiveness settings'!FB99,'Effectiveness settings'!FN99)</f>
        <v>0</v>
      </c>
      <c r="GM99" s="58">
        <f>IF(i_baseline_risk_from=2,'Effectiveness settings'!FC99,'Effectiveness settings'!FO99)</f>
        <v>0</v>
      </c>
      <c r="GN99" s="58">
        <f>IF(i_baseline_risk_from=2,'Effectiveness settings'!FD99,'Effectiveness settings'!FP99)</f>
        <v>0</v>
      </c>
      <c r="GQ99" s="58">
        <f t="shared" si="179"/>
        <v>0</v>
      </c>
      <c r="GR99" s="58">
        <f t="shared" si="180"/>
        <v>0</v>
      </c>
      <c r="GS99" s="58">
        <f t="shared" si="181"/>
        <v>0</v>
      </c>
      <c r="GT99" s="58">
        <f t="shared" si="182"/>
        <v>0</v>
      </c>
      <c r="GU99" s="58">
        <f>IF(AND(dd_CheckMate214_TTD="Yes",'Effectiveness settings'!BU99=2,'Effectiveness settings'!BX99=2),2,GT99)</f>
        <v>0</v>
      </c>
      <c r="GV99" s="58">
        <f t="shared" si="183"/>
        <v>0</v>
      </c>
      <c r="GW99" s="58">
        <f t="shared" si="184"/>
        <v>0</v>
      </c>
      <c r="GY99" s="58">
        <f>IF(AND(dd_CheckMate214_TTD="Yes",'Effectiveness settings'!BU99=2,'Effectiveness settings'!BX99=2),1,GN99)</f>
        <v>0</v>
      </c>
      <c r="GZ99" s="58">
        <f t="shared" si="185"/>
        <v>0</v>
      </c>
      <c r="HB99" s="58">
        <f t="shared" si="186"/>
        <v>0</v>
      </c>
      <c r="HD99" s="58">
        <f t="shared" si="187"/>
        <v>0</v>
      </c>
      <c r="HE99" s="58">
        <f t="shared" si="188"/>
        <v>0</v>
      </c>
      <c r="HF99" s="58">
        <f t="shared" si="193"/>
        <v>0</v>
      </c>
      <c r="HG99" s="58">
        <f t="shared" si="190"/>
        <v>0</v>
      </c>
      <c r="HH99" s="58">
        <f t="shared" si="194"/>
        <v>0</v>
      </c>
    </row>
    <row r="100" spans="9:216" ht="15.75" hidden="1" x14ac:dyDescent="0.25">
      <c r="I100" s="64"/>
      <c r="J100" s="519"/>
      <c r="K100" s="524"/>
      <c r="L100" s="519"/>
      <c r="M100" s="516"/>
      <c r="N100" s="64"/>
      <c r="O100" s="64"/>
      <c r="P100" s="64"/>
      <c r="Q100" s="519"/>
      <c r="R100" s="516"/>
      <c r="S100" s="497"/>
      <c r="T100" s="497"/>
      <c r="U100" s="497"/>
      <c r="Y100" s="517"/>
      <c r="AA100" s="517"/>
      <c r="AF100" s="517"/>
      <c r="AM100" s="517"/>
      <c r="AO100" s="517"/>
      <c r="AT100" s="517"/>
      <c r="AV100" s="511"/>
      <c r="AW100" s="511"/>
      <c r="AX100" s="511"/>
      <c r="BA100" s="517"/>
      <c r="BC100" s="517"/>
      <c r="BH100" s="517"/>
      <c r="BJ100" s="511"/>
      <c r="BK100" s="511"/>
      <c r="BL100" s="511"/>
      <c r="BQ100" s="58">
        <f t="shared" si="165"/>
        <v>70</v>
      </c>
      <c r="BR100" s="17"/>
      <c r="BS100" s="17"/>
      <c r="BT100" s="17"/>
      <c r="BU100" s="17"/>
      <c r="BV100" s="17"/>
      <c r="BW100" s="17"/>
      <c r="BX100" s="61"/>
      <c r="BY100" s="531"/>
      <c r="BZ100" s="530"/>
      <c r="CA100" s="531"/>
      <c r="CB100" s="530"/>
      <c r="CC100" s="530"/>
      <c r="CD100" s="530"/>
      <c r="CE100" s="1295"/>
      <c r="CF100" s="1301"/>
      <c r="CG100" s="530"/>
      <c r="CH100" s="61"/>
      <c r="CI100" s="61"/>
      <c r="CJ100" s="61"/>
      <c r="DA100" s="1024"/>
      <c r="DB100" s="1024"/>
      <c r="DC100" s="1024"/>
      <c r="DD100" s="1024"/>
      <c r="DE100" s="1024"/>
      <c r="DF100" s="1024"/>
      <c r="DG100" s="1024"/>
      <c r="DK100" s="58" t="str" cm="1">
        <f t="array" ref="DK100">IF(AND($BT100=4,$BX100=4,$BU100=999),$DB$36,_xlfn.IFNA(INDEX(DB$13:DB$70,MATCH(1,($BR100=$CV$13:$CV$70)*($BT100=$CX$13:$CX$70)*($CE100=$CY$13:$CY$70)*($BY100=$DA$13:$DA$70)*($CD100=$DH$13:$DH$70),0)),""))</f>
        <v/>
      </c>
      <c r="DL100" s="58" t="str" cm="1">
        <f t="array" ref="DL100">IF(AND($BT100=4,$BX100=4,$BU100=999),$DC$36,_xlfn.IFNA(INDEX(CHOOSE(DP100,DB$13:DB$70,DC$13:DC$70,DD$13:DD$70,DE$13:DE$70),MATCH(1,($BR100=$CV$13:$CV$70)*($BT100=$CX$13:$CX$70)*($CE100=$CY$13:$CY$70)*($BY100=$DA$13:$DA$70)*($CD100=$DH$13:$DH$70),0)),""))</f>
        <v/>
      </c>
      <c r="DM100" s="740" t="str" cm="1">
        <f t="array" ref="DM100">IF(AND($BT100=4,$BX100=4,$BU100=999),$DD$36,_xlfn.IFNA(INDEX(DD$13:DD$68,MATCH(1,($BR100=$CV$13:$CV$68)*($BT100=$CX$13:$CX$68)*($CE100=$CY$13:$CY$68)*($BY100=$DA$13:$DA$68)*($CD100=$DH$13:$DH$68),0)),""))</f>
        <v/>
      </c>
      <c r="DN100" s="740" t="str" cm="1">
        <f t="array" ref="DN100">IF(AND($BT100=4,$BX100=4,$BU100=999),$DD$36,_xlfn.IFNA(INDEX(DE$13:DE$68,MATCH(1,($BR100=$CV$13:$CV$68)*($BT100=$CX$13:$CX$68)*($CE100=$CY$13:$CY$68)*($BY100=$DA$13:$DA$68)*($CD100=$DH$13:$DH$68),0)),""))</f>
        <v/>
      </c>
      <c r="DO100" s="58" t="str" cm="1">
        <f t="array" ref="DO100">IF(AND($BT100=4,$BX100=4,$BU100=999),$DF$36,_xlfn.IFNA(INDEX(DF$13:DF$70,MATCH(1,($BR100=$CV$13:$CV$70)*($BT100=$CX$13:$CX$70)*($CE100=$CY$13:$CY$70)*($BY100=$DA$13:$DA$70)*($CD100=$DH$13:$DH$70),0)),""))</f>
        <v/>
      </c>
      <c r="DP100" s="58" t="e">
        <f t="shared" si="166"/>
        <v>#N/A</v>
      </c>
      <c r="FT100" s="58">
        <f t="shared" si="167"/>
        <v>0</v>
      </c>
      <c r="FW100" s="58">
        <f>IF(i_baseline_risk_from=2,'Effectiveness settings'!EW100,'Effectiveness settings'!FI100)</f>
        <v>0</v>
      </c>
      <c r="FX100" s="58">
        <f t="shared" si="168"/>
        <v>0</v>
      </c>
      <c r="FY100" s="58">
        <f t="shared" si="169"/>
        <v>0</v>
      </c>
      <c r="FZ100" s="58">
        <f t="shared" si="170"/>
        <v>0</v>
      </c>
      <c r="GA100" s="58">
        <f t="shared" si="171"/>
        <v>0</v>
      </c>
      <c r="GB100" s="58">
        <f t="shared" si="172"/>
        <v>0</v>
      </c>
      <c r="GC100" s="58">
        <f t="shared" si="173"/>
        <v>0</v>
      </c>
      <c r="GD100" s="58">
        <f t="shared" si="174"/>
        <v>0</v>
      </c>
      <c r="GE100" s="58">
        <f>IF(AND(dd_CheckMate214_TTD="Yes",'Effectiveness settings'!BU100=2,'Effectiveness settings'!BX100=2),"Apply HR to",GD100)</f>
        <v>0</v>
      </c>
      <c r="GF100" s="58">
        <f t="shared" si="175"/>
        <v>0</v>
      </c>
      <c r="GG100" s="58">
        <f t="shared" si="176"/>
        <v>0</v>
      </c>
      <c r="GH100" s="58">
        <f t="shared" si="177"/>
        <v>0</v>
      </c>
      <c r="GI100" s="58">
        <f t="shared" si="178"/>
        <v>0</v>
      </c>
      <c r="GK100" s="58">
        <f>IF(i_baseline_risk_from=2,'Effectiveness settings'!FA100,'Effectiveness settings'!FM100)</f>
        <v>0</v>
      </c>
      <c r="GL100" s="58">
        <f>IF(i_baseline_risk_from=2,'Effectiveness settings'!FB100,'Effectiveness settings'!FN100)</f>
        <v>0</v>
      </c>
      <c r="GM100" s="58">
        <f>IF(i_baseline_risk_from=2,'Effectiveness settings'!FC100,'Effectiveness settings'!FO100)</f>
        <v>0</v>
      </c>
      <c r="GN100" s="58">
        <f>IF(i_baseline_risk_from=2,'Effectiveness settings'!FD100,'Effectiveness settings'!FP100)</f>
        <v>0</v>
      </c>
      <c r="GQ100" s="58">
        <f t="shared" si="179"/>
        <v>0</v>
      </c>
      <c r="GR100" s="58">
        <f t="shared" si="180"/>
        <v>0</v>
      </c>
      <c r="GS100" s="58">
        <f t="shared" si="181"/>
        <v>0</v>
      </c>
      <c r="GT100" s="58">
        <f t="shared" si="182"/>
        <v>0</v>
      </c>
      <c r="GU100" s="58">
        <f>IF(AND(dd_CheckMate214_TTD="Yes",'Effectiveness settings'!BU100=2,'Effectiveness settings'!BX100=2),2,GT100)</f>
        <v>0</v>
      </c>
      <c r="GV100" s="58">
        <f t="shared" si="183"/>
        <v>0</v>
      </c>
      <c r="GW100" s="58">
        <f t="shared" si="184"/>
        <v>0</v>
      </c>
      <c r="GY100" s="58">
        <f>IF(AND(dd_CheckMate214_TTD="Yes",'Effectiveness settings'!BU100=2,'Effectiveness settings'!BX100=2),1,GN100)</f>
        <v>0</v>
      </c>
      <c r="GZ100" s="58">
        <f t="shared" si="185"/>
        <v>0</v>
      </c>
      <c r="HB100" s="58">
        <f t="shared" si="186"/>
        <v>0</v>
      </c>
      <c r="HD100" s="58">
        <f t="shared" si="187"/>
        <v>0</v>
      </c>
      <c r="HE100" s="58">
        <f t="shared" si="188"/>
        <v>0</v>
      </c>
      <c r="HF100" s="58">
        <f t="shared" si="193"/>
        <v>0</v>
      </c>
      <c r="HG100" s="58">
        <f t="shared" si="190"/>
        <v>0</v>
      </c>
      <c r="HH100" s="58">
        <f t="shared" si="194"/>
        <v>0</v>
      </c>
    </row>
    <row r="101" spans="9:216" ht="15.75" hidden="1" x14ac:dyDescent="0.25">
      <c r="I101" s="64"/>
      <c r="J101" s="519"/>
      <c r="K101" s="524"/>
      <c r="L101" s="519"/>
      <c r="M101" s="516"/>
      <c r="N101" s="64"/>
      <c r="O101" s="64"/>
      <c r="P101" s="64"/>
      <c r="Q101" s="519"/>
      <c r="R101" s="516"/>
      <c r="S101" s="497"/>
      <c r="T101" s="497"/>
      <c r="U101" s="497"/>
      <c r="Y101" s="517"/>
      <c r="AA101" s="517"/>
      <c r="AF101" s="517"/>
      <c r="AM101" s="517"/>
      <c r="AO101" s="517"/>
      <c r="AT101" s="517"/>
      <c r="AV101" s="511"/>
      <c r="AW101" s="511"/>
      <c r="AX101" s="511"/>
      <c r="BA101" s="517"/>
      <c r="BC101" s="517"/>
      <c r="BH101" s="517"/>
      <c r="BJ101" s="511"/>
      <c r="BK101" s="511"/>
      <c r="BL101" s="511"/>
      <c r="BQ101" s="58">
        <f t="shared" si="165"/>
        <v>70</v>
      </c>
      <c r="BR101" s="17"/>
      <c r="BS101" s="17"/>
      <c r="BT101" s="17"/>
      <c r="BU101" s="17"/>
      <c r="BV101" s="17"/>
      <c r="BW101" s="17"/>
      <c r="BX101" s="61"/>
      <c r="BY101" s="531"/>
      <c r="BZ101" s="530"/>
      <c r="CA101" s="531"/>
      <c r="CB101" s="530"/>
      <c r="CC101" s="530"/>
      <c r="CD101" s="530"/>
      <c r="CE101" s="1295"/>
      <c r="CF101" s="1301"/>
      <c r="CG101" s="530"/>
      <c r="CH101" s="61"/>
      <c r="CI101" s="61"/>
      <c r="CJ101" s="61"/>
      <c r="DA101" s="1024"/>
      <c r="DB101" s="1024"/>
      <c r="DC101" s="1024"/>
      <c r="DD101" s="1024"/>
      <c r="DE101" s="1024"/>
      <c r="DF101" s="1024"/>
      <c r="DG101" s="1024"/>
      <c r="DK101" s="58" t="str" cm="1">
        <f t="array" ref="DK101">IF(AND($BT101=4,$BX101=4,$BU101=999),$DB$36,_xlfn.IFNA(INDEX(DB$13:DB$70,MATCH(1,($BR101=$CV$13:$CV$70)*($BT101=$CX$13:$CX$70)*($CE101=$CY$13:$CY$70)*($BY101=$DA$13:$DA$70)*($CD101=$DH$13:$DH$70),0)),""))</f>
        <v/>
      </c>
      <c r="DL101" s="58" t="str" cm="1">
        <f t="array" ref="DL101">IF(AND($BT101=4,$BX101=4,$BU101=999),$DC$36,_xlfn.IFNA(INDEX(CHOOSE(DP101,DB$13:DB$70,DC$13:DC$70,DD$13:DD$70,DE$13:DE$70),MATCH(1,($BR101=$CV$13:$CV$70)*($BT101=$CX$13:$CX$70)*($CE101=$CY$13:$CY$70)*($BY101=$DA$13:$DA$70)*($CD101=$DH$13:$DH$70),0)),""))</f>
        <v/>
      </c>
      <c r="DM101" s="740" t="str" cm="1">
        <f t="array" ref="DM101">IF(AND($BT101=4,$BX101=4,$BU101=999),$DD$36,_xlfn.IFNA(INDEX(DD$13:DD$68,MATCH(1,($BR101=$CV$13:$CV$68)*($BT101=$CX$13:$CX$68)*($CE101=$CY$13:$CY$68)*($BY101=$DA$13:$DA$68)*($CD101=$DH$13:$DH$68),0)),""))</f>
        <v/>
      </c>
      <c r="DN101" s="740" t="str" cm="1">
        <f t="array" ref="DN101">IF(AND($BT101=4,$BX101=4,$BU101=999),$DD$36,_xlfn.IFNA(INDEX(DE$13:DE$68,MATCH(1,($BR101=$CV$13:$CV$68)*($BT101=$CX$13:$CX$68)*($CE101=$CY$13:$CY$68)*($BY101=$DA$13:$DA$68)*($CD101=$DH$13:$DH$68),0)),""))</f>
        <v/>
      </c>
      <c r="DO101" s="58" t="str" cm="1">
        <f t="array" ref="DO101">IF(AND($BT101=4,$BX101=4,$BU101=999),$DF$36,_xlfn.IFNA(INDEX(DF$13:DF$70,MATCH(1,($BR101=$CV$13:$CV$70)*($BT101=$CX$13:$CX$70)*($CE101=$CY$13:$CY$70)*($BY101=$DA$13:$DA$70)*($CD101=$DH$13:$DH$70),0)),""))</f>
        <v/>
      </c>
      <c r="DP101" s="58" t="e">
        <f t="shared" si="166"/>
        <v>#N/A</v>
      </c>
      <c r="FT101" s="58">
        <f t="shared" si="167"/>
        <v>0</v>
      </c>
      <c r="FW101" s="58">
        <f>IF(i_baseline_risk_from=2,'Effectiveness settings'!EW101,'Effectiveness settings'!FI101)</f>
        <v>0</v>
      </c>
      <c r="FX101" s="58">
        <f t="shared" si="168"/>
        <v>0</v>
      </c>
      <c r="FY101" s="58">
        <f t="shared" si="169"/>
        <v>0</v>
      </c>
      <c r="FZ101" s="58">
        <f t="shared" si="170"/>
        <v>0</v>
      </c>
      <c r="GA101" s="58">
        <f t="shared" si="171"/>
        <v>0</v>
      </c>
      <c r="GB101" s="58">
        <f t="shared" si="172"/>
        <v>0</v>
      </c>
      <c r="GC101" s="58">
        <f t="shared" si="173"/>
        <v>0</v>
      </c>
      <c r="GD101" s="58">
        <f t="shared" si="174"/>
        <v>0</v>
      </c>
      <c r="GE101" s="58">
        <f>IF(AND(dd_CheckMate214_TTD="Yes",'Effectiveness settings'!BU101=2,'Effectiveness settings'!BX101=2),"Apply HR to",GD101)</f>
        <v>0</v>
      </c>
      <c r="GF101" s="58">
        <f t="shared" si="175"/>
        <v>0</v>
      </c>
      <c r="GG101" s="58">
        <f t="shared" si="176"/>
        <v>0</v>
      </c>
      <c r="GH101" s="58">
        <f t="shared" si="177"/>
        <v>0</v>
      </c>
      <c r="GI101" s="58">
        <f t="shared" si="178"/>
        <v>0</v>
      </c>
      <c r="GK101" s="58">
        <f>IF(i_baseline_risk_from=2,'Effectiveness settings'!FA101,'Effectiveness settings'!FM101)</f>
        <v>0</v>
      </c>
      <c r="GL101" s="58">
        <f>IF(i_baseline_risk_from=2,'Effectiveness settings'!FB101,'Effectiveness settings'!FN101)</f>
        <v>0</v>
      </c>
      <c r="GM101" s="58">
        <f>IF(i_baseline_risk_from=2,'Effectiveness settings'!FC101,'Effectiveness settings'!FO101)</f>
        <v>0</v>
      </c>
      <c r="GN101" s="58">
        <f>IF(i_baseline_risk_from=2,'Effectiveness settings'!FD101,'Effectiveness settings'!FP101)</f>
        <v>0</v>
      </c>
      <c r="GQ101" s="58">
        <f t="shared" si="179"/>
        <v>0</v>
      </c>
      <c r="GR101" s="58">
        <f t="shared" si="180"/>
        <v>0</v>
      </c>
      <c r="GS101" s="58">
        <f t="shared" si="181"/>
        <v>0</v>
      </c>
      <c r="GT101" s="58">
        <f t="shared" si="182"/>
        <v>0</v>
      </c>
      <c r="GU101" s="58">
        <f>IF(AND(dd_CheckMate214_TTD="Yes",'Effectiveness settings'!BU101=2,'Effectiveness settings'!BX101=2),2,GT101)</f>
        <v>0</v>
      </c>
      <c r="GV101" s="58">
        <f t="shared" si="183"/>
        <v>0</v>
      </c>
      <c r="GW101" s="58">
        <f t="shared" si="184"/>
        <v>0</v>
      </c>
      <c r="GY101" s="58">
        <f>IF(AND(dd_CheckMate214_TTD="Yes",'Effectiveness settings'!BU101=2,'Effectiveness settings'!BX101=2),1,GN101)</f>
        <v>0</v>
      </c>
      <c r="GZ101" s="58">
        <f t="shared" si="185"/>
        <v>0</v>
      </c>
      <c r="HB101" s="58">
        <f t="shared" si="186"/>
        <v>0</v>
      </c>
      <c r="HD101" s="58">
        <f t="shared" si="187"/>
        <v>0</v>
      </c>
      <c r="HE101" s="58">
        <f t="shared" si="188"/>
        <v>0</v>
      </c>
      <c r="HF101" s="58">
        <f t="shared" si="193"/>
        <v>0</v>
      </c>
      <c r="HG101" s="58">
        <f t="shared" si="190"/>
        <v>0</v>
      </c>
      <c r="HH101" s="58">
        <f t="shared" si="194"/>
        <v>0</v>
      </c>
    </row>
    <row r="102" spans="9:216" ht="15.75" hidden="1" x14ac:dyDescent="0.25">
      <c r="I102" s="67"/>
      <c r="J102" s="520"/>
      <c r="K102" s="525"/>
      <c r="L102" s="517"/>
      <c r="Q102" s="520"/>
      <c r="Y102" s="517"/>
      <c r="AA102" s="517"/>
      <c r="AF102" s="517"/>
      <c r="AM102" s="517"/>
      <c r="AO102" s="517"/>
      <c r="AT102" s="517"/>
      <c r="AV102" s="511"/>
      <c r="AW102" s="511"/>
      <c r="AX102" s="511"/>
      <c r="BA102" s="517"/>
      <c r="BC102" s="517"/>
      <c r="BH102" s="517"/>
      <c r="BJ102" s="511"/>
      <c r="BK102" s="511"/>
      <c r="BL102" s="511"/>
      <c r="BQ102" s="58">
        <f t="shared" si="165"/>
        <v>70</v>
      </c>
      <c r="BR102" s="17"/>
      <c r="BS102" s="17"/>
      <c r="BT102" s="17"/>
      <c r="BU102" s="61"/>
      <c r="BV102" s="17"/>
      <c r="BW102" s="17"/>
      <c r="BX102" s="61"/>
      <c r="BY102" s="531"/>
      <c r="BZ102" s="530"/>
      <c r="CA102" s="531"/>
      <c r="CB102" s="530"/>
      <c r="CC102" s="530"/>
      <c r="CD102" s="530"/>
      <c r="CE102" s="1295"/>
      <c r="CF102" s="1301"/>
      <c r="CG102" s="530"/>
      <c r="CH102" s="61"/>
      <c r="CI102" s="61"/>
      <c r="CJ102" s="61"/>
      <c r="DA102" s="1024"/>
      <c r="DB102" s="1024"/>
      <c r="DC102" s="1024"/>
      <c r="DD102" s="1024"/>
      <c r="DE102" s="1024"/>
      <c r="DF102" s="1024"/>
      <c r="DG102" s="1024"/>
      <c r="DK102" s="58" t="str" cm="1">
        <f t="array" ref="DK102">IF(AND($BT102=4,$BX102=4,$BU102=999),$DB$36,_xlfn.IFNA(INDEX(DB$13:DB$70,MATCH(1,($BR102=$CV$13:$CV$70)*($BT102=$CX$13:$CX$70)*($CE102=$CY$13:$CY$70)*($BY102=$DA$13:$DA$70)*($CD102=$DH$13:$DH$70),0)),""))</f>
        <v/>
      </c>
      <c r="DL102" s="58" t="str" cm="1">
        <f t="array" ref="DL102">IF(AND($BT102=4,$BX102=4,$BU102=999),$DC$36,_xlfn.IFNA(INDEX(CHOOSE(DP102,DB$13:DB$70,DC$13:DC$70,DD$13:DD$70,DE$13:DE$70),MATCH(1,($BR102=$CV$13:$CV$70)*($BT102=$CX$13:$CX$70)*($CE102=$CY$13:$CY$70)*($BY102=$DA$13:$DA$70)*($CD102=$DH$13:$DH$70),0)),""))</f>
        <v/>
      </c>
      <c r="DM102" s="740" t="str" cm="1">
        <f t="array" ref="DM102">IF(AND($BT102=4,$BX102=4,$BU102=999),$DD$36,_xlfn.IFNA(INDEX(DD$13:DD$68,MATCH(1,($BR102=$CV$13:$CV$68)*($BT102=$CX$13:$CX$68)*($CE102=$CY$13:$CY$68)*($BY102=$DA$13:$DA$68)*($CD102=$DH$13:$DH$68),0)),""))</f>
        <v/>
      </c>
      <c r="DN102" s="740" t="str" cm="1">
        <f t="array" ref="DN102">IF(AND($BT102=4,$BX102=4,$BU102=999),$DD$36,_xlfn.IFNA(INDEX(DE$13:DE$68,MATCH(1,($BR102=$CV$13:$CV$68)*($BT102=$CX$13:$CX$68)*($CE102=$CY$13:$CY$68)*($BY102=$DA$13:$DA$68)*($CD102=$DH$13:$DH$68),0)),""))</f>
        <v/>
      </c>
      <c r="DO102" s="58" t="str" cm="1">
        <f t="array" ref="DO102">IF(AND($BT102=4,$BX102=4,$BU102=999),$DF$36,_xlfn.IFNA(INDEX(DF$13:DF$70,MATCH(1,($BR102=$CV$13:$CV$70)*($BT102=$CX$13:$CX$70)*($CE102=$CY$13:$CY$70)*($BY102=$DA$13:$DA$70)*($CD102=$DH$13:$DH$70),0)),""))</f>
        <v/>
      </c>
      <c r="DP102" s="58" t="e">
        <f t="shared" si="166"/>
        <v>#N/A</v>
      </c>
      <c r="FT102" s="58">
        <f t="shared" si="167"/>
        <v>0</v>
      </c>
      <c r="FW102" s="58">
        <f>IF(i_baseline_risk_from=2,'Effectiveness settings'!EW102,'Effectiveness settings'!FI102)</f>
        <v>0</v>
      </c>
      <c r="FX102" s="58">
        <f t="shared" si="168"/>
        <v>0</v>
      </c>
      <c r="FY102" s="58">
        <f t="shared" si="169"/>
        <v>0</v>
      </c>
      <c r="FZ102" s="58">
        <f t="shared" si="170"/>
        <v>0</v>
      </c>
      <c r="GA102" s="58">
        <f t="shared" si="171"/>
        <v>0</v>
      </c>
      <c r="GB102" s="58">
        <f t="shared" si="172"/>
        <v>0</v>
      </c>
      <c r="GC102" s="58">
        <f t="shared" si="173"/>
        <v>0</v>
      </c>
      <c r="GD102" s="58">
        <f t="shared" si="174"/>
        <v>0</v>
      </c>
      <c r="GE102" s="58">
        <f>IF(AND(dd_CheckMate214_TTD="Yes",'Effectiveness settings'!BU102=2,'Effectiveness settings'!BX102=2),"Apply HR to",GD102)</f>
        <v>0</v>
      </c>
      <c r="GF102" s="58">
        <f t="shared" si="175"/>
        <v>0</v>
      </c>
      <c r="GG102" s="58">
        <f t="shared" si="176"/>
        <v>0</v>
      </c>
      <c r="GH102" s="58">
        <f t="shared" si="177"/>
        <v>0</v>
      </c>
      <c r="GI102" s="58">
        <f t="shared" si="178"/>
        <v>0</v>
      </c>
      <c r="GK102" s="58">
        <f>IF(i_baseline_risk_from=2,'Effectiveness settings'!FA102,'Effectiveness settings'!FM102)</f>
        <v>0</v>
      </c>
      <c r="GL102" s="58">
        <f>IF(i_baseline_risk_from=2,'Effectiveness settings'!FB102,'Effectiveness settings'!FN102)</f>
        <v>0</v>
      </c>
      <c r="GM102" s="58">
        <f>IF(i_baseline_risk_from=2,'Effectiveness settings'!FC102,'Effectiveness settings'!FO102)</f>
        <v>0</v>
      </c>
      <c r="GN102" s="58">
        <f>IF(i_baseline_risk_from=2,'Effectiveness settings'!FD102,'Effectiveness settings'!FP102)</f>
        <v>0</v>
      </c>
      <c r="GQ102" s="58">
        <f t="shared" si="179"/>
        <v>0</v>
      </c>
      <c r="GR102" s="58">
        <f t="shared" si="180"/>
        <v>0</v>
      </c>
      <c r="GS102" s="58">
        <f t="shared" si="181"/>
        <v>0</v>
      </c>
      <c r="GT102" s="58">
        <f t="shared" si="182"/>
        <v>0</v>
      </c>
      <c r="GU102" s="58">
        <f>IF(AND(dd_CheckMate214_TTD="Yes",'Effectiveness settings'!BU102=2,'Effectiveness settings'!BX102=2),2,GT102)</f>
        <v>0</v>
      </c>
      <c r="GV102" s="58">
        <f t="shared" si="183"/>
        <v>0</v>
      </c>
      <c r="GW102" s="58">
        <f t="shared" si="184"/>
        <v>0</v>
      </c>
      <c r="GY102" s="58">
        <f>IF(AND(dd_CheckMate214_TTD="Yes",'Effectiveness settings'!BU102=2,'Effectiveness settings'!BX102=2),1,GN102)</f>
        <v>0</v>
      </c>
      <c r="GZ102" s="58">
        <f t="shared" si="185"/>
        <v>0</v>
      </c>
      <c r="HB102" s="58">
        <f t="shared" si="186"/>
        <v>0</v>
      </c>
      <c r="HD102" s="58">
        <f t="shared" si="187"/>
        <v>0</v>
      </c>
      <c r="HE102" s="58">
        <f t="shared" si="188"/>
        <v>0</v>
      </c>
      <c r="HF102" s="58">
        <f t="shared" si="193"/>
        <v>0</v>
      </c>
      <c r="HG102" s="58">
        <f t="shared" si="190"/>
        <v>0</v>
      </c>
      <c r="HH102" s="58">
        <f t="shared" si="194"/>
        <v>0</v>
      </c>
    </row>
    <row r="103" spans="9:216" ht="15.75" hidden="1" x14ac:dyDescent="0.25">
      <c r="I103" s="64"/>
      <c r="J103" s="519"/>
      <c r="K103" s="524"/>
      <c r="L103" s="519"/>
      <c r="M103" s="516"/>
      <c r="N103" s="64"/>
      <c r="O103" s="64"/>
      <c r="P103" s="64"/>
      <c r="Q103" s="519"/>
      <c r="R103" s="516"/>
      <c r="S103" s="497"/>
      <c r="T103" s="497"/>
      <c r="U103" s="497"/>
      <c r="Y103" s="517"/>
      <c r="AA103" s="517"/>
      <c r="AF103" s="517"/>
      <c r="AM103" s="517"/>
      <c r="AO103" s="517"/>
      <c r="AT103" s="517"/>
      <c r="AV103" s="511"/>
      <c r="AW103" s="511"/>
      <c r="AX103" s="511"/>
      <c r="BA103" s="517"/>
      <c r="BC103" s="517"/>
      <c r="BH103" s="517"/>
      <c r="BJ103" s="511"/>
      <c r="BK103" s="511"/>
      <c r="BL103" s="511"/>
      <c r="BQ103" s="58">
        <f t="shared" si="165"/>
        <v>70</v>
      </c>
      <c r="BR103" s="17"/>
      <c r="BS103" s="17"/>
      <c r="BT103" s="17"/>
      <c r="BU103" s="17"/>
      <c r="BV103" s="17"/>
      <c r="BW103" s="17"/>
      <c r="BX103" s="61"/>
      <c r="BY103" s="531"/>
      <c r="BZ103" s="530"/>
      <c r="CA103" s="531"/>
      <c r="CB103" s="530"/>
      <c r="CC103" s="530"/>
      <c r="CD103" s="530"/>
      <c r="CE103" s="1295"/>
      <c r="CF103" s="1301"/>
      <c r="CG103" s="530"/>
      <c r="CH103" s="61"/>
      <c r="CI103" s="61"/>
      <c r="CJ103" s="61"/>
      <c r="DA103" s="1024"/>
      <c r="DB103" s="1024"/>
      <c r="DC103" s="1024"/>
      <c r="DD103" s="1024"/>
      <c r="DE103" s="1024"/>
      <c r="DF103" s="1024"/>
      <c r="DG103" s="1024"/>
      <c r="DK103" s="58" t="str" cm="1">
        <f t="array" ref="DK103">IF(AND($BT103=4,$BX103=4,$BU103=999),$DB$36,_xlfn.IFNA(INDEX(DB$13:DB$70,MATCH(1,($BR103=$CV$13:$CV$70)*($BT103=$CX$13:$CX$70)*($CE103=$CY$13:$CY$70)*($BY103=$DA$13:$DA$70)*($CD103=$DH$13:$DH$70),0)),""))</f>
        <v/>
      </c>
      <c r="DL103" s="58" t="str" cm="1">
        <f t="array" ref="DL103">IF(AND($BT103=4,$BX103=4,$BU103=999),$DC$36,_xlfn.IFNA(INDEX(CHOOSE(DP103,DB$13:DB$70,DC$13:DC$70,DD$13:DD$70,DE$13:DE$70),MATCH(1,($BR103=$CV$13:$CV$70)*($BT103=$CX$13:$CX$70)*($CE103=$CY$13:$CY$70)*($BY103=$DA$13:$DA$70)*($CD103=$DH$13:$DH$70),0)),""))</f>
        <v/>
      </c>
      <c r="DM103" s="740" t="str" cm="1">
        <f t="array" ref="DM103">IF(AND($BT103=4,$BX103=4,$BU103=999),$DD$36,_xlfn.IFNA(INDEX(DD$13:DD$68,MATCH(1,($BR103=$CV$13:$CV$68)*($BT103=$CX$13:$CX$68)*($CE103=$CY$13:$CY$68)*($BY103=$DA$13:$DA$68)*($CD103=$DH$13:$DH$68),0)),""))</f>
        <v/>
      </c>
      <c r="DN103" s="740" t="str" cm="1">
        <f t="array" ref="DN103">IF(AND($BT103=4,$BX103=4,$BU103=999),$DD$36,_xlfn.IFNA(INDEX(DE$13:DE$68,MATCH(1,($BR103=$CV$13:$CV$68)*($BT103=$CX$13:$CX$68)*($CE103=$CY$13:$CY$68)*($BY103=$DA$13:$DA$68)*($CD103=$DH$13:$DH$68),0)),""))</f>
        <v/>
      </c>
      <c r="DO103" s="58" t="str" cm="1">
        <f t="array" ref="DO103">IF(AND($BT103=4,$BX103=4,$BU103=999),$DF$36,_xlfn.IFNA(INDEX(DF$13:DF$70,MATCH(1,($BR103=$CV$13:$CV$70)*($BT103=$CX$13:$CX$70)*($CE103=$CY$13:$CY$70)*($BY103=$DA$13:$DA$70)*($CD103=$DH$13:$DH$70),0)),""))</f>
        <v/>
      </c>
      <c r="DP103" s="58" t="e">
        <f t="shared" si="166"/>
        <v>#N/A</v>
      </c>
      <c r="FT103" s="58">
        <f t="shared" si="167"/>
        <v>0</v>
      </c>
      <c r="FW103" s="58">
        <f>IF(i_baseline_risk_from=2,'Effectiveness settings'!EW103,'Effectiveness settings'!FI103)</f>
        <v>0</v>
      </c>
      <c r="FX103" s="58">
        <f t="shared" si="168"/>
        <v>0</v>
      </c>
      <c r="FY103" s="58">
        <f t="shared" si="169"/>
        <v>0</v>
      </c>
      <c r="FZ103" s="58">
        <f t="shared" si="170"/>
        <v>0</v>
      </c>
      <c r="GA103" s="58">
        <f t="shared" si="171"/>
        <v>0</v>
      </c>
      <c r="GB103" s="58">
        <f t="shared" si="172"/>
        <v>0</v>
      </c>
      <c r="GC103" s="58">
        <f t="shared" si="173"/>
        <v>0</v>
      </c>
      <c r="GD103" s="58">
        <f t="shared" si="174"/>
        <v>0</v>
      </c>
      <c r="GE103" s="58">
        <f>IF(AND(dd_CheckMate214_TTD="Yes",'Effectiveness settings'!BU103=2,'Effectiveness settings'!BX103=2),"Apply HR to",GD103)</f>
        <v>0</v>
      </c>
      <c r="GF103" s="58">
        <f t="shared" si="175"/>
        <v>0</v>
      </c>
      <c r="GG103" s="58">
        <f t="shared" si="176"/>
        <v>0</v>
      </c>
      <c r="GH103" s="58">
        <f t="shared" si="177"/>
        <v>0</v>
      </c>
      <c r="GI103" s="58">
        <f t="shared" si="178"/>
        <v>0</v>
      </c>
      <c r="GK103" s="58">
        <f>IF(i_baseline_risk_from=2,'Effectiveness settings'!FA103,'Effectiveness settings'!FM103)</f>
        <v>0</v>
      </c>
      <c r="GL103" s="58">
        <f>IF(i_baseline_risk_from=2,'Effectiveness settings'!FB103,'Effectiveness settings'!FN103)</f>
        <v>0</v>
      </c>
      <c r="GM103" s="58">
        <f>IF(i_baseline_risk_from=2,'Effectiveness settings'!FC103,'Effectiveness settings'!FO103)</f>
        <v>0</v>
      </c>
      <c r="GN103" s="58">
        <f>IF(i_baseline_risk_from=2,'Effectiveness settings'!FD103,'Effectiveness settings'!FP103)</f>
        <v>0</v>
      </c>
      <c r="GQ103" s="58">
        <f t="shared" si="179"/>
        <v>0</v>
      </c>
      <c r="GR103" s="58">
        <f t="shared" si="180"/>
        <v>0</v>
      </c>
      <c r="GS103" s="58">
        <f t="shared" si="181"/>
        <v>0</v>
      </c>
      <c r="GT103" s="58">
        <f t="shared" si="182"/>
        <v>0</v>
      </c>
      <c r="GU103" s="58">
        <f>IF(AND(dd_CheckMate214_TTD="Yes",'Effectiveness settings'!BU103=2,'Effectiveness settings'!BX103=2),2,GT103)</f>
        <v>0</v>
      </c>
      <c r="GV103" s="58">
        <f t="shared" si="183"/>
        <v>0</v>
      </c>
      <c r="GW103" s="58">
        <f t="shared" si="184"/>
        <v>0</v>
      </c>
      <c r="GY103" s="58">
        <f>IF(AND(dd_CheckMate214_TTD="Yes",'Effectiveness settings'!BU103=2,'Effectiveness settings'!BX103=2),1,GN103)</f>
        <v>0</v>
      </c>
      <c r="GZ103" s="58">
        <f t="shared" si="185"/>
        <v>0</v>
      </c>
      <c r="HB103" s="58">
        <f t="shared" si="186"/>
        <v>0</v>
      </c>
      <c r="HD103" s="58">
        <f t="shared" si="187"/>
        <v>0</v>
      </c>
      <c r="HE103" s="58">
        <f t="shared" si="188"/>
        <v>0</v>
      </c>
      <c r="HF103" s="58">
        <f t="shared" si="193"/>
        <v>0</v>
      </c>
      <c r="HG103" s="58">
        <f t="shared" si="190"/>
        <v>0</v>
      </c>
      <c r="HH103" s="58">
        <f t="shared" si="194"/>
        <v>0</v>
      </c>
    </row>
    <row r="104" spans="9:216" ht="15.75" hidden="1" x14ac:dyDescent="0.25">
      <c r="I104" s="64"/>
      <c r="J104" s="519"/>
      <c r="K104" s="524"/>
      <c r="L104" s="519"/>
      <c r="M104" s="516"/>
      <c r="N104" s="64"/>
      <c r="O104" s="64"/>
      <c r="P104" s="64"/>
      <c r="Q104" s="519"/>
      <c r="R104" s="516"/>
      <c r="S104" s="497"/>
      <c r="T104" s="497"/>
      <c r="U104" s="497"/>
      <c r="Y104" s="517"/>
      <c r="AA104" s="517"/>
      <c r="AF104" s="517"/>
      <c r="AM104" s="517"/>
      <c r="AO104" s="517"/>
      <c r="AT104" s="517"/>
      <c r="AV104" s="511"/>
      <c r="AW104" s="511"/>
      <c r="AX104" s="511"/>
      <c r="BA104" s="517"/>
      <c r="BC104" s="517"/>
      <c r="BH104" s="517"/>
      <c r="BJ104" s="511"/>
      <c r="BK104" s="511"/>
      <c r="BL104" s="511"/>
      <c r="BQ104" s="58">
        <f t="shared" si="165"/>
        <v>70</v>
      </c>
      <c r="BR104" s="17"/>
      <c r="BS104" s="17"/>
      <c r="BT104" s="17"/>
      <c r="BU104" s="17"/>
      <c r="BV104" s="17"/>
      <c r="BW104" s="17"/>
      <c r="BX104" s="61"/>
      <c r="BY104" s="531"/>
      <c r="BZ104" s="530"/>
      <c r="CA104" s="531"/>
      <c r="CB104" s="530"/>
      <c r="CC104" s="530"/>
      <c r="CD104" s="530"/>
      <c r="CE104" s="1295"/>
      <c r="CF104" s="1301"/>
      <c r="CG104" s="530"/>
      <c r="CH104" s="61"/>
      <c r="CI104" s="61"/>
      <c r="CJ104" s="61"/>
      <c r="DA104" s="1024"/>
      <c r="DB104" s="1024"/>
      <c r="DC104" s="1024"/>
      <c r="DD104" s="1024"/>
      <c r="DE104" s="1024"/>
      <c r="DF104" s="1024"/>
      <c r="DG104" s="1024"/>
      <c r="DK104" s="58" t="str" cm="1">
        <f t="array" ref="DK104">IF(AND($BT104=4,$BX104=4,$BU104=999),$DB$36,_xlfn.IFNA(INDEX(DB$13:DB$70,MATCH(1,($BR104=$CV$13:$CV$70)*($BT104=$CX$13:$CX$70)*($CE104=$CY$13:$CY$70)*($BY104=$DA$13:$DA$70)*($CD104=$DH$13:$DH$70),0)),""))</f>
        <v/>
      </c>
      <c r="DL104" s="58" t="str" cm="1">
        <f t="array" ref="DL104">IF(AND($BT104=4,$BX104=4,$BU104=999),$DC$36,_xlfn.IFNA(INDEX(CHOOSE(DP104,DB$13:DB$70,DC$13:DC$70,DD$13:DD$70,DE$13:DE$70),MATCH(1,($BR104=$CV$13:$CV$70)*($BT104=$CX$13:$CX$70)*($CE104=$CY$13:$CY$70)*($BY104=$DA$13:$DA$70)*($CD104=$DH$13:$DH$70),0)),""))</f>
        <v/>
      </c>
      <c r="DM104" s="740" t="str" cm="1">
        <f t="array" ref="DM104">IF(AND($BT104=4,$BX104=4,$BU104=999),$DD$36,_xlfn.IFNA(INDEX(DD$13:DD$68,MATCH(1,($BR104=$CV$13:$CV$68)*($BT104=$CX$13:$CX$68)*($CE104=$CY$13:$CY$68)*($BY104=$DA$13:$DA$68)*($CD104=$DH$13:$DH$68),0)),""))</f>
        <v/>
      </c>
      <c r="DN104" s="740" t="str" cm="1">
        <f t="array" ref="DN104">IF(AND($BT104=4,$BX104=4,$BU104=999),$DD$36,_xlfn.IFNA(INDEX(DE$13:DE$68,MATCH(1,($BR104=$CV$13:$CV$68)*($BT104=$CX$13:$CX$68)*($CE104=$CY$13:$CY$68)*($BY104=$DA$13:$DA$68)*($CD104=$DH$13:$DH$68),0)),""))</f>
        <v/>
      </c>
      <c r="DO104" s="58" t="str" cm="1">
        <f t="array" ref="DO104">IF(AND($BT104=4,$BX104=4,$BU104=999),$DF$36,_xlfn.IFNA(INDEX(DF$13:DF$70,MATCH(1,($BR104=$CV$13:$CV$70)*($BT104=$CX$13:$CX$70)*($CE104=$CY$13:$CY$70)*($BY104=$DA$13:$DA$70)*($CD104=$DH$13:$DH$70),0)),""))</f>
        <v/>
      </c>
      <c r="DP104" s="58" t="e">
        <f t="shared" si="166"/>
        <v>#N/A</v>
      </c>
      <c r="FT104" s="58">
        <f t="shared" si="167"/>
        <v>0</v>
      </c>
      <c r="FW104" s="58">
        <f>IF(i_baseline_risk_from=2,'Effectiveness settings'!EW104,'Effectiveness settings'!FI104)</f>
        <v>0</v>
      </c>
      <c r="FX104" s="58">
        <f t="shared" si="168"/>
        <v>0</v>
      </c>
      <c r="FY104" s="58">
        <f t="shared" si="169"/>
        <v>0</v>
      </c>
      <c r="FZ104" s="58">
        <f t="shared" si="170"/>
        <v>0</v>
      </c>
      <c r="GA104" s="58">
        <f t="shared" si="171"/>
        <v>0</v>
      </c>
      <c r="GB104" s="58">
        <f t="shared" si="172"/>
        <v>0</v>
      </c>
      <c r="GC104" s="58">
        <f t="shared" si="173"/>
        <v>0</v>
      </c>
      <c r="GD104" s="58">
        <f t="shared" si="174"/>
        <v>0</v>
      </c>
      <c r="GE104" s="58">
        <f>IF(AND(dd_CheckMate214_TTD="Yes",'Effectiveness settings'!BU104=2,'Effectiveness settings'!BX104=2),"Apply HR to",GD104)</f>
        <v>0</v>
      </c>
      <c r="GF104" s="58">
        <f t="shared" si="175"/>
        <v>0</v>
      </c>
      <c r="GG104" s="58">
        <f t="shared" si="176"/>
        <v>0</v>
      </c>
      <c r="GH104" s="58">
        <f t="shared" si="177"/>
        <v>0</v>
      </c>
      <c r="GI104" s="58">
        <f t="shared" si="178"/>
        <v>0</v>
      </c>
      <c r="GK104" s="58">
        <f>IF(i_baseline_risk_from=2,'Effectiveness settings'!FA104,'Effectiveness settings'!FM104)</f>
        <v>0</v>
      </c>
      <c r="GL104" s="58">
        <f>IF(i_baseline_risk_from=2,'Effectiveness settings'!FB104,'Effectiveness settings'!FN104)</f>
        <v>0</v>
      </c>
      <c r="GM104" s="58">
        <f>IF(i_baseline_risk_from=2,'Effectiveness settings'!FC104,'Effectiveness settings'!FO104)</f>
        <v>0</v>
      </c>
      <c r="GN104" s="58">
        <f>IF(i_baseline_risk_from=2,'Effectiveness settings'!FD104,'Effectiveness settings'!FP104)</f>
        <v>0</v>
      </c>
      <c r="GQ104" s="58">
        <f t="shared" si="179"/>
        <v>0</v>
      </c>
      <c r="GR104" s="58">
        <f t="shared" si="180"/>
        <v>0</v>
      </c>
      <c r="GS104" s="58">
        <f t="shared" si="181"/>
        <v>0</v>
      </c>
      <c r="GT104" s="58">
        <f t="shared" si="182"/>
        <v>0</v>
      </c>
      <c r="GU104" s="58">
        <f>IF(AND(dd_CheckMate214_TTD="Yes",'Effectiveness settings'!BU104=2,'Effectiveness settings'!BX104=2),2,GT104)</f>
        <v>0</v>
      </c>
      <c r="GV104" s="58">
        <f t="shared" si="183"/>
        <v>0</v>
      </c>
      <c r="GW104" s="58">
        <f t="shared" si="184"/>
        <v>0</v>
      </c>
      <c r="GY104" s="58">
        <f>IF(AND(dd_CheckMate214_TTD="Yes",'Effectiveness settings'!BU104=2,'Effectiveness settings'!BX104=2),1,GN104)</f>
        <v>0</v>
      </c>
      <c r="GZ104" s="58">
        <f t="shared" si="185"/>
        <v>0</v>
      </c>
      <c r="HB104" s="58">
        <f t="shared" si="186"/>
        <v>0</v>
      </c>
      <c r="HD104" s="58">
        <f t="shared" si="187"/>
        <v>0</v>
      </c>
      <c r="HE104" s="58">
        <f t="shared" si="188"/>
        <v>0</v>
      </c>
      <c r="HF104" s="58">
        <f t="shared" si="193"/>
        <v>0</v>
      </c>
      <c r="HG104" s="58">
        <f t="shared" si="190"/>
        <v>0</v>
      </c>
      <c r="HH104" s="58">
        <f t="shared" si="194"/>
        <v>0</v>
      </c>
    </row>
    <row r="105" spans="9:216" ht="15.75" hidden="1" x14ac:dyDescent="0.25">
      <c r="I105" s="64"/>
      <c r="J105" s="519"/>
      <c r="K105" s="524"/>
      <c r="L105" s="519"/>
      <c r="M105" s="516"/>
      <c r="N105" s="64"/>
      <c r="O105" s="64"/>
      <c r="P105" s="64"/>
      <c r="Q105" s="519"/>
      <c r="R105" s="516"/>
      <c r="S105" s="497"/>
      <c r="T105" s="497"/>
      <c r="U105" s="497"/>
      <c r="Y105" s="517"/>
      <c r="AA105" s="517"/>
      <c r="AF105" s="517"/>
      <c r="AM105" s="517"/>
      <c r="AO105" s="517"/>
      <c r="AT105" s="517"/>
      <c r="AV105" s="511"/>
      <c r="AW105" s="511"/>
      <c r="AX105" s="511"/>
      <c r="BA105" s="517"/>
      <c r="BC105" s="517"/>
      <c r="BH105" s="517"/>
      <c r="BJ105" s="511"/>
      <c r="BK105" s="511"/>
      <c r="BL105" s="511"/>
      <c r="BQ105" s="58">
        <f t="shared" si="165"/>
        <v>70</v>
      </c>
      <c r="BR105" s="17"/>
      <c r="BS105" s="17"/>
      <c r="BT105" s="17"/>
      <c r="BU105" s="17"/>
      <c r="BV105" s="17"/>
      <c r="BW105" s="17"/>
      <c r="BX105" s="61"/>
      <c r="BY105" s="531"/>
      <c r="BZ105" s="530"/>
      <c r="CA105" s="531"/>
      <c r="CB105" s="530"/>
      <c r="CC105" s="530"/>
      <c r="CD105" s="530"/>
      <c r="CE105" s="1295"/>
      <c r="CF105" s="1301"/>
      <c r="CG105" s="530"/>
      <c r="CH105" s="61"/>
      <c r="CI105" s="61"/>
      <c r="CJ105" s="61"/>
      <c r="DA105" s="1024"/>
      <c r="DB105" s="1024"/>
      <c r="DC105" s="1024"/>
      <c r="DD105" s="1024"/>
      <c r="DE105" s="1024"/>
      <c r="DF105" s="1024"/>
      <c r="DG105" s="1024"/>
      <c r="DK105" s="58" t="str" cm="1">
        <f t="array" ref="DK105">IF(AND($BT105=4,$BX105=4,$BU105=999),$DB$36,_xlfn.IFNA(INDEX(DB$13:DB$70,MATCH(1,($BR105=$CV$13:$CV$70)*($BT105=$CX$13:$CX$70)*($CE105=$CY$13:$CY$70)*($BY105=$DA$13:$DA$70)*($CD105=$DH$13:$DH$70),0)),""))</f>
        <v/>
      </c>
      <c r="DL105" s="58" t="str" cm="1">
        <f t="array" ref="DL105">IF(AND($BT105=4,$BX105=4,$BU105=999),$DC$36,_xlfn.IFNA(INDEX(CHOOSE(DP105,DB$13:DB$70,DC$13:DC$70,DD$13:DD$70,DE$13:DE$70),MATCH(1,($BR105=$CV$13:$CV$70)*($BT105=$CX$13:$CX$70)*($CE105=$CY$13:$CY$70)*($BY105=$DA$13:$DA$70)*($CD105=$DH$13:$DH$70),0)),""))</f>
        <v/>
      </c>
      <c r="DM105" s="740" t="str" cm="1">
        <f t="array" ref="DM105">IF(AND($BT105=4,$BX105=4,$BU105=999),$DD$36,_xlfn.IFNA(INDEX(DD$13:DD$68,MATCH(1,($BR105=$CV$13:$CV$68)*($BT105=$CX$13:$CX$68)*($CE105=$CY$13:$CY$68)*($BY105=$DA$13:$DA$68)*($CD105=$DH$13:$DH$68),0)),""))</f>
        <v/>
      </c>
      <c r="DN105" s="740" t="str" cm="1">
        <f t="array" ref="DN105">IF(AND($BT105=4,$BX105=4,$BU105=999),$DD$36,_xlfn.IFNA(INDEX(DE$13:DE$68,MATCH(1,($BR105=$CV$13:$CV$68)*($BT105=$CX$13:$CX$68)*($CE105=$CY$13:$CY$68)*($BY105=$DA$13:$DA$68)*($CD105=$DH$13:$DH$68),0)),""))</f>
        <v/>
      </c>
      <c r="DO105" s="58" t="str" cm="1">
        <f t="array" ref="DO105">IF(AND($BT105=4,$BX105=4,$BU105=999),$DF$36,_xlfn.IFNA(INDEX(DF$13:DF$70,MATCH(1,($BR105=$CV$13:$CV$70)*($BT105=$CX$13:$CX$70)*($CE105=$CY$13:$CY$70)*($BY105=$DA$13:$DA$70)*($CD105=$DH$13:$DH$70),0)),""))</f>
        <v/>
      </c>
      <c r="DP105" s="58" t="e">
        <f t="shared" si="166"/>
        <v>#N/A</v>
      </c>
      <c r="FT105" s="58">
        <f t="shared" si="167"/>
        <v>0</v>
      </c>
      <c r="FW105" s="58">
        <f>IF(i_baseline_risk_from=2,'Effectiveness settings'!EW105,'Effectiveness settings'!FI105)</f>
        <v>0</v>
      </c>
      <c r="FX105" s="58">
        <f t="shared" si="168"/>
        <v>0</v>
      </c>
      <c r="FY105" s="58">
        <f t="shared" si="169"/>
        <v>0</v>
      </c>
      <c r="FZ105" s="58">
        <f t="shared" si="170"/>
        <v>0</v>
      </c>
      <c r="GA105" s="58">
        <f t="shared" si="171"/>
        <v>0</v>
      </c>
      <c r="GB105" s="58">
        <f t="shared" si="172"/>
        <v>0</v>
      </c>
      <c r="GC105" s="58">
        <f t="shared" si="173"/>
        <v>0</v>
      </c>
      <c r="GD105" s="58">
        <f t="shared" si="174"/>
        <v>0</v>
      </c>
      <c r="GE105" s="58">
        <f>IF(AND(dd_CheckMate214_TTD="Yes",'Effectiveness settings'!BU105=2,'Effectiveness settings'!BX105=2),"Apply HR to",GD105)</f>
        <v>0</v>
      </c>
      <c r="GF105" s="58">
        <f t="shared" si="175"/>
        <v>0</v>
      </c>
      <c r="GG105" s="58">
        <f t="shared" si="176"/>
        <v>0</v>
      </c>
      <c r="GH105" s="58">
        <f t="shared" si="177"/>
        <v>0</v>
      </c>
      <c r="GI105" s="58">
        <f t="shared" si="178"/>
        <v>0</v>
      </c>
      <c r="GK105" s="58">
        <f>IF(i_baseline_risk_from=2,'Effectiveness settings'!FA105,'Effectiveness settings'!FM105)</f>
        <v>0</v>
      </c>
      <c r="GL105" s="58">
        <f>IF(i_baseline_risk_from=2,'Effectiveness settings'!FB105,'Effectiveness settings'!FN105)</f>
        <v>0</v>
      </c>
      <c r="GM105" s="58">
        <f>IF(i_baseline_risk_from=2,'Effectiveness settings'!FC105,'Effectiveness settings'!FO105)</f>
        <v>0</v>
      </c>
      <c r="GN105" s="58">
        <f>IF(i_baseline_risk_from=2,'Effectiveness settings'!FD105,'Effectiveness settings'!FP105)</f>
        <v>0</v>
      </c>
      <c r="GQ105" s="58">
        <f t="shared" si="179"/>
        <v>0</v>
      </c>
      <c r="GR105" s="58">
        <f t="shared" si="180"/>
        <v>0</v>
      </c>
      <c r="GS105" s="58">
        <f t="shared" si="181"/>
        <v>0</v>
      </c>
      <c r="GT105" s="58">
        <f t="shared" si="182"/>
        <v>0</v>
      </c>
      <c r="GU105" s="58">
        <f>IF(AND(dd_CheckMate214_TTD="Yes",'Effectiveness settings'!BU105=2,'Effectiveness settings'!BX105=2),2,GT105)</f>
        <v>0</v>
      </c>
      <c r="GV105" s="58">
        <f t="shared" si="183"/>
        <v>0</v>
      </c>
      <c r="GW105" s="58">
        <f t="shared" si="184"/>
        <v>0</v>
      </c>
      <c r="GY105" s="58">
        <f>IF(AND(dd_CheckMate214_TTD="Yes",'Effectiveness settings'!BU105=2,'Effectiveness settings'!BX105=2),1,GN105)</f>
        <v>0</v>
      </c>
      <c r="GZ105" s="58">
        <f t="shared" si="185"/>
        <v>0</v>
      </c>
      <c r="HB105" s="58">
        <f t="shared" si="186"/>
        <v>0</v>
      </c>
      <c r="HD105" s="58">
        <f t="shared" si="187"/>
        <v>0</v>
      </c>
      <c r="HE105" s="58">
        <f t="shared" si="188"/>
        <v>0</v>
      </c>
      <c r="HF105" s="58">
        <f t="shared" si="193"/>
        <v>0</v>
      </c>
      <c r="HG105" s="58">
        <f t="shared" si="190"/>
        <v>0</v>
      </c>
      <c r="HH105" s="58">
        <f t="shared" si="194"/>
        <v>0</v>
      </c>
    </row>
    <row r="106" spans="9:216" ht="15.75" hidden="1" x14ac:dyDescent="0.25">
      <c r="I106" s="64"/>
      <c r="J106" s="519"/>
      <c r="K106" s="524"/>
      <c r="L106" s="519"/>
      <c r="M106" s="516"/>
      <c r="N106" s="64"/>
      <c r="O106" s="64"/>
      <c r="P106" s="64"/>
      <c r="Q106" s="519"/>
      <c r="R106" s="516"/>
      <c r="S106" s="497"/>
      <c r="T106" s="497"/>
      <c r="U106" s="497"/>
      <c r="Y106" s="517"/>
      <c r="AA106" s="517"/>
      <c r="AF106" s="517"/>
      <c r="AM106" s="517"/>
      <c r="AO106" s="517"/>
      <c r="AT106" s="517"/>
      <c r="AV106" s="511"/>
      <c r="AW106" s="511"/>
      <c r="AX106" s="511"/>
      <c r="BA106" s="517"/>
      <c r="BC106" s="517"/>
      <c r="BH106" s="517"/>
      <c r="BJ106" s="511"/>
      <c r="BK106" s="511"/>
      <c r="BL106" s="511"/>
      <c r="BQ106" s="58">
        <f t="shared" si="165"/>
        <v>70</v>
      </c>
      <c r="BR106" s="17"/>
      <c r="BS106" s="17"/>
      <c r="BT106" s="17"/>
      <c r="BU106" s="17"/>
      <c r="BV106" s="17"/>
      <c r="BW106" s="17"/>
      <c r="BX106" s="61"/>
      <c r="BY106" s="531"/>
      <c r="BZ106" s="530"/>
      <c r="CA106" s="531"/>
      <c r="CB106" s="530"/>
      <c r="CC106" s="530"/>
      <c r="CD106" s="530"/>
      <c r="CE106" s="1295"/>
      <c r="CF106" s="1301"/>
      <c r="CG106" s="530"/>
      <c r="CH106" s="61"/>
      <c r="CI106" s="61"/>
      <c r="CJ106" s="61"/>
      <c r="DA106" s="1024"/>
      <c r="DB106" s="1024"/>
      <c r="DC106" s="1024"/>
      <c r="DD106" s="1024"/>
      <c r="DE106" s="1024"/>
      <c r="DF106" s="1024"/>
      <c r="DG106" s="1024"/>
      <c r="DK106" s="58" t="str" cm="1">
        <f t="array" ref="DK106">IF(AND($BT106=4,$BX106=4,$BU106=999),$DB$36,_xlfn.IFNA(INDEX(DB$13:DB$70,MATCH(1,($BR106=$CV$13:$CV$70)*($BT106=$CX$13:$CX$70)*($CE106=$CY$13:$CY$70)*($BY106=$DA$13:$DA$70)*($CD106=$DH$13:$DH$70),0)),""))</f>
        <v/>
      </c>
      <c r="DL106" s="58" t="str" cm="1">
        <f t="array" ref="DL106">IF(AND($BT106=4,$BX106=4,$BU106=999),$DC$36,_xlfn.IFNA(INDEX(CHOOSE(DP106,DB$13:DB$70,DC$13:DC$70,DD$13:DD$70,DE$13:DE$70),MATCH(1,($BR106=$CV$13:$CV$70)*($BT106=$CX$13:$CX$70)*($CE106=$CY$13:$CY$70)*($BY106=$DA$13:$DA$70)*($CD106=$DH$13:$DH$70),0)),""))</f>
        <v/>
      </c>
      <c r="DM106" s="740" t="str" cm="1">
        <f t="array" ref="DM106">IF(AND($BT106=4,$BX106=4,$BU106=999),$DD$36,_xlfn.IFNA(INDEX(DD$13:DD$68,MATCH(1,($BR106=$CV$13:$CV$68)*($BT106=$CX$13:$CX$68)*($CE106=$CY$13:$CY$68)*($BY106=$DA$13:$DA$68)*($CD106=$DH$13:$DH$68),0)),""))</f>
        <v/>
      </c>
      <c r="DN106" s="740" t="str" cm="1">
        <f t="array" ref="DN106">IF(AND($BT106=4,$BX106=4,$BU106=999),$DD$36,_xlfn.IFNA(INDEX(DE$13:DE$68,MATCH(1,($BR106=$CV$13:$CV$68)*($BT106=$CX$13:$CX$68)*($CE106=$CY$13:$CY$68)*($BY106=$DA$13:$DA$68)*($CD106=$DH$13:$DH$68),0)),""))</f>
        <v/>
      </c>
      <c r="DO106" s="58" t="str" cm="1">
        <f t="array" ref="DO106">IF(AND($BT106=4,$BX106=4,$BU106=999),$DF$36,_xlfn.IFNA(INDEX(DF$13:DF$70,MATCH(1,($BR106=$CV$13:$CV$70)*($BT106=$CX$13:$CX$70)*($CE106=$CY$13:$CY$70)*($BY106=$DA$13:$DA$70)*($CD106=$DH$13:$DH$70),0)),""))</f>
        <v/>
      </c>
      <c r="DP106" s="58" t="e">
        <f t="shared" si="166"/>
        <v>#N/A</v>
      </c>
      <c r="FT106" s="58">
        <f t="shared" si="167"/>
        <v>0</v>
      </c>
      <c r="FW106" s="58">
        <f>IF(i_baseline_risk_from=2,'Effectiveness settings'!EW106,'Effectiveness settings'!FI106)</f>
        <v>0</v>
      </c>
      <c r="FX106" s="58">
        <f t="shared" si="168"/>
        <v>0</v>
      </c>
      <c r="FY106" s="58">
        <f t="shared" si="169"/>
        <v>0</v>
      </c>
      <c r="FZ106" s="58">
        <f t="shared" si="170"/>
        <v>0</v>
      </c>
      <c r="GA106" s="58">
        <f t="shared" si="171"/>
        <v>0</v>
      </c>
      <c r="GB106" s="58">
        <f t="shared" si="172"/>
        <v>0</v>
      </c>
      <c r="GC106" s="58">
        <f t="shared" si="173"/>
        <v>0</v>
      </c>
      <c r="GD106" s="58">
        <f t="shared" si="174"/>
        <v>0</v>
      </c>
      <c r="GE106" s="58">
        <f>IF(AND(dd_CheckMate214_TTD="Yes",'Effectiveness settings'!BU106=2,'Effectiveness settings'!BX106=2),"Apply HR to",GD106)</f>
        <v>0</v>
      </c>
      <c r="GF106" s="58">
        <f t="shared" si="175"/>
        <v>0</v>
      </c>
      <c r="GG106" s="58">
        <f t="shared" si="176"/>
        <v>0</v>
      </c>
      <c r="GH106" s="58">
        <f t="shared" si="177"/>
        <v>0</v>
      </c>
      <c r="GI106" s="58">
        <f t="shared" si="178"/>
        <v>0</v>
      </c>
      <c r="GK106" s="58">
        <f>IF(i_baseline_risk_from=2,'Effectiveness settings'!FA106,'Effectiveness settings'!FM106)</f>
        <v>0</v>
      </c>
      <c r="GL106" s="58">
        <f>IF(i_baseline_risk_from=2,'Effectiveness settings'!FB106,'Effectiveness settings'!FN106)</f>
        <v>0</v>
      </c>
      <c r="GM106" s="58">
        <f>IF(i_baseline_risk_from=2,'Effectiveness settings'!FC106,'Effectiveness settings'!FO106)</f>
        <v>0</v>
      </c>
      <c r="GN106" s="58">
        <f>IF(i_baseline_risk_from=2,'Effectiveness settings'!FD106,'Effectiveness settings'!FP106)</f>
        <v>0</v>
      </c>
      <c r="GQ106" s="58">
        <f t="shared" si="179"/>
        <v>0</v>
      </c>
      <c r="GR106" s="58">
        <f t="shared" si="180"/>
        <v>0</v>
      </c>
      <c r="GS106" s="58">
        <f t="shared" si="181"/>
        <v>0</v>
      </c>
      <c r="GT106" s="58">
        <f t="shared" si="182"/>
        <v>0</v>
      </c>
      <c r="GU106" s="58">
        <f>IF(AND(dd_CheckMate214_TTD="Yes",'Effectiveness settings'!BU106=2,'Effectiveness settings'!BX106=2),2,GT106)</f>
        <v>0</v>
      </c>
      <c r="GV106" s="58">
        <f t="shared" si="183"/>
        <v>0</v>
      </c>
      <c r="GW106" s="58">
        <f t="shared" si="184"/>
        <v>0</v>
      </c>
      <c r="GY106" s="58">
        <f>IF(AND(dd_CheckMate214_TTD="Yes",'Effectiveness settings'!BU106=2,'Effectiveness settings'!BX106=2),1,GN106)</f>
        <v>0</v>
      </c>
      <c r="GZ106" s="58">
        <f t="shared" si="185"/>
        <v>0</v>
      </c>
      <c r="HB106" s="58">
        <f t="shared" si="186"/>
        <v>0</v>
      </c>
      <c r="HD106" s="58">
        <f t="shared" si="187"/>
        <v>0</v>
      </c>
      <c r="HE106" s="58">
        <f t="shared" si="188"/>
        <v>0</v>
      </c>
      <c r="HF106" s="58">
        <f t="shared" si="193"/>
        <v>0</v>
      </c>
      <c r="HG106" s="58">
        <f t="shared" si="190"/>
        <v>0</v>
      </c>
      <c r="HH106" s="58">
        <f t="shared" si="194"/>
        <v>0</v>
      </c>
    </row>
    <row r="107" spans="9:216" ht="15.75" hidden="1" x14ac:dyDescent="0.25">
      <c r="I107" s="64"/>
      <c r="J107" s="519"/>
      <c r="K107" s="524"/>
      <c r="L107" s="519"/>
      <c r="M107" s="516"/>
      <c r="N107" s="64"/>
      <c r="O107" s="64"/>
      <c r="P107" s="64"/>
      <c r="Q107" s="519"/>
      <c r="R107" s="516"/>
      <c r="S107" s="497"/>
      <c r="T107" s="497"/>
      <c r="U107" s="497"/>
      <c r="Y107" s="517"/>
      <c r="AA107" s="517"/>
      <c r="AF107" s="517"/>
      <c r="AM107" s="517"/>
      <c r="AO107" s="517"/>
      <c r="AT107" s="517"/>
      <c r="AV107" s="511"/>
      <c r="AW107" s="511"/>
      <c r="AX107" s="511"/>
      <c r="BA107" s="517"/>
      <c r="BC107" s="517"/>
      <c r="BH107" s="517"/>
      <c r="BJ107" s="511"/>
      <c r="BK107" s="511"/>
      <c r="BL107" s="511"/>
      <c r="BQ107" s="58">
        <f t="shared" si="165"/>
        <v>70</v>
      </c>
      <c r="BR107" s="17"/>
      <c r="BS107" s="17"/>
      <c r="BT107" s="17"/>
      <c r="BU107" s="17"/>
      <c r="BV107" s="17"/>
      <c r="BW107" s="17"/>
      <c r="BX107" s="61"/>
      <c r="BY107" s="531"/>
      <c r="BZ107" s="530"/>
      <c r="CA107" s="531"/>
      <c r="CB107" s="530"/>
      <c r="CC107" s="530"/>
      <c r="CD107" s="530"/>
      <c r="CE107" s="1295"/>
      <c r="CF107" s="1301"/>
      <c r="CG107" s="530"/>
      <c r="CH107" s="61"/>
      <c r="CI107" s="61"/>
      <c r="CJ107" s="61"/>
      <c r="DA107" s="1024"/>
      <c r="DB107" s="1024"/>
      <c r="DC107" s="1024"/>
      <c r="DD107" s="1024"/>
      <c r="DE107" s="1024"/>
      <c r="DF107" s="1024"/>
      <c r="DG107" s="1024"/>
      <c r="DK107" s="58" t="str" cm="1">
        <f t="array" ref="DK107">IF(AND($BT107=4,$BX107=4,$BU107=999),$DB$36,_xlfn.IFNA(INDEX(DB$13:DB$70,MATCH(1,($BR107=$CV$13:$CV$70)*($BT107=$CX$13:$CX$70)*($CE107=$CY$13:$CY$70)*($BY107=$DA$13:$DA$70)*($CD107=$DH$13:$DH$70),0)),""))</f>
        <v/>
      </c>
      <c r="DL107" s="58" t="str" cm="1">
        <f t="array" ref="DL107">IF(AND($BT107=4,$BX107=4,$BU107=999),$DC$36,_xlfn.IFNA(INDEX(CHOOSE(DP107,DB$13:DB$70,DC$13:DC$70,DD$13:DD$70,DE$13:DE$70),MATCH(1,($BR107=$CV$13:$CV$70)*($BT107=$CX$13:$CX$70)*($CE107=$CY$13:$CY$70)*($BY107=$DA$13:$DA$70)*($CD107=$DH$13:$DH$70),0)),""))</f>
        <v/>
      </c>
      <c r="DM107" s="740" t="str" cm="1">
        <f t="array" ref="DM107">IF(AND($BT107=4,$BX107=4,$BU107=999),$DD$36,_xlfn.IFNA(INDEX(DD$13:DD$68,MATCH(1,($BR107=$CV$13:$CV$68)*($BT107=$CX$13:$CX$68)*($CE107=$CY$13:$CY$68)*($BY107=$DA$13:$DA$68)*($CD107=$DH$13:$DH$68),0)),""))</f>
        <v/>
      </c>
      <c r="DN107" s="740" t="str" cm="1">
        <f t="array" ref="DN107">IF(AND($BT107=4,$BX107=4,$BU107=999),$DD$36,_xlfn.IFNA(INDEX(DE$13:DE$68,MATCH(1,($BR107=$CV$13:$CV$68)*($BT107=$CX$13:$CX$68)*($CE107=$CY$13:$CY$68)*($BY107=$DA$13:$DA$68)*($CD107=$DH$13:$DH$68),0)),""))</f>
        <v/>
      </c>
      <c r="DO107" s="58" t="str" cm="1">
        <f t="array" ref="DO107">IF(AND($BT107=4,$BX107=4,$BU107=999),$DF$36,_xlfn.IFNA(INDEX(DF$13:DF$70,MATCH(1,($BR107=$CV$13:$CV$70)*($BT107=$CX$13:$CX$70)*($CE107=$CY$13:$CY$70)*($BY107=$DA$13:$DA$70)*($CD107=$DH$13:$DH$70),0)),""))</f>
        <v/>
      </c>
      <c r="DP107" s="58" t="e">
        <f t="shared" si="166"/>
        <v>#N/A</v>
      </c>
      <c r="FT107" s="58">
        <f t="shared" si="167"/>
        <v>0</v>
      </c>
      <c r="FW107" s="58">
        <f>IF(i_baseline_risk_from=2,'Effectiveness settings'!EW107,'Effectiveness settings'!FI107)</f>
        <v>0</v>
      </c>
      <c r="FX107" s="58">
        <f t="shared" si="168"/>
        <v>0</v>
      </c>
      <c r="FY107" s="58">
        <f t="shared" si="169"/>
        <v>0</v>
      </c>
      <c r="FZ107" s="58">
        <f t="shared" si="170"/>
        <v>0</v>
      </c>
      <c r="GA107" s="58">
        <f t="shared" si="171"/>
        <v>0</v>
      </c>
      <c r="GB107" s="58">
        <f t="shared" si="172"/>
        <v>0</v>
      </c>
      <c r="GC107" s="58">
        <f t="shared" si="173"/>
        <v>0</v>
      </c>
      <c r="GD107" s="58">
        <f t="shared" si="174"/>
        <v>0</v>
      </c>
      <c r="GE107" s="58">
        <f>IF(AND(dd_CheckMate214_TTD="Yes",'Effectiveness settings'!BU107=2,'Effectiveness settings'!BX107=2),"Apply HR to",GD107)</f>
        <v>0</v>
      </c>
      <c r="GF107" s="58">
        <f t="shared" si="175"/>
        <v>0</v>
      </c>
      <c r="GG107" s="58">
        <f t="shared" si="176"/>
        <v>0</v>
      </c>
      <c r="GH107" s="58">
        <f t="shared" si="177"/>
        <v>0</v>
      </c>
      <c r="GI107" s="58">
        <f t="shared" si="178"/>
        <v>0</v>
      </c>
      <c r="GK107" s="58">
        <f>IF(i_baseline_risk_from=2,'Effectiveness settings'!FA107,'Effectiveness settings'!FM107)</f>
        <v>0</v>
      </c>
      <c r="GL107" s="58">
        <f>IF(i_baseline_risk_from=2,'Effectiveness settings'!FB107,'Effectiveness settings'!FN107)</f>
        <v>0</v>
      </c>
      <c r="GM107" s="58">
        <f>IF(i_baseline_risk_from=2,'Effectiveness settings'!FC107,'Effectiveness settings'!FO107)</f>
        <v>0</v>
      </c>
      <c r="GN107" s="58">
        <f>IF(i_baseline_risk_from=2,'Effectiveness settings'!FD107,'Effectiveness settings'!FP107)</f>
        <v>0</v>
      </c>
      <c r="GQ107" s="58">
        <f t="shared" si="179"/>
        <v>0</v>
      </c>
      <c r="GR107" s="58">
        <f t="shared" si="180"/>
        <v>0</v>
      </c>
      <c r="GS107" s="58">
        <f t="shared" si="181"/>
        <v>0</v>
      </c>
      <c r="GT107" s="58">
        <f t="shared" si="182"/>
        <v>0</v>
      </c>
      <c r="GU107" s="58">
        <f>IF(AND(dd_CheckMate214_TTD="Yes",'Effectiveness settings'!BU107=2,'Effectiveness settings'!BX107=2),2,GT107)</f>
        <v>0</v>
      </c>
      <c r="GV107" s="58">
        <f t="shared" si="183"/>
        <v>0</v>
      </c>
      <c r="GW107" s="58">
        <f t="shared" si="184"/>
        <v>0</v>
      </c>
      <c r="GY107" s="58">
        <f>IF(AND(dd_CheckMate214_TTD="Yes",'Effectiveness settings'!BU107=2,'Effectiveness settings'!BX107=2),1,GN107)</f>
        <v>0</v>
      </c>
      <c r="GZ107" s="58">
        <f t="shared" si="185"/>
        <v>0</v>
      </c>
      <c r="HB107" s="58">
        <f t="shared" si="186"/>
        <v>0</v>
      </c>
      <c r="HD107" s="58">
        <f t="shared" si="187"/>
        <v>0</v>
      </c>
      <c r="HE107" s="58">
        <f t="shared" si="188"/>
        <v>0</v>
      </c>
      <c r="HF107" s="58">
        <f t="shared" si="193"/>
        <v>0</v>
      </c>
      <c r="HG107" s="58">
        <f t="shared" si="190"/>
        <v>0</v>
      </c>
      <c r="HH107" s="58">
        <f t="shared" si="194"/>
        <v>0</v>
      </c>
    </row>
    <row r="108" spans="9:216" ht="15.75" hidden="1" x14ac:dyDescent="0.25">
      <c r="I108" s="64"/>
      <c r="J108" s="519"/>
      <c r="K108" s="524"/>
      <c r="L108" s="519"/>
      <c r="M108" s="516"/>
      <c r="N108" s="64"/>
      <c r="O108" s="64"/>
      <c r="P108" s="64"/>
      <c r="Q108" s="519"/>
      <c r="R108" s="516"/>
      <c r="S108" s="497"/>
      <c r="T108" s="497"/>
      <c r="U108" s="497"/>
      <c r="Y108" s="517"/>
      <c r="AA108" s="517"/>
      <c r="AF108" s="517"/>
      <c r="AM108" s="517"/>
      <c r="AO108" s="517"/>
      <c r="AT108" s="517"/>
      <c r="AV108" s="511"/>
      <c r="AW108" s="511"/>
      <c r="AX108" s="511"/>
      <c r="BA108" s="517"/>
      <c r="BC108" s="517"/>
      <c r="BH108" s="517"/>
      <c r="BJ108" s="511"/>
      <c r="BK108" s="511"/>
      <c r="BL108" s="511"/>
      <c r="BQ108" s="58">
        <f t="shared" si="165"/>
        <v>70</v>
      </c>
      <c r="BR108" s="17"/>
      <c r="BS108" s="17"/>
      <c r="BT108" s="17"/>
      <c r="BU108" s="17"/>
      <c r="BV108" s="17"/>
      <c r="BW108" s="17"/>
      <c r="BX108" s="61"/>
      <c r="BY108" s="531"/>
      <c r="BZ108" s="530"/>
      <c r="CA108" s="531"/>
      <c r="CB108" s="530"/>
      <c r="CC108" s="530"/>
      <c r="CD108" s="530"/>
      <c r="CE108" s="1295"/>
      <c r="CF108" s="1301"/>
      <c r="CG108" s="530"/>
      <c r="CH108" s="61"/>
      <c r="CI108" s="61"/>
      <c r="CJ108" s="61"/>
      <c r="DA108" s="1024"/>
      <c r="DB108" s="1024"/>
      <c r="DC108" s="1024"/>
      <c r="DD108" s="1024"/>
      <c r="DE108" s="1024"/>
      <c r="DF108" s="1024"/>
      <c r="DG108" s="1024"/>
      <c r="DK108" s="58" t="str" cm="1">
        <f t="array" ref="DK108">IF(AND($BT108=4,$BX108=4,$BU108=999),$DB$36,_xlfn.IFNA(INDEX(DB$13:DB$70,MATCH(1,($BR108=$CV$13:$CV$70)*($BT108=$CX$13:$CX$70)*($CE108=$CY$13:$CY$70)*($BY108=$DA$13:$DA$70)*($CD108=$DH$13:$DH$70),0)),""))</f>
        <v/>
      </c>
      <c r="DL108" s="58" t="str" cm="1">
        <f t="array" ref="DL108">IF(AND($BT108=4,$BX108=4,$BU108=999),$DC$36,_xlfn.IFNA(INDEX(CHOOSE(DP108,DB$13:DB$70,DC$13:DC$70,DD$13:DD$70,DE$13:DE$70),MATCH(1,($BR108=$CV$13:$CV$70)*($BT108=$CX$13:$CX$70)*($CE108=$CY$13:$CY$70)*($BY108=$DA$13:$DA$70)*($CD108=$DH$13:$DH$70),0)),""))</f>
        <v/>
      </c>
      <c r="DM108" s="740" t="str" cm="1">
        <f t="array" ref="DM108">IF(AND($BT108=4,$BX108=4,$BU108=999),$DD$36,_xlfn.IFNA(INDEX(DD$13:DD$68,MATCH(1,($BR108=$CV$13:$CV$68)*($BT108=$CX$13:$CX$68)*($CE108=$CY$13:$CY$68)*($BY108=$DA$13:$DA$68)*($CD108=$DH$13:$DH$68),0)),""))</f>
        <v/>
      </c>
      <c r="DN108" s="740" t="str" cm="1">
        <f t="array" ref="DN108">IF(AND($BT108=4,$BX108=4,$BU108=999),$DD$36,_xlfn.IFNA(INDEX(DE$13:DE$68,MATCH(1,($BR108=$CV$13:$CV$68)*($BT108=$CX$13:$CX$68)*($CE108=$CY$13:$CY$68)*($BY108=$DA$13:$DA$68)*($CD108=$DH$13:$DH$68),0)),""))</f>
        <v/>
      </c>
      <c r="DO108" s="58" t="str" cm="1">
        <f t="array" ref="DO108">IF(AND($BT108=4,$BX108=4,$BU108=999),$DF$36,_xlfn.IFNA(INDEX(DF$13:DF$70,MATCH(1,($BR108=$CV$13:$CV$70)*($BT108=$CX$13:$CX$70)*($CE108=$CY$13:$CY$70)*($BY108=$DA$13:$DA$70)*($CD108=$DH$13:$DH$70),0)),""))</f>
        <v/>
      </c>
      <c r="DP108" s="58" t="e">
        <f t="shared" si="166"/>
        <v>#N/A</v>
      </c>
      <c r="FT108" s="58">
        <f t="shared" si="167"/>
        <v>0</v>
      </c>
      <c r="FW108" s="58">
        <f>IF(i_baseline_risk_from=2,'Effectiveness settings'!EW108,'Effectiveness settings'!FI108)</f>
        <v>0</v>
      </c>
      <c r="FX108" s="58">
        <f t="shared" si="168"/>
        <v>0</v>
      </c>
      <c r="FY108" s="58">
        <f t="shared" si="169"/>
        <v>0</v>
      </c>
      <c r="FZ108" s="58">
        <f t="shared" si="170"/>
        <v>0</v>
      </c>
      <c r="GA108" s="58">
        <f t="shared" si="171"/>
        <v>0</v>
      </c>
      <c r="GB108" s="58">
        <f t="shared" si="172"/>
        <v>0</v>
      </c>
      <c r="GC108" s="58">
        <f t="shared" si="173"/>
        <v>0</v>
      </c>
      <c r="GD108" s="58">
        <f t="shared" si="174"/>
        <v>0</v>
      </c>
      <c r="GE108" s="58">
        <f>IF(AND(dd_CheckMate214_TTD="Yes",'Effectiveness settings'!BU108=2,'Effectiveness settings'!BX108=2),"Apply HR to",GD108)</f>
        <v>0</v>
      </c>
      <c r="GF108" s="58">
        <f t="shared" si="175"/>
        <v>0</v>
      </c>
      <c r="GG108" s="58">
        <f t="shared" si="176"/>
        <v>0</v>
      </c>
      <c r="GH108" s="58">
        <f t="shared" si="177"/>
        <v>0</v>
      </c>
      <c r="GI108" s="58">
        <f t="shared" si="178"/>
        <v>0</v>
      </c>
      <c r="GK108" s="58">
        <f>IF(i_baseline_risk_from=2,'Effectiveness settings'!FA108,'Effectiveness settings'!FM108)</f>
        <v>0</v>
      </c>
      <c r="GL108" s="58">
        <f>IF(i_baseline_risk_from=2,'Effectiveness settings'!FB108,'Effectiveness settings'!FN108)</f>
        <v>0</v>
      </c>
      <c r="GM108" s="58">
        <f>IF(i_baseline_risk_from=2,'Effectiveness settings'!FC108,'Effectiveness settings'!FO108)</f>
        <v>0</v>
      </c>
      <c r="GN108" s="58">
        <f>IF(i_baseline_risk_from=2,'Effectiveness settings'!FD108,'Effectiveness settings'!FP108)</f>
        <v>0</v>
      </c>
      <c r="GQ108" s="58">
        <f t="shared" si="179"/>
        <v>0</v>
      </c>
      <c r="GR108" s="58">
        <f t="shared" si="180"/>
        <v>0</v>
      </c>
      <c r="GS108" s="58">
        <f t="shared" si="181"/>
        <v>0</v>
      </c>
      <c r="GT108" s="58">
        <f t="shared" si="182"/>
        <v>0</v>
      </c>
      <c r="GU108" s="58">
        <f>IF(AND(dd_CheckMate214_TTD="Yes",'Effectiveness settings'!BU108=2,'Effectiveness settings'!BX108=2),2,GT108)</f>
        <v>0</v>
      </c>
      <c r="GV108" s="58">
        <f t="shared" si="183"/>
        <v>0</v>
      </c>
      <c r="GW108" s="58">
        <f t="shared" si="184"/>
        <v>0</v>
      </c>
      <c r="GY108" s="58">
        <f>IF(AND(dd_CheckMate214_TTD="Yes",'Effectiveness settings'!BU108=2,'Effectiveness settings'!BX108=2),1,GN108)</f>
        <v>0</v>
      </c>
      <c r="GZ108" s="58">
        <f t="shared" si="185"/>
        <v>0</v>
      </c>
      <c r="HB108" s="58">
        <f t="shared" si="186"/>
        <v>0</v>
      </c>
      <c r="HD108" s="58">
        <f t="shared" si="187"/>
        <v>0</v>
      </c>
      <c r="HE108" s="58">
        <f t="shared" si="188"/>
        <v>0</v>
      </c>
      <c r="HF108" s="58">
        <f t="shared" si="193"/>
        <v>0</v>
      </c>
      <c r="HG108" s="58">
        <f t="shared" si="190"/>
        <v>0</v>
      </c>
      <c r="HH108" s="58">
        <f t="shared" si="194"/>
        <v>0</v>
      </c>
    </row>
    <row r="109" spans="9:216" ht="15.75" hidden="1" x14ac:dyDescent="0.25">
      <c r="I109" s="64"/>
      <c r="J109" s="519"/>
      <c r="K109" s="524"/>
      <c r="L109" s="519"/>
      <c r="M109" s="516"/>
      <c r="N109" s="64"/>
      <c r="O109" s="64"/>
      <c r="P109" s="64"/>
      <c r="Q109" s="519"/>
      <c r="R109" s="516"/>
      <c r="S109" s="497"/>
      <c r="T109" s="497"/>
      <c r="U109" s="497"/>
      <c r="Y109" s="517"/>
      <c r="AA109" s="517"/>
      <c r="AF109" s="517"/>
      <c r="AM109" s="517"/>
      <c r="AO109" s="517"/>
      <c r="AT109" s="517"/>
      <c r="AV109" s="511"/>
      <c r="AW109" s="511"/>
      <c r="AX109" s="511"/>
      <c r="BA109" s="517"/>
      <c r="BC109" s="517"/>
      <c r="BH109" s="517"/>
      <c r="BJ109" s="511"/>
      <c r="BK109" s="511"/>
      <c r="BL109" s="511"/>
      <c r="BQ109" s="58">
        <f t="shared" si="165"/>
        <v>70</v>
      </c>
      <c r="BR109" s="17"/>
      <c r="BS109" s="17"/>
      <c r="BT109" s="17"/>
      <c r="BU109" s="17"/>
      <c r="BV109" s="17"/>
      <c r="BW109" s="17"/>
      <c r="BX109" s="61"/>
      <c r="BY109" s="531"/>
      <c r="BZ109" s="530"/>
      <c r="CA109" s="531"/>
      <c r="CB109" s="530"/>
      <c r="CC109" s="530"/>
      <c r="CD109" s="530"/>
      <c r="CE109" s="1295"/>
      <c r="CF109" s="1301"/>
      <c r="CG109" s="530"/>
      <c r="CH109" s="61"/>
      <c r="CI109" s="61"/>
      <c r="CJ109" s="61"/>
      <c r="DA109" s="1024"/>
      <c r="DB109" s="1024"/>
      <c r="DC109" s="1024"/>
      <c r="DD109" s="1024"/>
      <c r="DE109" s="1024"/>
      <c r="DF109" s="1024"/>
      <c r="DG109" s="1024"/>
      <c r="DK109" s="58" t="str" cm="1">
        <f t="array" ref="DK109">IF(AND($BT109=4,$BX109=4,$BU109=999),$DB$36,_xlfn.IFNA(INDEX(DB$13:DB$70,MATCH(1,($BR109=$CV$13:$CV$70)*($BT109=$CX$13:$CX$70)*($CE109=$CY$13:$CY$70)*($BY109=$DA$13:$DA$70)*($CD109=$DH$13:$DH$70),0)),""))</f>
        <v/>
      </c>
      <c r="DL109" s="58" t="str" cm="1">
        <f t="array" ref="DL109">IF(AND($BT109=4,$BX109=4,$BU109=999),$DC$36,_xlfn.IFNA(INDEX(CHOOSE(DP109,DB$13:DB$70,DC$13:DC$70,DD$13:DD$70,DE$13:DE$70),MATCH(1,($BR109=$CV$13:$CV$70)*($BT109=$CX$13:$CX$70)*($CE109=$CY$13:$CY$70)*($BY109=$DA$13:$DA$70)*($CD109=$DH$13:$DH$70),0)),""))</f>
        <v/>
      </c>
      <c r="DM109" s="740" t="str" cm="1">
        <f t="array" ref="DM109">IF(AND($BT109=4,$BX109=4,$BU109=999),$DD$36,_xlfn.IFNA(INDEX(DD$13:DD$68,MATCH(1,($BR109=$CV$13:$CV$68)*($BT109=$CX$13:$CX$68)*($CE109=$CY$13:$CY$68)*($BY109=$DA$13:$DA$68)*($CD109=$DH$13:$DH$68),0)),""))</f>
        <v/>
      </c>
      <c r="DN109" s="740" t="str" cm="1">
        <f t="array" ref="DN109">IF(AND($BT109=4,$BX109=4,$BU109=999),$DD$36,_xlfn.IFNA(INDEX(DE$13:DE$68,MATCH(1,($BR109=$CV$13:$CV$68)*($BT109=$CX$13:$CX$68)*($CE109=$CY$13:$CY$68)*($BY109=$DA$13:$DA$68)*($CD109=$DH$13:$DH$68),0)),""))</f>
        <v/>
      </c>
      <c r="DO109" s="58" t="str" cm="1">
        <f t="array" ref="DO109">IF(AND($BT109=4,$BX109=4,$BU109=999),$DF$36,_xlfn.IFNA(INDEX(DF$13:DF$70,MATCH(1,($BR109=$CV$13:$CV$70)*($BT109=$CX$13:$CX$70)*($CE109=$CY$13:$CY$70)*($BY109=$DA$13:$DA$70)*($CD109=$DH$13:$DH$70),0)),""))</f>
        <v/>
      </c>
      <c r="DP109" s="58" t="e">
        <f t="shared" si="166"/>
        <v>#N/A</v>
      </c>
      <c r="FT109" s="58">
        <f t="shared" si="167"/>
        <v>0</v>
      </c>
      <c r="FW109" s="58">
        <f>IF(i_baseline_risk_from=2,'Effectiveness settings'!EW109,'Effectiveness settings'!FI109)</f>
        <v>0</v>
      </c>
      <c r="FX109" s="58">
        <f t="shared" si="168"/>
        <v>0</v>
      </c>
      <c r="FY109" s="58">
        <f t="shared" si="169"/>
        <v>0</v>
      </c>
      <c r="FZ109" s="58">
        <f t="shared" si="170"/>
        <v>0</v>
      </c>
      <c r="GA109" s="58">
        <f t="shared" si="171"/>
        <v>0</v>
      </c>
      <c r="GB109" s="58">
        <f t="shared" si="172"/>
        <v>0</v>
      </c>
      <c r="GC109" s="58">
        <f t="shared" si="173"/>
        <v>0</v>
      </c>
      <c r="GD109" s="58">
        <f t="shared" si="174"/>
        <v>0</v>
      </c>
      <c r="GE109" s="58">
        <f>IF(AND(dd_CheckMate214_TTD="Yes",'Effectiveness settings'!BU109=2,'Effectiveness settings'!BX109=2),"Apply HR to",GD109)</f>
        <v>0</v>
      </c>
      <c r="GF109" s="58">
        <f t="shared" si="175"/>
        <v>0</v>
      </c>
      <c r="GG109" s="58">
        <f t="shared" si="176"/>
        <v>0</v>
      </c>
      <c r="GH109" s="58">
        <f t="shared" si="177"/>
        <v>0</v>
      </c>
      <c r="GI109" s="58">
        <f t="shared" ref="GI109:GI133" si="195">GH109</f>
        <v>0</v>
      </c>
      <c r="GK109" s="58">
        <f>IF(i_baseline_risk_from=2,'Effectiveness settings'!FA109,'Effectiveness settings'!FM109)</f>
        <v>0</v>
      </c>
      <c r="GL109" s="58">
        <f>IF(i_baseline_risk_from=2,'Effectiveness settings'!FB109,'Effectiveness settings'!FN109)</f>
        <v>0</v>
      </c>
      <c r="GM109" s="58">
        <f>IF(i_baseline_risk_from=2,'Effectiveness settings'!FC109,'Effectiveness settings'!FO109)</f>
        <v>0</v>
      </c>
      <c r="GN109" s="58">
        <f>IF(i_baseline_risk_from=2,'Effectiveness settings'!FD109,'Effectiveness settings'!FP109)</f>
        <v>0</v>
      </c>
      <c r="GQ109" s="58">
        <f t="shared" si="179"/>
        <v>0</v>
      </c>
      <c r="GR109" s="58">
        <f t="shared" si="180"/>
        <v>0</v>
      </c>
      <c r="GS109" s="58">
        <f t="shared" si="181"/>
        <v>0</v>
      </c>
      <c r="GT109" s="58">
        <f t="shared" si="182"/>
        <v>0</v>
      </c>
      <c r="GU109" s="58">
        <f>IF(AND(dd_CheckMate214_TTD="Yes",'Effectiveness settings'!BU109=2,'Effectiveness settings'!BX109=2),2,GT109)</f>
        <v>0</v>
      </c>
      <c r="GV109" s="58">
        <f t="shared" si="183"/>
        <v>0</v>
      </c>
      <c r="GW109" s="58">
        <f t="shared" si="184"/>
        <v>0</v>
      </c>
      <c r="GY109" s="58">
        <f>IF(AND(dd_CheckMate214_TTD="Yes",'Effectiveness settings'!BU109=2,'Effectiveness settings'!BX109=2),1,GN109)</f>
        <v>0</v>
      </c>
      <c r="GZ109" s="58">
        <f t="shared" si="185"/>
        <v>0</v>
      </c>
      <c r="HB109" s="58">
        <f t="shared" si="186"/>
        <v>0</v>
      </c>
      <c r="HD109" s="58">
        <f t="shared" ref="HD109:HD133" si="196">HB109</f>
        <v>0</v>
      </c>
      <c r="HE109" s="58">
        <f t="shared" ref="HE109:HE133" si="197">GK109</f>
        <v>0</v>
      </c>
      <c r="HF109" s="58">
        <f t="shared" si="193"/>
        <v>0</v>
      </c>
      <c r="HG109" s="58">
        <f t="shared" ref="HG109:HG133" si="198">GM109</f>
        <v>0</v>
      </c>
      <c r="HH109" s="58">
        <f t="shared" si="194"/>
        <v>0</v>
      </c>
    </row>
    <row r="110" spans="9:216" ht="15.75" hidden="1" x14ac:dyDescent="0.25">
      <c r="I110" s="64"/>
      <c r="J110" s="519"/>
      <c r="K110" s="524"/>
      <c r="L110" s="519"/>
      <c r="M110" s="516"/>
      <c r="N110" s="64"/>
      <c r="O110" s="64"/>
      <c r="P110" s="64"/>
      <c r="Q110" s="519"/>
      <c r="R110" s="516"/>
      <c r="S110" s="497"/>
      <c r="T110" s="497"/>
      <c r="U110" s="497"/>
      <c r="Y110" s="517"/>
      <c r="AA110" s="517"/>
      <c r="AF110" s="517"/>
      <c r="AM110" s="517"/>
      <c r="AO110" s="517"/>
      <c r="AT110" s="517"/>
      <c r="AV110" s="511"/>
      <c r="AW110" s="511"/>
      <c r="AX110" s="511"/>
      <c r="BA110" s="517"/>
      <c r="BC110" s="517"/>
      <c r="BH110" s="517"/>
      <c r="BJ110" s="511"/>
      <c r="BK110" s="511"/>
      <c r="BL110" s="511"/>
      <c r="BQ110" s="58">
        <f t="shared" si="165"/>
        <v>70</v>
      </c>
      <c r="BR110" s="17"/>
      <c r="BS110" s="17"/>
      <c r="BT110" s="17"/>
      <c r="BU110" s="17"/>
      <c r="BV110" s="17"/>
      <c r="BW110" s="17"/>
      <c r="BX110" s="61"/>
      <c r="BY110" s="531"/>
      <c r="BZ110" s="530"/>
      <c r="CA110" s="531"/>
      <c r="CB110" s="530"/>
      <c r="CC110" s="530"/>
      <c r="CD110" s="530"/>
      <c r="CE110" s="1295"/>
      <c r="CF110" s="1301"/>
      <c r="CG110" s="530"/>
      <c r="CH110" s="61"/>
      <c r="CI110" s="61"/>
      <c r="CJ110" s="61"/>
      <c r="DA110" s="1024"/>
      <c r="DB110" s="1024"/>
      <c r="DC110" s="1024"/>
      <c r="DD110" s="1024"/>
      <c r="DE110" s="1024"/>
      <c r="DF110" s="1024"/>
      <c r="DG110" s="1024"/>
      <c r="DK110" s="58" t="str" cm="1">
        <f t="array" ref="DK110">IF(AND($BT110=4,$BX110=4,$BU110=999),$DB$36,_xlfn.IFNA(INDEX(DB$13:DB$70,MATCH(1,($BR110=$CV$13:$CV$70)*($BT110=$CX$13:$CX$70)*($CE110=$CY$13:$CY$70)*($BY110=$DA$13:$DA$70)*($CD110=$DH$13:$DH$70),0)),""))</f>
        <v/>
      </c>
      <c r="DL110" s="58" t="str" cm="1">
        <f t="array" ref="DL110">IF(AND($BT110=4,$BX110=4,$BU110=999),$DC$36,_xlfn.IFNA(INDEX(CHOOSE(DP110,DB$13:DB$70,DC$13:DC$70,DD$13:DD$70,DE$13:DE$70),MATCH(1,($BR110=$CV$13:$CV$70)*($BT110=$CX$13:$CX$70)*($CE110=$CY$13:$CY$70)*($BY110=$DA$13:$DA$70)*($CD110=$DH$13:$DH$70),0)),""))</f>
        <v/>
      </c>
      <c r="DM110" s="740" t="str" cm="1">
        <f t="array" ref="DM110">IF(AND($BT110=4,$BX110=4,$BU110=999),$DD$36,_xlfn.IFNA(INDEX(DD$13:DD$68,MATCH(1,($BR110=$CV$13:$CV$68)*($BT110=$CX$13:$CX$68)*($CE110=$CY$13:$CY$68)*($BY110=$DA$13:$DA$68)*($CD110=$DH$13:$DH$68),0)),""))</f>
        <v/>
      </c>
      <c r="DN110" s="740" t="str" cm="1">
        <f t="array" ref="DN110">IF(AND($BT110=4,$BX110=4,$BU110=999),$DD$36,_xlfn.IFNA(INDEX(DE$13:DE$68,MATCH(1,($BR110=$CV$13:$CV$68)*($BT110=$CX$13:$CX$68)*($CE110=$CY$13:$CY$68)*($BY110=$DA$13:$DA$68)*($CD110=$DH$13:$DH$68),0)),""))</f>
        <v/>
      </c>
      <c r="DO110" s="58" t="str" cm="1">
        <f t="array" ref="DO110">IF(AND($BT110=4,$BX110=4,$BU110=999),$DF$36,_xlfn.IFNA(INDEX(DF$13:DF$70,MATCH(1,($BR110=$CV$13:$CV$70)*($BT110=$CX$13:$CX$70)*($CE110=$CY$13:$CY$70)*($BY110=$DA$13:$DA$70)*($CD110=$DH$13:$DH$70),0)),""))</f>
        <v/>
      </c>
      <c r="DP110" s="58" t="e">
        <f t="shared" si="166"/>
        <v>#N/A</v>
      </c>
      <c r="FT110" s="58">
        <f t="shared" si="167"/>
        <v>0</v>
      </c>
      <c r="FW110" s="58">
        <f>IF(i_baseline_risk_from=2,'Effectiveness settings'!EW110,'Effectiveness settings'!FI110)</f>
        <v>0</v>
      </c>
      <c r="FX110" s="58">
        <f t="shared" si="168"/>
        <v>0</v>
      </c>
      <c r="FY110" s="58">
        <f t="shared" si="169"/>
        <v>0</v>
      </c>
      <c r="FZ110" s="58">
        <f t="shared" si="170"/>
        <v>0</v>
      </c>
      <c r="GA110" s="58">
        <f t="shared" si="171"/>
        <v>0</v>
      </c>
      <c r="GB110" s="58">
        <f t="shared" si="172"/>
        <v>0</v>
      </c>
      <c r="GC110" s="58">
        <f t="shared" si="173"/>
        <v>0</v>
      </c>
      <c r="GD110" s="58">
        <f t="shared" si="174"/>
        <v>0</v>
      </c>
      <c r="GE110" s="58">
        <f>IF(AND(dd_CheckMate214_TTD="Yes",'Effectiveness settings'!BU110=2,'Effectiveness settings'!BX110=2),"Apply HR to",GD110)</f>
        <v>0</v>
      </c>
      <c r="GF110" s="58">
        <f t="shared" si="175"/>
        <v>0</v>
      </c>
      <c r="GG110" s="58">
        <f t="shared" si="176"/>
        <v>0</v>
      </c>
      <c r="GH110" s="58">
        <f t="shared" si="177"/>
        <v>0</v>
      </c>
      <c r="GI110" s="58">
        <f t="shared" si="195"/>
        <v>0</v>
      </c>
      <c r="GK110" s="58">
        <f>IF(i_baseline_risk_from=2,'Effectiveness settings'!FA110,'Effectiveness settings'!FM110)</f>
        <v>0</v>
      </c>
      <c r="GL110" s="58">
        <f>IF(i_baseline_risk_from=2,'Effectiveness settings'!FB110,'Effectiveness settings'!FN110)</f>
        <v>0</v>
      </c>
      <c r="GM110" s="58">
        <f>IF(i_baseline_risk_from=2,'Effectiveness settings'!FC110,'Effectiveness settings'!FO110)</f>
        <v>0</v>
      </c>
      <c r="GN110" s="58">
        <f>IF(i_baseline_risk_from=2,'Effectiveness settings'!FD110,'Effectiveness settings'!FP110)</f>
        <v>0</v>
      </c>
      <c r="GQ110" s="58">
        <f t="shared" si="179"/>
        <v>0</v>
      </c>
      <c r="GR110" s="58">
        <f t="shared" si="180"/>
        <v>0</v>
      </c>
      <c r="GS110" s="58">
        <f t="shared" si="181"/>
        <v>0</v>
      </c>
      <c r="GT110" s="58">
        <f t="shared" si="182"/>
        <v>0</v>
      </c>
      <c r="GU110" s="58">
        <f>IF(AND(dd_CheckMate214_TTD="Yes",'Effectiveness settings'!BU110=2,'Effectiveness settings'!BX110=2),2,GT110)</f>
        <v>0</v>
      </c>
      <c r="GV110" s="58">
        <f t="shared" si="183"/>
        <v>0</v>
      </c>
      <c r="GW110" s="58">
        <f t="shared" si="184"/>
        <v>0</v>
      </c>
      <c r="GY110" s="58">
        <f>IF(AND(dd_CheckMate214_TTD="Yes",'Effectiveness settings'!BU110=2,'Effectiveness settings'!BX110=2),1,GN110)</f>
        <v>0</v>
      </c>
      <c r="GZ110" s="58">
        <f t="shared" si="185"/>
        <v>0</v>
      </c>
      <c r="HB110" s="58">
        <f t="shared" si="186"/>
        <v>0</v>
      </c>
      <c r="HD110" s="58">
        <f t="shared" si="196"/>
        <v>0</v>
      </c>
      <c r="HE110" s="58">
        <f t="shared" si="197"/>
        <v>0</v>
      </c>
      <c r="HF110" s="58">
        <f t="shared" si="193"/>
        <v>0</v>
      </c>
      <c r="HG110" s="58">
        <f t="shared" si="198"/>
        <v>0</v>
      </c>
      <c r="HH110" s="58">
        <f t="shared" si="194"/>
        <v>0</v>
      </c>
    </row>
    <row r="111" spans="9:216" ht="15.75" hidden="1" x14ac:dyDescent="0.25">
      <c r="I111" s="64"/>
      <c r="J111" s="519"/>
      <c r="K111" s="524"/>
      <c r="L111" s="519"/>
      <c r="M111" s="516"/>
      <c r="N111" s="64"/>
      <c r="O111" s="64"/>
      <c r="P111" s="64"/>
      <c r="Q111" s="519"/>
      <c r="R111" s="516"/>
      <c r="S111" s="497"/>
      <c r="T111" s="497"/>
      <c r="U111" s="497"/>
      <c r="Y111" s="517"/>
      <c r="AA111" s="517"/>
      <c r="AF111" s="517"/>
      <c r="AM111" s="517"/>
      <c r="AO111" s="517"/>
      <c r="AT111" s="517"/>
      <c r="AV111" s="511"/>
      <c r="AW111" s="511"/>
      <c r="AX111" s="511"/>
      <c r="BA111" s="517"/>
      <c r="BC111" s="517"/>
      <c r="BH111" s="517"/>
      <c r="BJ111" s="511"/>
      <c r="BK111" s="511"/>
      <c r="BL111" s="511"/>
      <c r="BQ111" s="58">
        <f t="shared" si="165"/>
        <v>70</v>
      </c>
      <c r="BR111" s="17"/>
      <c r="BS111" s="17"/>
      <c r="BT111" s="17"/>
      <c r="BU111" s="17"/>
      <c r="BV111" s="17"/>
      <c r="BW111" s="17"/>
      <c r="BX111" s="61"/>
      <c r="BY111" s="531"/>
      <c r="BZ111" s="530"/>
      <c r="CA111" s="531"/>
      <c r="CB111" s="530"/>
      <c r="CC111" s="530"/>
      <c r="CD111" s="530"/>
      <c r="CE111" s="1295"/>
      <c r="CF111" s="1301"/>
      <c r="CG111" s="530"/>
      <c r="CH111" s="61"/>
      <c r="CI111" s="61"/>
      <c r="CJ111" s="61"/>
      <c r="DA111" s="1024"/>
      <c r="DB111" s="1024"/>
      <c r="DC111" s="1024"/>
      <c r="DD111" s="1024"/>
      <c r="DE111" s="1024"/>
      <c r="DF111" s="1024"/>
      <c r="DG111" s="1024"/>
      <c r="DK111" s="58" t="str" cm="1">
        <f t="array" ref="DK111">IF(AND($BT111=4,$BX111=4,$BU111=999),$DB$36,_xlfn.IFNA(INDEX(DB$13:DB$70,MATCH(1,($BR111=$CV$13:$CV$70)*($BT111=$CX$13:$CX$70)*($CE111=$CY$13:$CY$70)*($BY111=$DA$13:$DA$70)*($CD111=$DH$13:$DH$70),0)),""))</f>
        <v/>
      </c>
      <c r="DL111" s="58" t="str" cm="1">
        <f t="array" ref="DL111">IF(AND($BT111=4,$BX111=4,$BU111=999),$DC$36,_xlfn.IFNA(INDEX(CHOOSE(DP111,DB$13:DB$70,DC$13:DC$70,DD$13:DD$70,DE$13:DE$70),MATCH(1,($BR111=$CV$13:$CV$70)*($BT111=$CX$13:$CX$70)*($CE111=$CY$13:$CY$70)*($BY111=$DA$13:$DA$70)*($CD111=$DH$13:$DH$70),0)),""))</f>
        <v/>
      </c>
      <c r="DM111" s="740" t="str" cm="1">
        <f t="array" ref="DM111">IF(AND($BT111=4,$BX111=4,$BU111=999),$DD$36,_xlfn.IFNA(INDEX(DD$13:DD$68,MATCH(1,($BR111=$CV$13:$CV$68)*($BT111=$CX$13:$CX$68)*($CE111=$CY$13:$CY$68)*($BY111=$DA$13:$DA$68)*($CD111=$DH$13:$DH$68),0)),""))</f>
        <v/>
      </c>
      <c r="DN111" s="740" t="str" cm="1">
        <f t="array" ref="DN111">IF(AND($BT111=4,$BX111=4,$BU111=999),$DD$36,_xlfn.IFNA(INDEX(DE$13:DE$68,MATCH(1,($BR111=$CV$13:$CV$68)*($BT111=$CX$13:$CX$68)*($CE111=$CY$13:$CY$68)*($BY111=$DA$13:$DA$68)*($CD111=$DH$13:$DH$68),0)),""))</f>
        <v/>
      </c>
      <c r="DO111" s="58" t="str" cm="1">
        <f t="array" ref="DO111">IF(AND($BT111=4,$BX111=4,$BU111=999),$DF$36,_xlfn.IFNA(INDEX(DF$13:DF$70,MATCH(1,($BR111=$CV$13:$CV$70)*($BT111=$CX$13:$CX$70)*($CE111=$CY$13:$CY$70)*($BY111=$DA$13:$DA$70)*($CD111=$DH$13:$DH$70),0)),""))</f>
        <v/>
      </c>
      <c r="DP111" s="58" t="e">
        <f t="shared" si="166"/>
        <v>#N/A</v>
      </c>
      <c r="FT111" s="58">
        <f t="shared" si="167"/>
        <v>0</v>
      </c>
      <c r="FW111" s="58">
        <f>IF(i_baseline_risk_from=2,'Effectiveness settings'!EW111,'Effectiveness settings'!FI111)</f>
        <v>0</v>
      </c>
      <c r="FX111" s="58">
        <f t="shared" si="168"/>
        <v>0</v>
      </c>
      <c r="FY111" s="58">
        <f t="shared" si="169"/>
        <v>0</v>
      </c>
      <c r="FZ111" s="58">
        <f t="shared" si="170"/>
        <v>0</v>
      </c>
      <c r="GA111" s="58">
        <f t="shared" si="171"/>
        <v>0</v>
      </c>
      <c r="GB111" s="58">
        <f t="shared" si="172"/>
        <v>0</v>
      </c>
      <c r="GC111" s="58">
        <f t="shared" si="173"/>
        <v>0</v>
      </c>
      <c r="GD111" s="58">
        <f t="shared" si="174"/>
        <v>0</v>
      </c>
      <c r="GE111" s="58">
        <f>IF(AND(dd_CheckMate214_TTD="Yes",'Effectiveness settings'!BU111=2,'Effectiveness settings'!BX111=2),"Apply HR to",GD111)</f>
        <v>0</v>
      </c>
      <c r="GF111" s="58">
        <f t="shared" si="175"/>
        <v>0</v>
      </c>
      <c r="GG111" s="58">
        <f t="shared" si="176"/>
        <v>0</v>
      </c>
      <c r="GH111" s="58">
        <f t="shared" si="177"/>
        <v>0</v>
      </c>
      <c r="GI111" s="58">
        <f t="shared" si="195"/>
        <v>0</v>
      </c>
      <c r="GK111" s="58">
        <f>IF(i_baseline_risk_from=2,'Effectiveness settings'!FA111,'Effectiveness settings'!FM111)</f>
        <v>0</v>
      </c>
      <c r="GL111" s="58">
        <f>IF(i_baseline_risk_from=2,'Effectiveness settings'!FB111,'Effectiveness settings'!FN111)</f>
        <v>0</v>
      </c>
      <c r="GM111" s="58">
        <f>IF(i_baseline_risk_from=2,'Effectiveness settings'!FC111,'Effectiveness settings'!FO111)</f>
        <v>0</v>
      </c>
      <c r="GN111" s="58">
        <f>IF(i_baseline_risk_from=2,'Effectiveness settings'!FD111,'Effectiveness settings'!FP111)</f>
        <v>0</v>
      </c>
      <c r="GQ111" s="58">
        <f t="shared" si="179"/>
        <v>0</v>
      </c>
      <c r="GR111" s="58">
        <f t="shared" si="180"/>
        <v>0</v>
      </c>
      <c r="GS111" s="58">
        <f t="shared" si="181"/>
        <v>0</v>
      </c>
      <c r="GT111" s="58">
        <f t="shared" si="182"/>
        <v>0</v>
      </c>
      <c r="GU111" s="58">
        <f>IF(AND(dd_CheckMate214_TTD="Yes",'Effectiveness settings'!BU111=2,'Effectiveness settings'!BX111=2),2,GT111)</f>
        <v>0</v>
      </c>
      <c r="GV111" s="58">
        <f t="shared" si="183"/>
        <v>0</v>
      </c>
      <c r="GW111" s="58">
        <f t="shared" si="184"/>
        <v>0</v>
      </c>
      <c r="GY111" s="58">
        <f>IF(AND(dd_CheckMate214_TTD="Yes",'Effectiveness settings'!BU111=2,'Effectiveness settings'!BX111=2),1,GN111)</f>
        <v>0</v>
      </c>
      <c r="GZ111" s="58">
        <f t="shared" si="185"/>
        <v>0</v>
      </c>
      <c r="HB111" s="58">
        <f t="shared" si="186"/>
        <v>0</v>
      </c>
      <c r="HD111" s="58">
        <f t="shared" si="196"/>
        <v>0</v>
      </c>
      <c r="HE111" s="58">
        <f t="shared" si="197"/>
        <v>0</v>
      </c>
      <c r="HF111" s="58">
        <f t="shared" si="193"/>
        <v>0</v>
      </c>
      <c r="HG111" s="58">
        <f t="shared" si="198"/>
        <v>0</v>
      </c>
      <c r="HH111" s="58">
        <f t="shared" si="194"/>
        <v>0</v>
      </c>
    </row>
    <row r="112" spans="9:216" ht="15.75" hidden="1" x14ac:dyDescent="0.25">
      <c r="I112" s="64"/>
      <c r="J112" s="519"/>
      <c r="K112" s="524"/>
      <c r="L112" s="519"/>
      <c r="M112" s="516"/>
      <c r="N112" s="64"/>
      <c r="O112" s="64"/>
      <c r="P112" s="64"/>
      <c r="Q112" s="519"/>
      <c r="R112" s="516"/>
      <c r="S112" s="497"/>
      <c r="T112" s="497"/>
      <c r="U112" s="497"/>
      <c r="Y112" s="517"/>
      <c r="AA112" s="517"/>
      <c r="AF112" s="517"/>
      <c r="AM112" s="517"/>
      <c r="AO112" s="517"/>
      <c r="AT112" s="517"/>
      <c r="AV112" s="511"/>
      <c r="AW112" s="511"/>
      <c r="AX112" s="511"/>
      <c r="BA112" s="517"/>
      <c r="BC112" s="517"/>
      <c r="BH112" s="517"/>
      <c r="BJ112" s="511"/>
      <c r="BK112" s="511"/>
      <c r="BL112" s="511"/>
      <c r="BQ112" s="58">
        <f t="shared" si="165"/>
        <v>70</v>
      </c>
      <c r="BR112" s="17"/>
      <c r="BS112" s="17"/>
      <c r="BT112" s="17"/>
      <c r="BU112" s="17"/>
      <c r="BV112" s="17"/>
      <c r="BW112" s="17"/>
      <c r="BX112" s="61"/>
      <c r="BY112" s="531"/>
      <c r="BZ112" s="530"/>
      <c r="CA112" s="531"/>
      <c r="CB112" s="530"/>
      <c r="CC112" s="530"/>
      <c r="CD112" s="530"/>
      <c r="CE112" s="1295"/>
      <c r="CF112" s="1301"/>
      <c r="CG112" s="530"/>
      <c r="CH112" s="61"/>
      <c r="CI112" s="61"/>
      <c r="CJ112" s="61"/>
      <c r="DA112" s="1024"/>
      <c r="DB112" s="1024"/>
      <c r="DC112" s="1024"/>
      <c r="DD112" s="1024"/>
      <c r="DE112" s="1024"/>
      <c r="DF112" s="1024"/>
      <c r="DG112" s="1024"/>
      <c r="DK112" s="58" t="str" cm="1">
        <f t="array" ref="DK112">IF(AND($BT112=4,$BX112=4,$BU112=999),$DB$36,_xlfn.IFNA(INDEX(DB$13:DB$70,MATCH(1,($BR112=$CV$13:$CV$70)*($BT112=$CX$13:$CX$70)*($CE112=$CY$13:$CY$70)*($BY112=$DA$13:$DA$70)*($CD112=$DH$13:$DH$70),0)),""))</f>
        <v/>
      </c>
      <c r="DL112" s="58" t="str" cm="1">
        <f t="array" ref="DL112">IF(AND($BT112=4,$BX112=4,$BU112=999),$DC$36,_xlfn.IFNA(INDEX(CHOOSE(DP112,DB$13:DB$70,DC$13:DC$70,DD$13:DD$70,DE$13:DE$70),MATCH(1,($BR112=$CV$13:$CV$70)*($BT112=$CX$13:$CX$70)*($CE112=$CY$13:$CY$70)*($BY112=$DA$13:$DA$70)*($CD112=$DH$13:$DH$70),0)),""))</f>
        <v/>
      </c>
      <c r="DM112" s="740" t="str" cm="1">
        <f t="array" ref="DM112">IF(AND($BT112=4,$BX112=4,$BU112=999),$DD$36,_xlfn.IFNA(INDEX(DD$13:DD$68,MATCH(1,($BR112=$CV$13:$CV$68)*($BT112=$CX$13:$CX$68)*($CE112=$CY$13:$CY$68)*($BY112=$DA$13:$DA$68)*($CD112=$DH$13:$DH$68),0)),""))</f>
        <v/>
      </c>
      <c r="DN112" s="740" t="str" cm="1">
        <f t="array" ref="DN112">IF(AND($BT112=4,$BX112=4,$BU112=999),$DD$36,_xlfn.IFNA(INDEX(DE$13:DE$68,MATCH(1,($BR112=$CV$13:$CV$68)*($BT112=$CX$13:$CX$68)*($CE112=$CY$13:$CY$68)*($BY112=$DA$13:$DA$68)*($CD112=$DH$13:$DH$68),0)),""))</f>
        <v/>
      </c>
      <c r="DO112" s="58" t="str" cm="1">
        <f t="array" ref="DO112">IF(AND($BT112=4,$BX112=4,$BU112=999),$DF$36,_xlfn.IFNA(INDEX(DF$13:DF$70,MATCH(1,($BR112=$CV$13:$CV$70)*($BT112=$CX$13:$CX$70)*($CE112=$CY$13:$CY$70)*($BY112=$DA$13:$DA$70)*($CD112=$DH$13:$DH$70),0)),""))</f>
        <v/>
      </c>
      <c r="DP112" s="58" t="e">
        <f t="shared" si="166"/>
        <v>#N/A</v>
      </c>
      <c r="FT112" s="58">
        <f t="shared" si="167"/>
        <v>0</v>
      </c>
      <c r="FW112" s="58">
        <f>IF(i_baseline_risk_from=2,'Effectiveness settings'!EW112,'Effectiveness settings'!FI112)</f>
        <v>0</v>
      </c>
      <c r="FX112" s="58">
        <f t="shared" si="168"/>
        <v>0</v>
      </c>
      <c r="FY112" s="58">
        <f t="shared" si="169"/>
        <v>0</v>
      </c>
      <c r="FZ112" s="58">
        <f t="shared" si="170"/>
        <v>0</v>
      </c>
      <c r="GA112" s="58">
        <f t="shared" si="171"/>
        <v>0</v>
      </c>
      <c r="GB112" s="58">
        <f t="shared" si="172"/>
        <v>0</v>
      </c>
      <c r="GC112" s="58">
        <f t="shared" si="173"/>
        <v>0</v>
      </c>
      <c r="GD112" s="58">
        <f t="shared" si="174"/>
        <v>0</v>
      </c>
      <c r="GE112" s="58">
        <f>IF(AND(dd_CheckMate214_TTD="Yes",'Effectiveness settings'!BU112=2,'Effectiveness settings'!BX112=2),"Apply HR to",GD112)</f>
        <v>0</v>
      </c>
      <c r="GF112" s="58">
        <f t="shared" si="175"/>
        <v>0</v>
      </c>
      <c r="GG112" s="58">
        <f t="shared" si="176"/>
        <v>0</v>
      </c>
      <c r="GH112" s="58">
        <f t="shared" si="177"/>
        <v>0</v>
      </c>
      <c r="GI112" s="58">
        <f t="shared" si="195"/>
        <v>0</v>
      </c>
      <c r="GK112" s="58">
        <f>IF(i_baseline_risk_from=2,'Effectiveness settings'!FA112,'Effectiveness settings'!FM112)</f>
        <v>0</v>
      </c>
      <c r="GL112" s="58">
        <f>IF(i_baseline_risk_from=2,'Effectiveness settings'!FB112,'Effectiveness settings'!FN112)</f>
        <v>0</v>
      </c>
      <c r="GM112" s="58">
        <f>IF(i_baseline_risk_from=2,'Effectiveness settings'!FC112,'Effectiveness settings'!FO112)</f>
        <v>0</v>
      </c>
      <c r="GN112" s="58">
        <f>IF(i_baseline_risk_from=2,'Effectiveness settings'!FD112,'Effectiveness settings'!FP112)</f>
        <v>0</v>
      </c>
      <c r="GQ112" s="58">
        <f t="shared" si="179"/>
        <v>0</v>
      </c>
      <c r="GR112" s="58">
        <f t="shared" si="180"/>
        <v>0</v>
      </c>
      <c r="GS112" s="58">
        <f t="shared" si="181"/>
        <v>0</v>
      </c>
      <c r="GT112" s="58">
        <f t="shared" si="182"/>
        <v>0</v>
      </c>
      <c r="GU112" s="58">
        <f>IF(AND(dd_CheckMate214_TTD="Yes",'Effectiveness settings'!BU112=2,'Effectiveness settings'!BX112=2),2,GT112)</f>
        <v>0</v>
      </c>
      <c r="GV112" s="58">
        <f t="shared" si="183"/>
        <v>0</v>
      </c>
      <c r="GW112" s="58">
        <f t="shared" si="184"/>
        <v>0</v>
      </c>
      <c r="GY112" s="58">
        <f>IF(AND(dd_CheckMate214_TTD="Yes",'Effectiveness settings'!BU112=2,'Effectiveness settings'!BX112=2),1,GN112)</f>
        <v>0</v>
      </c>
      <c r="GZ112" s="58">
        <f t="shared" si="185"/>
        <v>0</v>
      </c>
      <c r="HB112" s="58">
        <f t="shared" si="186"/>
        <v>0</v>
      </c>
      <c r="HD112" s="58">
        <f t="shared" si="196"/>
        <v>0</v>
      </c>
      <c r="HE112" s="58">
        <f t="shared" si="197"/>
        <v>0</v>
      </c>
      <c r="HF112" s="58">
        <f t="shared" si="193"/>
        <v>0</v>
      </c>
      <c r="HG112" s="58">
        <f t="shared" si="198"/>
        <v>0</v>
      </c>
      <c r="HH112" s="58">
        <f t="shared" si="194"/>
        <v>0</v>
      </c>
    </row>
    <row r="113" spans="9:216" ht="15.75" hidden="1" x14ac:dyDescent="0.25">
      <c r="I113" s="64"/>
      <c r="J113" s="519"/>
      <c r="K113" s="524"/>
      <c r="L113" s="519"/>
      <c r="M113" s="516"/>
      <c r="N113" s="64"/>
      <c r="O113" s="64"/>
      <c r="P113" s="64"/>
      <c r="Q113" s="519"/>
      <c r="R113" s="516"/>
      <c r="S113" s="497"/>
      <c r="T113" s="497"/>
      <c r="U113" s="497"/>
      <c r="Y113" s="517"/>
      <c r="AA113" s="517"/>
      <c r="AF113" s="517"/>
      <c r="AM113" s="517"/>
      <c r="AO113" s="517"/>
      <c r="AT113" s="517"/>
      <c r="AV113" s="511"/>
      <c r="AW113" s="511"/>
      <c r="AX113" s="511"/>
      <c r="BA113" s="517"/>
      <c r="BC113" s="517"/>
      <c r="BH113" s="517"/>
      <c r="BJ113" s="511"/>
      <c r="BK113" s="511"/>
      <c r="BL113" s="511"/>
      <c r="BQ113" s="58">
        <f t="shared" si="165"/>
        <v>70</v>
      </c>
      <c r="BR113" s="17"/>
      <c r="BS113" s="17"/>
      <c r="BT113" s="17"/>
      <c r="BU113" s="17"/>
      <c r="BV113" s="17"/>
      <c r="BW113" s="17"/>
      <c r="BX113" s="61"/>
      <c r="BY113" s="531"/>
      <c r="BZ113" s="530"/>
      <c r="CA113" s="531"/>
      <c r="CB113" s="530"/>
      <c r="CC113" s="530"/>
      <c r="CD113" s="530"/>
      <c r="CE113" s="1295"/>
      <c r="CF113" s="1301"/>
      <c r="CG113" s="530"/>
      <c r="CH113" s="61"/>
      <c r="CI113" s="61"/>
      <c r="CJ113" s="61"/>
      <c r="DA113" s="1024"/>
      <c r="DB113" s="1024"/>
      <c r="DC113" s="1024"/>
      <c r="DD113" s="1024"/>
      <c r="DE113" s="1024"/>
      <c r="DF113" s="1024"/>
      <c r="DG113" s="1024"/>
      <c r="DK113" s="58" t="str" cm="1">
        <f t="array" ref="DK113">IF(AND($BT113=4,$BX113=4,$BU113=999),$DB$36,_xlfn.IFNA(INDEX(DB$13:DB$70,MATCH(1,($BR113=$CV$13:$CV$70)*($BT113=$CX$13:$CX$70)*($CE113=$CY$13:$CY$70)*($BY113=$DA$13:$DA$70)*($CD113=$DH$13:$DH$70),0)),""))</f>
        <v/>
      </c>
      <c r="DL113" s="58" t="str" cm="1">
        <f t="array" ref="DL113">IF(AND($BT113=4,$BX113=4,$BU113=999),$DC$36,_xlfn.IFNA(INDEX(CHOOSE(DP113,DB$13:DB$70,DC$13:DC$70,DD$13:DD$70,DE$13:DE$70),MATCH(1,($BR113=$CV$13:$CV$70)*($BT113=$CX$13:$CX$70)*($CE113=$CY$13:$CY$70)*($BY113=$DA$13:$DA$70)*($CD113=$DH$13:$DH$70),0)),""))</f>
        <v/>
      </c>
      <c r="DM113" s="740" t="str" cm="1">
        <f t="array" ref="DM113">IF(AND($BT113=4,$BX113=4,$BU113=999),$DD$36,_xlfn.IFNA(INDEX(DD$13:DD$68,MATCH(1,($BR113=$CV$13:$CV$68)*($BT113=$CX$13:$CX$68)*($CE113=$CY$13:$CY$68)*($BY113=$DA$13:$DA$68)*($CD113=$DH$13:$DH$68),0)),""))</f>
        <v/>
      </c>
      <c r="DN113" s="740" t="str" cm="1">
        <f t="array" ref="DN113">IF(AND($BT113=4,$BX113=4,$BU113=999),$DD$36,_xlfn.IFNA(INDEX(DE$13:DE$68,MATCH(1,($BR113=$CV$13:$CV$68)*($BT113=$CX$13:$CX$68)*($CE113=$CY$13:$CY$68)*($BY113=$DA$13:$DA$68)*($CD113=$DH$13:$DH$68),0)),""))</f>
        <v/>
      </c>
      <c r="DO113" s="58" t="str" cm="1">
        <f t="array" ref="DO113">IF(AND($BT113=4,$BX113=4,$BU113=999),$DF$36,_xlfn.IFNA(INDEX(DF$13:DF$70,MATCH(1,($BR113=$CV$13:$CV$70)*($BT113=$CX$13:$CX$70)*($CE113=$CY$13:$CY$70)*($BY113=$DA$13:$DA$70)*($CD113=$DH$13:$DH$70),0)),""))</f>
        <v/>
      </c>
      <c r="DP113" s="58" t="e">
        <f t="shared" si="166"/>
        <v>#N/A</v>
      </c>
      <c r="FT113" s="58">
        <f t="shared" si="167"/>
        <v>0</v>
      </c>
      <c r="FW113" s="58">
        <f>IF(i_baseline_risk_from=2,'Effectiveness settings'!EW113,'Effectiveness settings'!FI113)</f>
        <v>0</v>
      </c>
      <c r="FX113" s="58">
        <f t="shared" si="168"/>
        <v>0</v>
      </c>
      <c r="FY113" s="58">
        <f t="shared" si="169"/>
        <v>0</v>
      </c>
      <c r="FZ113" s="58">
        <f t="shared" si="170"/>
        <v>0</v>
      </c>
      <c r="GA113" s="58">
        <f t="shared" si="171"/>
        <v>0</v>
      </c>
      <c r="GB113" s="58">
        <f t="shared" si="172"/>
        <v>0</v>
      </c>
      <c r="GC113" s="58">
        <f t="shared" si="173"/>
        <v>0</v>
      </c>
      <c r="GD113" s="58">
        <f t="shared" si="174"/>
        <v>0</v>
      </c>
      <c r="GE113" s="58">
        <f>IF(AND(dd_CheckMate214_TTD="Yes",'Effectiveness settings'!BU113=2,'Effectiveness settings'!BX113=2),"Apply HR to",GD113)</f>
        <v>0</v>
      </c>
      <c r="GF113" s="58">
        <f t="shared" si="175"/>
        <v>0</v>
      </c>
      <c r="GG113" s="58">
        <f t="shared" si="176"/>
        <v>0</v>
      </c>
      <c r="GH113" s="58">
        <f t="shared" si="177"/>
        <v>0</v>
      </c>
      <c r="GI113" s="58">
        <f t="shared" si="195"/>
        <v>0</v>
      </c>
      <c r="GK113" s="58">
        <f>IF(i_baseline_risk_from=2,'Effectiveness settings'!FA113,'Effectiveness settings'!FM113)</f>
        <v>0</v>
      </c>
      <c r="GL113" s="58">
        <f>IF(i_baseline_risk_from=2,'Effectiveness settings'!FB113,'Effectiveness settings'!FN113)</f>
        <v>0</v>
      </c>
      <c r="GM113" s="58">
        <f>IF(i_baseline_risk_from=2,'Effectiveness settings'!FC113,'Effectiveness settings'!FO113)</f>
        <v>0</v>
      </c>
      <c r="GN113" s="58">
        <f>IF(i_baseline_risk_from=2,'Effectiveness settings'!FD113,'Effectiveness settings'!FP113)</f>
        <v>0</v>
      </c>
      <c r="GQ113" s="58">
        <f t="shared" si="179"/>
        <v>0</v>
      </c>
      <c r="GR113" s="58">
        <f t="shared" si="180"/>
        <v>0</v>
      </c>
      <c r="GS113" s="58">
        <f t="shared" si="181"/>
        <v>0</v>
      </c>
      <c r="GT113" s="58">
        <f t="shared" si="182"/>
        <v>0</v>
      </c>
      <c r="GU113" s="58">
        <f>IF(AND(dd_CheckMate214_TTD="Yes",'Effectiveness settings'!BU113=2,'Effectiveness settings'!BX113=2),2,GT113)</f>
        <v>0</v>
      </c>
      <c r="GV113" s="58">
        <f t="shared" si="183"/>
        <v>0</v>
      </c>
      <c r="GW113" s="58">
        <f t="shared" si="184"/>
        <v>0</v>
      </c>
      <c r="GY113" s="58">
        <f>IF(AND(dd_CheckMate214_TTD="Yes",'Effectiveness settings'!BU113=2,'Effectiveness settings'!BX113=2),1,GN113)</f>
        <v>0</v>
      </c>
      <c r="GZ113" s="58">
        <f t="shared" si="185"/>
        <v>0</v>
      </c>
      <c r="HB113" s="58">
        <f t="shared" si="186"/>
        <v>0</v>
      </c>
      <c r="HD113" s="58">
        <f t="shared" si="196"/>
        <v>0</v>
      </c>
      <c r="HE113" s="58">
        <f t="shared" si="197"/>
        <v>0</v>
      </c>
      <c r="HF113" s="58">
        <f t="shared" si="193"/>
        <v>0</v>
      </c>
      <c r="HG113" s="58">
        <f t="shared" si="198"/>
        <v>0</v>
      </c>
      <c r="HH113" s="58">
        <f t="shared" si="194"/>
        <v>0</v>
      </c>
    </row>
    <row r="114" spans="9:216" ht="15.75" hidden="1" x14ac:dyDescent="0.25">
      <c r="I114" s="64"/>
      <c r="J114" s="519"/>
      <c r="K114" s="524"/>
      <c r="L114" s="519"/>
      <c r="M114" s="516"/>
      <c r="N114" s="64"/>
      <c r="O114" s="64"/>
      <c r="P114" s="64"/>
      <c r="Q114" s="519"/>
      <c r="R114" s="516"/>
      <c r="S114" s="497"/>
      <c r="T114" s="497"/>
      <c r="U114" s="497"/>
      <c r="Y114" s="517"/>
      <c r="AA114" s="517"/>
      <c r="AF114" s="517"/>
      <c r="AM114" s="517"/>
      <c r="AO114" s="517"/>
      <c r="AT114" s="517"/>
      <c r="AV114" s="511"/>
      <c r="AW114" s="511"/>
      <c r="AX114" s="511"/>
      <c r="BA114" s="517"/>
      <c r="BC114" s="517"/>
      <c r="BH114" s="517"/>
      <c r="BJ114" s="511"/>
      <c r="BK114" s="511"/>
      <c r="BL114" s="511"/>
      <c r="BQ114" s="58">
        <f t="shared" si="165"/>
        <v>70</v>
      </c>
      <c r="BR114" s="17"/>
      <c r="BS114" s="17"/>
      <c r="BT114" s="17"/>
      <c r="BU114" s="17"/>
      <c r="BV114" s="17"/>
      <c r="BW114" s="17"/>
      <c r="BX114" s="61"/>
      <c r="BY114" s="531"/>
      <c r="BZ114" s="530"/>
      <c r="CA114" s="531"/>
      <c r="CB114" s="530"/>
      <c r="CC114" s="530"/>
      <c r="CD114" s="530"/>
      <c r="CE114" s="1295"/>
      <c r="CF114" s="1301"/>
      <c r="CG114" s="530"/>
      <c r="CH114" s="61"/>
      <c r="CI114" s="61"/>
      <c r="CJ114" s="61"/>
      <c r="DA114" s="1024"/>
      <c r="DB114" s="1024"/>
      <c r="DC114" s="1024"/>
      <c r="DD114" s="1024"/>
      <c r="DE114" s="1024"/>
      <c r="DF114" s="1024"/>
      <c r="DG114" s="1024"/>
      <c r="DK114" s="58" t="str" cm="1">
        <f t="array" ref="DK114">IF(AND($BT114=4,$BX114=4,$BU114=999),$DB$36,_xlfn.IFNA(INDEX(DB$13:DB$70,MATCH(1,($BR114=$CV$13:$CV$70)*($BT114=$CX$13:$CX$70)*($CE114=$CY$13:$CY$70)*($BY114=$DA$13:$DA$70)*($CD114=$DH$13:$DH$70),0)),""))</f>
        <v/>
      </c>
      <c r="DL114" s="58" t="str" cm="1">
        <f t="array" ref="DL114">IF(AND($BT114=4,$BX114=4,$BU114=999),$DC$36,_xlfn.IFNA(INDEX(CHOOSE(DP114,DB$13:DB$70,DC$13:DC$70,DD$13:DD$70,DE$13:DE$70),MATCH(1,($BR114=$CV$13:$CV$70)*($BT114=$CX$13:$CX$70)*($CE114=$CY$13:$CY$70)*($BY114=$DA$13:$DA$70)*($CD114=$DH$13:$DH$70),0)),""))</f>
        <v/>
      </c>
      <c r="DM114" s="740" t="str" cm="1">
        <f t="array" ref="DM114">IF(AND($BT114=4,$BX114=4,$BU114=999),$DD$36,_xlfn.IFNA(INDEX(DD$13:DD$68,MATCH(1,($BR114=$CV$13:$CV$68)*($BT114=$CX$13:$CX$68)*($CE114=$CY$13:$CY$68)*($BY114=$DA$13:$DA$68)*($CD114=$DH$13:$DH$68),0)),""))</f>
        <v/>
      </c>
      <c r="DN114" s="740" t="str" cm="1">
        <f t="array" ref="DN114">IF(AND($BT114=4,$BX114=4,$BU114=999),$DD$36,_xlfn.IFNA(INDEX(DE$13:DE$68,MATCH(1,($BR114=$CV$13:$CV$68)*($BT114=$CX$13:$CX$68)*($CE114=$CY$13:$CY$68)*($BY114=$DA$13:$DA$68)*($CD114=$DH$13:$DH$68),0)),""))</f>
        <v/>
      </c>
      <c r="DO114" s="58" t="str" cm="1">
        <f t="array" ref="DO114">IF(AND($BT114=4,$BX114=4,$BU114=999),$DF$36,_xlfn.IFNA(INDEX(DF$13:DF$70,MATCH(1,($BR114=$CV$13:$CV$70)*($BT114=$CX$13:$CX$70)*($CE114=$CY$13:$CY$70)*($BY114=$DA$13:$DA$70)*($CD114=$DH$13:$DH$70),0)),""))</f>
        <v/>
      </c>
      <c r="DP114" s="58" t="e">
        <f t="shared" si="166"/>
        <v>#N/A</v>
      </c>
      <c r="FT114" s="58">
        <f t="shared" si="167"/>
        <v>0</v>
      </c>
      <c r="FW114" s="58">
        <f>IF(i_baseline_risk_from=2,'Effectiveness settings'!EW114,'Effectiveness settings'!FI114)</f>
        <v>0</v>
      </c>
      <c r="FX114" s="58">
        <f t="shared" si="168"/>
        <v>0</v>
      </c>
      <c r="FY114" s="58">
        <f t="shared" si="169"/>
        <v>0</v>
      </c>
      <c r="FZ114" s="58">
        <f t="shared" si="170"/>
        <v>0</v>
      </c>
      <c r="GA114" s="58">
        <f t="shared" si="171"/>
        <v>0</v>
      </c>
      <c r="GB114" s="58">
        <f t="shared" si="172"/>
        <v>0</v>
      </c>
      <c r="GC114" s="58">
        <f t="shared" si="173"/>
        <v>0</v>
      </c>
      <c r="GD114" s="58">
        <f t="shared" si="174"/>
        <v>0</v>
      </c>
      <c r="GE114" s="58">
        <f>IF(AND(dd_CheckMate214_TTD="Yes",'Effectiveness settings'!BU114=2,'Effectiveness settings'!BX114=2),"Apply HR to",GD114)</f>
        <v>0</v>
      </c>
      <c r="GF114" s="58">
        <f t="shared" si="175"/>
        <v>0</v>
      </c>
      <c r="GG114" s="58">
        <f t="shared" si="176"/>
        <v>0</v>
      </c>
      <c r="GH114" s="58">
        <f t="shared" si="177"/>
        <v>0</v>
      </c>
      <c r="GI114" s="58">
        <f t="shared" si="195"/>
        <v>0</v>
      </c>
      <c r="GK114" s="58">
        <f>IF(i_baseline_risk_from=2,'Effectiveness settings'!FA114,'Effectiveness settings'!FM114)</f>
        <v>0</v>
      </c>
      <c r="GL114" s="58">
        <f>IF(i_baseline_risk_from=2,'Effectiveness settings'!FB114,'Effectiveness settings'!FN114)</f>
        <v>0</v>
      </c>
      <c r="GM114" s="58">
        <f>IF(i_baseline_risk_from=2,'Effectiveness settings'!FC114,'Effectiveness settings'!FO114)</f>
        <v>0</v>
      </c>
      <c r="GN114" s="58">
        <f>IF(i_baseline_risk_from=2,'Effectiveness settings'!FD114,'Effectiveness settings'!FP114)</f>
        <v>0</v>
      </c>
      <c r="GQ114" s="58">
        <f t="shared" si="179"/>
        <v>0</v>
      </c>
      <c r="GR114" s="58">
        <f t="shared" si="180"/>
        <v>0</v>
      </c>
      <c r="GS114" s="58">
        <f t="shared" si="181"/>
        <v>0</v>
      </c>
      <c r="GT114" s="58">
        <f t="shared" si="182"/>
        <v>0</v>
      </c>
      <c r="GU114" s="58">
        <f>IF(AND(dd_CheckMate214_TTD="Yes",'Effectiveness settings'!BU114=2,'Effectiveness settings'!BX114=2),2,GT114)</f>
        <v>0</v>
      </c>
      <c r="GV114" s="58">
        <f t="shared" si="183"/>
        <v>0</v>
      </c>
      <c r="GW114" s="58">
        <f t="shared" si="184"/>
        <v>0</v>
      </c>
      <c r="GY114" s="58">
        <f>IF(AND(dd_CheckMate214_TTD="Yes",'Effectiveness settings'!BU114=2,'Effectiveness settings'!BX114=2),1,GN114)</f>
        <v>0</v>
      </c>
      <c r="GZ114" s="58">
        <f t="shared" si="185"/>
        <v>0</v>
      </c>
      <c r="HB114" s="58">
        <f t="shared" si="186"/>
        <v>0</v>
      </c>
      <c r="HD114" s="58">
        <f t="shared" si="196"/>
        <v>0</v>
      </c>
      <c r="HE114" s="58">
        <f t="shared" si="197"/>
        <v>0</v>
      </c>
      <c r="HF114" s="58">
        <f t="shared" si="193"/>
        <v>0</v>
      </c>
      <c r="HG114" s="58">
        <f t="shared" si="198"/>
        <v>0</v>
      </c>
      <c r="HH114" s="58">
        <f t="shared" si="194"/>
        <v>0</v>
      </c>
    </row>
    <row r="115" spans="9:216" ht="15.75" hidden="1" x14ac:dyDescent="0.25">
      <c r="I115" s="64"/>
      <c r="J115" s="519"/>
      <c r="K115" s="524"/>
      <c r="L115" s="519"/>
      <c r="M115" s="516"/>
      <c r="N115" s="64"/>
      <c r="O115" s="64"/>
      <c r="P115" s="64"/>
      <c r="Q115" s="519"/>
      <c r="R115" s="516"/>
      <c r="S115" s="497"/>
      <c r="T115" s="497"/>
      <c r="U115" s="497"/>
      <c r="Y115" s="517"/>
      <c r="AA115" s="517"/>
      <c r="AF115" s="517"/>
      <c r="AM115" s="517"/>
      <c r="AO115" s="517"/>
      <c r="AT115" s="517"/>
      <c r="AV115" s="511"/>
      <c r="AW115" s="511"/>
      <c r="AX115" s="511"/>
      <c r="BA115" s="517"/>
      <c r="BC115" s="517"/>
      <c r="BH115" s="517"/>
      <c r="BJ115" s="511"/>
      <c r="BK115" s="511"/>
      <c r="BL115" s="511"/>
      <c r="BQ115" s="58">
        <f t="shared" si="165"/>
        <v>70</v>
      </c>
      <c r="BR115" s="17"/>
      <c r="BS115" s="17"/>
      <c r="BT115" s="17"/>
      <c r="BU115" s="17"/>
      <c r="BV115" s="17"/>
      <c r="BW115" s="17"/>
      <c r="BX115" s="61"/>
      <c r="BY115" s="531"/>
      <c r="BZ115" s="530"/>
      <c r="CA115" s="531"/>
      <c r="CB115" s="530"/>
      <c r="CC115" s="530"/>
      <c r="CD115" s="530"/>
      <c r="CE115" s="1295"/>
      <c r="CF115" s="1301"/>
      <c r="CG115" s="530"/>
      <c r="CH115" s="61"/>
      <c r="CI115" s="61"/>
      <c r="CJ115" s="61"/>
      <c r="DA115" s="1024"/>
      <c r="DB115" s="1024"/>
      <c r="DC115" s="1024"/>
      <c r="DD115" s="1024"/>
      <c r="DE115" s="1024"/>
      <c r="DF115" s="1024"/>
      <c r="DG115" s="1024"/>
      <c r="DK115" s="58" t="str" cm="1">
        <f t="array" ref="DK115">IF(AND($BT115=4,$BX115=4,$BU115=999),$DB$36,_xlfn.IFNA(INDEX(DB$13:DB$70,MATCH(1,($BR115=$CV$13:$CV$70)*($BT115=$CX$13:$CX$70)*($CE115=$CY$13:$CY$70)*($BY115=$DA$13:$DA$70)*($CD115=$DH$13:$DH$70),0)),""))</f>
        <v/>
      </c>
      <c r="DL115" s="58" t="str" cm="1">
        <f t="array" ref="DL115">IF(AND($BT115=4,$BX115=4,$BU115=999),$DC$36,_xlfn.IFNA(INDEX(CHOOSE(DP115,DB$13:DB$70,DC$13:DC$70,DD$13:DD$70,DE$13:DE$70),MATCH(1,($BR115=$CV$13:$CV$70)*($BT115=$CX$13:$CX$70)*($CE115=$CY$13:$CY$70)*($BY115=$DA$13:$DA$70)*($CD115=$DH$13:$DH$70),0)),""))</f>
        <v/>
      </c>
      <c r="DM115" s="740" t="str" cm="1">
        <f t="array" ref="DM115">IF(AND($BT115=4,$BX115=4,$BU115=999),$DD$36,_xlfn.IFNA(INDEX(DD$13:DD$68,MATCH(1,($BR115=$CV$13:$CV$68)*($BT115=$CX$13:$CX$68)*($CE115=$CY$13:$CY$68)*($BY115=$DA$13:$DA$68)*($CD115=$DH$13:$DH$68),0)),""))</f>
        <v/>
      </c>
      <c r="DN115" s="740" t="str" cm="1">
        <f t="array" ref="DN115">IF(AND($BT115=4,$BX115=4,$BU115=999),$DD$36,_xlfn.IFNA(INDEX(DE$13:DE$68,MATCH(1,($BR115=$CV$13:$CV$68)*($BT115=$CX$13:$CX$68)*($CE115=$CY$13:$CY$68)*($BY115=$DA$13:$DA$68)*($CD115=$DH$13:$DH$68),0)),""))</f>
        <v/>
      </c>
      <c r="DO115" s="58" t="str" cm="1">
        <f t="array" ref="DO115">IF(AND($BT115=4,$BX115=4,$BU115=999),$DF$36,_xlfn.IFNA(INDEX(DF$13:DF$70,MATCH(1,($BR115=$CV$13:$CV$70)*($BT115=$CX$13:$CX$70)*($CE115=$CY$13:$CY$70)*($BY115=$DA$13:$DA$70)*($CD115=$DH$13:$DH$70),0)),""))</f>
        <v/>
      </c>
      <c r="DP115" s="58" t="e">
        <f t="shared" si="166"/>
        <v>#N/A</v>
      </c>
      <c r="FT115" s="58">
        <f t="shared" si="167"/>
        <v>0</v>
      </c>
      <c r="FW115" s="58">
        <f>IF(i_baseline_risk_from=2,'Effectiveness settings'!EW115,'Effectiveness settings'!FI115)</f>
        <v>0</v>
      </c>
      <c r="FX115" s="58">
        <f t="shared" si="168"/>
        <v>0</v>
      </c>
      <c r="FY115" s="58">
        <f t="shared" si="169"/>
        <v>0</v>
      </c>
      <c r="FZ115" s="58">
        <f t="shared" si="170"/>
        <v>0</v>
      </c>
      <c r="GA115" s="58">
        <f t="shared" si="171"/>
        <v>0</v>
      </c>
      <c r="GB115" s="58">
        <f t="shared" si="172"/>
        <v>0</v>
      </c>
      <c r="GC115" s="58">
        <f t="shared" si="173"/>
        <v>0</v>
      </c>
      <c r="GD115" s="58">
        <f t="shared" si="174"/>
        <v>0</v>
      </c>
      <c r="GE115" s="58">
        <f>IF(AND(dd_CheckMate214_TTD="Yes",'Effectiveness settings'!BU115=2,'Effectiveness settings'!BX115=2),"Apply HR to",GD115)</f>
        <v>0</v>
      </c>
      <c r="GF115" s="58">
        <f t="shared" si="175"/>
        <v>0</v>
      </c>
      <c r="GG115" s="58">
        <f t="shared" si="176"/>
        <v>0</v>
      </c>
      <c r="GH115" s="58">
        <f t="shared" si="177"/>
        <v>0</v>
      </c>
      <c r="GI115" s="58">
        <f t="shared" si="195"/>
        <v>0</v>
      </c>
      <c r="GK115" s="58">
        <f>IF(i_baseline_risk_from=2,'Effectiveness settings'!FA115,'Effectiveness settings'!FM115)</f>
        <v>0</v>
      </c>
      <c r="GL115" s="58">
        <f>IF(i_baseline_risk_from=2,'Effectiveness settings'!FB115,'Effectiveness settings'!FN115)</f>
        <v>0</v>
      </c>
      <c r="GM115" s="58">
        <f>IF(i_baseline_risk_from=2,'Effectiveness settings'!FC115,'Effectiveness settings'!FO115)</f>
        <v>0</v>
      </c>
      <c r="GN115" s="58">
        <f>IF(i_baseline_risk_from=2,'Effectiveness settings'!FD115,'Effectiveness settings'!FP115)</f>
        <v>0</v>
      </c>
      <c r="GQ115" s="58">
        <f t="shared" si="179"/>
        <v>0</v>
      </c>
      <c r="GR115" s="58">
        <f t="shared" si="180"/>
        <v>0</v>
      </c>
      <c r="GS115" s="58">
        <f t="shared" si="181"/>
        <v>0</v>
      </c>
      <c r="GT115" s="58">
        <f t="shared" si="182"/>
        <v>0</v>
      </c>
      <c r="GU115" s="58">
        <f>IF(AND(dd_CheckMate214_TTD="Yes",'Effectiveness settings'!BU115=2,'Effectiveness settings'!BX115=2),2,GT115)</f>
        <v>0</v>
      </c>
      <c r="GV115" s="58">
        <f t="shared" si="183"/>
        <v>0</v>
      </c>
      <c r="GW115" s="58">
        <f t="shared" si="184"/>
        <v>0</v>
      </c>
      <c r="GY115" s="58">
        <f>IF(AND(dd_CheckMate214_TTD="Yes",'Effectiveness settings'!BU115=2,'Effectiveness settings'!BX115=2),1,GN115)</f>
        <v>0</v>
      </c>
      <c r="GZ115" s="58">
        <f t="shared" si="185"/>
        <v>0</v>
      </c>
      <c r="HB115" s="58">
        <f t="shared" si="186"/>
        <v>0</v>
      </c>
      <c r="HD115" s="58">
        <f t="shared" si="196"/>
        <v>0</v>
      </c>
      <c r="HE115" s="58">
        <f t="shared" si="197"/>
        <v>0</v>
      </c>
      <c r="HF115" s="58">
        <f t="shared" si="193"/>
        <v>0</v>
      </c>
      <c r="HG115" s="58">
        <f t="shared" si="198"/>
        <v>0</v>
      </c>
      <c r="HH115" s="58">
        <f t="shared" si="194"/>
        <v>0</v>
      </c>
    </row>
    <row r="116" spans="9:216" ht="15.75" hidden="1" x14ac:dyDescent="0.25">
      <c r="I116" s="64"/>
      <c r="J116" s="519"/>
      <c r="K116" s="524"/>
      <c r="L116" s="519"/>
      <c r="M116" s="516"/>
      <c r="N116" s="64"/>
      <c r="O116" s="64"/>
      <c r="P116" s="64"/>
      <c r="Q116" s="519"/>
      <c r="R116" s="516"/>
      <c r="S116" s="497"/>
      <c r="T116" s="497"/>
      <c r="U116" s="497"/>
      <c r="Y116" s="517"/>
      <c r="AA116" s="517"/>
      <c r="AF116" s="517"/>
      <c r="AM116" s="517"/>
      <c r="AO116" s="517"/>
      <c r="AT116" s="517"/>
      <c r="AV116" s="511"/>
      <c r="AW116" s="511"/>
      <c r="AX116" s="511"/>
      <c r="BA116" s="517"/>
      <c r="BC116" s="517"/>
      <c r="BH116" s="517"/>
      <c r="BJ116" s="511"/>
      <c r="BK116" s="511"/>
      <c r="BL116" s="511"/>
      <c r="BQ116" s="58">
        <f t="shared" si="165"/>
        <v>70</v>
      </c>
      <c r="BR116" s="17"/>
      <c r="BS116" s="17"/>
      <c r="BT116" s="17"/>
      <c r="BU116" s="17"/>
      <c r="BV116" s="17"/>
      <c r="BW116" s="17"/>
      <c r="BX116" s="61"/>
      <c r="BY116" s="531"/>
      <c r="BZ116" s="530"/>
      <c r="CA116" s="531"/>
      <c r="CB116" s="530"/>
      <c r="CC116" s="530"/>
      <c r="CD116" s="530"/>
      <c r="CE116" s="1295"/>
      <c r="CF116" s="1301"/>
      <c r="CG116" s="530"/>
      <c r="CH116" s="61"/>
      <c r="CI116" s="61"/>
      <c r="CJ116" s="61"/>
      <c r="DA116" s="1024"/>
      <c r="DB116" s="1024"/>
      <c r="DC116" s="1024"/>
      <c r="DD116" s="1024"/>
      <c r="DE116" s="1024"/>
      <c r="DF116" s="1024"/>
      <c r="DG116" s="1024"/>
      <c r="DK116" s="58" t="str" cm="1">
        <f t="array" ref="DK116">IF(AND($BT116=4,$BX116=4,$BU116=999),$DB$36,_xlfn.IFNA(INDEX(DB$13:DB$70,MATCH(1,($BR116=$CV$13:$CV$70)*($BT116=$CX$13:$CX$70)*($CE116=$CY$13:$CY$70)*($BY116=$DA$13:$DA$70)*($CD116=$DH$13:$DH$70),0)),""))</f>
        <v/>
      </c>
      <c r="DL116" s="58" t="str" cm="1">
        <f t="array" ref="DL116">IF(AND($BT116=4,$BX116=4,$BU116=999),$DC$36,_xlfn.IFNA(INDEX(CHOOSE(DP116,DB$13:DB$70,DC$13:DC$70,DD$13:DD$70,DE$13:DE$70),MATCH(1,($BR116=$CV$13:$CV$70)*($BT116=$CX$13:$CX$70)*($CE116=$CY$13:$CY$70)*($BY116=$DA$13:$DA$70)*($CD116=$DH$13:$DH$70),0)),""))</f>
        <v/>
      </c>
      <c r="DM116" s="740" t="str" cm="1">
        <f t="array" ref="DM116">IF(AND($BT116=4,$BX116=4,$BU116=999),$DD$36,_xlfn.IFNA(INDEX(DD$13:DD$68,MATCH(1,($BR116=$CV$13:$CV$68)*($BT116=$CX$13:$CX$68)*($CE116=$CY$13:$CY$68)*($BY116=$DA$13:$DA$68)*($CD116=$DH$13:$DH$68),0)),""))</f>
        <v/>
      </c>
      <c r="DN116" s="740" t="str" cm="1">
        <f t="array" ref="DN116">IF(AND($BT116=4,$BX116=4,$BU116=999),$DD$36,_xlfn.IFNA(INDEX(DE$13:DE$68,MATCH(1,($BR116=$CV$13:$CV$68)*($BT116=$CX$13:$CX$68)*($CE116=$CY$13:$CY$68)*($BY116=$DA$13:$DA$68)*($CD116=$DH$13:$DH$68),0)),""))</f>
        <v/>
      </c>
      <c r="DO116" s="58" t="str" cm="1">
        <f t="array" ref="DO116">IF(AND($BT116=4,$BX116=4,$BU116=999),$DF$36,_xlfn.IFNA(INDEX(DF$13:DF$70,MATCH(1,($BR116=$CV$13:$CV$70)*($BT116=$CX$13:$CX$70)*($CE116=$CY$13:$CY$70)*($BY116=$DA$13:$DA$70)*($CD116=$DH$13:$DH$70),0)),""))</f>
        <v/>
      </c>
      <c r="DP116" s="58" t="e">
        <f t="shared" si="166"/>
        <v>#N/A</v>
      </c>
      <c r="FT116" s="58">
        <f t="shared" si="167"/>
        <v>0</v>
      </c>
      <c r="FW116" s="58">
        <f>IF(i_baseline_risk_from=2,'Effectiveness settings'!EW116,'Effectiveness settings'!FI116)</f>
        <v>0</v>
      </c>
      <c r="FX116" s="58">
        <f t="shared" si="168"/>
        <v>0</v>
      </c>
      <c r="FY116" s="58">
        <f t="shared" si="169"/>
        <v>0</v>
      </c>
      <c r="FZ116" s="58">
        <f t="shared" si="170"/>
        <v>0</v>
      </c>
      <c r="GA116" s="58">
        <f t="shared" si="171"/>
        <v>0</v>
      </c>
      <c r="GB116" s="58">
        <f t="shared" si="172"/>
        <v>0</v>
      </c>
      <c r="GC116" s="58">
        <f t="shared" si="173"/>
        <v>0</v>
      </c>
      <c r="GD116" s="58">
        <f t="shared" si="174"/>
        <v>0</v>
      </c>
      <c r="GE116" s="58">
        <f>IF(AND(dd_CheckMate214_TTD="Yes",'Effectiveness settings'!BU116=2,'Effectiveness settings'!BX116=2),"Apply HR to",GD116)</f>
        <v>0</v>
      </c>
      <c r="GF116" s="58">
        <f t="shared" si="175"/>
        <v>0</v>
      </c>
      <c r="GG116" s="58">
        <f t="shared" si="176"/>
        <v>0</v>
      </c>
      <c r="GH116" s="58">
        <f t="shared" si="177"/>
        <v>0</v>
      </c>
      <c r="GI116" s="58">
        <f t="shared" si="195"/>
        <v>0</v>
      </c>
      <c r="GK116" s="58">
        <f>IF(i_baseline_risk_from=2,'Effectiveness settings'!FA116,'Effectiveness settings'!FM116)</f>
        <v>0</v>
      </c>
      <c r="GL116" s="58">
        <f>IF(i_baseline_risk_from=2,'Effectiveness settings'!FB116,'Effectiveness settings'!FN116)</f>
        <v>0</v>
      </c>
      <c r="GM116" s="58">
        <f>IF(i_baseline_risk_from=2,'Effectiveness settings'!FC116,'Effectiveness settings'!FO116)</f>
        <v>0</v>
      </c>
      <c r="GN116" s="58">
        <f>IF(i_baseline_risk_from=2,'Effectiveness settings'!FD116,'Effectiveness settings'!FP116)</f>
        <v>0</v>
      </c>
      <c r="GQ116" s="58">
        <f t="shared" si="179"/>
        <v>0</v>
      </c>
      <c r="GR116" s="58">
        <f t="shared" si="180"/>
        <v>0</v>
      </c>
      <c r="GS116" s="58">
        <f t="shared" si="181"/>
        <v>0</v>
      </c>
      <c r="GT116" s="58">
        <f t="shared" si="182"/>
        <v>0</v>
      </c>
      <c r="GU116" s="58">
        <f>IF(AND(dd_CheckMate214_TTD="Yes",'Effectiveness settings'!BU116=2,'Effectiveness settings'!BX116=2),2,GT116)</f>
        <v>0</v>
      </c>
      <c r="GV116" s="58">
        <f t="shared" si="183"/>
        <v>0</v>
      </c>
      <c r="GW116" s="58">
        <f t="shared" si="184"/>
        <v>0</v>
      </c>
      <c r="GY116" s="58">
        <f>IF(AND(dd_CheckMate214_TTD="Yes",'Effectiveness settings'!BU116=2,'Effectiveness settings'!BX116=2),1,GN116)</f>
        <v>0</v>
      </c>
      <c r="GZ116" s="58">
        <f t="shared" si="185"/>
        <v>0</v>
      </c>
      <c r="HB116" s="58">
        <f t="shared" si="186"/>
        <v>0</v>
      </c>
      <c r="HD116" s="58">
        <f t="shared" si="196"/>
        <v>0</v>
      </c>
      <c r="HE116" s="58">
        <f t="shared" si="197"/>
        <v>0</v>
      </c>
      <c r="HF116" s="58">
        <f t="shared" si="193"/>
        <v>0</v>
      </c>
      <c r="HG116" s="58">
        <f t="shared" si="198"/>
        <v>0</v>
      </c>
      <c r="HH116" s="58">
        <f t="shared" si="194"/>
        <v>0</v>
      </c>
    </row>
    <row r="117" spans="9:216" ht="15.75" hidden="1" x14ac:dyDescent="0.25">
      <c r="I117" s="67"/>
      <c r="J117" s="520"/>
      <c r="K117" s="525"/>
      <c r="L117" s="517"/>
      <c r="Q117" s="520"/>
      <c r="Y117" s="517"/>
      <c r="AA117" s="517"/>
      <c r="AF117" s="517"/>
      <c r="AM117" s="517"/>
      <c r="AO117" s="517"/>
      <c r="AT117" s="517"/>
      <c r="AV117" s="511"/>
      <c r="AW117" s="511"/>
      <c r="AX117" s="511"/>
      <c r="BA117" s="517"/>
      <c r="BC117" s="517"/>
      <c r="BH117" s="517"/>
      <c r="BJ117" s="511"/>
      <c r="BK117" s="511"/>
      <c r="BL117" s="511"/>
      <c r="BQ117" s="58">
        <f t="shared" si="165"/>
        <v>70</v>
      </c>
      <c r="BR117" s="17"/>
      <c r="BS117" s="17"/>
      <c r="BT117" s="17"/>
      <c r="BU117" s="61"/>
      <c r="BV117" s="17"/>
      <c r="BW117" s="17"/>
      <c r="BX117" s="61"/>
      <c r="BY117" s="531"/>
      <c r="BZ117" s="530"/>
      <c r="CA117" s="531"/>
      <c r="CB117" s="530"/>
      <c r="CC117" s="530"/>
      <c r="CD117" s="530"/>
      <c r="CE117" s="1295"/>
      <c r="CF117" s="1301"/>
      <c r="CG117" s="530"/>
      <c r="CH117" s="61"/>
      <c r="CI117" s="61"/>
      <c r="CJ117" s="61"/>
      <c r="DA117" s="1024"/>
      <c r="DB117" s="1024"/>
      <c r="DC117" s="1024"/>
      <c r="DD117" s="1024"/>
      <c r="DE117" s="1024"/>
      <c r="DF117" s="1024"/>
      <c r="DG117" s="1024"/>
      <c r="DK117" s="58" t="str" cm="1">
        <f t="array" ref="DK117">IF(AND($BT117=4,$BX117=4,$BU117=999),$DB$36,_xlfn.IFNA(INDEX(DB$13:DB$70,MATCH(1,($BR117=$CV$13:$CV$70)*($BT117=$CX$13:$CX$70)*($CE117=$CY$13:$CY$70)*($BY117=$DA$13:$DA$70)*($CD117=$DH$13:$DH$70),0)),""))</f>
        <v/>
      </c>
      <c r="DL117" s="58" t="str" cm="1">
        <f t="array" ref="DL117">IF(AND($BT117=4,$BX117=4,$BU117=999),$DC$36,_xlfn.IFNA(INDEX(CHOOSE(DP117,DB$13:DB$70,DC$13:DC$70,DD$13:DD$70,DE$13:DE$70),MATCH(1,($BR117=$CV$13:$CV$70)*($BT117=$CX$13:$CX$70)*($CE117=$CY$13:$CY$70)*($BY117=$DA$13:$DA$70)*($CD117=$DH$13:$DH$70),0)),""))</f>
        <v/>
      </c>
      <c r="DM117" s="740" t="str" cm="1">
        <f t="array" ref="DM117">IF(AND($BT117=4,$BX117=4,$BU117=999),$DD$36,_xlfn.IFNA(INDEX(DD$13:DD$68,MATCH(1,($BR117=$CV$13:$CV$68)*($BT117=$CX$13:$CX$68)*($CE117=$CY$13:$CY$68)*($BY117=$DA$13:$DA$68)*($CD117=$DH$13:$DH$68),0)),""))</f>
        <v/>
      </c>
      <c r="DN117" s="740" t="str" cm="1">
        <f t="array" ref="DN117">IF(AND($BT117=4,$BX117=4,$BU117=999),$DD$36,_xlfn.IFNA(INDEX(DE$13:DE$68,MATCH(1,($BR117=$CV$13:$CV$68)*($BT117=$CX$13:$CX$68)*($CE117=$CY$13:$CY$68)*($BY117=$DA$13:$DA$68)*($CD117=$DH$13:$DH$68),0)),""))</f>
        <v/>
      </c>
      <c r="DO117" s="58" t="str" cm="1">
        <f t="array" ref="DO117">IF(AND($BT117=4,$BX117=4,$BU117=999),$DF$36,_xlfn.IFNA(INDEX(DF$13:DF$70,MATCH(1,($BR117=$CV$13:$CV$70)*($BT117=$CX$13:$CX$70)*($CE117=$CY$13:$CY$70)*($BY117=$DA$13:$DA$70)*($CD117=$DH$13:$DH$70),0)),""))</f>
        <v/>
      </c>
      <c r="DP117" s="58" t="e">
        <f t="shared" si="166"/>
        <v>#N/A</v>
      </c>
      <c r="FT117" s="58">
        <f t="shared" si="167"/>
        <v>0</v>
      </c>
      <c r="FW117" s="58">
        <f>IF(i_baseline_risk_from=2,'Effectiveness settings'!EW117,'Effectiveness settings'!FI117)</f>
        <v>0</v>
      </c>
      <c r="FX117" s="58">
        <f t="shared" si="168"/>
        <v>0</v>
      </c>
      <c r="FY117" s="58">
        <f t="shared" si="169"/>
        <v>0</v>
      </c>
      <c r="FZ117" s="58">
        <f t="shared" si="170"/>
        <v>0</v>
      </c>
      <c r="GA117" s="58">
        <f t="shared" si="171"/>
        <v>0</v>
      </c>
      <c r="GB117" s="58">
        <f t="shared" si="172"/>
        <v>0</v>
      </c>
      <c r="GC117" s="58">
        <f t="shared" si="173"/>
        <v>0</v>
      </c>
      <c r="GD117" s="58">
        <f t="shared" si="174"/>
        <v>0</v>
      </c>
      <c r="GE117" s="58">
        <f>IF(AND(dd_CheckMate214_TTD="Yes",'Effectiveness settings'!BU117=2,'Effectiveness settings'!BX117=2),"Apply HR to",GD117)</f>
        <v>0</v>
      </c>
      <c r="GF117" s="58">
        <f t="shared" si="175"/>
        <v>0</v>
      </c>
      <c r="GG117" s="58">
        <f t="shared" si="176"/>
        <v>0</v>
      </c>
      <c r="GH117" s="58">
        <f t="shared" si="177"/>
        <v>0</v>
      </c>
      <c r="GI117" s="58">
        <f t="shared" si="195"/>
        <v>0</v>
      </c>
      <c r="GK117" s="58">
        <f>IF(i_baseline_risk_from=2,'Effectiveness settings'!FA117,'Effectiveness settings'!FM117)</f>
        <v>0</v>
      </c>
      <c r="GL117" s="58">
        <f>IF(i_baseline_risk_from=2,'Effectiveness settings'!FB117,'Effectiveness settings'!FN117)</f>
        <v>0</v>
      </c>
      <c r="GM117" s="58">
        <f>IF(i_baseline_risk_from=2,'Effectiveness settings'!FC117,'Effectiveness settings'!FO117)</f>
        <v>0</v>
      </c>
      <c r="GN117" s="58">
        <f>IF(i_baseline_risk_from=2,'Effectiveness settings'!FD117,'Effectiveness settings'!FP117)</f>
        <v>0</v>
      </c>
      <c r="GQ117" s="58">
        <f t="shared" si="179"/>
        <v>0</v>
      </c>
      <c r="GR117" s="58">
        <f t="shared" si="180"/>
        <v>0</v>
      </c>
      <c r="GS117" s="58">
        <f t="shared" si="181"/>
        <v>0</v>
      </c>
      <c r="GT117" s="58">
        <f t="shared" si="182"/>
        <v>0</v>
      </c>
      <c r="GU117" s="58">
        <f>IF(AND(dd_CheckMate214_TTD="Yes",'Effectiveness settings'!BU117=2,'Effectiveness settings'!BX117=2),2,GT117)</f>
        <v>0</v>
      </c>
      <c r="GV117" s="58">
        <f t="shared" si="183"/>
        <v>0</v>
      </c>
      <c r="GW117" s="58">
        <f t="shared" si="184"/>
        <v>0</v>
      </c>
      <c r="GY117" s="58">
        <f>IF(AND(dd_CheckMate214_TTD="Yes",'Effectiveness settings'!BU117=2,'Effectiveness settings'!BX117=2),1,GN117)</f>
        <v>0</v>
      </c>
      <c r="GZ117" s="58">
        <f t="shared" si="185"/>
        <v>0</v>
      </c>
      <c r="HB117" s="58">
        <f t="shared" si="186"/>
        <v>0</v>
      </c>
      <c r="HD117" s="58">
        <f t="shared" si="196"/>
        <v>0</v>
      </c>
      <c r="HE117" s="58">
        <f t="shared" si="197"/>
        <v>0</v>
      </c>
      <c r="HF117" s="58">
        <f t="shared" si="193"/>
        <v>0</v>
      </c>
      <c r="HG117" s="58">
        <f t="shared" si="198"/>
        <v>0</v>
      </c>
      <c r="HH117" s="58">
        <f t="shared" si="194"/>
        <v>0</v>
      </c>
    </row>
    <row r="118" spans="9:216" ht="15.75" hidden="1" x14ac:dyDescent="0.25">
      <c r="I118" s="64"/>
      <c r="J118" s="519"/>
      <c r="K118" s="524"/>
      <c r="L118" s="519"/>
      <c r="M118" s="516"/>
      <c r="N118" s="64"/>
      <c r="O118" s="64"/>
      <c r="P118" s="64"/>
      <c r="Q118" s="519"/>
      <c r="R118" s="516"/>
      <c r="S118" s="497"/>
      <c r="T118" s="497"/>
      <c r="U118" s="497"/>
      <c r="Y118" s="517"/>
      <c r="AA118" s="517"/>
      <c r="AF118" s="517"/>
      <c r="AM118" s="517"/>
      <c r="AO118" s="517"/>
      <c r="AT118" s="517"/>
      <c r="AV118" s="511"/>
      <c r="AW118" s="511"/>
      <c r="AX118" s="511"/>
      <c r="BA118" s="517"/>
      <c r="BC118" s="517"/>
      <c r="BH118" s="517"/>
      <c r="BJ118" s="511"/>
      <c r="BK118" s="511"/>
      <c r="BL118" s="511"/>
      <c r="BQ118" s="58">
        <f t="shared" si="165"/>
        <v>70</v>
      </c>
      <c r="BR118" s="17"/>
      <c r="BS118" s="17"/>
      <c r="BT118" s="17"/>
      <c r="BU118" s="17"/>
      <c r="BV118" s="17"/>
      <c r="BW118" s="17"/>
      <c r="BX118" s="61"/>
      <c r="BY118" s="531"/>
      <c r="BZ118" s="530"/>
      <c r="CA118" s="531"/>
      <c r="CB118" s="530"/>
      <c r="CC118" s="530"/>
      <c r="CD118" s="530"/>
      <c r="CE118" s="1295"/>
      <c r="CF118" s="1301"/>
      <c r="CG118" s="530"/>
      <c r="CH118" s="61"/>
      <c r="CI118" s="61"/>
      <c r="CJ118" s="61"/>
      <c r="DA118" s="1024"/>
      <c r="DB118" s="1024"/>
      <c r="DC118" s="1024"/>
      <c r="DD118" s="1024"/>
      <c r="DE118" s="1024"/>
      <c r="DF118" s="1024"/>
      <c r="DG118" s="1024"/>
      <c r="DK118" s="58" t="str" cm="1">
        <f t="array" ref="DK118">IF(AND($BT118=4,$BX118=4,$BU118=999),$DB$36,_xlfn.IFNA(INDEX(DB$13:DB$70,MATCH(1,($BR118=$CV$13:$CV$70)*($BT118=$CX$13:$CX$70)*($CE118=$CY$13:$CY$70)*($BY118=$DA$13:$DA$70)*($CD118=$DH$13:$DH$70),0)),""))</f>
        <v/>
      </c>
      <c r="DL118" s="58" t="str" cm="1">
        <f t="array" ref="DL118">IF(AND($BT118=4,$BX118=4,$BU118=999),$DC$36,_xlfn.IFNA(INDEX(CHOOSE(DP118,DB$13:DB$70,DC$13:DC$70,DD$13:DD$70,DE$13:DE$70),MATCH(1,($BR118=$CV$13:$CV$70)*($BT118=$CX$13:$CX$70)*($CE118=$CY$13:$CY$70)*($BY118=$DA$13:$DA$70)*($CD118=$DH$13:$DH$70),0)),""))</f>
        <v/>
      </c>
      <c r="DM118" s="740" t="str" cm="1">
        <f t="array" ref="DM118">IF(AND($BT118=4,$BX118=4,$BU118=999),$DD$36,_xlfn.IFNA(INDEX(DD$13:DD$68,MATCH(1,($BR118=$CV$13:$CV$68)*($BT118=$CX$13:$CX$68)*($CE118=$CY$13:$CY$68)*($BY118=$DA$13:$DA$68)*($CD118=$DH$13:$DH$68),0)),""))</f>
        <v/>
      </c>
      <c r="DN118" s="740" t="str" cm="1">
        <f t="array" ref="DN118">IF(AND($BT118=4,$BX118=4,$BU118=999),$DD$36,_xlfn.IFNA(INDEX(DE$13:DE$68,MATCH(1,($BR118=$CV$13:$CV$68)*($BT118=$CX$13:$CX$68)*($CE118=$CY$13:$CY$68)*($BY118=$DA$13:$DA$68)*($CD118=$DH$13:$DH$68),0)),""))</f>
        <v/>
      </c>
      <c r="DO118" s="58" t="str" cm="1">
        <f t="array" ref="DO118">IF(AND($BT118=4,$BX118=4,$BU118=999),$DF$36,_xlfn.IFNA(INDEX(DF$13:DF$70,MATCH(1,($BR118=$CV$13:$CV$70)*($BT118=$CX$13:$CX$70)*($CE118=$CY$13:$CY$70)*($BY118=$DA$13:$DA$70)*($CD118=$DH$13:$DH$70),0)),""))</f>
        <v/>
      </c>
      <c r="DP118" s="58" t="e">
        <f t="shared" si="166"/>
        <v>#N/A</v>
      </c>
      <c r="FT118" s="58">
        <f t="shared" si="167"/>
        <v>0</v>
      </c>
      <c r="FW118" s="58">
        <f>IF(i_baseline_risk_from=2,'Effectiveness settings'!EW118,'Effectiveness settings'!FI118)</f>
        <v>0</v>
      </c>
      <c r="FX118" s="58">
        <f t="shared" si="168"/>
        <v>0</v>
      </c>
      <c r="FY118" s="58">
        <f t="shared" si="169"/>
        <v>0</v>
      </c>
      <c r="FZ118" s="58">
        <f t="shared" si="170"/>
        <v>0</v>
      </c>
      <c r="GA118" s="58">
        <f t="shared" si="171"/>
        <v>0</v>
      </c>
      <c r="GB118" s="58">
        <f t="shared" si="172"/>
        <v>0</v>
      </c>
      <c r="GC118" s="58">
        <f t="shared" si="173"/>
        <v>0</v>
      </c>
      <c r="GD118" s="58">
        <f t="shared" si="174"/>
        <v>0</v>
      </c>
      <c r="GE118" s="58">
        <f>IF(AND(dd_CheckMate214_TTD="Yes",'Effectiveness settings'!BU118=2,'Effectiveness settings'!BX118=2),"Apply HR to",GD118)</f>
        <v>0</v>
      </c>
      <c r="GF118" s="58">
        <f t="shared" si="175"/>
        <v>0</v>
      </c>
      <c r="GG118" s="58">
        <f t="shared" si="176"/>
        <v>0</v>
      </c>
      <c r="GH118" s="58">
        <f t="shared" si="177"/>
        <v>0</v>
      </c>
      <c r="GI118" s="58">
        <f t="shared" si="195"/>
        <v>0</v>
      </c>
      <c r="GK118" s="58">
        <f>IF(i_baseline_risk_from=2,'Effectiveness settings'!FA118,'Effectiveness settings'!FM118)</f>
        <v>0</v>
      </c>
      <c r="GL118" s="58">
        <f>IF(i_baseline_risk_from=2,'Effectiveness settings'!FB118,'Effectiveness settings'!FN118)</f>
        <v>0</v>
      </c>
      <c r="GM118" s="58">
        <f>IF(i_baseline_risk_from=2,'Effectiveness settings'!FC118,'Effectiveness settings'!FO118)</f>
        <v>0</v>
      </c>
      <c r="GN118" s="58">
        <f>IF(i_baseline_risk_from=2,'Effectiveness settings'!FD118,'Effectiveness settings'!FP118)</f>
        <v>0</v>
      </c>
      <c r="GQ118" s="58">
        <f t="shared" si="179"/>
        <v>0</v>
      </c>
      <c r="GR118" s="58">
        <f t="shared" si="180"/>
        <v>0</v>
      </c>
      <c r="GS118" s="58">
        <f t="shared" si="181"/>
        <v>0</v>
      </c>
      <c r="GT118" s="58">
        <f t="shared" si="182"/>
        <v>0</v>
      </c>
      <c r="GU118" s="58">
        <f>IF(AND(dd_CheckMate214_TTD="Yes",'Effectiveness settings'!BU118=2,'Effectiveness settings'!BX118=2),2,GT118)</f>
        <v>0</v>
      </c>
      <c r="GV118" s="58">
        <f t="shared" si="183"/>
        <v>0</v>
      </c>
      <c r="GW118" s="58">
        <f t="shared" si="184"/>
        <v>0</v>
      </c>
      <c r="GY118" s="58">
        <f>IF(AND(dd_CheckMate214_TTD="Yes",'Effectiveness settings'!BU118=2,'Effectiveness settings'!BX118=2),1,GN118)</f>
        <v>0</v>
      </c>
      <c r="GZ118" s="58">
        <f t="shared" si="185"/>
        <v>0</v>
      </c>
      <c r="HB118" s="58">
        <f t="shared" si="186"/>
        <v>0</v>
      </c>
      <c r="HD118" s="58">
        <f t="shared" si="196"/>
        <v>0</v>
      </c>
      <c r="HE118" s="58">
        <f t="shared" si="197"/>
        <v>0</v>
      </c>
      <c r="HF118" s="58">
        <f t="shared" si="193"/>
        <v>0</v>
      </c>
      <c r="HG118" s="58">
        <f t="shared" si="198"/>
        <v>0</v>
      </c>
      <c r="HH118" s="58">
        <f t="shared" si="194"/>
        <v>0</v>
      </c>
    </row>
    <row r="119" spans="9:216" ht="15.75" hidden="1" x14ac:dyDescent="0.25">
      <c r="I119" s="64"/>
      <c r="J119" s="519"/>
      <c r="K119" s="524"/>
      <c r="L119" s="519"/>
      <c r="M119" s="516"/>
      <c r="N119" s="64"/>
      <c r="O119" s="64"/>
      <c r="P119" s="64"/>
      <c r="Q119" s="519"/>
      <c r="R119" s="516"/>
      <c r="S119" s="497"/>
      <c r="T119" s="497"/>
      <c r="U119" s="497"/>
      <c r="Y119" s="517"/>
      <c r="AA119" s="517"/>
      <c r="AF119" s="517"/>
      <c r="AM119" s="517"/>
      <c r="AO119" s="517"/>
      <c r="AT119" s="517"/>
      <c r="AV119" s="511"/>
      <c r="AW119" s="511"/>
      <c r="AX119" s="511"/>
      <c r="BA119" s="517"/>
      <c r="BC119" s="517"/>
      <c r="BH119" s="517"/>
      <c r="BJ119" s="511"/>
      <c r="BK119" s="511"/>
      <c r="BL119" s="511"/>
      <c r="BQ119" s="58">
        <f t="shared" si="165"/>
        <v>70</v>
      </c>
      <c r="BR119" s="17"/>
      <c r="BS119" s="17"/>
      <c r="BT119" s="17"/>
      <c r="BU119" s="17"/>
      <c r="BV119" s="17"/>
      <c r="BW119" s="17"/>
      <c r="BX119" s="61"/>
      <c r="BY119" s="531"/>
      <c r="BZ119" s="530"/>
      <c r="CA119" s="531"/>
      <c r="CB119" s="530"/>
      <c r="CC119" s="530"/>
      <c r="CD119" s="530"/>
      <c r="CE119" s="1295"/>
      <c r="CF119" s="1301"/>
      <c r="CG119" s="530"/>
      <c r="CH119" s="61"/>
      <c r="CI119" s="61"/>
      <c r="CJ119" s="61"/>
      <c r="DA119" s="1024"/>
      <c r="DB119" s="1024"/>
      <c r="DC119" s="1024"/>
      <c r="DD119" s="1024"/>
      <c r="DE119" s="1024"/>
      <c r="DF119" s="1024"/>
      <c r="DG119" s="1024"/>
      <c r="DK119" s="58" t="str" cm="1">
        <f t="array" ref="DK119">IF(AND($BT119=4,$BX119=4,$BU119=999),$DB$36,_xlfn.IFNA(INDEX(DB$13:DB$70,MATCH(1,($BR119=$CV$13:$CV$70)*($BT119=$CX$13:$CX$70)*($CE119=$CY$13:$CY$70)*($BY119=$DA$13:$DA$70)*($CD119=$DH$13:$DH$70),0)),""))</f>
        <v/>
      </c>
      <c r="DL119" s="58" t="str" cm="1">
        <f t="array" ref="DL119">IF(AND($BT119=4,$BX119=4,$BU119=999),$DC$36,_xlfn.IFNA(INDEX(CHOOSE(DP119,DB$13:DB$70,DC$13:DC$70,DD$13:DD$70,DE$13:DE$70),MATCH(1,($BR119=$CV$13:$CV$70)*($BT119=$CX$13:$CX$70)*($CE119=$CY$13:$CY$70)*($BY119=$DA$13:$DA$70)*($CD119=$DH$13:$DH$70),0)),""))</f>
        <v/>
      </c>
      <c r="DM119" s="740" t="str" cm="1">
        <f t="array" ref="DM119">IF(AND($BT119=4,$BX119=4,$BU119=999),$DD$36,_xlfn.IFNA(INDEX(DD$13:DD$68,MATCH(1,($BR119=$CV$13:$CV$68)*($BT119=$CX$13:$CX$68)*($CE119=$CY$13:$CY$68)*($BY119=$DA$13:$DA$68)*($CD119=$DH$13:$DH$68),0)),""))</f>
        <v/>
      </c>
      <c r="DN119" s="740" t="str" cm="1">
        <f t="array" ref="DN119">IF(AND($BT119=4,$BX119=4,$BU119=999),$DD$36,_xlfn.IFNA(INDEX(DE$13:DE$68,MATCH(1,($BR119=$CV$13:$CV$68)*($BT119=$CX$13:$CX$68)*($CE119=$CY$13:$CY$68)*($BY119=$DA$13:$DA$68)*($CD119=$DH$13:$DH$68),0)),""))</f>
        <v/>
      </c>
      <c r="DO119" s="58" t="str" cm="1">
        <f t="array" ref="DO119">IF(AND($BT119=4,$BX119=4,$BU119=999),$DF$36,_xlfn.IFNA(INDEX(DF$13:DF$70,MATCH(1,($BR119=$CV$13:$CV$70)*($BT119=$CX$13:$CX$70)*($CE119=$CY$13:$CY$70)*($BY119=$DA$13:$DA$70)*($CD119=$DH$13:$DH$70),0)),""))</f>
        <v/>
      </c>
      <c r="DP119" s="58" t="e">
        <f t="shared" si="166"/>
        <v>#N/A</v>
      </c>
      <c r="FT119" s="58">
        <f t="shared" si="167"/>
        <v>0</v>
      </c>
      <c r="FW119" s="58">
        <f>IF(i_baseline_risk_from=2,'Effectiveness settings'!EW119,'Effectiveness settings'!FI119)</f>
        <v>0</v>
      </c>
      <c r="FX119" s="58">
        <f t="shared" si="168"/>
        <v>0</v>
      </c>
      <c r="FY119" s="58">
        <f t="shared" si="169"/>
        <v>0</v>
      </c>
      <c r="FZ119" s="58">
        <f t="shared" si="170"/>
        <v>0</v>
      </c>
      <c r="GA119" s="58">
        <f t="shared" si="171"/>
        <v>0</v>
      </c>
      <c r="GB119" s="58">
        <f t="shared" si="172"/>
        <v>0</v>
      </c>
      <c r="GC119" s="58">
        <f t="shared" si="173"/>
        <v>0</v>
      </c>
      <c r="GD119" s="58">
        <f t="shared" si="174"/>
        <v>0</v>
      </c>
      <c r="GE119" s="58">
        <f>IF(AND(dd_CheckMate214_TTD="Yes",'Effectiveness settings'!BU119=2,'Effectiveness settings'!BX119=2),"Apply HR to",GD119)</f>
        <v>0</v>
      </c>
      <c r="GF119" s="58">
        <f t="shared" si="175"/>
        <v>0</v>
      </c>
      <c r="GG119" s="58">
        <f t="shared" si="176"/>
        <v>0</v>
      </c>
      <c r="GH119" s="58">
        <f t="shared" si="177"/>
        <v>0</v>
      </c>
      <c r="GI119" s="58">
        <f t="shared" si="195"/>
        <v>0</v>
      </c>
      <c r="GK119" s="58">
        <f>IF(i_baseline_risk_from=2,'Effectiveness settings'!FA119,'Effectiveness settings'!FM119)</f>
        <v>0</v>
      </c>
      <c r="GL119" s="58">
        <f>IF(i_baseline_risk_from=2,'Effectiveness settings'!FB119,'Effectiveness settings'!FN119)</f>
        <v>0</v>
      </c>
      <c r="GM119" s="58">
        <f>IF(i_baseline_risk_from=2,'Effectiveness settings'!FC119,'Effectiveness settings'!FO119)</f>
        <v>0</v>
      </c>
      <c r="GN119" s="58">
        <f>IF(i_baseline_risk_from=2,'Effectiveness settings'!FD119,'Effectiveness settings'!FP119)</f>
        <v>0</v>
      </c>
      <c r="GQ119" s="58">
        <f t="shared" si="179"/>
        <v>0</v>
      </c>
      <c r="GR119" s="58">
        <f t="shared" si="180"/>
        <v>0</v>
      </c>
      <c r="GS119" s="58">
        <f t="shared" si="181"/>
        <v>0</v>
      </c>
      <c r="GT119" s="58">
        <f t="shared" si="182"/>
        <v>0</v>
      </c>
      <c r="GU119" s="58">
        <f>IF(AND(dd_CheckMate214_TTD="Yes",'Effectiveness settings'!BU119=2,'Effectiveness settings'!BX119=2),2,GT119)</f>
        <v>0</v>
      </c>
      <c r="GV119" s="58">
        <f t="shared" si="183"/>
        <v>0</v>
      </c>
      <c r="GW119" s="58">
        <f t="shared" si="184"/>
        <v>0</v>
      </c>
      <c r="GY119" s="58">
        <f>IF(AND(dd_CheckMate214_TTD="Yes",'Effectiveness settings'!BU119=2,'Effectiveness settings'!BX119=2),1,GN119)</f>
        <v>0</v>
      </c>
      <c r="GZ119" s="58">
        <f t="shared" si="185"/>
        <v>0</v>
      </c>
      <c r="HB119" s="58">
        <f t="shared" si="186"/>
        <v>0</v>
      </c>
      <c r="HD119" s="58">
        <f t="shared" si="196"/>
        <v>0</v>
      </c>
      <c r="HE119" s="58">
        <f t="shared" si="197"/>
        <v>0</v>
      </c>
      <c r="HF119" s="58">
        <f t="shared" si="193"/>
        <v>0</v>
      </c>
      <c r="HG119" s="58">
        <f t="shared" si="198"/>
        <v>0</v>
      </c>
      <c r="HH119" s="58">
        <f t="shared" si="194"/>
        <v>0</v>
      </c>
    </row>
    <row r="120" spans="9:216" ht="15.75" hidden="1" x14ac:dyDescent="0.25">
      <c r="I120" s="64"/>
      <c r="J120" s="519"/>
      <c r="K120" s="524"/>
      <c r="L120" s="519"/>
      <c r="M120" s="516"/>
      <c r="N120" s="64"/>
      <c r="O120" s="64"/>
      <c r="P120" s="64"/>
      <c r="Q120" s="519"/>
      <c r="R120" s="516"/>
      <c r="S120" s="497"/>
      <c r="T120" s="497"/>
      <c r="U120" s="497"/>
      <c r="Y120" s="517"/>
      <c r="AA120" s="517"/>
      <c r="AF120" s="517"/>
      <c r="AM120" s="517"/>
      <c r="AO120" s="517"/>
      <c r="AT120" s="517"/>
      <c r="AV120" s="511"/>
      <c r="AW120" s="511"/>
      <c r="AX120" s="511"/>
      <c r="BA120" s="517"/>
      <c r="BC120" s="517"/>
      <c r="BH120" s="517"/>
      <c r="BJ120" s="511"/>
      <c r="BK120" s="511"/>
      <c r="BL120" s="511"/>
      <c r="BQ120" s="58">
        <f t="shared" si="165"/>
        <v>70</v>
      </c>
      <c r="BR120" s="17"/>
      <c r="BS120" s="17"/>
      <c r="BT120" s="17"/>
      <c r="BU120" s="17"/>
      <c r="BV120" s="17"/>
      <c r="BW120" s="17"/>
      <c r="BX120" s="61"/>
      <c r="BY120" s="531"/>
      <c r="BZ120" s="530"/>
      <c r="CA120" s="531"/>
      <c r="CB120" s="530"/>
      <c r="CC120" s="530"/>
      <c r="CD120" s="530"/>
      <c r="CE120" s="1295"/>
      <c r="CF120" s="1301"/>
      <c r="CG120" s="530"/>
      <c r="CH120" s="61"/>
      <c r="CI120" s="61"/>
      <c r="CJ120" s="61"/>
      <c r="DA120" s="1024"/>
      <c r="DB120" s="1024"/>
      <c r="DC120" s="1024"/>
      <c r="DD120" s="1024"/>
      <c r="DE120" s="1024"/>
      <c r="DF120" s="1024"/>
      <c r="DG120" s="1024"/>
      <c r="DK120" s="58" t="str" cm="1">
        <f t="array" ref="DK120">IF(AND($BT120=4,$BX120=4,$BU120=999),$DB$36,_xlfn.IFNA(INDEX(DB$13:DB$70,MATCH(1,($BR120=$CV$13:$CV$70)*($BT120=$CX$13:$CX$70)*($CE120=$CY$13:$CY$70)*($BY120=$DA$13:$DA$70)*($CD120=$DH$13:$DH$70),0)),""))</f>
        <v/>
      </c>
      <c r="DL120" s="58" t="str" cm="1">
        <f t="array" ref="DL120">IF(AND($BT120=4,$BX120=4,$BU120=999),$DC$36,_xlfn.IFNA(INDEX(CHOOSE(DP120,DB$13:DB$70,DC$13:DC$70,DD$13:DD$70,DE$13:DE$70),MATCH(1,($BR120=$CV$13:$CV$70)*($BT120=$CX$13:$CX$70)*($CE120=$CY$13:$CY$70)*($BY120=$DA$13:$DA$70)*($CD120=$DH$13:$DH$70),0)),""))</f>
        <v/>
      </c>
      <c r="DM120" s="740" t="str" cm="1">
        <f t="array" ref="DM120">IF(AND($BT120=4,$BX120=4,$BU120=999),$DD$36,_xlfn.IFNA(INDEX(DD$13:DD$68,MATCH(1,($BR120=$CV$13:$CV$68)*($BT120=$CX$13:$CX$68)*($CE120=$CY$13:$CY$68)*($BY120=$DA$13:$DA$68)*($CD120=$DH$13:$DH$68),0)),""))</f>
        <v/>
      </c>
      <c r="DN120" s="740" t="str" cm="1">
        <f t="array" ref="DN120">IF(AND($BT120=4,$BX120=4,$BU120=999),$DD$36,_xlfn.IFNA(INDEX(DE$13:DE$68,MATCH(1,($BR120=$CV$13:$CV$68)*($BT120=$CX$13:$CX$68)*($CE120=$CY$13:$CY$68)*($BY120=$DA$13:$DA$68)*($CD120=$DH$13:$DH$68),0)),""))</f>
        <v/>
      </c>
      <c r="DO120" s="58" t="str" cm="1">
        <f t="array" ref="DO120">IF(AND($BT120=4,$BX120=4,$BU120=999),$DF$36,_xlfn.IFNA(INDEX(DF$13:DF$70,MATCH(1,($BR120=$CV$13:$CV$70)*($BT120=$CX$13:$CX$70)*($CE120=$CY$13:$CY$70)*($BY120=$DA$13:$DA$70)*($CD120=$DH$13:$DH$70),0)),""))</f>
        <v/>
      </c>
      <c r="DP120" s="58" t="e">
        <f t="shared" si="166"/>
        <v>#N/A</v>
      </c>
      <c r="FT120" s="58">
        <f t="shared" si="167"/>
        <v>0</v>
      </c>
      <c r="FW120" s="58">
        <f>IF(i_baseline_risk_from=2,'Effectiveness settings'!EW120,'Effectiveness settings'!FI120)</f>
        <v>0</v>
      </c>
      <c r="FX120" s="58">
        <f t="shared" si="168"/>
        <v>0</v>
      </c>
      <c r="FY120" s="58">
        <f t="shared" si="169"/>
        <v>0</v>
      </c>
      <c r="FZ120" s="58">
        <f t="shared" si="170"/>
        <v>0</v>
      </c>
      <c r="GA120" s="58">
        <f t="shared" si="171"/>
        <v>0</v>
      </c>
      <c r="GB120" s="58">
        <f t="shared" si="172"/>
        <v>0</v>
      </c>
      <c r="GC120" s="58">
        <f t="shared" si="173"/>
        <v>0</v>
      </c>
      <c r="GD120" s="58">
        <f t="shared" si="174"/>
        <v>0</v>
      </c>
      <c r="GE120" s="58">
        <f>IF(AND(dd_CheckMate214_TTD="Yes",'Effectiveness settings'!BU120=2,'Effectiveness settings'!BX120=2),"Apply HR to",GD120)</f>
        <v>0</v>
      </c>
      <c r="GF120" s="58">
        <f t="shared" si="175"/>
        <v>0</v>
      </c>
      <c r="GG120" s="58">
        <f t="shared" si="176"/>
        <v>0</v>
      </c>
      <c r="GH120" s="58">
        <f t="shared" si="177"/>
        <v>0</v>
      </c>
      <c r="GI120" s="58">
        <f t="shared" si="195"/>
        <v>0</v>
      </c>
      <c r="GK120" s="58">
        <f>IF(i_baseline_risk_from=2,'Effectiveness settings'!FA120,'Effectiveness settings'!FM120)</f>
        <v>0</v>
      </c>
      <c r="GL120" s="58">
        <f>IF(i_baseline_risk_from=2,'Effectiveness settings'!FB120,'Effectiveness settings'!FN120)</f>
        <v>0</v>
      </c>
      <c r="GM120" s="58">
        <f>IF(i_baseline_risk_from=2,'Effectiveness settings'!FC120,'Effectiveness settings'!FO120)</f>
        <v>0</v>
      </c>
      <c r="GN120" s="58">
        <f>IF(i_baseline_risk_from=2,'Effectiveness settings'!FD120,'Effectiveness settings'!FP120)</f>
        <v>0</v>
      </c>
      <c r="GQ120" s="58">
        <f t="shared" si="179"/>
        <v>0</v>
      </c>
      <c r="GR120" s="58">
        <f t="shared" si="180"/>
        <v>0</v>
      </c>
      <c r="GS120" s="58">
        <f t="shared" si="181"/>
        <v>0</v>
      </c>
      <c r="GT120" s="58">
        <f t="shared" si="182"/>
        <v>0</v>
      </c>
      <c r="GU120" s="58">
        <f>IF(AND(dd_CheckMate214_TTD="Yes",'Effectiveness settings'!BU120=2,'Effectiveness settings'!BX120=2),2,GT120)</f>
        <v>0</v>
      </c>
      <c r="GV120" s="58">
        <f t="shared" si="183"/>
        <v>0</v>
      </c>
      <c r="GW120" s="58">
        <f t="shared" si="184"/>
        <v>0</v>
      </c>
      <c r="GY120" s="58">
        <f>IF(AND(dd_CheckMate214_TTD="Yes",'Effectiveness settings'!BU120=2,'Effectiveness settings'!BX120=2),1,GN120)</f>
        <v>0</v>
      </c>
      <c r="GZ120" s="58">
        <f t="shared" si="185"/>
        <v>0</v>
      </c>
      <c r="HB120" s="58">
        <f t="shared" si="186"/>
        <v>0</v>
      </c>
      <c r="HD120" s="58">
        <f t="shared" si="196"/>
        <v>0</v>
      </c>
      <c r="HE120" s="58">
        <f t="shared" si="197"/>
        <v>0</v>
      </c>
      <c r="HF120" s="58">
        <f t="shared" si="193"/>
        <v>0</v>
      </c>
      <c r="HG120" s="58">
        <f t="shared" si="198"/>
        <v>0</v>
      </c>
      <c r="HH120" s="58">
        <f t="shared" si="194"/>
        <v>0</v>
      </c>
    </row>
    <row r="121" spans="9:216" ht="15.75" hidden="1" x14ac:dyDescent="0.25">
      <c r="I121" s="64"/>
      <c r="J121" s="519"/>
      <c r="K121" s="524"/>
      <c r="L121" s="519"/>
      <c r="M121" s="516"/>
      <c r="N121" s="64"/>
      <c r="O121" s="64"/>
      <c r="P121" s="64"/>
      <c r="Q121" s="519"/>
      <c r="R121" s="516"/>
      <c r="S121" s="497"/>
      <c r="T121" s="497"/>
      <c r="U121" s="497"/>
      <c r="Y121" s="517"/>
      <c r="AA121" s="517"/>
      <c r="AF121" s="517"/>
      <c r="AM121" s="517"/>
      <c r="AO121" s="517"/>
      <c r="AT121" s="517"/>
      <c r="AV121" s="511"/>
      <c r="AW121" s="511"/>
      <c r="AX121" s="511"/>
      <c r="BA121" s="517"/>
      <c r="BC121" s="517"/>
      <c r="BH121" s="517"/>
      <c r="BJ121" s="511"/>
      <c r="BK121" s="511"/>
      <c r="BL121" s="511"/>
      <c r="BQ121" s="58">
        <f t="shared" si="165"/>
        <v>70</v>
      </c>
      <c r="BR121" s="17"/>
      <c r="BS121" s="17"/>
      <c r="BT121" s="17"/>
      <c r="BU121" s="17"/>
      <c r="BV121" s="17"/>
      <c r="BW121" s="17"/>
      <c r="BX121" s="61"/>
      <c r="BY121" s="531"/>
      <c r="BZ121" s="530"/>
      <c r="CA121" s="531"/>
      <c r="CB121" s="530"/>
      <c r="CC121" s="530"/>
      <c r="CD121" s="530"/>
      <c r="CE121" s="1295"/>
      <c r="CF121" s="1301"/>
      <c r="CG121" s="530"/>
      <c r="CH121" s="61"/>
      <c r="CI121" s="61"/>
      <c r="CJ121" s="61"/>
      <c r="DA121" s="1024"/>
      <c r="DB121" s="1024"/>
      <c r="DC121" s="1024"/>
      <c r="DD121" s="1024"/>
      <c r="DE121" s="1024"/>
      <c r="DF121" s="1024"/>
      <c r="DG121" s="1024"/>
      <c r="DK121" s="58" t="str" cm="1">
        <f t="array" ref="DK121">IF(AND($BT121=4,$BX121=4,$BU121=999),$DB$36,_xlfn.IFNA(INDEX(DB$13:DB$70,MATCH(1,($BR121=$CV$13:$CV$70)*($BT121=$CX$13:$CX$70)*($CE121=$CY$13:$CY$70)*($BY121=$DA$13:$DA$70)*($CD121=$DH$13:$DH$70),0)),""))</f>
        <v/>
      </c>
      <c r="DL121" s="58" t="str" cm="1">
        <f t="array" ref="DL121">IF(AND($BT121=4,$BX121=4,$BU121=999),$DC$36,_xlfn.IFNA(INDEX(CHOOSE(DP121,DB$13:DB$70,DC$13:DC$70,DD$13:DD$70,DE$13:DE$70),MATCH(1,($BR121=$CV$13:$CV$70)*($BT121=$CX$13:$CX$70)*($CE121=$CY$13:$CY$70)*($BY121=$DA$13:$DA$70)*($CD121=$DH$13:$DH$70),0)),""))</f>
        <v/>
      </c>
      <c r="DM121" s="740" t="str" cm="1">
        <f t="array" ref="DM121">IF(AND($BT121=4,$BX121=4,$BU121=999),$DD$36,_xlfn.IFNA(INDEX(DD$13:DD$68,MATCH(1,($BR121=$CV$13:$CV$68)*($BT121=$CX$13:$CX$68)*($CE121=$CY$13:$CY$68)*($BY121=$DA$13:$DA$68)*($CD121=$DH$13:$DH$68),0)),""))</f>
        <v/>
      </c>
      <c r="DN121" s="740" t="str" cm="1">
        <f t="array" ref="DN121">IF(AND($BT121=4,$BX121=4,$BU121=999),$DD$36,_xlfn.IFNA(INDEX(DE$13:DE$68,MATCH(1,($BR121=$CV$13:$CV$68)*($BT121=$CX$13:$CX$68)*($CE121=$CY$13:$CY$68)*($BY121=$DA$13:$DA$68)*($CD121=$DH$13:$DH$68),0)),""))</f>
        <v/>
      </c>
      <c r="DO121" s="58" t="str" cm="1">
        <f t="array" ref="DO121">IF(AND($BT121=4,$BX121=4,$BU121=999),$DF$36,_xlfn.IFNA(INDEX(DF$13:DF$70,MATCH(1,($BR121=$CV$13:$CV$70)*($BT121=$CX$13:$CX$70)*($CE121=$CY$13:$CY$70)*($BY121=$DA$13:$DA$70)*($CD121=$DH$13:$DH$70),0)),""))</f>
        <v/>
      </c>
      <c r="DP121" s="58" t="e">
        <f t="shared" si="166"/>
        <v>#N/A</v>
      </c>
      <c r="FT121" s="58">
        <f t="shared" si="167"/>
        <v>0</v>
      </c>
      <c r="FW121" s="58">
        <f>IF(i_baseline_risk_from=2,'Effectiveness settings'!EW121,'Effectiveness settings'!FI121)</f>
        <v>0</v>
      </c>
      <c r="FX121" s="58">
        <f t="shared" si="168"/>
        <v>0</v>
      </c>
      <c r="FY121" s="58">
        <f t="shared" si="169"/>
        <v>0</v>
      </c>
      <c r="FZ121" s="58">
        <f t="shared" si="170"/>
        <v>0</v>
      </c>
      <c r="GA121" s="58">
        <f t="shared" si="171"/>
        <v>0</v>
      </c>
      <c r="GB121" s="58">
        <f t="shared" si="172"/>
        <v>0</v>
      </c>
      <c r="GC121" s="58">
        <f t="shared" si="173"/>
        <v>0</v>
      </c>
      <c r="GD121" s="58">
        <f t="shared" si="174"/>
        <v>0</v>
      </c>
      <c r="GE121" s="58">
        <f>IF(AND(dd_CheckMate214_TTD="Yes",'Effectiveness settings'!BU121=2,'Effectiveness settings'!BX121=2),"Apply HR to",GD121)</f>
        <v>0</v>
      </c>
      <c r="GF121" s="58">
        <f t="shared" si="175"/>
        <v>0</v>
      </c>
      <c r="GG121" s="58">
        <f t="shared" si="176"/>
        <v>0</v>
      </c>
      <c r="GH121" s="58">
        <f t="shared" si="177"/>
        <v>0</v>
      </c>
      <c r="GI121" s="58">
        <f t="shared" si="195"/>
        <v>0</v>
      </c>
      <c r="GK121" s="58">
        <f>IF(i_baseline_risk_from=2,'Effectiveness settings'!FA121,'Effectiveness settings'!FM121)</f>
        <v>0</v>
      </c>
      <c r="GL121" s="58">
        <f>IF(i_baseline_risk_from=2,'Effectiveness settings'!FB121,'Effectiveness settings'!FN121)</f>
        <v>0</v>
      </c>
      <c r="GM121" s="58">
        <f>IF(i_baseline_risk_from=2,'Effectiveness settings'!FC121,'Effectiveness settings'!FO121)</f>
        <v>0</v>
      </c>
      <c r="GN121" s="58">
        <f>IF(i_baseline_risk_from=2,'Effectiveness settings'!FD121,'Effectiveness settings'!FP121)</f>
        <v>0</v>
      </c>
      <c r="GQ121" s="58">
        <f t="shared" si="179"/>
        <v>0</v>
      </c>
      <c r="GR121" s="58">
        <f t="shared" si="180"/>
        <v>0</v>
      </c>
      <c r="GS121" s="58">
        <f t="shared" si="181"/>
        <v>0</v>
      </c>
      <c r="GT121" s="58">
        <f t="shared" si="182"/>
        <v>0</v>
      </c>
      <c r="GU121" s="58">
        <f>IF(AND(dd_CheckMate214_TTD="Yes",'Effectiveness settings'!BU121=2,'Effectiveness settings'!BX121=2),2,GT121)</f>
        <v>0</v>
      </c>
      <c r="GV121" s="58">
        <f t="shared" si="183"/>
        <v>0</v>
      </c>
      <c r="GW121" s="58">
        <f t="shared" si="184"/>
        <v>0</v>
      </c>
      <c r="GY121" s="58">
        <f>IF(AND(dd_CheckMate214_TTD="Yes",'Effectiveness settings'!BU121=2,'Effectiveness settings'!BX121=2),1,GN121)</f>
        <v>0</v>
      </c>
      <c r="GZ121" s="58">
        <f t="shared" si="185"/>
        <v>0</v>
      </c>
      <c r="HB121" s="58">
        <f t="shared" si="186"/>
        <v>0</v>
      </c>
      <c r="HD121" s="58">
        <f t="shared" si="196"/>
        <v>0</v>
      </c>
      <c r="HE121" s="58">
        <f t="shared" si="197"/>
        <v>0</v>
      </c>
      <c r="HF121" s="58">
        <f t="shared" si="193"/>
        <v>0</v>
      </c>
      <c r="HG121" s="58">
        <f t="shared" si="198"/>
        <v>0</v>
      </c>
      <c r="HH121" s="58">
        <f t="shared" si="194"/>
        <v>0</v>
      </c>
    </row>
    <row r="122" spans="9:216" ht="15.75" hidden="1" x14ac:dyDescent="0.25">
      <c r="I122" s="64"/>
      <c r="J122" s="519"/>
      <c r="K122" s="524"/>
      <c r="L122" s="519"/>
      <c r="M122" s="516"/>
      <c r="N122" s="64"/>
      <c r="O122" s="64"/>
      <c r="P122" s="64"/>
      <c r="Q122" s="519"/>
      <c r="R122" s="516"/>
      <c r="S122" s="497"/>
      <c r="T122" s="497"/>
      <c r="U122" s="497"/>
      <c r="Y122" s="517"/>
      <c r="AA122" s="517"/>
      <c r="AF122" s="517"/>
      <c r="AM122" s="517"/>
      <c r="AO122" s="517"/>
      <c r="AT122" s="517"/>
      <c r="AV122" s="511"/>
      <c r="AW122" s="511"/>
      <c r="AX122" s="511"/>
      <c r="BA122" s="517"/>
      <c r="BC122" s="517"/>
      <c r="BH122" s="517"/>
      <c r="BJ122" s="511"/>
      <c r="BK122" s="511"/>
      <c r="BL122" s="511"/>
      <c r="BQ122" s="58">
        <f t="shared" si="165"/>
        <v>70</v>
      </c>
      <c r="BR122" s="17"/>
      <c r="BS122" s="17"/>
      <c r="BT122" s="17"/>
      <c r="BU122" s="17"/>
      <c r="BV122" s="17"/>
      <c r="BW122" s="17"/>
      <c r="BX122" s="61"/>
      <c r="BY122" s="531"/>
      <c r="BZ122" s="530"/>
      <c r="CA122" s="531"/>
      <c r="CB122" s="530"/>
      <c r="CC122" s="530"/>
      <c r="CD122" s="530"/>
      <c r="CE122" s="1295"/>
      <c r="CF122" s="1301"/>
      <c r="CG122" s="530"/>
      <c r="CH122" s="61"/>
      <c r="CI122" s="61"/>
      <c r="CJ122" s="61"/>
      <c r="DA122" s="1024"/>
      <c r="DB122" s="1024"/>
      <c r="DC122" s="1024"/>
      <c r="DD122" s="1024"/>
      <c r="DE122" s="1024"/>
      <c r="DF122" s="1024"/>
      <c r="DG122" s="1024"/>
      <c r="DK122" s="58" t="str" cm="1">
        <f t="array" ref="DK122">IF(AND($BT122=4,$BX122=4,$BU122=999),$DB$36,_xlfn.IFNA(INDEX(DB$13:DB$70,MATCH(1,($BR122=$CV$13:$CV$70)*($BT122=$CX$13:$CX$70)*($CE122=$CY$13:$CY$70)*($BY122=$DA$13:$DA$70)*($CD122=$DH$13:$DH$70),0)),""))</f>
        <v/>
      </c>
      <c r="DL122" s="58" t="str" cm="1">
        <f t="array" ref="DL122">IF(AND($BT122=4,$BX122=4,$BU122=999),$DC$36,_xlfn.IFNA(INDEX(CHOOSE(DP122,DB$13:DB$70,DC$13:DC$70,DD$13:DD$70,DE$13:DE$70),MATCH(1,($BR122=$CV$13:$CV$70)*($BT122=$CX$13:$CX$70)*($CE122=$CY$13:$CY$70)*($BY122=$DA$13:$DA$70)*($CD122=$DH$13:$DH$70),0)),""))</f>
        <v/>
      </c>
      <c r="DM122" s="740" t="str" cm="1">
        <f t="array" ref="DM122">IF(AND($BT122=4,$BX122=4,$BU122=999),$DD$36,_xlfn.IFNA(INDEX(DD$13:DD$68,MATCH(1,($BR122=$CV$13:$CV$68)*($BT122=$CX$13:$CX$68)*($CE122=$CY$13:$CY$68)*($BY122=$DA$13:$DA$68)*($CD122=$DH$13:$DH$68),0)),""))</f>
        <v/>
      </c>
      <c r="DN122" s="740" t="str" cm="1">
        <f t="array" ref="DN122">IF(AND($BT122=4,$BX122=4,$BU122=999),$DD$36,_xlfn.IFNA(INDEX(DE$13:DE$68,MATCH(1,($BR122=$CV$13:$CV$68)*($BT122=$CX$13:$CX$68)*($CE122=$CY$13:$CY$68)*($BY122=$DA$13:$DA$68)*($CD122=$DH$13:$DH$68),0)),""))</f>
        <v/>
      </c>
      <c r="DO122" s="58" t="str" cm="1">
        <f t="array" ref="DO122">IF(AND($BT122=4,$BX122=4,$BU122=999),$DF$36,_xlfn.IFNA(INDEX(DF$13:DF$70,MATCH(1,($BR122=$CV$13:$CV$70)*($BT122=$CX$13:$CX$70)*($CE122=$CY$13:$CY$70)*($BY122=$DA$13:$DA$70)*($CD122=$DH$13:$DH$70),0)),""))</f>
        <v/>
      </c>
      <c r="DP122" s="58" t="e">
        <f t="shared" si="166"/>
        <v>#N/A</v>
      </c>
      <c r="FT122" s="58">
        <f t="shared" si="167"/>
        <v>0</v>
      </c>
      <c r="FW122" s="58">
        <f>IF(i_baseline_risk_from=2,'Effectiveness settings'!EW122,'Effectiveness settings'!FI122)</f>
        <v>0</v>
      </c>
      <c r="FX122" s="58">
        <f t="shared" si="168"/>
        <v>0</v>
      </c>
      <c r="FY122" s="58">
        <f t="shared" si="169"/>
        <v>0</v>
      </c>
      <c r="FZ122" s="58">
        <f t="shared" si="170"/>
        <v>0</v>
      </c>
      <c r="GA122" s="58">
        <f t="shared" si="171"/>
        <v>0</v>
      </c>
      <c r="GB122" s="58">
        <f t="shared" si="172"/>
        <v>0</v>
      </c>
      <c r="GC122" s="58">
        <f t="shared" si="173"/>
        <v>0</v>
      </c>
      <c r="GD122" s="58">
        <f t="shared" si="174"/>
        <v>0</v>
      </c>
      <c r="GE122" s="58">
        <f>IF(AND(dd_CheckMate214_TTD="Yes",'Effectiveness settings'!BU122=2,'Effectiveness settings'!BX122=2),"Apply HR to",GD122)</f>
        <v>0</v>
      </c>
      <c r="GF122" s="58">
        <f t="shared" si="175"/>
        <v>0</v>
      </c>
      <c r="GG122" s="58">
        <f t="shared" si="176"/>
        <v>0</v>
      </c>
      <c r="GH122" s="58">
        <f t="shared" si="177"/>
        <v>0</v>
      </c>
      <c r="GI122" s="58">
        <f t="shared" si="195"/>
        <v>0</v>
      </c>
      <c r="GK122" s="58">
        <f>IF(i_baseline_risk_from=2,'Effectiveness settings'!FA122,'Effectiveness settings'!FM122)</f>
        <v>0</v>
      </c>
      <c r="GL122" s="58">
        <f>IF(i_baseline_risk_from=2,'Effectiveness settings'!FB122,'Effectiveness settings'!FN122)</f>
        <v>0</v>
      </c>
      <c r="GM122" s="58">
        <f>IF(i_baseline_risk_from=2,'Effectiveness settings'!FC122,'Effectiveness settings'!FO122)</f>
        <v>0</v>
      </c>
      <c r="GN122" s="58">
        <f>IF(i_baseline_risk_from=2,'Effectiveness settings'!FD122,'Effectiveness settings'!FP122)</f>
        <v>0</v>
      </c>
      <c r="GQ122" s="58">
        <f t="shared" si="179"/>
        <v>0</v>
      </c>
      <c r="GR122" s="58">
        <f t="shared" si="180"/>
        <v>0</v>
      </c>
      <c r="GS122" s="58">
        <f t="shared" si="181"/>
        <v>0</v>
      </c>
      <c r="GT122" s="58">
        <f t="shared" si="182"/>
        <v>0</v>
      </c>
      <c r="GU122" s="58">
        <f>IF(AND(dd_CheckMate214_TTD="Yes",'Effectiveness settings'!BU122=2,'Effectiveness settings'!BX122=2),2,GT122)</f>
        <v>0</v>
      </c>
      <c r="GV122" s="58">
        <f t="shared" si="183"/>
        <v>0</v>
      </c>
      <c r="GW122" s="58">
        <f t="shared" si="184"/>
        <v>0</v>
      </c>
      <c r="GY122" s="58">
        <f>IF(AND(dd_CheckMate214_TTD="Yes",'Effectiveness settings'!BU122=2,'Effectiveness settings'!BX122=2),1,GN122)</f>
        <v>0</v>
      </c>
      <c r="GZ122" s="58">
        <f t="shared" si="185"/>
        <v>0</v>
      </c>
      <c r="HB122" s="58">
        <f t="shared" si="186"/>
        <v>0</v>
      </c>
      <c r="HD122" s="58">
        <f t="shared" si="196"/>
        <v>0</v>
      </c>
      <c r="HE122" s="58">
        <f t="shared" si="197"/>
        <v>0</v>
      </c>
      <c r="HF122" s="58">
        <f t="shared" si="193"/>
        <v>0</v>
      </c>
      <c r="HG122" s="58">
        <f t="shared" si="198"/>
        <v>0</v>
      </c>
      <c r="HH122" s="58">
        <f t="shared" si="194"/>
        <v>0</v>
      </c>
    </row>
    <row r="123" spans="9:216" ht="15.75" hidden="1" x14ac:dyDescent="0.25">
      <c r="I123" s="64"/>
      <c r="J123" s="519"/>
      <c r="K123" s="524"/>
      <c r="L123" s="519"/>
      <c r="M123" s="516"/>
      <c r="N123" s="64"/>
      <c r="O123" s="64"/>
      <c r="P123" s="64"/>
      <c r="Q123" s="519"/>
      <c r="R123" s="516"/>
      <c r="S123" s="497"/>
      <c r="T123" s="497"/>
      <c r="U123" s="497"/>
      <c r="Y123" s="517"/>
      <c r="AA123" s="517"/>
      <c r="AF123" s="517"/>
      <c r="AM123" s="517"/>
      <c r="AO123" s="517"/>
      <c r="AT123" s="517"/>
      <c r="AV123" s="511"/>
      <c r="AW123" s="511"/>
      <c r="AX123" s="511"/>
      <c r="BA123" s="517"/>
      <c r="BC123" s="517"/>
      <c r="BH123" s="517"/>
      <c r="BJ123" s="511"/>
      <c r="BK123" s="511"/>
      <c r="BL123" s="511"/>
      <c r="BQ123" s="58">
        <f t="shared" si="165"/>
        <v>70</v>
      </c>
      <c r="BR123" s="17"/>
      <c r="BS123" s="17"/>
      <c r="BT123" s="17"/>
      <c r="BU123" s="17"/>
      <c r="BV123" s="17"/>
      <c r="BW123" s="17"/>
      <c r="BX123" s="61"/>
      <c r="BY123" s="531"/>
      <c r="BZ123" s="530"/>
      <c r="CA123" s="531"/>
      <c r="CB123" s="530"/>
      <c r="CC123" s="530"/>
      <c r="CD123" s="530"/>
      <c r="CE123" s="1295"/>
      <c r="CF123" s="1301"/>
      <c r="CG123" s="530"/>
      <c r="CH123" s="61"/>
      <c r="CI123" s="61"/>
      <c r="CJ123" s="61"/>
      <c r="DA123" s="1024"/>
      <c r="DB123" s="1024"/>
      <c r="DC123" s="1024"/>
      <c r="DD123" s="1024"/>
      <c r="DE123" s="1024"/>
      <c r="DF123" s="1024"/>
      <c r="DG123" s="1024"/>
      <c r="DK123" s="58" t="str" cm="1">
        <f t="array" ref="DK123">IF(AND($BT123=4,$BX123=4,$BU123=999),$DB$36,_xlfn.IFNA(INDEX(DB$13:DB$70,MATCH(1,($BR123=$CV$13:$CV$70)*($BT123=$CX$13:$CX$70)*($CE123=$CY$13:$CY$70)*($BY123=$DA$13:$DA$70)*($CD123=$DH$13:$DH$70),0)),""))</f>
        <v/>
      </c>
      <c r="DL123" s="58" t="str" cm="1">
        <f t="array" ref="DL123">IF(AND($BT123=4,$BX123=4,$BU123=999),$DC$36,_xlfn.IFNA(INDEX(CHOOSE(DP123,DB$13:DB$70,DC$13:DC$70,DD$13:DD$70,DE$13:DE$70),MATCH(1,($BR123=$CV$13:$CV$70)*($BT123=$CX$13:$CX$70)*($CE123=$CY$13:$CY$70)*($BY123=$DA$13:$DA$70)*($CD123=$DH$13:$DH$70),0)),""))</f>
        <v/>
      </c>
      <c r="DM123" s="740" t="str" cm="1">
        <f t="array" ref="DM123">IF(AND($BT123=4,$BX123=4,$BU123=999),$DD$36,_xlfn.IFNA(INDEX(DD$13:DD$68,MATCH(1,($BR123=$CV$13:$CV$68)*($BT123=$CX$13:$CX$68)*($CE123=$CY$13:$CY$68)*($BY123=$DA$13:$DA$68)*($CD123=$DH$13:$DH$68),0)),""))</f>
        <v/>
      </c>
      <c r="DN123" s="740" t="str" cm="1">
        <f t="array" ref="DN123">IF(AND($BT123=4,$BX123=4,$BU123=999),$DD$36,_xlfn.IFNA(INDEX(DE$13:DE$68,MATCH(1,($BR123=$CV$13:$CV$68)*($BT123=$CX$13:$CX$68)*($CE123=$CY$13:$CY$68)*($BY123=$DA$13:$DA$68)*($CD123=$DH$13:$DH$68),0)),""))</f>
        <v/>
      </c>
      <c r="DO123" s="58" t="str" cm="1">
        <f t="array" ref="DO123">IF(AND($BT123=4,$BX123=4,$BU123=999),$DF$36,_xlfn.IFNA(INDEX(DF$13:DF$70,MATCH(1,($BR123=$CV$13:$CV$70)*($BT123=$CX$13:$CX$70)*($CE123=$CY$13:$CY$70)*($BY123=$DA$13:$DA$70)*($CD123=$DH$13:$DH$70),0)),""))</f>
        <v/>
      </c>
      <c r="DP123" s="58" t="e">
        <f t="shared" si="166"/>
        <v>#N/A</v>
      </c>
      <c r="FT123" s="58">
        <f t="shared" si="167"/>
        <v>0</v>
      </c>
      <c r="FW123" s="58">
        <f>IF(i_baseline_risk_from=2,'Effectiveness settings'!EW123,'Effectiveness settings'!FI123)</f>
        <v>0</v>
      </c>
      <c r="FX123" s="58">
        <f t="shared" si="168"/>
        <v>0</v>
      </c>
      <c r="FY123" s="58">
        <f t="shared" si="169"/>
        <v>0</v>
      </c>
      <c r="FZ123" s="58">
        <f t="shared" si="170"/>
        <v>0</v>
      </c>
      <c r="GA123" s="58">
        <f t="shared" si="171"/>
        <v>0</v>
      </c>
      <c r="GB123" s="58">
        <f t="shared" si="172"/>
        <v>0</v>
      </c>
      <c r="GC123" s="58">
        <f t="shared" si="173"/>
        <v>0</v>
      </c>
      <c r="GD123" s="58">
        <f t="shared" si="174"/>
        <v>0</v>
      </c>
      <c r="GE123" s="58">
        <f>IF(AND(dd_CheckMate214_TTD="Yes",'Effectiveness settings'!BU123=2,'Effectiveness settings'!BX123=2),"Apply HR to",GD123)</f>
        <v>0</v>
      </c>
      <c r="GF123" s="58">
        <f t="shared" si="175"/>
        <v>0</v>
      </c>
      <c r="GG123" s="58">
        <f t="shared" si="176"/>
        <v>0</v>
      </c>
      <c r="GH123" s="58">
        <f t="shared" si="177"/>
        <v>0</v>
      </c>
      <c r="GI123" s="58">
        <f t="shared" si="195"/>
        <v>0</v>
      </c>
      <c r="GK123" s="58">
        <f>IF(i_baseline_risk_from=2,'Effectiveness settings'!FA123,'Effectiveness settings'!FM123)</f>
        <v>0</v>
      </c>
      <c r="GL123" s="58">
        <f>IF(i_baseline_risk_from=2,'Effectiveness settings'!FB123,'Effectiveness settings'!FN123)</f>
        <v>0</v>
      </c>
      <c r="GM123" s="58">
        <f>IF(i_baseline_risk_from=2,'Effectiveness settings'!FC123,'Effectiveness settings'!FO123)</f>
        <v>0</v>
      </c>
      <c r="GN123" s="58">
        <f>IF(i_baseline_risk_from=2,'Effectiveness settings'!FD123,'Effectiveness settings'!FP123)</f>
        <v>0</v>
      </c>
      <c r="GQ123" s="58">
        <f t="shared" si="179"/>
        <v>0</v>
      </c>
      <c r="GR123" s="58">
        <f t="shared" si="180"/>
        <v>0</v>
      </c>
      <c r="GS123" s="58">
        <f t="shared" si="181"/>
        <v>0</v>
      </c>
      <c r="GT123" s="58">
        <f t="shared" si="182"/>
        <v>0</v>
      </c>
      <c r="GU123" s="58">
        <f>IF(AND(dd_CheckMate214_TTD="Yes",'Effectiveness settings'!BU123=2,'Effectiveness settings'!BX123=2),2,GT123)</f>
        <v>0</v>
      </c>
      <c r="GV123" s="58">
        <f t="shared" si="183"/>
        <v>0</v>
      </c>
      <c r="GW123" s="58">
        <f t="shared" si="184"/>
        <v>0</v>
      </c>
      <c r="GY123" s="58">
        <f>IF(AND(dd_CheckMate214_TTD="Yes",'Effectiveness settings'!BU123=2,'Effectiveness settings'!BX123=2),1,GN123)</f>
        <v>0</v>
      </c>
      <c r="GZ123" s="58">
        <f t="shared" si="185"/>
        <v>0</v>
      </c>
      <c r="HB123" s="58">
        <f t="shared" si="186"/>
        <v>0</v>
      </c>
      <c r="HD123" s="58">
        <f t="shared" si="196"/>
        <v>0</v>
      </c>
      <c r="HE123" s="58">
        <f t="shared" si="197"/>
        <v>0</v>
      </c>
      <c r="HF123" s="58">
        <f t="shared" si="193"/>
        <v>0</v>
      </c>
      <c r="HG123" s="58">
        <f t="shared" si="198"/>
        <v>0</v>
      </c>
      <c r="HH123" s="58">
        <f t="shared" si="194"/>
        <v>0</v>
      </c>
    </row>
    <row r="124" spans="9:216" ht="15.75" hidden="1" x14ac:dyDescent="0.25">
      <c r="I124" s="64"/>
      <c r="J124" s="519"/>
      <c r="K124" s="524"/>
      <c r="L124" s="519"/>
      <c r="M124" s="516"/>
      <c r="N124" s="64"/>
      <c r="O124" s="64"/>
      <c r="P124" s="64"/>
      <c r="Q124" s="519"/>
      <c r="R124" s="516"/>
      <c r="S124" s="497"/>
      <c r="T124" s="497"/>
      <c r="U124" s="497"/>
      <c r="Y124" s="517"/>
      <c r="AA124" s="517"/>
      <c r="AF124" s="517"/>
      <c r="AM124" s="517"/>
      <c r="AO124" s="517"/>
      <c r="AT124" s="517"/>
      <c r="AV124" s="511"/>
      <c r="AW124" s="511"/>
      <c r="AX124" s="511"/>
      <c r="BA124" s="517"/>
      <c r="BC124" s="517"/>
      <c r="BH124" s="517"/>
      <c r="BJ124" s="511"/>
      <c r="BK124" s="511"/>
      <c r="BL124" s="511"/>
      <c r="BQ124" s="58">
        <f t="shared" si="165"/>
        <v>70</v>
      </c>
      <c r="BR124" s="17"/>
      <c r="BS124" s="17"/>
      <c r="BT124" s="17"/>
      <c r="BU124" s="17"/>
      <c r="BV124" s="17"/>
      <c r="BW124" s="17"/>
      <c r="BX124" s="61"/>
      <c r="BY124" s="531"/>
      <c r="BZ124" s="530"/>
      <c r="CA124" s="531"/>
      <c r="CB124" s="530"/>
      <c r="CC124" s="530"/>
      <c r="CD124" s="530"/>
      <c r="CE124" s="1295"/>
      <c r="CF124" s="1301"/>
      <c r="CG124" s="530"/>
      <c r="CH124" s="61"/>
      <c r="CI124" s="61"/>
      <c r="CJ124" s="61"/>
      <c r="DA124" s="1024"/>
      <c r="DB124" s="1024"/>
      <c r="DC124" s="1024"/>
      <c r="DD124" s="1024"/>
      <c r="DE124" s="1024"/>
      <c r="DF124" s="1024"/>
      <c r="DG124" s="1024"/>
      <c r="DK124" s="58" t="str" cm="1">
        <f t="array" ref="DK124">IF(AND($BT124=4,$BX124=4,$BU124=999),$DB$36,_xlfn.IFNA(INDEX(DB$13:DB$70,MATCH(1,($BR124=$CV$13:$CV$70)*($BT124=$CX$13:$CX$70)*($CE124=$CY$13:$CY$70)*($BY124=$DA$13:$DA$70)*($CD124=$DH$13:$DH$70),0)),""))</f>
        <v/>
      </c>
      <c r="DL124" s="58" t="str" cm="1">
        <f t="array" ref="DL124">IF(AND($BT124=4,$BX124=4,$BU124=999),$DC$36,_xlfn.IFNA(INDEX(CHOOSE(DP124,DB$13:DB$70,DC$13:DC$70,DD$13:DD$70,DE$13:DE$70),MATCH(1,($BR124=$CV$13:$CV$70)*($BT124=$CX$13:$CX$70)*($CE124=$CY$13:$CY$70)*($BY124=$DA$13:$DA$70)*($CD124=$DH$13:$DH$70),0)),""))</f>
        <v/>
      </c>
      <c r="DM124" s="740" t="str" cm="1">
        <f t="array" ref="DM124">IF(AND($BT124=4,$BX124=4,$BU124=999),$DD$36,_xlfn.IFNA(INDEX(DD$13:DD$68,MATCH(1,($BR124=$CV$13:$CV$68)*($BT124=$CX$13:$CX$68)*($CE124=$CY$13:$CY$68)*($BY124=$DA$13:$DA$68)*($CD124=$DH$13:$DH$68),0)),""))</f>
        <v/>
      </c>
      <c r="DN124" s="740" t="str" cm="1">
        <f t="array" ref="DN124">IF(AND($BT124=4,$BX124=4,$BU124=999),$DD$36,_xlfn.IFNA(INDEX(DE$13:DE$68,MATCH(1,($BR124=$CV$13:$CV$68)*($BT124=$CX$13:$CX$68)*($CE124=$CY$13:$CY$68)*($BY124=$DA$13:$DA$68)*($CD124=$DH$13:$DH$68),0)),""))</f>
        <v/>
      </c>
      <c r="DO124" s="58" t="str" cm="1">
        <f t="array" ref="DO124">IF(AND($BT124=4,$BX124=4,$BU124=999),$DF$36,_xlfn.IFNA(INDEX(DF$13:DF$70,MATCH(1,($BR124=$CV$13:$CV$70)*($BT124=$CX$13:$CX$70)*($CE124=$CY$13:$CY$70)*($BY124=$DA$13:$DA$70)*($CD124=$DH$13:$DH$70),0)),""))</f>
        <v/>
      </c>
      <c r="DP124" s="58" t="e">
        <f t="shared" si="166"/>
        <v>#N/A</v>
      </c>
      <c r="FT124" s="58">
        <f t="shared" si="167"/>
        <v>0</v>
      </c>
      <c r="FW124" s="58">
        <f>IF(i_baseline_risk_from=2,'Effectiveness settings'!EW124,'Effectiveness settings'!FI124)</f>
        <v>0</v>
      </c>
      <c r="FX124" s="58">
        <f t="shared" si="168"/>
        <v>0</v>
      </c>
      <c r="FY124" s="58">
        <f t="shared" si="169"/>
        <v>0</v>
      </c>
      <c r="FZ124" s="58">
        <f t="shared" si="170"/>
        <v>0</v>
      </c>
      <c r="GA124" s="58">
        <f t="shared" si="171"/>
        <v>0</v>
      </c>
      <c r="GB124" s="58">
        <f t="shared" si="172"/>
        <v>0</v>
      </c>
      <c r="GC124" s="58">
        <f t="shared" si="173"/>
        <v>0</v>
      </c>
      <c r="GD124" s="58">
        <f t="shared" si="174"/>
        <v>0</v>
      </c>
      <c r="GE124" s="58">
        <f>IF(AND(dd_CheckMate214_TTD="Yes",'Effectiveness settings'!BU124=2,'Effectiveness settings'!BX124=2),"Apply HR to",GD124)</f>
        <v>0</v>
      </c>
      <c r="GF124" s="58">
        <f t="shared" si="175"/>
        <v>0</v>
      </c>
      <c r="GG124" s="58">
        <f t="shared" si="176"/>
        <v>0</v>
      </c>
      <c r="GH124" s="58">
        <f t="shared" si="177"/>
        <v>0</v>
      </c>
      <c r="GI124" s="58">
        <f t="shared" si="195"/>
        <v>0</v>
      </c>
      <c r="GK124" s="58">
        <f>IF(i_baseline_risk_from=2,'Effectiveness settings'!FA124,'Effectiveness settings'!FM124)</f>
        <v>0</v>
      </c>
      <c r="GL124" s="58">
        <f>IF(i_baseline_risk_from=2,'Effectiveness settings'!FB124,'Effectiveness settings'!FN124)</f>
        <v>0</v>
      </c>
      <c r="GM124" s="58">
        <f>IF(i_baseline_risk_from=2,'Effectiveness settings'!FC124,'Effectiveness settings'!FO124)</f>
        <v>0</v>
      </c>
      <c r="GN124" s="58">
        <f>IF(i_baseline_risk_from=2,'Effectiveness settings'!FD124,'Effectiveness settings'!FP124)</f>
        <v>0</v>
      </c>
      <c r="GQ124" s="58">
        <f t="shared" si="179"/>
        <v>0</v>
      </c>
      <c r="GR124" s="58">
        <f t="shared" si="180"/>
        <v>0</v>
      </c>
      <c r="GS124" s="58">
        <f t="shared" si="181"/>
        <v>0</v>
      </c>
      <c r="GT124" s="58">
        <f t="shared" si="182"/>
        <v>0</v>
      </c>
      <c r="GU124" s="58">
        <f>IF(AND(dd_CheckMate214_TTD="Yes",'Effectiveness settings'!BU124=2,'Effectiveness settings'!BX124=2),2,GT124)</f>
        <v>0</v>
      </c>
      <c r="GV124" s="58">
        <f t="shared" si="183"/>
        <v>0</v>
      </c>
      <c r="GW124" s="58">
        <f t="shared" si="184"/>
        <v>0</v>
      </c>
      <c r="GY124" s="58">
        <f>IF(AND(dd_CheckMate214_TTD="Yes",'Effectiveness settings'!BU124=2,'Effectiveness settings'!BX124=2),1,GN124)</f>
        <v>0</v>
      </c>
      <c r="GZ124" s="58">
        <f t="shared" si="185"/>
        <v>0</v>
      </c>
      <c r="HB124" s="58">
        <f t="shared" si="186"/>
        <v>0</v>
      </c>
      <c r="HD124" s="58">
        <f t="shared" si="196"/>
        <v>0</v>
      </c>
      <c r="HE124" s="58">
        <f t="shared" si="197"/>
        <v>0</v>
      </c>
      <c r="HF124" s="58">
        <f t="shared" si="193"/>
        <v>0</v>
      </c>
      <c r="HG124" s="58">
        <f t="shared" si="198"/>
        <v>0</v>
      </c>
      <c r="HH124" s="58">
        <f t="shared" si="194"/>
        <v>0</v>
      </c>
    </row>
    <row r="125" spans="9:216" ht="15.75" hidden="1" x14ac:dyDescent="0.25">
      <c r="I125" s="64"/>
      <c r="J125" s="519"/>
      <c r="K125" s="524"/>
      <c r="L125" s="519"/>
      <c r="M125" s="516"/>
      <c r="N125" s="64"/>
      <c r="O125" s="64"/>
      <c r="P125" s="64"/>
      <c r="Q125" s="519"/>
      <c r="R125" s="516"/>
      <c r="S125" s="497"/>
      <c r="T125" s="497"/>
      <c r="U125" s="497"/>
      <c r="Y125" s="517"/>
      <c r="AA125" s="517"/>
      <c r="AF125" s="517"/>
      <c r="AM125" s="517"/>
      <c r="AO125" s="517"/>
      <c r="AT125" s="517"/>
      <c r="AV125" s="511"/>
      <c r="AW125" s="511"/>
      <c r="AX125" s="511"/>
      <c r="BA125" s="517"/>
      <c r="BC125" s="517"/>
      <c r="BH125" s="517"/>
      <c r="BJ125" s="511"/>
      <c r="BK125" s="511"/>
      <c r="BL125" s="511"/>
      <c r="BQ125" s="58">
        <f t="shared" si="165"/>
        <v>70</v>
      </c>
      <c r="BR125" s="17"/>
      <c r="BS125" s="17"/>
      <c r="BT125" s="17"/>
      <c r="BU125" s="17"/>
      <c r="BV125" s="17"/>
      <c r="BW125" s="17"/>
      <c r="BX125" s="61"/>
      <c r="BY125" s="531"/>
      <c r="BZ125" s="530"/>
      <c r="CA125" s="531"/>
      <c r="CB125" s="530"/>
      <c r="CC125" s="530"/>
      <c r="CD125" s="530"/>
      <c r="CE125" s="1295"/>
      <c r="CF125" s="1301"/>
      <c r="CG125" s="530"/>
      <c r="CH125" s="61"/>
      <c r="CI125" s="61"/>
      <c r="CJ125" s="61"/>
      <c r="DA125" s="1024"/>
      <c r="DB125" s="1024"/>
      <c r="DC125" s="1024"/>
      <c r="DD125" s="1024"/>
      <c r="DE125" s="1024"/>
      <c r="DF125" s="1024"/>
      <c r="DG125" s="1024"/>
      <c r="DK125" s="58" t="str" cm="1">
        <f t="array" ref="DK125">IF(AND($BT125=4,$BX125=4,$BU125=999),$DB$36,_xlfn.IFNA(INDEX(DB$13:DB$70,MATCH(1,($BR125=$CV$13:$CV$70)*($BT125=$CX$13:$CX$70)*($CE125=$CY$13:$CY$70)*($BY125=$DA$13:$DA$70)*($CD125=$DH$13:$DH$70),0)),""))</f>
        <v/>
      </c>
      <c r="DL125" s="58" t="str" cm="1">
        <f t="array" ref="DL125">IF(AND($BT125=4,$BX125=4,$BU125=999),$DC$36,_xlfn.IFNA(INDEX(CHOOSE(DP125,DB$13:DB$70,DC$13:DC$70,DD$13:DD$70,DE$13:DE$70),MATCH(1,($BR125=$CV$13:$CV$70)*($BT125=$CX$13:$CX$70)*($CE125=$CY$13:$CY$70)*($BY125=$DA$13:$DA$70)*($CD125=$DH$13:$DH$70),0)),""))</f>
        <v/>
      </c>
      <c r="DM125" s="740" t="str" cm="1">
        <f t="array" ref="DM125">IF(AND($BT125=4,$BX125=4,$BU125=999),$DD$36,_xlfn.IFNA(INDEX(DD$13:DD$68,MATCH(1,($BR125=$CV$13:$CV$68)*($BT125=$CX$13:$CX$68)*($CE125=$CY$13:$CY$68)*($BY125=$DA$13:$DA$68)*($CD125=$DH$13:$DH$68),0)),""))</f>
        <v/>
      </c>
      <c r="DN125" s="740" t="str" cm="1">
        <f t="array" ref="DN125">IF(AND($BT125=4,$BX125=4,$BU125=999),$DD$36,_xlfn.IFNA(INDEX(DE$13:DE$68,MATCH(1,($BR125=$CV$13:$CV$68)*($BT125=$CX$13:$CX$68)*($CE125=$CY$13:$CY$68)*($BY125=$DA$13:$DA$68)*($CD125=$DH$13:$DH$68),0)),""))</f>
        <v/>
      </c>
      <c r="DO125" s="58" t="str" cm="1">
        <f t="array" ref="DO125">IF(AND($BT125=4,$BX125=4,$BU125=999),$DF$36,_xlfn.IFNA(INDEX(DF$13:DF$70,MATCH(1,($BR125=$CV$13:$CV$70)*($BT125=$CX$13:$CX$70)*($CE125=$CY$13:$CY$70)*($BY125=$DA$13:$DA$70)*($CD125=$DH$13:$DH$70),0)),""))</f>
        <v/>
      </c>
      <c r="DP125" s="58" t="e">
        <f t="shared" si="166"/>
        <v>#N/A</v>
      </c>
      <c r="FT125" s="58">
        <f t="shared" si="167"/>
        <v>0</v>
      </c>
      <c r="FW125" s="58">
        <f>IF(i_baseline_risk_from=2,'Effectiveness settings'!EW125,'Effectiveness settings'!FI125)</f>
        <v>0</v>
      </c>
      <c r="FX125" s="58">
        <f t="shared" si="168"/>
        <v>0</v>
      </c>
      <c r="FY125" s="58">
        <f t="shared" si="169"/>
        <v>0</v>
      </c>
      <c r="FZ125" s="58">
        <f t="shared" si="170"/>
        <v>0</v>
      </c>
      <c r="GA125" s="58">
        <f t="shared" si="171"/>
        <v>0</v>
      </c>
      <c r="GB125" s="58">
        <f t="shared" si="172"/>
        <v>0</v>
      </c>
      <c r="GC125" s="58">
        <f t="shared" si="173"/>
        <v>0</v>
      </c>
      <c r="GD125" s="58">
        <f t="shared" si="174"/>
        <v>0</v>
      </c>
      <c r="GE125" s="58">
        <f>IF(AND(dd_CheckMate214_TTD="Yes",'Effectiveness settings'!BU125=2,'Effectiveness settings'!BX125=2),"Apply HR to",GD125)</f>
        <v>0</v>
      </c>
      <c r="GF125" s="58">
        <f t="shared" si="175"/>
        <v>0</v>
      </c>
      <c r="GG125" s="58">
        <f t="shared" si="176"/>
        <v>0</v>
      </c>
      <c r="GH125" s="58">
        <f t="shared" si="177"/>
        <v>0</v>
      </c>
      <c r="GI125" s="58">
        <f t="shared" si="195"/>
        <v>0</v>
      </c>
      <c r="GK125" s="58">
        <f>IF(i_baseline_risk_from=2,'Effectiveness settings'!FA125,'Effectiveness settings'!FM125)</f>
        <v>0</v>
      </c>
      <c r="GL125" s="58">
        <f>IF(i_baseline_risk_from=2,'Effectiveness settings'!FB125,'Effectiveness settings'!FN125)</f>
        <v>0</v>
      </c>
      <c r="GM125" s="58">
        <f>IF(i_baseline_risk_from=2,'Effectiveness settings'!FC125,'Effectiveness settings'!FO125)</f>
        <v>0</v>
      </c>
      <c r="GN125" s="58">
        <f>IF(i_baseline_risk_from=2,'Effectiveness settings'!FD125,'Effectiveness settings'!FP125)</f>
        <v>0</v>
      </c>
      <c r="GQ125" s="58">
        <f t="shared" si="179"/>
        <v>0</v>
      </c>
      <c r="GR125" s="58">
        <f t="shared" si="180"/>
        <v>0</v>
      </c>
      <c r="GS125" s="58">
        <f t="shared" si="181"/>
        <v>0</v>
      </c>
      <c r="GT125" s="58">
        <f t="shared" si="182"/>
        <v>0</v>
      </c>
      <c r="GU125" s="58">
        <f>IF(AND(dd_CheckMate214_TTD="Yes",'Effectiveness settings'!BU125=2,'Effectiveness settings'!BX125=2),2,GT125)</f>
        <v>0</v>
      </c>
      <c r="GV125" s="58">
        <f t="shared" si="183"/>
        <v>0</v>
      </c>
      <c r="GW125" s="58">
        <f t="shared" si="184"/>
        <v>0</v>
      </c>
      <c r="GY125" s="58">
        <f>IF(AND(dd_CheckMate214_TTD="Yes",'Effectiveness settings'!BU125=2,'Effectiveness settings'!BX125=2),1,GN125)</f>
        <v>0</v>
      </c>
      <c r="GZ125" s="58">
        <f t="shared" si="185"/>
        <v>0</v>
      </c>
      <c r="HB125" s="58">
        <f t="shared" si="186"/>
        <v>0</v>
      </c>
      <c r="HD125" s="58">
        <f t="shared" si="196"/>
        <v>0</v>
      </c>
      <c r="HE125" s="58">
        <f t="shared" si="197"/>
        <v>0</v>
      </c>
      <c r="HF125" s="58">
        <f t="shared" si="193"/>
        <v>0</v>
      </c>
      <c r="HG125" s="58">
        <f t="shared" si="198"/>
        <v>0</v>
      </c>
      <c r="HH125" s="58">
        <f t="shared" si="194"/>
        <v>0</v>
      </c>
    </row>
    <row r="126" spans="9:216" ht="15.75" hidden="1" x14ac:dyDescent="0.25">
      <c r="I126" s="64"/>
      <c r="J126" s="519"/>
      <c r="K126" s="524"/>
      <c r="L126" s="519"/>
      <c r="M126" s="516"/>
      <c r="N126" s="64"/>
      <c r="O126" s="64"/>
      <c r="P126" s="64"/>
      <c r="Q126" s="519"/>
      <c r="R126" s="516"/>
      <c r="S126" s="497"/>
      <c r="T126" s="497"/>
      <c r="U126" s="497"/>
      <c r="Y126" s="517"/>
      <c r="AA126" s="517"/>
      <c r="AF126" s="517"/>
      <c r="AM126" s="517"/>
      <c r="AO126" s="517"/>
      <c r="AT126" s="517"/>
      <c r="AV126" s="511"/>
      <c r="AW126" s="511"/>
      <c r="AX126" s="511"/>
      <c r="BA126" s="517"/>
      <c r="BC126" s="517"/>
      <c r="BH126" s="517"/>
      <c r="BJ126" s="511"/>
      <c r="BK126" s="511"/>
      <c r="BL126" s="511"/>
      <c r="BQ126" s="58">
        <f t="shared" si="165"/>
        <v>70</v>
      </c>
      <c r="BR126" s="17"/>
      <c r="BS126" s="17"/>
      <c r="BT126" s="17"/>
      <c r="BU126" s="17"/>
      <c r="BV126" s="17"/>
      <c r="BW126" s="17"/>
      <c r="BX126" s="61"/>
      <c r="BY126" s="531"/>
      <c r="BZ126" s="530"/>
      <c r="CA126" s="531"/>
      <c r="CB126" s="530"/>
      <c r="CC126" s="530"/>
      <c r="CD126" s="530"/>
      <c r="CE126" s="1295"/>
      <c r="CF126" s="1301"/>
      <c r="CG126" s="530"/>
      <c r="CH126" s="61"/>
      <c r="CI126" s="61"/>
      <c r="CJ126" s="61"/>
      <c r="DA126" s="1024"/>
      <c r="DB126" s="1024"/>
      <c r="DC126" s="1024"/>
      <c r="DD126" s="1024"/>
      <c r="DE126" s="1024"/>
      <c r="DF126" s="1024"/>
      <c r="DG126" s="1024"/>
      <c r="DK126" s="58" t="str" cm="1">
        <f t="array" ref="DK126">IF(AND($BT126=4,$BX126=4,$BU126=999),$DB$36,_xlfn.IFNA(INDEX(DB$13:DB$70,MATCH(1,($BR126=$CV$13:$CV$70)*($BT126=$CX$13:$CX$70)*($CE126=$CY$13:$CY$70)*($BY126=$DA$13:$DA$70)*($CD126=$DH$13:$DH$70),0)),""))</f>
        <v/>
      </c>
      <c r="DL126" s="58" t="str" cm="1">
        <f t="array" ref="DL126">IF(AND($BT126=4,$BX126=4,$BU126=999),$DC$36,_xlfn.IFNA(INDEX(CHOOSE(DP126,DB$13:DB$70,DC$13:DC$70,DD$13:DD$70,DE$13:DE$70),MATCH(1,($BR126=$CV$13:$CV$70)*($BT126=$CX$13:$CX$70)*($CE126=$CY$13:$CY$70)*($BY126=$DA$13:$DA$70)*($CD126=$DH$13:$DH$70),0)),""))</f>
        <v/>
      </c>
      <c r="DM126" s="740" t="str" cm="1">
        <f t="array" ref="DM126">IF(AND($BT126=4,$BX126=4,$BU126=999),$DD$36,_xlfn.IFNA(INDEX(DD$13:DD$68,MATCH(1,($BR126=$CV$13:$CV$68)*($BT126=$CX$13:$CX$68)*($CE126=$CY$13:$CY$68)*($BY126=$DA$13:$DA$68)*($CD126=$DH$13:$DH$68),0)),""))</f>
        <v/>
      </c>
      <c r="DN126" s="740" t="str" cm="1">
        <f t="array" ref="DN126">IF(AND($BT126=4,$BX126=4,$BU126=999),$DD$36,_xlfn.IFNA(INDEX(DE$13:DE$68,MATCH(1,($BR126=$CV$13:$CV$68)*($BT126=$CX$13:$CX$68)*($CE126=$CY$13:$CY$68)*($BY126=$DA$13:$DA$68)*($CD126=$DH$13:$DH$68),0)),""))</f>
        <v/>
      </c>
      <c r="DO126" s="58" t="str" cm="1">
        <f t="array" ref="DO126">IF(AND($BT126=4,$BX126=4,$BU126=999),$DF$36,_xlfn.IFNA(INDEX(DF$13:DF$70,MATCH(1,($BR126=$CV$13:$CV$70)*($BT126=$CX$13:$CX$70)*($CE126=$CY$13:$CY$70)*($BY126=$DA$13:$DA$70)*($CD126=$DH$13:$DH$70),0)),""))</f>
        <v/>
      </c>
      <c r="DP126" s="58" t="e">
        <f t="shared" si="166"/>
        <v>#N/A</v>
      </c>
      <c r="FT126" s="58">
        <f t="shared" si="167"/>
        <v>0</v>
      </c>
      <c r="FW126" s="58">
        <f>IF(i_baseline_risk_from=2,'Effectiveness settings'!EW126,'Effectiveness settings'!FI126)</f>
        <v>0</v>
      </c>
      <c r="FX126" s="58">
        <f t="shared" si="168"/>
        <v>0</v>
      </c>
      <c r="FY126" s="58">
        <f t="shared" si="169"/>
        <v>0</v>
      </c>
      <c r="FZ126" s="58">
        <f t="shared" si="170"/>
        <v>0</v>
      </c>
      <c r="GA126" s="58">
        <f t="shared" si="171"/>
        <v>0</v>
      </c>
      <c r="GB126" s="58">
        <f t="shared" si="172"/>
        <v>0</v>
      </c>
      <c r="GC126" s="58">
        <f t="shared" si="173"/>
        <v>0</v>
      </c>
      <c r="GD126" s="58">
        <f t="shared" si="174"/>
        <v>0</v>
      </c>
      <c r="GE126" s="58">
        <f>IF(AND(dd_CheckMate214_TTD="Yes",'Effectiveness settings'!BU126=2,'Effectiveness settings'!BX126=2),"Apply HR to",GD126)</f>
        <v>0</v>
      </c>
      <c r="GF126" s="58">
        <f t="shared" si="175"/>
        <v>0</v>
      </c>
      <c r="GG126" s="58">
        <f t="shared" si="176"/>
        <v>0</v>
      </c>
      <c r="GH126" s="58">
        <f t="shared" si="177"/>
        <v>0</v>
      </c>
      <c r="GI126" s="58">
        <f t="shared" si="195"/>
        <v>0</v>
      </c>
      <c r="GK126" s="58">
        <f>IF(i_baseline_risk_from=2,'Effectiveness settings'!FA126,'Effectiveness settings'!FM126)</f>
        <v>0</v>
      </c>
      <c r="GL126" s="58">
        <f>IF(i_baseline_risk_from=2,'Effectiveness settings'!FB126,'Effectiveness settings'!FN126)</f>
        <v>0</v>
      </c>
      <c r="GM126" s="58">
        <f>IF(i_baseline_risk_from=2,'Effectiveness settings'!FC126,'Effectiveness settings'!FO126)</f>
        <v>0</v>
      </c>
      <c r="GN126" s="58">
        <f>IF(i_baseline_risk_from=2,'Effectiveness settings'!FD126,'Effectiveness settings'!FP126)</f>
        <v>0</v>
      </c>
      <c r="GQ126" s="58">
        <f t="shared" si="179"/>
        <v>0</v>
      </c>
      <c r="GR126" s="58">
        <f t="shared" si="180"/>
        <v>0</v>
      </c>
      <c r="GS126" s="58">
        <f t="shared" si="181"/>
        <v>0</v>
      </c>
      <c r="GT126" s="58">
        <f t="shared" si="182"/>
        <v>0</v>
      </c>
      <c r="GU126" s="58">
        <f>IF(AND(dd_CheckMate214_TTD="Yes",'Effectiveness settings'!BU126=2,'Effectiveness settings'!BX126=2),2,GT126)</f>
        <v>0</v>
      </c>
      <c r="GV126" s="58">
        <f t="shared" si="183"/>
        <v>0</v>
      </c>
      <c r="GW126" s="58">
        <f t="shared" si="184"/>
        <v>0</v>
      </c>
      <c r="GY126" s="58">
        <f>IF(AND(dd_CheckMate214_TTD="Yes",'Effectiveness settings'!BU126=2,'Effectiveness settings'!BX126=2),1,GN126)</f>
        <v>0</v>
      </c>
      <c r="GZ126" s="58">
        <f t="shared" si="185"/>
        <v>0</v>
      </c>
      <c r="HB126" s="58">
        <f t="shared" si="186"/>
        <v>0</v>
      </c>
      <c r="HD126" s="58">
        <f t="shared" si="196"/>
        <v>0</v>
      </c>
      <c r="HE126" s="58">
        <f t="shared" si="197"/>
        <v>0</v>
      </c>
      <c r="HF126" s="58">
        <f t="shared" si="193"/>
        <v>0</v>
      </c>
      <c r="HG126" s="58">
        <f t="shared" si="198"/>
        <v>0</v>
      </c>
      <c r="HH126" s="58">
        <f t="shared" si="194"/>
        <v>0</v>
      </c>
    </row>
    <row r="127" spans="9:216" ht="15.75" hidden="1" x14ac:dyDescent="0.25">
      <c r="I127" s="64"/>
      <c r="J127" s="519"/>
      <c r="K127" s="524"/>
      <c r="L127" s="519"/>
      <c r="M127" s="516"/>
      <c r="N127" s="64"/>
      <c r="O127" s="64"/>
      <c r="P127" s="64"/>
      <c r="Q127" s="519"/>
      <c r="R127" s="516"/>
      <c r="S127" s="497"/>
      <c r="T127" s="497"/>
      <c r="U127" s="497"/>
      <c r="Y127" s="517"/>
      <c r="AA127" s="517"/>
      <c r="AF127" s="517"/>
      <c r="AM127" s="517"/>
      <c r="AO127" s="517"/>
      <c r="AT127" s="517"/>
      <c r="AV127" s="511"/>
      <c r="AW127" s="511"/>
      <c r="AX127" s="511"/>
      <c r="BA127" s="517"/>
      <c r="BC127" s="517"/>
      <c r="BH127" s="517"/>
      <c r="BJ127" s="511"/>
      <c r="BK127" s="511"/>
      <c r="BL127" s="511"/>
      <c r="BQ127" s="58">
        <f t="shared" si="165"/>
        <v>70</v>
      </c>
      <c r="BR127" s="17"/>
      <c r="BS127" s="17"/>
      <c r="BT127" s="17"/>
      <c r="BU127" s="17"/>
      <c r="BV127" s="17"/>
      <c r="BW127" s="17"/>
      <c r="BX127" s="61"/>
      <c r="BY127" s="531"/>
      <c r="BZ127" s="530"/>
      <c r="CA127" s="531"/>
      <c r="CB127" s="530"/>
      <c r="CC127" s="530"/>
      <c r="CD127" s="530"/>
      <c r="CE127" s="1295"/>
      <c r="CF127" s="1301"/>
      <c r="CG127" s="530"/>
      <c r="CH127" s="61"/>
      <c r="CI127" s="61"/>
      <c r="CJ127" s="61"/>
      <c r="DA127" s="1024"/>
      <c r="DB127" s="1024"/>
      <c r="DC127" s="1024"/>
      <c r="DD127" s="1024"/>
      <c r="DE127" s="1024"/>
      <c r="DF127" s="1024"/>
      <c r="DG127" s="1024"/>
      <c r="DK127" s="58" t="str" cm="1">
        <f t="array" ref="DK127">IF(AND($BT127=4,$BX127=4,$BU127=999),$DB$36,_xlfn.IFNA(INDEX(DB$13:DB$70,MATCH(1,($BR127=$CV$13:$CV$70)*($BT127=$CX$13:$CX$70)*($CE127=$CY$13:$CY$70)*($BY127=$DA$13:$DA$70)*($CD127=$DH$13:$DH$70),0)),""))</f>
        <v/>
      </c>
      <c r="DL127" s="58" t="str" cm="1">
        <f t="array" ref="DL127">IF(AND($BT127=4,$BX127=4,$BU127=999),$DC$36,_xlfn.IFNA(INDEX(CHOOSE(DP127,DB$13:DB$70,DC$13:DC$70,DD$13:DD$70,DE$13:DE$70),MATCH(1,($BR127=$CV$13:$CV$70)*($BT127=$CX$13:$CX$70)*($CE127=$CY$13:$CY$70)*($BY127=$DA$13:$DA$70)*($CD127=$DH$13:$DH$70),0)),""))</f>
        <v/>
      </c>
      <c r="DM127" s="740" t="str" cm="1">
        <f t="array" ref="DM127">IF(AND($BT127=4,$BX127=4,$BU127=999),$DD$36,_xlfn.IFNA(INDEX(DD$13:DD$68,MATCH(1,($BR127=$CV$13:$CV$68)*($BT127=$CX$13:$CX$68)*($CE127=$CY$13:$CY$68)*($BY127=$DA$13:$DA$68)*($CD127=$DH$13:$DH$68),0)),""))</f>
        <v/>
      </c>
      <c r="DN127" s="740" t="str" cm="1">
        <f t="array" ref="DN127">IF(AND($BT127=4,$BX127=4,$BU127=999),$DD$36,_xlfn.IFNA(INDEX(DE$13:DE$68,MATCH(1,($BR127=$CV$13:$CV$68)*($BT127=$CX$13:$CX$68)*($CE127=$CY$13:$CY$68)*($BY127=$DA$13:$DA$68)*($CD127=$DH$13:$DH$68),0)),""))</f>
        <v/>
      </c>
      <c r="DO127" s="58" t="str" cm="1">
        <f t="array" ref="DO127">IF(AND($BT127=4,$BX127=4,$BU127=999),$DF$36,_xlfn.IFNA(INDEX(DF$13:DF$70,MATCH(1,($BR127=$CV$13:$CV$70)*($BT127=$CX$13:$CX$70)*($CE127=$CY$13:$CY$70)*($BY127=$DA$13:$DA$70)*($CD127=$DH$13:$DH$70),0)),""))</f>
        <v/>
      </c>
      <c r="DP127" s="58" t="e">
        <f t="shared" si="166"/>
        <v>#N/A</v>
      </c>
      <c r="FT127" s="58">
        <f t="shared" si="167"/>
        <v>0</v>
      </c>
      <c r="FW127" s="58">
        <f>IF(i_baseline_risk_from=2,'Effectiveness settings'!EW127,'Effectiveness settings'!FI127)</f>
        <v>0</v>
      </c>
      <c r="FX127" s="58">
        <f t="shared" si="168"/>
        <v>0</v>
      </c>
      <c r="FY127" s="58">
        <f t="shared" si="169"/>
        <v>0</v>
      </c>
      <c r="FZ127" s="58">
        <f t="shared" si="170"/>
        <v>0</v>
      </c>
      <c r="GA127" s="58">
        <f t="shared" si="171"/>
        <v>0</v>
      </c>
      <c r="GB127" s="58">
        <f t="shared" si="172"/>
        <v>0</v>
      </c>
      <c r="GC127" s="58">
        <f t="shared" si="173"/>
        <v>0</v>
      </c>
      <c r="GD127" s="58">
        <f t="shared" si="174"/>
        <v>0</v>
      </c>
      <c r="GE127" s="58">
        <f>IF(AND(dd_CheckMate214_TTD="Yes",'Effectiveness settings'!BU127=2,'Effectiveness settings'!BX127=2),"Apply HR to",GD127)</f>
        <v>0</v>
      </c>
      <c r="GF127" s="58">
        <f t="shared" si="175"/>
        <v>0</v>
      </c>
      <c r="GG127" s="58">
        <f t="shared" si="176"/>
        <v>0</v>
      </c>
      <c r="GH127" s="58">
        <f t="shared" si="177"/>
        <v>0</v>
      </c>
      <c r="GI127" s="58">
        <f t="shared" si="195"/>
        <v>0</v>
      </c>
      <c r="GK127" s="58">
        <f>IF(i_baseline_risk_from=2,'Effectiveness settings'!FA127,'Effectiveness settings'!FM127)</f>
        <v>0</v>
      </c>
      <c r="GL127" s="58">
        <f>IF(i_baseline_risk_from=2,'Effectiveness settings'!FB127,'Effectiveness settings'!FN127)</f>
        <v>0</v>
      </c>
      <c r="GM127" s="58">
        <f>IF(i_baseline_risk_from=2,'Effectiveness settings'!FC127,'Effectiveness settings'!FO127)</f>
        <v>0</v>
      </c>
      <c r="GN127" s="58">
        <f>IF(i_baseline_risk_from=2,'Effectiveness settings'!FD127,'Effectiveness settings'!FP127)</f>
        <v>0</v>
      </c>
      <c r="GQ127" s="58">
        <f t="shared" si="179"/>
        <v>0</v>
      </c>
      <c r="GR127" s="58">
        <f t="shared" si="180"/>
        <v>0</v>
      </c>
      <c r="GS127" s="58">
        <f t="shared" si="181"/>
        <v>0</v>
      </c>
      <c r="GT127" s="58">
        <f t="shared" si="182"/>
        <v>0</v>
      </c>
      <c r="GU127" s="58">
        <f>IF(AND(dd_CheckMate214_TTD="Yes",'Effectiveness settings'!BU127=2,'Effectiveness settings'!BX127=2),2,GT127)</f>
        <v>0</v>
      </c>
      <c r="GV127" s="58">
        <f t="shared" si="183"/>
        <v>0</v>
      </c>
      <c r="GW127" s="58">
        <f t="shared" si="184"/>
        <v>0</v>
      </c>
      <c r="GY127" s="58">
        <f>IF(AND(dd_CheckMate214_TTD="Yes",'Effectiveness settings'!BU127=2,'Effectiveness settings'!BX127=2),1,GN127)</f>
        <v>0</v>
      </c>
      <c r="GZ127" s="58">
        <f t="shared" si="185"/>
        <v>0</v>
      </c>
      <c r="HB127" s="58">
        <f t="shared" si="186"/>
        <v>0</v>
      </c>
      <c r="HD127" s="58">
        <f t="shared" si="196"/>
        <v>0</v>
      </c>
      <c r="HE127" s="58">
        <f t="shared" si="197"/>
        <v>0</v>
      </c>
      <c r="HF127" s="58">
        <f t="shared" si="193"/>
        <v>0</v>
      </c>
      <c r="HG127" s="58">
        <f t="shared" si="198"/>
        <v>0</v>
      </c>
      <c r="HH127" s="58">
        <f t="shared" si="194"/>
        <v>0</v>
      </c>
    </row>
    <row r="128" spans="9:216" ht="15.75" hidden="1" x14ac:dyDescent="0.25">
      <c r="I128" s="64"/>
      <c r="J128" s="519"/>
      <c r="K128" s="524"/>
      <c r="L128" s="519"/>
      <c r="M128" s="516"/>
      <c r="N128" s="64"/>
      <c r="O128" s="64"/>
      <c r="P128" s="64"/>
      <c r="Q128" s="519"/>
      <c r="R128" s="516"/>
      <c r="S128" s="497"/>
      <c r="T128" s="497"/>
      <c r="U128" s="497"/>
      <c r="Y128" s="517"/>
      <c r="AA128" s="517"/>
      <c r="AF128" s="517"/>
      <c r="AM128" s="517"/>
      <c r="AO128" s="517"/>
      <c r="AT128" s="517"/>
      <c r="AV128" s="511"/>
      <c r="AW128" s="511"/>
      <c r="AX128" s="511"/>
      <c r="BA128" s="517"/>
      <c r="BC128" s="517"/>
      <c r="BH128" s="517"/>
      <c r="BJ128" s="511"/>
      <c r="BK128" s="511"/>
      <c r="BL128" s="511"/>
      <c r="BQ128" s="58">
        <f t="shared" si="165"/>
        <v>70</v>
      </c>
      <c r="BR128" s="17"/>
      <c r="BS128" s="17"/>
      <c r="BT128" s="17"/>
      <c r="BU128" s="17"/>
      <c r="BV128" s="17"/>
      <c r="BW128" s="17"/>
      <c r="BX128" s="61"/>
      <c r="BY128" s="531"/>
      <c r="BZ128" s="530"/>
      <c r="CA128" s="531"/>
      <c r="CB128" s="530"/>
      <c r="CC128" s="530"/>
      <c r="CD128" s="530"/>
      <c r="CE128" s="1295"/>
      <c r="CF128" s="1301"/>
      <c r="CG128" s="530"/>
      <c r="CH128" s="61"/>
      <c r="CI128" s="61"/>
      <c r="CJ128" s="61"/>
      <c r="DA128" s="1024"/>
      <c r="DB128" s="1024"/>
      <c r="DC128" s="1024"/>
      <c r="DD128" s="1024"/>
      <c r="DE128" s="1024"/>
      <c r="DF128" s="1024"/>
      <c r="DG128" s="1024"/>
      <c r="DK128" s="58" t="str" cm="1">
        <f t="array" ref="DK128">IF(AND($BT128=4,$BX128=4,$BU128=999),$DB$36,_xlfn.IFNA(INDEX(DB$13:DB$70,MATCH(1,($BR128=$CV$13:$CV$70)*($BT128=$CX$13:$CX$70)*($CE128=$CY$13:$CY$70)*($BY128=$DA$13:$DA$70)*($CD128=$DH$13:$DH$70),0)),""))</f>
        <v/>
      </c>
      <c r="DL128" s="58" t="str" cm="1">
        <f t="array" ref="DL128">IF(AND($BT128=4,$BX128=4,$BU128=999),$DC$36,_xlfn.IFNA(INDEX(CHOOSE(DP128,DB$13:DB$70,DC$13:DC$70,DD$13:DD$70,DE$13:DE$70),MATCH(1,($BR128=$CV$13:$CV$70)*($BT128=$CX$13:$CX$70)*($CE128=$CY$13:$CY$70)*($BY128=$DA$13:$DA$70)*($CD128=$DH$13:$DH$70),0)),""))</f>
        <v/>
      </c>
      <c r="DM128" s="740" t="str" cm="1">
        <f t="array" ref="DM128">IF(AND($BT128=4,$BX128=4,$BU128=999),$DD$36,_xlfn.IFNA(INDEX(DD$13:DD$68,MATCH(1,($BR128=$CV$13:$CV$68)*($BT128=$CX$13:$CX$68)*($CE128=$CY$13:$CY$68)*($BY128=$DA$13:$DA$68)*($CD128=$DH$13:$DH$68),0)),""))</f>
        <v/>
      </c>
      <c r="DN128" s="740" t="str" cm="1">
        <f t="array" ref="DN128">IF(AND($BT128=4,$BX128=4,$BU128=999),$DD$36,_xlfn.IFNA(INDEX(DE$13:DE$68,MATCH(1,($BR128=$CV$13:$CV$68)*($BT128=$CX$13:$CX$68)*($CE128=$CY$13:$CY$68)*($BY128=$DA$13:$DA$68)*($CD128=$DH$13:$DH$68),0)),""))</f>
        <v/>
      </c>
      <c r="DO128" s="58" t="str" cm="1">
        <f t="array" ref="DO128">IF(AND($BT128=4,$BX128=4,$BU128=999),$DF$36,_xlfn.IFNA(INDEX(DF$13:DF$70,MATCH(1,($BR128=$CV$13:$CV$70)*($BT128=$CX$13:$CX$70)*($CE128=$CY$13:$CY$70)*($BY128=$DA$13:$DA$70)*($CD128=$DH$13:$DH$70),0)),""))</f>
        <v/>
      </c>
      <c r="DP128" s="58" t="e">
        <f t="shared" si="166"/>
        <v>#N/A</v>
      </c>
      <c r="FT128" s="58">
        <f t="shared" si="167"/>
        <v>0</v>
      </c>
      <c r="FW128" s="58">
        <f>IF(i_baseline_risk_from=2,'Effectiveness settings'!EW128,'Effectiveness settings'!FI128)</f>
        <v>0</v>
      </c>
      <c r="FX128" s="58">
        <f t="shared" si="168"/>
        <v>0</v>
      </c>
      <c r="FY128" s="58">
        <f t="shared" si="169"/>
        <v>0</v>
      </c>
      <c r="FZ128" s="58">
        <f t="shared" si="170"/>
        <v>0</v>
      </c>
      <c r="GA128" s="58">
        <f t="shared" si="171"/>
        <v>0</v>
      </c>
      <c r="GB128" s="58">
        <f t="shared" si="172"/>
        <v>0</v>
      </c>
      <c r="GC128" s="58">
        <f t="shared" si="173"/>
        <v>0</v>
      </c>
      <c r="GD128" s="58">
        <f t="shared" si="174"/>
        <v>0</v>
      </c>
      <c r="GE128" s="58">
        <f>IF(AND(dd_CheckMate214_TTD="Yes",'Effectiveness settings'!BU128=2,'Effectiveness settings'!BX128=2),"Apply HR to",GD128)</f>
        <v>0</v>
      </c>
      <c r="GF128" s="58">
        <f t="shared" si="175"/>
        <v>0</v>
      </c>
      <c r="GG128" s="58">
        <f t="shared" si="176"/>
        <v>0</v>
      </c>
      <c r="GH128" s="58">
        <f t="shared" si="177"/>
        <v>0</v>
      </c>
      <c r="GI128" s="58">
        <f t="shared" si="195"/>
        <v>0</v>
      </c>
      <c r="GK128" s="58">
        <f>IF(i_baseline_risk_from=2,'Effectiveness settings'!FA128,'Effectiveness settings'!FM128)</f>
        <v>0</v>
      </c>
      <c r="GL128" s="58">
        <f>IF(i_baseline_risk_from=2,'Effectiveness settings'!FB128,'Effectiveness settings'!FN128)</f>
        <v>0</v>
      </c>
      <c r="GM128" s="58">
        <f>IF(i_baseline_risk_from=2,'Effectiveness settings'!FC128,'Effectiveness settings'!FO128)</f>
        <v>0</v>
      </c>
      <c r="GN128" s="58">
        <f>IF(i_baseline_risk_from=2,'Effectiveness settings'!FD128,'Effectiveness settings'!FP128)</f>
        <v>0</v>
      </c>
      <c r="GQ128" s="58">
        <f t="shared" si="179"/>
        <v>0</v>
      </c>
      <c r="GR128" s="58">
        <f t="shared" si="180"/>
        <v>0</v>
      </c>
      <c r="GS128" s="58">
        <f t="shared" si="181"/>
        <v>0</v>
      </c>
      <c r="GT128" s="58">
        <f t="shared" si="182"/>
        <v>0</v>
      </c>
      <c r="GU128" s="58">
        <f>IF(AND(dd_CheckMate214_TTD="Yes",'Effectiveness settings'!BU128=2,'Effectiveness settings'!BX128=2),2,GT128)</f>
        <v>0</v>
      </c>
      <c r="GV128" s="58">
        <f t="shared" si="183"/>
        <v>0</v>
      </c>
      <c r="GW128" s="58">
        <f t="shared" si="184"/>
        <v>0</v>
      </c>
      <c r="GY128" s="58">
        <f>IF(AND(dd_CheckMate214_TTD="Yes",'Effectiveness settings'!BU128=2,'Effectiveness settings'!BX128=2),1,GN128)</f>
        <v>0</v>
      </c>
      <c r="GZ128" s="58">
        <f t="shared" si="185"/>
        <v>0</v>
      </c>
      <c r="HB128" s="58">
        <f t="shared" si="186"/>
        <v>0</v>
      </c>
      <c r="HD128" s="58">
        <f t="shared" si="196"/>
        <v>0</v>
      </c>
      <c r="HE128" s="58">
        <f t="shared" si="197"/>
        <v>0</v>
      </c>
      <c r="HF128" s="58">
        <f t="shared" si="193"/>
        <v>0</v>
      </c>
      <c r="HG128" s="58">
        <f t="shared" si="198"/>
        <v>0</v>
      </c>
      <c r="HH128" s="58">
        <f t="shared" si="194"/>
        <v>0</v>
      </c>
    </row>
    <row r="129" spans="1:216" ht="15.75" hidden="1" x14ac:dyDescent="0.25">
      <c r="I129" s="64"/>
      <c r="J129" s="519"/>
      <c r="K129" s="524"/>
      <c r="L129" s="519"/>
      <c r="M129" s="516"/>
      <c r="N129" s="64"/>
      <c r="O129" s="64"/>
      <c r="P129" s="64"/>
      <c r="Q129" s="519"/>
      <c r="R129" s="516"/>
      <c r="S129" s="497"/>
      <c r="T129" s="497"/>
      <c r="U129" s="497"/>
      <c r="Y129" s="517"/>
      <c r="AA129" s="517"/>
      <c r="AF129" s="517"/>
      <c r="AM129" s="517"/>
      <c r="AO129" s="517"/>
      <c r="AT129" s="517"/>
      <c r="AV129" s="511"/>
      <c r="AW129" s="511"/>
      <c r="AX129" s="511"/>
      <c r="BA129" s="517"/>
      <c r="BC129" s="517"/>
      <c r="BH129" s="517"/>
      <c r="BJ129" s="511"/>
      <c r="BK129" s="511"/>
      <c r="BL129" s="511"/>
      <c r="BQ129" s="58">
        <f t="shared" si="165"/>
        <v>70</v>
      </c>
      <c r="BR129" s="17"/>
      <c r="BS129" s="17"/>
      <c r="BT129" s="17"/>
      <c r="BU129" s="17"/>
      <c r="BV129" s="17"/>
      <c r="BW129" s="17"/>
      <c r="BX129" s="61"/>
      <c r="BY129" s="531"/>
      <c r="BZ129" s="530"/>
      <c r="CA129" s="531"/>
      <c r="CB129" s="530"/>
      <c r="CC129" s="530"/>
      <c r="CD129" s="530"/>
      <c r="CE129" s="1295"/>
      <c r="CF129" s="1301"/>
      <c r="CG129" s="530"/>
      <c r="CH129" s="61"/>
      <c r="CI129" s="61"/>
      <c r="CJ129" s="61"/>
      <c r="DA129" s="1024"/>
      <c r="DB129" s="1024"/>
      <c r="DC129" s="1024"/>
      <c r="DD129" s="1024"/>
      <c r="DE129" s="1024"/>
      <c r="DF129" s="1024"/>
      <c r="DG129" s="1024"/>
      <c r="DK129" s="58" t="str" cm="1">
        <f t="array" ref="DK129">IF(AND($BT129=4,$BX129=4,$BU129=999),$DB$36,_xlfn.IFNA(INDEX(DB$13:DB$70,MATCH(1,($BR129=$CV$13:$CV$70)*($BT129=$CX$13:$CX$70)*($CE129=$CY$13:$CY$70)*($BY129=$DA$13:$DA$70)*($CD129=$DH$13:$DH$70),0)),""))</f>
        <v/>
      </c>
      <c r="DL129" s="58" t="str" cm="1">
        <f t="array" ref="DL129">IF(AND($BT129=4,$BX129=4,$BU129=999),$DC$36,_xlfn.IFNA(INDEX(CHOOSE(DP129,DB$13:DB$70,DC$13:DC$70,DD$13:DD$70,DE$13:DE$70),MATCH(1,($BR129=$CV$13:$CV$70)*($BT129=$CX$13:$CX$70)*($CE129=$CY$13:$CY$70)*($BY129=$DA$13:$DA$70)*($CD129=$DH$13:$DH$70),0)),""))</f>
        <v/>
      </c>
      <c r="DM129" s="740" t="str" cm="1">
        <f t="array" ref="DM129">IF(AND($BT129=4,$BX129=4,$BU129=999),$DD$36,_xlfn.IFNA(INDEX(DD$13:DD$68,MATCH(1,($BR129=$CV$13:$CV$68)*($BT129=$CX$13:$CX$68)*($CE129=$CY$13:$CY$68)*($BY129=$DA$13:$DA$68)*($CD129=$DH$13:$DH$68),0)),""))</f>
        <v/>
      </c>
      <c r="DN129" s="740" t="str" cm="1">
        <f t="array" ref="DN129">IF(AND($BT129=4,$BX129=4,$BU129=999),$DD$36,_xlfn.IFNA(INDEX(DE$13:DE$68,MATCH(1,($BR129=$CV$13:$CV$68)*($BT129=$CX$13:$CX$68)*($CE129=$CY$13:$CY$68)*($BY129=$DA$13:$DA$68)*($CD129=$DH$13:$DH$68),0)),""))</f>
        <v/>
      </c>
      <c r="DO129" s="58" t="str" cm="1">
        <f t="array" ref="DO129">IF(AND($BT129=4,$BX129=4,$BU129=999),$DF$36,_xlfn.IFNA(INDEX(DF$13:DF$70,MATCH(1,($BR129=$CV$13:$CV$70)*($BT129=$CX$13:$CX$70)*($CE129=$CY$13:$CY$70)*($BY129=$DA$13:$DA$70)*($CD129=$DH$13:$DH$70),0)),""))</f>
        <v/>
      </c>
      <c r="DP129" s="58" t="e">
        <f t="shared" si="166"/>
        <v>#N/A</v>
      </c>
      <c r="FT129" s="58">
        <f t="shared" si="167"/>
        <v>0</v>
      </c>
      <c r="FW129" s="58">
        <f>IF(i_baseline_risk_from=2,'Effectiveness settings'!EW129,'Effectiveness settings'!FI129)</f>
        <v>0</v>
      </c>
      <c r="FX129" s="58">
        <f t="shared" si="168"/>
        <v>0</v>
      </c>
      <c r="FY129" s="58">
        <f t="shared" si="169"/>
        <v>0</v>
      </c>
      <c r="FZ129" s="58">
        <f t="shared" si="170"/>
        <v>0</v>
      </c>
      <c r="GA129" s="58">
        <f t="shared" si="171"/>
        <v>0</v>
      </c>
      <c r="GB129" s="58">
        <f t="shared" si="172"/>
        <v>0</v>
      </c>
      <c r="GC129" s="58">
        <f t="shared" si="173"/>
        <v>0</v>
      </c>
      <c r="GD129" s="58">
        <f t="shared" si="174"/>
        <v>0</v>
      </c>
      <c r="GE129" s="58">
        <f>IF(AND(dd_CheckMate214_TTD="Yes",'Effectiveness settings'!BU129=2,'Effectiveness settings'!BX129=2),"Apply HR to",GD129)</f>
        <v>0</v>
      </c>
      <c r="GF129" s="58">
        <f t="shared" si="175"/>
        <v>0</v>
      </c>
      <c r="GG129" s="58">
        <f t="shared" si="176"/>
        <v>0</v>
      </c>
      <c r="GH129" s="58">
        <f t="shared" si="177"/>
        <v>0</v>
      </c>
      <c r="GI129" s="58">
        <f t="shared" si="195"/>
        <v>0</v>
      </c>
      <c r="GK129" s="58">
        <f>IF(i_baseline_risk_from=2,'Effectiveness settings'!FA129,'Effectiveness settings'!FM129)</f>
        <v>0</v>
      </c>
      <c r="GL129" s="58">
        <f>IF(i_baseline_risk_from=2,'Effectiveness settings'!FB129,'Effectiveness settings'!FN129)</f>
        <v>0</v>
      </c>
      <c r="GM129" s="58">
        <f>IF(i_baseline_risk_from=2,'Effectiveness settings'!FC129,'Effectiveness settings'!FO129)</f>
        <v>0</v>
      </c>
      <c r="GN129" s="58">
        <f>IF(i_baseline_risk_from=2,'Effectiveness settings'!FD129,'Effectiveness settings'!FP129)</f>
        <v>0</v>
      </c>
      <c r="GQ129" s="58">
        <f t="shared" si="179"/>
        <v>0</v>
      </c>
      <c r="GR129" s="58">
        <f t="shared" si="180"/>
        <v>0</v>
      </c>
      <c r="GS129" s="58">
        <f t="shared" si="181"/>
        <v>0</v>
      </c>
      <c r="GT129" s="58">
        <f t="shared" si="182"/>
        <v>0</v>
      </c>
      <c r="GU129" s="58">
        <f>IF(AND(dd_CheckMate214_TTD="Yes",'Effectiveness settings'!BU129=2,'Effectiveness settings'!BX129=2),2,GT129)</f>
        <v>0</v>
      </c>
      <c r="GV129" s="58">
        <f t="shared" si="183"/>
        <v>0</v>
      </c>
      <c r="GW129" s="58">
        <f t="shared" si="184"/>
        <v>0</v>
      </c>
      <c r="GY129" s="58">
        <f>IF(AND(dd_CheckMate214_TTD="Yes",'Effectiveness settings'!BU129=2,'Effectiveness settings'!BX129=2),1,GN129)</f>
        <v>0</v>
      </c>
      <c r="GZ129" s="58">
        <f t="shared" si="185"/>
        <v>0</v>
      </c>
      <c r="HB129" s="58">
        <f t="shared" si="186"/>
        <v>0</v>
      </c>
      <c r="HD129" s="58">
        <f t="shared" si="196"/>
        <v>0</v>
      </c>
      <c r="HE129" s="58">
        <f t="shared" si="197"/>
        <v>0</v>
      </c>
      <c r="HF129" s="58">
        <f t="shared" si="193"/>
        <v>0</v>
      </c>
      <c r="HG129" s="58">
        <f t="shared" si="198"/>
        <v>0</v>
      </c>
      <c r="HH129" s="58">
        <f t="shared" si="194"/>
        <v>0</v>
      </c>
    </row>
    <row r="130" spans="1:216" ht="15.75" hidden="1" x14ac:dyDescent="0.25">
      <c r="I130" s="64"/>
      <c r="J130" s="519"/>
      <c r="K130" s="524"/>
      <c r="L130" s="519"/>
      <c r="M130" s="516"/>
      <c r="N130" s="64"/>
      <c r="O130" s="64"/>
      <c r="P130" s="64"/>
      <c r="Q130" s="519"/>
      <c r="R130" s="516"/>
      <c r="S130" s="497"/>
      <c r="T130" s="497"/>
      <c r="U130" s="497"/>
      <c r="Y130" s="517"/>
      <c r="AA130" s="517"/>
      <c r="AF130" s="517"/>
      <c r="AM130" s="517"/>
      <c r="AO130" s="517"/>
      <c r="AT130" s="517"/>
      <c r="AV130" s="511"/>
      <c r="AW130" s="511"/>
      <c r="AX130" s="511"/>
      <c r="BA130" s="517"/>
      <c r="BC130" s="517"/>
      <c r="BH130" s="517"/>
      <c r="BJ130" s="511"/>
      <c r="BK130" s="511"/>
      <c r="BL130" s="511"/>
      <c r="BQ130" s="58">
        <f t="shared" si="165"/>
        <v>70</v>
      </c>
      <c r="BR130" s="17"/>
      <c r="BS130" s="17"/>
      <c r="BT130" s="17"/>
      <c r="BU130" s="17"/>
      <c r="BV130" s="17"/>
      <c r="BW130" s="17"/>
      <c r="BX130" s="61"/>
      <c r="BY130" s="531"/>
      <c r="BZ130" s="530"/>
      <c r="CA130" s="531"/>
      <c r="CB130" s="530"/>
      <c r="CC130" s="530"/>
      <c r="CD130" s="530"/>
      <c r="CE130" s="1295"/>
      <c r="CF130" s="1301"/>
      <c r="CG130" s="530"/>
      <c r="CH130" s="61"/>
      <c r="CI130" s="61"/>
      <c r="CJ130" s="61"/>
      <c r="DA130" s="1024"/>
      <c r="DB130" s="1024"/>
      <c r="DC130" s="1024"/>
      <c r="DD130" s="1024"/>
      <c r="DE130" s="1024"/>
      <c r="DF130" s="1024"/>
      <c r="DG130" s="1024"/>
      <c r="DK130" s="58" t="str" cm="1">
        <f t="array" ref="DK130">IF(AND($BT130=4,$BX130=4,$BU130=999),$DB$36,_xlfn.IFNA(INDEX(DB$13:DB$70,MATCH(1,($BR130=$CV$13:$CV$70)*($BT130=$CX$13:$CX$70)*($CE130=$CY$13:$CY$70)*($BY130=$DA$13:$DA$70)*($CD130=$DH$13:$DH$70),0)),""))</f>
        <v/>
      </c>
      <c r="DL130" s="58" t="str" cm="1">
        <f t="array" ref="DL130">IF(AND($BT130=4,$BX130=4,$BU130=999),$DC$36,_xlfn.IFNA(INDEX(CHOOSE(DP130,DB$13:DB$70,DC$13:DC$70,DD$13:DD$70,DE$13:DE$70),MATCH(1,($BR130=$CV$13:$CV$70)*($BT130=$CX$13:$CX$70)*($CE130=$CY$13:$CY$70)*($BY130=$DA$13:$DA$70)*($CD130=$DH$13:$DH$70),0)),""))</f>
        <v/>
      </c>
      <c r="DM130" s="740" t="str" cm="1">
        <f t="array" ref="DM130">IF(AND($BT130=4,$BX130=4,$BU130=999),$DD$36,_xlfn.IFNA(INDEX(DD$13:DD$68,MATCH(1,($BR130=$CV$13:$CV$68)*($BT130=$CX$13:$CX$68)*($CE130=$CY$13:$CY$68)*($BY130=$DA$13:$DA$68)*($CD130=$DH$13:$DH$68),0)),""))</f>
        <v/>
      </c>
      <c r="DN130" s="740" t="str" cm="1">
        <f t="array" ref="DN130">IF(AND($BT130=4,$BX130=4,$BU130=999),$DD$36,_xlfn.IFNA(INDEX(DE$13:DE$68,MATCH(1,($BR130=$CV$13:$CV$68)*($BT130=$CX$13:$CX$68)*($CE130=$CY$13:$CY$68)*($BY130=$DA$13:$DA$68)*($CD130=$DH$13:$DH$68),0)),""))</f>
        <v/>
      </c>
      <c r="DO130" s="58" t="str" cm="1">
        <f t="array" ref="DO130">IF(AND($BT130=4,$BX130=4,$BU130=999),$DF$36,_xlfn.IFNA(INDEX(DF$13:DF$70,MATCH(1,($BR130=$CV$13:$CV$70)*($BT130=$CX$13:$CX$70)*($CE130=$CY$13:$CY$70)*($BY130=$DA$13:$DA$70)*($CD130=$DH$13:$DH$70),0)),""))</f>
        <v/>
      </c>
      <c r="DP130" s="58" t="e">
        <f t="shared" si="166"/>
        <v>#N/A</v>
      </c>
      <c r="FT130" s="58">
        <f t="shared" si="167"/>
        <v>0</v>
      </c>
      <c r="FW130" s="58">
        <f>IF(i_baseline_risk_from=2,'Effectiveness settings'!EW130,'Effectiveness settings'!FI130)</f>
        <v>0</v>
      </c>
      <c r="FX130" s="58">
        <f t="shared" si="168"/>
        <v>0</v>
      </c>
      <c r="FY130" s="58">
        <f t="shared" si="169"/>
        <v>0</v>
      </c>
      <c r="FZ130" s="58">
        <f t="shared" si="170"/>
        <v>0</v>
      </c>
      <c r="GA130" s="58">
        <f t="shared" si="171"/>
        <v>0</v>
      </c>
      <c r="GB130" s="58">
        <f t="shared" si="172"/>
        <v>0</v>
      </c>
      <c r="GC130" s="58">
        <f t="shared" si="173"/>
        <v>0</v>
      </c>
      <c r="GD130" s="58">
        <f t="shared" si="174"/>
        <v>0</v>
      </c>
      <c r="GE130" s="58">
        <f>IF(AND(dd_CheckMate214_TTD="Yes",'Effectiveness settings'!BU130=2,'Effectiveness settings'!BX130=2),"Apply HR to",GD130)</f>
        <v>0</v>
      </c>
      <c r="GF130" s="58">
        <f t="shared" si="175"/>
        <v>0</v>
      </c>
      <c r="GG130" s="58">
        <f t="shared" si="176"/>
        <v>0</v>
      </c>
      <c r="GH130" s="58">
        <f t="shared" si="177"/>
        <v>0</v>
      </c>
      <c r="GI130" s="58">
        <f t="shared" si="195"/>
        <v>0</v>
      </c>
      <c r="GK130" s="58">
        <f>IF(i_baseline_risk_from=2,'Effectiveness settings'!FA130,'Effectiveness settings'!FM130)</f>
        <v>0</v>
      </c>
      <c r="GL130" s="58">
        <f>IF(i_baseline_risk_from=2,'Effectiveness settings'!FB130,'Effectiveness settings'!FN130)</f>
        <v>0</v>
      </c>
      <c r="GM130" s="58">
        <f>IF(i_baseline_risk_from=2,'Effectiveness settings'!FC130,'Effectiveness settings'!FO130)</f>
        <v>0</v>
      </c>
      <c r="GN130" s="58">
        <f>IF(i_baseline_risk_from=2,'Effectiveness settings'!FD130,'Effectiveness settings'!FP130)</f>
        <v>0</v>
      </c>
      <c r="GQ130" s="58">
        <f t="shared" si="179"/>
        <v>0</v>
      </c>
      <c r="GR130" s="58">
        <f t="shared" si="180"/>
        <v>0</v>
      </c>
      <c r="GS130" s="58">
        <f t="shared" si="181"/>
        <v>0</v>
      </c>
      <c r="GT130" s="58">
        <f t="shared" si="182"/>
        <v>0</v>
      </c>
      <c r="GU130" s="58">
        <f>IF(AND(dd_CheckMate214_TTD="Yes",'Effectiveness settings'!BU130=2,'Effectiveness settings'!BX130=2),2,GT130)</f>
        <v>0</v>
      </c>
      <c r="GV130" s="58">
        <f t="shared" si="183"/>
        <v>0</v>
      </c>
      <c r="GW130" s="58">
        <f t="shared" si="184"/>
        <v>0</v>
      </c>
      <c r="GY130" s="58">
        <f>IF(AND(dd_CheckMate214_TTD="Yes",'Effectiveness settings'!BU130=2,'Effectiveness settings'!BX130=2),1,GN130)</f>
        <v>0</v>
      </c>
      <c r="GZ130" s="58">
        <f t="shared" si="185"/>
        <v>0</v>
      </c>
      <c r="HB130" s="58">
        <f t="shared" si="186"/>
        <v>0</v>
      </c>
      <c r="HD130" s="58">
        <f t="shared" si="196"/>
        <v>0</v>
      </c>
      <c r="HE130" s="58">
        <f t="shared" si="197"/>
        <v>0</v>
      </c>
      <c r="HF130" s="58">
        <f t="shared" si="193"/>
        <v>0</v>
      </c>
      <c r="HG130" s="58">
        <f t="shared" si="198"/>
        <v>0</v>
      </c>
      <c r="HH130" s="58">
        <f t="shared" si="194"/>
        <v>0</v>
      </c>
    </row>
    <row r="131" spans="1:216" ht="15.75" hidden="1" x14ac:dyDescent="0.25">
      <c r="I131" s="64"/>
      <c r="J131" s="519"/>
      <c r="K131" s="524"/>
      <c r="L131" s="519"/>
      <c r="M131" s="516"/>
      <c r="N131" s="64"/>
      <c r="O131" s="64"/>
      <c r="P131" s="64"/>
      <c r="Q131" s="519"/>
      <c r="R131" s="516"/>
      <c r="S131" s="497"/>
      <c r="T131" s="497"/>
      <c r="U131" s="497"/>
      <c r="Y131" s="517"/>
      <c r="AA131" s="517"/>
      <c r="AF131" s="517"/>
      <c r="AM131" s="517"/>
      <c r="AO131" s="517"/>
      <c r="AT131" s="517"/>
      <c r="AV131" s="511"/>
      <c r="AW131" s="511"/>
      <c r="AX131" s="511"/>
      <c r="BA131" s="517"/>
      <c r="BC131" s="517"/>
      <c r="BH131" s="517"/>
      <c r="BJ131" s="511"/>
      <c r="BK131" s="511"/>
      <c r="BL131" s="511"/>
      <c r="BQ131" s="58">
        <f t="shared" si="165"/>
        <v>70</v>
      </c>
      <c r="BR131" s="17"/>
      <c r="BS131" s="17"/>
      <c r="BT131" s="17"/>
      <c r="BU131" s="17"/>
      <c r="BV131" s="17"/>
      <c r="BW131" s="17"/>
      <c r="BX131" s="61"/>
      <c r="BY131" s="531"/>
      <c r="BZ131" s="530"/>
      <c r="CA131" s="531"/>
      <c r="CB131" s="530"/>
      <c r="CC131" s="530"/>
      <c r="CD131" s="530"/>
      <c r="CE131" s="1295"/>
      <c r="CF131" s="1301"/>
      <c r="CG131" s="530"/>
      <c r="CH131" s="61"/>
      <c r="CI131" s="61"/>
      <c r="CJ131" s="61"/>
      <c r="DA131" s="1024"/>
      <c r="DB131" s="1024"/>
      <c r="DC131" s="1024"/>
      <c r="DD131" s="1024"/>
      <c r="DE131" s="1024"/>
      <c r="DF131" s="1024"/>
      <c r="DG131" s="1024"/>
      <c r="DK131" s="58" t="str" cm="1">
        <f t="array" ref="DK131">IF(AND($BT131=4,$BX131=4,$BU131=999),$DB$36,_xlfn.IFNA(INDEX(DB$13:DB$70,MATCH(1,($BR131=$CV$13:$CV$70)*($BT131=$CX$13:$CX$70)*($CE131=$CY$13:$CY$70)*($BY131=$DA$13:$DA$70)*($CD131=$DH$13:$DH$70),0)),""))</f>
        <v/>
      </c>
      <c r="DL131" s="58" t="str" cm="1">
        <f t="array" ref="DL131">IF(AND($BT131=4,$BX131=4,$BU131=999),$DC$36,_xlfn.IFNA(INDEX(CHOOSE(DP131,DB$13:DB$70,DC$13:DC$70,DD$13:DD$70,DE$13:DE$70),MATCH(1,($BR131=$CV$13:$CV$70)*($BT131=$CX$13:$CX$70)*($CE131=$CY$13:$CY$70)*($BY131=$DA$13:$DA$70)*($CD131=$DH$13:$DH$70),0)),""))</f>
        <v/>
      </c>
      <c r="DM131" s="740" t="str" cm="1">
        <f t="array" ref="DM131">IF(AND($BT131=4,$BX131=4,$BU131=999),$DD$36,_xlfn.IFNA(INDEX(DD$13:DD$68,MATCH(1,($BR131=$CV$13:$CV$68)*($BT131=$CX$13:$CX$68)*($CE131=$CY$13:$CY$68)*($BY131=$DA$13:$DA$68)*($CD131=$DH$13:$DH$68),0)),""))</f>
        <v/>
      </c>
      <c r="DN131" s="740" t="str" cm="1">
        <f t="array" ref="DN131">IF(AND($BT131=4,$BX131=4,$BU131=999),$DD$36,_xlfn.IFNA(INDEX(DE$13:DE$68,MATCH(1,($BR131=$CV$13:$CV$68)*($BT131=$CX$13:$CX$68)*($CE131=$CY$13:$CY$68)*($BY131=$DA$13:$DA$68)*($CD131=$DH$13:$DH$68),0)),""))</f>
        <v/>
      </c>
      <c r="DO131" s="58" t="str" cm="1">
        <f t="array" ref="DO131">IF(AND($BT131=4,$BX131=4,$BU131=999),$DF$36,_xlfn.IFNA(INDEX(DF$13:DF$70,MATCH(1,($BR131=$CV$13:$CV$70)*($BT131=$CX$13:$CX$70)*($CE131=$CY$13:$CY$70)*($BY131=$DA$13:$DA$70)*($CD131=$DH$13:$DH$70),0)),""))</f>
        <v/>
      </c>
      <c r="DP131" s="58" t="e">
        <f t="shared" si="166"/>
        <v>#N/A</v>
      </c>
      <c r="FT131" s="58">
        <f t="shared" si="167"/>
        <v>0</v>
      </c>
      <c r="FW131" s="58">
        <f>IF(i_baseline_risk_from=2,'Effectiveness settings'!EW131,'Effectiveness settings'!FI131)</f>
        <v>0</v>
      </c>
      <c r="FX131" s="58">
        <f t="shared" si="168"/>
        <v>0</v>
      </c>
      <c r="FY131" s="58">
        <f t="shared" si="169"/>
        <v>0</v>
      </c>
      <c r="FZ131" s="58">
        <f t="shared" si="170"/>
        <v>0</v>
      </c>
      <c r="GA131" s="58">
        <f t="shared" si="171"/>
        <v>0</v>
      </c>
      <c r="GB131" s="58">
        <f t="shared" si="172"/>
        <v>0</v>
      </c>
      <c r="GC131" s="58">
        <f t="shared" si="173"/>
        <v>0</v>
      </c>
      <c r="GD131" s="58">
        <f t="shared" si="174"/>
        <v>0</v>
      </c>
      <c r="GE131" s="58">
        <f>IF(AND(dd_CheckMate214_TTD="Yes",'Effectiveness settings'!BU131=2,'Effectiveness settings'!BX131=2),"Apply HR to",GD131)</f>
        <v>0</v>
      </c>
      <c r="GF131" s="58">
        <f t="shared" si="175"/>
        <v>0</v>
      </c>
      <c r="GG131" s="58">
        <f t="shared" si="176"/>
        <v>0</v>
      </c>
      <c r="GH131" s="58">
        <f t="shared" si="177"/>
        <v>0</v>
      </c>
      <c r="GI131" s="58">
        <f t="shared" si="195"/>
        <v>0</v>
      </c>
      <c r="GK131" s="58">
        <f>IF(i_baseline_risk_from=2,'Effectiveness settings'!FA131,'Effectiveness settings'!FM131)</f>
        <v>0</v>
      </c>
      <c r="GL131" s="58">
        <f>IF(i_baseline_risk_from=2,'Effectiveness settings'!FB131,'Effectiveness settings'!FN131)</f>
        <v>0</v>
      </c>
      <c r="GM131" s="58">
        <f>IF(i_baseline_risk_from=2,'Effectiveness settings'!FC131,'Effectiveness settings'!FO131)</f>
        <v>0</v>
      </c>
      <c r="GN131" s="58">
        <f>IF(i_baseline_risk_from=2,'Effectiveness settings'!FD131,'Effectiveness settings'!FP131)</f>
        <v>0</v>
      </c>
      <c r="GQ131" s="58">
        <f t="shared" si="179"/>
        <v>0</v>
      </c>
      <c r="GR131" s="58">
        <f t="shared" si="180"/>
        <v>0</v>
      </c>
      <c r="GS131" s="58">
        <f t="shared" si="181"/>
        <v>0</v>
      </c>
      <c r="GT131" s="58">
        <f t="shared" si="182"/>
        <v>0</v>
      </c>
      <c r="GU131" s="58">
        <f>IF(AND(dd_CheckMate214_TTD="Yes",'Effectiveness settings'!BU131=2,'Effectiveness settings'!BX131=2),2,GT131)</f>
        <v>0</v>
      </c>
      <c r="GV131" s="58">
        <f t="shared" si="183"/>
        <v>0</v>
      </c>
      <c r="GW131" s="58">
        <f t="shared" si="184"/>
        <v>0</v>
      </c>
      <c r="GY131" s="58">
        <f>IF(AND(dd_CheckMate214_TTD="Yes",'Effectiveness settings'!BU131=2,'Effectiveness settings'!BX131=2),1,GN131)</f>
        <v>0</v>
      </c>
      <c r="GZ131" s="58">
        <f t="shared" si="185"/>
        <v>0</v>
      </c>
      <c r="HB131" s="58">
        <f t="shared" si="186"/>
        <v>0</v>
      </c>
      <c r="HD131" s="58">
        <f t="shared" si="196"/>
        <v>0</v>
      </c>
      <c r="HE131" s="58">
        <f t="shared" si="197"/>
        <v>0</v>
      </c>
      <c r="HF131" s="58">
        <f t="shared" si="193"/>
        <v>0</v>
      </c>
      <c r="HG131" s="58">
        <f t="shared" si="198"/>
        <v>0</v>
      </c>
      <c r="HH131" s="58">
        <f t="shared" si="194"/>
        <v>0</v>
      </c>
    </row>
    <row r="132" spans="1:216" ht="15.75" hidden="1" x14ac:dyDescent="0.25">
      <c r="I132" s="67"/>
      <c r="J132" s="520"/>
      <c r="K132" s="525"/>
      <c r="L132" s="517"/>
      <c r="Q132" s="520"/>
      <c r="Y132" s="517"/>
      <c r="AA132" s="517"/>
      <c r="AF132" s="517"/>
      <c r="AM132" s="517"/>
      <c r="AO132" s="517"/>
      <c r="AT132" s="517"/>
      <c r="AV132" s="511"/>
      <c r="AW132" s="511"/>
      <c r="AX132" s="511"/>
      <c r="BA132" s="517"/>
      <c r="BC132" s="517"/>
      <c r="BH132" s="517"/>
      <c r="BJ132" s="511"/>
      <c r="BK132" s="511"/>
      <c r="BL132" s="511"/>
      <c r="BQ132" s="58">
        <f t="shared" si="165"/>
        <v>70</v>
      </c>
      <c r="BR132" s="17"/>
      <c r="BS132" s="17"/>
      <c r="BT132" s="61"/>
      <c r="BU132" s="61"/>
      <c r="BV132" s="17"/>
      <c r="BW132" s="61"/>
      <c r="BX132" s="61"/>
      <c r="BY132" s="531"/>
      <c r="BZ132" s="530"/>
      <c r="CA132" s="531"/>
      <c r="CB132" s="61"/>
      <c r="CC132" s="1293"/>
      <c r="CD132" s="1293"/>
      <c r="CE132" s="1296"/>
      <c r="CF132" s="1301"/>
      <c r="CG132" s="530"/>
      <c r="CH132" s="61"/>
      <c r="CI132" s="61"/>
      <c r="CJ132" s="61"/>
      <c r="DA132" s="1024"/>
      <c r="DB132" s="1024"/>
      <c r="DC132" s="1024"/>
      <c r="DD132" s="1024"/>
      <c r="DE132" s="1024"/>
      <c r="DF132" s="1024"/>
      <c r="DG132" s="1024"/>
      <c r="DK132" s="58" t="str" cm="1">
        <f t="array" ref="DK132">IF(AND($BT132=4,$BX132=4,$BU132=999),$DB$36,_xlfn.IFNA(INDEX(DB$13:DB$70,MATCH(1,($BR132=$CV$13:$CV$70)*($BT132=$CX$13:$CX$70)*($CE132=$CY$13:$CY$70)*($BY132=$DA$13:$DA$70)*($CD132=$DH$13:$DH$70),0)),""))</f>
        <v/>
      </c>
      <c r="DL132" s="58" t="str" cm="1">
        <f t="array" ref="DL132">IF(AND($BT132=4,$BX132=4,$BU132=999),$DC$36,_xlfn.IFNA(INDEX(CHOOSE(DP132,DB$13:DB$70,DC$13:DC$70,DD$13:DD$70,DE$13:DE$70),MATCH(1,($BR132=$CV$13:$CV$70)*($BT132=$CX$13:$CX$70)*($CE132=$CY$13:$CY$70)*($BY132=$DA$13:$DA$70)*($CD132=$DH$13:$DH$70),0)),""))</f>
        <v/>
      </c>
      <c r="DM132" s="740" t="str" cm="1">
        <f t="array" ref="DM132">IF(AND($BT132=4,$BX132=4,$BU132=999),$DD$36,_xlfn.IFNA(INDEX(DD$13:DD$68,MATCH(1,($BR132=$CV$13:$CV$68)*($BT132=$CX$13:$CX$68)*($CE132=$CY$13:$CY$68)*($BY132=$DA$13:$DA$68)*($CD132=$DH$13:$DH$68),0)),""))</f>
        <v/>
      </c>
      <c r="DN132" s="740" t="str" cm="1">
        <f t="array" ref="DN132">IF(AND($BT132=4,$BX132=4,$BU132=999),$DD$36,_xlfn.IFNA(INDEX(DE$13:DE$68,MATCH(1,($BR132=$CV$13:$CV$68)*($BT132=$CX$13:$CX$68)*($CE132=$CY$13:$CY$68)*($BY132=$DA$13:$DA$68)*($CD132=$DH$13:$DH$68),0)),""))</f>
        <v/>
      </c>
      <c r="DO132" s="58" t="str" cm="1">
        <f t="array" ref="DO132">IF(AND($BT132=4,$BX132=4,$BU132=999),$DF$36,_xlfn.IFNA(INDEX(DF$13:DF$70,MATCH(1,($BR132=$CV$13:$CV$70)*($BT132=$CX$13:$CX$70)*($CE132=$CY$13:$CY$70)*($BY132=$DA$13:$DA$70)*($CD132=$DH$13:$DH$70),0)),""))</f>
        <v/>
      </c>
      <c r="DP132" s="58" t="e">
        <f t="shared" si="166"/>
        <v>#N/A</v>
      </c>
      <c r="FT132" s="58">
        <f t="shared" si="167"/>
        <v>0</v>
      </c>
      <c r="FW132" s="58">
        <f>IF(i_baseline_risk_from=2,'Effectiveness settings'!EW132,'Effectiveness settings'!FI132)</f>
        <v>0</v>
      </c>
      <c r="FX132" s="58">
        <f t="shared" si="168"/>
        <v>0</v>
      </c>
      <c r="FY132" s="58">
        <f t="shared" si="169"/>
        <v>0</v>
      </c>
      <c r="FZ132" s="58">
        <f t="shared" si="170"/>
        <v>0</v>
      </c>
      <c r="GA132" s="58">
        <f t="shared" si="171"/>
        <v>0</v>
      </c>
      <c r="GB132" s="58">
        <f t="shared" si="172"/>
        <v>0</v>
      </c>
      <c r="GC132" s="58">
        <f t="shared" si="173"/>
        <v>0</v>
      </c>
      <c r="GD132" s="58">
        <f t="shared" si="174"/>
        <v>0</v>
      </c>
      <c r="GE132" s="58">
        <f>IF(AND(dd_CheckMate214_TTD="Yes",'Effectiveness settings'!BU132=2,'Effectiveness settings'!BX132=2),"Apply HR to",GD132)</f>
        <v>0</v>
      </c>
      <c r="GF132" s="58">
        <f t="shared" si="175"/>
        <v>0</v>
      </c>
      <c r="GG132" s="58">
        <f t="shared" si="176"/>
        <v>0</v>
      </c>
      <c r="GH132" s="58">
        <f t="shared" si="177"/>
        <v>0</v>
      </c>
      <c r="GI132" s="58">
        <f t="shared" si="195"/>
        <v>0</v>
      </c>
      <c r="GK132" s="58">
        <f>IF(i_baseline_risk_from=2,'Effectiveness settings'!FA132,'Effectiveness settings'!FM132)</f>
        <v>0</v>
      </c>
      <c r="GL132" s="58">
        <f>IF(i_baseline_risk_from=2,'Effectiveness settings'!FB132,'Effectiveness settings'!FN132)</f>
        <v>0</v>
      </c>
      <c r="GM132" s="58">
        <f>IF(i_baseline_risk_from=2,'Effectiveness settings'!FC132,'Effectiveness settings'!FO132)</f>
        <v>0</v>
      </c>
      <c r="GN132" s="58">
        <f>IF(i_baseline_risk_from=2,'Effectiveness settings'!FD132,'Effectiveness settings'!FP132)</f>
        <v>0</v>
      </c>
      <c r="GQ132" s="58">
        <f t="shared" si="179"/>
        <v>0</v>
      </c>
      <c r="GR132" s="58">
        <f t="shared" si="180"/>
        <v>0</v>
      </c>
      <c r="GS132" s="58">
        <f t="shared" si="181"/>
        <v>0</v>
      </c>
      <c r="GT132" s="58">
        <f t="shared" si="182"/>
        <v>0</v>
      </c>
      <c r="GU132" s="58">
        <f>IF(AND(dd_CheckMate214_TTD="Yes",'Effectiveness settings'!BU132=2,'Effectiveness settings'!BX132=2),2,GT132)</f>
        <v>0</v>
      </c>
      <c r="GV132" s="58">
        <f t="shared" si="183"/>
        <v>0</v>
      </c>
      <c r="GW132" s="58">
        <f t="shared" si="184"/>
        <v>0</v>
      </c>
      <c r="GY132" s="58">
        <f>IF(AND(dd_CheckMate214_TTD="Yes",'Effectiveness settings'!BU132=2,'Effectiveness settings'!BX132=2),1,GN132)</f>
        <v>0</v>
      </c>
      <c r="GZ132" s="58">
        <f t="shared" si="185"/>
        <v>0</v>
      </c>
      <c r="HB132" s="58">
        <f t="shared" si="186"/>
        <v>0</v>
      </c>
      <c r="HD132" s="58">
        <f t="shared" si="196"/>
        <v>0</v>
      </c>
      <c r="HE132" s="58">
        <f t="shared" si="197"/>
        <v>0</v>
      </c>
      <c r="HF132" s="58">
        <f t="shared" si="193"/>
        <v>0</v>
      </c>
      <c r="HG132" s="58">
        <f t="shared" si="198"/>
        <v>0</v>
      </c>
      <c r="HH132" s="58">
        <f t="shared" si="194"/>
        <v>0</v>
      </c>
    </row>
    <row r="133" spans="1:216" ht="15.75" x14ac:dyDescent="0.25">
      <c r="D133" s="68" t="s">
        <v>573</v>
      </c>
      <c r="J133" s="517"/>
      <c r="K133" s="521"/>
      <c r="L133" s="517"/>
      <c r="Q133" s="517"/>
      <c r="Y133" s="517"/>
      <c r="AA133" s="517"/>
      <c r="AF133" s="517"/>
      <c r="AM133" s="517"/>
      <c r="AO133" s="517"/>
      <c r="AT133" s="517"/>
      <c r="AV133" s="511"/>
      <c r="AW133" s="511"/>
      <c r="AX133" s="511"/>
      <c r="BA133" s="517"/>
      <c r="BC133" s="517"/>
      <c r="BH133" s="517"/>
      <c r="BJ133" s="511"/>
      <c r="BK133" s="511"/>
      <c r="BL133" s="511"/>
      <c r="BQ133" s="58">
        <f t="shared" si="165"/>
        <v>70</v>
      </c>
      <c r="BR133" s="17"/>
      <c r="BS133" s="17"/>
      <c r="BT133" s="61"/>
      <c r="BU133" s="61"/>
      <c r="BV133" s="17"/>
      <c r="BW133" s="61"/>
      <c r="BX133" s="61"/>
      <c r="BY133" s="531"/>
      <c r="BZ133" s="530"/>
      <c r="CA133" s="531"/>
      <c r="CB133" s="61"/>
      <c r="CC133" s="1293"/>
      <c r="CD133" s="1293"/>
      <c r="CE133" s="1296"/>
      <c r="CF133" s="1301"/>
      <c r="CG133" s="530"/>
      <c r="CH133" s="61"/>
      <c r="CI133" s="61"/>
      <c r="CJ133" s="61"/>
      <c r="DA133" s="1024"/>
      <c r="DB133" s="1024"/>
      <c r="DC133" s="1024"/>
      <c r="DD133" s="1024"/>
      <c r="DE133" s="1024"/>
      <c r="DF133" s="1024"/>
      <c r="DG133" s="1024"/>
      <c r="DK133" s="58" t="str" cm="1">
        <f t="array" ref="DK133">IF(AND($BT133=4,$BX133=4,$BU133=999),$DB$36,_xlfn.IFNA(INDEX(DB$13:DB$70,MATCH(1,($BR133=$CV$13:$CV$70)*($BT133=$CX$13:$CX$70)*($CE133=$CY$13:$CY$70)*($BY133=$DA$13:$DA$70)*($CD133=$DH$13:$DH$70),0)),""))</f>
        <v/>
      </c>
      <c r="DL133" s="58" t="str" cm="1">
        <f t="array" ref="DL133">IF(AND($BT133=4,$BX133=4,$BU133=999),$DC$36,_xlfn.IFNA(INDEX(CHOOSE(DP133,DB$13:DB$70,DC$13:DC$70,DD$13:DD$70,DE$13:DE$70),MATCH(1,($BR133=$CV$13:$CV$70)*($BT133=$CX$13:$CX$70)*($CE133=$CY$13:$CY$70)*($BY133=$DA$13:$DA$70)*($CD133=$DH$13:$DH$70),0)),""))</f>
        <v/>
      </c>
      <c r="DM133" s="740" t="str" cm="1">
        <f t="array" ref="DM133">IF(AND($BT133=4,$BX133=4,$BU133=999),$DD$36,_xlfn.IFNA(INDEX(DD$13:DD$68,MATCH(1,($BR133=$CV$13:$CV$68)*($BT133=$CX$13:$CX$68)*($CE133=$CY$13:$CY$68)*($BY133=$DA$13:$DA$68)*($CD133=$DH$13:$DH$68),0)),""))</f>
        <v/>
      </c>
      <c r="DN133" s="740" t="str" cm="1">
        <f t="array" ref="DN133">IF(AND($BT133=4,$BX133=4,$BU133=999),$DD$36,_xlfn.IFNA(INDEX(DE$13:DE$68,MATCH(1,($BR133=$CV$13:$CV$68)*($BT133=$CX$13:$CX$68)*($CE133=$CY$13:$CY$68)*($BY133=$DA$13:$DA$68)*($CD133=$DH$13:$DH$68),0)),""))</f>
        <v/>
      </c>
      <c r="DO133" s="58" t="str" cm="1">
        <f t="array" ref="DO133">IF(AND($BT133=4,$BX133=4,$BU133=999),$DF$36,_xlfn.IFNA(INDEX(DF$13:DF$70,MATCH(1,($BR133=$CV$13:$CV$70)*($BT133=$CX$13:$CX$70)*($CE133=$CY$13:$CY$70)*($BY133=$DA$13:$DA$70)*($CD133=$DH$13:$DH$70),0)),""))</f>
        <v/>
      </c>
      <c r="DP133" s="58" t="e">
        <f t="shared" si="166"/>
        <v>#N/A</v>
      </c>
      <c r="FT133" s="58">
        <f t="shared" si="167"/>
        <v>0</v>
      </c>
      <c r="FW133" s="58">
        <f>IF(i_baseline_risk_from=2,'Effectiveness settings'!EW133,'Effectiveness settings'!FI133)</f>
        <v>0</v>
      </c>
      <c r="FX133" s="58">
        <f t="shared" si="168"/>
        <v>0</v>
      </c>
      <c r="FY133" s="58">
        <f t="shared" si="169"/>
        <v>0</v>
      </c>
      <c r="FZ133" s="58">
        <f t="shared" si="170"/>
        <v>0</v>
      </c>
      <c r="GA133" s="58">
        <f t="shared" si="171"/>
        <v>0</v>
      </c>
      <c r="GB133" s="58">
        <f t="shared" si="172"/>
        <v>0</v>
      </c>
      <c r="GC133" s="58">
        <f t="shared" si="173"/>
        <v>0</v>
      </c>
      <c r="GD133" s="58">
        <f t="shared" si="174"/>
        <v>0</v>
      </c>
      <c r="GE133" s="58">
        <f>IF(AND(dd_CheckMate214_TTD="Yes",'Effectiveness settings'!BU133=2,'Effectiveness settings'!BX133=2),"Apply HR to",GD133)</f>
        <v>0</v>
      </c>
      <c r="GF133" s="58">
        <f t="shared" si="175"/>
        <v>0</v>
      </c>
      <c r="GG133" s="58">
        <f t="shared" si="176"/>
        <v>0</v>
      </c>
      <c r="GH133" s="58">
        <f t="shared" si="177"/>
        <v>0</v>
      </c>
      <c r="GI133" s="58">
        <f t="shared" si="195"/>
        <v>0</v>
      </c>
      <c r="GK133" s="58">
        <f>IF(i_baseline_risk_from=2,'Effectiveness settings'!FA133,'Effectiveness settings'!FM133)</f>
        <v>0</v>
      </c>
      <c r="GL133" s="58">
        <f>IF(i_baseline_risk_from=2,'Effectiveness settings'!FB133,'Effectiveness settings'!FN133)</f>
        <v>0</v>
      </c>
      <c r="GM133" s="58">
        <f>IF(i_baseline_risk_from=2,'Effectiveness settings'!FC133,'Effectiveness settings'!FO133)</f>
        <v>0</v>
      </c>
      <c r="GN133" s="58">
        <f>IF(i_baseline_risk_from=2,'Effectiveness settings'!FD133,'Effectiveness settings'!FP133)</f>
        <v>0</v>
      </c>
      <c r="GQ133" s="58">
        <f t="shared" si="179"/>
        <v>0</v>
      </c>
      <c r="GR133" s="58">
        <f t="shared" si="180"/>
        <v>0</v>
      </c>
      <c r="GS133" s="58">
        <f t="shared" si="181"/>
        <v>0</v>
      </c>
      <c r="GT133" s="58">
        <f t="shared" si="182"/>
        <v>0</v>
      </c>
      <c r="GU133" s="58">
        <f>IF(AND(dd_CheckMate214_TTD="Yes",'Effectiveness settings'!BU133=2,'Effectiveness settings'!BX133=2),2,GT133)</f>
        <v>0</v>
      </c>
      <c r="GV133" s="58">
        <f t="shared" si="183"/>
        <v>0</v>
      </c>
      <c r="GW133" s="58">
        <f t="shared" si="184"/>
        <v>0</v>
      </c>
      <c r="GY133" s="58">
        <f>IF(AND(dd_CheckMate214_TTD="Yes",'Effectiveness settings'!BU133=2,'Effectiveness settings'!BX133=2),1,GN133)</f>
        <v>0</v>
      </c>
      <c r="GZ133" s="58">
        <f t="shared" si="185"/>
        <v>0</v>
      </c>
      <c r="HB133" s="58">
        <f t="shared" si="186"/>
        <v>0</v>
      </c>
      <c r="HD133" s="58">
        <f t="shared" si="196"/>
        <v>0</v>
      </c>
      <c r="HE133" s="58">
        <f t="shared" si="197"/>
        <v>0</v>
      </c>
      <c r="HF133" s="58">
        <f>GW133</f>
        <v>0</v>
      </c>
      <c r="HG133" s="58">
        <f t="shared" si="198"/>
        <v>0</v>
      </c>
      <c r="HH133" s="58">
        <f>GZ133</f>
        <v>0</v>
      </c>
    </row>
    <row r="134" spans="1:216" ht="30" x14ac:dyDescent="0.25">
      <c r="A134" s="865" t="s">
        <v>574</v>
      </c>
      <c r="D134" s="60"/>
      <c r="I134" s="62" t="s">
        <v>486</v>
      </c>
      <c r="J134" s="518" t="s">
        <v>142</v>
      </c>
      <c r="K134" s="522" t="s">
        <v>487</v>
      </c>
      <c r="L134" s="523" t="s">
        <v>488</v>
      </c>
      <c r="M134" s="62"/>
      <c r="N134" s="62"/>
      <c r="O134" s="62"/>
      <c r="P134" s="62"/>
      <c r="Q134" s="523"/>
      <c r="R134" s="62" t="s">
        <v>494</v>
      </c>
      <c r="S134" s="62" t="s">
        <v>495</v>
      </c>
      <c r="T134" s="62" t="s">
        <v>483</v>
      </c>
      <c r="U134" s="62"/>
      <c r="Y134" s="517"/>
      <c r="AA134" s="517"/>
      <c r="AF134" s="517"/>
      <c r="AM134" s="517"/>
      <c r="AO134" s="517"/>
      <c r="AT134" s="517"/>
      <c r="AV134" s="511"/>
      <c r="AW134" s="511"/>
      <c r="AX134" s="511"/>
      <c r="BA134" s="517"/>
      <c r="BC134" s="517"/>
      <c r="BH134" s="517"/>
      <c r="BJ134" s="511"/>
      <c r="BK134" s="511"/>
      <c r="BL134" s="511"/>
      <c r="BQ134" s="58">
        <f t="shared" si="165"/>
        <v>70</v>
      </c>
      <c r="BR134" s="17"/>
      <c r="BS134" s="17"/>
      <c r="BT134" s="61"/>
      <c r="BU134" s="61"/>
      <c r="BV134" s="17"/>
      <c r="BW134" s="61"/>
      <c r="BX134" s="61"/>
      <c r="BY134" s="531"/>
      <c r="BZ134" s="530"/>
      <c r="CA134" s="531"/>
      <c r="CB134" s="61"/>
      <c r="CC134" s="1293"/>
      <c r="CD134" s="1293"/>
      <c r="CE134" s="1296"/>
      <c r="CF134" s="1301"/>
      <c r="CG134" s="530"/>
      <c r="CH134" s="61"/>
      <c r="CI134" s="61"/>
      <c r="CJ134" s="61"/>
      <c r="DA134" s="1024"/>
      <c r="DB134" s="1024"/>
      <c r="DC134" s="1024"/>
      <c r="DD134" s="1024"/>
      <c r="DE134" s="1024"/>
      <c r="DF134" s="1024"/>
      <c r="DG134" s="1024"/>
      <c r="DK134" s="58" t="str" cm="1">
        <f t="array" ref="DK134">IF(AND($BT134=4,$BX134=4,$BU134=999),$DB$36,_xlfn.IFNA(INDEX(DB$13:DB$70,MATCH(1,($BR134=$CV$13:$CV$70)*($BT134=$CX$13:$CX$70)*($CE134=$CY$13:$CY$70)*($BY134=$DA$13:$DA$70)*($CD134=$DH$13:$DH$70),0)),""))</f>
        <v/>
      </c>
      <c r="DL134" s="58" t="str" cm="1">
        <f t="array" ref="DL134">IF(AND($BT134=4,$BX134=4,$BU134=999),$DC$36,_xlfn.IFNA(INDEX(CHOOSE(DP134,DB$13:DB$70,DC$13:DC$70,DD$13:DD$70,DE$13:DE$70),MATCH(1,($BR134=$CV$13:$CV$70)*($BT134=$CX$13:$CX$70)*($CE134=$CY$13:$CY$70)*($BY134=$DA$13:$DA$70)*($CD134=$DH$13:$DH$70),0)),""))</f>
        <v/>
      </c>
      <c r="DM134" s="740" t="str" cm="1">
        <f t="array" ref="DM134">IF(AND($BT134=4,$BX134=4,$BU134=999),$DD$36,_xlfn.IFNA(INDEX(DD$13:DD$68,MATCH(1,($BR134=$CV$13:$CV$68)*($BT134=$CX$13:$CX$68)*($CE134=$CY$13:$CY$68)*($BY134=$DA$13:$DA$68)*($CD134=$DH$13:$DH$68),0)),""))</f>
        <v/>
      </c>
      <c r="DN134" s="740" t="str" cm="1">
        <f t="array" ref="DN134">IF(AND($BT134=4,$BX134=4,$BU134=999),$DD$36,_xlfn.IFNA(INDEX(DE$13:DE$68,MATCH(1,($BR134=$CV$13:$CV$68)*($BT134=$CX$13:$CX$68)*($CE134=$CY$13:$CY$68)*($BY134=$DA$13:$DA$68)*($CD134=$DH$13:$DH$68),0)),""))</f>
        <v/>
      </c>
      <c r="DO134" s="58" t="str" cm="1">
        <f t="array" ref="DO134">IF(AND($BT134=4,$BX134=4,$BU134=999),$DF$36,_xlfn.IFNA(INDEX(DF$13:DF$70,MATCH(1,($BR134=$CV$13:$CV$70)*($BT134=$CX$13:$CX$70)*($CE134=$CY$13:$CY$70)*($BY134=$DA$13:$DA$70)*($CD134=$DH$13:$DH$70),0)),""))</f>
        <v/>
      </c>
      <c r="DP134" s="58" t="e">
        <f t="shared" si="166"/>
        <v>#N/A</v>
      </c>
      <c r="FT134" s="58">
        <f t="shared" si="167"/>
        <v>0</v>
      </c>
      <c r="FW134" s="58">
        <f>IF(i_baseline_risk_from=2,'Effectiveness settings'!EW134,'Effectiveness settings'!FI134)</f>
        <v>0</v>
      </c>
      <c r="FX134" s="58">
        <f t="shared" si="168"/>
        <v>0</v>
      </c>
      <c r="FY134" s="58">
        <f t="shared" si="169"/>
        <v>0</v>
      </c>
      <c r="FZ134" s="58">
        <f t="shared" si="170"/>
        <v>0</v>
      </c>
      <c r="GA134" s="58">
        <f t="shared" si="171"/>
        <v>0</v>
      </c>
      <c r="GB134" s="58">
        <f t="shared" si="172"/>
        <v>0</v>
      </c>
      <c r="GC134" s="58">
        <f t="shared" si="173"/>
        <v>0</v>
      </c>
      <c r="GD134" s="58">
        <f t="shared" si="174"/>
        <v>0</v>
      </c>
      <c r="GE134" s="58">
        <f>IF(AND(dd_CheckMate214_TTD="Yes",'Effectiveness settings'!BU134=2,'Effectiveness settings'!BX134=2),"Apply HR to",GD134)</f>
        <v>0</v>
      </c>
      <c r="GF134" s="58">
        <f t="shared" si="175"/>
        <v>0</v>
      </c>
      <c r="GG134" s="58">
        <f t="shared" si="176"/>
        <v>0</v>
      </c>
      <c r="GH134" s="58">
        <f t="shared" si="177"/>
        <v>0</v>
      </c>
      <c r="GI134" s="58">
        <f t="shared" ref="GI134:GI165" si="199">IF(AND(i_apply_AR_to_FR_NMA=1,GH134&lt;&gt;"Trial survival analysis",BW134&lt;&gt;"No"),GI258,GH134)</f>
        <v>0</v>
      </c>
      <c r="GK134" s="58">
        <f>IF(i_baseline_risk_from=2,'Effectiveness settings'!FA134,'Effectiveness settings'!FM134)</f>
        <v>0</v>
      </c>
      <c r="GL134" s="58">
        <f>IF(i_baseline_risk_from=2,'Effectiveness settings'!FB134,'Effectiveness settings'!FN134)</f>
        <v>0</v>
      </c>
      <c r="GM134" s="58">
        <f>IF(i_baseline_risk_from=2,'Effectiveness settings'!FC134,'Effectiveness settings'!FO134)</f>
        <v>0</v>
      </c>
      <c r="GN134" s="58">
        <f>IF(i_baseline_risk_from=2,'Effectiveness settings'!FD134,'Effectiveness settings'!FP134)</f>
        <v>0</v>
      </c>
      <c r="GQ134" s="58">
        <f t="shared" si="179"/>
        <v>0</v>
      </c>
      <c r="GR134" s="58">
        <f t="shared" si="180"/>
        <v>0</v>
      </c>
      <c r="GS134" s="58">
        <f t="shared" si="181"/>
        <v>0</v>
      </c>
      <c r="GT134" s="58">
        <f t="shared" si="182"/>
        <v>0</v>
      </c>
      <c r="GU134" s="58">
        <f>IF(AND(dd_CheckMate214_TTD="Yes",'Effectiveness settings'!BU134=2,'Effectiveness settings'!BX134=2),2,GT134)</f>
        <v>0</v>
      </c>
      <c r="GV134" s="58">
        <f t="shared" si="183"/>
        <v>0</v>
      </c>
      <c r="GW134" s="58">
        <f t="shared" si="184"/>
        <v>0</v>
      </c>
      <c r="GY134" s="58">
        <f>IF(AND(dd_CheckMate214_TTD="Yes",'Effectiveness settings'!BU134=2,'Effectiveness settings'!BX134=2),1,GN134)</f>
        <v>0</v>
      </c>
      <c r="GZ134" s="58">
        <f t="shared" si="185"/>
        <v>0</v>
      </c>
      <c r="HB134" s="58">
        <f t="shared" si="186"/>
        <v>0</v>
      </c>
      <c r="HD134" s="58">
        <f t="shared" ref="HD134" si="200">HB134</f>
        <v>0</v>
      </c>
      <c r="HE134" s="58">
        <f t="shared" ref="HE134" si="201">GK134</f>
        <v>0</v>
      </c>
      <c r="HF134" s="58">
        <f>GW134</f>
        <v>0</v>
      </c>
      <c r="HG134" s="58">
        <f t="shared" ref="HG134" si="202">GM134</f>
        <v>0</v>
      </c>
      <c r="HH134" s="58">
        <f>GZ134</f>
        <v>0</v>
      </c>
    </row>
    <row r="135" spans="1:216" ht="15.75" x14ac:dyDescent="0.25">
      <c r="D135" s="58" t="str" cm="1">
        <f t="array" ref="D135:D148">List_comparators</f>
        <v>nivolumab_monotherapy</v>
      </c>
      <c r="I135" s="64" t="s">
        <v>58</v>
      </c>
      <c r="J135" s="519" t="s">
        <v>544</v>
      </c>
      <c r="K135" s="524"/>
      <c r="L135" s="519"/>
      <c r="M135" s="516" t="s">
        <v>559</v>
      </c>
      <c r="N135" s="64" t="s">
        <v>546</v>
      </c>
      <c r="O135" s="64" t="s">
        <v>117</v>
      </c>
      <c r="P135" s="64" t="s">
        <v>547</v>
      </c>
      <c r="Q135" s="519" t="s">
        <v>544</v>
      </c>
      <c r="R135" s="516" t="s">
        <v>548</v>
      </c>
      <c r="S135" s="497"/>
      <c r="T135" s="497"/>
      <c r="U135" s="497"/>
      <c r="Y135" s="517"/>
      <c r="AA135" s="517"/>
      <c r="AF135" s="517"/>
      <c r="AM135" s="517"/>
      <c r="AO135" s="517"/>
      <c r="AT135" s="517"/>
      <c r="AV135" s="511"/>
      <c r="AW135" s="511"/>
      <c r="AX135" s="511"/>
      <c r="BA135" s="517"/>
      <c r="BC135" s="517"/>
      <c r="BH135" s="517"/>
      <c r="BJ135" s="511"/>
      <c r="BK135" s="511"/>
      <c r="BL135" s="511"/>
      <c r="BQ135" s="58">
        <f t="shared" si="165"/>
        <v>71</v>
      </c>
      <c r="BR135" s="17">
        <v>2</v>
      </c>
      <c r="BS135" s="17" t="s">
        <v>559</v>
      </c>
      <c r="BT135" s="17">
        <v>1</v>
      </c>
      <c r="BU135" s="17">
        <v>0</v>
      </c>
      <c r="BV135" s="17" t="str">
        <f t="shared" ref="BV135:BV148" si="203">D135</f>
        <v>nivolumab_monotherapy</v>
      </c>
      <c r="BW135" s="1006" t="str" cm="1">
        <f t="array" ref="BW135">IF(I135="No",I135,INDEX(List_incl_anal_1L_fav,IF(BU135=999,35,BU135+1)))</f>
        <v>No</v>
      </c>
      <c r="BX135" s="61">
        <f t="shared" ref="BX135:BX148" si="204">MATCH(BY135,List_eff_endpoints,0)-1</f>
        <v>0</v>
      </c>
      <c r="BY135" s="531" t="str">
        <f>J135</f>
        <v>Overall survival</v>
      </c>
      <c r="BZ135" s="530">
        <f t="shared" ref="BZ135:BZ148" si="205">GI135</f>
        <v>0</v>
      </c>
      <c r="CA135" s="531">
        <f>FT135</f>
        <v>0</v>
      </c>
      <c r="CB135" s="530">
        <f t="shared" ref="CB135:CB148" si="206">HD135</f>
        <v>2</v>
      </c>
      <c r="CC135" s="530">
        <f t="shared" ref="CC135:CC148" si="207">HE135</f>
        <v>1</v>
      </c>
      <c r="CD135" s="530">
        <f t="shared" ref="CD135:CD148" si="208">HF135</f>
        <v>7</v>
      </c>
      <c r="CE135" s="1295">
        <f t="shared" ref="CE135:CE148" si="209">HG135</f>
        <v>2</v>
      </c>
      <c r="CF135" s="1301">
        <f t="shared" ref="CF135:CF148" si="210">HH135</f>
        <v>0</v>
      </c>
      <c r="CG135" s="530" t="str">
        <f t="shared" ref="CG135:CG148" si="211">IF(i_surv_cur=1,DK135,DL135)</f>
        <v>Exponential</v>
      </c>
      <c r="CH135" s="61">
        <f t="shared" ref="CH135:CH148" si="212">S135</f>
        <v>0</v>
      </c>
      <c r="CI135" s="61">
        <f t="shared" ref="CI135:CI148" si="213">T135</f>
        <v>0</v>
      </c>
      <c r="CJ135" s="61">
        <f t="shared" ref="CJ135:CJ148" si="214">U135</f>
        <v>0</v>
      </c>
      <c r="DA135" s="1024"/>
      <c r="DB135" s="1024"/>
      <c r="DC135" s="1024"/>
      <c r="DD135" s="1024"/>
      <c r="DE135" s="1024"/>
      <c r="DF135" s="1024"/>
      <c r="DG135" s="1024"/>
      <c r="DK135" s="58" t="str" cm="1">
        <f t="array" ref="DK135">IF(AND($BT135=4,$BX135=4,$BU135=999),$DB$36,_xlfn.IFNA(INDEX(DB$13:DB$70,MATCH(1,($BR135=$CV$13:$CV$70)*($BT135=$CX$13:$CX$70)*($CE135=$CY$13:$CY$70)*($BY135=$DA$13:$DA$70)*($CD135=$DH$13:$DH$70),0)),""))</f>
        <v>Exponential</v>
      </c>
      <c r="DL135" s="58" t="str" cm="1">
        <f t="array" ref="DL135">IF(AND($BT135=4,$BX135=4,$BU135=999),$DC$36,_xlfn.IFNA(INDEX(CHOOSE(DP135,DB$13:DB$70,DC$13:DC$70,DD$13:DD$70,DE$13:DE$70),MATCH(1,($BR135=$CV$13:$CV$70)*($BT135=$CX$13:$CX$70)*($CE135=$CY$13:$CY$70)*($BY135=$DA$13:$DA$70)*($CD135=$DH$13:$DH$70),0)),""))</f>
        <v>Exponential</v>
      </c>
      <c r="DM135" s="740" cm="1">
        <f t="array" ref="DM135">IF(AND($BT135=4,$BX135=4,$BU135=999),$DD$36,_xlfn.IFNA(INDEX(DD$13:DD$68,MATCH(1,($BR135=$CV$13:$CV$68)*($BT135=$CX$13:$CX$68)*($CE135=$CY$13:$CY$68)*($BY135=$DA$13:$DA$68)*($CD135=$DH$13:$DH$68),0)),""))</f>
        <v>0</v>
      </c>
      <c r="DN135" s="740" cm="1">
        <f t="array" ref="DN135">IF(AND($BT135=4,$BX135=4,$BU135=999),$DD$36,_xlfn.IFNA(INDEX(DE$13:DE$68,MATCH(1,($BR135=$CV$13:$CV$68)*($BT135=$CX$13:$CX$68)*($CE135=$CY$13:$CY$68)*($BY135=$DA$13:$DA$68)*($CD135=$DH$13:$DH$68),0)),""))</f>
        <v>0</v>
      </c>
      <c r="DO135" s="58" t="str" cm="1">
        <f t="array" ref="DO135">IF(AND($BT135=4,$BX135=4,$BU135=999),$DF$36,_xlfn.IFNA(INDEX(DF$13:DF$70,MATCH(1,($BR135=$CV$13:$CV$70)*($BT135=$CX$13:$CX$70)*($CE135=$CY$13:$CY$70)*($BY135=$DA$13:$DA$70)*($CD135=$DH$13:$DH$70),0)),""))</f>
        <v>Base case</v>
      </c>
      <c r="DP135" s="58">
        <f t="shared" si="166"/>
        <v>1</v>
      </c>
      <c r="DW135" s="58" t="s">
        <v>58</v>
      </c>
      <c r="DX135" s="58" t="s">
        <v>544</v>
      </c>
      <c r="DY135" s="58">
        <v>0</v>
      </c>
      <c r="DZ135" s="58">
        <v>0</v>
      </c>
      <c r="EB135" s="58">
        <v>2</v>
      </c>
      <c r="EC135" s="58">
        <v>1</v>
      </c>
      <c r="ED135" s="58">
        <v>7</v>
      </c>
      <c r="EE135" s="58">
        <v>2</v>
      </c>
      <c r="EF135" s="58">
        <v>0</v>
      </c>
      <c r="EI135" s="58" t="s">
        <v>58</v>
      </c>
      <c r="EJ135" s="58" t="s">
        <v>544</v>
      </c>
      <c r="EK135" s="58">
        <v>0</v>
      </c>
      <c r="EL135" s="58">
        <v>0</v>
      </c>
      <c r="EN135" s="58">
        <v>2</v>
      </c>
      <c r="EO135" s="58">
        <v>1</v>
      </c>
      <c r="EP135" s="58">
        <v>7</v>
      </c>
      <c r="EQ135" s="58">
        <v>0</v>
      </c>
      <c r="ER135" s="58">
        <v>0</v>
      </c>
      <c r="EU135" s="58" t="str">
        <f t="shared" ref="EU135:EU148" si="215">IF(i_eff_inputs_based_on_num=2,DW135,I135)</f>
        <v>No</v>
      </c>
      <c r="EV135" s="58" t="str">
        <f t="shared" ref="EV135:EV148" si="216">IF(i_eff_inputs_based_on_num=2,DX135,J135)</f>
        <v>Overall survival</v>
      </c>
      <c r="EW135" s="58">
        <f t="shared" ref="EW135:EW148" si="217">IF(i_eff_inputs_based_on_num=2,DY135,K135)</f>
        <v>0</v>
      </c>
      <c r="EX135" s="58">
        <f t="shared" ref="EX135:EX148" si="218">IF(i_eff_inputs_based_on_num=2,DZ135,L135)</f>
        <v>0</v>
      </c>
      <c r="EZ135" s="58">
        <f t="shared" ref="EZ135:EZ148" si="219">IF(i_eff_inputs_based_on_num=2,EB135,VLOOKUP(M135,r_pld_lookup_line,3,FALSE))</f>
        <v>2</v>
      </c>
      <c r="FA135" s="58">
        <f t="shared" ref="FA135:FA148" si="220">IF(i_eff_inputs_based_on_num=2,EC135,VLOOKUP(N135,r_pld_lookup_line,3,FALSE))</f>
        <v>1</v>
      </c>
      <c r="FB135" s="58">
        <f>IF(i_eff_inputs_based_on_num=2,ED135,(INDEX(Lists!$L$51:$L$85,MATCH(O135,Lists!$K$51:$K$85,0))))</f>
        <v>7</v>
      </c>
      <c r="FC135" s="58">
        <f>IF(i_eff_inputs_based_on_num=2,EE135,(INDEX(Lists!$L$51:$L$85,MATCH(P135,Lists!$K$51:$K$85,0))))</f>
        <v>2</v>
      </c>
      <c r="FD135" s="58">
        <f>IF(i_eff_inputs_based_on_num=2,EF135,(INDEX(Lists!$L$51:$L$85,MATCH(Q135,Lists!$K$51:$K$85,0))))</f>
        <v>0</v>
      </c>
      <c r="FG135" s="58" t="str">
        <f t="shared" ref="FG135:FG148" si="221">IF(i_eff_inputs_based_on_num=2,EI135,I135)</f>
        <v>No</v>
      </c>
      <c r="FH135" s="58" t="str">
        <f t="shared" ref="FH135:FH148" si="222">IF(i_eff_inputs_based_on_num=2,EJ135,J135)</f>
        <v>Overall survival</v>
      </c>
      <c r="FI135" s="58">
        <f t="shared" ref="FI135:FI148" si="223">IF(i_eff_inputs_based_on_num=2,EK135,K135)</f>
        <v>0</v>
      </c>
      <c r="FJ135" s="58">
        <f t="shared" ref="FJ135:FJ148" si="224">IF(i_eff_inputs_based_on_num=2,EL135,L135)</f>
        <v>0</v>
      </c>
      <c r="FL135" s="58">
        <f t="shared" ref="FL135:FL148" si="225">IF(i_eff_inputs_based_on_num=2,EN135,VLOOKUP(M135,r_pld_lookup_line,3,FALSE))</f>
        <v>2</v>
      </c>
      <c r="FM135" s="58">
        <f t="shared" ref="FM135:FM148" si="226">IF(i_eff_inputs_based_on_num=2,EO135,VLOOKUP(N135,r_pld_lookup_line,3,FALSE))</f>
        <v>1</v>
      </c>
      <c r="FN135" s="58">
        <f>IF(i_eff_inputs_based_on_num=2,EP135,(INDEX(Lists!$L$51:$L$85,MATCH(O135,Lists!$K$51:$K$85,0))))</f>
        <v>7</v>
      </c>
      <c r="FO135" s="58">
        <f>IF(i_eff_inputs_based_on_num=2,EQ135,(INDEX(Lists!$L$51:$L$85,MATCH(P135,Lists!$K$51:$K$85,0))))</f>
        <v>0</v>
      </c>
      <c r="FP135" s="58">
        <f>IF(i_eff_inputs_based_on_num=2,ER135,(INDEX(Lists!$L$51:$L$85,MATCH(Q135,Lists!$K$51:$K$85,0))))</f>
        <v>0</v>
      </c>
      <c r="FT135" s="58">
        <f t="shared" si="167"/>
        <v>0</v>
      </c>
      <c r="FW135" s="58">
        <f>IF(i_baseline_risk_from=2,'Effectiveness settings'!EW135,'Effectiveness settings'!FI135)</f>
        <v>0</v>
      </c>
      <c r="FX135" s="58">
        <f t="shared" si="168"/>
        <v>0</v>
      </c>
      <c r="FY135" s="58">
        <f t="shared" si="169"/>
        <v>0</v>
      </c>
      <c r="FZ135" s="58">
        <f t="shared" si="170"/>
        <v>0</v>
      </c>
      <c r="GA135" s="58">
        <f t="shared" si="171"/>
        <v>0</v>
      </c>
      <c r="GB135" s="58">
        <f t="shared" si="172"/>
        <v>0</v>
      </c>
      <c r="GC135" s="58">
        <f t="shared" si="173"/>
        <v>0</v>
      </c>
      <c r="GD135" s="58">
        <f t="shared" si="174"/>
        <v>0</v>
      </c>
      <c r="GE135" s="58">
        <f>IF(AND(dd_CheckMate214_TTD="Yes",'Effectiveness settings'!BU135=2,'Effectiveness settings'!BX135=2),"Apply HR to",GD135)</f>
        <v>0</v>
      </c>
      <c r="GF135" s="58">
        <f t="shared" si="175"/>
        <v>0</v>
      </c>
      <c r="GG135" s="58">
        <f t="shared" si="176"/>
        <v>0</v>
      </c>
      <c r="GH135" s="58">
        <f t="shared" si="177"/>
        <v>0</v>
      </c>
      <c r="GI135" s="58">
        <f t="shared" si="199"/>
        <v>0</v>
      </c>
      <c r="GK135" s="58">
        <f>IF(i_baseline_risk_from=2,'Effectiveness settings'!FA135,'Effectiveness settings'!FM135)</f>
        <v>1</v>
      </c>
      <c r="GL135" s="58">
        <f>IF(i_baseline_risk_from=2,'Effectiveness settings'!FB135,'Effectiveness settings'!FN135)</f>
        <v>7</v>
      </c>
      <c r="GM135" s="58">
        <f>IF(i_baseline_risk_from=2,'Effectiveness settings'!FC135,'Effectiveness settings'!FO135)</f>
        <v>2</v>
      </c>
      <c r="GN135" s="58">
        <f>IF(i_baseline_risk_from=2,'Effectiveness settings'!FD135,'Effectiveness settings'!FP135)</f>
        <v>0</v>
      </c>
      <c r="GQ135" s="58">
        <f t="shared" si="179"/>
        <v>7</v>
      </c>
      <c r="GR135" s="58">
        <f t="shared" si="180"/>
        <v>7</v>
      </c>
      <c r="GS135" s="58">
        <f t="shared" si="181"/>
        <v>7</v>
      </c>
      <c r="GT135" s="58">
        <f t="shared" si="182"/>
        <v>7</v>
      </c>
      <c r="GU135" s="58">
        <f>IF(AND(dd_CheckMate214_TTD="Yes",'Effectiveness settings'!BU135=2,'Effectiveness settings'!BX135=2),2,GT135)</f>
        <v>7</v>
      </c>
      <c r="GV135" s="58">
        <f t="shared" si="183"/>
        <v>7</v>
      </c>
      <c r="GW135" s="58">
        <f t="shared" si="184"/>
        <v>7</v>
      </c>
      <c r="GY135" s="58">
        <f>IF(AND(dd_CheckMate214_TTD="Yes",'Effectiveness settings'!BU135=2,'Effectiveness settings'!BX135=2),1,GN135)</f>
        <v>0</v>
      </c>
      <c r="GZ135" s="58">
        <f t="shared" si="185"/>
        <v>0</v>
      </c>
      <c r="HB135" s="58">
        <f t="shared" si="186"/>
        <v>2</v>
      </c>
      <c r="HD135" s="58">
        <f t="shared" ref="HD135:HD198" si="227">HB135</f>
        <v>2</v>
      </c>
      <c r="HE135" s="58">
        <f t="shared" ref="HE135:HE198" si="228">GK135</f>
        <v>1</v>
      </c>
      <c r="HF135" s="58">
        <f t="shared" ref="HF135:HF198" si="229">GW135</f>
        <v>7</v>
      </c>
      <c r="HG135" s="58">
        <f t="shared" ref="HG135:HG198" si="230">GM135</f>
        <v>2</v>
      </c>
      <c r="HH135" s="58">
        <f t="shared" ref="HH135:HH198" si="231">GZ135</f>
        <v>0</v>
      </c>
    </row>
    <row r="136" spans="1:216" ht="15.75" x14ac:dyDescent="0.25">
      <c r="D136" s="58" t="str">
        <v>cabozantinib_plus_nivolumab</v>
      </c>
      <c r="I136" s="64" t="s">
        <v>74</v>
      </c>
      <c r="J136" s="519" t="s">
        <v>544</v>
      </c>
      <c r="K136" s="524" t="s">
        <v>67</v>
      </c>
      <c r="L136" s="519"/>
      <c r="M136" s="516" t="s">
        <v>559</v>
      </c>
      <c r="N136" s="64" t="s">
        <v>546</v>
      </c>
      <c r="O136" s="64" t="s">
        <v>117</v>
      </c>
      <c r="P136" s="64" t="s">
        <v>547</v>
      </c>
      <c r="Q136" s="519" t="s">
        <v>544</v>
      </c>
      <c r="R136" s="516" t="s">
        <v>568</v>
      </c>
      <c r="S136" s="497"/>
      <c r="T136" s="497"/>
      <c r="U136" s="497"/>
      <c r="Y136" s="517"/>
      <c r="AA136" s="517"/>
      <c r="AF136" s="517"/>
      <c r="AM136" s="517"/>
      <c r="AO136" s="517"/>
      <c r="AT136" s="517"/>
      <c r="AV136" s="511"/>
      <c r="AW136" s="511"/>
      <c r="AX136" s="511"/>
      <c r="BA136" s="517"/>
      <c r="BC136" s="517"/>
      <c r="BH136" s="517"/>
      <c r="BJ136" s="511"/>
      <c r="BK136" s="511"/>
      <c r="BL136" s="511"/>
      <c r="BQ136" s="58">
        <f t="shared" si="165"/>
        <v>72</v>
      </c>
      <c r="BR136" s="17">
        <v>2</v>
      </c>
      <c r="BS136" s="17" t="s">
        <v>559</v>
      </c>
      <c r="BT136" s="17">
        <v>1</v>
      </c>
      <c r="BU136" s="17">
        <v>1</v>
      </c>
      <c r="BV136" s="17" t="str">
        <f t="shared" si="203"/>
        <v>cabozantinib_plus_nivolumab</v>
      </c>
      <c r="BW136" s="1006" t="str" cm="1">
        <f t="array" ref="BW136">IF(I136="No",I136,INDEX(List_incl_anal_1L_fav,IF(BU136=999,35,BU136+1)))</f>
        <v>Yes</v>
      </c>
      <c r="BX136" s="61">
        <f t="shared" si="204"/>
        <v>0</v>
      </c>
      <c r="BY136" s="531" t="str">
        <f t="shared" ref="BY136:BY148" si="232">J136</f>
        <v>Overall survival</v>
      </c>
      <c r="BZ136" s="530" t="str">
        <f t="shared" si="205"/>
        <v>PH_NMA</v>
      </c>
      <c r="CA136" s="531">
        <f t="shared" ref="CA136:CA148" si="233">FT136</f>
        <v>0</v>
      </c>
      <c r="CB136" s="530">
        <f t="shared" si="206"/>
        <v>2</v>
      </c>
      <c r="CC136" s="530">
        <f t="shared" si="207"/>
        <v>1</v>
      </c>
      <c r="CD136" s="530">
        <f t="shared" si="208"/>
        <v>7</v>
      </c>
      <c r="CE136" s="1295">
        <f t="shared" si="209"/>
        <v>2</v>
      </c>
      <c r="CF136" s="1301">
        <f t="shared" si="210"/>
        <v>0</v>
      </c>
      <c r="CG136" s="530" t="str">
        <f t="shared" si="211"/>
        <v>Exponential</v>
      </c>
      <c r="CH136" s="61">
        <f t="shared" si="212"/>
        <v>0</v>
      </c>
      <c r="CI136" s="61">
        <f t="shared" si="213"/>
        <v>0</v>
      </c>
      <c r="CJ136" s="61">
        <f t="shared" si="214"/>
        <v>0</v>
      </c>
      <c r="DA136" s="1024"/>
      <c r="DB136" s="1024"/>
      <c r="DC136" s="1024"/>
      <c r="DD136" s="1024"/>
      <c r="DE136" s="1024"/>
      <c r="DF136" s="1024"/>
      <c r="DG136" s="1024"/>
      <c r="DK136" s="58" t="str" cm="1">
        <f t="array" ref="DK136">IF(AND($BT136=4,$BX136=4,$BU136=999),$DB$36,_xlfn.IFNA(INDEX(DB$13:DB$70,MATCH(1,($BR136=$CV$13:$CV$70)*($BT136=$CX$13:$CX$70)*($CE136=$CY$13:$CY$70)*($BY136=$DA$13:$DA$70)*($CD136=$DH$13:$DH$70),0)),""))</f>
        <v>Exponential</v>
      </c>
      <c r="DL136" s="58" t="str" cm="1">
        <f t="array" ref="DL136">IF(AND($BT136=4,$BX136=4,$BU136=999),$DC$36,_xlfn.IFNA(INDEX(CHOOSE(DP136,DB$13:DB$70,DC$13:DC$70,DD$13:DD$70,DE$13:DE$70),MATCH(1,($BR136=$CV$13:$CV$70)*($BT136=$CX$13:$CX$70)*($CE136=$CY$13:$CY$70)*($BY136=$DA$13:$DA$70)*($CD136=$DH$13:$DH$70),0)),""))</f>
        <v>Exponential</v>
      </c>
      <c r="DM136" s="740" cm="1">
        <f t="array" ref="DM136">IF(AND($BT136=4,$BX136=4,$BU136=999),$DD$36,_xlfn.IFNA(INDEX(DD$13:DD$68,MATCH(1,($BR136=$CV$13:$CV$68)*($BT136=$CX$13:$CX$68)*($CE136=$CY$13:$CY$68)*($BY136=$DA$13:$DA$68)*($CD136=$DH$13:$DH$68),0)),""))</f>
        <v>0</v>
      </c>
      <c r="DN136" s="740" cm="1">
        <f t="array" ref="DN136">IF(AND($BT136=4,$BX136=4,$BU136=999),$DD$36,_xlfn.IFNA(INDEX(DE$13:DE$68,MATCH(1,($BR136=$CV$13:$CV$68)*($BT136=$CX$13:$CX$68)*($CE136=$CY$13:$CY$68)*($BY136=$DA$13:$DA$68)*($CD136=$DH$13:$DH$68),0)),""))</f>
        <v>0</v>
      </c>
      <c r="DO136" s="58" t="str" cm="1">
        <f t="array" ref="DO136">IF(AND($BT136=4,$BX136=4,$BU136=999),$DF$36,_xlfn.IFNA(INDEX(DF$13:DF$70,MATCH(1,($BR136=$CV$13:$CV$70)*($BT136=$CX$13:$CX$70)*($CE136=$CY$13:$CY$70)*($BY136=$DA$13:$DA$70)*($CD136=$DH$13:$DH$70),0)),""))</f>
        <v>Base case</v>
      </c>
      <c r="DP136" s="58">
        <f t="shared" si="166"/>
        <v>1</v>
      </c>
      <c r="DW136" s="58" t="s">
        <v>74</v>
      </c>
      <c r="DX136" s="58" t="s">
        <v>544</v>
      </c>
      <c r="DY136" s="58" t="s">
        <v>67</v>
      </c>
      <c r="DZ136" s="58">
        <v>0</v>
      </c>
      <c r="EB136" s="58">
        <v>2</v>
      </c>
      <c r="EC136" s="58">
        <v>1</v>
      </c>
      <c r="ED136" s="58">
        <v>7</v>
      </c>
      <c r="EE136" s="58">
        <v>2</v>
      </c>
      <c r="EF136" s="58">
        <v>0</v>
      </c>
      <c r="EI136" s="58" t="s">
        <v>74</v>
      </c>
      <c r="EJ136" s="58" t="s">
        <v>544</v>
      </c>
      <c r="EK136" s="58" t="s">
        <v>67</v>
      </c>
      <c r="EL136" s="58">
        <v>0</v>
      </c>
      <c r="EN136" s="58">
        <v>2</v>
      </c>
      <c r="EO136" s="58">
        <v>1</v>
      </c>
      <c r="EP136" s="58">
        <v>7</v>
      </c>
      <c r="EQ136" s="58">
        <v>0</v>
      </c>
      <c r="ER136" s="58">
        <v>0</v>
      </c>
      <c r="EU136" s="58" t="str">
        <f t="shared" si="215"/>
        <v>Yes</v>
      </c>
      <c r="EV136" s="58" t="str">
        <f t="shared" si="216"/>
        <v>Overall survival</v>
      </c>
      <c r="EW136" s="58" t="str">
        <f t="shared" si="217"/>
        <v>PH_NMA</v>
      </c>
      <c r="EX136" s="58">
        <f t="shared" si="218"/>
        <v>0</v>
      </c>
      <c r="EZ136" s="58">
        <f t="shared" si="219"/>
        <v>2</v>
      </c>
      <c r="FA136" s="58">
        <f t="shared" si="220"/>
        <v>1</v>
      </c>
      <c r="FB136" s="58">
        <f>IF(i_eff_inputs_based_on_num=2,ED136,(INDEX(Lists!$L$51:$L$85,MATCH(O136,Lists!$K$51:$K$85,0))))</f>
        <v>7</v>
      </c>
      <c r="FC136" s="58">
        <f>IF(i_eff_inputs_based_on_num=2,EE136,(INDEX(Lists!$L$51:$L$85,MATCH(P136,Lists!$K$51:$K$85,0))))</f>
        <v>2</v>
      </c>
      <c r="FD136" s="58">
        <f>IF(i_eff_inputs_based_on_num=2,EF136,(INDEX(Lists!$L$51:$L$85,MATCH(Q136,Lists!$K$51:$K$85,0))))</f>
        <v>0</v>
      </c>
      <c r="FG136" s="58" t="str">
        <f t="shared" si="221"/>
        <v>Yes</v>
      </c>
      <c r="FH136" s="58" t="str">
        <f t="shared" si="222"/>
        <v>Overall survival</v>
      </c>
      <c r="FI136" s="58" t="str">
        <f t="shared" si="223"/>
        <v>PH_NMA</v>
      </c>
      <c r="FJ136" s="58">
        <f t="shared" si="224"/>
        <v>0</v>
      </c>
      <c r="FL136" s="58">
        <f t="shared" si="225"/>
        <v>2</v>
      </c>
      <c r="FM136" s="58">
        <f t="shared" si="226"/>
        <v>1</v>
      </c>
      <c r="FN136" s="58">
        <f>IF(i_eff_inputs_based_on_num=2,EP136,(INDEX(Lists!$L$51:$L$85,MATCH(O136,Lists!$K$51:$K$85,0))))</f>
        <v>7</v>
      </c>
      <c r="FO136" s="58">
        <f>IF(i_eff_inputs_based_on_num=2,EQ136,(INDEX(Lists!$L$51:$L$85,MATCH(P136,Lists!$K$51:$K$85,0))))</f>
        <v>0</v>
      </c>
      <c r="FP136" s="58">
        <f>IF(i_eff_inputs_based_on_num=2,ER136,(INDEX(Lists!$L$51:$L$85,MATCH(Q136,Lists!$K$51:$K$85,0))))</f>
        <v>0</v>
      </c>
      <c r="FT136" s="58">
        <f t="shared" si="167"/>
        <v>0</v>
      </c>
      <c r="FW136" s="58" t="str">
        <f>IF(i_baseline_risk_from=2,'Effectiveness settings'!EW136,'Effectiveness settings'!FI136)</f>
        <v>PH_NMA</v>
      </c>
      <c r="FX136" s="58" t="str">
        <f t="shared" si="168"/>
        <v>PH_NMA</v>
      </c>
      <c r="FY136" s="58" t="str">
        <f t="shared" si="169"/>
        <v>PH_NMA</v>
      </c>
      <c r="FZ136" s="58" t="str">
        <f t="shared" si="170"/>
        <v>PH_NMA</v>
      </c>
      <c r="GA136" s="58" t="str">
        <f t="shared" si="171"/>
        <v>PH_NMA</v>
      </c>
      <c r="GB136" s="58" t="str">
        <f t="shared" si="172"/>
        <v>PH_NMA</v>
      </c>
      <c r="GC136" s="58" t="str">
        <f t="shared" si="173"/>
        <v>PH_NMA</v>
      </c>
      <c r="GD136" s="58" t="str">
        <f t="shared" si="174"/>
        <v>PH_NMA</v>
      </c>
      <c r="GE136" s="58" t="str">
        <f>IF(AND(dd_CheckMate214_TTD="Yes",'Effectiveness settings'!BU136=2,'Effectiveness settings'!BX136=2),"Apply HR to",GD136)</f>
        <v>PH_NMA</v>
      </c>
      <c r="GF136" s="58" t="str">
        <f t="shared" si="175"/>
        <v>PH_NMA</v>
      </c>
      <c r="GG136" s="58" t="str">
        <f t="shared" si="176"/>
        <v>PH_NMA</v>
      </c>
      <c r="GH136" s="58" t="str">
        <f t="shared" si="177"/>
        <v>PH_NMA</v>
      </c>
      <c r="GI136" s="58" t="str">
        <f t="shared" si="199"/>
        <v>PH_NMA</v>
      </c>
      <c r="GK136" s="58">
        <f>IF(i_baseline_risk_from=2,'Effectiveness settings'!FA136,'Effectiveness settings'!FM136)</f>
        <v>1</v>
      </c>
      <c r="GL136" s="58">
        <f>IF(i_baseline_risk_from=2,'Effectiveness settings'!FB136,'Effectiveness settings'!FN136)</f>
        <v>7</v>
      </c>
      <c r="GM136" s="58">
        <f>IF(i_baseline_risk_from=2,'Effectiveness settings'!FC136,'Effectiveness settings'!FO136)</f>
        <v>2</v>
      </c>
      <c r="GN136" s="58">
        <f>IF(i_baseline_risk_from=2,'Effectiveness settings'!FD136,'Effectiveness settings'!FP136)</f>
        <v>0</v>
      </c>
      <c r="GQ136" s="58">
        <f t="shared" si="179"/>
        <v>7</v>
      </c>
      <c r="GR136" s="58">
        <f t="shared" si="180"/>
        <v>7</v>
      </c>
      <c r="GS136" s="58">
        <f t="shared" si="181"/>
        <v>7</v>
      </c>
      <c r="GT136" s="58">
        <f t="shared" si="182"/>
        <v>7</v>
      </c>
      <c r="GU136" s="58">
        <f>IF(AND(dd_CheckMate214_TTD="Yes",'Effectiveness settings'!BU136=2,'Effectiveness settings'!BX136=2),2,GT136)</f>
        <v>7</v>
      </c>
      <c r="GV136" s="58">
        <f t="shared" si="183"/>
        <v>7</v>
      </c>
      <c r="GW136" s="58">
        <f t="shared" si="184"/>
        <v>7</v>
      </c>
      <c r="GY136" s="58">
        <f>IF(AND(dd_CheckMate214_TTD="Yes",'Effectiveness settings'!BU136=2,'Effectiveness settings'!BX136=2),1,GN136)</f>
        <v>0</v>
      </c>
      <c r="GZ136" s="58">
        <f t="shared" si="185"/>
        <v>0</v>
      </c>
      <c r="HB136" s="58">
        <f t="shared" si="186"/>
        <v>2</v>
      </c>
      <c r="HD136" s="58">
        <f t="shared" si="227"/>
        <v>2</v>
      </c>
      <c r="HE136" s="58">
        <f t="shared" si="228"/>
        <v>1</v>
      </c>
      <c r="HF136" s="58">
        <f t="shared" si="229"/>
        <v>7</v>
      </c>
      <c r="HG136" s="58">
        <f t="shared" si="230"/>
        <v>2</v>
      </c>
      <c r="HH136" s="58">
        <f t="shared" si="231"/>
        <v>0</v>
      </c>
    </row>
    <row r="137" spans="1:216" ht="15.75" x14ac:dyDescent="0.25">
      <c r="D137" s="58" t="str">
        <v>nivolumab_plus_ipilimumab</v>
      </c>
      <c r="I137" s="64" t="s">
        <v>58</v>
      </c>
      <c r="J137" s="519" t="s">
        <v>544</v>
      </c>
      <c r="K137" s="524" t="s">
        <v>67</v>
      </c>
      <c r="L137" s="519"/>
      <c r="M137" s="516" t="s">
        <v>559</v>
      </c>
      <c r="N137" s="64" t="s">
        <v>546</v>
      </c>
      <c r="O137" s="64" t="s">
        <v>117</v>
      </c>
      <c r="P137" s="64" t="s">
        <v>547</v>
      </c>
      <c r="Q137" s="519" t="s">
        <v>544</v>
      </c>
      <c r="R137" s="516" t="s">
        <v>548</v>
      </c>
      <c r="S137" s="497"/>
      <c r="T137" s="497"/>
      <c r="U137" s="497"/>
      <c r="Y137" s="517"/>
      <c r="AA137" s="517"/>
      <c r="AF137" s="517"/>
      <c r="AM137" s="517"/>
      <c r="AO137" s="517"/>
      <c r="AT137" s="517"/>
      <c r="AV137" s="511"/>
      <c r="AW137" s="511"/>
      <c r="AX137" s="511"/>
      <c r="BA137" s="517"/>
      <c r="BC137" s="517"/>
      <c r="BH137" s="517"/>
      <c r="BJ137" s="511"/>
      <c r="BK137" s="511"/>
      <c r="BL137" s="511"/>
      <c r="BQ137" s="58">
        <f t="shared" si="165"/>
        <v>73</v>
      </c>
      <c r="BR137" s="17">
        <v>2</v>
      </c>
      <c r="BS137" s="17" t="s">
        <v>559</v>
      </c>
      <c r="BT137" s="17">
        <v>1</v>
      </c>
      <c r="BU137" s="17">
        <v>2</v>
      </c>
      <c r="BV137" s="17" t="str">
        <f t="shared" si="203"/>
        <v>nivolumab_plus_ipilimumab</v>
      </c>
      <c r="BW137" s="1006" t="str" cm="1">
        <f t="array" ref="BW137">IF(I137="No",I137,INDEX(List_incl_anal_1L_fav,IF(BU137=999,35,BU137+1)))</f>
        <v>No</v>
      </c>
      <c r="BX137" s="61">
        <f t="shared" si="204"/>
        <v>0</v>
      </c>
      <c r="BY137" s="531" t="str">
        <f t="shared" si="232"/>
        <v>Overall survival</v>
      </c>
      <c r="BZ137" s="530">
        <f t="shared" si="205"/>
        <v>0</v>
      </c>
      <c r="CA137" s="531">
        <f t="shared" si="233"/>
        <v>0</v>
      </c>
      <c r="CB137" s="530">
        <f t="shared" si="206"/>
        <v>2</v>
      </c>
      <c r="CC137" s="530">
        <f t="shared" si="207"/>
        <v>1</v>
      </c>
      <c r="CD137" s="530">
        <f t="shared" si="208"/>
        <v>7</v>
      </c>
      <c r="CE137" s="1295">
        <f t="shared" si="209"/>
        <v>2</v>
      </c>
      <c r="CF137" s="1301">
        <f t="shared" si="210"/>
        <v>0</v>
      </c>
      <c r="CG137" s="530" t="str">
        <f t="shared" si="211"/>
        <v>Exponential</v>
      </c>
      <c r="CH137" s="61">
        <f t="shared" si="212"/>
        <v>0</v>
      </c>
      <c r="CI137" s="61">
        <f t="shared" si="213"/>
        <v>0</v>
      </c>
      <c r="CJ137" s="61">
        <f t="shared" si="214"/>
        <v>0</v>
      </c>
      <c r="DA137" s="1024"/>
      <c r="DB137" s="1024"/>
      <c r="DC137" s="1024"/>
      <c r="DD137" s="1024"/>
      <c r="DE137" s="1024"/>
      <c r="DF137" s="1024"/>
      <c r="DG137" s="1024"/>
      <c r="DK137" s="58" t="str" cm="1">
        <f t="array" ref="DK137">IF(AND($BT137=4,$BX137=4,$BU137=999),$DB$36,_xlfn.IFNA(INDEX(DB$13:DB$70,MATCH(1,($BR137=$CV$13:$CV$70)*($BT137=$CX$13:$CX$70)*($CE137=$CY$13:$CY$70)*($BY137=$DA$13:$DA$70)*($CD137=$DH$13:$DH$70),0)),""))</f>
        <v>Exponential</v>
      </c>
      <c r="DL137" s="58" t="str" cm="1">
        <f t="array" ref="DL137">IF(AND($BT137=4,$BX137=4,$BU137=999),$DC$36,_xlfn.IFNA(INDEX(CHOOSE(DP137,DB$13:DB$70,DC$13:DC$70,DD$13:DD$70,DE$13:DE$70),MATCH(1,($BR137=$CV$13:$CV$70)*($BT137=$CX$13:$CX$70)*($CE137=$CY$13:$CY$70)*($BY137=$DA$13:$DA$70)*($CD137=$DH$13:$DH$70),0)),""))</f>
        <v>Exponential</v>
      </c>
      <c r="DM137" s="740" cm="1">
        <f t="array" ref="DM137">IF(AND($BT137=4,$BX137=4,$BU137=999),$DD$36,_xlfn.IFNA(INDEX(DD$13:DD$68,MATCH(1,($BR137=$CV$13:$CV$68)*($BT137=$CX$13:$CX$68)*($CE137=$CY$13:$CY$68)*($BY137=$DA$13:$DA$68)*($CD137=$DH$13:$DH$68),0)),""))</f>
        <v>0</v>
      </c>
      <c r="DN137" s="740" cm="1">
        <f t="array" ref="DN137">IF(AND($BT137=4,$BX137=4,$BU137=999),$DD$36,_xlfn.IFNA(INDEX(DE$13:DE$68,MATCH(1,($BR137=$CV$13:$CV$68)*($BT137=$CX$13:$CX$68)*($CE137=$CY$13:$CY$68)*($BY137=$DA$13:$DA$68)*($CD137=$DH$13:$DH$68),0)),""))</f>
        <v>0</v>
      </c>
      <c r="DO137" s="58" t="str" cm="1">
        <f t="array" ref="DO137">IF(AND($BT137=4,$BX137=4,$BU137=999),$DF$36,_xlfn.IFNA(INDEX(DF$13:DF$70,MATCH(1,($BR137=$CV$13:$CV$70)*($BT137=$CX$13:$CX$70)*($CE137=$CY$13:$CY$70)*($BY137=$DA$13:$DA$70)*($CD137=$DH$13:$DH$70),0)),""))</f>
        <v>Base case</v>
      </c>
      <c r="DP137" s="58">
        <f t="shared" si="166"/>
        <v>1</v>
      </c>
      <c r="DW137" s="58" t="s">
        <v>58</v>
      </c>
      <c r="DX137" s="58" t="s">
        <v>544</v>
      </c>
      <c r="DY137" s="58">
        <v>0</v>
      </c>
      <c r="DZ137" s="58">
        <v>0</v>
      </c>
      <c r="EB137" s="58">
        <v>2</v>
      </c>
      <c r="EC137" s="58">
        <v>1</v>
      </c>
      <c r="ED137" s="58">
        <v>7</v>
      </c>
      <c r="EE137" s="58">
        <v>2</v>
      </c>
      <c r="EF137" s="58">
        <v>0</v>
      </c>
      <c r="EI137" s="58" t="s">
        <v>58</v>
      </c>
      <c r="EJ137" s="58" t="s">
        <v>544</v>
      </c>
      <c r="EK137" s="58">
        <v>0</v>
      </c>
      <c r="EL137" s="58">
        <v>0</v>
      </c>
      <c r="EN137" s="58">
        <v>2</v>
      </c>
      <c r="EO137" s="58">
        <v>1</v>
      </c>
      <c r="EP137" s="58">
        <v>7</v>
      </c>
      <c r="EQ137" s="58">
        <v>0</v>
      </c>
      <c r="ER137" s="58">
        <v>0</v>
      </c>
      <c r="EU137" s="58" t="str">
        <f t="shared" si="215"/>
        <v>No</v>
      </c>
      <c r="EV137" s="58" t="str">
        <f t="shared" si="216"/>
        <v>Overall survival</v>
      </c>
      <c r="EW137" s="58">
        <f t="shared" si="217"/>
        <v>0</v>
      </c>
      <c r="EX137" s="58">
        <f t="shared" si="218"/>
        <v>0</v>
      </c>
      <c r="EZ137" s="58">
        <f t="shared" si="219"/>
        <v>2</v>
      </c>
      <c r="FA137" s="58">
        <f t="shared" si="220"/>
        <v>1</v>
      </c>
      <c r="FB137" s="58">
        <f>IF(i_eff_inputs_based_on_num=2,ED137,(INDEX(Lists!$L$51:$L$85,MATCH(O137,Lists!$K$51:$K$85,0))))</f>
        <v>7</v>
      </c>
      <c r="FC137" s="58">
        <f>IF(i_eff_inputs_based_on_num=2,EE137,(INDEX(Lists!$L$51:$L$85,MATCH(P137,Lists!$K$51:$K$85,0))))</f>
        <v>2</v>
      </c>
      <c r="FD137" s="58">
        <f>IF(i_eff_inputs_based_on_num=2,EF137,(INDEX(Lists!$L$51:$L$85,MATCH(Q137,Lists!$K$51:$K$85,0))))</f>
        <v>0</v>
      </c>
      <c r="FG137" s="58" t="str">
        <f t="shared" si="221"/>
        <v>No</v>
      </c>
      <c r="FH137" s="58" t="str">
        <f t="shared" si="222"/>
        <v>Overall survival</v>
      </c>
      <c r="FI137" s="58">
        <f t="shared" si="223"/>
        <v>0</v>
      </c>
      <c r="FJ137" s="58">
        <f t="shared" si="224"/>
        <v>0</v>
      </c>
      <c r="FL137" s="58">
        <f t="shared" si="225"/>
        <v>2</v>
      </c>
      <c r="FM137" s="58">
        <f t="shared" si="226"/>
        <v>1</v>
      </c>
      <c r="FN137" s="58">
        <f>IF(i_eff_inputs_based_on_num=2,EP137,(INDEX(Lists!$L$51:$L$85,MATCH(O137,Lists!$K$51:$K$85,0))))</f>
        <v>7</v>
      </c>
      <c r="FO137" s="58">
        <f>IF(i_eff_inputs_based_on_num=2,EQ137,(INDEX(Lists!$L$51:$L$85,MATCH(P137,Lists!$K$51:$K$85,0))))</f>
        <v>0</v>
      </c>
      <c r="FP137" s="58">
        <f>IF(i_eff_inputs_based_on_num=2,ER137,(INDEX(Lists!$L$51:$L$85,MATCH(Q137,Lists!$K$51:$K$85,0))))</f>
        <v>0</v>
      </c>
      <c r="FT137" s="58">
        <f t="shared" si="167"/>
        <v>0</v>
      </c>
      <c r="FW137" s="58">
        <f>IF(i_baseline_risk_from=2,'Effectiveness settings'!EW137,'Effectiveness settings'!FI137)</f>
        <v>0</v>
      </c>
      <c r="FX137" s="58">
        <f t="shared" si="168"/>
        <v>0</v>
      </c>
      <c r="FY137" s="58">
        <f t="shared" si="169"/>
        <v>0</v>
      </c>
      <c r="FZ137" s="58">
        <f t="shared" si="170"/>
        <v>0</v>
      </c>
      <c r="GA137" s="58">
        <f t="shared" si="171"/>
        <v>0</v>
      </c>
      <c r="GB137" s="58">
        <f t="shared" si="172"/>
        <v>0</v>
      </c>
      <c r="GC137" s="58">
        <f t="shared" si="173"/>
        <v>0</v>
      </c>
      <c r="GD137" s="58">
        <f t="shared" si="174"/>
        <v>0</v>
      </c>
      <c r="GE137" s="58">
        <f>IF(AND(dd_CheckMate214_TTD="Yes",'Effectiveness settings'!BU137=2,'Effectiveness settings'!BX137=2),"Apply HR to",GD137)</f>
        <v>0</v>
      </c>
      <c r="GF137" s="58">
        <f t="shared" si="175"/>
        <v>0</v>
      </c>
      <c r="GG137" s="58">
        <f t="shared" si="176"/>
        <v>0</v>
      </c>
      <c r="GH137" s="58">
        <f t="shared" si="177"/>
        <v>0</v>
      </c>
      <c r="GI137" s="58">
        <f t="shared" si="199"/>
        <v>0</v>
      </c>
      <c r="GK137" s="58">
        <f>IF(i_baseline_risk_from=2,'Effectiveness settings'!FA137,'Effectiveness settings'!FM137)</f>
        <v>1</v>
      </c>
      <c r="GL137" s="58">
        <f>IF(i_baseline_risk_from=2,'Effectiveness settings'!FB137,'Effectiveness settings'!FN137)</f>
        <v>7</v>
      </c>
      <c r="GM137" s="58">
        <f>IF(i_baseline_risk_from=2,'Effectiveness settings'!FC137,'Effectiveness settings'!FO137)</f>
        <v>2</v>
      </c>
      <c r="GN137" s="58">
        <f>IF(i_baseline_risk_from=2,'Effectiveness settings'!FD137,'Effectiveness settings'!FP137)</f>
        <v>0</v>
      </c>
      <c r="GQ137" s="58">
        <f t="shared" si="179"/>
        <v>7</v>
      </c>
      <c r="GR137" s="58">
        <f t="shared" si="180"/>
        <v>7</v>
      </c>
      <c r="GS137" s="58">
        <f t="shared" si="181"/>
        <v>7</v>
      </c>
      <c r="GT137" s="58">
        <f t="shared" si="182"/>
        <v>7</v>
      </c>
      <c r="GU137" s="58">
        <f>IF(AND(dd_CheckMate214_TTD="Yes",'Effectiveness settings'!BU137=2,'Effectiveness settings'!BX137=2),2,GT137)</f>
        <v>7</v>
      </c>
      <c r="GV137" s="58">
        <f t="shared" si="183"/>
        <v>7</v>
      </c>
      <c r="GW137" s="58">
        <f t="shared" si="184"/>
        <v>7</v>
      </c>
      <c r="GY137" s="58">
        <f>IF(AND(dd_CheckMate214_TTD="Yes",'Effectiveness settings'!BU137=2,'Effectiveness settings'!BX137=2),1,GN137)</f>
        <v>0</v>
      </c>
      <c r="GZ137" s="58">
        <f t="shared" si="185"/>
        <v>0</v>
      </c>
      <c r="HB137" s="58">
        <f t="shared" si="186"/>
        <v>2</v>
      </c>
      <c r="HD137" s="58">
        <f t="shared" si="227"/>
        <v>2</v>
      </c>
      <c r="HE137" s="58">
        <f t="shared" si="228"/>
        <v>1</v>
      </c>
      <c r="HF137" s="58">
        <f t="shared" si="229"/>
        <v>7</v>
      </c>
      <c r="HG137" s="58">
        <f t="shared" si="230"/>
        <v>2</v>
      </c>
      <c r="HH137" s="58">
        <f t="shared" si="231"/>
        <v>0</v>
      </c>
    </row>
    <row r="138" spans="1:216" ht="15.75" x14ac:dyDescent="0.25">
      <c r="D138" s="58" t="str">
        <v>lenvatinib_plus_pembrolizumab</v>
      </c>
      <c r="I138" s="64" t="s">
        <v>58</v>
      </c>
      <c r="J138" s="519" t="s">
        <v>544</v>
      </c>
      <c r="K138" s="524" t="s">
        <v>67</v>
      </c>
      <c r="L138" s="519"/>
      <c r="M138" s="516" t="s">
        <v>559</v>
      </c>
      <c r="N138" s="64" t="s">
        <v>546</v>
      </c>
      <c r="O138" s="64" t="s">
        <v>117</v>
      </c>
      <c r="P138" s="64" t="s">
        <v>547</v>
      </c>
      <c r="Q138" s="519" t="s">
        <v>544</v>
      </c>
      <c r="R138" s="516" t="s">
        <v>548</v>
      </c>
      <c r="S138" s="497"/>
      <c r="T138" s="497"/>
      <c r="U138" s="497"/>
      <c r="Y138" s="517"/>
      <c r="AA138" s="517"/>
      <c r="AF138" s="517"/>
      <c r="AM138" s="517"/>
      <c r="AO138" s="517"/>
      <c r="AT138" s="517"/>
      <c r="AV138" s="511"/>
      <c r="AW138" s="511"/>
      <c r="AX138" s="511"/>
      <c r="BA138" s="517"/>
      <c r="BC138" s="517"/>
      <c r="BH138" s="517"/>
      <c r="BJ138" s="511"/>
      <c r="BK138" s="511"/>
      <c r="BL138" s="511"/>
      <c r="BQ138" s="58">
        <f t="shared" si="165"/>
        <v>74</v>
      </c>
      <c r="BR138" s="17">
        <v>2</v>
      </c>
      <c r="BS138" s="17" t="s">
        <v>559</v>
      </c>
      <c r="BT138" s="17">
        <v>1</v>
      </c>
      <c r="BU138" s="17">
        <v>3</v>
      </c>
      <c r="BV138" s="17" t="str">
        <f t="shared" si="203"/>
        <v>lenvatinib_plus_pembrolizumab</v>
      </c>
      <c r="BW138" s="1006" t="str" cm="1">
        <f t="array" ref="BW138">IF(I138="No",I138,INDEX(List_incl_anal_1L_fav,IF(BU138=999,35,BU138+1)))</f>
        <v>No</v>
      </c>
      <c r="BX138" s="61">
        <f t="shared" si="204"/>
        <v>0</v>
      </c>
      <c r="BY138" s="531" t="str">
        <f t="shared" si="232"/>
        <v>Overall survival</v>
      </c>
      <c r="BZ138" s="530">
        <f t="shared" si="205"/>
        <v>0</v>
      </c>
      <c r="CA138" s="531">
        <f t="shared" si="233"/>
        <v>0</v>
      </c>
      <c r="CB138" s="530">
        <f t="shared" si="206"/>
        <v>2</v>
      </c>
      <c r="CC138" s="530">
        <f t="shared" si="207"/>
        <v>1</v>
      </c>
      <c r="CD138" s="530">
        <f t="shared" si="208"/>
        <v>7</v>
      </c>
      <c r="CE138" s="1295">
        <f t="shared" si="209"/>
        <v>2</v>
      </c>
      <c r="CF138" s="1301">
        <f t="shared" si="210"/>
        <v>0</v>
      </c>
      <c r="CG138" s="530" t="str">
        <f t="shared" si="211"/>
        <v>Exponential</v>
      </c>
      <c r="CH138" s="61">
        <f t="shared" si="212"/>
        <v>0</v>
      </c>
      <c r="CI138" s="61">
        <f t="shared" si="213"/>
        <v>0</v>
      </c>
      <c r="CJ138" s="61">
        <f t="shared" si="214"/>
        <v>0</v>
      </c>
      <c r="DA138" s="1024"/>
      <c r="DB138" s="1024"/>
      <c r="DC138" s="1024"/>
      <c r="DD138" s="1024"/>
      <c r="DE138" s="1024"/>
      <c r="DF138" s="1024"/>
      <c r="DG138" s="1024"/>
      <c r="DK138" s="58" t="str" cm="1">
        <f t="array" ref="DK138">IF(AND($BT138=4,$BX138=4,$BU138=999),$DB$36,_xlfn.IFNA(INDEX(DB$13:DB$70,MATCH(1,($BR138=$CV$13:$CV$70)*($BT138=$CX$13:$CX$70)*($CE138=$CY$13:$CY$70)*($BY138=$DA$13:$DA$70)*($CD138=$DH$13:$DH$70),0)),""))</f>
        <v>Exponential</v>
      </c>
      <c r="DL138" s="58" t="str" cm="1">
        <f t="array" ref="DL138">IF(AND($BT138=4,$BX138=4,$BU138=999),$DC$36,_xlfn.IFNA(INDEX(CHOOSE(DP138,DB$13:DB$70,DC$13:DC$70,DD$13:DD$70,DE$13:DE$70),MATCH(1,($BR138=$CV$13:$CV$70)*($BT138=$CX$13:$CX$70)*($CE138=$CY$13:$CY$70)*($BY138=$DA$13:$DA$70)*($CD138=$DH$13:$DH$70),0)),""))</f>
        <v>Exponential</v>
      </c>
      <c r="DM138" s="740" cm="1">
        <f t="array" ref="DM138">IF(AND($BT138=4,$BX138=4,$BU138=999),$DD$36,_xlfn.IFNA(INDEX(DD$13:DD$68,MATCH(1,($BR138=$CV$13:$CV$68)*($BT138=$CX$13:$CX$68)*($CE138=$CY$13:$CY$68)*($BY138=$DA$13:$DA$68)*($CD138=$DH$13:$DH$68),0)),""))</f>
        <v>0</v>
      </c>
      <c r="DN138" s="740" cm="1">
        <f t="array" ref="DN138">IF(AND($BT138=4,$BX138=4,$BU138=999),$DD$36,_xlfn.IFNA(INDEX(DE$13:DE$68,MATCH(1,($BR138=$CV$13:$CV$68)*($BT138=$CX$13:$CX$68)*($CE138=$CY$13:$CY$68)*($BY138=$DA$13:$DA$68)*($CD138=$DH$13:$DH$68),0)),""))</f>
        <v>0</v>
      </c>
      <c r="DO138" s="58" t="str" cm="1">
        <f t="array" ref="DO138">IF(AND($BT138=4,$BX138=4,$BU138=999),$DF$36,_xlfn.IFNA(INDEX(DF$13:DF$70,MATCH(1,($BR138=$CV$13:$CV$70)*($BT138=$CX$13:$CX$70)*($CE138=$CY$13:$CY$70)*($BY138=$DA$13:$DA$70)*($CD138=$DH$13:$DH$70),0)),""))</f>
        <v>Base case</v>
      </c>
      <c r="DP138" s="58">
        <f t="shared" si="166"/>
        <v>1</v>
      </c>
      <c r="DW138" s="58" t="s">
        <v>58</v>
      </c>
      <c r="DX138" s="58" t="s">
        <v>544</v>
      </c>
      <c r="DY138" s="58">
        <v>0</v>
      </c>
      <c r="DZ138" s="58">
        <v>0</v>
      </c>
      <c r="EB138" s="58">
        <v>2</v>
      </c>
      <c r="EC138" s="58">
        <v>1</v>
      </c>
      <c r="ED138" s="58">
        <v>7</v>
      </c>
      <c r="EE138" s="58">
        <v>2</v>
      </c>
      <c r="EF138" s="58">
        <v>0</v>
      </c>
      <c r="EI138" s="58" t="s">
        <v>58</v>
      </c>
      <c r="EJ138" s="58" t="s">
        <v>544</v>
      </c>
      <c r="EK138" s="58">
        <v>0</v>
      </c>
      <c r="EL138" s="58">
        <v>0</v>
      </c>
      <c r="EN138" s="58">
        <v>2</v>
      </c>
      <c r="EO138" s="58">
        <v>1</v>
      </c>
      <c r="EP138" s="58">
        <v>7</v>
      </c>
      <c r="EQ138" s="58">
        <v>0</v>
      </c>
      <c r="ER138" s="58">
        <v>0</v>
      </c>
      <c r="EU138" s="58" t="str">
        <f t="shared" si="215"/>
        <v>No</v>
      </c>
      <c r="EV138" s="58" t="str">
        <f t="shared" si="216"/>
        <v>Overall survival</v>
      </c>
      <c r="EW138" s="58">
        <f t="shared" si="217"/>
        <v>0</v>
      </c>
      <c r="EX138" s="58">
        <f t="shared" si="218"/>
        <v>0</v>
      </c>
      <c r="EZ138" s="58">
        <f t="shared" si="219"/>
        <v>2</v>
      </c>
      <c r="FA138" s="58">
        <f t="shared" si="220"/>
        <v>1</v>
      </c>
      <c r="FB138" s="58">
        <f>IF(i_eff_inputs_based_on_num=2,ED138,(INDEX(Lists!$L$51:$L$85,MATCH(O138,Lists!$K$51:$K$85,0))))</f>
        <v>7</v>
      </c>
      <c r="FC138" s="58">
        <f>IF(i_eff_inputs_based_on_num=2,EE138,(INDEX(Lists!$L$51:$L$85,MATCH(P138,Lists!$K$51:$K$85,0))))</f>
        <v>2</v>
      </c>
      <c r="FD138" s="58">
        <f>IF(i_eff_inputs_based_on_num=2,EF138,(INDEX(Lists!$L$51:$L$85,MATCH(Q138,Lists!$K$51:$K$85,0))))</f>
        <v>0</v>
      </c>
      <c r="FG138" s="58" t="str">
        <f t="shared" si="221"/>
        <v>No</v>
      </c>
      <c r="FH138" s="58" t="str">
        <f t="shared" si="222"/>
        <v>Overall survival</v>
      </c>
      <c r="FI138" s="58">
        <f t="shared" si="223"/>
        <v>0</v>
      </c>
      <c r="FJ138" s="58">
        <f t="shared" si="224"/>
        <v>0</v>
      </c>
      <c r="FL138" s="58">
        <f t="shared" si="225"/>
        <v>2</v>
      </c>
      <c r="FM138" s="58">
        <f t="shared" si="226"/>
        <v>1</v>
      </c>
      <c r="FN138" s="58">
        <f>IF(i_eff_inputs_based_on_num=2,EP138,(INDEX(Lists!$L$51:$L$85,MATCH(O138,Lists!$K$51:$K$85,0))))</f>
        <v>7</v>
      </c>
      <c r="FO138" s="58">
        <f>IF(i_eff_inputs_based_on_num=2,EQ138,(INDEX(Lists!$L$51:$L$85,MATCH(P138,Lists!$K$51:$K$85,0))))</f>
        <v>0</v>
      </c>
      <c r="FP138" s="58">
        <f>IF(i_eff_inputs_based_on_num=2,ER138,(INDEX(Lists!$L$51:$L$85,MATCH(Q138,Lists!$K$51:$K$85,0))))</f>
        <v>0</v>
      </c>
      <c r="FT138" s="58">
        <f t="shared" si="167"/>
        <v>0</v>
      </c>
      <c r="FW138" s="58">
        <f>IF(i_baseline_risk_from=2,'Effectiveness settings'!EW138,'Effectiveness settings'!FI138)</f>
        <v>0</v>
      </c>
      <c r="FX138" s="58">
        <f t="shared" si="168"/>
        <v>0</v>
      </c>
      <c r="FY138" s="58">
        <f t="shared" si="169"/>
        <v>0</v>
      </c>
      <c r="FZ138" s="58">
        <f t="shared" si="170"/>
        <v>0</v>
      </c>
      <c r="GA138" s="58">
        <f t="shared" si="171"/>
        <v>0</v>
      </c>
      <c r="GB138" s="58">
        <f t="shared" si="172"/>
        <v>0</v>
      </c>
      <c r="GC138" s="58">
        <f t="shared" si="173"/>
        <v>0</v>
      </c>
      <c r="GD138" s="58">
        <f t="shared" si="174"/>
        <v>0</v>
      </c>
      <c r="GE138" s="58">
        <f>IF(AND(dd_CheckMate214_TTD="Yes",'Effectiveness settings'!BU138=2,'Effectiveness settings'!BX138=2),"Apply HR to",GD138)</f>
        <v>0</v>
      </c>
      <c r="GF138" s="58">
        <f t="shared" si="175"/>
        <v>0</v>
      </c>
      <c r="GG138" s="58">
        <f t="shared" si="176"/>
        <v>0</v>
      </c>
      <c r="GH138" s="58">
        <f t="shared" si="177"/>
        <v>0</v>
      </c>
      <c r="GI138" s="58">
        <f t="shared" si="199"/>
        <v>0</v>
      </c>
      <c r="GK138" s="58">
        <f>IF(i_baseline_risk_from=2,'Effectiveness settings'!FA138,'Effectiveness settings'!FM138)</f>
        <v>1</v>
      </c>
      <c r="GL138" s="58">
        <f>IF(i_baseline_risk_from=2,'Effectiveness settings'!FB138,'Effectiveness settings'!FN138)</f>
        <v>7</v>
      </c>
      <c r="GM138" s="58">
        <f>IF(i_baseline_risk_from=2,'Effectiveness settings'!FC138,'Effectiveness settings'!FO138)</f>
        <v>2</v>
      </c>
      <c r="GN138" s="58">
        <f>IF(i_baseline_risk_from=2,'Effectiveness settings'!FD138,'Effectiveness settings'!FP138)</f>
        <v>0</v>
      </c>
      <c r="GQ138" s="58">
        <f t="shared" si="179"/>
        <v>7</v>
      </c>
      <c r="GR138" s="58">
        <f t="shared" si="180"/>
        <v>7</v>
      </c>
      <c r="GS138" s="58">
        <f t="shared" si="181"/>
        <v>7</v>
      </c>
      <c r="GT138" s="58">
        <f t="shared" si="182"/>
        <v>7</v>
      </c>
      <c r="GU138" s="58">
        <f>IF(AND(dd_CheckMate214_TTD="Yes",'Effectiveness settings'!BU138=2,'Effectiveness settings'!BX138=2),2,GT138)</f>
        <v>7</v>
      </c>
      <c r="GV138" s="58">
        <f t="shared" si="183"/>
        <v>7</v>
      </c>
      <c r="GW138" s="58">
        <f t="shared" si="184"/>
        <v>7</v>
      </c>
      <c r="GY138" s="58">
        <f>IF(AND(dd_CheckMate214_TTD="Yes",'Effectiveness settings'!BU138=2,'Effectiveness settings'!BX138=2),1,GN138)</f>
        <v>0</v>
      </c>
      <c r="GZ138" s="58">
        <f t="shared" si="185"/>
        <v>0</v>
      </c>
      <c r="HB138" s="58">
        <f t="shared" si="186"/>
        <v>2</v>
      </c>
      <c r="HD138" s="58">
        <f t="shared" si="227"/>
        <v>2</v>
      </c>
      <c r="HE138" s="58">
        <f t="shared" si="228"/>
        <v>1</v>
      </c>
      <c r="HF138" s="58">
        <f t="shared" si="229"/>
        <v>7</v>
      </c>
      <c r="HG138" s="58">
        <f t="shared" si="230"/>
        <v>2</v>
      </c>
      <c r="HH138" s="58">
        <f t="shared" si="231"/>
        <v>0</v>
      </c>
    </row>
    <row r="139" spans="1:216" ht="15.75" x14ac:dyDescent="0.25">
      <c r="D139" s="58" t="str">
        <v>avelumab_plus_axitinib</v>
      </c>
      <c r="I139" s="739" t="str">
        <f>dd_incl_ave_plus_axi</f>
        <v>No</v>
      </c>
      <c r="J139" s="519" t="s">
        <v>544</v>
      </c>
      <c r="K139" s="524" t="s">
        <v>67</v>
      </c>
      <c r="L139" s="519"/>
      <c r="M139" s="516" t="s">
        <v>559</v>
      </c>
      <c r="N139" s="64" t="s">
        <v>546</v>
      </c>
      <c r="O139" s="64" t="s">
        <v>117</v>
      </c>
      <c r="P139" s="64" t="s">
        <v>547</v>
      </c>
      <c r="Q139" s="519" t="s">
        <v>544</v>
      </c>
      <c r="R139" s="516" t="s">
        <v>568</v>
      </c>
      <c r="S139" s="497"/>
      <c r="T139" s="497"/>
      <c r="U139" s="497"/>
      <c r="Y139" s="517"/>
      <c r="AA139" s="517"/>
      <c r="AF139" s="517"/>
      <c r="AM139" s="517"/>
      <c r="AO139" s="517"/>
      <c r="AT139" s="517"/>
      <c r="AV139" s="511"/>
      <c r="AW139" s="511"/>
      <c r="AX139" s="511"/>
      <c r="BA139" s="517"/>
      <c r="BC139" s="517"/>
      <c r="BH139" s="517"/>
      <c r="BJ139" s="511"/>
      <c r="BK139" s="511"/>
      <c r="BL139" s="511"/>
      <c r="BQ139" s="58">
        <f t="shared" si="165"/>
        <v>75</v>
      </c>
      <c r="BR139" s="17">
        <v>2</v>
      </c>
      <c r="BS139" s="17" t="s">
        <v>559</v>
      </c>
      <c r="BT139" s="17">
        <v>1</v>
      </c>
      <c r="BU139" s="17">
        <v>4</v>
      </c>
      <c r="BV139" s="17" t="str">
        <f t="shared" si="203"/>
        <v>avelumab_plus_axitinib</v>
      </c>
      <c r="BW139" s="1006" t="str" cm="1">
        <f t="array" ref="BW139">IF(I139="No",I139,INDEX(List_incl_anal_1L_fav,IF(BU139=999,35,BU139+1)))</f>
        <v>No</v>
      </c>
      <c r="BX139" s="61">
        <f t="shared" si="204"/>
        <v>0</v>
      </c>
      <c r="BY139" s="531" t="str">
        <f t="shared" si="232"/>
        <v>Overall survival</v>
      </c>
      <c r="BZ139" s="530" t="str">
        <f t="shared" si="205"/>
        <v>PH_NMA</v>
      </c>
      <c r="CA139" s="531">
        <f t="shared" si="233"/>
        <v>0</v>
      </c>
      <c r="CB139" s="530">
        <f t="shared" si="206"/>
        <v>2</v>
      </c>
      <c r="CC139" s="530">
        <f t="shared" si="207"/>
        <v>1</v>
      </c>
      <c r="CD139" s="530">
        <f t="shared" si="208"/>
        <v>7</v>
      </c>
      <c r="CE139" s="1295">
        <f t="shared" si="209"/>
        <v>2</v>
      </c>
      <c r="CF139" s="1301">
        <f t="shared" si="210"/>
        <v>0</v>
      </c>
      <c r="CG139" s="530" t="str">
        <f t="shared" si="211"/>
        <v>Exponential</v>
      </c>
      <c r="CH139" s="61">
        <f t="shared" si="212"/>
        <v>0</v>
      </c>
      <c r="CI139" s="61">
        <f t="shared" si="213"/>
        <v>0</v>
      </c>
      <c r="CJ139" s="61">
        <f t="shared" si="214"/>
        <v>0</v>
      </c>
      <c r="DA139" s="1024"/>
      <c r="DB139" s="1024"/>
      <c r="DC139" s="1024"/>
      <c r="DD139" s="1024"/>
      <c r="DE139" s="1024"/>
      <c r="DF139" s="1024"/>
      <c r="DG139" s="1024"/>
      <c r="DK139" s="58" t="str" cm="1">
        <f t="array" ref="DK139">IF(AND($BT139=4,$BX139=4,$BU139=999),$DB$36,_xlfn.IFNA(INDEX(DB$13:DB$70,MATCH(1,($BR139=$CV$13:$CV$70)*($BT139=$CX$13:$CX$70)*($CE139=$CY$13:$CY$70)*($BY139=$DA$13:$DA$70)*($CD139=$DH$13:$DH$70),0)),""))</f>
        <v>Exponential</v>
      </c>
      <c r="DL139" s="58" t="str" cm="1">
        <f t="array" ref="DL139">IF(AND($BT139=4,$BX139=4,$BU139=999),$DC$36,_xlfn.IFNA(INDEX(CHOOSE(DP139,DB$13:DB$70,DC$13:DC$70,DD$13:DD$70,DE$13:DE$70),MATCH(1,($BR139=$CV$13:$CV$70)*($BT139=$CX$13:$CX$70)*($CE139=$CY$13:$CY$70)*($BY139=$DA$13:$DA$70)*($CD139=$DH$13:$DH$70),0)),""))</f>
        <v>Exponential</v>
      </c>
      <c r="DM139" s="740" cm="1">
        <f t="array" ref="DM139">IF(AND($BT139=4,$BX139=4,$BU139=999),$DD$36,_xlfn.IFNA(INDEX(DD$13:DD$68,MATCH(1,($BR139=$CV$13:$CV$68)*($BT139=$CX$13:$CX$68)*($CE139=$CY$13:$CY$68)*($BY139=$DA$13:$DA$68)*($CD139=$DH$13:$DH$68),0)),""))</f>
        <v>0</v>
      </c>
      <c r="DN139" s="740" cm="1">
        <f t="array" ref="DN139">IF(AND($BT139=4,$BX139=4,$BU139=999),$DD$36,_xlfn.IFNA(INDEX(DE$13:DE$68,MATCH(1,($BR139=$CV$13:$CV$68)*($BT139=$CX$13:$CX$68)*($CE139=$CY$13:$CY$68)*($BY139=$DA$13:$DA$68)*($CD139=$DH$13:$DH$68),0)),""))</f>
        <v>0</v>
      </c>
      <c r="DO139" s="58" t="str" cm="1">
        <f t="array" ref="DO139">IF(AND($BT139=4,$BX139=4,$BU139=999),$DF$36,_xlfn.IFNA(INDEX(DF$13:DF$70,MATCH(1,($BR139=$CV$13:$CV$70)*($BT139=$CX$13:$CX$70)*($CE139=$CY$13:$CY$70)*($BY139=$DA$13:$DA$70)*($CD139=$DH$13:$DH$70),0)),""))</f>
        <v>Base case</v>
      </c>
      <c r="DP139" s="58">
        <f t="shared" si="166"/>
        <v>1</v>
      </c>
      <c r="DW139" s="58" t="s">
        <v>58</v>
      </c>
      <c r="DX139" s="58" t="s">
        <v>544</v>
      </c>
      <c r="DY139" s="58" t="s">
        <v>67</v>
      </c>
      <c r="DZ139" s="58">
        <v>0</v>
      </c>
      <c r="EB139" s="58">
        <v>2</v>
      </c>
      <c r="EC139" s="58">
        <v>1</v>
      </c>
      <c r="ED139" s="58">
        <v>7</v>
      </c>
      <c r="EE139" s="58">
        <v>2</v>
      </c>
      <c r="EF139" s="58">
        <v>0</v>
      </c>
      <c r="EI139" s="58" t="s">
        <v>58</v>
      </c>
      <c r="EJ139" s="58" t="s">
        <v>544</v>
      </c>
      <c r="EK139" s="58" t="s">
        <v>67</v>
      </c>
      <c r="EL139" s="58">
        <v>0</v>
      </c>
      <c r="EN139" s="58">
        <v>2</v>
      </c>
      <c r="EO139" s="58">
        <v>1</v>
      </c>
      <c r="EP139" s="58">
        <v>7</v>
      </c>
      <c r="EQ139" s="58">
        <v>0</v>
      </c>
      <c r="ER139" s="58">
        <v>0</v>
      </c>
      <c r="EU139" s="58" t="str">
        <f t="shared" si="215"/>
        <v>No</v>
      </c>
      <c r="EV139" s="58" t="str">
        <f t="shared" si="216"/>
        <v>Overall survival</v>
      </c>
      <c r="EW139" s="58" t="str">
        <f t="shared" si="217"/>
        <v>PH_NMA</v>
      </c>
      <c r="EX139" s="58">
        <f t="shared" si="218"/>
        <v>0</v>
      </c>
      <c r="EZ139" s="58">
        <f t="shared" si="219"/>
        <v>2</v>
      </c>
      <c r="FA139" s="58">
        <f t="shared" si="220"/>
        <v>1</v>
      </c>
      <c r="FB139" s="58">
        <f>IF(i_eff_inputs_based_on_num=2,ED139,(INDEX(Lists!$L$51:$L$85,MATCH(O139,Lists!$K$51:$K$85,0))))</f>
        <v>7</v>
      </c>
      <c r="FC139" s="58">
        <f>IF(i_eff_inputs_based_on_num=2,EE139,(INDEX(Lists!$L$51:$L$85,MATCH(P139,Lists!$K$51:$K$85,0))))</f>
        <v>2</v>
      </c>
      <c r="FD139" s="58">
        <f>IF(i_eff_inputs_based_on_num=2,EF139,(INDEX(Lists!$L$51:$L$85,MATCH(Q139,Lists!$K$51:$K$85,0))))</f>
        <v>0</v>
      </c>
      <c r="FG139" s="58" t="str">
        <f t="shared" si="221"/>
        <v>No</v>
      </c>
      <c r="FH139" s="58" t="str">
        <f t="shared" si="222"/>
        <v>Overall survival</v>
      </c>
      <c r="FI139" s="58" t="str">
        <f t="shared" si="223"/>
        <v>PH_NMA</v>
      </c>
      <c r="FJ139" s="58">
        <f t="shared" si="224"/>
        <v>0</v>
      </c>
      <c r="FL139" s="58">
        <f t="shared" si="225"/>
        <v>2</v>
      </c>
      <c r="FM139" s="58">
        <f t="shared" si="226"/>
        <v>1</v>
      </c>
      <c r="FN139" s="58">
        <f>IF(i_eff_inputs_based_on_num=2,EP139,(INDEX(Lists!$L$51:$L$85,MATCH(O139,Lists!$K$51:$K$85,0))))</f>
        <v>7</v>
      </c>
      <c r="FO139" s="58">
        <f>IF(i_eff_inputs_based_on_num=2,EQ139,(INDEX(Lists!$L$51:$L$85,MATCH(P139,Lists!$K$51:$K$85,0))))</f>
        <v>0</v>
      </c>
      <c r="FP139" s="58">
        <f>IF(i_eff_inputs_based_on_num=2,ER139,(INDEX(Lists!$L$51:$L$85,MATCH(Q139,Lists!$K$51:$K$85,0))))</f>
        <v>0</v>
      </c>
      <c r="FT139" s="58">
        <f t="shared" si="167"/>
        <v>0</v>
      </c>
      <c r="FW139" s="58" t="str">
        <f>IF(i_baseline_risk_from=2,'Effectiveness settings'!EW139,'Effectiveness settings'!FI139)</f>
        <v>PH_NMA</v>
      </c>
      <c r="FX139" s="58" t="str">
        <f t="shared" si="168"/>
        <v>PH_NMA</v>
      </c>
      <c r="FY139" s="58" t="str">
        <f t="shared" si="169"/>
        <v>PH_NMA</v>
      </c>
      <c r="FZ139" s="58" t="str">
        <f t="shared" si="170"/>
        <v>PH_NMA</v>
      </c>
      <c r="GA139" s="58" t="str">
        <f t="shared" si="171"/>
        <v>PH_NMA</v>
      </c>
      <c r="GB139" s="58" t="str">
        <f t="shared" si="172"/>
        <v>PH_NMA</v>
      </c>
      <c r="GC139" s="58" t="str">
        <f t="shared" si="173"/>
        <v>PH_NMA</v>
      </c>
      <c r="GD139" s="58" t="str">
        <f t="shared" si="174"/>
        <v>PH_NMA</v>
      </c>
      <c r="GE139" s="58" t="str">
        <f>IF(AND(dd_CheckMate214_TTD="Yes",'Effectiveness settings'!BU139=2,'Effectiveness settings'!BX139=2),"Apply HR to",GD139)</f>
        <v>PH_NMA</v>
      </c>
      <c r="GF139" s="58" t="str">
        <f t="shared" si="175"/>
        <v>PH_NMA</v>
      </c>
      <c r="GG139" s="58" t="str">
        <f t="shared" si="176"/>
        <v>PH_NMA</v>
      </c>
      <c r="GH139" s="58" t="str">
        <f t="shared" si="177"/>
        <v>PH_NMA</v>
      </c>
      <c r="GI139" s="58" t="str">
        <f t="shared" si="199"/>
        <v>PH_NMA</v>
      </c>
      <c r="GK139" s="58">
        <f>IF(i_baseline_risk_from=2,'Effectiveness settings'!FA139,'Effectiveness settings'!FM139)</f>
        <v>1</v>
      </c>
      <c r="GL139" s="58">
        <f>IF(i_baseline_risk_from=2,'Effectiveness settings'!FB139,'Effectiveness settings'!FN139)</f>
        <v>7</v>
      </c>
      <c r="GM139" s="58">
        <f>IF(i_baseline_risk_from=2,'Effectiveness settings'!FC139,'Effectiveness settings'!FO139)</f>
        <v>2</v>
      </c>
      <c r="GN139" s="58">
        <f>IF(i_baseline_risk_from=2,'Effectiveness settings'!FD139,'Effectiveness settings'!FP139)</f>
        <v>0</v>
      </c>
      <c r="GQ139" s="58">
        <f t="shared" si="179"/>
        <v>7</v>
      </c>
      <c r="GR139" s="58">
        <f t="shared" si="180"/>
        <v>7</v>
      </c>
      <c r="GS139" s="58">
        <f t="shared" si="181"/>
        <v>7</v>
      </c>
      <c r="GT139" s="58">
        <f t="shared" si="182"/>
        <v>7</v>
      </c>
      <c r="GU139" s="58">
        <f>IF(AND(dd_CheckMate214_TTD="Yes",'Effectiveness settings'!BU139=2,'Effectiveness settings'!BX139=2),2,GT139)</f>
        <v>7</v>
      </c>
      <c r="GV139" s="58">
        <f t="shared" si="183"/>
        <v>7</v>
      </c>
      <c r="GW139" s="58">
        <f t="shared" si="184"/>
        <v>7</v>
      </c>
      <c r="GY139" s="58">
        <f>IF(AND(dd_CheckMate214_TTD="Yes",'Effectiveness settings'!BU139=2,'Effectiveness settings'!BX139=2),1,GN139)</f>
        <v>0</v>
      </c>
      <c r="GZ139" s="58">
        <f t="shared" si="185"/>
        <v>0</v>
      </c>
      <c r="HB139" s="58">
        <f t="shared" si="186"/>
        <v>2</v>
      </c>
      <c r="HD139" s="58">
        <f t="shared" si="227"/>
        <v>2</v>
      </c>
      <c r="HE139" s="58">
        <f t="shared" si="228"/>
        <v>1</v>
      </c>
      <c r="HF139" s="58">
        <f t="shared" si="229"/>
        <v>7</v>
      </c>
      <c r="HG139" s="58">
        <f t="shared" si="230"/>
        <v>2</v>
      </c>
      <c r="HH139" s="58">
        <f t="shared" si="231"/>
        <v>0</v>
      </c>
    </row>
    <row r="140" spans="1:216" ht="15.75" x14ac:dyDescent="0.25">
      <c r="D140" s="58" t="str">
        <v>pazopanib</v>
      </c>
      <c r="I140" s="64" t="s">
        <v>74</v>
      </c>
      <c r="J140" s="519" t="s">
        <v>544</v>
      </c>
      <c r="K140" s="524" t="s">
        <v>67</v>
      </c>
      <c r="L140" s="519"/>
      <c r="M140" s="516" t="s">
        <v>559</v>
      </c>
      <c r="N140" s="64" t="s">
        <v>546</v>
      </c>
      <c r="O140" s="64" t="s">
        <v>117</v>
      </c>
      <c r="P140" s="64" t="s">
        <v>547</v>
      </c>
      <c r="Q140" s="519" t="s">
        <v>544</v>
      </c>
      <c r="R140" s="516" t="s">
        <v>568</v>
      </c>
      <c r="S140" s="497"/>
      <c r="T140" s="497"/>
      <c r="U140" s="497"/>
      <c r="Y140" s="517"/>
      <c r="AA140" s="517"/>
      <c r="AF140" s="517"/>
      <c r="AM140" s="517"/>
      <c r="AO140" s="517"/>
      <c r="AT140" s="517"/>
      <c r="AV140" s="511"/>
      <c r="AW140" s="511"/>
      <c r="AX140" s="511"/>
      <c r="BA140" s="517"/>
      <c r="BC140" s="517"/>
      <c r="BH140" s="517"/>
      <c r="BJ140" s="511"/>
      <c r="BK140" s="511"/>
      <c r="BL140" s="511"/>
      <c r="BQ140" s="58">
        <f t="shared" si="165"/>
        <v>76</v>
      </c>
      <c r="BR140" s="17">
        <v>2</v>
      </c>
      <c r="BS140" s="17" t="s">
        <v>559</v>
      </c>
      <c r="BT140" s="17">
        <v>1</v>
      </c>
      <c r="BU140" s="17">
        <v>5</v>
      </c>
      <c r="BV140" s="17" t="str">
        <f t="shared" si="203"/>
        <v>pazopanib</v>
      </c>
      <c r="BW140" s="1006" t="str" cm="1">
        <f t="array" ref="BW140">IF(I140="No",I140,INDEX(List_incl_anal_1L_fav,IF(BU140=999,35,BU140+1)))</f>
        <v>Yes</v>
      </c>
      <c r="BX140" s="61">
        <f t="shared" si="204"/>
        <v>0</v>
      </c>
      <c r="BY140" s="531" t="str">
        <f t="shared" si="232"/>
        <v>Overall survival</v>
      </c>
      <c r="BZ140" s="530" t="str">
        <f t="shared" si="205"/>
        <v>Assume equal to</v>
      </c>
      <c r="CA140" s="531">
        <f t="shared" si="233"/>
        <v>0</v>
      </c>
      <c r="CB140" s="530">
        <f t="shared" si="206"/>
        <v>2</v>
      </c>
      <c r="CC140" s="530">
        <f t="shared" si="207"/>
        <v>1</v>
      </c>
      <c r="CD140" s="530">
        <f t="shared" si="208"/>
        <v>7</v>
      </c>
      <c r="CE140" s="1295">
        <f t="shared" si="209"/>
        <v>2</v>
      </c>
      <c r="CF140" s="1301">
        <f t="shared" si="210"/>
        <v>0</v>
      </c>
      <c r="CG140" s="530" t="str">
        <f t="shared" si="211"/>
        <v>Exponential</v>
      </c>
      <c r="CH140" s="61">
        <f t="shared" si="212"/>
        <v>0</v>
      </c>
      <c r="CI140" s="61">
        <f t="shared" si="213"/>
        <v>0</v>
      </c>
      <c r="CJ140" s="61">
        <f t="shared" si="214"/>
        <v>0</v>
      </c>
      <c r="DA140" s="1024"/>
      <c r="DB140" s="1024"/>
      <c r="DC140" s="1024"/>
      <c r="DD140" s="1024"/>
      <c r="DE140" s="1024"/>
      <c r="DF140" s="1024"/>
      <c r="DG140" s="1024"/>
      <c r="DK140" s="58" t="str" cm="1">
        <f t="array" ref="DK140">IF(AND($BT140=4,$BX140=4,$BU140=999),$DB$36,_xlfn.IFNA(INDEX(DB$13:DB$70,MATCH(1,($BR140=$CV$13:$CV$70)*($BT140=$CX$13:$CX$70)*($CE140=$CY$13:$CY$70)*($BY140=$DA$13:$DA$70)*($CD140=$DH$13:$DH$70),0)),""))</f>
        <v>Exponential</v>
      </c>
      <c r="DL140" s="58" t="str" cm="1">
        <f t="array" ref="DL140">IF(AND($BT140=4,$BX140=4,$BU140=999),$DC$36,_xlfn.IFNA(INDEX(CHOOSE(DP140,DB$13:DB$70,DC$13:DC$70,DD$13:DD$70,DE$13:DE$70),MATCH(1,($BR140=$CV$13:$CV$70)*($BT140=$CX$13:$CX$70)*($CE140=$CY$13:$CY$70)*($BY140=$DA$13:$DA$70)*($CD140=$DH$13:$DH$70),0)),""))</f>
        <v>Exponential</v>
      </c>
      <c r="DM140" s="740" cm="1">
        <f t="array" ref="DM140">IF(AND($BT140=4,$BX140=4,$BU140=999),$DD$36,_xlfn.IFNA(INDEX(DD$13:DD$68,MATCH(1,($BR140=$CV$13:$CV$68)*($BT140=$CX$13:$CX$68)*($CE140=$CY$13:$CY$68)*($BY140=$DA$13:$DA$68)*($CD140=$DH$13:$DH$68),0)),""))</f>
        <v>0</v>
      </c>
      <c r="DN140" s="740" cm="1">
        <f t="array" ref="DN140">IF(AND($BT140=4,$BX140=4,$BU140=999),$DD$36,_xlfn.IFNA(INDEX(DE$13:DE$68,MATCH(1,($BR140=$CV$13:$CV$68)*($BT140=$CX$13:$CX$68)*($CE140=$CY$13:$CY$68)*($BY140=$DA$13:$DA$68)*($CD140=$DH$13:$DH$68),0)),""))</f>
        <v>0</v>
      </c>
      <c r="DO140" s="58" t="str" cm="1">
        <f t="array" ref="DO140">IF(AND($BT140=4,$BX140=4,$BU140=999),$DF$36,_xlfn.IFNA(INDEX(DF$13:DF$70,MATCH(1,($BR140=$CV$13:$CV$70)*($BT140=$CX$13:$CX$70)*($CE140=$CY$13:$CY$70)*($BY140=$DA$13:$DA$70)*($CD140=$DH$13:$DH$70),0)),""))</f>
        <v>Base case</v>
      </c>
      <c r="DP140" s="58">
        <f t="shared" si="166"/>
        <v>1</v>
      </c>
      <c r="DW140" s="58" t="s">
        <v>74</v>
      </c>
      <c r="DX140" s="58" t="s">
        <v>544</v>
      </c>
      <c r="DY140" s="58" t="s">
        <v>67</v>
      </c>
      <c r="DZ140" s="58">
        <v>0</v>
      </c>
      <c r="EB140" s="58">
        <v>2</v>
      </c>
      <c r="EC140" s="58">
        <v>1</v>
      </c>
      <c r="ED140" s="58">
        <v>7</v>
      </c>
      <c r="EE140" s="58">
        <v>2</v>
      </c>
      <c r="EF140" s="58">
        <v>0</v>
      </c>
      <c r="EI140" s="58" t="s">
        <v>74</v>
      </c>
      <c r="EJ140" s="58" t="s">
        <v>544</v>
      </c>
      <c r="EK140" s="58" t="s">
        <v>67</v>
      </c>
      <c r="EL140" s="58">
        <v>0</v>
      </c>
      <c r="EN140" s="58">
        <v>2</v>
      </c>
      <c r="EO140" s="58">
        <v>1</v>
      </c>
      <c r="EP140" s="58">
        <v>7</v>
      </c>
      <c r="EQ140" s="58">
        <v>0</v>
      </c>
      <c r="ER140" s="58">
        <v>0</v>
      </c>
      <c r="EU140" s="58" t="str">
        <f t="shared" si="215"/>
        <v>Yes</v>
      </c>
      <c r="EV140" s="58" t="str">
        <f t="shared" si="216"/>
        <v>Overall survival</v>
      </c>
      <c r="EW140" s="58" t="str">
        <f t="shared" si="217"/>
        <v>PH_NMA</v>
      </c>
      <c r="EX140" s="58">
        <f t="shared" si="218"/>
        <v>0</v>
      </c>
      <c r="EZ140" s="58">
        <f t="shared" si="219"/>
        <v>2</v>
      </c>
      <c r="FA140" s="58">
        <f t="shared" si="220"/>
        <v>1</v>
      </c>
      <c r="FB140" s="58">
        <f>IF(i_eff_inputs_based_on_num=2,ED140,(INDEX(Lists!$L$51:$L$85,MATCH(O140,Lists!$K$51:$K$85,0))))</f>
        <v>7</v>
      </c>
      <c r="FC140" s="58">
        <f>IF(i_eff_inputs_based_on_num=2,EE140,(INDEX(Lists!$L$51:$L$85,MATCH(P140,Lists!$K$51:$K$85,0))))</f>
        <v>2</v>
      </c>
      <c r="FD140" s="58">
        <f>IF(i_eff_inputs_based_on_num=2,EF140,(INDEX(Lists!$L$51:$L$85,MATCH(Q140,Lists!$K$51:$K$85,0))))</f>
        <v>0</v>
      </c>
      <c r="FG140" s="58" t="str">
        <f t="shared" si="221"/>
        <v>Yes</v>
      </c>
      <c r="FH140" s="58" t="str">
        <f t="shared" si="222"/>
        <v>Overall survival</v>
      </c>
      <c r="FI140" s="58" t="str">
        <f t="shared" si="223"/>
        <v>PH_NMA</v>
      </c>
      <c r="FJ140" s="58">
        <f t="shared" si="224"/>
        <v>0</v>
      </c>
      <c r="FL140" s="58">
        <f t="shared" si="225"/>
        <v>2</v>
      </c>
      <c r="FM140" s="58">
        <f t="shared" si="226"/>
        <v>1</v>
      </c>
      <c r="FN140" s="58">
        <f>IF(i_eff_inputs_based_on_num=2,EP140,(INDEX(Lists!$L$51:$L$85,MATCH(O140,Lists!$K$51:$K$85,0))))</f>
        <v>7</v>
      </c>
      <c r="FO140" s="58">
        <f>IF(i_eff_inputs_based_on_num=2,EQ140,(INDEX(Lists!$L$51:$L$85,MATCH(P140,Lists!$K$51:$K$85,0))))</f>
        <v>0</v>
      </c>
      <c r="FP140" s="58">
        <f>IF(i_eff_inputs_based_on_num=2,ER140,(INDEX(Lists!$L$51:$L$85,MATCH(Q140,Lists!$K$51:$K$85,0))))</f>
        <v>0</v>
      </c>
      <c r="FT140" s="58">
        <f t="shared" si="167"/>
        <v>0</v>
      </c>
      <c r="FW140" s="58" t="str">
        <f>IF(i_baseline_risk_from=2,'Effectiveness settings'!EW140,'Effectiveness settings'!FI140)</f>
        <v>PH_NMA</v>
      </c>
      <c r="FX140" s="58" t="str">
        <f t="shared" si="168"/>
        <v>PH_NMA</v>
      </c>
      <c r="FY140" s="58" t="str">
        <f t="shared" si="169"/>
        <v>PH_NMA</v>
      </c>
      <c r="FZ140" s="58" t="str">
        <f t="shared" si="170"/>
        <v>Assume equal to</v>
      </c>
      <c r="GA140" s="58" t="str">
        <f t="shared" si="171"/>
        <v>Assume equal to</v>
      </c>
      <c r="GB140" s="58" t="str">
        <f t="shared" si="172"/>
        <v>Assume equal to</v>
      </c>
      <c r="GC140" s="58" t="str">
        <f t="shared" si="173"/>
        <v>Assume equal to</v>
      </c>
      <c r="GD140" s="58" t="str">
        <f t="shared" si="174"/>
        <v>Assume equal to</v>
      </c>
      <c r="GE140" s="58" t="str">
        <f>IF(AND(dd_CheckMate214_TTD="Yes",'Effectiveness settings'!BU140=2,'Effectiveness settings'!BX140=2),"Apply HR to",GD140)</f>
        <v>Assume equal to</v>
      </c>
      <c r="GF140" s="58" t="str">
        <f t="shared" si="175"/>
        <v>Assume equal to</v>
      </c>
      <c r="GG140" s="58" t="str">
        <f t="shared" si="176"/>
        <v>Assume equal to</v>
      </c>
      <c r="GH140" s="58" t="str">
        <f t="shared" si="177"/>
        <v>Assume equal to</v>
      </c>
      <c r="GI140" s="58" t="str">
        <f t="shared" si="199"/>
        <v>Assume equal to</v>
      </c>
      <c r="GK140" s="58">
        <f>IF(i_baseline_risk_from=2,'Effectiveness settings'!FA140,'Effectiveness settings'!FM140)</f>
        <v>1</v>
      </c>
      <c r="GL140" s="58">
        <f>IF(i_baseline_risk_from=2,'Effectiveness settings'!FB140,'Effectiveness settings'!FN140)</f>
        <v>7</v>
      </c>
      <c r="GM140" s="58">
        <f>IF(i_baseline_risk_from=2,'Effectiveness settings'!FC140,'Effectiveness settings'!FO140)</f>
        <v>2</v>
      </c>
      <c r="GN140" s="58">
        <f>IF(i_baseline_risk_from=2,'Effectiveness settings'!FD140,'Effectiveness settings'!FP140)</f>
        <v>0</v>
      </c>
      <c r="GQ140" s="58">
        <f t="shared" si="179"/>
        <v>7</v>
      </c>
      <c r="GR140" s="58">
        <f t="shared" si="180"/>
        <v>7</v>
      </c>
      <c r="GS140" s="58">
        <f t="shared" si="181"/>
        <v>7</v>
      </c>
      <c r="GT140" s="58">
        <f t="shared" si="182"/>
        <v>7</v>
      </c>
      <c r="GU140" s="58">
        <f>IF(AND(dd_CheckMate214_TTD="Yes",'Effectiveness settings'!BU140=2,'Effectiveness settings'!BX140=2),2,GT140)</f>
        <v>7</v>
      </c>
      <c r="GV140" s="58">
        <f t="shared" si="183"/>
        <v>7</v>
      </c>
      <c r="GW140" s="58">
        <f t="shared" si="184"/>
        <v>7</v>
      </c>
      <c r="GY140" s="58">
        <f>IF(AND(dd_CheckMate214_TTD="Yes",'Effectiveness settings'!BU140=2,'Effectiveness settings'!BX140=2),1,GN140)</f>
        <v>0</v>
      </c>
      <c r="GZ140" s="58">
        <f t="shared" si="185"/>
        <v>0</v>
      </c>
      <c r="HB140" s="58">
        <f t="shared" si="186"/>
        <v>2</v>
      </c>
      <c r="HD140" s="58">
        <f t="shared" si="227"/>
        <v>2</v>
      </c>
      <c r="HE140" s="58">
        <f t="shared" si="228"/>
        <v>1</v>
      </c>
      <c r="HF140" s="58">
        <f t="shared" si="229"/>
        <v>7</v>
      </c>
      <c r="HG140" s="58">
        <f t="shared" si="230"/>
        <v>2</v>
      </c>
      <c r="HH140" s="58">
        <f t="shared" si="231"/>
        <v>0</v>
      </c>
    </row>
    <row r="141" spans="1:216" ht="15.75" x14ac:dyDescent="0.25">
      <c r="D141" s="58" t="str">
        <v>tivozanib</v>
      </c>
      <c r="I141" s="64" t="s">
        <v>74</v>
      </c>
      <c r="J141" s="519" t="s">
        <v>544</v>
      </c>
      <c r="K141" s="524" t="s">
        <v>561</v>
      </c>
      <c r="L141" s="519"/>
      <c r="M141" s="516" t="s">
        <v>559</v>
      </c>
      <c r="N141" s="64" t="s">
        <v>546</v>
      </c>
      <c r="O141" s="64" t="s">
        <v>117</v>
      </c>
      <c r="P141" s="64" t="s">
        <v>547</v>
      </c>
      <c r="Q141" s="519" t="s">
        <v>544</v>
      </c>
      <c r="R141" s="516" t="s">
        <v>568</v>
      </c>
      <c r="S141" s="497">
        <v>1</v>
      </c>
      <c r="T141" s="497">
        <v>1</v>
      </c>
      <c r="U141" s="497">
        <v>1</v>
      </c>
      <c r="Y141" s="517"/>
      <c r="AA141" s="517"/>
      <c r="AF141" s="517"/>
      <c r="AM141" s="517"/>
      <c r="AO141" s="517"/>
      <c r="AT141" s="517"/>
      <c r="AV141" s="511"/>
      <c r="AW141" s="511"/>
      <c r="AX141" s="511"/>
      <c r="BA141" s="517"/>
      <c r="BC141" s="517"/>
      <c r="BH141" s="517"/>
      <c r="BJ141" s="511"/>
      <c r="BK141" s="511"/>
      <c r="BL141" s="511"/>
      <c r="BQ141" s="58">
        <f t="shared" ref="BQ141:BQ204" si="234">BQ140+IF(ISBLANK(BR141),0,1)</f>
        <v>77</v>
      </c>
      <c r="BR141" s="17">
        <v>2</v>
      </c>
      <c r="BS141" s="17" t="s">
        <v>559</v>
      </c>
      <c r="BT141" s="17">
        <v>1</v>
      </c>
      <c r="BU141" s="17">
        <v>6</v>
      </c>
      <c r="BV141" s="17" t="str">
        <f t="shared" si="203"/>
        <v>tivozanib</v>
      </c>
      <c r="BW141" s="1006" t="str" cm="1">
        <f t="array" ref="BW141">IF(I141="No",I141,INDEX(List_incl_anal_1L_fav,IF(BU141=999,35,BU141+1)))</f>
        <v>Yes</v>
      </c>
      <c r="BX141" s="61">
        <f t="shared" si="204"/>
        <v>0</v>
      </c>
      <c r="BY141" s="531" t="str">
        <f t="shared" si="232"/>
        <v>Overall survival</v>
      </c>
      <c r="BZ141" s="530" t="str">
        <f t="shared" si="205"/>
        <v>Assume equal to</v>
      </c>
      <c r="CA141" s="531">
        <f t="shared" si="233"/>
        <v>0</v>
      </c>
      <c r="CB141" s="530">
        <f t="shared" si="206"/>
        <v>2</v>
      </c>
      <c r="CC141" s="530">
        <f t="shared" si="207"/>
        <v>1</v>
      </c>
      <c r="CD141" s="530">
        <f t="shared" si="208"/>
        <v>7</v>
      </c>
      <c r="CE141" s="1295">
        <f t="shared" si="209"/>
        <v>2</v>
      </c>
      <c r="CF141" s="1301">
        <f t="shared" si="210"/>
        <v>0</v>
      </c>
      <c r="CG141" s="530" t="str">
        <f t="shared" si="211"/>
        <v>Exponential</v>
      </c>
      <c r="CH141" s="61">
        <f t="shared" si="212"/>
        <v>1</v>
      </c>
      <c r="CI141" s="61">
        <f t="shared" si="213"/>
        <v>1</v>
      </c>
      <c r="CJ141" s="61">
        <f t="shared" si="214"/>
        <v>1</v>
      </c>
      <c r="DA141" s="1024"/>
      <c r="DB141" s="1024"/>
      <c r="DC141" s="1024"/>
      <c r="DD141" s="1024"/>
      <c r="DE141" s="1024"/>
      <c r="DF141" s="1024"/>
      <c r="DG141" s="1024"/>
      <c r="DK141" s="58" t="str" cm="1">
        <f t="array" ref="DK141">IF(AND($BT141=4,$BX141=4,$BU141=999),$DB$36,_xlfn.IFNA(INDEX(DB$13:DB$70,MATCH(1,($BR141=$CV$13:$CV$70)*($BT141=$CX$13:$CX$70)*($CE141=$CY$13:$CY$70)*($BY141=$DA$13:$DA$70)*($CD141=$DH$13:$DH$70),0)),""))</f>
        <v>Exponential</v>
      </c>
      <c r="DL141" s="58" t="str" cm="1">
        <f t="array" ref="DL141">IF(AND($BT141=4,$BX141=4,$BU141=999),$DC$36,_xlfn.IFNA(INDEX(CHOOSE(DP141,DB$13:DB$70,DC$13:DC$70,DD$13:DD$70,DE$13:DE$70),MATCH(1,($BR141=$CV$13:$CV$70)*($BT141=$CX$13:$CX$70)*($CE141=$CY$13:$CY$70)*($BY141=$DA$13:$DA$70)*($CD141=$DH$13:$DH$70),0)),""))</f>
        <v>Exponential</v>
      </c>
      <c r="DM141" s="740" cm="1">
        <f t="array" ref="DM141">IF(AND($BT141=4,$BX141=4,$BU141=999),$DD$36,_xlfn.IFNA(INDEX(DD$13:DD$68,MATCH(1,($BR141=$CV$13:$CV$68)*($BT141=$CX$13:$CX$68)*($CE141=$CY$13:$CY$68)*($BY141=$DA$13:$DA$68)*($CD141=$DH$13:$DH$68),0)),""))</f>
        <v>0</v>
      </c>
      <c r="DN141" s="740" cm="1">
        <f t="array" ref="DN141">IF(AND($BT141=4,$BX141=4,$BU141=999),$DD$36,_xlfn.IFNA(INDEX(DE$13:DE$68,MATCH(1,($BR141=$CV$13:$CV$68)*($BT141=$CX$13:$CX$68)*($CE141=$CY$13:$CY$68)*($BY141=$DA$13:$DA$68)*($CD141=$DH$13:$DH$68),0)),""))</f>
        <v>0</v>
      </c>
      <c r="DO141" s="58" t="str" cm="1">
        <f t="array" ref="DO141">IF(AND($BT141=4,$BX141=4,$BU141=999),$DF$36,_xlfn.IFNA(INDEX(DF$13:DF$70,MATCH(1,($BR141=$CV$13:$CV$70)*($BT141=$CX$13:$CX$70)*($CE141=$CY$13:$CY$70)*($BY141=$DA$13:$DA$70)*($CD141=$DH$13:$DH$70),0)),""))</f>
        <v>Base case</v>
      </c>
      <c r="DP141" s="58">
        <f t="shared" ref="DP141:DP204" si="235">MATCH(DO141,List_surv_cur_ext,0)</f>
        <v>1</v>
      </c>
      <c r="DW141" s="58" t="s">
        <v>74</v>
      </c>
      <c r="DX141" s="58" t="s">
        <v>544</v>
      </c>
      <c r="DY141" s="58" t="s">
        <v>561</v>
      </c>
      <c r="DZ141" s="58">
        <v>0</v>
      </c>
      <c r="EB141" s="58">
        <v>2</v>
      </c>
      <c r="EC141" s="58">
        <v>1</v>
      </c>
      <c r="ED141" s="58">
        <v>7</v>
      </c>
      <c r="EE141" s="58">
        <v>2</v>
      </c>
      <c r="EF141" s="58">
        <v>0</v>
      </c>
      <c r="EI141" s="58" t="s">
        <v>74</v>
      </c>
      <c r="EJ141" s="58" t="s">
        <v>544</v>
      </c>
      <c r="EK141" s="58" t="s">
        <v>561</v>
      </c>
      <c r="EL141" s="58">
        <v>0</v>
      </c>
      <c r="EN141" s="58">
        <v>2</v>
      </c>
      <c r="EO141" s="58">
        <v>1</v>
      </c>
      <c r="EP141" s="58">
        <v>7</v>
      </c>
      <c r="EQ141" s="58">
        <v>0</v>
      </c>
      <c r="ER141" s="58">
        <v>0</v>
      </c>
      <c r="EU141" s="58" t="str">
        <f t="shared" si="215"/>
        <v>Yes</v>
      </c>
      <c r="EV141" s="58" t="str">
        <f t="shared" si="216"/>
        <v>Overall survival</v>
      </c>
      <c r="EW141" s="58" t="str">
        <f t="shared" si="217"/>
        <v>Assume equal to</v>
      </c>
      <c r="EX141" s="58">
        <f t="shared" si="218"/>
        <v>0</v>
      </c>
      <c r="EZ141" s="58">
        <f t="shared" si="219"/>
        <v>2</v>
      </c>
      <c r="FA141" s="58">
        <f t="shared" si="220"/>
        <v>1</v>
      </c>
      <c r="FB141" s="58">
        <f>IF(i_eff_inputs_based_on_num=2,ED141,(INDEX(Lists!$L$51:$L$85,MATCH(O141,Lists!$K$51:$K$85,0))))</f>
        <v>7</v>
      </c>
      <c r="FC141" s="58">
        <f>IF(i_eff_inputs_based_on_num=2,EE141,(INDEX(Lists!$L$51:$L$85,MATCH(P141,Lists!$K$51:$K$85,0))))</f>
        <v>2</v>
      </c>
      <c r="FD141" s="58">
        <f>IF(i_eff_inputs_based_on_num=2,EF141,(INDEX(Lists!$L$51:$L$85,MATCH(Q141,Lists!$K$51:$K$85,0))))</f>
        <v>0</v>
      </c>
      <c r="FG141" s="58" t="str">
        <f t="shared" si="221"/>
        <v>Yes</v>
      </c>
      <c r="FH141" s="58" t="str">
        <f t="shared" si="222"/>
        <v>Overall survival</v>
      </c>
      <c r="FI141" s="58" t="str">
        <f t="shared" si="223"/>
        <v>Assume equal to</v>
      </c>
      <c r="FJ141" s="58">
        <f t="shared" si="224"/>
        <v>0</v>
      </c>
      <c r="FL141" s="58">
        <f t="shared" si="225"/>
        <v>2</v>
      </c>
      <c r="FM141" s="58">
        <f t="shared" si="226"/>
        <v>1</v>
      </c>
      <c r="FN141" s="58">
        <f>IF(i_eff_inputs_based_on_num=2,EP141,(INDEX(Lists!$L$51:$L$85,MATCH(O141,Lists!$K$51:$K$85,0))))</f>
        <v>7</v>
      </c>
      <c r="FO141" s="58">
        <f>IF(i_eff_inputs_based_on_num=2,EQ141,(INDEX(Lists!$L$51:$L$85,MATCH(P141,Lists!$K$51:$K$85,0))))</f>
        <v>0</v>
      </c>
      <c r="FP141" s="58">
        <f>IF(i_eff_inputs_based_on_num=2,ER141,(INDEX(Lists!$L$51:$L$85,MATCH(Q141,Lists!$K$51:$K$85,0))))</f>
        <v>0</v>
      </c>
      <c r="FT141" s="58">
        <f t="shared" ref="FT141:FT204" si="236">IF(AND(BZ141="Trial survival analysis",CE141=0),INDEX(List_trials,1),IF(AND(BZ141="Trial survival analysis",CE141=1),INDEX(List_trials,2),IF(AND(BZ141="Trial survival analysis",OR(CE141=2,CC141=4)),INDEX(List_trials,3),0)))</f>
        <v>0</v>
      </c>
      <c r="FW141" s="58" t="str">
        <f>IF(i_baseline_risk_from=2,'Effectiveness settings'!EW141,'Effectiveness settings'!FI141)</f>
        <v>Assume equal to</v>
      </c>
      <c r="FX141" s="58" t="str">
        <f t="shared" ref="FX141:FX204" si="237">IF(AND(BT141&gt;1,FW141="FP_NMA",dd_2ndline_NMA="PH_NMA"),"PH_NMA",FW141)</f>
        <v>Assume equal to</v>
      </c>
      <c r="FY141" s="58" t="str">
        <f t="shared" ref="FY141:FY204" si="238">IF(AND(BU141=1,OR(FX141="PH_NMA",FX141="FP_NMA",FX141="Trial survival analysis")),IF(dd_cabo_nivo_outcome_from="FP_NMA",FX141,dd_cabo_nivo_outcome_from),FX141)</f>
        <v>Assume equal to</v>
      </c>
      <c r="FZ141" s="58" t="str">
        <f t="shared" ref="FZ141:FZ204" si="239">IF(AND(dd_eq_eff_pazo_suni="Yes",BX141&lt;4,$BU141=5,BT141&lt;4,FY141&lt;&gt;"Apply HR to"),"Assume equal to",FY141)</f>
        <v>Assume equal to</v>
      </c>
      <c r="GA141" s="58" t="str">
        <f t="shared" ref="GA141:GA204" si="240">IF(AND(dd_eq_eff_tivo_suni="Yes",BX141&lt;4,$BU141=6,BT141=1,FZ141&lt;&gt;"Apply HR to"),"Assume equal to",FZ141)</f>
        <v>Assume equal to</v>
      </c>
      <c r="GB141" s="58" t="str">
        <f t="shared" ref="GB141:GB204" si="241">IF(AND(dd_eq_eff_evero_axi="Yes",BX141&lt;4,$BU141=11,BT141&lt;4,GA141&lt;&gt;"Apply HR to"),"Assume equal to",GA141)</f>
        <v>Assume equal to</v>
      </c>
      <c r="GC141" s="58" t="str">
        <f t="shared" ref="GC141:GC204" si="242">IF(AND(BX141=4,BR141=1),GB141,(IF(AND(OR(GB141="PH_NMA",GB141="FP_NMA"),BU141=3,BR141&lt;&gt;2),dd_pemlen_NMA,GB141)))</f>
        <v>Assume equal to</v>
      </c>
      <c r="GD141" s="58" t="str">
        <f t="shared" ref="GD141:GD204" si="243">IF(AND(BU141=3,dd_pemlen_equal = "Yes"),"Assume equal to",GC141)</f>
        <v>Assume equal to</v>
      </c>
      <c r="GE141" s="58" t="str">
        <f>IF(AND(dd_CheckMate214_TTD="Yes",'Effectiveness settings'!BU141=2,'Effectiveness settings'!BX141=2),"Apply HR to",GD141)</f>
        <v>Assume equal to</v>
      </c>
      <c r="GF141" s="58" t="str">
        <f t="shared" ref="GF141:GF204" si="244">IF(AND(dd_TTD_same_as_PFS="Yes",BX141=2),"Assume equal to", GE141)</f>
        <v>Assume equal to</v>
      </c>
      <c r="GG141" s="58" t="str">
        <f t="shared" ref="GG141:GG204" si="245">IF(AND(dd_nivoipiPFS="TTNT",BR141=1,BT141=1,BU141=2,BX141=1,dd_use_PHnma_for_FPnma="Yes"),"Apply HR to",GF141)</f>
        <v>Assume equal to</v>
      </c>
      <c r="GH141" s="58" t="str">
        <f t="shared" ref="GH141:GH204" si="246">IF(AND(dd_eq_eff_cabo_suni="Yes",$BX141&lt;4,$BU141=8,$BT141=1,$BR141=1,$GG141&lt;&gt;"Apply HR to"),"Assume equal to",GG141)</f>
        <v>Assume equal to</v>
      </c>
      <c r="GI141" s="58" t="str">
        <f t="shared" si="199"/>
        <v>Assume equal to</v>
      </c>
      <c r="GK141" s="58">
        <f>IF(i_baseline_risk_from=2,'Effectiveness settings'!FA141,'Effectiveness settings'!FM141)</f>
        <v>1</v>
      </c>
      <c r="GL141" s="58">
        <f>IF(i_baseline_risk_from=2,'Effectiveness settings'!FB141,'Effectiveness settings'!FN141)</f>
        <v>7</v>
      </c>
      <c r="GM141" s="58">
        <f>IF(i_baseline_risk_from=2,'Effectiveness settings'!FC141,'Effectiveness settings'!FO141)</f>
        <v>2</v>
      </c>
      <c r="GN141" s="58">
        <f>IF(i_baseline_risk_from=2,'Effectiveness settings'!FD141,'Effectiveness settings'!FP141)</f>
        <v>0</v>
      </c>
      <c r="GQ141" s="58">
        <f t="shared" ref="GQ141:GQ204" si="247">IF(AND(dd_eq_eff_pazo_suni="Yes",BX141&lt;4,$BU141=5,BT141&lt;4,FY141&lt;&gt;"Apply HR to"),7,GL141)</f>
        <v>7</v>
      </c>
      <c r="GR141" s="58">
        <f t="shared" ref="GR141:GR204" si="248">IF(AND(dd_eq_eff_tivo_suni="Yes",BX141&lt;4,$BU141=6,BT141=1,FY141&lt;&gt;"Apply HR to"),7,IF(AND(BX141&lt;4,$BU141=7,BT141&gt;1,FY141&lt;&gt;"Apply HR to"),6,GQ141))</f>
        <v>7</v>
      </c>
      <c r="GS141" s="58">
        <f t="shared" ref="GS141:GS204" si="249">IF(AND(dd_eq_eff_evero_axi="Yes",BX141&lt;4,$BU141=11,BT141&lt;4,FY141&lt;&gt;"Apply HR to"),10,GR141)</f>
        <v>7</v>
      </c>
      <c r="GT141" s="58">
        <f t="shared" ref="GT141:GT204" si="250">IF(AND(BU141=3,dd_pemlen_equal = "Yes"),1,GS141)</f>
        <v>7</v>
      </c>
      <c r="GU141" s="58">
        <f>IF(AND(dd_CheckMate214_TTD="Yes",'Effectiveness settings'!BU141=2,'Effectiveness settings'!BX141=2),2,GT141)</f>
        <v>7</v>
      </c>
      <c r="GV141" s="58">
        <f t="shared" ref="GV141:GV204" si="251">IF(AND(BY141="Time to treatment discontinuation",dd_TTD_same_as_PFS="Yes"),BU141,GU141)</f>
        <v>7</v>
      </c>
      <c r="GW141" s="58">
        <f t="shared" ref="GW141:GW204" si="252">IF(AND(dd_eq_eff_cabo_suni="Yes",$BX141&lt;4,$BU141=8,$BT141=1,$BR141=1,$GG141&lt;&gt;"Apply HR to"),7,GV141)</f>
        <v>7</v>
      </c>
      <c r="GY141" s="58">
        <f>IF(AND(dd_CheckMate214_TTD="Yes",'Effectiveness settings'!BU141=2,'Effectiveness settings'!BX141=2),1,GN141)</f>
        <v>0</v>
      </c>
      <c r="GZ141" s="58">
        <f t="shared" ref="GZ141:GZ204" si="253">IF(AND(dd_TTD_same_as_PFS="Yes",BX141=2),1, GY141)</f>
        <v>0</v>
      </c>
      <c r="HB141" s="58">
        <f t="shared" ref="HB141:HB204" si="254">IF(i_baseline_risk_from=2,EZ141,FL141)</f>
        <v>2</v>
      </c>
      <c r="HD141" s="58">
        <f t="shared" si="227"/>
        <v>2</v>
      </c>
      <c r="HE141" s="58">
        <f t="shared" si="228"/>
        <v>1</v>
      </c>
      <c r="HF141" s="58">
        <f t="shared" si="229"/>
        <v>7</v>
      </c>
      <c r="HG141" s="58">
        <f t="shared" si="230"/>
        <v>2</v>
      </c>
      <c r="HH141" s="58">
        <f t="shared" si="231"/>
        <v>0</v>
      </c>
    </row>
    <row r="142" spans="1:216" ht="15.75" x14ac:dyDescent="0.25">
      <c r="D142" s="58" t="str">
        <v>sunitinib</v>
      </c>
      <c r="I142" s="64" t="s">
        <v>74</v>
      </c>
      <c r="J142" s="519" t="s">
        <v>544</v>
      </c>
      <c r="K142" s="524" t="s">
        <v>562</v>
      </c>
      <c r="L142" s="519" t="s">
        <v>547</v>
      </c>
      <c r="M142" s="516" t="s">
        <v>559</v>
      </c>
      <c r="N142" s="64" t="s">
        <v>546</v>
      </c>
      <c r="O142" s="64" t="s">
        <v>117</v>
      </c>
      <c r="P142" s="64" t="s">
        <v>547</v>
      </c>
      <c r="Q142" s="519" t="s">
        <v>544</v>
      </c>
      <c r="R142" s="516" t="s">
        <v>568</v>
      </c>
      <c r="S142" s="497"/>
      <c r="T142" s="497"/>
      <c r="U142" s="497"/>
      <c r="Y142" s="517"/>
      <c r="AA142" s="517"/>
      <c r="AF142" s="517"/>
      <c r="AM142" s="517"/>
      <c r="AO142" s="517"/>
      <c r="AT142" s="517"/>
      <c r="AV142" s="511"/>
      <c r="AW142" s="511"/>
      <c r="AX142" s="511"/>
      <c r="BA142" s="517"/>
      <c r="BC142" s="517"/>
      <c r="BH142" s="517"/>
      <c r="BJ142" s="511"/>
      <c r="BK142" s="511"/>
      <c r="BL142" s="511"/>
      <c r="BQ142" s="58">
        <f t="shared" si="234"/>
        <v>78</v>
      </c>
      <c r="BR142" s="17">
        <v>2</v>
      </c>
      <c r="BS142" s="17" t="s">
        <v>559</v>
      </c>
      <c r="BT142" s="17">
        <v>1</v>
      </c>
      <c r="BU142" s="17">
        <v>7</v>
      </c>
      <c r="BV142" s="17" t="str">
        <f t="shared" si="203"/>
        <v>sunitinib</v>
      </c>
      <c r="BW142" s="1006" t="str" cm="1">
        <f t="array" ref="BW142">IF(I142="No",I142,INDEX(List_incl_anal_1L_fav,IF(BU142=999,35,BU142+1)))</f>
        <v>Yes</v>
      </c>
      <c r="BX142" s="61">
        <f t="shared" si="204"/>
        <v>0</v>
      </c>
      <c r="BY142" s="531" t="str">
        <f t="shared" si="232"/>
        <v>Overall survival</v>
      </c>
      <c r="BZ142" s="530" t="str">
        <f t="shared" si="205"/>
        <v>Trial survival analysis</v>
      </c>
      <c r="CA142" s="531" t="str">
        <f t="shared" si="233"/>
        <v>Real world evidence</v>
      </c>
      <c r="CB142" s="530">
        <f t="shared" si="206"/>
        <v>2</v>
      </c>
      <c r="CC142" s="530">
        <f t="shared" si="207"/>
        <v>1</v>
      </c>
      <c r="CD142" s="530">
        <f t="shared" si="208"/>
        <v>7</v>
      </c>
      <c r="CE142" s="1295">
        <f t="shared" si="209"/>
        <v>2</v>
      </c>
      <c r="CF142" s="1301">
        <f t="shared" si="210"/>
        <v>0</v>
      </c>
      <c r="CG142" s="530" t="str">
        <f t="shared" si="211"/>
        <v>Exponential</v>
      </c>
      <c r="CH142" s="61">
        <f t="shared" si="212"/>
        <v>0</v>
      </c>
      <c r="CI142" s="61">
        <f t="shared" si="213"/>
        <v>0</v>
      </c>
      <c r="CJ142" s="61">
        <f t="shared" si="214"/>
        <v>0</v>
      </c>
      <c r="DA142" s="1024"/>
      <c r="DB142" s="1024"/>
      <c r="DC142" s="1024"/>
      <c r="DD142" s="1024"/>
      <c r="DE142" s="1024"/>
      <c r="DF142" s="1024"/>
      <c r="DG142" s="1024"/>
      <c r="DK142" s="58" t="str" cm="1">
        <f t="array" ref="DK142">IF(AND($BT142=4,$BX142=4,$BU142=999),$DB$36,_xlfn.IFNA(INDEX(DB$13:DB$70,MATCH(1,($BR142=$CV$13:$CV$70)*($BT142=$CX$13:$CX$70)*($CE142=$CY$13:$CY$70)*($BY142=$DA$13:$DA$70)*($CD142=$DH$13:$DH$70),0)),""))</f>
        <v>Exponential</v>
      </c>
      <c r="DL142" s="58" t="str" cm="1">
        <f t="array" ref="DL142">IF(AND($BT142=4,$BX142=4,$BU142=999),$DC$36,_xlfn.IFNA(INDEX(CHOOSE(DP142,DB$13:DB$70,DC$13:DC$70,DD$13:DD$70,DE$13:DE$70),MATCH(1,($BR142=$CV$13:$CV$70)*($BT142=$CX$13:$CX$70)*($CE142=$CY$13:$CY$70)*($BY142=$DA$13:$DA$70)*($CD142=$DH$13:$DH$70),0)),""))</f>
        <v>Exponential</v>
      </c>
      <c r="DM142" s="740" cm="1">
        <f t="array" ref="DM142">IF(AND($BT142=4,$BX142=4,$BU142=999),$DD$36,_xlfn.IFNA(INDEX(DD$13:DD$68,MATCH(1,($BR142=$CV$13:$CV$68)*($BT142=$CX$13:$CX$68)*($CE142=$CY$13:$CY$68)*($BY142=$DA$13:$DA$68)*($CD142=$DH$13:$DH$68),0)),""))</f>
        <v>0</v>
      </c>
      <c r="DN142" s="740" cm="1">
        <f t="array" ref="DN142">IF(AND($BT142=4,$BX142=4,$BU142=999),$DD$36,_xlfn.IFNA(INDEX(DE$13:DE$68,MATCH(1,($BR142=$CV$13:$CV$68)*($BT142=$CX$13:$CX$68)*($CE142=$CY$13:$CY$68)*($BY142=$DA$13:$DA$68)*($CD142=$DH$13:$DH$68),0)),""))</f>
        <v>0</v>
      </c>
      <c r="DO142" s="58" t="str" cm="1">
        <f t="array" ref="DO142">IF(AND($BT142=4,$BX142=4,$BU142=999),$DF$36,_xlfn.IFNA(INDEX(DF$13:DF$70,MATCH(1,($BR142=$CV$13:$CV$70)*($BT142=$CX$13:$CX$70)*($CE142=$CY$13:$CY$70)*($BY142=$DA$13:$DA$70)*($CD142=$DH$13:$DH$70),0)),""))</f>
        <v>Base case</v>
      </c>
      <c r="DP142" s="58">
        <f t="shared" si="235"/>
        <v>1</v>
      </c>
      <c r="DW142" s="58" t="s">
        <v>74</v>
      </c>
      <c r="DX142" s="58" t="s">
        <v>544</v>
      </c>
      <c r="DY142" s="58" t="s">
        <v>562</v>
      </c>
      <c r="DZ142" s="58" t="s">
        <v>547</v>
      </c>
      <c r="EB142" s="58">
        <v>2</v>
      </c>
      <c r="EC142" s="58">
        <v>1</v>
      </c>
      <c r="ED142" s="58">
        <v>7</v>
      </c>
      <c r="EE142" s="58">
        <v>2</v>
      </c>
      <c r="EF142" s="58">
        <v>0</v>
      </c>
      <c r="EI142" s="58" t="s">
        <v>74</v>
      </c>
      <c r="EJ142" s="58" t="s">
        <v>544</v>
      </c>
      <c r="EK142" s="58" t="s">
        <v>562</v>
      </c>
      <c r="EL142" s="58" t="s">
        <v>564</v>
      </c>
      <c r="EN142" s="58">
        <v>2</v>
      </c>
      <c r="EO142" s="58">
        <v>1</v>
      </c>
      <c r="EP142" s="58">
        <v>7</v>
      </c>
      <c r="EQ142" s="58">
        <v>0</v>
      </c>
      <c r="ER142" s="58">
        <v>0</v>
      </c>
      <c r="EU142" s="58" t="str">
        <f t="shared" si="215"/>
        <v>Yes</v>
      </c>
      <c r="EV142" s="58" t="str">
        <f t="shared" si="216"/>
        <v>Overall survival</v>
      </c>
      <c r="EW142" s="58" t="str">
        <f t="shared" si="217"/>
        <v>Trial survival analysis</v>
      </c>
      <c r="EX142" s="58" t="str">
        <f t="shared" si="218"/>
        <v>Real world evidence</v>
      </c>
      <c r="EZ142" s="58">
        <f t="shared" si="219"/>
        <v>2</v>
      </c>
      <c r="FA142" s="58">
        <f t="shared" si="220"/>
        <v>1</v>
      </c>
      <c r="FB142" s="58">
        <f>IF(i_eff_inputs_based_on_num=2,ED142,(INDEX(Lists!$L$51:$L$85,MATCH(O142,Lists!$K$51:$K$85,0))))</f>
        <v>7</v>
      </c>
      <c r="FC142" s="58">
        <f>IF(i_eff_inputs_based_on_num=2,EE142,(INDEX(Lists!$L$51:$L$85,MATCH(P142,Lists!$K$51:$K$85,0))))</f>
        <v>2</v>
      </c>
      <c r="FD142" s="58">
        <f>IF(i_eff_inputs_based_on_num=2,EF142,(INDEX(Lists!$L$51:$L$85,MATCH(Q142,Lists!$K$51:$K$85,0))))</f>
        <v>0</v>
      </c>
      <c r="FG142" s="58" t="str">
        <f t="shared" si="221"/>
        <v>Yes</v>
      </c>
      <c r="FH142" s="58" t="str">
        <f t="shared" si="222"/>
        <v>Overall survival</v>
      </c>
      <c r="FI142" s="58" t="str">
        <f t="shared" si="223"/>
        <v>Trial survival analysis</v>
      </c>
      <c r="FJ142" s="58" t="str">
        <f t="shared" si="224"/>
        <v>CheckMate 9ER</v>
      </c>
      <c r="FL142" s="58">
        <f t="shared" si="225"/>
        <v>2</v>
      </c>
      <c r="FM142" s="58">
        <f t="shared" si="226"/>
        <v>1</v>
      </c>
      <c r="FN142" s="58">
        <f>IF(i_eff_inputs_based_on_num=2,EP142,(INDEX(Lists!$L$51:$L$85,MATCH(O142,Lists!$K$51:$K$85,0))))</f>
        <v>7</v>
      </c>
      <c r="FO142" s="58">
        <f>IF(i_eff_inputs_based_on_num=2,EQ142,(INDEX(Lists!$L$51:$L$85,MATCH(P142,Lists!$K$51:$K$85,0))))</f>
        <v>0</v>
      </c>
      <c r="FP142" s="58">
        <f>IF(i_eff_inputs_based_on_num=2,ER142,(INDEX(Lists!$L$51:$L$85,MATCH(Q142,Lists!$K$51:$K$85,0))))</f>
        <v>0</v>
      </c>
      <c r="FT142" s="58" t="str">
        <f t="shared" si="236"/>
        <v>Real world evidence</v>
      </c>
      <c r="FW142" s="58" t="str">
        <f>IF(i_baseline_risk_from=2,'Effectiveness settings'!EW142,'Effectiveness settings'!FI142)</f>
        <v>Trial survival analysis</v>
      </c>
      <c r="FX142" s="58" t="str">
        <f t="shared" si="237"/>
        <v>Trial survival analysis</v>
      </c>
      <c r="FY142" s="58" t="str">
        <f t="shared" si="238"/>
        <v>Trial survival analysis</v>
      </c>
      <c r="FZ142" s="58" t="str">
        <f t="shared" si="239"/>
        <v>Trial survival analysis</v>
      </c>
      <c r="GA142" s="58" t="str">
        <f t="shared" si="240"/>
        <v>Trial survival analysis</v>
      </c>
      <c r="GB142" s="58" t="str">
        <f t="shared" si="241"/>
        <v>Trial survival analysis</v>
      </c>
      <c r="GC142" s="58" t="str">
        <f t="shared" si="242"/>
        <v>Trial survival analysis</v>
      </c>
      <c r="GD142" s="58" t="str">
        <f t="shared" si="243"/>
        <v>Trial survival analysis</v>
      </c>
      <c r="GE142" s="58" t="str">
        <f>IF(AND(dd_CheckMate214_TTD="Yes",'Effectiveness settings'!BU142=2,'Effectiveness settings'!BX142=2),"Apply HR to",GD142)</f>
        <v>Trial survival analysis</v>
      </c>
      <c r="GF142" s="58" t="str">
        <f t="shared" si="244"/>
        <v>Trial survival analysis</v>
      </c>
      <c r="GG142" s="58" t="str">
        <f t="shared" si="245"/>
        <v>Trial survival analysis</v>
      </c>
      <c r="GH142" s="58" t="str">
        <f t="shared" si="246"/>
        <v>Trial survival analysis</v>
      </c>
      <c r="GI142" s="58" t="str">
        <f t="shared" si="199"/>
        <v>Trial survival analysis</v>
      </c>
      <c r="GK142" s="58">
        <f>IF(i_baseline_risk_from=2,'Effectiveness settings'!FA142,'Effectiveness settings'!FM142)</f>
        <v>1</v>
      </c>
      <c r="GL142" s="58">
        <f>IF(i_baseline_risk_from=2,'Effectiveness settings'!FB142,'Effectiveness settings'!FN142)</f>
        <v>7</v>
      </c>
      <c r="GM142" s="58">
        <f>IF(i_baseline_risk_from=2,'Effectiveness settings'!FC142,'Effectiveness settings'!FO142)</f>
        <v>2</v>
      </c>
      <c r="GN142" s="58">
        <f>IF(i_baseline_risk_from=2,'Effectiveness settings'!FD142,'Effectiveness settings'!FP142)</f>
        <v>0</v>
      </c>
      <c r="GQ142" s="58">
        <f t="shared" si="247"/>
        <v>7</v>
      </c>
      <c r="GR142" s="58">
        <f t="shared" si="248"/>
        <v>7</v>
      </c>
      <c r="GS142" s="58">
        <f t="shared" si="249"/>
        <v>7</v>
      </c>
      <c r="GT142" s="58">
        <f t="shared" si="250"/>
        <v>7</v>
      </c>
      <c r="GU142" s="58">
        <f>IF(AND(dd_CheckMate214_TTD="Yes",'Effectiveness settings'!BU142=2,'Effectiveness settings'!BX142=2),2,GT142)</f>
        <v>7</v>
      </c>
      <c r="GV142" s="58">
        <f t="shared" si="251"/>
        <v>7</v>
      </c>
      <c r="GW142" s="58">
        <f t="shared" si="252"/>
        <v>7</v>
      </c>
      <c r="GY142" s="58">
        <f>IF(AND(dd_CheckMate214_TTD="Yes",'Effectiveness settings'!BU142=2,'Effectiveness settings'!BX142=2),1,GN142)</f>
        <v>0</v>
      </c>
      <c r="GZ142" s="58">
        <f t="shared" si="253"/>
        <v>0</v>
      </c>
      <c r="HB142" s="58">
        <f t="shared" si="254"/>
        <v>2</v>
      </c>
      <c r="HD142" s="58">
        <f t="shared" si="227"/>
        <v>2</v>
      </c>
      <c r="HE142" s="58">
        <f t="shared" si="228"/>
        <v>1</v>
      </c>
      <c r="HF142" s="58">
        <f t="shared" si="229"/>
        <v>7</v>
      </c>
      <c r="HG142" s="58">
        <f t="shared" si="230"/>
        <v>2</v>
      </c>
      <c r="HH142" s="58">
        <f t="shared" si="231"/>
        <v>0</v>
      </c>
    </row>
    <row r="143" spans="1:216" ht="15.75" x14ac:dyDescent="0.25">
      <c r="D143" s="58" t="str">
        <v>cabozantinib</v>
      </c>
      <c r="I143" s="64" t="s">
        <v>58</v>
      </c>
      <c r="J143" s="519" t="s">
        <v>544</v>
      </c>
      <c r="K143" s="524"/>
      <c r="L143" s="519"/>
      <c r="M143" s="516" t="s">
        <v>559</v>
      </c>
      <c r="N143" s="64" t="s">
        <v>546</v>
      </c>
      <c r="O143" s="64" t="s">
        <v>117</v>
      </c>
      <c r="P143" s="64" t="s">
        <v>547</v>
      </c>
      <c r="Q143" s="519" t="s">
        <v>544</v>
      </c>
      <c r="R143" s="516" t="s">
        <v>548</v>
      </c>
      <c r="S143" s="497"/>
      <c r="T143" s="497"/>
      <c r="U143" s="497"/>
      <c r="Y143" s="517"/>
      <c r="AA143" s="517"/>
      <c r="AF143" s="517"/>
      <c r="AM143" s="517"/>
      <c r="AO143" s="517"/>
      <c r="AT143" s="517"/>
      <c r="AV143" s="511"/>
      <c r="AW143" s="511"/>
      <c r="AX143" s="511"/>
      <c r="BA143" s="517"/>
      <c r="BC143" s="517"/>
      <c r="BH143" s="517"/>
      <c r="BJ143" s="511"/>
      <c r="BK143" s="511"/>
      <c r="BL143" s="511"/>
      <c r="BQ143" s="58">
        <f t="shared" si="234"/>
        <v>79</v>
      </c>
      <c r="BR143" s="17">
        <v>2</v>
      </c>
      <c r="BS143" s="17" t="s">
        <v>559</v>
      </c>
      <c r="BT143" s="17">
        <v>1</v>
      </c>
      <c r="BU143" s="17">
        <v>8</v>
      </c>
      <c r="BV143" s="17" t="str">
        <f t="shared" si="203"/>
        <v>cabozantinib</v>
      </c>
      <c r="BW143" s="1006" t="str" cm="1">
        <f t="array" ref="BW143">IF(I143="No",I143,INDEX(List_incl_anal_1L_fav,IF(BU143=999,35,BU143+1)))</f>
        <v>No</v>
      </c>
      <c r="BX143" s="61">
        <f t="shared" si="204"/>
        <v>0</v>
      </c>
      <c r="BY143" s="531" t="str">
        <f t="shared" si="232"/>
        <v>Overall survival</v>
      </c>
      <c r="BZ143" s="530">
        <f t="shared" si="205"/>
        <v>0</v>
      </c>
      <c r="CA143" s="531">
        <f t="shared" si="233"/>
        <v>0</v>
      </c>
      <c r="CB143" s="530">
        <f t="shared" si="206"/>
        <v>2</v>
      </c>
      <c r="CC143" s="530">
        <f t="shared" si="207"/>
        <v>1</v>
      </c>
      <c r="CD143" s="530">
        <f t="shared" si="208"/>
        <v>7</v>
      </c>
      <c r="CE143" s="1295">
        <f t="shared" si="209"/>
        <v>2</v>
      </c>
      <c r="CF143" s="1301">
        <f t="shared" si="210"/>
        <v>0</v>
      </c>
      <c r="CG143" s="530" t="str">
        <f t="shared" si="211"/>
        <v>Exponential</v>
      </c>
      <c r="CH143" s="61">
        <f t="shared" si="212"/>
        <v>0</v>
      </c>
      <c r="CI143" s="61">
        <f t="shared" si="213"/>
        <v>0</v>
      </c>
      <c r="CJ143" s="61">
        <f t="shared" si="214"/>
        <v>0</v>
      </c>
      <c r="DA143" s="1024"/>
      <c r="DB143" s="1024"/>
      <c r="DC143" s="1024"/>
      <c r="DD143" s="1024"/>
      <c r="DE143" s="1024"/>
      <c r="DF143" s="1024"/>
      <c r="DG143" s="1024"/>
      <c r="DK143" s="58" t="str" cm="1">
        <f t="array" ref="DK143">IF(AND($BT143=4,$BX143=4,$BU143=999),$DB$36,_xlfn.IFNA(INDEX(DB$13:DB$70,MATCH(1,($BR143=$CV$13:$CV$70)*($BT143=$CX$13:$CX$70)*($CE143=$CY$13:$CY$70)*($BY143=$DA$13:$DA$70)*($CD143=$DH$13:$DH$70),0)),""))</f>
        <v>Exponential</v>
      </c>
      <c r="DL143" s="58" t="str" cm="1">
        <f t="array" ref="DL143">IF(AND($BT143=4,$BX143=4,$BU143=999),$DC$36,_xlfn.IFNA(INDEX(CHOOSE(DP143,DB$13:DB$70,DC$13:DC$70,DD$13:DD$70,DE$13:DE$70),MATCH(1,($BR143=$CV$13:$CV$70)*($BT143=$CX$13:$CX$70)*($CE143=$CY$13:$CY$70)*($BY143=$DA$13:$DA$70)*($CD143=$DH$13:$DH$70),0)),""))</f>
        <v>Exponential</v>
      </c>
      <c r="DM143" s="740" cm="1">
        <f t="array" ref="DM143">IF(AND($BT143=4,$BX143=4,$BU143=999),$DD$36,_xlfn.IFNA(INDEX(DD$13:DD$68,MATCH(1,($BR143=$CV$13:$CV$68)*($BT143=$CX$13:$CX$68)*($CE143=$CY$13:$CY$68)*($BY143=$DA$13:$DA$68)*($CD143=$DH$13:$DH$68),0)),""))</f>
        <v>0</v>
      </c>
      <c r="DN143" s="740" cm="1">
        <f t="array" ref="DN143">IF(AND($BT143=4,$BX143=4,$BU143=999),$DD$36,_xlfn.IFNA(INDEX(DE$13:DE$68,MATCH(1,($BR143=$CV$13:$CV$68)*($BT143=$CX$13:$CX$68)*($CE143=$CY$13:$CY$68)*($BY143=$DA$13:$DA$68)*($CD143=$DH$13:$DH$68),0)),""))</f>
        <v>0</v>
      </c>
      <c r="DO143" s="58" t="str" cm="1">
        <f t="array" ref="DO143">IF(AND($BT143=4,$BX143=4,$BU143=999),$DF$36,_xlfn.IFNA(INDEX(DF$13:DF$70,MATCH(1,($BR143=$CV$13:$CV$70)*($BT143=$CX$13:$CX$70)*($CE143=$CY$13:$CY$70)*($BY143=$DA$13:$DA$70)*($CD143=$DH$13:$DH$70),0)),""))</f>
        <v>Base case</v>
      </c>
      <c r="DP143" s="58">
        <f t="shared" si="235"/>
        <v>1</v>
      </c>
      <c r="DW143" s="58" t="s">
        <v>58</v>
      </c>
      <c r="DX143" s="58" t="s">
        <v>544</v>
      </c>
      <c r="DY143" s="58">
        <v>0</v>
      </c>
      <c r="DZ143" s="58">
        <v>0</v>
      </c>
      <c r="EB143" s="58">
        <v>2</v>
      </c>
      <c r="EC143" s="58">
        <v>1</v>
      </c>
      <c r="ED143" s="58">
        <v>7</v>
      </c>
      <c r="EE143" s="58">
        <v>2</v>
      </c>
      <c r="EF143" s="58">
        <v>0</v>
      </c>
      <c r="EI143" s="58" t="s">
        <v>58</v>
      </c>
      <c r="EJ143" s="58" t="s">
        <v>544</v>
      </c>
      <c r="EK143" s="58">
        <v>0</v>
      </c>
      <c r="EL143" s="58">
        <v>0</v>
      </c>
      <c r="EN143" s="58">
        <v>2</v>
      </c>
      <c r="EO143" s="58">
        <v>1</v>
      </c>
      <c r="EP143" s="58">
        <v>7</v>
      </c>
      <c r="EQ143" s="58">
        <v>0</v>
      </c>
      <c r="ER143" s="58">
        <v>0</v>
      </c>
      <c r="EU143" s="58" t="str">
        <f t="shared" si="215"/>
        <v>No</v>
      </c>
      <c r="EV143" s="58" t="str">
        <f t="shared" si="216"/>
        <v>Overall survival</v>
      </c>
      <c r="EW143" s="58">
        <f t="shared" si="217"/>
        <v>0</v>
      </c>
      <c r="EX143" s="58">
        <f t="shared" si="218"/>
        <v>0</v>
      </c>
      <c r="EZ143" s="58">
        <f t="shared" si="219"/>
        <v>2</v>
      </c>
      <c r="FA143" s="58">
        <f t="shared" si="220"/>
        <v>1</v>
      </c>
      <c r="FB143" s="58">
        <f>IF(i_eff_inputs_based_on_num=2,ED143,(INDEX(Lists!$L$51:$L$85,MATCH(O143,Lists!$K$51:$K$85,0))))</f>
        <v>7</v>
      </c>
      <c r="FC143" s="58">
        <f>IF(i_eff_inputs_based_on_num=2,EE143,(INDEX(Lists!$L$51:$L$85,MATCH(P143,Lists!$K$51:$K$85,0))))</f>
        <v>2</v>
      </c>
      <c r="FD143" s="58">
        <f>IF(i_eff_inputs_based_on_num=2,EF143,(INDEX(Lists!$L$51:$L$85,MATCH(Q143,Lists!$K$51:$K$85,0))))</f>
        <v>0</v>
      </c>
      <c r="FG143" s="58" t="str">
        <f t="shared" si="221"/>
        <v>No</v>
      </c>
      <c r="FH143" s="58" t="str">
        <f t="shared" si="222"/>
        <v>Overall survival</v>
      </c>
      <c r="FI143" s="58">
        <f t="shared" si="223"/>
        <v>0</v>
      </c>
      <c r="FJ143" s="58">
        <f t="shared" si="224"/>
        <v>0</v>
      </c>
      <c r="FL143" s="58">
        <f t="shared" si="225"/>
        <v>2</v>
      </c>
      <c r="FM143" s="58">
        <f t="shared" si="226"/>
        <v>1</v>
      </c>
      <c r="FN143" s="58">
        <f>IF(i_eff_inputs_based_on_num=2,EP143,(INDEX(Lists!$L$51:$L$85,MATCH(O143,Lists!$K$51:$K$85,0))))</f>
        <v>7</v>
      </c>
      <c r="FO143" s="58">
        <f>IF(i_eff_inputs_based_on_num=2,EQ143,(INDEX(Lists!$L$51:$L$85,MATCH(P143,Lists!$K$51:$K$85,0))))</f>
        <v>0</v>
      </c>
      <c r="FP143" s="58">
        <f>IF(i_eff_inputs_based_on_num=2,ER143,(INDEX(Lists!$L$51:$L$85,MATCH(Q143,Lists!$K$51:$K$85,0))))</f>
        <v>0</v>
      </c>
      <c r="FT143" s="58">
        <f t="shared" si="236"/>
        <v>0</v>
      </c>
      <c r="FW143" s="58">
        <f>IF(i_baseline_risk_from=2,'Effectiveness settings'!EW143,'Effectiveness settings'!FI143)</f>
        <v>0</v>
      </c>
      <c r="FX143" s="58">
        <f t="shared" si="237"/>
        <v>0</v>
      </c>
      <c r="FY143" s="58">
        <f t="shared" si="238"/>
        <v>0</v>
      </c>
      <c r="FZ143" s="58">
        <f t="shared" si="239"/>
        <v>0</v>
      </c>
      <c r="GA143" s="58">
        <f t="shared" si="240"/>
        <v>0</v>
      </c>
      <c r="GB143" s="58">
        <f t="shared" si="241"/>
        <v>0</v>
      </c>
      <c r="GC143" s="58">
        <f t="shared" si="242"/>
        <v>0</v>
      </c>
      <c r="GD143" s="58">
        <f t="shared" si="243"/>
        <v>0</v>
      </c>
      <c r="GE143" s="58">
        <f>IF(AND(dd_CheckMate214_TTD="Yes",'Effectiveness settings'!BU143=2,'Effectiveness settings'!BX143=2),"Apply HR to",GD143)</f>
        <v>0</v>
      </c>
      <c r="GF143" s="58">
        <f t="shared" si="244"/>
        <v>0</v>
      </c>
      <c r="GG143" s="58">
        <f t="shared" si="245"/>
        <v>0</v>
      </c>
      <c r="GH143" s="58">
        <f t="shared" si="246"/>
        <v>0</v>
      </c>
      <c r="GI143" s="58">
        <f t="shared" si="199"/>
        <v>0</v>
      </c>
      <c r="GK143" s="58">
        <f>IF(i_baseline_risk_from=2,'Effectiveness settings'!FA143,'Effectiveness settings'!FM143)</f>
        <v>1</v>
      </c>
      <c r="GL143" s="58">
        <f>IF(i_baseline_risk_from=2,'Effectiveness settings'!FB143,'Effectiveness settings'!FN143)</f>
        <v>7</v>
      </c>
      <c r="GM143" s="58">
        <f>IF(i_baseline_risk_from=2,'Effectiveness settings'!FC143,'Effectiveness settings'!FO143)</f>
        <v>2</v>
      </c>
      <c r="GN143" s="58">
        <f>IF(i_baseline_risk_from=2,'Effectiveness settings'!FD143,'Effectiveness settings'!FP143)</f>
        <v>0</v>
      </c>
      <c r="GQ143" s="58">
        <f t="shared" si="247"/>
        <v>7</v>
      </c>
      <c r="GR143" s="58">
        <f t="shared" si="248"/>
        <v>7</v>
      </c>
      <c r="GS143" s="58">
        <f t="shared" si="249"/>
        <v>7</v>
      </c>
      <c r="GT143" s="58">
        <f t="shared" si="250"/>
        <v>7</v>
      </c>
      <c r="GU143" s="58">
        <f>IF(AND(dd_CheckMate214_TTD="Yes",'Effectiveness settings'!BU143=2,'Effectiveness settings'!BX143=2),2,GT143)</f>
        <v>7</v>
      </c>
      <c r="GV143" s="58">
        <f t="shared" si="251"/>
        <v>7</v>
      </c>
      <c r="GW143" s="58">
        <f t="shared" si="252"/>
        <v>7</v>
      </c>
      <c r="GY143" s="58">
        <f>IF(AND(dd_CheckMate214_TTD="Yes",'Effectiveness settings'!BU143=2,'Effectiveness settings'!BX143=2),1,GN143)</f>
        <v>0</v>
      </c>
      <c r="GZ143" s="58">
        <f t="shared" si="253"/>
        <v>0</v>
      </c>
      <c r="HB143" s="58">
        <f t="shared" si="254"/>
        <v>2</v>
      </c>
      <c r="HD143" s="58">
        <f t="shared" si="227"/>
        <v>2</v>
      </c>
      <c r="HE143" s="58">
        <f t="shared" si="228"/>
        <v>1</v>
      </c>
      <c r="HF143" s="58">
        <f t="shared" si="229"/>
        <v>7</v>
      </c>
      <c r="HG143" s="58">
        <f t="shared" si="230"/>
        <v>2</v>
      </c>
      <c r="HH143" s="58">
        <f t="shared" si="231"/>
        <v>0</v>
      </c>
    </row>
    <row r="144" spans="1:216" ht="15.75" x14ac:dyDescent="0.25">
      <c r="D144" s="58" t="str">
        <v>lenvatinib_plus_everolimus</v>
      </c>
      <c r="I144" s="64" t="s">
        <v>58</v>
      </c>
      <c r="J144" s="519" t="s">
        <v>544</v>
      </c>
      <c r="K144" s="524"/>
      <c r="L144" s="519"/>
      <c r="M144" s="516" t="s">
        <v>559</v>
      </c>
      <c r="N144" s="64" t="s">
        <v>546</v>
      </c>
      <c r="O144" s="64" t="s">
        <v>117</v>
      </c>
      <c r="P144" s="64" t="s">
        <v>547</v>
      </c>
      <c r="Q144" s="519" t="s">
        <v>544</v>
      </c>
      <c r="R144" s="516" t="s">
        <v>548</v>
      </c>
      <c r="S144" s="497"/>
      <c r="T144" s="497"/>
      <c r="U144" s="497"/>
      <c r="Y144" s="517"/>
      <c r="AA144" s="517"/>
      <c r="AF144" s="517"/>
      <c r="AM144" s="517"/>
      <c r="AO144" s="517"/>
      <c r="AT144" s="517"/>
      <c r="AV144" s="511"/>
      <c r="AW144" s="511"/>
      <c r="AX144" s="511"/>
      <c r="BA144" s="517"/>
      <c r="BC144" s="517"/>
      <c r="BH144" s="517"/>
      <c r="BJ144" s="511"/>
      <c r="BK144" s="511"/>
      <c r="BL144" s="511"/>
      <c r="BQ144" s="58">
        <f t="shared" si="234"/>
        <v>80</v>
      </c>
      <c r="BR144" s="17">
        <v>2</v>
      </c>
      <c r="BS144" s="17" t="s">
        <v>559</v>
      </c>
      <c r="BT144" s="17">
        <v>1</v>
      </c>
      <c r="BU144" s="17">
        <v>9</v>
      </c>
      <c r="BV144" s="17" t="str">
        <f t="shared" si="203"/>
        <v>lenvatinib_plus_everolimus</v>
      </c>
      <c r="BW144" s="1006" t="str" cm="1">
        <f t="array" ref="BW144">IF(I144="No",I144,INDEX(List_incl_anal_1L_fav,IF(BU144=999,35,BU144+1)))</f>
        <v>No</v>
      </c>
      <c r="BX144" s="61">
        <f t="shared" si="204"/>
        <v>0</v>
      </c>
      <c r="BY144" s="531" t="str">
        <f t="shared" si="232"/>
        <v>Overall survival</v>
      </c>
      <c r="BZ144" s="530">
        <f t="shared" si="205"/>
        <v>0</v>
      </c>
      <c r="CA144" s="531">
        <f t="shared" si="233"/>
        <v>0</v>
      </c>
      <c r="CB144" s="530">
        <f t="shared" si="206"/>
        <v>2</v>
      </c>
      <c r="CC144" s="530">
        <f t="shared" si="207"/>
        <v>1</v>
      </c>
      <c r="CD144" s="530">
        <f t="shared" si="208"/>
        <v>7</v>
      </c>
      <c r="CE144" s="1295">
        <f t="shared" si="209"/>
        <v>2</v>
      </c>
      <c r="CF144" s="1301">
        <f t="shared" si="210"/>
        <v>0</v>
      </c>
      <c r="CG144" s="530" t="str">
        <f t="shared" si="211"/>
        <v>Exponential</v>
      </c>
      <c r="CH144" s="61">
        <f t="shared" si="212"/>
        <v>0</v>
      </c>
      <c r="CI144" s="61">
        <f t="shared" si="213"/>
        <v>0</v>
      </c>
      <c r="CJ144" s="61">
        <f t="shared" si="214"/>
        <v>0</v>
      </c>
      <c r="DA144" s="1024"/>
      <c r="DB144" s="1024"/>
      <c r="DC144" s="1024"/>
      <c r="DD144" s="1024"/>
      <c r="DE144" s="1024"/>
      <c r="DF144" s="1024"/>
      <c r="DG144" s="1024"/>
      <c r="DK144" s="58" t="str" cm="1">
        <f t="array" ref="DK144">IF(AND($BT144=4,$BX144=4,$BU144=999),$DB$36,_xlfn.IFNA(INDEX(DB$13:DB$70,MATCH(1,($BR144=$CV$13:$CV$70)*($BT144=$CX$13:$CX$70)*($CE144=$CY$13:$CY$70)*($BY144=$DA$13:$DA$70)*($CD144=$DH$13:$DH$70),0)),""))</f>
        <v>Exponential</v>
      </c>
      <c r="DL144" s="58" t="str" cm="1">
        <f t="array" ref="DL144">IF(AND($BT144=4,$BX144=4,$BU144=999),$DC$36,_xlfn.IFNA(INDEX(CHOOSE(DP144,DB$13:DB$70,DC$13:DC$70,DD$13:DD$70,DE$13:DE$70),MATCH(1,($BR144=$CV$13:$CV$70)*($BT144=$CX$13:$CX$70)*($CE144=$CY$13:$CY$70)*($BY144=$DA$13:$DA$70)*($CD144=$DH$13:$DH$70),0)),""))</f>
        <v>Exponential</v>
      </c>
      <c r="DM144" s="740" cm="1">
        <f t="array" ref="DM144">IF(AND($BT144=4,$BX144=4,$BU144=999),$DD$36,_xlfn.IFNA(INDEX(DD$13:DD$68,MATCH(1,($BR144=$CV$13:$CV$68)*($BT144=$CX$13:$CX$68)*($CE144=$CY$13:$CY$68)*($BY144=$DA$13:$DA$68)*($CD144=$DH$13:$DH$68),0)),""))</f>
        <v>0</v>
      </c>
      <c r="DN144" s="740" cm="1">
        <f t="array" ref="DN144">IF(AND($BT144=4,$BX144=4,$BU144=999),$DD$36,_xlfn.IFNA(INDEX(DE$13:DE$68,MATCH(1,($BR144=$CV$13:$CV$68)*($BT144=$CX$13:$CX$68)*($CE144=$CY$13:$CY$68)*($BY144=$DA$13:$DA$68)*($CD144=$DH$13:$DH$68),0)),""))</f>
        <v>0</v>
      </c>
      <c r="DO144" s="58" t="str" cm="1">
        <f t="array" ref="DO144">IF(AND($BT144=4,$BX144=4,$BU144=999),$DF$36,_xlfn.IFNA(INDEX(DF$13:DF$70,MATCH(1,($BR144=$CV$13:$CV$70)*($BT144=$CX$13:$CX$70)*($CE144=$CY$13:$CY$70)*($BY144=$DA$13:$DA$70)*($CD144=$DH$13:$DH$70),0)),""))</f>
        <v>Base case</v>
      </c>
      <c r="DP144" s="58">
        <f t="shared" si="235"/>
        <v>1</v>
      </c>
      <c r="DW144" s="58" t="s">
        <v>58</v>
      </c>
      <c r="DX144" s="58" t="s">
        <v>544</v>
      </c>
      <c r="DY144" s="58">
        <v>0</v>
      </c>
      <c r="DZ144" s="58">
        <v>0</v>
      </c>
      <c r="EB144" s="58">
        <v>2</v>
      </c>
      <c r="EC144" s="58">
        <v>1</v>
      </c>
      <c r="ED144" s="58">
        <v>7</v>
      </c>
      <c r="EE144" s="58">
        <v>2</v>
      </c>
      <c r="EF144" s="58">
        <v>0</v>
      </c>
      <c r="EI144" s="58" t="s">
        <v>58</v>
      </c>
      <c r="EJ144" s="58" t="s">
        <v>544</v>
      </c>
      <c r="EK144" s="58">
        <v>0</v>
      </c>
      <c r="EL144" s="58">
        <v>0</v>
      </c>
      <c r="EN144" s="58">
        <v>2</v>
      </c>
      <c r="EO144" s="58">
        <v>1</v>
      </c>
      <c r="EP144" s="58">
        <v>7</v>
      </c>
      <c r="EQ144" s="58">
        <v>0</v>
      </c>
      <c r="ER144" s="58">
        <v>0</v>
      </c>
      <c r="EU144" s="58" t="str">
        <f t="shared" si="215"/>
        <v>No</v>
      </c>
      <c r="EV144" s="58" t="str">
        <f t="shared" si="216"/>
        <v>Overall survival</v>
      </c>
      <c r="EW144" s="58">
        <f t="shared" si="217"/>
        <v>0</v>
      </c>
      <c r="EX144" s="58">
        <f t="shared" si="218"/>
        <v>0</v>
      </c>
      <c r="EZ144" s="58">
        <f t="shared" si="219"/>
        <v>2</v>
      </c>
      <c r="FA144" s="58">
        <f t="shared" si="220"/>
        <v>1</v>
      </c>
      <c r="FB144" s="58">
        <f>IF(i_eff_inputs_based_on_num=2,ED144,(INDEX(Lists!$L$51:$L$85,MATCH(O144,Lists!$K$51:$K$85,0))))</f>
        <v>7</v>
      </c>
      <c r="FC144" s="58">
        <f>IF(i_eff_inputs_based_on_num=2,EE144,(INDEX(Lists!$L$51:$L$85,MATCH(P144,Lists!$K$51:$K$85,0))))</f>
        <v>2</v>
      </c>
      <c r="FD144" s="58">
        <f>IF(i_eff_inputs_based_on_num=2,EF144,(INDEX(Lists!$L$51:$L$85,MATCH(Q144,Lists!$K$51:$K$85,0))))</f>
        <v>0</v>
      </c>
      <c r="FG144" s="58" t="str">
        <f t="shared" si="221"/>
        <v>No</v>
      </c>
      <c r="FH144" s="58" t="str">
        <f t="shared" si="222"/>
        <v>Overall survival</v>
      </c>
      <c r="FI144" s="58">
        <f t="shared" si="223"/>
        <v>0</v>
      </c>
      <c r="FJ144" s="58">
        <f t="shared" si="224"/>
        <v>0</v>
      </c>
      <c r="FL144" s="58">
        <f t="shared" si="225"/>
        <v>2</v>
      </c>
      <c r="FM144" s="58">
        <f t="shared" si="226"/>
        <v>1</v>
      </c>
      <c r="FN144" s="58">
        <f>IF(i_eff_inputs_based_on_num=2,EP144,(INDEX(Lists!$L$51:$L$85,MATCH(O144,Lists!$K$51:$K$85,0))))</f>
        <v>7</v>
      </c>
      <c r="FO144" s="58">
        <f>IF(i_eff_inputs_based_on_num=2,EQ144,(INDEX(Lists!$L$51:$L$85,MATCH(P144,Lists!$K$51:$K$85,0))))</f>
        <v>0</v>
      </c>
      <c r="FP144" s="58">
        <f>IF(i_eff_inputs_based_on_num=2,ER144,(INDEX(Lists!$L$51:$L$85,MATCH(Q144,Lists!$K$51:$K$85,0))))</f>
        <v>0</v>
      </c>
      <c r="FT144" s="58">
        <f t="shared" si="236"/>
        <v>0</v>
      </c>
      <c r="FW144" s="58">
        <f>IF(i_baseline_risk_from=2,'Effectiveness settings'!EW144,'Effectiveness settings'!FI144)</f>
        <v>0</v>
      </c>
      <c r="FX144" s="58">
        <f t="shared" si="237"/>
        <v>0</v>
      </c>
      <c r="FY144" s="58">
        <f t="shared" si="238"/>
        <v>0</v>
      </c>
      <c r="FZ144" s="58">
        <f t="shared" si="239"/>
        <v>0</v>
      </c>
      <c r="GA144" s="58">
        <f t="shared" si="240"/>
        <v>0</v>
      </c>
      <c r="GB144" s="58">
        <f t="shared" si="241"/>
        <v>0</v>
      </c>
      <c r="GC144" s="58">
        <f t="shared" si="242"/>
        <v>0</v>
      </c>
      <c r="GD144" s="58">
        <f t="shared" si="243"/>
        <v>0</v>
      </c>
      <c r="GE144" s="58">
        <f>IF(AND(dd_CheckMate214_TTD="Yes",'Effectiveness settings'!BU144=2,'Effectiveness settings'!BX144=2),"Apply HR to",GD144)</f>
        <v>0</v>
      </c>
      <c r="GF144" s="58">
        <f t="shared" si="244"/>
        <v>0</v>
      </c>
      <c r="GG144" s="58">
        <f t="shared" si="245"/>
        <v>0</v>
      </c>
      <c r="GH144" s="58">
        <f t="shared" si="246"/>
        <v>0</v>
      </c>
      <c r="GI144" s="58">
        <f t="shared" si="199"/>
        <v>0</v>
      </c>
      <c r="GK144" s="58">
        <f>IF(i_baseline_risk_from=2,'Effectiveness settings'!FA144,'Effectiveness settings'!FM144)</f>
        <v>1</v>
      </c>
      <c r="GL144" s="58">
        <f>IF(i_baseline_risk_from=2,'Effectiveness settings'!FB144,'Effectiveness settings'!FN144)</f>
        <v>7</v>
      </c>
      <c r="GM144" s="58">
        <f>IF(i_baseline_risk_from=2,'Effectiveness settings'!FC144,'Effectiveness settings'!FO144)</f>
        <v>2</v>
      </c>
      <c r="GN144" s="58">
        <f>IF(i_baseline_risk_from=2,'Effectiveness settings'!FD144,'Effectiveness settings'!FP144)</f>
        <v>0</v>
      </c>
      <c r="GQ144" s="58">
        <f t="shared" si="247"/>
        <v>7</v>
      </c>
      <c r="GR144" s="58">
        <f t="shared" si="248"/>
        <v>7</v>
      </c>
      <c r="GS144" s="58">
        <f t="shared" si="249"/>
        <v>7</v>
      </c>
      <c r="GT144" s="58">
        <f t="shared" si="250"/>
        <v>7</v>
      </c>
      <c r="GU144" s="58">
        <f>IF(AND(dd_CheckMate214_TTD="Yes",'Effectiveness settings'!BU144=2,'Effectiveness settings'!BX144=2),2,GT144)</f>
        <v>7</v>
      </c>
      <c r="GV144" s="58">
        <f t="shared" si="251"/>
        <v>7</v>
      </c>
      <c r="GW144" s="58">
        <f t="shared" si="252"/>
        <v>7</v>
      </c>
      <c r="GY144" s="58">
        <f>IF(AND(dd_CheckMate214_TTD="Yes",'Effectiveness settings'!BU144=2,'Effectiveness settings'!BX144=2),1,GN144)</f>
        <v>0</v>
      </c>
      <c r="GZ144" s="58">
        <f t="shared" si="253"/>
        <v>0</v>
      </c>
      <c r="HB144" s="58">
        <f t="shared" si="254"/>
        <v>2</v>
      </c>
      <c r="HD144" s="58">
        <f t="shared" si="227"/>
        <v>2</v>
      </c>
      <c r="HE144" s="58">
        <f t="shared" si="228"/>
        <v>1</v>
      </c>
      <c r="HF144" s="58">
        <f t="shared" si="229"/>
        <v>7</v>
      </c>
      <c r="HG144" s="58">
        <f t="shared" si="230"/>
        <v>2</v>
      </c>
      <c r="HH144" s="58">
        <f t="shared" si="231"/>
        <v>0</v>
      </c>
    </row>
    <row r="145" spans="4:216" ht="15.75" x14ac:dyDescent="0.25">
      <c r="D145" s="58" t="str">
        <v>everolimus</v>
      </c>
      <c r="I145" s="64" t="s">
        <v>58</v>
      </c>
      <c r="J145" s="519" t="s">
        <v>544</v>
      </c>
      <c r="K145" s="524"/>
      <c r="L145" s="519"/>
      <c r="M145" s="516" t="s">
        <v>559</v>
      </c>
      <c r="N145" s="64" t="s">
        <v>546</v>
      </c>
      <c r="O145" s="64" t="s">
        <v>117</v>
      </c>
      <c r="P145" s="64" t="s">
        <v>547</v>
      </c>
      <c r="Q145" s="519" t="s">
        <v>544</v>
      </c>
      <c r="R145" s="516" t="s">
        <v>548</v>
      </c>
      <c r="S145" s="497"/>
      <c r="T145" s="497"/>
      <c r="U145" s="497"/>
      <c r="Y145" s="517"/>
      <c r="AA145" s="517"/>
      <c r="AF145" s="517"/>
      <c r="AM145" s="517"/>
      <c r="AO145" s="517"/>
      <c r="AT145" s="517"/>
      <c r="AV145" s="511"/>
      <c r="AW145" s="511"/>
      <c r="AX145" s="511"/>
      <c r="BA145" s="517"/>
      <c r="BC145" s="517"/>
      <c r="BH145" s="517"/>
      <c r="BJ145" s="511"/>
      <c r="BK145" s="511"/>
      <c r="BL145" s="511"/>
      <c r="BQ145" s="58">
        <f t="shared" si="234"/>
        <v>81</v>
      </c>
      <c r="BR145" s="17">
        <v>2</v>
      </c>
      <c r="BS145" s="17" t="s">
        <v>559</v>
      </c>
      <c r="BT145" s="17">
        <v>1</v>
      </c>
      <c r="BU145" s="17">
        <v>10</v>
      </c>
      <c r="BV145" s="17" t="str">
        <f t="shared" si="203"/>
        <v>everolimus</v>
      </c>
      <c r="BW145" s="1006" t="str" cm="1">
        <f t="array" ref="BW145">IF(I145="No",I145,INDEX(List_incl_anal_1L_fav,IF(BU145=999,35,BU145+1)))</f>
        <v>No</v>
      </c>
      <c r="BX145" s="61">
        <f t="shared" si="204"/>
        <v>0</v>
      </c>
      <c r="BY145" s="531" t="str">
        <f t="shared" si="232"/>
        <v>Overall survival</v>
      </c>
      <c r="BZ145" s="530">
        <f t="shared" si="205"/>
        <v>0</v>
      </c>
      <c r="CA145" s="531">
        <f t="shared" si="233"/>
        <v>0</v>
      </c>
      <c r="CB145" s="530">
        <f t="shared" si="206"/>
        <v>2</v>
      </c>
      <c r="CC145" s="530">
        <f t="shared" si="207"/>
        <v>1</v>
      </c>
      <c r="CD145" s="530">
        <f t="shared" si="208"/>
        <v>7</v>
      </c>
      <c r="CE145" s="1295">
        <f t="shared" si="209"/>
        <v>2</v>
      </c>
      <c r="CF145" s="1301">
        <f t="shared" si="210"/>
        <v>0</v>
      </c>
      <c r="CG145" s="530" t="str">
        <f t="shared" si="211"/>
        <v>Exponential</v>
      </c>
      <c r="CH145" s="61">
        <f t="shared" si="212"/>
        <v>0</v>
      </c>
      <c r="CI145" s="61">
        <f t="shared" si="213"/>
        <v>0</v>
      </c>
      <c r="CJ145" s="61">
        <f t="shared" si="214"/>
        <v>0</v>
      </c>
      <c r="DA145" s="1024"/>
      <c r="DB145" s="1024"/>
      <c r="DC145" s="1024"/>
      <c r="DD145" s="1024"/>
      <c r="DE145" s="1024"/>
      <c r="DF145" s="1024"/>
      <c r="DG145" s="1024"/>
      <c r="DK145" s="58" t="str" cm="1">
        <f t="array" ref="DK145">IF(AND($BT145=4,$BX145=4,$BU145=999),$DB$36,_xlfn.IFNA(INDEX(DB$13:DB$70,MATCH(1,($BR145=$CV$13:$CV$70)*($BT145=$CX$13:$CX$70)*($CE145=$CY$13:$CY$70)*($BY145=$DA$13:$DA$70)*($CD145=$DH$13:$DH$70),0)),""))</f>
        <v>Exponential</v>
      </c>
      <c r="DL145" s="58" t="str" cm="1">
        <f t="array" ref="DL145">IF(AND($BT145=4,$BX145=4,$BU145=999),$DC$36,_xlfn.IFNA(INDEX(CHOOSE(DP145,DB$13:DB$70,DC$13:DC$70,DD$13:DD$70,DE$13:DE$70),MATCH(1,($BR145=$CV$13:$CV$70)*($BT145=$CX$13:$CX$70)*($CE145=$CY$13:$CY$70)*($BY145=$DA$13:$DA$70)*($CD145=$DH$13:$DH$70),0)),""))</f>
        <v>Exponential</v>
      </c>
      <c r="DM145" s="740" cm="1">
        <f t="array" ref="DM145">IF(AND($BT145=4,$BX145=4,$BU145=999),$DD$36,_xlfn.IFNA(INDEX(DD$13:DD$68,MATCH(1,($BR145=$CV$13:$CV$68)*($BT145=$CX$13:$CX$68)*($CE145=$CY$13:$CY$68)*($BY145=$DA$13:$DA$68)*($CD145=$DH$13:$DH$68),0)),""))</f>
        <v>0</v>
      </c>
      <c r="DN145" s="740" cm="1">
        <f t="array" ref="DN145">IF(AND($BT145=4,$BX145=4,$BU145=999),$DD$36,_xlfn.IFNA(INDEX(DE$13:DE$68,MATCH(1,($BR145=$CV$13:$CV$68)*($BT145=$CX$13:$CX$68)*($CE145=$CY$13:$CY$68)*($BY145=$DA$13:$DA$68)*($CD145=$DH$13:$DH$68),0)),""))</f>
        <v>0</v>
      </c>
      <c r="DO145" s="58" t="str" cm="1">
        <f t="array" ref="DO145">IF(AND($BT145=4,$BX145=4,$BU145=999),$DF$36,_xlfn.IFNA(INDEX(DF$13:DF$70,MATCH(1,($BR145=$CV$13:$CV$70)*($BT145=$CX$13:$CX$70)*($CE145=$CY$13:$CY$70)*($BY145=$DA$13:$DA$70)*($CD145=$DH$13:$DH$70),0)),""))</f>
        <v>Base case</v>
      </c>
      <c r="DP145" s="58">
        <f t="shared" si="235"/>
        <v>1</v>
      </c>
      <c r="DW145" s="58" t="s">
        <v>58</v>
      </c>
      <c r="DX145" s="58" t="s">
        <v>544</v>
      </c>
      <c r="DY145" s="58">
        <v>0</v>
      </c>
      <c r="DZ145" s="58">
        <v>0</v>
      </c>
      <c r="EB145" s="58">
        <v>2</v>
      </c>
      <c r="EC145" s="58">
        <v>1</v>
      </c>
      <c r="ED145" s="58">
        <v>7</v>
      </c>
      <c r="EE145" s="58">
        <v>2</v>
      </c>
      <c r="EF145" s="58">
        <v>0</v>
      </c>
      <c r="EI145" s="58" t="s">
        <v>58</v>
      </c>
      <c r="EJ145" s="58" t="s">
        <v>544</v>
      </c>
      <c r="EK145" s="58">
        <v>0</v>
      </c>
      <c r="EL145" s="58">
        <v>0</v>
      </c>
      <c r="EN145" s="58">
        <v>2</v>
      </c>
      <c r="EO145" s="58">
        <v>1</v>
      </c>
      <c r="EP145" s="58">
        <v>7</v>
      </c>
      <c r="EQ145" s="58">
        <v>0</v>
      </c>
      <c r="ER145" s="58">
        <v>0</v>
      </c>
      <c r="EU145" s="58" t="str">
        <f t="shared" si="215"/>
        <v>No</v>
      </c>
      <c r="EV145" s="58" t="str">
        <f t="shared" si="216"/>
        <v>Overall survival</v>
      </c>
      <c r="EW145" s="58">
        <f t="shared" si="217"/>
        <v>0</v>
      </c>
      <c r="EX145" s="58">
        <f t="shared" si="218"/>
        <v>0</v>
      </c>
      <c r="EZ145" s="58">
        <f t="shared" si="219"/>
        <v>2</v>
      </c>
      <c r="FA145" s="58">
        <f t="shared" si="220"/>
        <v>1</v>
      </c>
      <c r="FB145" s="58">
        <f>IF(i_eff_inputs_based_on_num=2,ED145,(INDEX(Lists!$L$51:$L$85,MATCH(O145,Lists!$K$51:$K$85,0))))</f>
        <v>7</v>
      </c>
      <c r="FC145" s="58">
        <f>IF(i_eff_inputs_based_on_num=2,EE145,(INDEX(Lists!$L$51:$L$85,MATCH(P145,Lists!$K$51:$K$85,0))))</f>
        <v>2</v>
      </c>
      <c r="FD145" s="58">
        <f>IF(i_eff_inputs_based_on_num=2,EF145,(INDEX(Lists!$L$51:$L$85,MATCH(Q145,Lists!$K$51:$K$85,0))))</f>
        <v>0</v>
      </c>
      <c r="FG145" s="58" t="str">
        <f t="shared" si="221"/>
        <v>No</v>
      </c>
      <c r="FH145" s="58" t="str">
        <f t="shared" si="222"/>
        <v>Overall survival</v>
      </c>
      <c r="FI145" s="58">
        <f t="shared" si="223"/>
        <v>0</v>
      </c>
      <c r="FJ145" s="58">
        <f t="shared" si="224"/>
        <v>0</v>
      </c>
      <c r="FL145" s="58">
        <f t="shared" si="225"/>
        <v>2</v>
      </c>
      <c r="FM145" s="58">
        <f t="shared" si="226"/>
        <v>1</v>
      </c>
      <c r="FN145" s="58">
        <f>IF(i_eff_inputs_based_on_num=2,EP145,(INDEX(Lists!$L$51:$L$85,MATCH(O145,Lists!$K$51:$K$85,0))))</f>
        <v>7</v>
      </c>
      <c r="FO145" s="58">
        <f>IF(i_eff_inputs_based_on_num=2,EQ145,(INDEX(Lists!$L$51:$L$85,MATCH(P145,Lists!$K$51:$K$85,0))))</f>
        <v>0</v>
      </c>
      <c r="FP145" s="58">
        <f>IF(i_eff_inputs_based_on_num=2,ER145,(INDEX(Lists!$L$51:$L$85,MATCH(Q145,Lists!$K$51:$K$85,0))))</f>
        <v>0</v>
      </c>
      <c r="FT145" s="58">
        <f t="shared" si="236"/>
        <v>0</v>
      </c>
      <c r="FW145" s="58">
        <f>IF(i_baseline_risk_from=2,'Effectiveness settings'!EW145,'Effectiveness settings'!FI145)</f>
        <v>0</v>
      </c>
      <c r="FX145" s="58">
        <f t="shared" si="237"/>
        <v>0</v>
      </c>
      <c r="FY145" s="58">
        <f t="shared" si="238"/>
        <v>0</v>
      </c>
      <c r="FZ145" s="58">
        <f t="shared" si="239"/>
        <v>0</v>
      </c>
      <c r="GA145" s="58">
        <f t="shared" si="240"/>
        <v>0</v>
      </c>
      <c r="GB145" s="58">
        <f t="shared" si="241"/>
        <v>0</v>
      </c>
      <c r="GC145" s="58">
        <f t="shared" si="242"/>
        <v>0</v>
      </c>
      <c r="GD145" s="58">
        <f t="shared" si="243"/>
        <v>0</v>
      </c>
      <c r="GE145" s="58">
        <f>IF(AND(dd_CheckMate214_TTD="Yes",'Effectiveness settings'!BU145=2,'Effectiveness settings'!BX145=2),"Apply HR to",GD145)</f>
        <v>0</v>
      </c>
      <c r="GF145" s="58">
        <f t="shared" si="244"/>
        <v>0</v>
      </c>
      <c r="GG145" s="58">
        <f t="shared" si="245"/>
        <v>0</v>
      </c>
      <c r="GH145" s="58">
        <f t="shared" si="246"/>
        <v>0</v>
      </c>
      <c r="GI145" s="58">
        <f t="shared" si="199"/>
        <v>0</v>
      </c>
      <c r="GK145" s="58">
        <f>IF(i_baseline_risk_from=2,'Effectiveness settings'!FA145,'Effectiveness settings'!FM145)</f>
        <v>1</v>
      </c>
      <c r="GL145" s="58">
        <f>IF(i_baseline_risk_from=2,'Effectiveness settings'!FB145,'Effectiveness settings'!FN145)</f>
        <v>7</v>
      </c>
      <c r="GM145" s="58">
        <f>IF(i_baseline_risk_from=2,'Effectiveness settings'!FC145,'Effectiveness settings'!FO145)</f>
        <v>2</v>
      </c>
      <c r="GN145" s="58">
        <f>IF(i_baseline_risk_from=2,'Effectiveness settings'!FD145,'Effectiveness settings'!FP145)</f>
        <v>0</v>
      </c>
      <c r="GQ145" s="58">
        <f t="shared" si="247"/>
        <v>7</v>
      </c>
      <c r="GR145" s="58">
        <f t="shared" si="248"/>
        <v>7</v>
      </c>
      <c r="GS145" s="58">
        <f t="shared" si="249"/>
        <v>7</v>
      </c>
      <c r="GT145" s="58">
        <f t="shared" si="250"/>
        <v>7</v>
      </c>
      <c r="GU145" s="58">
        <f>IF(AND(dd_CheckMate214_TTD="Yes",'Effectiveness settings'!BU145=2,'Effectiveness settings'!BX145=2),2,GT145)</f>
        <v>7</v>
      </c>
      <c r="GV145" s="58">
        <f t="shared" si="251"/>
        <v>7</v>
      </c>
      <c r="GW145" s="58">
        <f t="shared" si="252"/>
        <v>7</v>
      </c>
      <c r="GY145" s="58">
        <f>IF(AND(dd_CheckMate214_TTD="Yes",'Effectiveness settings'!BU145=2,'Effectiveness settings'!BX145=2),1,GN145)</f>
        <v>0</v>
      </c>
      <c r="GZ145" s="58">
        <f t="shared" si="253"/>
        <v>0</v>
      </c>
      <c r="HB145" s="58">
        <f t="shared" si="254"/>
        <v>2</v>
      </c>
      <c r="HD145" s="58">
        <f t="shared" si="227"/>
        <v>2</v>
      </c>
      <c r="HE145" s="58">
        <f t="shared" si="228"/>
        <v>1</v>
      </c>
      <c r="HF145" s="58">
        <f t="shared" si="229"/>
        <v>7</v>
      </c>
      <c r="HG145" s="58">
        <f t="shared" si="230"/>
        <v>2</v>
      </c>
      <c r="HH145" s="58">
        <f t="shared" si="231"/>
        <v>0</v>
      </c>
    </row>
    <row r="146" spans="4:216" ht="15.75" x14ac:dyDescent="0.25">
      <c r="D146" s="58" t="str">
        <v>axitinib</v>
      </c>
      <c r="I146" s="64" t="s">
        <v>58</v>
      </c>
      <c r="J146" s="519" t="s">
        <v>544</v>
      </c>
      <c r="K146" s="524"/>
      <c r="L146" s="519"/>
      <c r="M146" s="516" t="s">
        <v>559</v>
      </c>
      <c r="N146" s="64" t="s">
        <v>546</v>
      </c>
      <c r="O146" s="64" t="s">
        <v>117</v>
      </c>
      <c r="P146" s="64" t="s">
        <v>547</v>
      </c>
      <c r="Q146" s="519" t="s">
        <v>544</v>
      </c>
      <c r="R146" s="516" t="s">
        <v>548</v>
      </c>
      <c r="S146" s="497"/>
      <c r="T146" s="497"/>
      <c r="U146" s="497"/>
      <c r="Y146" s="517"/>
      <c r="AA146" s="517"/>
      <c r="AF146" s="517"/>
      <c r="AM146" s="517"/>
      <c r="AO146" s="517"/>
      <c r="AT146" s="517"/>
      <c r="AV146" s="511"/>
      <c r="AW146" s="511"/>
      <c r="AX146" s="511"/>
      <c r="BA146" s="517"/>
      <c r="BC146" s="517"/>
      <c r="BH146" s="517"/>
      <c r="BJ146" s="511"/>
      <c r="BK146" s="511"/>
      <c r="BL146" s="511"/>
      <c r="BQ146" s="58">
        <f t="shared" si="234"/>
        <v>82</v>
      </c>
      <c r="BR146" s="17">
        <v>2</v>
      </c>
      <c r="BS146" s="17" t="s">
        <v>559</v>
      </c>
      <c r="BT146" s="17">
        <v>1</v>
      </c>
      <c r="BU146" s="17">
        <v>11</v>
      </c>
      <c r="BV146" s="17" t="str">
        <f t="shared" si="203"/>
        <v>axitinib</v>
      </c>
      <c r="BW146" s="1006" t="str" cm="1">
        <f t="array" ref="BW146">IF(I146="No",I146,INDEX(List_incl_anal_1L_fav,IF(BU146=999,35,BU146+1)))</f>
        <v>No</v>
      </c>
      <c r="BX146" s="61">
        <f t="shared" si="204"/>
        <v>0</v>
      </c>
      <c r="BY146" s="531" t="str">
        <f t="shared" si="232"/>
        <v>Overall survival</v>
      </c>
      <c r="BZ146" s="530">
        <f t="shared" si="205"/>
        <v>0</v>
      </c>
      <c r="CA146" s="531">
        <f t="shared" si="233"/>
        <v>0</v>
      </c>
      <c r="CB146" s="530">
        <f t="shared" si="206"/>
        <v>2</v>
      </c>
      <c r="CC146" s="530">
        <f t="shared" si="207"/>
        <v>1</v>
      </c>
      <c r="CD146" s="530">
        <f t="shared" si="208"/>
        <v>7</v>
      </c>
      <c r="CE146" s="1295">
        <f t="shared" si="209"/>
        <v>2</v>
      </c>
      <c r="CF146" s="1301">
        <f t="shared" si="210"/>
        <v>0</v>
      </c>
      <c r="CG146" s="530" t="str">
        <f t="shared" si="211"/>
        <v>Exponential</v>
      </c>
      <c r="CH146" s="61">
        <f t="shared" si="212"/>
        <v>0</v>
      </c>
      <c r="CI146" s="61">
        <f t="shared" si="213"/>
        <v>0</v>
      </c>
      <c r="CJ146" s="61">
        <f t="shared" si="214"/>
        <v>0</v>
      </c>
      <c r="DA146" s="1024"/>
      <c r="DB146" s="1024"/>
      <c r="DC146" s="1024"/>
      <c r="DD146" s="1024"/>
      <c r="DE146" s="1024"/>
      <c r="DF146" s="1024"/>
      <c r="DG146" s="1024"/>
      <c r="DK146" s="58" t="str" cm="1">
        <f t="array" ref="DK146">IF(AND($BT146=4,$BX146=4,$BU146=999),$DB$36,_xlfn.IFNA(INDEX(DB$13:DB$70,MATCH(1,($BR146=$CV$13:$CV$70)*($BT146=$CX$13:$CX$70)*($CE146=$CY$13:$CY$70)*($BY146=$DA$13:$DA$70)*($CD146=$DH$13:$DH$70),0)),""))</f>
        <v>Exponential</v>
      </c>
      <c r="DL146" s="58" t="str" cm="1">
        <f t="array" ref="DL146">IF(AND($BT146=4,$BX146=4,$BU146=999),$DC$36,_xlfn.IFNA(INDEX(CHOOSE(DP146,DB$13:DB$70,DC$13:DC$70,DD$13:DD$70,DE$13:DE$70),MATCH(1,($BR146=$CV$13:$CV$70)*($BT146=$CX$13:$CX$70)*($CE146=$CY$13:$CY$70)*($BY146=$DA$13:$DA$70)*($CD146=$DH$13:$DH$70),0)),""))</f>
        <v>Exponential</v>
      </c>
      <c r="DM146" s="740" cm="1">
        <f t="array" ref="DM146">IF(AND($BT146=4,$BX146=4,$BU146=999),$DD$36,_xlfn.IFNA(INDEX(DD$13:DD$68,MATCH(1,($BR146=$CV$13:$CV$68)*($BT146=$CX$13:$CX$68)*($CE146=$CY$13:$CY$68)*($BY146=$DA$13:$DA$68)*($CD146=$DH$13:$DH$68),0)),""))</f>
        <v>0</v>
      </c>
      <c r="DN146" s="740" cm="1">
        <f t="array" ref="DN146">IF(AND($BT146=4,$BX146=4,$BU146=999),$DD$36,_xlfn.IFNA(INDEX(DE$13:DE$68,MATCH(1,($BR146=$CV$13:$CV$68)*($BT146=$CX$13:$CX$68)*($CE146=$CY$13:$CY$68)*($BY146=$DA$13:$DA$68)*($CD146=$DH$13:$DH$68),0)),""))</f>
        <v>0</v>
      </c>
      <c r="DO146" s="58" t="str" cm="1">
        <f t="array" ref="DO146">IF(AND($BT146=4,$BX146=4,$BU146=999),$DF$36,_xlfn.IFNA(INDEX(DF$13:DF$70,MATCH(1,($BR146=$CV$13:$CV$70)*($BT146=$CX$13:$CX$70)*($CE146=$CY$13:$CY$70)*($BY146=$DA$13:$DA$70)*($CD146=$DH$13:$DH$70),0)),""))</f>
        <v>Base case</v>
      </c>
      <c r="DP146" s="58">
        <f t="shared" si="235"/>
        <v>1</v>
      </c>
      <c r="DW146" s="58" t="s">
        <v>58</v>
      </c>
      <c r="DX146" s="58" t="s">
        <v>544</v>
      </c>
      <c r="DY146" s="58">
        <v>0</v>
      </c>
      <c r="DZ146" s="58">
        <v>0</v>
      </c>
      <c r="EB146" s="58">
        <v>2</v>
      </c>
      <c r="EC146" s="58">
        <v>1</v>
      </c>
      <c r="ED146" s="58">
        <v>7</v>
      </c>
      <c r="EE146" s="58">
        <v>2</v>
      </c>
      <c r="EF146" s="58">
        <v>0</v>
      </c>
      <c r="EI146" s="58" t="s">
        <v>58</v>
      </c>
      <c r="EJ146" s="58" t="s">
        <v>544</v>
      </c>
      <c r="EK146" s="58">
        <v>0</v>
      </c>
      <c r="EL146" s="58">
        <v>0</v>
      </c>
      <c r="EN146" s="58">
        <v>2</v>
      </c>
      <c r="EO146" s="58">
        <v>1</v>
      </c>
      <c r="EP146" s="58">
        <v>7</v>
      </c>
      <c r="EQ146" s="58">
        <v>0</v>
      </c>
      <c r="ER146" s="58">
        <v>0</v>
      </c>
      <c r="EU146" s="58" t="str">
        <f t="shared" si="215"/>
        <v>No</v>
      </c>
      <c r="EV146" s="58" t="str">
        <f t="shared" si="216"/>
        <v>Overall survival</v>
      </c>
      <c r="EW146" s="58">
        <f t="shared" si="217"/>
        <v>0</v>
      </c>
      <c r="EX146" s="58">
        <f t="shared" si="218"/>
        <v>0</v>
      </c>
      <c r="EZ146" s="58">
        <f t="shared" si="219"/>
        <v>2</v>
      </c>
      <c r="FA146" s="58">
        <f t="shared" si="220"/>
        <v>1</v>
      </c>
      <c r="FB146" s="58">
        <f>IF(i_eff_inputs_based_on_num=2,ED146,(INDEX(Lists!$L$51:$L$85,MATCH(O146,Lists!$K$51:$K$85,0))))</f>
        <v>7</v>
      </c>
      <c r="FC146" s="58">
        <f>IF(i_eff_inputs_based_on_num=2,EE146,(INDEX(Lists!$L$51:$L$85,MATCH(P146,Lists!$K$51:$K$85,0))))</f>
        <v>2</v>
      </c>
      <c r="FD146" s="58">
        <f>IF(i_eff_inputs_based_on_num=2,EF146,(INDEX(Lists!$L$51:$L$85,MATCH(Q146,Lists!$K$51:$K$85,0))))</f>
        <v>0</v>
      </c>
      <c r="FG146" s="58" t="str">
        <f t="shared" si="221"/>
        <v>No</v>
      </c>
      <c r="FH146" s="58" t="str">
        <f t="shared" si="222"/>
        <v>Overall survival</v>
      </c>
      <c r="FI146" s="58">
        <f t="shared" si="223"/>
        <v>0</v>
      </c>
      <c r="FJ146" s="58">
        <f t="shared" si="224"/>
        <v>0</v>
      </c>
      <c r="FL146" s="58">
        <f t="shared" si="225"/>
        <v>2</v>
      </c>
      <c r="FM146" s="58">
        <f t="shared" si="226"/>
        <v>1</v>
      </c>
      <c r="FN146" s="58">
        <f>IF(i_eff_inputs_based_on_num=2,EP146,(INDEX(Lists!$L$51:$L$85,MATCH(O146,Lists!$K$51:$K$85,0))))</f>
        <v>7</v>
      </c>
      <c r="FO146" s="58">
        <f>IF(i_eff_inputs_based_on_num=2,EQ146,(INDEX(Lists!$L$51:$L$85,MATCH(P146,Lists!$K$51:$K$85,0))))</f>
        <v>0</v>
      </c>
      <c r="FP146" s="58">
        <f>IF(i_eff_inputs_based_on_num=2,ER146,(INDEX(Lists!$L$51:$L$85,MATCH(Q146,Lists!$K$51:$K$85,0))))</f>
        <v>0</v>
      </c>
      <c r="FT146" s="58">
        <f t="shared" si="236"/>
        <v>0</v>
      </c>
      <c r="FW146" s="58">
        <f>IF(i_baseline_risk_from=2,'Effectiveness settings'!EW146,'Effectiveness settings'!FI146)</f>
        <v>0</v>
      </c>
      <c r="FX146" s="58">
        <f t="shared" si="237"/>
        <v>0</v>
      </c>
      <c r="FY146" s="58">
        <f t="shared" si="238"/>
        <v>0</v>
      </c>
      <c r="FZ146" s="58">
        <f t="shared" si="239"/>
        <v>0</v>
      </c>
      <c r="GA146" s="58">
        <f t="shared" si="240"/>
        <v>0</v>
      </c>
      <c r="GB146" s="58">
        <f t="shared" si="241"/>
        <v>0</v>
      </c>
      <c r="GC146" s="58">
        <f t="shared" si="242"/>
        <v>0</v>
      </c>
      <c r="GD146" s="58">
        <f t="shared" si="243"/>
        <v>0</v>
      </c>
      <c r="GE146" s="58">
        <f>IF(AND(dd_CheckMate214_TTD="Yes",'Effectiveness settings'!BU146=2,'Effectiveness settings'!BX146=2),"Apply HR to",GD146)</f>
        <v>0</v>
      </c>
      <c r="GF146" s="58">
        <f t="shared" si="244"/>
        <v>0</v>
      </c>
      <c r="GG146" s="58">
        <f t="shared" si="245"/>
        <v>0</v>
      </c>
      <c r="GH146" s="58">
        <f t="shared" si="246"/>
        <v>0</v>
      </c>
      <c r="GI146" s="58">
        <f t="shared" si="199"/>
        <v>0</v>
      </c>
      <c r="GK146" s="58">
        <f>IF(i_baseline_risk_from=2,'Effectiveness settings'!FA146,'Effectiveness settings'!FM146)</f>
        <v>1</v>
      </c>
      <c r="GL146" s="58">
        <f>IF(i_baseline_risk_from=2,'Effectiveness settings'!FB146,'Effectiveness settings'!FN146)</f>
        <v>7</v>
      </c>
      <c r="GM146" s="58">
        <f>IF(i_baseline_risk_from=2,'Effectiveness settings'!FC146,'Effectiveness settings'!FO146)</f>
        <v>2</v>
      </c>
      <c r="GN146" s="58">
        <f>IF(i_baseline_risk_from=2,'Effectiveness settings'!FD146,'Effectiveness settings'!FP146)</f>
        <v>0</v>
      </c>
      <c r="GQ146" s="58">
        <f t="shared" si="247"/>
        <v>7</v>
      </c>
      <c r="GR146" s="58">
        <f t="shared" si="248"/>
        <v>7</v>
      </c>
      <c r="GS146" s="58">
        <f t="shared" si="249"/>
        <v>7</v>
      </c>
      <c r="GT146" s="58">
        <f t="shared" si="250"/>
        <v>7</v>
      </c>
      <c r="GU146" s="58">
        <f>IF(AND(dd_CheckMate214_TTD="Yes",'Effectiveness settings'!BU146=2,'Effectiveness settings'!BX146=2),2,GT146)</f>
        <v>7</v>
      </c>
      <c r="GV146" s="58">
        <f t="shared" si="251"/>
        <v>7</v>
      </c>
      <c r="GW146" s="58">
        <f t="shared" si="252"/>
        <v>7</v>
      </c>
      <c r="GY146" s="58">
        <f>IF(AND(dd_CheckMate214_TTD="Yes",'Effectiveness settings'!BU146=2,'Effectiveness settings'!BX146=2),1,GN146)</f>
        <v>0</v>
      </c>
      <c r="GZ146" s="58">
        <f t="shared" si="253"/>
        <v>0</v>
      </c>
      <c r="HB146" s="58">
        <f t="shared" si="254"/>
        <v>2</v>
      </c>
      <c r="HD146" s="58">
        <f t="shared" si="227"/>
        <v>2</v>
      </c>
      <c r="HE146" s="58">
        <f t="shared" si="228"/>
        <v>1</v>
      </c>
      <c r="HF146" s="58">
        <f t="shared" si="229"/>
        <v>7</v>
      </c>
      <c r="HG146" s="58">
        <f t="shared" si="230"/>
        <v>2</v>
      </c>
      <c r="HH146" s="58">
        <f t="shared" si="231"/>
        <v>0</v>
      </c>
    </row>
    <row r="147" spans="4:216" ht="15.75" x14ac:dyDescent="0.25">
      <c r="D147" s="58" t="str">
        <v>sorafenib</v>
      </c>
      <c r="I147" s="64" t="s">
        <v>58</v>
      </c>
      <c r="J147" s="519" t="s">
        <v>544</v>
      </c>
      <c r="K147" s="524"/>
      <c r="L147" s="519"/>
      <c r="M147" s="516" t="s">
        <v>559</v>
      </c>
      <c r="N147" s="64" t="s">
        <v>546</v>
      </c>
      <c r="O147" s="64" t="s">
        <v>117</v>
      </c>
      <c r="P147" s="64" t="s">
        <v>547</v>
      </c>
      <c r="Q147" s="519" t="s">
        <v>544</v>
      </c>
      <c r="R147" s="516" t="s">
        <v>548</v>
      </c>
      <c r="S147" s="497"/>
      <c r="T147" s="497"/>
      <c r="U147" s="497"/>
      <c r="Y147" s="517"/>
      <c r="AA147" s="517"/>
      <c r="AF147" s="517"/>
      <c r="AM147" s="517"/>
      <c r="AO147" s="517"/>
      <c r="AT147" s="517"/>
      <c r="AV147" s="511"/>
      <c r="AW147" s="511"/>
      <c r="AX147" s="511"/>
      <c r="BA147" s="517"/>
      <c r="BC147" s="517"/>
      <c r="BH147" s="517"/>
      <c r="BJ147" s="511"/>
      <c r="BK147" s="511"/>
      <c r="BL147" s="511"/>
      <c r="BQ147" s="58">
        <f t="shared" si="234"/>
        <v>83</v>
      </c>
      <c r="BR147" s="17">
        <v>2</v>
      </c>
      <c r="BS147" s="17" t="s">
        <v>559</v>
      </c>
      <c r="BT147" s="17">
        <v>1</v>
      </c>
      <c r="BU147" s="17">
        <v>12</v>
      </c>
      <c r="BV147" s="17" t="str">
        <f t="shared" si="203"/>
        <v>sorafenib</v>
      </c>
      <c r="BW147" s="1006" t="str" cm="1">
        <f t="array" ref="BW147">IF(I147="No",I147,INDEX(List_incl_anal_1L_fav,IF(BU147=999,35,BU147+1)))</f>
        <v>No</v>
      </c>
      <c r="BX147" s="61">
        <f t="shared" si="204"/>
        <v>0</v>
      </c>
      <c r="BY147" s="531" t="str">
        <f t="shared" si="232"/>
        <v>Overall survival</v>
      </c>
      <c r="BZ147" s="530">
        <f t="shared" si="205"/>
        <v>0</v>
      </c>
      <c r="CA147" s="531">
        <f t="shared" si="233"/>
        <v>0</v>
      </c>
      <c r="CB147" s="530">
        <f t="shared" si="206"/>
        <v>2</v>
      </c>
      <c r="CC147" s="530">
        <f t="shared" si="207"/>
        <v>1</v>
      </c>
      <c r="CD147" s="530">
        <f t="shared" si="208"/>
        <v>7</v>
      </c>
      <c r="CE147" s="1295">
        <f t="shared" si="209"/>
        <v>2</v>
      </c>
      <c r="CF147" s="1301">
        <f t="shared" si="210"/>
        <v>0</v>
      </c>
      <c r="CG147" s="530" t="str">
        <f t="shared" si="211"/>
        <v>Exponential</v>
      </c>
      <c r="CH147" s="61">
        <f t="shared" si="212"/>
        <v>0</v>
      </c>
      <c r="CI147" s="61">
        <f t="shared" si="213"/>
        <v>0</v>
      </c>
      <c r="CJ147" s="61">
        <f t="shared" si="214"/>
        <v>0</v>
      </c>
      <c r="DA147" s="1024"/>
      <c r="DB147" s="1024"/>
      <c r="DC147" s="1024"/>
      <c r="DD147" s="1024"/>
      <c r="DE147" s="1024"/>
      <c r="DF147" s="1024"/>
      <c r="DG147" s="1024"/>
      <c r="DK147" s="58" t="str" cm="1">
        <f t="array" ref="DK147">IF(AND($BT147=4,$BX147=4,$BU147=999),$DB$36,_xlfn.IFNA(INDEX(DB$13:DB$70,MATCH(1,($BR147=$CV$13:$CV$70)*($BT147=$CX$13:$CX$70)*($CE147=$CY$13:$CY$70)*($BY147=$DA$13:$DA$70)*($CD147=$DH$13:$DH$70),0)),""))</f>
        <v>Exponential</v>
      </c>
      <c r="DL147" s="58" t="str" cm="1">
        <f t="array" ref="DL147">IF(AND($BT147=4,$BX147=4,$BU147=999),$DC$36,_xlfn.IFNA(INDEX(CHOOSE(DP147,DB$13:DB$70,DC$13:DC$70,DD$13:DD$70,DE$13:DE$70),MATCH(1,($BR147=$CV$13:$CV$70)*($BT147=$CX$13:$CX$70)*($CE147=$CY$13:$CY$70)*($BY147=$DA$13:$DA$70)*($CD147=$DH$13:$DH$70),0)),""))</f>
        <v>Exponential</v>
      </c>
      <c r="DM147" s="740" cm="1">
        <f t="array" ref="DM147">IF(AND($BT147=4,$BX147=4,$BU147=999),$DD$36,_xlfn.IFNA(INDEX(DD$13:DD$68,MATCH(1,($BR147=$CV$13:$CV$68)*($BT147=$CX$13:$CX$68)*($CE147=$CY$13:$CY$68)*($BY147=$DA$13:$DA$68)*($CD147=$DH$13:$DH$68),0)),""))</f>
        <v>0</v>
      </c>
      <c r="DN147" s="740" cm="1">
        <f t="array" ref="DN147">IF(AND($BT147=4,$BX147=4,$BU147=999),$DD$36,_xlfn.IFNA(INDEX(DE$13:DE$68,MATCH(1,($BR147=$CV$13:$CV$68)*($BT147=$CX$13:$CX$68)*($CE147=$CY$13:$CY$68)*($BY147=$DA$13:$DA$68)*($CD147=$DH$13:$DH$68),0)),""))</f>
        <v>0</v>
      </c>
      <c r="DO147" s="58" t="str" cm="1">
        <f t="array" ref="DO147">IF(AND($BT147=4,$BX147=4,$BU147=999),$DF$36,_xlfn.IFNA(INDEX(DF$13:DF$70,MATCH(1,($BR147=$CV$13:$CV$70)*($BT147=$CX$13:$CX$70)*($CE147=$CY$13:$CY$70)*($BY147=$DA$13:$DA$70)*($CD147=$DH$13:$DH$70),0)),""))</f>
        <v>Base case</v>
      </c>
      <c r="DP147" s="58">
        <f t="shared" si="235"/>
        <v>1</v>
      </c>
      <c r="DW147" s="58" t="s">
        <v>58</v>
      </c>
      <c r="DX147" s="58" t="s">
        <v>544</v>
      </c>
      <c r="DY147" s="58">
        <v>0</v>
      </c>
      <c r="DZ147" s="58">
        <v>0</v>
      </c>
      <c r="EB147" s="58">
        <v>2</v>
      </c>
      <c r="EC147" s="58">
        <v>1</v>
      </c>
      <c r="ED147" s="58">
        <v>7</v>
      </c>
      <c r="EE147" s="58">
        <v>2</v>
      </c>
      <c r="EF147" s="58">
        <v>0</v>
      </c>
      <c r="EI147" s="58" t="s">
        <v>58</v>
      </c>
      <c r="EJ147" s="58" t="s">
        <v>544</v>
      </c>
      <c r="EK147" s="58">
        <v>0</v>
      </c>
      <c r="EL147" s="58">
        <v>0</v>
      </c>
      <c r="EN147" s="58">
        <v>2</v>
      </c>
      <c r="EO147" s="58">
        <v>1</v>
      </c>
      <c r="EP147" s="58">
        <v>7</v>
      </c>
      <c r="EQ147" s="58">
        <v>0</v>
      </c>
      <c r="ER147" s="58">
        <v>0</v>
      </c>
      <c r="EU147" s="58" t="str">
        <f t="shared" si="215"/>
        <v>No</v>
      </c>
      <c r="EV147" s="58" t="str">
        <f t="shared" si="216"/>
        <v>Overall survival</v>
      </c>
      <c r="EW147" s="58">
        <f t="shared" si="217"/>
        <v>0</v>
      </c>
      <c r="EX147" s="58">
        <f t="shared" si="218"/>
        <v>0</v>
      </c>
      <c r="EZ147" s="58">
        <f t="shared" si="219"/>
        <v>2</v>
      </c>
      <c r="FA147" s="58">
        <f t="shared" si="220"/>
        <v>1</v>
      </c>
      <c r="FB147" s="58">
        <f>IF(i_eff_inputs_based_on_num=2,ED147,(INDEX(Lists!$L$51:$L$85,MATCH(O147,Lists!$K$51:$K$85,0))))</f>
        <v>7</v>
      </c>
      <c r="FC147" s="58">
        <f>IF(i_eff_inputs_based_on_num=2,EE147,(INDEX(Lists!$L$51:$L$85,MATCH(P147,Lists!$K$51:$K$85,0))))</f>
        <v>2</v>
      </c>
      <c r="FD147" s="58">
        <f>IF(i_eff_inputs_based_on_num=2,EF147,(INDEX(Lists!$L$51:$L$85,MATCH(Q147,Lists!$K$51:$K$85,0))))</f>
        <v>0</v>
      </c>
      <c r="FG147" s="58" t="str">
        <f t="shared" si="221"/>
        <v>No</v>
      </c>
      <c r="FH147" s="58" t="str">
        <f t="shared" si="222"/>
        <v>Overall survival</v>
      </c>
      <c r="FI147" s="58">
        <f t="shared" si="223"/>
        <v>0</v>
      </c>
      <c r="FJ147" s="58">
        <f t="shared" si="224"/>
        <v>0</v>
      </c>
      <c r="FL147" s="58">
        <f t="shared" si="225"/>
        <v>2</v>
      </c>
      <c r="FM147" s="58">
        <f t="shared" si="226"/>
        <v>1</v>
      </c>
      <c r="FN147" s="58">
        <f>IF(i_eff_inputs_based_on_num=2,EP147,(INDEX(Lists!$L$51:$L$85,MATCH(O147,Lists!$K$51:$K$85,0))))</f>
        <v>7</v>
      </c>
      <c r="FO147" s="58">
        <f>IF(i_eff_inputs_based_on_num=2,EQ147,(INDEX(Lists!$L$51:$L$85,MATCH(P147,Lists!$K$51:$K$85,0))))</f>
        <v>0</v>
      </c>
      <c r="FP147" s="58">
        <f>IF(i_eff_inputs_based_on_num=2,ER147,(INDEX(Lists!$L$51:$L$85,MATCH(Q147,Lists!$K$51:$K$85,0))))</f>
        <v>0</v>
      </c>
      <c r="FT147" s="58">
        <f t="shared" si="236"/>
        <v>0</v>
      </c>
      <c r="FW147" s="58">
        <f>IF(i_baseline_risk_from=2,'Effectiveness settings'!EW147,'Effectiveness settings'!FI147)</f>
        <v>0</v>
      </c>
      <c r="FX147" s="58">
        <f t="shared" si="237"/>
        <v>0</v>
      </c>
      <c r="FY147" s="58">
        <f t="shared" si="238"/>
        <v>0</v>
      </c>
      <c r="FZ147" s="58">
        <f t="shared" si="239"/>
        <v>0</v>
      </c>
      <c r="GA147" s="58">
        <f t="shared" si="240"/>
        <v>0</v>
      </c>
      <c r="GB147" s="58">
        <f t="shared" si="241"/>
        <v>0</v>
      </c>
      <c r="GC147" s="58">
        <f t="shared" si="242"/>
        <v>0</v>
      </c>
      <c r="GD147" s="58">
        <f t="shared" si="243"/>
        <v>0</v>
      </c>
      <c r="GE147" s="58">
        <f>IF(AND(dd_CheckMate214_TTD="Yes",'Effectiveness settings'!BU147=2,'Effectiveness settings'!BX147=2),"Apply HR to",GD147)</f>
        <v>0</v>
      </c>
      <c r="GF147" s="58">
        <f t="shared" si="244"/>
        <v>0</v>
      </c>
      <c r="GG147" s="58">
        <f t="shared" si="245"/>
        <v>0</v>
      </c>
      <c r="GH147" s="58">
        <f t="shared" si="246"/>
        <v>0</v>
      </c>
      <c r="GI147" s="58">
        <f t="shared" si="199"/>
        <v>0</v>
      </c>
      <c r="GK147" s="58">
        <f>IF(i_baseline_risk_from=2,'Effectiveness settings'!FA147,'Effectiveness settings'!FM147)</f>
        <v>1</v>
      </c>
      <c r="GL147" s="58">
        <f>IF(i_baseline_risk_from=2,'Effectiveness settings'!FB147,'Effectiveness settings'!FN147)</f>
        <v>7</v>
      </c>
      <c r="GM147" s="58">
        <f>IF(i_baseline_risk_from=2,'Effectiveness settings'!FC147,'Effectiveness settings'!FO147)</f>
        <v>2</v>
      </c>
      <c r="GN147" s="58">
        <f>IF(i_baseline_risk_from=2,'Effectiveness settings'!FD147,'Effectiveness settings'!FP147)</f>
        <v>0</v>
      </c>
      <c r="GQ147" s="58">
        <f t="shared" si="247"/>
        <v>7</v>
      </c>
      <c r="GR147" s="58">
        <f t="shared" si="248"/>
        <v>7</v>
      </c>
      <c r="GS147" s="58">
        <f t="shared" si="249"/>
        <v>7</v>
      </c>
      <c r="GT147" s="58">
        <f t="shared" si="250"/>
        <v>7</v>
      </c>
      <c r="GU147" s="58">
        <f>IF(AND(dd_CheckMate214_TTD="Yes",'Effectiveness settings'!BU147=2,'Effectiveness settings'!BX147=2),2,GT147)</f>
        <v>7</v>
      </c>
      <c r="GV147" s="58">
        <f t="shared" si="251"/>
        <v>7</v>
      </c>
      <c r="GW147" s="58">
        <f t="shared" si="252"/>
        <v>7</v>
      </c>
      <c r="GY147" s="58">
        <f>IF(AND(dd_CheckMate214_TTD="Yes",'Effectiveness settings'!BU147=2,'Effectiveness settings'!BX147=2),1,GN147)</f>
        <v>0</v>
      </c>
      <c r="GZ147" s="58">
        <f t="shared" si="253"/>
        <v>0</v>
      </c>
      <c r="HB147" s="58">
        <f t="shared" si="254"/>
        <v>2</v>
      </c>
      <c r="HD147" s="58">
        <f t="shared" si="227"/>
        <v>2</v>
      </c>
      <c r="HE147" s="58">
        <f t="shared" si="228"/>
        <v>1</v>
      </c>
      <c r="HF147" s="58">
        <f t="shared" si="229"/>
        <v>7</v>
      </c>
      <c r="HG147" s="58">
        <f t="shared" si="230"/>
        <v>2</v>
      </c>
      <c r="HH147" s="58">
        <f t="shared" si="231"/>
        <v>0</v>
      </c>
    </row>
    <row r="148" spans="4:216" ht="15.75" x14ac:dyDescent="0.25">
      <c r="D148" s="58" t="str">
        <v>placebo_BSC</v>
      </c>
      <c r="I148" s="64" t="s">
        <v>58</v>
      </c>
      <c r="J148" s="519" t="s">
        <v>544</v>
      </c>
      <c r="K148" s="524"/>
      <c r="L148" s="519"/>
      <c r="M148" s="516" t="s">
        <v>31</v>
      </c>
      <c r="N148" s="64" t="s">
        <v>565</v>
      </c>
      <c r="O148" s="64" t="s">
        <v>566</v>
      </c>
      <c r="P148" s="64" t="s">
        <v>547</v>
      </c>
      <c r="Q148" s="519" t="s">
        <v>557</v>
      </c>
      <c r="R148" s="516" t="s">
        <v>568</v>
      </c>
      <c r="S148" s="497">
        <v>1</v>
      </c>
      <c r="T148" s="497">
        <v>1</v>
      </c>
      <c r="U148" s="497">
        <v>1</v>
      </c>
      <c r="Y148" s="517"/>
      <c r="AA148" s="517"/>
      <c r="AF148" s="517"/>
      <c r="AM148" s="517"/>
      <c r="AO148" s="517"/>
      <c r="AT148" s="517"/>
      <c r="AV148" s="511"/>
      <c r="AW148" s="511"/>
      <c r="AX148" s="511"/>
      <c r="BA148" s="517"/>
      <c r="BC148" s="517"/>
      <c r="BH148" s="517"/>
      <c r="BJ148" s="511"/>
      <c r="BK148" s="511"/>
      <c r="BL148" s="511"/>
      <c r="BQ148" s="58">
        <f t="shared" si="234"/>
        <v>84</v>
      </c>
      <c r="BR148" s="17">
        <v>2</v>
      </c>
      <c r="BS148" s="17" t="s">
        <v>559</v>
      </c>
      <c r="BT148" s="17">
        <v>1</v>
      </c>
      <c r="BU148" s="17">
        <v>999</v>
      </c>
      <c r="BV148" s="17" t="str">
        <f t="shared" si="203"/>
        <v>placebo_BSC</v>
      </c>
      <c r="BW148" s="1006" t="str" cm="1">
        <f t="array" ref="BW148">IF(I148="No",I148,INDEX(List_incl_anal_1L_fav,IF(BU148=999,35,BU148+1)))</f>
        <v>No</v>
      </c>
      <c r="BX148" s="61">
        <f t="shared" si="204"/>
        <v>0</v>
      </c>
      <c r="BY148" s="531" t="str">
        <f t="shared" si="232"/>
        <v>Overall survival</v>
      </c>
      <c r="BZ148" s="530">
        <f t="shared" si="205"/>
        <v>0</v>
      </c>
      <c r="CA148" s="531">
        <f t="shared" si="233"/>
        <v>0</v>
      </c>
      <c r="CB148" s="530">
        <f t="shared" si="206"/>
        <v>0</v>
      </c>
      <c r="CC148" s="530">
        <f t="shared" si="207"/>
        <v>4</v>
      </c>
      <c r="CD148" s="530">
        <f t="shared" si="208"/>
        <v>999</v>
      </c>
      <c r="CE148" s="1295">
        <f t="shared" si="209"/>
        <v>2</v>
      </c>
      <c r="CF148" s="1301">
        <f t="shared" si="210"/>
        <v>4</v>
      </c>
      <c r="CG148" s="530" t="str">
        <f t="shared" si="211"/>
        <v/>
      </c>
      <c r="CH148" s="61">
        <f t="shared" si="212"/>
        <v>1</v>
      </c>
      <c r="CI148" s="61">
        <f t="shared" si="213"/>
        <v>1</v>
      </c>
      <c r="CJ148" s="61">
        <f t="shared" si="214"/>
        <v>1</v>
      </c>
      <c r="DA148" s="1024"/>
      <c r="DB148" s="1024"/>
      <c r="DC148" s="1024"/>
      <c r="DD148" s="1024"/>
      <c r="DE148" s="1024"/>
      <c r="DF148" s="1024"/>
      <c r="DG148" s="1024"/>
      <c r="DK148" s="58" t="str" cm="1">
        <f t="array" ref="DK148">IF(AND($BT148=4,$BX148=4,$BU148=999),$DB$36,_xlfn.IFNA(INDEX(DB$13:DB$70,MATCH(1,($BR148=$CV$13:$CV$70)*($BT148=$CX$13:$CX$70)*($CE148=$CY$13:$CY$70)*($BY148=$DA$13:$DA$70)*($CD148=$DH$13:$DH$70),0)),""))</f>
        <v/>
      </c>
      <c r="DL148" s="58" t="str" cm="1">
        <f t="array" ref="DL148">IF(AND($BT148=4,$BX148=4,$BU148=999),$DC$36,_xlfn.IFNA(INDEX(CHOOSE(DP148,DB$13:DB$70,DC$13:DC$70,DD$13:DD$70,DE$13:DE$70),MATCH(1,($BR148=$CV$13:$CV$70)*($BT148=$CX$13:$CX$70)*($CE148=$CY$13:$CY$70)*($BY148=$DA$13:$DA$70)*($CD148=$DH$13:$DH$70),0)),""))</f>
        <v/>
      </c>
      <c r="DM148" s="740" t="str" cm="1">
        <f t="array" ref="DM148">IF(AND($BT148=4,$BX148=4,$BU148=999),$DD$36,_xlfn.IFNA(INDEX(DD$13:DD$68,MATCH(1,($BR148=$CV$13:$CV$68)*($BT148=$CX$13:$CX$68)*($CE148=$CY$13:$CY$68)*($BY148=$DA$13:$DA$68)*($CD148=$DH$13:$DH$68),0)),""))</f>
        <v/>
      </c>
      <c r="DN148" s="740" t="str" cm="1">
        <f t="array" ref="DN148">IF(AND($BT148=4,$BX148=4,$BU148=999),$DD$36,_xlfn.IFNA(INDEX(DE$13:DE$68,MATCH(1,($BR148=$CV$13:$CV$68)*($BT148=$CX$13:$CX$68)*($CE148=$CY$13:$CY$68)*($BY148=$DA$13:$DA$68)*($CD148=$DH$13:$DH$68),0)),""))</f>
        <v/>
      </c>
      <c r="DO148" s="58" t="str" cm="1">
        <f t="array" ref="DO148">IF(AND($BT148=4,$BX148=4,$BU148=999),$DF$36,_xlfn.IFNA(INDEX(DF$13:DF$70,MATCH(1,($BR148=$CV$13:$CV$70)*($BT148=$CX$13:$CX$70)*($CE148=$CY$13:$CY$70)*($BY148=$DA$13:$DA$70)*($CD148=$DH$13:$DH$70),0)),""))</f>
        <v/>
      </c>
      <c r="DP148" s="58" t="e">
        <f t="shared" si="235"/>
        <v>#N/A</v>
      </c>
      <c r="DW148" s="58" t="s">
        <v>58</v>
      </c>
      <c r="DX148" s="58" t="s">
        <v>544</v>
      </c>
      <c r="DY148" s="58">
        <v>0</v>
      </c>
      <c r="DZ148" s="58">
        <v>0</v>
      </c>
      <c r="EB148" s="58">
        <v>0</v>
      </c>
      <c r="EC148" s="58">
        <v>4</v>
      </c>
      <c r="ED148" s="58">
        <v>999</v>
      </c>
      <c r="EE148" s="58">
        <v>2</v>
      </c>
      <c r="EF148" s="58">
        <v>4</v>
      </c>
      <c r="EI148" s="58" t="s">
        <v>58</v>
      </c>
      <c r="EJ148" s="58" t="s">
        <v>544</v>
      </c>
      <c r="EK148" s="58">
        <v>0</v>
      </c>
      <c r="EL148" s="58">
        <v>0</v>
      </c>
      <c r="EN148" s="58">
        <v>0</v>
      </c>
      <c r="EO148" s="58">
        <v>4</v>
      </c>
      <c r="EP148" s="58">
        <v>999</v>
      </c>
      <c r="EQ148" s="58">
        <v>2</v>
      </c>
      <c r="ER148" s="58">
        <v>4</v>
      </c>
      <c r="EU148" s="58" t="str">
        <f t="shared" si="215"/>
        <v>No</v>
      </c>
      <c r="EV148" s="58" t="str">
        <f t="shared" si="216"/>
        <v>Overall survival</v>
      </c>
      <c r="EW148" s="58">
        <f t="shared" si="217"/>
        <v>0</v>
      </c>
      <c r="EX148" s="58">
        <f t="shared" si="218"/>
        <v>0</v>
      </c>
      <c r="EZ148" s="58">
        <f t="shared" si="219"/>
        <v>0</v>
      </c>
      <c r="FA148" s="58">
        <f t="shared" si="220"/>
        <v>4</v>
      </c>
      <c r="FB148" s="58">
        <f>IF(i_eff_inputs_based_on_num=2,ED148,(INDEX(Lists!$L$51:$L$85,MATCH(O148,Lists!$K$51:$K$85,0))))</f>
        <v>999</v>
      </c>
      <c r="FC148" s="58">
        <f>IF(i_eff_inputs_based_on_num=2,EE148,(INDEX(Lists!$L$51:$L$85,MATCH(P148,Lists!$K$51:$K$85,0))))</f>
        <v>2</v>
      </c>
      <c r="FD148" s="58">
        <f>IF(i_eff_inputs_based_on_num=2,EF148,(INDEX(Lists!$L$51:$L$85,MATCH(Q148,Lists!$K$51:$K$85,0))))</f>
        <v>4</v>
      </c>
      <c r="FG148" s="58" t="str">
        <f t="shared" si="221"/>
        <v>No</v>
      </c>
      <c r="FH148" s="58" t="str">
        <f t="shared" si="222"/>
        <v>Overall survival</v>
      </c>
      <c r="FI148" s="58">
        <f t="shared" si="223"/>
        <v>0</v>
      </c>
      <c r="FJ148" s="58">
        <f t="shared" si="224"/>
        <v>0</v>
      </c>
      <c r="FL148" s="58">
        <f t="shared" si="225"/>
        <v>0</v>
      </c>
      <c r="FM148" s="58">
        <f t="shared" si="226"/>
        <v>4</v>
      </c>
      <c r="FN148" s="58">
        <f>IF(i_eff_inputs_based_on_num=2,EP148,(INDEX(Lists!$L$51:$L$85,MATCH(O148,Lists!$K$51:$K$85,0))))</f>
        <v>999</v>
      </c>
      <c r="FO148" s="58">
        <f>IF(i_eff_inputs_based_on_num=2,EQ148,(INDEX(Lists!$L$51:$L$85,MATCH(P148,Lists!$K$51:$K$85,0))))</f>
        <v>2</v>
      </c>
      <c r="FP148" s="58">
        <f>IF(i_eff_inputs_based_on_num=2,ER148,(INDEX(Lists!$L$51:$L$85,MATCH(Q148,Lists!$K$51:$K$85,0))))</f>
        <v>4</v>
      </c>
      <c r="FT148" s="58">
        <f t="shared" si="236"/>
        <v>0</v>
      </c>
      <c r="FW148" s="58">
        <f>IF(i_baseline_risk_from=2,'Effectiveness settings'!EW148,'Effectiveness settings'!FI148)</f>
        <v>0</v>
      </c>
      <c r="FX148" s="58">
        <f t="shared" si="237"/>
        <v>0</v>
      </c>
      <c r="FY148" s="58">
        <f t="shared" si="238"/>
        <v>0</v>
      </c>
      <c r="FZ148" s="58">
        <f t="shared" si="239"/>
        <v>0</v>
      </c>
      <c r="GA148" s="58">
        <f t="shared" si="240"/>
        <v>0</v>
      </c>
      <c r="GB148" s="58">
        <f t="shared" si="241"/>
        <v>0</v>
      </c>
      <c r="GC148" s="58">
        <f t="shared" si="242"/>
        <v>0</v>
      </c>
      <c r="GD148" s="58">
        <f t="shared" si="243"/>
        <v>0</v>
      </c>
      <c r="GE148" s="58">
        <f>IF(AND(dd_CheckMate214_TTD="Yes",'Effectiveness settings'!BU148=2,'Effectiveness settings'!BX148=2),"Apply HR to",GD148)</f>
        <v>0</v>
      </c>
      <c r="GF148" s="58">
        <f t="shared" si="244"/>
        <v>0</v>
      </c>
      <c r="GG148" s="58">
        <f t="shared" si="245"/>
        <v>0</v>
      </c>
      <c r="GH148" s="58">
        <f t="shared" si="246"/>
        <v>0</v>
      </c>
      <c r="GI148" s="58">
        <f t="shared" si="199"/>
        <v>0</v>
      </c>
      <c r="GK148" s="58">
        <f>IF(i_baseline_risk_from=2,'Effectiveness settings'!FA148,'Effectiveness settings'!FM148)</f>
        <v>4</v>
      </c>
      <c r="GL148" s="58">
        <f>IF(i_baseline_risk_from=2,'Effectiveness settings'!FB148,'Effectiveness settings'!FN148)</f>
        <v>999</v>
      </c>
      <c r="GM148" s="58">
        <f>IF(i_baseline_risk_from=2,'Effectiveness settings'!FC148,'Effectiveness settings'!FO148)</f>
        <v>2</v>
      </c>
      <c r="GN148" s="58">
        <f>IF(i_baseline_risk_from=2,'Effectiveness settings'!FD148,'Effectiveness settings'!FP148)</f>
        <v>4</v>
      </c>
      <c r="GQ148" s="58">
        <f t="shared" si="247"/>
        <v>999</v>
      </c>
      <c r="GR148" s="58">
        <f t="shared" si="248"/>
        <v>999</v>
      </c>
      <c r="GS148" s="58">
        <f t="shared" si="249"/>
        <v>999</v>
      </c>
      <c r="GT148" s="58">
        <f t="shared" si="250"/>
        <v>999</v>
      </c>
      <c r="GU148" s="58">
        <f>IF(AND(dd_CheckMate214_TTD="Yes",'Effectiveness settings'!BU148=2,'Effectiveness settings'!BX148=2),2,GT148)</f>
        <v>999</v>
      </c>
      <c r="GV148" s="58">
        <f t="shared" si="251"/>
        <v>999</v>
      </c>
      <c r="GW148" s="58">
        <f t="shared" si="252"/>
        <v>999</v>
      </c>
      <c r="GY148" s="58">
        <f>IF(AND(dd_CheckMate214_TTD="Yes",'Effectiveness settings'!BU148=2,'Effectiveness settings'!BX148=2),1,GN148)</f>
        <v>4</v>
      </c>
      <c r="GZ148" s="58">
        <f t="shared" si="253"/>
        <v>4</v>
      </c>
      <c r="HB148" s="58">
        <f t="shared" si="254"/>
        <v>0</v>
      </c>
      <c r="HD148" s="58">
        <f t="shared" si="227"/>
        <v>0</v>
      </c>
      <c r="HE148" s="58">
        <f t="shared" si="228"/>
        <v>4</v>
      </c>
      <c r="HF148" s="58">
        <f t="shared" si="229"/>
        <v>999</v>
      </c>
      <c r="HG148" s="58">
        <f t="shared" si="230"/>
        <v>2</v>
      </c>
      <c r="HH148" s="58">
        <f t="shared" si="231"/>
        <v>4</v>
      </c>
    </row>
    <row r="149" spans="4:216" ht="15.75" x14ac:dyDescent="0.25">
      <c r="I149" s="67"/>
      <c r="J149" s="520"/>
      <c r="K149" s="525"/>
      <c r="L149" s="517"/>
      <c r="Q149" s="520"/>
      <c r="Y149" s="517"/>
      <c r="AA149" s="517"/>
      <c r="AF149" s="517"/>
      <c r="AM149" s="517"/>
      <c r="AO149" s="517"/>
      <c r="AT149" s="517"/>
      <c r="AV149" s="511"/>
      <c r="AW149" s="511"/>
      <c r="AX149" s="511"/>
      <c r="BA149" s="517"/>
      <c r="BC149" s="517"/>
      <c r="BH149" s="517"/>
      <c r="BJ149" s="511"/>
      <c r="BK149" s="511"/>
      <c r="BL149" s="511"/>
      <c r="BQ149" s="58">
        <f t="shared" si="234"/>
        <v>84</v>
      </c>
      <c r="BR149" s="17"/>
      <c r="BS149" s="17"/>
      <c r="BT149" s="17"/>
      <c r="BU149" s="61"/>
      <c r="BV149" s="17"/>
      <c r="BW149" s="17"/>
      <c r="BX149" s="505"/>
      <c r="BY149" s="531"/>
      <c r="BZ149" s="530"/>
      <c r="CA149" s="531"/>
      <c r="CB149" s="530"/>
      <c r="CC149" s="530"/>
      <c r="CD149" s="530"/>
      <c r="CE149" s="1295"/>
      <c r="CF149" s="1301"/>
      <c r="CG149" s="530"/>
      <c r="CH149" s="61"/>
      <c r="CI149" s="61"/>
      <c r="CJ149" s="61"/>
      <c r="DA149" s="1024"/>
      <c r="DB149" s="1024"/>
      <c r="DC149" s="1024"/>
      <c r="DD149" s="1024"/>
      <c r="DE149" s="1024"/>
      <c r="DF149" s="1024"/>
      <c r="DG149" s="1024"/>
      <c r="DK149" s="58" t="str" cm="1">
        <f t="array" ref="DK149">IF(AND($BT149=4,$BX149=4,$BU149=999),$DB$36,_xlfn.IFNA(INDEX(DB$13:DB$70,MATCH(1,($BR149=$CV$13:$CV$70)*($BT149=$CX$13:$CX$70)*($CE149=$CY$13:$CY$70)*($BY149=$DA$13:$DA$70)*($CD149=$DH$13:$DH$70),0)),""))</f>
        <v/>
      </c>
      <c r="DL149" s="58" t="str" cm="1">
        <f t="array" ref="DL149">IF(AND($BT149=4,$BX149=4,$BU149=999),$DC$36,_xlfn.IFNA(INDEX(CHOOSE(DP149,DB$13:DB$70,DC$13:DC$70,DD$13:DD$70,DE$13:DE$70),MATCH(1,($BR149=$CV$13:$CV$70)*($BT149=$CX$13:$CX$70)*($CE149=$CY$13:$CY$70)*($BY149=$DA$13:$DA$70)*($CD149=$DH$13:$DH$70),0)),""))</f>
        <v/>
      </c>
      <c r="DM149" s="740" t="str" cm="1">
        <f t="array" ref="DM149">IF(AND($BT149=4,$BX149=4,$BU149=999),$DD$36,_xlfn.IFNA(INDEX(DD$13:DD$68,MATCH(1,($BR149=$CV$13:$CV$68)*($BT149=$CX$13:$CX$68)*($CE149=$CY$13:$CY$68)*($BY149=$DA$13:$DA$68)*($CD149=$DH$13:$DH$68),0)),""))</f>
        <v/>
      </c>
      <c r="DN149" s="740" t="str" cm="1">
        <f t="array" ref="DN149">IF(AND($BT149=4,$BX149=4,$BU149=999),$DD$36,_xlfn.IFNA(INDEX(DE$13:DE$68,MATCH(1,($BR149=$CV$13:$CV$68)*($BT149=$CX$13:$CX$68)*($CE149=$CY$13:$CY$68)*($BY149=$DA$13:$DA$68)*($CD149=$DH$13:$DH$68),0)),""))</f>
        <v/>
      </c>
      <c r="DO149" s="58" t="str" cm="1">
        <f t="array" ref="DO149">IF(AND($BT149=4,$BX149=4,$BU149=999),$DF$36,_xlfn.IFNA(INDEX(DF$13:DF$70,MATCH(1,($BR149=$CV$13:$CV$70)*($BT149=$CX$13:$CX$70)*($CE149=$CY$13:$CY$70)*($BY149=$DA$13:$DA$70)*($CD149=$DH$13:$DH$70),0)),""))</f>
        <v/>
      </c>
      <c r="DP149" s="58" t="e">
        <f t="shared" si="235"/>
        <v>#N/A</v>
      </c>
      <c r="FT149" s="58">
        <f t="shared" si="236"/>
        <v>0</v>
      </c>
      <c r="FW149" s="58">
        <f>IF(i_baseline_risk_from=2,'Effectiveness settings'!EW149,'Effectiveness settings'!FI149)</f>
        <v>0</v>
      </c>
      <c r="FX149" s="58">
        <f t="shared" si="237"/>
        <v>0</v>
      </c>
      <c r="FY149" s="58">
        <f t="shared" si="238"/>
        <v>0</v>
      </c>
      <c r="FZ149" s="58">
        <f t="shared" si="239"/>
        <v>0</v>
      </c>
      <c r="GA149" s="58">
        <f t="shared" si="240"/>
        <v>0</v>
      </c>
      <c r="GB149" s="58">
        <f t="shared" si="241"/>
        <v>0</v>
      </c>
      <c r="GC149" s="58">
        <f t="shared" si="242"/>
        <v>0</v>
      </c>
      <c r="GD149" s="58">
        <f t="shared" si="243"/>
        <v>0</v>
      </c>
      <c r="GE149" s="58">
        <f>IF(AND(dd_CheckMate214_TTD="Yes",'Effectiveness settings'!BU149=2,'Effectiveness settings'!BX149=2),"Apply HR to",GD149)</f>
        <v>0</v>
      </c>
      <c r="GF149" s="58">
        <f t="shared" si="244"/>
        <v>0</v>
      </c>
      <c r="GG149" s="58">
        <f t="shared" si="245"/>
        <v>0</v>
      </c>
      <c r="GH149" s="58">
        <f t="shared" si="246"/>
        <v>0</v>
      </c>
      <c r="GI149" s="58">
        <f t="shared" si="199"/>
        <v>0</v>
      </c>
      <c r="GK149" s="58">
        <f>IF(i_baseline_risk_from=2,'Effectiveness settings'!FA149,'Effectiveness settings'!FM149)</f>
        <v>0</v>
      </c>
      <c r="GL149" s="58">
        <f>IF(i_baseline_risk_from=2,'Effectiveness settings'!FB149,'Effectiveness settings'!FN149)</f>
        <v>0</v>
      </c>
      <c r="GM149" s="58">
        <f>IF(i_baseline_risk_from=2,'Effectiveness settings'!FC149,'Effectiveness settings'!FO149)</f>
        <v>0</v>
      </c>
      <c r="GN149" s="58">
        <f>IF(i_baseline_risk_from=2,'Effectiveness settings'!FD149,'Effectiveness settings'!FP149)</f>
        <v>0</v>
      </c>
      <c r="GQ149" s="58">
        <f t="shared" si="247"/>
        <v>0</v>
      </c>
      <c r="GR149" s="58">
        <f t="shared" si="248"/>
        <v>0</v>
      </c>
      <c r="GS149" s="58">
        <f t="shared" si="249"/>
        <v>0</v>
      </c>
      <c r="GT149" s="58">
        <f t="shared" si="250"/>
        <v>0</v>
      </c>
      <c r="GU149" s="58">
        <f>IF(AND(dd_CheckMate214_TTD="Yes",'Effectiveness settings'!BU149=2,'Effectiveness settings'!BX149=2),2,GT149)</f>
        <v>0</v>
      </c>
      <c r="GV149" s="58">
        <f t="shared" si="251"/>
        <v>0</v>
      </c>
      <c r="GW149" s="58">
        <f t="shared" si="252"/>
        <v>0</v>
      </c>
      <c r="GY149" s="58">
        <f>IF(AND(dd_CheckMate214_TTD="Yes",'Effectiveness settings'!BU149=2,'Effectiveness settings'!BX149=2),1,GN149)</f>
        <v>0</v>
      </c>
      <c r="GZ149" s="58">
        <f t="shared" si="253"/>
        <v>0</v>
      </c>
      <c r="HB149" s="58">
        <f t="shared" si="254"/>
        <v>0</v>
      </c>
      <c r="HD149" s="58">
        <f t="shared" si="227"/>
        <v>0</v>
      </c>
      <c r="HE149" s="58">
        <f t="shared" si="228"/>
        <v>0</v>
      </c>
      <c r="HF149" s="58">
        <f t="shared" si="229"/>
        <v>0</v>
      </c>
      <c r="HG149" s="58">
        <f t="shared" si="230"/>
        <v>0</v>
      </c>
      <c r="HH149" s="58">
        <f t="shared" si="231"/>
        <v>0</v>
      </c>
    </row>
    <row r="150" spans="4:216" ht="15.75" x14ac:dyDescent="0.25">
      <c r="D150" s="58" t="str" cm="1">
        <f t="array" ref="D150:D163">List_comparators</f>
        <v>nivolumab_monotherapy</v>
      </c>
      <c r="I150" s="64" t="s">
        <v>58</v>
      </c>
      <c r="J150" s="519" t="s">
        <v>552</v>
      </c>
      <c r="K150" s="524"/>
      <c r="L150" s="519"/>
      <c r="M150" s="516" t="s">
        <v>559</v>
      </c>
      <c r="N150" s="64" t="s">
        <v>546</v>
      </c>
      <c r="O150" s="64" t="s">
        <v>117</v>
      </c>
      <c r="P150" s="64" t="s">
        <v>547</v>
      </c>
      <c r="Q150" s="519" t="s">
        <v>552</v>
      </c>
      <c r="R150" s="516" t="s">
        <v>548</v>
      </c>
      <c r="S150" s="497"/>
      <c r="T150" s="497"/>
      <c r="U150" s="497"/>
      <c r="Y150" s="517"/>
      <c r="AA150" s="517"/>
      <c r="AF150" s="517"/>
      <c r="AM150" s="517"/>
      <c r="AO150" s="517"/>
      <c r="AT150" s="517"/>
      <c r="AV150" s="511"/>
      <c r="AW150" s="511"/>
      <c r="AX150" s="511"/>
      <c r="BA150" s="517"/>
      <c r="BC150" s="517"/>
      <c r="BH150" s="517"/>
      <c r="BJ150" s="511"/>
      <c r="BK150" s="511"/>
      <c r="BL150" s="511"/>
      <c r="BQ150" s="58">
        <f t="shared" si="234"/>
        <v>85</v>
      </c>
      <c r="BR150" s="17">
        <v>2</v>
      </c>
      <c r="BS150" s="17" t="s">
        <v>559</v>
      </c>
      <c r="BT150" s="17">
        <v>1</v>
      </c>
      <c r="BU150" s="17">
        <v>0</v>
      </c>
      <c r="BV150" s="17" t="str">
        <f t="shared" ref="BV150:BV163" si="255">D150</f>
        <v>nivolumab_monotherapy</v>
      </c>
      <c r="BW150" s="1006" t="str" cm="1">
        <f t="array" ref="BW150">IF(I150="No",I150,INDEX(List_incl_anal_1L_fav,IF(BU150=999,35,BU150+1)))</f>
        <v>No</v>
      </c>
      <c r="BX150" s="61">
        <f t="shared" ref="BX150:BX163" si="256">MATCH(BY150,List_eff_endpoints,0)-1</f>
        <v>1</v>
      </c>
      <c r="BY150" s="531" t="str">
        <f>J150</f>
        <v>Progression free survival</v>
      </c>
      <c r="BZ150" s="530">
        <f t="shared" ref="BZ150:BZ163" si="257">GI150</f>
        <v>0</v>
      </c>
      <c r="CA150" s="531">
        <f>FT150</f>
        <v>0</v>
      </c>
      <c r="CB150" s="530">
        <f t="shared" ref="CB150:CB163" si="258">HD150</f>
        <v>2</v>
      </c>
      <c r="CC150" s="530">
        <f t="shared" ref="CC150:CC163" si="259">HE150</f>
        <v>1</v>
      </c>
      <c r="CD150" s="530">
        <f t="shared" ref="CD150:CD163" si="260">HF150</f>
        <v>7</v>
      </c>
      <c r="CE150" s="1295">
        <f t="shared" ref="CE150:CE163" si="261">HG150</f>
        <v>2</v>
      </c>
      <c r="CF150" s="1301">
        <f t="shared" ref="CF150:CF163" si="262">HH150</f>
        <v>1</v>
      </c>
      <c r="CG150" s="530" t="str">
        <f t="shared" ref="CG150:CG163" si="263">IF(i_surv_cur=1,DK150,DL150)</f>
        <v>Log-logistic</v>
      </c>
      <c r="CH150" s="61">
        <f t="shared" ref="CH150:CH163" si="264">S150</f>
        <v>0</v>
      </c>
      <c r="CI150" s="61">
        <f t="shared" ref="CI150:CI163" si="265">T150</f>
        <v>0</v>
      </c>
      <c r="CJ150" s="61">
        <f t="shared" ref="CJ150:CJ163" si="266">U150</f>
        <v>0</v>
      </c>
      <c r="DA150" s="1024"/>
      <c r="DB150" s="1024"/>
      <c r="DC150" s="1024"/>
      <c r="DD150" s="1024"/>
      <c r="DE150" s="1024"/>
      <c r="DF150" s="1024"/>
      <c r="DG150" s="1024"/>
      <c r="DK150" s="58" t="str" cm="1">
        <f t="array" ref="DK150">IF(AND($BT150=4,$BX150=4,$BU150=999),$DB$36,_xlfn.IFNA(INDEX(DB$13:DB$70,MATCH(1,($BR150=$CV$13:$CV$70)*($BT150=$CX$13:$CX$70)*($CE150=$CY$13:$CY$70)*($BY150=$DA$13:$DA$70)*($CD150=$DH$13:$DH$70),0)),""))</f>
        <v>Log-logistic</v>
      </c>
      <c r="DL150" s="58" t="str" cm="1">
        <f t="array" ref="DL150">IF(AND($BT150=4,$BX150=4,$BU150=999),$DC$36,_xlfn.IFNA(INDEX(CHOOSE(DP150,DB$13:DB$70,DC$13:DC$70,DD$13:DD$70,DE$13:DE$70),MATCH(1,($BR150=$CV$13:$CV$70)*($BT150=$CX$13:$CX$70)*($CE150=$CY$13:$CY$70)*($BY150=$DA$13:$DA$70)*($CD150=$DH$13:$DH$70),0)),""))</f>
        <v>Log-logistic</v>
      </c>
      <c r="DM150" s="740" cm="1">
        <f t="array" ref="DM150">IF(AND($BT150=4,$BX150=4,$BU150=999),$DD$36,_xlfn.IFNA(INDEX(DD$13:DD$68,MATCH(1,($BR150=$CV$13:$CV$68)*($BT150=$CX$13:$CX$68)*($CE150=$CY$13:$CY$68)*($BY150=$DA$13:$DA$68)*($CD150=$DH$13:$DH$68),0)),""))</f>
        <v>0</v>
      </c>
      <c r="DN150" s="740" cm="1">
        <f t="array" ref="DN150">IF(AND($BT150=4,$BX150=4,$BU150=999),$DD$36,_xlfn.IFNA(INDEX(DE$13:DE$68,MATCH(1,($BR150=$CV$13:$CV$68)*($BT150=$CX$13:$CX$68)*($CE150=$CY$13:$CY$68)*($BY150=$DA$13:$DA$68)*($CD150=$DH$13:$DH$68),0)),""))</f>
        <v>0</v>
      </c>
      <c r="DO150" s="58" t="str" cm="1">
        <f t="array" ref="DO150">IF(AND($BT150=4,$BX150=4,$BU150=999),$DF$36,_xlfn.IFNA(INDEX(DF$13:DF$70,MATCH(1,($BR150=$CV$13:$CV$70)*($BT150=$CX$13:$CX$70)*($CE150=$CY$13:$CY$70)*($BY150=$DA$13:$DA$70)*($CD150=$DH$13:$DH$70),0)),""))</f>
        <v>Base case</v>
      </c>
      <c r="DP150" s="58">
        <f t="shared" si="235"/>
        <v>1</v>
      </c>
      <c r="DW150" s="58" t="s">
        <v>58</v>
      </c>
      <c r="DX150" s="58" t="s">
        <v>552</v>
      </c>
      <c r="DY150" s="58">
        <v>0</v>
      </c>
      <c r="DZ150" s="58">
        <v>0</v>
      </c>
      <c r="EB150" s="58">
        <v>2</v>
      </c>
      <c r="EC150" s="58">
        <v>1</v>
      </c>
      <c r="ED150" s="58">
        <v>7</v>
      </c>
      <c r="EE150" s="58">
        <v>2</v>
      </c>
      <c r="EF150" s="58">
        <v>1</v>
      </c>
      <c r="EI150" s="58" t="s">
        <v>58</v>
      </c>
      <c r="EJ150" s="58" t="s">
        <v>552</v>
      </c>
      <c r="EK150" s="58">
        <v>0</v>
      </c>
      <c r="EL150" s="58">
        <v>0</v>
      </c>
      <c r="EN150" s="58">
        <v>2</v>
      </c>
      <c r="EO150" s="58">
        <v>1</v>
      </c>
      <c r="EP150" s="58">
        <v>7</v>
      </c>
      <c r="EQ150" s="58">
        <v>0</v>
      </c>
      <c r="ER150" s="58">
        <v>1</v>
      </c>
      <c r="EU150" s="58" t="str">
        <f t="shared" ref="EU150:EU163" si="267">IF(i_eff_inputs_based_on_num=2,DW150,I150)</f>
        <v>No</v>
      </c>
      <c r="EV150" s="58" t="str">
        <f t="shared" ref="EV150:EV163" si="268">IF(i_eff_inputs_based_on_num=2,DX150,J150)</f>
        <v>Progression free survival</v>
      </c>
      <c r="EW150" s="58">
        <f t="shared" ref="EW150:EW163" si="269">IF(i_eff_inputs_based_on_num=2,DY150,K150)</f>
        <v>0</v>
      </c>
      <c r="EX150" s="58">
        <f t="shared" ref="EX150:EX163" si="270">IF(i_eff_inputs_based_on_num=2,DZ150,L150)</f>
        <v>0</v>
      </c>
      <c r="EZ150" s="58">
        <f t="shared" ref="EZ150:EZ163" si="271">IF(i_eff_inputs_based_on_num=2,EB150,VLOOKUP(M150,r_pld_lookup_line,3,FALSE))</f>
        <v>2</v>
      </c>
      <c r="FA150" s="58">
        <f t="shared" ref="FA150:FA163" si="272">IF(i_eff_inputs_based_on_num=2,EC150,VLOOKUP(N150,r_pld_lookup_line,3,FALSE))</f>
        <v>1</v>
      </c>
      <c r="FB150" s="58">
        <f>IF(i_eff_inputs_based_on_num=2,ED150,(INDEX(Lists!$L$51:$L$85,MATCH(O150,Lists!$K$51:$K$85,0))))</f>
        <v>7</v>
      </c>
      <c r="FC150" s="58">
        <f>IF(i_eff_inputs_based_on_num=2,EE150,(INDEX(Lists!$L$51:$L$85,MATCH(P150,Lists!$K$51:$K$85,0))))</f>
        <v>2</v>
      </c>
      <c r="FD150" s="58">
        <f>IF(i_eff_inputs_based_on_num=2,EF150,(INDEX(Lists!$L$51:$L$85,MATCH(Q150,Lists!$K$51:$K$85,0))))</f>
        <v>1</v>
      </c>
      <c r="FG150" s="58" t="str">
        <f t="shared" ref="FG150:FG163" si="273">IF(i_eff_inputs_based_on_num=2,EI150,I150)</f>
        <v>No</v>
      </c>
      <c r="FH150" s="58" t="str">
        <f t="shared" ref="FH150:FH163" si="274">IF(i_eff_inputs_based_on_num=2,EJ150,J150)</f>
        <v>Progression free survival</v>
      </c>
      <c r="FI150" s="58">
        <f t="shared" ref="FI150:FI163" si="275">IF(i_eff_inputs_based_on_num=2,EK150,K150)</f>
        <v>0</v>
      </c>
      <c r="FJ150" s="58">
        <f t="shared" ref="FJ150:FJ163" si="276">IF(i_eff_inputs_based_on_num=2,EL150,L150)</f>
        <v>0</v>
      </c>
      <c r="FL150" s="58">
        <f t="shared" ref="FL150:FL163" si="277">IF(i_eff_inputs_based_on_num=2,EN150,VLOOKUP(M150,r_pld_lookup_line,3,FALSE))</f>
        <v>2</v>
      </c>
      <c r="FM150" s="58">
        <f t="shared" ref="FM150:FM163" si="278">IF(i_eff_inputs_based_on_num=2,EO150,VLOOKUP(N150,r_pld_lookup_line,3,FALSE))</f>
        <v>1</v>
      </c>
      <c r="FN150" s="58">
        <f>IF(i_eff_inputs_based_on_num=2,EP150,(INDEX(Lists!$L$51:$L$85,MATCH(O150,Lists!$K$51:$K$85,0))))</f>
        <v>7</v>
      </c>
      <c r="FO150" s="58">
        <f>IF(i_eff_inputs_based_on_num=2,EQ150,(INDEX(Lists!$L$51:$L$85,MATCH(P150,Lists!$K$51:$K$85,0))))</f>
        <v>0</v>
      </c>
      <c r="FP150" s="58">
        <f>IF(i_eff_inputs_based_on_num=2,ER150,(INDEX(Lists!$L$51:$L$85,MATCH(Q150,Lists!$K$51:$K$85,0))))</f>
        <v>1</v>
      </c>
      <c r="FT150" s="58">
        <f t="shared" si="236"/>
        <v>0</v>
      </c>
      <c r="FW150" s="58">
        <f>IF(i_baseline_risk_from=2,'Effectiveness settings'!EW150,'Effectiveness settings'!FI150)</f>
        <v>0</v>
      </c>
      <c r="FX150" s="58">
        <f t="shared" si="237"/>
        <v>0</v>
      </c>
      <c r="FY150" s="58">
        <f t="shared" si="238"/>
        <v>0</v>
      </c>
      <c r="FZ150" s="58">
        <f t="shared" si="239"/>
        <v>0</v>
      </c>
      <c r="GA150" s="58">
        <f t="shared" si="240"/>
        <v>0</v>
      </c>
      <c r="GB150" s="58">
        <f t="shared" si="241"/>
        <v>0</v>
      </c>
      <c r="GC150" s="58">
        <f t="shared" si="242"/>
        <v>0</v>
      </c>
      <c r="GD150" s="58">
        <f t="shared" si="243"/>
        <v>0</v>
      </c>
      <c r="GE150" s="58">
        <f>IF(AND(dd_CheckMate214_TTD="Yes",'Effectiveness settings'!BU150=2,'Effectiveness settings'!BX150=2),"Apply HR to",GD150)</f>
        <v>0</v>
      </c>
      <c r="GF150" s="58">
        <f t="shared" si="244"/>
        <v>0</v>
      </c>
      <c r="GG150" s="58">
        <f t="shared" si="245"/>
        <v>0</v>
      </c>
      <c r="GH150" s="58">
        <f t="shared" si="246"/>
        <v>0</v>
      </c>
      <c r="GI150" s="58">
        <f t="shared" si="199"/>
        <v>0</v>
      </c>
      <c r="GK150" s="58">
        <f>IF(i_baseline_risk_from=2,'Effectiveness settings'!FA150,'Effectiveness settings'!FM150)</f>
        <v>1</v>
      </c>
      <c r="GL150" s="58">
        <f>IF(i_baseline_risk_from=2,'Effectiveness settings'!FB150,'Effectiveness settings'!FN150)</f>
        <v>7</v>
      </c>
      <c r="GM150" s="58">
        <f>IF(i_baseline_risk_from=2,'Effectiveness settings'!FC150,'Effectiveness settings'!FO150)</f>
        <v>2</v>
      </c>
      <c r="GN150" s="58">
        <f>IF(i_baseline_risk_from=2,'Effectiveness settings'!FD150,'Effectiveness settings'!FP150)</f>
        <v>1</v>
      </c>
      <c r="GQ150" s="58">
        <f t="shared" si="247"/>
        <v>7</v>
      </c>
      <c r="GR150" s="58">
        <f t="shared" si="248"/>
        <v>7</v>
      </c>
      <c r="GS150" s="58">
        <f t="shared" si="249"/>
        <v>7</v>
      </c>
      <c r="GT150" s="58">
        <f t="shared" si="250"/>
        <v>7</v>
      </c>
      <c r="GU150" s="58">
        <f>IF(AND(dd_CheckMate214_TTD="Yes",'Effectiveness settings'!BU150=2,'Effectiveness settings'!BX150=2),2,GT150)</f>
        <v>7</v>
      </c>
      <c r="GV150" s="58">
        <f t="shared" si="251"/>
        <v>7</v>
      </c>
      <c r="GW150" s="58">
        <f t="shared" si="252"/>
        <v>7</v>
      </c>
      <c r="GY150" s="58">
        <f>IF(AND(dd_CheckMate214_TTD="Yes",'Effectiveness settings'!BU150=2,'Effectiveness settings'!BX150=2),1,GN150)</f>
        <v>1</v>
      </c>
      <c r="GZ150" s="58">
        <f t="shared" si="253"/>
        <v>1</v>
      </c>
      <c r="HB150" s="58">
        <f t="shared" si="254"/>
        <v>2</v>
      </c>
      <c r="HD150" s="58">
        <f t="shared" si="227"/>
        <v>2</v>
      </c>
      <c r="HE150" s="58">
        <f t="shared" si="228"/>
        <v>1</v>
      </c>
      <c r="HF150" s="58">
        <f t="shared" si="229"/>
        <v>7</v>
      </c>
      <c r="HG150" s="58">
        <f t="shared" si="230"/>
        <v>2</v>
      </c>
      <c r="HH150" s="58">
        <f t="shared" si="231"/>
        <v>1</v>
      </c>
    </row>
    <row r="151" spans="4:216" ht="15.75" x14ac:dyDescent="0.25">
      <c r="D151" s="58" t="str">
        <v>cabozantinib_plus_nivolumab</v>
      </c>
      <c r="I151" s="64" t="s">
        <v>74</v>
      </c>
      <c r="J151" s="519" t="s">
        <v>552</v>
      </c>
      <c r="K151" s="524" t="s">
        <v>67</v>
      </c>
      <c r="L151" s="519"/>
      <c r="M151" s="516" t="s">
        <v>559</v>
      </c>
      <c r="N151" s="64" t="s">
        <v>546</v>
      </c>
      <c r="O151" s="64" t="s">
        <v>117</v>
      </c>
      <c r="P151" s="64" t="s">
        <v>547</v>
      </c>
      <c r="Q151" s="519" t="s">
        <v>552</v>
      </c>
      <c r="R151" s="516" t="s">
        <v>548</v>
      </c>
      <c r="S151" s="497"/>
      <c r="T151" s="497"/>
      <c r="U151" s="497"/>
      <c r="Y151" s="517"/>
      <c r="AA151" s="517"/>
      <c r="AF151" s="517"/>
      <c r="AM151" s="517"/>
      <c r="AO151" s="517"/>
      <c r="AT151" s="517"/>
      <c r="AV151" s="511"/>
      <c r="AW151" s="511"/>
      <c r="AX151" s="511"/>
      <c r="BA151" s="517"/>
      <c r="BC151" s="517"/>
      <c r="BH151" s="517"/>
      <c r="BJ151" s="511"/>
      <c r="BK151" s="511"/>
      <c r="BL151" s="511"/>
      <c r="BQ151" s="58">
        <f t="shared" si="234"/>
        <v>86</v>
      </c>
      <c r="BR151" s="17">
        <v>2</v>
      </c>
      <c r="BS151" s="17" t="s">
        <v>559</v>
      </c>
      <c r="BT151" s="17">
        <v>1</v>
      </c>
      <c r="BU151" s="17">
        <v>1</v>
      </c>
      <c r="BV151" s="17" t="str">
        <f t="shared" si="255"/>
        <v>cabozantinib_plus_nivolumab</v>
      </c>
      <c r="BW151" s="1006" t="str" cm="1">
        <f t="array" ref="BW151">IF(I151="No",I151,INDEX(List_incl_anal_1L_fav,IF(BU151=999,35,BU151+1)))</f>
        <v>Yes</v>
      </c>
      <c r="BX151" s="61">
        <f t="shared" si="256"/>
        <v>1</v>
      </c>
      <c r="BY151" s="531" t="str">
        <f t="shared" ref="BY151:BY163" si="279">J151</f>
        <v>Progression free survival</v>
      </c>
      <c r="BZ151" s="530" t="str">
        <f t="shared" si="257"/>
        <v>PH_NMA</v>
      </c>
      <c r="CA151" s="531">
        <f t="shared" ref="CA151:CA163" si="280">FT151</f>
        <v>0</v>
      </c>
      <c r="CB151" s="530">
        <f t="shared" si="258"/>
        <v>2</v>
      </c>
      <c r="CC151" s="530">
        <f t="shared" si="259"/>
        <v>1</v>
      </c>
      <c r="CD151" s="530">
        <f t="shared" si="260"/>
        <v>7</v>
      </c>
      <c r="CE151" s="1295">
        <f t="shared" si="261"/>
        <v>2</v>
      </c>
      <c r="CF151" s="1301">
        <f t="shared" si="262"/>
        <v>1</v>
      </c>
      <c r="CG151" s="530" t="str">
        <f t="shared" si="263"/>
        <v>Log-logistic</v>
      </c>
      <c r="CH151" s="61">
        <f t="shared" si="264"/>
        <v>0</v>
      </c>
      <c r="CI151" s="61">
        <f t="shared" si="265"/>
        <v>0</v>
      </c>
      <c r="CJ151" s="61">
        <f t="shared" si="266"/>
        <v>0</v>
      </c>
      <c r="DA151" s="1024"/>
      <c r="DB151" s="1024"/>
      <c r="DC151" s="1024"/>
      <c r="DD151" s="1024"/>
      <c r="DE151" s="1024"/>
      <c r="DF151" s="1024"/>
      <c r="DG151" s="1024"/>
      <c r="DK151" s="58" t="str" cm="1">
        <f t="array" ref="DK151">IF(AND($BT151=4,$BX151=4,$BU151=999),$DB$36,_xlfn.IFNA(INDEX(DB$13:DB$70,MATCH(1,($BR151=$CV$13:$CV$70)*($BT151=$CX$13:$CX$70)*($CE151=$CY$13:$CY$70)*($BY151=$DA$13:$DA$70)*($CD151=$DH$13:$DH$70),0)),""))</f>
        <v>Log-logistic</v>
      </c>
      <c r="DL151" s="58" t="str" cm="1">
        <f t="array" ref="DL151">IF(AND($BT151=4,$BX151=4,$BU151=999),$DC$36,_xlfn.IFNA(INDEX(CHOOSE(DP151,DB$13:DB$70,DC$13:DC$70,DD$13:DD$70,DE$13:DE$70),MATCH(1,($BR151=$CV$13:$CV$70)*($BT151=$CX$13:$CX$70)*($CE151=$CY$13:$CY$70)*($BY151=$DA$13:$DA$70)*($CD151=$DH$13:$DH$70),0)),""))</f>
        <v>Log-logistic</v>
      </c>
      <c r="DM151" s="740" cm="1">
        <f t="array" ref="DM151">IF(AND($BT151=4,$BX151=4,$BU151=999),$DD$36,_xlfn.IFNA(INDEX(DD$13:DD$68,MATCH(1,($BR151=$CV$13:$CV$68)*($BT151=$CX$13:$CX$68)*($CE151=$CY$13:$CY$68)*($BY151=$DA$13:$DA$68)*($CD151=$DH$13:$DH$68),0)),""))</f>
        <v>0</v>
      </c>
      <c r="DN151" s="740" cm="1">
        <f t="array" ref="DN151">IF(AND($BT151=4,$BX151=4,$BU151=999),$DD$36,_xlfn.IFNA(INDEX(DE$13:DE$68,MATCH(1,($BR151=$CV$13:$CV$68)*($BT151=$CX$13:$CX$68)*($CE151=$CY$13:$CY$68)*($BY151=$DA$13:$DA$68)*($CD151=$DH$13:$DH$68),0)),""))</f>
        <v>0</v>
      </c>
      <c r="DO151" s="58" t="str" cm="1">
        <f t="array" ref="DO151">IF(AND($BT151=4,$BX151=4,$BU151=999),$DF$36,_xlfn.IFNA(INDEX(DF$13:DF$70,MATCH(1,($BR151=$CV$13:$CV$70)*($BT151=$CX$13:$CX$70)*($CE151=$CY$13:$CY$70)*($BY151=$DA$13:$DA$70)*($CD151=$DH$13:$DH$70),0)),""))</f>
        <v>Base case</v>
      </c>
      <c r="DP151" s="58">
        <f t="shared" si="235"/>
        <v>1</v>
      </c>
      <c r="DW151" s="58" t="s">
        <v>74</v>
      </c>
      <c r="DX151" s="58" t="s">
        <v>552</v>
      </c>
      <c r="DY151" s="58" t="s">
        <v>67</v>
      </c>
      <c r="DZ151" s="58">
        <v>0</v>
      </c>
      <c r="EB151" s="58">
        <v>2</v>
      </c>
      <c r="EC151" s="58">
        <v>1</v>
      </c>
      <c r="ED151" s="58">
        <v>7</v>
      </c>
      <c r="EE151" s="58">
        <v>2</v>
      </c>
      <c r="EF151" s="58">
        <v>1</v>
      </c>
      <c r="EI151" s="58" t="s">
        <v>74</v>
      </c>
      <c r="EJ151" s="58" t="s">
        <v>552</v>
      </c>
      <c r="EK151" s="58" t="s">
        <v>67</v>
      </c>
      <c r="EL151" s="58">
        <v>0</v>
      </c>
      <c r="EN151" s="58">
        <v>2</v>
      </c>
      <c r="EO151" s="58">
        <v>1</v>
      </c>
      <c r="EP151" s="58">
        <v>7</v>
      </c>
      <c r="EQ151" s="58">
        <v>0</v>
      </c>
      <c r="ER151" s="58">
        <v>1</v>
      </c>
      <c r="EU151" s="58" t="str">
        <f t="shared" si="267"/>
        <v>Yes</v>
      </c>
      <c r="EV151" s="58" t="str">
        <f t="shared" si="268"/>
        <v>Progression free survival</v>
      </c>
      <c r="EW151" s="58" t="str">
        <f t="shared" si="269"/>
        <v>PH_NMA</v>
      </c>
      <c r="EX151" s="58">
        <f t="shared" si="270"/>
        <v>0</v>
      </c>
      <c r="EZ151" s="58">
        <f t="shared" si="271"/>
        <v>2</v>
      </c>
      <c r="FA151" s="58">
        <f t="shared" si="272"/>
        <v>1</v>
      </c>
      <c r="FB151" s="58">
        <f>IF(i_eff_inputs_based_on_num=2,ED151,(INDEX(Lists!$L$51:$L$85,MATCH(O151,Lists!$K$51:$K$85,0))))</f>
        <v>7</v>
      </c>
      <c r="FC151" s="58">
        <f>IF(i_eff_inputs_based_on_num=2,EE151,(INDEX(Lists!$L$51:$L$85,MATCH(P151,Lists!$K$51:$K$85,0))))</f>
        <v>2</v>
      </c>
      <c r="FD151" s="58">
        <f>IF(i_eff_inputs_based_on_num=2,EF151,(INDEX(Lists!$L$51:$L$85,MATCH(Q151,Lists!$K$51:$K$85,0))))</f>
        <v>1</v>
      </c>
      <c r="FG151" s="58" t="str">
        <f t="shared" si="273"/>
        <v>Yes</v>
      </c>
      <c r="FH151" s="58" t="str">
        <f t="shared" si="274"/>
        <v>Progression free survival</v>
      </c>
      <c r="FI151" s="58" t="str">
        <f t="shared" si="275"/>
        <v>PH_NMA</v>
      </c>
      <c r="FJ151" s="58">
        <f t="shared" si="276"/>
        <v>0</v>
      </c>
      <c r="FL151" s="58">
        <f t="shared" si="277"/>
        <v>2</v>
      </c>
      <c r="FM151" s="58">
        <f t="shared" si="278"/>
        <v>1</v>
      </c>
      <c r="FN151" s="58">
        <f>IF(i_eff_inputs_based_on_num=2,EP151,(INDEX(Lists!$L$51:$L$85,MATCH(O151,Lists!$K$51:$K$85,0))))</f>
        <v>7</v>
      </c>
      <c r="FO151" s="58">
        <f>IF(i_eff_inputs_based_on_num=2,EQ151,(INDEX(Lists!$L$51:$L$85,MATCH(P151,Lists!$K$51:$K$85,0))))</f>
        <v>0</v>
      </c>
      <c r="FP151" s="58">
        <f>IF(i_eff_inputs_based_on_num=2,ER151,(INDEX(Lists!$L$51:$L$85,MATCH(Q151,Lists!$K$51:$K$85,0))))</f>
        <v>1</v>
      </c>
      <c r="FT151" s="58">
        <f t="shared" si="236"/>
        <v>0</v>
      </c>
      <c r="FW151" s="58" t="str">
        <f>IF(i_baseline_risk_from=2,'Effectiveness settings'!EW151,'Effectiveness settings'!FI151)</f>
        <v>PH_NMA</v>
      </c>
      <c r="FX151" s="58" t="str">
        <f t="shared" si="237"/>
        <v>PH_NMA</v>
      </c>
      <c r="FY151" s="58" t="str">
        <f t="shared" si="238"/>
        <v>PH_NMA</v>
      </c>
      <c r="FZ151" s="58" t="str">
        <f t="shared" si="239"/>
        <v>PH_NMA</v>
      </c>
      <c r="GA151" s="58" t="str">
        <f t="shared" si="240"/>
        <v>PH_NMA</v>
      </c>
      <c r="GB151" s="58" t="str">
        <f t="shared" si="241"/>
        <v>PH_NMA</v>
      </c>
      <c r="GC151" s="58" t="str">
        <f t="shared" si="242"/>
        <v>PH_NMA</v>
      </c>
      <c r="GD151" s="58" t="str">
        <f t="shared" si="243"/>
        <v>PH_NMA</v>
      </c>
      <c r="GE151" s="58" t="str">
        <f>IF(AND(dd_CheckMate214_TTD="Yes",'Effectiveness settings'!BU151=2,'Effectiveness settings'!BX151=2),"Apply HR to",GD151)</f>
        <v>PH_NMA</v>
      </c>
      <c r="GF151" s="58" t="str">
        <f t="shared" si="244"/>
        <v>PH_NMA</v>
      </c>
      <c r="GG151" s="58" t="str">
        <f t="shared" si="245"/>
        <v>PH_NMA</v>
      </c>
      <c r="GH151" s="58" t="str">
        <f t="shared" si="246"/>
        <v>PH_NMA</v>
      </c>
      <c r="GI151" s="58" t="str">
        <f t="shared" si="199"/>
        <v>PH_NMA</v>
      </c>
      <c r="GK151" s="58">
        <f>IF(i_baseline_risk_from=2,'Effectiveness settings'!FA151,'Effectiveness settings'!FM151)</f>
        <v>1</v>
      </c>
      <c r="GL151" s="58">
        <f>IF(i_baseline_risk_from=2,'Effectiveness settings'!FB151,'Effectiveness settings'!FN151)</f>
        <v>7</v>
      </c>
      <c r="GM151" s="58">
        <f>IF(i_baseline_risk_from=2,'Effectiveness settings'!FC151,'Effectiveness settings'!FO151)</f>
        <v>2</v>
      </c>
      <c r="GN151" s="58">
        <f>IF(i_baseline_risk_from=2,'Effectiveness settings'!FD151,'Effectiveness settings'!FP151)</f>
        <v>1</v>
      </c>
      <c r="GQ151" s="58">
        <f t="shared" si="247"/>
        <v>7</v>
      </c>
      <c r="GR151" s="58">
        <f t="shared" si="248"/>
        <v>7</v>
      </c>
      <c r="GS151" s="58">
        <f t="shared" si="249"/>
        <v>7</v>
      </c>
      <c r="GT151" s="58">
        <f t="shared" si="250"/>
        <v>7</v>
      </c>
      <c r="GU151" s="58">
        <f>IF(AND(dd_CheckMate214_TTD="Yes",'Effectiveness settings'!BU151=2,'Effectiveness settings'!BX151=2),2,GT151)</f>
        <v>7</v>
      </c>
      <c r="GV151" s="58">
        <f t="shared" si="251"/>
        <v>7</v>
      </c>
      <c r="GW151" s="58">
        <f t="shared" si="252"/>
        <v>7</v>
      </c>
      <c r="GY151" s="58">
        <f>IF(AND(dd_CheckMate214_TTD="Yes",'Effectiveness settings'!BU151=2,'Effectiveness settings'!BX151=2),1,GN151)</f>
        <v>1</v>
      </c>
      <c r="GZ151" s="58">
        <f t="shared" si="253"/>
        <v>1</v>
      </c>
      <c r="HB151" s="58">
        <f t="shared" si="254"/>
        <v>2</v>
      </c>
      <c r="HD151" s="58">
        <f t="shared" si="227"/>
        <v>2</v>
      </c>
      <c r="HE151" s="58">
        <f t="shared" si="228"/>
        <v>1</v>
      </c>
      <c r="HF151" s="58">
        <f t="shared" si="229"/>
        <v>7</v>
      </c>
      <c r="HG151" s="58">
        <f t="shared" si="230"/>
        <v>2</v>
      </c>
      <c r="HH151" s="58">
        <f t="shared" si="231"/>
        <v>1</v>
      </c>
    </row>
    <row r="152" spans="4:216" ht="15.75" x14ac:dyDescent="0.25">
      <c r="D152" s="58" t="str">
        <v>nivolumab_plus_ipilimumab</v>
      </c>
      <c r="I152" s="64" t="s">
        <v>58</v>
      </c>
      <c r="J152" s="519" t="s">
        <v>552</v>
      </c>
      <c r="K152" s="524" t="s">
        <v>67</v>
      </c>
      <c r="L152" s="519"/>
      <c r="M152" s="516" t="s">
        <v>559</v>
      </c>
      <c r="N152" s="64" t="s">
        <v>546</v>
      </c>
      <c r="O152" s="64" t="s">
        <v>117</v>
      </c>
      <c r="P152" s="64" t="s">
        <v>547</v>
      </c>
      <c r="Q152" s="519" t="s">
        <v>552</v>
      </c>
      <c r="R152" s="516" t="s">
        <v>548</v>
      </c>
      <c r="S152" s="497"/>
      <c r="T152" s="497"/>
      <c r="U152" s="497"/>
      <c r="Y152" s="517"/>
      <c r="AA152" s="517"/>
      <c r="AF152" s="517"/>
      <c r="AM152" s="517"/>
      <c r="AO152" s="517"/>
      <c r="AT152" s="517"/>
      <c r="AV152" s="511"/>
      <c r="AW152" s="511"/>
      <c r="AX152" s="511"/>
      <c r="BA152" s="517"/>
      <c r="BC152" s="517"/>
      <c r="BH152" s="517"/>
      <c r="BJ152" s="511"/>
      <c r="BK152" s="511"/>
      <c r="BL152" s="511"/>
      <c r="BQ152" s="58">
        <f t="shared" si="234"/>
        <v>87</v>
      </c>
      <c r="BR152" s="17">
        <v>2</v>
      </c>
      <c r="BS152" s="17" t="s">
        <v>559</v>
      </c>
      <c r="BT152" s="17">
        <v>1</v>
      </c>
      <c r="BU152" s="17">
        <v>2</v>
      </c>
      <c r="BV152" s="17" t="str">
        <f t="shared" si="255"/>
        <v>nivolumab_plus_ipilimumab</v>
      </c>
      <c r="BW152" s="1006" t="str" cm="1">
        <f t="array" ref="BW152">IF(I152="No",I152,INDEX(List_incl_anal_1L_fav,IF(BU152=999,35,BU152+1)))</f>
        <v>No</v>
      </c>
      <c r="BX152" s="61">
        <f t="shared" si="256"/>
        <v>1</v>
      </c>
      <c r="BY152" s="531" t="str">
        <f t="shared" si="279"/>
        <v>Progression free survival</v>
      </c>
      <c r="BZ152" s="530">
        <f t="shared" si="257"/>
        <v>0</v>
      </c>
      <c r="CA152" s="531">
        <f t="shared" si="280"/>
        <v>0</v>
      </c>
      <c r="CB152" s="530">
        <f t="shared" si="258"/>
        <v>2</v>
      </c>
      <c r="CC152" s="530">
        <f t="shared" si="259"/>
        <v>1</v>
      </c>
      <c r="CD152" s="530">
        <f t="shared" si="260"/>
        <v>7</v>
      </c>
      <c r="CE152" s="1295">
        <f t="shared" si="261"/>
        <v>2</v>
      </c>
      <c r="CF152" s="1301">
        <f t="shared" si="262"/>
        <v>1</v>
      </c>
      <c r="CG152" s="530" t="str">
        <f t="shared" si="263"/>
        <v>Log-logistic</v>
      </c>
      <c r="CH152" s="61">
        <f t="shared" si="264"/>
        <v>0</v>
      </c>
      <c r="CI152" s="61">
        <f t="shared" si="265"/>
        <v>0</v>
      </c>
      <c r="CJ152" s="61">
        <f t="shared" si="266"/>
        <v>0</v>
      </c>
      <c r="DA152" s="1024"/>
      <c r="DB152" s="1024"/>
      <c r="DC152" s="1024"/>
      <c r="DD152" s="1024"/>
      <c r="DE152" s="1024"/>
      <c r="DF152" s="1024"/>
      <c r="DG152" s="1024"/>
      <c r="DK152" s="58" t="str" cm="1">
        <f t="array" ref="DK152">IF(AND($BT152=4,$BX152=4,$BU152=999),$DB$36,_xlfn.IFNA(INDEX(DB$13:DB$70,MATCH(1,($BR152=$CV$13:$CV$70)*($BT152=$CX$13:$CX$70)*($CE152=$CY$13:$CY$70)*($BY152=$DA$13:$DA$70)*($CD152=$DH$13:$DH$70),0)),""))</f>
        <v>Log-logistic</v>
      </c>
      <c r="DL152" s="58" t="str" cm="1">
        <f t="array" ref="DL152">IF(AND($BT152=4,$BX152=4,$BU152=999),$DC$36,_xlfn.IFNA(INDEX(CHOOSE(DP152,DB$13:DB$70,DC$13:DC$70,DD$13:DD$70,DE$13:DE$70),MATCH(1,($BR152=$CV$13:$CV$70)*($BT152=$CX$13:$CX$70)*($CE152=$CY$13:$CY$70)*($BY152=$DA$13:$DA$70)*($CD152=$DH$13:$DH$70),0)),""))</f>
        <v>Log-logistic</v>
      </c>
      <c r="DM152" s="740" cm="1">
        <f t="array" ref="DM152">IF(AND($BT152=4,$BX152=4,$BU152=999),$DD$36,_xlfn.IFNA(INDEX(DD$13:DD$68,MATCH(1,($BR152=$CV$13:$CV$68)*($BT152=$CX$13:$CX$68)*($CE152=$CY$13:$CY$68)*($BY152=$DA$13:$DA$68)*($CD152=$DH$13:$DH$68),0)),""))</f>
        <v>0</v>
      </c>
      <c r="DN152" s="740" cm="1">
        <f t="array" ref="DN152">IF(AND($BT152=4,$BX152=4,$BU152=999),$DD$36,_xlfn.IFNA(INDEX(DE$13:DE$68,MATCH(1,($BR152=$CV$13:$CV$68)*($BT152=$CX$13:$CX$68)*($CE152=$CY$13:$CY$68)*($BY152=$DA$13:$DA$68)*($CD152=$DH$13:$DH$68),0)),""))</f>
        <v>0</v>
      </c>
      <c r="DO152" s="58" t="str" cm="1">
        <f t="array" ref="DO152">IF(AND($BT152=4,$BX152=4,$BU152=999),$DF$36,_xlfn.IFNA(INDEX(DF$13:DF$70,MATCH(1,($BR152=$CV$13:$CV$70)*($BT152=$CX$13:$CX$70)*($CE152=$CY$13:$CY$70)*($BY152=$DA$13:$DA$70)*($CD152=$DH$13:$DH$70),0)),""))</f>
        <v>Base case</v>
      </c>
      <c r="DP152" s="58">
        <f t="shared" si="235"/>
        <v>1</v>
      </c>
      <c r="DW152" s="58" t="s">
        <v>58</v>
      </c>
      <c r="DX152" s="58" t="s">
        <v>552</v>
      </c>
      <c r="DY152" s="58">
        <v>0</v>
      </c>
      <c r="DZ152" s="58">
        <v>0</v>
      </c>
      <c r="EB152" s="58">
        <v>2</v>
      </c>
      <c r="EC152" s="58">
        <v>1</v>
      </c>
      <c r="ED152" s="58">
        <v>7</v>
      </c>
      <c r="EE152" s="58">
        <v>2</v>
      </c>
      <c r="EF152" s="58">
        <v>1</v>
      </c>
      <c r="EI152" s="58" t="s">
        <v>58</v>
      </c>
      <c r="EJ152" s="58" t="s">
        <v>552</v>
      </c>
      <c r="EK152" s="58">
        <v>0</v>
      </c>
      <c r="EL152" s="58">
        <v>0</v>
      </c>
      <c r="EN152" s="58">
        <v>2</v>
      </c>
      <c r="EO152" s="58">
        <v>1</v>
      </c>
      <c r="EP152" s="58">
        <v>7</v>
      </c>
      <c r="EQ152" s="58">
        <v>0</v>
      </c>
      <c r="ER152" s="58">
        <v>1</v>
      </c>
      <c r="EU152" s="58" t="str">
        <f t="shared" si="267"/>
        <v>No</v>
      </c>
      <c r="EV152" s="58" t="str">
        <f t="shared" si="268"/>
        <v>Progression free survival</v>
      </c>
      <c r="EW152" s="58">
        <f t="shared" si="269"/>
        <v>0</v>
      </c>
      <c r="EX152" s="58">
        <f t="shared" si="270"/>
        <v>0</v>
      </c>
      <c r="EZ152" s="58">
        <f t="shared" si="271"/>
        <v>2</v>
      </c>
      <c r="FA152" s="58">
        <f t="shared" si="272"/>
        <v>1</v>
      </c>
      <c r="FB152" s="58">
        <f>IF(i_eff_inputs_based_on_num=2,ED152,(INDEX(Lists!$L$51:$L$85,MATCH(O152,Lists!$K$51:$K$85,0))))</f>
        <v>7</v>
      </c>
      <c r="FC152" s="58">
        <f>IF(i_eff_inputs_based_on_num=2,EE152,(INDEX(Lists!$L$51:$L$85,MATCH(P152,Lists!$K$51:$K$85,0))))</f>
        <v>2</v>
      </c>
      <c r="FD152" s="58">
        <f>IF(i_eff_inputs_based_on_num=2,EF152,(INDEX(Lists!$L$51:$L$85,MATCH(Q152,Lists!$K$51:$K$85,0))))</f>
        <v>1</v>
      </c>
      <c r="FG152" s="58" t="str">
        <f t="shared" si="273"/>
        <v>No</v>
      </c>
      <c r="FH152" s="58" t="str">
        <f t="shared" si="274"/>
        <v>Progression free survival</v>
      </c>
      <c r="FI152" s="58">
        <f t="shared" si="275"/>
        <v>0</v>
      </c>
      <c r="FJ152" s="58">
        <f t="shared" si="276"/>
        <v>0</v>
      </c>
      <c r="FL152" s="58">
        <f t="shared" si="277"/>
        <v>2</v>
      </c>
      <c r="FM152" s="58">
        <f t="shared" si="278"/>
        <v>1</v>
      </c>
      <c r="FN152" s="58">
        <f>IF(i_eff_inputs_based_on_num=2,EP152,(INDEX(Lists!$L$51:$L$85,MATCH(O152,Lists!$K$51:$K$85,0))))</f>
        <v>7</v>
      </c>
      <c r="FO152" s="58">
        <f>IF(i_eff_inputs_based_on_num=2,EQ152,(INDEX(Lists!$L$51:$L$85,MATCH(P152,Lists!$K$51:$K$85,0))))</f>
        <v>0</v>
      </c>
      <c r="FP152" s="58">
        <f>IF(i_eff_inputs_based_on_num=2,ER152,(INDEX(Lists!$L$51:$L$85,MATCH(Q152,Lists!$K$51:$K$85,0))))</f>
        <v>1</v>
      </c>
      <c r="FT152" s="58">
        <f t="shared" si="236"/>
        <v>0</v>
      </c>
      <c r="FW152" s="58">
        <f>IF(i_baseline_risk_from=2,'Effectiveness settings'!EW152,'Effectiveness settings'!FI152)</f>
        <v>0</v>
      </c>
      <c r="FX152" s="58">
        <f t="shared" si="237"/>
        <v>0</v>
      </c>
      <c r="FY152" s="58">
        <f t="shared" si="238"/>
        <v>0</v>
      </c>
      <c r="FZ152" s="58">
        <f t="shared" si="239"/>
        <v>0</v>
      </c>
      <c r="GA152" s="58">
        <f t="shared" si="240"/>
        <v>0</v>
      </c>
      <c r="GB152" s="58">
        <f t="shared" si="241"/>
        <v>0</v>
      </c>
      <c r="GC152" s="58">
        <f t="shared" si="242"/>
        <v>0</v>
      </c>
      <c r="GD152" s="58">
        <f t="shared" si="243"/>
        <v>0</v>
      </c>
      <c r="GE152" s="58">
        <f>IF(AND(dd_CheckMate214_TTD="Yes",'Effectiveness settings'!BU152=2,'Effectiveness settings'!BX152=2),"Apply HR to",GD152)</f>
        <v>0</v>
      </c>
      <c r="GF152" s="58">
        <f t="shared" si="244"/>
        <v>0</v>
      </c>
      <c r="GG152" s="58">
        <f t="shared" si="245"/>
        <v>0</v>
      </c>
      <c r="GH152" s="58">
        <f t="shared" si="246"/>
        <v>0</v>
      </c>
      <c r="GI152" s="58">
        <f t="shared" si="199"/>
        <v>0</v>
      </c>
      <c r="GK152" s="58">
        <f>IF(i_baseline_risk_from=2,'Effectiveness settings'!FA152,'Effectiveness settings'!FM152)</f>
        <v>1</v>
      </c>
      <c r="GL152" s="58">
        <f>IF(i_baseline_risk_from=2,'Effectiveness settings'!FB152,'Effectiveness settings'!FN152)</f>
        <v>7</v>
      </c>
      <c r="GM152" s="58">
        <f>IF(i_baseline_risk_from=2,'Effectiveness settings'!FC152,'Effectiveness settings'!FO152)</f>
        <v>2</v>
      </c>
      <c r="GN152" s="58">
        <f>IF(i_baseline_risk_from=2,'Effectiveness settings'!FD152,'Effectiveness settings'!FP152)</f>
        <v>1</v>
      </c>
      <c r="GQ152" s="58">
        <f t="shared" si="247"/>
        <v>7</v>
      </c>
      <c r="GR152" s="58">
        <f t="shared" si="248"/>
        <v>7</v>
      </c>
      <c r="GS152" s="58">
        <f t="shared" si="249"/>
        <v>7</v>
      </c>
      <c r="GT152" s="58">
        <f t="shared" si="250"/>
        <v>7</v>
      </c>
      <c r="GU152" s="58">
        <f>IF(AND(dd_CheckMate214_TTD="Yes",'Effectiveness settings'!BU152=2,'Effectiveness settings'!BX152=2),2,GT152)</f>
        <v>7</v>
      </c>
      <c r="GV152" s="58">
        <f t="shared" si="251"/>
        <v>7</v>
      </c>
      <c r="GW152" s="58">
        <f t="shared" si="252"/>
        <v>7</v>
      </c>
      <c r="GY152" s="58">
        <f>IF(AND(dd_CheckMate214_TTD="Yes",'Effectiveness settings'!BU152=2,'Effectiveness settings'!BX152=2),1,GN152)</f>
        <v>1</v>
      </c>
      <c r="GZ152" s="58">
        <f t="shared" si="253"/>
        <v>1</v>
      </c>
      <c r="HB152" s="58">
        <f t="shared" si="254"/>
        <v>2</v>
      </c>
      <c r="HD152" s="58">
        <f t="shared" si="227"/>
        <v>2</v>
      </c>
      <c r="HE152" s="58">
        <f t="shared" si="228"/>
        <v>1</v>
      </c>
      <c r="HF152" s="58">
        <f t="shared" si="229"/>
        <v>7</v>
      </c>
      <c r="HG152" s="58">
        <f t="shared" si="230"/>
        <v>2</v>
      </c>
      <c r="HH152" s="58">
        <f t="shared" si="231"/>
        <v>1</v>
      </c>
    </row>
    <row r="153" spans="4:216" ht="15.75" x14ac:dyDescent="0.25">
      <c r="D153" s="58" t="str">
        <v>lenvatinib_plus_pembrolizumab</v>
      </c>
      <c r="I153" s="64" t="s">
        <v>58</v>
      </c>
      <c r="J153" s="519" t="s">
        <v>552</v>
      </c>
      <c r="K153" s="524" t="s">
        <v>67</v>
      </c>
      <c r="L153" s="519"/>
      <c r="M153" s="516" t="s">
        <v>559</v>
      </c>
      <c r="N153" s="64" t="s">
        <v>546</v>
      </c>
      <c r="O153" s="64" t="s">
        <v>117</v>
      </c>
      <c r="P153" s="64" t="s">
        <v>547</v>
      </c>
      <c r="Q153" s="519" t="s">
        <v>552</v>
      </c>
      <c r="R153" s="516" t="s">
        <v>548</v>
      </c>
      <c r="S153" s="497"/>
      <c r="T153" s="497"/>
      <c r="U153" s="497"/>
      <c r="Y153" s="517"/>
      <c r="AA153" s="517"/>
      <c r="AF153" s="517"/>
      <c r="AM153" s="517"/>
      <c r="AO153" s="517"/>
      <c r="AT153" s="517"/>
      <c r="AV153" s="511"/>
      <c r="AW153" s="511"/>
      <c r="AX153" s="511"/>
      <c r="BA153" s="517"/>
      <c r="BC153" s="517"/>
      <c r="BH153" s="517"/>
      <c r="BJ153" s="511"/>
      <c r="BK153" s="511"/>
      <c r="BL153" s="511"/>
      <c r="BQ153" s="58">
        <f t="shared" si="234"/>
        <v>88</v>
      </c>
      <c r="BR153" s="17">
        <v>2</v>
      </c>
      <c r="BS153" s="17" t="s">
        <v>559</v>
      </c>
      <c r="BT153" s="17">
        <v>1</v>
      </c>
      <c r="BU153" s="17">
        <v>3</v>
      </c>
      <c r="BV153" s="17" t="str">
        <f t="shared" si="255"/>
        <v>lenvatinib_plus_pembrolizumab</v>
      </c>
      <c r="BW153" s="1006" t="str" cm="1">
        <f t="array" ref="BW153">IF(I153="No",I153,INDEX(List_incl_anal_1L_fav,IF(BU153=999,35,BU153+1)))</f>
        <v>No</v>
      </c>
      <c r="BX153" s="61">
        <f t="shared" si="256"/>
        <v>1</v>
      </c>
      <c r="BY153" s="531" t="str">
        <f t="shared" si="279"/>
        <v>Progression free survival</v>
      </c>
      <c r="BZ153" s="530">
        <f t="shared" si="257"/>
        <v>0</v>
      </c>
      <c r="CA153" s="531">
        <f t="shared" si="280"/>
        <v>0</v>
      </c>
      <c r="CB153" s="530">
        <f t="shared" si="258"/>
        <v>2</v>
      </c>
      <c r="CC153" s="530">
        <f t="shared" si="259"/>
        <v>1</v>
      </c>
      <c r="CD153" s="530">
        <f t="shared" si="260"/>
        <v>7</v>
      </c>
      <c r="CE153" s="1295">
        <f t="shared" si="261"/>
        <v>2</v>
      </c>
      <c r="CF153" s="1301">
        <f t="shared" si="262"/>
        <v>1</v>
      </c>
      <c r="CG153" s="530" t="str">
        <f t="shared" si="263"/>
        <v>Log-logistic</v>
      </c>
      <c r="CH153" s="61">
        <f t="shared" si="264"/>
        <v>0</v>
      </c>
      <c r="CI153" s="61">
        <f t="shared" si="265"/>
        <v>0</v>
      </c>
      <c r="CJ153" s="61">
        <f t="shared" si="266"/>
        <v>0</v>
      </c>
      <c r="DA153" s="1024"/>
      <c r="DB153" s="1024"/>
      <c r="DC153" s="1024"/>
      <c r="DD153" s="1024"/>
      <c r="DE153" s="1024"/>
      <c r="DF153" s="1024"/>
      <c r="DG153" s="1024"/>
      <c r="DK153" s="58" t="str" cm="1">
        <f t="array" ref="DK153">IF(AND($BT153=4,$BX153=4,$BU153=999),$DB$36,_xlfn.IFNA(INDEX(DB$13:DB$70,MATCH(1,($BR153=$CV$13:$CV$70)*($BT153=$CX$13:$CX$70)*($CE153=$CY$13:$CY$70)*($BY153=$DA$13:$DA$70)*($CD153=$DH$13:$DH$70),0)),""))</f>
        <v>Log-logistic</v>
      </c>
      <c r="DL153" s="58" t="str" cm="1">
        <f t="array" ref="DL153">IF(AND($BT153=4,$BX153=4,$BU153=999),$DC$36,_xlfn.IFNA(INDEX(CHOOSE(DP153,DB$13:DB$70,DC$13:DC$70,DD$13:DD$70,DE$13:DE$70),MATCH(1,($BR153=$CV$13:$CV$70)*($BT153=$CX$13:$CX$70)*($CE153=$CY$13:$CY$70)*($BY153=$DA$13:$DA$70)*($CD153=$DH$13:$DH$70),0)),""))</f>
        <v>Log-logistic</v>
      </c>
      <c r="DM153" s="740" cm="1">
        <f t="array" ref="DM153">IF(AND($BT153=4,$BX153=4,$BU153=999),$DD$36,_xlfn.IFNA(INDEX(DD$13:DD$68,MATCH(1,($BR153=$CV$13:$CV$68)*($BT153=$CX$13:$CX$68)*($CE153=$CY$13:$CY$68)*($BY153=$DA$13:$DA$68)*($CD153=$DH$13:$DH$68),0)),""))</f>
        <v>0</v>
      </c>
      <c r="DN153" s="740" cm="1">
        <f t="array" ref="DN153">IF(AND($BT153=4,$BX153=4,$BU153=999),$DD$36,_xlfn.IFNA(INDEX(DE$13:DE$68,MATCH(1,($BR153=$CV$13:$CV$68)*($BT153=$CX$13:$CX$68)*($CE153=$CY$13:$CY$68)*($BY153=$DA$13:$DA$68)*($CD153=$DH$13:$DH$68),0)),""))</f>
        <v>0</v>
      </c>
      <c r="DO153" s="58" t="str" cm="1">
        <f t="array" ref="DO153">IF(AND($BT153=4,$BX153=4,$BU153=999),$DF$36,_xlfn.IFNA(INDEX(DF$13:DF$70,MATCH(1,($BR153=$CV$13:$CV$70)*($BT153=$CX$13:$CX$70)*($CE153=$CY$13:$CY$70)*($BY153=$DA$13:$DA$70)*($CD153=$DH$13:$DH$70),0)),""))</f>
        <v>Base case</v>
      </c>
      <c r="DP153" s="58">
        <f t="shared" si="235"/>
        <v>1</v>
      </c>
      <c r="DW153" s="58" t="s">
        <v>58</v>
      </c>
      <c r="DX153" s="58" t="s">
        <v>552</v>
      </c>
      <c r="DY153" s="58">
        <v>0</v>
      </c>
      <c r="DZ153" s="58">
        <v>0</v>
      </c>
      <c r="EB153" s="58">
        <v>2</v>
      </c>
      <c r="EC153" s="58">
        <v>1</v>
      </c>
      <c r="ED153" s="58">
        <v>7</v>
      </c>
      <c r="EE153" s="58">
        <v>2</v>
      </c>
      <c r="EF153" s="58">
        <v>1</v>
      </c>
      <c r="EI153" s="58" t="s">
        <v>58</v>
      </c>
      <c r="EJ153" s="58" t="s">
        <v>552</v>
      </c>
      <c r="EK153" s="58">
        <v>0</v>
      </c>
      <c r="EL153" s="58">
        <v>0</v>
      </c>
      <c r="EN153" s="58">
        <v>2</v>
      </c>
      <c r="EO153" s="58">
        <v>1</v>
      </c>
      <c r="EP153" s="58">
        <v>7</v>
      </c>
      <c r="EQ153" s="58">
        <v>0</v>
      </c>
      <c r="ER153" s="58">
        <v>1</v>
      </c>
      <c r="EU153" s="58" t="str">
        <f t="shared" si="267"/>
        <v>No</v>
      </c>
      <c r="EV153" s="58" t="str">
        <f t="shared" si="268"/>
        <v>Progression free survival</v>
      </c>
      <c r="EW153" s="58">
        <f t="shared" si="269"/>
        <v>0</v>
      </c>
      <c r="EX153" s="58">
        <f t="shared" si="270"/>
        <v>0</v>
      </c>
      <c r="EZ153" s="58">
        <f t="shared" si="271"/>
        <v>2</v>
      </c>
      <c r="FA153" s="58">
        <f t="shared" si="272"/>
        <v>1</v>
      </c>
      <c r="FB153" s="58">
        <f>IF(i_eff_inputs_based_on_num=2,ED153,(INDEX(Lists!$L$51:$L$85,MATCH(O153,Lists!$K$51:$K$85,0))))</f>
        <v>7</v>
      </c>
      <c r="FC153" s="58">
        <f>IF(i_eff_inputs_based_on_num=2,EE153,(INDEX(Lists!$L$51:$L$85,MATCH(P153,Lists!$K$51:$K$85,0))))</f>
        <v>2</v>
      </c>
      <c r="FD153" s="58">
        <f>IF(i_eff_inputs_based_on_num=2,EF153,(INDEX(Lists!$L$51:$L$85,MATCH(Q153,Lists!$K$51:$K$85,0))))</f>
        <v>1</v>
      </c>
      <c r="FG153" s="58" t="str">
        <f t="shared" si="273"/>
        <v>No</v>
      </c>
      <c r="FH153" s="58" t="str">
        <f t="shared" si="274"/>
        <v>Progression free survival</v>
      </c>
      <c r="FI153" s="58">
        <f t="shared" si="275"/>
        <v>0</v>
      </c>
      <c r="FJ153" s="58">
        <f t="shared" si="276"/>
        <v>0</v>
      </c>
      <c r="FL153" s="58">
        <f t="shared" si="277"/>
        <v>2</v>
      </c>
      <c r="FM153" s="58">
        <f t="shared" si="278"/>
        <v>1</v>
      </c>
      <c r="FN153" s="58">
        <f>IF(i_eff_inputs_based_on_num=2,EP153,(INDEX(Lists!$L$51:$L$85,MATCH(O153,Lists!$K$51:$K$85,0))))</f>
        <v>7</v>
      </c>
      <c r="FO153" s="58">
        <f>IF(i_eff_inputs_based_on_num=2,EQ153,(INDEX(Lists!$L$51:$L$85,MATCH(P153,Lists!$K$51:$K$85,0))))</f>
        <v>0</v>
      </c>
      <c r="FP153" s="58">
        <f>IF(i_eff_inputs_based_on_num=2,ER153,(INDEX(Lists!$L$51:$L$85,MATCH(Q153,Lists!$K$51:$K$85,0))))</f>
        <v>1</v>
      </c>
      <c r="FT153" s="58">
        <f t="shared" si="236"/>
        <v>0</v>
      </c>
      <c r="FW153" s="58">
        <f>IF(i_baseline_risk_from=2,'Effectiveness settings'!EW153,'Effectiveness settings'!FI153)</f>
        <v>0</v>
      </c>
      <c r="FX153" s="58">
        <f t="shared" si="237"/>
        <v>0</v>
      </c>
      <c r="FY153" s="58">
        <f t="shared" si="238"/>
        <v>0</v>
      </c>
      <c r="FZ153" s="58">
        <f t="shared" si="239"/>
        <v>0</v>
      </c>
      <c r="GA153" s="58">
        <f t="shared" si="240"/>
        <v>0</v>
      </c>
      <c r="GB153" s="58">
        <f t="shared" si="241"/>
        <v>0</v>
      </c>
      <c r="GC153" s="58">
        <f t="shared" si="242"/>
        <v>0</v>
      </c>
      <c r="GD153" s="58">
        <f t="shared" si="243"/>
        <v>0</v>
      </c>
      <c r="GE153" s="58">
        <f>IF(AND(dd_CheckMate214_TTD="Yes",'Effectiveness settings'!BU153=2,'Effectiveness settings'!BX153=2),"Apply HR to",GD153)</f>
        <v>0</v>
      </c>
      <c r="GF153" s="58">
        <f t="shared" si="244"/>
        <v>0</v>
      </c>
      <c r="GG153" s="58">
        <f t="shared" si="245"/>
        <v>0</v>
      </c>
      <c r="GH153" s="58">
        <f t="shared" si="246"/>
        <v>0</v>
      </c>
      <c r="GI153" s="58">
        <f t="shared" si="199"/>
        <v>0</v>
      </c>
      <c r="GK153" s="58">
        <f>IF(i_baseline_risk_from=2,'Effectiveness settings'!FA153,'Effectiveness settings'!FM153)</f>
        <v>1</v>
      </c>
      <c r="GL153" s="58">
        <f>IF(i_baseline_risk_from=2,'Effectiveness settings'!FB153,'Effectiveness settings'!FN153)</f>
        <v>7</v>
      </c>
      <c r="GM153" s="58">
        <f>IF(i_baseline_risk_from=2,'Effectiveness settings'!FC153,'Effectiveness settings'!FO153)</f>
        <v>2</v>
      </c>
      <c r="GN153" s="58">
        <f>IF(i_baseline_risk_from=2,'Effectiveness settings'!FD153,'Effectiveness settings'!FP153)</f>
        <v>1</v>
      </c>
      <c r="GQ153" s="58">
        <f t="shared" si="247"/>
        <v>7</v>
      </c>
      <c r="GR153" s="58">
        <f t="shared" si="248"/>
        <v>7</v>
      </c>
      <c r="GS153" s="58">
        <f t="shared" si="249"/>
        <v>7</v>
      </c>
      <c r="GT153" s="58">
        <f t="shared" si="250"/>
        <v>7</v>
      </c>
      <c r="GU153" s="58">
        <f>IF(AND(dd_CheckMate214_TTD="Yes",'Effectiveness settings'!BU153=2,'Effectiveness settings'!BX153=2),2,GT153)</f>
        <v>7</v>
      </c>
      <c r="GV153" s="58">
        <f t="shared" si="251"/>
        <v>7</v>
      </c>
      <c r="GW153" s="58">
        <f t="shared" si="252"/>
        <v>7</v>
      </c>
      <c r="GY153" s="58">
        <f>IF(AND(dd_CheckMate214_TTD="Yes",'Effectiveness settings'!BU153=2,'Effectiveness settings'!BX153=2),1,GN153)</f>
        <v>1</v>
      </c>
      <c r="GZ153" s="58">
        <f t="shared" si="253"/>
        <v>1</v>
      </c>
      <c r="HB153" s="58">
        <f t="shared" si="254"/>
        <v>2</v>
      </c>
      <c r="HD153" s="58">
        <f t="shared" si="227"/>
        <v>2</v>
      </c>
      <c r="HE153" s="58">
        <f t="shared" si="228"/>
        <v>1</v>
      </c>
      <c r="HF153" s="58">
        <f t="shared" si="229"/>
        <v>7</v>
      </c>
      <c r="HG153" s="58">
        <f t="shared" si="230"/>
        <v>2</v>
      </c>
      <c r="HH153" s="58">
        <f t="shared" si="231"/>
        <v>1</v>
      </c>
    </row>
    <row r="154" spans="4:216" ht="15.75" x14ac:dyDescent="0.25">
      <c r="D154" s="58" t="str">
        <v>avelumab_plus_axitinib</v>
      </c>
      <c r="I154" s="739" t="str">
        <f>dd_incl_ave_plus_axi</f>
        <v>No</v>
      </c>
      <c r="J154" s="519" t="s">
        <v>552</v>
      </c>
      <c r="K154" s="524" t="s">
        <v>67</v>
      </c>
      <c r="L154" s="519"/>
      <c r="M154" s="516" t="s">
        <v>559</v>
      </c>
      <c r="N154" s="64" t="s">
        <v>546</v>
      </c>
      <c r="O154" s="64" t="s">
        <v>117</v>
      </c>
      <c r="P154" s="64" t="s">
        <v>547</v>
      </c>
      <c r="Q154" s="519" t="s">
        <v>552</v>
      </c>
      <c r="R154" s="516" t="s">
        <v>548</v>
      </c>
      <c r="S154" s="497"/>
      <c r="T154" s="497"/>
      <c r="U154" s="497"/>
      <c r="Y154" s="517"/>
      <c r="AA154" s="517"/>
      <c r="AF154" s="517"/>
      <c r="AM154" s="517"/>
      <c r="AO154" s="517"/>
      <c r="AT154" s="517"/>
      <c r="AV154" s="511"/>
      <c r="AW154" s="511"/>
      <c r="AX154" s="511"/>
      <c r="BA154" s="517"/>
      <c r="BC154" s="517"/>
      <c r="BH154" s="517"/>
      <c r="BJ154" s="511"/>
      <c r="BK154" s="511"/>
      <c r="BL154" s="511"/>
      <c r="BQ154" s="58">
        <f t="shared" si="234"/>
        <v>89</v>
      </c>
      <c r="BR154" s="17">
        <v>2</v>
      </c>
      <c r="BS154" s="17" t="s">
        <v>559</v>
      </c>
      <c r="BT154" s="17">
        <v>1</v>
      </c>
      <c r="BU154" s="17">
        <v>4</v>
      </c>
      <c r="BV154" s="17" t="str">
        <f t="shared" si="255"/>
        <v>avelumab_plus_axitinib</v>
      </c>
      <c r="BW154" s="1006" t="str" cm="1">
        <f t="array" ref="BW154">IF(I154="No",I154,INDEX(List_incl_anal_1L_fav,IF(BU154=999,35,BU154+1)))</f>
        <v>No</v>
      </c>
      <c r="BX154" s="61">
        <f t="shared" si="256"/>
        <v>1</v>
      </c>
      <c r="BY154" s="531" t="str">
        <f t="shared" si="279"/>
        <v>Progression free survival</v>
      </c>
      <c r="BZ154" s="530" t="str">
        <f t="shared" si="257"/>
        <v>PH_NMA</v>
      </c>
      <c r="CA154" s="531">
        <f t="shared" si="280"/>
        <v>0</v>
      </c>
      <c r="CB154" s="530">
        <f t="shared" si="258"/>
        <v>2</v>
      </c>
      <c r="CC154" s="530">
        <f t="shared" si="259"/>
        <v>1</v>
      </c>
      <c r="CD154" s="530">
        <f t="shared" si="260"/>
        <v>7</v>
      </c>
      <c r="CE154" s="1295">
        <f t="shared" si="261"/>
        <v>2</v>
      </c>
      <c r="CF154" s="1301">
        <f t="shared" si="262"/>
        <v>1</v>
      </c>
      <c r="CG154" s="530" t="str">
        <f t="shared" si="263"/>
        <v>Log-logistic</v>
      </c>
      <c r="CH154" s="61">
        <f t="shared" si="264"/>
        <v>0</v>
      </c>
      <c r="CI154" s="61">
        <f t="shared" si="265"/>
        <v>0</v>
      </c>
      <c r="CJ154" s="61">
        <f t="shared" si="266"/>
        <v>0</v>
      </c>
      <c r="DA154" s="1024"/>
      <c r="DB154" s="1024"/>
      <c r="DC154" s="1024"/>
      <c r="DD154" s="1024"/>
      <c r="DE154" s="1024"/>
      <c r="DF154" s="1024"/>
      <c r="DG154" s="1024"/>
      <c r="DK154" s="58" t="str" cm="1">
        <f t="array" ref="DK154">IF(AND($BT154=4,$BX154=4,$BU154=999),$DB$36,_xlfn.IFNA(INDEX(DB$13:DB$70,MATCH(1,($BR154=$CV$13:$CV$70)*($BT154=$CX$13:$CX$70)*($CE154=$CY$13:$CY$70)*($BY154=$DA$13:$DA$70)*($CD154=$DH$13:$DH$70),0)),""))</f>
        <v>Log-logistic</v>
      </c>
      <c r="DL154" s="58" t="str" cm="1">
        <f t="array" ref="DL154">IF(AND($BT154=4,$BX154=4,$BU154=999),$DC$36,_xlfn.IFNA(INDEX(CHOOSE(DP154,DB$13:DB$70,DC$13:DC$70,DD$13:DD$70,DE$13:DE$70),MATCH(1,($BR154=$CV$13:$CV$70)*($BT154=$CX$13:$CX$70)*($CE154=$CY$13:$CY$70)*($BY154=$DA$13:$DA$70)*($CD154=$DH$13:$DH$70),0)),""))</f>
        <v>Log-logistic</v>
      </c>
      <c r="DM154" s="740" cm="1">
        <f t="array" ref="DM154">IF(AND($BT154=4,$BX154=4,$BU154=999),$DD$36,_xlfn.IFNA(INDEX(DD$13:DD$68,MATCH(1,($BR154=$CV$13:$CV$68)*($BT154=$CX$13:$CX$68)*($CE154=$CY$13:$CY$68)*($BY154=$DA$13:$DA$68)*($CD154=$DH$13:$DH$68),0)),""))</f>
        <v>0</v>
      </c>
      <c r="DN154" s="740" cm="1">
        <f t="array" ref="DN154">IF(AND($BT154=4,$BX154=4,$BU154=999),$DD$36,_xlfn.IFNA(INDEX(DE$13:DE$68,MATCH(1,($BR154=$CV$13:$CV$68)*($BT154=$CX$13:$CX$68)*($CE154=$CY$13:$CY$68)*($BY154=$DA$13:$DA$68)*($CD154=$DH$13:$DH$68),0)),""))</f>
        <v>0</v>
      </c>
      <c r="DO154" s="58" t="str" cm="1">
        <f t="array" ref="DO154">IF(AND($BT154=4,$BX154=4,$BU154=999),$DF$36,_xlfn.IFNA(INDEX(DF$13:DF$70,MATCH(1,($BR154=$CV$13:$CV$70)*($BT154=$CX$13:$CX$70)*($CE154=$CY$13:$CY$70)*($BY154=$DA$13:$DA$70)*($CD154=$DH$13:$DH$70),0)),""))</f>
        <v>Base case</v>
      </c>
      <c r="DP154" s="58">
        <f t="shared" si="235"/>
        <v>1</v>
      </c>
      <c r="DW154" s="58" t="s">
        <v>58</v>
      </c>
      <c r="DX154" s="58" t="s">
        <v>552</v>
      </c>
      <c r="DY154" s="58" t="s">
        <v>67</v>
      </c>
      <c r="DZ154" s="58">
        <v>0</v>
      </c>
      <c r="EB154" s="58">
        <v>2</v>
      </c>
      <c r="EC154" s="58">
        <v>1</v>
      </c>
      <c r="ED154" s="58">
        <v>7</v>
      </c>
      <c r="EE154" s="58">
        <v>2</v>
      </c>
      <c r="EF154" s="58">
        <v>1</v>
      </c>
      <c r="EI154" s="58" t="s">
        <v>58</v>
      </c>
      <c r="EJ154" s="58" t="s">
        <v>552</v>
      </c>
      <c r="EK154" s="58" t="s">
        <v>67</v>
      </c>
      <c r="EL154" s="58">
        <v>0</v>
      </c>
      <c r="EN154" s="58">
        <v>2</v>
      </c>
      <c r="EO154" s="58">
        <v>1</v>
      </c>
      <c r="EP154" s="58">
        <v>7</v>
      </c>
      <c r="EQ154" s="58">
        <v>0</v>
      </c>
      <c r="ER154" s="58">
        <v>1</v>
      </c>
      <c r="EU154" s="58" t="str">
        <f t="shared" si="267"/>
        <v>No</v>
      </c>
      <c r="EV154" s="58" t="str">
        <f t="shared" si="268"/>
        <v>Progression free survival</v>
      </c>
      <c r="EW154" s="58" t="str">
        <f t="shared" si="269"/>
        <v>PH_NMA</v>
      </c>
      <c r="EX154" s="58">
        <f t="shared" si="270"/>
        <v>0</v>
      </c>
      <c r="EZ154" s="58">
        <f t="shared" si="271"/>
        <v>2</v>
      </c>
      <c r="FA154" s="58">
        <f t="shared" si="272"/>
        <v>1</v>
      </c>
      <c r="FB154" s="58">
        <f>IF(i_eff_inputs_based_on_num=2,ED154,(INDEX(Lists!$L$51:$L$85,MATCH(O154,Lists!$K$51:$K$85,0))))</f>
        <v>7</v>
      </c>
      <c r="FC154" s="58">
        <f>IF(i_eff_inputs_based_on_num=2,EE154,(INDEX(Lists!$L$51:$L$85,MATCH(P154,Lists!$K$51:$K$85,0))))</f>
        <v>2</v>
      </c>
      <c r="FD154" s="58">
        <f>IF(i_eff_inputs_based_on_num=2,EF154,(INDEX(Lists!$L$51:$L$85,MATCH(Q154,Lists!$K$51:$K$85,0))))</f>
        <v>1</v>
      </c>
      <c r="FG154" s="58" t="str">
        <f t="shared" si="273"/>
        <v>No</v>
      </c>
      <c r="FH154" s="58" t="str">
        <f t="shared" si="274"/>
        <v>Progression free survival</v>
      </c>
      <c r="FI154" s="58" t="str">
        <f t="shared" si="275"/>
        <v>PH_NMA</v>
      </c>
      <c r="FJ154" s="58">
        <f t="shared" si="276"/>
        <v>0</v>
      </c>
      <c r="FL154" s="58">
        <f t="shared" si="277"/>
        <v>2</v>
      </c>
      <c r="FM154" s="58">
        <f t="shared" si="278"/>
        <v>1</v>
      </c>
      <c r="FN154" s="58">
        <f>IF(i_eff_inputs_based_on_num=2,EP154,(INDEX(Lists!$L$51:$L$85,MATCH(O154,Lists!$K$51:$K$85,0))))</f>
        <v>7</v>
      </c>
      <c r="FO154" s="58">
        <f>IF(i_eff_inputs_based_on_num=2,EQ154,(INDEX(Lists!$L$51:$L$85,MATCH(P154,Lists!$K$51:$K$85,0))))</f>
        <v>0</v>
      </c>
      <c r="FP154" s="58">
        <f>IF(i_eff_inputs_based_on_num=2,ER154,(INDEX(Lists!$L$51:$L$85,MATCH(Q154,Lists!$K$51:$K$85,0))))</f>
        <v>1</v>
      </c>
      <c r="FT154" s="58">
        <f t="shared" si="236"/>
        <v>0</v>
      </c>
      <c r="FW154" s="58" t="str">
        <f>IF(i_baseline_risk_from=2,'Effectiveness settings'!EW154,'Effectiveness settings'!FI154)</f>
        <v>PH_NMA</v>
      </c>
      <c r="FX154" s="58" t="str">
        <f t="shared" si="237"/>
        <v>PH_NMA</v>
      </c>
      <c r="FY154" s="58" t="str">
        <f t="shared" si="238"/>
        <v>PH_NMA</v>
      </c>
      <c r="FZ154" s="58" t="str">
        <f t="shared" si="239"/>
        <v>PH_NMA</v>
      </c>
      <c r="GA154" s="58" t="str">
        <f t="shared" si="240"/>
        <v>PH_NMA</v>
      </c>
      <c r="GB154" s="58" t="str">
        <f t="shared" si="241"/>
        <v>PH_NMA</v>
      </c>
      <c r="GC154" s="58" t="str">
        <f t="shared" si="242"/>
        <v>PH_NMA</v>
      </c>
      <c r="GD154" s="58" t="str">
        <f t="shared" si="243"/>
        <v>PH_NMA</v>
      </c>
      <c r="GE154" s="58" t="str">
        <f>IF(AND(dd_CheckMate214_TTD="Yes",'Effectiveness settings'!BU154=2,'Effectiveness settings'!BX154=2),"Apply HR to",GD154)</f>
        <v>PH_NMA</v>
      </c>
      <c r="GF154" s="58" t="str">
        <f t="shared" si="244"/>
        <v>PH_NMA</v>
      </c>
      <c r="GG154" s="58" t="str">
        <f t="shared" si="245"/>
        <v>PH_NMA</v>
      </c>
      <c r="GH154" s="58" t="str">
        <f t="shared" si="246"/>
        <v>PH_NMA</v>
      </c>
      <c r="GI154" s="58" t="str">
        <f t="shared" si="199"/>
        <v>PH_NMA</v>
      </c>
      <c r="GK154" s="58">
        <f>IF(i_baseline_risk_from=2,'Effectiveness settings'!FA154,'Effectiveness settings'!FM154)</f>
        <v>1</v>
      </c>
      <c r="GL154" s="58">
        <f>IF(i_baseline_risk_from=2,'Effectiveness settings'!FB154,'Effectiveness settings'!FN154)</f>
        <v>7</v>
      </c>
      <c r="GM154" s="58">
        <f>IF(i_baseline_risk_from=2,'Effectiveness settings'!FC154,'Effectiveness settings'!FO154)</f>
        <v>2</v>
      </c>
      <c r="GN154" s="58">
        <f>IF(i_baseline_risk_from=2,'Effectiveness settings'!FD154,'Effectiveness settings'!FP154)</f>
        <v>1</v>
      </c>
      <c r="GQ154" s="58">
        <f t="shared" si="247"/>
        <v>7</v>
      </c>
      <c r="GR154" s="58">
        <f t="shared" si="248"/>
        <v>7</v>
      </c>
      <c r="GS154" s="58">
        <f t="shared" si="249"/>
        <v>7</v>
      </c>
      <c r="GT154" s="58">
        <f t="shared" si="250"/>
        <v>7</v>
      </c>
      <c r="GU154" s="58">
        <f>IF(AND(dd_CheckMate214_TTD="Yes",'Effectiveness settings'!BU154=2,'Effectiveness settings'!BX154=2),2,GT154)</f>
        <v>7</v>
      </c>
      <c r="GV154" s="58">
        <f t="shared" si="251"/>
        <v>7</v>
      </c>
      <c r="GW154" s="58">
        <f t="shared" si="252"/>
        <v>7</v>
      </c>
      <c r="GY154" s="58">
        <f>IF(AND(dd_CheckMate214_TTD="Yes",'Effectiveness settings'!BU154=2,'Effectiveness settings'!BX154=2),1,GN154)</f>
        <v>1</v>
      </c>
      <c r="GZ154" s="58">
        <f t="shared" si="253"/>
        <v>1</v>
      </c>
      <c r="HB154" s="58">
        <f t="shared" si="254"/>
        <v>2</v>
      </c>
      <c r="HD154" s="58">
        <f t="shared" si="227"/>
        <v>2</v>
      </c>
      <c r="HE154" s="58">
        <f t="shared" si="228"/>
        <v>1</v>
      </c>
      <c r="HF154" s="58">
        <f t="shared" si="229"/>
        <v>7</v>
      </c>
      <c r="HG154" s="58">
        <f t="shared" si="230"/>
        <v>2</v>
      </c>
      <c r="HH154" s="58">
        <f t="shared" si="231"/>
        <v>1</v>
      </c>
    </row>
    <row r="155" spans="4:216" ht="15.75" x14ac:dyDescent="0.25">
      <c r="D155" s="58" t="str">
        <v>pazopanib</v>
      </c>
      <c r="I155" s="64" t="s">
        <v>74</v>
      </c>
      <c r="J155" s="519" t="s">
        <v>552</v>
      </c>
      <c r="K155" s="524" t="s">
        <v>67</v>
      </c>
      <c r="L155" s="519"/>
      <c r="M155" s="516" t="s">
        <v>559</v>
      </c>
      <c r="N155" s="64" t="s">
        <v>546</v>
      </c>
      <c r="O155" s="64" t="s">
        <v>117</v>
      </c>
      <c r="P155" s="64" t="s">
        <v>547</v>
      </c>
      <c r="Q155" s="519" t="s">
        <v>552</v>
      </c>
      <c r="R155" s="516" t="s">
        <v>548</v>
      </c>
      <c r="S155" s="497"/>
      <c r="T155" s="497"/>
      <c r="U155" s="497"/>
      <c r="Y155" s="517"/>
      <c r="AA155" s="517"/>
      <c r="AF155" s="517"/>
      <c r="AM155" s="517"/>
      <c r="AO155" s="517"/>
      <c r="AT155" s="517"/>
      <c r="AV155" s="511"/>
      <c r="AW155" s="511"/>
      <c r="AX155" s="511"/>
      <c r="BA155" s="517"/>
      <c r="BC155" s="517"/>
      <c r="BH155" s="517"/>
      <c r="BJ155" s="511"/>
      <c r="BK155" s="511"/>
      <c r="BL155" s="511"/>
      <c r="BQ155" s="58">
        <f t="shared" si="234"/>
        <v>90</v>
      </c>
      <c r="BR155" s="17">
        <v>2</v>
      </c>
      <c r="BS155" s="17" t="s">
        <v>559</v>
      </c>
      <c r="BT155" s="17">
        <v>1</v>
      </c>
      <c r="BU155" s="17">
        <v>5</v>
      </c>
      <c r="BV155" s="17" t="str">
        <f t="shared" si="255"/>
        <v>pazopanib</v>
      </c>
      <c r="BW155" s="1006" t="str" cm="1">
        <f t="array" ref="BW155">IF(I155="No",I155,INDEX(List_incl_anal_1L_fav,IF(BU155=999,35,BU155+1)))</f>
        <v>Yes</v>
      </c>
      <c r="BX155" s="61">
        <f t="shared" si="256"/>
        <v>1</v>
      </c>
      <c r="BY155" s="531" t="str">
        <f t="shared" si="279"/>
        <v>Progression free survival</v>
      </c>
      <c r="BZ155" s="530" t="str">
        <f t="shared" si="257"/>
        <v>Assume equal to</v>
      </c>
      <c r="CA155" s="531">
        <f t="shared" si="280"/>
        <v>0</v>
      </c>
      <c r="CB155" s="530">
        <f t="shared" si="258"/>
        <v>2</v>
      </c>
      <c r="CC155" s="530">
        <f t="shared" si="259"/>
        <v>1</v>
      </c>
      <c r="CD155" s="530">
        <f t="shared" si="260"/>
        <v>7</v>
      </c>
      <c r="CE155" s="1295">
        <f t="shared" si="261"/>
        <v>2</v>
      </c>
      <c r="CF155" s="1301">
        <f t="shared" si="262"/>
        <v>1</v>
      </c>
      <c r="CG155" s="530" t="str">
        <f t="shared" si="263"/>
        <v>Log-logistic</v>
      </c>
      <c r="CH155" s="61">
        <f t="shared" si="264"/>
        <v>0</v>
      </c>
      <c r="CI155" s="61">
        <f t="shared" si="265"/>
        <v>0</v>
      </c>
      <c r="CJ155" s="61">
        <f t="shared" si="266"/>
        <v>0</v>
      </c>
      <c r="DA155" s="1024"/>
      <c r="DB155" s="1024"/>
      <c r="DC155" s="1024"/>
      <c r="DD155" s="1024"/>
      <c r="DE155" s="1024"/>
      <c r="DF155" s="1024"/>
      <c r="DG155" s="1024"/>
      <c r="DK155" s="58" t="str" cm="1">
        <f t="array" ref="DK155">IF(AND($BT155=4,$BX155=4,$BU155=999),$DB$36,_xlfn.IFNA(INDEX(DB$13:DB$70,MATCH(1,($BR155=$CV$13:$CV$70)*($BT155=$CX$13:$CX$70)*($CE155=$CY$13:$CY$70)*($BY155=$DA$13:$DA$70)*($CD155=$DH$13:$DH$70),0)),""))</f>
        <v>Log-logistic</v>
      </c>
      <c r="DL155" s="58" t="str" cm="1">
        <f t="array" ref="DL155">IF(AND($BT155=4,$BX155=4,$BU155=999),$DC$36,_xlfn.IFNA(INDEX(CHOOSE(DP155,DB$13:DB$70,DC$13:DC$70,DD$13:DD$70,DE$13:DE$70),MATCH(1,($BR155=$CV$13:$CV$70)*($BT155=$CX$13:$CX$70)*($CE155=$CY$13:$CY$70)*($BY155=$DA$13:$DA$70)*($CD155=$DH$13:$DH$70),0)),""))</f>
        <v>Log-logistic</v>
      </c>
      <c r="DM155" s="740" cm="1">
        <f t="array" ref="DM155">IF(AND($BT155=4,$BX155=4,$BU155=999),$DD$36,_xlfn.IFNA(INDEX(DD$13:DD$68,MATCH(1,($BR155=$CV$13:$CV$68)*($BT155=$CX$13:$CX$68)*($CE155=$CY$13:$CY$68)*($BY155=$DA$13:$DA$68)*($CD155=$DH$13:$DH$68),0)),""))</f>
        <v>0</v>
      </c>
      <c r="DN155" s="740" cm="1">
        <f t="array" ref="DN155">IF(AND($BT155=4,$BX155=4,$BU155=999),$DD$36,_xlfn.IFNA(INDEX(DE$13:DE$68,MATCH(1,($BR155=$CV$13:$CV$68)*($BT155=$CX$13:$CX$68)*($CE155=$CY$13:$CY$68)*($BY155=$DA$13:$DA$68)*($CD155=$DH$13:$DH$68),0)),""))</f>
        <v>0</v>
      </c>
      <c r="DO155" s="58" t="str" cm="1">
        <f t="array" ref="DO155">IF(AND($BT155=4,$BX155=4,$BU155=999),$DF$36,_xlfn.IFNA(INDEX(DF$13:DF$70,MATCH(1,($BR155=$CV$13:$CV$70)*($BT155=$CX$13:$CX$70)*($CE155=$CY$13:$CY$70)*($BY155=$DA$13:$DA$70)*($CD155=$DH$13:$DH$70),0)),""))</f>
        <v>Base case</v>
      </c>
      <c r="DP155" s="58">
        <f t="shared" si="235"/>
        <v>1</v>
      </c>
      <c r="DW155" s="58" t="s">
        <v>74</v>
      </c>
      <c r="DX155" s="58" t="s">
        <v>552</v>
      </c>
      <c r="DY155" s="58" t="s">
        <v>67</v>
      </c>
      <c r="DZ155" s="58">
        <v>0</v>
      </c>
      <c r="EB155" s="58">
        <v>2</v>
      </c>
      <c r="EC155" s="58">
        <v>1</v>
      </c>
      <c r="ED155" s="58">
        <v>7</v>
      </c>
      <c r="EE155" s="58">
        <v>2</v>
      </c>
      <c r="EF155" s="58">
        <v>1</v>
      </c>
      <c r="EI155" s="58" t="s">
        <v>74</v>
      </c>
      <c r="EJ155" s="58" t="s">
        <v>552</v>
      </c>
      <c r="EK155" s="58" t="s">
        <v>67</v>
      </c>
      <c r="EL155" s="58">
        <v>0</v>
      </c>
      <c r="EN155" s="58">
        <v>2</v>
      </c>
      <c r="EO155" s="58">
        <v>1</v>
      </c>
      <c r="EP155" s="58">
        <v>7</v>
      </c>
      <c r="EQ155" s="58">
        <v>0</v>
      </c>
      <c r="ER155" s="58">
        <v>1</v>
      </c>
      <c r="EU155" s="58" t="str">
        <f t="shared" si="267"/>
        <v>Yes</v>
      </c>
      <c r="EV155" s="58" t="str">
        <f t="shared" si="268"/>
        <v>Progression free survival</v>
      </c>
      <c r="EW155" s="58" t="str">
        <f t="shared" si="269"/>
        <v>PH_NMA</v>
      </c>
      <c r="EX155" s="58">
        <f t="shared" si="270"/>
        <v>0</v>
      </c>
      <c r="EZ155" s="58">
        <f t="shared" si="271"/>
        <v>2</v>
      </c>
      <c r="FA155" s="58">
        <f t="shared" si="272"/>
        <v>1</v>
      </c>
      <c r="FB155" s="58">
        <f>IF(i_eff_inputs_based_on_num=2,ED155,(INDEX(Lists!$L$51:$L$85,MATCH(O155,Lists!$K$51:$K$85,0))))</f>
        <v>7</v>
      </c>
      <c r="FC155" s="58">
        <f>IF(i_eff_inputs_based_on_num=2,EE155,(INDEX(Lists!$L$51:$L$85,MATCH(P155,Lists!$K$51:$K$85,0))))</f>
        <v>2</v>
      </c>
      <c r="FD155" s="58">
        <f>IF(i_eff_inputs_based_on_num=2,EF155,(INDEX(Lists!$L$51:$L$85,MATCH(Q155,Lists!$K$51:$K$85,0))))</f>
        <v>1</v>
      </c>
      <c r="FG155" s="58" t="str">
        <f t="shared" si="273"/>
        <v>Yes</v>
      </c>
      <c r="FH155" s="58" t="str">
        <f t="shared" si="274"/>
        <v>Progression free survival</v>
      </c>
      <c r="FI155" s="58" t="str">
        <f t="shared" si="275"/>
        <v>PH_NMA</v>
      </c>
      <c r="FJ155" s="58">
        <f t="shared" si="276"/>
        <v>0</v>
      </c>
      <c r="FL155" s="58">
        <f t="shared" si="277"/>
        <v>2</v>
      </c>
      <c r="FM155" s="58">
        <f t="shared" si="278"/>
        <v>1</v>
      </c>
      <c r="FN155" s="58">
        <f>IF(i_eff_inputs_based_on_num=2,EP155,(INDEX(Lists!$L$51:$L$85,MATCH(O155,Lists!$K$51:$K$85,0))))</f>
        <v>7</v>
      </c>
      <c r="FO155" s="58">
        <f>IF(i_eff_inputs_based_on_num=2,EQ155,(INDEX(Lists!$L$51:$L$85,MATCH(P155,Lists!$K$51:$K$85,0))))</f>
        <v>0</v>
      </c>
      <c r="FP155" s="58">
        <f>IF(i_eff_inputs_based_on_num=2,ER155,(INDEX(Lists!$L$51:$L$85,MATCH(Q155,Lists!$K$51:$K$85,0))))</f>
        <v>1</v>
      </c>
      <c r="FT155" s="58">
        <f t="shared" si="236"/>
        <v>0</v>
      </c>
      <c r="FW155" s="58" t="str">
        <f>IF(i_baseline_risk_from=2,'Effectiveness settings'!EW155,'Effectiveness settings'!FI155)</f>
        <v>PH_NMA</v>
      </c>
      <c r="FX155" s="58" t="str">
        <f t="shared" si="237"/>
        <v>PH_NMA</v>
      </c>
      <c r="FY155" s="58" t="str">
        <f t="shared" si="238"/>
        <v>PH_NMA</v>
      </c>
      <c r="FZ155" s="58" t="str">
        <f t="shared" si="239"/>
        <v>Assume equal to</v>
      </c>
      <c r="GA155" s="58" t="str">
        <f t="shared" si="240"/>
        <v>Assume equal to</v>
      </c>
      <c r="GB155" s="58" t="str">
        <f t="shared" si="241"/>
        <v>Assume equal to</v>
      </c>
      <c r="GC155" s="58" t="str">
        <f t="shared" si="242"/>
        <v>Assume equal to</v>
      </c>
      <c r="GD155" s="58" t="str">
        <f t="shared" si="243"/>
        <v>Assume equal to</v>
      </c>
      <c r="GE155" s="58" t="str">
        <f>IF(AND(dd_CheckMate214_TTD="Yes",'Effectiveness settings'!BU155=2,'Effectiveness settings'!BX155=2),"Apply HR to",GD155)</f>
        <v>Assume equal to</v>
      </c>
      <c r="GF155" s="58" t="str">
        <f t="shared" si="244"/>
        <v>Assume equal to</v>
      </c>
      <c r="GG155" s="58" t="str">
        <f t="shared" si="245"/>
        <v>Assume equal to</v>
      </c>
      <c r="GH155" s="58" t="str">
        <f t="shared" si="246"/>
        <v>Assume equal to</v>
      </c>
      <c r="GI155" s="58" t="str">
        <f t="shared" si="199"/>
        <v>Assume equal to</v>
      </c>
      <c r="GK155" s="58">
        <f>IF(i_baseline_risk_from=2,'Effectiveness settings'!FA155,'Effectiveness settings'!FM155)</f>
        <v>1</v>
      </c>
      <c r="GL155" s="58">
        <f>IF(i_baseline_risk_from=2,'Effectiveness settings'!FB155,'Effectiveness settings'!FN155)</f>
        <v>7</v>
      </c>
      <c r="GM155" s="58">
        <f>IF(i_baseline_risk_from=2,'Effectiveness settings'!FC155,'Effectiveness settings'!FO155)</f>
        <v>2</v>
      </c>
      <c r="GN155" s="58">
        <f>IF(i_baseline_risk_from=2,'Effectiveness settings'!FD155,'Effectiveness settings'!FP155)</f>
        <v>1</v>
      </c>
      <c r="GQ155" s="58">
        <f t="shared" si="247"/>
        <v>7</v>
      </c>
      <c r="GR155" s="58">
        <f t="shared" si="248"/>
        <v>7</v>
      </c>
      <c r="GS155" s="58">
        <f t="shared" si="249"/>
        <v>7</v>
      </c>
      <c r="GT155" s="58">
        <f t="shared" si="250"/>
        <v>7</v>
      </c>
      <c r="GU155" s="58">
        <f>IF(AND(dd_CheckMate214_TTD="Yes",'Effectiveness settings'!BU155=2,'Effectiveness settings'!BX155=2),2,GT155)</f>
        <v>7</v>
      </c>
      <c r="GV155" s="58">
        <f t="shared" si="251"/>
        <v>7</v>
      </c>
      <c r="GW155" s="58">
        <f t="shared" si="252"/>
        <v>7</v>
      </c>
      <c r="GY155" s="58">
        <f>IF(AND(dd_CheckMate214_TTD="Yes",'Effectiveness settings'!BU155=2,'Effectiveness settings'!BX155=2),1,GN155)</f>
        <v>1</v>
      </c>
      <c r="GZ155" s="58">
        <f t="shared" si="253"/>
        <v>1</v>
      </c>
      <c r="HB155" s="58">
        <f t="shared" si="254"/>
        <v>2</v>
      </c>
      <c r="HD155" s="58">
        <f t="shared" si="227"/>
        <v>2</v>
      </c>
      <c r="HE155" s="58">
        <f t="shared" si="228"/>
        <v>1</v>
      </c>
      <c r="HF155" s="58">
        <f t="shared" si="229"/>
        <v>7</v>
      </c>
      <c r="HG155" s="58">
        <f t="shared" si="230"/>
        <v>2</v>
      </c>
      <c r="HH155" s="58">
        <f t="shared" si="231"/>
        <v>1</v>
      </c>
    </row>
    <row r="156" spans="4:216" ht="15.75" x14ac:dyDescent="0.25">
      <c r="D156" s="58" t="str">
        <v>tivozanib</v>
      </c>
      <c r="I156" s="64" t="s">
        <v>74</v>
      </c>
      <c r="J156" s="519" t="s">
        <v>552</v>
      </c>
      <c r="K156" s="524" t="s">
        <v>67</v>
      </c>
      <c r="L156" s="519"/>
      <c r="M156" s="516" t="s">
        <v>559</v>
      </c>
      <c r="N156" s="64" t="s">
        <v>546</v>
      </c>
      <c r="O156" s="64" t="s">
        <v>117</v>
      </c>
      <c r="P156" s="64" t="s">
        <v>547</v>
      </c>
      <c r="Q156" s="519" t="s">
        <v>552</v>
      </c>
      <c r="R156" s="516" t="s">
        <v>548</v>
      </c>
      <c r="S156" s="497"/>
      <c r="T156" s="497"/>
      <c r="U156" s="497"/>
      <c r="Y156" s="517"/>
      <c r="AA156" s="517"/>
      <c r="AF156" s="517"/>
      <c r="AM156" s="517"/>
      <c r="AO156" s="517"/>
      <c r="AT156" s="517"/>
      <c r="AV156" s="511"/>
      <c r="AW156" s="511"/>
      <c r="AX156" s="511"/>
      <c r="BA156" s="517"/>
      <c r="BC156" s="517"/>
      <c r="BH156" s="517"/>
      <c r="BJ156" s="511"/>
      <c r="BK156" s="511"/>
      <c r="BL156" s="511"/>
      <c r="BQ156" s="58">
        <f t="shared" si="234"/>
        <v>91</v>
      </c>
      <c r="BR156" s="17">
        <v>2</v>
      </c>
      <c r="BS156" s="17" t="s">
        <v>559</v>
      </c>
      <c r="BT156" s="17">
        <v>1</v>
      </c>
      <c r="BU156" s="17">
        <v>6</v>
      </c>
      <c r="BV156" s="17" t="str">
        <f t="shared" si="255"/>
        <v>tivozanib</v>
      </c>
      <c r="BW156" s="1006" t="str" cm="1">
        <f t="array" ref="BW156">IF(I156="No",I156,INDEX(List_incl_anal_1L_fav,IF(BU156=999,35,BU156+1)))</f>
        <v>Yes</v>
      </c>
      <c r="BX156" s="61">
        <f t="shared" si="256"/>
        <v>1</v>
      </c>
      <c r="BY156" s="531" t="str">
        <f t="shared" si="279"/>
        <v>Progression free survival</v>
      </c>
      <c r="BZ156" s="530" t="str">
        <f t="shared" si="257"/>
        <v>Assume equal to</v>
      </c>
      <c r="CA156" s="531">
        <f t="shared" si="280"/>
        <v>0</v>
      </c>
      <c r="CB156" s="530">
        <f t="shared" si="258"/>
        <v>2</v>
      </c>
      <c r="CC156" s="530">
        <f t="shared" si="259"/>
        <v>1</v>
      </c>
      <c r="CD156" s="530">
        <f t="shared" si="260"/>
        <v>7</v>
      </c>
      <c r="CE156" s="1295">
        <f t="shared" si="261"/>
        <v>2</v>
      </c>
      <c r="CF156" s="1301">
        <f t="shared" si="262"/>
        <v>1</v>
      </c>
      <c r="CG156" s="530" t="str">
        <f t="shared" si="263"/>
        <v>Log-logistic</v>
      </c>
      <c r="CH156" s="61">
        <f t="shared" si="264"/>
        <v>0</v>
      </c>
      <c r="CI156" s="61">
        <f t="shared" si="265"/>
        <v>0</v>
      </c>
      <c r="CJ156" s="61">
        <f t="shared" si="266"/>
        <v>0</v>
      </c>
      <c r="DA156" s="1024"/>
      <c r="DB156" s="1024"/>
      <c r="DC156" s="1024"/>
      <c r="DD156" s="1024"/>
      <c r="DE156" s="1024"/>
      <c r="DF156" s="1024"/>
      <c r="DG156" s="1024"/>
      <c r="DK156" s="58" t="str" cm="1">
        <f t="array" ref="DK156">IF(AND($BT156=4,$BX156=4,$BU156=999),$DB$36,_xlfn.IFNA(INDEX(DB$13:DB$70,MATCH(1,($BR156=$CV$13:$CV$70)*($BT156=$CX$13:$CX$70)*($CE156=$CY$13:$CY$70)*($BY156=$DA$13:$DA$70)*($CD156=$DH$13:$DH$70),0)),""))</f>
        <v>Log-logistic</v>
      </c>
      <c r="DL156" s="58" t="str" cm="1">
        <f t="array" ref="DL156">IF(AND($BT156=4,$BX156=4,$BU156=999),$DC$36,_xlfn.IFNA(INDEX(CHOOSE(DP156,DB$13:DB$70,DC$13:DC$70,DD$13:DD$70,DE$13:DE$70),MATCH(1,($BR156=$CV$13:$CV$70)*($BT156=$CX$13:$CX$70)*($CE156=$CY$13:$CY$70)*($BY156=$DA$13:$DA$70)*($CD156=$DH$13:$DH$70),0)),""))</f>
        <v>Log-logistic</v>
      </c>
      <c r="DM156" s="740" cm="1">
        <f t="array" ref="DM156">IF(AND($BT156=4,$BX156=4,$BU156=999),$DD$36,_xlfn.IFNA(INDEX(DD$13:DD$68,MATCH(1,($BR156=$CV$13:$CV$68)*($BT156=$CX$13:$CX$68)*($CE156=$CY$13:$CY$68)*($BY156=$DA$13:$DA$68)*($CD156=$DH$13:$DH$68),0)),""))</f>
        <v>0</v>
      </c>
      <c r="DN156" s="740" cm="1">
        <f t="array" ref="DN156">IF(AND($BT156=4,$BX156=4,$BU156=999),$DD$36,_xlfn.IFNA(INDEX(DE$13:DE$68,MATCH(1,($BR156=$CV$13:$CV$68)*($BT156=$CX$13:$CX$68)*($CE156=$CY$13:$CY$68)*($BY156=$DA$13:$DA$68)*($CD156=$DH$13:$DH$68),0)),""))</f>
        <v>0</v>
      </c>
      <c r="DO156" s="58" t="str" cm="1">
        <f t="array" ref="DO156">IF(AND($BT156=4,$BX156=4,$BU156=999),$DF$36,_xlfn.IFNA(INDEX(DF$13:DF$70,MATCH(1,($BR156=$CV$13:$CV$70)*($BT156=$CX$13:$CX$70)*($CE156=$CY$13:$CY$70)*($BY156=$DA$13:$DA$70)*($CD156=$DH$13:$DH$70),0)),""))</f>
        <v>Base case</v>
      </c>
      <c r="DP156" s="58">
        <f t="shared" si="235"/>
        <v>1</v>
      </c>
      <c r="DW156" s="58" t="s">
        <v>74</v>
      </c>
      <c r="DX156" s="58" t="s">
        <v>552</v>
      </c>
      <c r="DY156" s="58" t="s">
        <v>67</v>
      </c>
      <c r="DZ156" s="58">
        <v>0</v>
      </c>
      <c r="EB156" s="58">
        <v>2</v>
      </c>
      <c r="EC156" s="58">
        <v>1</v>
      </c>
      <c r="ED156" s="58">
        <v>7</v>
      </c>
      <c r="EE156" s="58">
        <v>2</v>
      </c>
      <c r="EF156" s="58">
        <v>1</v>
      </c>
      <c r="EI156" s="58" t="s">
        <v>74</v>
      </c>
      <c r="EJ156" s="58" t="s">
        <v>552</v>
      </c>
      <c r="EK156" s="58" t="s">
        <v>67</v>
      </c>
      <c r="EL156" s="58">
        <v>0</v>
      </c>
      <c r="EN156" s="58">
        <v>2</v>
      </c>
      <c r="EO156" s="58">
        <v>1</v>
      </c>
      <c r="EP156" s="58">
        <v>7</v>
      </c>
      <c r="EQ156" s="58">
        <v>0</v>
      </c>
      <c r="ER156" s="58">
        <v>1</v>
      </c>
      <c r="EU156" s="58" t="str">
        <f t="shared" si="267"/>
        <v>Yes</v>
      </c>
      <c r="EV156" s="58" t="str">
        <f t="shared" si="268"/>
        <v>Progression free survival</v>
      </c>
      <c r="EW156" s="58" t="str">
        <f t="shared" si="269"/>
        <v>PH_NMA</v>
      </c>
      <c r="EX156" s="58">
        <f t="shared" si="270"/>
        <v>0</v>
      </c>
      <c r="EZ156" s="58">
        <f t="shared" si="271"/>
        <v>2</v>
      </c>
      <c r="FA156" s="58">
        <f t="shared" si="272"/>
        <v>1</v>
      </c>
      <c r="FB156" s="58">
        <f>IF(i_eff_inputs_based_on_num=2,ED156,(INDEX(Lists!$L$51:$L$85,MATCH(O156,Lists!$K$51:$K$85,0))))</f>
        <v>7</v>
      </c>
      <c r="FC156" s="58">
        <f>IF(i_eff_inputs_based_on_num=2,EE156,(INDEX(Lists!$L$51:$L$85,MATCH(P156,Lists!$K$51:$K$85,0))))</f>
        <v>2</v>
      </c>
      <c r="FD156" s="58">
        <f>IF(i_eff_inputs_based_on_num=2,EF156,(INDEX(Lists!$L$51:$L$85,MATCH(Q156,Lists!$K$51:$K$85,0))))</f>
        <v>1</v>
      </c>
      <c r="FG156" s="58" t="str">
        <f t="shared" si="273"/>
        <v>Yes</v>
      </c>
      <c r="FH156" s="58" t="str">
        <f t="shared" si="274"/>
        <v>Progression free survival</v>
      </c>
      <c r="FI156" s="58" t="str">
        <f t="shared" si="275"/>
        <v>PH_NMA</v>
      </c>
      <c r="FJ156" s="58">
        <f t="shared" si="276"/>
        <v>0</v>
      </c>
      <c r="FL156" s="58">
        <f t="shared" si="277"/>
        <v>2</v>
      </c>
      <c r="FM156" s="58">
        <f t="shared" si="278"/>
        <v>1</v>
      </c>
      <c r="FN156" s="58">
        <f>IF(i_eff_inputs_based_on_num=2,EP156,(INDEX(Lists!$L$51:$L$85,MATCH(O156,Lists!$K$51:$K$85,0))))</f>
        <v>7</v>
      </c>
      <c r="FO156" s="58">
        <f>IF(i_eff_inputs_based_on_num=2,EQ156,(INDEX(Lists!$L$51:$L$85,MATCH(P156,Lists!$K$51:$K$85,0))))</f>
        <v>0</v>
      </c>
      <c r="FP156" s="58">
        <f>IF(i_eff_inputs_based_on_num=2,ER156,(INDEX(Lists!$L$51:$L$85,MATCH(Q156,Lists!$K$51:$K$85,0))))</f>
        <v>1</v>
      </c>
      <c r="FT156" s="58">
        <f t="shared" si="236"/>
        <v>0</v>
      </c>
      <c r="FW156" s="58" t="str">
        <f>IF(i_baseline_risk_from=2,'Effectiveness settings'!EW156,'Effectiveness settings'!FI156)</f>
        <v>PH_NMA</v>
      </c>
      <c r="FX156" s="58" t="str">
        <f t="shared" si="237"/>
        <v>PH_NMA</v>
      </c>
      <c r="FY156" s="58" t="str">
        <f t="shared" si="238"/>
        <v>PH_NMA</v>
      </c>
      <c r="FZ156" s="58" t="str">
        <f t="shared" si="239"/>
        <v>PH_NMA</v>
      </c>
      <c r="GA156" s="58" t="str">
        <f t="shared" si="240"/>
        <v>Assume equal to</v>
      </c>
      <c r="GB156" s="58" t="str">
        <f t="shared" si="241"/>
        <v>Assume equal to</v>
      </c>
      <c r="GC156" s="58" t="str">
        <f t="shared" si="242"/>
        <v>Assume equal to</v>
      </c>
      <c r="GD156" s="58" t="str">
        <f t="shared" si="243"/>
        <v>Assume equal to</v>
      </c>
      <c r="GE156" s="58" t="str">
        <f>IF(AND(dd_CheckMate214_TTD="Yes",'Effectiveness settings'!BU156=2,'Effectiveness settings'!BX156=2),"Apply HR to",GD156)</f>
        <v>Assume equal to</v>
      </c>
      <c r="GF156" s="58" t="str">
        <f t="shared" si="244"/>
        <v>Assume equal to</v>
      </c>
      <c r="GG156" s="58" t="str">
        <f t="shared" si="245"/>
        <v>Assume equal to</v>
      </c>
      <c r="GH156" s="58" t="str">
        <f t="shared" si="246"/>
        <v>Assume equal to</v>
      </c>
      <c r="GI156" s="58" t="str">
        <f t="shared" si="199"/>
        <v>Assume equal to</v>
      </c>
      <c r="GK156" s="58">
        <f>IF(i_baseline_risk_from=2,'Effectiveness settings'!FA156,'Effectiveness settings'!FM156)</f>
        <v>1</v>
      </c>
      <c r="GL156" s="58">
        <f>IF(i_baseline_risk_from=2,'Effectiveness settings'!FB156,'Effectiveness settings'!FN156)</f>
        <v>7</v>
      </c>
      <c r="GM156" s="58">
        <f>IF(i_baseline_risk_from=2,'Effectiveness settings'!FC156,'Effectiveness settings'!FO156)</f>
        <v>2</v>
      </c>
      <c r="GN156" s="58">
        <f>IF(i_baseline_risk_from=2,'Effectiveness settings'!FD156,'Effectiveness settings'!FP156)</f>
        <v>1</v>
      </c>
      <c r="GQ156" s="58">
        <f t="shared" si="247"/>
        <v>7</v>
      </c>
      <c r="GR156" s="58">
        <f t="shared" si="248"/>
        <v>7</v>
      </c>
      <c r="GS156" s="58">
        <f t="shared" si="249"/>
        <v>7</v>
      </c>
      <c r="GT156" s="58">
        <f t="shared" si="250"/>
        <v>7</v>
      </c>
      <c r="GU156" s="58">
        <f>IF(AND(dd_CheckMate214_TTD="Yes",'Effectiveness settings'!BU156=2,'Effectiveness settings'!BX156=2),2,GT156)</f>
        <v>7</v>
      </c>
      <c r="GV156" s="58">
        <f t="shared" si="251"/>
        <v>7</v>
      </c>
      <c r="GW156" s="58">
        <f t="shared" si="252"/>
        <v>7</v>
      </c>
      <c r="GY156" s="58">
        <f>IF(AND(dd_CheckMate214_TTD="Yes",'Effectiveness settings'!BU156=2,'Effectiveness settings'!BX156=2),1,GN156)</f>
        <v>1</v>
      </c>
      <c r="GZ156" s="58">
        <f t="shared" si="253"/>
        <v>1</v>
      </c>
      <c r="HB156" s="58">
        <f t="shared" si="254"/>
        <v>2</v>
      </c>
      <c r="HD156" s="58">
        <f t="shared" si="227"/>
        <v>2</v>
      </c>
      <c r="HE156" s="58">
        <f t="shared" si="228"/>
        <v>1</v>
      </c>
      <c r="HF156" s="58">
        <f t="shared" si="229"/>
        <v>7</v>
      </c>
      <c r="HG156" s="58">
        <f t="shared" si="230"/>
        <v>2</v>
      </c>
      <c r="HH156" s="58">
        <f t="shared" si="231"/>
        <v>1</v>
      </c>
    </row>
    <row r="157" spans="4:216" ht="15.75" x14ac:dyDescent="0.25">
      <c r="D157" s="58" t="str">
        <v>sunitinib</v>
      </c>
      <c r="I157" s="64" t="s">
        <v>74</v>
      </c>
      <c r="J157" s="519" t="s">
        <v>552</v>
      </c>
      <c r="K157" s="524" t="s">
        <v>562</v>
      </c>
      <c r="L157" s="519" t="s">
        <v>547</v>
      </c>
      <c r="M157" s="516" t="s">
        <v>559</v>
      </c>
      <c r="N157" s="64" t="s">
        <v>546</v>
      </c>
      <c r="O157" s="64" t="s">
        <v>117</v>
      </c>
      <c r="P157" s="64" t="s">
        <v>547</v>
      </c>
      <c r="Q157" s="519" t="s">
        <v>552</v>
      </c>
      <c r="R157" s="516" t="s">
        <v>548</v>
      </c>
      <c r="S157" s="497"/>
      <c r="T157" s="497"/>
      <c r="U157" s="497"/>
      <c r="Y157" s="517"/>
      <c r="AA157" s="517"/>
      <c r="AF157" s="517"/>
      <c r="AM157" s="517"/>
      <c r="AO157" s="517"/>
      <c r="AT157" s="517"/>
      <c r="AV157" s="511"/>
      <c r="AW157" s="511"/>
      <c r="AX157" s="511"/>
      <c r="BA157" s="517"/>
      <c r="BC157" s="517"/>
      <c r="BH157" s="517"/>
      <c r="BJ157" s="511"/>
      <c r="BK157" s="511"/>
      <c r="BL157" s="511"/>
      <c r="BQ157" s="58">
        <f t="shared" si="234"/>
        <v>92</v>
      </c>
      <c r="BR157" s="17">
        <v>2</v>
      </c>
      <c r="BS157" s="17" t="s">
        <v>559</v>
      </c>
      <c r="BT157" s="17">
        <v>1</v>
      </c>
      <c r="BU157" s="17">
        <v>7</v>
      </c>
      <c r="BV157" s="17" t="str">
        <f t="shared" si="255"/>
        <v>sunitinib</v>
      </c>
      <c r="BW157" s="1006" t="str" cm="1">
        <f t="array" ref="BW157">IF(I157="No",I157,INDEX(List_incl_anal_1L_fav,IF(BU157=999,35,BU157+1)))</f>
        <v>Yes</v>
      </c>
      <c r="BX157" s="61">
        <f t="shared" si="256"/>
        <v>1</v>
      </c>
      <c r="BY157" s="531" t="str">
        <f t="shared" si="279"/>
        <v>Progression free survival</v>
      </c>
      <c r="BZ157" s="530" t="str">
        <f t="shared" si="257"/>
        <v>Trial survival analysis</v>
      </c>
      <c r="CA157" s="531" t="str">
        <f t="shared" si="280"/>
        <v>Real world evidence</v>
      </c>
      <c r="CB157" s="530">
        <f t="shared" si="258"/>
        <v>2</v>
      </c>
      <c r="CC157" s="530">
        <f t="shared" si="259"/>
        <v>1</v>
      </c>
      <c r="CD157" s="530">
        <f t="shared" si="260"/>
        <v>7</v>
      </c>
      <c r="CE157" s="1295">
        <f t="shared" si="261"/>
        <v>2</v>
      </c>
      <c r="CF157" s="1301">
        <f t="shared" si="262"/>
        <v>1</v>
      </c>
      <c r="CG157" s="530" t="str">
        <f t="shared" si="263"/>
        <v>Log-logistic</v>
      </c>
      <c r="CH157" s="61">
        <f t="shared" si="264"/>
        <v>0</v>
      </c>
      <c r="CI157" s="61">
        <f t="shared" si="265"/>
        <v>0</v>
      </c>
      <c r="CJ157" s="61">
        <f t="shared" si="266"/>
        <v>0</v>
      </c>
      <c r="DA157" s="1024"/>
      <c r="DB157" s="1024"/>
      <c r="DC157" s="1024"/>
      <c r="DD157" s="1024"/>
      <c r="DE157" s="1024"/>
      <c r="DF157" s="1024"/>
      <c r="DG157" s="1024"/>
      <c r="DK157" s="58" t="str" cm="1">
        <f t="array" ref="DK157">IF(AND($BT157=4,$BX157=4,$BU157=999),$DB$36,_xlfn.IFNA(INDEX(DB$13:DB$70,MATCH(1,($BR157=$CV$13:$CV$70)*($BT157=$CX$13:$CX$70)*($CE157=$CY$13:$CY$70)*($BY157=$DA$13:$DA$70)*($CD157=$DH$13:$DH$70),0)),""))</f>
        <v>Log-logistic</v>
      </c>
      <c r="DL157" s="58" t="str" cm="1">
        <f t="array" ref="DL157">IF(AND($BT157=4,$BX157=4,$BU157=999),$DC$36,_xlfn.IFNA(INDEX(CHOOSE(DP157,DB$13:DB$70,DC$13:DC$70,DD$13:DD$70,DE$13:DE$70),MATCH(1,($BR157=$CV$13:$CV$70)*($BT157=$CX$13:$CX$70)*($CE157=$CY$13:$CY$70)*($BY157=$DA$13:$DA$70)*($CD157=$DH$13:$DH$70),0)),""))</f>
        <v>Log-logistic</v>
      </c>
      <c r="DM157" s="740" cm="1">
        <f t="array" ref="DM157">IF(AND($BT157=4,$BX157=4,$BU157=999),$DD$36,_xlfn.IFNA(INDEX(DD$13:DD$68,MATCH(1,($BR157=$CV$13:$CV$68)*($BT157=$CX$13:$CX$68)*($CE157=$CY$13:$CY$68)*($BY157=$DA$13:$DA$68)*($CD157=$DH$13:$DH$68),0)),""))</f>
        <v>0</v>
      </c>
      <c r="DN157" s="740" cm="1">
        <f t="array" ref="DN157">IF(AND($BT157=4,$BX157=4,$BU157=999),$DD$36,_xlfn.IFNA(INDEX(DE$13:DE$68,MATCH(1,($BR157=$CV$13:$CV$68)*($BT157=$CX$13:$CX$68)*($CE157=$CY$13:$CY$68)*($BY157=$DA$13:$DA$68)*($CD157=$DH$13:$DH$68),0)),""))</f>
        <v>0</v>
      </c>
      <c r="DO157" s="58" t="str" cm="1">
        <f t="array" ref="DO157">IF(AND($BT157=4,$BX157=4,$BU157=999),$DF$36,_xlfn.IFNA(INDEX(DF$13:DF$70,MATCH(1,($BR157=$CV$13:$CV$70)*($BT157=$CX$13:$CX$70)*($CE157=$CY$13:$CY$70)*($BY157=$DA$13:$DA$70)*($CD157=$DH$13:$DH$70),0)),""))</f>
        <v>Base case</v>
      </c>
      <c r="DP157" s="58">
        <f t="shared" si="235"/>
        <v>1</v>
      </c>
      <c r="DW157" s="58" t="s">
        <v>74</v>
      </c>
      <c r="DX157" s="58" t="s">
        <v>552</v>
      </c>
      <c r="DY157" s="58" t="s">
        <v>562</v>
      </c>
      <c r="DZ157" s="58" t="s">
        <v>547</v>
      </c>
      <c r="EB157" s="58">
        <v>2</v>
      </c>
      <c r="EC157" s="58">
        <v>1</v>
      </c>
      <c r="ED157" s="58">
        <v>7</v>
      </c>
      <c r="EE157" s="58">
        <v>2</v>
      </c>
      <c r="EF157" s="58">
        <v>1</v>
      </c>
      <c r="EI157" s="58" t="s">
        <v>74</v>
      </c>
      <c r="EJ157" s="58" t="s">
        <v>552</v>
      </c>
      <c r="EK157" s="58" t="s">
        <v>562</v>
      </c>
      <c r="EL157" s="58" t="s">
        <v>564</v>
      </c>
      <c r="EN157" s="58">
        <v>2</v>
      </c>
      <c r="EO157" s="58">
        <v>1</v>
      </c>
      <c r="EP157" s="58">
        <v>7</v>
      </c>
      <c r="EQ157" s="58">
        <v>0</v>
      </c>
      <c r="ER157" s="58">
        <v>1</v>
      </c>
      <c r="EU157" s="58" t="str">
        <f t="shared" si="267"/>
        <v>Yes</v>
      </c>
      <c r="EV157" s="58" t="str">
        <f t="shared" si="268"/>
        <v>Progression free survival</v>
      </c>
      <c r="EW157" s="58" t="str">
        <f t="shared" si="269"/>
        <v>Trial survival analysis</v>
      </c>
      <c r="EX157" s="58" t="str">
        <f t="shared" si="270"/>
        <v>Real world evidence</v>
      </c>
      <c r="EZ157" s="58">
        <f t="shared" si="271"/>
        <v>2</v>
      </c>
      <c r="FA157" s="58">
        <f t="shared" si="272"/>
        <v>1</v>
      </c>
      <c r="FB157" s="58">
        <f>IF(i_eff_inputs_based_on_num=2,ED157,(INDEX(Lists!$L$51:$L$85,MATCH(O157,Lists!$K$51:$K$85,0))))</f>
        <v>7</v>
      </c>
      <c r="FC157" s="58">
        <f>IF(i_eff_inputs_based_on_num=2,EE157,(INDEX(Lists!$L$51:$L$85,MATCH(P157,Lists!$K$51:$K$85,0))))</f>
        <v>2</v>
      </c>
      <c r="FD157" s="58">
        <f>IF(i_eff_inputs_based_on_num=2,EF157,(INDEX(Lists!$L$51:$L$85,MATCH(Q157,Lists!$K$51:$K$85,0))))</f>
        <v>1</v>
      </c>
      <c r="FG157" s="58" t="str">
        <f t="shared" si="273"/>
        <v>Yes</v>
      </c>
      <c r="FH157" s="58" t="str">
        <f t="shared" si="274"/>
        <v>Progression free survival</v>
      </c>
      <c r="FI157" s="58" t="str">
        <f t="shared" si="275"/>
        <v>Trial survival analysis</v>
      </c>
      <c r="FJ157" s="58" t="str">
        <f t="shared" si="276"/>
        <v>CheckMate 9ER</v>
      </c>
      <c r="FL157" s="58">
        <f t="shared" si="277"/>
        <v>2</v>
      </c>
      <c r="FM157" s="58">
        <f t="shared" si="278"/>
        <v>1</v>
      </c>
      <c r="FN157" s="58">
        <f>IF(i_eff_inputs_based_on_num=2,EP157,(INDEX(Lists!$L$51:$L$85,MATCH(O157,Lists!$K$51:$K$85,0))))</f>
        <v>7</v>
      </c>
      <c r="FO157" s="58">
        <f>IF(i_eff_inputs_based_on_num=2,EQ157,(INDEX(Lists!$L$51:$L$85,MATCH(P157,Lists!$K$51:$K$85,0))))</f>
        <v>0</v>
      </c>
      <c r="FP157" s="58">
        <f>IF(i_eff_inputs_based_on_num=2,ER157,(INDEX(Lists!$L$51:$L$85,MATCH(Q157,Lists!$K$51:$K$85,0))))</f>
        <v>1</v>
      </c>
      <c r="FT157" s="58" t="str">
        <f t="shared" si="236"/>
        <v>Real world evidence</v>
      </c>
      <c r="FW157" s="58" t="str">
        <f>IF(i_baseline_risk_from=2,'Effectiveness settings'!EW157,'Effectiveness settings'!FI157)</f>
        <v>Trial survival analysis</v>
      </c>
      <c r="FX157" s="58" t="str">
        <f t="shared" si="237"/>
        <v>Trial survival analysis</v>
      </c>
      <c r="FY157" s="58" t="str">
        <f t="shared" si="238"/>
        <v>Trial survival analysis</v>
      </c>
      <c r="FZ157" s="58" t="str">
        <f t="shared" si="239"/>
        <v>Trial survival analysis</v>
      </c>
      <c r="GA157" s="58" t="str">
        <f t="shared" si="240"/>
        <v>Trial survival analysis</v>
      </c>
      <c r="GB157" s="58" t="str">
        <f t="shared" si="241"/>
        <v>Trial survival analysis</v>
      </c>
      <c r="GC157" s="58" t="str">
        <f t="shared" si="242"/>
        <v>Trial survival analysis</v>
      </c>
      <c r="GD157" s="58" t="str">
        <f t="shared" si="243"/>
        <v>Trial survival analysis</v>
      </c>
      <c r="GE157" s="58" t="str">
        <f>IF(AND(dd_CheckMate214_TTD="Yes",'Effectiveness settings'!BU157=2,'Effectiveness settings'!BX157=2),"Apply HR to",GD157)</f>
        <v>Trial survival analysis</v>
      </c>
      <c r="GF157" s="58" t="str">
        <f t="shared" si="244"/>
        <v>Trial survival analysis</v>
      </c>
      <c r="GG157" s="58" t="str">
        <f t="shared" si="245"/>
        <v>Trial survival analysis</v>
      </c>
      <c r="GH157" s="58" t="str">
        <f t="shared" si="246"/>
        <v>Trial survival analysis</v>
      </c>
      <c r="GI157" s="58" t="str">
        <f t="shared" si="199"/>
        <v>Trial survival analysis</v>
      </c>
      <c r="GK157" s="58">
        <f>IF(i_baseline_risk_from=2,'Effectiveness settings'!FA157,'Effectiveness settings'!FM157)</f>
        <v>1</v>
      </c>
      <c r="GL157" s="58">
        <f>IF(i_baseline_risk_from=2,'Effectiveness settings'!FB157,'Effectiveness settings'!FN157)</f>
        <v>7</v>
      </c>
      <c r="GM157" s="58">
        <f>IF(i_baseline_risk_from=2,'Effectiveness settings'!FC157,'Effectiveness settings'!FO157)</f>
        <v>2</v>
      </c>
      <c r="GN157" s="58">
        <f>IF(i_baseline_risk_from=2,'Effectiveness settings'!FD157,'Effectiveness settings'!FP157)</f>
        <v>1</v>
      </c>
      <c r="GQ157" s="58">
        <f t="shared" si="247"/>
        <v>7</v>
      </c>
      <c r="GR157" s="58">
        <f t="shared" si="248"/>
        <v>7</v>
      </c>
      <c r="GS157" s="58">
        <f t="shared" si="249"/>
        <v>7</v>
      </c>
      <c r="GT157" s="58">
        <f t="shared" si="250"/>
        <v>7</v>
      </c>
      <c r="GU157" s="58">
        <f>IF(AND(dd_CheckMate214_TTD="Yes",'Effectiveness settings'!BU157=2,'Effectiveness settings'!BX157=2),2,GT157)</f>
        <v>7</v>
      </c>
      <c r="GV157" s="58">
        <f t="shared" si="251"/>
        <v>7</v>
      </c>
      <c r="GW157" s="58">
        <f t="shared" si="252"/>
        <v>7</v>
      </c>
      <c r="GY157" s="58">
        <f>IF(AND(dd_CheckMate214_TTD="Yes",'Effectiveness settings'!BU157=2,'Effectiveness settings'!BX157=2),1,GN157)</f>
        <v>1</v>
      </c>
      <c r="GZ157" s="58">
        <f t="shared" si="253"/>
        <v>1</v>
      </c>
      <c r="HB157" s="58">
        <f t="shared" si="254"/>
        <v>2</v>
      </c>
      <c r="HD157" s="58">
        <f t="shared" si="227"/>
        <v>2</v>
      </c>
      <c r="HE157" s="58">
        <f t="shared" si="228"/>
        <v>1</v>
      </c>
      <c r="HF157" s="58">
        <f t="shared" si="229"/>
        <v>7</v>
      </c>
      <c r="HG157" s="58">
        <f t="shared" si="230"/>
        <v>2</v>
      </c>
      <c r="HH157" s="58">
        <f t="shared" si="231"/>
        <v>1</v>
      </c>
    </row>
    <row r="158" spans="4:216" ht="15.75" x14ac:dyDescent="0.25">
      <c r="D158" s="58" t="str">
        <v>cabozantinib</v>
      </c>
      <c r="I158" s="64" t="s">
        <v>58</v>
      </c>
      <c r="J158" s="519" t="s">
        <v>552</v>
      </c>
      <c r="K158" s="524"/>
      <c r="L158" s="519"/>
      <c r="M158" s="516" t="s">
        <v>559</v>
      </c>
      <c r="N158" s="64" t="s">
        <v>546</v>
      </c>
      <c r="O158" s="64" t="s">
        <v>117</v>
      </c>
      <c r="P158" s="64" t="s">
        <v>547</v>
      </c>
      <c r="Q158" s="519" t="s">
        <v>552</v>
      </c>
      <c r="R158" s="516" t="s">
        <v>548</v>
      </c>
      <c r="S158" s="497"/>
      <c r="T158" s="497"/>
      <c r="U158" s="497"/>
      <c r="Y158" s="517"/>
      <c r="AA158" s="517"/>
      <c r="AF158" s="517"/>
      <c r="AM158" s="517"/>
      <c r="AO158" s="517"/>
      <c r="AT158" s="517"/>
      <c r="AV158" s="511"/>
      <c r="AW158" s="511"/>
      <c r="AX158" s="511"/>
      <c r="BA158" s="517"/>
      <c r="BC158" s="517"/>
      <c r="BH158" s="517"/>
      <c r="BJ158" s="511"/>
      <c r="BK158" s="511"/>
      <c r="BL158" s="511"/>
      <c r="BQ158" s="58">
        <f t="shared" si="234"/>
        <v>93</v>
      </c>
      <c r="BR158" s="17">
        <v>2</v>
      </c>
      <c r="BS158" s="17" t="s">
        <v>559</v>
      </c>
      <c r="BT158" s="17">
        <v>1</v>
      </c>
      <c r="BU158" s="17">
        <v>8</v>
      </c>
      <c r="BV158" s="17" t="str">
        <f t="shared" si="255"/>
        <v>cabozantinib</v>
      </c>
      <c r="BW158" s="1006" t="str" cm="1">
        <f t="array" ref="BW158">IF(I158="No",I158,INDEX(List_incl_anal_1L_fav,IF(BU158=999,35,BU158+1)))</f>
        <v>No</v>
      </c>
      <c r="BX158" s="61">
        <f t="shared" si="256"/>
        <v>1</v>
      </c>
      <c r="BY158" s="531" t="str">
        <f t="shared" si="279"/>
        <v>Progression free survival</v>
      </c>
      <c r="BZ158" s="530">
        <f t="shared" si="257"/>
        <v>0</v>
      </c>
      <c r="CA158" s="531">
        <f t="shared" si="280"/>
        <v>0</v>
      </c>
      <c r="CB158" s="530">
        <f t="shared" si="258"/>
        <v>2</v>
      </c>
      <c r="CC158" s="530">
        <f t="shared" si="259"/>
        <v>1</v>
      </c>
      <c r="CD158" s="530">
        <f t="shared" si="260"/>
        <v>7</v>
      </c>
      <c r="CE158" s="1295">
        <f t="shared" si="261"/>
        <v>2</v>
      </c>
      <c r="CF158" s="1301">
        <f t="shared" si="262"/>
        <v>1</v>
      </c>
      <c r="CG158" s="530" t="str">
        <f t="shared" si="263"/>
        <v>Log-logistic</v>
      </c>
      <c r="CH158" s="61">
        <f t="shared" si="264"/>
        <v>0</v>
      </c>
      <c r="CI158" s="61">
        <f t="shared" si="265"/>
        <v>0</v>
      </c>
      <c r="CJ158" s="61">
        <f t="shared" si="266"/>
        <v>0</v>
      </c>
      <c r="DA158" s="1024"/>
      <c r="DB158" s="1024"/>
      <c r="DC158" s="1024"/>
      <c r="DD158" s="1024"/>
      <c r="DE158" s="1024"/>
      <c r="DF158" s="1024"/>
      <c r="DG158" s="1024"/>
      <c r="DK158" s="58" t="str" cm="1">
        <f t="array" ref="DK158">IF(AND($BT158=4,$BX158=4,$BU158=999),$DB$36,_xlfn.IFNA(INDEX(DB$13:DB$70,MATCH(1,($BR158=$CV$13:$CV$70)*($BT158=$CX$13:$CX$70)*($CE158=$CY$13:$CY$70)*($BY158=$DA$13:$DA$70)*($CD158=$DH$13:$DH$70),0)),""))</f>
        <v>Log-logistic</v>
      </c>
      <c r="DL158" s="58" t="str" cm="1">
        <f t="array" ref="DL158">IF(AND($BT158=4,$BX158=4,$BU158=999),$DC$36,_xlfn.IFNA(INDEX(CHOOSE(DP158,DB$13:DB$70,DC$13:DC$70,DD$13:DD$70,DE$13:DE$70),MATCH(1,($BR158=$CV$13:$CV$70)*($BT158=$CX$13:$CX$70)*($CE158=$CY$13:$CY$70)*($BY158=$DA$13:$DA$70)*($CD158=$DH$13:$DH$70),0)),""))</f>
        <v>Log-logistic</v>
      </c>
      <c r="DM158" s="740" cm="1">
        <f t="array" ref="DM158">IF(AND($BT158=4,$BX158=4,$BU158=999),$DD$36,_xlfn.IFNA(INDEX(DD$13:DD$68,MATCH(1,($BR158=$CV$13:$CV$68)*($BT158=$CX$13:$CX$68)*($CE158=$CY$13:$CY$68)*($BY158=$DA$13:$DA$68)*($CD158=$DH$13:$DH$68),0)),""))</f>
        <v>0</v>
      </c>
      <c r="DN158" s="740" cm="1">
        <f t="array" ref="DN158">IF(AND($BT158=4,$BX158=4,$BU158=999),$DD$36,_xlfn.IFNA(INDEX(DE$13:DE$68,MATCH(1,($BR158=$CV$13:$CV$68)*($BT158=$CX$13:$CX$68)*($CE158=$CY$13:$CY$68)*($BY158=$DA$13:$DA$68)*($CD158=$DH$13:$DH$68),0)),""))</f>
        <v>0</v>
      </c>
      <c r="DO158" s="58" t="str" cm="1">
        <f t="array" ref="DO158">IF(AND($BT158=4,$BX158=4,$BU158=999),$DF$36,_xlfn.IFNA(INDEX(DF$13:DF$70,MATCH(1,($BR158=$CV$13:$CV$70)*($BT158=$CX$13:$CX$70)*($CE158=$CY$13:$CY$70)*($BY158=$DA$13:$DA$70)*($CD158=$DH$13:$DH$70),0)),""))</f>
        <v>Base case</v>
      </c>
      <c r="DP158" s="58">
        <f t="shared" si="235"/>
        <v>1</v>
      </c>
      <c r="DW158" s="58" t="s">
        <v>58</v>
      </c>
      <c r="DX158" s="58" t="s">
        <v>552</v>
      </c>
      <c r="DY158" s="58">
        <v>0</v>
      </c>
      <c r="DZ158" s="58">
        <v>0</v>
      </c>
      <c r="EB158" s="58">
        <v>2</v>
      </c>
      <c r="EC158" s="58">
        <v>1</v>
      </c>
      <c r="ED158" s="58">
        <v>7</v>
      </c>
      <c r="EE158" s="58">
        <v>2</v>
      </c>
      <c r="EF158" s="58">
        <v>1</v>
      </c>
      <c r="EI158" s="58" t="s">
        <v>58</v>
      </c>
      <c r="EJ158" s="58" t="s">
        <v>552</v>
      </c>
      <c r="EK158" s="58">
        <v>0</v>
      </c>
      <c r="EL158" s="58">
        <v>0</v>
      </c>
      <c r="EN158" s="58">
        <v>2</v>
      </c>
      <c r="EO158" s="58">
        <v>1</v>
      </c>
      <c r="EP158" s="58">
        <v>7</v>
      </c>
      <c r="EQ158" s="58">
        <v>0</v>
      </c>
      <c r="ER158" s="58">
        <v>1</v>
      </c>
      <c r="EU158" s="58" t="str">
        <f t="shared" si="267"/>
        <v>No</v>
      </c>
      <c r="EV158" s="58" t="str">
        <f t="shared" si="268"/>
        <v>Progression free survival</v>
      </c>
      <c r="EW158" s="58">
        <f t="shared" si="269"/>
        <v>0</v>
      </c>
      <c r="EX158" s="58">
        <f t="shared" si="270"/>
        <v>0</v>
      </c>
      <c r="EZ158" s="58">
        <f t="shared" si="271"/>
        <v>2</v>
      </c>
      <c r="FA158" s="58">
        <f t="shared" si="272"/>
        <v>1</v>
      </c>
      <c r="FB158" s="58">
        <f>IF(i_eff_inputs_based_on_num=2,ED158,(INDEX(Lists!$L$51:$L$85,MATCH(O158,Lists!$K$51:$K$85,0))))</f>
        <v>7</v>
      </c>
      <c r="FC158" s="58">
        <f>IF(i_eff_inputs_based_on_num=2,EE158,(INDEX(Lists!$L$51:$L$85,MATCH(P158,Lists!$K$51:$K$85,0))))</f>
        <v>2</v>
      </c>
      <c r="FD158" s="58">
        <f>IF(i_eff_inputs_based_on_num=2,EF158,(INDEX(Lists!$L$51:$L$85,MATCH(Q158,Lists!$K$51:$K$85,0))))</f>
        <v>1</v>
      </c>
      <c r="FG158" s="58" t="str">
        <f t="shared" si="273"/>
        <v>No</v>
      </c>
      <c r="FH158" s="58" t="str">
        <f t="shared" si="274"/>
        <v>Progression free survival</v>
      </c>
      <c r="FI158" s="58">
        <f t="shared" si="275"/>
        <v>0</v>
      </c>
      <c r="FJ158" s="58">
        <f t="shared" si="276"/>
        <v>0</v>
      </c>
      <c r="FL158" s="58">
        <f t="shared" si="277"/>
        <v>2</v>
      </c>
      <c r="FM158" s="58">
        <f t="shared" si="278"/>
        <v>1</v>
      </c>
      <c r="FN158" s="58">
        <f>IF(i_eff_inputs_based_on_num=2,EP158,(INDEX(Lists!$L$51:$L$85,MATCH(O158,Lists!$K$51:$K$85,0))))</f>
        <v>7</v>
      </c>
      <c r="FO158" s="58">
        <f>IF(i_eff_inputs_based_on_num=2,EQ158,(INDEX(Lists!$L$51:$L$85,MATCH(P158,Lists!$K$51:$K$85,0))))</f>
        <v>0</v>
      </c>
      <c r="FP158" s="58">
        <f>IF(i_eff_inputs_based_on_num=2,ER158,(INDEX(Lists!$L$51:$L$85,MATCH(Q158,Lists!$K$51:$K$85,0))))</f>
        <v>1</v>
      </c>
      <c r="FT158" s="58">
        <f t="shared" si="236"/>
        <v>0</v>
      </c>
      <c r="FW158" s="58">
        <f>IF(i_baseline_risk_from=2,'Effectiveness settings'!EW158,'Effectiveness settings'!FI158)</f>
        <v>0</v>
      </c>
      <c r="FX158" s="58">
        <f t="shared" si="237"/>
        <v>0</v>
      </c>
      <c r="FY158" s="58">
        <f t="shared" si="238"/>
        <v>0</v>
      </c>
      <c r="FZ158" s="58">
        <f t="shared" si="239"/>
        <v>0</v>
      </c>
      <c r="GA158" s="58">
        <f t="shared" si="240"/>
        <v>0</v>
      </c>
      <c r="GB158" s="58">
        <f t="shared" si="241"/>
        <v>0</v>
      </c>
      <c r="GC158" s="58">
        <f t="shared" si="242"/>
        <v>0</v>
      </c>
      <c r="GD158" s="58">
        <f t="shared" si="243"/>
        <v>0</v>
      </c>
      <c r="GE158" s="58">
        <f>IF(AND(dd_CheckMate214_TTD="Yes",'Effectiveness settings'!BU158=2,'Effectiveness settings'!BX158=2),"Apply HR to",GD158)</f>
        <v>0</v>
      </c>
      <c r="GF158" s="58">
        <f t="shared" si="244"/>
        <v>0</v>
      </c>
      <c r="GG158" s="58">
        <f t="shared" si="245"/>
        <v>0</v>
      </c>
      <c r="GH158" s="58">
        <f t="shared" si="246"/>
        <v>0</v>
      </c>
      <c r="GI158" s="58">
        <f t="shared" si="199"/>
        <v>0</v>
      </c>
      <c r="GK158" s="58">
        <f>IF(i_baseline_risk_from=2,'Effectiveness settings'!FA158,'Effectiveness settings'!FM158)</f>
        <v>1</v>
      </c>
      <c r="GL158" s="58">
        <f>IF(i_baseline_risk_from=2,'Effectiveness settings'!FB158,'Effectiveness settings'!FN158)</f>
        <v>7</v>
      </c>
      <c r="GM158" s="58">
        <f>IF(i_baseline_risk_from=2,'Effectiveness settings'!FC158,'Effectiveness settings'!FO158)</f>
        <v>2</v>
      </c>
      <c r="GN158" s="58">
        <f>IF(i_baseline_risk_from=2,'Effectiveness settings'!FD158,'Effectiveness settings'!FP158)</f>
        <v>1</v>
      </c>
      <c r="GQ158" s="58">
        <f t="shared" si="247"/>
        <v>7</v>
      </c>
      <c r="GR158" s="58">
        <f t="shared" si="248"/>
        <v>7</v>
      </c>
      <c r="GS158" s="58">
        <f t="shared" si="249"/>
        <v>7</v>
      </c>
      <c r="GT158" s="58">
        <f t="shared" si="250"/>
        <v>7</v>
      </c>
      <c r="GU158" s="58">
        <f>IF(AND(dd_CheckMate214_TTD="Yes",'Effectiveness settings'!BU158=2,'Effectiveness settings'!BX158=2),2,GT158)</f>
        <v>7</v>
      </c>
      <c r="GV158" s="58">
        <f t="shared" si="251"/>
        <v>7</v>
      </c>
      <c r="GW158" s="58">
        <f t="shared" si="252"/>
        <v>7</v>
      </c>
      <c r="GY158" s="58">
        <f>IF(AND(dd_CheckMate214_TTD="Yes",'Effectiveness settings'!BU158=2,'Effectiveness settings'!BX158=2),1,GN158)</f>
        <v>1</v>
      </c>
      <c r="GZ158" s="58">
        <f t="shared" si="253"/>
        <v>1</v>
      </c>
      <c r="HB158" s="58">
        <f t="shared" si="254"/>
        <v>2</v>
      </c>
      <c r="HD158" s="58">
        <f t="shared" si="227"/>
        <v>2</v>
      </c>
      <c r="HE158" s="58">
        <f t="shared" si="228"/>
        <v>1</v>
      </c>
      <c r="HF158" s="58">
        <f t="shared" si="229"/>
        <v>7</v>
      </c>
      <c r="HG158" s="58">
        <f t="shared" si="230"/>
        <v>2</v>
      </c>
      <c r="HH158" s="58">
        <f t="shared" si="231"/>
        <v>1</v>
      </c>
    </row>
    <row r="159" spans="4:216" ht="15.75" x14ac:dyDescent="0.25">
      <c r="D159" s="58" t="str">
        <v>lenvatinib_plus_everolimus</v>
      </c>
      <c r="I159" s="64" t="s">
        <v>58</v>
      </c>
      <c r="J159" s="519" t="s">
        <v>552</v>
      </c>
      <c r="K159" s="524"/>
      <c r="L159" s="519"/>
      <c r="M159" s="516" t="s">
        <v>559</v>
      </c>
      <c r="N159" s="64" t="s">
        <v>546</v>
      </c>
      <c r="O159" s="64" t="s">
        <v>117</v>
      </c>
      <c r="P159" s="64" t="s">
        <v>547</v>
      </c>
      <c r="Q159" s="519" t="s">
        <v>552</v>
      </c>
      <c r="R159" s="516" t="s">
        <v>548</v>
      </c>
      <c r="S159" s="497"/>
      <c r="T159" s="497"/>
      <c r="U159" s="497"/>
      <c r="Y159" s="517"/>
      <c r="AA159" s="517"/>
      <c r="AF159" s="517"/>
      <c r="AM159" s="517"/>
      <c r="AO159" s="517"/>
      <c r="AT159" s="517"/>
      <c r="AV159" s="511"/>
      <c r="AW159" s="511"/>
      <c r="AX159" s="511"/>
      <c r="BA159" s="517"/>
      <c r="BC159" s="517"/>
      <c r="BH159" s="517"/>
      <c r="BJ159" s="511"/>
      <c r="BK159" s="511"/>
      <c r="BL159" s="511"/>
      <c r="BQ159" s="58">
        <f t="shared" si="234"/>
        <v>94</v>
      </c>
      <c r="BR159" s="17">
        <v>2</v>
      </c>
      <c r="BS159" s="17" t="s">
        <v>559</v>
      </c>
      <c r="BT159" s="17">
        <v>1</v>
      </c>
      <c r="BU159" s="17">
        <v>9</v>
      </c>
      <c r="BV159" s="17" t="str">
        <f t="shared" si="255"/>
        <v>lenvatinib_plus_everolimus</v>
      </c>
      <c r="BW159" s="1006" t="str" cm="1">
        <f t="array" ref="BW159">IF(I159="No",I159,INDEX(List_incl_anal_1L_fav,IF(BU159=999,35,BU159+1)))</f>
        <v>No</v>
      </c>
      <c r="BX159" s="61">
        <f t="shared" si="256"/>
        <v>1</v>
      </c>
      <c r="BY159" s="531" t="str">
        <f t="shared" si="279"/>
        <v>Progression free survival</v>
      </c>
      <c r="BZ159" s="530">
        <f t="shared" si="257"/>
        <v>0</v>
      </c>
      <c r="CA159" s="531">
        <f t="shared" si="280"/>
        <v>0</v>
      </c>
      <c r="CB159" s="530">
        <f t="shared" si="258"/>
        <v>2</v>
      </c>
      <c r="CC159" s="530">
        <f t="shared" si="259"/>
        <v>1</v>
      </c>
      <c r="CD159" s="530">
        <f t="shared" si="260"/>
        <v>7</v>
      </c>
      <c r="CE159" s="1295">
        <f t="shared" si="261"/>
        <v>2</v>
      </c>
      <c r="CF159" s="1301">
        <f t="shared" si="262"/>
        <v>1</v>
      </c>
      <c r="CG159" s="530" t="str">
        <f t="shared" si="263"/>
        <v>Log-logistic</v>
      </c>
      <c r="CH159" s="61">
        <f t="shared" si="264"/>
        <v>0</v>
      </c>
      <c r="CI159" s="61">
        <f t="shared" si="265"/>
        <v>0</v>
      </c>
      <c r="CJ159" s="61">
        <f t="shared" si="266"/>
        <v>0</v>
      </c>
      <c r="DA159" s="1024"/>
      <c r="DB159" s="1024"/>
      <c r="DC159" s="1024"/>
      <c r="DD159" s="1024"/>
      <c r="DE159" s="1024"/>
      <c r="DF159" s="1024"/>
      <c r="DG159" s="1024"/>
      <c r="DK159" s="58" t="str" cm="1">
        <f t="array" ref="DK159">IF(AND($BT159=4,$BX159=4,$BU159=999),$DB$36,_xlfn.IFNA(INDEX(DB$13:DB$70,MATCH(1,($BR159=$CV$13:$CV$70)*($BT159=$CX$13:$CX$70)*($CE159=$CY$13:$CY$70)*($BY159=$DA$13:$DA$70)*($CD159=$DH$13:$DH$70),0)),""))</f>
        <v>Log-logistic</v>
      </c>
      <c r="DL159" s="58" t="str" cm="1">
        <f t="array" ref="DL159">IF(AND($BT159=4,$BX159=4,$BU159=999),$DC$36,_xlfn.IFNA(INDEX(CHOOSE(DP159,DB$13:DB$70,DC$13:DC$70,DD$13:DD$70,DE$13:DE$70),MATCH(1,($BR159=$CV$13:$CV$70)*($BT159=$CX$13:$CX$70)*($CE159=$CY$13:$CY$70)*($BY159=$DA$13:$DA$70)*($CD159=$DH$13:$DH$70),0)),""))</f>
        <v>Log-logistic</v>
      </c>
      <c r="DM159" s="740" cm="1">
        <f t="array" ref="DM159">IF(AND($BT159=4,$BX159=4,$BU159=999),$DD$36,_xlfn.IFNA(INDEX(DD$13:DD$68,MATCH(1,($BR159=$CV$13:$CV$68)*($BT159=$CX$13:$CX$68)*($CE159=$CY$13:$CY$68)*($BY159=$DA$13:$DA$68)*($CD159=$DH$13:$DH$68),0)),""))</f>
        <v>0</v>
      </c>
      <c r="DN159" s="740" cm="1">
        <f t="array" ref="DN159">IF(AND($BT159=4,$BX159=4,$BU159=999),$DD$36,_xlfn.IFNA(INDEX(DE$13:DE$68,MATCH(1,($BR159=$CV$13:$CV$68)*($BT159=$CX$13:$CX$68)*($CE159=$CY$13:$CY$68)*($BY159=$DA$13:$DA$68)*($CD159=$DH$13:$DH$68),0)),""))</f>
        <v>0</v>
      </c>
      <c r="DO159" s="58" t="str" cm="1">
        <f t="array" ref="DO159">IF(AND($BT159=4,$BX159=4,$BU159=999),$DF$36,_xlfn.IFNA(INDEX(DF$13:DF$70,MATCH(1,($BR159=$CV$13:$CV$70)*($BT159=$CX$13:$CX$70)*($CE159=$CY$13:$CY$70)*($BY159=$DA$13:$DA$70)*($CD159=$DH$13:$DH$70),0)),""))</f>
        <v>Base case</v>
      </c>
      <c r="DP159" s="58">
        <f t="shared" si="235"/>
        <v>1</v>
      </c>
      <c r="DW159" s="58" t="s">
        <v>58</v>
      </c>
      <c r="DX159" s="58" t="s">
        <v>552</v>
      </c>
      <c r="DY159" s="58">
        <v>0</v>
      </c>
      <c r="DZ159" s="58">
        <v>0</v>
      </c>
      <c r="EB159" s="58">
        <v>2</v>
      </c>
      <c r="EC159" s="58">
        <v>1</v>
      </c>
      <c r="ED159" s="58">
        <v>7</v>
      </c>
      <c r="EE159" s="58">
        <v>2</v>
      </c>
      <c r="EF159" s="58">
        <v>1</v>
      </c>
      <c r="EI159" s="58" t="s">
        <v>58</v>
      </c>
      <c r="EJ159" s="58" t="s">
        <v>552</v>
      </c>
      <c r="EK159" s="58">
        <v>0</v>
      </c>
      <c r="EL159" s="58">
        <v>0</v>
      </c>
      <c r="EN159" s="58">
        <v>2</v>
      </c>
      <c r="EO159" s="58">
        <v>1</v>
      </c>
      <c r="EP159" s="58">
        <v>7</v>
      </c>
      <c r="EQ159" s="58">
        <v>0</v>
      </c>
      <c r="ER159" s="58">
        <v>1</v>
      </c>
      <c r="EU159" s="58" t="str">
        <f t="shared" si="267"/>
        <v>No</v>
      </c>
      <c r="EV159" s="58" t="str">
        <f t="shared" si="268"/>
        <v>Progression free survival</v>
      </c>
      <c r="EW159" s="58">
        <f t="shared" si="269"/>
        <v>0</v>
      </c>
      <c r="EX159" s="58">
        <f t="shared" si="270"/>
        <v>0</v>
      </c>
      <c r="EZ159" s="58">
        <f t="shared" si="271"/>
        <v>2</v>
      </c>
      <c r="FA159" s="58">
        <f t="shared" si="272"/>
        <v>1</v>
      </c>
      <c r="FB159" s="58">
        <f>IF(i_eff_inputs_based_on_num=2,ED159,(INDEX(Lists!$L$51:$L$85,MATCH(O159,Lists!$K$51:$K$85,0))))</f>
        <v>7</v>
      </c>
      <c r="FC159" s="58">
        <f>IF(i_eff_inputs_based_on_num=2,EE159,(INDEX(Lists!$L$51:$L$85,MATCH(P159,Lists!$K$51:$K$85,0))))</f>
        <v>2</v>
      </c>
      <c r="FD159" s="58">
        <f>IF(i_eff_inputs_based_on_num=2,EF159,(INDEX(Lists!$L$51:$L$85,MATCH(Q159,Lists!$K$51:$K$85,0))))</f>
        <v>1</v>
      </c>
      <c r="FG159" s="58" t="str">
        <f t="shared" si="273"/>
        <v>No</v>
      </c>
      <c r="FH159" s="58" t="str">
        <f t="shared" si="274"/>
        <v>Progression free survival</v>
      </c>
      <c r="FI159" s="58">
        <f t="shared" si="275"/>
        <v>0</v>
      </c>
      <c r="FJ159" s="58">
        <f t="shared" si="276"/>
        <v>0</v>
      </c>
      <c r="FL159" s="58">
        <f t="shared" si="277"/>
        <v>2</v>
      </c>
      <c r="FM159" s="58">
        <f t="shared" si="278"/>
        <v>1</v>
      </c>
      <c r="FN159" s="58">
        <f>IF(i_eff_inputs_based_on_num=2,EP159,(INDEX(Lists!$L$51:$L$85,MATCH(O159,Lists!$K$51:$K$85,0))))</f>
        <v>7</v>
      </c>
      <c r="FO159" s="58">
        <f>IF(i_eff_inputs_based_on_num=2,EQ159,(INDEX(Lists!$L$51:$L$85,MATCH(P159,Lists!$K$51:$K$85,0))))</f>
        <v>0</v>
      </c>
      <c r="FP159" s="58">
        <f>IF(i_eff_inputs_based_on_num=2,ER159,(INDEX(Lists!$L$51:$L$85,MATCH(Q159,Lists!$K$51:$K$85,0))))</f>
        <v>1</v>
      </c>
      <c r="FT159" s="58">
        <f t="shared" si="236"/>
        <v>0</v>
      </c>
      <c r="FW159" s="58">
        <f>IF(i_baseline_risk_from=2,'Effectiveness settings'!EW159,'Effectiveness settings'!FI159)</f>
        <v>0</v>
      </c>
      <c r="FX159" s="58">
        <f t="shared" si="237"/>
        <v>0</v>
      </c>
      <c r="FY159" s="58">
        <f t="shared" si="238"/>
        <v>0</v>
      </c>
      <c r="FZ159" s="58">
        <f t="shared" si="239"/>
        <v>0</v>
      </c>
      <c r="GA159" s="58">
        <f t="shared" si="240"/>
        <v>0</v>
      </c>
      <c r="GB159" s="58">
        <f t="shared" si="241"/>
        <v>0</v>
      </c>
      <c r="GC159" s="58">
        <f t="shared" si="242"/>
        <v>0</v>
      </c>
      <c r="GD159" s="58">
        <f t="shared" si="243"/>
        <v>0</v>
      </c>
      <c r="GE159" s="58">
        <f>IF(AND(dd_CheckMate214_TTD="Yes",'Effectiveness settings'!BU159=2,'Effectiveness settings'!BX159=2),"Apply HR to",GD159)</f>
        <v>0</v>
      </c>
      <c r="GF159" s="58">
        <f t="shared" si="244"/>
        <v>0</v>
      </c>
      <c r="GG159" s="58">
        <f t="shared" si="245"/>
        <v>0</v>
      </c>
      <c r="GH159" s="58">
        <f t="shared" si="246"/>
        <v>0</v>
      </c>
      <c r="GI159" s="58">
        <f t="shared" si="199"/>
        <v>0</v>
      </c>
      <c r="GK159" s="58">
        <f>IF(i_baseline_risk_from=2,'Effectiveness settings'!FA159,'Effectiveness settings'!FM159)</f>
        <v>1</v>
      </c>
      <c r="GL159" s="58">
        <f>IF(i_baseline_risk_from=2,'Effectiveness settings'!FB159,'Effectiveness settings'!FN159)</f>
        <v>7</v>
      </c>
      <c r="GM159" s="58">
        <f>IF(i_baseline_risk_from=2,'Effectiveness settings'!FC159,'Effectiveness settings'!FO159)</f>
        <v>2</v>
      </c>
      <c r="GN159" s="58">
        <f>IF(i_baseline_risk_from=2,'Effectiveness settings'!FD159,'Effectiveness settings'!FP159)</f>
        <v>1</v>
      </c>
      <c r="GQ159" s="58">
        <f t="shared" si="247"/>
        <v>7</v>
      </c>
      <c r="GR159" s="58">
        <f t="shared" si="248"/>
        <v>7</v>
      </c>
      <c r="GS159" s="58">
        <f t="shared" si="249"/>
        <v>7</v>
      </c>
      <c r="GT159" s="58">
        <f t="shared" si="250"/>
        <v>7</v>
      </c>
      <c r="GU159" s="58">
        <f>IF(AND(dd_CheckMate214_TTD="Yes",'Effectiveness settings'!BU159=2,'Effectiveness settings'!BX159=2),2,GT159)</f>
        <v>7</v>
      </c>
      <c r="GV159" s="58">
        <f t="shared" si="251"/>
        <v>7</v>
      </c>
      <c r="GW159" s="58">
        <f t="shared" si="252"/>
        <v>7</v>
      </c>
      <c r="GY159" s="58">
        <f>IF(AND(dd_CheckMate214_TTD="Yes",'Effectiveness settings'!BU159=2,'Effectiveness settings'!BX159=2),1,GN159)</f>
        <v>1</v>
      </c>
      <c r="GZ159" s="58">
        <f t="shared" si="253"/>
        <v>1</v>
      </c>
      <c r="HB159" s="58">
        <f t="shared" si="254"/>
        <v>2</v>
      </c>
      <c r="HD159" s="58">
        <f t="shared" si="227"/>
        <v>2</v>
      </c>
      <c r="HE159" s="58">
        <f t="shared" si="228"/>
        <v>1</v>
      </c>
      <c r="HF159" s="58">
        <f t="shared" si="229"/>
        <v>7</v>
      </c>
      <c r="HG159" s="58">
        <f t="shared" si="230"/>
        <v>2</v>
      </c>
      <c r="HH159" s="58">
        <f t="shared" si="231"/>
        <v>1</v>
      </c>
    </row>
    <row r="160" spans="4:216" ht="15.75" x14ac:dyDescent="0.25">
      <c r="D160" s="58" t="str">
        <v>everolimus</v>
      </c>
      <c r="I160" s="64" t="s">
        <v>58</v>
      </c>
      <c r="J160" s="519" t="s">
        <v>552</v>
      </c>
      <c r="K160" s="524"/>
      <c r="L160" s="519"/>
      <c r="M160" s="516" t="s">
        <v>559</v>
      </c>
      <c r="N160" s="64" t="s">
        <v>546</v>
      </c>
      <c r="O160" s="64" t="s">
        <v>117</v>
      </c>
      <c r="P160" s="64" t="s">
        <v>547</v>
      </c>
      <c r="Q160" s="519" t="s">
        <v>552</v>
      </c>
      <c r="R160" s="516" t="s">
        <v>548</v>
      </c>
      <c r="S160" s="497"/>
      <c r="T160" s="497"/>
      <c r="U160" s="497"/>
      <c r="Y160" s="517"/>
      <c r="AA160" s="517"/>
      <c r="AF160" s="517"/>
      <c r="AM160" s="517"/>
      <c r="AO160" s="517"/>
      <c r="AT160" s="517"/>
      <c r="AV160" s="511"/>
      <c r="AW160" s="511"/>
      <c r="AX160" s="511"/>
      <c r="BA160" s="517"/>
      <c r="BC160" s="517"/>
      <c r="BH160" s="517"/>
      <c r="BJ160" s="511"/>
      <c r="BK160" s="511"/>
      <c r="BL160" s="511"/>
      <c r="BQ160" s="58">
        <f t="shared" si="234"/>
        <v>95</v>
      </c>
      <c r="BR160" s="17">
        <v>2</v>
      </c>
      <c r="BS160" s="17" t="s">
        <v>559</v>
      </c>
      <c r="BT160" s="17">
        <v>1</v>
      </c>
      <c r="BU160" s="17">
        <v>10</v>
      </c>
      <c r="BV160" s="17" t="str">
        <f t="shared" si="255"/>
        <v>everolimus</v>
      </c>
      <c r="BW160" s="1006" t="str" cm="1">
        <f t="array" ref="BW160">IF(I160="No",I160,INDEX(List_incl_anal_1L_fav,IF(BU160=999,35,BU160+1)))</f>
        <v>No</v>
      </c>
      <c r="BX160" s="61">
        <f t="shared" si="256"/>
        <v>1</v>
      </c>
      <c r="BY160" s="531" t="str">
        <f t="shared" si="279"/>
        <v>Progression free survival</v>
      </c>
      <c r="BZ160" s="530">
        <f t="shared" si="257"/>
        <v>0</v>
      </c>
      <c r="CA160" s="531">
        <f t="shared" si="280"/>
        <v>0</v>
      </c>
      <c r="CB160" s="530">
        <f t="shared" si="258"/>
        <v>2</v>
      </c>
      <c r="CC160" s="530">
        <f t="shared" si="259"/>
        <v>1</v>
      </c>
      <c r="CD160" s="530">
        <f t="shared" si="260"/>
        <v>7</v>
      </c>
      <c r="CE160" s="1295">
        <f t="shared" si="261"/>
        <v>2</v>
      </c>
      <c r="CF160" s="1301">
        <f t="shared" si="262"/>
        <v>1</v>
      </c>
      <c r="CG160" s="530" t="str">
        <f t="shared" si="263"/>
        <v>Log-logistic</v>
      </c>
      <c r="CH160" s="61">
        <f t="shared" si="264"/>
        <v>0</v>
      </c>
      <c r="CI160" s="61">
        <f t="shared" si="265"/>
        <v>0</v>
      </c>
      <c r="CJ160" s="61">
        <f t="shared" si="266"/>
        <v>0</v>
      </c>
      <c r="DA160" s="1024"/>
      <c r="DB160" s="1024"/>
      <c r="DC160" s="1024"/>
      <c r="DD160" s="1024"/>
      <c r="DE160" s="1024"/>
      <c r="DF160" s="1024"/>
      <c r="DG160" s="1024"/>
      <c r="DK160" s="58" t="str" cm="1">
        <f t="array" ref="DK160">IF(AND($BT160=4,$BX160=4,$BU160=999),$DB$36,_xlfn.IFNA(INDEX(DB$13:DB$70,MATCH(1,($BR160=$CV$13:$CV$70)*($BT160=$CX$13:$CX$70)*($CE160=$CY$13:$CY$70)*($BY160=$DA$13:$DA$70)*($CD160=$DH$13:$DH$70),0)),""))</f>
        <v>Log-logistic</v>
      </c>
      <c r="DL160" s="58" t="str" cm="1">
        <f t="array" ref="DL160">IF(AND($BT160=4,$BX160=4,$BU160=999),$DC$36,_xlfn.IFNA(INDEX(CHOOSE(DP160,DB$13:DB$70,DC$13:DC$70,DD$13:DD$70,DE$13:DE$70),MATCH(1,($BR160=$CV$13:$CV$70)*($BT160=$CX$13:$CX$70)*($CE160=$CY$13:$CY$70)*($BY160=$DA$13:$DA$70)*($CD160=$DH$13:$DH$70),0)),""))</f>
        <v>Log-logistic</v>
      </c>
      <c r="DM160" s="740" cm="1">
        <f t="array" ref="DM160">IF(AND($BT160=4,$BX160=4,$BU160=999),$DD$36,_xlfn.IFNA(INDEX(DD$13:DD$68,MATCH(1,($BR160=$CV$13:$CV$68)*($BT160=$CX$13:$CX$68)*($CE160=$CY$13:$CY$68)*($BY160=$DA$13:$DA$68)*($CD160=$DH$13:$DH$68),0)),""))</f>
        <v>0</v>
      </c>
      <c r="DN160" s="740" cm="1">
        <f t="array" ref="DN160">IF(AND($BT160=4,$BX160=4,$BU160=999),$DD$36,_xlfn.IFNA(INDEX(DE$13:DE$68,MATCH(1,($BR160=$CV$13:$CV$68)*($BT160=$CX$13:$CX$68)*($CE160=$CY$13:$CY$68)*($BY160=$DA$13:$DA$68)*($CD160=$DH$13:$DH$68),0)),""))</f>
        <v>0</v>
      </c>
      <c r="DO160" s="58" t="str" cm="1">
        <f t="array" ref="DO160">IF(AND($BT160=4,$BX160=4,$BU160=999),$DF$36,_xlfn.IFNA(INDEX(DF$13:DF$70,MATCH(1,($BR160=$CV$13:$CV$70)*($BT160=$CX$13:$CX$70)*($CE160=$CY$13:$CY$70)*($BY160=$DA$13:$DA$70)*($CD160=$DH$13:$DH$70),0)),""))</f>
        <v>Base case</v>
      </c>
      <c r="DP160" s="58">
        <f t="shared" si="235"/>
        <v>1</v>
      </c>
      <c r="DW160" s="58" t="s">
        <v>58</v>
      </c>
      <c r="DX160" s="58" t="s">
        <v>552</v>
      </c>
      <c r="DY160" s="58">
        <v>0</v>
      </c>
      <c r="DZ160" s="58">
        <v>0</v>
      </c>
      <c r="EB160" s="58">
        <v>2</v>
      </c>
      <c r="EC160" s="58">
        <v>1</v>
      </c>
      <c r="ED160" s="58">
        <v>7</v>
      </c>
      <c r="EE160" s="58">
        <v>2</v>
      </c>
      <c r="EF160" s="58">
        <v>1</v>
      </c>
      <c r="EI160" s="58" t="s">
        <v>58</v>
      </c>
      <c r="EJ160" s="58" t="s">
        <v>552</v>
      </c>
      <c r="EK160" s="58">
        <v>0</v>
      </c>
      <c r="EL160" s="58">
        <v>0</v>
      </c>
      <c r="EN160" s="58">
        <v>2</v>
      </c>
      <c r="EO160" s="58">
        <v>1</v>
      </c>
      <c r="EP160" s="58">
        <v>7</v>
      </c>
      <c r="EQ160" s="58">
        <v>0</v>
      </c>
      <c r="ER160" s="58">
        <v>1</v>
      </c>
      <c r="EU160" s="58" t="str">
        <f t="shared" si="267"/>
        <v>No</v>
      </c>
      <c r="EV160" s="58" t="str">
        <f t="shared" si="268"/>
        <v>Progression free survival</v>
      </c>
      <c r="EW160" s="58">
        <f t="shared" si="269"/>
        <v>0</v>
      </c>
      <c r="EX160" s="58">
        <f t="shared" si="270"/>
        <v>0</v>
      </c>
      <c r="EZ160" s="58">
        <f t="shared" si="271"/>
        <v>2</v>
      </c>
      <c r="FA160" s="58">
        <f t="shared" si="272"/>
        <v>1</v>
      </c>
      <c r="FB160" s="58">
        <f>IF(i_eff_inputs_based_on_num=2,ED160,(INDEX(Lists!$L$51:$L$85,MATCH(O160,Lists!$K$51:$K$85,0))))</f>
        <v>7</v>
      </c>
      <c r="FC160" s="58">
        <f>IF(i_eff_inputs_based_on_num=2,EE160,(INDEX(Lists!$L$51:$L$85,MATCH(P160,Lists!$K$51:$K$85,0))))</f>
        <v>2</v>
      </c>
      <c r="FD160" s="58">
        <f>IF(i_eff_inputs_based_on_num=2,EF160,(INDEX(Lists!$L$51:$L$85,MATCH(Q160,Lists!$K$51:$K$85,0))))</f>
        <v>1</v>
      </c>
      <c r="FG160" s="58" t="str">
        <f t="shared" si="273"/>
        <v>No</v>
      </c>
      <c r="FH160" s="58" t="str">
        <f t="shared" si="274"/>
        <v>Progression free survival</v>
      </c>
      <c r="FI160" s="58">
        <f t="shared" si="275"/>
        <v>0</v>
      </c>
      <c r="FJ160" s="58">
        <f t="shared" si="276"/>
        <v>0</v>
      </c>
      <c r="FL160" s="58">
        <f t="shared" si="277"/>
        <v>2</v>
      </c>
      <c r="FM160" s="58">
        <f t="shared" si="278"/>
        <v>1</v>
      </c>
      <c r="FN160" s="58">
        <f>IF(i_eff_inputs_based_on_num=2,EP160,(INDEX(Lists!$L$51:$L$85,MATCH(O160,Lists!$K$51:$K$85,0))))</f>
        <v>7</v>
      </c>
      <c r="FO160" s="58">
        <f>IF(i_eff_inputs_based_on_num=2,EQ160,(INDEX(Lists!$L$51:$L$85,MATCH(P160,Lists!$K$51:$K$85,0))))</f>
        <v>0</v>
      </c>
      <c r="FP160" s="58">
        <f>IF(i_eff_inputs_based_on_num=2,ER160,(INDEX(Lists!$L$51:$L$85,MATCH(Q160,Lists!$K$51:$K$85,0))))</f>
        <v>1</v>
      </c>
      <c r="FT160" s="58">
        <f t="shared" si="236"/>
        <v>0</v>
      </c>
      <c r="FW160" s="58">
        <f>IF(i_baseline_risk_from=2,'Effectiveness settings'!EW160,'Effectiveness settings'!FI160)</f>
        <v>0</v>
      </c>
      <c r="FX160" s="58">
        <f t="shared" si="237"/>
        <v>0</v>
      </c>
      <c r="FY160" s="58">
        <f t="shared" si="238"/>
        <v>0</v>
      </c>
      <c r="FZ160" s="58">
        <f t="shared" si="239"/>
        <v>0</v>
      </c>
      <c r="GA160" s="58">
        <f t="shared" si="240"/>
        <v>0</v>
      </c>
      <c r="GB160" s="58">
        <f t="shared" si="241"/>
        <v>0</v>
      </c>
      <c r="GC160" s="58">
        <f t="shared" si="242"/>
        <v>0</v>
      </c>
      <c r="GD160" s="58">
        <f t="shared" si="243"/>
        <v>0</v>
      </c>
      <c r="GE160" s="58">
        <f>IF(AND(dd_CheckMate214_TTD="Yes",'Effectiveness settings'!BU160=2,'Effectiveness settings'!BX160=2),"Apply HR to",GD160)</f>
        <v>0</v>
      </c>
      <c r="GF160" s="58">
        <f t="shared" si="244"/>
        <v>0</v>
      </c>
      <c r="GG160" s="58">
        <f t="shared" si="245"/>
        <v>0</v>
      </c>
      <c r="GH160" s="58">
        <f t="shared" si="246"/>
        <v>0</v>
      </c>
      <c r="GI160" s="58">
        <f t="shared" si="199"/>
        <v>0</v>
      </c>
      <c r="GK160" s="58">
        <f>IF(i_baseline_risk_from=2,'Effectiveness settings'!FA160,'Effectiveness settings'!FM160)</f>
        <v>1</v>
      </c>
      <c r="GL160" s="58">
        <f>IF(i_baseline_risk_from=2,'Effectiveness settings'!FB160,'Effectiveness settings'!FN160)</f>
        <v>7</v>
      </c>
      <c r="GM160" s="58">
        <f>IF(i_baseline_risk_from=2,'Effectiveness settings'!FC160,'Effectiveness settings'!FO160)</f>
        <v>2</v>
      </c>
      <c r="GN160" s="58">
        <f>IF(i_baseline_risk_from=2,'Effectiveness settings'!FD160,'Effectiveness settings'!FP160)</f>
        <v>1</v>
      </c>
      <c r="GQ160" s="58">
        <f t="shared" si="247"/>
        <v>7</v>
      </c>
      <c r="GR160" s="58">
        <f t="shared" si="248"/>
        <v>7</v>
      </c>
      <c r="GS160" s="58">
        <f t="shared" si="249"/>
        <v>7</v>
      </c>
      <c r="GT160" s="58">
        <f t="shared" si="250"/>
        <v>7</v>
      </c>
      <c r="GU160" s="58">
        <f>IF(AND(dd_CheckMate214_TTD="Yes",'Effectiveness settings'!BU160=2,'Effectiveness settings'!BX160=2),2,GT160)</f>
        <v>7</v>
      </c>
      <c r="GV160" s="58">
        <f t="shared" si="251"/>
        <v>7</v>
      </c>
      <c r="GW160" s="58">
        <f t="shared" si="252"/>
        <v>7</v>
      </c>
      <c r="GY160" s="58">
        <f>IF(AND(dd_CheckMate214_TTD="Yes",'Effectiveness settings'!BU160=2,'Effectiveness settings'!BX160=2),1,GN160)</f>
        <v>1</v>
      </c>
      <c r="GZ160" s="58">
        <f t="shared" si="253"/>
        <v>1</v>
      </c>
      <c r="HB160" s="58">
        <f t="shared" si="254"/>
        <v>2</v>
      </c>
      <c r="HD160" s="58">
        <f t="shared" si="227"/>
        <v>2</v>
      </c>
      <c r="HE160" s="58">
        <f t="shared" si="228"/>
        <v>1</v>
      </c>
      <c r="HF160" s="58">
        <f t="shared" si="229"/>
        <v>7</v>
      </c>
      <c r="HG160" s="58">
        <f t="shared" si="230"/>
        <v>2</v>
      </c>
      <c r="HH160" s="58">
        <f t="shared" si="231"/>
        <v>1</v>
      </c>
    </row>
    <row r="161" spans="1:216" ht="15.75" x14ac:dyDescent="0.25">
      <c r="D161" s="58" t="str">
        <v>axitinib</v>
      </c>
      <c r="I161" s="64" t="s">
        <v>58</v>
      </c>
      <c r="J161" s="519" t="s">
        <v>552</v>
      </c>
      <c r="K161" s="524"/>
      <c r="L161" s="519"/>
      <c r="M161" s="516" t="s">
        <v>559</v>
      </c>
      <c r="N161" s="64" t="s">
        <v>546</v>
      </c>
      <c r="O161" s="64" t="s">
        <v>117</v>
      </c>
      <c r="P161" s="64" t="s">
        <v>547</v>
      </c>
      <c r="Q161" s="519" t="s">
        <v>552</v>
      </c>
      <c r="R161" s="516" t="s">
        <v>548</v>
      </c>
      <c r="S161" s="497"/>
      <c r="T161" s="497"/>
      <c r="U161" s="497"/>
      <c r="Y161" s="517"/>
      <c r="AA161" s="517"/>
      <c r="AF161" s="517"/>
      <c r="AM161" s="517"/>
      <c r="AO161" s="517"/>
      <c r="AT161" s="517"/>
      <c r="AV161" s="511"/>
      <c r="AW161" s="511"/>
      <c r="AX161" s="511"/>
      <c r="BA161" s="517"/>
      <c r="BC161" s="517"/>
      <c r="BH161" s="517"/>
      <c r="BJ161" s="511"/>
      <c r="BK161" s="511"/>
      <c r="BL161" s="511"/>
      <c r="BQ161" s="58">
        <f t="shared" si="234"/>
        <v>96</v>
      </c>
      <c r="BR161" s="17">
        <v>2</v>
      </c>
      <c r="BS161" s="17" t="s">
        <v>559</v>
      </c>
      <c r="BT161" s="17">
        <v>1</v>
      </c>
      <c r="BU161" s="17">
        <v>11</v>
      </c>
      <c r="BV161" s="17" t="str">
        <f t="shared" si="255"/>
        <v>axitinib</v>
      </c>
      <c r="BW161" s="1006" t="str" cm="1">
        <f t="array" ref="BW161">IF(I161="No",I161,INDEX(List_incl_anal_1L_fav,IF(BU161=999,35,BU161+1)))</f>
        <v>No</v>
      </c>
      <c r="BX161" s="61">
        <f t="shared" si="256"/>
        <v>1</v>
      </c>
      <c r="BY161" s="531" t="str">
        <f t="shared" si="279"/>
        <v>Progression free survival</v>
      </c>
      <c r="BZ161" s="530">
        <f t="shared" si="257"/>
        <v>0</v>
      </c>
      <c r="CA161" s="531">
        <f t="shared" si="280"/>
        <v>0</v>
      </c>
      <c r="CB161" s="530">
        <f t="shared" si="258"/>
        <v>2</v>
      </c>
      <c r="CC161" s="530">
        <f t="shared" si="259"/>
        <v>1</v>
      </c>
      <c r="CD161" s="530">
        <f t="shared" si="260"/>
        <v>7</v>
      </c>
      <c r="CE161" s="1295">
        <f t="shared" si="261"/>
        <v>2</v>
      </c>
      <c r="CF161" s="1301">
        <f t="shared" si="262"/>
        <v>1</v>
      </c>
      <c r="CG161" s="530" t="str">
        <f t="shared" si="263"/>
        <v>Log-logistic</v>
      </c>
      <c r="CH161" s="61">
        <f t="shared" si="264"/>
        <v>0</v>
      </c>
      <c r="CI161" s="61">
        <f t="shared" si="265"/>
        <v>0</v>
      </c>
      <c r="CJ161" s="61">
        <f t="shared" si="266"/>
        <v>0</v>
      </c>
      <c r="DA161" s="1024"/>
      <c r="DB161" s="1024"/>
      <c r="DC161" s="1024"/>
      <c r="DD161" s="1024"/>
      <c r="DE161" s="1024"/>
      <c r="DF161" s="1024"/>
      <c r="DG161" s="1024"/>
      <c r="DK161" s="58" t="str" cm="1">
        <f t="array" ref="DK161">IF(AND($BT161=4,$BX161=4,$BU161=999),$DB$36,_xlfn.IFNA(INDEX(DB$13:DB$70,MATCH(1,($BR161=$CV$13:$CV$70)*($BT161=$CX$13:$CX$70)*($CE161=$CY$13:$CY$70)*($BY161=$DA$13:$DA$70)*($CD161=$DH$13:$DH$70),0)),""))</f>
        <v>Log-logistic</v>
      </c>
      <c r="DL161" s="58" t="str" cm="1">
        <f t="array" ref="DL161">IF(AND($BT161=4,$BX161=4,$BU161=999),$DC$36,_xlfn.IFNA(INDEX(CHOOSE(DP161,DB$13:DB$70,DC$13:DC$70,DD$13:DD$70,DE$13:DE$70),MATCH(1,($BR161=$CV$13:$CV$70)*($BT161=$CX$13:$CX$70)*($CE161=$CY$13:$CY$70)*($BY161=$DA$13:$DA$70)*($CD161=$DH$13:$DH$70),0)),""))</f>
        <v>Log-logistic</v>
      </c>
      <c r="DM161" s="740" cm="1">
        <f t="array" ref="DM161">IF(AND($BT161=4,$BX161=4,$BU161=999),$DD$36,_xlfn.IFNA(INDEX(DD$13:DD$68,MATCH(1,($BR161=$CV$13:$CV$68)*($BT161=$CX$13:$CX$68)*($CE161=$CY$13:$CY$68)*($BY161=$DA$13:$DA$68)*($CD161=$DH$13:$DH$68),0)),""))</f>
        <v>0</v>
      </c>
      <c r="DN161" s="740" cm="1">
        <f t="array" ref="DN161">IF(AND($BT161=4,$BX161=4,$BU161=999),$DD$36,_xlfn.IFNA(INDEX(DE$13:DE$68,MATCH(1,($BR161=$CV$13:$CV$68)*($BT161=$CX$13:$CX$68)*($CE161=$CY$13:$CY$68)*($BY161=$DA$13:$DA$68)*($CD161=$DH$13:$DH$68),0)),""))</f>
        <v>0</v>
      </c>
      <c r="DO161" s="58" t="str" cm="1">
        <f t="array" ref="DO161">IF(AND($BT161=4,$BX161=4,$BU161=999),$DF$36,_xlfn.IFNA(INDEX(DF$13:DF$70,MATCH(1,($BR161=$CV$13:$CV$70)*($BT161=$CX$13:$CX$70)*($CE161=$CY$13:$CY$70)*($BY161=$DA$13:$DA$70)*($CD161=$DH$13:$DH$70),0)),""))</f>
        <v>Base case</v>
      </c>
      <c r="DP161" s="58">
        <f t="shared" si="235"/>
        <v>1</v>
      </c>
      <c r="DW161" s="58" t="s">
        <v>58</v>
      </c>
      <c r="DX161" s="58" t="s">
        <v>552</v>
      </c>
      <c r="DY161" s="58">
        <v>0</v>
      </c>
      <c r="DZ161" s="58">
        <v>0</v>
      </c>
      <c r="EB161" s="58">
        <v>2</v>
      </c>
      <c r="EC161" s="58">
        <v>1</v>
      </c>
      <c r="ED161" s="58">
        <v>7</v>
      </c>
      <c r="EE161" s="58">
        <v>2</v>
      </c>
      <c r="EF161" s="58">
        <v>1</v>
      </c>
      <c r="EI161" s="58" t="s">
        <v>58</v>
      </c>
      <c r="EJ161" s="58" t="s">
        <v>552</v>
      </c>
      <c r="EK161" s="58">
        <v>0</v>
      </c>
      <c r="EL161" s="58">
        <v>0</v>
      </c>
      <c r="EN161" s="58">
        <v>2</v>
      </c>
      <c r="EO161" s="58">
        <v>1</v>
      </c>
      <c r="EP161" s="58">
        <v>7</v>
      </c>
      <c r="EQ161" s="58">
        <v>0</v>
      </c>
      <c r="ER161" s="58">
        <v>1</v>
      </c>
      <c r="EU161" s="58" t="str">
        <f t="shared" si="267"/>
        <v>No</v>
      </c>
      <c r="EV161" s="58" t="str">
        <f t="shared" si="268"/>
        <v>Progression free survival</v>
      </c>
      <c r="EW161" s="58">
        <f t="shared" si="269"/>
        <v>0</v>
      </c>
      <c r="EX161" s="58">
        <f t="shared" si="270"/>
        <v>0</v>
      </c>
      <c r="EZ161" s="58">
        <f t="shared" si="271"/>
        <v>2</v>
      </c>
      <c r="FA161" s="58">
        <f t="shared" si="272"/>
        <v>1</v>
      </c>
      <c r="FB161" s="58">
        <f>IF(i_eff_inputs_based_on_num=2,ED161,(INDEX(Lists!$L$51:$L$85,MATCH(O161,Lists!$K$51:$K$85,0))))</f>
        <v>7</v>
      </c>
      <c r="FC161" s="58">
        <f>IF(i_eff_inputs_based_on_num=2,EE161,(INDEX(Lists!$L$51:$L$85,MATCH(P161,Lists!$K$51:$K$85,0))))</f>
        <v>2</v>
      </c>
      <c r="FD161" s="58">
        <f>IF(i_eff_inputs_based_on_num=2,EF161,(INDEX(Lists!$L$51:$L$85,MATCH(Q161,Lists!$K$51:$K$85,0))))</f>
        <v>1</v>
      </c>
      <c r="FG161" s="58" t="str">
        <f t="shared" si="273"/>
        <v>No</v>
      </c>
      <c r="FH161" s="58" t="str">
        <f t="shared" si="274"/>
        <v>Progression free survival</v>
      </c>
      <c r="FI161" s="58">
        <f t="shared" si="275"/>
        <v>0</v>
      </c>
      <c r="FJ161" s="58">
        <f t="shared" si="276"/>
        <v>0</v>
      </c>
      <c r="FL161" s="58">
        <f t="shared" si="277"/>
        <v>2</v>
      </c>
      <c r="FM161" s="58">
        <f t="shared" si="278"/>
        <v>1</v>
      </c>
      <c r="FN161" s="58">
        <f>IF(i_eff_inputs_based_on_num=2,EP161,(INDEX(Lists!$L$51:$L$85,MATCH(O161,Lists!$K$51:$K$85,0))))</f>
        <v>7</v>
      </c>
      <c r="FO161" s="58">
        <f>IF(i_eff_inputs_based_on_num=2,EQ161,(INDEX(Lists!$L$51:$L$85,MATCH(P161,Lists!$K$51:$K$85,0))))</f>
        <v>0</v>
      </c>
      <c r="FP161" s="58">
        <f>IF(i_eff_inputs_based_on_num=2,ER161,(INDEX(Lists!$L$51:$L$85,MATCH(Q161,Lists!$K$51:$K$85,0))))</f>
        <v>1</v>
      </c>
      <c r="FT161" s="58">
        <f t="shared" si="236"/>
        <v>0</v>
      </c>
      <c r="FW161" s="58">
        <f>IF(i_baseline_risk_from=2,'Effectiveness settings'!EW161,'Effectiveness settings'!FI161)</f>
        <v>0</v>
      </c>
      <c r="FX161" s="58">
        <f t="shared" si="237"/>
        <v>0</v>
      </c>
      <c r="FY161" s="58">
        <f t="shared" si="238"/>
        <v>0</v>
      </c>
      <c r="FZ161" s="58">
        <f t="shared" si="239"/>
        <v>0</v>
      </c>
      <c r="GA161" s="58">
        <f t="shared" si="240"/>
        <v>0</v>
      </c>
      <c r="GB161" s="58">
        <f t="shared" si="241"/>
        <v>0</v>
      </c>
      <c r="GC161" s="58">
        <f t="shared" si="242"/>
        <v>0</v>
      </c>
      <c r="GD161" s="58">
        <f t="shared" si="243"/>
        <v>0</v>
      </c>
      <c r="GE161" s="58">
        <f>IF(AND(dd_CheckMate214_TTD="Yes",'Effectiveness settings'!BU161=2,'Effectiveness settings'!BX161=2),"Apply HR to",GD161)</f>
        <v>0</v>
      </c>
      <c r="GF161" s="58">
        <f t="shared" si="244"/>
        <v>0</v>
      </c>
      <c r="GG161" s="58">
        <f t="shared" si="245"/>
        <v>0</v>
      </c>
      <c r="GH161" s="58">
        <f t="shared" si="246"/>
        <v>0</v>
      </c>
      <c r="GI161" s="58">
        <f t="shared" si="199"/>
        <v>0</v>
      </c>
      <c r="GK161" s="58">
        <f>IF(i_baseline_risk_from=2,'Effectiveness settings'!FA161,'Effectiveness settings'!FM161)</f>
        <v>1</v>
      </c>
      <c r="GL161" s="58">
        <f>IF(i_baseline_risk_from=2,'Effectiveness settings'!FB161,'Effectiveness settings'!FN161)</f>
        <v>7</v>
      </c>
      <c r="GM161" s="58">
        <f>IF(i_baseline_risk_from=2,'Effectiveness settings'!FC161,'Effectiveness settings'!FO161)</f>
        <v>2</v>
      </c>
      <c r="GN161" s="58">
        <f>IF(i_baseline_risk_from=2,'Effectiveness settings'!FD161,'Effectiveness settings'!FP161)</f>
        <v>1</v>
      </c>
      <c r="GQ161" s="58">
        <f t="shared" si="247"/>
        <v>7</v>
      </c>
      <c r="GR161" s="58">
        <f t="shared" si="248"/>
        <v>7</v>
      </c>
      <c r="GS161" s="58">
        <f t="shared" si="249"/>
        <v>7</v>
      </c>
      <c r="GT161" s="58">
        <f t="shared" si="250"/>
        <v>7</v>
      </c>
      <c r="GU161" s="58">
        <f>IF(AND(dd_CheckMate214_TTD="Yes",'Effectiveness settings'!BU161=2,'Effectiveness settings'!BX161=2),2,GT161)</f>
        <v>7</v>
      </c>
      <c r="GV161" s="58">
        <f t="shared" si="251"/>
        <v>7</v>
      </c>
      <c r="GW161" s="58">
        <f t="shared" si="252"/>
        <v>7</v>
      </c>
      <c r="GY161" s="58">
        <f>IF(AND(dd_CheckMate214_TTD="Yes",'Effectiveness settings'!BU161=2,'Effectiveness settings'!BX161=2),1,GN161)</f>
        <v>1</v>
      </c>
      <c r="GZ161" s="58">
        <f t="shared" si="253"/>
        <v>1</v>
      </c>
      <c r="HB161" s="58">
        <f t="shared" si="254"/>
        <v>2</v>
      </c>
      <c r="HD161" s="58">
        <f t="shared" si="227"/>
        <v>2</v>
      </c>
      <c r="HE161" s="58">
        <f t="shared" si="228"/>
        <v>1</v>
      </c>
      <c r="HF161" s="58">
        <f t="shared" si="229"/>
        <v>7</v>
      </c>
      <c r="HG161" s="58">
        <f t="shared" si="230"/>
        <v>2</v>
      </c>
      <c r="HH161" s="58">
        <f t="shared" si="231"/>
        <v>1</v>
      </c>
    </row>
    <row r="162" spans="1:216" ht="15.75" x14ac:dyDescent="0.25">
      <c r="D162" s="58" t="str">
        <v>sorafenib</v>
      </c>
      <c r="I162" s="64" t="s">
        <v>58</v>
      </c>
      <c r="J162" s="519" t="s">
        <v>552</v>
      </c>
      <c r="K162" s="524"/>
      <c r="L162" s="519"/>
      <c r="M162" s="516" t="s">
        <v>559</v>
      </c>
      <c r="N162" s="64" t="s">
        <v>546</v>
      </c>
      <c r="O162" s="64" t="s">
        <v>117</v>
      </c>
      <c r="P162" s="64" t="s">
        <v>547</v>
      </c>
      <c r="Q162" s="519" t="s">
        <v>552</v>
      </c>
      <c r="R162" s="516" t="s">
        <v>548</v>
      </c>
      <c r="S162" s="497"/>
      <c r="T162" s="497"/>
      <c r="U162" s="497"/>
      <c r="Y162" s="517"/>
      <c r="AA162" s="517"/>
      <c r="AF162" s="517"/>
      <c r="AM162" s="517"/>
      <c r="AO162" s="517"/>
      <c r="AT162" s="517"/>
      <c r="AV162" s="511"/>
      <c r="AW162" s="511"/>
      <c r="AX162" s="511"/>
      <c r="BA162" s="517"/>
      <c r="BC162" s="517"/>
      <c r="BH162" s="517"/>
      <c r="BJ162" s="511"/>
      <c r="BK162" s="511"/>
      <c r="BL162" s="511"/>
      <c r="BQ162" s="58">
        <f t="shared" si="234"/>
        <v>97</v>
      </c>
      <c r="BR162" s="17">
        <v>2</v>
      </c>
      <c r="BS162" s="17" t="s">
        <v>559</v>
      </c>
      <c r="BT162" s="17">
        <v>1</v>
      </c>
      <c r="BU162" s="17">
        <v>12</v>
      </c>
      <c r="BV162" s="17" t="str">
        <f t="shared" si="255"/>
        <v>sorafenib</v>
      </c>
      <c r="BW162" s="1006" t="str" cm="1">
        <f t="array" ref="BW162">IF(I162="No",I162,INDEX(List_incl_anal_1L_fav,IF(BU162=999,35,BU162+1)))</f>
        <v>No</v>
      </c>
      <c r="BX162" s="61">
        <f t="shared" si="256"/>
        <v>1</v>
      </c>
      <c r="BY162" s="531" t="str">
        <f t="shared" si="279"/>
        <v>Progression free survival</v>
      </c>
      <c r="BZ162" s="530">
        <f t="shared" si="257"/>
        <v>0</v>
      </c>
      <c r="CA162" s="531">
        <f t="shared" si="280"/>
        <v>0</v>
      </c>
      <c r="CB162" s="530">
        <f t="shared" si="258"/>
        <v>2</v>
      </c>
      <c r="CC162" s="530">
        <f t="shared" si="259"/>
        <v>1</v>
      </c>
      <c r="CD162" s="530">
        <f t="shared" si="260"/>
        <v>7</v>
      </c>
      <c r="CE162" s="1295">
        <f t="shared" si="261"/>
        <v>2</v>
      </c>
      <c r="CF162" s="1301">
        <f t="shared" si="262"/>
        <v>1</v>
      </c>
      <c r="CG162" s="530" t="str">
        <f t="shared" si="263"/>
        <v>Log-logistic</v>
      </c>
      <c r="CH162" s="61">
        <f t="shared" si="264"/>
        <v>0</v>
      </c>
      <c r="CI162" s="61">
        <f t="shared" si="265"/>
        <v>0</v>
      </c>
      <c r="CJ162" s="61">
        <f t="shared" si="266"/>
        <v>0</v>
      </c>
      <c r="DA162" s="1024"/>
      <c r="DB162" s="1024"/>
      <c r="DC162" s="1024"/>
      <c r="DD162" s="1024"/>
      <c r="DE162" s="1024"/>
      <c r="DF162" s="1024"/>
      <c r="DG162" s="1024"/>
      <c r="DK162" s="58" t="str" cm="1">
        <f t="array" ref="DK162">IF(AND($BT162=4,$BX162=4,$BU162=999),$DB$36,_xlfn.IFNA(INDEX(DB$13:DB$70,MATCH(1,($BR162=$CV$13:$CV$70)*($BT162=$CX$13:$CX$70)*($CE162=$CY$13:$CY$70)*($BY162=$DA$13:$DA$70)*($CD162=$DH$13:$DH$70),0)),""))</f>
        <v>Log-logistic</v>
      </c>
      <c r="DL162" s="58" t="str" cm="1">
        <f t="array" ref="DL162">IF(AND($BT162=4,$BX162=4,$BU162=999),$DC$36,_xlfn.IFNA(INDEX(CHOOSE(DP162,DB$13:DB$70,DC$13:DC$70,DD$13:DD$70,DE$13:DE$70),MATCH(1,($BR162=$CV$13:$CV$70)*($BT162=$CX$13:$CX$70)*($CE162=$CY$13:$CY$70)*($BY162=$DA$13:$DA$70)*($CD162=$DH$13:$DH$70),0)),""))</f>
        <v>Log-logistic</v>
      </c>
      <c r="DM162" s="740" cm="1">
        <f t="array" ref="DM162">IF(AND($BT162=4,$BX162=4,$BU162=999),$DD$36,_xlfn.IFNA(INDEX(DD$13:DD$68,MATCH(1,($BR162=$CV$13:$CV$68)*($BT162=$CX$13:$CX$68)*($CE162=$CY$13:$CY$68)*($BY162=$DA$13:$DA$68)*($CD162=$DH$13:$DH$68),0)),""))</f>
        <v>0</v>
      </c>
      <c r="DN162" s="740" cm="1">
        <f t="array" ref="DN162">IF(AND($BT162=4,$BX162=4,$BU162=999),$DD$36,_xlfn.IFNA(INDEX(DE$13:DE$68,MATCH(1,($BR162=$CV$13:$CV$68)*($BT162=$CX$13:$CX$68)*($CE162=$CY$13:$CY$68)*($BY162=$DA$13:$DA$68)*($CD162=$DH$13:$DH$68),0)),""))</f>
        <v>0</v>
      </c>
      <c r="DO162" s="58" t="str" cm="1">
        <f t="array" ref="DO162">IF(AND($BT162=4,$BX162=4,$BU162=999),$DF$36,_xlfn.IFNA(INDEX(DF$13:DF$70,MATCH(1,($BR162=$CV$13:$CV$70)*($BT162=$CX$13:$CX$70)*($CE162=$CY$13:$CY$70)*($BY162=$DA$13:$DA$70)*($CD162=$DH$13:$DH$70),0)),""))</f>
        <v>Base case</v>
      </c>
      <c r="DP162" s="58">
        <f t="shared" si="235"/>
        <v>1</v>
      </c>
      <c r="DW162" s="58" t="s">
        <v>58</v>
      </c>
      <c r="DX162" s="58" t="s">
        <v>552</v>
      </c>
      <c r="DY162" s="58">
        <v>0</v>
      </c>
      <c r="DZ162" s="58">
        <v>0</v>
      </c>
      <c r="EB162" s="58">
        <v>2</v>
      </c>
      <c r="EC162" s="58">
        <v>1</v>
      </c>
      <c r="ED162" s="58">
        <v>7</v>
      </c>
      <c r="EE162" s="58">
        <v>2</v>
      </c>
      <c r="EF162" s="58">
        <v>1</v>
      </c>
      <c r="EI162" s="58" t="s">
        <v>58</v>
      </c>
      <c r="EJ162" s="58" t="s">
        <v>552</v>
      </c>
      <c r="EK162" s="58">
        <v>0</v>
      </c>
      <c r="EL162" s="58">
        <v>0</v>
      </c>
      <c r="EN162" s="58">
        <v>2</v>
      </c>
      <c r="EO162" s="58">
        <v>1</v>
      </c>
      <c r="EP162" s="58">
        <v>7</v>
      </c>
      <c r="EQ162" s="58">
        <v>0</v>
      </c>
      <c r="ER162" s="58">
        <v>1</v>
      </c>
      <c r="EU162" s="58" t="str">
        <f t="shared" si="267"/>
        <v>No</v>
      </c>
      <c r="EV162" s="58" t="str">
        <f t="shared" si="268"/>
        <v>Progression free survival</v>
      </c>
      <c r="EW162" s="58">
        <f t="shared" si="269"/>
        <v>0</v>
      </c>
      <c r="EX162" s="58">
        <f t="shared" si="270"/>
        <v>0</v>
      </c>
      <c r="EZ162" s="58">
        <f t="shared" si="271"/>
        <v>2</v>
      </c>
      <c r="FA162" s="58">
        <f t="shared" si="272"/>
        <v>1</v>
      </c>
      <c r="FB162" s="58">
        <f>IF(i_eff_inputs_based_on_num=2,ED162,(INDEX(Lists!$L$51:$L$85,MATCH(O162,Lists!$K$51:$K$85,0))))</f>
        <v>7</v>
      </c>
      <c r="FC162" s="58">
        <f>IF(i_eff_inputs_based_on_num=2,EE162,(INDEX(Lists!$L$51:$L$85,MATCH(P162,Lists!$K$51:$K$85,0))))</f>
        <v>2</v>
      </c>
      <c r="FD162" s="58">
        <f>IF(i_eff_inputs_based_on_num=2,EF162,(INDEX(Lists!$L$51:$L$85,MATCH(Q162,Lists!$K$51:$K$85,0))))</f>
        <v>1</v>
      </c>
      <c r="FG162" s="58" t="str">
        <f t="shared" si="273"/>
        <v>No</v>
      </c>
      <c r="FH162" s="58" t="str">
        <f t="shared" si="274"/>
        <v>Progression free survival</v>
      </c>
      <c r="FI162" s="58">
        <f t="shared" si="275"/>
        <v>0</v>
      </c>
      <c r="FJ162" s="58">
        <f t="shared" si="276"/>
        <v>0</v>
      </c>
      <c r="FL162" s="58">
        <f t="shared" si="277"/>
        <v>2</v>
      </c>
      <c r="FM162" s="58">
        <f t="shared" si="278"/>
        <v>1</v>
      </c>
      <c r="FN162" s="58">
        <f>IF(i_eff_inputs_based_on_num=2,EP162,(INDEX(Lists!$L$51:$L$85,MATCH(O162,Lists!$K$51:$K$85,0))))</f>
        <v>7</v>
      </c>
      <c r="FO162" s="58">
        <f>IF(i_eff_inputs_based_on_num=2,EQ162,(INDEX(Lists!$L$51:$L$85,MATCH(P162,Lists!$K$51:$K$85,0))))</f>
        <v>0</v>
      </c>
      <c r="FP162" s="58">
        <f>IF(i_eff_inputs_based_on_num=2,ER162,(INDEX(Lists!$L$51:$L$85,MATCH(Q162,Lists!$K$51:$K$85,0))))</f>
        <v>1</v>
      </c>
      <c r="FT162" s="58">
        <f t="shared" si="236"/>
        <v>0</v>
      </c>
      <c r="FW162" s="58">
        <f>IF(i_baseline_risk_from=2,'Effectiveness settings'!EW162,'Effectiveness settings'!FI162)</f>
        <v>0</v>
      </c>
      <c r="FX162" s="58">
        <f t="shared" si="237"/>
        <v>0</v>
      </c>
      <c r="FY162" s="58">
        <f t="shared" si="238"/>
        <v>0</v>
      </c>
      <c r="FZ162" s="58">
        <f t="shared" si="239"/>
        <v>0</v>
      </c>
      <c r="GA162" s="58">
        <f t="shared" si="240"/>
        <v>0</v>
      </c>
      <c r="GB162" s="58">
        <f t="shared" si="241"/>
        <v>0</v>
      </c>
      <c r="GC162" s="58">
        <f t="shared" si="242"/>
        <v>0</v>
      </c>
      <c r="GD162" s="58">
        <f t="shared" si="243"/>
        <v>0</v>
      </c>
      <c r="GE162" s="58">
        <f>IF(AND(dd_CheckMate214_TTD="Yes",'Effectiveness settings'!BU162=2,'Effectiveness settings'!BX162=2),"Apply HR to",GD162)</f>
        <v>0</v>
      </c>
      <c r="GF162" s="58">
        <f t="shared" si="244"/>
        <v>0</v>
      </c>
      <c r="GG162" s="58">
        <f t="shared" si="245"/>
        <v>0</v>
      </c>
      <c r="GH162" s="58">
        <f t="shared" si="246"/>
        <v>0</v>
      </c>
      <c r="GI162" s="58">
        <f t="shared" si="199"/>
        <v>0</v>
      </c>
      <c r="GK162" s="58">
        <f>IF(i_baseline_risk_from=2,'Effectiveness settings'!FA162,'Effectiveness settings'!FM162)</f>
        <v>1</v>
      </c>
      <c r="GL162" s="58">
        <f>IF(i_baseline_risk_from=2,'Effectiveness settings'!FB162,'Effectiveness settings'!FN162)</f>
        <v>7</v>
      </c>
      <c r="GM162" s="58">
        <f>IF(i_baseline_risk_from=2,'Effectiveness settings'!FC162,'Effectiveness settings'!FO162)</f>
        <v>2</v>
      </c>
      <c r="GN162" s="58">
        <f>IF(i_baseline_risk_from=2,'Effectiveness settings'!FD162,'Effectiveness settings'!FP162)</f>
        <v>1</v>
      </c>
      <c r="GQ162" s="58">
        <f t="shared" si="247"/>
        <v>7</v>
      </c>
      <c r="GR162" s="58">
        <f t="shared" si="248"/>
        <v>7</v>
      </c>
      <c r="GS162" s="58">
        <f t="shared" si="249"/>
        <v>7</v>
      </c>
      <c r="GT162" s="58">
        <f t="shared" si="250"/>
        <v>7</v>
      </c>
      <c r="GU162" s="58">
        <f>IF(AND(dd_CheckMate214_TTD="Yes",'Effectiveness settings'!BU162=2,'Effectiveness settings'!BX162=2),2,GT162)</f>
        <v>7</v>
      </c>
      <c r="GV162" s="58">
        <f t="shared" si="251"/>
        <v>7</v>
      </c>
      <c r="GW162" s="58">
        <f t="shared" si="252"/>
        <v>7</v>
      </c>
      <c r="GY162" s="58">
        <f>IF(AND(dd_CheckMate214_TTD="Yes",'Effectiveness settings'!BU162=2,'Effectiveness settings'!BX162=2),1,GN162)</f>
        <v>1</v>
      </c>
      <c r="GZ162" s="58">
        <f t="shared" si="253"/>
        <v>1</v>
      </c>
      <c r="HB162" s="58">
        <f t="shared" si="254"/>
        <v>2</v>
      </c>
      <c r="HD162" s="58">
        <f t="shared" si="227"/>
        <v>2</v>
      </c>
      <c r="HE162" s="58">
        <f t="shared" si="228"/>
        <v>1</v>
      </c>
      <c r="HF162" s="58">
        <f t="shared" si="229"/>
        <v>7</v>
      </c>
      <c r="HG162" s="58">
        <f t="shared" si="230"/>
        <v>2</v>
      </c>
      <c r="HH162" s="58">
        <f t="shared" si="231"/>
        <v>1</v>
      </c>
    </row>
    <row r="163" spans="1:216" ht="15.75" x14ac:dyDescent="0.25">
      <c r="D163" s="58" t="str">
        <v>placebo_BSC</v>
      </c>
      <c r="I163" s="64" t="s">
        <v>58</v>
      </c>
      <c r="J163" s="519" t="s">
        <v>552</v>
      </c>
      <c r="K163" s="524"/>
      <c r="L163" s="519"/>
      <c r="M163" s="516" t="s">
        <v>559</v>
      </c>
      <c r="N163" s="64" t="s">
        <v>546</v>
      </c>
      <c r="O163" s="64" t="s">
        <v>117</v>
      </c>
      <c r="P163" s="64" t="s">
        <v>547</v>
      </c>
      <c r="Q163" s="519" t="s">
        <v>552</v>
      </c>
      <c r="R163" s="516" t="s">
        <v>548</v>
      </c>
      <c r="S163" s="497"/>
      <c r="T163" s="497"/>
      <c r="U163" s="497"/>
      <c r="Y163" s="517"/>
      <c r="AA163" s="517"/>
      <c r="AF163" s="517"/>
      <c r="AM163" s="517"/>
      <c r="AO163" s="517"/>
      <c r="AT163" s="517"/>
      <c r="AV163" s="511"/>
      <c r="AW163" s="511"/>
      <c r="AX163" s="511"/>
      <c r="BA163" s="517"/>
      <c r="BC163" s="517"/>
      <c r="BH163" s="517"/>
      <c r="BJ163" s="511"/>
      <c r="BK163" s="511"/>
      <c r="BL163" s="511"/>
      <c r="BQ163" s="58">
        <f t="shared" si="234"/>
        <v>98</v>
      </c>
      <c r="BR163" s="17">
        <v>2</v>
      </c>
      <c r="BS163" s="17" t="s">
        <v>559</v>
      </c>
      <c r="BT163" s="17">
        <v>1</v>
      </c>
      <c r="BU163" s="17">
        <v>999</v>
      </c>
      <c r="BV163" s="17" t="str">
        <f t="shared" si="255"/>
        <v>placebo_BSC</v>
      </c>
      <c r="BW163" s="1006" t="str" cm="1">
        <f t="array" ref="BW163">IF(I163="No",I163,INDEX(List_incl_anal_1L_fav,IF(BU163=999,35,BU163+1)))</f>
        <v>No</v>
      </c>
      <c r="BX163" s="61">
        <f t="shared" si="256"/>
        <v>1</v>
      </c>
      <c r="BY163" s="531" t="str">
        <f t="shared" si="279"/>
        <v>Progression free survival</v>
      </c>
      <c r="BZ163" s="530">
        <f t="shared" si="257"/>
        <v>0</v>
      </c>
      <c r="CA163" s="531">
        <f t="shared" si="280"/>
        <v>0</v>
      </c>
      <c r="CB163" s="530">
        <f t="shared" si="258"/>
        <v>2</v>
      </c>
      <c r="CC163" s="530">
        <f t="shared" si="259"/>
        <v>4</v>
      </c>
      <c r="CD163" s="530">
        <f t="shared" si="260"/>
        <v>999</v>
      </c>
      <c r="CE163" s="1295">
        <f t="shared" si="261"/>
        <v>2</v>
      </c>
      <c r="CF163" s="1301">
        <f t="shared" si="262"/>
        <v>4</v>
      </c>
      <c r="CG163" s="530" t="str">
        <f t="shared" si="263"/>
        <v/>
      </c>
      <c r="CH163" s="61">
        <f t="shared" si="264"/>
        <v>0</v>
      </c>
      <c r="CI163" s="61">
        <f t="shared" si="265"/>
        <v>0</v>
      </c>
      <c r="CJ163" s="61">
        <f t="shared" si="266"/>
        <v>0</v>
      </c>
      <c r="DA163" s="1024"/>
      <c r="DB163" s="1024"/>
      <c r="DC163" s="1024"/>
      <c r="DD163" s="1024"/>
      <c r="DE163" s="1024"/>
      <c r="DF163" s="1024"/>
      <c r="DG163" s="1024"/>
      <c r="DK163" s="58" t="str" cm="1">
        <f t="array" ref="DK163">IF(AND($BT163=4,$BX163=4,$BU163=999),$DB$36,_xlfn.IFNA(INDEX(DB$13:DB$70,MATCH(1,($BR163=$CV$13:$CV$70)*($BT163=$CX$13:$CX$70)*($CE163=$CY$13:$CY$70)*($BY163=$DA$13:$DA$70)*($CD163=$DH$13:$DH$70),0)),""))</f>
        <v/>
      </c>
      <c r="DL163" s="58" t="str" cm="1">
        <f t="array" ref="DL163">IF(AND($BT163=4,$BX163=4,$BU163=999),$DC$36,_xlfn.IFNA(INDEX(CHOOSE(DP163,DB$13:DB$70,DC$13:DC$70,DD$13:DD$70,DE$13:DE$70),MATCH(1,($BR163=$CV$13:$CV$70)*($BT163=$CX$13:$CX$70)*($CE163=$CY$13:$CY$70)*($BY163=$DA$13:$DA$70)*($CD163=$DH$13:$DH$70),0)),""))</f>
        <v/>
      </c>
      <c r="DM163" s="740" t="str" cm="1">
        <f t="array" ref="DM163">IF(AND($BT163=4,$BX163=4,$BU163=999),$DD$36,_xlfn.IFNA(INDEX(DD$13:DD$68,MATCH(1,($BR163=$CV$13:$CV$68)*($BT163=$CX$13:$CX$68)*($CE163=$CY$13:$CY$68)*($BY163=$DA$13:$DA$68)*($CD163=$DH$13:$DH$68),0)),""))</f>
        <v/>
      </c>
      <c r="DN163" s="740" t="str" cm="1">
        <f t="array" ref="DN163">IF(AND($BT163=4,$BX163=4,$BU163=999),$DD$36,_xlfn.IFNA(INDEX(DE$13:DE$68,MATCH(1,($BR163=$CV$13:$CV$68)*($BT163=$CX$13:$CX$68)*($CE163=$CY$13:$CY$68)*($BY163=$DA$13:$DA$68)*($CD163=$DH$13:$DH$68),0)),""))</f>
        <v/>
      </c>
      <c r="DO163" s="58" t="str" cm="1">
        <f t="array" ref="DO163">IF(AND($BT163=4,$BX163=4,$BU163=999),$DF$36,_xlfn.IFNA(INDEX(DF$13:DF$70,MATCH(1,($BR163=$CV$13:$CV$70)*($BT163=$CX$13:$CX$70)*($CE163=$CY$13:$CY$70)*($BY163=$DA$13:$DA$70)*($CD163=$DH$13:$DH$70),0)),""))</f>
        <v/>
      </c>
      <c r="DP163" s="58" t="e">
        <f t="shared" si="235"/>
        <v>#N/A</v>
      </c>
      <c r="DW163" s="58" t="s">
        <v>58</v>
      </c>
      <c r="DX163" s="58" t="s">
        <v>552</v>
      </c>
      <c r="DY163" s="58">
        <v>0</v>
      </c>
      <c r="DZ163" s="58">
        <v>0</v>
      </c>
      <c r="EB163" s="58">
        <v>2</v>
      </c>
      <c r="EC163" s="58">
        <v>4</v>
      </c>
      <c r="ED163" s="58">
        <v>999</v>
      </c>
      <c r="EE163" s="58">
        <v>2</v>
      </c>
      <c r="EF163" s="58">
        <v>4</v>
      </c>
      <c r="EI163" s="58" t="s">
        <v>58</v>
      </c>
      <c r="EJ163" s="58" t="s">
        <v>552</v>
      </c>
      <c r="EK163" s="58">
        <v>0</v>
      </c>
      <c r="EL163" s="58">
        <v>0</v>
      </c>
      <c r="EN163" s="58">
        <v>2</v>
      </c>
      <c r="EO163" s="58">
        <v>4</v>
      </c>
      <c r="EP163" s="58">
        <v>999</v>
      </c>
      <c r="EQ163" s="58">
        <v>2</v>
      </c>
      <c r="ER163" s="58">
        <v>4</v>
      </c>
      <c r="EU163" s="58" t="str">
        <f t="shared" si="267"/>
        <v>No</v>
      </c>
      <c r="EV163" s="58" t="str">
        <f t="shared" si="268"/>
        <v>Progression free survival</v>
      </c>
      <c r="EW163" s="58">
        <f t="shared" si="269"/>
        <v>0</v>
      </c>
      <c r="EX163" s="58">
        <f t="shared" si="270"/>
        <v>0</v>
      </c>
      <c r="EZ163" s="58">
        <f t="shared" si="271"/>
        <v>2</v>
      </c>
      <c r="FA163" s="58">
        <f t="shared" si="272"/>
        <v>4</v>
      </c>
      <c r="FB163" s="58">
        <f>IF(i_eff_inputs_based_on_num=2,ED163,(INDEX(Lists!$L$51:$L$85,MATCH(O163,Lists!$K$51:$K$85,0))))</f>
        <v>999</v>
      </c>
      <c r="FC163" s="58">
        <f>IF(i_eff_inputs_based_on_num=2,EE163,(INDEX(Lists!$L$51:$L$85,MATCH(P163,Lists!$K$51:$K$85,0))))</f>
        <v>2</v>
      </c>
      <c r="FD163" s="58">
        <f>IF(i_eff_inputs_based_on_num=2,EF163,(INDEX(Lists!$L$51:$L$85,MATCH(Q163,Lists!$K$51:$K$85,0))))</f>
        <v>4</v>
      </c>
      <c r="FG163" s="58" t="str">
        <f t="shared" si="273"/>
        <v>No</v>
      </c>
      <c r="FH163" s="58" t="str">
        <f t="shared" si="274"/>
        <v>Progression free survival</v>
      </c>
      <c r="FI163" s="58">
        <f t="shared" si="275"/>
        <v>0</v>
      </c>
      <c r="FJ163" s="58">
        <f t="shared" si="276"/>
        <v>0</v>
      </c>
      <c r="FL163" s="58">
        <f t="shared" si="277"/>
        <v>2</v>
      </c>
      <c r="FM163" s="58">
        <f t="shared" si="278"/>
        <v>4</v>
      </c>
      <c r="FN163" s="58">
        <f>IF(i_eff_inputs_based_on_num=2,EP163,(INDEX(Lists!$L$51:$L$85,MATCH(O163,Lists!$K$51:$K$85,0))))</f>
        <v>999</v>
      </c>
      <c r="FO163" s="58">
        <f>IF(i_eff_inputs_based_on_num=2,EQ163,(INDEX(Lists!$L$51:$L$85,MATCH(P163,Lists!$K$51:$K$85,0))))</f>
        <v>2</v>
      </c>
      <c r="FP163" s="58">
        <f>IF(i_eff_inputs_based_on_num=2,ER163,(INDEX(Lists!$L$51:$L$85,MATCH(Q163,Lists!$K$51:$K$85,0))))</f>
        <v>4</v>
      </c>
      <c r="FT163" s="58">
        <f t="shared" si="236"/>
        <v>0</v>
      </c>
      <c r="FW163" s="58">
        <f>IF(i_baseline_risk_from=2,'Effectiveness settings'!EW163,'Effectiveness settings'!FI163)</f>
        <v>0</v>
      </c>
      <c r="FX163" s="58">
        <f t="shared" si="237"/>
        <v>0</v>
      </c>
      <c r="FY163" s="58">
        <f t="shared" si="238"/>
        <v>0</v>
      </c>
      <c r="FZ163" s="58">
        <f t="shared" si="239"/>
        <v>0</v>
      </c>
      <c r="GA163" s="58">
        <f t="shared" si="240"/>
        <v>0</v>
      </c>
      <c r="GB163" s="58">
        <f t="shared" si="241"/>
        <v>0</v>
      </c>
      <c r="GC163" s="58">
        <f t="shared" si="242"/>
        <v>0</v>
      </c>
      <c r="GD163" s="58">
        <f t="shared" si="243"/>
        <v>0</v>
      </c>
      <c r="GE163" s="58">
        <f>IF(AND(dd_CheckMate214_TTD="Yes",'Effectiveness settings'!BU163=2,'Effectiveness settings'!BX163=2),"Apply HR to",GD163)</f>
        <v>0</v>
      </c>
      <c r="GF163" s="58">
        <f t="shared" si="244"/>
        <v>0</v>
      </c>
      <c r="GG163" s="58">
        <f t="shared" si="245"/>
        <v>0</v>
      </c>
      <c r="GH163" s="58">
        <f t="shared" si="246"/>
        <v>0</v>
      </c>
      <c r="GI163" s="58">
        <f t="shared" si="199"/>
        <v>0</v>
      </c>
      <c r="GK163" s="58">
        <f>IF(i_baseline_risk_from=2,'Effectiveness settings'!FA163,'Effectiveness settings'!FM163)</f>
        <v>4</v>
      </c>
      <c r="GL163" s="58">
        <f>IF(i_baseline_risk_from=2,'Effectiveness settings'!FB163,'Effectiveness settings'!FN163)</f>
        <v>999</v>
      </c>
      <c r="GM163" s="58">
        <f>IF(i_baseline_risk_from=2,'Effectiveness settings'!FC163,'Effectiveness settings'!FO163)</f>
        <v>2</v>
      </c>
      <c r="GN163" s="58">
        <f>IF(i_baseline_risk_from=2,'Effectiveness settings'!FD163,'Effectiveness settings'!FP163)</f>
        <v>4</v>
      </c>
      <c r="GQ163" s="58">
        <f t="shared" si="247"/>
        <v>999</v>
      </c>
      <c r="GR163" s="58">
        <f t="shared" si="248"/>
        <v>999</v>
      </c>
      <c r="GS163" s="58">
        <f t="shared" si="249"/>
        <v>999</v>
      </c>
      <c r="GT163" s="58">
        <f t="shared" si="250"/>
        <v>999</v>
      </c>
      <c r="GU163" s="58">
        <f>IF(AND(dd_CheckMate214_TTD="Yes",'Effectiveness settings'!BU163=2,'Effectiveness settings'!BX163=2),2,GT163)</f>
        <v>999</v>
      </c>
      <c r="GV163" s="58">
        <f t="shared" si="251"/>
        <v>999</v>
      </c>
      <c r="GW163" s="58">
        <f t="shared" si="252"/>
        <v>999</v>
      </c>
      <c r="GY163" s="58">
        <f>IF(AND(dd_CheckMate214_TTD="Yes",'Effectiveness settings'!BU163=2,'Effectiveness settings'!BX163=2),1,GN163)</f>
        <v>4</v>
      </c>
      <c r="GZ163" s="58">
        <f t="shared" si="253"/>
        <v>4</v>
      </c>
      <c r="HB163" s="58">
        <f t="shared" si="254"/>
        <v>2</v>
      </c>
      <c r="HD163" s="58">
        <f t="shared" si="227"/>
        <v>2</v>
      </c>
      <c r="HE163" s="58">
        <f t="shared" si="228"/>
        <v>4</v>
      </c>
      <c r="HF163" s="58">
        <f t="shared" si="229"/>
        <v>999</v>
      </c>
      <c r="HG163" s="58">
        <f t="shared" si="230"/>
        <v>2</v>
      </c>
      <c r="HH163" s="58">
        <f t="shared" si="231"/>
        <v>4</v>
      </c>
    </row>
    <row r="164" spans="1:216" ht="15.75" x14ac:dyDescent="0.25">
      <c r="I164" s="67"/>
      <c r="J164" s="520"/>
      <c r="K164" s="525"/>
      <c r="L164" s="517"/>
      <c r="Q164" s="520"/>
      <c r="Y164" s="517"/>
      <c r="AA164" s="517"/>
      <c r="AF164" s="517"/>
      <c r="AM164" s="517"/>
      <c r="AO164" s="517"/>
      <c r="AT164" s="517"/>
      <c r="AV164" s="511"/>
      <c r="AW164" s="511"/>
      <c r="AX164" s="511"/>
      <c r="BA164" s="517"/>
      <c r="BC164" s="517"/>
      <c r="BH164" s="517"/>
      <c r="BJ164" s="511"/>
      <c r="BK164" s="511"/>
      <c r="BL164" s="511"/>
      <c r="BQ164" s="58">
        <f t="shared" si="234"/>
        <v>98</v>
      </c>
      <c r="BR164" s="17"/>
      <c r="BS164" s="17"/>
      <c r="BT164" s="17"/>
      <c r="BU164" s="61"/>
      <c r="BV164" s="17"/>
      <c r="BW164" s="17"/>
      <c r="BX164" s="61"/>
      <c r="BY164" s="531"/>
      <c r="BZ164" s="530"/>
      <c r="CA164" s="531"/>
      <c r="CB164" s="530"/>
      <c r="CC164" s="530"/>
      <c r="CD164" s="530"/>
      <c r="CE164" s="1295"/>
      <c r="CF164" s="1301"/>
      <c r="CG164" s="530"/>
      <c r="CH164" s="61"/>
      <c r="CI164" s="61"/>
      <c r="CJ164" s="61"/>
      <c r="DA164" s="1024"/>
      <c r="DB164" s="1024"/>
      <c r="DC164" s="1024"/>
      <c r="DD164" s="1024"/>
      <c r="DE164" s="1024"/>
      <c r="DF164" s="1024"/>
      <c r="DG164" s="1024"/>
      <c r="DK164" s="58" t="str" cm="1">
        <f t="array" ref="DK164">IF(AND($BT164=4,$BX164=4,$BU164=999),$DB$36,_xlfn.IFNA(INDEX(DB$13:DB$70,MATCH(1,($BR164=$CV$13:$CV$70)*($BT164=$CX$13:$CX$70)*($CE164=$CY$13:$CY$70)*($BY164=$DA$13:$DA$70)*($CD164=$DH$13:$DH$70),0)),""))</f>
        <v/>
      </c>
      <c r="DL164" s="58" t="str" cm="1">
        <f t="array" ref="DL164">IF(AND($BT164=4,$BX164=4,$BU164=999),$DC$36,_xlfn.IFNA(INDEX(CHOOSE(DP164,DB$13:DB$70,DC$13:DC$70,DD$13:DD$70,DE$13:DE$70),MATCH(1,($BR164=$CV$13:$CV$70)*($BT164=$CX$13:$CX$70)*($CE164=$CY$13:$CY$70)*($BY164=$DA$13:$DA$70)*($CD164=$DH$13:$DH$70),0)),""))</f>
        <v/>
      </c>
      <c r="DM164" s="740" t="str" cm="1">
        <f t="array" ref="DM164">IF(AND($BT164=4,$BX164=4,$BU164=999),$DD$36,_xlfn.IFNA(INDEX(DD$13:DD$68,MATCH(1,($BR164=$CV$13:$CV$68)*($BT164=$CX$13:$CX$68)*($CE164=$CY$13:$CY$68)*($BY164=$DA$13:$DA$68)*($CD164=$DH$13:$DH$68),0)),""))</f>
        <v/>
      </c>
      <c r="DN164" s="740" t="str" cm="1">
        <f t="array" ref="DN164">IF(AND($BT164=4,$BX164=4,$BU164=999),$DD$36,_xlfn.IFNA(INDEX(DE$13:DE$68,MATCH(1,($BR164=$CV$13:$CV$68)*($BT164=$CX$13:$CX$68)*($CE164=$CY$13:$CY$68)*($BY164=$DA$13:$DA$68)*($CD164=$DH$13:$DH$68),0)),""))</f>
        <v/>
      </c>
      <c r="DO164" s="58" t="str" cm="1">
        <f t="array" ref="DO164">IF(AND($BT164=4,$BX164=4,$BU164=999),$DF$36,_xlfn.IFNA(INDEX(DF$13:DF$70,MATCH(1,($BR164=$CV$13:$CV$70)*($BT164=$CX$13:$CX$70)*($CE164=$CY$13:$CY$70)*($BY164=$DA$13:$DA$70)*($CD164=$DH$13:$DH$70),0)),""))</f>
        <v/>
      </c>
      <c r="DP164" s="58" t="e">
        <f t="shared" si="235"/>
        <v>#N/A</v>
      </c>
      <c r="FT164" s="58">
        <f t="shared" si="236"/>
        <v>0</v>
      </c>
      <c r="FW164" s="58">
        <f>IF(i_baseline_risk_from=2,'Effectiveness settings'!EW164,'Effectiveness settings'!FI164)</f>
        <v>0</v>
      </c>
      <c r="FX164" s="58">
        <f t="shared" si="237"/>
        <v>0</v>
      </c>
      <c r="FY164" s="58">
        <f t="shared" si="238"/>
        <v>0</v>
      </c>
      <c r="FZ164" s="58">
        <f t="shared" si="239"/>
        <v>0</v>
      </c>
      <c r="GA164" s="58">
        <f t="shared" si="240"/>
        <v>0</v>
      </c>
      <c r="GB164" s="58">
        <f t="shared" si="241"/>
        <v>0</v>
      </c>
      <c r="GC164" s="58">
        <f t="shared" si="242"/>
        <v>0</v>
      </c>
      <c r="GD164" s="58">
        <f t="shared" si="243"/>
        <v>0</v>
      </c>
      <c r="GE164" s="58">
        <f>IF(AND(dd_CheckMate214_TTD="Yes",'Effectiveness settings'!BU164=2,'Effectiveness settings'!BX164=2),"Apply HR to",GD164)</f>
        <v>0</v>
      </c>
      <c r="GF164" s="58">
        <f t="shared" si="244"/>
        <v>0</v>
      </c>
      <c r="GG164" s="58">
        <f t="shared" si="245"/>
        <v>0</v>
      </c>
      <c r="GH164" s="58">
        <f t="shared" si="246"/>
        <v>0</v>
      </c>
      <c r="GI164" s="58">
        <f t="shared" si="199"/>
        <v>0</v>
      </c>
      <c r="GK164" s="58">
        <f>IF(i_baseline_risk_from=2,'Effectiveness settings'!FA164,'Effectiveness settings'!FM164)</f>
        <v>0</v>
      </c>
      <c r="GL164" s="58">
        <f>IF(i_baseline_risk_from=2,'Effectiveness settings'!FB164,'Effectiveness settings'!FN164)</f>
        <v>0</v>
      </c>
      <c r="GM164" s="58">
        <f>IF(i_baseline_risk_from=2,'Effectiveness settings'!FC164,'Effectiveness settings'!FO164)</f>
        <v>0</v>
      </c>
      <c r="GN164" s="58">
        <f>IF(i_baseline_risk_from=2,'Effectiveness settings'!FD164,'Effectiveness settings'!FP164)</f>
        <v>0</v>
      </c>
      <c r="GQ164" s="58">
        <f t="shared" si="247"/>
        <v>0</v>
      </c>
      <c r="GR164" s="58">
        <f t="shared" si="248"/>
        <v>0</v>
      </c>
      <c r="GS164" s="58">
        <f t="shared" si="249"/>
        <v>0</v>
      </c>
      <c r="GT164" s="58">
        <f t="shared" si="250"/>
        <v>0</v>
      </c>
      <c r="GU164" s="58">
        <f>IF(AND(dd_CheckMate214_TTD="Yes",'Effectiveness settings'!BU164=2,'Effectiveness settings'!BX164=2),2,GT164)</f>
        <v>0</v>
      </c>
      <c r="GV164" s="58">
        <f t="shared" si="251"/>
        <v>0</v>
      </c>
      <c r="GW164" s="58">
        <f t="shared" si="252"/>
        <v>0</v>
      </c>
      <c r="GY164" s="58">
        <f>IF(AND(dd_CheckMate214_TTD="Yes",'Effectiveness settings'!BU164=2,'Effectiveness settings'!BX164=2),1,GN164)</f>
        <v>0</v>
      </c>
      <c r="GZ164" s="58">
        <f t="shared" si="253"/>
        <v>0</v>
      </c>
      <c r="HB164" s="58">
        <f t="shared" si="254"/>
        <v>0</v>
      </c>
      <c r="HD164" s="58">
        <f t="shared" si="227"/>
        <v>0</v>
      </c>
      <c r="HE164" s="58">
        <f t="shared" si="228"/>
        <v>0</v>
      </c>
      <c r="HF164" s="58">
        <f t="shared" si="229"/>
        <v>0</v>
      </c>
      <c r="HG164" s="58">
        <f t="shared" si="230"/>
        <v>0</v>
      </c>
      <c r="HH164" s="58">
        <f t="shared" si="231"/>
        <v>0</v>
      </c>
    </row>
    <row r="165" spans="1:216" ht="15.75" x14ac:dyDescent="0.25">
      <c r="D165" s="58" t="str" cm="1">
        <f t="array" ref="D165:D178">List_comparators</f>
        <v>nivolumab_monotherapy</v>
      </c>
      <c r="I165" s="64" t="s">
        <v>58</v>
      </c>
      <c r="J165" s="519" t="s">
        <v>554</v>
      </c>
      <c r="K165" s="524"/>
      <c r="L165" s="519"/>
      <c r="M165" s="516" t="s">
        <v>559</v>
      </c>
      <c r="N165" s="64" t="s">
        <v>546</v>
      </c>
      <c r="O165" s="64" t="s">
        <v>117</v>
      </c>
      <c r="P165" s="64" t="s">
        <v>547</v>
      </c>
      <c r="Q165" s="519" t="s">
        <v>554</v>
      </c>
      <c r="R165" s="516" t="s">
        <v>548</v>
      </c>
      <c r="S165" s="497"/>
      <c r="T165" s="497"/>
      <c r="U165" s="497"/>
      <c r="Y165" s="517"/>
      <c r="AA165" s="517"/>
      <c r="AF165" s="517"/>
      <c r="AM165" s="517"/>
      <c r="AO165" s="517"/>
      <c r="AT165" s="517"/>
      <c r="AV165" s="511"/>
      <c r="AW165" s="511"/>
      <c r="AX165" s="511"/>
      <c r="BA165" s="517"/>
      <c r="BC165" s="517"/>
      <c r="BH165" s="517"/>
      <c r="BJ165" s="511"/>
      <c r="BK165" s="511"/>
      <c r="BL165" s="511"/>
      <c r="BQ165" s="58">
        <f t="shared" si="234"/>
        <v>99</v>
      </c>
      <c r="BR165" s="17">
        <v>2</v>
      </c>
      <c r="BS165" s="17" t="s">
        <v>559</v>
      </c>
      <c r="BT165" s="17">
        <v>1</v>
      </c>
      <c r="BU165" s="17">
        <v>0</v>
      </c>
      <c r="BV165" s="17" t="str">
        <f t="shared" ref="BV165:BV178" si="281">D165</f>
        <v>nivolumab_monotherapy</v>
      </c>
      <c r="BW165" s="1006" t="str" cm="1">
        <f t="array" ref="BW165">IF(I165="No",I165,INDEX(List_incl_anal_1L_fav,IF(BU165=999,35,BU165+1)))</f>
        <v>No</v>
      </c>
      <c r="BX165" s="61">
        <f t="shared" ref="BX165:BX178" si="282">MATCH(BY165,List_eff_endpoints,0)-1</f>
        <v>2</v>
      </c>
      <c r="BY165" s="531" t="str">
        <f>J165</f>
        <v>Time to treatment discontinuation</v>
      </c>
      <c r="BZ165" s="530">
        <f t="shared" ref="BZ165:BZ178" si="283">GI165</f>
        <v>0</v>
      </c>
      <c r="CA165" s="531">
        <f>FT165</f>
        <v>0</v>
      </c>
      <c r="CB165" s="530">
        <f t="shared" ref="CB165:CB178" si="284">HD165</f>
        <v>2</v>
      </c>
      <c r="CC165" s="530">
        <f t="shared" ref="CC165:CC178" si="285">HE165</f>
        <v>1</v>
      </c>
      <c r="CD165" s="530">
        <f t="shared" ref="CD165:CD178" si="286">HF165</f>
        <v>7</v>
      </c>
      <c r="CE165" s="1295">
        <f t="shared" ref="CE165:CE178" si="287">HG165</f>
        <v>2</v>
      </c>
      <c r="CF165" s="1301">
        <f t="shared" ref="CF165:CF178" si="288">HH165</f>
        <v>2</v>
      </c>
      <c r="CG165" s="530" t="str">
        <f t="shared" ref="CG165:CG178" si="289">IF(i_surv_cur=1,DK165,DL165)</f>
        <v>Log-logistic</v>
      </c>
      <c r="CH165" s="61">
        <f t="shared" ref="CH165:CH178" si="290">S165</f>
        <v>0</v>
      </c>
      <c r="CI165" s="61">
        <f t="shared" ref="CI165:CI178" si="291">T165</f>
        <v>0</v>
      </c>
      <c r="CJ165" s="61">
        <f t="shared" ref="CJ165:CJ178" si="292">U165</f>
        <v>0</v>
      </c>
      <c r="DA165" s="1024"/>
      <c r="DB165" s="1024"/>
      <c r="DC165" s="1024"/>
      <c r="DD165" s="1024"/>
      <c r="DE165" s="1024"/>
      <c r="DF165" s="1024"/>
      <c r="DG165" s="1024"/>
      <c r="DK165" s="58" t="str" cm="1">
        <f t="array" ref="DK165">IF(AND($BT165=4,$BX165=4,$BU165=999),$DB$36,_xlfn.IFNA(INDEX(DB$13:DB$70,MATCH(1,($BR165=$CV$13:$CV$70)*($BT165=$CX$13:$CX$70)*($CE165=$CY$13:$CY$70)*($BY165=$DA$13:$DA$70)*($CD165=$DH$13:$DH$70),0)),""))</f>
        <v>Log-logistic</v>
      </c>
      <c r="DL165" s="58" t="str" cm="1">
        <f t="array" ref="DL165">IF(AND($BT165=4,$BX165=4,$BU165=999),$DC$36,_xlfn.IFNA(INDEX(CHOOSE(DP165,DB$13:DB$70,DC$13:DC$70,DD$13:DD$70,DE$13:DE$70),MATCH(1,($BR165=$CV$13:$CV$70)*($BT165=$CX$13:$CX$70)*($CE165=$CY$13:$CY$70)*($BY165=$DA$13:$DA$70)*($CD165=$DH$13:$DH$70),0)),""))</f>
        <v>Log-logistic</v>
      </c>
      <c r="DM165" s="740" cm="1">
        <f t="array" ref="DM165">IF(AND($BT165=4,$BX165=4,$BU165=999),$DD$36,_xlfn.IFNA(INDEX(DD$13:DD$68,MATCH(1,($BR165=$CV$13:$CV$68)*($BT165=$CX$13:$CX$68)*($CE165=$CY$13:$CY$68)*($BY165=$DA$13:$DA$68)*($CD165=$DH$13:$DH$68),0)),""))</f>
        <v>0</v>
      </c>
      <c r="DN165" s="740" cm="1">
        <f t="array" ref="DN165">IF(AND($BT165=4,$BX165=4,$BU165=999),$DD$36,_xlfn.IFNA(INDEX(DE$13:DE$68,MATCH(1,($BR165=$CV$13:$CV$68)*($BT165=$CX$13:$CX$68)*($CE165=$CY$13:$CY$68)*($BY165=$DA$13:$DA$68)*($CD165=$DH$13:$DH$68),0)),""))</f>
        <v>0</v>
      </c>
      <c r="DO165" s="58" t="str" cm="1">
        <f t="array" ref="DO165">IF(AND($BT165=4,$BX165=4,$BU165=999),$DF$36,_xlfn.IFNA(INDEX(DF$13:DF$70,MATCH(1,($BR165=$CV$13:$CV$70)*($BT165=$CX$13:$CX$70)*($CE165=$CY$13:$CY$70)*($BY165=$DA$13:$DA$70)*($CD165=$DH$13:$DH$70),0)),""))</f>
        <v>Base case</v>
      </c>
      <c r="DP165" s="58">
        <f t="shared" si="235"/>
        <v>1</v>
      </c>
      <c r="DW165" s="58" t="s">
        <v>58</v>
      </c>
      <c r="DX165" s="58" t="s">
        <v>554</v>
      </c>
      <c r="DY165" s="58">
        <v>0</v>
      </c>
      <c r="DZ165" s="58">
        <v>0</v>
      </c>
      <c r="EB165" s="58">
        <v>2</v>
      </c>
      <c r="EC165" s="58">
        <v>1</v>
      </c>
      <c r="ED165" s="58">
        <v>7</v>
      </c>
      <c r="EE165" s="58">
        <v>2</v>
      </c>
      <c r="EF165" s="58">
        <v>2</v>
      </c>
      <c r="EI165" s="58" t="s">
        <v>58</v>
      </c>
      <c r="EJ165" s="58" t="s">
        <v>554</v>
      </c>
      <c r="EK165" s="58">
        <v>0</v>
      </c>
      <c r="EL165" s="58">
        <v>0</v>
      </c>
      <c r="EN165" s="58">
        <v>2</v>
      </c>
      <c r="EO165" s="58">
        <v>1</v>
      </c>
      <c r="EP165" s="58">
        <v>7</v>
      </c>
      <c r="EQ165" s="58">
        <v>0</v>
      </c>
      <c r="ER165" s="58">
        <v>2</v>
      </c>
      <c r="EU165" s="58" t="str">
        <f t="shared" ref="EU165:EU178" si="293">IF(i_eff_inputs_based_on_num=2,DW165,I165)</f>
        <v>No</v>
      </c>
      <c r="EV165" s="58" t="str">
        <f t="shared" ref="EV165:EV178" si="294">IF(i_eff_inputs_based_on_num=2,DX165,J165)</f>
        <v>Time to treatment discontinuation</v>
      </c>
      <c r="EW165" s="58">
        <f t="shared" ref="EW165:EW178" si="295">IF(i_eff_inputs_based_on_num=2,DY165,K165)</f>
        <v>0</v>
      </c>
      <c r="EX165" s="58">
        <f t="shared" ref="EX165:EX178" si="296">IF(i_eff_inputs_based_on_num=2,DZ165,L165)</f>
        <v>0</v>
      </c>
      <c r="EZ165" s="58">
        <f t="shared" ref="EZ165:EZ178" si="297">IF(i_eff_inputs_based_on_num=2,EB165,VLOOKUP(M165,r_pld_lookup_line,3,FALSE))</f>
        <v>2</v>
      </c>
      <c r="FA165" s="58">
        <f t="shared" ref="FA165:FA178" si="298">IF(i_eff_inputs_based_on_num=2,EC165,VLOOKUP(N165,r_pld_lookup_line,3,FALSE))</f>
        <v>1</v>
      </c>
      <c r="FB165" s="58">
        <f>IF(i_eff_inputs_based_on_num=2,ED165,(INDEX(Lists!$L$51:$L$85,MATCH(O165,Lists!$K$51:$K$85,0))))</f>
        <v>7</v>
      </c>
      <c r="FC165" s="58">
        <f>IF(i_eff_inputs_based_on_num=2,EE165,(INDEX(Lists!$L$51:$L$85,MATCH(P165,Lists!$K$51:$K$85,0))))</f>
        <v>2</v>
      </c>
      <c r="FD165" s="58">
        <f>IF(i_eff_inputs_based_on_num=2,EF165,(INDEX(Lists!$L$51:$L$85,MATCH(Q165,Lists!$K$51:$K$85,0))))</f>
        <v>2</v>
      </c>
      <c r="FG165" s="58" t="str">
        <f t="shared" ref="FG165:FG178" si="299">IF(i_eff_inputs_based_on_num=2,EI165,I165)</f>
        <v>No</v>
      </c>
      <c r="FH165" s="58" t="str">
        <f t="shared" ref="FH165:FH178" si="300">IF(i_eff_inputs_based_on_num=2,EJ165,J165)</f>
        <v>Time to treatment discontinuation</v>
      </c>
      <c r="FI165" s="58">
        <f t="shared" ref="FI165:FI178" si="301">IF(i_eff_inputs_based_on_num=2,EK165,K165)</f>
        <v>0</v>
      </c>
      <c r="FJ165" s="58">
        <f t="shared" ref="FJ165:FJ178" si="302">IF(i_eff_inputs_based_on_num=2,EL165,L165)</f>
        <v>0</v>
      </c>
      <c r="FL165" s="58">
        <f t="shared" ref="FL165:FL178" si="303">IF(i_eff_inputs_based_on_num=2,EN165,VLOOKUP(M165,r_pld_lookup_line,3,FALSE))</f>
        <v>2</v>
      </c>
      <c r="FM165" s="58">
        <f t="shared" ref="FM165:FM178" si="304">IF(i_eff_inputs_based_on_num=2,EO165,VLOOKUP(N165,r_pld_lookup_line,3,FALSE))</f>
        <v>1</v>
      </c>
      <c r="FN165" s="58">
        <f>IF(i_eff_inputs_based_on_num=2,EP165,(INDEX(Lists!$L$51:$L$85,MATCH(O165,Lists!$K$51:$K$85,0))))</f>
        <v>7</v>
      </c>
      <c r="FO165" s="58">
        <f>IF(i_eff_inputs_based_on_num=2,EQ165,(INDEX(Lists!$L$51:$L$85,MATCH(P165,Lists!$K$51:$K$85,0))))</f>
        <v>0</v>
      </c>
      <c r="FP165" s="58">
        <f>IF(i_eff_inputs_based_on_num=2,ER165,(INDEX(Lists!$L$51:$L$85,MATCH(Q165,Lists!$K$51:$K$85,0))))</f>
        <v>2</v>
      </c>
      <c r="FT165" s="58">
        <f t="shared" si="236"/>
        <v>0</v>
      </c>
      <c r="FW165" s="58">
        <f>IF(i_baseline_risk_from=2,'Effectiveness settings'!EW165,'Effectiveness settings'!FI165)</f>
        <v>0</v>
      </c>
      <c r="FX165" s="58">
        <f t="shared" si="237"/>
        <v>0</v>
      </c>
      <c r="FY165" s="58">
        <f t="shared" si="238"/>
        <v>0</v>
      </c>
      <c r="FZ165" s="58">
        <f t="shared" si="239"/>
        <v>0</v>
      </c>
      <c r="GA165" s="58">
        <f t="shared" si="240"/>
        <v>0</v>
      </c>
      <c r="GB165" s="58">
        <f t="shared" si="241"/>
        <v>0</v>
      </c>
      <c r="GC165" s="58">
        <f t="shared" si="242"/>
        <v>0</v>
      </c>
      <c r="GD165" s="58">
        <f t="shared" si="243"/>
        <v>0</v>
      </c>
      <c r="GE165" s="58">
        <f>IF(AND(dd_CheckMate214_TTD="Yes",'Effectiveness settings'!BU165=2,'Effectiveness settings'!BX165=2),"Apply HR to",GD165)</f>
        <v>0</v>
      </c>
      <c r="GF165" s="58">
        <f t="shared" si="244"/>
        <v>0</v>
      </c>
      <c r="GG165" s="58">
        <f t="shared" si="245"/>
        <v>0</v>
      </c>
      <c r="GH165" s="58">
        <f t="shared" si="246"/>
        <v>0</v>
      </c>
      <c r="GI165" s="58">
        <f t="shared" si="199"/>
        <v>0</v>
      </c>
      <c r="GK165" s="58">
        <f>IF(i_baseline_risk_from=2,'Effectiveness settings'!FA165,'Effectiveness settings'!FM165)</f>
        <v>1</v>
      </c>
      <c r="GL165" s="58">
        <f>IF(i_baseline_risk_from=2,'Effectiveness settings'!FB165,'Effectiveness settings'!FN165)</f>
        <v>7</v>
      </c>
      <c r="GM165" s="58">
        <f>IF(i_baseline_risk_from=2,'Effectiveness settings'!FC165,'Effectiveness settings'!FO165)</f>
        <v>2</v>
      </c>
      <c r="GN165" s="58">
        <f>IF(i_baseline_risk_from=2,'Effectiveness settings'!FD165,'Effectiveness settings'!FP165)</f>
        <v>2</v>
      </c>
      <c r="GQ165" s="58">
        <f t="shared" si="247"/>
        <v>7</v>
      </c>
      <c r="GR165" s="58">
        <f t="shared" si="248"/>
        <v>7</v>
      </c>
      <c r="GS165" s="58">
        <f t="shared" si="249"/>
        <v>7</v>
      </c>
      <c r="GT165" s="58">
        <f t="shared" si="250"/>
        <v>7</v>
      </c>
      <c r="GU165" s="58">
        <f>IF(AND(dd_CheckMate214_TTD="Yes",'Effectiveness settings'!BU165=2,'Effectiveness settings'!BX165=2),2,GT165)</f>
        <v>7</v>
      </c>
      <c r="GV165" s="58">
        <f t="shared" si="251"/>
        <v>7</v>
      </c>
      <c r="GW165" s="58">
        <f t="shared" si="252"/>
        <v>7</v>
      </c>
      <c r="GY165" s="58">
        <f>IF(AND(dd_CheckMate214_TTD="Yes",'Effectiveness settings'!BU165=2,'Effectiveness settings'!BX165=2),1,GN165)</f>
        <v>2</v>
      </c>
      <c r="GZ165" s="58">
        <f t="shared" si="253"/>
        <v>2</v>
      </c>
      <c r="HB165" s="58">
        <f t="shared" si="254"/>
        <v>2</v>
      </c>
      <c r="HD165" s="58">
        <f t="shared" si="227"/>
        <v>2</v>
      </c>
      <c r="HE165" s="58">
        <f t="shared" si="228"/>
        <v>1</v>
      </c>
      <c r="HF165" s="58">
        <f t="shared" si="229"/>
        <v>7</v>
      </c>
      <c r="HG165" s="58">
        <f t="shared" si="230"/>
        <v>2</v>
      </c>
      <c r="HH165" s="58">
        <f t="shared" si="231"/>
        <v>2</v>
      </c>
    </row>
    <row r="166" spans="1:216" ht="15.75" x14ac:dyDescent="0.25">
      <c r="A166" s="58" t="s">
        <v>569</v>
      </c>
      <c r="D166" s="58" t="str">
        <v>cabozantinib_plus_nivolumab</v>
      </c>
      <c r="I166" s="64" t="s">
        <v>74</v>
      </c>
      <c r="J166" s="519" t="s">
        <v>554</v>
      </c>
      <c r="K166" s="524" t="s">
        <v>67</v>
      </c>
      <c r="L166" s="519"/>
      <c r="M166" s="516" t="s">
        <v>559</v>
      </c>
      <c r="N166" s="64" t="s">
        <v>546</v>
      </c>
      <c r="O166" s="64" t="s">
        <v>117</v>
      </c>
      <c r="P166" s="64" t="s">
        <v>547</v>
      </c>
      <c r="Q166" s="519" t="s">
        <v>554</v>
      </c>
      <c r="R166" s="516" t="s">
        <v>548</v>
      </c>
      <c r="S166" s="497"/>
      <c r="T166" s="497"/>
      <c r="U166" s="497"/>
      <c r="Y166" s="517"/>
      <c r="AA166" s="517"/>
      <c r="AF166" s="517"/>
      <c r="AM166" s="517"/>
      <c r="AO166" s="517"/>
      <c r="AT166" s="517"/>
      <c r="AV166" s="511"/>
      <c r="AW166" s="511"/>
      <c r="AX166" s="511"/>
      <c r="BA166" s="517"/>
      <c r="BC166" s="517"/>
      <c r="BH166" s="517"/>
      <c r="BJ166" s="511"/>
      <c r="BK166" s="511"/>
      <c r="BL166" s="511"/>
      <c r="BQ166" s="58">
        <f t="shared" si="234"/>
        <v>100</v>
      </c>
      <c r="BR166" s="17">
        <v>2</v>
      </c>
      <c r="BS166" s="17" t="s">
        <v>559</v>
      </c>
      <c r="BT166" s="17">
        <v>1</v>
      </c>
      <c r="BU166" s="17">
        <v>1</v>
      </c>
      <c r="BV166" s="17" t="str">
        <f t="shared" si="281"/>
        <v>cabozantinib_plus_nivolumab</v>
      </c>
      <c r="BW166" s="1006" t="str" cm="1">
        <f t="array" ref="BW166">IF(I166="No",I166,INDEX(List_incl_anal_1L_fav,IF(BU166=999,35,BU166+1)))</f>
        <v>Yes</v>
      </c>
      <c r="BX166" s="61">
        <f t="shared" si="282"/>
        <v>2</v>
      </c>
      <c r="BY166" s="531" t="str">
        <f>J166</f>
        <v>Time to treatment discontinuation</v>
      </c>
      <c r="BZ166" s="530" t="str">
        <f t="shared" si="283"/>
        <v>PH_NMA</v>
      </c>
      <c r="CA166" s="531">
        <f t="shared" ref="CA166:CA178" si="305">FT166</f>
        <v>0</v>
      </c>
      <c r="CB166" s="530">
        <f t="shared" si="284"/>
        <v>2</v>
      </c>
      <c r="CC166" s="530">
        <f t="shared" si="285"/>
        <v>1</v>
      </c>
      <c r="CD166" s="530">
        <f t="shared" si="286"/>
        <v>7</v>
      </c>
      <c r="CE166" s="1295">
        <f t="shared" si="287"/>
        <v>2</v>
      </c>
      <c r="CF166" s="1301">
        <f t="shared" si="288"/>
        <v>2</v>
      </c>
      <c r="CG166" s="530" t="str">
        <f t="shared" si="289"/>
        <v>Log-logistic</v>
      </c>
      <c r="CH166" s="61">
        <f t="shared" si="290"/>
        <v>0</v>
      </c>
      <c r="CI166" s="61">
        <f t="shared" si="291"/>
        <v>0</v>
      </c>
      <c r="CJ166" s="61">
        <f t="shared" si="292"/>
        <v>0</v>
      </c>
      <c r="DA166" s="1024"/>
      <c r="DB166" s="1024"/>
      <c r="DC166" s="1024"/>
      <c r="DD166" s="1024"/>
      <c r="DE166" s="1024"/>
      <c r="DF166" s="1024"/>
      <c r="DG166" s="1024"/>
      <c r="DK166" s="58" t="str" cm="1">
        <f t="array" ref="DK166">IF(AND($BT166=4,$BX166=4,$BU166=999),$DB$36,_xlfn.IFNA(INDEX(DB$13:DB$70,MATCH(1,($BR166=$CV$13:$CV$70)*($BT166=$CX$13:$CX$70)*($CE166=$CY$13:$CY$70)*($BY166=$DA$13:$DA$70)*($CD166=$DH$13:$DH$70),0)),""))</f>
        <v>Log-logistic</v>
      </c>
      <c r="DL166" s="58" t="str" cm="1">
        <f t="array" ref="DL166">IF(AND($BT166=4,$BX166=4,$BU166=999),$DC$36,_xlfn.IFNA(INDEX(CHOOSE(DP166,DB$13:DB$70,DC$13:DC$70,DD$13:DD$70,DE$13:DE$70),MATCH(1,($BR166=$CV$13:$CV$70)*($BT166=$CX$13:$CX$70)*($CE166=$CY$13:$CY$70)*($BY166=$DA$13:$DA$70)*($CD166=$DH$13:$DH$70),0)),""))</f>
        <v>Log-logistic</v>
      </c>
      <c r="DM166" s="740" cm="1">
        <f t="array" ref="DM166">IF(AND($BT166=4,$BX166=4,$BU166=999),$DD$36,_xlfn.IFNA(INDEX(DD$13:DD$68,MATCH(1,($BR166=$CV$13:$CV$68)*($BT166=$CX$13:$CX$68)*($CE166=$CY$13:$CY$68)*($BY166=$DA$13:$DA$68)*($CD166=$DH$13:$DH$68),0)),""))</f>
        <v>0</v>
      </c>
      <c r="DN166" s="740" cm="1">
        <f t="array" ref="DN166">IF(AND($BT166=4,$BX166=4,$BU166=999),$DD$36,_xlfn.IFNA(INDEX(DE$13:DE$68,MATCH(1,($BR166=$CV$13:$CV$68)*($BT166=$CX$13:$CX$68)*($CE166=$CY$13:$CY$68)*($BY166=$DA$13:$DA$68)*($CD166=$DH$13:$DH$68),0)),""))</f>
        <v>0</v>
      </c>
      <c r="DO166" s="58" t="str" cm="1">
        <f t="array" ref="DO166">IF(AND($BT166=4,$BX166=4,$BU166=999),$DF$36,_xlfn.IFNA(INDEX(DF$13:DF$70,MATCH(1,($BR166=$CV$13:$CV$70)*($BT166=$CX$13:$CX$70)*($CE166=$CY$13:$CY$70)*($BY166=$DA$13:$DA$70)*($CD166=$DH$13:$DH$70),0)),""))</f>
        <v>Base case</v>
      </c>
      <c r="DP166" s="58">
        <f t="shared" si="235"/>
        <v>1</v>
      </c>
      <c r="DW166" s="58" t="s">
        <v>74</v>
      </c>
      <c r="DX166" s="58" t="s">
        <v>554</v>
      </c>
      <c r="DY166" s="58" t="s">
        <v>67</v>
      </c>
      <c r="DZ166" s="58">
        <v>0</v>
      </c>
      <c r="EB166" s="58">
        <v>2</v>
      </c>
      <c r="EC166" s="58">
        <v>1</v>
      </c>
      <c r="ED166" s="58">
        <v>7</v>
      </c>
      <c r="EE166" s="58">
        <v>2</v>
      </c>
      <c r="EF166" s="58">
        <v>2</v>
      </c>
      <c r="EI166" s="58" t="s">
        <v>74</v>
      </c>
      <c r="EJ166" s="58" t="s">
        <v>554</v>
      </c>
      <c r="EK166" s="58" t="s">
        <v>67</v>
      </c>
      <c r="EL166" s="58">
        <v>0</v>
      </c>
      <c r="EN166" s="58">
        <v>2</v>
      </c>
      <c r="EO166" s="58">
        <v>1</v>
      </c>
      <c r="EP166" s="58">
        <v>7</v>
      </c>
      <c r="EQ166" s="58">
        <v>0</v>
      </c>
      <c r="ER166" s="58">
        <v>2</v>
      </c>
      <c r="EU166" s="58" t="str">
        <f t="shared" si="293"/>
        <v>Yes</v>
      </c>
      <c r="EV166" s="58" t="str">
        <f t="shared" si="294"/>
        <v>Time to treatment discontinuation</v>
      </c>
      <c r="EW166" s="58" t="str">
        <f t="shared" si="295"/>
        <v>PH_NMA</v>
      </c>
      <c r="EX166" s="58">
        <f t="shared" si="296"/>
        <v>0</v>
      </c>
      <c r="EZ166" s="58">
        <f t="shared" si="297"/>
        <v>2</v>
      </c>
      <c r="FA166" s="58">
        <f t="shared" si="298"/>
        <v>1</v>
      </c>
      <c r="FB166" s="58">
        <f>IF(i_eff_inputs_based_on_num=2,ED166,(INDEX(Lists!$L$51:$L$85,MATCH(O166,Lists!$K$51:$K$85,0))))</f>
        <v>7</v>
      </c>
      <c r="FC166" s="58">
        <f>IF(i_eff_inputs_based_on_num=2,EE166,(INDEX(Lists!$L$51:$L$85,MATCH(P166,Lists!$K$51:$K$85,0))))</f>
        <v>2</v>
      </c>
      <c r="FD166" s="58">
        <f>IF(i_eff_inputs_based_on_num=2,EF166,(INDEX(Lists!$L$51:$L$85,MATCH(Q166,Lists!$K$51:$K$85,0))))</f>
        <v>2</v>
      </c>
      <c r="FG166" s="58" t="str">
        <f t="shared" si="299"/>
        <v>Yes</v>
      </c>
      <c r="FH166" s="58" t="str">
        <f t="shared" si="300"/>
        <v>Time to treatment discontinuation</v>
      </c>
      <c r="FI166" s="58" t="str">
        <f t="shared" si="301"/>
        <v>PH_NMA</v>
      </c>
      <c r="FJ166" s="58">
        <f t="shared" si="302"/>
        <v>0</v>
      </c>
      <c r="FL166" s="58">
        <f t="shared" si="303"/>
        <v>2</v>
      </c>
      <c r="FM166" s="58">
        <f t="shared" si="304"/>
        <v>1</v>
      </c>
      <c r="FN166" s="58">
        <f>IF(i_eff_inputs_based_on_num=2,EP166,(INDEX(Lists!$L$51:$L$85,MATCH(O166,Lists!$K$51:$K$85,0))))</f>
        <v>7</v>
      </c>
      <c r="FO166" s="58">
        <f>IF(i_eff_inputs_based_on_num=2,EQ166,(INDEX(Lists!$L$51:$L$85,MATCH(P166,Lists!$K$51:$K$85,0))))</f>
        <v>0</v>
      </c>
      <c r="FP166" s="58">
        <f>IF(i_eff_inputs_based_on_num=2,ER166,(INDEX(Lists!$L$51:$L$85,MATCH(Q166,Lists!$K$51:$K$85,0))))</f>
        <v>2</v>
      </c>
      <c r="FT166" s="58">
        <f t="shared" si="236"/>
        <v>0</v>
      </c>
      <c r="FW166" s="58" t="str">
        <f>IF(i_baseline_risk_from=2,'Effectiveness settings'!EW166,'Effectiveness settings'!FI166)</f>
        <v>PH_NMA</v>
      </c>
      <c r="FX166" s="58" t="str">
        <f t="shared" si="237"/>
        <v>PH_NMA</v>
      </c>
      <c r="FY166" s="58" t="str">
        <f t="shared" si="238"/>
        <v>PH_NMA</v>
      </c>
      <c r="FZ166" s="58" t="str">
        <f t="shared" si="239"/>
        <v>PH_NMA</v>
      </c>
      <c r="GA166" s="58" t="str">
        <f t="shared" si="240"/>
        <v>PH_NMA</v>
      </c>
      <c r="GB166" s="58" t="str">
        <f t="shared" si="241"/>
        <v>PH_NMA</v>
      </c>
      <c r="GC166" s="58" t="str">
        <f t="shared" si="242"/>
        <v>PH_NMA</v>
      </c>
      <c r="GD166" s="58" t="str">
        <f t="shared" si="243"/>
        <v>PH_NMA</v>
      </c>
      <c r="GE166" s="58" t="str">
        <f>IF(AND(dd_CheckMate214_TTD="Yes",'Effectiveness settings'!BU166=2,'Effectiveness settings'!BX166=2),"Apply HR to",GD166)</f>
        <v>PH_NMA</v>
      </c>
      <c r="GF166" s="58" t="str">
        <f t="shared" si="244"/>
        <v>PH_NMA</v>
      </c>
      <c r="GG166" s="58" t="str">
        <f t="shared" si="245"/>
        <v>PH_NMA</v>
      </c>
      <c r="GH166" s="58" t="str">
        <f t="shared" si="246"/>
        <v>PH_NMA</v>
      </c>
      <c r="GI166" s="58" t="str">
        <f t="shared" ref="GI166:GI197" si="306">IF(AND(i_apply_AR_to_FR_NMA=1,GH166&lt;&gt;"Trial survival analysis",BW166&lt;&gt;"No"),GI290,GH166)</f>
        <v>PH_NMA</v>
      </c>
      <c r="GK166" s="58">
        <f>IF(i_baseline_risk_from=2,'Effectiveness settings'!FA166,'Effectiveness settings'!FM166)</f>
        <v>1</v>
      </c>
      <c r="GL166" s="58">
        <f>IF(i_baseline_risk_from=2,'Effectiveness settings'!FB166,'Effectiveness settings'!FN166)</f>
        <v>7</v>
      </c>
      <c r="GM166" s="58">
        <f>IF(i_baseline_risk_from=2,'Effectiveness settings'!FC166,'Effectiveness settings'!FO166)</f>
        <v>2</v>
      </c>
      <c r="GN166" s="58">
        <f>IF(i_baseline_risk_from=2,'Effectiveness settings'!FD166,'Effectiveness settings'!FP166)</f>
        <v>2</v>
      </c>
      <c r="GQ166" s="58">
        <f t="shared" si="247"/>
        <v>7</v>
      </c>
      <c r="GR166" s="58">
        <f t="shared" si="248"/>
        <v>7</v>
      </c>
      <c r="GS166" s="58">
        <f t="shared" si="249"/>
        <v>7</v>
      </c>
      <c r="GT166" s="58">
        <f t="shared" si="250"/>
        <v>7</v>
      </c>
      <c r="GU166" s="58">
        <f>IF(AND(dd_CheckMate214_TTD="Yes",'Effectiveness settings'!BU166=2,'Effectiveness settings'!BX166=2),2,GT166)</f>
        <v>7</v>
      </c>
      <c r="GV166" s="58">
        <f t="shared" si="251"/>
        <v>7</v>
      </c>
      <c r="GW166" s="58">
        <f t="shared" si="252"/>
        <v>7</v>
      </c>
      <c r="GY166" s="58">
        <f>IF(AND(dd_CheckMate214_TTD="Yes",'Effectiveness settings'!BU166=2,'Effectiveness settings'!BX166=2),1,GN166)</f>
        <v>2</v>
      </c>
      <c r="GZ166" s="58">
        <f t="shared" si="253"/>
        <v>2</v>
      </c>
      <c r="HB166" s="58">
        <f t="shared" si="254"/>
        <v>2</v>
      </c>
      <c r="HD166" s="58">
        <f t="shared" si="227"/>
        <v>2</v>
      </c>
      <c r="HE166" s="58">
        <f t="shared" si="228"/>
        <v>1</v>
      </c>
      <c r="HF166" s="58">
        <f t="shared" si="229"/>
        <v>7</v>
      </c>
      <c r="HG166" s="58">
        <f t="shared" si="230"/>
        <v>2</v>
      </c>
      <c r="HH166" s="58">
        <f t="shared" si="231"/>
        <v>2</v>
      </c>
    </row>
    <row r="167" spans="1:216" ht="15.75" x14ac:dyDescent="0.25">
      <c r="A167" s="58" t="s">
        <v>569</v>
      </c>
      <c r="D167" s="58" t="str">
        <v>nivolumab_plus_ipilimumab</v>
      </c>
      <c r="I167" s="64" t="s">
        <v>58</v>
      </c>
      <c r="J167" s="519" t="s">
        <v>554</v>
      </c>
      <c r="K167" s="524" t="s">
        <v>67</v>
      </c>
      <c r="L167" s="519"/>
      <c r="M167" s="516" t="s">
        <v>559</v>
      </c>
      <c r="N167" s="64" t="s">
        <v>546</v>
      </c>
      <c r="O167" s="64" t="s">
        <v>117</v>
      </c>
      <c r="P167" s="64" t="s">
        <v>547</v>
      </c>
      <c r="Q167" s="519" t="s">
        <v>554</v>
      </c>
      <c r="R167" s="516" t="s">
        <v>548</v>
      </c>
      <c r="S167" s="497"/>
      <c r="T167" s="497"/>
      <c r="U167" s="497"/>
      <c r="Y167" s="517"/>
      <c r="AA167" s="517"/>
      <c r="AF167" s="517"/>
      <c r="AM167" s="517"/>
      <c r="AO167" s="517"/>
      <c r="AT167" s="517"/>
      <c r="AV167" s="511"/>
      <c r="AW167" s="511"/>
      <c r="AX167" s="511"/>
      <c r="BA167" s="517"/>
      <c r="BC167" s="517"/>
      <c r="BH167" s="517"/>
      <c r="BJ167" s="511"/>
      <c r="BK167" s="511"/>
      <c r="BL167" s="511"/>
      <c r="BQ167" s="58">
        <f t="shared" si="234"/>
        <v>101</v>
      </c>
      <c r="BR167" s="17">
        <v>2</v>
      </c>
      <c r="BS167" s="17" t="s">
        <v>559</v>
      </c>
      <c r="BT167" s="17">
        <v>1</v>
      </c>
      <c r="BU167" s="17">
        <v>2</v>
      </c>
      <c r="BV167" s="17" t="str">
        <f t="shared" si="281"/>
        <v>nivolumab_plus_ipilimumab</v>
      </c>
      <c r="BW167" s="1006" t="str" cm="1">
        <f t="array" ref="BW167">IF(I167="No",I167,INDEX(List_incl_anal_1L_fav,IF(BU167=999,35,BU167+1)))</f>
        <v>No</v>
      </c>
      <c r="BX167" s="61">
        <f t="shared" si="282"/>
        <v>2</v>
      </c>
      <c r="BY167" s="531" t="str">
        <f>J167</f>
        <v>Time to treatment discontinuation</v>
      </c>
      <c r="BZ167" s="530">
        <f t="shared" si="283"/>
        <v>0</v>
      </c>
      <c r="CA167" s="531">
        <f t="shared" si="305"/>
        <v>0</v>
      </c>
      <c r="CB167" s="530">
        <f t="shared" si="284"/>
        <v>2</v>
      </c>
      <c r="CC167" s="530">
        <f t="shared" si="285"/>
        <v>1</v>
      </c>
      <c r="CD167" s="530">
        <f t="shared" si="286"/>
        <v>7</v>
      </c>
      <c r="CE167" s="1295">
        <f t="shared" si="287"/>
        <v>2</v>
      </c>
      <c r="CF167" s="1301">
        <f t="shared" si="288"/>
        <v>2</v>
      </c>
      <c r="CG167" s="530" t="str">
        <f t="shared" si="289"/>
        <v>Log-logistic</v>
      </c>
      <c r="CH167" s="61">
        <f t="shared" si="290"/>
        <v>0</v>
      </c>
      <c r="CI167" s="61">
        <f t="shared" si="291"/>
        <v>0</v>
      </c>
      <c r="CJ167" s="61">
        <f t="shared" si="292"/>
        <v>0</v>
      </c>
      <c r="DA167" s="1024"/>
      <c r="DB167" s="1024"/>
      <c r="DC167" s="1024"/>
      <c r="DD167" s="1024"/>
      <c r="DE167" s="1024"/>
      <c r="DF167" s="1024"/>
      <c r="DG167" s="1024"/>
      <c r="DK167" s="58" t="str" cm="1">
        <f t="array" ref="DK167">IF(AND($BT167=4,$BX167=4,$BU167=999),$DB$36,_xlfn.IFNA(INDEX(DB$13:DB$70,MATCH(1,($BR167=$CV$13:$CV$70)*($BT167=$CX$13:$CX$70)*($CE167=$CY$13:$CY$70)*($BY167=$DA$13:$DA$70)*($CD167=$DH$13:$DH$70),0)),""))</f>
        <v>Log-logistic</v>
      </c>
      <c r="DL167" s="58" t="str" cm="1">
        <f t="array" ref="DL167">IF(AND($BT167=4,$BX167=4,$BU167=999),$DC$36,_xlfn.IFNA(INDEX(CHOOSE(DP167,DB$13:DB$70,DC$13:DC$70,DD$13:DD$70,DE$13:DE$70),MATCH(1,($BR167=$CV$13:$CV$70)*($BT167=$CX$13:$CX$70)*($CE167=$CY$13:$CY$70)*($BY167=$DA$13:$DA$70)*($CD167=$DH$13:$DH$70),0)),""))</f>
        <v>Log-logistic</v>
      </c>
      <c r="DM167" s="740" cm="1">
        <f t="array" ref="DM167">IF(AND($BT167=4,$BX167=4,$BU167=999),$DD$36,_xlfn.IFNA(INDEX(DD$13:DD$68,MATCH(1,($BR167=$CV$13:$CV$68)*($BT167=$CX$13:$CX$68)*($CE167=$CY$13:$CY$68)*($BY167=$DA$13:$DA$68)*($CD167=$DH$13:$DH$68),0)),""))</f>
        <v>0</v>
      </c>
      <c r="DN167" s="740" cm="1">
        <f t="array" ref="DN167">IF(AND($BT167=4,$BX167=4,$BU167=999),$DD$36,_xlfn.IFNA(INDEX(DE$13:DE$68,MATCH(1,($BR167=$CV$13:$CV$68)*($BT167=$CX$13:$CX$68)*($CE167=$CY$13:$CY$68)*($BY167=$DA$13:$DA$68)*($CD167=$DH$13:$DH$68),0)),""))</f>
        <v>0</v>
      </c>
      <c r="DO167" s="58" t="str" cm="1">
        <f t="array" ref="DO167">IF(AND($BT167=4,$BX167=4,$BU167=999),$DF$36,_xlfn.IFNA(INDEX(DF$13:DF$70,MATCH(1,($BR167=$CV$13:$CV$70)*($BT167=$CX$13:$CX$70)*($CE167=$CY$13:$CY$70)*($BY167=$DA$13:$DA$70)*($CD167=$DH$13:$DH$70),0)),""))</f>
        <v>Base case</v>
      </c>
      <c r="DP167" s="58">
        <f t="shared" si="235"/>
        <v>1</v>
      </c>
      <c r="DW167" s="58" t="s">
        <v>58</v>
      </c>
      <c r="DX167" s="58" t="s">
        <v>554</v>
      </c>
      <c r="DY167" s="58">
        <v>0</v>
      </c>
      <c r="DZ167" s="58">
        <v>0</v>
      </c>
      <c r="EB167" s="58">
        <v>2</v>
      </c>
      <c r="EC167" s="58">
        <v>1</v>
      </c>
      <c r="ED167" s="58">
        <v>7</v>
      </c>
      <c r="EE167" s="58">
        <v>2</v>
      </c>
      <c r="EF167" s="58">
        <v>2</v>
      </c>
      <c r="EI167" s="58" t="s">
        <v>58</v>
      </c>
      <c r="EJ167" s="58" t="s">
        <v>554</v>
      </c>
      <c r="EK167" s="58">
        <v>0</v>
      </c>
      <c r="EL167" s="58">
        <v>0</v>
      </c>
      <c r="EN167" s="58">
        <v>2</v>
      </c>
      <c r="EO167" s="58">
        <v>1</v>
      </c>
      <c r="EP167" s="58">
        <v>7</v>
      </c>
      <c r="EQ167" s="58">
        <v>0</v>
      </c>
      <c r="ER167" s="58">
        <v>2</v>
      </c>
      <c r="EU167" s="58" t="str">
        <f t="shared" si="293"/>
        <v>No</v>
      </c>
      <c r="EV167" s="58" t="str">
        <f t="shared" si="294"/>
        <v>Time to treatment discontinuation</v>
      </c>
      <c r="EW167" s="58">
        <f t="shared" si="295"/>
        <v>0</v>
      </c>
      <c r="EX167" s="58">
        <f t="shared" si="296"/>
        <v>0</v>
      </c>
      <c r="EZ167" s="58">
        <f t="shared" si="297"/>
        <v>2</v>
      </c>
      <c r="FA167" s="58">
        <f t="shared" si="298"/>
        <v>1</v>
      </c>
      <c r="FB167" s="58">
        <f>IF(i_eff_inputs_based_on_num=2,ED167,(INDEX(Lists!$L$51:$L$85,MATCH(O167,Lists!$K$51:$K$85,0))))</f>
        <v>7</v>
      </c>
      <c r="FC167" s="58">
        <f>IF(i_eff_inputs_based_on_num=2,EE167,(INDEX(Lists!$L$51:$L$85,MATCH(P167,Lists!$K$51:$K$85,0))))</f>
        <v>2</v>
      </c>
      <c r="FD167" s="58">
        <f>IF(i_eff_inputs_based_on_num=2,EF167,(INDEX(Lists!$L$51:$L$85,MATCH(Q167,Lists!$K$51:$K$85,0))))</f>
        <v>2</v>
      </c>
      <c r="FG167" s="58" t="str">
        <f t="shared" si="299"/>
        <v>No</v>
      </c>
      <c r="FH167" s="58" t="str">
        <f t="shared" si="300"/>
        <v>Time to treatment discontinuation</v>
      </c>
      <c r="FI167" s="58">
        <f t="shared" si="301"/>
        <v>0</v>
      </c>
      <c r="FJ167" s="58">
        <f t="shared" si="302"/>
        <v>0</v>
      </c>
      <c r="FL167" s="58">
        <f t="shared" si="303"/>
        <v>2</v>
      </c>
      <c r="FM167" s="58">
        <f t="shared" si="304"/>
        <v>1</v>
      </c>
      <c r="FN167" s="58">
        <f>IF(i_eff_inputs_based_on_num=2,EP167,(INDEX(Lists!$L$51:$L$85,MATCH(O167,Lists!$K$51:$K$85,0))))</f>
        <v>7</v>
      </c>
      <c r="FO167" s="58">
        <f>IF(i_eff_inputs_based_on_num=2,EQ167,(INDEX(Lists!$L$51:$L$85,MATCH(P167,Lists!$K$51:$K$85,0))))</f>
        <v>0</v>
      </c>
      <c r="FP167" s="58">
        <f>IF(i_eff_inputs_based_on_num=2,ER167,(INDEX(Lists!$L$51:$L$85,MATCH(Q167,Lists!$K$51:$K$85,0))))</f>
        <v>2</v>
      </c>
      <c r="FT167" s="58">
        <f t="shared" si="236"/>
        <v>0</v>
      </c>
      <c r="FW167" s="58">
        <f>IF(i_baseline_risk_from=2,'Effectiveness settings'!EW167,'Effectiveness settings'!FI167)</f>
        <v>0</v>
      </c>
      <c r="FX167" s="58">
        <f t="shared" si="237"/>
        <v>0</v>
      </c>
      <c r="FY167" s="58">
        <f t="shared" si="238"/>
        <v>0</v>
      </c>
      <c r="FZ167" s="58">
        <f t="shared" si="239"/>
        <v>0</v>
      </c>
      <c r="GA167" s="58">
        <f t="shared" si="240"/>
        <v>0</v>
      </c>
      <c r="GB167" s="58">
        <f t="shared" si="241"/>
        <v>0</v>
      </c>
      <c r="GC167" s="58">
        <f t="shared" si="242"/>
        <v>0</v>
      </c>
      <c r="GD167" s="58">
        <f t="shared" si="243"/>
        <v>0</v>
      </c>
      <c r="GE167" s="58">
        <f>IF(AND(dd_CheckMate214_TTD="Yes",'Effectiveness settings'!BU167=2,'Effectiveness settings'!BX167=2),"Apply HR to",GD167)</f>
        <v>0</v>
      </c>
      <c r="GF167" s="58">
        <f t="shared" si="244"/>
        <v>0</v>
      </c>
      <c r="GG167" s="58">
        <f t="shared" si="245"/>
        <v>0</v>
      </c>
      <c r="GH167" s="58">
        <f t="shared" si="246"/>
        <v>0</v>
      </c>
      <c r="GI167" s="58">
        <f t="shared" si="306"/>
        <v>0</v>
      </c>
      <c r="GK167" s="58">
        <f>IF(i_baseline_risk_from=2,'Effectiveness settings'!FA167,'Effectiveness settings'!FM167)</f>
        <v>1</v>
      </c>
      <c r="GL167" s="58">
        <f>IF(i_baseline_risk_from=2,'Effectiveness settings'!FB167,'Effectiveness settings'!FN167)</f>
        <v>7</v>
      </c>
      <c r="GM167" s="58">
        <f>IF(i_baseline_risk_from=2,'Effectiveness settings'!FC167,'Effectiveness settings'!FO167)</f>
        <v>2</v>
      </c>
      <c r="GN167" s="58">
        <f>IF(i_baseline_risk_from=2,'Effectiveness settings'!FD167,'Effectiveness settings'!FP167)</f>
        <v>2</v>
      </c>
      <c r="GQ167" s="58">
        <f t="shared" si="247"/>
        <v>7</v>
      </c>
      <c r="GR167" s="58">
        <f t="shared" si="248"/>
        <v>7</v>
      </c>
      <c r="GS167" s="58">
        <f t="shared" si="249"/>
        <v>7</v>
      </c>
      <c r="GT167" s="58">
        <f t="shared" si="250"/>
        <v>7</v>
      </c>
      <c r="GU167" s="58">
        <f>IF(AND(dd_CheckMate214_TTD="Yes",'Effectiveness settings'!BU167=2,'Effectiveness settings'!BX167=2),2,GT167)</f>
        <v>7</v>
      </c>
      <c r="GV167" s="58">
        <f t="shared" si="251"/>
        <v>7</v>
      </c>
      <c r="GW167" s="58">
        <f t="shared" si="252"/>
        <v>7</v>
      </c>
      <c r="GY167" s="58">
        <f>IF(AND(dd_CheckMate214_TTD="Yes",'Effectiveness settings'!BU167=2,'Effectiveness settings'!BX167=2),1,GN167)</f>
        <v>2</v>
      </c>
      <c r="GZ167" s="58">
        <f t="shared" si="253"/>
        <v>2</v>
      </c>
      <c r="HB167" s="58">
        <f t="shared" si="254"/>
        <v>2</v>
      </c>
      <c r="HD167" s="58">
        <f t="shared" si="227"/>
        <v>2</v>
      </c>
      <c r="HE167" s="58">
        <f t="shared" si="228"/>
        <v>1</v>
      </c>
      <c r="HF167" s="58">
        <f t="shared" si="229"/>
        <v>7</v>
      </c>
      <c r="HG167" s="58">
        <f t="shared" si="230"/>
        <v>2</v>
      </c>
      <c r="HH167" s="58">
        <f t="shared" si="231"/>
        <v>2</v>
      </c>
    </row>
    <row r="168" spans="1:216" ht="15.75" x14ac:dyDescent="0.25">
      <c r="D168" s="58" t="str">
        <v>lenvatinib_plus_pembrolizumab</v>
      </c>
      <c r="I168" s="64" t="s">
        <v>58</v>
      </c>
      <c r="J168" s="519" t="s">
        <v>554</v>
      </c>
      <c r="K168" s="524" t="s">
        <v>67</v>
      </c>
      <c r="L168" s="519"/>
      <c r="M168" s="516" t="s">
        <v>559</v>
      </c>
      <c r="N168" s="64" t="s">
        <v>546</v>
      </c>
      <c r="O168" s="64" t="s">
        <v>117</v>
      </c>
      <c r="P168" s="64" t="s">
        <v>547</v>
      </c>
      <c r="Q168" s="519" t="s">
        <v>554</v>
      </c>
      <c r="R168" s="516" t="s">
        <v>548</v>
      </c>
      <c r="S168" s="497"/>
      <c r="T168" s="497"/>
      <c r="U168" s="497"/>
      <c r="Y168" s="517"/>
      <c r="AA168" s="517"/>
      <c r="AF168" s="517"/>
      <c r="AM168" s="517"/>
      <c r="AO168" s="517"/>
      <c r="AT168" s="517"/>
      <c r="AV168" s="511"/>
      <c r="AW168" s="511"/>
      <c r="AX168" s="511"/>
      <c r="BA168" s="517"/>
      <c r="BC168" s="517"/>
      <c r="BH168" s="517"/>
      <c r="BJ168" s="511"/>
      <c r="BK168" s="511"/>
      <c r="BL168" s="511"/>
      <c r="BQ168" s="58">
        <f t="shared" si="234"/>
        <v>102</v>
      </c>
      <c r="BR168" s="17">
        <v>2</v>
      </c>
      <c r="BS168" s="17" t="s">
        <v>559</v>
      </c>
      <c r="BT168" s="17">
        <v>1</v>
      </c>
      <c r="BU168" s="17">
        <v>3</v>
      </c>
      <c r="BV168" s="17" t="str">
        <f t="shared" si="281"/>
        <v>lenvatinib_plus_pembrolizumab</v>
      </c>
      <c r="BW168" s="1006" t="str" cm="1">
        <f t="array" ref="BW168">IF(I168="No",I168,INDEX(List_incl_anal_1L_fav,IF(BU168=999,35,BU168+1)))</f>
        <v>No</v>
      </c>
      <c r="BX168" s="61">
        <f t="shared" si="282"/>
        <v>2</v>
      </c>
      <c r="BY168" s="531" t="str">
        <f>J168</f>
        <v>Time to treatment discontinuation</v>
      </c>
      <c r="BZ168" s="530">
        <f t="shared" si="283"/>
        <v>0</v>
      </c>
      <c r="CA168" s="531">
        <f t="shared" si="305"/>
        <v>0</v>
      </c>
      <c r="CB168" s="530">
        <f t="shared" si="284"/>
        <v>2</v>
      </c>
      <c r="CC168" s="530">
        <f t="shared" si="285"/>
        <v>1</v>
      </c>
      <c r="CD168" s="530">
        <f t="shared" si="286"/>
        <v>7</v>
      </c>
      <c r="CE168" s="1295">
        <f t="shared" si="287"/>
        <v>2</v>
      </c>
      <c r="CF168" s="1301">
        <f t="shared" si="288"/>
        <v>2</v>
      </c>
      <c r="CG168" s="530" t="str">
        <f t="shared" si="289"/>
        <v>Log-logistic</v>
      </c>
      <c r="CH168" s="61">
        <f t="shared" si="290"/>
        <v>0</v>
      </c>
      <c r="CI168" s="61">
        <f t="shared" si="291"/>
        <v>0</v>
      </c>
      <c r="CJ168" s="61">
        <f t="shared" si="292"/>
        <v>0</v>
      </c>
      <c r="DA168" s="1024"/>
      <c r="DB168" s="1024"/>
      <c r="DC168" s="1024"/>
      <c r="DD168" s="1024"/>
      <c r="DE168" s="1024"/>
      <c r="DF168" s="1024"/>
      <c r="DG168" s="1024"/>
      <c r="DK168" s="58" t="str" cm="1">
        <f t="array" ref="DK168">IF(AND($BT168=4,$BX168=4,$BU168=999),$DB$36,_xlfn.IFNA(INDEX(DB$13:DB$70,MATCH(1,($BR168=$CV$13:$CV$70)*($BT168=$CX$13:$CX$70)*($CE168=$CY$13:$CY$70)*($BY168=$DA$13:$DA$70)*($CD168=$DH$13:$DH$70),0)),""))</f>
        <v>Log-logistic</v>
      </c>
      <c r="DL168" s="58" t="str" cm="1">
        <f t="array" ref="DL168">IF(AND($BT168=4,$BX168=4,$BU168=999),$DC$36,_xlfn.IFNA(INDEX(CHOOSE(DP168,DB$13:DB$70,DC$13:DC$70,DD$13:DD$70,DE$13:DE$70),MATCH(1,($BR168=$CV$13:$CV$70)*($BT168=$CX$13:$CX$70)*($CE168=$CY$13:$CY$70)*($BY168=$DA$13:$DA$70)*($CD168=$DH$13:$DH$70),0)),""))</f>
        <v>Log-logistic</v>
      </c>
      <c r="DM168" s="740" cm="1">
        <f t="array" ref="DM168">IF(AND($BT168=4,$BX168=4,$BU168=999),$DD$36,_xlfn.IFNA(INDEX(DD$13:DD$68,MATCH(1,($BR168=$CV$13:$CV$68)*($BT168=$CX$13:$CX$68)*($CE168=$CY$13:$CY$68)*($BY168=$DA$13:$DA$68)*($CD168=$DH$13:$DH$68),0)),""))</f>
        <v>0</v>
      </c>
      <c r="DN168" s="740" cm="1">
        <f t="array" ref="DN168">IF(AND($BT168=4,$BX168=4,$BU168=999),$DD$36,_xlfn.IFNA(INDEX(DE$13:DE$68,MATCH(1,($BR168=$CV$13:$CV$68)*($BT168=$CX$13:$CX$68)*($CE168=$CY$13:$CY$68)*($BY168=$DA$13:$DA$68)*($CD168=$DH$13:$DH$68),0)),""))</f>
        <v>0</v>
      </c>
      <c r="DO168" s="58" t="str" cm="1">
        <f t="array" ref="DO168">IF(AND($BT168=4,$BX168=4,$BU168=999),$DF$36,_xlfn.IFNA(INDEX(DF$13:DF$70,MATCH(1,($BR168=$CV$13:$CV$70)*($BT168=$CX$13:$CX$70)*($CE168=$CY$13:$CY$70)*($BY168=$DA$13:$DA$70)*($CD168=$DH$13:$DH$70),0)),""))</f>
        <v>Base case</v>
      </c>
      <c r="DP168" s="58">
        <f t="shared" si="235"/>
        <v>1</v>
      </c>
      <c r="DW168" s="58" t="s">
        <v>58</v>
      </c>
      <c r="DX168" s="58" t="s">
        <v>554</v>
      </c>
      <c r="DY168" s="58">
        <v>0</v>
      </c>
      <c r="DZ168" s="58">
        <v>0</v>
      </c>
      <c r="EB168" s="58">
        <v>2</v>
      </c>
      <c r="EC168" s="58">
        <v>1</v>
      </c>
      <c r="ED168" s="58">
        <v>7</v>
      </c>
      <c r="EE168" s="58">
        <v>2</v>
      </c>
      <c r="EF168" s="58">
        <v>2</v>
      </c>
      <c r="EI168" s="58" t="s">
        <v>58</v>
      </c>
      <c r="EJ168" s="58" t="s">
        <v>554</v>
      </c>
      <c r="EK168" s="58">
        <v>0</v>
      </c>
      <c r="EL168" s="58">
        <v>0</v>
      </c>
      <c r="EN168" s="58">
        <v>2</v>
      </c>
      <c r="EO168" s="58">
        <v>1</v>
      </c>
      <c r="EP168" s="58">
        <v>7</v>
      </c>
      <c r="EQ168" s="58">
        <v>0</v>
      </c>
      <c r="ER168" s="58">
        <v>2</v>
      </c>
      <c r="EU168" s="58" t="str">
        <f t="shared" si="293"/>
        <v>No</v>
      </c>
      <c r="EV168" s="58" t="str">
        <f t="shared" si="294"/>
        <v>Time to treatment discontinuation</v>
      </c>
      <c r="EW168" s="58">
        <f t="shared" si="295"/>
        <v>0</v>
      </c>
      <c r="EX168" s="58">
        <f t="shared" si="296"/>
        <v>0</v>
      </c>
      <c r="EZ168" s="58">
        <f t="shared" si="297"/>
        <v>2</v>
      </c>
      <c r="FA168" s="58">
        <f t="shared" si="298"/>
        <v>1</v>
      </c>
      <c r="FB168" s="58">
        <f>IF(i_eff_inputs_based_on_num=2,ED168,(INDEX(Lists!$L$51:$L$85,MATCH(O168,Lists!$K$51:$K$85,0))))</f>
        <v>7</v>
      </c>
      <c r="FC168" s="58">
        <f>IF(i_eff_inputs_based_on_num=2,EE168,(INDEX(Lists!$L$51:$L$85,MATCH(P168,Lists!$K$51:$K$85,0))))</f>
        <v>2</v>
      </c>
      <c r="FD168" s="58">
        <f>IF(i_eff_inputs_based_on_num=2,EF168,(INDEX(Lists!$L$51:$L$85,MATCH(Q168,Lists!$K$51:$K$85,0))))</f>
        <v>2</v>
      </c>
      <c r="FG168" s="58" t="str">
        <f t="shared" si="299"/>
        <v>No</v>
      </c>
      <c r="FH168" s="58" t="str">
        <f t="shared" si="300"/>
        <v>Time to treatment discontinuation</v>
      </c>
      <c r="FI168" s="58">
        <f t="shared" si="301"/>
        <v>0</v>
      </c>
      <c r="FJ168" s="58">
        <f t="shared" si="302"/>
        <v>0</v>
      </c>
      <c r="FL168" s="58">
        <f t="shared" si="303"/>
        <v>2</v>
      </c>
      <c r="FM168" s="58">
        <f t="shared" si="304"/>
        <v>1</v>
      </c>
      <c r="FN168" s="58">
        <f>IF(i_eff_inputs_based_on_num=2,EP168,(INDEX(Lists!$L$51:$L$85,MATCH(O168,Lists!$K$51:$K$85,0))))</f>
        <v>7</v>
      </c>
      <c r="FO168" s="58">
        <f>IF(i_eff_inputs_based_on_num=2,EQ168,(INDEX(Lists!$L$51:$L$85,MATCH(P168,Lists!$K$51:$K$85,0))))</f>
        <v>0</v>
      </c>
      <c r="FP168" s="58">
        <f>IF(i_eff_inputs_based_on_num=2,ER168,(INDEX(Lists!$L$51:$L$85,MATCH(Q168,Lists!$K$51:$K$85,0))))</f>
        <v>2</v>
      </c>
      <c r="FT168" s="58">
        <f t="shared" si="236"/>
        <v>0</v>
      </c>
      <c r="FW168" s="58">
        <f>IF(i_baseline_risk_from=2,'Effectiveness settings'!EW168,'Effectiveness settings'!FI168)</f>
        <v>0</v>
      </c>
      <c r="FX168" s="58">
        <f t="shared" si="237"/>
        <v>0</v>
      </c>
      <c r="FY168" s="58">
        <f t="shared" si="238"/>
        <v>0</v>
      </c>
      <c r="FZ168" s="58">
        <f t="shared" si="239"/>
        <v>0</v>
      </c>
      <c r="GA168" s="58">
        <f t="shared" si="240"/>
        <v>0</v>
      </c>
      <c r="GB168" s="58">
        <f t="shared" si="241"/>
        <v>0</v>
      </c>
      <c r="GC168" s="58">
        <f t="shared" si="242"/>
        <v>0</v>
      </c>
      <c r="GD168" s="58">
        <f t="shared" si="243"/>
        <v>0</v>
      </c>
      <c r="GE168" s="58">
        <f>IF(AND(dd_CheckMate214_TTD="Yes",'Effectiveness settings'!BU168=2,'Effectiveness settings'!BX168=2),"Apply HR to",GD168)</f>
        <v>0</v>
      </c>
      <c r="GF168" s="58">
        <f t="shared" si="244"/>
        <v>0</v>
      </c>
      <c r="GG168" s="58">
        <f t="shared" si="245"/>
        <v>0</v>
      </c>
      <c r="GH168" s="58">
        <f t="shared" si="246"/>
        <v>0</v>
      </c>
      <c r="GI168" s="58">
        <f t="shared" si="306"/>
        <v>0</v>
      </c>
      <c r="GK168" s="58">
        <f>IF(i_baseline_risk_from=2,'Effectiveness settings'!FA168,'Effectiveness settings'!FM168)</f>
        <v>1</v>
      </c>
      <c r="GL168" s="58">
        <f>IF(i_baseline_risk_from=2,'Effectiveness settings'!FB168,'Effectiveness settings'!FN168)</f>
        <v>7</v>
      </c>
      <c r="GM168" s="58">
        <f>IF(i_baseline_risk_from=2,'Effectiveness settings'!FC168,'Effectiveness settings'!FO168)</f>
        <v>2</v>
      </c>
      <c r="GN168" s="58">
        <f>IF(i_baseline_risk_from=2,'Effectiveness settings'!FD168,'Effectiveness settings'!FP168)</f>
        <v>2</v>
      </c>
      <c r="GQ168" s="58">
        <f t="shared" si="247"/>
        <v>7</v>
      </c>
      <c r="GR168" s="58">
        <f t="shared" si="248"/>
        <v>7</v>
      </c>
      <c r="GS168" s="58">
        <f t="shared" si="249"/>
        <v>7</v>
      </c>
      <c r="GT168" s="58">
        <f t="shared" si="250"/>
        <v>7</v>
      </c>
      <c r="GU168" s="58">
        <f>IF(AND(dd_CheckMate214_TTD="Yes",'Effectiveness settings'!BU168=2,'Effectiveness settings'!BX168=2),2,GT168)</f>
        <v>7</v>
      </c>
      <c r="GV168" s="58">
        <f t="shared" si="251"/>
        <v>7</v>
      </c>
      <c r="GW168" s="58">
        <f t="shared" si="252"/>
        <v>7</v>
      </c>
      <c r="GY168" s="58">
        <f>IF(AND(dd_CheckMate214_TTD="Yes",'Effectiveness settings'!BU168=2,'Effectiveness settings'!BX168=2),1,GN168)</f>
        <v>2</v>
      </c>
      <c r="GZ168" s="58">
        <f t="shared" si="253"/>
        <v>2</v>
      </c>
      <c r="HB168" s="58">
        <f t="shared" si="254"/>
        <v>2</v>
      </c>
      <c r="HD168" s="58">
        <f t="shared" si="227"/>
        <v>2</v>
      </c>
      <c r="HE168" s="58">
        <f t="shared" si="228"/>
        <v>1</v>
      </c>
      <c r="HF168" s="58">
        <f t="shared" si="229"/>
        <v>7</v>
      </c>
      <c r="HG168" s="58">
        <f t="shared" si="230"/>
        <v>2</v>
      </c>
      <c r="HH168" s="58">
        <f t="shared" si="231"/>
        <v>2</v>
      </c>
    </row>
    <row r="169" spans="1:216" ht="15.75" x14ac:dyDescent="0.25">
      <c r="D169" s="58" t="str">
        <v>avelumab_plus_axitinib</v>
      </c>
      <c r="I169" s="739" t="str">
        <f>dd_incl_ave_plus_axi</f>
        <v>No</v>
      </c>
      <c r="J169" s="519" t="s">
        <v>554</v>
      </c>
      <c r="K169" s="524" t="s">
        <v>67</v>
      </c>
      <c r="L169" s="519"/>
      <c r="M169" s="516" t="s">
        <v>559</v>
      </c>
      <c r="N169" s="64" t="s">
        <v>546</v>
      </c>
      <c r="O169" s="64" t="s">
        <v>117</v>
      </c>
      <c r="P169" s="64" t="s">
        <v>547</v>
      </c>
      <c r="Q169" s="519" t="s">
        <v>554</v>
      </c>
      <c r="R169" s="516" t="s">
        <v>548</v>
      </c>
      <c r="S169" s="497"/>
      <c r="T169" s="497"/>
      <c r="U169" s="497"/>
      <c r="Y169" s="517"/>
      <c r="AA169" s="517"/>
      <c r="AF169" s="517"/>
      <c r="AM169" s="517"/>
      <c r="AO169" s="517"/>
      <c r="AT169" s="517"/>
      <c r="AV169" s="511"/>
      <c r="AW169" s="511"/>
      <c r="AX169" s="511"/>
      <c r="BA169" s="517"/>
      <c r="BC169" s="517"/>
      <c r="BH169" s="517"/>
      <c r="BJ169" s="511"/>
      <c r="BK169" s="511"/>
      <c r="BL169" s="511"/>
      <c r="BQ169" s="58">
        <f t="shared" si="234"/>
        <v>103</v>
      </c>
      <c r="BR169" s="17">
        <v>2</v>
      </c>
      <c r="BS169" s="17" t="s">
        <v>559</v>
      </c>
      <c r="BT169" s="17">
        <v>1</v>
      </c>
      <c r="BU169" s="17">
        <v>4</v>
      </c>
      <c r="BV169" s="17" t="str">
        <f t="shared" si="281"/>
        <v>avelumab_plus_axitinib</v>
      </c>
      <c r="BW169" s="1006" t="str" cm="1">
        <f t="array" ref="BW169">IF(I169="No",I169,INDEX(List_incl_anal_1L_fav,IF(BU169=999,35,BU169+1)))</f>
        <v>No</v>
      </c>
      <c r="BX169" s="61">
        <f t="shared" si="282"/>
        <v>2</v>
      </c>
      <c r="BY169" s="531" t="str">
        <f>J169</f>
        <v>Time to treatment discontinuation</v>
      </c>
      <c r="BZ169" s="530" t="str">
        <f t="shared" si="283"/>
        <v>PH_NMA</v>
      </c>
      <c r="CA169" s="531">
        <f t="shared" si="305"/>
        <v>0</v>
      </c>
      <c r="CB169" s="530">
        <f t="shared" si="284"/>
        <v>2</v>
      </c>
      <c r="CC169" s="530">
        <f t="shared" si="285"/>
        <v>1</v>
      </c>
      <c r="CD169" s="530">
        <f t="shared" si="286"/>
        <v>7</v>
      </c>
      <c r="CE169" s="1295">
        <f t="shared" si="287"/>
        <v>2</v>
      </c>
      <c r="CF169" s="1301">
        <f t="shared" si="288"/>
        <v>2</v>
      </c>
      <c r="CG169" s="530" t="str">
        <f t="shared" si="289"/>
        <v>Log-logistic</v>
      </c>
      <c r="CH169" s="61">
        <f t="shared" si="290"/>
        <v>0</v>
      </c>
      <c r="CI169" s="61">
        <f t="shared" si="291"/>
        <v>0</v>
      </c>
      <c r="CJ169" s="61">
        <f t="shared" si="292"/>
        <v>0</v>
      </c>
      <c r="DA169" s="1024"/>
      <c r="DB169" s="1024"/>
      <c r="DC169" s="1024"/>
      <c r="DD169" s="1024"/>
      <c r="DE169" s="1024"/>
      <c r="DF169" s="1024"/>
      <c r="DG169" s="1024"/>
      <c r="DK169" s="58" t="str" cm="1">
        <f t="array" ref="DK169">IF(AND($BT169=4,$BX169=4,$BU169=999),$DB$36,_xlfn.IFNA(INDEX(DB$13:DB$70,MATCH(1,($BR169=$CV$13:$CV$70)*($BT169=$CX$13:$CX$70)*($CE169=$CY$13:$CY$70)*($BY169=$DA$13:$DA$70)*($CD169=$DH$13:$DH$70),0)),""))</f>
        <v>Log-logistic</v>
      </c>
      <c r="DL169" s="58" t="str" cm="1">
        <f t="array" ref="DL169">IF(AND($BT169=4,$BX169=4,$BU169=999),$DC$36,_xlfn.IFNA(INDEX(CHOOSE(DP169,DB$13:DB$70,DC$13:DC$70,DD$13:DD$70,DE$13:DE$70),MATCH(1,($BR169=$CV$13:$CV$70)*($BT169=$CX$13:$CX$70)*($CE169=$CY$13:$CY$70)*($BY169=$DA$13:$DA$70)*($CD169=$DH$13:$DH$70),0)),""))</f>
        <v>Log-logistic</v>
      </c>
      <c r="DM169" s="740" cm="1">
        <f t="array" ref="DM169">IF(AND($BT169=4,$BX169=4,$BU169=999),$DD$36,_xlfn.IFNA(INDEX(DD$13:DD$68,MATCH(1,($BR169=$CV$13:$CV$68)*($BT169=$CX$13:$CX$68)*($CE169=$CY$13:$CY$68)*($BY169=$DA$13:$DA$68)*($CD169=$DH$13:$DH$68),0)),""))</f>
        <v>0</v>
      </c>
      <c r="DN169" s="740" cm="1">
        <f t="array" ref="DN169">IF(AND($BT169=4,$BX169=4,$BU169=999),$DD$36,_xlfn.IFNA(INDEX(DE$13:DE$68,MATCH(1,($BR169=$CV$13:$CV$68)*($BT169=$CX$13:$CX$68)*($CE169=$CY$13:$CY$68)*($BY169=$DA$13:$DA$68)*($CD169=$DH$13:$DH$68),0)),""))</f>
        <v>0</v>
      </c>
      <c r="DO169" s="58" t="str" cm="1">
        <f t="array" ref="DO169">IF(AND($BT169=4,$BX169=4,$BU169=999),$DF$36,_xlfn.IFNA(INDEX(DF$13:DF$70,MATCH(1,($BR169=$CV$13:$CV$70)*($BT169=$CX$13:$CX$70)*($CE169=$CY$13:$CY$70)*($BY169=$DA$13:$DA$70)*($CD169=$DH$13:$DH$70),0)),""))</f>
        <v>Base case</v>
      </c>
      <c r="DP169" s="58">
        <f t="shared" si="235"/>
        <v>1</v>
      </c>
      <c r="DW169" s="58" t="s">
        <v>58</v>
      </c>
      <c r="DX169" s="58" t="s">
        <v>554</v>
      </c>
      <c r="DY169" s="58" t="s">
        <v>67</v>
      </c>
      <c r="DZ169" s="58">
        <v>0</v>
      </c>
      <c r="EB169" s="58">
        <v>2</v>
      </c>
      <c r="EC169" s="58">
        <v>1</v>
      </c>
      <c r="ED169" s="58">
        <v>7</v>
      </c>
      <c r="EE169" s="58">
        <v>2</v>
      </c>
      <c r="EF169" s="58">
        <v>2</v>
      </c>
      <c r="EI169" s="58" t="s">
        <v>58</v>
      </c>
      <c r="EJ169" s="58" t="s">
        <v>554</v>
      </c>
      <c r="EK169" s="58" t="s">
        <v>67</v>
      </c>
      <c r="EL169" s="58">
        <v>0</v>
      </c>
      <c r="EN169" s="58">
        <v>2</v>
      </c>
      <c r="EO169" s="58">
        <v>1</v>
      </c>
      <c r="EP169" s="58">
        <v>7</v>
      </c>
      <c r="EQ169" s="58">
        <v>0</v>
      </c>
      <c r="ER169" s="58">
        <v>2</v>
      </c>
      <c r="EU169" s="58" t="str">
        <f t="shared" si="293"/>
        <v>No</v>
      </c>
      <c r="EV169" s="58" t="str">
        <f t="shared" si="294"/>
        <v>Time to treatment discontinuation</v>
      </c>
      <c r="EW169" s="58" t="str">
        <f t="shared" si="295"/>
        <v>PH_NMA</v>
      </c>
      <c r="EX169" s="58">
        <f t="shared" si="296"/>
        <v>0</v>
      </c>
      <c r="EZ169" s="58">
        <f t="shared" si="297"/>
        <v>2</v>
      </c>
      <c r="FA169" s="58">
        <f t="shared" si="298"/>
        <v>1</v>
      </c>
      <c r="FB169" s="58">
        <f>IF(i_eff_inputs_based_on_num=2,ED169,(INDEX(Lists!$L$51:$L$85,MATCH(O169,Lists!$K$51:$K$85,0))))</f>
        <v>7</v>
      </c>
      <c r="FC169" s="58">
        <f>IF(i_eff_inputs_based_on_num=2,EE169,(INDEX(Lists!$L$51:$L$85,MATCH(P169,Lists!$K$51:$K$85,0))))</f>
        <v>2</v>
      </c>
      <c r="FD169" s="58">
        <f>IF(i_eff_inputs_based_on_num=2,EF169,(INDEX(Lists!$L$51:$L$85,MATCH(Q169,Lists!$K$51:$K$85,0))))</f>
        <v>2</v>
      </c>
      <c r="FG169" s="58" t="str">
        <f t="shared" si="299"/>
        <v>No</v>
      </c>
      <c r="FH169" s="58" t="str">
        <f t="shared" si="300"/>
        <v>Time to treatment discontinuation</v>
      </c>
      <c r="FI169" s="58" t="str">
        <f t="shared" si="301"/>
        <v>PH_NMA</v>
      </c>
      <c r="FJ169" s="58">
        <f t="shared" si="302"/>
        <v>0</v>
      </c>
      <c r="FL169" s="58">
        <f t="shared" si="303"/>
        <v>2</v>
      </c>
      <c r="FM169" s="58">
        <f t="shared" si="304"/>
        <v>1</v>
      </c>
      <c r="FN169" s="58">
        <f>IF(i_eff_inputs_based_on_num=2,EP169,(INDEX(Lists!$L$51:$L$85,MATCH(O169,Lists!$K$51:$K$85,0))))</f>
        <v>7</v>
      </c>
      <c r="FO169" s="58">
        <f>IF(i_eff_inputs_based_on_num=2,EQ169,(INDEX(Lists!$L$51:$L$85,MATCH(P169,Lists!$K$51:$K$85,0))))</f>
        <v>0</v>
      </c>
      <c r="FP169" s="58">
        <f>IF(i_eff_inputs_based_on_num=2,ER169,(INDEX(Lists!$L$51:$L$85,MATCH(Q169,Lists!$K$51:$K$85,0))))</f>
        <v>2</v>
      </c>
      <c r="FT169" s="58">
        <f t="shared" si="236"/>
        <v>0</v>
      </c>
      <c r="FW169" s="58" t="str">
        <f>IF(i_baseline_risk_from=2,'Effectiveness settings'!EW169,'Effectiveness settings'!FI169)</f>
        <v>PH_NMA</v>
      </c>
      <c r="FX169" s="58" t="str">
        <f t="shared" si="237"/>
        <v>PH_NMA</v>
      </c>
      <c r="FY169" s="58" t="str">
        <f t="shared" si="238"/>
        <v>PH_NMA</v>
      </c>
      <c r="FZ169" s="58" t="str">
        <f t="shared" si="239"/>
        <v>PH_NMA</v>
      </c>
      <c r="GA169" s="58" t="str">
        <f t="shared" si="240"/>
        <v>PH_NMA</v>
      </c>
      <c r="GB169" s="58" t="str">
        <f t="shared" si="241"/>
        <v>PH_NMA</v>
      </c>
      <c r="GC169" s="58" t="str">
        <f t="shared" si="242"/>
        <v>PH_NMA</v>
      </c>
      <c r="GD169" s="58" t="str">
        <f t="shared" si="243"/>
        <v>PH_NMA</v>
      </c>
      <c r="GE169" s="58" t="str">
        <f>IF(AND(dd_CheckMate214_TTD="Yes",'Effectiveness settings'!BU169=2,'Effectiveness settings'!BX169=2),"Apply HR to",GD169)</f>
        <v>PH_NMA</v>
      </c>
      <c r="GF169" s="58" t="str">
        <f t="shared" si="244"/>
        <v>PH_NMA</v>
      </c>
      <c r="GG169" s="58" t="str">
        <f t="shared" si="245"/>
        <v>PH_NMA</v>
      </c>
      <c r="GH169" s="58" t="str">
        <f t="shared" si="246"/>
        <v>PH_NMA</v>
      </c>
      <c r="GI169" s="58" t="str">
        <f t="shared" si="306"/>
        <v>PH_NMA</v>
      </c>
      <c r="GK169" s="58">
        <f>IF(i_baseline_risk_from=2,'Effectiveness settings'!FA169,'Effectiveness settings'!FM169)</f>
        <v>1</v>
      </c>
      <c r="GL169" s="58">
        <f>IF(i_baseline_risk_from=2,'Effectiveness settings'!FB169,'Effectiveness settings'!FN169)</f>
        <v>7</v>
      </c>
      <c r="GM169" s="58">
        <f>IF(i_baseline_risk_from=2,'Effectiveness settings'!FC169,'Effectiveness settings'!FO169)</f>
        <v>2</v>
      </c>
      <c r="GN169" s="58">
        <f>IF(i_baseline_risk_from=2,'Effectiveness settings'!FD169,'Effectiveness settings'!FP169)</f>
        <v>2</v>
      </c>
      <c r="GQ169" s="58">
        <f t="shared" si="247"/>
        <v>7</v>
      </c>
      <c r="GR169" s="58">
        <f t="shared" si="248"/>
        <v>7</v>
      </c>
      <c r="GS169" s="58">
        <f t="shared" si="249"/>
        <v>7</v>
      </c>
      <c r="GT169" s="58">
        <f t="shared" si="250"/>
        <v>7</v>
      </c>
      <c r="GU169" s="58">
        <f>IF(AND(dd_CheckMate214_TTD="Yes",'Effectiveness settings'!BU169=2,'Effectiveness settings'!BX169=2),2,GT169)</f>
        <v>7</v>
      </c>
      <c r="GV169" s="58">
        <f t="shared" si="251"/>
        <v>7</v>
      </c>
      <c r="GW169" s="58">
        <f t="shared" si="252"/>
        <v>7</v>
      </c>
      <c r="GY169" s="58">
        <f>IF(AND(dd_CheckMate214_TTD="Yes",'Effectiveness settings'!BU169=2,'Effectiveness settings'!BX169=2),1,GN169)</f>
        <v>2</v>
      </c>
      <c r="GZ169" s="58">
        <f t="shared" si="253"/>
        <v>2</v>
      </c>
      <c r="HB169" s="58">
        <f t="shared" si="254"/>
        <v>2</v>
      </c>
      <c r="HD169" s="58">
        <f t="shared" si="227"/>
        <v>2</v>
      </c>
      <c r="HE169" s="58">
        <f t="shared" si="228"/>
        <v>1</v>
      </c>
      <c r="HF169" s="58">
        <f t="shared" si="229"/>
        <v>7</v>
      </c>
      <c r="HG169" s="58">
        <f t="shared" si="230"/>
        <v>2</v>
      </c>
      <c r="HH169" s="58">
        <f t="shared" si="231"/>
        <v>2</v>
      </c>
    </row>
    <row r="170" spans="1:216" ht="15.75" x14ac:dyDescent="0.25">
      <c r="D170" s="58" t="str">
        <v>pazopanib</v>
      </c>
      <c r="I170" s="64" t="s">
        <v>74</v>
      </c>
      <c r="J170" s="519" t="s">
        <v>554</v>
      </c>
      <c r="K170" s="524" t="s">
        <v>67</v>
      </c>
      <c r="L170" s="519"/>
      <c r="M170" s="516" t="s">
        <v>559</v>
      </c>
      <c r="N170" s="64" t="s">
        <v>546</v>
      </c>
      <c r="O170" s="64" t="s">
        <v>117</v>
      </c>
      <c r="P170" s="64" t="s">
        <v>547</v>
      </c>
      <c r="Q170" s="519" t="s">
        <v>554</v>
      </c>
      <c r="R170" s="516" t="s">
        <v>548</v>
      </c>
      <c r="S170" s="497"/>
      <c r="T170" s="497"/>
      <c r="U170" s="497"/>
      <c r="Y170" s="517"/>
      <c r="AA170" s="517"/>
      <c r="AF170" s="517"/>
      <c r="AM170" s="517"/>
      <c r="AO170" s="517"/>
      <c r="AT170" s="517"/>
      <c r="AV170" s="511"/>
      <c r="AW170" s="511"/>
      <c r="AX170" s="511"/>
      <c r="BA170" s="517"/>
      <c r="BC170" s="517"/>
      <c r="BH170" s="517"/>
      <c r="BJ170" s="511"/>
      <c r="BK170" s="511"/>
      <c r="BL170" s="511"/>
      <c r="BQ170" s="58">
        <f t="shared" si="234"/>
        <v>104</v>
      </c>
      <c r="BR170" s="17">
        <v>2</v>
      </c>
      <c r="BS170" s="17" t="s">
        <v>559</v>
      </c>
      <c r="BT170" s="17">
        <v>1</v>
      </c>
      <c r="BU170" s="17">
        <v>5</v>
      </c>
      <c r="BV170" s="17" t="str">
        <f t="shared" si="281"/>
        <v>pazopanib</v>
      </c>
      <c r="BW170" s="1006" t="str" cm="1">
        <f t="array" ref="BW170">IF(I170="No",I170,INDEX(List_incl_anal_1L_fav,IF(BU170=999,35,BU170+1)))</f>
        <v>Yes</v>
      </c>
      <c r="BX170" s="61">
        <f t="shared" si="282"/>
        <v>2</v>
      </c>
      <c r="BY170" s="531" t="str">
        <f t="shared" ref="BY170:BY178" si="307">J170</f>
        <v>Time to treatment discontinuation</v>
      </c>
      <c r="BZ170" s="530" t="str">
        <f t="shared" si="283"/>
        <v>Assume equal to</v>
      </c>
      <c r="CA170" s="531">
        <f t="shared" si="305"/>
        <v>0</v>
      </c>
      <c r="CB170" s="530">
        <f t="shared" si="284"/>
        <v>2</v>
      </c>
      <c r="CC170" s="530">
        <f t="shared" si="285"/>
        <v>1</v>
      </c>
      <c r="CD170" s="530">
        <f t="shared" si="286"/>
        <v>7</v>
      </c>
      <c r="CE170" s="1295">
        <f t="shared" si="287"/>
        <v>2</v>
      </c>
      <c r="CF170" s="1301">
        <f t="shared" si="288"/>
        <v>2</v>
      </c>
      <c r="CG170" s="530" t="str">
        <f t="shared" si="289"/>
        <v>Log-logistic</v>
      </c>
      <c r="CH170" s="61">
        <f t="shared" si="290"/>
        <v>0</v>
      </c>
      <c r="CI170" s="61">
        <f t="shared" si="291"/>
        <v>0</v>
      </c>
      <c r="CJ170" s="61">
        <f t="shared" si="292"/>
        <v>0</v>
      </c>
      <c r="DA170" s="1024"/>
      <c r="DB170" s="1024"/>
      <c r="DC170" s="1024"/>
      <c r="DD170" s="1024"/>
      <c r="DE170" s="1024"/>
      <c r="DF170" s="1024"/>
      <c r="DG170" s="1024"/>
      <c r="DK170" s="58" t="str" cm="1">
        <f t="array" ref="DK170">IF(AND($BT170=4,$BX170=4,$BU170=999),$DB$36,_xlfn.IFNA(INDEX(DB$13:DB$70,MATCH(1,($BR170=$CV$13:$CV$70)*($BT170=$CX$13:$CX$70)*($CE170=$CY$13:$CY$70)*($BY170=$DA$13:$DA$70)*($CD170=$DH$13:$DH$70),0)),""))</f>
        <v>Log-logistic</v>
      </c>
      <c r="DL170" s="58" t="str" cm="1">
        <f t="array" ref="DL170">IF(AND($BT170=4,$BX170=4,$BU170=999),$DC$36,_xlfn.IFNA(INDEX(CHOOSE(DP170,DB$13:DB$70,DC$13:DC$70,DD$13:DD$70,DE$13:DE$70),MATCH(1,($BR170=$CV$13:$CV$70)*($BT170=$CX$13:$CX$70)*($CE170=$CY$13:$CY$70)*($BY170=$DA$13:$DA$70)*($CD170=$DH$13:$DH$70),0)),""))</f>
        <v>Log-logistic</v>
      </c>
      <c r="DM170" s="740" cm="1">
        <f t="array" ref="DM170">IF(AND($BT170=4,$BX170=4,$BU170=999),$DD$36,_xlfn.IFNA(INDEX(DD$13:DD$68,MATCH(1,($BR170=$CV$13:$CV$68)*($BT170=$CX$13:$CX$68)*($CE170=$CY$13:$CY$68)*($BY170=$DA$13:$DA$68)*($CD170=$DH$13:$DH$68),0)),""))</f>
        <v>0</v>
      </c>
      <c r="DN170" s="740" cm="1">
        <f t="array" ref="DN170">IF(AND($BT170=4,$BX170=4,$BU170=999),$DD$36,_xlfn.IFNA(INDEX(DE$13:DE$68,MATCH(1,($BR170=$CV$13:$CV$68)*($BT170=$CX$13:$CX$68)*($CE170=$CY$13:$CY$68)*($BY170=$DA$13:$DA$68)*($CD170=$DH$13:$DH$68),0)),""))</f>
        <v>0</v>
      </c>
      <c r="DO170" s="58" t="str" cm="1">
        <f t="array" ref="DO170">IF(AND($BT170=4,$BX170=4,$BU170=999),$DF$36,_xlfn.IFNA(INDEX(DF$13:DF$70,MATCH(1,($BR170=$CV$13:$CV$70)*($BT170=$CX$13:$CX$70)*($CE170=$CY$13:$CY$70)*($BY170=$DA$13:$DA$70)*($CD170=$DH$13:$DH$70),0)),""))</f>
        <v>Base case</v>
      </c>
      <c r="DP170" s="58">
        <f t="shared" si="235"/>
        <v>1</v>
      </c>
      <c r="DW170" s="58" t="s">
        <v>74</v>
      </c>
      <c r="DX170" s="58" t="s">
        <v>554</v>
      </c>
      <c r="DY170" s="58" t="s">
        <v>67</v>
      </c>
      <c r="DZ170" s="58">
        <v>0</v>
      </c>
      <c r="EB170" s="58">
        <v>2</v>
      </c>
      <c r="EC170" s="58">
        <v>1</v>
      </c>
      <c r="ED170" s="58">
        <v>7</v>
      </c>
      <c r="EE170" s="58">
        <v>2</v>
      </c>
      <c r="EF170" s="58">
        <v>2</v>
      </c>
      <c r="EI170" s="58" t="s">
        <v>74</v>
      </c>
      <c r="EJ170" s="58" t="s">
        <v>554</v>
      </c>
      <c r="EK170" s="58" t="s">
        <v>67</v>
      </c>
      <c r="EL170" s="58">
        <v>0</v>
      </c>
      <c r="EN170" s="58">
        <v>2</v>
      </c>
      <c r="EO170" s="58">
        <v>1</v>
      </c>
      <c r="EP170" s="58">
        <v>7</v>
      </c>
      <c r="EQ170" s="58">
        <v>0</v>
      </c>
      <c r="ER170" s="58">
        <v>2</v>
      </c>
      <c r="EU170" s="58" t="str">
        <f t="shared" si="293"/>
        <v>Yes</v>
      </c>
      <c r="EV170" s="58" t="str">
        <f t="shared" si="294"/>
        <v>Time to treatment discontinuation</v>
      </c>
      <c r="EW170" s="58" t="str">
        <f t="shared" si="295"/>
        <v>PH_NMA</v>
      </c>
      <c r="EX170" s="58">
        <f t="shared" si="296"/>
        <v>0</v>
      </c>
      <c r="EZ170" s="58">
        <f t="shared" si="297"/>
        <v>2</v>
      </c>
      <c r="FA170" s="58">
        <f t="shared" si="298"/>
        <v>1</v>
      </c>
      <c r="FB170" s="58">
        <f>IF(i_eff_inputs_based_on_num=2,ED170,(INDEX(Lists!$L$51:$L$85,MATCH(O170,Lists!$K$51:$K$85,0))))</f>
        <v>7</v>
      </c>
      <c r="FC170" s="58">
        <f>IF(i_eff_inputs_based_on_num=2,EE170,(INDEX(Lists!$L$51:$L$85,MATCH(P170,Lists!$K$51:$K$85,0))))</f>
        <v>2</v>
      </c>
      <c r="FD170" s="58">
        <f>IF(i_eff_inputs_based_on_num=2,EF170,(INDEX(Lists!$L$51:$L$85,MATCH(Q170,Lists!$K$51:$K$85,0))))</f>
        <v>2</v>
      </c>
      <c r="FG170" s="58" t="str">
        <f t="shared" si="299"/>
        <v>Yes</v>
      </c>
      <c r="FH170" s="58" t="str">
        <f t="shared" si="300"/>
        <v>Time to treatment discontinuation</v>
      </c>
      <c r="FI170" s="58" t="str">
        <f t="shared" si="301"/>
        <v>PH_NMA</v>
      </c>
      <c r="FJ170" s="58">
        <f t="shared" si="302"/>
        <v>0</v>
      </c>
      <c r="FL170" s="58">
        <f t="shared" si="303"/>
        <v>2</v>
      </c>
      <c r="FM170" s="58">
        <f t="shared" si="304"/>
        <v>1</v>
      </c>
      <c r="FN170" s="58">
        <f>IF(i_eff_inputs_based_on_num=2,EP170,(INDEX(Lists!$L$51:$L$85,MATCH(O170,Lists!$K$51:$K$85,0))))</f>
        <v>7</v>
      </c>
      <c r="FO170" s="58">
        <f>IF(i_eff_inputs_based_on_num=2,EQ170,(INDEX(Lists!$L$51:$L$85,MATCH(P170,Lists!$K$51:$K$85,0))))</f>
        <v>0</v>
      </c>
      <c r="FP170" s="58">
        <f>IF(i_eff_inputs_based_on_num=2,ER170,(INDEX(Lists!$L$51:$L$85,MATCH(Q170,Lists!$K$51:$K$85,0))))</f>
        <v>2</v>
      </c>
      <c r="FT170" s="58">
        <f t="shared" si="236"/>
        <v>0</v>
      </c>
      <c r="FW170" s="58" t="str">
        <f>IF(i_baseline_risk_from=2,'Effectiveness settings'!EW170,'Effectiveness settings'!FI170)</f>
        <v>PH_NMA</v>
      </c>
      <c r="FX170" s="58" t="str">
        <f t="shared" si="237"/>
        <v>PH_NMA</v>
      </c>
      <c r="FY170" s="58" t="str">
        <f t="shared" si="238"/>
        <v>PH_NMA</v>
      </c>
      <c r="FZ170" s="58" t="str">
        <f t="shared" si="239"/>
        <v>Assume equal to</v>
      </c>
      <c r="GA170" s="58" t="str">
        <f t="shared" si="240"/>
        <v>Assume equal to</v>
      </c>
      <c r="GB170" s="58" t="str">
        <f t="shared" si="241"/>
        <v>Assume equal to</v>
      </c>
      <c r="GC170" s="58" t="str">
        <f t="shared" si="242"/>
        <v>Assume equal to</v>
      </c>
      <c r="GD170" s="58" t="str">
        <f t="shared" si="243"/>
        <v>Assume equal to</v>
      </c>
      <c r="GE170" s="58" t="str">
        <f>IF(AND(dd_CheckMate214_TTD="Yes",'Effectiveness settings'!BU170=2,'Effectiveness settings'!BX170=2),"Apply HR to",GD170)</f>
        <v>Assume equal to</v>
      </c>
      <c r="GF170" s="58" t="str">
        <f t="shared" si="244"/>
        <v>Assume equal to</v>
      </c>
      <c r="GG170" s="58" t="str">
        <f t="shared" si="245"/>
        <v>Assume equal to</v>
      </c>
      <c r="GH170" s="58" t="str">
        <f t="shared" si="246"/>
        <v>Assume equal to</v>
      </c>
      <c r="GI170" s="58" t="str">
        <f t="shared" si="306"/>
        <v>Assume equal to</v>
      </c>
      <c r="GK170" s="58">
        <f>IF(i_baseline_risk_from=2,'Effectiveness settings'!FA170,'Effectiveness settings'!FM170)</f>
        <v>1</v>
      </c>
      <c r="GL170" s="58">
        <f>IF(i_baseline_risk_from=2,'Effectiveness settings'!FB170,'Effectiveness settings'!FN170)</f>
        <v>7</v>
      </c>
      <c r="GM170" s="58">
        <f>IF(i_baseline_risk_from=2,'Effectiveness settings'!FC170,'Effectiveness settings'!FO170)</f>
        <v>2</v>
      </c>
      <c r="GN170" s="58">
        <f>IF(i_baseline_risk_from=2,'Effectiveness settings'!FD170,'Effectiveness settings'!FP170)</f>
        <v>2</v>
      </c>
      <c r="GQ170" s="58">
        <f t="shared" si="247"/>
        <v>7</v>
      </c>
      <c r="GR170" s="58">
        <f t="shared" si="248"/>
        <v>7</v>
      </c>
      <c r="GS170" s="58">
        <f t="shared" si="249"/>
        <v>7</v>
      </c>
      <c r="GT170" s="58">
        <f t="shared" si="250"/>
        <v>7</v>
      </c>
      <c r="GU170" s="58">
        <f>IF(AND(dd_CheckMate214_TTD="Yes",'Effectiveness settings'!BU170=2,'Effectiveness settings'!BX170=2),2,GT170)</f>
        <v>7</v>
      </c>
      <c r="GV170" s="58">
        <f t="shared" si="251"/>
        <v>7</v>
      </c>
      <c r="GW170" s="58">
        <f t="shared" si="252"/>
        <v>7</v>
      </c>
      <c r="GY170" s="58">
        <f>IF(AND(dd_CheckMate214_TTD="Yes",'Effectiveness settings'!BU170=2,'Effectiveness settings'!BX170=2),1,GN170)</f>
        <v>2</v>
      </c>
      <c r="GZ170" s="58">
        <f t="shared" si="253"/>
        <v>2</v>
      </c>
      <c r="HB170" s="58">
        <f t="shared" si="254"/>
        <v>2</v>
      </c>
      <c r="HD170" s="58">
        <f t="shared" si="227"/>
        <v>2</v>
      </c>
      <c r="HE170" s="58">
        <f t="shared" si="228"/>
        <v>1</v>
      </c>
      <c r="HF170" s="58">
        <f t="shared" si="229"/>
        <v>7</v>
      </c>
      <c r="HG170" s="58">
        <f t="shared" si="230"/>
        <v>2</v>
      </c>
      <c r="HH170" s="58">
        <f t="shared" si="231"/>
        <v>2</v>
      </c>
    </row>
    <row r="171" spans="1:216" ht="15.75" x14ac:dyDescent="0.25">
      <c r="D171" s="58" t="str">
        <v>tivozanib</v>
      </c>
      <c r="I171" s="64" t="s">
        <v>74</v>
      </c>
      <c r="J171" s="519" t="s">
        <v>554</v>
      </c>
      <c r="K171" s="524" t="s">
        <v>561</v>
      </c>
      <c r="L171" s="519"/>
      <c r="M171" s="516" t="s">
        <v>559</v>
      </c>
      <c r="N171" s="64" t="s">
        <v>546</v>
      </c>
      <c r="O171" s="64" t="s">
        <v>117</v>
      </c>
      <c r="P171" s="64" t="s">
        <v>547</v>
      </c>
      <c r="Q171" s="519" t="s">
        <v>554</v>
      </c>
      <c r="R171" s="516" t="s">
        <v>548</v>
      </c>
      <c r="S171" s="497"/>
      <c r="T171" s="497"/>
      <c r="U171" s="497"/>
      <c r="Y171" s="517"/>
      <c r="AA171" s="517"/>
      <c r="AF171" s="517"/>
      <c r="AM171" s="517"/>
      <c r="AO171" s="517"/>
      <c r="AT171" s="517"/>
      <c r="AV171" s="511"/>
      <c r="AW171" s="511"/>
      <c r="AX171" s="511"/>
      <c r="BA171" s="517"/>
      <c r="BC171" s="517"/>
      <c r="BH171" s="517"/>
      <c r="BJ171" s="511"/>
      <c r="BK171" s="511"/>
      <c r="BL171" s="511"/>
      <c r="BQ171" s="58">
        <f t="shared" si="234"/>
        <v>105</v>
      </c>
      <c r="BR171" s="17">
        <v>2</v>
      </c>
      <c r="BS171" s="17" t="s">
        <v>559</v>
      </c>
      <c r="BT171" s="17">
        <v>1</v>
      </c>
      <c r="BU171" s="17">
        <v>6</v>
      </c>
      <c r="BV171" s="17" t="str">
        <f t="shared" si="281"/>
        <v>tivozanib</v>
      </c>
      <c r="BW171" s="1006" t="str" cm="1">
        <f t="array" ref="BW171">IF(I171="No",I171,INDEX(List_incl_anal_1L_fav,IF(BU171=999,35,BU171+1)))</f>
        <v>Yes</v>
      </c>
      <c r="BX171" s="61">
        <f t="shared" si="282"/>
        <v>2</v>
      </c>
      <c r="BY171" s="531" t="str">
        <f t="shared" si="307"/>
        <v>Time to treatment discontinuation</v>
      </c>
      <c r="BZ171" s="530" t="str">
        <f t="shared" si="283"/>
        <v>Assume equal to</v>
      </c>
      <c r="CA171" s="531">
        <f t="shared" si="305"/>
        <v>0</v>
      </c>
      <c r="CB171" s="530">
        <f t="shared" si="284"/>
        <v>2</v>
      </c>
      <c r="CC171" s="530">
        <f t="shared" si="285"/>
        <v>1</v>
      </c>
      <c r="CD171" s="530">
        <f t="shared" si="286"/>
        <v>7</v>
      </c>
      <c r="CE171" s="1295">
        <f t="shared" si="287"/>
        <v>2</v>
      </c>
      <c r="CF171" s="1301">
        <f t="shared" si="288"/>
        <v>2</v>
      </c>
      <c r="CG171" s="530" t="str">
        <f t="shared" si="289"/>
        <v>Log-logistic</v>
      </c>
      <c r="CH171" s="61">
        <f t="shared" si="290"/>
        <v>0</v>
      </c>
      <c r="CI171" s="61">
        <f t="shared" si="291"/>
        <v>0</v>
      </c>
      <c r="CJ171" s="61">
        <f t="shared" si="292"/>
        <v>0</v>
      </c>
      <c r="DA171" s="1024"/>
      <c r="DB171" s="1024"/>
      <c r="DC171" s="1024"/>
      <c r="DD171" s="1024"/>
      <c r="DE171" s="1024"/>
      <c r="DF171" s="1024"/>
      <c r="DG171" s="1024"/>
      <c r="DK171" s="58" t="str" cm="1">
        <f t="array" ref="DK171">IF(AND($BT171=4,$BX171=4,$BU171=999),$DB$36,_xlfn.IFNA(INDEX(DB$13:DB$70,MATCH(1,($BR171=$CV$13:$CV$70)*($BT171=$CX$13:$CX$70)*($CE171=$CY$13:$CY$70)*($BY171=$DA$13:$DA$70)*($CD171=$DH$13:$DH$70),0)),""))</f>
        <v>Log-logistic</v>
      </c>
      <c r="DL171" s="58" t="str" cm="1">
        <f t="array" ref="DL171">IF(AND($BT171=4,$BX171=4,$BU171=999),$DC$36,_xlfn.IFNA(INDEX(CHOOSE(DP171,DB$13:DB$70,DC$13:DC$70,DD$13:DD$70,DE$13:DE$70),MATCH(1,($BR171=$CV$13:$CV$70)*($BT171=$CX$13:$CX$70)*($CE171=$CY$13:$CY$70)*($BY171=$DA$13:$DA$70)*($CD171=$DH$13:$DH$70),0)),""))</f>
        <v>Log-logistic</v>
      </c>
      <c r="DM171" s="740" cm="1">
        <f t="array" ref="DM171">IF(AND($BT171=4,$BX171=4,$BU171=999),$DD$36,_xlfn.IFNA(INDEX(DD$13:DD$68,MATCH(1,($BR171=$CV$13:$CV$68)*($BT171=$CX$13:$CX$68)*($CE171=$CY$13:$CY$68)*($BY171=$DA$13:$DA$68)*($CD171=$DH$13:$DH$68),0)),""))</f>
        <v>0</v>
      </c>
      <c r="DN171" s="740" cm="1">
        <f t="array" ref="DN171">IF(AND($BT171=4,$BX171=4,$BU171=999),$DD$36,_xlfn.IFNA(INDEX(DE$13:DE$68,MATCH(1,($BR171=$CV$13:$CV$68)*($BT171=$CX$13:$CX$68)*($CE171=$CY$13:$CY$68)*($BY171=$DA$13:$DA$68)*($CD171=$DH$13:$DH$68),0)),""))</f>
        <v>0</v>
      </c>
      <c r="DO171" s="58" t="str" cm="1">
        <f t="array" ref="DO171">IF(AND($BT171=4,$BX171=4,$BU171=999),$DF$36,_xlfn.IFNA(INDEX(DF$13:DF$70,MATCH(1,($BR171=$CV$13:$CV$70)*($BT171=$CX$13:$CX$70)*($CE171=$CY$13:$CY$70)*($BY171=$DA$13:$DA$70)*($CD171=$DH$13:$DH$70),0)),""))</f>
        <v>Base case</v>
      </c>
      <c r="DP171" s="58">
        <f t="shared" si="235"/>
        <v>1</v>
      </c>
      <c r="DW171" s="58" t="s">
        <v>74</v>
      </c>
      <c r="DX171" s="58" t="s">
        <v>554</v>
      </c>
      <c r="DY171" s="58" t="s">
        <v>67</v>
      </c>
      <c r="DZ171" s="58">
        <v>0</v>
      </c>
      <c r="EB171" s="58">
        <v>2</v>
      </c>
      <c r="EC171" s="58">
        <v>1</v>
      </c>
      <c r="ED171" s="58">
        <v>7</v>
      </c>
      <c r="EE171" s="58">
        <v>2</v>
      </c>
      <c r="EF171" s="58">
        <v>2</v>
      </c>
      <c r="EI171" s="58" t="s">
        <v>74</v>
      </c>
      <c r="EJ171" s="58" t="s">
        <v>554</v>
      </c>
      <c r="EK171" s="58" t="s">
        <v>67</v>
      </c>
      <c r="EL171" s="58">
        <v>0</v>
      </c>
      <c r="EN171" s="58">
        <v>2</v>
      </c>
      <c r="EO171" s="58">
        <v>1</v>
      </c>
      <c r="EP171" s="58">
        <v>7</v>
      </c>
      <c r="EQ171" s="58">
        <v>0</v>
      </c>
      <c r="ER171" s="58">
        <v>2</v>
      </c>
      <c r="EU171" s="58" t="str">
        <f t="shared" si="293"/>
        <v>Yes</v>
      </c>
      <c r="EV171" s="58" t="str">
        <f t="shared" si="294"/>
        <v>Time to treatment discontinuation</v>
      </c>
      <c r="EW171" s="58" t="str">
        <f t="shared" si="295"/>
        <v>PH_NMA</v>
      </c>
      <c r="EX171" s="58">
        <f t="shared" si="296"/>
        <v>0</v>
      </c>
      <c r="EZ171" s="58">
        <f t="shared" si="297"/>
        <v>2</v>
      </c>
      <c r="FA171" s="58">
        <f t="shared" si="298"/>
        <v>1</v>
      </c>
      <c r="FB171" s="58">
        <f>IF(i_eff_inputs_based_on_num=2,ED171,(INDEX(Lists!$L$51:$L$85,MATCH(O171,Lists!$K$51:$K$85,0))))</f>
        <v>7</v>
      </c>
      <c r="FC171" s="58">
        <f>IF(i_eff_inputs_based_on_num=2,EE171,(INDEX(Lists!$L$51:$L$85,MATCH(P171,Lists!$K$51:$K$85,0))))</f>
        <v>2</v>
      </c>
      <c r="FD171" s="58">
        <f>IF(i_eff_inputs_based_on_num=2,EF171,(INDEX(Lists!$L$51:$L$85,MATCH(Q171,Lists!$K$51:$K$85,0))))</f>
        <v>2</v>
      </c>
      <c r="FG171" s="58" t="str">
        <f t="shared" si="299"/>
        <v>Yes</v>
      </c>
      <c r="FH171" s="58" t="str">
        <f t="shared" si="300"/>
        <v>Time to treatment discontinuation</v>
      </c>
      <c r="FI171" s="58" t="str">
        <f t="shared" si="301"/>
        <v>PH_NMA</v>
      </c>
      <c r="FJ171" s="58">
        <f t="shared" si="302"/>
        <v>0</v>
      </c>
      <c r="FL171" s="58">
        <f t="shared" si="303"/>
        <v>2</v>
      </c>
      <c r="FM171" s="58">
        <f t="shared" si="304"/>
        <v>1</v>
      </c>
      <c r="FN171" s="58">
        <f>IF(i_eff_inputs_based_on_num=2,EP171,(INDEX(Lists!$L$51:$L$85,MATCH(O171,Lists!$K$51:$K$85,0))))</f>
        <v>7</v>
      </c>
      <c r="FO171" s="58">
        <f>IF(i_eff_inputs_based_on_num=2,EQ171,(INDEX(Lists!$L$51:$L$85,MATCH(P171,Lists!$K$51:$K$85,0))))</f>
        <v>0</v>
      </c>
      <c r="FP171" s="58">
        <f>IF(i_eff_inputs_based_on_num=2,ER171,(INDEX(Lists!$L$51:$L$85,MATCH(Q171,Lists!$K$51:$K$85,0))))</f>
        <v>2</v>
      </c>
      <c r="FT171" s="58">
        <f t="shared" si="236"/>
        <v>0</v>
      </c>
      <c r="FW171" s="58" t="str">
        <f>IF(i_baseline_risk_from=2,'Effectiveness settings'!EW171,'Effectiveness settings'!FI171)</f>
        <v>PH_NMA</v>
      </c>
      <c r="FX171" s="58" t="str">
        <f t="shared" si="237"/>
        <v>PH_NMA</v>
      </c>
      <c r="FY171" s="58" t="str">
        <f t="shared" si="238"/>
        <v>PH_NMA</v>
      </c>
      <c r="FZ171" s="58" t="str">
        <f t="shared" si="239"/>
        <v>PH_NMA</v>
      </c>
      <c r="GA171" s="58" t="str">
        <f t="shared" si="240"/>
        <v>Assume equal to</v>
      </c>
      <c r="GB171" s="58" t="str">
        <f t="shared" si="241"/>
        <v>Assume equal to</v>
      </c>
      <c r="GC171" s="58" t="str">
        <f t="shared" si="242"/>
        <v>Assume equal to</v>
      </c>
      <c r="GD171" s="58" t="str">
        <f t="shared" si="243"/>
        <v>Assume equal to</v>
      </c>
      <c r="GE171" s="58" t="str">
        <f>IF(AND(dd_CheckMate214_TTD="Yes",'Effectiveness settings'!BU171=2,'Effectiveness settings'!BX171=2),"Apply HR to",GD171)</f>
        <v>Assume equal to</v>
      </c>
      <c r="GF171" s="58" t="str">
        <f t="shared" si="244"/>
        <v>Assume equal to</v>
      </c>
      <c r="GG171" s="58" t="str">
        <f t="shared" si="245"/>
        <v>Assume equal to</v>
      </c>
      <c r="GH171" s="58" t="str">
        <f t="shared" si="246"/>
        <v>Assume equal to</v>
      </c>
      <c r="GI171" s="58" t="str">
        <f t="shared" si="306"/>
        <v>Assume equal to</v>
      </c>
      <c r="GK171" s="58">
        <f>IF(i_baseline_risk_from=2,'Effectiveness settings'!FA171,'Effectiveness settings'!FM171)</f>
        <v>1</v>
      </c>
      <c r="GL171" s="58">
        <f>IF(i_baseline_risk_from=2,'Effectiveness settings'!FB171,'Effectiveness settings'!FN171)</f>
        <v>7</v>
      </c>
      <c r="GM171" s="58">
        <f>IF(i_baseline_risk_from=2,'Effectiveness settings'!FC171,'Effectiveness settings'!FO171)</f>
        <v>2</v>
      </c>
      <c r="GN171" s="58">
        <f>IF(i_baseline_risk_from=2,'Effectiveness settings'!FD171,'Effectiveness settings'!FP171)</f>
        <v>2</v>
      </c>
      <c r="GQ171" s="58">
        <f t="shared" si="247"/>
        <v>7</v>
      </c>
      <c r="GR171" s="58">
        <f t="shared" si="248"/>
        <v>7</v>
      </c>
      <c r="GS171" s="58">
        <f t="shared" si="249"/>
        <v>7</v>
      </c>
      <c r="GT171" s="58">
        <f t="shared" si="250"/>
        <v>7</v>
      </c>
      <c r="GU171" s="58">
        <f>IF(AND(dd_CheckMate214_TTD="Yes",'Effectiveness settings'!BU171=2,'Effectiveness settings'!BX171=2),2,GT171)</f>
        <v>7</v>
      </c>
      <c r="GV171" s="58">
        <f t="shared" si="251"/>
        <v>7</v>
      </c>
      <c r="GW171" s="58">
        <f t="shared" si="252"/>
        <v>7</v>
      </c>
      <c r="GY171" s="58">
        <f>IF(AND(dd_CheckMate214_TTD="Yes",'Effectiveness settings'!BU171=2,'Effectiveness settings'!BX171=2),1,GN171)</f>
        <v>2</v>
      </c>
      <c r="GZ171" s="58">
        <f t="shared" si="253"/>
        <v>2</v>
      </c>
      <c r="HB171" s="58">
        <f t="shared" si="254"/>
        <v>2</v>
      </c>
      <c r="HD171" s="58">
        <f t="shared" si="227"/>
        <v>2</v>
      </c>
      <c r="HE171" s="58">
        <f t="shared" si="228"/>
        <v>1</v>
      </c>
      <c r="HF171" s="58">
        <f t="shared" si="229"/>
        <v>7</v>
      </c>
      <c r="HG171" s="58">
        <f t="shared" si="230"/>
        <v>2</v>
      </c>
      <c r="HH171" s="58">
        <f t="shared" si="231"/>
        <v>2</v>
      </c>
    </row>
    <row r="172" spans="1:216" ht="15.75" x14ac:dyDescent="0.25">
      <c r="A172" s="58" t="s">
        <v>570</v>
      </c>
      <c r="D172" s="58" t="str">
        <v>sunitinib</v>
      </c>
      <c r="I172" s="64" t="s">
        <v>74</v>
      </c>
      <c r="J172" s="519" t="s">
        <v>554</v>
      </c>
      <c r="K172" s="524" t="s">
        <v>562</v>
      </c>
      <c r="L172" s="519" t="s">
        <v>547</v>
      </c>
      <c r="M172" s="516" t="s">
        <v>559</v>
      </c>
      <c r="N172" s="64" t="s">
        <v>546</v>
      </c>
      <c r="O172" s="64" t="s">
        <v>117</v>
      </c>
      <c r="P172" s="64" t="s">
        <v>547</v>
      </c>
      <c r="Q172" s="519" t="s">
        <v>554</v>
      </c>
      <c r="R172" s="516" t="s">
        <v>548</v>
      </c>
      <c r="S172" s="497"/>
      <c r="T172" s="497"/>
      <c r="U172" s="497"/>
      <c r="Y172" s="517"/>
      <c r="AA172" s="517"/>
      <c r="AF172" s="517"/>
      <c r="AM172" s="517"/>
      <c r="AO172" s="517"/>
      <c r="AT172" s="517"/>
      <c r="AV172" s="511"/>
      <c r="AW172" s="511"/>
      <c r="AX172" s="511"/>
      <c r="BA172" s="517"/>
      <c r="BC172" s="517"/>
      <c r="BH172" s="517"/>
      <c r="BJ172" s="511"/>
      <c r="BK172" s="511"/>
      <c r="BL172" s="511"/>
      <c r="BQ172" s="58">
        <f t="shared" si="234"/>
        <v>106</v>
      </c>
      <c r="BR172" s="17">
        <v>2</v>
      </c>
      <c r="BS172" s="17" t="s">
        <v>559</v>
      </c>
      <c r="BT172" s="17">
        <v>1</v>
      </c>
      <c r="BU172" s="17">
        <v>7</v>
      </c>
      <c r="BV172" s="17" t="str">
        <f t="shared" si="281"/>
        <v>sunitinib</v>
      </c>
      <c r="BW172" s="1006" t="str" cm="1">
        <f t="array" ref="BW172">IF(I172="No",I172,INDEX(List_incl_anal_1L_fav,IF(BU172=999,35,BU172+1)))</f>
        <v>Yes</v>
      </c>
      <c r="BX172" s="61">
        <f t="shared" si="282"/>
        <v>2</v>
      </c>
      <c r="BY172" s="531" t="str">
        <f t="shared" si="307"/>
        <v>Time to treatment discontinuation</v>
      </c>
      <c r="BZ172" s="530" t="str">
        <f t="shared" si="283"/>
        <v>Trial survival analysis</v>
      </c>
      <c r="CA172" s="531" t="str">
        <f t="shared" si="305"/>
        <v>Real world evidence</v>
      </c>
      <c r="CB172" s="530">
        <f t="shared" si="284"/>
        <v>2</v>
      </c>
      <c r="CC172" s="530">
        <f t="shared" si="285"/>
        <v>1</v>
      </c>
      <c r="CD172" s="530">
        <f t="shared" si="286"/>
        <v>7</v>
      </c>
      <c r="CE172" s="1295">
        <f t="shared" si="287"/>
        <v>2</v>
      </c>
      <c r="CF172" s="1301">
        <f t="shared" si="288"/>
        <v>2</v>
      </c>
      <c r="CG172" s="530" t="str">
        <f t="shared" si="289"/>
        <v>Log-logistic</v>
      </c>
      <c r="CH172" s="61">
        <f t="shared" si="290"/>
        <v>0</v>
      </c>
      <c r="CI172" s="61">
        <f t="shared" si="291"/>
        <v>0</v>
      </c>
      <c r="CJ172" s="61">
        <f t="shared" si="292"/>
        <v>0</v>
      </c>
      <c r="DA172" s="1024"/>
      <c r="DB172" s="1024"/>
      <c r="DC172" s="1024"/>
      <c r="DD172" s="1024"/>
      <c r="DE172" s="1024"/>
      <c r="DF172" s="1024"/>
      <c r="DG172" s="1024"/>
      <c r="DK172" s="58" t="str" cm="1">
        <f t="array" ref="DK172">IF(AND($BT172=4,$BX172=4,$BU172=999),$DB$36,_xlfn.IFNA(INDEX(DB$13:DB$70,MATCH(1,($BR172=$CV$13:$CV$70)*($BT172=$CX$13:$CX$70)*($CE172=$CY$13:$CY$70)*($BY172=$DA$13:$DA$70)*($CD172=$DH$13:$DH$70),0)),""))</f>
        <v>Log-logistic</v>
      </c>
      <c r="DL172" s="58" t="str" cm="1">
        <f t="array" ref="DL172">IF(AND($BT172=4,$BX172=4,$BU172=999),$DC$36,_xlfn.IFNA(INDEX(CHOOSE(DP172,DB$13:DB$70,DC$13:DC$70,DD$13:DD$70,DE$13:DE$70),MATCH(1,($BR172=$CV$13:$CV$70)*($BT172=$CX$13:$CX$70)*($CE172=$CY$13:$CY$70)*($BY172=$DA$13:$DA$70)*($CD172=$DH$13:$DH$70),0)),""))</f>
        <v>Log-logistic</v>
      </c>
      <c r="DM172" s="740" cm="1">
        <f t="array" ref="DM172">IF(AND($BT172=4,$BX172=4,$BU172=999),$DD$36,_xlfn.IFNA(INDEX(DD$13:DD$68,MATCH(1,($BR172=$CV$13:$CV$68)*($BT172=$CX$13:$CX$68)*($CE172=$CY$13:$CY$68)*($BY172=$DA$13:$DA$68)*($CD172=$DH$13:$DH$68),0)),""))</f>
        <v>0</v>
      </c>
      <c r="DN172" s="740" cm="1">
        <f t="array" ref="DN172">IF(AND($BT172=4,$BX172=4,$BU172=999),$DD$36,_xlfn.IFNA(INDEX(DE$13:DE$68,MATCH(1,($BR172=$CV$13:$CV$68)*($BT172=$CX$13:$CX$68)*($CE172=$CY$13:$CY$68)*($BY172=$DA$13:$DA$68)*($CD172=$DH$13:$DH$68),0)),""))</f>
        <v>0</v>
      </c>
      <c r="DO172" s="58" t="str" cm="1">
        <f t="array" ref="DO172">IF(AND($BT172=4,$BX172=4,$BU172=999),$DF$36,_xlfn.IFNA(INDEX(DF$13:DF$70,MATCH(1,($BR172=$CV$13:$CV$70)*($BT172=$CX$13:$CX$70)*($CE172=$CY$13:$CY$70)*($BY172=$DA$13:$DA$70)*($CD172=$DH$13:$DH$70),0)),""))</f>
        <v>Base case</v>
      </c>
      <c r="DP172" s="58">
        <f t="shared" si="235"/>
        <v>1</v>
      </c>
      <c r="DW172" s="58" t="s">
        <v>74</v>
      </c>
      <c r="DX172" s="58" t="s">
        <v>554</v>
      </c>
      <c r="DY172" s="58" t="s">
        <v>562</v>
      </c>
      <c r="DZ172" s="58" t="s">
        <v>547</v>
      </c>
      <c r="EB172" s="58">
        <v>2</v>
      </c>
      <c r="EC172" s="58">
        <v>1</v>
      </c>
      <c r="ED172" s="58">
        <v>7</v>
      </c>
      <c r="EE172" s="58">
        <v>2</v>
      </c>
      <c r="EF172" s="58">
        <v>2</v>
      </c>
      <c r="EI172" s="58" t="s">
        <v>74</v>
      </c>
      <c r="EJ172" s="58" t="s">
        <v>554</v>
      </c>
      <c r="EK172" s="58" t="s">
        <v>562</v>
      </c>
      <c r="EL172" s="58" t="s">
        <v>564</v>
      </c>
      <c r="EN172" s="58">
        <v>2</v>
      </c>
      <c r="EO172" s="58">
        <v>1</v>
      </c>
      <c r="EP172" s="58">
        <v>7</v>
      </c>
      <c r="EQ172" s="58">
        <v>0</v>
      </c>
      <c r="ER172" s="58">
        <v>2</v>
      </c>
      <c r="EU172" s="58" t="str">
        <f t="shared" si="293"/>
        <v>Yes</v>
      </c>
      <c r="EV172" s="58" t="str">
        <f t="shared" si="294"/>
        <v>Time to treatment discontinuation</v>
      </c>
      <c r="EW172" s="58" t="str">
        <f t="shared" si="295"/>
        <v>Trial survival analysis</v>
      </c>
      <c r="EX172" s="58" t="str">
        <f t="shared" si="296"/>
        <v>Real world evidence</v>
      </c>
      <c r="EZ172" s="58">
        <f t="shared" si="297"/>
        <v>2</v>
      </c>
      <c r="FA172" s="58">
        <f t="shared" si="298"/>
        <v>1</v>
      </c>
      <c r="FB172" s="58">
        <f>IF(i_eff_inputs_based_on_num=2,ED172,(INDEX(Lists!$L$51:$L$85,MATCH(O172,Lists!$K$51:$K$85,0))))</f>
        <v>7</v>
      </c>
      <c r="FC172" s="58">
        <f>IF(i_eff_inputs_based_on_num=2,EE172,(INDEX(Lists!$L$51:$L$85,MATCH(P172,Lists!$K$51:$K$85,0))))</f>
        <v>2</v>
      </c>
      <c r="FD172" s="58">
        <f>IF(i_eff_inputs_based_on_num=2,EF172,(INDEX(Lists!$L$51:$L$85,MATCH(Q172,Lists!$K$51:$K$85,0))))</f>
        <v>2</v>
      </c>
      <c r="FG172" s="58" t="str">
        <f t="shared" si="299"/>
        <v>Yes</v>
      </c>
      <c r="FH172" s="58" t="str">
        <f t="shared" si="300"/>
        <v>Time to treatment discontinuation</v>
      </c>
      <c r="FI172" s="58" t="str">
        <f t="shared" si="301"/>
        <v>Trial survival analysis</v>
      </c>
      <c r="FJ172" s="58" t="str">
        <f t="shared" si="302"/>
        <v>CheckMate 9ER</v>
      </c>
      <c r="FL172" s="58">
        <f t="shared" si="303"/>
        <v>2</v>
      </c>
      <c r="FM172" s="58">
        <f t="shared" si="304"/>
        <v>1</v>
      </c>
      <c r="FN172" s="58">
        <f>IF(i_eff_inputs_based_on_num=2,EP172,(INDEX(Lists!$L$51:$L$85,MATCH(O172,Lists!$K$51:$K$85,0))))</f>
        <v>7</v>
      </c>
      <c r="FO172" s="58">
        <f>IF(i_eff_inputs_based_on_num=2,EQ172,(INDEX(Lists!$L$51:$L$85,MATCH(P172,Lists!$K$51:$K$85,0))))</f>
        <v>0</v>
      </c>
      <c r="FP172" s="58">
        <f>IF(i_eff_inputs_based_on_num=2,ER172,(INDEX(Lists!$L$51:$L$85,MATCH(Q172,Lists!$K$51:$K$85,0))))</f>
        <v>2</v>
      </c>
      <c r="FT172" s="58" t="str">
        <f t="shared" si="236"/>
        <v>Real world evidence</v>
      </c>
      <c r="FW172" s="58" t="str">
        <f>IF(i_baseline_risk_from=2,'Effectiveness settings'!EW172,'Effectiveness settings'!FI172)</f>
        <v>Trial survival analysis</v>
      </c>
      <c r="FX172" s="58" t="str">
        <f t="shared" si="237"/>
        <v>Trial survival analysis</v>
      </c>
      <c r="FY172" s="58" t="str">
        <f t="shared" si="238"/>
        <v>Trial survival analysis</v>
      </c>
      <c r="FZ172" s="58" t="str">
        <f t="shared" si="239"/>
        <v>Trial survival analysis</v>
      </c>
      <c r="GA172" s="58" t="str">
        <f t="shared" si="240"/>
        <v>Trial survival analysis</v>
      </c>
      <c r="GB172" s="58" t="str">
        <f t="shared" si="241"/>
        <v>Trial survival analysis</v>
      </c>
      <c r="GC172" s="58" t="str">
        <f t="shared" si="242"/>
        <v>Trial survival analysis</v>
      </c>
      <c r="GD172" s="58" t="str">
        <f t="shared" si="243"/>
        <v>Trial survival analysis</v>
      </c>
      <c r="GE172" s="58" t="str">
        <f>IF(AND(dd_CheckMate214_TTD="Yes",'Effectiveness settings'!BU172=2,'Effectiveness settings'!BX172=2),"Apply HR to",GD172)</f>
        <v>Trial survival analysis</v>
      </c>
      <c r="GF172" s="58" t="str">
        <f t="shared" si="244"/>
        <v>Trial survival analysis</v>
      </c>
      <c r="GG172" s="58" t="str">
        <f t="shared" si="245"/>
        <v>Trial survival analysis</v>
      </c>
      <c r="GH172" s="58" t="str">
        <f t="shared" si="246"/>
        <v>Trial survival analysis</v>
      </c>
      <c r="GI172" s="58" t="str">
        <f t="shared" si="306"/>
        <v>Trial survival analysis</v>
      </c>
      <c r="GK172" s="58">
        <f>IF(i_baseline_risk_from=2,'Effectiveness settings'!FA172,'Effectiveness settings'!FM172)</f>
        <v>1</v>
      </c>
      <c r="GL172" s="58">
        <f>IF(i_baseline_risk_from=2,'Effectiveness settings'!FB172,'Effectiveness settings'!FN172)</f>
        <v>7</v>
      </c>
      <c r="GM172" s="58">
        <f>IF(i_baseline_risk_from=2,'Effectiveness settings'!FC172,'Effectiveness settings'!FO172)</f>
        <v>2</v>
      </c>
      <c r="GN172" s="58">
        <f>IF(i_baseline_risk_from=2,'Effectiveness settings'!FD172,'Effectiveness settings'!FP172)</f>
        <v>2</v>
      </c>
      <c r="GQ172" s="58">
        <f t="shared" si="247"/>
        <v>7</v>
      </c>
      <c r="GR172" s="58">
        <f t="shared" si="248"/>
        <v>7</v>
      </c>
      <c r="GS172" s="58">
        <f t="shared" si="249"/>
        <v>7</v>
      </c>
      <c r="GT172" s="58">
        <f t="shared" si="250"/>
        <v>7</v>
      </c>
      <c r="GU172" s="58">
        <f>IF(AND(dd_CheckMate214_TTD="Yes",'Effectiveness settings'!BU172=2,'Effectiveness settings'!BX172=2),2,GT172)</f>
        <v>7</v>
      </c>
      <c r="GV172" s="58">
        <f t="shared" si="251"/>
        <v>7</v>
      </c>
      <c r="GW172" s="58">
        <f t="shared" si="252"/>
        <v>7</v>
      </c>
      <c r="GY172" s="58">
        <f>IF(AND(dd_CheckMate214_TTD="Yes",'Effectiveness settings'!BU172=2,'Effectiveness settings'!BX172=2),1,GN172)</f>
        <v>2</v>
      </c>
      <c r="GZ172" s="58">
        <f t="shared" si="253"/>
        <v>2</v>
      </c>
      <c r="HB172" s="58">
        <f t="shared" si="254"/>
        <v>2</v>
      </c>
      <c r="HD172" s="58">
        <f t="shared" si="227"/>
        <v>2</v>
      </c>
      <c r="HE172" s="58">
        <f t="shared" si="228"/>
        <v>1</v>
      </c>
      <c r="HF172" s="58">
        <f t="shared" si="229"/>
        <v>7</v>
      </c>
      <c r="HG172" s="58">
        <f t="shared" si="230"/>
        <v>2</v>
      </c>
      <c r="HH172" s="58">
        <f t="shared" si="231"/>
        <v>2</v>
      </c>
    </row>
    <row r="173" spans="1:216" ht="15.75" x14ac:dyDescent="0.25">
      <c r="D173" s="58" t="str">
        <v>cabozantinib</v>
      </c>
      <c r="I173" s="64" t="s">
        <v>58</v>
      </c>
      <c r="J173" s="519" t="s">
        <v>554</v>
      </c>
      <c r="K173" s="524"/>
      <c r="L173" s="519"/>
      <c r="M173" s="516" t="s">
        <v>559</v>
      </c>
      <c r="N173" s="64" t="s">
        <v>546</v>
      </c>
      <c r="O173" s="64" t="s">
        <v>117</v>
      </c>
      <c r="P173" s="64" t="s">
        <v>547</v>
      </c>
      <c r="Q173" s="519" t="s">
        <v>554</v>
      </c>
      <c r="R173" s="516" t="s">
        <v>548</v>
      </c>
      <c r="S173" s="497"/>
      <c r="T173" s="497"/>
      <c r="U173" s="497"/>
      <c r="Y173" s="517"/>
      <c r="AA173" s="517"/>
      <c r="AF173" s="517"/>
      <c r="AM173" s="517"/>
      <c r="AO173" s="517"/>
      <c r="AT173" s="517"/>
      <c r="AV173" s="511"/>
      <c r="AW173" s="511"/>
      <c r="AX173" s="511"/>
      <c r="BA173" s="517"/>
      <c r="BC173" s="517"/>
      <c r="BH173" s="517"/>
      <c r="BJ173" s="511"/>
      <c r="BK173" s="511"/>
      <c r="BL173" s="511"/>
      <c r="BQ173" s="58">
        <f t="shared" si="234"/>
        <v>107</v>
      </c>
      <c r="BR173" s="17">
        <v>2</v>
      </c>
      <c r="BS173" s="17" t="s">
        <v>559</v>
      </c>
      <c r="BT173" s="17">
        <v>1</v>
      </c>
      <c r="BU173" s="17">
        <v>8</v>
      </c>
      <c r="BV173" s="17" t="str">
        <f t="shared" si="281"/>
        <v>cabozantinib</v>
      </c>
      <c r="BW173" s="1006" t="str" cm="1">
        <f t="array" ref="BW173">IF(I173="No",I173,INDEX(List_incl_anal_1L_fav,IF(BU173=999,35,BU173+1)))</f>
        <v>No</v>
      </c>
      <c r="BX173" s="61">
        <f t="shared" si="282"/>
        <v>2</v>
      </c>
      <c r="BY173" s="531" t="str">
        <f t="shared" si="307"/>
        <v>Time to treatment discontinuation</v>
      </c>
      <c r="BZ173" s="530">
        <f t="shared" si="283"/>
        <v>0</v>
      </c>
      <c r="CA173" s="531">
        <f t="shared" si="305"/>
        <v>0</v>
      </c>
      <c r="CB173" s="530">
        <f t="shared" si="284"/>
        <v>2</v>
      </c>
      <c r="CC173" s="530">
        <f t="shared" si="285"/>
        <v>1</v>
      </c>
      <c r="CD173" s="530">
        <f t="shared" si="286"/>
        <v>7</v>
      </c>
      <c r="CE173" s="1295">
        <f t="shared" si="287"/>
        <v>2</v>
      </c>
      <c r="CF173" s="1301">
        <f t="shared" si="288"/>
        <v>2</v>
      </c>
      <c r="CG173" s="530" t="str">
        <f t="shared" si="289"/>
        <v>Log-logistic</v>
      </c>
      <c r="CH173" s="61">
        <f t="shared" si="290"/>
        <v>0</v>
      </c>
      <c r="CI173" s="61">
        <f t="shared" si="291"/>
        <v>0</v>
      </c>
      <c r="CJ173" s="61">
        <f t="shared" si="292"/>
        <v>0</v>
      </c>
      <c r="DA173" s="1024"/>
      <c r="DB173" s="1024"/>
      <c r="DC173" s="1024"/>
      <c r="DD173" s="1024"/>
      <c r="DE173" s="1024"/>
      <c r="DF173" s="1024"/>
      <c r="DG173" s="1024"/>
      <c r="DK173" s="58" t="str" cm="1">
        <f t="array" ref="DK173">IF(AND($BT173=4,$BX173=4,$BU173=999),$DB$36,_xlfn.IFNA(INDEX(DB$13:DB$70,MATCH(1,($BR173=$CV$13:$CV$70)*($BT173=$CX$13:$CX$70)*($CE173=$CY$13:$CY$70)*($BY173=$DA$13:$DA$70)*($CD173=$DH$13:$DH$70),0)),""))</f>
        <v>Log-logistic</v>
      </c>
      <c r="DL173" s="58" t="str" cm="1">
        <f t="array" ref="DL173">IF(AND($BT173=4,$BX173=4,$BU173=999),$DC$36,_xlfn.IFNA(INDEX(CHOOSE(DP173,DB$13:DB$70,DC$13:DC$70,DD$13:DD$70,DE$13:DE$70),MATCH(1,($BR173=$CV$13:$CV$70)*($BT173=$CX$13:$CX$70)*($CE173=$CY$13:$CY$70)*($BY173=$DA$13:$DA$70)*($CD173=$DH$13:$DH$70),0)),""))</f>
        <v>Log-logistic</v>
      </c>
      <c r="DM173" s="740" cm="1">
        <f t="array" ref="DM173">IF(AND($BT173=4,$BX173=4,$BU173=999),$DD$36,_xlfn.IFNA(INDEX(DD$13:DD$68,MATCH(1,($BR173=$CV$13:$CV$68)*($BT173=$CX$13:$CX$68)*($CE173=$CY$13:$CY$68)*($BY173=$DA$13:$DA$68)*($CD173=$DH$13:$DH$68),0)),""))</f>
        <v>0</v>
      </c>
      <c r="DN173" s="740" cm="1">
        <f t="array" ref="DN173">IF(AND($BT173=4,$BX173=4,$BU173=999),$DD$36,_xlfn.IFNA(INDEX(DE$13:DE$68,MATCH(1,($BR173=$CV$13:$CV$68)*($BT173=$CX$13:$CX$68)*($CE173=$CY$13:$CY$68)*($BY173=$DA$13:$DA$68)*($CD173=$DH$13:$DH$68),0)),""))</f>
        <v>0</v>
      </c>
      <c r="DO173" s="58" t="str" cm="1">
        <f t="array" ref="DO173">IF(AND($BT173=4,$BX173=4,$BU173=999),$DF$36,_xlfn.IFNA(INDEX(DF$13:DF$70,MATCH(1,($BR173=$CV$13:$CV$70)*($BT173=$CX$13:$CX$70)*($CE173=$CY$13:$CY$70)*($BY173=$DA$13:$DA$70)*($CD173=$DH$13:$DH$70),0)),""))</f>
        <v>Base case</v>
      </c>
      <c r="DP173" s="58">
        <f t="shared" si="235"/>
        <v>1</v>
      </c>
      <c r="DW173" s="58" t="s">
        <v>58</v>
      </c>
      <c r="DX173" s="58" t="s">
        <v>554</v>
      </c>
      <c r="DY173" s="58">
        <v>0</v>
      </c>
      <c r="DZ173" s="58">
        <v>0</v>
      </c>
      <c r="EB173" s="58">
        <v>2</v>
      </c>
      <c r="EC173" s="58">
        <v>1</v>
      </c>
      <c r="ED173" s="58">
        <v>7</v>
      </c>
      <c r="EE173" s="58">
        <v>2</v>
      </c>
      <c r="EF173" s="58">
        <v>2</v>
      </c>
      <c r="EI173" s="58" t="s">
        <v>58</v>
      </c>
      <c r="EJ173" s="58" t="s">
        <v>554</v>
      </c>
      <c r="EK173" s="58">
        <v>0</v>
      </c>
      <c r="EL173" s="58">
        <v>0</v>
      </c>
      <c r="EN173" s="58">
        <v>2</v>
      </c>
      <c r="EO173" s="58">
        <v>1</v>
      </c>
      <c r="EP173" s="58">
        <v>7</v>
      </c>
      <c r="EQ173" s="58">
        <v>0</v>
      </c>
      <c r="ER173" s="58">
        <v>2</v>
      </c>
      <c r="EU173" s="58" t="str">
        <f t="shared" si="293"/>
        <v>No</v>
      </c>
      <c r="EV173" s="58" t="str">
        <f t="shared" si="294"/>
        <v>Time to treatment discontinuation</v>
      </c>
      <c r="EW173" s="58">
        <f t="shared" si="295"/>
        <v>0</v>
      </c>
      <c r="EX173" s="58">
        <f t="shared" si="296"/>
        <v>0</v>
      </c>
      <c r="EZ173" s="58">
        <f t="shared" si="297"/>
        <v>2</v>
      </c>
      <c r="FA173" s="58">
        <f t="shared" si="298"/>
        <v>1</v>
      </c>
      <c r="FB173" s="58">
        <f>IF(i_eff_inputs_based_on_num=2,ED173,(INDEX(Lists!$L$51:$L$85,MATCH(O173,Lists!$K$51:$K$85,0))))</f>
        <v>7</v>
      </c>
      <c r="FC173" s="58">
        <f>IF(i_eff_inputs_based_on_num=2,EE173,(INDEX(Lists!$L$51:$L$85,MATCH(P173,Lists!$K$51:$K$85,0))))</f>
        <v>2</v>
      </c>
      <c r="FD173" s="58">
        <f>IF(i_eff_inputs_based_on_num=2,EF173,(INDEX(Lists!$L$51:$L$85,MATCH(Q173,Lists!$K$51:$K$85,0))))</f>
        <v>2</v>
      </c>
      <c r="FG173" s="58" t="str">
        <f t="shared" si="299"/>
        <v>No</v>
      </c>
      <c r="FH173" s="58" t="str">
        <f t="shared" si="300"/>
        <v>Time to treatment discontinuation</v>
      </c>
      <c r="FI173" s="58">
        <f t="shared" si="301"/>
        <v>0</v>
      </c>
      <c r="FJ173" s="58">
        <f t="shared" si="302"/>
        <v>0</v>
      </c>
      <c r="FL173" s="58">
        <f t="shared" si="303"/>
        <v>2</v>
      </c>
      <c r="FM173" s="58">
        <f t="shared" si="304"/>
        <v>1</v>
      </c>
      <c r="FN173" s="58">
        <f>IF(i_eff_inputs_based_on_num=2,EP173,(INDEX(Lists!$L$51:$L$85,MATCH(O173,Lists!$K$51:$K$85,0))))</f>
        <v>7</v>
      </c>
      <c r="FO173" s="58">
        <f>IF(i_eff_inputs_based_on_num=2,EQ173,(INDEX(Lists!$L$51:$L$85,MATCH(P173,Lists!$K$51:$K$85,0))))</f>
        <v>0</v>
      </c>
      <c r="FP173" s="58">
        <f>IF(i_eff_inputs_based_on_num=2,ER173,(INDEX(Lists!$L$51:$L$85,MATCH(Q173,Lists!$K$51:$K$85,0))))</f>
        <v>2</v>
      </c>
      <c r="FT173" s="58">
        <f t="shared" si="236"/>
        <v>0</v>
      </c>
      <c r="FW173" s="58">
        <f>IF(i_baseline_risk_from=2,'Effectiveness settings'!EW173,'Effectiveness settings'!FI173)</f>
        <v>0</v>
      </c>
      <c r="FX173" s="58">
        <f t="shared" si="237"/>
        <v>0</v>
      </c>
      <c r="FY173" s="58">
        <f t="shared" si="238"/>
        <v>0</v>
      </c>
      <c r="FZ173" s="58">
        <f t="shared" si="239"/>
        <v>0</v>
      </c>
      <c r="GA173" s="58">
        <f t="shared" si="240"/>
        <v>0</v>
      </c>
      <c r="GB173" s="58">
        <f t="shared" si="241"/>
        <v>0</v>
      </c>
      <c r="GC173" s="58">
        <f t="shared" si="242"/>
        <v>0</v>
      </c>
      <c r="GD173" s="58">
        <f t="shared" si="243"/>
        <v>0</v>
      </c>
      <c r="GE173" s="58">
        <f>IF(AND(dd_CheckMate214_TTD="Yes",'Effectiveness settings'!BU173=2,'Effectiveness settings'!BX173=2),"Apply HR to",GD173)</f>
        <v>0</v>
      </c>
      <c r="GF173" s="58">
        <f t="shared" si="244"/>
        <v>0</v>
      </c>
      <c r="GG173" s="58">
        <f t="shared" si="245"/>
        <v>0</v>
      </c>
      <c r="GH173" s="58">
        <f t="shared" si="246"/>
        <v>0</v>
      </c>
      <c r="GI173" s="58">
        <f t="shared" si="306"/>
        <v>0</v>
      </c>
      <c r="GK173" s="58">
        <f>IF(i_baseline_risk_from=2,'Effectiveness settings'!FA173,'Effectiveness settings'!FM173)</f>
        <v>1</v>
      </c>
      <c r="GL173" s="58">
        <f>IF(i_baseline_risk_from=2,'Effectiveness settings'!FB173,'Effectiveness settings'!FN173)</f>
        <v>7</v>
      </c>
      <c r="GM173" s="58">
        <f>IF(i_baseline_risk_from=2,'Effectiveness settings'!FC173,'Effectiveness settings'!FO173)</f>
        <v>2</v>
      </c>
      <c r="GN173" s="58">
        <f>IF(i_baseline_risk_from=2,'Effectiveness settings'!FD173,'Effectiveness settings'!FP173)</f>
        <v>2</v>
      </c>
      <c r="GQ173" s="58">
        <f t="shared" si="247"/>
        <v>7</v>
      </c>
      <c r="GR173" s="58">
        <f t="shared" si="248"/>
        <v>7</v>
      </c>
      <c r="GS173" s="58">
        <f t="shared" si="249"/>
        <v>7</v>
      </c>
      <c r="GT173" s="58">
        <f t="shared" si="250"/>
        <v>7</v>
      </c>
      <c r="GU173" s="58">
        <f>IF(AND(dd_CheckMate214_TTD="Yes",'Effectiveness settings'!BU173=2,'Effectiveness settings'!BX173=2),2,GT173)</f>
        <v>7</v>
      </c>
      <c r="GV173" s="58">
        <f t="shared" si="251"/>
        <v>7</v>
      </c>
      <c r="GW173" s="58">
        <f t="shared" si="252"/>
        <v>7</v>
      </c>
      <c r="GY173" s="58">
        <f>IF(AND(dd_CheckMate214_TTD="Yes",'Effectiveness settings'!BU173=2,'Effectiveness settings'!BX173=2),1,GN173)</f>
        <v>2</v>
      </c>
      <c r="GZ173" s="58">
        <f t="shared" si="253"/>
        <v>2</v>
      </c>
      <c r="HB173" s="58">
        <f t="shared" si="254"/>
        <v>2</v>
      </c>
      <c r="HD173" s="58">
        <f t="shared" si="227"/>
        <v>2</v>
      </c>
      <c r="HE173" s="58">
        <f t="shared" si="228"/>
        <v>1</v>
      </c>
      <c r="HF173" s="58">
        <f t="shared" si="229"/>
        <v>7</v>
      </c>
      <c r="HG173" s="58">
        <f t="shared" si="230"/>
        <v>2</v>
      </c>
      <c r="HH173" s="58">
        <f t="shared" si="231"/>
        <v>2</v>
      </c>
    </row>
    <row r="174" spans="1:216" ht="15.75" x14ac:dyDescent="0.25">
      <c r="D174" s="58" t="str">
        <v>lenvatinib_plus_everolimus</v>
      </c>
      <c r="I174" s="64" t="s">
        <v>58</v>
      </c>
      <c r="J174" s="519" t="s">
        <v>554</v>
      </c>
      <c r="K174" s="524"/>
      <c r="L174" s="519"/>
      <c r="M174" s="516" t="s">
        <v>559</v>
      </c>
      <c r="N174" s="64" t="s">
        <v>546</v>
      </c>
      <c r="O174" s="64" t="s">
        <v>117</v>
      </c>
      <c r="P174" s="64" t="s">
        <v>547</v>
      </c>
      <c r="Q174" s="519" t="s">
        <v>554</v>
      </c>
      <c r="R174" s="516" t="s">
        <v>548</v>
      </c>
      <c r="S174" s="497"/>
      <c r="T174" s="497"/>
      <c r="U174" s="497"/>
      <c r="Y174" s="517"/>
      <c r="AA174" s="517"/>
      <c r="AF174" s="517"/>
      <c r="AM174" s="517"/>
      <c r="AO174" s="517"/>
      <c r="AT174" s="517"/>
      <c r="AV174" s="511"/>
      <c r="AW174" s="511"/>
      <c r="AX174" s="511"/>
      <c r="BA174" s="517"/>
      <c r="BC174" s="517"/>
      <c r="BH174" s="517"/>
      <c r="BJ174" s="511"/>
      <c r="BK174" s="511"/>
      <c r="BL174" s="511"/>
      <c r="BQ174" s="58">
        <f t="shared" si="234"/>
        <v>108</v>
      </c>
      <c r="BR174" s="17">
        <v>2</v>
      </c>
      <c r="BS174" s="17" t="s">
        <v>559</v>
      </c>
      <c r="BT174" s="17">
        <v>1</v>
      </c>
      <c r="BU174" s="17">
        <v>9</v>
      </c>
      <c r="BV174" s="17" t="str">
        <f t="shared" si="281"/>
        <v>lenvatinib_plus_everolimus</v>
      </c>
      <c r="BW174" s="1006" t="str" cm="1">
        <f t="array" ref="BW174">IF(I174="No",I174,INDEX(List_incl_anal_1L_fav,IF(BU174=999,35,BU174+1)))</f>
        <v>No</v>
      </c>
      <c r="BX174" s="61">
        <f t="shared" si="282"/>
        <v>2</v>
      </c>
      <c r="BY174" s="531" t="str">
        <f t="shared" si="307"/>
        <v>Time to treatment discontinuation</v>
      </c>
      <c r="BZ174" s="530">
        <f t="shared" si="283"/>
        <v>0</v>
      </c>
      <c r="CA174" s="531">
        <f t="shared" si="305"/>
        <v>0</v>
      </c>
      <c r="CB174" s="530">
        <f t="shared" si="284"/>
        <v>2</v>
      </c>
      <c r="CC174" s="530">
        <f t="shared" si="285"/>
        <v>1</v>
      </c>
      <c r="CD174" s="530">
        <f t="shared" si="286"/>
        <v>7</v>
      </c>
      <c r="CE174" s="1295">
        <f t="shared" si="287"/>
        <v>2</v>
      </c>
      <c r="CF174" s="1301">
        <f t="shared" si="288"/>
        <v>2</v>
      </c>
      <c r="CG174" s="530" t="str">
        <f t="shared" si="289"/>
        <v>Log-logistic</v>
      </c>
      <c r="CH174" s="61">
        <f t="shared" si="290"/>
        <v>0</v>
      </c>
      <c r="CI174" s="61">
        <f t="shared" si="291"/>
        <v>0</v>
      </c>
      <c r="CJ174" s="61">
        <f t="shared" si="292"/>
        <v>0</v>
      </c>
      <c r="DA174" s="1024"/>
      <c r="DB174" s="1024"/>
      <c r="DC174" s="1024"/>
      <c r="DD174" s="1024"/>
      <c r="DE174" s="1024"/>
      <c r="DF174" s="1024"/>
      <c r="DG174" s="1024"/>
      <c r="DK174" s="58" t="str" cm="1">
        <f t="array" ref="DK174">IF(AND($BT174=4,$BX174=4,$BU174=999),$DB$36,_xlfn.IFNA(INDEX(DB$13:DB$70,MATCH(1,($BR174=$CV$13:$CV$70)*($BT174=$CX$13:$CX$70)*($CE174=$CY$13:$CY$70)*($BY174=$DA$13:$DA$70)*($CD174=$DH$13:$DH$70),0)),""))</f>
        <v>Log-logistic</v>
      </c>
      <c r="DL174" s="58" t="str" cm="1">
        <f t="array" ref="DL174">IF(AND($BT174=4,$BX174=4,$BU174=999),$DC$36,_xlfn.IFNA(INDEX(CHOOSE(DP174,DB$13:DB$70,DC$13:DC$70,DD$13:DD$70,DE$13:DE$70),MATCH(1,($BR174=$CV$13:$CV$70)*($BT174=$CX$13:$CX$70)*($CE174=$CY$13:$CY$70)*($BY174=$DA$13:$DA$70)*($CD174=$DH$13:$DH$70),0)),""))</f>
        <v>Log-logistic</v>
      </c>
      <c r="DM174" s="740" cm="1">
        <f t="array" ref="DM174">IF(AND($BT174=4,$BX174=4,$BU174=999),$DD$36,_xlfn.IFNA(INDEX(DD$13:DD$68,MATCH(1,($BR174=$CV$13:$CV$68)*($BT174=$CX$13:$CX$68)*($CE174=$CY$13:$CY$68)*($BY174=$DA$13:$DA$68)*($CD174=$DH$13:$DH$68),0)),""))</f>
        <v>0</v>
      </c>
      <c r="DN174" s="740" cm="1">
        <f t="array" ref="DN174">IF(AND($BT174=4,$BX174=4,$BU174=999),$DD$36,_xlfn.IFNA(INDEX(DE$13:DE$68,MATCH(1,($BR174=$CV$13:$CV$68)*($BT174=$CX$13:$CX$68)*($CE174=$CY$13:$CY$68)*($BY174=$DA$13:$DA$68)*($CD174=$DH$13:$DH$68),0)),""))</f>
        <v>0</v>
      </c>
      <c r="DO174" s="58" t="str" cm="1">
        <f t="array" ref="DO174">IF(AND($BT174=4,$BX174=4,$BU174=999),$DF$36,_xlfn.IFNA(INDEX(DF$13:DF$70,MATCH(1,($BR174=$CV$13:$CV$70)*($BT174=$CX$13:$CX$70)*($CE174=$CY$13:$CY$70)*($BY174=$DA$13:$DA$70)*($CD174=$DH$13:$DH$70),0)),""))</f>
        <v>Base case</v>
      </c>
      <c r="DP174" s="58">
        <f t="shared" si="235"/>
        <v>1</v>
      </c>
      <c r="DW174" s="58" t="s">
        <v>58</v>
      </c>
      <c r="DX174" s="58" t="s">
        <v>554</v>
      </c>
      <c r="DY174" s="58">
        <v>0</v>
      </c>
      <c r="DZ174" s="58">
        <v>0</v>
      </c>
      <c r="EB174" s="58">
        <v>2</v>
      </c>
      <c r="EC174" s="58">
        <v>1</v>
      </c>
      <c r="ED174" s="58">
        <v>7</v>
      </c>
      <c r="EE174" s="58">
        <v>2</v>
      </c>
      <c r="EF174" s="58">
        <v>2</v>
      </c>
      <c r="EI174" s="58" t="s">
        <v>58</v>
      </c>
      <c r="EJ174" s="58" t="s">
        <v>554</v>
      </c>
      <c r="EK174" s="58">
        <v>0</v>
      </c>
      <c r="EL174" s="58">
        <v>0</v>
      </c>
      <c r="EN174" s="58">
        <v>2</v>
      </c>
      <c r="EO174" s="58">
        <v>1</v>
      </c>
      <c r="EP174" s="58">
        <v>7</v>
      </c>
      <c r="EQ174" s="58">
        <v>0</v>
      </c>
      <c r="ER174" s="58">
        <v>2</v>
      </c>
      <c r="EU174" s="58" t="str">
        <f t="shared" si="293"/>
        <v>No</v>
      </c>
      <c r="EV174" s="58" t="str">
        <f t="shared" si="294"/>
        <v>Time to treatment discontinuation</v>
      </c>
      <c r="EW174" s="58">
        <f t="shared" si="295"/>
        <v>0</v>
      </c>
      <c r="EX174" s="58">
        <f t="shared" si="296"/>
        <v>0</v>
      </c>
      <c r="EZ174" s="58">
        <f t="shared" si="297"/>
        <v>2</v>
      </c>
      <c r="FA174" s="58">
        <f t="shared" si="298"/>
        <v>1</v>
      </c>
      <c r="FB174" s="58">
        <f>IF(i_eff_inputs_based_on_num=2,ED174,(INDEX(Lists!$L$51:$L$85,MATCH(O174,Lists!$K$51:$K$85,0))))</f>
        <v>7</v>
      </c>
      <c r="FC174" s="58">
        <f>IF(i_eff_inputs_based_on_num=2,EE174,(INDEX(Lists!$L$51:$L$85,MATCH(P174,Lists!$K$51:$K$85,0))))</f>
        <v>2</v>
      </c>
      <c r="FD174" s="58">
        <f>IF(i_eff_inputs_based_on_num=2,EF174,(INDEX(Lists!$L$51:$L$85,MATCH(Q174,Lists!$K$51:$K$85,0))))</f>
        <v>2</v>
      </c>
      <c r="FG174" s="58" t="str">
        <f t="shared" si="299"/>
        <v>No</v>
      </c>
      <c r="FH174" s="58" t="str">
        <f t="shared" si="300"/>
        <v>Time to treatment discontinuation</v>
      </c>
      <c r="FI174" s="58">
        <f t="shared" si="301"/>
        <v>0</v>
      </c>
      <c r="FJ174" s="58">
        <f t="shared" si="302"/>
        <v>0</v>
      </c>
      <c r="FL174" s="58">
        <f t="shared" si="303"/>
        <v>2</v>
      </c>
      <c r="FM174" s="58">
        <f t="shared" si="304"/>
        <v>1</v>
      </c>
      <c r="FN174" s="58">
        <f>IF(i_eff_inputs_based_on_num=2,EP174,(INDEX(Lists!$L$51:$L$85,MATCH(O174,Lists!$K$51:$K$85,0))))</f>
        <v>7</v>
      </c>
      <c r="FO174" s="58">
        <f>IF(i_eff_inputs_based_on_num=2,EQ174,(INDEX(Lists!$L$51:$L$85,MATCH(P174,Lists!$K$51:$K$85,0))))</f>
        <v>0</v>
      </c>
      <c r="FP174" s="58">
        <f>IF(i_eff_inputs_based_on_num=2,ER174,(INDEX(Lists!$L$51:$L$85,MATCH(Q174,Lists!$K$51:$K$85,0))))</f>
        <v>2</v>
      </c>
      <c r="FT174" s="58">
        <f t="shared" si="236"/>
        <v>0</v>
      </c>
      <c r="FW174" s="58">
        <f>IF(i_baseline_risk_from=2,'Effectiveness settings'!EW174,'Effectiveness settings'!FI174)</f>
        <v>0</v>
      </c>
      <c r="FX174" s="58">
        <f t="shared" si="237"/>
        <v>0</v>
      </c>
      <c r="FY174" s="58">
        <f t="shared" si="238"/>
        <v>0</v>
      </c>
      <c r="FZ174" s="58">
        <f t="shared" si="239"/>
        <v>0</v>
      </c>
      <c r="GA174" s="58">
        <f t="shared" si="240"/>
        <v>0</v>
      </c>
      <c r="GB174" s="58">
        <f t="shared" si="241"/>
        <v>0</v>
      </c>
      <c r="GC174" s="58">
        <f t="shared" si="242"/>
        <v>0</v>
      </c>
      <c r="GD174" s="58">
        <f t="shared" si="243"/>
        <v>0</v>
      </c>
      <c r="GE174" s="58">
        <f>IF(AND(dd_CheckMate214_TTD="Yes",'Effectiveness settings'!BU174=2,'Effectiveness settings'!BX174=2),"Apply HR to",GD174)</f>
        <v>0</v>
      </c>
      <c r="GF174" s="58">
        <f t="shared" si="244"/>
        <v>0</v>
      </c>
      <c r="GG174" s="58">
        <f t="shared" si="245"/>
        <v>0</v>
      </c>
      <c r="GH174" s="58">
        <f t="shared" si="246"/>
        <v>0</v>
      </c>
      <c r="GI174" s="58">
        <f t="shared" si="306"/>
        <v>0</v>
      </c>
      <c r="GK174" s="58">
        <f>IF(i_baseline_risk_from=2,'Effectiveness settings'!FA174,'Effectiveness settings'!FM174)</f>
        <v>1</v>
      </c>
      <c r="GL174" s="58">
        <f>IF(i_baseline_risk_from=2,'Effectiveness settings'!FB174,'Effectiveness settings'!FN174)</f>
        <v>7</v>
      </c>
      <c r="GM174" s="58">
        <f>IF(i_baseline_risk_from=2,'Effectiveness settings'!FC174,'Effectiveness settings'!FO174)</f>
        <v>2</v>
      </c>
      <c r="GN174" s="58">
        <f>IF(i_baseline_risk_from=2,'Effectiveness settings'!FD174,'Effectiveness settings'!FP174)</f>
        <v>2</v>
      </c>
      <c r="GQ174" s="58">
        <f t="shared" si="247"/>
        <v>7</v>
      </c>
      <c r="GR174" s="58">
        <f t="shared" si="248"/>
        <v>7</v>
      </c>
      <c r="GS174" s="58">
        <f t="shared" si="249"/>
        <v>7</v>
      </c>
      <c r="GT174" s="58">
        <f t="shared" si="250"/>
        <v>7</v>
      </c>
      <c r="GU174" s="58">
        <f>IF(AND(dd_CheckMate214_TTD="Yes",'Effectiveness settings'!BU174=2,'Effectiveness settings'!BX174=2),2,GT174)</f>
        <v>7</v>
      </c>
      <c r="GV174" s="58">
        <f t="shared" si="251"/>
        <v>7</v>
      </c>
      <c r="GW174" s="58">
        <f t="shared" si="252"/>
        <v>7</v>
      </c>
      <c r="GY174" s="58">
        <f>IF(AND(dd_CheckMate214_TTD="Yes",'Effectiveness settings'!BU174=2,'Effectiveness settings'!BX174=2),1,GN174)</f>
        <v>2</v>
      </c>
      <c r="GZ174" s="58">
        <f t="shared" si="253"/>
        <v>2</v>
      </c>
      <c r="HB174" s="58">
        <f t="shared" si="254"/>
        <v>2</v>
      </c>
      <c r="HD174" s="58">
        <f t="shared" si="227"/>
        <v>2</v>
      </c>
      <c r="HE174" s="58">
        <f t="shared" si="228"/>
        <v>1</v>
      </c>
      <c r="HF174" s="58">
        <f t="shared" si="229"/>
        <v>7</v>
      </c>
      <c r="HG174" s="58">
        <f t="shared" si="230"/>
        <v>2</v>
      </c>
      <c r="HH174" s="58">
        <f t="shared" si="231"/>
        <v>2</v>
      </c>
    </row>
    <row r="175" spans="1:216" ht="15.75" x14ac:dyDescent="0.25">
      <c r="D175" s="58" t="str">
        <v>everolimus</v>
      </c>
      <c r="I175" s="64" t="s">
        <v>58</v>
      </c>
      <c r="J175" s="519" t="s">
        <v>554</v>
      </c>
      <c r="K175" s="524"/>
      <c r="L175" s="519"/>
      <c r="M175" s="516" t="s">
        <v>559</v>
      </c>
      <c r="N175" s="64" t="s">
        <v>546</v>
      </c>
      <c r="O175" s="64" t="s">
        <v>117</v>
      </c>
      <c r="P175" s="64" t="s">
        <v>547</v>
      </c>
      <c r="Q175" s="519" t="s">
        <v>554</v>
      </c>
      <c r="R175" s="516" t="s">
        <v>548</v>
      </c>
      <c r="S175" s="497"/>
      <c r="T175" s="497"/>
      <c r="U175" s="497"/>
      <c r="Y175" s="517"/>
      <c r="AA175" s="517"/>
      <c r="AF175" s="517"/>
      <c r="AM175" s="517"/>
      <c r="AO175" s="517"/>
      <c r="AT175" s="517"/>
      <c r="AV175" s="511"/>
      <c r="AW175" s="511"/>
      <c r="AX175" s="511"/>
      <c r="BA175" s="517"/>
      <c r="BC175" s="517"/>
      <c r="BH175" s="517"/>
      <c r="BJ175" s="511"/>
      <c r="BK175" s="511"/>
      <c r="BL175" s="511"/>
      <c r="BQ175" s="58">
        <f t="shared" si="234"/>
        <v>109</v>
      </c>
      <c r="BR175" s="17">
        <v>2</v>
      </c>
      <c r="BS175" s="17" t="s">
        <v>559</v>
      </c>
      <c r="BT175" s="17">
        <v>1</v>
      </c>
      <c r="BU175" s="17">
        <v>10</v>
      </c>
      <c r="BV175" s="17" t="str">
        <f t="shared" si="281"/>
        <v>everolimus</v>
      </c>
      <c r="BW175" s="1006" t="str" cm="1">
        <f t="array" ref="BW175">IF(I175="No",I175,INDEX(List_incl_anal_1L_fav,IF(BU175=999,35,BU175+1)))</f>
        <v>No</v>
      </c>
      <c r="BX175" s="61">
        <f t="shared" si="282"/>
        <v>2</v>
      </c>
      <c r="BY175" s="531" t="str">
        <f t="shared" si="307"/>
        <v>Time to treatment discontinuation</v>
      </c>
      <c r="BZ175" s="530">
        <f t="shared" si="283"/>
        <v>0</v>
      </c>
      <c r="CA175" s="531">
        <f t="shared" si="305"/>
        <v>0</v>
      </c>
      <c r="CB175" s="530">
        <f t="shared" si="284"/>
        <v>2</v>
      </c>
      <c r="CC175" s="530">
        <f t="shared" si="285"/>
        <v>1</v>
      </c>
      <c r="CD175" s="530">
        <f t="shared" si="286"/>
        <v>7</v>
      </c>
      <c r="CE175" s="1295">
        <f t="shared" si="287"/>
        <v>2</v>
      </c>
      <c r="CF175" s="1301">
        <f t="shared" si="288"/>
        <v>2</v>
      </c>
      <c r="CG175" s="530" t="str">
        <f t="shared" si="289"/>
        <v>Log-logistic</v>
      </c>
      <c r="CH175" s="61">
        <f t="shared" si="290"/>
        <v>0</v>
      </c>
      <c r="CI175" s="61">
        <f t="shared" si="291"/>
        <v>0</v>
      </c>
      <c r="CJ175" s="61">
        <f t="shared" si="292"/>
        <v>0</v>
      </c>
      <c r="DA175" s="1024"/>
      <c r="DB175" s="1024"/>
      <c r="DC175" s="1024"/>
      <c r="DD175" s="1024"/>
      <c r="DE175" s="1024"/>
      <c r="DF175" s="1024"/>
      <c r="DG175" s="1024"/>
      <c r="DK175" s="58" t="str" cm="1">
        <f t="array" ref="DK175">IF(AND($BT175=4,$BX175=4,$BU175=999),$DB$36,_xlfn.IFNA(INDEX(DB$13:DB$70,MATCH(1,($BR175=$CV$13:$CV$70)*($BT175=$CX$13:$CX$70)*($CE175=$CY$13:$CY$70)*($BY175=$DA$13:$DA$70)*($CD175=$DH$13:$DH$70),0)),""))</f>
        <v>Log-logistic</v>
      </c>
      <c r="DL175" s="58" t="str" cm="1">
        <f t="array" ref="DL175">IF(AND($BT175=4,$BX175=4,$BU175=999),$DC$36,_xlfn.IFNA(INDEX(CHOOSE(DP175,DB$13:DB$70,DC$13:DC$70,DD$13:DD$70,DE$13:DE$70),MATCH(1,($BR175=$CV$13:$CV$70)*($BT175=$CX$13:$CX$70)*($CE175=$CY$13:$CY$70)*($BY175=$DA$13:$DA$70)*($CD175=$DH$13:$DH$70),0)),""))</f>
        <v>Log-logistic</v>
      </c>
      <c r="DM175" s="740" cm="1">
        <f t="array" ref="DM175">IF(AND($BT175=4,$BX175=4,$BU175=999),$DD$36,_xlfn.IFNA(INDEX(DD$13:DD$68,MATCH(1,($BR175=$CV$13:$CV$68)*($BT175=$CX$13:$CX$68)*($CE175=$CY$13:$CY$68)*($BY175=$DA$13:$DA$68)*($CD175=$DH$13:$DH$68),0)),""))</f>
        <v>0</v>
      </c>
      <c r="DN175" s="740" cm="1">
        <f t="array" ref="DN175">IF(AND($BT175=4,$BX175=4,$BU175=999),$DD$36,_xlfn.IFNA(INDEX(DE$13:DE$68,MATCH(1,($BR175=$CV$13:$CV$68)*($BT175=$CX$13:$CX$68)*($CE175=$CY$13:$CY$68)*($BY175=$DA$13:$DA$68)*($CD175=$DH$13:$DH$68),0)),""))</f>
        <v>0</v>
      </c>
      <c r="DO175" s="58" t="str" cm="1">
        <f t="array" ref="DO175">IF(AND($BT175=4,$BX175=4,$BU175=999),$DF$36,_xlfn.IFNA(INDEX(DF$13:DF$70,MATCH(1,($BR175=$CV$13:$CV$70)*($BT175=$CX$13:$CX$70)*($CE175=$CY$13:$CY$70)*($BY175=$DA$13:$DA$70)*($CD175=$DH$13:$DH$70),0)),""))</f>
        <v>Base case</v>
      </c>
      <c r="DP175" s="58">
        <f t="shared" si="235"/>
        <v>1</v>
      </c>
      <c r="DW175" s="58" t="s">
        <v>58</v>
      </c>
      <c r="DX175" s="58" t="s">
        <v>554</v>
      </c>
      <c r="DY175" s="58">
        <v>0</v>
      </c>
      <c r="DZ175" s="58">
        <v>0</v>
      </c>
      <c r="EB175" s="58">
        <v>2</v>
      </c>
      <c r="EC175" s="58">
        <v>1</v>
      </c>
      <c r="ED175" s="58">
        <v>7</v>
      </c>
      <c r="EE175" s="58">
        <v>2</v>
      </c>
      <c r="EF175" s="58">
        <v>2</v>
      </c>
      <c r="EI175" s="58" t="s">
        <v>58</v>
      </c>
      <c r="EJ175" s="58" t="s">
        <v>554</v>
      </c>
      <c r="EK175" s="58">
        <v>0</v>
      </c>
      <c r="EL175" s="58">
        <v>0</v>
      </c>
      <c r="EN175" s="58">
        <v>2</v>
      </c>
      <c r="EO175" s="58">
        <v>1</v>
      </c>
      <c r="EP175" s="58">
        <v>7</v>
      </c>
      <c r="EQ175" s="58">
        <v>0</v>
      </c>
      <c r="ER175" s="58">
        <v>2</v>
      </c>
      <c r="EU175" s="58" t="str">
        <f t="shared" si="293"/>
        <v>No</v>
      </c>
      <c r="EV175" s="58" t="str">
        <f t="shared" si="294"/>
        <v>Time to treatment discontinuation</v>
      </c>
      <c r="EW175" s="58">
        <f t="shared" si="295"/>
        <v>0</v>
      </c>
      <c r="EX175" s="58">
        <f t="shared" si="296"/>
        <v>0</v>
      </c>
      <c r="EZ175" s="58">
        <f t="shared" si="297"/>
        <v>2</v>
      </c>
      <c r="FA175" s="58">
        <f t="shared" si="298"/>
        <v>1</v>
      </c>
      <c r="FB175" s="58">
        <f>IF(i_eff_inputs_based_on_num=2,ED175,(INDEX(Lists!$L$51:$L$85,MATCH(O175,Lists!$K$51:$K$85,0))))</f>
        <v>7</v>
      </c>
      <c r="FC175" s="58">
        <f>IF(i_eff_inputs_based_on_num=2,EE175,(INDEX(Lists!$L$51:$L$85,MATCH(P175,Lists!$K$51:$K$85,0))))</f>
        <v>2</v>
      </c>
      <c r="FD175" s="58">
        <f>IF(i_eff_inputs_based_on_num=2,EF175,(INDEX(Lists!$L$51:$L$85,MATCH(Q175,Lists!$K$51:$K$85,0))))</f>
        <v>2</v>
      </c>
      <c r="FG175" s="58" t="str">
        <f t="shared" si="299"/>
        <v>No</v>
      </c>
      <c r="FH175" s="58" t="str">
        <f t="shared" si="300"/>
        <v>Time to treatment discontinuation</v>
      </c>
      <c r="FI175" s="58">
        <f t="shared" si="301"/>
        <v>0</v>
      </c>
      <c r="FJ175" s="58">
        <f t="shared" si="302"/>
        <v>0</v>
      </c>
      <c r="FL175" s="58">
        <f t="shared" si="303"/>
        <v>2</v>
      </c>
      <c r="FM175" s="58">
        <f t="shared" si="304"/>
        <v>1</v>
      </c>
      <c r="FN175" s="58">
        <f>IF(i_eff_inputs_based_on_num=2,EP175,(INDEX(Lists!$L$51:$L$85,MATCH(O175,Lists!$K$51:$K$85,0))))</f>
        <v>7</v>
      </c>
      <c r="FO175" s="58">
        <f>IF(i_eff_inputs_based_on_num=2,EQ175,(INDEX(Lists!$L$51:$L$85,MATCH(P175,Lists!$K$51:$K$85,0))))</f>
        <v>0</v>
      </c>
      <c r="FP175" s="58">
        <f>IF(i_eff_inputs_based_on_num=2,ER175,(INDEX(Lists!$L$51:$L$85,MATCH(Q175,Lists!$K$51:$K$85,0))))</f>
        <v>2</v>
      </c>
      <c r="FT175" s="58">
        <f t="shared" si="236"/>
        <v>0</v>
      </c>
      <c r="FW175" s="58">
        <f>IF(i_baseline_risk_from=2,'Effectiveness settings'!EW175,'Effectiveness settings'!FI175)</f>
        <v>0</v>
      </c>
      <c r="FX175" s="58">
        <f t="shared" si="237"/>
        <v>0</v>
      </c>
      <c r="FY175" s="58">
        <f t="shared" si="238"/>
        <v>0</v>
      </c>
      <c r="FZ175" s="58">
        <f t="shared" si="239"/>
        <v>0</v>
      </c>
      <c r="GA175" s="58">
        <f t="shared" si="240"/>
        <v>0</v>
      </c>
      <c r="GB175" s="58">
        <f t="shared" si="241"/>
        <v>0</v>
      </c>
      <c r="GC175" s="58">
        <f t="shared" si="242"/>
        <v>0</v>
      </c>
      <c r="GD175" s="58">
        <f t="shared" si="243"/>
        <v>0</v>
      </c>
      <c r="GE175" s="58">
        <f>IF(AND(dd_CheckMate214_TTD="Yes",'Effectiveness settings'!BU175=2,'Effectiveness settings'!BX175=2),"Apply HR to",GD175)</f>
        <v>0</v>
      </c>
      <c r="GF175" s="58">
        <f t="shared" si="244"/>
        <v>0</v>
      </c>
      <c r="GG175" s="58">
        <f t="shared" si="245"/>
        <v>0</v>
      </c>
      <c r="GH175" s="58">
        <f t="shared" si="246"/>
        <v>0</v>
      </c>
      <c r="GI175" s="58">
        <f t="shared" si="306"/>
        <v>0</v>
      </c>
      <c r="GK175" s="58">
        <f>IF(i_baseline_risk_from=2,'Effectiveness settings'!FA175,'Effectiveness settings'!FM175)</f>
        <v>1</v>
      </c>
      <c r="GL175" s="58">
        <f>IF(i_baseline_risk_from=2,'Effectiveness settings'!FB175,'Effectiveness settings'!FN175)</f>
        <v>7</v>
      </c>
      <c r="GM175" s="58">
        <f>IF(i_baseline_risk_from=2,'Effectiveness settings'!FC175,'Effectiveness settings'!FO175)</f>
        <v>2</v>
      </c>
      <c r="GN175" s="58">
        <f>IF(i_baseline_risk_from=2,'Effectiveness settings'!FD175,'Effectiveness settings'!FP175)</f>
        <v>2</v>
      </c>
      <c r="GQ175" s="58">
        <f t="shared" si="247"/>
        <v>7</v>
      </c>
      <c r="GR175" s="58">
        <f t="shared" si="248"/>
        <v>7</v>
      </c>
      <c r="GS175" s="58">
        <f t="shared" si="249"/>
        <v>7</v>
      </c>
      <c r="GT175" s="58">
        <f t="shared" si="250"/>
        <v>7</v>
      </c>
      <c r="GU175" s="58">
        <f>IF(AND(dd_CheckMate214_TTD="Yes",'Effectiveness settings'!BU175=2,'Effectiveness settings'!BX175=2),2,GT175)</f>
        <v>7</v>
      </c>
      <c r="GV175" s="58">
        <f t="shared" si="251"/>
        <v>7</v>
      </c>
      <c r="GW175" s="58">
        <f t="shared" si="252"/>
        <v>7</v>
      </c>
      <c r="GY175" s="58">
        <f>IF(AND(dd_CheckMate214_TTD="Yes",'Effectiveness settings'!BU175=2,'Effectiveness settings'!BX175=2),1,GN175)</f>
        <v>2</v>
      </c>
      <c r="GZ175" s="58">
        <f t="shared" si="253"/>
        <v>2</v>
      </c>
      <c r="HB175" s="58">
        <f t="shared" si="254"/>
        <v>2</v>
      </c>
      <c r="HD175" s="58">
        <f t="shared" si="227"/>
        <v>2</v>
      </c>
      <c r="HE175" s="58">
        <f t="shared" si="228"/>
        <v>1</v>
      </c>
      <c r="HF175" s="58">
        <f t="shared" si="229"/>
        <v>7</v>
      </c>
      <c r="HG175" s="58">
        <f t="shared" si="230"/>
        <v>2</v>
      </c>
      <c r="HH175" s="58">
        <f t="shared" si="231"/>
        <v>2</v>
      </c>
    </row>
    <row r="176" spans="1:216" ht="15.75" x14ac:dyDescent="0.25">
      <c r="D176" s="58" t="str">
        <v>axitinib</v>
      </c>
      <c r="I176" s="64" t="s">
        <v>58</v>
      </c>
      <c r="J176" s="519" t="s">
        <v>554</v>
      </c>
      <c r="K176" s="524"/>
      <c r="L176" s="519"/>
      <c r="M176" s="516" t="s">
        <v>559</v>
      </c>
      <c r="N176" s="64" t="s">
        <v>546</v>
      </c>
      <c r="O176" s="64" t="s">
        <v>117</v>
      </c>
      <c r="P176" s="64" t="s">
        <v>547</v>
      </c>
      <c r="Q176" s="519" t="s">
        <v>554</v>
      </c>
      <c r="R176" s="516" t="s">
        <v>548</v>
      </c>
      <c r="S176" s="497"/>
      <c r="T176" s="497"/>
      <c r="U176" s="497"/>
      <c r="Y176" s="517"/>
      <c r="AA176" s="517"/>
      <c r="AF176" s="517"/>
      <c r="AM176" s="517"/>
      <c r="AO176" s="517"/>
      <c r="AT176" s="517"/>
      <c r="AV176" s="511"/>
      <c r="AW176" s="511"/>
      <c r="AX176" s="511"/>
      <c r="BA176" s="517"/>
      <c r="BC176" s="517"/>
      <c r="BH176" s="517"/>
      <c r="BJ176" s="511"/>
      <c r="BK176" s="511"/>
      <c r="BL176" s="511"/>
      <c r="BQ176" s="58">
        <f t="shared" si="234"/>
        <v>110</v>
      </c>
      <c r="BR176" s="17">
        <v>2</v>
      </c>
      <c r="BS176" s="17" t="s">
        <v>559</v>
      </c>
      <c r="BT176" s="17">
        <v>1</v>
      </c>
      <c r="BU176" s="17">
        <v>11</v>
      </c>
      <c r="BV176" s="17" t="str">
        <f t="shared" si="281"/>
        <v>axitinib</v>
      </c>
      <c r="BW176" s="1006" t="str" cm="1">
        <f t="array" ref="BW176">IF(I176="No",I176,INDEX(List_incl_anal_1L_fav,IF(BU176=999,35,BU176+1)))</f>
        <v>No</v>
      </c>
      <c r="BX176" s="61">
        <f t="shared" si="282"/>
        <v>2</v>
      </c>
      <c r="BY176" s="531" t="str">
        <f t="shared" si="307"/>
        <v>Time to treatment discontinuation</v>
      </c>
      <c r="BZ176" s="530">
        <f t="shared" si="283"/>
        <v>0</v>
      </c>
      <c r="CA176" s="531">
        <f t="shared" si="305"/>
        <v>0</v>
      </c>
      <c r="CB176" s="530">
        <f t="shared" si="284"/>
        <v>2</v>
      </c>
      <c r="CC176" s="530">
        <f t="shared" si="285"/>
        <v>1</v>
      </c>
      <c r="CD176" s="530">
        <f t="shared" si="286"/>
        <v>7</v>
      </c>
      <c r="CE176" s="1295">
        <f t="shared" si="287"/>
        <v>2</v>
      </c>
      <c r="CF176" s="1301">
        <f t="shared" si="288"/>
        <v>2</v>
      </c>
      <c r="CG176" s="530" t="str">
        <f t="shared" si="289"/>
        <v>Log-logistic</v>
      </c>
      <c r="CH176" s="61">
        <f t="shared" si="290"/>
        <v>0</v>
      </c>
      <c r="CI176" s="61">
        <f t="shared" si="291"/>
        <v>0</v>
      </c>
      <c r="CJ176" s="61">
        <f t="shared" si="292"/>
        <v>0</v>
      </c>
      <c r="DA176" s="1024"/>
      <c r="DB176" s="1024"/>
      <c r="DC176" s="1024"/>
      <c r="DD176" s="1024"/>
      <c r="DE176" s="1024"/>
      <c r="DF176" s="1024"/>
      <c r="DG176" s="1024"/>
      <c r="DK176" s="58" t="str" cm="1">
        <f t="array" ref="DK176">IF(AND($BT176=4,$BX176=4,$BU176=999),$DB$36,_xlfn.IFNA(INDEX(DB$13:DB$70,MATCH(1,($BR176=$CV$13:$CV$70)*($BT176=$CX$13:$CX$70)*($CE176=$CY$13:$CY$70)*($BY176=$DA$13:$DA$70)*($CD176=$DH$13:$DH$70),0)),""))</f>
        <v>Log-logistic</v>
      </c>
      <c r="DL176" s="58" t="str" cm="1">
        <f t="array" ref="DL176">IF(AND($BT176=4,$BX176=4,$BU176=999),$DC$36,_xlfn.IFNA(INDEX(CHOOSE(DP176,DB$13:DB$70,DC$13:DC$70,DD$13:DD$70,DE$13:DE$70),MATCH(1,($BR176=$CV$13:$CV$70)*($BT176=$CX$13:$CX$70)*($CE176=$CY$13:$CY$70)*($BY176=$DA$13:$DA$70)*($CD176=$DH$13:$DH$70),0)),""))</f>
        <v>Log-logistic</v>
      </c>
      <c r="DM176" s="740" cm="1">
        <f t="array" ref="DM176">IF(AND($BT176=4,$BX176=4,$BU176=999),$DD$36,_xlfn.IFNA(INDEX(DD$13:DD$68,MATCH(1,($BR176=$CV$13:$CV$68)*($BT176=$CX$13:$CX$68)*($CE176=$CY$13:$CY$68)*($BY176=$DA$13:$DA$68)*($CD176=$DH$13:$DH$68),0)),""))</f>
        <v>0</v>
      </c>
      <c r="DN176" s="740" cm="1">
        <f t="array" ref="DN176">IF(AND($BT176=4,$BX176=4,$BU176=999),$DD$36,_xlfn.IFNA(INDEX(DE$13:DE$68,MATCH(1,($BR176=$CV$13:$CV$68)*($BT176=$CX$13:$CX$68)*($CE176=$CY$13:$CY$68)*($BY176=$DA$13:$DA$68)*($CD176=$DH$13:$DH$68),0)),""))</f>
        <v>0</v>
      </c>
      <c r="DO176" s="58" t="str" cm="1">
        <f t="array" ref="DO176">IF(AND($BT176=4,$BX176=4,$BU176=999),$DF$36,_xlfn.IFNA(INDEX(DF$13:DF$70,MATCH(1,($BR176=$CV$13:$CV$70)*($BT176=$CX$13:$CX$70)*($CE176=$CY$13:$CY$70)*($BY176=$DA$13:$DA$70)*($CD176=$DH$13:$DH$70),0)),""))</f>
        <v>Base case</v>
      </c>
      <c r="DP176" s="58">
        <f t="shared" si="235"/>
        <v>1</v>
      </c>
      <c r="DW176" s="58" t="s">
        <v>58</v>
      </c>
      <c r="DX176" s="58" t="s">
        <v>554</v>
      </c>
      <c r="DY176" s="58">
        <v>0</v>
      </c>
      <c r="DZ176" s="58">
        <v>0</v>
      </c>
      <c r="EB176" s="58">
        <v>2</v>
      </c>
      <c r="EC176" s="58">
        <v>1</v>
      </c>
      <c r="ED176" s="58">
        <v>7</v>
      </c>
      <c r="EE176" s="58">
        <v>2</v>
      </c>
      <c r="EF176" s="58">
        <v>2</v>
      </c>
      <c r="EI176" s="58" t="s">
        <v>58</v>
      </c>
      <c r="EJ176" s="58" t="s">
        <v>554</v>
      </c>
      <c r="EK176" s="58">
        <v>0</v>
      </c>
      <c r="EL176" s="58">
        <v>0</v>
      </c>
      <c r="EN176" s="58">
        <v>2</v>
      </c>
      <c r="EO176" s="58">
        <v>1</v>
      </c>
      <c r="EP176" s="58">
        <v>7</v>
      </c>
      <c r="EQ176" s="58">
        <v>0</v>
      </c>
      <c r="ER176" s="58">
        <v>2</v>
      </c>
      <c r="EU176" s="58" t="str">
        <f t="shared" si="293"/>
        <v>No</v>
      </c>
      <c r="EV176" s="58" t="str">
        <f t="shared" si="294"/>
        <v>Time to treatment discontinuation</v>
      </c>
      <c r="EW176" s="58">
        <f t="shared" si="295"/>
        <v>0</v>
      </c>
      <c r="EX176" s="58">
        <f t="shared" si="296"/>
        <v>0</v>
      </c>
      <c r="EZ176" s="58">
        <f t="shared" si="297"/>
        <v>2</v>
      </c>
      <c r="FA176" s="58">
        <f t="shared" si="298"/>
        <v>1</v>
      </c>
      <c r="FB176" s="58">
        <f>IF(i_eff_inputs_based_on_num=2,ED176,(INDEX(Lists!$L$51:$L$85,MATCH(O176,Lists!$K$51:$K$85,0))))</f>
        <v>7</v>
      </c>
      <c r="FC176" s="58">
        <f>IF(i_eff_inputs_based_on_num=2,EE176,(INDEX(Lists!$L$51:$L$85,MATCH(P176,Lists!$K$51:$K$85,0))))</f>
        <v>2</v>
      </c>
      <c r="FD176" s="58">
        <f>IF(i_eff_inputs_based_on_num=2,EF176,(INDEX(Lists!$L$51:$L$85,MATCH(Q176,Lists!$K$51:$K$85,0))))</f>
        <v>2</v>
      </c>
      <c r="FG176" s="58" t="str">
        <f t="shared" si="299"/>
        <v>No</v>
      </c>
      <c r="FH176" s="58" t="str">
        <f t="shared" si="300"/>
        <v>Time to treatment discontinuation</v>
      </c>
      <c r="FI176" s="58">
        <f t="shared" si="301"/>
        <v>0</v>
      </c>
      <c r="FJ176" s="58">
        <f t="shared" si="302"/>
        <v>0</v>
      </c>
      <c r="FL176" s="58">
        <f t="shared" si="303"/>
        <v>2</v>
      </c>
      <c r="FM176" s="58">
        <f t="shared" si="304"/>
        <v>1</v>
      </c>
      <c r="FN176" s="58">
        <f>IF(i_eff_inputs_based_on_num=2,EP176,(INDEX(Lists!$L$51:$L$85,MATCH(O176,Lists!$K$51:$K$85,0))))</f>
        <v>7</v>
      </c>
      <c r="FO176" s="58">
        <f>IF(i_eff_inputs_based_on_num=2,EQ176,(INDEX(Lists!$L$51:$L$85,MATCH(P176,Lists!$K$51:$K$85,0))))</f>
        <v>0</v>
      </c>
      <c r="FP176" s="58">
        <f>IF(i_eff_inputs_based_on_num=2,ER176,(INDEX(Lists!$L$51:$L$85,MATCH(Q176,Lists!$K$51:$K$85,0))))</f>
        <v>2</v>
      </c>
      <c r="FT176" s="58">
        <f t="shared" si="236"/>
        <v>0</v>
      </c>
      <c r="FW176" s="58">
        <f>IF(i_baseline_risk_from=2,'Effectiveness settings'!EW176,'Effectiveness settings'!FI176)</f>
        <v>0</v>
      </c>
      <c r="FX176" s="58">
        <f t="shared" si="237"/>
        <v>0</v>
      </c>
      <c r="FY176" s="58">
        <f t="shared" si="238"/>
        <v>0</v>
      </c>
      <c r="FZ176" s="58">
        <f t="shared" si="239"/>
        <v>0</v>
      </c>
      <c r="GA176" s="58">
        <f t="shared" si="240"/>
        <v>0</v>
      </c>
      <c r="GB176" s="58">
        <f t="shared" si="241"/>
        <v>0</v>
      </c>
      <c r="GC176" s="58">
        <f t="shared" si="242"/>
        <v>0</v>
      </c>
      <c r="GD176" s="58">
        <f t="shared" si="243"/>
        <v>0</v>
      </c>
      <c r="GE176" s="58">
        <f>IF(AND(dd_CheckMate214_TTD="Yes",'Effectiveness settings'!BU176=2,'Effectiveness settings'!BX176=2),"Apply HR to",GD176)</f>
        <v>0</v>
      </c>
      <c r="GF176" s="58">
        <f t="shared" si="244"/>
        <v>0</v>
      </c>
      <c r="GG176" s="58">
        <f t="shared" si="245"/>
        <v>0</v>
      </c>
      <c r="GH176" s="58">
        <f t="shared" si="246"/>
        <v>0</v>
      </c>
      <c r="GI176" s="58">
        <f t="shared" si="306"/>
        <v>0</v>
      </c>
      <c r="GK176" s="58">
        <f>IF(i_baseline_risk_from=2,'Effectiveness settings'!FA176,'Effectiveness settings'!FM176)</f>
        <v>1</v>
      </c>
      <c r="GL176" s="58">
        <f>IF(i_baseline_risk_from=2,'Effectiveness settings'!FB176,'Effectiveness settings'!FN176)</f>
        <v>7</v>
      </c>
      <c r="GM176" s="58">
        <f>IF(i_baseline_risk_from=2,'Effectiveness settings'!FC176,'Effectiveness settings'!FO176)</f>
        <v>2</v>
      </c>
      <c r="GN176" s="58">
        <f>IF(i_baseline_risk_from=2,'Effectiveness settings'!FD176,'Effectiveness settings'!FP176)</f>
        <v>2</v>
      </c>
      <c r="GQ176" s="58">
        <f t="shared" si="247"/>
        <v>7</v>
      </c>
      <c r="GR176" s="58">
        <f t="shared" si="248"/>
        <v>7</v>
      </c>
      <c r="GS176" s="58">
        <f t="shared" si="249"/>
        <v>7</v>
      </c>
      <c r="GT176" s="58">
        <f t="shared" si="250"/>
        <v>7</v>
      </c>
      <c r="GU176" s="58">
        <f>IF(AND(dd_CheckMate214_TTD="Yes",'Effectiveness settings'!BU176=2,'Effectiveness settings'!BX176=2),2,GT176)</f>
        <v>7</v>
      </c>
      <c r="GV176" s="58">
        <f t="shared" si="251"/>
        <v>7</v>
      </c>
      <c r="GW176" s="58">
        <f t="shared" si="252"/>
        <v>7</v>
      </c>
      <c r="GY176" s="58">
        <f>IF(AND(dd_CheckMate214_TTD="Yes",'Effectiveness settings'!BU176=2,'Effectiveness settings'!BX176=2),1,GN176)</f>
        <v>2</v>
      </c>
      <c r="GZ176" s="58">
        <f t="shared" si="253"/>
        <v>2</v>
      </c>
      <c r="HB176" s="58">
        <f t="shared" si="254"/>
        <v>2</v>
      </c>
      <c r="HD176" s="58">
        <f t="shared" si="227"/>
        <v>2</v>
      </c>
      <c r="HE176" s="58">
        <f t="shared" si="228"/>
        <v>1</v>
      </c>
      <c r="HF176" s="58">
        <f t="shared" si="229"/>
        <v>7</v>
      </c>
      <c r="HG176" s="58">
        <f t="shared" si="230"/>
        <v>2</v>
      </c>
      <c r="HH176" s="58">
        <f t="shared" si="231"/>
        <v>2</v>
      </c>
    </row>
    <row r="177" spans="1:216" ht="15.75" x14ac:dyDescent="0.25">
      <c r="D177" s="58" t="str">
        <v>sorafenib</v>
      </c>
      <c r="I177" s="64" t="s">
        <v>58</v>
      </c>
      <c r="J177" s="519" t="s">
        <v>554</v>
      </c>
      <c r="K177" s="524"/>
      <c r="L177" s="519"/>
      <c r="M177" s="516" t="s">
        <v>559</v>
      </c>
      <c r="N177" s="64" t="s">
        <v>546</v>
      </c>
      <c r="O177" s="64" t="s">
        <v>117</v>
      </c>
      <c r="P177" s="64" t="s">
        <v>547</v>
      </c>
      <c r="Q177" s="519" t="s">
        <v>554</v>
      </c>
      <c r="R177" s="516" t="s">
        <v>548</v>
      </c>
      <c r="S177" s="497"/>
      <c r="T177" s="497"/>
      <c r="U177" s="497"/>
      <c r="Y177" s="517"/>
      <c r="AA177" s="517"/>
      <c r="AF177" s="517"/>
      <c r="AM177" s="517"/>
      <c r="AO177" s="517"/>
      <c r="AT177" s="517"/>
      <c r="AV177" s="511"/>
      <c r="AW177" s="511"/>
      <c r="AX177" s="511"/>
      <c r="BA177" s="517"/>
      <c r="BC177" s="517"/>
      <c r="BH177" s="517"/>
      <c r="BJ177" s="511"/>
      <c r="BK177" s="511"/>
      <c r="BL177" s="511"/>
      <c r="BQ177" s="58">
        <f t="shared" si="234"/>
        <v>111</v>
      </c>
      <c r="BR177" s="17">
        <v>2</v>
      </c>
      <c r="BS177" s="17" t="s">
        <v>559</v>
      </c>
      <c r="BT177" s="17">
        <v>1</v>
      </c>
      <c r="BU177" s="17">
        <v>12</v>
      </c>
      <c r="BV177" s="17" t="str">
        <f t="shared" si="281"/>
        <v>sorafenib</v>
      </c>
      <c r="BW177" s="1006" t="str" cm="1">
        <f t="array" ref="BW177">IF(I177="No",I177,INDEX(List_incl_anal_1L_fav,IF(BU177=999,35,BU177+1)))</f>
        <v>No</v>
      </c>
      <c r="BX177" s="61">
        <f t="shared" si="282"/>
        <v>2</v>
      </c>
      <c r="BY177" s="531" t="str">
        <f t="shared" si="307"/>
        <v>Time to treatment discontinuation</v>
      </c>
      <c r="BZ177" s="530">
        <f t="shared" si="283"/>
        <v>0</v>
      </c>
      <c r="CA177" s="531">
        <f t="shared" si="305"/>
        <v>0</v>
      </c>
      <c r="CB177" s="530">
        <f t="shared" si="284"/>
        <v>2</v>
      </c>
      <c r="CC177" s="530">
        <f t="shared" si="285"/>
        <v>1</v>
      </c>
      <c r="CD177" s="530">
        <f t="shared" si="286"/>
        <v>7</v>
      </c>
      <c r="CE177" s="1295">
        <f t="shared" si="287"/>
        <v>2</v>
      </c>
      <c r="CF177" s="1301">
        <f t="shared" si="288"/>
        <v>2</v>
      </c>
      <c r="CG177" s="530" t="str">
        <f t="shared" si="289"/>
        <v>Log-logistic</v>
      </c>
      <c r="CH177" s="61">
        <f t="shared" si="290"/>
        <v>0</v>
      </c>
      <c r="CI177" s="61">
        <f t="shared" si="291"/>
        <v>0</v>
      </c>
      <c r="CJ177" s="61">
        <f t="shared" si="292"/>
        <v>0</v>
      </c>
      <c r="DA177" s="1024"/>
      <c r="DB177" s="1024"/>
      <c r="DC177" s="1024"/>
      <c r="DD177" s="1024"/>
      <c r="DE177" s="1024"/>
      <c r="DF177" s="1024"/>
      <c r="DG177" s="1024"/>
      <c r="DK177" s="58" t="str" cm="1">
        <f t="array" ref="DK177">IF(AND($BT177=4,$BX177=4,$BU177=999),$DB$36,_xlfn.IFNA(INDEX(DB$13:DB$70,MATCH(1,($BR177=$CV$13:$CV$70)*($BT177=$CX$13:$CX$70)*($CE177=$CY$13:$CY$70)*($BY177=$DA$13:$DA$70)*($CD177=$DH$13:$DH$70),0)),""))</f>
        <v>Log-logistic</v>
      </c>
      <c r="DL177" s="58" t="str" cm="1">
        <f t="array" ref="DL177">IF(AND($BT177=4,$BX177=4,$BU177=999),$DC$36,_xlfn.IFNA(INDEX(CHOOSE(DP177,DB$13:DB$70,DC$13:DC$70,DD$13:DD$70,DE$13:DE$70),MATCH(1,($BR177=$CV$13:$CV$70)*($BT177=$CX$13:$CX$70)*($CE177=$CY$13:$CY$70)*($BY177=$DA$13:$DA$70)*($CD177=$DH$13:$DH$70),0)),""))</f>
        <v>Log-logistic</v>
      </c>
      <c r="DM177" s="740" cm="1">
        <f t="array" ref="DM177">IF(AND($BT177=4,$BX177=4,$BU177=999),$DD$36,_xlfn.IFNA(INDEX(DD$13:DD$68,MATCH(1,($BR177=$CV$13:$CV$68)*($BT177=$CX$13:$CX$68)*($CE177=$CY$13:$CY$68)*($BY177=$DA$13:$DA$68)*($CD177=$DH$13:$DH$68),0)),""))</f>
        <v>0</v>
      </c>
      <c r="DN177" s="740" cm="1">
        <f t="array" ref="DN177">IF(AND($BT177=4,$BX177=4,$BU177=999),$DD$36,_xlfn.IFNA(INDEX(DE$13:DE$68,MATCH(1,($BR177=$CV$13:$CV$68)*($BT177=$CX$13:$CX$68)*($CE177=$CY$13:$CY$68)*($BY177=$DA$13:$DA$68)*($CD177=$DH$13:$DH$68),0)),""))</f>
        <v>0</v>
      </c>
      <c r="DO177" s="58" t="str" cm="1">
        <f t="array" ref="DO177">IF(AND($BT177=4,$BX177=4,$BU177=999),$DF$36,_xlfn.IFNA(INDEX(DF$13:DF$70,MATCH(1,($BR177=$CV$13:$CV$70)*($BT177=$CX$13:$CX$70)*($CE177=$CY$13:$CY$70)*($BY177=$DA$13:$DA$70)*($CD177=$DH$13:$DH$70),0)),""))</f>
        <v>Base case</v>
      </c>
      <c r="DP177" s="58">
        <f t="shared" si="235"/>
        <v>1</v>
      </c>
      <c r="DW177" s="58" t="s">
        <v>58</v>
      </c>
      <c r="DX177" s="58" t="s">
        <v>554</v>
      </c>
      <c r="DY177" s="58">
        <v>0</v>
      </c>
      <c r="DZ177" s="58">
        <v>0</v>
      </c>
      <c r="EB177" s="58">
        <v>2</v>
      </c>
      <c r="EC177" s="58">
        <v>1</v>
      </c>
      <c r="ED177" s="58">
        <v>7</v>
      </c>
      <c r="EE177" s="58">
        <v>2</v>
      </c>
      <c r="EF177" s="58">
        <v>2</v>
      </c>
      <c r="EI177" s="58" t="s">
        <v>58</v>
      </c>
      <c r="EJ177" s="58" t="s">
        <v>554</v>
      </c>
      <c r="EK177" s="58">
        <v>0</v>
      </c>
      <c r="EL177" s="58">
        <v>0</v>
      </c>
      <c r="EN177" s="58">
        <v>2</v>
      </c>
      <c r="EO177" s="58">
        <v>1</v>
      </c>
      <c r="EP177" s="58">
        <v>7</v>
      </c>
      <c r="EQ177" s="58">
        <v>0</v>
      </c>
      <c r="ER177" s="58">
        <v>2</v>
      </c>
      <c r="EU177" s="58" t="str">
        <f t="shared" si="293"/>
        <v>No</v>
      </c>
      <c r="EV177" s="58" t="str">
        <f t="shared" si="294"/>
        <v>Time to treatment discontinuation</v>
      </c>
      <c r="EW177" s="58">
        <f t="shared" si="295"/>
        <v>0</v>
      </c>
      <c r="EX177" s="58">
        <f t="shared" si="296"/>
        <v>0</v>
      </c>
      <c r="EZ177" s="58">
        <f t="shared" si="297"/>
        <v>2</v>
      </c>
      <c r="FA177" s="58">
        <f t="shared" si="298"/>
        <v>1</v>
      </c>
      <c r="FB177" s="58">
        <f>IF(i_eff_inputs_based_on_num=2,ED177,(INDEX(Lists!$L$51:$L$85,MATCH(O177,Lists!$K$51:$K$85,0))))</f>
        <v>7</v>
      </c>
      <c r="FC177" s="58">
        <f>IF(i_eff_inputs_based_on_num=2,EE177,(INDEX(Lists!$L$51:$L$85,MATCH(P177,Lists!$K$51:$K$85,0))))</f>
        <v>2</v>
      </c>
      <c r="FD177" s="58">
        <f>IF(i_eff_inputs_based_on_num=2,EF177,(INDEX(Lists!$L$51:$L$85,MATCH(Q177,Lists!$K$51:$K$85,0))))</f>
        <v>2</v>
      </c>
      <c r="FG177" s="58" t="str">
        <f t="shared" si="299"/>
        <v>No</v>
      </c>
      <c r="FH177" s="58" t="str">
        <f t="shared" si="300"/>
        <v>Time to treatment discontinuation</v>
      </c>
      <c r="FI177" s="58">
        <f t="shared" si="301"/>
        <v>0</v>
      </c>
      <c r="FJ177" s="58">
        <f t="shared" si="302"/>
        <v>0</v>
      </c>
      <c r="FL177" s="58">
        <f t="shared" si="303"/>
        <v>2</v>
      </c>
      <c r="FM177" s="58">
        <f t="shared" si="304"/>
        <v>1</v>
      </c>
      <c r="FN177" s="58">
        <f>IF(i_eff_inputs_based_on_num=2,EP177,(INDEX(Lists!$L$51:$L$85,MATCH(O177,Lists!$K$51:$K$85,0))))</f>
        <v>7</v>
      </c>
      <c r="FO177" s="58">
        <f>IF(i_eff_inputs_based_on_num=2,EQ177,(INDEX(Lists!$L$51:$L$85,MATCH(P177,Lists!$K$51:$K$85,0))))</f>
        <v>0</v>
      </c>
      <c r="FP177" s="58">
        <f>IF(i_eff_inputs_based_on_num=2,ER177,(INDEX(Lists!$L$51:$L$85,MATCH(Q177,Lists!$K$51:$K$85,0))))</f>
        <v>2</v>
      </c>
      <c r="FT177" s="58">
        <f t="shared" si="236"/>
        <v>0</v>
      </c>
      <c r="FW177" s="58">
        <f>IF(i_baseline_risk_from=2,'Effectiveness settings'!EW177,'Effectiveness settings'!FI177)</f>
        <v>0</v>
      </c>
      <c r="FX177" s="58">
        <f t="shared" si="237"/>
        <v>0</v>
      </c>
      <c r="FY177" s="58">
        <f t="shared" si="238"/>
        <v>0</v>
      </c>
      <c r="FZ177" s="58">
        <f t="shared" si="239"/>
        <v>0</v>
      </c>
      <c r="GA177" s="58">
        <f t="shared" si="240"/>
        <v>0</v>
      </c>
      <c r="GB177" s="58">
        <f t="shared" si="241"/>
        <v>0</v>
      </c>
      <c r="GC177" s="58">
        <f t="shared" si="242"/>
        <v>0</v>
      </c>
      <c r="GD177" s="58">
        <f t="shared" si="243"/>
        <v>0</v>
      </c>
      <c r="GE177" s="58">
        <f>IF(AND(dd_CheckMate214_TTD="Yes",'Effectiveness settings'!BU177=2,'Effectiveness settings'!BX177=2),"Apply HR to",GD177)</f>
        <v>0</v>
      </c>
      <c r="GF177" s="58">
        <f t="shared" si="244"/>
        <v>0</v>
      </c>
      <c r="GG177" s="58">
        <f t="shared" si="245"/>
        <v>0</v>
      </c>
      <c r="GH177" s="58">
        <f t="shared" si="246"/>
        <v>0</v>
      </c>
      <c r="GI177" s="58">
        <f t="shared" si="306"/>
        <v>0</v>
      </c>
      <c r="GK177" s="58">
        <f>IF(i_baseline_risk_from=2,'Effectiveness settings'!FA177,'Effectiveness settings'!FM177)</f>
        <v>1</v>
      </c>
      <c r="GL177" s="58">
        <f>IF(i_baseline_risk_from=2,'Effectiveness settings'!FB177,'Effectiveness settings'!FN177)</f>
        <v>7</v>
      </c>
      <c r="GM177" s="58">
        <f>IF(i_baseline_risk_from=2,'Effectiveness settings'!FC177,'Effectiveness settings'!FO177)</f>
        <v>2</v>
      </c>
      <c r="GN177" s="58">
        <f>IF(i_baseline_risk_from=2,'Effectiveness settings'!FD177,'Effectiveness settings'!FP177)</f>
        <v>2</v>
      </c>
      <c r="GQ177" s="58">
        <f t="shared" si="247"/>
        <v>7</v>
      </c>
      <c r="GR177" s="58">
        <f t="shared" si="248"/>
        <v>7</v>
      </c>
      <c r="GS177" s="58">
        <f t="shared" si="249"/>
        <v>7</v>
      </c>
      <c r="GT177" s="58">
        <f t="shared" si="250"/>
        <v>7</v>
      </c>
      <c r="GU177" s="58">
        <f>IF(AND(dd_CheckMate214_TTD="Yes",'Effectiveness settings'!BU177=2,'Effectiveness settings'!BX177=2),2,GT177)</f>
        <v>7</v>
      </c>
      <c r="GV177" s="58">
        <f t="shared" si="251"/>
        <v>7</v>
      </c>
      <c r="GW177" s="58">
        <f t="shared" si="252"/>
        <v>7</v>
      </c>
      <c r="GY177" s="58">
        <f>IF(AND(dd_CheckMate214_TTD="Yes",'Effectiveness settings'!BU177=2,'Effectiveness settings'!BX177=2),1,GN177)</f>
        <v>2</v>
      </c>
      <c r="GZ177" s="58">
        <f t="shared" si="253"/>
        <v>2</v>
      </c>
      <c r="HB177" s="58">
        <f t="shared" si="254"/>
        <v>2</v>
      </c>
      <c r="HD177" s="58">
        <f t="shared" si="227"/>
        <v>2</v>
      </c>
      <c r="HE177" s="58">
        <f t="shared" si="228"/>
        <v>1</v>
      </c>
      <c r="HF177" s="58">
        <f t="shared" si="229"/>
        <v>7</v>
      </c>
      <c r="HG177" s="58">
        <f t="shared" si="230"/>
        <v>2</v>
      </c>
      <c r="HH177" s="58">
        <f t="shared" si="231"/>
        <v>2</v>
      </c>
    </row>
    <row r="178" spans="1:216" ht="15.75" x14ac:dyDescent="0.25">
      <c r="D178" s="58" t="str">
        <v>placebo_BSC</v>
      </c>
      <c r="I178" s="64" t="s">
        <v>58</v>
      </c>
      <c r="J178" s="519" t="s">
        <v>554</v>
      </c>
      <c r="K178" s="524"/>
      <c r="L178" s="519"/>
      <c r="M178" s="516" t="s">
        <v>559</v>
      </c>
      <c r="N178" s="64" t="s">
        <v>546</v>
      </c>
      <c r="O178" s="64" t="s">
        <v>117</v>
      </c>
      <c r="P178" s="64" t="s">
        <v>547</v>
      </c>
      <c r="Q178" s="519" t="s">
        <v>554</v>
      </c>
      <c r="R178" s="516" t="s">
        <v>548</v>
      </c>
      <c r="S178" s="497"/>
      <c r="T178" s="497"/>
      <c r="U178" s="497"/>
      <c r="Y178" s="517"/>
      <c r="AA178" s="517"/>
      <c r="AF178" s="517"/>
      <c r="AM178" s="517"/>
      <c r="AO178" s="517"/>
      <c r="AT178" s="517"/>
      <c r="AV178" s="511"/>
      <c r="AW178" s="511"/>
      <c r="AX178" s="511"/>
      <c r="BA178" s="517"/>
      <c r="BC178" s="517"/>
      <c r="BH178" s="517"/>
      <c r="BJ178" s="511"/>
      <c r="BK178" s="511"/>
      <c r="BL178" s="511"/>
      <c r="BQ178" s="58">
        <f t="shared" si="234"/>
        <v>112</v>
      </c>
      <c r="BR178" s="17">
        <v>2</v>
      </c>
      <c r="BS178" s="17" t="s">
        <v>559</v>
      </c>
      <c r="BT178" s="17">
        <v>1</v>
      </c>
      <c r="BU178" s="17">
        <v>999</v>
      </c>
      <c r="BV178" s="17" t="str">
        <f t="shared" si="281"/>
        <v>placebo_BSC</v>
      </c>
      <c r="BW178" s="1006" t="str" cm="1">
        <f t="array" ref="BW178">IF(I178="No",I178,INDEX(List_incl_anal_1L_fav,IF(BU178=999,35,BU178+1)))</f>
        <v>No</v>
      </c>
      <c r="BX178" s="61">
        <f t="shared" si="282"/>
        <v>2</v>
      </c>
      <c r="BY178" s="531" t="str">
        <f t="shared" si="307"/>
        <v>Time to treatment discontinuation</v>
      </c>
      <c r="BZ178" s="530">
        <f t="shared" si="283"/>
        <v>0</v>
      </c>
      <c r="CA178" s="531">
        <f t="shared" si="305"/>
        <v>0</v>
      </c>
      <c r="CB178" s="530">
        <f t="shared" si="284"/>
        <v>2</v>
      </c>
      <c r="CC178" s="530">
        <f t="shared" si="285"/>
        <v>4</v>
      </c>
      <c r="CD178" s="530">
        <f t="shared" si="286"/>
        <v>999</v>
      </c>
      <c r="CE178" s="1295">
        <f t="shared" si="287"/>
        <v>2</v>
      </c>
      <c r="CF178" s="1301">
        <f t="shared" si="288"/>
        <v>4</v>
      </c>
      <c r="CG178" s="530" t="str">
        <f t="shared" si="289"/>
        <v/>
      </c>
      <c r="CH178" s="61">
        <f t="shared" si="290"/>
        <v>0</v>
      </c>
      <c r="CI178" s="61">
        <f t="shared" si="291"/>
        <v>0</v>
      </c>
      <c r="CJ178" s="61">
        <f t="shared" si="292"/>
        <v>0</v>
      </c>
      <c r="DA178" s="1024"/>
      <c r="DB178" s="1024"/>
      <c r="DC178" s="1024"/>
      <c r="DD178" s="1024"/>
      <c r="DE178" s="1024"/>
      <c r="DF178" s="1024"/>
      <c r="DG178" s="1024"/>
      <c r="DK178" s="58" t="str" cm="1">
        <f t="array" ref="DK178">IF(AND($BT178=4,$BX178=4,$BU178=999),$DB$36,_xlfn.IFNA(INDEX(DB$13:DB$70,MATCH(1,($BR178=$CV$13:$CV$70)*($BT178=$CX$13:$CX$70)*($CE178=$CY$13:$CY$70)*($BY178=$DA$13:$DA$70)*($CD178=$DH$13:$DH$70),0)),""))</f>
        <v/>
      </c>
      <c r="DL178" s="58" t="str" cm="1">
        <f t="array" ref="DL178">IF(AND($BT178=4,$BX178=4,$BU178=999),$DC$36,_xlfn.IFNA(INDEX(CHOOSE(DP178,DB$13:DB$70,DC$13:DC$70,DD$13:DD$70,DE$13:DE$70),MATCH(1,($BR178=$CV$13:$CV$70)*($BT178=$CX$13:$CX$70)*($CE178=$CY$13:$CY$70)*($BY178=$DA$13:$DA$70)*($CD178=$DH$13:$DH$70),0)),""))</f>
        <v/>
      </c>
      <c r="DM178" s="740" t="str" cm="1">
        <f t="array" ref="DM178">IF(AND($BT178=4,$BX178=4,$BU178=999),$DD$36,_xlfn.IFNA(INDEX(DD$13:DD$68,MATCH(1,($BR178=$CV$13:$CV$68)*($BT178=$CX$13:$CX$68)*($CE178=$CY$13:$CY$68)*($BY178=$DA$13:$DA$68)*($CD178=$DH$13:$DH$68),0)),""))</f>
        <v/>
      </c>
      <c r="DN178" s="740" t="str" cm="1">
        <f t="array" ref="DN178">IF(AND($BT178=4,$BX178=4,$BU178=999),$DD$36,_xlfn.IFNA(INDEX(DE$13:DE$68,MATCH(1,($BR178=$CV$13:$CV$68)*($BT178=$CX$13:$CX$68)*($CE178=$CY$13:$CY$68)*($BY178=$DA$13:$DA$68)*($CD178=$DH$13:$DH$68),0)),""))</f>
        <v/>
      </c>
      <c r="DO178" s="58" t="str" cm="1">
        <f t="array" ref="DO178">IF(AND($BT178=4,$BX178=4,$BU178=999),$DF$36,_xlfn.IFNA(INDEX(DF$13:DF$70,MATCH(1,($BR178=$CV$13:$CV$70)*($BT178=$CX$13:$CX$70)*($CE178=$CY$13:$CY$70)*($BY178=$DA$13:$DA$70)*($CD178=$DH$13:$DH$70),0)),""))</f>
        <v/>
      </c>
      <c r="DP178" s="58" t="e">
        <f t="shared" si="235"/>
        <v>#N/A</v>
      </c>
      <c r="DW178" s="58" t="s">
        <v>58</v>
      </c>
      <c r="DX178" s="58" t="s">
        <v>554</v>
      </c>
      <c r="DY178" s="58">
        <v>0</v>
      </c>
      <c r="DZ178" s="58">
        <v>0</v>
      </c>
      <c r="EB178" s="58">
        <v>2</v>
      </c>
      <c r="EC178" s="58">
        <v>4</v>
      </c>
      <c r="ED178" s="58">
        <v>999</v>
      </c>
      <c r="EE178" s="58">
        <v>2</v>
      </c>
      <c r="EF178" s="58">
        <v>4</v>
      </c>
      <c r="EI178" s="58" t="s">
        <v>58</v>
      </c>
      <c r="EJ178" s="58" t="s">
        <v>554</v>
      </c>
      <c r="EK178" s="58">
        <v>0</v>
      </c>
      <c r="EL178" s="58">
        <v>0</v>
      </c>
      <c r="EN178" s="58">
        <v>2</v>
      </c>
      <c r="EO178" s="58">
        <v>4</v>
      </c>
      <c r="EP178" s="58">
        <v>999</v>
      </c>
      <c r="EQ178" s="58">
        <v>2</v>
      </c>
      <c r="ER178" s="58">
        <v>4</v>
      </c>
      <c r="EU178" s="58" t="str">
        <f t="shared" si="293"/>
        <v>No</v>
      </c>
      <c r="EV178" s="58" t="str">
        <f t="shared" si="294"/>
        <v>Time to treatment discontinuation</v>
      </c>
      <c r="EW178" s="58">
        <f t="shared" si="295"/>
        <v>0</v>
      </c>
      <c r="EX178" s="58">
        <f t="shared" si="296"/>
        <v>0</v>
      </c>
      <c r="EZ178" s="58">
        <f t="shared" si="297"/>
        <v>2</v>
      </c>
      <c r="FA178" s="58">
        <f t="shared" si="298"/>
        <v>4</v>
      </c>
      <c r="FB178" s="58">
        <f>IF(i_eff_inputs_based_on_num=2,ED178,(INDEX(Lists!$L$51:$L$85,MATCH(O178,Lists!$K$51:$K$85,0))))</f>
        <v>999</v>
      </c>
      <c r="FC178" s="58">
        <f>IF(i_eff_inputs_based_on_num=2,EE178,(INDEX(Lists!$L$51:$L$85,MATCH(P178,Lists!$K$51:$K$85,0))))</f>
        <v>2</v>
      </c>
      <c r="FD178" s="58">
        <f>IF(i_eff_inputs_based_on_num=2,EF178,(INDEX(Lists!$L$51:$L$85,MATCH(Q178,Lists!$K$51:$K$85,0))))</f>
        <v>4</v>
      </c>
      <c r="FG178" s="58" t="str">
        <f t="shared" si="299"/>
        <v>No</v>
      </c>
      <c r="FH178" s="58" t="str">
        <f t="shared" si="300"/>
        <v>Time to treatment discontinuation</v>
      </c>
      <c r="FI178" s="58">
        <f t="shared" si="301"/>
        <v>0</v>
      </c>
      <c r="FJ178" s="58">
        <f t="shared" si="302"/>
        <v>0</v>
      </c>
      <c r="FL178" s="58">
        <f t="shared" si="303"/>
        <v>2</v>
      </c>
      <c r="FM178" s="58">
        <f t="shared" si="304"/>
        <v>4</v>
      </c>
      <c r="FN178" s="58">
        <f>IF(i_eff_inputs_based_on_num=2,EP178,(INDEX(Lists!$L$51:$L$85,MATCH(O178,Lists!$K$51:$K$85,0))))</f>
        <v>999</v>
      </c>
      <c r="FO178" s="58">
        <f>IF(i_eff_inputs_based_on_num=2,EQ178,(INDEX(Lists!$L$51:$L$85,MATCH(P178,Lists!$K$51:$K$85,0))))</f>
        <v>2</v>
      </c>
      <c r="FP178" s="58">
        <f>IF(i_eff_inputs_based_on_num=2,ER178,(INDEX(Lists!$L$51:$L$85,MATCH(Q178,Lists!$K$51:$K$85,0))))</f>
        <v>4</v>
      </c>
      <c r="FT178" s="58">
        <f t="shared" si="236"/>
        <v>0</v>
      </c>
      <c r="FW178" s="58">
        <f>IF(i_baseline_risk_from=2,'Effectiveness settings'!EW178,'Effectiveness settings'!FI178)</f>
        <v>0</v>
      </c>
      <c r="FX178" s="58">
        <f t="shared" si="237"/>
        <v>0</v>
      </c>
      <c r="FY178" s="58">
        <f t="shared" si="238"/>
        <v>0</v>
      </c>
      <c r="FZ178" s="58">
        <f t="shared" si="239"/>
        <v>0</v>
      </c>
      <c r="GA178" s="58">
        <f t="shared" si="240"/>
        <v>0</v>
      </c>
      <c r="GB178" s="58">
        <f t="shared" si="241"/>
        <v>0</v>
      </c>
      <c r="GC178" s="58">
        <f t="shared" si="242"/>
        <v>0</v>
      </c>
      <c r="GD178" s="58">
        <f t="shared" si="243"/>
        <v>0</v>
      </c>
      <c r="GE178" s="58">
        <f>IF(AND(dd_CheckMate214_TTD="Yes",'Effectiveness settings'!BU178=2,'Effectiveness settings'!BX178=2),"Apply HR to",GD178)</f>
        <v>0</v>
      </c>
      <c r="GF178" s="58">
        <f t="shared" si="244"/>
        <v>0</v>
      </c>
      <c r="GG178" s="58">
        <f t="shared" si="245"/>
        <v>0</v>
      </c>
      <c r="GH178" s="58">
        <f t="shared" si="246"/>
        <v>0</v>
      </c>
      <c r="GI178" s="58">
        <f t="shared" si="306"/>
        <v>0</v>
      </c>
      <c r="GK178" s="58">
        <f>IF(i_baseline_risk_from=2,'Effectiveness settings'!FA178,'Effectiveness settings'!FM178)</f>
        <v>4</v>
      </c>
      <c r="GL178" s="58">
        <f>IF(i_baseline_risk_from=2,'Effectiveness settings'!FB178,'Effectiveness settings'!FN178)</f>
        <v>999</v>
      </c>
      <c r="GM178" s="58">
        <f>IF(i_baseline_risk_from=2,'Effectiveness settings'!FC178,'Effectiveness settings'!FO178)</f>
        <v>2</v>
      </c>
      <c r="GN178" s="58">
        <f>IF(i_baseline_risk_from=2,'Effectiveness settings'!FD178,'Effectiveness settings'!FP178)</f>
        <v>4</v>
      </c>
      <c r="GQ178" s="58">
        <f t="shared" si="247"/>
        <v>999</v>
      </c>
      <c r="GR178" s="58">
        <f t="shared" si="248"/>
        <v>999</v>
      </c>
      <c r="GS178" s="58">
        <f t="shared" si="249"/>
        <v>999</v>
      </c>
      <c r="GT178" s="58">
        <f t="shared" si="250"/>
        <v>999</v>
      </c>
      <c r="GU178" s="58">
        <f>IF(AND(dd_CheckMate214_TTD="Yes",'Effectiveness settings'!BU178=2,'Effectiveness settings'!BX178=2),2,GT178)</f>
        <v>999</v>
      </c>
      <c r="GV178" s="58">
        <f t="shared" si="251"/>
        <v>999</v>
      </c>
      <c r="GW178" s="58">
        <f t="shared" si="252"/>
        <v>999</v>
      </c>
      <c r="GY178" s="58">
        <f>IF(AND(dd_CheckMate214_TTD="Yes",'Effectiveness settings'!BU178=2,'Effectiveness settings'!BX178=2),1,GN178)</f>
        <v>4</v>
      </c>
      <c r="GZ178" s="58">
        <f t="shared" si="253"/>
        <v>4</v>
      </c>
      <c r="HB178" s="58">
        <f t="shared" si="254"/>
        <v>2</v>
      </c>
      <c r="HD178" s="58">
        <f t="shared" si="227"/>
        <v>2</v>
      </c>
      <c r="HE178" s="58">
        <f t="shared" si="228"/>
        <v>4</v>
      </c>
      <c r="HF178" s="58">
        <f t="shared" si="229"/>
        <v>999</v>
      </c>
      <c r="HG178" s="58">
        <f t="shared" si="230"/>
        <v>2</v>
      </c>
      <c r="HH178" s="58">
        <f t="shared" si="231"/>
        <v>4</v>
      </c>
    </row>
    <row r="179" spans="1:216" ht="15.75" x14ac:dyDescent="0.25">
      <c r="I179" s="67"/>
      <c r="J179" s="520"/>
      <c r="K179" s="525"/>
      <c r="L179" s="517"/>
      <c r="Q179" s="520"/>
      <c r="S179" s="662"/>
      <c r="T179" s="662"/>
      <c r="U179" s="662"/>
      <c r="Y179" s="517"/>
      <c r="AA179" s="517"/>
      <c r="AF179" s="517"/>
      <c r="AM179" s="517"/>
      <c r="AO179" s="517"/>
      <c r="AT179" s="517"/>
      <c r="AV179" s="511"/>
      <c r="AW179" s="511"/>
      <c r="AX179" s="511"/>
      <c r="BA179" s="517"/>
      <c r="BC179" s="517"/>
      <c r="BH179" s="517"/>
      <c r="BJ179" s="511"/>
      <c r="BK179" s="511"/>
      <c r="BL179" s="511"/>
      <c r="BQ179" s="58">
        <f t="shared" si="234"/>
        <v>112</v>
      </c>
      <c r="BR179" s="17"/>
      <c r="BS179" s="17"/>
      <c r="BT179" s="17"/>
      <c r="BU179" s="61"/>
      <c r="BV179" s="17"/>
      <c r="BW179" s="17"/>
      <c r="BX179" s="61"/>
      <c r="BY179" s="531"/>
      <c r="BZ179" s="530"/>
      <c r="CA179" s="531"/>
      <c r="CB179" s="530"/>
      <c r="CC179" s="530"/>
      <c r="CD179" s="530"/>
      <c r="CE179" s="1295"/>
      <c r="CF179" s="1301"/>
      <c r="CG179" s="530"/>
      <c r="CH179" s="61"/>
      <c r="CI179" s="61"/>
      <c r="CJ179" s="61"/>
      <c r="DA179" s="1024"/>
      <c r="DB179" s="1024"/>
      <c r="DC179" s="1024"/>
      <c r="DD179" s="1024"/>
      <c r="DE179" s="1024"/>
      <c r="DF179" s="1024"/>
      <c r="DG179" s="1024"/>
      <c r="DK179" s="58" t="str" cm="1">
        <f t="array" ref="DK179">IF(AND($BT179=4,$BX179=4,$BU179=999),$DB$36,_xlfn.IFNA(INDEX(DB$13:DB$70,MATCH(1,($BR179=$CV$13:$CV$70)*($BT179=$CX$13:$CX$70)*($CE179=$CY$13:$CY$70)*($BY179=$DA$13:$DA$70)*($CD179=$DH$13:$DH$70),0)),""))</f>
        <v/>
      </c>
      <c r="DL179" s="58" t="str" cm="1">
        <f t="array" ref="DL179">IF(AND($BT179=4,$BX179=4,$BU179=999),$DC$36,_xlfn.IFNA(INDEX(CHOOSE(DP179,DB$13:DB$70,DC$13:DC$70,DD$13:DD$70,DE$13:DE$70),MATCH(1,($BR179=$CV$13:$CV$70)*($BT179=$CX$13:$CX$70)*($CE179=$CY$13:$CY$70)*($BY179=$DA$13:$DA$70)*($CD179=$DH$13:$DH$70),0)),""))</f>
        <v/>
      </c>
      <c r="DM179" s="740" t="str" cm="1">
        <f t="array" ref="DM179">IF(AND($BT179=4,$BX179=4,$BU179=999),$DD$36,_xlfn.IFNA(INDEX(DD$13:DD$68,MATCH(1,($BR179=$CV$13:$CV$68)*($BT179=$CX$13:$CX$68)*($CE179=$CY$13:$CY$68)*($BY179=$DA$13:$DA$68)*($CD179=$DH$13:$DH$68),0)),""))</f>
        <v/>
      </c>
      <c r="DN179" s="740" t="str" cm="1">
        <f t="array" ref="DN179">IF(AND($BT179=4,$BX179=4,$BU179=999),$DD$36,_xlfn.IFNA(INDEX(DE$13:DE$68,MATCH(1,($BR179=$CV$13:$CV$68)*($BT179=$CX$13:$CX$68)*($CE179=$CY$13:$CY$68)*($BY179=$DA$13:$DA$68)*($CD179=$DH$13:$DH$68),0)),""))</f>
        <v/>
      </c>
      <c r="DO179" s="58" t="str" cm="1">
        <f t="array" ref="DO179">IF(AND($BT179=4,$BX179=4,$BU179=999),$DF$36,_xlfn.IFNA(INDEX(DF$13:DF$70,MATCH(1,($BR179=$CV$13:$CV$70)*($BT179=$CX$13:$CX$70)*($CE179=$CY$13:$CY$70)*($BY179=$DA$13:$DA$70)*($CD179=$DH$13:$DH$70),0)),""))</f>
        <v/>
      </c>
      <c r="DP179" s="58" t="e">
        <f t="shared" si="235"/>
        <v>#N/A</v>
      </c>
      <c r="FT179" s="58">
        <f t="shared" si="236"/>
        <v>0</v>
      </c>
      <c r="FW179" s="58">
        <f>IF(i_baseline_risk_from=2,'Effectiveness settings'!EW179,'Effectiveness settings'!FI179)</f>
        <v>0</v>
      </c>
      <c r="FX179" s="58">
        <f t="shared" si="237"/>
        <v>0</v>
      </c>
      <c r="FY179" s="58">
        <f t="shared" si="238"/>
        <v>0</v>
      </c>
      <c r="FZ179" s="58">
        <f t="shared" si="239"/>
        <v>0</v>
      </c>
      <c r="GA179" s="58">
        <f t="shared" si="240"/>
        <v>0</v>
      </c>
      <c r="GB179" s="58">
        <f t="shared" si="241"/>
        <v>0</v>
      </c>
      <c r="GC179" s="58">
        <f t="shared" si="242"/>
        <v>0</v>
      </c>
      <c r="GD179" s="58">
        <f t="shared" si="243"/>
        <v>0</v>
      </c>
      <c r="GE179" s="58">
        <f>IF(AND(dd_CheckMate214_TTD="Yes",'Effectiveness settings'!BU179=2,'Effectiveness settings'!BX179=2),"Apply HR to",GD179)</f>
        <v>0</v>
      </c>
      <c r="GF179" s="58">
        <f t="shared" si="244"/>
        <v>0</v>
      </c>
      <c r="GG179" s="58">
        <f t="shared" si="245"/>
        <v>0</v>
      </c>
      <c r="GH179" s="58">
        <f t="shared" si="246"/>
        <v>0</v>
      </c>
      <c r="GI179" s="58">
        <f t="shared" si="306"/>
        <v>0</v>
      </c>
      <c r="GK179" s="58">
        <f>IF(i_baseline_risk_from=2,'Effectiveness settings'!FA179,'Effectiveness settings'!FM179)</f>
        <v>0</v>
      </c>
      <c r="GL179" s="58">
        <f>IF(i_baseline_risk_from=2,'Effectiveness settings'!FB179,'Effectiveness settings'!FN179)</f>
        <v>0</v>
      </c>
      <c r="GM179" s="58">
        <f>IF(i_baseline_risk_from=2,'Effectiveness settings'!FC179,'Effectiveness settings'!FO179)</f>
        <v>0</v>
      </c>
      <c r="GN179" s="58">
        <f>IF(i_baseline_risk_from=2,'Effectiveness settings'!FD179,'Effectiveness settings'!FP179)</f>
        <v>0</v>
      </c>
      <c r="GQ179" s="58">
        <f t="shared" si="247"/>
        <v>0</v>
      </c>
      <c r="GR179" s="58">
        <f t="shared" si="248"/>
        <v>0</v>
      </c>
      <c r="GS179" s="58">
        <f t="shared" si="249"/>
        <v>0</v>
      </c>
      <c r="GT179" s="58">
        <f t="shared" si="250"/>
        <v>0</v>
      </c>
      <c r="GU179" s="58">
        <f>IF(AND(dd_CheckMate214_TTD="Yes",'Effectiveness settings'!BU179=2,'Effectiveness settings'!BX179=2),2,GT179)</f>
        <v>0</v>
      </c>
      <c r="GV179" s="58">
        <f t="shared" si="251"/>
        <v>0</v>
      </c>
      <c r="GW179" s="58">
        <f t="shared" si="252"/>
        <v>0</v>
      </c>
      <c r="GY179" s="58">
        <f>IF(AND(dd_CheckMate214_TTD="Yes",'Effectiveness settings'!BU179=2,'Effectiveness settings'!BX179=2),1,GN179)</f>
        <v>0</v>
      </c>
      <c r="GZ179" s="58">
        <f t="shared" si="253"/>
        <v>0</v>
      </c>
      <c r="HB179" s="58">
        <f t="shared" si="254"/>
        <v>0</v>
      </c>
      <c r="HD179" s="58">
        <f t="shared" si="227"/>
        <v>0</v>
      </c>
      <c r="HE179" s="58">
        <f t="shared" si="228"/>
        <v>0</v>
      </c>
      <c r="HF179" s="58">
        <f t="shared" si="229"/>
        <v>0</v>
      </c>
      <c r="HG179" s="58">
        <f t="shared" si="230"/>
        <v>0</v>
      </c>
      <c r="HH179" s="58">
        <f t="shared" si="231"/>
        <v>0</v>
      </c>
    </row>
    <row r="180" spans="1:216" ht="15.75" x14ac:dyDescent="0.25">
      <c r="D180" s="58" t="str" cm="1">
        <f t="array" ref="D180:D193">List_comparators</f>
        <v>nivolumab_monotherapy</v>
      </c>
      <c r="I180" s="64" t="s">
        <v>58</v>
      </c>
      <c r="J180" s="519" t="s">
        <v>555</v>
      </c>
      <c r="K180" s="524"/>
      <c r="L180" s="519"/>
      <c r="M180" s="516" t="s">
        <v>559</v>
      </c>
      <c r="N180" s="64" t="s">
        <v>546</v>
      </c>
      <c r="O180" s="64" t="s">
        <v>117</v>
      </c>
      <c r="P180" s="64" t="s">
        <v>547</v>
      </c>
      <c r="Q180" s="519" t="s">
        <v>555</v>
      </c>
      <c r="R180" s="516" t="s">
        <v>548</v>
      </c>
      <c r="S180" s="497"/>
      <c r="T180" s="497"/>
      <c r="U180" s="497"/>
      <c r="Y180" s="517"/>
      <c r="AA180" s="517"/>
      <c r="AF180" s="517"/>
      <c r="AM180" s="517"/>
      <c r="AO180" s="517"/>
      <c r="AT180" s="517"/>
      <c r="AV180" s="511"/>
      <c r="AW180" s="511"/>
      <c r="AX180" s="511"/>
      <c r="BA180" s="517"/>
      <c r="BC180" s="517"/>
      <c r="BH180" s="517"/>
      <c r="BJ180" s="511"/>
      <c r="BK180" s="511"/>
      <c r="BL180" s="511"/>
      <c r="BQ180" s="58">
        <f t="shared" si="234"/>
        <v>113</v>
      </c>
      <c r="BR180" s="17">
        <v>2</v>
      </c>
      <c r="BS180" s="17" t="s">
        <v>559</v>
      </c>
      <c r="BT180" s="17">
        <v>1</v>
      </c>
      <c r="BU180" s="17">
        <v>0</v>
      </c>
      <c r="BV180" s="17" t="str">
        <f t="shared" ref="BV180:BV193" si="308">D180</f>
        <v>nivolumab_monotherapy</v>
      </c>
      <c r="BW180" s="1006" t="str" cm="1">
        <f t="array" ref="BW180">IF(I180="No",I180,INDEX(List_incl_anal_1L_fav,IF(BU180=999,35,BU180+1)))</f>
        <v>No</v>
      </c>
      <c r="BX180" s="61">
        <f t="shared" ref="BX180:BX193" si="309">MATCH(BY180,List_eff_endpoints,0)-1</f>
        <v>3</v>
      </c>
      <c r="BY180" s="531" t="str">
        <f>J180</f>
        <v>Time to progression</v>
      </c>
      <c r="BZ180" s="530">
        <f t="shared" ref="BZ180:BZ193" si="310">GI180</f>
        <v>0</v>
      </c>
      <c r="CA180" s="531">
        <f>FT180</f>
        <v>0</v>
      </c>
      <c r="CB180" s="530">
        <f t="shared" ref="CB180:CB193" si="311">HD180</f>
        <v>2</v>
      </c>
      <c r="CC180" s="530">
        <f t="shared" ref="CC180:CC193" si="312">HE180</f>
        <v>1</v>
      </c>
      <c r="CD180" s="530">
        <f t="shared" ref="CD180:CD193" si="313">HF180</f>
        <v>7</v>
      </c>
      <c r="CE180" s="1295">
        <f t="shared" ref="CE180:CE193" si="314">HG180</f>
        <v>2</v>
      </c>
      <c r="CF180" s="1301">
        <f t="shared" ref="CF180:CF193" si="315">HH180</f>
        <v>3</v>
      </c>
      <c r="CG180" s="530" t="str">
        <f t="shared" ref="CG180:CG193" si="316">IF(i_surv_cur=1,DK180,DL180)</f>
        <v>Log-logistic</v>
      </c>
      <c r="CH180" s="61">
        <f t="shared" ref="CH180:CH193" si="317">S180</f>
        <v>0</v>
      </c>
      <c r="CI180" s="61">
        <f t="shared" ref="CI180:CI193" si="318">T180</f>
        <v>0</v>
      </c>
      <c r="CJ180" s="61">
        <f t="shared" ref="CJ180:CJ193" si="319">U180</f>
        <v>0</v>
      </c>
      <c r="DA180" s="1024"/>
      <c r="DB180" s="1024"/>
      <c r="DC180" s="1024"/>
      <c r="DD180" s="1024"/>
      <c r="DE180" s="1024"/>
      <c r="DF180" s="1024"/>
      <c r="DG180" s="1024"/>
      <c r="DK180" s="58" t="str" cm="1">
        <f t="array" ref="DK180">IF(AND($BT180=4,$BX180=4,$BU180=999),$DB$36,_xlfn.IFNA(INDEX(DB$13:DB$70,MATCH(1,($BR180=$CV$13:$CV$70)*($BT180=$CX$13:$CX$70)*($CE180=$CY$13:$CY$70)*($BY180=$DA$13:$DA$70)*($CD180=$DH$13:$DH$70),0)),""))</f>
        <v>Log-logistic</v>
      </c>
      <c r="DL180" s="58" t="str" cm="1">
        <f t="array" ref="DL180">IF(AND($BT180=4,$BX180=4,$BU180=999),$DC$36,_xlfn.IFNA(INDEX(CHOOSE(DP180,DB$13:DB$70,DC$13:DC$70,DD$13:DD$70,DE$13:DE$70),MATCH(1,($BR180=$CV$13:$CV$70)*($BT180=$CX$13:$CX$70)*($CE180=$CY$13:$CY$70)*($BY180=$DA$13:$DA$70)*($CD180=$DH$13:$DH$70),0)),""))</f>
        <v>Log-logistic</v>
      </c>
      <c r="DM180" s="740" cm="1">
        <f t="array" ref="DM180">IF(AND($BT180=4,$BX180=4,$BU180=999),$DD$36,_xlfn.IFNA(INDEX(DD$13:DD$68,MATCH(1,($BR180=$CV$13:$CV$68)*($BT180=$CX$13:$CX$68)*($CE180=$CY$13:$CY$68)*($BY180=$DA$13:$DA$68)*($CD180=$DH$13:$DH$68),0)),""))</f>
        <v>0</v>
      </c>
      <c r="DN180" s="740" cm="1">
        <f t="array" ref="DN180">IF(AND($BT180=4,$BX180=4,$BU180=999),$DD$36,_xlfn.IFNA(INDEX(DE$13:DE$68,MATCH(1,($BR180=$CV$13:$CV$68)*($BT180=$CX$13:$CX$68)*($CE180=$CY$13:$CY$68)*($BY180=$DA$13:$DA$68)*($CD180=$DH$13:$DH$68),0)),""))</f>
        <v>0</v>
      </c>
      <c r="DO180" s="58" t="str" cm="1">
        <f t="array" ref="DO180">IF(AND($BT180=4,$BX180=4,$BU180=999),$DF$36,_xlfn.IFNA(INDEX(DF$13:DF$70,MATCH(1,($BR180=$CV$13:$CV$70)*($BT180=$CX$13:$CX$70)*($CE180=$CY$13:$CY$70)*($BY180=$DA$13:$DA$70)*($CD180=$DH$13:$DH$70),0)),""))</f>
        <v>Base case</v>
      </c>
      <c r="DP180" s="58">
        <f t="shared" si="235"/>
        <v>1</v>
      </c>
      <c r="DW180" s="58" t="s">
        <v>58</v>
      </c>
      <c r="DX180" s="58" t="s">
        <v>555</v>
      </c>
      <c r="DY180" s="58">
        <v>0</v>
      </c>
      <c r="DZ180" s="58">
        <v>0</v>
      </c>
      <c r="EB180" s="58">
        <v>2</v>
      </c>
      <c r="EC180" s="58">
        <v>1</v>
      </c>
      <c r="ED180" s="58">
        <v>7</v>
      </c>
      <c r="EE180" s="58">
        <v>2</v>
      </c>
      <c r="EF180" s="58">
        <v>3</v>
      </c>
      <c r="EI180" s="58" t="s">
        <v>58</v>
      </c>
      <c r="EJ180" s="58" t="s">
        <v>555</v>
      </c>
      <c r="EK180" s="58">
        <v>0</v>
      </c>
      <c r="EL180" s="58">
        <v>0</v>
      </c>
      <c r="EN180" s="58">
        <v>2</v>
      </c>
      <c r="EO180" s="58">
        <v>1</v>
      </c>
      <c r="EP180" s="58">
        <v>7</v>
      </c>
      <c r="EQ180" s="58">
        <v>0</v>
      </c>
      <c r="ER180" s="58">
        <v>3</v>
      </c>
      <c r="EU180" s="58" t="str">
        <f t="shared" ref="EU180:EU193" si="320">IF(i_eff_inputs_based_on_num=2,DW180,I180)</f>
        <v>No</v>
      </c>
      <c r="EV180" s="58" t="str">
        <f t="shared" ref="EV180:EV193" si="321">IF(i_eff_inputs_based_on_num=2,DX180,J180)</f>
        <v>Time to progression</v>
      </c>
      <c r="EW180" s="58">
        <f t="shared" ref="EW180:EW193" si="322">IF(i_eff_inputs_based_on_num=2,DY180,K180)</f>
        <v>0</v>
      </c>
      <c r="EX180" s="58">
        <f t="shared" ref="EX180:EX193" si="323">IF(i_eff_inputs_based_on_num=2,DZ180,L180)</f>
        <v>0</v>
      </c>
      <c r="EZ180" s="58">
        <f t="shared" ref="EZ180:EZ193" si="324">IF(i_eff_inputs_based_on_num=2,EB180,VLOOKUP(M180,r_pld_lookup_line,3,FALSE))</f>
        <v>2</v>
      </c>
      <c r="FA180" s="58">
        <f t="shared" ref="FA180:FA193" si="325">IF(i_eff_inputs_based_on_num=2,EC180,VLOOKUP(N180,r_pld_lookup_line,3,FALSE))</f>
        <v>1</v>
      </c>
      <c r="FB180" s="58">
        <f>IF(i_eff_inputs_based_on_num=2,ED180,(INDEX(Lists!$L$51:$L$85,MATCH(O180,Lists!$K$51:$K$85,0))))</f>
        <v>7</v>
      </c>
      <c r="FC180" s="58">
        <f>IF(i_eff_inputs_based_on_num=2,EE180,(INDEX(Lists!$L$51:$L$85,MATCH(P180,Lists!$K$51:$K$85,0))))</f>
        <v>2</v>
      </c>
      <c r="FD180" s="58">
        <f>IF(i_eff_inputs_based_on_num=2,EF180,(INDEX(Lists!$L$51:$L$85,MATCH(Q180,Lists!$K$51:$K$85,0))))</f>
        <v>3</v>
      </c>
      <c r="FG180" s="58" t="str">
        <f t="shared" ref="FG180:FG193" si="326">IF(i_eff_inputs_based_on_num=2,EI180,I180)</f>
        <v>No</v>
      </c>
      <c r="FH180" s="58" t="str">
        <f t="shared" ref="FH180:FH193" si="327">IF(i_eff_inputs_based_on_num=2,EJ180,J180)</f>
        <v>Time to progression</v>
      </c>
      <c r="FI180" s="58">
        <f t="shared" ref="FI180:FI193" si="328">IF(i_eff_inputs_based_on_num=2,EK180,K180)</f>
        <v>0</v>
      </c>
      <c r="FJ180" s="58">
        <f t="shared" ref="FJ180:FJ193" si="329">IF(i_eff_inputs_based_on_num=2,EL180,L180)</f>
        <v>0</v>
      </c>
      <c r="FL180" s="58">
        <f t="shared" ref="FL180:FL193" si="330">IF(i_eff_inputs_based_on_num=2,EN180,VLOOKUP(M180,r_pld_lookup_line,3,FALSE))</f>
        <v>2</v>
      </c>
      <c r="FM180" s="58">
        <f t="shared" ref="FM180:FM193" si="331">IF(i_eff_inputs_based_on_num=2,EO180,VLOOKUP(N180,r_pld_lookup_line,3,FALSE))</f>
        <v>1</v>
      </c>
      <c r="FN180" s="58">
        <f>IF(i_eff_inputs_based_on_num=2,EP180,(INDEX(Lists!$L$51:$L$85,MATCH(O180,Lists!$K$51:$K$85,0))))</f>
        <v>7</v>
      </c>
      <c r="FO180" s="58">
        <f>IF(i_eff_inputs_based_on_num=2,EQ180,(INDEX(Lists!$L$51:$L$85,MATCH(P180,Lists!$K$51:$K$85,0))))</f>
        <v>0</v>
      </c>
      <c r="FP180" s="58">
        <f>IF(i_eff_inputs_based_on_num=2,ER180,(INDEX(Lists!$L$51:$L$85,MATCH(Q180,Lists!$K$51:$K$85,0))))</f>
        <v>3</v>
      </c>
      <c r="FT180" s="58">
        <f t="shared" si="236"/>
        <v>0</v>
      </c>
      <c r="FW180" s="58">
        <f>IF(i_baseline_risk_from=2,'Effectiveness settings'!EW180,'Effectiveness settings'!FI180)</f>
        <v>0</v>
      </c>
      <c r="FX180" s="58">
        <f t="shared" si="237"/>
        <v>0</v>
      </c>
      <c r="FY180" s="58">
        <f t="shared" si="238"/>
        <v>0</v>
      </c>
      <c r="FZ180" s="58">
        <f t="shared" si="239"/>
        <v>0</v>
      </c>
      <c r="GA180" s="58">
        <f t="shared" si="240"/>
        <v>0</v>
      </c>
      <c r="GB180" s="58">
        <f t="shared" si="241"/>
        <v>0</v>
      </c>
      <c r="GC180" s="58">
        <f t="shared" si="242"/>
        <v>0</v>
      </c>
      <c r="GD180" s="58">
        <f t="shared" si="243"/>
        <v>0</v>
      </c>
      <c r="GE180" s="58">
        <f>IF(AND(dd_CheckMate214_TTD="Yes",'Effectiveness settings'!BU180=2,'Effectiveness settings'!BX180=2),"Apply HR to",GD180)</f>
        <v>0</v>
      </c>
      <c r="GF180" s="58">
        <f t="shared" si="244"/>
        <v>0</v>
      </c>
      <c r="GG180" s="58">
        <f t="shared" si="245"/>
        <v>0</v>
      </c>
      <c r="GH180" s="58">
        <f t="shared" si="246"/>
        <v>0</v>
      </c>
      <c r="GI180" s="58">
        <f t="shared" si="306"/>
        <v>0</v>
      </c>
      <c r="GK180" s="58">
        <f>IF(i_baseline_risk_from=2,'Effectiveness settings'!FA180,'Effectiveness settings'!FM180)</f>
        <v>1</v>
      </c>
      <c r="GL180" s="58">
        <f>IF(i_baseline_risk_from=2,'Effectiveness settings'!FB180,'Effectiveness settings'!FN180)</f>
        <v>7</v>
      </c>
      <c r="GM180" s="58">
        <f>IF(i_baseline_risk_from=2,'Effectiveness settings'!FC180,'Effectiveness settings'!FO180)</f>
        <v>2</v>
      </c>
      <c r="GN180" s="58">
        <f>IF(i_baseline_risk_from=2,'Effectiveness settings'!FD180,'Effectiveness settings'!FP180)</f>
        <v>3</v>
      </c>
      <c r="GQ180" s="58">
        <f t="shared" si="247"/>
        <v>7</v>
      </c>
      <c r="GR180" s="58">
        <f t="shared" si="248"/>
        <v>7</v>
      </c>
      <c r="GS180" s="58">
        <f t="shared" si="249"/>
        <v>7</v>
      </c>
      <c r="GT180" s="58">
        <f t="shared" si="250"/>
        <v>7</v>
      </c>
      <c r="GU180" s="58">
        <f>IF(AND(dd_CheckMate214_TTD="Yes",'Effectiveness settings'!BU180=2,'Effectiveness settings'!BX180=2),2,GT180)</f>
        <v>7</v>
      </c>
      <c r="GV180" s="58">
        <f t="shared" si="251"/>
        <v>7</v>
      </c>
      <c r="GW180" s="58">
        <f t="shared" si="252"/>
        <v>7</v>
      </c>
      <c r="GY180" s="58">
        <f>IF(AND(dd_CheckMate214_TTD="Yes",'Effectiveness settings'!BU180=2,'Effectiveness settings'!BX180=2),1,GN180)</f>
        <v>3</v>
      </c>
      <c r="GZ180" s="58">
        <f t="shared" si="253"/>
        <v>3</v>
      </c>
      <c r="HB180" s="58">
        <f t="shared" si="254"/>
        <v>2</v>
      </c>
      <c r="HD180" s="58">
        <f t="shared" si="227"/>
        <v>2</v>
      </c>
      <c r="HE180" s="58">
        <f t="shared" si="228"/>
        <v>1</v>
      </c>
      <c r="HF180" s="58">
        <f t="shared" si="229"/>
        <v>7</v>
      </c>
      <c r="HG180" s="58">
        <f t="shared" si="230"/>
        <v>2</v>
      </c>
      <c r="HH180" s="58">
        <f t="shared" si="231"/>
        <v>3</v>
      </c>
    </row>
    <row r="181" spans="1:216" ht="15.75" x14ac:dyDescent="0.25">
      <c r="A181" s="58" t="s">
        <v>569</v>
      </c>
      <c r="D181" s="58" t="str">
        <v>cabozantinib_plus_nivolumab</v>
      </c>
      <c r="I181" s="64" t="s">
        <v>74</v>
      </c>
      <c r="J181" s="519" t="s">
        <v>555</v>
      </c>
      <c r="K181" s="524" t="s">
        <v>67</v>
      </c>
      <c r="L181" s="519"/>
      <c r="M181" s="516" t="s">
        <v>559</v>
      </c>
      <c r="N181" s="64" t="s">
        <v>546</v>
      </c>
      <c r="O181" s="64" t="s">
        <v>117</v>
      </c>
      <c r="P181" s="64" t="s">
        <v>547</v>
      </c>
      <c r="Q181" s="519" t="s">
        <v>555</v>
      </c>
      <c r="R181" s="516" t="s">
        <v>548</v>
      </c>
      <c r="S181" s="497"/>
      <c r="T181" s="497"/>
      <c r="U181" s="497"/>
      <c r="Y181" s="517"/>
      <c r="AA181" s="517"/>
      <c r="AF181" s="517"/>
      <c r="AM181" s="517"/>
      <c r="AO181" s="517"/>
      <c r="AT181" s="517"/>
      <c r="AV181" s="511"/>
      <c r="AW181" s="511"/>
      <c r="AX181" s="511"/>
      <c r="BA181" s="517"/>
      <c r="BC181" s="517"/>
      <c r="BH181" s="517"/>
      <c r="BJ181" s="511"/>
      <c r="BK181" s="511"/>
      <c r="BL181" s="511"/>
      <c r="BQ181" s="58">
        <f t="shared" si="234"/>
        <v>114</v>
      </c>
      <c r="BR181" s="17">
        <v>2</v>
      </c>
      <c r="BS181" s="17" t="s">
        <v>559</v>
      </c>
      <c r="BT181" s="17">
        <v>1</v>
      </c>
      <c r="BU181" s="17">
        <v>1</v>
      </c>
      <c r="BV181" s="17" t="str">
        <f t="shared" si="308"/>
        <v>cabozantinib_plus_nivolumab</v>
      </c>
      <c r="BW181" s="1006" t="str" cm="1">
        <f t="array" ref="BW181">IF(I181="No",I181,INDEX(List_incl_anal_1L_fav,IF(BU181=999,35,BU181+1)))</f>
        <v>Yes</v>
      </c>
      <c r="BX181" s="61">
        <f t="shared" si="309"/>
        <v>3</v>
      </c>
      <c r="BY181" s="531" t="str">
        <f>J181</f>
        <v>Time to progression</v>
      </c>
      <c r="BZ181" s="530" t="str">
        <f t="shared" si="310"/>
        <v>PH_NMA</v>
      </c>
      <c r="CA181" s="531">
        <f t="shared" ref="CA181:CA193" si="332">FT181</f>
        <v>0</v>
      </c>
      <c r="CB181" s="530">
        <f t="shared" si="311"/>
        <v>2</v>
      </c>
      <c r="CC181" s="530">
        <f t="shared" si="312"/>
        <v>1</v>
      </c>
      <c r="CD181" s="530">
        <f t="shared" si="313"/>
        <v>7</v>
      </c>
      <c r="CE181" s="1295">
        <f t="shared" si="314"/>
        <v>2</v>
      </c>
      <c r="CF181" s="1301">
        <f t="shared" si="315"/>
        <v>3</v>
      </c>
      <c r="CG181" s="530" t="str">
        <f t="shared" si="316"/>
        <v>Log-logistic</v>
      </c>
      <c r="CH181" s="61">
        <f t="shared" si="317"/>
        <v>0</v>
      </c>
      <c r="CI181" s="61">
        <f t="shared" si="318"/>
        <v>0</v>
      </c>
      <c r="CJ181" s="61">
        <f t="shared" si="319"/>
        <v>0</v>
      </c>
      <c r="DA181" s="1024"/>
      <c r="DB181" s="1024"/>
      <c r="DC181" s="1024"/>
      <c r="DD181" s="1024"/>
      <c r="DE181" s="1024"/>
      <c r="DF181" s="1024"/>
      <c r="DG181" s="1024"/>
      <c r="DK181" s="58" t="str" cm="1">
        <f t="array" ref="DK181">IF(AND($BT181=4,$BX181=4,$BU181=999),$DB$36,_xlfn.IFNA(INDEX(DB$13:DB$70,MATCH(1,($BR181=$CV$13:$CV$70)*($BT181=$CX$13:$CX$70)*($CE181=$CY$13:$CY$70)*($BY181=$DA$13:$DA$70)*($CD181=$DH$13:$DH$70),0)),""))</f>
        <v>Log-logistic</v>
      </c>
      <c r="DL181" s="58" t="str" cm="1">
        <f t="array" ref="DL181">IF(AND($BT181=4,$BX181=4,$BU181=999),$DC$36,_xlfn.IFNA(INDEX(CHOOSE(DP181,DB$13:DB$70,DC$13:DC$70,DD$13:DD$70,DE$13:DE$70),MATCH(1,($BR181=$CV$13:$CV$70)*($BT181=$CX$13:$CX$70)*($CE181=$CY$13:$CY$70)*($BY181=$DA$13:$DA$70)*($CD181=$DH$13:$DH$70),0)),""))</f>
        <v>Log-logistic</v>
      </c>
      <c r="DM181" s="740" cm="1">
        <f t="array" ref="DM181">IF(AND($BT181=4,$BX181=4,$BU181=999),$DD$36,_xlfn.IFNA(INDEX(DD$13:DD$68,MATCH(1,($BR181=$CV$13:$CV$68)*($BT181=$CX$13:$CX$68)*($CE181=$CY$13:$CY$68)*($BY181=$DA$13:$DA$68)*($CD181=$DH$13:$DH$68),0)),""))</f>
        <v>0</v>
      </c>
      <c r="DN181" s="740" cm="1">
        <f t="array" ref="DN181">IF(AND($BT181=4,$BX181=4,$BU181=999),$DD$36,_xlfn.IFNA(INDEX(DE$13:DE$68,MATCH(1,($BR181=$CV$13:$CV$68)*($BT181=$CX$13:$CX$68)*($CE181=$CY$13:$CY$68)*($BY181=$DA$13:$DA$68)*($CD181=$DH$13:$DH$68),0)),""))</f>
        <v>0</v>
      </c>
      <c r="DO181" s="58" t="str" cm="1">
        <f t="array" ref="DO181">IF(AND($BT181=4,$BX181=4,$BU181=999),$DF$36,_xlfn.IFNA(INDEX(DF$13:DF$70,MATCH(1,($BR181=$CV$13:$CV$70)*($BT181=$CX$13:$CX$70)*($CE181=$CY$13:$CY$70)*($BY181=$DA$13:$DA$70)*($CD181=$DH$13:$DH$70),0)),""))</f>
        <v>Base case</v>
      </c>
      <c r="DP181" s="58">
        <f t="shared" si="235"/>
        <v>1</v>
      </c>
      <c r="DW181" s="58" t="s">
        <v>74</v>
      </c>
      <c r="DX181" s="58" t="s">
        <v>555</v>
      </c>
      <c r="DY181" s="58" t="s">
        <v>67</v>
      </c>
      <c r="DZ181" s="58">
        <v>0</v>
      </c>
      <c r="EB181" s="58">
        <v>2</v>
      </c>
      <c r="EC181" s="58">
        <v>1</v>
      </c>
      <c r="ED181" s="58">
        <v>7</v>
      </c>
      <c r="EE181" s="58">
        <v>2</v>
      </c>
      <c r="EF181" s="58">
        <v>3</v>
      </c>
      <c r="EI181" s="58" t="s">
        <v>74</v>
      </c>
      <c r="EJ181" s="58" t="s">
        <v>555</v>
      </c>
      <c r="EK181" s="58" t="s">
        <v>67</v>
      </c>
      <c r="EL181" s="58">
        <v>0</v>
      </c>
      <c r="EN181" s="58">
        <v>2</v>
      </c>
      <c r="EO181" s="58">
        <v>1</v>
      </c>
      <c r="EP181" s="58">
        <v>7</v>
      </c>
      <c r="EQ181" s="58">
        <v>0</v>
      </c>
      <c r="ER181" s="58">
        <v>3</v>
      </c>
      <c r="EU181" s="58" t="str">
        <f t="shared" si="320"/>
        <v>Yes</v>
      </c>
      <c r="EV181" s="58" t="str">
        <f t="shared" si="321"/>
        <v>Time to progression</v>
      </c>
      <c r="EW181" s="58" t="str">
        <f t="shared" si="322"/>
        <v>PH_NMA</v>
      </c>
      <c r="EX181" s="58">
        <f t="shared" si="323"/>
        <v>0</v>
      </c>
      <c r="EZ181" s="58">
        <f t="shared" si="324"/>
        <v>2</v>
      </c>
      <c r="FA181" s="58">
        <f t="shared" si="325"/>
        <v>1</v>
      </c>
      <c r="FB181" s="58">
        <f>IF(i_eff_inputs_based_on_num=2,ED181,(INDEX(Lists!$L$51:$L$85,MATCH(O181,Lists!$K$51:$K$85,0))))</f>
        <v>7</v>
      </c>
      <c r="FC181" s="58">
        <f>IF(i_eff_inputs_based_on_num=2,EE181,(INDEX(Lists!$L$51:$L$85,MATCH(P181,Lists!$K$51:$K$85,0))))</f>
        <v>2</v>
      </c>
      <c r="FD181" s="58">
        <f>IF(i_eff_inputs_based_on_num=2,EF181,(INDEX(Lists!$L$51:$L$85,MATCH(Q181,Lists!$K$51:$K$85,0))))</f>
        <v>3</v>
      </c>
      <c r="FG181" s="58" t="str">
        <f t="shared" si="326"/>
        <v>Yes</v>
      </c>
      <c r="FH181" s="58" t="str">
        <f t="shared" si="327"/>
        <v>Time to progression</v>
      </c>
      <c r="FI181" s="58" t="str">
        <f t="shared" si="328"/>
        <v>PH_NMA</v>
      </c>
      <c r="FJ181" s="58">
        <f t="shared" si="329"/>
        <v>0</v>
      </c>
      <c r="FL181" s="58">
        <f t="shared" si="330"/>
        <v>2</v>
      </c>
      <c r="FM181" s="58">
        <f t="shared" si="331"/>
        <v>1</v>
      </c>
      <c r="FN181" s="58">
        <f>IF(i_eff_inputs_based_on_num=2,EP181,(INDEX(Lists!$L$51:$L$85,MATCH(O181,Lists!$K$51:$K$85,0))))</f>
        <v>7</v>
      </c>
      <c r="FO181" s="58">
        <f>IF(i_eff_inputs_based_on_num=2,EQ181,(INDEX(Lists!$L$51:$L$85,MATCH(P181,Lists!$K$51:$K$85,0))))</f>
        <v>0</v>
      </c>
      <c r="FP181" s="58">
        <f>IF(i_eff_inputs_based_on_num=2,ER181,(INDEX(Lists!$L$51:$L$85,MATCH(Q181,Lists!$K$51:$K$85,0))))</f>
        <v>3</v>
      </c>
      <c r="FT181" s="58">
        <f t="shared" si="236"/>
        <v>0</v>
      </c>
      <c r="FW181" s="58" t="str">
        <f>IF(i_baseline_risk_from=2,'Effectiveness settings'!EW181,'Effectiveness settings'!FI181)</f>
        <v>PH_NMA</v>
      </c>
      <c r="FX181" s="58" t="str">
        <f t="shared" si="237"/>
        <v>PH_NMA</v>
      </c>
      <c r="FY181" s="58" t="str">
        <f t="shared" si="238"/>
        <v>PH_NMA</v>
      </c>
      <c r="FZ181" s="58" t="str">
        <f t="shared" si="239"/>
        <v>PH_NMA</v>
      </c>
      <c r="GA181" s="58" t="str">
        <f t="shared" si="240"/>
        <v>PH_NMA</v>
      </c>
      <c r="GB181" s="58" t="str">
        <f t="shared" si="241"/>
        <v>PH_NMA</v>
      </c>
      <c r="GC181" s="58" t="str">
        <f t="shared" si="242"/>
        <v>PH_NMA</v>
      </c>
      <c r="GD181" s="58" t="str">
        <f t="shared" si="243"/>
        <v>PH_NMA</v>
      </c>
      <c r="GE181" s="58" t="str">
        <f>IF(AND(dd_CheckMate214_TTD="Yes",'Effectiveness settings'!BU181=2,'Effectiveness settings'!BX181=2),"Apply HR to",GD181)</f>
        <v>PH_NMA</v>
      </c>
      <c r="GF181" s="58" t="str">
        <f t="shared" si="244"/>
        <v>PH_NMA</v>
      </c>
      <c r="GG181" s="58" t="str">
        <f t="shared" si="245"/>
        <v>PH_NMA</v>
      </c>
      <c r="GH181" s="58" t="str">
        <f t="shared" si="246"/>
        <v>PH_NMA</v>
      </c>
      <c r="GI181" s="58" t="str">
        <f t="shared" si="306"/>
        <v>PH_NMA</v>
      </c>
      <c r="GK181" s="58">
        <f>IF(i_baseline_risk_from=2,'Effectiveness settings'!FA181,'Effectiveness settings'!FM181)</f>
        <v>1</v>
      </c>
      <c r="GL181" s="58">
        <f>IF(i_baseline_risk_from=2,'Effectiveness settings'!FB181,'Effectiveness settings'!FN181)</f>
        <v>7</v>
      </c>
      <c r="GM181" s="58">
        <f>IF(i_baseline_risk_from=2,'Effectiveness settings'!FC181,'Effectiveness settings'!FO181)</f>
        <v>2</v>
      </c>
      <c r="GN181" s="58">
        <f>IF(i_baseline_risk_from=2,'Effectiveness settings'!FD181,'Effectiveness settings'!FP181)</f>
        <v>3</v>
      </c>
      <c r="GQ181" s="58">
        <f t="shared" si="247"/>
        <v>7</v>
      </c>
      <c r="GR181" s="58">
        <f t="shared" si="248"/>
        <v>7</v>
      </c>
      <c r="GS181" s="58">
        <f t="shared" si="249"/>
        <v>7</v>
      </c>
      <c r="GT181" s="58">
        <f t="shared" si="250"/>
        <v>7</v>
      </c>
      <c r="GU181" s="58">
        <f>IF(AND(dd_CheckMate214_TTD="Yes",'Effectiveness settings'!BU181=2,'Effectiveness settings'!BX181=2),2,GT181)</f>
        <v>7</v>
      </c>
      <c r="GV181" s="58">
        <f t="shared" si="251"/>
        <v>7</v>
      </c>
      <c r="GW181" s="58">
        <f t="shared" si="252"/>
        <v>7</v>
      </c>
      <c r="GY181" s="58">
        <f>IF(AND(dd_CheckMate214_TTD="Yes",'Effectiveness settings'!BU181=2,'Effectiveness settings'!BX181=2),1,GN181)</f>
        <v>3</v>
      </c>
      <c r="GZ181" s="58">
        <f t="shared" si="253"/>
        <v>3</v>
      </c>
      <c r="HB181" s="58">
        <f t="shared" si="254"/>
        <v>2</v>
      </c>
      <c r="HD181" s="58">
        <f t="shared" si="227"/>
        <v>2</v>
      </c>
      <c r="HE181" s="58">
        <f t="shared" si="228"/>
        <v>1</v>
      </c>
      <c r="HF181" s="58">
        <f t="shared" si="229"/>
        <v>7</v>
      </c>
      <c r="HG181" s="58">
        <f t="shared" si="230"/>
        <v>2</v>
      </c>
      <c r="HH181" s="58">
        <f t="shared" si="231"/>
        <v>3</v>
      </c>
    </row>
    <row r="182" spans="1:216" ht="15.75" x14ac:dyDescent="0.25">
      <c r="D182" s="58" t="str">
        <v>nivolumab_plus_ipilimumab</v>
      </c>
      <c r="I182" s="64" t="s">
        <v>58</v>
      </c>
      <c r="J182" s="519" t="s">
        <v>555</v>
      </c>
      <c r="K182" s="524" t="s">
        <v>67</v>
      </c>
      <c r="L182" s="519"/>
      <c r="M182" s="516" t="s">
        <v>559</v>
      </c>
      <c r="N182" s="64" t="s">
        <v>546</v>
      </c>
      <c r="O182" s="64" t="s">
        <v>117</v>
      </c>
      <c r="P182" s="64" t="s">
        <v>547</v>
      </c>
      <c r="Q182" s="519" t="s">
        <v>555</v>
      </c>
      <c r="R182" s="516" t="s">
        <v>548</v>
      </c>
      <c r="S182" s="497"/>
      <c r="T182" s="497"/>
      <c r="U182" s="497"/>
      <c r="Y182" s="517"/>
      <c r="AA182" s="517"/>
      <c r="AF182" s="517"/>
      <c r="AM182" s="517"/>
      <c r="AO182" s="517"/>
      <c r="AT182" s="517"/>
      <c r="AV182" s="511"/>
      <c r="AW182" s="511"/>
      <c r="AX182" s="511"/>
      <c r="BA182" s="517"/>
      <c r="BC182" s="517"/>
      <c r="BH182" s="517"/>
      <c r="BJ182" s="511"/>
      <c r="BK182" s="511"/>
      <c r="BL182" s="511"/>
      <c r="BQ182" s="58">
        <f t="shared" si="234"/>
        <v>115</v>
      </c>
      <c r="BR182" s="17">
        <v>2</v>
      </c>
      <c r="BS182" s="17" t="s">
        <v>559</v>
      </c>
      <c r="BT182" s="17">
        <v>1</v>
      </c>
      <c r="BU182" s="17">
        <v>2</v>
      </c>
      <c r="BV182" s="17" t="str">
        <f t="shared" si="308"/>
        <v>nivolumab_plus_ipilimumab</v>
      </c>
      <c r="BW182" s="1006" t="str" cm="1">
        <f t="array" ref="BW182">IF(I182="No",I182,INDEX(List_incl_anal_1L_fav,IF(BU182=999,35,BU182+1)))</f>
        <v>No</v>
      </c>
      <c r="BX182" s="61">
        <f t="shared" si="309"/>
        <v>3</v>
      </c>
      <c r="BY182" s="531" t="str">
        <f>J182</f>
        <v>Time to progression</v>
      </c>
      <c r="BZ182" s="530">
        <f t="shared" si="310"/>
        <v>0</v>
      </c>
      <c r="CA182" s="531">
        <f t="shared" si="332"/>
        <v>0</v>
      </c>
      <c r="CB182" s="530">
        <f t="shared" si="311"/>
        <v>2</v>
      </c>
      <c r="CC182" s="530">
        <f t="shared" si="312"/>
        <v>1</v>
      </c>
      <c r="CD182" s="530">
        <f t="shared" si="313"/>
        <v>7</v>
      </c>
      <c r="CE182" s="1295">
        <f t="shared" si="314"/>
        <v>2</v>
      </c>
      <c r="CF182" s="1301">
        <f t="shared" si="315"/>
        <v>3</v>
      </c>
      <c r="CG182" s="530" t="str">
        <f t="shared" si="316"/>
        <v>Log-logistic</v>
      </c>
      <c r="CH182" s="61">
        <f t="shared" si="317"/>
        <v>0</v>
      </c>
      <c r="CI182" s="61">
        <f t="shared" si="318"/>
        <v>0</v>
      </c>
      <c r="CJ182" s="61">
        <f t="shared" si="319"/>
        <v>0</v>
      </c>
      <c r="DA182" s="1024"/>
      <c r="DB182" s="1024"/>
      <c r="DC182" s="1024"/>
      <c r="DD182" s="1024"/>
      <c r="DE182" s="1024"/>
      <c r="DF182" s="1024"/>
      <c r="DG182" s="1024"/>
      <c r="DK182" s="58" t="str" cm="1">
        <f t="array" ref="DK182">IF(AND($BT182=4,$BX182=4,$BU182=999),$DB$36,_xlfn.IFNA(INDEX(DB$13:DB$70,MATCH(1,($BR182=$CV$13:$CV$70)*($BT182=$CX$13:$CX$70)*($CE182=$CY$13:$CY$70)*($BY182=$DA$13:$DA$70)*($CD182=$DH$13:$DH$70),0)),""))</f>
        <v>Log-logistic</v>
      </c>
      <c r="DL182" s="58" t="str" cm="1">
        <f t="array" ref="DL182">IF(AND($BT182=4,$BX182=4,$BU182=999),$DC$36,_xlfn.IFNA(INDEX(CHOOSE(DP182,DB$13:DB$70,DC$13:DC$70,DD$13:DD$70,DE$13:DE$70),MATCH(1,($BR182=$CV$13:$CV$70)*($BT182=$CX$13:$CX$70)*($CE182=$CY$13:$CY$70)*($BY182=$DA$13:$DA$70)*($CD182=$DH$13:$DH$70),0)),""))</f>
        <v>Log-logistic</v>
      </c>
      <c r="DM182" s="740" cm="1">
        <f t="array" ref="DM182">IF(AND($BT182=4,$BX182=4,$BU182=999),$DD$36,_xlfn.IFNA(INDEX(DD$13:DD$68,MATCH(1,($BR182=$CV$13:$CV$68)*($BT182=$CX$13:$CX$68)*($CE182=$CY$13:$CY$68)*($BY182=$DA$13:$DA$68)*($CD182=$DH$13:$DH$68),0)),""))</f>
        <v>0</v>
      </c>
      <c r="DN182" s="740" cm="1">
        <f t="array" ref="DN182">IF(AND($BT182=4,$BX182=4,$BU182=999),$DD$36,_xlfn.IFNA(INDEX(DE$13:DE$68,MATCH(1,($BR182=$CV$13:$CV$68)*($BT182=$CX$13:$CX$68)*($CE182=$CY$13:$CY$68)*($BY182=$DA$13:$DA$68)*($CD182=$DH$13:$DH$68),0)),""))</f>
        <v>0</v>
      </c>
      <c r="DO182" s="58" t="str" cm="1">
        <f t="array" ref="DO182">IF(AND($BT182=4,$BX182=4,$BU182=999),$DF$36,_xlfn.IFNA(INDEX(DF$13:DF$70,MATCH(1,($BR182=$CV$13:$CV$70)*($BT182=$CX$13:$CX$70)*($CE182=$CY$13:$CY$70)*($BY182=$DA$13:$DA$70)*($CD182=$DH$13:$DH$70),0)),""))</f>
        <v>Base case</v>
      </c>
      <c r="DP182" s="58">
        <f t="shared" si="235"/>
        <v>1</v>
      </c>
      <c r="DW182" s="58" t="s">
        <v>58</v>
      </c>
      <c r="DX182" s="58" t="s">
        <v>555</v>
      </c>
      <c r="DY182" s="58">
        <v>0</v>
      </c>
      <c r="DZ182" s="58">
        <v>0</v>
      </c>
      <c r="EB182" s="58">
        <v>2</v>
      </c>
      <c r="EC182" s="58">
        <v>1</v>
      </c>
      <c r="ED182" s="58">
        <v>7</v>
      </c>
      <c r="EE182" s="58">
        <v>2</v>
      </c>
      <c r="EF182" s="58">
        <v>3</v>
      </c>
      <c r="EI182" s="58" t="s">
        <v>58</v>
      </c>
      <c r="EJ182" s="58" t="s">
        <v>555</v>
      </c>
      <c r="EK182" s="58">
        <v>0</v>
      </c>
      <c r="EL182" s="58">
        <v>0</v>
      </c>
      <c r="EN182" s="58">
        <v>2</v>
      </c>
      <c r="EO182" s="58">
        <v>1</v>
      </c>
      <c r="EP182" s="58">
        <v>7</v>
      </c>
      <c r="EQ182" s="58">
        <v>0</v>
      </c>
      <c r="ER182" s="58">
        <v>3</v>
      </c>
      <c r="EU182" s="58" t="str">
        <f t="shared" si="320"/>
        <v>No</v>
      </c>
      <c r="EV182" s="58" t="str">
        <f t="shared" si="321"/>
        <v>Time to progression</v>
      </c>
      <c r="EW182" s="58">
        <f t="shared" si="322"/>
        <v>0</v>
      </c>
      <c r="EX182" s="58">
        <f t="shared" si="323"/>
        <v>0</v>
      </c>
      <c r="EZ182" s="58">
        <f t="shared" si="324"/>
        <v>2</v>
      </c>
      <c r="FA182" s="58">
        <f t="shared" si="325"/>
        <v>1</v>
      </c>
      <c r="FB182" s="58">
        <f>IF(i_eff_inputs_based_on_num=2,ED182,(INDEX(Lists!$L$51:$L$85,MATCH(O182,Lists!$K$51:$K$85,0))))</f>
        <v>7</v>
      </c>
      <c r="FC182" s="58">
        <f>IF(i_eff_inputs_based_on_num=2,EE182,(INDEX(Lists!$L$51:$L$85,MATCH(P182,Lists!$K$51:$K$85,0))))</f>
        <v>2</v>
      </c>
      <c r="FD182" s="58">
        <f>IF(i_eff_inputs_based_on_num=2,EF182,(INDEX(Lists!$L$51:$L$85,MATCH(Q182,Lists!$K$51:$K$85,0))))</f>
        <v>3</v>
      </c>
      <c r="FG182" s="58" t="str">
        <f t="shared" si="326"/>
        <v>No</v>
      </c>
      <c r="FH182" s="58" t="str">
        <f t="shared" si="327"/>
        <v>Time to progression</v>
      </c>
      <c r="FI182" s="58">
        <f t="shared" si="328"/>
        <v>0</v>
      </c>
      <c r="FJ182" s="58">
        <f t="shared" si="329"/>
        <v>0</v>
      </c>
      <c r="FL182" s="58">
        <f t="shared" si="330"/>
        <v>2</v>
      </c>
      <c r="FM182" s="58">
        <f t="shared" si="331"/>
        <v>1</v>
      </c>
      <c r="FN182" s="58">
        <f>IF(i_eff_inputs_based_on_num=2,EP182,(INDEX(Lists!$L$51:$L$85,MATCH(O182,Lists!$K$51:$K$85,0))))</f>
        <v>7</v>
      </c>
      <c r="FO182" s="58">
        <f>IF(i_eff_inputs_based_on_num=2,EQ182,(INDEX(Lists!$L$51:$L$85,MATCH(P182,Lists!$K$51:$K$85,0))))</f>
        <v>0</v>
      </c>
      <c r="FP182" s="58">
        <f>IF(i_eff_inputs_based_on_num=2,ER182,(INDEX(Lists!$L$51:$L$85,MATCH(Q182,Lists!$K$51:$K$85,0))))</f>
        <v>3</v>
      </c>
      <c r="FT182" s="58">
        <f t="shared" si="236"/>
        <v>0</v>
      </c>
      <c r="FW182" s="58">
        <f>IF(i_baseline_risk_from=2,'Effectiveness settings'!EW182,'Effectiveness settings'!FI182)</f>
        <v>0</v>
      </c>
      <c r="FX182" s="58">
        <f t="shared" si="237"/>
        <v>0</v>
      </c>
      <c r="FY182" s="58">
        <f t="shared" si="238"/>
        <v>0</v>
      </c>
      <c r="FZ182" s="58">
        <f t="shared" si="239"/>
        <v>0</v>
      </c>
      <c r="GA182" s="58">
        <f t="shared" si="240"/>
        <v>0</v>
      </c>
      <c r="GB182" s="58">
        <f t="shared" si="241"/>
        <v>0</v>
      </c>
      <c r="GC182" s="58">
        <f t="shared" si="242"/>
        <v>0</v>
      </c>
      <c r="GD182" s="58">
        <f t="shared" si="243"/>
        <v>0</v>
      </c>
      <c r="GE182" s="58">
        <f>IF(AND(dd_CheckMate214_TTD="Yes",'Effectiveness settings'!BU182=2,'Effectiveness settings'!BX182=2),"Apply HR to",GD182)</f>
        <v>0</v>
      </c>
      <c r="GF182" s="58">
        <f t="shared" si="244"/>
        <v>0</v>
      </c>
      <c r="GG182" s="58">
        <f t="shared" si="245"/>
        <v>0</v>
      </c>
      <c r="GH182" s="58">
        <f t="shared" si="246"/>
        <v>0</v>
      </c>
      <c r="GI182" s="58">
        <f t="shared" si="306"/>
        <v>0</v>
      </c>
      <c r="GK182" s="58">
        <f>IF(i_baseline_risk_from=2,'Effectiveness settings'!FA182,'Effectiveness settings'!FM182)</f>
        <v>1</v>
      </c>
      <c r="GL182" s="58">
        <f>IF(i_baseline_risk_from=2,'Effectiveness settings'!FB182,'Effectiveness settings'!FN182)</f>
        <v>7</v>
      </c>
      <c r="GM182" s="58">
        <f>IF(i_baseline_risk_from=2,'Effectiveness settings'!FC182,'Effectiveness settings'!FO182)</f>
        <v>2</v>
      </c>
      <c r="GN182" s="58">
        <f>IF(i_baseline_risk_from=2,'Effectiveness settings'!FD182,'Effectiveness settings'!FP182)</f>
        <v>3</v>
      </c>
      <c r="GQ182" s="58">
        <f t="shared" si="247"/>
        <v>7</v>
      </c>
      <c r="GR182" s="58">
        <f t="shared" si="248"/>
        <v>7</v>
      </c>
      <c r="GS182" s="58">
        <f t="shared" si="249"/>
        <v>7</v>
      </c>
      <c r="GT182" s="58">
        <f t="shared" si="250"/>
        <v>7</v>
      </c>
      <c r="GU182" s="58">
        <f>IF(AND(dd_CheckMate214_TTD="Yes",'Effectiveness settings'!BU182=2,'Effectiveness settings'!BX182=2),2,GT182)</f>
        <v>7</v>
      </c>
      <c r="GV182" s="58">
        <f t="shared" si="251"/>
        <v>7</v>
      </c>
      <c r="GW182" s="58">
        <f t="shared" si="252"/>
        <v>7</v>
      </c>
      <c r="GY182" s="58">
        <f>IF(AND(dd_CheckMate214_TTD="Yes",'Effectiveness settings'!BU182=2,'Effectiveness settings'!BX182=2),1,GN182)</f>
        <v>3</v>
      </c>
      <c r="GZ182" s="58">
        <f t="shared" si="253"/>
        <v>3</v>
      </c>
      <c r="HB182" s="58">
        <f t="shared" si="254"/>
        <v>2</v>
      </c>
      <c r="HD182" s="58">
        <f t="shared" si="227"/>
        <v>2</v>
      </c>
      <c r="HE182" s="58">
        <f t="shared" si="228"/>
        <v>1</v>
      </c>
      <c r="HF182" s="58">
        <f t="shared" si="229"/>
        <v>7</v>
      </c>
      <c r="HG182" s="58">
        <f t="shared" si="230"/>
        <v>2</v>
      </c>
      <c r="HH182" s="58">
        <f t="shared" si="231"/>
        <v>3</v>
      </c>
    </row>
    <row r="183" spans="1:216" ht="15.75" x14ac:dyDescent="0.25">
      <c r="D183" s="58" t="str">
        <v>lenvatinib_plus_pembrolizumab</v>
      </c>
      <c r="I183" s="64" t="s">
        <v>58</v>
      </c>
      <c r="J183" s="519" t="s">
        <v>555</v>
      </c>
      <c r="K183" s="524" t="s">
        <v>67</v>
      </c>
      <c r="L183" s="519"/>
      <c r="M183" s="516" t="s">
        <v>559</v>
      </c>
      <c r="N183" s="64" t="s">
        <v>546</v>
      </c>
      <c r="O183" s="64" t="s">
        <v>117</v>
      </c>
      <c r="P183" s="64" t="s">
        <v>547</v>
      </c>
      <c r="Q183" s="519" t="s">
        <v>555</v>
      </c>
      <c r="R183" s="516" t="s">
        <v>548</v>
      </c>
      <c r="S183" s="497"/>
      <c r="T183" s="497"/>
      <c r="U183" s="497"/>
      <c r="Y183" s="517"/>
      <c r="AA183" s="517"/>
      <c r="AF183" s="517"/>
      <c r="AM183" s="517"/>
      <c r="AO183" s="517"/>
      <c r="AT183" s="517"/>
      <c r="AV183" s="511"/>
      <c r="AW183" s="511"/>
      <c r="AX183" s="511"/>
      <c r="BA183" s="517"/>
      <c r="BC183" s="517"/>
      <c r="BH183" s="517"/>
      <c r="BJ183" s="511"/>
      <c r="BK183" s="511"/>
      <c r="BL183" s="511"/>
      <c r="BQ183" s="58">
        <f t="shared" si="234"/>
        <v>116</v>
      </c>
      <c r="BR183" s="17">
        <v>2</v>
      </c>
      <c r="BS183" s="17" t="s">
        <v>559</v>
      </c>
      <c r="BT183" s="17">
        <v>1</v>
      </c>
      <c r="BU183" s="17">
        <v>3</v>
      </c>
      <c r="BV183" s="17" t="str">
        <f t="shared" si="308"/>
        <v>lenvatinib_plus_pembrolizumab</v>
      </c>
      <c r="BW183" s="1006" t="str" cm="1">
        <f t="array" ref="BW183">IF(I183="No",I183,INDEX(List_incl_anal_1L_fav,IF(BU183=999,35,BU183+1)))</f>
        <v>No</v>
      </c>
      <c r="BX183" s="61">
        <f t="shared" si="309"/>
        <v>3</v>
      </c>
      <c r="BY183" s="531" t="str">
        <f>J183</f>
        <v>Time to progression</v>
      </c>
      <c r="BZ183" s="530">
        <f t="shared" si="310"/>
        <v>0</v>
      </c>
      <c r="CA183" s="531">
        <f t="shared" si="332"/>
        <v>0</v>
      </c>
      <c r="CB183" s="530">
        <f t="shared" si="311"/>
        <v>2</v>
      </c>
      <c r="CC183" s="530">
        <f t="shared" si="312"/>
        <v>1</v>
      </c>
      <c r="CD183" s="530">
        <f t="shared" si="313"/>
        <v>7</v>
      </c>
      <c r="CE183" s="1295">
        <f t="shared" si="314"/>
        <v>2</v>
      </c>
      <c r="CF183" s="1301">
        <f t="shared" si="315"/>
        <v>3</v>
      </c>
      <c r="CG183" s="530" t="str">
        <f t="shared" si="316"/>
        <v>Log-logistic</v>
      </c>
      <c r="CH183" s="61">
        <f t="shared" si="317"/>
        <v>0</v>
      </c>
      <c r="CI183" s="61">
        <f t="shared" si="318"/>
        <v>0</v>
      </c>
      <c r="CJ183" s="61">
        <f t="shared" si="319"/>
        <v>0</v>
      </c>
      <c r="DA183" s="1024"/>
      <c r="DB183" s="1024"/>
      <c r="DC183" s="1024"/>
      <c r="DD183" s="1024"/>
      <c r="DE183" s="1024"/>
      <c r="DF183" s="1024"/>
      <c r="DG183" s="1024"/>
      <c r="DK183" s="58" t="str" cm="1">
        <f t="array" ref="DK183">IF(AND($BT183=4,$BX183=4,$BU183=999),$DB$36,_xlfn.IFNA(INDEX(DB$13:DB$70,MATCH(1,($BR183=$CV$13:$CV$70)*($BT183=$CX$13:$CX$70)*($CE183=$CY$13:$CY$70)*($BY183=$DA$13:$DA$70)*($CD183=$DH$13:$DH$70),0)),""))</f>
        <v>Log-logistic</v>
      </c>
      <c r="DL183" s="58" t="str" cm="1">
        <f t="array" ref="DL183">IF(AND($BT183=4,$BX183=4,$BU183=999),$DC$36,_xlfn.IFNA(INDEX(CHOOSE(DP183,DB$13:DB$70,DC$13:DC$70,DD$13:DD$70,DE$13:DE$70),MATCH(1,($BR183=$CV$13:$CV$70)*($BT183=$CX$13:$CX$70)*($CE183=$CY$13:$CY$70)*($BY183=$DA$13:$DA$70)*($CD183=$DH$13:$DH$70),0)),""))</f>
        <v>Log-logistic</v>
      </c>
      <c r="DM183" s="740" cm="1">
        <f t="array" ref="DM183">IF(AND($BT183=4,$BX183=4,$BU183=999),$DD$36,_xlfn.IFNA(INDEX(DD$13:DD$68,MATCH(1,($BR183=$CV$13:$CV$68)*($BT183=$CX$13:$CX$68)*($CE183=$CY$13:$CY$68)*($BY183=$DA$13:$DA$68)*($CD183=$DH$13:$DH$68),0)),""))</f>
        <v>0</v>
      </c>
      <c r="DN183" s="740" cm="1">
        <f t="array" ref="DN183">IF(AND($BT183=4,$BX183=4,$BU183=999),$DD$36,_xlfn.IFNA(INDEX(DE$13:DE$68,MATCH(1,($BR183=$CV$13:$CV$68)*($BT183=$CX$13:$CX$68)*($CE183=$CY$13:$CY$68)*($BY183=$DA$13:$DA$68)*($CD183=$DH$13:$DH$68),0)),""))</f>
        <v>0</v>
      </c>
      <c r="DO183" s="58" t="str" cm="1">
        <f t="array" ref="DO183">IF(AND($BT183=4,$BX183=4,$BU183=999),$DF$36,_xlfn.IFNA(INDEX(DF$13:DF$70,MATCH(1,($BR183=$CV$13:$CV$70)*($BT183=$CX$13:$CX$70)*($CE183=$CY$13:$CY$70)*($BY183=$DA$13:$DA$70)*($CD183=$DH$13:$DH$70),0)),""))</f>
        <v>Base case</v>
      </c>
      <c r="DP183" s="58">
        <f t="shared" si="235"/>
        <v>1</v>
      </c>
      <c r="DW183" s="58" t="s">
        <v>58</v>
      </c>
      <c r="DX183" s="58" t="s">
        <v>555</v>
      </c>
      <c r="DY183" s="58">
        <v>0</v>
      </c>
      <c r="DZ183" s="58">
        <v>0</v>
      </c>
      <c r="EB183" s="58">
        <v>2</v>
      </c>
      <c r="EC183" s="58">
        <v>1</v>
      </c>
      <c r="ED183" s="58">
        <v>7</v>
      </c>
      <c r="EE183" s="58">
        <v>2</v>
      </c>
      <c r="EF183" s="58">
        <v>3</v>
      </c>
      <c r="EI183" s="58" t="s">
        <v>58</v>
      </c>
      <c r="EJ183" s="58" t="s">
        <v>555</v>
      </c>
      <c r="EK183" s="58">
        <v>0</v>
      </c>
      <c r="EL183" s="58">
        <v>0</v>
      </c>
      <c r="EN183" s="58">
        <v>2</v>
      </c>
      <c r="EO183" s="58">
        <v>1</v>
      </c>
      <c r="EP183" s="58">
        <v>7</v>
      </c>
      <c r="EQ183" s="58">
        <v>0</v>
      </c>
      <c r="ER183" s="58">
        <v>3</v>
      </c>
      <c r="EU183" s="58" t="str">
        <f t="shared" si="320"/>
        <v>No</v>
      </c>
      <c r="EV183" s="58" t="str">
        <f t="shared" si="321"/>
        <v>Time to progression</v>
      </c>
      <c r="EW183" s="58">
        <f t="shared" si="322"/>
        <v>0</v>
      </c>
      <c r="EX183" s="58">
        <f t="shared" si="323"/>
        <v>0</v>
      </c>
      <c r="EZ183" s="58">
        <f t="shared" si="324"/>
        <v>2</v>
      </c>
      <c r="FA183" s="58">
        <f t="shared" si="325"/>
        <v>1</v>
      </c>
      <c r="FB183" s="58">
        <f>IF(i_eff_inputs_based_on_num=2,ED183,(INDEX(Lists!$L$51:$L$85,MATCH(O183,Lists!$K$51:$K$85,0))))</f>
        <v>7</v>
      </c>
      <c r="FC183" s="58">
        <f>IF(i_eff_inputs_based_on_num=2,EE183,(INDEX(Lists!$L$51:$L$85,MATCH(P183,Lists!$K$51:$K$85,0))))</f>
        <v>2</v>
      </c>
      <c r="FD183" s="58">
        <f>IF(i_eff_inputs_based_on_num=2,EF183,(INDEX(Lists!$L$51:$L$85,MATCH(Q183,Lists!$K$51:$K$85,0))))</f>
        <v>3</v>
      </c>
      <c r="FG183" s="58" t="str">
        <f t="shared" si="326"/>
        <v>No</v>
      </c>
      <c r="FH183" s="58" t="str">
        <f t="shared" si="327"/>
        <v>Time to progression</v>
      </c>
      <c r="FI183" s="58">
        <f t="shared" si="328"/>
        <v>0</v>
      </c>
      <c r="FJ183" s="58">
        <f t="shared" si="329"/>
        <v>0</v>
      </c>
      <c r="FL183" s="58">
        <f t="shared" si="330"/>
        <v>2</v>
      </c>
      <c r="FM183" s="58">
        <f t="shared" si="331"/>
        <v>1</v>
      </c>
      <c r="FN183" s="58">
        <f>IF(i_eff_inputs_based_on_num=2,EP183,(INDEX(Lists!$L$51:$L$85,MATCH(O183,Lists!$K$51:$K$85,0))))</f>
        <v>7</v>
      </c>
      <c r="FO183" s="58">
        <f>IF(i_eff_inputs_based_on_num=2,EQ183,(INDEX(Lists!$L$51:$L$85,MATCH(P183,Lists!$K$51:$K$85,0))))</f>
        <v>0</v>
      </c>
      <c r="FP183" s="58">
        <f>IF(i_eff_inputs_based_on_num=2,ER183,(INDEX(Lists!$L$51:$L$85,MATCH(Q183,Lists!$K$51:$K$85,0))))</f>
        <v>3</v>
      </c>
      <c r="FT183" s="58">
        <f t="shared" si="236"/>
        <v>0</v>
      </c>
      <c r="FW183" s="58">
        <f>IF(i_baseline_risk_from=2,'Effectiveness settings'!EW183,'Effectiveness settings'!FI183)</f>
        <v>0</v>
      </c>
      <c r="FX183" s="58">
        <f t="shared" si="237"/>
        <v>0</v>
      </c>
      <c r="FY183" s="58">
        <f t="shared" si="238"/>
        <v>0</v>
      </c>
      <c r="FZ183" s="58">
        <f t="shared" si="239"/>
        <v>0</v>
      </c>
      <c r="GA183" s="58">
        <f t="shared" si="240"/>
        <v>0</v>
      </c>
      <c r="GB183" s="58">
        <f t="shared" si="241"/>
        <v>0</v>
      </c>
      <c r="GC183" s="58">
        <f t="shared" si="242"/>
        <v>0</v>
      </c>
      <c r="GD183" s="58">
        <f t="shared" si="243"/>
        <v>0</v>
      </c>
      <c r="GE183" s="58">
        <f>IF(AND(dd_CheckMate214_TTD="Yes",'Effectiveness settings'!BU183=2,'Effectiveness settings'!BX183=2),"Apply HR to",GD183)</f>
        <v>0</v>
      </c>
      <c r="GF183" s="58">
        <f t="shared" si="244"/>
        <v>0</v>
      </c>
      <c r="GG183" s="58">
        <f t="shared" si="245"/>
        <v>0</v>
      </c>
      <c r="GH183" s="58">
        <f t="shared" si="246"/>
        <v>0</v>
      </c>
      <c r="GI183" s="58">
        <f t="shared" si="306"/>
        <v>0</v>
      </c>
      <c r="GK183" s="58">
        <f>IF(i_baseline_risk_from=2,'Effectiveness settings'!FA183,'Effectiveness settings'!FM183)</f>
        <v>1</v>
      </c>
      <c r="GL183" s="58">
        <f>IF(i_baseline_risk_from=2,'Effectiveness settings'!FB183,'Effectiveness settings'!FN183)</f>
        <v>7</v>
      </c>
      <c r="GM183" s="58">
        <f>IF(i_baseline_risk_from=2,'Effectiveness settings'!FC183,'Effectiveness settings'!FO183)</f>
        <v>2</v>
      </c>
      <c r="GN183" s="58">
        <f>IF(i_baseline_risk_from=2,'Effectiveness settings'!FD183,'Effectiveness settings'!FP183)</f>
        <v>3</v>
      </c>
      <c r="GQ183" s="58">
        <f t="shared" si="247"/>
        <v>7</v>
      </c>
      <c r="GR183" s="58">
        <f t="shared" si="248"/>
        <v>7</v>
      </c>
      <c r="GS183" s="58">
        <f t="shared" si="249"/>
        <v>7</v>
      </c>
      <c r="GT183" s="58">
        <f t="shared" si="250"/>
        <v>7</v>
      </c>
      <c r="GU183" s="58">
        <f>IF(AND(dd_CheckMate214_TTD="Yes",'Effectiveness settings'!BU183=2,'Effectiveness settings'!BX183=2),2,GT183)</f>
        <v>7</v>
      </c>
      <c r="GV183" s="58">
        <f t="shared" si="251"/>
        <v>7</v>
      </c>
      <c r="GW183" s="58">
        <f t="shared" si="252"/>
        <v>7</v>
      </c>
      <c r="GY183" s="58">
        <f>IF(AND(dd_CheckMate214_TTD="Yes",'Effectiveness settings'!BU183=2,'Effectiveness settings'!BX183=2),1,GN183)</f>
        <v>3</v>
      </c>
      <c r="GZ183" s="58">
        <f t="shared" si="253"/>
        <v>3</v>
      </c>
      <c r="HB183" s="58">
        <f t="shared" si="254"/>
        <v>2</v>
      </c>
      <c r="HD183" s="58">
        <f t="shared" si="227"/>
        <v>2</v>
      </c>
      <c r="HE183" s="58">
        <f t="shared" si="228"/>
        <v>1</v>
      </c>
      <c r="HF183" s="58">
        <f t="shared" si="229"/>
        <v>7</v>
      </c>
      <c r="HG183" s="58">
        <f t="shared" si="230"/>
        <v>2</v>
      </c>
      <c r="HH183" s="58">
        <f t="shared" si="231"/>
        <v>3</v>
      </c>
    </row>
    <row r="184" spans="1:216" ht="15.75" x14ac:dyDescent="0.25">
      <c r="D184" s="58" t="str">
        <v>avelumab_plus_axitinib</v>
      </c>
      <c r="I184" s="739" t="str">
        <f>dd_incl_ave_plus_axi</f>
        <v>No</v>
      </c>
      <c r="J184" s="519" t="s">
        <v>555</v>
      </c>
      <c r="K184" s="524" t="s">
        <v>67</v>
      </c>
      <c r="L184" s="519"/>
      <c r="M184" s="516" t="s">
        <v>559</v>
      </c>
      <c r="N184" s="64" t="s">
        <v>546</v>
      </c>
      <c r="O184" s="64" t="s">
        <v>117</v>
      </c>
      <c r="P184" s="64" t="s">
        <v>547</v>
      </c>
      <c r="Q184" s="519" t="s">
        <v>555</v>
      </c>
      <c r="R184" s="516" t="s">
        <v>548</v>
      </c>
      <c r="S184" s="497"/>
      <c r="T184" s="497"/>
      <c r="U184" s="497"/>
      <c r="Y184" s="517"/>
      <c r="AA184" s="517"/>
      <c r="AF184" s="517"/>
      <c r="AM184" s="517"/>
      <c r="AO184" s="517"/>
      <c r="AT184" s="517"/>
      <c r="AV184" s="511"/>
      <c r="AW184" s="511"/>
      <c r="AX184" s="511"/>
      <c r="BA184" s="517"/>
      <c r="BC184" s="517"/>
      <c r="BH184" s="517"/>
      <c r="BJ184" s="511"/>
      <c r="BK184" s="511"/>
      <c r="BL184" s="511"/>
      <c r="BQ184" s="58">
        <f t="shared" si="234"/>
        <v>117</v>
      </c>
      <c r="BR184" s="17">
        <v>2</v>
      </c>
      <c r="BS184" s="17" t="s">
        <v>559</v>
      </c>
      <c r="BT184" s="17">
        <v>1</v>
      </c>
      <c r="BU184" s="17">
        <v>4</v>
      </c>
      <c r="BV184" s="17" t="str">
        <f t="shared" si="308"/>
        <v>avelumab_plus_axitinib</v>
      </c>
      <c r="BW184" s="1006" t="str" cm="1">
        <f t="array" ref="BW184">IF(I184="No",I184,INDEX(List_incl_anal_1L_fav,IF(BU184=999,35,BU184+1)))</f>
        <v>No</v>
      </c>
      <c r="BX184" s="61">
        <f t="shared" si="309"/>
        <v>3</v>
      </c>
      <c r="BY184" s="531" t="str">
        <f>J184</f>
        <v>Time to progression</v>
      </c>
      <c r="BZ184" s="530" t="str">
        <f t="shared" si="310"/>
        <v>PH_NMA</v>
      </c>
      <c r="CA184" s="531">
        <f t="shared" si="332"/>
        <v>0</v>
      </c>
      <c r="CB184" s="530">
        <f t="shared" si="311"/>
        <v>2</v>
      </c>
      <c r="CC184" s="530">
        <f t="shared" si="312"/>
        <v>1</v>
      </c>
      <c r="CD184" s="530">
        <f t="shared" si="313"/>
        <v>7</v>
      </c>
      <c r="CE184" s="1295">
        <f t="shared" si="314"/>
        <v>2</v>
      </c>
      <c r="CF184" s="1301">
        <f t="shared" si="315"/>
        <v>3</v>
      </c>
      <c r="CG184" s="530" t="str">
        <f t="shared" si="316"/>
        <v>Log-logistic</v>
      </c>
      <c r="CH184" s="61">
        <f t="shared" si="317"/>
        <v>0</v>
      </c>
      <c r="CI184" s="61">
        <f t="shared" si="318"/>
        <v>0</v>
      </c>
      <c r="CJ184" s="61">
        <f t="shared" si="319"/>
        <v>0</v>
      </c>
      <c r="DA184" s="1024"/>
      <c r="DB184" s="1024"/>
      <c r="DC184" s="1024"/>
      <c r="DD184" s="1024"/>
      <c r="DE184" s="1024"/>
      <c r="DF184" s="1024"/>
      <c r="DG184" s="1024"/>
      <c r="DK184" s="58" t="str" cm="1">
        <f t="array" ref="DK184">IF(AND($BT184=4,$BX184=4,$BU184=999),$DB$36,_xlfn.IFNA(INDEX(DB$13:DB$70,MATCH(1,($BR184=$CV$13:$CV$70)*($BT184=$CX$13:$CX$70)*($CE184=$CY$13:$CY$70)*($BY184=$DA$13:$DA$70)*($CD184=$DH$13:$DH$70),0)),""))</f>
        <v>Log-logistic</v>
      </c>
      <c r="DL184" s="58" t="str" cm="1">
        <f t="array" ref="DL184">IF(AND($BT184=4,$BX184=4,$BU184=999),$DC$36,_xlfn.IFNA(INDEX(CHOOSE(DP184,DB$13:DB$70,DC$13:DC$70,DD$13:DD$70,DE$13:DE$70),MATCH(1,($BR184=$CV$13:$CV$70)*($BT184=$CX$13:$CX$70)*($CE184=$CY$13:$CY$70)*($BY184=$DA$13:$DA$70)*($CD184=$DH$13:$DH$70),0)),""))</f>
        <v>Log-logistic</v>
      </c>
      <c r="DM184" s="740" cm="1">
        <f t="array" ref="DM184">IF(AND($BT184=4,$BX184=4,$BU184=999),$DD$36,_xlfn.IFNA(INDEX(DD$13:DD$68,MATCH(1,($BR184=$CV$13:$CV$68)*($BT184=$CX$13:$CX$68)*($CE184=$CY$13:$CY$68)*($BY184=$DA$13:$DA$68)*($CD184=$DH$13:$DH$68),0)),""))</f>
        <v>0</v>
      </c>
      <c r="DN184" s="740" cm="1">
        <f t="array" ref="DN184">IF(AND($BT184=4,$BX184=4,$BU184=999),$DD$36,_xlfn.IFNA(INDEX(DE$13:DE$68,MATCH(1,($BR184=$CV$13:$CV$68)*($BT184=$CX$13:$CX$68)*($CE184=$CY$13:$CY$68)*($BY184=$DA$13:$DA$68)*($CD184=$DH$13:$DH$68),0)),""))</f>
        <v>0</v>
      </c>
      <c r="DO184" s="58" t="str" cm="1">
        <f t="array" ref="DO184">IF(AND($BT184=4,$BX184=4,$BU184=999),$DF$36,_xlfn.IFNA(INDEX(DF$13:DF$70,MATCH(1,($BR184=$CV$13:$CV$70)*($BT184=$CX$13:$CX$70)*($CE184=$CY$13:$CY$70)*($BY184=$DA$13:$DA$70)*($CD184=$DH$13:$DH$70),0)),""))</f>
        <v>Base case</v>
      </c>
      <c r="DP184" s="58">
        <f t="shared" si="235"/>
        <v>1</v>
      </c>
      <c r="DW184" s="58" t="s">
        <v>58</v>
      </c>
      <c r="DX184" s="58" t="s">
        <v>555</v>
      </c>
      <c r="DY184" s="58" t="s">
        <v>67</v>
      </c>
      <c r="DZ184" s="58">
        <v>0</v>
      </c>
      <c r="EB184" s="58">
        <v>2</v>
      </c>
      <c r="EC184" s="58">
        <v>1</v>
      </c>
      <c r="ED184" s="58">
        <v>7</v>
      </c>
      <c r="EE184" s="58">
        <v>2</v>
      </c>
      <c r="EF184" s="58">
        <v>3</v>
      </c>
      <c r="EI184" s="58" t="s">
        <v>58</v>
      </c>
      <c r="EJ184" s="58" t="s">
        <v>555</v>
      </c>
      <c r="EK184" s="58" t="s">
        <v>67</v>
      </c>
      <c r="EL184" s="58">
        <v>0</v>
      </c>
      <c r="EN184" s="58">
        <v>2</v>
      </c>
      <c r="EO184" s="58">
        <v>1</v>
      </c>
      <c r="EP184" s="58">
        <v>7</v>
      </c>
      <c r="EQ184" s="58">
        <v>0</v>
      </c>
      <c r="ER184" s="58">
        <v>3</v>
      </c>
      <c r="EU184" s="58" t="str">
        <f t="shared" si="320"/>
        <v>No</v>
      </c>
      <c r="EV184" s="58" t="str">
        <f t="shared" si="321"/>
        <v>Time to progression</v>
      </c>
      <c r="EW184" s="58" t="str">
        <f t="shared" si="322"/>
        <v>PH_NMA</v>
      </c>
      <c r="EX184" s="58">
        <f t="shared" si="323"/>
        <v>0</v>
      </c>
      <c r="EZ184" s="58">
        <f t="shared" si="324"/>
        <v>2</v>
      </c>
      <c r="FA184" s="58">
        <f t="shared" si="325"/>
        <v>1</v>
      </c>
      <c r="FB184" s="58">
        <f>IF(i_eff_inputs_based_on_num=2,ED184,(INDEX(Lists!$L$51:$L$85,MATCH(O184,Lists!$K$51:$K$85,0))))</f>
        <v>7</v>
      </c>
      <c r="FC184" s="58">
        <f>IF(i_eff_inputs_based_on_num=2,EE184,(INDEX(Lists!$L$51:$L$85,MATCH(P184,Lists!$K$51:$K$85,0))))</f>
        <v>2</v>
      </c>
      <c r="FD184" s="58">
        <f>IF(i_eff_inputs_based_on_num=2,EF184,(INDEX(Lists!$L$51:$L$85,MATCH(Q184,Lists!$K$51:$K$85,0))))</f>
        <v>3</v>
      </c>
      <c r="FG184" s="58" t="str">
        <f t="shared" si="326"/>
        <v>No</v>
      </c>
      <c r="FH184" s="58" t="str">
        <f t="shared" si="327"/>
        <v>Time to progression</v>
      </c>
      <c r="FI184" s="58" t="str">
        <f t="shared" si="328"/>
        <v>PH_NMA</v>
      </c>
      <c r="FJ184" s="58">
        <f t="shared" si="329"/>
        <v>0</v>
      </c>
      <c r="FL184" s="58">
        <f t="shared" si="330"/>
        <v>2</v>
      </c>
      <c r="FM184" s="58">
        <f t="shared" si="331"/>
        <v>1</v>
      </c>
      <c r="FN184" s="58">
        <f>IF(i_eff_inputs_based_on_num=2,EP184,(INDEX(Lists!$L$51:$L$85,MATCH(O184,Lists!$K$51:$K$85,0))))</f>
        <v>7</v>
      </c>
      <c r="FO184" s="58">
        <f>IF(i_eff_inputs_based_on_num=2,EQ184,(INDEX(Lists!$L$51:$L$85,MATCH(P184,Lists!$K$51:$K$85,0))))</f>
        <v>0</v>
      </c>
      <c r="FP184" s="58">
        <f>IF(i_eff_inputs_based_on_num=2,ER184,(INDEX(Lists!$L$51:$L$85,MATCH(Q184,Lists!$K$51:$K$85,0))))</f>
        <v>3</v>
      </c>
      <c r="FT184" s="58">
        <f t="shared" si="236"/>
        <v>0</v>
      </c>
      <c r="FW184" s="58" t="str">
        <f>IF(i_baseline_risk_from=2,'Effectiveness settings'!EW184,'Effectiveness settings'!FI184)</f>
        <v>PH_NMA</v>
      </c>
      <c r="FX184" s="58" t="str">
        <f t="shared" si="237"/>
        <v>PH_NMA</v>
      </c>
      <c r="FY184" s="58" t="str">
        <f t="shared" si="238"/>
        <v>PH_NMA</v>
      </c>
      <c r="FZ184" s="58" t="str">
        <f t="shared" si="239"/>
        <v>PH_NMA</v>
      </c>
      <c r="GA184" s="58" t="str">
        <f t="shared" si="240"/>
        <v>PH_NMA</v>
      </c>
      <c r="GB184" s="58" t="str">
        <f t="shared" si="241"/>
        <v>PH_NMA</v>
      </c>
      <c r="GC184" s="58" t="str">
        <f t="shared" si="242"/>
        <v>PH_NMA</v>
      </c>
      <c r="GD184" s="58" t="str">
        <f t="shared" si="243"/>
        <v>PH_NMA</v>
      </c>
      <c r="GE184" s="58" t="str">
        <f>IF(AND(dd_CheckMate214_TTD="Yes",'Effectiveness settings'!BU184=2,'Effectiveness settings'!BX184=2),"Apply HR to",GD184)</f>
        <v>PH_NMA</v>
      </c>
      <c r="GF184" s="58" t="str">
        <f t="shared" si="244"/>
        <v>PH_NMA</v>
      </c>
      <c r="GG184" s="58" t="str">
        <f t="shared" si="245"/>
        <v>PH_NMA</v>
      </c>
      <c r="GH184" s="58" t="str">
        <f t="shared" si="246"/>
        <v>PH_NMA</v>
      </c>
      <c r="GI184" s="58" t="str">
        <f t="shared" si="306"/>
        <v>PH_NMA</v>
      </c>
      <c r="GK184" s="58">
        <f>IF(i_baseline_risk_from=2,'Effectiveness settings'!FA184,'Effectiveness settings'!FM184)</f>
        <v>1</v>
      </c>
      <c r="GL184" s="58">
        <f>IF(i_baseline_risk_from=2,'Effectiveness settings'!FB184,'Effectiveness settings'!FN184)</f>
        <v>7</v>
      </c>
      <c r="GM184" s="58">
        <f>IF(i_baseline_risk_from=2,'Effectiveness settings'!FC184,'Effectiveness settings'!FO184)</f>
        <v>2</v>
      </c>
      <c r="GN184" s="58">
        <f>IF(i_baseline_risk_from=2,'Effectiveness settings'!FD184,'Effectiveness settings'!FP184)</f>
        <v>3</v>
      </c>
      <c r="GQ184" s="58">
        <f t="shared" si="247"/>
        <v>7</v>
      </c>
      <c r="GR184" s="58">
        <f t="shared" si="248"/>
        <v>7</v>
      </c>
      <c r="GS184" s="58">
        <f t="shared" si="249"/>
        <v>7</v>
      </c>
      <c r="GT184" s="58">
        <f t="shared" si="250"/>
        <v>7</v>
      </c>
      <c r="GU184" s="58">
        <f>IF(AND(dd_CheckMate214_TTD="Yes",'Effectiveness settings'!BU184=2,'Effectiveness settings'!BX184=2),2,GT184)</f>
        <v>7</v>
      </c>
      <c r="GV184" s="58">
        <f t="shared" si="251"/>
        <v>7</v>
      </c>
      <c r="GW184" s="58">
        <f t="shared" si="252"/>
        <v>7</v>
      </c>
      <c r="GY184" s="58">
        <f>IF(AND(dd_CheckMate214_TTD="Yes",'Effectiveness settings'!BU184=2,'Effectiveness settings'!BX184=2),1,GN184)</f>
        <v>3</v>
      </c>
      <c r="GZ184" s="58">
        <f t="shared" si="253"/>
        <v>3</v>
      </c>
      <c r="HB184" s="58">
        <f t="shared" si="254"/>
        <v>2</v>
      </c>
      <c r="HD184" s="58">
        <f t="shared" si="227"/>
        <v>2</v>
      </c>
      <c r="HE184" s="58">
        <f t="shared" si="228"/>
        <v>1</v>
      </c>
      <c r="HF184" s="58">
        <f t="shared" si="229"/>
        <v>7</v>
      </c>
      <c r="HG184" s="58">
        <f t="shared" si="230"/>
        <v>2</v>
      </c>
      <c r="HH184" s="58">
        <f t="shared" si="231"/>
        <v>3</v>
      </c>
    </row>
    <row r="185" spans="1:216" ht="15.75" x14ac:dyDescent="0.25">
      <c r="D185" s="58" t="str">
        <v>pazopanib</v>
      </c>
      <c r="I185" s="64" t="s">
        <v>74</v>
      </c>
      <c r="J185" s="519" t="s">
        <v>555</v>
      </c>
      <c r="K185" s="524" t="s">
        <v>67</v>
      </c>
      <c r="L185" s="519"/>
      <c r="M185" s="516" t="s">
        <v>559</v>
      </c>
      <c r="N185" s="64" t="s">
        <v>546</v>
      </c>
      <c r="O185" s="64" t="s">
        <v>117</v>
      </c>
      <c r="P185" s="64" t="s">
        <v>547</v>
      </c>
      <c r="Q185" s="519" t="s">
        <v>555</v>
      </c>
      <c r="R185" s="516" t="s">
        <v>548</v>
      </c>
      <c r="S185" s="497"/>
      <c r="T185" s="497"/>
      <c r="U185" s="497"/>
      <c r="Y185" s="517"/>
      <c r="AA185" s="517"/>
      <c r="AF185" s="517"/>
      <c r="AM185" s="517"/>
      <c r="AO185" s="517"/>
      <c r="AT185" s="517"/>
      <c r="AV185" s="511"/>
      <c r="AW185" s="511"/>
      <c r="AX185" s="511"/>
      <c r="BA185" s="517"/>
      <c r="BC185" s="517"/>
      <c r="BH185" s="517"/>
      <c r="BJ185" s="511"/>
      <c r="BK185" s="511"/>
      <c r="BL185" s="511"/>
      <c r="BQ185" s="58">
        <f t="shared" si="234"/>
        <v>118</v>
      </c>
      <c r="BR185" s="17">
        <v>2</v>
      </c>
      <c r="BS185" s="17" t="s">
        <v>559</v>
      </c>
      <c r="BT185" s="17">
        <v>1</v>
      </c>
      <c r="BU185" s="17">
        <v>5</v>
      </c>
      <c r="BV185" s="17" t="str">
        <f t="shared" si="308"/>
        <v>pazopanib</v>
      </c>
      <c r="BW185" s="1006" t="str" cm="1">
        <f t="array" ref="BW185">IF(I185="No",I185,INDEX(List_incl_anal_1L_fav,IF(BU185=999,35,BU185+1)))</f>
        <v>Yes</v>
      </c>
      <c r="BX185" s="61">
        <f t="shared" si="309"/>
        <v>3</v>
      </c>
      <c r="BY185" s="531" t="str">
        <f t="shared" ref="BY185:BY193" si="333">J185</f>
        <v>Time to progression</v>
      </c>
      <c r="BZ185" s="530" t="str">
        <f t="shared" si="310"/>
        <v>Assume equal to</v>
      </c>
      <c r="CA185" s="531">
        <f t="shared" si="332"/>
        <v>0</v>
      </c>
      <c r="CB185" s="530">
        <f t="shared" si="311"/>
        <v>2</v>
      </c>
      <c r="CC185" s="530">
        <f t="shared" si="312"/>
        <v>1</v>
      </c>
      <c r="CD185" s="530">
        <f t="shared" si="313"/>
        <v>7</v>
      </c>
      <c r="CE185" s="1295">
        <f t="shared" si="314"/>
        <v>2</v>
      </c>
      <c r="CF185" s="1301">
        <f t="shared" si="315"/>
        <v>3</v>
      </c>
      <c r="CG185" s="530" t="str">
        <f t="shared" si="316"/>
        <v>Log-logistic</v>
      </c>
      <c r="CH185" s="61">
        <f t="shared" si="317"/>
        <v>0</v>
      </c>
      <c r="CI185" s="61">
        <f t="shared" si="318"/>
        <v>0</v>
      </c>
      <c r="CJ185" s="61">
        <f t="shared" si="319"/>
        <v>0</v>
      </c>
      <c r="DA185" s="1024"/>
      <c r="DB185" s="1024"/>
      <c r="DC185" s="1024"/>
      <c r="DD185" s="1024"/>
      <c r="DE185" s="1024"/>
      <c r="DF185" s="1024"/>
      <c r="DG185" s="1024"/>
      <c r="DK185" s="58" t="str" cm="1">
        <f t="array" ref="DK185">IF(AND($BT185=4,$BX185=4,$BU185=999),$DB$36,_xlfn.IFNA(INDEX(DB$13:DB$70,MATCH(1,($BR185=$CV$13:$CV$70)*($BT185=$CX$13:$CX$70)*($CE185=$CY$13:$CY$70)*($BY185=$DA$13:$DA$70)*($CD185=$DH$13:$DH$70),0)),""))</f>
        <v>Log-logistic</v>
      </c>
      <c r="DL185" s="58" t="str" cm="1">
        <f t="array" ref="DL185">IF(AND($BT185=4,$BX185=4,$BU185=999),$DC$36,_xlfn.IFNA(INDEX(CHOOSE(DP185,DB$13:DB$70,DC$13:DC$70,DD$13:DD$70,DE$13:DE$70),MATCH(1,($BR185=$CV$13:$CV$70)*($BT185=$CX$13:$CX$70)*($CE185=$CY$13:$CY$70)*($BY185=$DA$13:$DA$70)*($CD185=$DH$13:$DH$70),0)),""))</f>
        <v>Log-logistic</v>
      </c>
      <c r="DM185" s="740" cm="1">
        <f t="array" ref="DM185">IF(AND($BT185=4,$BX185=4,$BU185=999),$DD$36,_xlfn.IFNA(INDEX(DD$13:DD$68,MATCH(1,($BR185=$CV$13:$CV$68)*($BT185=$CX$13:$CX$68)*($CE185=$CY$13:$CY$68)*($BY185=$DA$13:$DA$68)*($CD185=$DH$13:$DH$68),0)),""))</f>
        <v>0</v>
      </c>
      <c r="DN185" s="740" cm="1">
        <f t="array" ref="DN185">IF(AND($BT185=4,$BX185=4,$BU185=999),$DD$36,_xlfn.IFNA(INDEX(DE$13:DE$68,MATCH(1,($BR185=$CV$13:$CV$68)*($BT185=$CX$13:$CX$68)*($CE185=$CY$13:$CY$68)*($BY185=$DA$13:$DA$68)*($CD185=$DH$13:$DH$68),0)),""))</f>
        <v>0</v>
      </c>
      <c r="DO185" s="58" t="str" cm="1">
        <f t="array" ref="DO185">IF(AND($BT185=4,$BX185=4,$BU185=999),$DF$36,_xlfn.IFNA(INDEX(DF$13:DF$70,MATCH(1,($BR185=$CV$13:$CV$70)*($BT185=$CX$13:$CX$70)*($CE185=$CY$13:$CY$70)*($BY185=$DA$13:$DA$70)*($CD185=$DH$13:$DH$70),0)),""))</f>
        <v>Base case</v>
      </c>
      <c r="DP185" s="58">
        <f t="shared" si="235"/>
        <v>1</v>
      </c>
      <c r="DW185" s="58" t="s">
        <v>74</v>
      </c>
      <c r="DX185" s="58" t="s">
        <v>555</v>
      </c>
      <c r="DY185" s="58" t="s">
        <v>67</v>
      </c>
      <c r="DZ185" s="58">
        <v>0</v>
      </c>
      <c r="EB185" s="58">
        <v>2</v>
      </c>
      <c r="EC185" s="58">
        <v>1</v>
      </c>
      <c r="ED185" s="58">
        <v>7</v>
      </c>
      <c r="EE185" s="58">
        <v>2</v>
      </c>
      <c r="EF185" s="58">
        <v>3</v>
      </c>
      <c r="EI185" s="58" t="s">
        <v>74</v>
      </c>
      <c r="EJ185" s="58" t="s">
        <v>555</v>
      </c>
      <c r="EK185" s="58" t="s">
        <v>67</v>
      </c>
      <c r="EL185" s="58">
        <v>0</v>
      </c>
      <c r="EN185" s="58">
        <v>2</v>
      </c>
      <c r="EO185" s="58">
        <v>1</v>
      </c>
      <c r="EP185" s="58">
        <v>7</v>
      </c>
      <c r="EQ185" s="58">
        <v>0</v>
      </c>
      <c r="ER185" s="58">
        <v>3</v>
      </c>
      <c r="EU185" s="58" t="str">
        <f t="shared" si="320"/>
        <v>Yes</v>
      </c>
      <c r="EV185" s="58" t="str">
        <f t="shared" si="321"/>
        <v>Time to progression</v>
      </c>
      <c r="EW185" s="58" t="str">
        <f t="shared" si="322"/>
        <v>PH_NMA</v>
      </c>
      <c r="EX185" s="58">
        <f t="shared" si="323"/>
        <v>0</v>
      </c>
      <c r="EZ185" s="58">
        <f t="shared" si="324"/>
        <v>2</v>
      </c>
      <c r="FA185" s="58">
        <f t="shared" si="325"/>
        <v>1</v>
      </c>
      <c r="FB185" s="58">
        <f>IF(i_eff_inputs_based_on_num=2,ED185,(INDEX(Lists!$L$51:$L$85,MATCH(O185,Lists!$K$51:$K$85,0))))</f>
        <v>7</v>
      </c>
      <c r="FC185" s="58">
        <f>IF(i_eff_inputs_based_on_num=2,EE185,(INDEX(Lists!$L$51:$L$85,MATCH(P185,Lists!$K$51:$K$85,0))))</f>
        <v>2</v>
      </c>
      <c r="FD185" s="58">
        <f>IF(i_eff_inputs_based_on_num=2,EF185,(INDEX(Lists!$L$51:$L$85,MATCH(Q185,Lists!$K$51:$K$85,0))))</f>
        <v>3</v>
      </c>
      <c r="FG185" s="58" t="str">
        <f t="shared" si="326"/>
        <v>Yes</v>
      </c>
      <c r="FH185" s="58" t="str">
        <f t="shared" si="327"/>
        <v>Time to progression</v>
      </c>
      <c r="FI185" s="58" t="str">
        <f t="shared" si="328"/>
        <v>PH_NMA</v>
      </c>
      <c r="FJ185" s="58">
        <f t="shared" si="329"/>
        <v>0</v>
      </c>
      <c r="FL185" s="58">
        <f t="shared" si="330"/>
        <v>2</v>
      </c>
      <c r="FM185" s="58">
        <f t="shared" si="331"/>
        <v>1</v>
      </c>
      <c r="FN185" s="58">
        <f>IF(i_eff_inputs_based_on_num=2,EP185,(INDEX(Lists!$L$51:$L$85,MATCH(O185,Lists!$K$51:$K$85,0))))</f>
        <v>7</v>
      </c>
      <c r="FO185" s="58">
        <f>IF(i_eff_inputs_based_on_num=2,EQ185,(INDEX(Lists!$L$51:$L$85,MATCH(P185,Lists!$K$51:$K$85,0))))</f>
        <v>0</v>
      </c>
      <c r="FP185" s="58">
        <f>IF(i_eff_inputs_based_on_num=2,ER185,(INDEX(Lists!$L$51:$L$85,MATCH(Q185,Lists!$K$51:$K$85,0))))</f>
        <v>3</v>
      </c>
      <c r="FT185" s="58">
        <f t="shared" si="236"/>
        <v>0</v>
      </c>
      <c r="FW185" s="58" t="str">
        <f>IF(i_baseline_risk_from=2,'Effectiveness settings'!EW185,'Effectiveness settings'!FI185)</f>
        <v>PH_NMA</v>
      </c>
      <c r="FX185" s="58" t="str">
        <f t="shared" si="237"/>
        <v>PH_NMA</v>
      </c>
      <c r="FY185" s="58" t="str">
        <f t="shared" si="238"/>
        <v>PH_NMA</v>
      </c>
      <c r="FZ185" s="58" t="str">
        <f t="shared" si="239"/>
        <v>Assume equal to</v>
      </c>
      <c r="GA185" s="58" t="str">
        <f t="shared" si="240"/>
        <v>Assume equal to</v>
      </c>
      <c r="GB185" s="58" t="str">
        <f t="shared" si="241"/>
        <v>Assume equal to</v>
      </c>
      <c r="GC185" s="58" t="str">
        <f t="shared" si="242"/>
        <v>Assume equal to</v>
      </c>
      <c r="GD185" s="58" t="str">
        <f t="shared" si="243"/>
        <v>Assume equal to</v>
      </c>
      <c r="GE185" s="58" t="str">
        <f>IF(AND(dd_CheckMate214_TTD="Yes",'Effectiveness settings'!BU185=2,'Effectiveness settings'!BX185=2),"Apply HR to",GD185)</f>
        <v>Assume equal to</v>
      </c>
      <c r="GF185" s="58" t="str">
        <f t="shared" si="244"/>
        <v>Assume equal to</v>
      </c>
      <c r="GG185" s="58" t="str">
        <f t="shared" si="245"/>
        <v>Assume equal to</v>
      </c>
      <c r="GH185" s="58" t="str">
        <f t="shared" si="246"/>
        <v>Assume equal to</v>
      </c>
      <c r="GI185" s="58" t="str">
        <f t="shared" si="306"/>
        <v>Assume equal to</v>
      </c>
      <c r="GK185" s="58">
        <f>IF(i_baseline_risk_from=2,'Effectiveness settings'!FA185,'Effectiveness settings'!FM185)</f>
        <v>1</v>
      </c>
      <c r="GL185" s="58">
        <f>IF(i_baseline_risk_from=2,'Effectiveness settings'!FB185,'Effectiveness settings'!FN185)</f>
        <v>7</v>
      </c>
      <c r="GM185" s="58">
        <f>IF(i_baseline_risk_from=2,'Effectiveness settings'!FC185,'Effectiveness settings'!FO185)</f>
        <v>2</v>
      </c>
      <c r="GN185" s="58">
        <f>IF(i_baseline_risk_from=2,'Effectiveness settings'!FD185,'Effectiveness settings'!FP185)</f>
        <v>3</v>
      </c>
      <c r="GQ185" s="58">
        <f t="shared" si="247"/>
        <v>7</v>
      </c>
      <c r="GR185" s="58">
        <f t="shared" si="248"/>
        <v>7</v>
      </c>
      <c r="GS185" s="58">
        <f t="shared" si="249"/>
        <v>7</v>
      </c>
      <c r="GT185" s="58">
        <f t="shared" si="250"/>
        <v>7</v>
      </c>
      <c r="GU185" s="58">
        <f>IF(AND(dd_CheckMate214_TTD="Yes",'Effectiveness settings'!BU185=2,'Effectiveness settings'!BX185=2),2,GT185)</f>
        <v>7</v>
      </c>
      <c r="GV185" s="58">
        <f t="shared" si="251"/>
        <v>7</v>
      </c>
      <c r="GW185" s="58">
        <f t="shared" si="252"/>
        <v>7</v>
      </c>
      <c r="GY185" s="58">
        <f>IF(AND(dd_CheckMate214_TTD="Yes",'Effectiveness settings'!BU185=2,'Effectiveness settings'!BX185=2),1,GN185)</f>
        <v>3</v>
      </c>
      <c r="GZ185" s="58">
        <f t="shared" si="253"/>
        <v>3</v>
      </c>
      <c r="HB185" s="58">
        <f t="shared" si="254"/>
        <v>2</v>
      </c>
      <c r="HD185" s="58">
        <f t="shared" si="227"/>
        <v>2</v>
      </c>
      <c r="HE185" s="58">
        <f t="shared" si="228"/>
        <v>1</v>
      </c>
      <c r="HF185" s="58">
        <f t="shared" si="229"/>
        <v>7</v>
      </c>
      <c r="HG185" s="58">
        <f t="shared" si="230"/>
        <v>2</v>
      </c>
      <c r="HH185" s="58">
        <f t="shared" si="231"/>
        <v>3</v>
      </c>
    </row>
    <row r="186" spans="1:216" ht="15.75" x14ac:dyDescent="0.25">
      <c r="D186" s="58" t="str">
        <v>tivozanib</v>
      </c>
      <c r="I186" s="64" t="s">
        <v>74</v>
      </c>
      <c r="J186" s="519" t="s">
        <v>555</v>
      </c>
      <c r="K186" s="524" t="s">
        <v>67</v>
      </c>
      <c r="L186" s="519"/>
      <c r="M186" s="516" t="s">
        <v>559</v>
      </c>
      <c r="N186" s="64" t="s">
        <v>546</v>
      </c>
      <c r="O186" s="64" t="s">
        <v>117</v>
      </c>
      <c r="P186" s="64" t="s">
        <v>547</v>
      </c>
      <c r="Q186" s="519" t="s">
        <v>555</v>
      </c>
      <c r="R186" s="516" t="s">
        <v>548</v>
      </c>
      <c r="S186" s="497"/>
      <c r="T186" s="497"/>
      <c r="U186" s="497"/>
      <c r="Y186" s="517"/>
      <c r="AA186" s="517"/>
      <c r="AF186" s="517"/>
      <c r="AM186" s="517"/>
      <c r="AO186" s="517"/>
      <c r="AT186" s="517"/>
      <c r="AV186" s="511"/>
      <c r="AW186" s="511"/>
      <c r="AX186" s="511"/>
      <c r="BA186" s="517"/>
      <c r="BC186" s="517"/>
      <c r="BH186" s="517"/>
      <c r="BJ186" s="511"/>
      <c r="BK186" s="511"/>
      <c r="BL186" s="511"/>
      <c r="BQ186" s="58">
        <f t="shared" si="234"/>
        <v>119</v>
      </c>
      <c r="BR186" s="17">
        <v>2</v>
      </c>
      <c r="BS186" s="17" t="s">
        <v>559</v>
      </c>
      <c r="BT186" s="17">
        <v>1</v>
      </c>
      <c r="BU186" s="17">
        <v>6</v>
      </c>
      <c r="BV186" s="17" t="str">
        <f t="shared" si="308"/>
        <v>tivozanib</v>
      </c>
      <c r="BW186" s="1006" t="str" cm="1">
        <f t="array" ref="BW186">IF(I186="No",I186,INDEX(List_incl_anal_1L_fav,IF(BU186=999,35,BU186+1)))</f>
        <v>Yes</v>
      </c>
      <c r="BX186" s="61">
        <f t="shared" si="309"/>
        <v>3</v>
      </c>
      <c r="BY186" s="531" t="str">
        <f t="shared" si="333"/>
        <v>Time to progression</v>
      </c>
      <c r="BZ186" s="530" t="str">
        <f t="shared" si="310"/>
        <v>Assume equal to</v>
      </c>
      <c r="CA186" s="531">
        <f t="shared" si="332"/>
        <v>0</v>
      </c>
      <c r="CB186" s="530">
        <f t="shared" si="311"/>
        <v>2</v>
      </c>
      <c r="CC186" s="530">
        <f t="shared" si="312"/>
        <v>1</v>
      </c>
      <c r="CD186" s="530">
        <f t="shared" si="313"/>
        <v>7</v>
      </c>
      <c r="CE186" s="1295">
        <f t="shared" si="314"/>
        <v>2</v>
      </c>
      <c r="CF186" s="1301">
        <f t="shared" si="315"/>
        <v>3</v>
      </c>
      <c r="CG186" s="530" t="str">
        <f t="shared" si="316"/>
        <v>Log-logistic</v>
      </c>
      <c r="CH186" s="61">
        <f t="shared" si="317"/>
        <v>0</v>
      </c>
      <c r="CI186" s="61">
        <f t="shared" si="318"/>
        <v>0</v>
      </c>
      <c r="CJ186" s="61">
        <f t="shared" si="319"/>
        <v>0</v>
      </c>
      <c r="DA186" s="1024"/>
      <c r="DB186" s="1024"/>
      <c r="DC186" s="1024"/>
      <c r="DD186" s="1024"/>
      <c r="DE186" s="1024"/>
      <c r="DF186" s="1024"/>
      <c r="DG186" s="1024"/>
      <c r="DK186" s="58" t="str" cm="1">
        <f t="array" ref="DK186">IF(AND($BT186=4,$BX186=4,$BU186=999),$DB$36,_xlfn.IFNA(INDEX(DB$13:DB$70,MATCH(1,($BR186=$CV$13:$CV$70)*($BT186=$CX$13:$CX$70)*($CE186=$CY$13:$CY$70)*($BY186=$DA$13:$DA$70)*($CD186=$DH$13:$DH$70),0)),""))</f>
        <v>Log-logistic</v>
      </c>
      <c r="DL186" s="58" t="str" cm="1">
        <f t="array" ref="DL186">IF(AND($BT186=4,$BX186=4,$BU186=999),$DC$36,_xlfn.IFNA(INDEX(CHOOSE(DP186,DB$13:DB$70,DC$13:DC$70,DD$13:DD$70,DE$13:DE$70),MATCH(1,($BR186=$CV$13:$CV$70)*($BT186=$CX$13:$CX$70)*($CE186=$CY$13:$CY$70)*($BY186=$DA$13:$DA$70)*($CD186=$DH$13:$DH$70),0)),""))</f>
        <v>Log-logistic</v>
      </c>
      <c r="DM186" s="740" cm="1">
        <f t="array" ref="DM186">IF(AND($BT186=4,$BX186=4,$BU186=999),$DD$36,_xlfn.IFNA(INDEX(DD$13:DD$68,MATCH(1,($BR186=$CV$13:$CV$68)*($BT186=$CX$13:$CX$68)*($CE186=$CY$13:$CY$68)*($BY186=$DA$13:$DA$68)*($CD186=$DH$13:$DH$68),0)),""))</f>
        <v>0</v>
      </c>
      <c r="DN186" s="740" cm="1">
        <f t="array" ref="DN186">IF(AND($BT186=4,$BX186=4,$BU186=999),$DD$36,_xlfn.IFNA(INDEX(DE$13:DE$68,MATCH(1,($BR186=$CV$13:$CV$68)*($BT186=$CX$13:$CX$68)*($CE186=$CY$13:$CY$68)*($BY186=$DA$13:$DA$68)*($CD186=$DH$13:$DH$68),0)),""))</f>
        <v>0</v>
      </c>
      <c r="DO186" s="58" t="str" cm="1">
        <f t="array" ref="DO186">IF(AND($BT186=4,$BX186=4,$BU186=999),$DF$36,_xlfn.IFNA(INDEX(DF$13:DF$70,MATCH(1,($BR186=$CV$13:$CV$70)*($BT186=$CX$13:$CX$70)*($CE186=$CY$13:$CY$70)*($BY186=$DA$13:$DA$70)*($CD186=$DH$13:$DH$70),0)),""))</f>
        <v>Base case</v>
      </c>
      <c r="DP186" s="58">
        <f t="shared" si="235"/>
        <v>1</v>
      </c>
      <c r="DW186" s="58" t="s">
        <v>74</v>
      </c>
      <c r="DX186" s="58" t="s">
        <v>555</v>
      </c>
      <c r="DY186" s="58" t="s">
        <v>67</v>
      </c>
      <c r="DZ186" s="58">
        <v>0</v>
      </c>
      <c r="EB186" s="58">
        <v>2</v>
      </c>
      <c r="EC186" s="58">
        <v>1</v>
      </c>
      <c r="ED186" s="58">
        <v>7</v>
      </c>
      <c r="EE186" s="58">
        <v>2</v>
      </c>
      <c r="EF186" s="58">
        <v>3</v>
      </c>
      <c r="EI186" s="58" t="s">
        <v>74</v>
      </c>
      <c r="EJ186" s="58" t="s">
        <v>555</v>
      </c>
      <c r="EK186" s="58" t="s">
        <v>67</v>
      </c>
      <c r="EL186" s="58">
        <v>0</v>
      </c>
      <c r="EN186" s="58">
        <v>2</v>
      </c>
      <c r="EO186" s="58">
        <v>1</v>
      </c>
      <c r="EP186" s="58">
        <v>7</v>
      </c>
      <c r="EQ186" s="58">
        <v>0</v>
      </c>
      <c r="ER186" s="58">
        <v>3</v>
      </c>
      <c r="EU186" s="58" t="str">
        <f t="shared" si="320"/>
        <v>Yes</v>
      </c>
      <c r="EV186" s="58" t="str">
        <f t="shared" si="321"/>
        <v>Time to progression</v>
      </c>
      <c r="EW186" s="58" t="str">
        <f t="shared" si="322"/>
        <v>PH_NMA</v>
      </c>
      <c r="EX186" s="58">
        <f t="shared" si="323"/>
        <v>0</v>
      </c>
      <c r="EZ186" s="58">
        <f t="shared" si="324"/>
        <v>2</v>
      </c>
      <c r="FA186" s="58">
        <f t="shared" si="325"/>
        <v>1</v>
      </c>
      <c r="FB186" s="58">
        <f>IF(i_eff_inputs_based_on_num=2,ED186,(INDEX(Lists!$L$51:$L$85,MATCH(O186,Lists!$K$51:$K$85,0))))</f>
        <v>7</v>
      </c>
      <c r="FC186" s="58">
        <f>IF(i_eff_inputs_based_on_num=2,EE186,(INDEX(Lists!$L$51:$L$85,MATCH(P186,Lists!$K$51:$K$85,0))))</f>
        <v>2</v>
      </c>
      <c r="FD186" s="58">
        <f>IF(i_eff_inputs_based_on_num=2,EF186,(INDEX(Lists!$L$51:$L$85,MATCH(Q186,Lists!$K$51:$K$85,0))))</f>
        <v>3</v>
      </c>
      <c r="FG186" s="58" t="str">
        <f t="shared" si="326"/>
        <v>Yes</v>
      </c>
      <c r="FH186" s="58" t="str">
        <f t="shared" si="327"/>
        <v>Time to progression</v>
      </c>
      <c r="FI186" s="58" t="str">
        <f t="shared" si="328"/>
        <v>PH_NMA</v>
      </c>
      <c r="FJ186" s="58">
        <f t="shared" si="329"/>
        <v>0</v>
      </c>
      <c r="FL186" s="58">
        <f t="shared" si="330"/>
        <v>2</v>
      </c>
      <c r="FM186" s="58">
        <f t="shared" si="331"/>
        <v>1</v>
      </c>
      <c r="FN186" s="58">
        <f>IF(i_eff_inputs_based_on_num=2,EP186,(INDEX(Lists!$L$51:$L$85,MATCH(O186,Lists!$K$51:$K$85,0))))</f>
        <v>7</v>
      </c>
      <c r="FO186" s="58">
        <f>IF(i_eff_inputs_based_on_num=2,EQ186,(INDEX(Lists!$L$51:$L$85,MATCH(P186,Lists!$K$51:$K$85,0))))</f>
        <v>0</v>
      </c>
      <c r="FP186" s="58">
        <f>IF(i_eff_inputs_based_on_num=2,ER186,(INDEX(Lists!$L$51:$L$85,MATCH(Q186,Lists!$K$51:$K$85,0))))</f>
        <v>3</v>
      </c>
      <c r="FT186" s="58">
        <f t="shared" si="236"/>
        <v>0</v>
      </c>
      <c r="FW186" s="58" t="str">
        <f>IF(i_baseline_risk_from=2,'Effectiveness settings'!EW186,'Effectiveness settings'!FI186)</f>
        <v>PH_NMA</v>
      </c>
      <c r="FX186" s="58" t="str">
        <f t="shared" si="237"/>
        <v>PH_NMA</v>
      </c>
      <c r="FY186" s="58" t="str">
        <f t="shared" si="238"/>
        <v>PH_NMA</v>
      </c>
      <c r="FZ186" s="58" t="str">
        <f t="shared" si="239"/>
        <v>PH_NMA</v>
      </c>
      <c r="GA186" s="58" t="str">
        <f t="shared" si="240"/>
        <v>Assume equal to</v>
      </c>
      <c r="GB186" s="58" t="str">
        <f t="shared" si="241"/>
        <v>Assume equal to</v>
      </c>
      <c r="GC186" s="58" t="str">
        <f t="shared" si="242"/>
        <v>Assume equal to</v>
      </c>
      <c r="GD186" s="58" t="str">
        <f t="shared" si="243"/>
        <v>Assume equal to</v>
      </c>
      <c r="GE186" s="58" t="str">
        <f>IF(AND(dd_CheckMate214_TTD="Yes",'Effectiveness settings'!BU186=2,'Effectiveness settings'!BX186=2),"Apply HR to",GD186)</f>
        <v>Assume equal to</v>
      </c>
      <c r="GF186" s="58" t="str">
        <f t="shared" si="244"/>
        <v>Assume equal to</v>
      </c>
      <c r="GG186" s="58" t="str">
        <f t="shared" si="245"/>
        <v>Assume equal to</v>
      </c>
      <c r="GH186" s="58" t="str">
        <f t="shared" si="246"/>
        <v>Assume equal to</v>
      </c>
      <c r="GI186" s="58" t="str">
        <f t="shared" si="306"/>
        <v>Assume equal to</v>
      </c>
      <c r="GK186" s="58">
        <f>IF(i_baseline_risk_from=2,'Effectiveness settings'!FA186,'Effectiveness settings'!FM186)</f>
        <v>1</v>
      </c>
      <c r="GL186" s="58">
        <f>IF(i_baseline_risk_from=2,'Effectiveness settings'!FB186,'Effectiveness settings'!FN186)</f>
        <v>7</v>
      </c>
      <c r="GM186" s="58">
        <f>IF(i_baseline_risk_from=2,'Effectiveness settings'!FC186,'Effectiveness settings'!FO186)</f>
        <v>2</v>
      </c>
      <c r="GN186" s="58">
        <f>IF(i_baseline_risk_from=2,'Effectiveness settings'!FD186,'Effectiveness settings'!FP186)</f>
        <v>3</v>
      </c>
      <c r="GQ186" s="58">
        <f t="shared" si="247"/>
        <v>7</v>
      </c>
      <c r="GR186" s="58">
        <f t="shared" si="248"/>
        <v>7</v>
      </c>
      <c r="GS186" s="58">
        <f t="shared" si="249"/>
        <v>7</v>
      </c>
      <c r="GT186" s="58">
        <f t="shared" si="250"/>
        <v>7</v>
      </c>
      <c r="GU186" s="58">
        <f>IF(AND(dd_CheckMate214_TTD="Yes",'Effectiveness settings'!BU186=2,'Effectiveness settings'!BX186=2),2,GT186)</f>
        <v>7</v>
      </c>
      <c r="GV186" s="58">
        <f t="shared" si="251"/>
        <v>7</v>
      </c>
      <c r="GW186" s="58">
        <f t="shared" si="252"/>
        <v>7</v>
      </c>
      <c r="GY186" s="58">
        <f>IF(AND(dd_CheckMate214_TTD="Yes",'Effectiveness settings'!BU186=2,'Effectiveness settings'!BX186=2),1,GN186)</f>
        <v>3</v>
      </c>
      <c r="GZ186" s="58">
        <f t="shared" si="253"/>
        <v>3</v>
      </c>
      <c r="HB186" s="58">
        <f t="shared" si="254"/>
        <v>2</v>
      </c>
      <c r="HD186" s="58">
        <f t="shared" si="227"/>
        <v>2</v>
      </c>
      <c r="HE186" s="58">
        <f t="shared" si="228"/>
        <v>1</v>
      </c>
      <c r="HF186" s="58">
        <f t="shared" si="229"/>
        <v>7</v>
      </c>
      <c r="HG186" s="58">
        <f t="shared" si="230"/>
        <v>2</v>
      </c>
      <c r="HH186" s="58">
        <f t="shared" si="231"/>
        <v>3</v>
      </c>
    </row>
    <row r="187" spans="1:216" ht="15.75" x14ac:dyDescent="0.25">
      <c r="A187" s="58" t="s">
        <v>572</v>
      </c>
      <c r="D187" s="58" t="str">
        <v>sunitinib</v>
      </c>
      <c r="I187" s="64" t="s">
        <v>74</v>
      </c>
      <c r="J187" s="519" t="s">
        <v>555</v>
      </c>
      <c r="K187" s="524" t="s">
        <v>562</v>
      </c>
      <c r="L187" s="519" t="s">
        <v>547</v>
      </c>
      <c r="M187" s="516" t="s">
        <v>559</v>
      </c>
      <c r="N187" s="64" t="s">
        <v>546</v>
      </c>
      <c r="O187" s="64" t="s">
        <v>117</v>
      </c>
      <c r="P187" s="64" t="s">
        <v>547</v>
      </c>
      <c r="Q187" s="519" t="s">
        <v>555</v>
      </c>
      <c r="R187" s="516" t="s">
        <v>548</v>
      </c>
      <c r="S187" s="497"/>
      <c r="T187" s="497"/>
      <c r="U187" s="497"/>
      <c r="Y187" s="517"/>
      <c r="AA187" s="517"/>
      <c r="AF187" s="517"/>
      <c r="AM187" s="517"/>
      <c r="AO187" s="517"/>
      <c r="AT187" s="517"/>
      <c r="AV187" s="511"/>
      <c r="AW187" s="511"/>
      <c r="AX187" s="511"/>
      <c r="BA187" s="517"/>
      <c r="BC187" s="517"/>
      <c r="BH187" s="517"/>
      <c r="BJ187" s="511"/>
      <c r="BK187" s="511"/>
      <c r="BL187" s="511"/>
      <c r="BQ187" s="58">
        <f t="shared" si="234"/>
        <v>120</v>
      </c>
      <c r="BR187" s="17">
        <v>2</v>
      </c>
      <c r="BS187" s="17" t="s">
        <v>559</v>
      </c>
      <c r="BT187" s="17">
        <v>1</v>
      </c>
      <c r="BU187" s="17">
        <v>7</v>
      </c>
      <c r="BV187" s="17" t="str">
        <f t="shared" si="308"/>
        <v>sunitinib</v>
      </c>
      <c r="BW187" s="1006" t="str" cm="1">
        <f t="array" ref="BW187">IF(I187="No",I187,INDEX(List_incl_anal_1L_fav,IF(BU187=999,35,BU187+1)))</f>
        <v>Yes</v>
      </c>
      <c r="BX187" s="61">
        <f t="shared" si="309"/>
        <v>3</v>
      </c>
      <c r="BY187" s="531" t="str">
        <f t="shared" si="333"/>
        <v>Time to progression</v>
      </c>
      <c r="BZ187" s="530" t="str">
        <f t="shared" si="310"/>
        <v>Trial survival analysis</v>
      </c>
      <c r="CA187" s="531" t="str">
        <f t="shared" si="332"/>
        <v>Real world evidence</v>
      </c>
      <c r="CB187" s="530">
        <f t="shared" si="311"/>
        <v>2</v>
      </c>
      <c r="CC187" s="530">
        <f t="shared" si="312"/>
        <v>1</v>
      </c>
      <c r="CD187" s="530">
        <f t="shared" si="313"/>
        <v>7</v>
      </c>
      <c r="CE187" s="1295">
        <f t="shared" si="314"/>
        <v>2</v>
      </c>
      <c r="CF187" s="1301">
        <f t="shared" si="315"/>
        <v>3</v>
      </c>
      <c r="CG187" s="530" t="str">
        <f t="shared" si="316"/>
        <v>Log-logistic</v>
      </c>
      <c r="CH187" s="61">
        <f t="shared" si="317"/>
        <v>0</v>
      </c>
      <c r="CI187" s="61">
        <f t="shared" si="318"/>
        <v>0</v>
      </c>
      <c r="CJ187" s="61">
        <f t="shared" si="319"/>
        <v>0</v>
      </c>
      <c r="DA187" s="1024"/>
      <c r="DB187" s="1024"/>
      <c r="DC187" s="1024"/>
      <c r="DD187" s="1024"/>
      <c r="DE187" s="1024"/>
      <c r="DF187" s="1024"/>
      <c r="DG187" s="1024"/>
      <c r="DK187" s="58" t="str" cm="1">
        <f t="array" ref="DK187">IF(AND($BT187=4,$BX187=4,$BU187=999),$DB$36,_xlfn.IFNA(INDEX(DB$13:DB$70,MATCH(1,($BR187=$CV$13:$CV$70)*($BT187=$CX$13:$CX$70)*($CE187=$CY$13:$CY$70)*($BY187=$DA$13:$DA$70)*($CD187=$DH$13:$DH$70),0)),""))</f>
        <v>Log-logistic</v>
      </c>
      <c r="DL187" s="58" t="str" cm="1">
        <f t="array" ref="DL187">IF(AND($BT187=4,$BX187=4,$BU187=999),$DC$36,_xlfn.IFNA(INDEX(CHOOSE(DP187,DB$13:DB$70,DC$13:DC$70,DD$13:DD$70,DE$13:DE$70),MATCH(1,($BR187=$CV$13:$CV$70)*($BT187=$CX$13:$CX$70)*($CE187=$CY$13:$CY$70)*($BY187=$DA$13:$DA$70)*($CD187=$DH$13:$DH$70),0)),""))</f>
        <v>Log-logistic</v>
      </c>
      <c r="DM187" s="740" cm="1">
        <f t="array" ref="DM187">IF(AND($BT187=4,$BX187=4,$BU187=999),$DD$36,_xlfn.IFNA(INDEX(DD$13:DD$68,MATCH(1,($BR187=$CV$13:$CV$68)*($BT187=$CX$13:$CX$68)*($CE187=$CY$13:$CY$68)*($BY187=$DA$13:$DA$68)*($CD187=$DH$13:$DH$68),0)),""))</f>
        <v>0</v>
      </c>
      <c r="DN187" s="740" cm="1">
        <f t="array" ref="DN187">IF(AND($BT187=4,$BX187=4,$BU187=999),$DD$36,_xlfn.IFNA(INDEX(DE$13:DE$68,MATCH(1,($BR187=$CV$13:$CV$68)*($BT187=$CX$13:$CX$68)*($CE187=$CY$13:$CY$68)*($BY187=$DA$13:$DA$68)*($CD187=$DH$13:$DH$68),0)),""))</f>
        <v>0</v>
      </c>
      <c r="DO187" s="58" t="str" cm="1">
        <f t="array" ref="DO187">IF(AND($BT187=4,$BX187=4,$BU187=999),$DF$36,_xlfn.IFNA(INDEX(DF$13:DF$70,MATCH(1,($BR187=$CV$13:$CV$70)*($BT187=$CX$13:$CX$70)*($CE187=$CY$13:$CY$70)*($BY187=$DA$13:$DA$70)*($CD187=$DH$13:$DH$70),0)),""))</f>
        <v>Base case</v>
      </c>
      <c r="DP187" s="58">
        <f t="shared" si="235"/>
        <v>1</v>
      </c>
      <c r="DW187" s="58" t="s">
        <v>74</v>
      </c>
      <c r="DX187" s="58" t="s">
        <v>555</v>
      </c>
      <c r="DY187" s="58" t="s">
        <v>562</v>
      </c>
      <c r="DZ187" s="58" t="s">
        <v>547</v>
      </c>
      <c r="EB187" s="58">
        <v>2</v>
      </c>
      <c r="EC187" s="58">
        <v>1</v>
      </c>
      <c r="ED187" s="58">
        <v>7</v>
      </c>
      <c r="EE187" s="58">
        <v>2</v>
      </c>
      <c r="EF187" s="58">
        <v>3</v>
      </c>
      <c r="EI187" s="58" t="s">
        <v>74</v>
      </c>
      <c r="EJ187" s="58" t="s">
        <v>555</v>
      </c>
      <c r="EK187" s="58" t="s">
        <v>562</v>
      </c>
      <c r="EL187" s="58" t="s">
        <v>564</v>
      </c>
      <c r="EN187" s="58">
        <v>2</v>
      </c>
      <c r="EO187" s="58">
        <v>1</v>
      </c>
      <c r="EP187" s="58">
        <v>7</v>
      </c>
      <c r="EQ187" s="58">
        <v>0</v>
      </c>
      <c r="ER187" s="58">
        <v>3</v>
      </c>
      <c r="EU187" s="58" t="str">
        <f t="shared" si="320"/>
        <v>Yes</v>
      </c>
      <c r="EV187" s="58" t="str">
        <f t="shared" si="321"/>
        <v>Time to progression</v>
      </c>
      <c r="EW187" s="58" t="str">
        <f t="shared" si="322"/>
        <v>Trial survival analysis</v>
      </c>
      <c r="EX187" s="58" t="str">
        <f t="shared" si="323"/>
        <v>Real world evidence</v>
      </c>
      <c r="EZ187" s="58">
        <f t="shared" si="324"/>
        <v>2</v>
      </c>
      <c r="FA187" s="58">
        <f t="shared" si="325"/>
        <v>1</v>
      </c>
      <c r="FB187" s="58">
        <f>IF(i_eff_inputs_based_on_num=2,ED187,(INDEX(Lists!$L$51:$L$85,MATCH(O187,Lists!$K$51:$K$85,0))))</f>
        <v>7</v>
      </c>
      <c r="FC187" s="58">
        <f>IF(i_eff_inputs_based_on_num=2,EE187,(INDEX(Lists!$L$51:$L$85,MATCH(P187,Lists!$K$51:$K$85,0))))</f>
        <v>2</v>
      </c>
      <c r="FD187" s="58">
        <f>IF(i_eff_inputs_based_on_num=2,EF187,(INDEX(Lists!$L$51:$L$85,MATCH(Q187,Lists!$K$51:$K$85,0))))</f>
        <v>3</v>
      </c>
      <c r="FG187" s="58" t="str">
        <f t="shared" si="326"/>
        <v>Yes</v>
      </c>
      <c r="FH187" s="58" t="str">
        <f t="shared" si="327"/>
        <v>Time to progression</v>
      </c>
      <c r="FI187" s="58" t="str">
        <f t="shared" si="328"/>
        <v>Trial survival analysis</v>
      </c>
      <c r="FJ187" s="58" t="str">
        <f t="shared" si="329"/>
        <v>CheckMate 9ER</v>
      </c>
      <c r="FL187" s="58">
        <f t="shared" si="330"/>
        <v>2</v>
      </c>
      <c r="FM187" s="58">
        <f t="shared" si="331"/>
        <v>1</v>
      </c>
      <c r="FN187" s="58">
        <f>IF(i_eff_inputs_based_on_num=2,EP187,(INDEX(Lists!$L$51:$L$85,MATCH(O187,Lists!$K$51:$K$85,0))))</f>
        <v>7</v>
      </c>
      <c r="FO187" s="58">
        <f>IF(i_eff_inputs_based_on_num=2,EQ187,(INDEX(Lists!$L$51:$L$85,MATCH(P187,Lists!$K$51:$K$85,0))))</f>
        <v>0</v>
      </c>
      <c r="FP187" s="58">
        <f>IF(i_eff_inputs_based_on_num=2,ER187,(INDEX(Lists!$L$51:$L$85,MATCH(Q187,Lists!$K$51:$K$85,0))))</f>
        <v>3</v>
      </c>
      <c r="FT187" s="58" t="str">
        <f t="shared" si="236"/>
        <v>Real world evidence</v>
      </c>
      <c r="FW187" s="58" t="str">
        <f>IF(i_baseline_risk_from=2,'Effectiveness settings'!EW187,'Effectiveness settings'!FI187)</f>
        <v>Trial survival analysis</v>
      </c>
      <c r="FX187" s="58" t="str">
        <f t="shared" si="237"/>
        <v>Trial survival analysis</v>
      </c>
      <c r="FY187" s="58" t="str">
        <f t="shared" si="238"/>
        <v>Trial survival analysis</v>
      </c>
      <c r="FZ187" s="58" t="str">
        <f t="shared" si="239"/>
        <v>Trial survival analysis</v>
      </c>
      <c r="GA187" s="58" t="str">
        <f t="shared" si="240"/>
        <v>Trial survival analysis</v>
      </c>
      <c r="GB187" s="58" t="str">
        <f t="shared" si="241"/>
        <v>Trial survival analysis</v>
      </c>
      <c r="GC187" s="58" t="str">
        <f t="shared" si="242"/>
        <v>Trial survival analysis</v>
      </c>
      <c r="GD187" s="58" t="str">
        <f t="shared" si="243"/>
        <v>Trial survival analysis</v>
      </c>
      <c r="GE187" s="58" t="str">
        <f>IF(AND(dd_CheckMate214_TTD="Yes",'Effectiveness settings'!BU187=2,'Effectiveness settings'!BX187=2),"Apply HR to",GD187)</f>
        <v>Trial survival analysis</v>
      </c>
      <c r="GF187" s="58" t="str">
        <f t="shared" si="244"/>
        <v>Trial survival analysis</v>
      </c>
      <c r="GG187" s="58" t="str">
        <f t="shared" si="245"/>
        <v>Trial survival analysis</v>
      </c>
      <c r="GH187" s="58" t="str">
        <f t="shared" si="246"/>
        <v>Trial survival analysis</v>
      </c>
      <c r="GI187" s="58" t="str">
        <f t="shared" si="306"/>
        <v>Trial survival analysis</v>
      </c>
      <c r="GK187" s="58">
        <f>IF(i_baseline_risk_from=2,'Effectiveness settings'!FA187,'Effectiveness settings'!FM187)</f>
        <v>1</v>
      </c>
      <c r="GL187" s="58">
        <f>IF(i_baseline_risk_from=2,'Effectiveness settings'!FB187,'Effectiveness settings'!FN187)</f>
        <v>7</v>
      </c>
      <c r="GM187" s="58">
        <f>IF(i_baseline_risk_from=2,'Effectiveness settings'!FC187,'Effectiveness settings'!FO187)</f>
        <v>2</v>
      </c>
      <c r="GN187" s="58">
        <f>IF(i_baseline_risk_from=2,'Effectiveness settings'!FD187,'Effectiveness settings'!FP187)</f>
        <v>3</v>
      </c>
      <c r="GQ187" s="58">
        <f t="shared" si="247"/>
        <v>7</v>
      </c>
      <c r="GR187" s="58">
        <f t="shared" si="248"/>
        <v>7</v>
      </c>
      <c r="GS187" s="58">
        <f t="shared" si="249"/>
        <v>7</v>
      </c>
      <c r="GT187" s="58">
        <f t="shared" si="250"/>
        <v>7</v>
      </c>
      <c r="GU187" s="58">
        <f>IF(AND(dd_CheckMate214_TTD="Yes",'Effectiveness settings'!BU187=2,'Effectiveness settings'!BX187=2),2,GT187)</f>
        <v>7</v>
      </c>
      <c r="GV187" s="58">
        <f t="shared" si="251"/>
        <v>7</v>
      </c>
      <c r="GW187" s="58">
        <f t="shared" si="252"/>
        <v>7</v>
      </c>
      <c r="GY187" s="58">
        <f>IF(AND(dd_CheckMate214_TTD="Yes",'Effectiveness settings'!BU187=2,'Effectiveness settings'!BX187=2),1,GN187)</f>
        <v>3</v>
      </c>
      <c r="GZ187" s="58">
        <f t="shared" si="253"/>
        <v>3</v>
      </c>
      <c r="HB187" s="58">
        <f t="shared" si="254"/>
        <v>2</v>
      </c>
      <c r="HD187" s="58">
        <f t="shared" si="227"/>
        <v>2</v>
      </c>
      <c r="HE187" s="58">
        <f t="shared" si="228"/>
        <v>1</v>
      </c>
      <c r="HF187" s="58">
        <f t="shared" si="229"/>
        <v>7</v>
      </c>
      <c r="HG187" s="58">
        <f t="shared" si="230"/>
        <v>2</v>
      </c>
      <c r="HH187" s="58">
        <f t="shared" si="231"/>
        <v>3</v>
      </c>
    </row>
    <row r="188" spans="1:216" ht="15.75" x14ac:dyDescent="0.25">
      <c r="D188" s="58" t="str">
        <v>cabozantinib</v>
      </c>
      <c r="I188" s="64" t="s">
        <v>58</v>
      </c>
      <c r="J188" s="519" t="s">
        <v>555</v>
      </c>
      <c r="K188" s="524"/>
      <c r="L188" s="519"/>
      <c r="M188" s="516" t="s">
        <v>559</v>
      </c>
      <c r="N188" s="64" t="s">
        <v>546</v>
      </c>
      <c r="O188" s="64" t="s">
        <v>117</v>
      </c>
      <c r="P188" s="64" t="s">
        <v>547</v>
      </c>
      <c r="Q188" s="519" t="s">
        <v>555</v>
      </c>
      <c r="R188" s="516" t="s">
        <v>548</v>
      </c>
      <c r="S188" s="497"/>
      <c r="T188" s="497"/>
      <c r="U188" s="497"/>
      <c r="Y188" s="517"/>
      <c r="AA188" s="517"/>
      <c r="AF188" s="517"/>
      <c r="AM188" s="517"/>
      <c r="AO188" s="517"/>
      <c r="AT188" s="517"/>
      <c r="AV188" s="511"/>
      <c r="AW188" s="511"/>
      <c r="AX188" s="511"/>
      <c r="BA188" s="517"/>
      <c r="BC188" s="517"/>
      <c r="BH188" s="517"/>
      <c r="BJ188" s="511"/>
      <c r="BK188" s="511"/>
      <c r="BL188" s="511"/>
      <c r="BQ188" s="58">
        <f t="shared" si="234"/>
        <v>121</v>
      </c>
      <c r="BR188" s="17">
        <v>2</v>
      </c>
      <c r="BS188" s="17" t="s">
        <v>559</v>
      </c>
      <c r="BT188" s="17">
        <v>1</v>
      </c>
      <c r="BU188" s="17">
        <v>8</v>
      </c>
      <c r="BV188" s="17" t="str">
        <f t="shared" si="308"/>
        <v>cabozantinib</v>
      </c>
      <c r="BW188" s="1006" t="str" cm="1">
        <f t="array" ref="BW188">IF(I188="No",I188,INDEX(List_incl_anal_1L_fav,IF(BU188=999,35,BU188+1)))</f>
        <v>No</v>
      </c>
      <c r="BX188" s="61">
        <f t="shared" si="309"/>
        <v>3</v>
      </c>
      <c r="BY188" s="531" t="str">
        <f t="shared" si="333"/>
        <v>Time to progression</v>
      </c>
      <c r="BZ188" s="530">
        <f t="shared" si="310"/>
        <v>0</v>
      </c>
      <c r="CA188" s="531">
        <f t="shared" si="332"/>
        <v>0</v>
      </c>
      <c r="CB188" s="530">
        <f t="shared" si="311"/>
        <v>2</v>
      </c>
      <c r="CC188" s="530">
        <f t="shared" si="312"/>
        <v>1</v>
      </c>
      <c r="CD188" s="530">
        <f t="shared" si="313"/>
        <v>7</v>
      </c>
      <c r="CE188" s="1295">
        <f t="shared" si="314"/>
        <v>2</v>
      </c>
      <c r="CF188" s="1301">
        <f t="shared" si="315"/>
        <v>3</v>
      </c>
      <c r="CG188" s="530" t="str">
        <f t="shared" si="316"/>
        <v>Log-logistic</v>
      </c>
      <c r="CH188" s="61">
        <f t="shared" si="317"/>
        <v>0</v>
      </c>
      <c r="CI188" s="61">
        <f t="shared" si="318"/>
        <v>0</v>
      </c>
      <c r="CJ188" s="61">
        <f t="shared" si="319"/>
        <v>0</v>
      </c>
      <c r="DA188" s="1024"/>
      <c r="DB188" s="1024"/>
      <c r="DC188" s="1024"/>
      <c r="DD188" s="1024"/>
      <c r="DE188" s="1024"/>
      <c r="DF188" s="1024"/>
      <c r="DG188" s="1024"/>
      <c r="DK188" s="58" t="str" cm="1">
        <f t="array" ref="DK188">IF(AND($BT188=4,$BX188=4,$BU188=999),$DB$36,_xlfn.IFNA(INDEX(DB$13:DB$70,MATCH(1,($BR188=$CV$13:$CV$70)*($BT188=$CX$13:$CX$70)*($CE188=$CY$13:$CY$70)*($BY188=$DA$13:$DA$70)*($CD188=$DH$13:$DH$70),0)),""))</f>
        <v>Log-logistic</v>
      </c>
      <c r="DL188" s="58" t="str" cm="1">
        <f t="array" ref="DL188">IF(AND($BT188=4,$BX188=4,$BU188=999),$DC$36,_xlfn.IFNA(INDEX(CHOOSE(DP188,DB$13:DB$70,DC$13:DC$70,DD$13:DD$70,DE$13:DE$70),MATCH(1,($BR188=$CV$13:$CV$70)*($BT188=$CX$13:$CX$70)*($CE188=$CY$13:$CY$70)*($BY188=$DA$13:$DA$70)*($CD188=$DH$13:$DH$70),0)),""))</f>
        <v>Log-logistic</v>
      </c>
      <c r="DM188" s="740" cm="1">
        <f t="array" ref="DM188">IF(AND($BT188=4,$BX188=4,$BU188=999),$DD$36,_xlfn.IFNA(INDEX(DD$13:DD$68,MATCH(1,($BR188=$CV$13:$CV$68)*($BT188=$CX$13:$CX$68)*($CE188=$CY$13:$CY$68)*($BY188=$DA$13:$DA$68)*($CD188=$DH$13:$DH$68),0)),""))</f>
        <v>0</v>
      </c>
      <c r="DN188" s="740" cm="1">
        <f t="array" ref="DN188">IF(AND($BT188=4,$BX188=4,$BU188=999),$DD$36,_xlfn.IFNA(INDEX(DE$13:DE$68,MATCH(1,($BR188=$CV$13:$CV$68)*($BT188=$CX$13:$CX$68)*($CE188=$CY$13:$CY$68)*($BY188=$DA$13:$DA$68)*($CD188=$DH$13:$DH$68),0)),""))</f>
        <v>0</v>
      </c>
      <c r="DO188" s="58" t="str" cm="1">
        <f t="array" ref="DO188">IF(AND($BT188=4,$BX188=4,$BU188=999),$DF$36,_xlfn.IFNA(INDEX(DF$13:DF$70,MATCH(1,($BR188=$CV$13:$CV$70)*($BT188=$CX$13:$CX$70)*($CE188=$CY$13:$CY$70)*($BY188=$DA$13:$DA$70)*($CD188=$DH$13:$DH$70),0)),""))</f>
        <v>Base case</v>
      </c>
      <c r="DP188" s="58">
        <f t="shared" si="235"/>
        <v>1</v>
      </c>
      <c r="DW188" s="58" t="s">
        <v>58</v>
      </c>
      <c r="DX188" s="58" t="s">
        <v>555</v>
      </c>
      <c r="DY188" s="58">
        <v>0</v>
      </c>
      <c r="DZ188" s="58">
        <v>0</v>
      </c>
      <c r="EB188" s="58">
        <v>2</v>
      </c>
      <c r="EC188" s="58">
        <v>1</v>
      </c>
      <c r="ED188" s="58">
        <v>7</v>
      </c>
      <c r="EE188" s="58">
        <v>2</v>
      </c>
      <c r="EF188" s="58">
        <v>3</v>
      </c>
      <c r="EI188" s="58" t="s">
        <v>58</v>
      </c>
      <c r="EJ188" s="58" t="s">
        <v>555</v>
      </c>
      <c r="EK188" s="58">
        <v>0</v>
      </c>
      <c r="EL188" s="58">
        <v>0</v>
      </c>
      <c r="EN188" s="58">
        <v>2</v>
      </c>
      <c r="EO188" s="58">
        <v>1</v>
      </c>
      <c r="EP188" s="58">
        <v>7</v>
      </c>
      <c r="EQ188" s="58">
        <v>0</v>
      </c>
      <c r="ER188" s="58">
        <v>3</v>
      </c>
      <c r="EU188" s="58" t="str">
        <f t="shared" si="320"/>
        <v>No</v>
      </c>
      <c r="EV188" s="58" t="str">
        <f t="shared" si="321"/>
        <v>Time to progression</v>
      </c>
      <c r="EW188" s="58">
        <f t="shared" si="322"/>
        <v>0</v>
      </c>
      <c r="EX188" s="58">
        <f t="shared" si="323"/>
        <v>0</v>
      </c>
      <c r="EZ188" s="58">
        <f t="shared" si="324"/>
        <v>2</v>
      </c>
      <c r="FA188" s="58">
        <f t="shared" si="325"/>
        <v>1</v>
      </c>
      <c r="FB188" s="58">
        <f>IF(i_eff_inputs_based_on_num=2,ED188,(INDEX(Lists!$L$51:$L$85,MATCH(O188,Lists!$K$51:$K$85,0))))</f>
        <v>7</v>
      </c>
      <c r="FC188" s="58">
        <f>IF(i_eff_inputs_based_on_num=2,EE188,(INDEX(Lists!$L$51:$L$85,MATCH(P188,Lists!$K$51:$K$85,0))))</f>
        <v>2</v>
      </c>
      <c r="FD188" s="58">
        <f>IF(i_eff_inputs_based_on_num=2,EF188,(INDEX(Lists!$L$51:$L$85,MATCH(Q188,Lists!$K$51:$K$85,0))))</f>
        <v>3</v>
      </c>
      <c r="FG188" s="58" t="str">
        <f t="shared" si="326"/>
        <v>No</v>
      </c>
      <c r="FH188" s="58" t="str">
        <f t="shared" si="327"/>
        <v>Time to progression</v>
      </c>
      <c r="FI188" s="58">
        <f t="shared" si="328"/>
        <v>0</v>
      </c>
      <c r="FJ188" s="58">
        <f t="shared" si="329"/>
        <v>0</v>
      </c>
      <c r="FL188" s="58">
        <f t="shared" si="330"/>
        <v>2</v>
      </c>
      <c r="FM188" s="58">
        <f t="shared" si="331"/>
        <v>1</v>
      </c>
      <c r="FN188" s="58">
        <f>IF(i_eff_inputs_based_on_num=2,EP188,(INDEX(Lists!$L$51:$L$85,MATCH(O188,Lists!$K$51:$K$85,0))))</f>
        <v>7</v>
      </c>
      <c r="FO188" s="58">
        <f>IF(i_eff_inputs_based_on_num=2,EQ188,(INDEX(Lists!$L$51:$L$85,MATCH(P188,Lists!$K$51:$K$85,0))))</f>
        <v>0</v>
      </c>
      <c r="FP188" s="58">
        <f>IF(i_eff_inputs_based_on_num=2,ER188,(INDEX(Lists!$L$51:$L$85,MATCH(Q188,Lists!$K$51:$K$85,0))))</f>
        <v>3</v>
      </c>
      <c r="FT188" s="58">
        <f t="shared" si="236"/>
        <v>0</v>
      </c>
      <c r="FW188" s="58">
        <f>IF(i_baseline_risk_from=2,'Effectiveness settings'!EW188,'Effectiveness settings'!FI188)</f>
        <v>0</v>
      </c>
      <c r="FX188" s="58">
        <f t="shared" si="237"/>
        <v>0</v>
      </c>
      <c r="FY188" s="58">
        <f t="shared" si="238"/>
        <v>0</v>
      </c>
      <c r="FZ188" s="58">
        <f t="shared" si="239"/>
        <v>0</v>
      </c>
      <c r="GA188" s="58">
        <f t="shared" si="240"/>
        <v>0</v>
      </c>
      <c r="GB188" s="58">
        <f t="shared" si="241"/>
        <v>0</v>
      </c>
      <c r="GC188" s="58">
        <f t="shared" si="242"/>
        <v>0</v>
      </c>
      <c r="GD188" s="58">
        <f t="shared" si="243"/>
        <v>0</v>
      </c>
      <c r="GE188" s="58">
        <f>IF(AND(dd_CheckMate214_TTD="Yes",'Effectiveness settings'!BU188=2,'Effectiveness settings'!BX188=2),"Apply HR to",GD188)</f>
        <v>0</v>
      </c>
      <c r="GF188" s="58">
        <f t="shared" si="244"/>
        <v>0</v>
      </c>
      <c r="GG188" s="58">
        <f t="shared" si="245"/>
        <v>0</v>
      </c>
      <c r="GH188" s="58">
        <f t="shared" si="246"/>
        <v>0</v>
      </c>
      <c r="GI188" s="58">
        <f t="shared" si="306"/>
        <v>0</v>
      </c>
      <c r="GK188" s="58">
        <f>IF(i_baseline_risk_from=2,'Effectiveness settings'!FA188,'Effectiveness settings'!FM188)</f>
        <v>1</v>
      </c>
      <c r="GL188" s="58">
        <f>IF(i_baseline_risk_from=2,'Effectiveness settings'!FB188,'Effectiveness settings'!FN188)</f>
        <v>7</v>
      </c>
      <c r="GM188" s="58">
        <f>IF(i_baseline_risk_from=2,'Effectiveness settings'!FC188,'Effectiveness settings'!FO188)</f>
        <v>2</v>
      </c>
      <c r="GN188" s="58">
        <f>IF(i_baseline_risk_from=2,'Effectiveness settings'!FD188,'Effectiveness settings'!FP188)</f>
        <v>3</v>
      </c>
      <c r="GQ188" s="58">
        <f t="shared" si="247"/>
        <v>7</v>
      </c>
      <c r="GR188" s="58">
        <f t="shared" si="248"/>
        <v>7</v>
      </c>
      <c r="GS188" s="58">
        <f t="shared" si="249"/>
        <v>7</v>
      </c>
      <c r="GT188" s="58">
        <f t="shared" si="250"/>
        <v>7</v>
      </c>
      <c r="GU188" s="58">
        <f>IF(AND(dd_CheckMate214_TTD="Yes",'Effectiveness settings'!BU188=2,'Effectiveness settings'!BX188=2),2,GT188)</f>
        <v>7</v>
      </c>
      <c r="GV188" s="58">
        <f t="shared" si="251"/>
        <v>7</v>
      </c>
      <c r="GW188" s="58">
        <f t="shared" si="252"/>
        <v>7</v>
      </c>
      <c r="GY188" s="58">
        <f>IF(AND(dd_CheckMate214_TTD="Yes",'Effectiveness settings'!BU188=2,'Effectiveness settings'!BX188=2),1,GN188)</f>
        <v>3</v>
      </c>
      <c r="GZ188" s="58">
        <f t="shared" si="253"/>
        <v>3</v>
      </c>
      <c r="HB188" s="58">
        <f t="shared" si="254"/>
        <v>2</v>
      </c>
      <c r="HD188" s="58">
        <f t="shared" si="227"/>
        <v>2</v>
      </c>
      <c r="HE188" s="58">
        <f t="shared" si="228"/>
        <v>1</v>
      </c>
      <c r="HF188" s="58">
        <f t="shared" si="229"/>
        <v>7</v>
      </c>
      <c r="HG188" s="58">
        <f t="shared" si="230"/>
        <v>2</v>
      </c>
      <c r="HH188" s="58">
        <f t="shared" si="231"/>
        <v>3</v>
      </c>
    </row>
    <row r="189" spans="1:216" ht="15.75" x14ac:dyDescent="0.25">
      <c r="D189" s="58" t="str">
        <v>lenvatinib_plus_everolimus</v>
      </c>
      <c r="I189" s="64" t="s">
        <v>58</v>
      </c>
      <c r="J189" s="519" t="s">
        <v>555</v>
      </c>
      <c r="K189" s="524"/>
      <c r="L189" s="519"/>
      <c r="M189" s="516" t="s">
        <v>559</v>
      </c>
      <c r="N189" s="64" t="s">
        <v>546</v>
      </c>
      <c r="O189" s="64" t="s">
        <v>117</v>
      </c>
      <c r="P189" s="64" t="s">
        <v>547</v>
      </c>
      <c r="Q189" s="519" t="s">
        <v>555</v>
      </c>
      <c r="R189" s="516" t="s">
        <v>548</v>
      </c>
      <c r="S189" s="497"/>
      <c r="T189" s="497"/>
      <c r="U189" s="497"/>
      <c r="Y189" s="517"/>
      <c r="AA189" s="517"/>
      <c r="AF189" s="517"/>
      <c r="AM189" s="517"/>
      <c r="AO189" s="517"/>
      <c r="AT189" s="517"/>
      <c r="AV189" s="511"/>
      <c r="AW189" s="511"/>
      <c r="AX189" s="511"/>
      <c r="BA189" s="517"/>
      <c r="BC189" s="517"/>
      <c r="BH189" s="517"/>
      <c r="BJ189" s="511"/>
      <c r="BK189" s="511"/>
      <c r="BL189" s="511"/>
      <c r="BQ189" s="58">
        <f t="shared" si="234"/>
        <v>122</v>
      </c>
      <c r="BR189" s="17">
        <v>2</v>
      </c>
      <c r="BS189" s="17" t="s">
        <v>559</v>
      </c>
      <c r="BT189" s="17">
        <v>1</v>
      </c>
      <c r="BU189" s="17">
        <v>9</v>
      </c>
      <c r="BV189" s="17" t="str">
        <f t="shared" si="308"/>
        <v>lenvatinib_plus_everolimus</v>
      </c>
      <c r="BW189" s="1006" t="str" cm="1">
        <f t="array" ref="BW189">IF(I189="No",I189,INDEX(List_incl_anal_1L_fav,IF(BU189=999,35,BU189+1)))</f>
        <v>No</v>
      </c>
      <c r="BX189" s="61">
        <f t="shared" si="309"/>
        <v>3</v>
      </c>
      <c r="BY189" s="531" t="str">
        <f t="shared" si="333"/>
        <v>Time to progression</v>
      </c>
      <c r="BZ189" s="530">
        <f t="shared" si="310"/>
        <v>0</v>
      </c>
      <c r="CA189" s="531">
        <f t="shared" si="332"/>
        <v>0</v>
      </c>
      <c r="CB189" s="530">
        <f t="shared" si="311"/>
        <v>2</v>
      </c>
      <c r="CC189" s="530">
        <f t="shared" si="312"/>
        <v>1</v>
      </c>
      <c r="CD189" s="530">
        <f t="shared" si="313"/>
        <v>7</v>
      </c>
      <c r="CE189" s="1295">
        <f t="shared" si="314"/>
        <v>2</v>
      </c>
      <c r="CF189" s="1301">
        <f t="shared" si="315"/>
        <v>3</v>
      </c>
      <c r="CG189" s="530" t="str">
        <f t="shared" si="316"/>
        <v>Log-logistic</v>
      </c>
      <c r="CH189" s="61">
        <f t="shared" si="317"/>
        <v>0</v>
      </c>
      <c r="CI189" s="61">
        <f t="shared" si="318"/>
        <v>0</v>
      </c>
      <c r="CJ189" s="61">
        <f t="shared" si="319"/>
        <v>0</v>
      </c>
      <c r="DA189" s="1024"/>
      <c r="DB189" s="1024"/>
      <c r="DC189" s="1024"/>
      <c r="DD189" s="1024"/>
      <c r="DE189" s="1024"/>
      <c r="DF189" s="1024"/>
      <c r="DG189" s="1024"/>
      <c r="DK189" s="58" t="str" cm="1">
        <f t="array" ref="DK189">IF(AND($BT189=4,$BX189=4,$BU189=999),$DB$36,_xlfn.IFNA(INDEX(DB$13:DB$70,MATCH(1,($BR189=$CV$13:$CV$70)*($BT189=$CX$13:$CX$70)*($CE189=$CY$13:$CY$70)*($BY189=$DA$13:$DA$70)*($CD189=$DH$13:$DH$70),0)),""))</f>
        <v>Log-logistic</v>
      </c>
      <c r="DL189" s="58" t="str" cm="1">
        <f t="array" ref="DL189">IF(AND($BT189=4,$BX189=4,$BU189=999),$DC$36,_xlfn.IFNA(INDEX(CHOOSE(DP189,DB$13:DB$70,DC$13:DC$70,DD$13:DD$70,DE$13:DE$70),MATCH(1,($BR189=$CV$13:$CV$70)*($BT189=$CX$13:$CX$70)*($CE189=$CY$13:$CY$70)*($BY189=$DA$13:$DA$70)*($CD189=$DH$13:$DH$70),0)),""))</f>
        <v>Log-logistic</v>
      </c>
      <c r="DM189" s="740" cm="1">
        <f t="array" ref="DM189">IF(AND($BT189=4,$BX189=4,$BU189=999),$DD$36,_xlfn.IFNA(INDEX(DD$13:DD$68,MATCH(1,($BR189=$CV$13:$CV$68)*($BT189=$CX$13:$CX$68)*($CE189=$CY$13:$CY$68)*($BY189=$DA$13:$DA$68)*($CD189=$DH$13:$DH$68),0)),""))</f>
        <v>0</v>
      </c>
      <c r="DN189" s="740" cm="1">
        <f t="array" ref="DN189">IF(AND($BT189=4,$BX189=4,$BU189=999),$DD$36,_xlfn.IFNA(INDEX(DE$13:DE$68,MATCH(1,($BR189=$CV$13:$CV$68)*($BT189=$CX$13:$CX$68)*($CE189=$CY$13:$CY$68)*($BY189=$DA$13:$DA$68)*($CD189=$DH$13:$DH$68),0)),""))</f>
        <v>0</v>
      </c>
      <c r="DO189" s="58" t="str" cm="1">
        <f t="array" ref="DO189">IF(AND($BT189=4,$BX189=4,$BU189=999),$DF$36,_xlfn.IFNA(INDEX(DF$13:DF$70,MATCH(1,($BR189=$CV$13:$CV$70)*($BT189=$CX$13:$CX$70)*($CE189=$CY$13:$CY$70)*($BY189=$DA$13:$DA$70)*($CD189=$DH$13:$DH$70),0)),""))</f>
        <v>Base case</v>
      </c>
      <c r="DP189" s="58">
        <f t="shared" si="235"/>
        <v>1</v>
      </c>
      <c r="DW189" s="58" t="s">
        <v>58</v>
      </c>
      <c r="DX189" s="58" t="s">
        <v>555</v>
      </c>
      <c r="DY189" s="58">
        <v>0</v>
      </c>
      <c r="DZ189" s="58">
        <v>0</v>
      </c>
      <c r="EB189" s="58">
        <v>2</v>
      </c>
      <c r="EC189" s="58">
        <v>1</v>
      </c>
      <c r="ED189" s="58">
        <v>7</v>
      </c>
      <c r="EE189" s="58">
        <v>2</v>
      </c>
      <c r="EF189" s="58">
        <v>3</v>
      </c>
      <c r="EI189" s="58" t="s">
        <v>58</v>
      </c>
      <c r="EJ189" s="58" t="s">
        <v>555</v>
      </c>
      <c r="EK189" s="58">
        <v>0</v>
      </c>
      <c r="EL189" s="58">
        <v>0</v>
      </c>
      <c r="EN189" s="58">
        <v>2</v>
      </c>
      <c r="EO189" s="58">
        <v>1</v>
      </c>
      <c r="EP189" s="58">
        <v>7</v>
      </c>
      <c r="EQ189" s="58">
        <v>0</v>
      </c>
      <c r="ER189" s="58">
        <v>3</v>
      </c>
      <c r="EU189" s="58" t="str">
        <f t="shared" si="320"/>
        <v>No</v>
      </c>
      <c r="EV189" s="58" t="str">
        <f t="shared" si="321"/>
        <v>Time to progression</v>
      </c>
      <c r="EW189" s="58">
        <f t="shared" si="322"/>
        <v>0</v>
      </c>
      <c r="EX189" s="58">
        <f t="shared" si="323"/>
        <v>0</v>
      </c>
      <c r="EZ189" s="58">
        <f t="shared" si="324"/>
        <v>2</v>
      </c>
      <c r="FA189" s="58">
        <f t="shared" si="325"/>
        <v>1</v>
      </c>
      <c r="FB189" s="58">
        <f>IF(i_eff_inputs_based_on_num=2,ED189,(INDEX(Lists!$L$51:$L$85,MATCH(O189,Lists!$K$51:$K$85,0))))</f>
        <v>7</v>
      </c>
      <c r="FC189" s="58">
        <f>IF(i_eff_inputs_based_on_num=2,EE189,(INDEX(Lists!$L$51:$L$85,MATCH(P189,Lists!$K$51:$K$85,0))))</f>
        <v>2</v>
      </c>
      <c r="FD189" s="58">
        <f>IF(i_eff_inputs_based_on_num=2,EF189,(INDEX(Lists!$L$51:$L$85,MATCH(Q189,Lists!$K$51:$K$85,0))))</f>
        <v>3</v>
      </c>
      <c r="FG189" s="58" t="str">
        <f t="shared" si="326"/>
        <v>No</v>
      </c>
      <c r="FH189" s="58" t="str">
        <f t="shared" si="327"/>
        <v>Time to progression</v>
      </c>
      <c r="FI189" s="58">
        <f t="shared" si="328"/>
        <v>0</v>
      </c>
      <c r="FJ189" s="58">
        <f t="shared" si="329"/>
        <v>0</v>
      </c>
      <c r="FL189" s="58">
        <f t="shared" si="330"/>
        <v>2</v>
      </c>
      <c r="FM189" s="58">
        <f t="shared" si="331"/>
        <v>1</v>
      </c>
      <c r="FN189" s="58">
        <f>IF(i_eff_inputs_based_on_num=2,EP189,(INDEX(Lists!$L$51:$L$85,MATCH(O189,Lists!$K$51:$K$85,0))))</f>
        <v>7</v>
      </c>
      <c r="FO189" s="58">
        <f>IF(i_eff_inputs_based_on_num=2,EQ189,(INDEX(Lists!$L$51:$L$85,MATCH(P189,Lists!$K$51:$K$85,0))))</f>
        <v>0</v>
      </c>
      <c r="FP189" s="58">
        <f>IF(i_eff_inputs_based_on_num=2,ER189,(INDEX(Lists!$L$51:$L$85,MATCH(Q189,Lists!$K$51:$K$85,0))))</f>
        <v>3</v>
      </c>
      <c r="FT189" s="58">
        <f t="shared" si="236"/>
        <v>0</v>
      </c>
      <c r="FW189" s="58">
        <f>IF(i_baseline_risk_from=2,'Effectiveness settings'!EW189,'Effectiveness settings'!FI189)</f>
        <v>0</v>
      </c>
      <c r="FX189" s="58">
        <f t="shared" si="237"/>
        <v>0</v>
      </c>
      <c r="FY189" s="58">
        <f t="shared" si="238"/>
        <v>0</v>
      </c>
      <c r="FZ189" s="58">
        <f t="shared" si="239"/>
        <v>0</v>
      </c>
      <c r="GA189" s="58">
        <f t="shared" si="240"/>
        <v>0</v>
      </c>
      <c r="GB189" s="58">
        <f t="shared" si="241"/>
        <v>0</v>
      </c>
      <c r="GC189" s="58">
        <f t="shared" si="242"/>
        <v>0</v>
      </c>
      <c r="GD189" s="58">
        <f t="shared" si="243"/>
        <v>0</v>
      </c>
      <c r="GE189" s="58">
        <f>IF(AND(dd_CheckMate214_TTD="Yes",'Effectiveness settings'!BU189=2,'Effectiveness settings'!BX189=2),"Apply HR to",GD189)</f>
        <v>0</v>
      </c>
      <c r="GF189" s="58">
        <f t="shared" si="244"/>
        <v>0</v>
      </c>
      <c r="GG189" s="58">
        <f t="shared" si="245"/>
        <v>0</v>
      </c>
      <c r="GH189" s="58">
        <f t="shared" si="246"/>
        <v>0</v>
      </c>
      <c r="GI189" s="58">
        <f t="shared" si="306"/>
        <v>0</v>
      </c>
      <c r="GK189" s="58">
        <f>IF(i_baseline_risk_from=2,'Effectiveness settings'!FA189,'Effectiveness settings'!FM189)</f>
        <v>1</v>
      </c>
      <c r="GL189" s="58">
        <f>IF(i_baseline_risk_from=2,'Effectiveness settings'!FB189,'Effectiveness settings'!FN189)</f>
        <v>7</v>
      </c>
      <c r="GM189" s="58">
        <f>IF(i_baseline_risk_from=2,'Effectiveness settings'!FC189,'Effectiveness settings'!FO189)</f>
        <v>2</v>
      </c>
      <c r="GN189" s="58">
        <f>IF(i_baseline_risk_from=2,'Effectiveness settings'!FD189,'Effectiveness settings'!FP189)</f>
        <v>3</v>
      </c>
      <c r="GQ189" s="58">
        <f t="shared" si="247"/>
        <v>7</v>
      </c>
      <c r="GR189" s="58">
        <f t="shared" si="248"/>
        <v>7</v>
      </c>
      <c r="GS189" s="58">
        <f t="shared" si="249"/>
        <v>7</v>
      </c>
      <c r="GT189" s="58">
        <f t="shared" si="250"/>
        <v>7</v>
      </c>
      <c r="GU189" s="58">
        <f>IF(AND(dd_CheckMate214_TTD="Yes",'Effectiveness settings'!BU189=2,'Effectiveness settings'!BX189=2),2,GT189)</f>
        <v>7</v>
      </c>
      <c r="GV189" s="58">
        <f t="shared" si="251"/>
        <v>7</v>
      </c>
      <c r="GW189" s="58">
        <f t="shared" si="252"/>
        <v>7</v>
      </c>
      <c r="GY189" s="58">
        <f>IF(AND(dd_CheckMate214_TTD="Yes",'Effectiveness settings'!BU189=2,'Effectiveness settings'!BX189=2),1,GN189)</f>
        <v>3</v>
      </c>
      <c r="GZ189" s="58">
        <f t="shared" si="253"/>
        <v>3</v>
      </c>
      <c r="HB189" s="58">
        <f t="shared" si="254"/>
        <v>2</v>
      </c>
      <c r="HD189" s="58">
        <f t="shared" si="227"/>
        <v>2</v>
      </c>
      <c r="HE189" s="58">
        <f t="shared" si="228"/>
        <v>1</v>
      </c>
      <c r="HF189" s="58">
        <f t="shared" si="229"/>
        <v>7</v>
      </c>
      <c r="HG189" s="58">
        <f t="shared" si="230"/>
        <v>2</v>
      </c>
      <c r="HH189" s="58">
        <f t="shared" si="231"/>
        <v>3</v>
      </c>
    </row>
    <row r="190" spans="1:216" ht="15.75" x14ac:dyDescent="0.25">
      <c r="D190" s="58" t="str">
        <v>everolimus</v>
      </c>
      <c r="I190" s="64" t="s">
        <v>58</v>
      </c>
      <c r="J190" s="519" t="s">
        <v>555</v>
      </c>
      <c r="K190" s="524"/>
      <c r="L190" s="519"/>
      <c r="M190" s="516" t="s">
        <v>559</v>
      </c>
      <c r="N190" s="64" t="s">
        <v>546</v>
      </c>
      <c r="O190" s="64" t="s">
        <v>117</v>
      </c>
      <c r="P190" s="64" t="s">
        <v>547</v>
      </c>
      <c r="Q190" s="519" t="s">
        <v>555</v>
      </c>
      <c r="R190" s="516" t="s">
        <v>548</v>
      </c>
      <c r="S190" s="497"/>
      <c r="T190" s="497"/>
      <c r="U190" s="497"/>
      <c r="Y190" s="517"/>
      <c r="AA190" s="517"/>
      <c r="AF190" s="517"/>
      <c r="AM190" s="517"/>
      <c r="AO190" s="517"/>
      <c r="AT190" s="517"/>
      <c r="AV190" s="511"/>
      <c r="AW190" s="511"/>
      <c r="AX190" s="511"/>
      <c r="BA190" s="517"/>
      <c r="BC190" s="517"/>
      <c r="BH190" s="517"/>
      <c r="BJ190" s="511"/>
      <c r="BK190" s="511"/>
      <c r="BL190" s="511"/>
      <c r="BQ190" s="58">
        <f t="shared" si="234"/>
        <v>123</v>
      </c>
      <c r="BR190" s="17">
        <v>2</v>
      </c>
      <c r="BS190" s="17" t="s">
        <v>559</v>
      </c>
      <c r="BT190" s="17">
        <v>1</v>
      </c>
      <c r="BU190" s="17">
        <v>10</v>
      </c>
      <c r="BV190" s="17" t="str">
        <f t="shared" si="308"/>
        <v>everolimus</v>
      </c>
      <c r="BW190" s="1006" t="str" cm="1">
        <f t="array" ref="BW190">IF(I190="No",I190,INDEX(List_incl_anal_1L_fav,IF(BU190=999,35,BU190+1)))</f>
        <v>No</v>
      </c>
      <c r="BX190" s="61">
        <f t="shared" si="309"/>
        <v>3</v>
      </c>
      <c r="BY190" s="531" t="str">
        <f t="shared" si="333"/>
        <v>Time to progression</v>
      </c>
      <c r="BZ190" s="530">
        <f t="shared" si="310"/>
        <v>0</v>
      </c>
      <c r="CA190" s="531">
        <f t="shared" si="332"/>
        <v>0</v>
      </c>
      <c r="CB190" s="530">
        <f t="shared" si="311"/>
        <v>2</v>
      </c>
      <c r="CC190" s="530">
        <f t="shared" si="312"/>
        <v>1</v>
      </c>
      <c r="CD190" s="530">
        <f t="shared" si="313"/>
        <v>7</v>
      </c>
      <c r="CE190" s="1295">
        <f t="shared" si="314"/>
        <v>2</v>
      </c>
      <c r="CF190" s="1301">
        <f t="shared" si="315"/>
        <v>3</v>
      </c>
      <c r="CG190" s="530" t="str">
        <f t="shared" si="316"/>
        <v>Log-logistic</v>
      </c>
      <c r="CH190" s="61">
        <f t="shared" si="317"/>
        <v>0</v>
      </c>
      <c r="CI190" s="61">
        <f t="shared" si="318"/>
        <v>0</v>
      </c>
      <c r="CJ190" s="61">
        <f t="shared" si="319"/>
        <v>0</v>
      </c>
      <c r="DA190" s="1024"/>
      <c r="DB190" s="1024"/>
      <c r="DC190" s="1024"/>
      <c r="DD190" s="1024"/>
      <c r="DE190" s="1024"/>
      <c r="DF190" s="1024"/>
      <c r="DG190" s="1024"/>
      <c r="DK190" s="58" t="str" cm="1">
        <f t="array" ref="DK190">IF(AND($BT190=4,$BX190=4,$BU190=999),$DB$36,_xlfn.IFNA(INDEX(DB$13:DB$70,MATCH(1,($BR190=$CV$13:$CV$70)*($BT190=$CX$13:$CX$70)*($CE190=$CY$13:$CY$70)*($BY190=$DA$13:$DA$70)*($CD190=$DH$13:$DH$70),0)),""))</f>
        <v>Log-logistic</v>
      </c>
      <c r="DL190" s="58" t="str" cm="1">
        <f t="array" ref="DL190">IF(AND($BT190=4,$BX190=4,$BU190=999),$DC$36,_xlfn.IFNA(INDEX(CHOOSE(DP190,DB$13:DB$70,DC$13:DC$70,DD$13:DD$70,DE$13:DE$70),MATCH(1,($BR190=$CV$13:$CV$70)*($BT190=$CX$13:$CX$70)*($CE190=$CY$13:$CY$70)*($BY190=$DA$13:$DA$70)*($CD190=$DH$13:$DH$70),0)),""))</f>
        <v>Log-logistic</v>
      </c>
      <c r="DM190" s="740" cm="1">
        <f t="array" ref="DM190">IF(AND($BT190=4,$BX190=4,$BU190=999),$DD$36,_xlfn.IFNA(INDEX(DD$13:DD$68,MATCH(1,($BR190=$CV$13:$CV$68)*($BT190=$CX$13:$CX$68)*($CE190=$CY$13:$CY$68)*($BY190=$DA$13:$DA$68)*($CD190=$DH$13:$DH$68),0)),""))</f>
        <v>0</v>
      </c>
      <c r="DN190" s="740" cm="1">
        <f t="array" ref="DN190">IF(AND($BT190=4,$BX190=4,$BU190=999),$DD$36,_xlfn.IFNA(INDEX(DE$13:DE$68,MATCH(1,($BR190=$CV$13:$CV$68)*($BT190=$CX$13:$CX$68)*($CE190=$CY$13:$CY$68)*($BY190=$DA$13:$DA$68)*($CD190=$DH$13:$DH$68),0)),""))</f>
        <v>0</v>
      </c>
      <c r="DO190" s="58" t="str" cm="1">
        <f t="array" ref="DO190">IF(AND($BT190=4,$BX190=4,$BU190=999),$DF$36,_xlfn.IFNA(INDEX(DF$13:DF$70,MATCH(1,($BR190=$CV$13:$CV$70)*($BT190=$CX$13:$CX$70)*($CE190=$CY$13:$CY$70)*($BY190=$DA$13:$DA$70)*($CD190=$DH$13:$DH$70),0)),""))</f>
        <v>Base case</v>
      </c>
      <c r="DP190" s="58">
        <f t="shared" si="235"/>
        <v>1</v>
      </c>
      <c r="DW190" s="58" t="s">
        <v>58</v>
      </c>
      <c r="DX190" s="58" t="s">
        <v>555</v>
      </c>
      <c r="DY190" s="58">
        <v>0</v>
      </c>
      <c r="DZ190" s="58">
        <v>0</v>
      </c>
      <c r="EB190" s="58">
        <v>2</v>
      </c>
      <c r="EC190" s="58">
        <v>1</v>
      </c>
      <c r="ED190" s="58">
        <v>7</v>
      </c>
      <c r="EE190" s="58">
        <v>2</v>
      </c>
      <c r="EF190" s="58">
        <v>3</v>
      </c>
      <c r="EI190" s="58" t="s">
        <v>58</v>
      </c>
      <c r="EJ190" s="58" t="s">
        <v>555</v>
      </c>
      <c r="EK190" s="58">
        <v>0</v>
      </c>
      <c r="EL190" s="58">
        <v>0</v>
      </c>
      <c r="EN190" s="58">
        <v>2</v>
      </c>
      <c r="EO190" s="58">
        <v>1</v>
      </c>
      <c r="EP190" s="58">
        <v>7</v>
      </c>
      <c r="EQ190" s="58">
        <v>0</v>
      </c>
      <c r="ER190" s="58">
        <v>3</v>
      </c>
      <c r="EU190" s="58" t="str">
        <f t="shared" si="320"/>
        <v>No</v>
      </c>
      <c r="EV190" s="58" t="str">
        <f t="shared" si="321"/>
        <v>Time to progression</v>
      </c>
      <c r="EW190" s="58">
        <f t="shared" si="322"/>
        <v>0</v>
      </c>
      <c r="EX190" s="58">
        <f t="shared" si="323"/>
        <v>0</v>
      </c>
      <c r="EZ190" s="58">
        <f t="shared" si="324"/>
        <v>2</v>
      </c>
      <c r="FA190" s="58">
        <f t="shared" si="325"/>
        <v>1</v>
      </c>
      <c r="FB190" s="58">
        <f>IF(i_eff_inputs_based_on_num=2,ED190,(INDEX(Lists!$L$51:$L$85,MATCH(O190,Lists!$K$51:$K$85,0))))</f>
        <v>7</v>
      </c>
      <c r="FC190" s="58">
        <f>IF(i_eff_inputs_based_on_num=2,EE190,(INDEX(Lists!$L$51:$L$85,MATCH(P190,Lists!$K$51:$K$85,0))))</f>
        <v>2</v>
      </c>
      <c r="FD190" s="58">
        <f>IF(i_eff_inputs_based_on_num=2,EF190,(INDEX(Lists!$L$51:$L$85,MATCH(Q190,Lists!$K$51:$K$85,0))))</f>
        <v>3</v>
      </c>
      <c r="FG190" s="58" t="str">
        <f t="shared" si="326"/>
        <v>No</v>
      </c>
      <c r="FH190" s="58" t="str">
        <f t="shared" si="327"/>
        <v>Time to progression</v>
      </c>
      <c r="FI190" s="58">
        <f t="shared" si="328"/>
        <v>0</v>
      </c>
      <c r="FJ190" s="58">
        <f t="shared" si="329"/>
        <v>0</v>
      </c>
      <c r="FL190" s="58">
        <f t="shared" si="330"/>
        <v>2</v>
      </c>
      <c r="FM190" s="58">
        <f t="shared" si="331"/>
        <v>1</v>
      </c>
      <c r="FN190" s="58">
        <f>IF(i_eff_inputs_based_on_num=2,EP190,(INDEX(Lists!$L$51:$L$85,MATCH(O190,Lists!$K$51:$K$85,0))))</f>
        <v>7</v>
      </c>
      <c r="FO190" s="58">
        <f>IF(i_eff_inputs_based_on_num=2,EQ190,(INDEX(Lists!$L$51:$L$85,MATCH(P190,Lists!$K$51:$K$85,0))))</f>
        <v>0</v>
      </c>
      <c r="FP190" s="58">
        <f>IF(i_eff_inputs_based_on_num=2,ER190,(INDEX(Lists!$L$51:$L$85,MATCH(Q190,Lists!$K$51:$K$85,0))))</f>
        <v>3</v>
      </c>
      <c r="FT190" s="58">
        <f t="shared" si="236"/>
        <v>0</v>
      </c>
      <c r="FW190" s="58">
        <f>IF(i_baseline_risk_from=2,'Effectiveness settings'!EW190,'Effectiveness settings'!FI190)</f>
        <v>0</v>
      </c>
      <c r="FX190" s="58">
        <f t="shared" si="237"/>
        <v>0</v>
      </c>
      <c r="FY190" s="58">
        <f t="shared" si="238"/>
        <v>0</v>
      </c>
      <c r="FZ190" s="58">
        <f t="shared" si="239"/>
        <v>0</v>
      </c>
      <c r="GA190" s="58">
        <f t="shared" si="240"/>
        <v>0</v>
      </c>
      <c r="GB190" s="58">
        <f t="shared" si="241"/>
        <v>0</v>
      </c>
      <c r="GC190" s="58">
        <f t="shared" si="242"/>
        <v>0</v>
      </c>
      <c r="GD190" s="58">
        <f t="shared" si="243"/>
        <v>0</v>
      </c>
      <c r="GE190" s="58">
        <f>IF(AND(dd_CheckMate214_TTD="Yes",'Effectiveness settings'!BU190=2,'Effectiveness settings'!BX190=2),"Apply HR to",GD190)</f>
        <v>0</v>
      </c>
      <c r="GF190" s="58">
        <f t="shared" si="244"/>
        <v>0</v>
      </c>
      <c r="GG190" s="58">
        <f t="shared" si="245"/>
        <v>0</v>
      </c>
      <c r="GH190" s="58">
        <f t="shared" si="246"/>
        <v>0</v>
      </c>
      <c r="GI190" s="58">
        <f t="shared" si="306"/>
        <v>0</v>
      </c>
      <c r="GK190" s="58">
        <f>IF(i_baseline_risk_from=2,'Effectiveness settings'!FA190,'Effectiveness settings'!FM190)</f>
        <v>1</v>
      </c>
      <c r="GL190" s="58">
        <f>IF(i_baseline_risk_from=2,'Effectiveness settings'!FB190,'Effectiveness settings'!FN190)</f>
        <v>7</v>
      </c>
      <c r="GM190" s="58">
        <f>IF(i_baseline_risk_from=2,'Effectiveness settings'!FC190,'Effectiveness settings'!FO190)</f>
        <v>2</v>
      </c>
      <c r="GN190" s="58">
        <f>IF(i_baseline_risk_from=2,'Effectiveness settings'!FD190,'Effectiveness settings'!FP190)</f>
        <v>3</v>
      </c>
      <c r="GQ190" s="58">
        <f t="shared" si="247"/>
        <v>7</v>
      </c>
      <c r="GR190" s="58">
        <f t="shared" si="248"/>
        <v>7</v>
      </c>
      <c r="GS190" s="58">
        <f t="shared" si="249"/>
        <v>7</v>
      </c>
      <c r="GT190" s="58">
        <f t="shared" si="250"/>
        <v>7</v>
      </c>
      <c r="GU190" s="58">
        <f>IF(AND(dd_CheckMate214_TTD="Yes",'Effectiveness settings'!BU190=2,'Effectiveness settings'!BX190=2),2,GT190)</f>
        <v>7</v>
      </c>
      <c r="GV190" s="58">
        <f t="shared" si="251"/>
        <v>7</v>
      </c>
      <c r="GW190" s="58">
        <f t="shared" si="252"/>
        <v>7</v>
      </c>
      <c r="GY190" s="58">
        <f>IF(AND(dd_CheckMate214_TTD="Yes",'Effectiveness settings'!BU190=2,'Effectiveness settings'!BX190=2),1,GN190)</f>
        <v>3</v>
      </c>
      <c r="GZ190" s="58">
        <f t="shared" si="253"/>
        <v>3</v>
      </c>
      <c r="HB190" s="58">
        <f t="shared" si="254"/>
        <v>2</v>
      </c>
      <c r="HD190" s="58">
        <f t="shared" si="227"/>
        <v>2</v>
      </c>
      <c r="HE190" s="58">
        <f t="shared" si="228"/>
        <v>1</v>
      </c>
      <c r="HF190" s="58">
        <f t="shared" si="229"/>
        <v>7</v>
      </c>
      <c r="HG190" s="58">
        <f t="shared" si="230"/>
        <v>2</v>
      </c>
      <c r="HH190" s="58">
        <f t="shared" si="231"/>
        <v>3</v>
      </c>
    </row>
    <row r="191" spans="1:216" ht="15.75" x14ac:dyDescent="0.25">
      <c r="D191" s="58" t="str">
        <v>axitinib</v>
      </c>
      <c r="I191" s="64" t="s">
        <v>58</v>
      </c>
      <c r="J191" s="519" t="s">
        <v>555</v>
      </c>
      <c r="K191" s="524"/>
      <c r="L191" s="519"/>
      <c r="M191" s="516" t="s">
        <v>559</v>
      </c>
      <c r="N191" s="64" t="s">
        <v>546</v>
      </c>
      <c r="O191" s="64" t="s">
        <v>117</v>
      </c>
      <c r="P191" s="64" t="s">
        <v>547</v>
      </c>
      <c r="Q191" s="519" t="s">
        <v>555</v>
      </c>
      <c r="R191" s="516" t="s">
        <v>548</v>
      </c>
      <c r="S191" s="497"/>
      <c r="T191" s="497"/>
      <c r="U191" s="497"/>
      <c r="Y191" s="517"/>
      <c r="AA191" s="517"/>
      <c r="AF191" s="517"/>
      <c r="AM191" s="517"/>
      <c r="AO191" s="517"/>
      <c r="AT191" s="517"/>
      <c r="AV191" s="511"/>
      <c r="AW191" s="511"/>
      <c r="AX191" s="511"/>
      <c r="BA191" s="517"/>
      <c r="BC191" s="517"/>
      <c r="BH191" s="517"/>
      <c r="BJ191" s="511"/>
      <c r="BK191" s="511"/>
      <c r="BL191" s="511"/>
      <c r="BQ191" s="58">
        <f t="shared" si="234"/>
        <v>124</v>
      </c>
      <c r="BR191" s="17">
        <v>2</v>
      </c>
      <c r="BS191" s="17" t="s">
        <v>559</v>
      </c>
      <c r="BT191" s="17">
        <v>1</v>
      </c>
      <c r="BU191" s="17">
        <v>11</v>
      </c>
      <c r="BV191" s="17" t="str">
        <f t="shared" si="308"/>
        <v>axitinib</v>
      </c>
      <c r="BW191" s="1006" t="str" cm="1">
        <f t="array" ref="BW191">IF(I191="No",I191,INDEX(List_incl_anal_1L_fav,IF(BU191=999,35,BU191+1)))</f>
        <v>No</v>
      </c>
      <c r="BX191" s="61">
        <f t="shared" si="309"/>
        <v>3</v>
      </c>
      <c r="BY191" s="531" t="str">
        <f t="shared" si="333"/>
        <v>Time to progression</v>
      </c>
      <c r="BZ191" s="530">
        <f t="shared" si="310"/>
        <v>0</v>
      </c>
      <c r="CA191" s="531">
        <f t="shared" si="332"/>
        <v>0</v>
      </c>
      <c r="CB191" s="530">
        <f t="shared" si="311"/>
        <v>2</v>
      </c>
      <c r="CC191" s="530">
        <f t="shared" si="312"/>
        <v>1</v>
      </c>
      <c r="CD191" s="530">
        <f t="shared" si="313"/>
        <v>7</v>
      </c>
      <c r="CE191" s="1295">
        <f t="shared" si="314"/>
        <v>2</v>
      </c>
      <c r="CF191" s="1301">
        <f t="shared" si="315"/>
        <v>3</v>
      </c>
      <c r="CG191" s="530" t="str">
        <f t="shared" si="316"/>
        <v>Log-logistic</v>
      </c>
      <c r="CH191" s="61">
        <f t="shared" si="317"/>
        <v>0</v>
      </c>
      <c r="CI191" s="61">
        <f t="shared" si="318"/>
        <v>0</v>
      </c>
      <c r="CJ191" s="61">
        <f t="shared" si="319"/>
        <v>0</v>
      </c>
      <c r="DA191" s="1024"/>
      <c r="DB191" s="1024"/>
      <c r="DC191" s="1024"/>
      <c r="DD191" s="1024"/>
      <c r="DE191" s="1024"/>
      <c r="DF191" s="1024"/>
      <c r="DG191" s="1024"/>
      <c r="DK191" s="58" t="str" cm="1">
        <f t="array" ref="DK191">IF(AND($BT191=4,$BX191=4,$BU191=999),$DB$36,_xlfn.IFNA(INDEX(DB$13:DB$70,MATCH(1,($BR191=$CV$13:$CV$70)*($BT191=$CX$13:$CX$70)*($CE191=$CY$13:$CY$70)*($BY191=$DA$13:$DA$70)*($CD191=$DH$13:$DH$70),0)),""))</f>
        <v>Log-logistic</v>
      </c>
      <c r="DL191" s="58" t="str" cm="1">
        <f t="array" ref="DL191">IF(AND($BT191=4,$BX191=4,$BU191=999),$DC$36,_xlfn.IFNA(INDEX(CHOOSE(DP191,DB$13:DB$70,DC$13:DC$70,DD$13:DD$70,DE$13:DE$70),MATCH(1,($BR191=$CV$13:$CV$70)*($BT191=$CX$13:$CX$70)*($CE191=$CY$13:$CY$70)*($BY191=$DA$13:$DA$70)*($CD191=$DH$13:$DH$70),0)),""))</f>
        <v>Log-logistic</v>
      </c>
      <c r="DM191" s="740" cm="1">
        <f t="array" ref="DM191">IF(AND($BT191=4,$BX191=4,$BU191=999),$DD$36,_xlfn.IFNA(INDEX(DD$13:DD$68,MATCH(1,($BR191=$CV$13:$CV$68)*($BT191=$CX$13:$CX$68)*($CE191=$CY$13:$CY$68)*($BY191=$DA$13:$DA$68)*($CD191=$DH$13:$DH$68),0)),""))</f>
        <v>0</v>
      </c>
      <c r="DN191" s="740" cm="1">
        <f t="array" ref="DN191">IF(AND($BT191=4,$BX191=4,$BU191=999),$DD$36,_xlfn.IFNA(INDEX(DE$13:DE$68,MATCH(1,($BR191=$CV$13:$CV$68)*($BT191=$CX$13:$CX$68)*($CE191=$CY$13:$CY$68)*($BY191=$DA$13:$DA$68)*($CD191=$DH$13:$DH$68),0)),""))</f>
        <v>0</v>
      </c>
      <c r="DO191" s="58" t="str" cm="1">
        <f t="array" ref="DO191">IF(AND($BT191=4,$BX191=4,$BU191=999),$DF$36,_xlfn.IFNA(INDEX(DF$13:DF$70,MATCH(1,($BR191=$CV$13:$CV$70)*($BT191=$CX$13:$CX$70)*($CE191=$CY$13:$CY$70)*($BY191=$DA$13:$DA$70)*($CD191=$DH$13:$DH$70),0)),""))</f>
        <v>Base case</v>
      </c>
      <c r="DP191" s="58">
        <f t="shared" si="235"/>
        <v>1</v>
      </c>
      <c r="DW191" s="58" t="s">
        <v>58</v>
      </c>
      <c r="DX191" s="58" t="s">
        <v>555</v>
      </c>
      <c r="DY191" s="58">
        <v>0</v>
      </c>
      <c r="DZ191" s="58">
        <v>0</v>
      </c>
      <c r="EB191" s="58">
        <v>2</v>
      </c>
      <c r="EC191" s="58">
        <v>1</v>
      </c>
      <c r="ED191" s="58">
        <v>7</v>
      </c>
      <c r="EE191" s="58">
        <v>2</v>
      </c>
      <c r="EF191" s="58">
        <v>3</v>
      </c>
      <c r="EI191" s="58" t="s">
        <v>58</v>
      </c>
      <c r="EJ191" s="58" t="s">
        <v>555</v>
      </c>
      <c r="EK191" s="58">
        <v>0</v>
      </c>
      <c r="EL191" s="58">
        <v>0</v>
      </c>
      <c r="EN191" s="58">
        <v>2</v>
      </c>
      <c r="EO191" s="58">
        <v>1</v>
      </c>
      <c r="EP191" s="58">
        <v>7</v>
      </c>
      <c r="EQ191" s="58">
        <v>0</v>
      </c>
      <c r="ER191" s="58">
        <v>3</v>
      </c>
      <c r="EU191" s="58" t="str">
        <f t="shared" si="320"/>
        <v>No</v>
      </c>
      <c r="EV191" s="58" t="str">
        <f t="shared" si="321"/>
        <v>Time to progression</v>
      </c>
      <c r="EW191" s="58">
        <f t="shared" si="322"/>
        <v>0</v>
      </c>
      <c r="EX191" s="58">
        <f t="shared" si="323"/>
        <v>0</v>
      </c>
      <c r="EZ191" s="58">
        <f t="shared" si="324"/>
        <v>2</v>
      </c>
      <c r="FA191" s="58">
        <f t="shared" si="325"/>
        <v>1</v>
      </c>
      <c r="FB191" s="58">
        <f>IF(i_eff_inputs_based_on_num=2,ED191,(INDEX(Lists!$L$51:$L$85,MATCH(O191,Lists!$K$51:$K$85,0))))</f>
        <v>7</v>
      </c>
      <c r="FC191" s="58">
        <f>IF(i_eff_inputs_based_on_num=2,EE191,(INDEX(Lists!$L$51:$L$85,MATCH(P191,Lists!$K$51:$K$85,0))))</f>
        <v>2</v>
      </c>
      <c r="FD191" s="58">
        <f>IF(i_eff_inputs_based_on_num=2,EF191,(INDEX(Lists!$L$51:$L$85,MATCH(Q191,Lists!$K$51:$K$85,0))))</f>
        <v>3</v>
      </c>
      <c r="FG191" s="58" t="str">
        <f t="shared" si="326"/>
        <v>No</v>
      </c>
      <c r="FH191" s="58" t="str">
        <f t="shared" si="327"/>
        <v>Time to progression</v>
      </c>
      <c r="FI191" s="58">
        <f t="shared" si="328"/>
        <v>0</v>
      </c>
      <c r="FJ191" s="58">
        <f t="shared" si="329"/>
        <v>0</v>
      </c>
      <c r="FL191" s="58">
        <f t="shared" si="330"/>
        <v>2</v>
      </c>
      <c r="FM191" s="58">
        <f t="shared" si="331"/>
        <v>1</v>
      </c>
      <c r="FN191" s="58">
        <f>IF(i_eff_inputs_based_on_num=2,EP191,(INDEX(Lists!$L$51:$L$85,MATCH(O191,Lists!$K$51:$K$85,0))))</f>
        <v>7</v>
      </c>
      <c r="FO191" s="58">
        <f>IF(i_eff_inputs_based_on_num=2,EQ191,(INDEX(Lists!$L$51:$L$85,MATCH(P191,Lists!$K$51:$K$85,0))))</f>
        <v>0</v>
      </c>
      <c r="FP191" s="58">
        <f>IF(i_eff_inputs_based_on_num=2,ER191,(INDEX(Lists!$L$51:$L$85,MATCH(Q191,Lists!$K$51:$K$85,0))))</f>
        <v>3</v>
      </c>
      <c r="FT191" s="58">
        <f t="shared" si="236"/>
        <v>0</v>
      </c>
      <c r="FW191" s="58">
        <f>IF(i_baseline_risk_from=2,'Effectiveness settings'!EW191,'Effectiveness settings'!FI191)</f>
        <v>0</v>
      </c>
      <c r="FX191" s="58">
        <f t="shared" si="237"/>
        <v>0</v>
      </c>
      <c r="FY191" s="58">
        <f t="shared" si="238"/>
        <v>0</v>
      </c>
      <c r="FZ191" s="58">
        <f t="shared" si="239"/>
        <v>0</v>
      </c>
      <c r="GA191" s="58">
        <f t="shared" si="240"/>
        <v>0</v>
      </c>
      <c r="GB191" s="58">
        <f t="shared" si="241"/>
        <v>0</v>
      </c>
      <c r="GC191" s="58">
        <f t="shared" si="242"/>
        <v>0</v>
      </c>
      <c r="GD191" s="58">
        <f t="shared" si="243"/>
        <v>0</v>
      </c>
      <c r="GE191" s="58">
        <f>IF(AND(dd_CheckMate214_TTD="Yes",'Effectiveness settings'!BU191=2,'Effectiveness settings'!BX191=2),"Apply HR to",GD191)</f>
        <v>0</v>
      </c>
      <c r="GF191" s="58">
        <f t="shared" si="244"/>
        <v>0</v>
      </c>
      <c r="GG191" s="58">
        <f t="shared" si="245"/>
        <v>0</v>
      </c>
      <c r="GH191" s="58">
        <f t="shared" si="246"/>
        <v>0</v>
      </c>
      <c r="GI191" s="58">
        <f t="shared" si="306"/>
        <v>0</v>
      </c>
      <c r="GK191" s="58">
        <f>IF(i_baseline_risk_from=2,'Effectiveness settings'!FA191,'Effectiveness settings'!FM191)</f>
        <v>1</v>
      </c>
      <c r="GL191" s="58">
        <f>IF(i_baseline_risk_from=2,'Effectiveness settings'!FB191,'Effectiveness settings'!FN191)</f>
        <v>7</v>
      </c>
      <c r="GM191" s="58">
        <f>IF(i_baseline_risk_from=2,'Effectiveness settings'!FC191,'Effectiveness settings'!FO191)</f>
        <v>2</v>
      </c>
      <c r="GN191" s="58">
        <f>IF(i_baseline_risk_from=2,'Effectiveness settings'!FD191,'Effectiveness settings'!FP191)</f>
        <v>3</v>
      </c>
      <c r="GQ191" s="58">
        <f t="shared" si="247"/>
        <v>7</v>
      </c>
      <c r="GR191" s="58">
        <f t="shared" si="248"/>
        <v>7</v>
      </c>
      <c r="GS191" s="58">
        <f t="shared" si="249"/>
        <v>7</v>
      </c>
      <c r="GT191" s="58">
        <f t="shared" si="250"/>
        <v>7</v>
      </c>
      <c r="GU191" s="58">
        <f>IF(AND(dd_CheckMate214_TTD="Yes",'Effectiveness settings'!BU191=2,'Effectiveness settings'!BX191=2),2,GT191)</f>
        <v>7</v>
      </c>
      <c r="GV191" s="58">
        <f t="shared" si="251"/>
        <v>7</v>
      </c>
      <c r="GW191" s="58">
        <f t="shared" si="252"/>
        <v>7</v>
      </c>
      <c r="GY191" s="58">
        <f>IF(AND(dd_CheckMate214_TTD="Yes",'Effectiveness settings'!BU191=2,'Effectiveness settings'!BX191=2),1,GN191)</f>
        <v>3</v>
      </c>
      <c r="GZ191" s="58">
        <f t="shared" si="253"/>
        <v>3</v>
      </c>
      <c r="HB191" s="58">
        <f t="shared" si="254"/>
        <v>2</v>
      </c>
      <c r="HD191" s="58">
        <f t="shared" si="227"/>
        <v>2</v>
      </c>
      <c r="HE191" s="58">
        <f t="shared" si="228"/>
        <v>1</v>
      </c>
      <c r="HF191" s="58">
        <f t="shared" si="229"/>
        <v>7</v>
      </c>
      <c r="HG191" s="58">
        <f t="shared" si="230"/>
        <v>2</v>
      </c>
      <c r="HH191" s="58">
        <f t="shared" si="231"/>
        <v>3</v>
      </c>
    </row>
    <row r="192" spans="1:216" ht="15.75" x14ac:dyDescent="0.25">
      <c r="D192" s="58" t="str">
        <v>sorafenib</v>
      </c>
      <c r="I192" s="64" t="s">
        <v>58</v>
      </c>
      <c r="J192" s="519" t="s">
        <v>555</v>
      </c>
      <c r="K192" s="524"/>
      <c r="L192" s="519"/>
      <c r="M192" s="516" t="s">
        <v>559</v>
      </c>
      <c r="N192" s="64" t="s">
        <v>546</v>
      </c>
      <c r="O192" s="64" t="s">
        <v>117</v>
      </c>
      <c r="P192" s="64" t="s">
        <v>547</v>
      </c>
      <c r="Q192" s="519" t="s">
        <v>555</v>
      </c>
      <c r="R192" s="516" t="s">
        <v>548</v>
      </c>
      <c r="S192" s="497"/>
      <c r="T192" s="497"/>
      <c r="U192" s="497"/>
      <c r="Y192" s="517"/>
      <c r="AA192" s="517"/>
      <c r="AF192" s="517"/>
      <c r="AM192" s="517"/>
      <c r="AO192" s="517"/>
      <c r="AT192" s="517"/>
      <c r="AV192" s="511"/>
      <c r="AW192" s="511"/>
      <c r="AX192" s="511"/>
      <c r="BA192" s="517"/>
      <c r="BC192" s="517"/>
      <c r="BH192" s="517"/>
      <c r="BJ192" s="511"/>
      <c r="BK192" s="511"/>
      <c r="BL192" s="511"/>
      <c r="BQ192" s="58">
        <f t="shared" si="234"/>
        <v>125</v>
      </c>
      <c r="BR192" s="17">
        <v>2</v>
      </c>
      <c r="BS192" s="17" t="s">
        <v>559</v>
      </c>
      <c r="BT192" s="17">
        <v>1</v>
      </c>
      <c r="BU192" s="17">
        <v>12</v>
      </c>
      <c r="BV192" s="17" t="str">
        <f t="shared" si="308"/>
        <v>sorafenib</v>
      </c>
      <c r="BW192" s="1006" t="str" cm="1">
        <f t="array" ref="BW192">IF(I192="No",I192,INDEX(List_incl_anal_1L_fav,IF(BU192=999,35,BU192+1)))</f>
        <v>No</v>
      </c>
      <c r="BX192" s="61">
        <f t="shared" si="309"/>
        <v>3</v>
      </c>
      <c r="BY192" s="531" t="str">
        <f t="shared" si="333"/>
        <v>Time to progression</v>
      </c>
      <c r="BZ192" s="530">
        <f t="shared" si="310"/>
        <v>0</v>
      </c>
      <c r="CA192" s="531">
        <f t="shared" si="332"/>
        <v>0</v>
      </c>
      <c r="CB192" s="530">
        <f t="shared" si="311"/>
        <v>2</v>
      </c>
      <c r="CC192" s="530">
        <f t="shared" si="312"/>
        <v>1</v>
      </c>
      <c r="CD192" s="530">
        <f t="shared" si="313"/>
        <v>7</v>
      </c>
      <c r="CE192" s="1295">
        <f t="shared" si="314"/>
        <v>2</v>
      </c>
      <c r="CF192" s="1301">
        <f t="shared" si="315"/>
        <v>3</v>
      </c>
      <c r="CG192" s="530" t="str">
        <f t="shared" si="316"/>
        <v>Log-logistic</v>
      </c>
      <c r="CH192" s="61">
        <f t="shared" si="317"/>
        <v>0</v>
      </c>
      <c r="CI192" s="61">
        <f t="shared" si="318"/>
        <v>0</v>
      </c>
      <c r="CJ192" s="61">
        <f t="shared" si="319"/>
        <v>0</v>
      </c>
      <c r="DA192" s="1024"/>
      <c r="DB192" s="1024"/>
      <c r="DC192" s="1024"/>
      <c r="DD192" s="1024"/>
      <c r="DE192" s="1024"/>
      <c r="DF192" s="1024"/>
      <c r="DG192" s="1024"/>
      <c r="DK192" s="58" t="str" cm="1">
        <f t="array" ref="DK192">IF(AND($BT192=4,$BX192=4,$BU192=999),$DB$36,_xlfn.IFNA(INDEX(DB$13:DB$70,MATCH(1,($BR192=$CV$13:$CV$70)*($BT192=$CX$13:$CX$70)*($CE192=$CY$13:$CY$70)*($BY192=$DA$13:$DA$70)*($CD192=$DH$13:$DH$70),0)),""))</f>
        <v>Log-logistic</v>
      </c>
      <c r="DL192" s="58" t="str" cm="1">
        <f t="array" ref="DL192">IF(AND($BT192=4,$BX192=4,$BU192=999),$DC$36,_xlfn.IFNA(INDEX(CHOOSE(DP192,DB$13:DB$70,DC$13:DC$70,DD$13:DD$70,DE$13:DE$70),MATCH(1,($BR192=$CV$13:$CV$70)*($BT192=$CX$13:$CX$70)*($CE192=$CY$13:$CY$70)*($BY192=$DA$13:$DA$70)*($CD192=$DH$13:$DH$70),0)),""))</f>
        <v>Log-logistic</v>
      </c>
      <c r="DM192" s="740" cm="1">
        <f t="array" ref="DM192">IF(AND($BT192=4,$BX192=4,$BU192=999),$DD$36,_xlfn.IFNA(INDEX(DD$13:DD$68,MATCH(1,($BR192=$CV$13:$CV$68)*($BT192=$CX$13:$CX$68)*($CE192=$CY$13:$CY$68)*($BY192=$DA$13:$DA$68)*($CD192=$DH$13:$DH$68),0)),""))</f>
        <v>0</v>
      </c>
      <c r="DN192" s="740" cm="1">
        <f t="array" ref="DN192">IF(AND($BT192=4,$BX192=4,$BU192=999),$DD$36,_xlfn.IFNA(INDEX(DE$13:DE$68,MATCH(1,($BR192=$CV$13:$CV$68)*($BT192=$CX$13:$CX$68)*($CE192=$CY$13:$CY$68)*($BY192=$DA$13:$DA$68)*($CD192=$DH$13:$DH$68),0)),""))</f>
        <v>0</v>
      </c>
      <c r="DO192" s="58" t="str" cm="1">
        <f t="array" ref="DO192">IF(AND($BT192=4,$BX192=4,$BU192=999),$DF$36,_xlfn.IFNA(INDEX(DF$13:DF$70,MATCH(1,($BR192=$CV$13:$CV$70)*($BT192=$CX$13:$CX$70)*($CE192=$CY$13:$CY$70)*($BY192=$DA$13:$DA$70)*($CD192=$DH$13:$DH$70),0)),""))</f>
        <v>Base case</v>
      </c>
      <c r="DP192" s="58">
        <f t="shared" si="235"/>
        <v>1</v>
      </c>
      <c r="DW192" s="58" t="s">
        <v>58</v>
      </c>
      <c r="DX192" s="58" t="s">
        <v>555</v>
      </c>
      <c r="DY192" s="58">
        <v>0</v>
      </c>
      <c r="DZ192" s="58">
        <v>0</v>
      </c>
      <c r="EB192" s="58">
        <v>2</v>
      </c>
      <c r="EC192" s="58">
        <v>1</v>
      </c>
      <c r="ED192" s="58">
        <v>7</v>
      </c>
      <c r="EE192" s="58">
        <v>2</v>
      </c>
      <c r="EF192" s="58">
        <v>3</v>
      </c>
      <c r="EI192" s="58" t="s">
        <v>58</v>
      </c>
      <c r="EJ192" s="58" t="s">
        <v>555</v>
      </c>
      <c r="EK192" s="58">
        <v>0</v>
      </c>
      <c r="EL192" s="58">
        <v>0</v>
      </c>
      <c r="EN192" s="58">
        <v>2</v>
      </c>
      <c r="EO192" s="58">
        <v>1</v>
      </c>
      <c r="EP192" s="58">
        <v>7</v>
      </c>
      <c r="EQ192" s="58">
        <v>0</v>
      </c>
      <c r="ER192" s="58">
        <v>3</v>
      </c>
      <c r="EU192" s="58" t="str">
        <f t="shared" si="320"/>
        <v>No</v>
      </c>
      <c r="EV192" s="58" t="str">
        <f t="shared" si="321"/>
        <v>Time to progression</v>
      </c>
      <c r="EW192" s="58">
        <f t="shared" si="322"/>
        <v>0</v>
      </c>
      <c r="EX192" s="58">
        <f t="shared" si="323"/>
        <v>0</v>
      </c>
      <c r="EZ192" s="58">
        <f t="shared" si="324"/>
        <v>2</v>
      </c>
      <c r="FA192" s="58">
        <f t="shared" si="325"/>
        <v>1</v>
      </c>
      <c r="FB192" s="58">
        <f>IF(i_eff_inputs_based_on_num=2,ED192,(INDEX(Lists!$L$51:$L$85,MATCH(O192,Lists!$K$51:$K$85,0))))</f>
        <v>7</v>
      </c>
      <c r="FC192" s="58">
        <f>IF(i_eff_inputs_based_on_num=2,EE192,(INDEX(Lists!$L$51:$L$85,MATCH(P192,Lists!$K$51:$K$85,0))))</f>
        <v>2</v>
      </c>
      <c r="FD192" s="58">
        <f>IF(i_eff_inputs_based_on_num=2,EF192,(INDEX(Lists!$L$51:$L$85,MATCH(Q192,Lists!$K$51:$K$85,0))))</f>
        <v>3</v>
      </c>
      <c r="FG192" s="58" t="str">
        <f t="shared" si="326"/>
        <v>No</v>
      </c>
      <c r="FH192" s="58" t="str">
        <f t="shared" si="327"/>
        <v>Time to progression</v>
      </c>
      <c r="FI192" s="58">
        <f t="shared" si="328"/>
        <v>0</v>
      </c>
      <c r="FJ192" s="58">
        <f t="shared" si="329"/>
        <v>0</v>
      </c>
      <c r="FL192" s="58">
        <f t="shared" si="330"/>
        <v>2</v>
      </c>
      <c r="FM192" s="58">
        <f t="shared" si="331"/>
        <v>1</v>
      </c>
      <c r="FN192" s="58">
        <f>IF(i_eff_inputs_based_on_num=2,EP192,(INDEX(Lists!$L$51:$L$85,MATCH(O192,Lists!$K$51:$K$85,0))))</f>
        <v>7</v>
      </c>
      <c r="FO192" s="58">
        <f>IF(i_eff_inputs_based_on_num=2,EQ192,(INDEX(Lists!$L$51:$L$85,MATCH(P192,Lists!$K$51:$K$85,0))))</f>
        <v>0</v>
      </c>
      <c r="FP192" s="58">
        <f>IF(i_eff_inputs_based_on_num=2,ER192,(INDEX(Lists!$L$51:$L$85,MATCH(Q192,Lists!$K$51:$K$85,0))))</f>
        <v>3</v>
      </c>
      <c r="FT192" s="58">
        <f t="shared" si="236"/>
        <v>0</v>
      </c>
      <c r="FW192" s="58">
        <f>IF(i_baseline_risk_from=2,'Effectiveness settings'!EW192,'Effectiveness settings'!FI192)</f>
        <v>0</v>
      </c>
      <c r="FX192" s="58">
        <f t="shared" si="237"/>
        <v>0</v>
      </c>
      <c r="FY192" s="58">
        <f t="shared" si="238"/>
        <v>0</v>
      </c>
      <c r="FZ192" s="58">
        <f t="shared" si="239"/>
        <v>0</v>
      </c>
      <c r="GA192" s="58">
        <f t="shared" si="240"/>
        <v>0</v>
      </c>
      <c r="GB192" s="58">
        <f t="shared" si="241"/>
        <v>0</v>
      </c>
      <c r="GC192" s="58">
        <f t="shared" si="242"/>
        <v>0</v>
      </c>
      <c r="GD192" s="58">
        <f t="shared" si="243"/>
        <v>0</v>
      </c>
      <c r="GE192" s="58">
        <f>IF(AND(dd_CheckMate214_TTD="Yes",'Effectiveness settings'!BU192=2,'Effectiveness settings'!BX192=2),"Apply HR to",GD192)</f>
        <v>0</v>
      </c>
      <c r="GF192" s="58">
        <f t="shared" si="244"/>
        <v>0</v>
      </c>
      <c r="GG192" s="58">
        <f t="shared" si="245"/>
        <v>0</v>
      </c>
      <c r="GH192" s="58">
        <f t="shared" si="246"/>
        <v>0</v>
      </c>
      <c r="GI192" s="58">
        <f t="shared" si="306"/>
        <v>0</v>
      </c>
      <c r="GK192" s="58">
        <f>IF(i_baseline_risk_from=2,'Effectiveness settings'!FA192,'Effectiveness settings'!FM192)</f>
        <v>1</v>
      </c>
      <c r="GL192" s="58">
        <f>IF(i_baseline_risk_from=2,'Effectiveness settings'!FB192,'Effectiveness settings'!FN192)</f>
        <v>7</v>
      </c>
      <c r="GM192" s="58">
        <f>IF(i_baseline_risk_from=2,'Effectiveness settings'!FC192,'Effectiveness settings'!FO192)</f>
        <v>2</v>
      </c>
      <c r="GN192" s="58">
        <f>IF(i_baseline_risk_from=2,'Effectiveness settings'!FD192,'Effectiveness settings'!FP192)</f>
        <v>3</v>
      </c>
      <c r="GQ192" s="58">
        <f t="shared" si="247"/>
        <v>7</v>
      </c>
      <c r="GR192" s="58">
        <f t="shared" si="248"/>
        <v>7</v>
      </c>
      <c r="GS192" s="58">
        <f t="shared" si="249"/>
        <v>7</v>
      </c>
      <c r="GT192" s="58">
        <f t="shared" si="250"/>
        <v>7</v>
      </c>
      <c r="GU192" s="58">
        <f>IF(AND(dd_CheckMate214_TTD="Yes",'Effectiveness settings'!BU192=2,'Effectiveness settings'!BX192=2),2,GT192)</f>
        <v>7</v>
      </c>
      <c r="GV192" s="58">
        <f t="shared" si="251"/>
        <v>7</v>
      </c>
      <c r="GW192" s="58">
        <f t="shared" si="252"/>
        <v>7</v>
      </c>
      <c r="GY192" s="58">
        <f>IF(AND(dd_CheckMate214_TTD="Yes",'Effectiveness settings'!BU192=2,'Effectiveness settings'!BX192=2),1,GN192)</f>
        <v>3</v>
      </c>
      <c r="GZ192" s="58">
        <f t="shared" si="253"/>
        <v>3</v>
      </c>
      <c r="HB192" s="58">
        <f t="shared" si="254"/>
        <v>2</v>
      </c>
      <c r="HD192" s="58">
        <f t="shared" si="227"/>
        <v>2</v>
      </c>
      <c r="HE192" s="58">
        <f t="shared" si="228"/>
        <v>1</v>
      </c>
      <c r="HF192" s="58">
        <f t="shared" si="229"/>
        <v>7</v>
      </c>
      <c r="HG192" s="58">
        <f t="shared" si="230"/>
        <v>2</v>
      </c>
      <c r="HH192" s="58">
        <f t="shared" si="231"/>
        <v>3</v>
      </c>
    </row>
    <row r="193" spans="1:216" ht="15.75" x14ac:dyDescent="0.25">
      <c r="D193" s="58" t="str">
        <v>placebo_BSC</v>
      </c>
      <c r="I193" s="64" t="s">
        <v>58</v>
      </c>
      <c r="J193" s="519" t="s">
        <v>555</v>
      </c>
      <c r="K193" s="524"/>
      <c r="L193" s="519"/>
      <c r="M193" s="516" t="s">
        <v>559</v>
      </c>
      <c r="N193" s="64" t="s">
        <v>546</v>
      </c>
      <c r="O193" s="64" t="s">
        <v>117</v>
      </c>
      <c r="P193" s="64" t="s">
        <v>547</v>
      </c>
      <c r="Q193" s="519" t="s">
        <v>555</v>
      </c>
      <c r="R193" s="516" t="s">
        <v>548</v>
      </c>
      <c r="S193" s="497"/>
      <c r="T193" s="497"/>
      <c r="U193" s="497"/>
      <c r="Y193" s="517"/>
      <c r="AA193" s="517"/>
      <c r="AF193" s="517"/>
      <c r="AM193" s="517"/>
      <c r="AO193" s="517"/>
      <c r="AT193" s="517"/>
      <c r="AV193" s="511"/>
      <c r="AW193" s="511"/>
      <c r="AX193" s="511"/>
      <c r="BA193" s="517"/>
      <c r="BC193" s="517"/>
      <c r="BH193" s="517"/>
      <c r="BJ193" s="511"/>
      <c r="BK193" s="511"/>
      <c r="BL193" s="511"/>
      <c r="BQ193" s="58">
        <f t="shared" si="234"/>
        <v>126</v>
      </c>
      <c r="BR193" s="17">
        <v>2</v>
      </c>
      <c r="BS193" s="17" t="s">
        <v>559</v>
      </c>
      <c r="BT193" s="17">
        <v>1</v>
      </c>
      <c r="BU193" s="17">
        <v>999</v>
      </c>
      <c r="BV193" s="17" t="str">
        <f t="shared" si="308"/>
        <v>placebo_BSC</v>
      </c>
      <c r="BW193" s="1006" t="str" cm="1">
        <f t="array" ref="BW193">IF(I193="No",I193,INDEX(List_incl_anal_1L_fav,IF(BU193=999,35,BU193+1)))</f>
        <v>No</v>
      </c>
      <c r="BX193" s="61">
        <f t="shared" si="309"/>
        <v>3</v>
      </c>
      <c r="BY193" s="531" t="str">
        <f t="shared" si="333"/>
        <v>Time to progression</v>
      </c>
      <c r="BZ193" s="530">
        <f t="shared" si="310"/>
        <v>0</v>
      </c>
      <c r="CA193" s="531">
        <f t="shared" si="332"/>
        <v>0</v>
      </c>
      <c r="CB193" s="530">
        <f t="shared" si="311"/>
        <v>2</v>
      </c>
      <c r="CC193" s="530">
        <f t="shared" si="312"/>
        <v>4</v>
      </c>
      <c r="CD193" s="530">
        <f t="shared" si="313"/>
        <v>999</v>
      </c>
      <c r="CE193" s="1295">
        <f t="shared" si="314"/>
        <v>2</v>
      </c>
      <c r="CF193" s="1301">
        <f t="shared" si="315"/>
        <v>4</v>
      </c>
      <c r="CG193" s="530" t="str">
        <f t="shared" si="316"/>
        <v/>
      </c>
      <c r="CH193" s="61">
        <f t="shared" si="317"/>
        <v>0</v>
      </c>
      <c r="CI193" s="61">
        <f t="shared" si="318"/>
        <v>0</v>
      </c>
      <c r="CJ193" s="61">
        <f t="shared" si="319"/>
        <v>0</v>
      </c>
      <c r="DA193" s="1024"/>
      <c r="DB193" s="1024"/>
      <c r="DC193" s="1024"/>
      <c r="DD193" s="1024"/>
      <c r="DE193" s="1024"/>
      <c r="DF193" s="1024"/>
      <c r="DG193" s="1024"/>
      <c r="DK193" s="58" t="str" cm="1">
        <f t="array" ref="DK193">IF(AND($BT193=4,$BX193=4,$BU193=999),$DB$36,_xlfn.IFNA(INDEX(DB$13:DB$70,MATCH(1,($BR193=$CV$13:$CV$70)*($BT193=$CX$13:$CX$70)*($CE193=$CY$13:$CY$70)*($BY193=$DA$13:$DA$70)*($CD193=$DH$13:$DH$70),0)),""))</f>
        <v/>
      </c>
      <c r="DL193" s="58" t="str" cm="1">
        <f t="array" ref="DL193">IF(AND($BT193=4,$BX193=4,$BU193=999),$DC$36,_xlfn.IFNA(INDEX(CHOOSE(DP193,DB$13:DB$70,DC$13:DC$70,DD$13:DD$70,DE$13:DE$70),MATCH(1,($BR193=$CV$13:$CV$70)*($BT193=$CX$13:$CX$70)*($CE193=$CY$13:$CY$70)*($BY193=$DA$13:$DA$70)*($CD193=$DH$13:$DH$70),0)),""))</f>
        <v/>
      </c>
      <c r="DM193" s="740" t="str" cm="1">
        <f t="array" ref="DM193">IF(AND($BT193=4,$BX193=4,$BU193=999),$DD$36,_xlfn.IFNA(INDEX(DD$13:DD$68,MATCH(1,($BR193=$CV$13:$CV$68)*($BT193=$CX$13:$CX$68)*($CE193=$CY$13:$CY$68)*($BY193=$DA$13:$DA$68)*($CD193=$DH$13:$DH$68),0)),""))</f>
        <v/>
      </c>
      <c r="DN193" s="740" t="str" cm="1">
        <f t="array" ref="DN193">IF(AND($BT193=4,$BX193=4,$BU193=999),$DD$36,_xlfn.IFNA(INDEX(DE$13:DE$68,MATCH(1,($BR193=$CV$13:$CV$68)*($BT193=$CX$13:$CX$68)*($CE193=$CY$13:$CY$68)*($BY193=$DA$13:$DA$68)*($CD193=$DH$13:$DH$68),0)),""))</f>
        <v/>
      </c>
      <c r="DO193" s="58" t="str" cm="1">
        <f t="array" ref="DO193">IF(AND($BT193=4,$BX193=4,$BU193=999),$DF$36,_xlfn.IFNA(INDEX(DF$13:DF$70,MATCH(1,($BR193=$CV$13:$CV$70)*($BT193=$CX$13:$CX$70)*($CE193=$CY$13:$CY$70)*($BY193=$DA$13:$DA$70)*($CD193=$DH$13:$DH$70),0)),""))</f>
        <v/>
      </c>
      <c r="DP193" s="58" t="e">
        <f t="shared" si="235"/>
        <v>#N/A</v>
      </c>
      <c r="DW193" s="58" t="s">
        <v>58</v>
      </c>
      <c r="DX193" s="58" t="s">
        <v>555</v>
      </c>
      <c r="DY193" s="58">
        <v>0</v>
      </c>
      <c r="DZ193" s="58">
        <v>0</v>
      </c>
      <c r="EB193" s="58">
        <v>2</v>
      </c>
      <c r="EC193" s="58">
        <v>4</v>
      </c>
      <c r="ED193" s="58">
        <v>999</v>
      </c>
      <c r="EE193" s="58">
        <v>2</v>
      </c>
      <c r="EF193" s="58">
        <v>4</v>
      </c>
      <c r="EI193" s="58" t="s">
        <v>58</v>
      </c>
      <c r="EJ193" s="58" t="s">
        <v>555</v>
      </c>
      <c r="EK193" s="58">
        <v>0</v>
      </c>
      <c r="EL193" s="58">
        <v>0</v>
      </c>
      <c r="EN193" s="58">
        <v>2</v>
      </c>
      <c r="EO193" s="58">
        <v>4</v>
      </c>
      <c r="EP193" s="58">
        <v>999</v>
      </c>
      <c r="EQ193" s="58">
        <v>2</v>
      </c>
      <c r="ER193" s="58">
        <v>4</v>
      </c>
      <c r="EU193" s="58" t="str">
        <f t="shared" si="320"/>
        <v>No</v>
      </c>
      <c r="EV193" s="58" t="str">
        <f t="shared" si="321"/>
        <v>Time to progression</v>
      </c>
      <c r="EW193" s="58">
        <f t="shared" si="322"/>
        <v>0</v>
      </c>
      <c r="EX193" s="58">
        <f t="shared" si="323"/>
        <v>0</v>
      </c>
      <c r="EZ193" s="58">
        <f t="shared" si="324"/>
        <v>2</v>
      </c>
      <c r="FA193" s="58">
        <f t="shared" si="325"/>
        <v>4</v>
      </c>
      <c r="FB193" s="58">
        <f>IF(i_eff_inputs_based_on_num=2,ED193,(INDEX(Lists!$L$51:$L$85,MATCH(O193,Lists!$K$51:$K$85,0))))</f>
        <v>999</v>
      </c>
      <c r="FC193" s="58">
        <f>IF(i_eff_inputs_based_on_num=2,EE193,(INDEX(Lists!$L$51:$L$85,MATCH(P193,Lists!$K$51:$K$85,0))))</f>
        <v>2</v>
      </c>
      <c r="FD193" s="58">
        <f>IF(i_eff_inputs_based_on_num=2,EF193,(INDEX(Lists!$L$51:$L$85,MATCH(Q193,Lists!$K$51:$K$85,0))))</f>
        <v>4</v>
      </c>
      <c r="FG193" s="58" t="str">
        <f t="shared" si="326"/>
        <v>No</v>
      </c>
      <c r="FH193" s="58" t="str">
        <f t="shared" si="327"/>
        <v>Time to progression</v>
      </c>
      <c r="FI193" s="58">
        <f t="shared" si="328"/>
        <v>0</v>
      </c>
      <c r="FJ193" s="58">
        <f t="shared" si="329"/>
        <v>0</v>
      </c>
      <c r="FL193" s="58">
        <f t="shared" si="330"/>
        <v>2</v>
      </c>
      <c r="FM193" s="58">
        <f t="shared" si="331"/>
        <v>4</v>
      </c>
      <c r="FN193" s="58">
        <f>IF(i_eff_inputs_based_on_num=2,EP193,(INDEX(Lists!$L$51:$L$85,MATCH(O193,Lists!$K$51:$K$85,0))))</f>
        <v>999</v>
      </c>
      <c r="FO193" s="58">
        <f>IF(i_eff_inputs_based_on_num=2,EQ193,(INDEX(Lists!$L$51:$L$85,MATCH(P193,Lists!$K$51:$K$85,0))))</f>
        <v>2</v>
      </c>
      <c r="FP193" s="58">
        <f>IF(i_eff_inputs_based_on_num=2,ER193,(INDEX(Lists!$L$51:$L$85,MATCH(Q193,Lists!$K$51:$K$85,0))))</f>
        <v>4</v>
      </c>
      <c r="FT193" s="58">
        <f t="shared" si="236"/>
        <v>0</v>
      </c>
      <c r="FW193" s="58">
        <f>IF(i_baseline_risk_from=2,'Effectiveness settings'!EW193,'Effectiveness settings'!FI193)</f>
        <v>0</v>
      </c>
      <c r="FX193" s="58">
        <f t="shared" si="237"/>
        <v>0</v>
      </c>
      <c r="FY193" s="58">
        <f t="shared" si="238"/>
        <v>0</v>
      </c>
      <c r="FZ193" s="58">
        <f t="shared" si="239"/>
        <v>0</v>
      </c>
      <c r="GA193" s="58">
        <f t="shared" si="240"/>
        <v>0</v>
      </c>
      <c r="GB193" s="58">
        <f t="shared" si="241"/>
        <v>0</v>
      </c>
      <c r="GC193" s="58">
        <f t="shared" si="242"/>
        <v>0</v>
      </c>
      <c r="GD193" s="58">
        <f t="shared" si="243"/>
        <v>0</v>
      </c>
      <c r="GE193" s="58">
        <f>IF(AND(dd_CheckMate214_TTD="Yes",'Effectiveness settings'!BU193=2,'Effectiveness settings'!BX193=2),"Apply HR to",GD193)</f>
        <v>0</v>
      </c>
      <c r="GF193" s="58">
        <f t="shared" si="244"/>
        <v>0</v>
      </c>
      <c r="GG193" s="58">
        <f t="shared" si="245"/>
        <v>0</v>
      </c>
      <c r="GH193" s="58">
        <f t="shared" si="246"/>
        <v>0</v>
      </c>
      <c r="GI193" s="58">
        <f t="shared" si="306"/>
        <v>0</v>
      </c>
      <c r="GK193" s="58">
        <f>IF(i_baseline_risk_from=2,'Effectiveness settings'!FA193,'Effectiveness settings'!FM193)</f>
        <v>4</v>
      </c>
      <c r="GL193" s="58">
        <f>IF(i_baseline_risk_from=2,'Effectiveness settings'!FB193,'Effectiveness settings'!FN193)</f>
        <v>999</v>
      </c>
      <c r="GM193" s="58">
        <f>IF(i_baseline_risk_from=2,'Effectiveness settings'!FC193,'Effectiveness settings'!FO193)</f>
        <v>2</v>
      </c>
      <c r="GN193" s="58">
        <f>IF(i_baseline_risk_from=2,'Effectiveness settings'!FD193,'Effectiveness settings'!FP193)</f>
        <v>4</v>
      </c>
      <c r="GQ193" s="58">
        <f t="shared" si="247"/>
        <v>999</v>
      </c>
      <c r="GR193" s="58">
        <f t="shared" si="248"/>
        <v>999</v>
      </c>
      <c r="GS193" s="58">
        <f t="shared" si="249"/>
        <v>999</v>
      </c>
      <c r="GT193" s="58">
        <f t="shared" si="250"/>
        <v>999</v>
      </c>
      <c r="GU193" s="58">
        <f>IF(AND(dd_CheckMate214_TTD="Yes",'Effectiveness settings'!BU193=2,'Effectiveness settings'!BX193=2),2,GT193)</f>
        <v>999</v>
      </c>
      <c r="GV193" s="58">
        <f t="shared" si="251"/>
        <v>999</v>
      </c>
      <c r="GW193" s="58">
        <f t="shared" si="252"/>
        <v>999</v>
      </c>
      <c r="GY193" s="58">
        <f>IF(AND(dd_CheckMate214_TTD="Yes",'Effectiveness settings'!BU193=2,'Effectiveness settings'!BX193=2),1,GN193)</f>
        <v>4</v>
      </c>
      <c r="GZ193" s="58">
        <f t="shared" si="253"/>
        <v>4</v>
      </c>
      <c r="HB193" s="58">
        <f t="shared" si="254"/>
        <v>2</v>
      </c>
      <c r="HD193" s="58">
        <f t="shared" si="227"/>
        <v>2</v>
      </c>
      <c r="HE193" s="58">
        <f t="shared" si="228"/>
        <v>4</v>
      </c>
      <c r="HF193" s="58">
        <f t="shared" si="229"/>
        <v>999</v>
      </c>
      <c r="HG193" s="58">
        <f t="shared" si="230"/>
        <v>2</v>
      </c>
      <c r="HH193" s="58">
        <f t="shared" si="231"/>
        <v>4</v>
      </c>
    </row>
    <row r="194" spans="1:216" ht="15.75" x14ac:dyDescent="0.25">
      <c r="I194" s="67"/>
      <c r="J194" s="520"/>
      <c r="K194" s="525"/>
      <c r="L194" s="517"/>
      <c r="Q194" s="520"/>
      <c r="Y194" s="517"/>
      <c r="AA194" s="517"/>
      <c r="AF194" s="517"/>
      <c r="AM194" s="517"/>
      <c r="AO194" s="517"/>
      <c r="AT194" s="517"/>
      <c r="AV194" s="511"/>
      <c r="AW194" s="511"/>
      <c r="AX194" s="511"/>
      <c r="BA194" s="517"/>
      <c r="BC194" s="517"/>
      <c r="BH194" s="517"/>
      <c r="BJ194" s="511"/>
      <c r="BK194" s="511"/>
      <c r="BL194" s="511"/>
      <c r="BQ194" s="58">
        <f t="shared" si="234"/>
        <v>126</v>
      </c>
      <c r="BR194" s="17"/>
      <c r="BS194" s="17"/>
      <c r="BT194" s="17"/>
      <c r="BU194" s="61"/>
      <c r="BV194" s="17"/>
      <c r="BW194" s="17"/>
      <c r="BX194" s="61"/>
      <c r="BY194" s="531"/>
      <c r="BZ194" s="530"/>
      <c r="CA194" s="531"/>
      <c r="CB194" s="530"/>
      <c r="CC194" s="530"/>
      <c r="CD194" s="530"/>
      <c r="CE194" s="1295"/>
      <c r="CF194" s="1301"/>
      <c r="CG194" s="530"/>
      <c r="CH194" s="61"/>
      <c r="CI194" s="61"/>
      <c r="CJ194" s="61"/>
      <c r="DA194" s="1024"/>
      <c r="DB194" s="1024"/>
      <c r="DC194" s="1024"/>
      <c r="DD194" s="1024"/>
      <c r="DE194" s="1024"/>
      <c r="DF194" s="1024"/>
      <c r="DG194" s="1024"/>
      <c r="DK194" s="58" t="str" cm="1">
        <f t="array" ref="DK194">IF(AND($BT194=4,$BX194=4,$BU194=999),$DB$36,_xlfn.IFNA(INDEX(DB$13:DB$70,MATCH(1,($BR194=$CV$13:$CV$70)*($BT194=$CX$13:$CX$70)*($CE194=$CY$13:$CY$70)*($BY194=$DA$13:$DA$70)*($CD194=$DH$13:$DH$70),0)),""))</f>
        <v/>
      </c>
      <c r="DL194" s="58" t="str" cm="1">
        <f t="array" ref="DL194">IF(AND($BT194=4,$BX194=4,$BU194=999),$DC$36,_xlfn.IFNA(INDEX(CHOOSE(DP194,DB$13:DB$70,DC$13:DC$70,DD$13:DD$70,DE$13:DE$70),MATCH(1,($BR194=$CV$13:$CV$70)*($BT194=$CX$13:$CX$70)*($CE194=$CY$13:$CY$70)*($BY194=$DA$13:$DA$70)*($CD194=$DH$13:$DH$70),0)),""))</f>
        <v/>
      </c>
      <c r="DM194" s="740" t="str" cm="1">
        <f t="array" ref="DM194">IF(AND($BT194=4,$BX194=4,$BU194=999),$DD$36,_xlfn.IFNA(INDEX(DD$13:DD$68,MATCH(1,($BR194=$CV$13:$CV$68)*($BT194=$CX$13:$CX$68)*($CE194=$CY$13:$CY$68)*($BY194=$DA$13:$DA$68)*($CD194=$DH$13:$DH$68),0)),""))</f>
        <v/>
      </c>
      <c r="DN194" s="740" t="str" cm="1">
        <f t="array" ref="DN194">IF(AND($BT194=4,$BX194=4,$BU194=999),$DD$36,_xlfn.IFNA(INDEX(DE$13:DE$68,MATCH(1,($BR194=$CV$13:$CV$68)*($BT194=$CX$13:$CX$68)*($CE194=$CY$13:$CY$68)*($BY194=$DA$13:$DA$68)*($CD194=$DH$13:$DH$68),0)),""))</f>
        <v/>
      </c>
      <c r="DO194" s="58" t="str" cm="1">
        <f t="array" ref="DO194">IF(AND($BT194=4,$BX194=4,$BU194=999),$DF$36,_xlfn.IFNA(INDEX(DF$13:DF$70,MATCH(1,($BR194=$CV$13:$CV$70)*($BT194=$CX$13:$CX$70)*($CE194=$CY$13:$CY$70)*($BY194=$DA$13:$DA$70)*($CD194=$DH$13:$DH$70),0)),""))</f>
        <v/>
      </c>
      <c r="DP194" s="58" t="e">
        <f t="shared" si="235"/>
        <v>#N/A</v>
      </c>
      <c r="FT194" s="58">
        <f t="shared" si="236"/>
        <v>0</v>
      </c>
      <c r="FW194" s="58">
        <f>IF(i_baseline_risk_from=2,'Effectiveness settings'!EW194,'Effectiveness settings'!FI194)</f>
        <v>0</v>
      </c>
      <c r="FX194" s="58">
        <f t="shared" si="237"/>
        <v>0</v>
      </c>
      <c r="FY194" s="58">
        <f t="shared" si="238"/>
        <v>0</v>
      </c>
      <c r="FZ194" s="58">
        <f t="shared" si="239"/>
        <v>0</v>
      </c>
      <c r="GA194" s="58">
        <f t="shared" si="240"/>
        <v>0</v>
      </c>
      <c r="GB194" s="58">
        <f t="shared" si="241"/>
        <v>0</v>
      </c>
      <c r="GC194" s="58">
        <f t="shared" si="242"/>
        <v>0</v>
      </c>
      <c r="GD194" s="58">
        <f t="shared" si="243"/>
        <v>0</v>
      </c>
      <c r="GE194" s="58">
        <f>IF(AND(dd_CheckMate214_TTD="Yes",'Effectiveness settings'!BU194=2,'Effectiveness settings'!BX194=2),"Apply HR to",GD194)</f>
        <v>0</v>
      </c>
      <c r="GF194" s="58">
        <f t="shared" si="244"/>
        <v>0</v>
      </c>
      <c r="GG194" s="58">
        <f t="shared" si="245"/>
        <v>0</v>
      </c>
      <c r="GH194" s="58">
        <f t="shared" si="246"/>
        <v>0</v>
      </c>
      <c r="GI194" s="58">
        <f t="shared" si="306"/>
        <v>0</v>
      </c>
      <c r="GK194" s="58">
        <f>IF(i_baseline_risk_from=2,'Effectiveness settings'!FA194,'Effectiveness settings'!FM194)</f>
        <v>0</v>
      </c>
      <c r="GL194" s="58">
        <f>IF(i_baseline_risk_from=2,'Effectiveness settings'!FB194,'Effectiveness settings'!FN194)</f>
        <v>0</v>
      </c>
      <c r="GM194" s="58">
        <f>IF(i_baseline_risk_from=2,'Effectiveness settings'!FC194,'Effectiveness settings'!FO194)</f>
        <v>0</v>
      </c>
      <c r="GN194" s="58">
        <f>IF(i_baseline_risk_from=2,'Effectiveness settings'!FD194,'Effectiveness settings'!FP194)</f>
        <v>0</v>
      </c>
      <c r="GQ194" s="58">
        <f t="shared" si="247"/>
        <v>0</v>
      </c>
      <c r="GR194" s="58">
        <f t="shared" si="248"/>
        <v>0</v>
      </c>
      <c r="GS194" s="58">
        <f t="shared" si="249"/>
        <v>0</v>
      </c>
      <c r="GT194" s="58">
        <f t="shared" si="250"/>
        <v>0</v>
      </c>
      <c r="GU194" s="58">
        <f>IF(AND(dd_CheckMate214_TTD="Yes",'Effectiveness settings'!BU194=2,'Effectiveness settings'!BX194=2),2,GT194)</f>
        <v>0</v>
      </c>
      <c r="GV194" s="58">
        <f t="shared" si="251"/>
        <v>0</v>
      </c>
      <c r="GW194" s="58">
        <f t="shared" si="252"/>
        <v>0</v>
      </c>
      <c r="GY194" s="58">
        <f>IF(AND(dd_CheckMate214_TTD="Yes",'Effectiveness settings'!BU194=2,'Effectiveness settings'!BX194=2),1,GN194)</f>
        <v>0</v>
      </c>
      <c r="GZ194" s="58">
        <f t="shared" si="253"/>
        <v>0</v>
      </c>
      <c r="HB194" s="58">
        <f t="shared" si="254"/>
        <v>0</v>
      </c>
      <c r="HD194" s="58">
        <f t="shared" si="227"/>
        <v>0</v>
      </c>
      <c r="HE194" s="58">
        <f t="shared" si="228"/>
        <v>0</v>
      </c>
      <c r="HF194" s="58">
        <f t="shared" si="229"/>
        <v>0</v>
      </c>
      <c r="HG194" s="58">
        <f t="shared" si="230"/>
        <v>0</v>
      </c>
      <c r="HH194" s="58">
        <f t="shared" si="231"/>
        <v>0</v>
      </c>
    </row>
    <row r="195" spans="1:216" ht="15.75" x14ac:dyDescent="0.25">
      <c r="A195" s="480"/>
      <c r="D195" s="58" t="str" cm="1">
        <f t="array" ref="D195:D208">List_comparators</f>
        <v>nivolumab_monotherapy</v>
      </c>
      <c r="I195" s="64" t="s">
        <v>58</v>
      </c>
      <c r="J195" s="519" t="s">
        <v>557</v>
      </c>
      <c r="K195" s="524"/>
      <c r="L195" s="519"/>
      <c r="M195" s="516" t="s">
        <v>559</v>
      </c>
      <c r="N195" s="64" t="s">
        <v>546</v>
      </c>
      <c r="O195" s="64" t="s">
        <v>117</v>
      </c>
      <c r="P195" s="64" t="s">
        <v>547</v>
      </c>
      <c r="Q195" s="519" t="s">
        <v>557</v>
      </c>
      <c r="R195" s="516" t="s">
        <v>548</v>
      </c>
      <c r="S195" s="497"/>
      <c r="T195" s="497"/>
      <c r="U195" s="497"/>
      <c r="Y195" s="517"/>
      <c r="AA195" s="517"/>
      <c r="AF195" s="517"/>
      <c r="AM195" s="517"/>
      <c r="AO195" s="517"/>
      <c r="AT195" s="517"/>
      <c r="AV195" s="511"/>
      <c r="AW195" s="511"/>
      <c r="AX195" s="511"/>
      <c r="BA195" s="517"/>
      <c r="BC195" s="517"/>
      <c r="BH195" s="517"/>
      <c r="BJ195" s="511"/>
      <c r="BK195" s="511"/>
      <c r="BL195" s="511"/>
      <c r="BQ195" s="58">
        <f t="shared" si="234"/>
        <v>127</v>
      </c>
      <c r="BR195" s="17">
        <v>2</v>
      </c>
      <c r="BS195" s="17" t="s">
        <v>559</v>
      </c>
      <c r="BT195" s="17">
        <v>1</v>
      </c>
      <c r="BU195" s="17">
        <v>0</v>
      </c>
      <c r="BV195" s="17" t="str">
        <f t="shared" ref="BV195:BV208" si="334">D195</f>
        <v>nivolumab_monotherapy</v>
      </c>
      <c r="BW195" s="1006" t="str" cm="1">
        <f t="array" ref="BW195">IF(I195="No",I195,INDEX(List_incl_anal_1L_fav,IF(BU195=999,35,BU195+1)))</f>
        <v>No</v>
      </c>
      <c r="BX195" s="61">
        <f t="shared" ref="BX195:BX208" si="335">MATCH(BY195,List_eff_endpoints,0)-1</f>
        <v>4</v>
      </c>
      <c r="BY195" s="531" t="str">
        <f>J195</f>
        <v>Post progression survival</v>
      </c>
      <c r="BZ195" s="530">
        <f t="shared" ref="BZ195:BZ208" si="336">GI195</f>
        <v>0</v>
      </c>
      <c r="CA195" s="531">
        <f>FT195</f>
        <v>0</v>
      </c>
      <c r="CB195" s="530">
        <f t="shared" ref="CB195:CB208" si="337">HD195</f>
        <v>2</v>
      </c>
      <c r="CC195" s="530">
        <f t="shared" ref="CC195:CC208" si="338">HE195</f>
        <v>1</v>
      </c>
      <c r="CD195" s="530">
        <f t="shared" ref="CD195:CD208" si="339">HF195</f>
        <v>7</v>
      </c>
      <c r="CE195" s="1295">
        <f t="shared" ref="CE195:CE208" si="340">HG195</f>
        <v>2</v>
      </c>
      <c r="CF195" s="1301">
        <f t="shared" ref="CF195:CF208" si="341">HH195</f>
        <v>4</v>
      </c>
      <c r="CG195" s="530" t="str">
        <f t="shared" ref="CG195:CG208" si="342">IF(i_surv_cur=1,DK195,DL195)</f>
        <v>Exponential</v>
      </c>
      <c r="CH195" s="61">
        <f t="shared" ref="CH195:CH208" si="343">S195</f>
        <v>0</v>
      </c>
      <c r="CI195" s="61">
        <f t="shared" ref="CI195:CI208" si="344">T195</f>
        <v>0</v>
      </c>
      <c r="CJ195" s="61">
        <f t="shared" ref="CJ195:CJ208" si="345">U195</f>
        <v>0</v>
      </c>
      <c r="DA195" s="1024"/>
      <c r="DB195" s="1024"/>
      <c r="DC195" s="1024"/>
      <c r="DD195" s="1024"/>
      <c r="DE195" s="1024"/>
      <c r="DF195" s="1024"/>
      <c r="DG195" s="1024"/>
      <c r="DK195" s="58" t="str" cm="1">
        <f t="array" ref="DK195">IF(AND($BT195=4,$BX195=4,$BU195=999),$DB$36,_xlfn.IFNA(INDEX(DB$13:DB$70,MATCH(1,($BR195=$CV$13:$CV$70)*($BT195=$CX$13:$CX$70)*($CE195=$CY$13:$CY$70)*($BY195=$DA$13:$DA$70)*($CD195=$DH$13:$DH$70),0)),""))</f>
        <v>Exponential</v>
      </c>
      <c r="DL195" s="58" t="str" cm="1">
        <f t="array" ref="DL195">IF(AND($BT195=4,$BX195=4,$BU195=999),$DC$36,_xlfn.IFNA(INDEX(CHOOSE(DP195,DB$13:DB$70,DC$13:DC$70,DD$13:DD$70,DE$13:DE$70),MATCH(1,($BR195=$CV$13:$CV$70)*($BT195=$CX$13:$CX$70)*($CE195=$CY$13:$CY$70)*($BY195=$DA$13:$DA$70)*($CD195=$DH$13:$DH$70),0)),""))</f>
        <v>Exponential</v>
      </c>
      <c r="DM195" s="740" cm="1">
        <f t="array" ref="DM195">IF(AND($BT195=4,$BX195=4,$BU195=999),$DD$36,_xlfn.IFNA(INDEX(DD$13:DD$68,MATCH(1,($BR195=$CV$13:$CV$68)*($BT195=$CX$13:$CX$68)*($CE195=$CY$13:$CY$68)*($BY195=$DA$13:$DA$68)*($CD195=$DH$13:$DH$68),0)),""))</f>
        <v>0</v>
      </c>
      <c r="DN195" s="740" cm="1">
        <f t="array" ref="DN195">IF(AND($BT195=4,$BX195=4,$BU195=999),$DD$36,_xlfn.IFNA(INDEX(DE$13:DE$68,MATCH(1,($BR195=$CV$13:$CV$68)*($BT195=$CX$13:$CX$68)*($CE195=$CY$13:$CY$68)*($BY195=$DA$13:$DA$68)*($CD195=$DH$13:$DH$68),0)),""))</f>
        <v>0</v>
      </c>
      <c r="DO195" s="58" t="str" cm="1">
        <f t="array" ref="DO195">IF(AND($BT195=4,$BX195=4,$BU195=999),$DF$36,_xlfn.IFNA(INDEX(DF$13:DF$70,MATCH(1,($BR195=$CV$13:$CV$70)*($BT195=$CX$13:$CX$70)*($CE195=$CY$13:$CY$70)*($BY195=$DA$13:$DA$70)*($CD195=$DH$13:$DH$70),0)),""))</f>
        <v>Base case</v>
      </c>
      <c r="DP195" s="58">
        <f t="shared" si="235"/>
        <v>1</v>
      </c>
      <c r="DW195" s="58" t="s">
        <v>58</v>
      </c>
      <c r="DX195" s="58" t="s">
        <v>557</v>
      </c>
      <c r="DY195" s="58">
        <v>0</v>
      </c>
      <c r="DZ195" s="58">
        <v>0</v>
      </c>
      <c r="EB195" s="58">
        <v>2</v>
      </c>
      <c r="EC195" s="58">
        <v>1</v>
      </c>
      <c r="ED195" s="58">
        <v>7</v>
      </c>
      <c r="EE195" s="58">
        <v>2</v>
      </c>
      <c r="EF195" s="58">
        <v>4</v>
      </c>
      <c r="EI195" s="58" t="s">
        <v>58</v>
      </c>
      <c r="EJ195" s="58" t="s">
        <v>557</v>
      </c>
      <c r="EK195" s="58">
        <v>0</v>
      </c>
      <c r="EL195" s="58">
        <v>0</v>
      </c>
      <c r="EN195" s="58">
        <v>2</v>
      </c>
      <c r="EO195" s="58">
        <v>1</v>
      </c>
      <c r="EP195" s="58">
        <v>7</v>
      </c>
      <c r="EQ195" s="58">
        <v>2</v>
      </c>
      <c r="ER195" s="58">
        <v>4</v>
      </c>
      <c r="EU195" s="58" t="str">
        <f t="shared" ref="EU195:EU208" si="346">IF(i_eff_inputs_based_on_num=2,DW195,I195)</f>
        <v>No</v>
      </c>
      <c r="EV195" s="58" t="str">
        <f t="shared" ref="EV195:EV208" si="347">IF(i_eff_inputs_based_on_num=2,DX195,J195)</f>
        <v>Post progression survival</v>
      </c>
      <c r="EW195" s="58">
        <f t="shared" ref="EW195:EW208" si="348">IF(i_eff_inputs_based_on_num=2,DY195,K195)</f>
        <v>0</v>
      </c>
      <c r="EX195" s="58">
        <f t="shared" ref="EX195:EX208" si="349">IF(i_eff_inputs_based_on_num=2,DZ195,L195)</f>
        <v>0</v>
      </c>
      <c r="EZ195" s="58">
        <f t="shared" ref="EZ195:EZ208" si="350">IF(i_eff_inputs_based_on_num=2,EB195,VLOOKUP(M195,r_pld_lookup_line,3,FALSE))</f>
        <v>2</v>
      </c>
      <c r="FA195" s="58">
        <f t="shared" ref="FA195:FA208" si="351">IF(i_eff_inputs_based_on_num=2,EC195,VLOOKUP(N195,r_pld_lookup_line,3,FALSE))</f>
        <v>1</v>
      </c>
      <c r="FB195" s="58">
        <f>IF(i_eff_inputs_based_on_num=2,ED195,(INDEX(Lists!$L$51:$L$85,MATCH(O195,Lists!$K$51:$K$85,0))))</f>
        <v>7</v>
      </c>
      <c r="FC195" s="58">
        <f>IF(i_eff_inputs_based_on_num=2,EE195,(INDEX(Lists!$L$51:$L$85,MATCH(P195,Lists!$K$51:$K$85,0))))</f>
        <v>2</v>
      </c>
      <c r="FD195" s="58">
        <f>IF(i_eff_inputs_based_on_num=2,EF195,(INDEX(Lists!$L$51:$L$85,MATCH(Q195,Lists!$K$51:$K$85,0))))</f>
        <v>4</v>
      </c>
      <c r="FG195" s="58" t="str">
        <f t="shared" ref="FG195:FG208" si="352">IF(i_eff_inputs_based_on_num=2,EI195,I195)</f>
        <v>No</v>
      </c>
      <c r="FH195" s="58" t="str">
        <f t="shared" ref="FH195:FH208" si="353">IF(i_eff_inputs_based_on_num=2,EJ195,J195)</f>
        <v>Post progression survival</v>
      </c>
      <c r="FI195" s="58">
        <f t="shared" ref="FI195:FI208" si="354">IF(i_eff_inputs_based_on_num=2,EK195,K195)</f>
        <v>0</v>
      </c>
      <c r="FJ195" s="58">
        <f t="shared" ref="FJ195:FJ208" si="355">IF(i_eff_inputs_based_on_num=2,EL195,L195)</f>
        <v>0</v>
      </c>
      <c r="FL195" s="58">
        <f t="shared" ref="FL195:FL208" si="356">IF(i_eff_inputs_based_on_num=2,EN195,VLOOKUP(M195,r_pld_lookup_line,3,FALSE))</f>
        <v>2</v>
      </c>
      <c r="FM195" s="58">
        <f t="shared" ref="FM195:FM208" si="357">IF(i_eff_inputs_based_on_num=2,EO195,VLOOKUP(N195,r_pld_lookup_line,3,FALSE))</f>
        <v>1</v>
      </c>
      <c r="FN195" s="58">
        <f>IF(i_eff_inputs_based_on_num=2,EP195,(INDEX(Lists!$L$51:$L$85,MATCH(O195,Lists!$K$51:$K$85,0))))</f>
        <v>7</v>
      </c>
      <c r="FO195" s="58">
        <f>IF(i_eff_inputs_based_on_num=2,EQ195,(INDEX(Lists!$L$51:$L$85,MATCH(P195,Lists!$K$51:$K$85,0))))</f>
        <v>2</v>
      </c>
      <c r="FP195" s="58">
        <f>IF(i_eff_inputs_based_on_num=2,ER195,(INDEX(Lists!$L$51:$L$85,MATCH(Q195,Lists!$K$51:$K$85,0))))</f>
        <v>4</v>
      </c>
      <c r="FT195" s="58">
        <f t="shared" si="236"/>
        <v>0</v>
      </c>
      <c r="FW195" s="58">
        <f>IF(i_baseline_risk_from=2,'Effectiveness settings'!EW195,'Effectiveness settings'!FI195)</f>
        <v>0</v>
      </c>
      <c r="FX195" s="58">
        <f t="shared" si="237"/>
        <v>0</v>
      </c>
      <c r="FY195" s="58">
        <f t="shared" si="238"/>
        <v>0</v>
      </c>
      <c r="FZ195" s="58">
        <f t="shared" si="239"/>
        <v>0</v>
      </c>
      <c r="GA195" s="58">
        <f t="shared" si="240"/>
        <v>0</v>
      </c>
      <c r="GB195" s="58">
        <f t="shared" si="241"/>
        <v>0</v>
      </c>
      <c r="GC195" s="58">
        <f t="shared" si="242"/>
        <v>0</v>
      </c>
      <c r="GD195" s="58">
        <f t="shared" si="243"/>
        <v>0</v>
      </c>
      <c r="GE195" s="58">
        <f>IF(AND(dd_CheckMate214_TTD="Yes",'Effectiveness settings'!BU195=2,'Effectiveness settings'!BX195=2),"Apply HR to",GD195)</f>
        <v>0</v>
      </c>
      <c r="GF195" s="58">
        <f t="shared" si="244"/>
        <v>0</v>
      </c>
      <c r="GG195" s="58">
        <f t="shared" si="245"/>
        <v>0</v>
      </c>
      <c r="GH195" s="58">
        <f t="shared" si="246"/>
        <v>0</v>
      </c>
      <c r="GI195" s="58">
        <f t="shared" si="306"/>
        <v>0</v>
      </c>
      <c r="GK195" s="58">
        <f>IF(i_baseline_risk_from=2,'Effectiveness settings'!FA195,'Effectiveness settings'!FM195)</f>
        <v>1</v>
      </c>
      <c r="GL195" s="58">
        <f>IF(i_baseline_risk_from=2,'Effectiveness settings'!FB195,'Effectiveness settings'!FN195)</f>
        <v>7</v>
      </c>
      <c r="GM195" s="58">
        <f>IF(i_baseline_risk_from=2,'Effectiveness settings'!FC195,'Effectiveness settings'!FO195)</f>
        <v>2</v>
      </c>
      <c r="GN195" s="58">
        <f>IF(i_baseline_risk_from=2,'Effectiveness settings'!FD195,'Effectiveness settings'!FP195)</f>
        <v>4</v>
      </c>
      <c r="GQ195" s="58">
        <f t="shared" si="247"/>
        <v>7</v>
      </c>
      <c r="GR195" s="58">
        <f t="shared" si="248"/>
        <v>7</v>
      </c>
      <c r="GS195" s="58">
        <f t="shared" si="249"/>
        <v>7</v>
      </c>
      <c r="GT195" s="58">
        <f t="shared" si="250"/>
        <v>7</v>
      </c>
      <c r="GU195" s="58">
        <f>IF(AND(dd_CheckMate214_TTD="Yes",'Effectiveness settings'!BU195=2,'Effectiveness settings'!BX195=2),2,GT195)</f>
        <v>7</v>
      </c>
      <c r="GV195" s="58">
        <f t="shared" si="251"/>
        <v>7</v>
      </c>
      <c r="GW195" s="58">
        <f t="shared" si="252"/>
        <v>7</v>
      </c>
      <c r="GY195" s="58">
        <f>IF(AND(dd_CheckMate214_TTD="Yes",'Effectiveness settings'!BU195=2,'Effectiveness settings'!BX195=2),1,GN195)</f>
        <v>4</v>
      </c>
      <c r="GZ195" s="58">
        <f t="shared" si="253"/>
        <v>4</v>
      </c>
      <c r="HB195" s="58">
        <f t="shared" si="254"/>
        <v>2</v>
      </c>
      <c r="HD195" s="58">
        <f t="shared" si="227"/>
        <v>2</v>
      </c>
      <c r="HE195" s="58">
        <f t="shared" si="228"/>
        <v>1</v>
      </c>
      <c r="HF195" s="58">
        <f t="shared" si="229"/>
        <v>7</v>
      </c>
      <c r="HG195" s="58">
        <f t="shared" si="230"/>
        <v>2</v>
      </c>
      <c r="HH195" s="58">
        <f t="shared" si="231"/>
        <v>4</v>
      </c>
    </row>
    <row r="196" spans="1:216" ht="15.75" x14ac:dyDescent="0.25">
      <c r="A196" s="58" t="s">
        <v>569</v>
      </c>
      <c r="D196" s="58" t="str">
        <v>cabozantinib_plus_nivolumab</v>
      </c>
      <c r="I196" s="64" t="s">
        <v>58</v>
      </c>
      <c r="J196" s="519" t="s">
        <v>557</v>
      </c>
      <c r="K196" s="524"/>
      <c r="L196" s="519"/>
      <c r="M196" s="516" t="s">
        <v>559</v>
      </c>
      <c r="N196" s="64" t="s">
        <v>546</v>
      </c>
      <c r="O196" s="64" t="s">
        <v>117</v>
      </c>
      <c r="P196" s="64" t="s">
        <v>547</v>
      </c>
      <c r="Q196" s="519" t="s">
        <v>557</v>
      </c>
      <c r="R196" s="516" t="s">
        <v>568</v>
      </c>
      <c r="S196" s="497"/>
      <c r="T196" s="497"/>
      <c r="U196" s="497"/>
      <c r="Y196" s="517"/>
      <c r="AA196" s="517"/>
      <c r="AF196" s="517"/>
      <c r="AM196" s="517"/>
      <c r="AO196" s="517"/>
      <c r="AT196" s="517"/>
      <c r="AV196" s="511"/>
      <c r="AW196" s="511"/>
      <c r="AX196" s="511"/>
      <c r="BA196" s="517"/>
      <c r="BC196" s="517"/>
      <c r="BH196" s="517"/>
      <c r="BJ196" s="511"/>
      <c r="BK196" s="511"/>
      <c r="BL196" s="511"/>
      <c r="BQ196" s="58">
        <f t="shared" si="234"/>
        <v>128</v>
      </c>
      <c r="BR196" s="17">
        <v>2</v>
      </c>
      <c r="BS196" s="17" t="s">
        <v>559</v>
      </c>
      <c r="BT196" s="17">
        <v>1</v>
      </c>
      <c r="BU196" s="17">
        <v>1</v>
      </c>
      <c r="BV196" s="17" t="str">
        <f t="shared" si="334"/>
        <v>cabozantinib_plus_nivolumab</v>
      </c>
      <c r="BW196" s="1006" t="str" cm="1">
        <f t="array" ref="BW196">IF(I196="No",I196,INDEX(List_incl_anal_1L_fav,IF(BU196=999,35,BU196+1)))</f>
        <v>No</v>
      </c>
      <c r="BX196" s="61">
        <f t="shared" si="335"/>
        <v>4</v>
      </c>
      <c r="BY196" s="531" t="str">
        <f>J196</f>
        <v>Post progression survival</v>
      </c>
      <c r="BZ196" s="530">
        <f t="shared" si="336"/>
        <v>0</v>
      </c>
      <c r="CA196" s="531">
        <f t="shared" ref="CA196:CA208" si="358">FT196</f>
        <v>0</v>
      </c>
      <c r="CB196" s="530">
        <f t="shared" si="337"/>
        <v>2</v>
      </c>
      <c r="CC196" s="530">
        <f t="shared" si="338"/>
        <v>1</v>
      </c>
      <c r="CD196" s="530">
        <f t="shared" si="339"/>
        <v>7</v>
      </c>
      <c r="CE196" s="1295">
        <f t="shared" si="340"/>
        <v>2</v>
      </c>
      <c r="CF196" s="1301">
        <f t="shared" si="341"/>
        <v>4</v>
      </c>
      <c r="CG196" s="530" t="str">
        <f t="shared" si="342"/>
        <v>Exponential</v>
      </c>
      <c r="CH196" s="61">
        <f t="shared" si="343"/>
        <v>0</v>
      </c>
      <c r="CI196" s="61">
        <f t="shared" si="344"/>
        <v>0</v>
      </c>
      <c r="CJ196" s="61">
        <f t="shared" si="345"/>
        <v>0</v>
      </c>
      <c r="DA196" s="1024"/>
      <c r="DB196" s="1024"/>
      <c r="DC196" s="1024"/>
      <c r="DD196" s="1024"/>
      <c r="DE196" s="1024"/>
      <c r="DF196" s="1024"/>
      <c r="DG196" s="1024"/>
      <c r="DK196" s="58" t="str" cm="1">
        <f t="array" ref="DK196">IF(AND($BT196=4,$BX196=4,$BU196=999),$DB$36,_xlfn.IFNA(INDEX(DB$13:DB$70,MATCH(1,($BR196=$CV$13:$CV$70)*($BT196=$CX$13:$CX$70)*($CE196=$CY$13:$CY$70)*($BY196=$DA$13:$DA$70)*($CD196=$DH$13:$DH$70),0)),""))</f>
        <v>Exponential</v>
      </c>
      <c r="DL196" s="58" t="str" cm="1">
        <f t="array" ref="DL196">IF(AND($BT196=4,$BX196=4,$BU196=999),$DC$36,_xlfn.IFNA(INDEX(CHOOSE(DP196,DB$13:DB$70,DC$13:DC$70,DD$13:DD$70,DE$13:DE$70),MATCH(1,($BR196=$CV$13:$CV$70)*($BT196=$CX$13:$CX$70)*($CE196=$CY$13:$CY$70)*($BY196=$DA$13:$DA$70)*($CD196=$DH$13:$DH$70),0)),""))</f>
        <v>Exponential</v>
      </c>
      <c r="DM196" s="740" cm="1">
        <f t="array" ref="DM196">IF(AND($BT196=4,$BX196=4,$BU196=999),$DD$36,_xlfn.IFNA(INDEX(DD$13:DD$68,MATCH(1,($BR196=$CV$13:$CV$68)*($BT196=$CX$13:$CX$68)*($CE196=$CY$13:$CY$68)*($BY196=$DA$13:$DA$68)*($CD196=$DH$13:$DH$68),0)),""))</f>
        <v>0</v>
      </c>
      <c r="DN196" s="740" cm="1">
        <f t="array" ref="DN196">IF(AND($BT196=4,$BX196=4,$BU196=999),$DD$36,_xlfn.IFNA(INDEX(DE$13:DE$68,MATCH(1,($BR196=$CV$13:$CV$68)*($BT196=$CX$13:$CX$68)*($CE196=$CY$13:$CY$68)*($BY196=$DA$13:$DA$68)*($CD196=$DH$13:$DH$68),0)),""))</f>
        <v>0</v>
      </c>
      <c r="DO196" s="58" t="str" cm="1">
        <f t="array" ref="DO196">IF(AND($BT196=4,$BX196=4,$BU196=999),$DF$36,_xlfn.IFNA(INDEX(DF$13:DF$70,MATCH(1,($BR196=$CV$13:$CV$70)*($BT196=$CX$13:$CX$70)*($CE196=$CY$13:$CY$70)*($BY196=$DA$13:$DA$70)*($CD196=$DH$13:$DH$70),0)),""))</f>
        <v>Base case</v>
      </c>
      <c r="DP196" s="58">
        <f t="shared" si="235"/>
        <v>1</v>
      </c>
      <c r="DW196" s="58" t="s">
        <v>58</v>
      </c>
      <c r="DX196" s="58" t="s">
        <v>557</v>
      </c>
      <c r="DY196" s="58">
        <v>0</v>
      </c>
      <c r="DZ196" s="58">
        <v>0</v>
      </c>
      <c r="EB196" s="58">
        <v>2</v>
      </c>
      <c r="EC196" s="58">
        <v>1</v>
      </c>
      <c r="ED196" s="58">
        <v>7</v>
      </c>
      <c r="EE196" s="58">
        <v>2</v>
      </c>
      <c r="EF196" s="58">
        <v>4</v>
      </c>
      <c r="EI196" s="58" t="s">
        <v>58</v>
      </c>
      <c r="EJ196" s="58" t="s">
        <v>557</v>
      </c>
      <c r="EK196" s="58">
        <v>0</v>
      </c>
      <c r="EL196" s="58">
        <v>0</v>
      </c>
      <c r="EN196" s="58">
        <v>2</v>
      </c>
      <c r="EO196" s="58">
        <v>1</v>
      </c>
      <c r="EP196" s="58">
        <v>7</v>
      </c>
      <c r="EQ196" s="58">
        <v>2</v>
      </c>
      <c r="ER196" s="58">
        <v>4</v>
      </c>
      <c r="EU196" s="58" t="str">
        <f t="shared" si="346"/>
        <v>No</v>
      </c>
      <c r="EV196" s="58" t="str">
        <f t="shared" si="347"/>
        <v>Post progression survival</v>
      </c>
      <c r="EW196" s="58">
        <f t="shared" si="348"/>
        <v>0</v>
      </c>
      <c r="EX196" s="58">
        <f t="shared" si="349"/>
        <v>0</v>
      </c>
      <c r="EZ196" s="58">
        <f t="shared" si="350"/>
        <v>2</v>
      </c>
      <c r="FA196" s="58">
        <f t="shared" si="351"/>
        <v>1</v>
      </c>
      <c r="FB196" s="58">
        <f>IF(i_eff_inputs_based_on_num=2,ED196,(INDEX(Lists!$L$51:$L$85,MATCH(O196,Lists!$K$51:$K$85,0))))</f>
        <v>7</v>
      </c>
      <c r="FC196" s="58">
        <f>IF(i_eff_inputs_based_on_num=2,EE196,(INDEX(Lists!$L$51:$L$85,MATCH(P196,Lists!$K$51:$K$85,0))))</f>
        <v>2</v>
      </c>
      <c r="FD196" s="58">
        <f>IF(i_eff_inputs_based_on_num=2,EF196,(INDEX(Lists!$L$51:$L$85,MATCH(Q196,Lists!$K$51:$K$85,0))))</f>
        <v>4</v>
      </c>
      <c r="FG196" s="58" t="str">
        <f t="shared" si="352"/>
        <v>No</v>
      </c>
      <c r="FH196" s="58" t="str">
        <f t="shared" si="353"/>
        <v>Post progression survival</v>
      </c>
      <c r="FI196" s="58">
        <f t="shared" si="354"/>
        <v>0</v>
      </c>
      <c r="FJ196" s="58">
        <f t="shared" si="355"/>
        <v>0</v>
      </c>
      <c r="FL196" s="58">
        <f t="shared" si="356"/>
        <v>2</v>
      </c>
      <c r="FM196" s="58">
        <f t="shared" si="357"/>
        <v>1</v>
      </c>
      <c r="FN196" s="58">
        <f>IF(i_eff_inputs_based_on_num=2,EP196,(INDEX(Lists!$L$51:$L$85,MATCH(O196,Lists!$K$51:$K$85,0))))</f>
        <v>7</v>
      </c>
      <c r="FO196" s="58">
        <f>IF(i_eff_inputs_based_on_num=2,EQ196,(INDEX(Lists!$L$51:$L$85,MATCH(P196,Lists!$K$51:$K$85,0))))</f>
        <v>2</v>
      </c>
      <c r="FP196" s="58">
        <f>IF(i_eff_inputs_based_on_num=2,ER196,(INDEX(Lists!$L$51:$L$85,MATCH(Q196,Lists!$K$51:$K$85,0))))</f>
        <v>4</v>
      </c>
      <c r="FT196" s="58">
        <f t="shared" si="236"/>
        <v>0</v>
      </c>
      <c r="FW196" s="58">
        <f>IF(i_baseline_risk_from=2,'Effectiveness settings'!EW196,'Effectiveness settings'!FI196)</f>
        <v>0</v>
      </c>
      <c r="FX196" s="58">
        <f t="shared" si="237"/>
        <v>0</v>
      </c>
      <c r="FY196" s="58">
        <f t="shared" si="238"/>
        <v>0</v>
      </c>
      <c r="FZ196" s="58">
        <f t="shared" si="239"/>
        <v>0</v>
      </c>
      <c r="GA196" s="58">
        <f t="shared" si="240"/>
        <v>0</v>
      </c>
      <c r="GB196" s="58">
        <f t="shared" si="241"/>
        <v>0</v>
      </c>
      <c r="GC196" s="58">
        <f t="shared" si="242"/>
        <v>0</v>
      </c>
      <c r="GD196" s="58">
        <f t="shared" si="243"/>
        <v>0</v>
      </c>
      <c r="GE196" s="58">
        <f>IF(AND(dd_CheckMate214_TTD="Yes",'Effectiveness settings'!BU196=2,'Effectiveness settings'!BX196=2),"Apply HR to",GD196)</f>
        <v>0</v>
      </c>
      <c r="GF196" s="58">
        <f t="shared" si="244"/>
        <v>0</v>
      </c>
      <c r="GG196" s="58">
        <f t="shared" si="245"/>
        <v>0</v>
      </c>
      <c r="GH196" s="58">
        <f t="shared" si="246"/>
        <v>0</v>
      </c>
      <c r="GI196" s="58">
        <f t="shared" si="306"/>
        <v>0</v>
      </c>
      <c r="GK196" s="58">
        <f>IF(i_baseline_risk_from=2,'Effectiveness settings'!FA196,'Effectiveness settings'!FM196)</f>
        <v>1</v>
      </c>
      <c r="GL196" s="58">
        <f>IF(i_baseline_risk_from=2,'Effectiveness settings'!FB196,'Effectiveness settings'!FN196)</f>
        <v>7</v>
      </c>
      <c r="GM196" s="58">
        <f>IF(i_baseline_risk_from=2,'Effectiveness settings'!FC196,'Effectiveness settings'!FO196)</f>
        <v>2</v>
      </c>
      <c r="GN196" s="58">
        <f>IF(i_baseline_risk_from=2,'Effectiveness settings'!FD196,'Effectiveness settings'!FP196)</f>
        <v>4</v>
      </c>
      <c r="GQ196" s="58">
        <f t="shared" si="247"/>
        <v>7</v>
      </c>
      <c r="GR196" s="58">
        <f t="shared" si="248"/>
        <v>7</v>
      </c>
      <c r="GS196" s="58">
        <f t="shared" si="249"/>
        <v>7</v>
      </c>
      <c r="GT196" s="58">
        <f t="shared" si="250"/>
        <v>7</v>
      </c>
      <c r="GU196" s="58">
        <f>IF(AND(dd_CheckMate214_TTD="Yes",'Effectiveness settings'!BU196=2,'Effectiveness settings'!BX196=2),2,GT196)</f>
        <v>7</v>
      </c>
      <c r="GV196" s="58">
        <f t="shared" si="251"/>
        <v>7</v>
      </c>
      <c r="GW196" s="58">
        <f t="shared" si="252"/>
        <v>7</v>
      </c>
      <c r="GY196" s="58">
        <f>IF(AND(dd_CheckMate214_TTD="Yes",'Effectiveness settings'!BU196=2,'Effectiveness settings'!BX196=2),1,GN196)</f>
        <v>4</v>
      </c>
      <c r="GZ196" s="58">
        <f t="shared" si="253"/>
        <v>4</v>
      </c>
      <c r="HB196" s="58">
        <f t="shared" si="254"/>
        <v>2</v>
      </c>
      <c r="HD196" s="58">
        <f t="shared" si="227"/>
        <v>2</v>
      </c>
      <c r="HE196" s="58">
        <f t="shared" si="228"/>
        <v>1</v>
      </c>
      <c r="HF196" s="58">
        <f t="shared" si="229"/>
        <v>7</v>
      </c>
      <c r="HG196" s="58">
        <f t="shared" si="230"/>
        <v>2</v>
      </c>
      <c r="HH196" s="58">
        <f t="shared" si="231"/>
        <v>4</v>
      </c>
    </row>
    <row r="197" spans="1:216" ht="15.75" x14ac:dyDescent="0.25">
      <c r="D197" s="58" t="str">
        <v>nivolumab_plus_ipilimumab</v>
      </c>
      <c r="I197" s="64" t="s">
        <v>58</v>
      </c>
      <c r="J197" s="519" t="s">
        <v>557</v>
      </c>
      <c r="K197" s="524"/>
      <c r="L197" s="519"/>
      <c r="M197" s="516" t="s">
        <v>559</v>
      </c>
      <c r="N197" s="64" t="s">
        <v>546</v>
      </c>
      <c r="O197" s="64" t="s">
        <v>117</v>
      </c>
      <c r="P197" s="64" t="s">
        <v>547</v>
      </c>
      <c r="Q197" s="519" t="s">
        <v>557</v>
      </c>
      <c r="R197" s="516" t="s">
        <v>548</v>
      </c>
      <c r="S197" s="497"/>
      <c r="T197" s="497"/>
      <c r="U197" s="497"/>
      <c r="Y197" s="517"/>
      <c r="AA197" s="517"/>
      <c r="AF197" s="517"/>
      <c r="AM197" s="517"/>
      <c r="AO197" s="517"/>
      <c r="AT197" s="517"/>
      <c r="AV197" s="511"/>
      <c r="AW197" s="511"/>
      <c r="AX197" s="511"/>
      <c r="BA197" s="517"/>
      <c r="BC197" s="517"/>
      <c r="BH197" s="517"/>
      <c r="BJ197" s="511"/>
      <c r="BK197" s="511"/>
      <c r="BL197" s="511"/>
      <c r="BQ197" s="58">
        <f t="shared" si="234"/>
        <v>129</v>
      </c>
      <c r="BR197" s="17">
        <v>2</v>
      </c>
      <c r="BS197" s="17" t="s">
        <v>559</v>
      </c>
      <c r="BT197" s="17">
        <v>1</v>
      </c>
      <c r="BU197" s="17">
        <v>2</v>
      </c>
      <c r="BV197" s="17" t="str">
        <f t="shared" si="334"/>
        <v>nivolumab_plus_ipilimumab</v>
      </c>
      <c r="BW197" s="1006" t="str" cm="1">
        <f t="array" ref="BW197">IF(I197="No",I197,INDEX(List_incl_anal_1L_fav,IF(BU197=999,35,BU197+1)))</f>
        <v>No</v>
      </c>
      <c r="BX197" s="61">
        <f t="shared" si="335"/>
        <v>4</v>
      </c>
      <c r="BY197" s="531" t="str">
        <f>J197</f>
        <v>Post progression survival</v>
      </c>
      <c r="BZ197" s="530">
        <f t="shared" si="336"/>
        <v>0</v>
      </c>
      <c r="CA197" s="531">
        <f t="shared" si="358"/>
        <v>0</v>
      </c>
      <c r="CB197" s="530">
        <f t="shared" si="337"/>
        <v>2</v>
      </c>
      <c r="CC197" s="530">
        <f t="shared" si="338"/>
        <v>1</v>
      </c>
      <c r="CD197" s="530">
        <f t="shared" si="339"/>
        <v>7</v>
      </c>
      <c r="CE197" s="1295">
        <f t="shared" si="340"/>
        <v>2</v>
      </c>
      <c r="CF197" s="1301">
        <f t="shared" si="341"/>
        <v>4</v>
      </c>
      <c r="CG197" s="530" t="str">
        <f t="shared" si="342"/>
        <v>Exponential</v>
      </c>
      <c r="CH197" s="61">
        <f t="shared" si="343"/>
        <v>0</v>
      </c>
      <c r="CI197" s="61">
        <f t="shared" si="344"/>
        <v>0</v>
      </c>
      <c r="CJ197" s="61">
        <f t="shared" si="345"/>
        <v>0</v>
      </c>
      <c r="DA197" s="1024"/>
      <c r="DB197" s="1024"/>
      <c r="DC197" s="1024"/>
      <c r="DD197" s="1024"/>
      <c r="DE197" s="1024"/>
      <c r="DF197" s="1024"/>
      <c r="DG197" s="1024"/>
      <c r="DK197" s="58" t="str" cm="1">
        <f t="array" ref="DK197">IF(AND($BT197=4,$BX197=4,$BU197=999),$DB$36,_xlfn.IFNA(INDEX(DB$13:DB$70,MATCH(1,($BR197=$CV$13:$CV$70)*($BT197=$CX$13:$CX$70)*($CE197=$CY$13:$CY$70)*($BY197=$DA$13:$DA$70)*($CD197=$DH$13:$DH$70),0)),""))</f>
        <v>Exponential</v>
      </c>
      <c r="DL197" s="58" t="str" cm="1">
        <f t="array" ref="DL197">IF(AND($BT197=4,$BX197=4,$BU197=999),$DC$36,_xlfn.IFNA(INDEX(CHOOSE(DP197,DB$13:DB$70,DC$13:DC$70,DD$13:DD$70,DE$13:DE$70),MATCH(1,($BR197=$CV$13:$CV$70)*($BT197=$CX$13:$CX$70)*($CE197=$CY$13:$CY$70)*($BY197=$DA$13:$DA$70)*($CD197=$DH$13:$DH$70),0)),""))</f>
        <v>Exponential</v>
      </c>
      <c r="DM197" s="740" cm="1">
        <f t="array" ref="DM197">IF(AND($BT197=4,$BX197=4,$BU197=999),$DD$36,_xlfn.IFNA(INDEX(DD$13:DD$68,MATCH(1,($BR197=$CV$13:$CV$68)*($BT197=$CX$13:$CX$68)*($CE197=$CY$13:$CY$68)*($BY197=$DA$13:$DA$68)*($CD197=$DH$13:$DH$68),0)),""))</f>
        <v>0</v>
      </c>
      <c r="DN197" s="740" cm="1">
        <f t="array" ref="DN197">IF(AND($BT197=4,$BX197=4,$BU197=999),$DD$36,_xlfn.IFNA(INDEX(DE$13:DE$68,MATCH(1,($BR197=$CV$13:$CV$68)*($BT197=$CX$13:$CX$68)*($CE197=$CY$13:$CY$68)*($BY197=$DA$13:$DA$68)*($CD197=$DH$13:$DH$68),0)),""))</f>
        <v>0</v>
      </c>
      <c r="DO197" s="58" t="str" cm="1">
        <f t="array" ref="DO197">IF(AND($BT197=4,$BX197=4,$BU197=999),$DF$36,_xlfn.IFNA(INDEX(DF$13:DF$70,MATCH(1,($BR197=$CV$13:$CV$70)*($BT197=$CX$13:$CX$70)*($CE197=$CY$13:$CY$70)*($BY197=$DA$13:$DA$70)*($CD197=$DH$13:$DH$70),0)),""))</f>
        <v>Base case</v>
      </c>
      <c r="DP197" s="58">
        <f t="shared" si="235"/>
        <v>1</v>
      </c>
      <c r="DW197" s="58" t="s">
        <v>58</v>
      </c>
      <c r="DX197" s="58" t="s">
        <v>557</v>
      </c>
      <c r="DY197" s="58">
        <v>0</v>
      </c>
      <c r="DZ197" s="58">
        <v>0</v>
      </c>
      <c r="EB197" s="58">
        <v>2</v>
      </c>
      <c r="EC197" s="58">
        <v>1</v>
      </c>
      <c r="ED197" s="58">
        <v>7</v>
      </c>
      <c r="EE197" s="58">
        <v>2</v>
      </c>
      <c r="EF197" s="58">
        <v>4</v>
      </c>
      <c r="EI197" s="58" t="s">
        <v>58</v>
      </c>
      <c r="EJ197" s="58" t="s">
        <v>557</v>
      </c>
      <c r="EK197" s="58">
        <v>0</v>
      </c>
      <c r="EL197" s="58">
        <v>0</v>
      </c>
      <c r="EN197" s="58">
        <v>2</v>
      </c>
      <c r="EO197" s="58">
        <v>1</v>
      </c>
      <c r="EP197" s="58">
        <v>7</v>
      </c>
      <c r="EQ197" s="58">
        <v>2</v>
      </c>
      <c r="ER197" s="58">
        <v>4</v>
      </c>
      <c r="EU197" s="58" t="str">
        <f t="shared" si="346"/>
        <v>No</v>
      </c>
      <c r="EV197" s="58" t="str">
        <f t="shared" si="347"/>
        <v>Post progression survival</v>
      </c>
      <c r="EW197" s="58">
        <f t="shared" si="348"/>
        <v>0</v>
      </c>
      <c r="EX197" s="58">
        <f t="shared" si="349"/>
        <v>0</v>
      </c>
      <c r="EZ197" s="58">
        <f t="shared" si="350"/>
        <v>2</v>
      </c>
      <c r="FA197" s="58">
        <f t="shared" si="351"/>
        <v>1</v>
      </c>
      <c r="FB197" s="58">
        <f>IF(i_eff_inputs_based_on_num=2,ED197,(INDEX(Lists!$L$51:$L$85,MATCH(O197,Lists!$K$51:$K$85,0))))</f>
        <v>7</v>
      </c>
      <c r="FC197" s="58">
        <f>IF(i_eff_inputs_based_on_num=2,EE197,(INDEX(Lists!$L$51:$L$85,MATCH(P197,Lists!$K$51:$K$85,0))))</f>
        <v>2</v>
      </c>
      <c r="FD197" s="58">
        <f>IF(i_eff_inputs_based_on_num=2,EF197,(INDEX(Lists!$L$51:$L$85,MATCH(Q197,Lists!$K$51:$K$85,0))))</f>
        <v>4</v>
      </c>
      <c r="FG197" s="58" t="str">
        <f t="shared" si="352"/>
        <v>No</v>
      </c>
      <c r="FH197" s="58" t="str">
        <f t="shared" si="353"/>
        <v>Post progression survival</v>
      </c>
      <c r="FI197" s="58">
        <f t="shared" si="354"/>
        <v>0</v>
      </c>
      <c r="FJ197" s="58">
        <f t="shared" si="355"/>
        <v>0</v>
      </c>
      <c r="FL197" s="58">
        <f t="shared" si="356"/>
        <v>2</v>
      </c>
      <c r="FM197" s="58">
        <f t="shared" si="357"/>
        <v>1</v>
      </c>
      <c r="FN197" s="58">
        <f>IF(i_eff_inputs_based_on_num=2,EP197,(INDEX(Lists!$L$51:$L$85,MATCH(O197,Lists!$K$51:$K$85,0))))</f>
        <v>7</v>
      </c>
      <c r="FO197" s="58">
        <f>IF(i_eff_inputs_based_on_num=2,EQ197,(INDEX(Lists!$L$51:$L$85,MATCH(P197,Lists!$K$51:$K$85,0))))</f>
        <v>2</v>
      </c>
      <c r="FP197" s="58">
        <f>IF(i_eff_inputs_based_on_num=2,ER197,(INDEX(Lists!$L$51:$L$85,MATCH(Q197,Lists!$K$51:$K$85,0))))</f>
        <v>4</v>
      </c>
      <c r="FT197" s="58">
        <f t="shared" si="236"/>
        <v>0</v>
      </c>
      <c r="FW197" s="58">
        <f>IF(i_baseline_risk_from=2,'Effectiveness settings'!EW197,'Effectiveness settings'!FI197)</f>
        <v>0</v>
      </c>
      <c r="FX197" s="58">
        <f t="shared" si="237"/>
        <v>0</v>
      </c>
      <c r="FY197" s="58">
        <f t="shared" si="238"/>
        <v>0</v>
      </c>
      <c r="FZ197" s="58">
        <f t="shared" si="239"/>
        <v>0</v>
      </c>
      <c r="GA197" s="58">
        <f t="shared" si="240"/>
        <v>0</v>
      </c>
      <c r="GB197" s="58">
        <f t="shared" si="241"/>
        <v>0</v>
      </c>
      <c r="GC197" s="58">
        <f t="shared" si="242"/>
        <v>0</v>
      </c>
      <c r="GD197" s="58">
        <f t="shared" si="243"/>
        <v>0</v>
      </c>
      <c r="GE197" s="58">
        <f>IF(AND(dd_CheckMate214_TTD="Yes",'Effectiveness settings'!BU197=2,'Effectiveness settings'!BX197=2),"Apply HR to",GD197)</f>
        <v>0</v>
      </c>
      <c r="GF197" s="58">
        <f t="shared" si="244"/>
        <v>0</v>
      </c>
      <c r="GG197" s="58">
        <f t="shared" si="245"/>
        <v>0</v>
      </c>
      <c r="GH197" s="58">
        <f t="shared" si="246"/>
        <v>0</v>
      </c>
      <c r="GI197" s="58">
        <f t="shared" si="306"/>
        <v>0</v>
      </c>
      <c r="GK197" s="58">
        <f>IF(i_baseline_risk_from=2,'Effectiveness settings'!FA197,'Effectiveness settings'!FM197)</f>
        <v>1</v>
      </c>
      <c r="GL197" s="58">
        <f>IF(i_baseline_risk_from=2,'Effectiveness settings'!FB197,'Effectiveness settings'!FN197)</f>
        <v>7</v>
      </c>
      <c r="GM197" s="58">
        <f>IF(i_baseline_risk_from=2,'Effectiveness settings'!FC197,'Effectiveness settings'!FO197)</f>
        <v>2</v>
      </c>
      <c r="GN197" s="58">
        <f>IF(i_baseline_risk_from=2,'Effectiveness settings'!FD197,'Effectiveness settings'!FP197)</f>
        <v>4</v>
      </c>
      <c r="GQ197" s="58">
        <f t="shared" si="247"/>
        <v>7</v>
      </c>
      <c r="GR197" s="58">
        <f t="shared" si="248"/>
        <v>7</v>
      </c>
      <c r="GS197" s="58">
        <f t="shared" si="249"/>
        <v>7</v>
      </c>
      <c r="GT197" s="58">
        <f t="shared" si="250"/>
        <v>7</v>
      </c>
      <c r="GU197" s="58">
        <f>IF(AND(dd_CheckMate214_TTD="Yes",'Effectiveness settings'!BU197=2,'Effectiveness settings'!BX197=2),2,GT197)</f>
        <v>7</v>
      </c>
      <c r="GV197" s="58">
        <f t="shared" si="251"/>
        <v>7</v>
      </c>
      <c r="GW197" s="58">
        <f t="shared" si="252"/>
        <v>7</v>
      </c>
      <c r="GY197" s="58">
        <f>IF(AND(dd_CheckMate214_TTD="Yes",'Effectiveness settings'!BU197=2,'Effectiveness settings'!BX197=2),1,GN197)</f>
        <v>4</v>
      </c>
      <c r="GZ197" s="58">
        <f t="shared" si="253"/>
        <v>4</v>
      </c>
      <c r="HB197" s="58">
        <f t="shared" si="254"/>
        <v>2</v>
      </c>
      <c r="HD197" s="58">
        <f t="shared" si="227"/>
        <v>2</v>
      </c>
      <c r="HE197" s="58">
        <f t="shared" si="228"/>
        <v>1</v>
      </c>
      <c r="HF197" s="58">
        <f t="shared" si="229"/>
        <v>7</v>
      </c>
      <c r="HG197" s="58">
        <f t="shared" si="230"/>
        <v>2</v>
      </c>
      <c r="HH197" s="58">
        <f t="shared" si="231"/>
        <v>4</v>
      </c>
    </row>
    <row r="198" spans="1:216" ht="15.75" x14ac:dyDescent="0.25">
      <c r="D198" s="58" t="str">
        <v>lenvatinib_plus_pembrolizumab</v>
      </c>
      <c r="I198" s="64" t="s">
        <v>58</v>
      </c>
      <c r="J198" s="519" t="s">
        <v>557</v>
      </c>
      <c r="K198" s="524"/>
      <c r="L198" s="519"/>
      <c r="M198" s="516" t="s">
        <v>559</v>
      </c>
      <c r="N198" s="64" t="s">
        <v>546</v>
      </c>
      <c r="O198" s="64" t="s">
        <v>117</v>
      </c>
      <c r="P198" s="64" t="s">
        <v>547</v>
      </c>
      <c r="Q198" s="519" t="s">
        <v>557</v>
      </c>
      <c r="R198" s="516" t="s">
        <v>548</v>
      </c>
      <c r="S198" s="497"/>
      <c r="T198" s="497"/>
      <c r="U198" s="497"/>
      <c r="Y198" s="517"/>
      <c r="AA198" s="517"/>
      <c r="AF198" s="517"/>
      <c r="AM198" s="517"/>
      <c r="AO198" s="517"/>
      <c r="AT198" s="517"/>
      <c r="AV198" s="511"/>
      <c r="AW198" s="511"/>
      <c r="AX198" s="511"/>
      <c r="BA198" s="517"/>
      <c r="BC198" s="517"/>
      <c r="BH198" s="517"/>
      <c r="BJ198" s="511"/>
      <c r="BK198" s="511"/>
      <c r="BL198" s="511"/>
      <c r="BQ198" s="58">
        <f t="shared" si="234"/>
        <v>130</v>
      </c>
      <c r="BR198" s="17">
        <v>2</v>
      </c>
      <c r="BS198" s="17" t="s">
        <v>559</v>
      </c>
      <c r="BT198" s="17">
        <v>1</v>
      </c>
      <c r="BU198" s="17">
        <v>3</v>
      </c>
      <c r="BV198" s="17" t="str">
        <f t="shared" si="334"/>
        <v>lenvatinib_plus_pembrolizumab</v>
      </c>
      <c r="BW198" s="1006" t="str" cm="1">
        <f t="array" ref="BW198">IF(I198="No",I198,INDEX(List_incl_anal_1L_fav,IF(BU198=999,35,BU198+1)))</f>
        <v>No</v>
      </c>
      <c r="BX198" s="61">
        <f t="shared" si="335"/>
        <v>4</v>
      </c>
      <c r="BY198" s="531" t="str">
        <f>J198</f>
        <v>Post progression survival</v>
      </c>
      <c r="BZ198" s="530">
        <f t="shared" si="336"/>
        <v>0</v>
      </c>
      <c r="CA198" s="531">
        <f t="shared" si="358"/>
        <v>0</v>
      </c>
      <c r="CB198" s="530">
        <f t="shared" si="337"/>
        <v>2</v>
      </c>
      <c r="CC198" s="530">
        <f t="shared" si="338"/>
        <v>1</v>
      </c>
      <c r="CD198" s="530">
        <f t="shared" si="339"/>
        <v>7</v>
      </c>
      <c r="CE198" s="1295">
        <f t="shared" si="340"/>
        <v>2</v>
      </c>
      <c r="CF198" s="1301">
        <f t="shared" si="341"/>
        <v>4</v>
      </c>
      <c r="CG198" s="530" t="str">
        <f t="shared" si="342"/>
        <v>Exponential</v>
      </c>
      <c r="CH198" s="61">
        <f t="shared" si="343"/>
        <v>0</v>
      </c>
      <c r="CI198" s="61">
        <f t="shared" si="344"/>
        <v>0</v>
      </c>
      <c r="CJ198" s="61">
        <f t="shared" si="345"/>
        <v>0</v>
      </c>
      <c r="DA198" s="1024"/>
      <c r="DB198" s="1024"/>
      <c r="DC198" s="1024"/>
      <c r="DD198" s="1024"/>
      <c r="DE198" s="1024"/>
      <c r="DF198" s="1024"/>
      <c r="DG198" s="1024"/>
      <c r="DK198" s="58" t="str" cm="1">
        <f t="array" ref="DK198">IF(AND($BT198=4,$BX198=4,$BU198=999),$DB$36,_xlfn.IFNA(INDEX(DB$13:DB$70,MATCH(1,($BR198=$CV$13:$CV$70)*($BT198=$CX$13:$CX$70)*($CE198=$CY$13:$CY$70)*($BY198=$DA$13:$DA$70)*($CD198=$DH$13:$DH$70),0)),""))</f>
        <v>Exponential</v>
      </c>
      <c r="DL198" s="58" t="str" cm="1">
        <f t="array" ref="DL198">IF(AND($BT198=4,$BX198=4,$BU198=999),$DC$36,_xlfn.IFNA(INDEX(CHOOSE(DP198,DB$13:DB$70,DC$13:DC$70,DD$13:DD$70,DE$13:DE$70),MATCH(1,($BR198=$CV$13:$CV$70)*($BT198=$CX$13:$CX$70)*($CE198=$CY$13:$CY$70)*($BY198=$DA$13:$DA$70)*($CD198=$DH$13:$DH$70),0)),""))</f>
        <v>Exponential</v>
      </c>
      <c r="DM198" s="740" cm="1">
        <f t="array" ref="DM198">IF(AND($BT198=4,$BX198=4,$BU198=999),$DD$36,_xlfn.IFNA(INDEX(DD$13:DD$68,MATCH(1,($BR198=$CV$13:$CV$68)*($BT198=$CX$13:$CX$68)*($CE198=$CY$13:$CY$68)*($BY198=$DA$13:$DA$68)*($CD198=$DH$13:$DH$68),0)),""))</f>
        <v>0</v>
      </c>
      <c r="DN198" s="740" cm="1">
        <f t="array" ref="DN198">IF(AND($BT198=4,$BX198=4,$BU198=999),$DD$36,_xlfn.IFNA(INDEX(DE$13:DE$68,MATCH(1,($BR198=$CV$13:$CV$68)*($BT198=$CX$13:$CX$68)*($CE198=$CY$13:$CY$68)*($BY198=$DA$13:$DA$68)*($CD198=$DH$13:$DH$68),0)),""))</f>
        <v>0</v>
      </c>
      <c r="DO198" s="58" t="str" cm="1">
        <f t="array" ref="DO198">IF(AND($BT198=4,$BX198=4,$BU198=999),$DF$36,_xlfn.IFNA(INDEX(DF$13:DF$70,MATCH(1,($BR198=$CV$13:$CV$70)*($BT198=$CX$13:$CX$70)*($CE198=$CY$13:$CY$70)*($BY198=$DA$13:$DA$70)*($CD198=$DH$13:$DH$70),0)),""))</f>
        <v>Base case</v>
      </c>
      <c r="DP198" s="58">
        <f t="shared" si="235"/>
        <v>1</v>
      </c>
      <c r="DW198" s="58" t="s">
        <v>58</v>
      </c>
      <c r="DX198" s="58" t="s">
        <v>557</v>
      </c>
      <c r="DY198" s="58">
        <v>0</v>
      </c>
      <c r="DZ198" s="58">
        <v>0</v>
      </c>
      <c r="EB198" s="58">
        <v>2</v>
      </c>
      <c r="EC198" s="58">
        <v>1</v>
      </c>
      <c r="ED198" s="58">
        <v>7</v>
      </c>
      <c r="EE198" s="58">
        <v>2</v>
      </c>
      <c r="EF198" s="58">
        <v>4</v>
      </c>
      <c r="EI198" s="58" t="s">
        <v>58</v>
      </c>
      <c r="EJ198" s="58" t="s">
        <v>557</v>
      </c>
      <c r="EK198" s="58">
        <v>0</v>
      </c>
      <c r="EL198" s="58">
        <v>0</v>
      </c>
      <c r="EN198" s="58">
        <v>2</v>
      </c>
      <c r="EO198" s="58">
        <v>1</v>
      </c>
      <c r="EP198" s="58">
        <v>7</v>
      </c>
      <c r="EQ198" s="58">
        <v>2</v>
      </c>
      <c r="ER198" s="58">
        <v>4</v>
      </c>
      <c r="EU198" s="58" t="str">
        <f t="shared" si="346"/>
        <v>No</v>
      </c>
      <c r="EV198" s="58" t="str">
        <f t="shared" si="347"/>
        <v>Post progression survival</v>
      </c>
      <c r="EW198" s="58">
        <f t="shared" si="348"/>
        <v>0</v>
      </c>
      <c r="EX198" s="58">
        <f t="shared" si="349"/>
        <v>0</v>
      </c>
      <c r="EZ198" s="58">
        <f t="shared" si="350"/>
        <v>2</v>
      </c>
      <c r="FA198" s="58">
        <f t="shared" si="351"/>
        <v>1</v>
      </c>
      <c r="FB198" s="58">
        <f>IF(i_eff_inputs_based_on_num=2,ED198,(INDEX(Lists!$L$51:$L$85,MATCH(O198,Lists!$K$51:$K$85,0))))</f>
        <v>7</v>
      </c>
      <c r="FC198" s="58">
        <f>IF(i_eff_inputs_based_on_num=2,EE198,(INDEX(Lists!$L$51:$L$85,MATCH(P198,Lists!$K$51:$K$85,0))))</f>
        <v>2</v>
      </c>
      <c r="FD198" s="58">
        <f>IF(i_eff_inputs_based_on_num=2,EF198,(INDEX(Lists!$L$51:$L$85,MATCH(Q198,Lists!$K$51:$K$85,0))))</f>
        <v>4</v>
      </c>
      <c r="FG198" s="58" t="str">
        <f t="shared" si="352"/>
        <v>No</v>
      </c>
      <c r="FH198" s="58" t="str">
        <f t="shared" si="353"/>
        <v>Post progression survival</v>
      </c>
      <c r="FI198" s="58">
        <f t="shared" si="354"/>
        <v>0</v>
      </c>
      <c r="FJ198" s="58">
        <f t="shared" si="355"/>
        <v>0</v>
      </c>
      <c r="FL198" s="58">
        <f t="shared" si="356"/>
        <v>2</v>
      </c>
      <c r="FM198" s="58">
        <f t="shared" si="357"/>
        <v>1</v>
      </c>
      <c r="FN198" s="58">
        <f>IF(i_eff_inputs_based_on_num=2,EP198,(INDEX(Lists!$L$51:$L$85,MATCH(O198,Lists!$K$51:$K$85,0))))</f>
        <v>7</v>
      </c>
      <c r="FO198" s="58">
        <f>IF(i_eff_inputs_based_on_num=2,EQ198,(INDEX(Lists!$L$51:$L$85,MATCH(P198,Lists!$K$51:$K$85,0))))</f>
        <v>2</v>
      </c>
      <c r="FP198" s="58">
        <f>IF(i_eff_inputs_based_on_num=2,ER198,(INDEX(Lists!$L$51:$L$85,MATCH(Q198,Lists!$K$51:$K$85,0))))</f>
        <v>4</v>
      </c>
      <c r="FT198" s="58">
        <f t="shared" si="236"/>
        <v>0</v>
      </c>
      <c r="FW198" s="58">
        <f>IF(i_baseline_risk_from=2,'Effectiveness settings'!EW198,'Effectiveness settings'!FI198)</f>
        <v>0</v>
      </c>
      <c r="FX198" s="58">
        <f t="shared" si="237"/>
        <v>0</v>
      </c>
      <c r="FY198" s="58">
        <f t="shared" si="238"/>
        <v>0</v>
      </c>
      <c r="FZ198" s="58">
        <f t="shared" si="239"/>
        <v>0</v>
      </c>
      <c r="GA198" s="58">
        <f t="shared" si="240"/>
        <v>0</v>
      </c>
      <c r="GB198" s="58">
        <f t="shared" si="241"/>
        <v>0</v>
      </c>
      <c r="GC198" s="58">
        <f t="shared" si="242"/>
        <v>0</v>
      </c>
      <c r="GD198" s="58">
        <f t="shared" si="243"/>
        <v>0</v>
      </c>
      <c r="GE198" s="58">
        <f>IF(AND(dd_CheckMate214_TTD="Yes",'Effectiveness settings'!BU198=2,'Effectiveness settings'!BX198=2),"Apply HR to",GD198)</f>
        <v>0</v>
      </c>
      <c r="GF198" s="58">
        <f t="shared" si="244"/>
        <v>0</v>
      </c>
      <c r="GG198" s="58">
        <f t="shared" si="245"/>
        <v>0</v>
      </c>
      <c r="GH198" s="58">
        <f t="shared" si="246"/>
        <v>0</v>
      </c>
      <c r="GI198" s="58">
        <f t="shared" ref="GI198:GI229" si="359">IF(AND(i_apply_AR_to_FR_NMA=1,GH198&lt;&gt;"Trial survival analysis",BW198&lt;&gt;"No"),GI322,GH198)</f>
        <v>0</v>
      </c>
      <c r="GK198" s="58">
        <f>IF(i_baseline_risk_from=2,'Effectiveness settings'!FA198,'Effectiveness settings'!FM198)</f>
        <v>1</v>
      </c>
      <c r="GL198" s="58">
        <f>IF(i_baseline_risk_from=2,'Effectiveness settings'!FB198,'Effectiveness settings'!FN198)</f>
        <v>7</v>
      </c>
      <c r="GM198" s="58">
        <f>IF(i_baseline_risk_from=2,'Effectiveness settings'!FC198,'Effectiveness settings'!FO198)</f>
        <v>2</v>
      </c>
      <c r="GN198" s="58">
        <f>IF(i_baseline_risk_from=2,'Effectiveness settings'!FD198,'Effectiveness settings'!FP198)</f>
        <v>4</v>
      </c>
      <c r="GQ198" s="58">
        <f t="shared" si="247"/>
        <v>7</v>
      </c>
      <c r="GR198" s="58">
        <f t="shared" si="248"/>
        <v>7</v>
      </c>
      <c r="GS198" s="58">
        <f t="shared" si="249"/>
        <v>7</v>
      </c>
      <c r="GT198" s="58">
        <f t="shared" si="250"/>
        <v>7</v>
      </c>
      <c r="GU198" s="58">
        <f>IF(AND(dd_CheckMate214_TTD="Yes",'Effectiveness settings'!BU198=2,'Effectiveness settings'!BX198=2),2,GT198)</f>
        <v>7</v>
      </c>
      <c r="GV198" s="58">
        <f t="shared" si="251"/>
        <v>7</v>
      </c>
      <c r="GW198" s="58">
        <f t="shared" si="252"/>
        <v>7</v>
      </c>
      <c r="GY198" s="58">
        <f>IF(AND(dd_CheckMate214_TTD="Yes",'Effectiveness settings'!BU198=2,'Effectiveness settings'!BX198=2),1,GN198)</f>
        <v>4</v>
      </c>
      <c r="GZ198" s="58">
        <f t="shared" si="253"/>
        <v>4</v>
      </c>
      <c r="HB198" s="58">
        <f t="shared" si="254"/>
        <v>2</v>
      </c>
      <c r="HD198" s="58">
        <f t="shared" si="227"/>
        <v>2</v>
      </c>
      <c r="HE198" s="58">
        <f t="shared" si="228"/>
        <v>1</v>
      </c>
      <c r="HF198" s="58">
        <f t="shared" si="229"/>
        <v>7</v>
      </c>
      <c r="HG198" s="58">
        <f t="shared" si="230"/>
        <v>2</v>
      </c>
      <c r="HH198" s="58">
        <f t="shared" si="231"/>
        <v>4</v>
      </c>
    </row>
    <row r="199" spans="1:216" ht="15.75" x14ac:dyDescent="0.25">
      <c r="D199" s="58" t="str">
        <v>avelumab_plus_axitinib</v>
      </c>
      <c r="I199" s="64" t="s">
        <v>58</v>
      </c>
      <c r="J199" s="519" t="s">
        <v>557</v>
      </c>
      <c r="K199" s="524"/>
      <c r="L199" s="519"/>
      <c r="M199" s="516" t="s">
        <v>559</v>
      </c>
      <c r="N199" s="64" t="s">
        <v>546</v>
      </c>
      <c r="O199" s="64" t="s">
        <v>117</v>
      </c>
      <c r="P199" s="64" t="s">
        <v>547</v>
      </c>
      <c r="Q199" s="519" t="s">
        <v>557</v>
      </c>
      <c r="R199" s="516" t="s">
        <v>568</v>
      </c>
      <c r="S199" s="497"/>
      <c r="T199" s="497"/>
      <c r="U199" s="497"/>
      <c r="Y199" s="517"/>
      <c r="AA199" s="517"/>
      <c r="AF199" s="517"/>
      <c r="AM199" s="517"/>
      <c r="AO199" s="517"/>
      <c r="AT199" s="517"/>
      <c r="AV199" s="511"/>
      <c r="AW199" s="511"/>
      <c r="AX199" s="511"/>
      <c r="BA199" s="517"/>
      <c r="BC199" s="517"/>
      <c r="BH199" s="517"/>
      <c r="BJ199" s="511"/>
      <c r="BK199" s="511"/>
      <c r="BL199" s="511"/>
      <c r="BQ199" s="58">
        <f t="shared" si="234"/>
        <v>131</v>
      </c>
      <c r="BR199" s="17">
        <v>2</v>
      </c>
      <c r="BS199" s="17" t="s">
        <v>559</v>
      </c>
      <c r="BT199" s="17">
        <v>1</v>
      </c>
      <c r="BU199" s="17">
        <v>4</v>
      </c>
      <c r="BV199" s="17" t="str">
        <f t="shared" si="334"/>
        <v>avelumab_plus_axitinib</v>
      </c>
      <c r="BW199" s="1006" t="str" cm="1">
        <f t="array" ref="BW199">IF(I199="No",I199,INDEX(List_incl_anal_1L_fav,IF(BU199=999,35,BU199+1)))</f>
        <v>No</v>
      </c>
      <c r="BX199" s="61">
        <f t="shared" si="335"/>
        <v>4</v>
      </c>
      <c r="BY199" s="531" t="str">
        <f>J199</f>
        <v>Post progression survival</v>
      </c>
      <c r="BZ199" s="530">
        <f t="shared" si="336"/>
        <v>0</v>
      </c>
      <c r="CA199" s="531">
        <f t="shared" si="358"/>
        <v>0</v>
      </c>
      <c r="CB199" s="530">
        <f t="shared" si="337"/>
        <v>2</v>
      </c>
      <c r="CC199" s="530">
        <f t="shared" si="338"/>
        <v>1</v>
      </c>
      <c r="CD199" s="530">
        <f t="shared" si="339"/>
        <v>7</v>
      </c>
      <c r="CE199" s="1295">
        <f t="shared" si="340"/>
        <v>2</v>
      </c>
      <c r="CF199" s="1301">
        <f t="shared" si="341"/>
        <v>4</v>
      </c>
      <c r="CG199" s="530" t="str">
        <f t="shared" si="342"/>
        <v>Exponential</v>
      </c>
      <c r="CH199" s="61">
        <f t="shared" si="343"/>
        <v>0</v>
      </c>
      <c r="CI199" s="61">
        <f t="shared" si="344"/>
        <v>0</v>
      </c>
      <c r="CJ199" s="61">
        <f t="shared" si="345"/>
        <v>0</v>
      </c>
      <c r="DA199" s="1024"/>
      <c r="DB199" s="1024"/>
      <c r="DC199" s="1024"/>
      <c r="DD199" s="1024"/>
      <c r="DE199" s="1024"/>
      <c r="DF199" s="1024"/>
      <c r="DG199" s="1024"/>
      <c r="DK199" s="58" t="str" cm="1">
        <f t="array" ref="DK199">IF(AND($BT199=4,$BX199=4,$BU199=999),$DB$36,_xlfn.IFNA(INDEX(DB$13:DB$70,MATCH(1,($BR199=$CV$13:$CV$70)*($BT199=$CX$13:$CX$70)*($CE199=$CY$13:$CY$70)*($BY199=$DA$13:$DA$70)*($CD199=$DH$13:$DH$70),0)),""))</f>
        <v>Exponential</v>
      </c>
      <c r="DL199" s="58" t="str" cm="1">
        <f t="array" ref="DL199">IF(AND($BT199=4,$BX199=4,$BU199=999),$DC$36,_xlfn.IFNA(INDEX(CHOOSE(DP199,DB$13:DB$70,DC$13:DC$70,DD$13:DD$70,DE$13:DE$70),MATCH(1,($BR199=$CV$13:$CV$70)*($BT199=$CX$13:$CX$70)*($CE199=$CY$13:$CY$70)*($BY199=$DA$13:$DA$70)*($CD199=$DH$13:$DH$70),0)),""))</f>
        <v>Exponential</v>
      </c>
      <c r="DM199" s="740" cm="1">
        <f t="array" ref="DM199">IF(AND($BT199=4,$BX199=4,$BU199=999),$DD$36,_xlfn.IFNA(INDEX(DD$13:DD$68,MATCH(1,($BR199=$CV$13:$CV$68)*($BT199=$CX$13:$CX$68)*($CE199=$CY$13:$CY$68)*($BY199=$DA$13:$DA$68)*($CD199=$DH$13:$DH$68),0)),""))</f>
        <v>0</v>
      </c>
      <c r="DN199" s="740" cm="1">
        <f t="array" ref="DN199">IF(AND($BT199=4,$BX199=4,$BU199=999),$DD$36,_xlfn.IFNA(INDEX(DE$13:DE$68,MATCH(1,($BR199=$CV$13:$CV$68)*($BT199=$CX$13:$CX$68)*($CE199=$CY$13:$CY$68)*($BY199=$DA$13:$DA$68)*($CD199=$DH$13:$DH$68),0)),""))</f>
        <v>0</v>
      </c>
      <c r="DO199" s="58" t="str" cm="1">
        <f t="array" ref="DO199">IF(AND($BT199=4,$BX199=4,$BU199=999),$DF$36,_xlfn.IFNA(INDEX(DF$13:DF$70,MATCH(1,($BR199=$CV$13:$CV$70)*($BT199=$CX$13:$CX$70)*($CE199=$CY$13:$CY$70)*($BY199=$DA$13:$DA$70)*($CD199=$DH$13:$DH$70),0)),""))</f>
        <v>Base case</v>
      </c>
      <c r="DP199" s="58">
        <f t="shared" si="235"/>
        <v>1</v>
      </c>
      <c r="DW199" s="58" t="s">
        <v>58</v>
      </c>
      <c r="DX199" s="58" t="s">
        <v>557</v>
      </c>
      <c r="DY199" s="58">
        <v>0</v>
      </c>
      <c r="DZ199" s="58">
        <v>0</v>
      </c>
      <c r="EB199" s="58">
        <v>2</v>
      </c>
      <c r="EC199" s="58">
        <v>1</v>
      </c>
      <c r="ED199" s="58">
        <v>7</v>
      </c>
      <c r="EE199" s="58">
        <v>2</v>
      </c>
      <c r="EF199" s="58">
        <v>4</v>
      </c>
      <c r="EI199" s="58" t="s">
        <v>58</v>
      </c>
      <c r="EJ199" s="58" t="s">
        <v>557</v>
      </c>
      <c r="EK199" s="58">
        <v>0</v>
      </c>
      <c r="EL199" s="58">
        <v>0</v>
      </c>
      <c r="EN199" s="58">
        <v>2</v>
      </c>
      <c r="EO199" s="58">
        <v>1</v>
      </c>
      <c r="EP199" s="58">
        <v>7</v>
      </c>
      <c r="EQ199" s="58">
        <v>2</v>
      </c>
      <c r="ER199" s="58">
        <v>4</v>
      </c>
      <c r="EU199" s="58" t="str">
        <f t="shared" si="346"/>
        <v>No</v>
      </c>
      <c r="EV199" s="58" t="str">
        <f t="shared" si="347"/>
        <v>Post progression survival</v>
      </c>
      <c r="EW199" s="58">
        <f t="shared" si="348"/>
        <v>0</v>
      </c>
      <c r="EX199" s="58">
        <f t="shared" si="349"/>
        <v>0</v>
      </c>
      <c r="EZ199" s="58">
        <f t="shared" si="350"/>
        <v>2</v>
      </c>
      <c r="FA199" s="58">
        <f t="shared" si="351"/>
        <v>1</v>
      </c>
      <c r="FB199" s="58">
        <f>IF(i_eff_inputs_based_on_num=2,ED199,(INDEX(Lists!$L$51:$L$85,MATCH(O199,Lists!$K$51:$K$85,0))))</f>
        <v>7</v>
      </c>
      <c r="FC199" s="58">
        <f>IF(i_eff_inputs_based_on_num=2,EE199,(INDEX(Lists!$L$51:$L$85,MATCH(P199,Lists!$K$51:$K$85,0))))</f>
        <v>2</v>
      </c>
      <c r="FD199" s="58">
        <f>IF(i_eff_inputs_based_on_num=2,EF199,(INDEX(Lists!$L$51:$L$85,MATCH(Q199,Lists!$K$51:$K$85,0))))</f>
        <v>4</v>
      </c>
      <c r="FG199" s="58" t="str">
        <f t="shared" si="352"/>
        <v>No</v>
      </c>
      <c r="FH199" s="58" t="str">
        <f t="shared" si="353"/>
        <v>Post progression survival</v>
      </c>
      <c r="FI199" s="58">
        <f t="shared" si="354"/>
        <v>0</v>
      </c>
      <c r="FJ199" s="58">
        <f t="shared" si="355"/>
        <v>0</v>
      </c>
      <c r="FL199" s="58">
        <f t="shared" si="356"/>
        <v>2</v>
      </c>
      <c r="FM199" s="58">
        <f t="shared" si="357"/>
        <v>1</v>
      </c>
      <c r="FN199" s="58">
        <f>IF(i_eff_inputs_based_on_num=2,EP199,(INDEX(Lists!$L$51:$L$85,MATCH(O199,Lists!$K$51:$K$85,0))))</f>
        <v>7</v>
      </c>
      <c r="FO199" s="58">
        <f>IF(i_eff_inputs_based_on_num=2,EQ199,(INDEX(Lists!$L$51:$L$85,MATCH(P199,Lists!$K$51:$K$85,0))))</f>
        <v>2</v>
      </c>
      <c r="FP199" s="58">
        <f>IF(i_eff_inputs_based_on_num=2,ER199,(INDEX(Lists!$L$51:$L$85,MATCH(Q199,Lists!$K$51:$K$85,0))))</f>
        <v>4</v>
      </c>
      <c r="FT199" s="58">
        <f t="shared" si="236"/>
        <v>0</v>
      </c>
      <c r="FW199" s="58">
        <f>IF(i_baseline_risk_from=2,'Effectiveness settings'!EW199,'Effectiveness settings'!FI199)</f>
        <v>0</v>
      </c>
      <c r="FX199" s="58">
        <f t="shared" si="237"/>
        <v>0</v>
      </c>
      <c r="FY199" s="58">
        <f t="shared" si="238"/>
        <v>0</v>
      </c>
      <c r="FZ199" s="58">
        <f t="shared" si="239"/>
        <v>0</v>
      </c>
      <c r="GA199" s="58">
        <f t="shared" si="240"/>
        <v>0</v>
      </c>
      <c r="GB199" s="58">
        <f t="shared" si="241"/>
        <v>0</v>
      </c>
      <c r="GC199" s="58">
        <f t="shared" si="242"/>
        <v>0</v>
      </c>
      <c r="GD199" s="58">
        <f t="shared" si="243"/>
        <v>0</v>
      </c>
      <c r="GE199" s="58">
        <f>IF(AND(dd_CheckMate214_TTD="Yes",'Effectiveness settings'!BU199=2,'Effectiveness settings'!BX199=2),"Apply HR to",GD199)</f>
        <v>0</v>
      </c>
      <c r="GF199" s="58">
        <f t="shared" si="244"/>
        <v>0</v>
      </c>
      <c r="GG199" s="58">
        <f t="shared" si="245"/>
        <v>0</v>
      </c>
      <c r="GH199" s="58">
        <f t="shared" si="246"/>
        <v>0</v>
      </c>
      <c r="GI199" s="58">
        <f t="shared" si="359"/>
        <v>0</v>
      </c>
      <c r="GK199" s="58">
        <f>IF(i_baseline_risk_from=2,'Effectiveness settings'!FA199,'Effectiveness settings'!FM199)</f>
        <v>1</v>
      </c>
      <c r="GL199" s="58">
        <f>IF(i_baseline_risk_from=2,'Effectiveness settings'!FB199,'Effectiveness settings'!FN199)</f>
        <v>7</v>
      </c>
      <c r="GM199" s="58">
        <f>IF(i_baseline_risk_from=2,'Effectiveness settings'!FC199,'Effectiveness settings'!FO199)</f>
        <v>2</v>
      </c>
      <c r="GN199" s="58">
        <f>IF(i_baseline_risk_from=2,'Effectiveness settings'!FD199,'Effectiveness settings'!FP199)</f>
        <v>4</v>
      </c>
      <c r="GQ199" s="58">
        <f t="shared" si="247"/>
        <v>7</v>
      </c>
      <c r="GR199" s="58">
        <f t="shared" si="248"/>
        <v>7</v>
      </c>
      <c r="GS199" s="58">
        <f t="shared" si="249"/>
        <v>7</v>
      </c>
      <c r="GT199" s="58">
        <f t="shared" si="250"/>
        <v>7</v>
      </c>
      <c r="GU199" s="58">
        <f>IF(AND(dd_CheckMate214_TTD="Yes",'Effectiveness settings'!BU199=2,'Effectiveness settings'!BX199=2),2,GT199)</f>
        <v>7</v>
      </c>
      <c r="GV199" s="58">
        <f t="shared" si="251"/>
        <v>7</v>
      </c>
      <c r="GW199" s="58">
        <f t="shared" si="252"/>
        <v>7</v>
      </c>
      <c r="GY199" s="58">
        <f>IF(AND(dd_CheckMate214_TTD="Yes",'Effectiveness settings'!BU199=2,'Effectiveness settings'!BX199=2),1,GN199)</f>
        <v>4</v>
      </c>
      <c r="GZ199" s="58">
        <f t="shared" si="253"/>
        <v>4</v>
      </c>
      <c r="HB199" s="58">
        <f t="shared" si="254"/>
        <v>2</v>
      </c>
      <c r="HD199" s="58">
        <f t="shared" ref="HD199:HD258" si="360">HB199</f>
        <v>2</v>
      </c>
      <c r="HE199" s="58">
        <f t="shared" ref="HE199:HE258" si="361">GK199</f>
        <v>1</v>
      </c>
      <c r="HF199" s="58">
        <f t="shared" ref="HF199:HF257" si="362">GW199</f>
        <v>7</v>
      </c>
      <c r="HG199" s="58">
        <f t="shared" ref="HG199:HG258" si="363">GM199</f>
        <v>2</v>
      </c>
      <c r="HH199" s="58">
        <f t="shared" ref="HH199:HH257" si="364">GZ199</f>
        <v>4</v>
      </c>
    </row>
    <row r="200" spans="1:216" ht="15.75" x14ac:dyDescent="0.25">
      <c r="D200" s="58" t="str">
        <v>pazopanib</v>
      </c>
      <c r="I200" s="64" t="s">
        <v>58</v>
      </c>
      <c r="J200" s="519" t="s">
        <v>557</v>
      </c>
      <c r="K200" s="524"/>
      <c r="L200" s="519"/>
      <c r="M200" s="516" t="s">
        <v>559</v>
      </c>
      <c r="N200" s="64" t="s">
        <v>546</v>
      </c>
      <c r="O200" s="64" t="s">
        <v>117</v>
      </c>
      <c r="P200" s="64" t="s">
        <v>547</v>
      </c>
      <c r="Q200" s="519" t="s">
        <v>557</v>
      </c>
      <c r="R200" s="516" t="s">
        <v>568</v>
      </c>
      <c r="S200" s="497"/>
      <c r="T200" s="497"/>
      <c r="U200" s="497"/>
      <c r="Y200" s="517"/>
      <c r="AA200" s="517"/>
      <c r="AF200" s="517"/>
      <c r="AM200" s="517"/>
      <c r="AO200" s="517"/>
      <c r="AT200" s="517"/>
      <c r="AV200" s="511"/>
      <c r="AW200" s="511"/>
      <c r="AX200" s="511"/>
      <c r="BA200" s="517"/>
      <c r="BC200" s="517"/>
      <c r="BH200" s="517"/>
      <c r="BJ200" s="511"/>
      <c r="BK200" s="511"/>
      <c r="BL200" s="511"/>
      <c r="BQ200" s="58">
        <f t="shared" si="234"/>
        <v>132</v>
      </c>
      <c r="BR200" s="17">
        <v>2</v>
      </c>
      <c r="BS200" s="17" t="s">
        <v>559</v>
      </c>
      <c r="BT200" s="17">
        <v>1</v>
      </c>
      <c r="BU200" s="17">
        <v>5</v>
      </c>
      <c r="BV200" s="17" t="str">
        <f t="shared" si="334"/>
        <v>pazopanib</v>
      </c>
      <c r="BW200" s="1006" t="str" cm="1">
        <f t="array" ref="BW200">IF(I200="No",I200,INDEX(List_incl_anal_1L_fav,IF(BU200=999,35,BU200+1)))</f>
        <v>No</v>
      </c>
      <c r="BX200" s="61">
        <f t="shared" si="335"/>
        <v>4</v>
      </c>
      <c r="BY200" s="531" t="str">
        <f t="shared" ref="BY200:BY208" si="365">J200</f>
        <v>Post progression survival</v>
      </c>
      <c r="BZ200" s="530">
        <f t="shared" si="336"/>
        <v>0</v>
      </c>
      <c r="CA200" s="531">
        <f t="shared" si="358"/>
        <v>0</v>
      </c>
      <c r="CB200" s="530">
        <f t="shared" si="337"/>
        <v>2</v>
      </c>
      <c r="CC200" s="530">
        <f t="shared" si="338"/>
        <v>1</v>
      </c>
      <c r="CD200" s="530">
        <f t="shared" si="339"/>
        <v>7</v>
      </c>
      <c r="CE200" s="1295">
        <f t="shared" si="340"/>
        <v>2</v>
      </c>
      <c r="CF200" s="1301">
        <f t="shared" si="341"/>
        <v>4</v>
      </c>
      <c r="CG200" s="530" t="str">
        <f t="shared" si="342"/>
        <v>Exponential</v>
      </c>
      <c r="CH200" s="61">
        <f t="shared" si="343"/>
        <v>0</v>
      </c>
      <c r="CI200" s="61">
        <f t="shared" si="344"/>
        <v>0</v>
      </c>
      <c r="CJ200" s="61">
        <f t="shared" si="345"/>
        <v>0</v>
      </c>
      <c r="DA200" s="1024"/>
      <c r="DB200" s="1024"/>
      <c r="DC200" s="1024"/>
      <c r="DD200" s="1024"/>
      <c r="DE200" s="1024"/>
      <c r="DF200" s="1024"/>
      <c r="DG200" s="1024"/>
      <c r="DK200" s="58" t="str" cm="1">
        <f t="array" ref="DK200">IF(AND($BT200=4,$BX200=4,$BU200=999),$DB$36,_xlfn.IFNA(INDEX(DB$13:DB$70,MATCH(1,($BR200=$CV$13:$CV$70)*($BT200=$CX$13:$CX$70)*($CE200=$CY$13:$CY$70)*($BY200=$DA$13:$DA$70)*($CD200=$DH$13:$DH$70),0)),""))</f>
        <v>Exponential</v>
      </c>
      <c r="DL200" s="58" t="str" cm="1">
        <f t="array" ref="DL200">IF(AND($BT200=4,$BX200=4,$BU200=999),$DC$36,_xlfn.IFNA(INDEX(CHOOSE(DP200,DB$13:DB$70,DC$13:DC$70,DD$13:DD$70,DE$13:DE$70),MATCH(1,($BR200=$CV$13:$CV$70)*($BT200=$CX$13:$CX$70)*($CE200=$CY$13:$CY$70)*($BY200=$DA$13:$DA$70)*($CD200=$DH$13:$DH$70),0)),""))</f>
        <v>Exponential</v>
      </c>
      <c r="DM200" s="740" cm="1">
        <f t="array" ref="DM200">IF(AND($BT200=4,$BX200=4,$BU200=999),$DD$36,_xlfn.IFNA(INDEX(DD$13:DD$68,MATCH(1,($BR200=$CV$13:$CV$68)*($BT200=$CX$13:$CX$68)*($CE200=$CY$13:$CY$68)*($BY200=$DA$13:$DA$68)*($CD200=$DH$13:$DH$68),0)),""))</f>
        <v>0</v>
      </c>
      <c r="DN200" s="740" cm="1">
        <f t="array" ref="DN200">IF(AND($BT200=4,$BX200=4,$BU200=999),$DD$36,_xlfn.IFNA(INDEX(DE$13:DE$68,MATCH(1,($BR200=$CV$13:$CV$68)*($BT200=$CX$13:$CX$68)*($CE200=$CY$13:$CY$68)*($BY200=$DA$13:$DA$68)*($CD200=$DH$13:$DH$68),0)),""))</f>
        <v>0</v>
      </c>
      <c r="DO200" s="58" t="str" cm="1">
        <f t="array" ref="DO200">IF(AND($BT200=4,$BX200=4,$BU200=999),$DF$36,_xlfn.IFNA(INDEX(DF$13:DF$70,MATCH(1,($BR200=$CV$13:$CV$70)*($BT200=$CX$13:$CX$70)*($CE200=$CY$13:$CY$70)*($BY200=$DA$13:$DA$70)*($CD200=$DH$13:$DH$70),0)),""))</f>
        <v>Base case</v>
      </c>
      <c r="DP200" s="58">
        <f t="shared" si="235"/>
        <v>1</v>
      </c>
      <c r="DW200" s="58" t="s">
        <v>58</v>
      </c>
      <c r="DX200" s="58" t="s">
        <v>557</v>
      </c>
      <c r="DY200" s="58">
        <v>0</v>
      </c>
      <c r="DZ200" s="58">
        <v>0</v>
      </c>
      <c r="EB200" s="58">
        <v>2</v>
      </c>
      <c r="EC200" s="58">
        <v>1</v>
      </c>
      <c r="ED200" s="58">
        <v>7</v>
      </c>
      <c r="EE200" s="58">
        <v>2</v>
      </c>
      <c r="EF200" s="58">
        <v>4</v>
      </c>
      <c r="EI200" s="58" t="s">
        <v>58</v>
      </c>
      <c r="EJ200" s="58" t="s">
        <v>557</v>
      </c>
      <c r="EK200" s="58">
        <v>0</v>
      </c>
      <c r="EL200" s="58">
        <v>0</v>
      </c>
      <c r="EN200" s="58">
        <v>2</v>
      </c>
      <c r="EO200" s="58">
        <v>1</v>
      </c>
      <c r="EP200" s="58">
        <v>7</v>
      </c>
      <c r="EQ200" s="58">
        <v>2</v>
      </c>
      <c r="ER200" s="58">
        <v>4</v>
      </c>
      <c r="EU200" s="58" t="str">
        <f t="shared" si="346"/>
        <v>No</v>
      </c>
      <c r="EV200" s="58" t="str">
        <f t="shared" si="347"/>
        <v>Post progression survival</v>
      </c>
      <c r="EW200" s="58">
        <f t="shared" si="348"/>
        <v>0</v>
      </c>
      <c r="EX200" s="58">
        <f t="shared" si="349"/>
        <v>0</v>
      </c>
      <c r="EZ200" s="58">
        <f t="shared" si="350"/>
        <v>2</v>
      </c>
      <c r="FA200" s="58">
        <f t="shared" si="351"/>
        <v>1</v>
      </c>
      <c r="FB200" s="58">
        <f>IF(i_eff_inputs_based_on_num=2,ED200,(INDEX(Lists!$L$51:$L$85,MATCH(O200,Lists!$K$51:$K$85,0))))</f>
        <v>7</v>
      </c>
      <c r="FC200" s="58">
        <f>IF(i_eff_inputs_based_on_num=2,EE200,(INDEX(Lists!$L$51:$L$85,MATCH(P200,Lists!$K$51:$K$85,0))))</f>
        <v>2</v>
      </c>
      <c r="FD200" s="58">
        <f>IF(i_eff_inputs_based_on_num=2,EF200,(INDEX(Lists!$L$51:$L$85,MATCH(Q200,Lists!$K$51:$K$85,0))))</f>
        <v>4</v>
      </c>
      <c r="FG200" s="58" t="str">
        <f t="shared" si="352"/>
        <v>No</v>
      </c>
      <c r="FH200" s="58" t="str">
        <f t="shared" si="353"/>
        <v>Post progression survival</v>
      </c>
      <c r="FI200" s="58">
        <f t="shared" si="354"/>
        <v>0</v>
      </c>
      <c r="FJ200" s="58">
        <f t="shared" si="355"/>
        <v>0</v>
      </c>
      <c r="FL200" s="58">
        <f t="shared" si="356"/>
        <v>2</v>
      </c>
      <c r="FM200" s="58">
        <f t="shared" si="357"/>
        <v>1</v>
      </c>
      <c r="FN200" s="58">
        <f>IF(i_eff_inputs_based_on_num=2,EP200,(INDEX(Lists!$L$51:$L$85,MATCH(O200,Lists!$K$51:$K$85,0))))</f>
        <v>7</v>
      </c>
      <c r="FO200" s="58">
        <f>IF(i_eff_inputs_based_on_num=2,EQ200,(INDEX(Lists!$L$51:$L$85,MATCH(P200,Lists!$K$51:$K$85,0))))</f>
        <v>2</v>
      </c>
      <c r="FP200" s="58">
        <f>IF(i_eff_inputs_based_on_num=2,ER200,(INDEX(Lists!$L$51:$L$85,MATCH(Q200,Lists!$K$51:$K$85,0))))</f>
        <v>4</v>
      </c>
      <c r="FT200" s="58">
        <f t="shared" si="236"/>
        <v>0</v>
      </c>
      <c r="FW200" s="58">
        <f>IF(i_baseline_risk_from=2,'Effectiveness settings'!EW200,'Effectiveness settings'!FI200)</f>
        <v>0</v>
      </c>
      <c r="FX200" s="58">
        <f t="shared" si="237"/>
        <v>0</v>
      </c>
      <c r="FY200" s="58">
        <f t="shared" si="238"/>
        <v>0</v>
      </c>
      <c r="FZ200" s="58">
        <f t="shared" si="239"/>
        <v>0</v>
      </c>
      <c r="GA200" s="58">
        <f t="shared" si="240"/>
        <v>0</v>
      </c>
      <c r="GB200" s="58">
        <f t="shared" si="241"/>
        <v>0</v>
      </c>
      <c r="GC200" s="58">
        <f t="shared" si="242"/>
        <v>0</v>
      </c>
      <c r="GD200" s="58">
        <f t="shared" si="243"/>
        <v>0</v>
      </c>
      <c r="GE200" s="58">
        <f>IF(AND(dd_CheckMate214_TTD="Yes",'Effectiveness settings'!BU200=2,'Effectiveness settings'!BX200=2),"Apply HR to",GD200)</f>
        <v>0</v>
      </c>
      <c r="GF200" s="58">
        <f t="shared" si="244"/>
        <v>0</v>
      </c>
      <c r="GG200" s="58">
        <f t="shared" si="245"/>
        <v>0</v>
      </c>
      <c r="GH200" s="58">
        <f t="shared" si="246"/>
        <v>0</v>
      </c>
      <c r="GI200" s="58">
        <f t="shared" si="359"/>
        <v>0</v>
      </c>
      <c r="GK200" s="58">
        <f>IF(i_baseline_risk_from=2,'Effectiveness settings'!FA200,'Effectiveness settings'!FM200)</f>
        <v>1</v>
      </c>
      <c r="GL200" s="58">
        <f>IF(i_baseline_risk_from=2,'Effectiveness settings'!FB200,'Effectiveness settings'!FN200)</f>
        <v>7</v>
      </c>
      <c r="GM200" s="58">
        <f>IF(i_baseline_risk_from=2,'Effectiveness settings'!FC200,'Effectiveness settings'!FO200)</f>
        <v>2</v>
      </c>
      <c r="GN200" s="58">
        <f>IF(i_baseline_risk_from=2,'Effectiveness settings'!FD200,'Effectiveness settings'!FP200)</f>
        <v>4</v>
      </c>
      <c r="GQ200" s="58">
        <f t="shared" si="247"/>
        <v>7</v>
      </c>
      <c r="GR200" s="58">
        <f t="shared" si="248"/>
        <v>7</v>
      </c>
      <c r="GS200" s="58">
        <f t="shared" si="249"/>
        <v>7</v>
      </c>
      <c r="GT200" s="58">
        <f t="shared" si="250"/>
        <v>7</v>
      </c>
      <c r="GU200" s="58">
        <f>IF(AND(dd_CheckMate214_TTD="Yes",'Effectiveness settings'!BU200=2,'Effectiveness settings'!BX200=2),2,GT200)</f>
        <v>7</v>
      </c>
      <c r="GV200" s="58">
        <f t="shared" si="251"/>
        <v>7</v>
      </c>
      <c r="GW200" s="58">
        <f t="shared" si="252"/>
        <v>7</v>
      </c>
      <c r="GY200" s="58">
        <f>IF(AND(dd_CheckMate214_TTD="Yes",'Effectiveness settings'!BU200=2,'Effectiveness settings'!BX200=2),1,GN200)</f>
        <v>4</v>
      </c>
      <c r="GZ200" s="58">
        <f t="shared" si="253"/>
        <v>4</v>
      </c>
      <c r="HB200" s="58">
        <f t="shared" si="254"/>
        <v>2</v>
      </c>
      <c r="HD200" s="58">
        <f t="shared" si="360"/>
        <v>2</v>
      </c>
      <c r="HE200" s="58">
        <f t="shared" si="361"/>
        <v>1</v>
      </c>
      <c r="HF200" s="58">
        <f t="shared" si="362"/>
        <v>7</v>
      </c>
      <c r="HG200" s="58">
        <f t="shared" si="363"/>
        <v>2</v>
      </c>
      <c r="HH200" s="58">
        <f t="shared" si="364"/>
        <v>4</v>
      </c>
    </row>
    <row r="201" spans="1:216" ht="15.75" x14ac:dyDescent="0.25">
      <c r="D201" s="58" t="str">
        <v>tivozanib</v>
      </c>
      <c r="I201" s="64" t="s">
        <v>58</v>
      </c>
      <c r="J201" s="519" t="s">
        <v>557</v>
      </c>
      <c r="K201" s="524"/>
      <c r="L201" s="519"/>
      <c r="M201" s="516" t="s">
        <v>559</v>
      </c>
      <c r="N201" s="64" t="s">
        <v>546</v>
      </c>
      <c r="O201" s="64" t="s">
        <v>117</v>
      </c>
      <c r="P201" s="64" t="s">
        <v>547</v>
      </c>
      <c r="Q201" s="519" t="s">
        <v>557</v>
      </c>
      <c r="R201" s="516" t="s">
        <v>568</v>
      </c>
      <c r="S201" s="497"/>
      <c r="T201" s="497"/>
      <c r="U201" s="497"/>
      <c r="Y201" s="517"/>
      <c r="AA201" s="517"/>
      <c r="AF201" s="517"/>
      <c r="AM201" s="517"/>
      <c r="AO201" s="517"/>
      <c r="AT201" s="517"/>
      <c r="AV201" s="511"/>
      <c r="AW201" s="511"/>
      <c r="AX201" s="511"/>
      <c r="BA201" s="517"/>
      <c r="BC201" s="517"/>
      <c r="BH201" s="517"/>
      <c r="BJ201" s="511"/>
      <c r="BK201" s="511"/>
      <c r="BL201" s="511"/>
      <c r="BQ201" s="58">
        <f t="shared" si="234"/>
        <v>133</v>
      </c>
      <c r="BR201" s="17">
        <v>2</v>
      </c>
      <c r="BS201" s="17" t="s">
        <v>559</v>
      </c>
      <c r="BT201" s="17">
        <v>1</v>
      </c>
      <c r="BU201" s="17">
        <v>6</v>
      </c>
      <c r="BV201" s="17" t="str">
        <f t="shared" si="334"/>
        <v>tivozanib</v>
      </c>
      <c r="BW201" s="1006" t="str" cm="1">
        <f t="array" ref="BW201">IF(I201="No",I201,INDEX(List_incl_anal_1L_fav,IF(BU201=999,35,BU201+1)))</f>
        <v>No</v>
      </c>
      <c r="BX201" s="61">
        <f t="shared" si="335"/>
        <v>4</v>
      </c>
      <c r="BY201" s="531" t="str">
        <f t="shared" si="365"/>
        <v>Post progression survival</v>
      </c>
      <c r="BZ201" s="530">
        <f t="shared" si="336"/>
        <v>0</v>
      </c>
      <c r="CA201" s="531">
        <f t="shared" si="358"/>
        <v>0</v>
      </c>
      <c r="CB201" s="530">
        <f t="shared" si="337"/>
        <v>2</v>
      </c>
      <c r="CC201" s="530">
        <f t="shared" si="338"/>
        <v>1</v>
      </c>
      <c r="CD201" s="530">
        <f t="shared" si="339"/>
        <v>7</v>
      </c>
      <c r="CE201" s="1295">
        <f t="shared" si="340"/>
        <v>2</v>
      </c>
      <c r="CF201" s="1301">
        <f t="shared" si="341"/>
        <v>4</v>
      </c>
      <c r="CG201" s="530" t="str">
        <f t="shared" si="342"/>
        <v>Exponential</v>
      </c>
      <c r="CH201" s="61">
        <f t="shared" si="343"/>
        <v>0</v>
      </c>
      <c r="CI201" s="61">
        <f t="shared" si="344"/>
        <v>0</v>
      </c>
      <c r="CJ201" s="61">
        <f t="shared" si="345"/>
        <v>0</v>
      </c>
      <c r="DA201" s="1024"/>
      <c r="DB201" s="1024"/>
      <c r="DC201" s="1024"/>
      <c r="DD201" s="1024"/>
      <c r="DE201" s="1024"/>
      <c r="DF201" s="1024"/>
      <c r="DG201" s="1024"/>
      <c r="DK201" s="58" t="str" cm="1">
        <f t="array" ref="DK201">IF(AND($BT201=4,$BX201=4,$BU201=999),$DB$36,_xlfn.IFNA(INDEX(DB$13:DB$70,MATCH(1,($BR201=$CV$13:$CV$70)*($BT201=$CX$13:$CX$70)*($CE201=$CY$13:$CY$70)*($BY201=$DA$13:$DA$70)*($CD201=$DH$13:$DH$70),0)),""))</f>
        <v>Exponential</v>
      </c>
      <c r="DL201" s="58" t="str" cm="1">
        <f t="array" ref="DL201">IF(AND($BT201=4,$BX201=4,$BU201=999),$DC$36,_xlfn.IFNA(INDEX(CHOOSE(DP201,DB$13:DB$70,DC$13:DC$70,DD$13:DD$70,DE$13:DE$70),MATCH(1,($BR201=$CV$13:$CV$70)*($BT201=$CX$13:$CX$70)*($CE201=$CY$13:$CY$70)*($BY201=$DA$13:$DA$70)*($CD201=$DH$13:$DH$70),0)),""))</f>
        <v>Exponential</v>
      </c>
      <c r="DM201" s="740" cm="1">
        <f t="array" ref="DM201">IF(AND($BT201=4,$BX201=4,$BU201=999),$DD$36,_xlfn.IFNA(INDEX(DD$13:DD$68,MATCH(1,($BR201=$CV$13:$CV$68)*($BT201=$CX$13:$CX$68)*($CE201=$CY$13:$CY$68)*($BY201=$DA$13:$DA$68)*($CD201=$DH$13:$DH$68),0)),""))</f>
        <v>0</v>
      </c>
      <c r="DN201" s="740" cm="1">
        <f t="array" ref="DN201">IF(AND($BT201=4,$BX201=4,$BU201=999),$DD$36,_xlfn.IFNA(INDEX(DE$13:DE$68,MATCH(1,($BR201=$CV$13:$CV$68)*($BT201=$CX$13:$CX$68)*($CE201=$CY$13:$CY$68)*($BY201=$DA$13:$DA$68)*($CD201=$DH$13:$DH$68),0)),""))</f>
        <v>0</v>
      </c>
      <c r="DO201" s="58" t="str" cm="1">
        <f t="array" ref="DO201">IF(AND($BT201=4,$BX201=4,$BU201=999),$DF$36,_xlfn.IFNA(INDEX(DF$13:DF$70,MATCH(1,($BR201=$CV$13:$CV$70)*($BT201=$CX$13:$CX$70)*($CE201=$CY$13:$CY$70)*($BY201=$DA$13:$DA$70)*($CD201=$DH$13:$DH$70),0)),""))</f>
        <v>Base case</v>
      </c>
      <c r="DP201" s="58">
        <f t="shared" si="235"/>
        <v>1</v>
      </c>
      <c r="DW201" s="58" t="s">
        <v>58</v>
      </c>
      <c r="DX201" s="58" t="s">
        <v>557</v>
      </c>
      <c r="DY201" s="58">
        <v>0</v>
      </c>
      <c r="DZ201" s="58">
        <v>0</v>
      </c>
      <c r="EB201" s="58">
        <v>2</v>
      </c>
      <c r="EC201" s="58">
        <v>1</v>
      </c>
      <c r="ED201" s="58">
        <v>7</v>
      </c>
      <c r="EE201" s="58">
        <v>2</v>
      </c>
      <c r="EF201" s="58">
        <v>4</v>
      </c>
      <c r="EI201" s="58" t="s">
        <v>58</v>
      </c>
      <c r="EJ201" s="58" t="s">
        <v>557</v>
      </c>
      <c r="EK201" s="58">
        <v>0</v>
      </c>
      <c r="EL201" s="58">
        <v>0</v>
      </c>
      <c r="EN201" s="58">
        <v>2</v>
      </c>
      <c r="EO201" s="58">
        <v>1</v>
      </c>
      <c r="EP201" s="58">
        <v>7</v>
      </c>
      <c r="EQ201" s="58">
        <v>2</v>
      </c>
      <c r="ER201" s="58">
        <v>4</v>
      </c>
      <c r="EU201" s="58" t="str">
        <f t="shared" si="346"/>
        <v>No</v>
      </c>
      <c r="EV201" s="58" t="str">
        <f t="shared" si="347"/>
        <v>Post progression survival</v>
      </c>
      <c r="EW201" s="58">
        <f t="shared" si="348"/>
        <v>0</v>
      </c>
      <c r="EX201" s="58">
        <f t="shared" si="349"/>
        <v>0</v>
      </c>
      <c r="EZ201" s="58">
        <f t="shared" si="350"/>
        <v>2</v>
      </c>
      <c r="FA201" s="58">
        <f t="shared" si="351"/>
        <v>1</v>
      </c>
      <c r="FB201" s="58">
        <f>IF(i_eff_inputs_based_on_num=2,ED201,(INDEX(Lists!$L$51:$L$85,MATCH(O201,Lists!$K$51:$K$85,0))))</f>
        <v>7</v>
      </c>
      <c r="FC201" s="58">
        <f>IF(i_eff_inputs_based_on_num=2,EE201,(INDEX(Lists!$L$51:$L$85,MATCH(P201,Lists!$K$51:$K$85,0))))</f>
        <v>2</v>
      </c>
      <c r="FD201" s="58">
        <f>IF(i_eff_inputs_based_on_num=2,EF201,(INDEX(Lists!$L$51:$L$85,MATCH(Q201,Lists!$K$51:$K$85,0))))</f>
        <v>4</v>
      </c>
      <c r="FG201" s="58" t="str">
        <f t="shared" si="352"/>
        <v>No</v>
      </c>
      <c r="FH201" s="58" t="str">
        <f t="shared" si="353"/>
        <v>Post progression survival</v>
      </c>
      <c r="FI201" s="58">
        <f t="shared" si="354"/>
        <v>0</v>
      </c>
      <c r="FJ201" s="58">
        <f t="shared" si="355"/>
        <v>0</v>
      </c>
      <c r="FL201" s="58">
        <f t="shared" si="356"/>
        <v>2</v>
      </c>
      <c r="FM201" s="58">
        <f t="shared" si="357"/>
        <v>1</v>
      </c>
      <c r="FN201" s="58">
        <f>IF(i_eff_inputs_based_on_num=2,EP201,(INDEX(Lists!$L$51:$L$85,MATCH(O201,Lists!$K$51:$K$85,0))))</f>
        <v>7</v>
      </c>
      <c r="FO201" s="58">
        <f>IF(i_eff_inputs_based_on_num=2,EQ201,(INDEX(Lists!$L$51:$L$85,MATCH(P201,Lists!$K$51:$K$85,0))))</f>
        <v>2</v>
      </c>
      <c r="FP201" s="58">
        <f>IF(i_eff_inputs_based_on_num=2,ER201,(INDEX(Lists!$L$51:$L$85,MATCH(Q201,Lists!$K$51:$K$85,0))))</f>
        <v>4</v>
      </c>
      <c r="FT201" s="58">
        <f t="shared" si="236"/>
        <v>0</v>
      </c>
      <c r="FW201" s="58">
        <f>IF(i_baseline_risk_from=2,'Effectiveness settings'!EW201,'Effectiveness settings'!FI201)</f>
        <v>0</v>
      </c>
      <c r="FX201" s="58">
        <f t="shared" si="237"/>
        <v>0</v>
      </c>
      <c r="FY201" s="58">
        <f t="shared" si="238"/>
        <v>0</v>
      </c>
      <c r="FZ201" s="58">
        <f t="shared" si="239"/>
        <v>0</v>
      </c>
      <c r="GA201" s="58">
        <f t="shared" si="240"/>
        <v>0</v>
      </c>
      <c r="GB201" s="58">
        <f t="shared" si="241"/>
        <v>0</v>
      </c>
      <c r="GC201" s="58">
        <f t="shared" si="242"/>
        <v>0</v>
      </c>
      <c r="GD201" s="58">
        <f t="shared" si="243"/>
        <v>0</v>
      </c>
      <c r="GE201" s="58">
        <f>IF(AND(dd_CheckMate214_TTD="Yes",'Effectiveness settings'!BU201=2,'Effectiveness settings'!BX201=2),"Apply HR to",GD201)</f>
        <v>0</v>
      </c>
      <c r="GF201" s="58">
        <f t="shared" si="244"/>
        <v>0</v>
      </c>
      <c r="GG201" s="58">
        <f t="shared" si="245"/>
        <v>0</v>
      </c>
      <c r="GH201" s="58">
        <f t="shared" si="246"/>
        <v>0</v>
      </c>
      <c r="GI201" s="58">
        <f t="shared" si="359"/>
        <v>0</v>
      </c>
      <c r="GK201" s="58">
        <f>IF(i_baseline_risk_from=2,'Effectiveness settings'!FA201,'Effectiveness settings'!FM201)</f>
        <v>1</v>
      </c>
      <c r="GL201" s="58">
        <f>IF(i_baseline_risk_from=2,'Effectiveness settings'!FB201,'Effectiveness settings'!FN201)</f>
        <v>7</v>
      </c>
      <c r="GM201" s="58">
        <f>IF(i_baseline_risk_from=2,'Effectiveness settings'!FC201,'Effectiveness settings'!FO201)</f>
        <v>2</v>
      </c>
      <c r="GN201" s="58">
        <f>IF(i_baseline_risk_from=2,'Effectiveness settings'!FD201,'Effectiveness settings'!FP201)</f>
        <v>4</v>
      </c>
      <c r="GQ201" s="58">
        <f t="shared" si="247"/>
        <v>7</v>
      </c>
      <c r="GR201" s="58">
        <f t="shared" si="248"/>
        <v>7</v>
      </c>
      <c r="GS201" s="58">
        <f t="shared" si="249"/>
        <v>7</v>
      </c>
      <c r="GT201" s="58">
        <f t="shared" si="250"/>
        <v>7</v>
      </c>
      <c r="GU201" s="58">
        <f>IF(AND(dd_CheckMate214_TTD="Yes",'Effectiveness settings'!BU201=2,'Effectiveness settings'!BX201=2),2,GT201)</f>
        <v>7</v>
      </c>
      <c r="GV201" s="58">
        <f t="shared" si="251"/>
        <v>7</v>
      </c>
      <c r="GW201" s="58">
        <f t="shared" si="252"/>
        <v>7</v>
      </c>
      <c r="GY201" s="58">
        <f>IF(AND(dd_CheckMate214_TTD="Yes",'Effectiveness settings'!BU201=2,'Effectiveness settings'!BX201=2),1,GN201)</f>
        <v>4</v>
      </c>
      <c r="GZ201" s="58">
        <f t="shared" si="253"/>
        <v>4</v>
      </c>
      <c r="HB201" s="58">
        <f t="shared" si="254"/>
        <v>2</v>
      </c>
      <c r="HD201" s="58">
        <f t="shared" si="360"/>
        <v>2</v>
      </c>
      <c r="HE201" s="58">
        <f t="shared" si="361"/>
        <v>1</v>
      </c>
      <c r="HF201" s="58">
        <f t="shared" si="362"/>
        <v>7</v>
      </c>
      <c r="HG201" s="58">
        <f t="shared" si="363"/>
        <v>2</v>
      </c>
      <c r="HH201" s="58">
        <f t="shared" si="364"/>
        <v>4</v>
      </c>
    </row>
    <row r="202" spans="1:216" ht="15.75" x14ac:dyDescent="0.25">
      <c r="A202" s="58" t="s">
        <v>569</v>
      </c>
      <c r="D202" s="58" t="str">
        <v>sunitinib</v>
      </c>
      <c r="I202" s="64" t="s">
        <v>58</v>
      </c>
      <c r="J202" s="519" t="s">
        <v>557</v>
      </c>
      <c r="K202" s="524"/>
      <c r="L202" s="519"/>
      <c r="M202" s="516" t="s">
        <v>559</v>
      </c>
      <c r="N202" s="64" t="s">
        <v>546</v>
      </c>
      <c r="O202" s="64" t="s">
        <v>117</v>
      </c>
      <c r="P202" s="64" t="s">
        <v>547</v>
      </c>
      <c r="Q202" s="519" t="s">
        <v>557</v>
      </c>
      <c r="R202" s="516" t="s">
        <v>568</v>
      </c>
      <c r="S202" s="497"/>
      <c r="T202" s="497"/>
      <c r="U202" s="497"/>
      <c r="Y202" s="517"/>
      <c r="AA202" s="517"/>
      <c r="AF202" s="517"/>
      <c r="AM202" s="517"/>
      <c r="AO202" s="517"/>
      <c r="AT202" s="517"/>
      <c r="AV202" s="511"/>
      <c r="AW202" s="511"/>
      <c r="AX202" s="511"/>
      <c r="BA202" s="517"/>
      <c r="BC202" s="517"/>
      <c r="BH202" s="517"/>
      <c r="BJ202" s="511"/>
      <c r="BK202" s="511"/>
      <c r="BL202" s="511"/>
      <c r="BQ202" s="58">
        <f t="shared" si="234"/>
        <v>134</v>
      </c>
      <c r="BR202" s="17">
        <v>2</v>
      </c>
      <c r="BS202" s="17" t="s">
        <v>559</v>
      </c>
      <c r="BT202" s="17">
        <v>1</v>
      </c>
      <c r="BU202" s="17">
        <v>7</v>
      </c>
      <c r="BV202" s="17" t="str">
        <f t="shared" si="334"/>
        <v>sunitinib</v>
      </c>
      <c r="BW202" s="1006" t="str" cm="1">
        <f t="array" ref="BW202">IF(I202="No",I202,INDEX(List_incl_anal_1L_fav,IF(BU202=999,35,BU202+1)))</f>
        <v>No</v>
      </c>
      <c r="BX202" s="61">
        <f t="shared" si="335"/>
        <v>4</v>
      </c>
      <c r="BY202" s="531" t="str">
        <f t="shared" si="365"/>
        <v>Post progression survival</v>
      </c>
      <c r="BZ202" s="530">
        <f t="shared" si="336"/>
        <v>0</v>
      </c>
      <c r="CA202" s="531">
        <f t="shared" si="358"/>
        <v>0</v>
      </c>
      <c r="CB202" s="530">
        <f t="shared" si="337"/>
        <v>2</v>
      </c>
      <c r="CC202" s="530">
        <f t="shared" si="338"/>
        <v>1</v>
      </c>
      <c r="CD202" s="530">
        <f t="shared" si="339"/>
        <v>7</v>
      </c>
      <c r="CE202" s="1295">
        <f t="shared" si="340"/>
        <v>2</v>
      </c>
      <c r="CF202" s="1301">
        <f t="shared" si="341"/>
        <v>4</v>
      </c>
      <c r="CG202" s="530" t="str">
        <f t="shared" si="342"/>
        <v>Exponential</v>
      </c>
      <c r="CH202" s="61">
        <f t="shared" si="343"/>
        <v>0</v>
      </c>
      <c r="CI202" s="61">
        <f t="shared" si="344"/>
        <v>0</v>
      </c>
      <c r="CJ202" s="61">
        <f t="shared" si="345"/>
        <v>0</v>
      </c>
      <c r="DA202" s="1024"/>
      <c r="DB202" s="1024"/>
      <c r="DC202" s="1024"/>
      <c r="DD202" s="1024"/>
      <c r="DE202" s="1024"/>
      <c r="DF202" s="1024"/>
      <c r="DG202" s="1024"/>
      <c r="DK202" s="58" t="str" cm="1">
        <f t="array" ref="DK202">IF(AND($BT202=4,$BX202=4,$BU202=999),$DB$36,_xlfn.IFNA(INDEX(DB$13:DB$70,MATCH(1,($BR202=$CV$13:$CV$70)*($BT202=$CX$13:$CX$70)*($CE202=$CY$13:$CY$70)*($BY202=$DA$13:$DA$70)*($CD202=$DH$13:$DH$70),0)),""))</f>
        <v>Exponential</v>
      </c>
      <c r="DL202" s="58" t="str" cm="1">
        <f t="array" ref="DL202">IF(AND($BT202=4,$BX202=4,$BU202=999),$DC$36,_xlfn.IFNA(INDEX(CHOOSE(DP202,DB$13:DB$70,DC$13:DC$70,DD$13:DD$70,DE$13:DE$70),MATCH(1,($BR202=$CV$13:$CV$70)*($BT202=$CX$13:$CX$70)*($CE202=$CY$13:$CY$70)*($BY202=$DA$13:$DA$70)*($CD202=$DH$13:$DH$70),0)),""))</f>
        <v>Exponential</v>
      </c>
      <c r="DM202" s="740" cm="1">
        <f t="array" ref="DM202">IF(AND($BT202=4,$BX202=4,$BU202=999),$DD$36,_xlfn.IFNA(INDEX(DD$13:DD$68,MATCH(1,($BR202=$CV$13:$CV$68)*($BT202=$CX$13:$CX$68)*($CE202=$CY$13:$CY$68)*($BY202=$DA$13:$DA$68)*($CD202=$DH$13:$DH$68),0)),""))</f>
        <v>0</v>
      </c>
      <c r="DN202" s="740" cm="1">
        <f t="array" ref="DN202">IF(AND($BT202=4,$BX202=4,$BU202=999),$DD$36,_xlfn.IFNA(INDEX(DE$13:DE$68,MATCH(1,($BR202=$CV$13:$CV$68)*($BT202=$CX$13:$CX$68)*($CE202=$CY$13:$CY$68)*($BY202=$DA$13:$DA$68)*($CD202=$DH$13:$DH$68),0)),""))</f>
        <v>0</v>
      </c>
      <c r="DO202" s="58" t="str" cm="1">
        <f t="array" ref="DO202">IF(AND($BT202=4,$BX202=4,$BU202=999),$DF$36,_xlfn.IFNA(INDEX(DF$13:DF$70,MATCH(1,($BR202=$CV$13:$CV$70)*($BT202=$CX$13:$CX$70)*($CE202=$CY$13:$CY$70)*($BY202=$DA$13:$DA$70)*($CD202=$DH$13:$DH$70),0)),""))</f>
        <v>Base case</v>
      </c>
      <c r="DP202" s="58">
        <f t="shared" si="235"/>
        <v>1</v>
      </c>
      <c r="DW202" s="58" t="s">
        <v>58</v>
      </c>
      <c r="DX202" s="58" t="s">
        <v>557</v>
      </c>
      <c r="DY202" s="58">
        <v>0</v>
      </c>
      <c r="DZ202" s="58">
        <v>0</v>
      </c>
      <c r="EB202" s="58">
        <v>2</v>
      </c>
      <c r="EC202" s="58">
        <v>1</v>
      </c>
      <c r="ED202" s="58">
        <v>7</v>
      </c>
      <c r="EE202" s="58">
        <v>2</v>
      </c>
      <c r="EF202" s="58">
        <v>4</v>
      </c>
      <c r="EI202" s="58" t="s">
        <v>58</v>
      </c>
      <c r="EJ202" s="58" t="s">
        <v>557</v>
      </c>
      <c r="EK202" s="58">
        <v>0</v>
      </c>
      <c r="EL202" s="58">
        <v>0</v>
      </c>
      <c r="EN202" s="58">
        <v>2</v>
      </c>
      <c r="EO202" s="58">
        <v>1</v>
      </c>
      <c r="EP202" s="58">
        <v>7</v>
      </c>
      <c r="EQ202" s="58">
        <v>2</v>
      </c>
      <c r="ER202" s="58">
        <v>4</v>
      </c>
      <c r="EU202" s="58" t="str">
        <f t="shared" si="346"/>
        <v>No</v>
      </c>
      <c r="EV202" s="58" t="str">
        <f t="shared" si="347"/>
        <v>Post progression survival</v>
      </c>
      <c r="EW202" s="58">
        <f t="shared" si="348"/>
        <v>0</v>
      </c>
      <c r="EX202" s="58">
        <f t="shared" si="349"/>
        <v>0</v>
      </c>
      <c r="EZ202" s="58">
        <f t="shared" si="350"/>
        <v>2</v>
      </c>
      <c r="FA202" s="58">
        <f t="shared" si="351"/>
        <v>1</v>
      </c>
      <c r="FB202" s="58">
        <f>IF(i_eff_inputs_based_on_num=2,ED202,(INDEX(Lists!$L$51:$L$85,MATCH(O202,Lists!$K$51:$K$85,0))))</f>
        <v>7</v>
      </c>
      <c r="FC202" s="58">
        <f>IF(i_eff_inputs_based_on_num=2,EE202,(INDEX(Lists!$L$51:$L$85,MATCH(P202,Lists!$K$51:$K$85,0))))</f>
        <v>2</v>
      </c>
      <c r="FD202" s="58">
        <f>IF(i_eff_inputs_based_on_num=2,EF202,(INDEX(Lists!$L$51:$L$85,MATCH(Q202,Lists!$K$51:$K$85,0))))</f>
        <v>4</v>
      </c>
      <c r="FG202" s="58" t="str">
        <f t="shared" si="352"/>
        <v>No</v>
      </c>
      <c r="FH202" s="58" t="str">
        <f t="shared" si="353"/>
        <v>Post progression survival</v>
      </c>
      <c r="FI202" s="58">
        <f t="shared" si="354"/>
        <v>0</v>
      </c>
      <c r="FJ202" s="58">
        <f t="shared" si="355"/>
        <v>0</v>
      </c>
      <c r="FL202" s="58">
        <f t="shared" si="356"/>
        <v>2</v>
      </c>
      <c r="FM202" s="58">
        <f t="shared" si="357"/>
        <v>1</v>
      </c>
      <c r="FN202" s="58">
        <f>IF(i_eff_inputs_based_on_num=2,EP202,(INDEX(Lists!$L$51:$L$85,MATCH(O202,Lists!$K$51:$K$85,0))))</f>
        <v>7</v>
      </c>
      <c r="FO202" s="58">
        <f>IF(i_eff_inputs_based_on_num=2,EQ202,(INDEX(Lists!$L$51:$L$85,MATCH(P202,Lists!$K$51:$K$85,0))))</f>
        <v>2</v>
      </c>
      <c r="FP202" s="58">
        <f>IF(i_eff_inputs_based_on_num=2,ER202,(INDEX(Lists!$L$51:$L$85,MATCH(Q202,Lists!$K$51:$K$85,0))))</f>
        <v>4</v>
      </c>
      <c r="FT202" s="58">
        <f t="shared" si="236"/>
        <v>0</v>
      </c>
      <c r="FW202" s="58">
        <f>IF(i_baseline_risk_from=2,'Effectiveness settings'!EW202,'Effectiveness settings'!FI202)</f>
        <v>0</v>
      </c>
      <c r="FX202" s="58">
        <f t="shared" si="237"/>
        <v>0</v>
      </c>
      <c r="FY202" s="58">
        <f t="shared" si="238"/>
        <v>0</v>
      </c>
      <c r="FZ202" s="58">
        <f t="shared" si="239"/>
        <v>0</v>
      </c>
      <c r="GA202" s="58">
        <f t="shared" si="240"/>
        <v>0</v>
      </c>
      <c r="GB202" s="58">
        <f t="shared" si="241"/>
        <v>0</v>
      </c>
      <c r="GC202" s="58">
        <f t="shared" si="242"/>
        <v>0</v>
      </c>
      <c r="GD202" s="58">
        <f t="shared" si="243"/>
        <v>0</v>
      </c>
      <c r="GE202" s="58">
        <f>IF(AND(dd_CheckMate214_TTD="Yes",'Effectiveness settings'!BU202=2,'Effectiveness settings'!BX202=2),"Apply HR to",GD202)</f>
        <v>0</v>
      </c>
      <c r="GF202" s="58">
        <f t="shared" si="244"/>
        <v>0</v>
      </c>
      <c r="GG202" s="58">
        <f t="shared" si="245"/>
        <v>0</v>
      </c>
      <c r="GH202" s="58">
        <f t="shared" si="246"/>
        <v>0</v>
      </c>
      <c r="GI202" s="58">
        <f t="shared" si="359"/>
        <v>0</v>
      </c>
      <c r="GK202" s="58">
        <f>IF(i_baseline_risk_from=2,'Effectiveness settings'!FA202,'Effectiveness settings'!FM202)</f>
        <v>1</v>
      </c>
      <c r="GL202" s="58">
        <f>IF(i_baseline_risk_from=2,'Effectiveness settings'!FB202,'Effectiveness settings'!FN202)</f>
        <v>7</v>
      </c>
      <c r="GM202" s="58">
        <f>IF(i_baseline_risk_from=2,'Effectiveness settings'!FC202,'Effectiveness settings'!FO202)</f>
        <v>2</v>
      </c>
      <c r="GN202" s="58">
        <f>IF(i_baseline_risk_from=2,'Effectiveness settings'!FD202,'Effectiveness settings'!FP202)</f>
        <v>4</v>
      </c>
      <c r="GQ202" s="58">
        <f t="shared" si="247"/>
        <v>7</v>
      </c>
      <c r="GR202" s="58">
        <f t="shared" si="248"/>
        <v>7</v>
      </c>
      <c r="GS202" s="58">
        <f t="shared" si="249"/>
        <v>7</v>
      </c>
      <c r="GT202" s="58">
        <f t="shared" si="250"/>
        <v>7</v>
      </c>
      <c r="GU202" s="58">
        <f>IF(AND(dd_CheckMate214_TTD="Yes",'Effectiveness settings'!BU202=2,'Effectiveness settings'!BX202=2),2,GT202)</f>
        <v>7</v>
      </c>
      <c r="GV202" s="58">
        <f t="shared" si="251"/>
        <v>7</v>
      </c>
      <c r="GW202" s="58">
        <f t="shared" si="252"/>
        <v>7</v>
      </c>
      <c r="GY202" s="58">
        <f>IF(AND(dd_CheckMate214_TTD="Yes",'Effectiveness settings'!BU202=2,'Effectiveness settings'!BX202=2),1,GN202)</f>
        <v>4</v>
      </c>
      <c r="GZ202" s="58">
        <f t="shared" si="253"/>
        <v>4</v>
      </c>
      <c r="HB202" s="58">
        <f t="shared" si="254"/>
        <v>2</v>
      </c>
      <c r="HD202" s="58">
        <f t="shared" si="360"/>
        <v>2</v>
      </c>
      <c r="HE202" s="58">
        <f t="shared" si="361"/>
        <v>1</v>
      </c>
      <c r="HF202" s="58">
        <f t="shared" si="362"/>
        <v>7</v>
      </c>
      <c r="HG202" s="58">
        <f t="shared" si="363"/>
        <v>2</v>
      </c>
      <c r="HH202" s="58">
        <f t="shared" si="364"/>
        <v>4</v>
      </c>
    </row>
    <row r="203" spans="1:216" ht="15.75" x14ac:dyDescent="0.25">
      <c r="D203" s="58" t="str">
        <v>cabozantinib</v>
      </c>
      <c r="I203" s="64" t="s">
        <v>58</v>
      </c>
      <c r="J203" s="519" t="s">
        <v>557</v>
      </c>
      <c r="K203" s="524"/>
      <c r="L203" s="519"/>
      <c r="M203" s="516" t="s">
        <v>559</v>
      </c>
      <c r="N203" s="64" t="s">
        <v>546</v>
      </c>
      <c r="O203" s="64" t="s">
        <v>117</v>
      </c>
      <c r="P203" s="64" t="s">
        <v>547</v>
      </c>
      <c r="Q203" s="519" t="s">
        <v>557</v>
      </c>
      <c r="R203" s="516" t="s">
        <v>548</v>
      </c>
      <c r="S203" s="497"/>
      <c r="T203" s="497"/>
      <c r="U203" s="497"/>
      <c r="Y203" s="517"/>
      <c r="AA203" s="517"/>
      <c r="AF203" s="517"/>
      <c r="AM203" s="517"/>
      <c r="AO203" s="517"/>
      <c r="AT203" s="517"/>
      <c r="AV203" s="511"/>
      <c r="AW203" s="511"/>
      <c r="AX203" s="511"/>
      <c r="BA203" s="517"/>
      <c r="BC203" s="517"/>
      <c r="BH203" s="517"/>
      <c r="BJ203" s="511"/>
      <c r="BK203" s="511"/>
      <c r="BL203" s="511"/>
      <c r="BQ203" s="58">
        <f t="shared" si="234"/>
        <v>135</v>
      </c>
      <c r="BR203" s="17">
        <v>2</v>
      </c>
      <c r="BS203" s="17" t="s">
        <v>559</v>
      </c>
      <c r="BT203" s="17">
        <v>1</v>
      </c>
      <c r="BU203" s="17">
        <v>8</v>
      </c>
      <c r="BV203" s="17" t="str">
        <f t="shared" si="334"/>
        <v>cabozantinib</v>
      </c>
      <c r="BW203" s="1006" t="str" cm="1">
        <f t="array" ref="BW203">IF(I203="No",I203,INDEX(List_incl_anal_1L_fav,IF(BU203=999,35,BU203+1)))</f>
        <v>No</v>
      </c>
      <c r="BX203" s="61">
        <f t="shared" si="335"/>
        <v>4</v>
      </c>
      <c r="BY203" s="531" t="str">
        <f t="shared" si="365"/>
        <v>Post progression survival</v>
      </c>
      <c r="BZ203" s="530">
        <f t="shared" si="336"/>
        <v>0</v>
      </c>
      <c r="CA203" s="531">
        <f t="shared" si="358"/>
        <v>0</v>
      </c>
      <c r="CB203" s="530">
        <f t="shared" si="337"/>
        <v>2</v>
      </c>
      <c r="CC203" s="530">
        <f t="shared" si="338"/>
        <v>1</v>
      </c>
      <c r="CD203" s="530">
        <f t="shared" si="339"/>
        <v>7</v>
      </c>
      <c r="CE203" s="1295">
        <f t="shared" si="340"/>
        <v>2</v>
      </c>
      <c r="CF203" s="1301">
        <f t="shared" si="341"/>
        <v>4</v>
      </c>
      <c r="CG203" s="530" t="str">
        <f t="shared" si="342"/>
        <v>Exponential</v>
      </c>
      <c r="CH203" s="61">
        <f t="shared" si="343"/>
        <v>0</v>
      </c>
      <c r="CI203" s="61">
        <f t="shared" si="344"/>
        <v>0</v>
      </c>
      <c r="CJ203" s="61">
        <f t="shared" si="345"/>
        <v>0</v>
      </c>
      <c r="DA203" s="1024"/>
      <c r="DB203" s="1024"/>
      <c r="DC203" s="1024"/>
      <c r="DD203" s="1024"/>
      <c r="DE203" s="1024"/>
      <c r="DF203" s="1024"/>
      <c r="DG203" s="1024"/>
      <c r="DK203" s="58" t="str" cm="1">
        <f t="array" ref="DK203">IF(AND($BT203=4,$BX203=4,$BU203=999),$DB$36,_xlfn.IFNA(INDEX(DB$13:DB$70,MATCH(1,($BR203=$CV$13:$CV$70)*($BT203=$CX$13:$CX$70)*($CE203=$CY$13:$CY$70)*($BY203=$DA$13:$DA$70)*($CD203=$DH$13:$DH$70),0)),""))</f>
        <v>Exponential</v>
      </c>
      <c r="DL203" s="58" t="str" cm="1">
        <f t="array" ref="DL203">IF(AND($BT203=4,$BX203=4,$BU203=999),$DC$36,_xlfn.IFNA(INDEX(CHOOSE(DP203,DB$13:DB$70,DC$13:DC$70,DD$13:DD$70,DE$13:DE$70),MATCH(1,($BR203=$CV$13:$CV$70)*($BT203=$CX$13:$CX$70)*($CE203=$CY$13:$CY$70)*($BY203=$DA$13:$DA$70)*($CD203=$DH$13:$DH$70),0)),""))</f>
        <v>Exponential</v>
      </c>
      <c r="DM203" s="740" cm="1">
        <f t="array" ref="DM203">IF(AND($BT203=4,$BX203=4,$BU203=999),$DD$36,_xlfn.IFNA(INDEX(DD$13:DD$68,MATCH(1,($BR203=$CV$13:$CV$68)*($BT203=$CX$13:$CX$68)*($CE203=$CY$13:$CY$68)*($BY203=$DA$13:$DA$68)*($CD203=$DH$13:$DH$68),0)),""))</f>
        <v>0</v>
      </c>
      <c r="DN203" s="740" cm="1">
        <f t="array" ref="DN203">IF(AND($BT203=4,$BX203=4,$BU203=999),$DD$36,_xlfn.IFNA(INDEX(DE$13:DE$68,MATCH(1,($BR203=$CV$13:$CV$68)*($BT203=$CX$13:$CX$68)*($CE203=$CY$13:$CY$68)*($BY203=$DA$13:$DA$68)*($CD203=$DH$13:$DH$68),0)),""))</f>
        <v>0</v>
      </c>
      <c r="DO203" s="58" t="str" cm="1">
        <f t="array" ref="DO203">IF(AND($BT203=4,$BX203=4,$BU203=999),$DF$36,_xlfn.IFNA(INDEX(DF$13:DF$70,MATCH(1,($BR203=$CV$13:$CV$70)*($BT203=$CX$13:$CX$70)*($CE203=$CY$13:$CY$70)*($BY203=$DA$13:$DA$70)*($CD203=$DH$13:$DH$70),0)),""))</f>
        <v>Base case</v>
      </c>
      <c r="DP203" s="58">
        <f t="shared" si="235"/>
        <v>1</v>
      </c>
      <c r="DW203" s="58" t="s">
        <v>58</v>
      </c>
      <c r="DX203" s="58" t="s">
        <v>557</v>
      </c>
      <c r="DY203" s="58">
        <v>0</v>
      </c>
      <c r="DZ203" s="58">
        <v>0</v>
      </c>
      <c r="EB203" s="58">
        <v>2</v>
      </c>
      <c r="EC203" s="58">
        <v>1</v>
      </c>
      <c r="ED203" s="58">
        <v>7</v>
      </c>
      <c r="EE203" s="58">
        <v>2</v>
      </c>
      <c r="EF203" s="58">
        <v>4</v>
      </c>
      <c r="EI203" s="58" t="s">
        <v>58</v>
      </c>
      <c r="EJ203" s="58" t="s">
        <v>557</v>
      </c>
      <c r="EK203" s="58">
        <v>0</v>
      </c>
      <c r="EL203" s="58">
        <v>0</v>
      </c>
      <c r="EN203" s="58">
        <v>2</v>
      </c>
      <c r="EO203" s="58">
        <v>1</v>
      </c>
      <c r="EP203" s="58">
        <v>7</v>
      </c>
      <c r="EQ203" s="58">
        <v>2</v>
      </c>
      <c r="ER203" s="58">
        <v>4</v>
      </c>
      <c r="EU203" s="58" t="str">
        <f t="shared" si="346"/>
        <v>No</v>
      </c>
      <c r="EV203" s="58" t="str">
        <f t="shared" si="347"/>
        <v>Post progression survival</v>
      </c>
      <c r="EW203" s="58">
        <f t="shared" si="348"/>
        <v>0</v>
      </c>
      <c r="EX203" s="58">
        <f t="shared" si="349"/>
        <v>0</v>
      </c>
      <c r="EZ203" s="58">
        <f t="shared" si="350"/>
        <v>2</v>
      </c>
      <c r="FA203" s="58">
        <f t="shared" si="351"/>
        <v>1</v>
      </c>
      <c r="FB203" s="58">
        <f>IF(i_eff_inputs_based_on_num=2,ED203,(INDEX(Lists!$L$51:$L$85,MATCH(O203,Lists!$K$51:$K$85,0))))</f>
        <v>7</v>
      </c>
      <c r="FC203" s="58">
        <f>IF(i_eff_inputs_based_on_num=2,EE203,(INDEX(Lists!$L$51:$L$85,MATCH(P203,Lists!$K$51:$K$85,0))))</f>
        <v>2</v>
      </c>
      <c r="FD203" s="58">
        <f>IF(i_eff_inputs_based_on_num=2,EF203,(INDEX(Lists!$L$51:$L$85,MATCH(Q203,Lists!$K$51:$K$85,0))))</f>
        <v>4</v>
      </c>
      <c r="FG203" s="58" t="str">
        <f t="shared" si="352"/>
        <v>No</v>
      </c>
      <c r="FH203" s="58" t="str">
        <f t="shared" si="353"/>
        <v>Post progression survival</v>
      </c>
      <c r="FI203" s="58">
        <f t="shared" si="354"/>
        <v>0</v>
      </c>
      <c r="FJ203" s="58">
        <f t="shared" si="355"/>
        <v>0</v>
      </c>
      <c r="FL203" s="58">
        <f t="shared" si="356"/>
        <v>2</v>
      </c>
      <c r="FM203" s="58">
        <f t="shared" si="357"/>
        <v>1</v>
      </c>
      <c r="FN203" s="58">
        <f>IF(i_eff_inputs_based_on_num=2,EP203,(INDEX(Lists!$L$51:$L$85,MATCH(O203,Lists!$K$51:$K$85,0))))</f>
        <v>7</v>
      </c>
      <c r="FO203" s="58">
        <f>IF(i_eff_inputs_based_on_num=2,EQ203,(INDEX(Lists!$L$51:$L$85,MATCH(P203,Lists!$K$51:$K$85,0))))</f>
        <v>2</v>
      </c>
      <c r="FP203" s="58">
        <f>IF(i_eff_inputs_based_on_num=2,ER203,(INDEX(Lists!$L$51:$L$85,MATCH(Q203,Lists!$K$51:$K$85,0))))</f>
        <v>4</v>
      </c>
      <c r="FT203" s="58">
        <f t="shared" si="236"/>
        <v>0</v>
      </c>
      <c r="FW203" s="58">
        <f>IF(i_baseline_risk_from=2,'Effectiveness settings'!EW203,'Effectiveness settings'!FI203)</f>
        <v>0</v>
      </c>
      <c r="FX203" s="58">
        <f t="shared" si="237"/>
        <v>0</v>
      </c>
      <c r="FY203" s="58">
        <f t="shared" si="238"/>
        <v>0</v>
      </c>
      <c r="FZ203" s="58">
        <f t="shared" si="239"/>
        <v>0</v>
      </c>
      <c r="GA203" s="58">
        <f t="shared" si="240"/>
        <v>0</v>
      </c>
      <c r="GB203" s="58">
        <f t="shared" si="241"/>
        <v>0</v>
      </c>
      <c r="GC203" s="58">
        <f t="shared" si="242"/>
        <v>0</v>
      </c>
      <c r="GD203" s="58">
        <f t="shared" si="243"/>
        <v>0</v>
      </c>
      <c r="GE203" s="58">
        <f>IF(AND(dd_CheckMate214_TTD="Yes",'Effectiveness settings'!BU203=2,'Effectiveness settings'!BX203=2),"Apply HR to",GD203)</f>
        <v>0</v>
      </c>
      <c r="GF203" s="58">
        <f t="shared" si="244"/>
        <v>0</v>
      </c>
      <c r="GG203" s="58">
        <f t="shared" si="245"/>
        <v>0</v>
      </c>
      <c r="GH203" s="58">
        <f t="shared" si="246"/>
        <v>0</v>
      </c>
      <c r="GI203" s="58">
        <f t="shared" si="359"/>
        <v>0</v>
      </c>
      <c r="GK203" s="58">
        <f>IF(i_baseline_risk_from=2,'Effectiveness settings'!FA203,'Effectiveness settings'!FM203)</f>
        <v>1</v>
      </c>
      <c r="GL203" s="58">
        <f>IF(i_baseline_risk_from=2,'Effectiveness settings'!FB203,'Effectiveness settings'!FN203)</f>
        <v>7</v>
      </c>
      <c r="GM203" s="58">
        <f>IF(i_baseline_risk_from=2,'Effectiveness settings'!FC203,'Effectiveness settings'!FO203)</f>
        <v>2</v>
      </c>
      <c r="GN203" s="58">
        <f>IF(i_baseline_risk_from=2,'Effectiveness settings'!FD203,'Effectiveness settings'!FP203)</f>
        <v>4</v>
      </c>
      <c r="GQ203" s="58">
        <f t="shared" si="247"/>
        <v>7</v>
      </c>
      <c r="GR203" s="58">
        <f t="shared" si="248"/>
        <v>7</v>
      </c>
      <c r="GS203" s="58">
        <f t="shared" si="249"/>
        <v>7</v>
      </c>
      <c r="GT203" s="58">
        <f t="shared" si="250"/>
        <v>7</v>
      </c>
      <c r="GU203" s="58">
        <f>IF(AND(dd_CheckMate214_TTD="Yes",'Effectiveness settings'!BU203=2,'Effectiveness settings'!BX203=2),2,GT203)</f>
        <v>7</v>
      </c>
      <c r="GV203" s="58">
        <f t="shared" si="251"/>
        <v>7</v>
      </c>
      <c r="GW203" s="58">
        <f t="shared" si="252"/>
        <v>7</v>
      </c>
      <c r="GY203" s="58">
        <f>IF(AND(dd_CheckMate214_TTD="Yes",'Effectiveness settings'!BU203=2,'Effectiveness settings'!BX203=2),1,GN203)</f>
        <v>4</v>
      </c>
      <c r="GZ203" s="58">
        <f t="shared" si="253"/>
        <v>4</v>
      </c>
      <c r="HB203" s="58">
        <f t="shared" si="254"/>
        <v>2</v>
      </c>
      <c r="HD203" s="58">
        <f t="shared" si="360"/>
        <v>2</v>
      </c>
      <c r="HE203" s="58">
        <f t="shared" si="361"/>
        <v>1</v>
      </c>
      <c r="HF203" s="58">
        <f t="shared" si="362"/>
        <v>7</v>
      </c>
      <c r="HG203" s="58">
        <f t="shared" si="363"/>
        <v>2</v>
      </c>
      <c r="HH203" s="58">
        <f t="shared" si="364"/>
        <v>4</v>
      </c>
    </row>
    <row r="204" spans="1:216" ht="15.75" x14ac:dyDescent="0.25">
      <c r="D204" s="58" t="str">
        <v>lenvatinib_plus_everolimus</v>
      </c>
      <c r="I204" s="64" t="s">
        <v>58</v>
      </c>
      <c r="J204" s="519" t="s">
        <v>557</v>
      </c>
      <c r="K204" s="524"/>
      <c r="L204" s="519"/>
      <c r="M204" s="516" t="s">
        <v>559</v>
      </c>
      <c r="N204" s="64" t="s">
        <v>546</v>
      </c>
      <c r="O204" s="64" t="s">
        <v>117</v>
      </c>
      <c r="P204" s="64" t="s">
        <v>547</v>
      </c>
      <c r="Q204" s="519" t="s">
        <v>557</v>
      </c>
      <c r="R204" s="516" t="s">
        <v>548</v>
      </c>
      <c r="S204" s="497"/>
      <c r="T204" s="497"/>
      <c r="U204" s="497"/>
      <c r="Y204" s="517"/>
      <c r="AA204" s="517"/>
      <c r="AF204" s="517"/>
      <c r="AM204" s="517"/>
      <c r="AO204" s="517"/>
      <c r="AT204" s="517"/>
      <c r="AV204" s="511"/>
      <c r="AW204" s="511"/>
      <c r="AX204" s="511"/>
      <c r="BA204" s="517"/>
      <c r="BC204" s="517"/>
      <c r="BH204" s="517"/>
      <c r="BJ204" s="511"/>
      <c r="BK204" s="511"/>
      <c r="BL204" s="511"/>
      <c r="BQ204" s="58">
        <f t="shared" si="234"/>
        <v>136</v>
      </c>
      <c r="BR204" s="17">
        <v>2</v>
      </c>
      <c r="BS204" s="17" t="s">
        <v>559</v>
      </c>
      <c r="BT204" s="17">
        <v>1</v>
      </c>
      <c r="BU204" s="17">
        <v>9</v>
      </c>
      <c r="BV204" s="17" t="str">
        <f t="shared" si="334"/>
        <v>lenvatinib_plus_everolimus</v>
      </c>
      <c r="BW204" s="1006" t="str" cm="1">
        <f t="array" ref="BW204">IF(I204="No",I204,INDEX(List_incl_anal_1L_fav,IF(BU204=999,35,BU204+1)))</f>
        <v>No</v>
      </c>
      <c r="BX204" s="61">
        <f t="shared" si="335"/>
        <v>4</v>
      </c>
      <c r="BY204" s="531" t="str">
        <f t="shared" si="365"/>
        <v>Post progression survival</v>
      </c>
      <c r="BZ204" s="530">
        <f t="shared" si="336"/>
        <v>0</v>
      </c>
      <c r="CA204" s="531">
        <f t="shared" si="358"/>
        <v>0</v>
      </c>
      <c r="CB204" s="530">
        <f t="shared" si="337"/>
        <v>2</v>
      </c>
      <c r="CC204" s="530">
        <f t="shared" si="338"/>
        <v>1</v>
      </c>
      <c r="CD204" s="530">
        <f t="shared" si="339"/>
        <v>7</v>
      </c>
      <c r="CE204" s="1295">
        <f t="shared" si="340"/>
        <v>2</v>
      </c>
      <c r="CF204" s="1301">
        <f t="shared" si="341"/>
        <v>4</v>
      </c>
      <c r="CG204" s="530" t="str">
        <f t="shared" si="342"/>
        <v>Exponential</v>
      </c>
      <c r="CH204" s="61">
        <f t="shared" si="343"/>
        <v>0</v>
      </c>
      <c r="CI204" s="61">
        <f t="shared" si="344"/>
        <v>0</v>
      </c>
      <c r="CJ204" s="61">
        <f t="shared" si="345"/>
        <v>0</v>
      </c>
      <c r="DA204" s="1024"/>
      <c r="DB204" s="1024"/>
      <c r="DC204" s="1024"/>
      <c r="DD204" s="1024"/>
      <c r="DE204" s="1024"/>
      <c r="DF204" s="1024"/>
      <c r="DG204" s="1024"/>
      <c r="DK204" s="58" t="str" cm="1">
        <f t="array" ref="DK204">IF(AND($BT204=4,$BX204=4,$BU204=999),$DB$36,_xlfn.IFNA(INDEX(DB$13:DB$70,MATCH(1,($BR204=$CV$13:$CV$70)*($BT204=$CX$13:$CX$70)*($CE204=$CY$13:$CY$70)*($BY204=$DA$13:$DA$70)*($CD204=$DH$13:$DH$70),0)),""))</f>
        <v>Exponential</v>
      </c>
      <c r="DL204" s="58" t="str" cm="1">
        <f t="array" ref="DL204">IF(AND($BT204=4,$BX204=4,$BU204=999),$DC$36,_xlfn.IFNA(INDEX(CHOOSE(DP204,DB$13:DB$70,DC$13:DC$70,DD$13:DD$70,DE$13:DE$70),MATCH(1,($BR204=$CV$13:$CV$70)*($BT204=$CX$13:$CX$70)*($CE204=$CY$13:$CY$70)*($BY204=$DA$13:$DA$70)*($CD204=$DH$13:$DH$70),0)),""))</f>
        <v>Exponential</v>
      </c>
      <c r="DM204" s="740" cm="1">
        <f t="array" ref="DM204">IF(AND($BT204=4,$BX204=4,$BU204=999),$DD$36,_xlfn.IFNA(INDEX(DD$13:DD$68,MATCH(1,($BR204=$CV$13:$CV$68)*($BT204=$CX$13:$CX$68)*($CE204=$CY$13:$CY$68)*($BY204=$DA$13:$DA$68)*($CD204=$DH$13:$DH$68),0)),""))</f>
        <v>0</v>
      </c>
      <c r="DN204" s="740" cm="1">
        <f t="array" ref="DN204">IF(AND($BT204=4,$BX204=4,$BU204=999),$DD$36,_xlfn.IFNA(INDEX(DE$13:DE$68,MATCH(1,($BR204=$CV$13:$CV$68)*($BT204=$CX$13:$CX$68)*($CE204=$CY$13:$CY$68)*($BY204=$DA$13:$DA$68)*($CD204=$DH$13:$DH$68),0)),""))</f>
        <v>0</v>
      </c>
      <c r="DO204" s="58" t="str" cm="1">
        <f t="array" ref="DO204">IF(AND($BT204=4,$BX204=4,$BU204=999),$DF$36,_xlfn.IFNA(INDEX(DF$13:DF$70,MATCH(1,($BR204=$CV$13:$CV$70)*($BT204=$CX$13:$CX$70)*($CE204=$CY$13:$CY$70)*($BY204=$DA$13:$DA$70)*($CD204=$DH$13:$DH$70),0)),""))</f>
        <v>Base case</v>
      </c>
      <c r="DP204" s="58">
        <f t="shared" si="235"/>
        <v>1</v>
      </c>
      <c r="DW204" s="58" t="s">
        <v>58</v>
      </c>
      <c r="DX204" s="58" t="s">
        <v>557</v>
      </c>
      <c r="DY204" s="58">
        <v>0</v>
      </c>
      <c r="DZ204" s="58">
        <v>0</v>
      </c>
      <c r="EB204" s="58">
        <v>2</v>
      </c>
      <c r="EC204" s="58">
        <v>1</v>
      </c>
      <c r="ED204" s="58">
        <v>7</v>
      </c>
      <c r="EE204" s="58">
        <v>2</v>
      </c>
      <c r="EF204" s="58">
        <v>4</v>
      </c>
      <c r="EI204" s="58" t="s">
        <v>58</v>
      </c>
      <c r="EJ204" s="58" t="s">
        <v>557</v>
      </c>
      <c r="EK204" s="58">
        <v>0</v>
      </c>
      <c r="EL204" s="58">
        <v>0</v>
      </c>
      <c r="EN204" s="58">
        <v>2</v>
      </c>
      <c r="EO204" s="58">
        <v>1</v>
      </c>
      <c r="EP204" s="58">
        <v>7</v>
      </c>
      <c r="EQ204" s="58">
        <v>2</v>
      </c>
      <c r="ER204" s="58">
        <v>4</v>
      </c>
      <c r="EU204" s="58" t="str">
        <f t="shared" si="346"/>
        <v>No</v>
      </c>
      <c r="EV204" s="58" t="str">
        <f t="shared" si="347"/>
        <v>Post progression survival</v>
      </c>
      <c r="EW204" s="58">
        <f t="shared" si="348"/>
        <v>0</v>
      </c>
      <c r="EX204" s="58">
        <f t="shared" si="349"/>
        <v>0</v>
      </c>
      <c r="EZ204" s="58">
        <f t="shared" si="350"/>
        <v>2</v>
      </c>
      <c r="FA204" s="58">
        <f t="shared" si="351"/>
        <v>1</v>
      </c>
      <c r="FB204" s="58">
        <f>IF(i_eff_inputs_based_on_num=2,ED204,(INDEX(Lists!$L$51:$L$85,MATCH(O204,Lists!$K$51:$K$85,0))))</f>
        <v>7</v>
      </c>
      <c r="FC204" s="58">
        <f>IF(i_eff_inputs_based_on_num=2,EE204,(INDEX(Lists!$L$51:$L$85,MATCH(P204,Lists!$K$51:$K$85,0))))</f>
        <v>2</v>
      </c>
      <c r="FD204" s="58">
        <f>IF(i_eff_inputs_based_on_num=2,EF204,(INDEX(Lists!$L$51:$L$85,MATCH(Q204,Lists!$K$51:$K$85,0))))</f>
        <v>4</v>
      </c>
      <c r="FG204" s="58" t="str">
        <f t="shared" si="352"/>
        <v>No</v>
      </c>
      <c r="FH204" s="58" t="str">
        <f t="shared" si="353"/>
        <v>Post progression survival</v>
      </c>
      <c r="FI204" s="58">
        <f t="shared" si="354"/>
        <v>0</v>
      </c>
      <c r="FJ204" s="58">
        <f t="shared" si="355"/>
        <v>0</v>
      </c>
      <c r="FL204" s="58">
        <f t="shared" si="356"/>
        <v>2</v>
      </c>
      <c r="FM204" s="58">
        <f t="shared" si="357"/>
        <v>1</v>
      </c>
      <c r="FN204" s="58">
        <f>IF(i_eff_inputs_based_on_num=2,EP204,(INDEX(Lists!$L$51:$L$85,MATCH(O204,Lists!$K$51:$K$85,0))))</f>
        <v>7</v>
      </c>
      <c r="FO204" s="58">
        <f>IF(i_eff_inputs_based_on_num=2,EQ204,(INDEX(Lists!$L$51:$L$85,MATCH(P204,Lists!$K$51:$K$85,0))))</f>
        <v>2</v>
      </c>
      <c r="FP204" s="58">
        <f>IF(i_eff_inputs_based_on_num=2,ER204,(INDEX(Lists!$L$51:$L$85,MATCH(Q204,Lists!$K$51:$K$85,0))))</f>
        <v>4</v>
      </c>
      <c r="FT204" s="58">
        <f t="shared" si="236"/>
        <v>0</v>
      </c>
      <c r="FW204" s="58">
        <f>IF(i_baseline_risk_from=2,'Effectiveness settings'!EW204,'Effectiveness settings'!FI204)</f>
        <v>0</v>
      </c>
      <c r="FX204" s="58">
        <f t="shared" si="237"/>
        <v>0</v>
      </c>
      <c r="FY204" s="58">
        <f t="shared" si="238"/>
        <v>0</v>
      </c>
      <c r="FZ204" s="58">
        <f t="shared" si="239"/>
        <v>0</v>
      </c>
      <c r="GA204" s="58">
        <f t="shared" si="240"/>
        <v>0</v>
      </c>
      <c r="GB204" s="58">
        <f t="shared" si="241"/>
        <v>0</v>
      </c>
      <c r="GC204" s="58">
        <f t="shared" si="242"/>
        <v>0</v>
      </c>
      <c r="GD204" s="58">
        <f t="shared" si="243"/>
        <v>0</v>
      </c>
      <c r="GE204" s="58">
        <f>IF(AND(dd_CheckMate214_TTD="Yes",'Effectiveness settings'!BU204=2,'Effectiveness settings'!BX204=2),"Apply HR to",GD204)</f>
        <v>0</v>
      </c>
      <c r="GF204" s="58">
        <f t="shared" si="244"/>
        <v>0</v>
      </c>
      <c r="GG204" s="58">
        <f t="shared" si="245"/>
        <v>0</v>
      </c>
      <c r="GH204" s="58">
        <f t="shared" si="246"/>
        <v>0</v>
      </c>
      <c r="GI204" s="58">
        <f t="shared" si="359"/>
        <v>0</v>
      </c>
      <c r="GK204" s="58">
        <f>IF(i_baseline_risk_from=2,'Effectiveness settings'!FA204,'Effectiveness settings'!FM204)</f>
        <v>1</v>
      </c>
      <c r="GL204" s="58">
        <f>IF(i_baseline_risk_from=2,'Effectiveness settings'!FB204,'Effectiveness settings'!FN204)</f>
        <v>7</v>
      </c>
      <c r="GM204" s="58">
        <f>IF(i_baseline_risk_from=2,'Effectiveness settings'!FC204,'Effectiveness settings'!FO204)</f>
        <v>2</v>
      </c>
      <c r="GN204" s="58">
        <f>IF(i_baseline_risk_from=2,'Effectiveness settings'!FD204,'Effectiveness settings'!FP204)</f>
        <v>4</v>
      </c>
      <c r="GQ204" s="58">
        <f t="shared" si="247"/>
        <v>7</v>
      </c>
      <c r="GR204" s="58">
        <f t="shared" si="248"/>
        <v>7</v>
      </c>
      <c r="GS204" s="58">
        <f t="shared" si="249"/>
        <v>7</v>
      </c>
      <c r="GT204" s="58">
        <f t="shared" si="250"/>
        <v>7</v>
      </c>
      <c r="GU204" s="58">
        <f>IF(AND(dd_CheckMate214_TTD="Yes",'Effectiveness settings'!BU204=2,'Effectiveness settings'!BX204=2),2,GT204)</f>
        <v>7</v>
      </c>
      <c r="GV204" s="58">
        <f t="shared" si="251"/>
        <v>7</v>
      </c>
      <c r="GW204" s="58">
        <f t="shared" si="252"/>
        <v>7</v>
      </c>
      <c r="GY204" s="58">
        <f>IF(AND(dd_CheckMate214_TTD="Yes",'Effectiveness settings'!BU204=2,'Effectiveness settings'!BX204=2),1,GN204)</f>
        <v>4</v>
      </c>
      <c r="GZ204" s="58">
        <f t="shared" si="253"/>
        <v>4</v>
      </c>
      <c r="HB204" s="58">
        <f t="shared" si="254"/>
        <v>2</v>
      </c>
      <c r="HD204" s="58">
        <f t="shared" si="360"/>
        <v>2</v>
      </c>
      <c r="HE204" s="58">
        <f t="shared" si="361"/>
        <v>1</v>
      </c>
      <c r="HF204" s="58">
        <f t="shared" si="362"/>
        <v>7</v>
      </c>
      <c r="HG204" s="58">
        <f t="shared" si="363"/>
        <v>2</v>
      </c>
      <c r="HH204" s="58">
        <f t="shared" si="364"/>
        <v>4</v>
      </c>
    </row>
    <row r="205" spans="1:216" ht="15.75" x14ac:dyDescent="0.25">
      <c r="D205" s="58" t="str">
        <v>everolimus</v>
      </c>
      <c r="I205" s="64" t="s">
        <v>58</v>
      </c>
      <c r="J205" s="519" t="s">
        <v>557</v>
      </c>
      <c r="K205" s="524"/>
      <c r="L205" s="519"/>
      <c r="M205" s="516" t="s">
        <v>559</v>
      </c>
      <c r="N205" s="64" t="s">
        <v>546</v>
      </c>
      <c r="O205" s="64" t="s">
        <v>117</v>
      </c>
      <c r="P205" s="64" t="s">
        <v>547</v>
      </c>
      <c r="Q205" s="519" t="s">
        <v>557</v>
      </c>
      <c r="R205" s="516" t="s">
        <v>548</v>
      </c>
      <c r="S205" s="497"/>
      <c r="T205" s="497"/>
      <c r="U205" s="497"/>
      <c r="Y205" s="517"/>
      <c r="AA205" s="517"/>
      <c r="AF205" s="517"/>
      <c r="AM205" s="517"/>
      <c r="AO205" s="517"/>
      <c r="AT205" s="517"/>
      <c r="AV205" s="511"/>
      <c r="AW205" s="511"/>
      <c r="AX205" s="511"/>
      <c r="BA205" s="517"/>
      <c r="BC205" s="517"/>
      <c r="BH205" s="517"/>
      <c r="BJ205" s="511"/>
      <c r="BK205" s="511"/>
      <c r="BL205" s="511"/>
      <c r="BQ205" s="58">
        <f t="shared" ref="BQ205:BQ268" si="366">BQ204+IF(ISBLANK(BR205),0,1)</f>
        <v>137</v>
      </c>
      <c r="BR205" s="17">
        <v>2</v>
      </c>
      <c r="BS205" s="17" t="s">
        <v>559</v>
      </c>
      <c r="BT205" s="17">
        <v>1</v>
      </c>
      <c r="BU205" s="17">
        <v>10</v>
      </c>
      <c r="BV205" s="17" t="str">
        <f t="shared" si="334"/>
        <v>everolimus</v>
      </c>
      <c r="BW205" s="1006" t="str" cm="1">
        <f t="array" ref="BW205">IF(I205="No",I205,INDEX(List_incl_anal_1L_fav,IF(BU205=999,35,BU205+1)))</f>
        <v>No</v>
      </c>
      <c r="BX205" s="61">
        <f t="shared" si="335"/>
        <v>4</v>
      </c>
      <c r="BY205" s="531" t="str">
        <f t="shared" si="365"/>
        <v>Post progression survival</v>
      </c>
      <c r="BZ205" s="530">
        <f t="shared" si="336"/>
        <v>0</v>
      </c>
      <c r="CA205" s="531">
        <f t="shared" si="358"/>
        <v>0</v>
      </c>
      <c r="CB205" s="530">
        <f t="shared" si="337"/>
        <v>2</v>
      </c>
      <c r="CC205" s="530">
        <f t="shared" si="338"/>
        <v>1</v>
      </c>
      <c r="CD205" s="530">
        <f t="shared" si="339"/>
        <v>7</v>
      </c>
      <c r="CE205" s="1295">
        <f t="shared" si="340"/>
        <v>2</v>
      </c>
      <c r="CF205" s="1301">
        <f t="shared" si="341"/>
        <v>4</v>
      </c>
      <c r="CG205" s="530" t="str">
        <f t="shared" si="342"/>
        <v>Exponential</v>
      </c>
      <c r="CH205" s="61">
        <f t="shared" si="343"/>
        <v>0</v>
      </c>
      <c r="CI205" s="61">
        <f t="shared" si="344"/>
        <v>0</v>
      </c>
      <c r="CJ205" s="61">
        <f t="shared" si="345"/>
        <v>0</v>
      </c>
      <c r="DA205" s="1024"/>
      <c r="DB205" s="1024"/>
      <c r="DC205" s="1024"/>
      <c r="DD205" s="1024"/>
      <c r="DE205" s="1024"/>
      <c r="DF205" s="1024"/>
      <c r="DG205" s="1024"/>
      <c r="DK205" s="58" t="str" cm="1">
        <f t="array" ref="DK205">IF(AND($BT205=4,$BX205=4,$BU205=999),$DB$36,_xlfn.IFNA(INDEX(DB$13:DB$70,MATCH(1,($BR205=$CV$13:$CV$70)*($BT205=$CX$13:$CX$70)*($CE205=$CY$13:$CY$70)*($BY205=$DA$13:$DA$70)*($CD205=$DH$13:$DH$70),0)),""))</f>
        <v>Exponential</v>
      </c>
      <c r="DL205" s="58" t="str" cm="1">
        <f t="array" ref="DL205">IF(AND($BT205=4,$BX205=4,$BU205=999),$DC$36,_xlfn.IFNA(INDEX(CHOOSE(DP205,DB$13:DB$70,DC$13:DC$70,DD$13:DD$70,DE$13:DE$70),MATCH(1,($BR205=$CV$13:$CV$70)*($BT205=$CX$13:$CX$70)*($CE205=$CY$13:$CY$70)*($BY205=$DA$13:$DA$70)*($CD205=$DH$13:$DH$70),0)),""))</f>
        <v>Exponential</v>
      </c>
      <c r="DM205" s="740" cm="1">
        <f t="array" ref="DM205">IF(AND($BT205=4,$BX205=4,$BU205=999),$DD$36,_xlfn.IFNA(INDEX(DD$13:DD$68,MATCH(1,($BR205=$CV$13:$CV$68)*($BT205=$CX$13:$CX$68)*($CE205=$CY$13:$CY$68)*($BY205=$DA$13:$DA$68)*($CD205=$DH$13:$DH$68),0)),""))</f>
        <v>0</v>
      </c>
      <c r="DN205" s="740" cm="1">
        <f t="array" ref="DN205">IF(AND($BT205=4,$BX205=4,$BU205=999),$DD$36,_xlfn.IFNA(INDEX(DE$13:DE$68,MATCH(1,($BR205=$CV$13:$CV$68)*($BT205=$CX$13:$CX$68)*($CE205=$CY$13:$CY$68)*($BY205=$DA$13:$DA$68)*($CD205=$DH$13:$DH$68),0)),""))</f>
        <v>0</v>
      </c>
      <c r="DO205" s="58" t="str" cm="1">
        <f t="array" ref="DO205">IF(AND($BT205=4,$BX205=4,$BU205=999),$DF$36,_xlfn.IFNA(INDEX(DF$13:DF$70,MATCH(1,($BR205=$CV$13:$CV$70)*($BT205=$CX$13:$CX$70)*($CE205=$CY$13:$CY$70)*($BY205=$DA$13:$DA$70)*($CD205=$DH$13:$DH$70),0)),""))</f>
        <v>Base case</v>
      </c>
      <c r="DP205" s="58">
        <f t="shared" ref="DP205:DP268" si="367">MATCH(DO205,List_surv_cur_ext,0)</f>
        <v>1</v>
      </c>
      <c r="DW205" s="58" t="s">
        <v>58</v>
      </c>
      <c r="DX205" s="58" t="s">
        <v>557</v>
      </c>
      <c r="DY205" s="58">
        <v>0</v>
      </c>
      <c r="DZ205" s="58">
        <v>0</v>
      </c>
      <c r="EB205" s="58">
        <v>2</v>
      </c>
      <c r="EC205" s="58">
        <v>1</v>
      </c>
      <c r="ED205" s="58">
        <v>7</v>
      </c>
      <c r="EE205" s="58">
        <v>2</v>
      </c>
      <c r="EF205" s="58">
        <v>4</v>
      </c>
      <c r="EI205" s="58" t="s">
        <v>58</v>
      </c>
      <c r="EJ205" s="58" t="s">
        <v>557</v>
      </c>
      <c r="EK205" s="58">
        <v>0</v>
      </c>
      <c r="EL205" s="58">
        <v>0</v>
      </c>
      <c r="EN205" s="58">
        <v>2</v>
      </c>
      <c r="EO205" s="58">
        <v>1</v>
      </c>
      <c r="EP205" s="58">
        <v>7</v>
      </c>
      <c r="EQ205" s="58">
        <v>2</v>
      </c>
      <c r="ER205" s="58">
        <v>4</v>
      </c>
      <c r="EU205" s="58" t="str">
        <f t="shared" si="346"/>
        <v>No</v>
      </c>
      <c r="EV205" s="58" t="str">
        <f t="shared" si="347"/>
        <v>Post progression survival</v>
      </c>
      <c r="EW205" s="58">
        <f t="shared" si="348"/>
        <v>0</v>
      </c>
      <c r="EX205" s="58">
        <f t="shared" si="349"/>
        <v>0</v>
      </c>
      <c r="EZ205" s="58">
        <f t="shared" si="350"/>
        <v>2</v>
      </c>
      <c r="FA205" s="58">
        <f t="shared" si="351"/>
        <v>1</v>
      </c>
      <c r="FB205" s="58">
        <f>IF(i_eff_inputs_based_on_num=2,ED205,(INDEX(Lists!$L$51:$L$85,MATCH(O205,Lists!$K$51:$K$85,0))))</f>
        <v>7</v>
      </c>
      <c r="FC205" s="58">
        <f>IF(i_eff_inputs_based_on_num=2,EE205,(INDEX(Lists!$L$51:$L$85,MATCH(P205,Lists!$K$51:$K$85,0))))</f>
        <v>2</v>
      </c>
      <c r="FD205" s="58">
        <f>IF(i_eff_inputs_based_on_num=2,EF205,(INDEX(Lists!$L$51:$L$85,MATCH(Q205,Lists!$K$51:$K$85,0))))</f>
        <v>4</v>
      </c>
      <c r="FG205" s="58" t="str">
        <f t="shared" si="352"/>
        <v>No</v>
      </c>
      <c r="FH205" s="58" t="str">
        <f t="shared" si="353"/>
        <v>Post progression survival</v>
      </c>
      <c r="FI205" s="58">
        <f t="shared" si="354"/>
        <v>0</v>
      </c>
      <c r="FJ205" s="58">
        <f t="shared" si="355"/>
        <v>0</v>
      </c>
      <c r="FL205" s="58">
        <f t="shared" si="356"/>
        <v>2</v>
      </c>
      <c r="FM205" s="58">
        <f t="shared" si="357"/>
        <v>1</v>
      </c>
      <c r="FN205" s="58">
        <f>IF(i_eff_inputs_based_on_num=2,EP205,(INDEX(Lists!$L$51:$L$85,MATCH(O205,Lists!$K$51:$K$85,0))))</f>
        <v>7</v>
      </c>
      <c r="FO205" s="58">
        <f>IF(i_eff_inputs_based_on_num=2,EQ205,(INDEX(Lists!$L$51:$L$85,MATCH(P205,Lists!$K$51:$K$85,0))))</f>
        <v>2</v>
      </c>
      <c r="FP205" s="58">
        <f>IF(i_eff_inputs_based_on_num=2,ER205,(INDEX(Lists!$L$51:$L$85,MATCH(Q205,Lists!$K$51:$K$85,0))))</f>
        <v>4</v>
      </c>
      <c r="FT205" s="58">
        <f t="shared" ref="FT205:FT268" si="368">IF(AND(BZ205="Trial survival analysis",CE205=0),INDEX(List_trials,1),IF(AND(BZ205="Trial survival analysis",CE205=1),INDEX(List_trials,2),IF(AND(BZ205="Trial survival analysis",OR(CE205=2,CC205=4)),INDEX(List_trials,3),0)))</f>
        <v>0</v>
      </c>
      <c r="FW205" s="58">
        <f>IF(i_baseline_risk_from=2,'Effectiveness settings'!EW205,'Effectiveness settings'!FI205)</f>
        <v>0</v>
      </c>
      <c r="FX205" s="58">
        <f t="shared" ref="FX205:FX268" si="369">IF(AND(BT205&gt;1,FW205="FP_NMA",dd_2ndline_NMA="PH_NMA"),"PH_NMA",FW205)</f>
        <v>0</v>
      </c>
      <c r="FY205" s="58">
        <f t="shared" ref="FY205:FY268" si="370">IF(AND(BU205=1,OR(FX205="PH_NMA",FX205="FP_NMA",FX205="Trial survival analysis")),IF(dd_cabo_nivo_outcome_from="FP_NMA",FX205,dd_cabo_nivo_outcome_from),FX205)</f>
        <v>0</v>
      </c>
      <c r="FZ205" s="58">
        <f t="shared" ref="FZ205:FZ268" si="371">IF(AND(dd_eq_eff_pazo_suni="Yes",BX205&lt;4,$BU205=5,BT205&lt;4,FY205&lt;&gt;"Apply HR to"),"Assume equal to",FY205)</f>
        <v>0</v>
      </c>
      <c r="GA205" s="58">
        <f t="shared" ref="GA205:GA268" si="372">IF(AND(dd_eq_eff_tivo_suni="Yes",BX205&lt;4,$BU205=6,BT205=1,FZ205&lt;&gt;"Apply HR to"),"Assume equal to",FZ205)</f>
        <v>0</v>
      </c>
      <c r="GB205" s="58">
        <f t="shared" ref="GB205:GB268" si="373">IF(AND(dd_eq_eff_evero_axi="Yes",BX205&lt;4,$BU205=11,BT205&lt;4,GA205&lt;&gt;"Apply HR to"),"Assume equal to",GA205)</f>
        <v>0</v>
      </c>
      <c r="GC205" s="58">
        <f t="shared" ref="GC205:GC268" si="374">IF(AND(BX205=4,BR205=1),GB205,(IF(AND(OR(GB205="PH_NMA",GB205="FP_NMA"),BU205=3,BR205&lt;&gt;2),dd_pemlen_NMA,GB205)))</f>
        <v>0</v>
      </c>
      <c r="GD205" s="58">
        <f t="shared" ref="GD205:GD268" si="375">IF(AND(BU205=3,dd_pemlen_equal = "Yes"),"Assume equal to",GC205)</f>
        <v>0</v>
      </c>
      <c r="GE205" s="58">
        <f>IF(AND(dd_CheckMate214_TTD="Yes",'Effectiveness settings'!BU205=2,'Effectiveness settings'!BX205=2),"Apply HR to",GD205)</f>
        <v>0</v>
      </c>
      <c r="GF205" s="58">
        <f t="shared" ref="GF205:GF268" si="376">IF(AND(dd_TTD_same_as_PFS="Yes",BX205=2),"Assume equal to", GE205)</f>
        <v>0</v>
      </c>
      <c r="GG205" s="58">
        <f t="shared" ref="GG205:GG268" si="377">IF(AND(dd_nivoipiPFS="TTNT",BR205=1,BT205=1,BU205=2,BX205=1,dd_use_PHnma_for_FPnma="Yes"),"Apply HR to",GF205)</f>
        <v>0</v>
      </c>
      <c r="GH205" s="58">
        <f t="shared" ref="GH205:GH268" si="378">IF(AND(dd_eq_eff_cabo_suni="Yes",$BX205&lt;4,$BU205=8,$BT205=1,$BR205=1,$GG205&lt;&gt;"Apply HR to"),"Assume equal to",GG205)</f>
        <v>0</v>
      </c>
      <c r="GI205" s="58">
        <f t="shared" si="359"/>
        <v>0</v>
      </c>
      <c r="GK205" s="58">
        <f>IF(i_baseline_risk_from=2,'Effectiveness settings'!FA205,'Effectiveness settings'!FM205)</f>
        <v>1</v>
      </c>
      <c r="GL205" s="58">
        <f>IF(i_baseline_risk_from=2,'Effectiveness settings'!FB205,'Effectiveness settings'!FN205)</f>
        <v>7</v>
      </c>
      <c r="GM205" s="58">
        <f>IF(i_baseline_risk_from=2,'Effectiveness settings'!FC205,'Effectiveness settings'!FO205)</f>
        <v>2</v>
      </c>
      <c r="GN205" s="58">
        <f>IF(i_baseline_risk_from=2,'Effectiveness settings'!FD205,'Effectiveness settings'!FP205)</f>
        <v>4</v>
      </c>
      <c r="GQ205" s="58">
        <f t="shared" ref="GQ205:GQ268" si="379">IF(AND(dd_eq_eff_pazo_suni="Yes",BX205&lt;4,$BU205=5,BT205&lt;4,FY205&lt;&gt;"Apply HR to"),7,GL205)</f>
        <v>7</v>
      </c>
      <c r="GR205" s="58">
        <f t="shared" ref="GR205:GR268" si="380">IF(AND(dd_eq_eff_tivo_suni="Yes",BX205&lt;4,$BU205=6,BT205=1,FY205&lt;&gt;"Apply HR to"),7,IF(AND(BX205&lt;4,$BU205=7,BT205&gt;1,FY205&lt;&gt;"Apply HR to"),6,GQ205))</f>
        <v>7</v>
      </c>
      <c r="GS205" s="58">
        <f t="shared" ref="GS205:GS268" si="381">IF(AND(dd_eq_eff_evero_axi="Yes",BX205&lt;4,$BU205=11,BT205&lt;4,FY205&lt;&gt;"Apply HR to"),10,GR205)</f>
        <v>7</v>
      </c>
      <c r="GT205" s="58">
        <f t="shared" ref="GT205:GT268" si="382">IF(AND(BU205=3,dd_pemlen_equal = "Yes"),1,GS205)</f>
        <v>7</v>
      </c>
      <c r="GU205" s="58">
        <f>IF(AND(dd_CheckMate214_TTD="Yes",'Effectiveness settings'!BU205=2,'Effectiveness settings'!BX205=2),2,GT205)</f>
        <v>7</v>
      </c>
      <c r="GV205" s="58">
        <f t="shared" ref="GV205:GV268" si="383">IF(AND(BY205="Time to treatment discontinuation",dd_TTD_same_as_PFS="Yes"),BU205,GU205)</f>
        <v>7</v>
      </c>
      <c r="GW205" s="58">
        <f t="shared" ref="GW205:GW268" si="384">IF(AND(dd_eq_eff_cabo_suni="Yes",$BX205&lt;4,$BU205=8,$BT205=1,$BR205=1,$GG205&lt;&gt;"Apply HR to"),7,GV205)</f>
        <v>7</v>
      </c>
      <c r="GY205" s="58">
        <f>IF(AND(dd_CheckMate214_TTD="Yes",'Effectiveness settings'!BU205=2,'Effectiveness settings'!BX205=2),1,GN205)</f>
        <v>4</v>
      </c>
      <c r="GZ205" s="58">
        <f t="shared" ref="GZ205:GZ268" si="385">IF(AND(dd_TTD_same_as_PFS="Yes",BX205=2),1, GY205)</f>
        <v>4</v>
      </c>
      <c r="HB205" s="58">
        <f t="shared" ref="HB205:HB268" si="386">IF(i_baseline_risk_from=2,EZ205,FL205)</f>
        <v>2</v>
      </c>
      <c r="HD205" s="58">
        <f t="shared" si="360"/>
        <v>2</v>
      </c>
      <c r="HE205" s="58">
        <f t="shared" si="361"/>
        <v>1</v>
      </c>
      <c r="HF205" s="58">
        <f t="shared" si="362"/>
        <v>7</v>
      </c>
      <c r="HG205" s="58">
        <f t="shared" si="363"/>
        <v>2</v>
      </c>
      <c r="HH205" s="58">
        <f t="shared" si="364"/>
        <v>4</v>
      </c>
    </row>
    <row r="206" spans="1:216" ht="15.75" x14ac:dyDescent="0.25">
      <c r="D206" s="58" t="str">
        <v>axitinib</v>
      </c>
      <c r="I206" s="64" t="s">
        <v>58</v>
      </c>
      <c r="J206" s="519" t="s">
        <v>557</v>
      </c>
      <c r="K206" s="524"/>
      <c r="L206" s="519"/>
      <c r="M206" s="516" t="s">
        <v>559</v>
      </c>
      <c r="N206" s="64" t="s">
        <v>546</v>
      </c>
      <c r="O206" s="64" t="s">
        <v>117</v>
      </c>
      <c r="P206" s="64" t="s">
        <v>547</v>
      </c>
      <c r="Q206" s="519" t="s">
        <v>557</v>
      </c>
      <c r="R206" s="516" t="s">
        <v>548</v>
      </c>
      <c r="S206" s="497"/>
      <c r="T206" s="497"/>
      <c r="U206" s="497"/>
      <c r="Y206" s="517"/>
      <c r="AA206" s="517"/>
      <c r="AF206" s="517"/>
      <c r="AM206" s="517"/>
      <c r="AO206" s="517"/>
      <c r="AT206" s="517"/>
      <c r="AV206" s="511"/>
      <c r="AW206" s="511"/>
      <c r="AX206" s="511"/>
      <c r="BA206" s="517"/>
      <c r="BC206" s="517"/>
      <c r="BH206" s="517"/>
      <c r="BJ206" s="511"/>
      <c r="BK206" s="511"/>
      <c r="BL206" s="511"/>
      <c r="BQ206" s="58">
        <f t="shared" si="366"/>
        <v>138</v>
      </c>
      <c r="BR206" s="17">
        <v>2</v>
      </c>
      <c r="BS206" s="17" t="s">
        <v>559</v>
      </c>
      <c r="BT206" s="17">
        <v>1</v>
      </c>
      <c r="BU206" s="17">
        <v>11</v>
      </c>
      <c r="BV206" s="17" t="str">
        <f t="shared" si="334"/>
        <v>axitinib</v>
      </c>
      <c r="BW206" s="1006" t="str" cm="1">
        <f t="array" ref="BW206">IF(I206="No",I206,INDEX(List_incl_anal_1L_fav,IF(BU206=999,35,BU206+1)))</f>
        <v>No</v>
      </c>
      <c r="BX206" s="61">
        <f t="shared" si="335"/>
        <v>4</v>
      </c>
      <c r="BY206" s="531" t="str">
        <f t="shared" si="365"/>
        <v>Post progression survival</v>
      </c>
      <c r="BZ206" s="530">
        <f t="shared" si="336"/>
        <v>0</v>
      </c>
      <c r="CA206" s="531">
        <f t="shared" si="358"/>
        <v>0</v>
      </c>
      <c r="CB206" s="530">
        <f t="shared" si="337"/>
        <v>2</v>
      </c>
      <c r="CC206" s="530">
        <f t="shared" si="338"/>
        <v>1</v>
      </c>
      <c r="CD206" s="530">
        <f t="shared" si="339"/>
        <v>7</v>
      </c>
      <c r="CE206" s="1295">
        <f t="shared" si="340"/>
        <v>2</v>
      </c>
      <c r="CF206" s="1301">
        <f t="shared" si="341"/>
        <v>4</v>
      </c>
      <c r="CG206" s="530" t="str">
        <f t="shared" si="342"/>
        <v>Exponential</v>
      </c>
      <c r="CH206" s="61">
        <f t="shared" si="343"/>
        <v>0</v>
      </c>
      <c r="CI206" s="61">
        <f t="shared" si="344"/>
        <v>0</v>
      </c>
      <c r="CJ206" s="61">
        <f t="shared" si="345"/>
        <v>0</v>
      </c>
      <c r="DA206" s="1024"/>
      <c r="DB206" s="1024"/>
      <c r="DC206" s="1024"/>
      <c r="DD206" s="1024"/>
      <c r="DE206" s="1024"/>
      <c r="DF206" s="1024"/>
      <c r="DG206" s="1024"/>
      <c r="DK206" s="58" t="str" cm="1">
        <f t="array" ref="DK206">IF(AND($BT206=4,$BX206=4,$BU206=999),$DB$36,_xlfn.IFNA(INDEX(DB$13:DB$70,MATCH(1,($BR206=$CV$13:$CV$70)*($BT206=$CX$13:$CX$70)*($CE206=$CY$13:$CY$70)*($BY206=$DA$13:$DA$70)*($CD206=$DH$13:$DH$70),0)),""))</f>
        <v>Exponential</v>
      </c>
      <c r="DL206" s="58" t="str" cm="1">
        <f t="array" ref="DL206">IF(AND($BT206=4,$BX206=4,$BU206=999),$DC$36,_xlfn.IFNA(INDEX(CHOOSE(DP206,DB$13:DB$70,DC$13:DC$70,DD$13:DD$70,DE$13:DE$70),MATCH(1,($BR206=$CV$13:$CV$70)*($BT206=$CX$13:$CX$70)*($CE206=$CY$13:$CY$70)*($BY206=$DA$13:$DA$70)*($CD206=$DH$13:$DH$70),0)),""))</f>
        <v>Exponential</v>
      </c>
      <c r="DM206" s="740" cm="1">
        <f t="array" ref="DM206">IF(AND($BT206=4,$BX206=4,$BU206=999),$DD$36,_xlfn.IFNA(INDEX(DD$13:DD$68,MATCH(1,($BR206=$CV$13:$CV$68)*($BT206=$CX$13:$CX$68)*($CE206=$CY$13:$CY$68)*($BY206=$DA$13:$DA$68)*($CD206=$DH$13:$DH$68),0)),""))</f>
        <v>0</v>
      </c>
      <c r="DN206" s="740" cm="1">
        <f t="array" ref="DN206">IF(AND($BT206=4,$BX206=4,$BU206=999),$DD$36,_xlfn.IFNA(INDEX(DE$13:DE$68,MATCH(1,($BR206=$CV$13:$CV$68)*($BT206=$CX$13:$CX$68)*($CE206=$CY$13:$CY$68)*($BY206=$DA$13:$DA$68)*($CD206=$DH$13:$DH$68),0)),""))</f>
        <v>0</v>
      </c>
      <c r="DO206" s="58" t="str" cm="1">
        <f t="array" ref="DO206">IF(AND($BT206=4,$BX206=4,$BU206=999),$DF$36,_xlfn.IFNA(INDEX(DF$13:DF$70,MATCH(1,($BR206=$CV$13:$CV$70)*($BT206=$CX$13:$CX$70)*($CE206=$CY$13:$CY$70)*($BY206=$DA$13:$DA$70)*($CD206=$DH$13:$DH$70),0)),""))</f>
        <v>Base case</v>
      </c>
      <c r="DP206" s="58">
        <f t="shared" si="367"/>
        <v>1</v>
      </c>
      <c r="DW206" s="58" t="s">
        <v>58</v>
      </c>
      <c r="DX206" s="58" t="s">
        <v>557</v>
      </c>
      <c r="DY206" s="58">
        <v>0</v>
      </c>
      <c r="DZ206" s="58">
        <v>0</v>
      </c>
      <c r="EB206" s="58">
        <v>2</v>
      </c>
      <c r="EC206" s="58">
        <v>1</v>
      </c>
      <c r="ED206" s="58">
        <v>7</v>
      </c>
      <c r="EE206" s="58">
        <v>2</v>
      </c>
      <c r="EF206" s="58">
        <v>4</v>
      </c>
      <c r="EI206" s="58" t="s">
        <v>58</v>
      </c>
      <c r="EJ206" s="58" t="s">
        <v>557</v>
      </c>
      <c r="EK206" s="58">
        <v>0</v>
      </c>
      <c r="EL206" s="58">
        <v>0</v>
      </c>
      <c r="EN206" s="58">
        <v>2</v>
      </c>
      <c r="EO206" s="58">
        <v>1</v>
      </c>
      <c r="EP206" s="58">
        <v>7</v>
      </c>
      <c r="EQ206" s="58">
        <v>2</v>
      </c>
      <c r="ER206" s="58">
        <v>4</v>
      </c>
      <c r="EU206" s="58" t="str">
        <f t="shared" si="346"/>
        <v>No</v>
      </c>
      <c r="EV206" s="58" t="str">
        <f t="shared" si="347"/>
        <v>Post progression survival</v>
      </c>
      <c r="EW206" s="58">
        <f t="shared" si="348"/>
        <v>0</v>
      </c>
      <c r="EX206" s="58">
        <f t="shared" si="349"/>
        <v>0</v>
      </c>
      <c r="EZ206" s="58">
        <f t="shared" si="350"/>
        <v>2</v>
      </c>
      <c r="FA206" s="58">
        <f t="shared" si="351"/>
        <v>1</v>
      </c>
      <c r="FB206" s="58">
        <f>IF(i_eff_inputs_based_on_num=2,ED206,(INDEX(Lists!$L$51:$L$85,MATCH(O206,Lists!$K$51:$K$85,0))))</f>
        <v>7</v>
      </c>
      <c r="FC206" s="58">
        <f>IF(i_eff_inputs_based_on_num=2,EE206,(INDEX(Lists!$L$51:$L$85,MATCH(P206,Lists!$K$51:$K$85,0))))</f>
        <v>2</v>
      </c>
      <c r="FD206" s="58">
        <f>IF(i_eff_inputs_based_on_num=2,EF206,(INDEX(Lists!$L$51:$L$85,MATCH(Q206,Lists!$K$51:$K$85,0))))</f>
        <v>4</v>
      </c>
      <c r="FG206" s="58" t="str">
        <f t="shared" si="352"/>
        <v>No</v>
      </c>
      <c r="FH206" s="58" t="str">
        <f t="shared" si="353"/>
        <v>Post progression survival</v>
      </c>
      <c r="FI206" s="58">
        <f t="shared" si="354"/>
        <v>0</v>
      </c>
      <c r="FJ206" s="58">
        <f t="shared" si="355"/>
        <v>0</v>
      </c>
      <c r="FL206" s="58">
        <f t="shared" si="356"/>
        <v>2</v>
      </c>
      <c r="FM206" s="58">
        <f t="shared" si="357"/>
        <v>1</v>
      </c>
      <c r="FN206" s="58">
        <f>IF(i_eff_inputs_based_on_num=2,EP206,(INDEX(Lists!$L$51:$L$85,MATCH(O206,Lists!$K$51:$K$85,0))))</f>
        <v>7</v>
      </c>
      <c r="FO206" s="58">
        <f>IF(i_eff_inputs_based_on_num=2,EQ206,(INDEX(Lists!$L$51:$L$85,MATCH(P206,Lists!$K$51:$K$85,0))))</f>
        <v>2</v>
      </c>
      <c r="FP206" s="58">
        <f>IF(i_eff_inputs_based_on_num=2,ER206,(INDEX(Lists!$L$51:$L$85,MATCH(Q206,Lists!$K$51:$K$85,0))))</f>
        <v>4</v>
      </c>
      <c r="FT206" s="58">
        <f t="shared" si="368"/>
        <v>0</v>
      </c>
      <c r="FW206" s="58">
        <f>IF(i_baseline_risk_from=2,'Effectiveness settings'!EW206,'Effectiveness settings'!FI206)</f>
        <v>0</v>
      </c>
      <c r="FX206" s="58">
        <f t="shared" si="369"/>
        <v>0</v>
      </c>
      <c r="FY206" s="58">
        <f t="shared" si="370"/>
        <v>0</v>
      </c>
      <c r="FZ206" s="58">
        <f t="shared" si="371"/>
        <v>0</v>
      </c>
      <c r="GA206" s="58">
        <f t="shared" si="372"/>
        <v>0</v>
      </c>
      <c r="GB206" s="58">
        <f t="shared" si="373"/>
        <v>0</v>
      </c>
      <c r="GC206" s="58">
        <f t="shared" si="374"/>
        <v>0</v>
      </c>
      <c r="GD206" s="58">
        <f t="shared" si="375"/>
        <v>0</v>
      </c>
      <c r="GE206" s="58">
        <f>IF(AND(dd_CheckMate214_TTD="Yes",'Effectiveness settings'!BU206=2,'Effectiveness settings'!BX206=2),"Apply HR to",GD206)</f>
        <v>0</v>
      </c>
      <c r="GF206" s="58">
        <f t="shared" si="376"/>
        <v>0</v>
      </c>
      <c r="GG206" s="58">
        <f t="shared" si="377"/>
        <v>0</v>
      </c>
      <c r="GH206" s="58">
        <f t="shared" si="378"/>
        <v>0</v>
      </c>
      <c r="GI206" s="58">
        <f t="shared" si="359"/>
        <v>0</v>
      </c>
      <c r="GK206" s="58">
        <f>IF(i_baseline_risk_from=2,'Effectiveness settings'!FA206,'Effectiveness settings'!FM206)</f>
        <v>1</v>
      </c>
      <c r="GL206" s="58">
        <f>IF(i_baseline_risk_from=2,'Effectiveness settings'!FB206,'Effectiveness settings'!FN206)</f>
        <v>7</v>
      </c>
      <c r="GM206" s="58">
        <f>IF(i_baseline_risk_from=2,'Effectiveness settings'!FC206,'Effectiveness settings'!FO206)</f>
        <v>2</v>
      </c>
      <c r="GN206" s="58">
        <f>IF(i_baseline_risk_from=2,'Effectiveness settings'!FD206,'Effectiveness settings'!FP206)</f>
        <v>4</v>
      </c>
      <c r="GQ206" s="58">
        <f t="shared" si="379"/>
        <v>7</v>
      </c>
      <c r="GR206" s="58">
        <f t="shared" si="380"/>
        <v>7</v>
      </c>
      <c r="GS206" s="58">
        <f t="shared" si="381"/>
        <v>7</v>
      </c>
      <c r="GT206" s="58">
        <f t="shared" si="382"/>
        <v>7</v>
      </c>
      <c r="GU206" s="58">
        <f>IF(AND(dd_CheckMate214_TTD="Yes",'Effectiveness settings'!BU206=2,'Effectiveness settings'!BX206=2),2,GT206)</f>
        <v>7</v>
      </c>
      <c r="GV206" s="58">
        <f t="shared" si="383"/>
        <v>7</v>
      </c>
      <c r="GW206" s="58">
        <f t="shared" si="384"/>
        <v>7</v>
      </c>
      <c r="GY206" s="58">
        <f>IF(AND(dd_CheckMate214_TTD="Yes",'Effectiveness settings'!BU206=2,'Effectiveness settings'!BX206=2),1,GN206)</f>
        <v>4</v>
      </c>
      <c r="GZ206" s="58">
        <f t="shared" si="385"/>
        <v>4</v>
      </c>
      <c r="HB206" s="58">
        <f t="shared" si="386"/>
        <v>2</v>
      </c>
      <c r="HD206" s="58">
        <f t="shared" si="360"/>
        <v>2</v>
      </c>
      <c r="HE206" s="58">
        <f t="shared" si="361"/>
        <v>1</v>
      </c>
      <c r="HF206" s="58">
        <f t="shared" si="362"/>
        <v>7</v>
      </c>
      <c r="HG206" s="58">
        <f t="shared" si="363"/>
        <v>2</v>
      </c>
      <c r="HH206" s="58">
        <f t="shared" si="364"/>
        <v>4</v>
      </c>
    </row>
    <row r="207" spans="1:216" ht="15.75" x14ac:dyDescent="0.25">
      <c r="D207" s="58" t="str">
        <v>sorafenib</v>
      </c>
      <c r="I207" s="64" t="s">
        <v>58</v>
      </c>
      <c r="J207" s="519" t="s">
        <v>557</v>
      </c>
      <c r="K207" s="524"/>
      <c r="L207" s="519"/>
      <c r="M207" s="516" t="s">
        <v>559</v>
      </c>
      <c r="N207" s="64" t="s">
        <v>546</v>
      </c>
      <c r="O207" s="64" t="s">
        <v>117</v>
      </c>
      <c r="P207" s="64" t="s">
        <v>547</v>
      </c>
      <c r="Q207" s="519" t="s">
        <v>557</v>
      </c>
      <c r="R207" s="516" t="s">
        <v>548</v>
      </c>
      <c r="S207" s="497"/>
      <c r="T207" s="497"/>
      <c r="U207" s="497"/>
      <c r="Y207" s="517"/>
      <c r="AA207" s="517"/>
      <c r="AF207" s="517"/>
      <c r="AM207" s="517"/>
      <c r="AO207" s="517"/>
      <c r="AT207" s="517"/>
      <c r="AV207" s="511"/>
      <c r="AW207" s="511"/>
      <c r="AX207" s="511"/>
      <c r="BA207" s="517"/>
      <c r="BC207" s="517"/>
      <c r="BH207" s="517"/>
      <c r="BJ207" s="511"/>
      <c r="BK207" s="511"/>
      <c r="BL207" s="511"/>
      <c r="BQ207" s="58">
        <f t="shared" si="366"/>
        <v>139</v>
      </c>
      <c r="BR207" s="17">
        <v>2</v>
      </c>
      <c r="BS207" s="17" t="s">
        <v>559</v>
      </c>
      <c r="BT207" s="17">
        <v>1</v>
      </c>
      <c r="BU207" s="17">
        <v>12</v>
      </c>
      <c r="BV207" s="17" t="str">
        <f t="shared" si="334"/>
        <v>sorafenib</v>
      </c>
      <c r="BW207" s="1006" t="str" cm="1">
        <f t="array" ref="BW207">IF(I207="No",I207,INDEX(List_incl_anal_1L_fav,IF(BU207=999,35,BU207+1)))</f>
        <v>No</v>
      </c>
      <c r="BX207" s="61">
        <f t="shared" si="335"/>
        <v>4</v>
      </c>
      <c r="BY207" s="531" t="str">
        <f t="shared" si="365"/>
        <v>Post progression survival</v>
      </c>
      <c r="BZ207" s="530">
        <f t="shared" si="336"/>
        <v>0</v>
      </c>
      <c r="CA207" s="531">
        <f t="shared" si="358"/>
        <v>0</v>
      </c>
      <c r="CB207" s="530">
        <f t="shared" si="337"/>
        <v>2</v>
      </c>
      <c r="CC207" s="530">
        <f t="shared" si="338"/>
        <v>1</v>
      </c>
      <c r="CD207" s="530">
        <f t="shared" si="339"/>
        <v>7</v>
      </c>
      <c r="CE207" s="1295">
        <f t="shared" si="340"/>
        <v>2</v>
      </c>
      <c r="CF207" s="1301">
        <f t="shared" si="341"/>
        <v>4</v>
      </c>
      <c r="CG207" s="530" t="str">
        <f t="shared" si="342"/>
        <v>Exponential</v>
      </c>
      <c r="CH207" s="61">
        <f t="shared" si="343"/>
        <v>0</v>
      </c>
      <c r="CI207" s="61">
        <f t="shared" si="344"/>
        <v>0</v>
      </c>
      <c r="CJ207" s="61">
        <f t="shared" si="345"/>
        <v>0</v>
      </c>
      <c r="DA207" s="1024"/>
      <c r="DB207" s="1024"/>
      <c r="DC207" s="1024"/>
      <c r="DD207" s="1024"/>
      <c r="DE207" s="1024"/>
      <c r="DF207" s="1024"/>
      <c r="DG207" s="1024"/>
      <c r="DK207" s="58" t="str" cm="1">
        <f t="array" ref="DK207">IF(AND($BT207=4,$BX207=4,$BU207=999),$DB$36,_xlfn.IFNA(INDEX(DB$13:DB$70,MATCH(1,($BR207=$CV$13:$CV$70)*($BT207=$CX$13:$CX$70)*($CE207=$CY$13:$CY$70)*($BY207=$DA$13:$DA$70)*($CD207=$DH$13:$DH$70),0)),""))</f>
        <v>Exponential</v>
      </c>
      <c r="DL207" s="58" t="str" cm="1">
        <f t="array" ref="DL207">IF(AND($BT207=4,$BX207=4,$BU207=999),$DC$36,_xlfn.IFNA(INDEX(CHOOSE(DP207,DB$13:DB$70,DC$13:DC$70,DD$13:DD$70,DE$13:DE$70),MATCH(1,($BR207=$CV$13:$CV$70)*($BT207=$CX$13:$CX$70)*($CE207=$CY$13:$CY$70)*($BY207=$DA$13:$DA$70)*($CD207=$DH$13:$DH$70),0)),""))</f>
        <v>Exponential</v>
      </c>
      <c r="DM207" s="740" cm="1">
        <f t="array" ref="DM207">IF(AND($BT207=4,$BX207=4,$BU207=999),$DD$36,_xlfn.IFNA(INDEX(DD$13:DD$68,MATCH(1,($BR207=$CV$13:$CV$68)*($BT207=$CX$13:$CX$68)*($CE207=$CY$13:$CY$68)*($BY207=$DA$13:$DA$68)*($CD207=$DH$13:$DH$68),0)),""))</f>
        <v>0</v>
      </c>
      <c r="DN207" s="740" cm="1">
        <f t="array" ref="DN207">IF(AND($BT207=4,$BX207=4,$BU207=999),$DD$36,_xlfn.IFNA(INDEX(DE$13:DE$68,MATCH(1,($BR207=$CV$13:$CV$68)*($BT207=$CX$13:$CX$68)*($CE207=$CY$13:$CY$68)*($BY207=$DA$13:$DA$68)*($CD207=$DH$13:$DH$68),0)),""))</f>
        <v>0</v>
      </c>
      <c r="DO207" s="58" t="str" cm="1">
        <f t="array" ref="DO207">IF(AND($BT207=4,$BX207=4,$BU207=999),$DF$36,_xlfn.IFNA(INDEX(DF$13:DF$70,MATCH(1,($BR207=$CV$13:$CV$70)*($BT207=$CX$13:$CX$70)*($CE207=$CY$13:$CY$70)*($BY207=$DA$13:$DA$70)*($CD207=$DH$13:$DH$70),0)),""))</f>
        <v>Base case</v>
      </c>
      <c r="DP207" s="58">
        <f t="shared" si="367"/>
        <v>1</v>
      </c>
      <c r="DW207" s="58" t="s">
        <v>58</v>
      </c>
      <c r="DX207" s="58" t="s">
        <v>557</v>
      </c>
      <c r="DY207" s="58">
        <v>0</v>
      </c>
      <c r="DZ207" s="58">
        <v>0</v>
      </c>
      <c r="EB207" s="58">
        <v>2</v>
      </c>
      <c r="EC207" s="58">
        <v>1</v>
      </c>
      <c r="ED207" s="58">
        <v>7</v>
      </c>
      <c r="EE207" s="58">
        <v>2</v>
      </c>
      <c r="EF207" s="58">
        <v>4</v>
      </c>
      <c r="EI207" s="58" t="s">
        <v>58</v>
      </c>
      <c r="EJ207" s="58" t="s">
        <v>557</v>
      </c>
      <c r="EK207" s="58">
        <v>0</v>
      </c>
      <c r="EL207" s="58">
        <v>0</v>
      </c>
      <c r="EN207" s="58">
        <v>2</v>
      </c>
      <c r="EO207" s="58">
        <v>1</v>
      </c>
      <c r="EP207" s="58">
        <v>7</v>
      </c>
      <c r="EQ207" s="58">
        <v>2</v>
      </c>
      <c r="ER207" s="58">
        <v>4</v>
      </c>
      <c r="EU207" s="58" t="str">
        <f t="shared" si="346"/>
        <v>No</v>
      </c>
      <c r="EV207" s="58" t="str">
        <f t="shared" si="347"/>
        <v>Post progression survival</v>
      </c>
      <c r="EW207" s="58">
        <f t="shared" si="348"/>
        <v>0</v>
      </c>
      <c r="EX207" s="58">
        <f t="shared" si="349"/>
        <v>0</v>
      </c>
      <c r="EZ207" s="58">
        <f t="shared" si="350"/>
        <v>2</v>
      </c>
      <c r="FA207" s="58">
        <f t="shared" si="351"/>
        <v>1</v>
      </c>
      <c r="FB207" s="58">
        <f>IF(i_eff_inputs_based_on_num=2,ED207,(INDEX(Lists!$L$51:$L$85,MATCH(O207,Lists!$K$51:$K$85,0))))</f>
        <v>7</v>
      </c>
      <c r="FC207" s="58">
        <f>IF(i_eff_inputs_based_on_num=2,EE207,(INDEX(Lists!$L$51:$L$85,MATCH(P207,Lists!$K$51:$K$85,0))))</f>
        <v>2</v>
      </c>
      <c r="FD207" s="58">
        <f>IF(i_eff_inputs_based_on_num=2,EF207,(INDEX(Lists!$L$51:$L$85,MATCH(Q207,Lists!$K$51:$K$85,0))))</f>
        <v>4</v>
      </c>
      <c r="FG207" s="58" t="str">
        <f t="shared" si="352"/>
        <v>No</v>
      </c>
      <c r="FH207" s="58" t="str">
        <f t="shared" si="353"/>
        <v>Post progression survival</v>
      </c>
      <c r="FI207" s="58">
        <f t="shared" si="354"/>
        <v>0</v>
      </c>
      <c r="FJ207" s="58">
        <f t="shared" si="355"/>
        <v>0</v>
      </c>
      <c r="FL207" s="58">
        <f t="shared" si="356"/>
        <v>2</v>
      </c>
      <c r="FM207" s="58">
        <f t="shared" si="357"/>
        <v>1</v>
      </c>
      <c r="FN207" s="58">
        <f>IF(i_eff_inputs_based_on_num=2,EP207,(INDEX(Lists!$L$51:$L$85,MATCH(O207,Lists!$K$51:$K$85,0))))</f>
        <v>7</v>
      </c>
      <c r="FO207" s="58">
        <f>IF(i_eff_inputs_based_on_num=2,EQ207,(INDEX(Lists!$L$51:$L$85,MATCH(P207,Lists!$K$51:$K$85,0))))</f>
        <v>2</v>
      </c>
      <c r="FP207" s="58">
        <f>IF(i_eff_inputs_based_on_num=2,ER207,(INDEX(Lists!$L$51:$L$85,MATCH(Q207,Lists!$K$51:$K$85,0))))</f>
        <v>4</v>
      </c>
      <c r="FT207" s="58">
        <f t="shared" si="368"/>
        <v>0</v>
      </c>
      <c r="FW207" s="58">
        <f>IF(i_baseline_risk_from=2,'Effectiveness settings'!EW207,'Effectiveness settings'!FI207)</f>
        <v>0</v>
      </c>
      <c r="FX207" s="58">
        <f t="shared" si="369"/>
        <v>0</v>
      </c>
      <c r="FY207" s="58">
        <f t="shared" si="370"/>
        <v>0</v>
      </c>
      <c r="FZ207" s="58">
        <f t="shared" si="371"/>
        <v>0</v>
      </c>
      <c r="GA207" s="58">
        <f t="shared" si="372"/>
        <v>0</v>
      </c>
      <c r="GB207" s="58">
        <f t="shared" si="373"/>
        <v>0</v>
      </c>
      <c r="GC207" s="58">
        <f t="shared" si="374"/>
        <v>0</v>
      </c>
      <c r="GD207" s="58">
        <f t="shared" si="375"/>
        <v>0</v>
      </c>
      <c r="GE207" s="58">
        <f>IF(AND(dd_CheckMate214_TTD="Yes",'Effectiveness settings'!BU207=2,'Effectiveness settings'!BX207=2),"Apply HR to",GD207)</f>
        <v>0</v>
      </c>
      <c r="GF207" s="58">
        <f t="shared" si="376"/>
        <v>0</v>
      </c>
      <c r="GG207" s="58">
        <f t="shared" si="377"/>
        <v>0</v>
      </c>
      <c r="GH207" s="58">
        <f t="shared" si="378"/>
        <v>0</v>
      </c>
      <c r="GI207" s="58">
        <f t="shared" si="359"/>
        <v>0</v>
      </c>
      <c r="GK207" s="58">
        <f>IF(i_baseline_risk_from=2,'Effectiveness settings'!FA207,'Effectiveness settings'!FM207)</f>
        <v>1</v>
      </c>
      <c r="GL207" s="58">
        <f>IF(i_baseline_risk_from=2,'Effectiveness settings'!FB207,'Effectiveness settings'!FN207)</f>
        <v>7</v>
      </c>
      <c r="GM207" s="58">
        <f>IF(i_baseline_risk_from=2,'Effectiveness settings'!FC207,'Effectiveness settings'!FO207)</f>
        <v>2</v>
      </c>
      <c r="GN207" s="58">
        <f>IF(i_baseline_risk_from=2,'Effectiveness settings'!FD207,'Effectiveness settings'!FP207)</f>
        <v>4</v>
      </c>
      <c r="GQ207" s="58">
        <f t="shared" si="379"/>
        <v>7</v>
      </c>
      <c r="GR207" s="58">
        <f t="shared" si="380"/>
        <v>7</v>
      </c>
      <c r="GS207" s="58">
        <f t="shared" si="381"/>
        <v>7</v>
      </c>
      <c r="GT207" s="58">
        <f t="shared" si="382"/>
        <v>7</v>
      </c>
      <c r="GU207" s="58">
        <f>IF(AND(dd_CheckMate214_TTD="Yes",'Effectiveness settings'!BU207=2,'Effectiveness settings'!BX207=2),2,GT207)</f>
        <v>7</v>
      </c>
      <c r="GV207" s="58">
        <f t="shared" si="383"/>
        <v>7</v>
      </c>
      <c r="GW207" s="58">
        <f t="shared" si="384"/>
        <v>7</v>
      </c>
      <c r="GY207" s="58">
        <f>IF(AND(dd_CheckMate214_TTD="Yes",'Effectiveness settings'!BU207=2,'Effectiveness settings'!BX207=2),1,GN207)</f>
        <v>4</v>
      </c>
      <c r="GZ207" s="58">
        <f t="shared" si="385"/>
        <v>4</v>
      </c>
      <c r="HB207" s="58">
        <f t="shared" si="386"/>
        <v>2</v>
      </c>
      <c r="HD207" s="58">
        <f t="shared" si="360"/>
        <v>2</v>
      </c>
      <c r="HE207" s="58">
        <f t="shared" si="361"/>
        <v>1</v>
      </c>
      <c r="HF207" s="58">
        <f t="shared" si="362"/>
        <v>7</v>
      </c>
      <c r="HG207" s="58">
        <f t="shared" si="363"/>
        <v>2</v>
      </c>
      <c r="HH207" s="58">
        <f t="shared" si="364"/>
        <v>4</v>
      </c>
    </row>
    <row r="208" spans="1:216" ht="15.75" x14ac:dyDescent="0.25">
      <c r="D208" s="58" t="str">
        <v>placebo_BSC</v>
      </c>
      <c r="I208" s="64" t="s">
        <v>58</v>
      </c>
      <c r="J208" s="519" t="s">
        <v>557</v>
      </c>
      <c r="K208" s="524"/>
      <c r="L208" s="519"/>
      <c r="M208" s="516" t="s">
        <v>559</v>
      </c>
      <c r="N208" s="64" t="s">
        <v>546</v>
      </c>
      <c r="O208" s="64" t="s">
        <v>117</v>
      </c>
      <c r="P208" s="64" t="s">
        <v>547</v>
      </c>
      <c r="Q208" s="519" t="s">
        <v>557</v>
      </c>
      <c r="R208" s="516" t="s">
        <v>548</v>
      </c>
      <c r="S208" s="497"/>
      <c r="T208" s="497"/>
      <c r="U208" s="497"/>
      <c r="Y208" s="517"/>
      <c r="AA208" s="517"/>
      <c r="AF208" s="517"/>
      <c r="AM208" s="517"/>
      <c r="AO208" s="517"/>
      <c r="AT208" s="517"/>
      <c r="AV208" s="511"/>
      <c r="AW208" s="511"/>
      <c r="AX208" s="511"/>
      <c r="BA208" s="517"/>
      <c r="BC208" s="517"/>
      <c r="BH208" s="517"/>
      <c r="BJ208" s="511"/>
      <c r="BK208" s="511"/>
      <c r="BL208" s="511"/>
      <c r="BQ208" s="58">
        <f t="shared" si="366"/>
        <v>140</v>
      </c>
      <c r="BR208" s="17">
        <v>2</v>
      </c>
      <c r="BS208" s="17" t="s">
        <v>559</v>
      </c>
      <c r="BT208" s="17">
        <v>1</v>
      </c>
      <c r="BU208" s="17">
        <v>999</v>
      </c>
      <c r="BV208" s="17" t="str">
        <f t="shared" si="334"/>
        <v>placebo_BSC</v>
      </c>
      <c r="BW208" s="1006" t="str" cm="1">
        <f t="array" ref="BW208">IF(I208="No",I208,INDEX(List_incl_anal_1L_fav,IF(BU208=999,35,BU208+1)))</f>
        <v>No</v>
      </c>
      <c r="BX208" s="61">
        <f t="shared" si="335"/>
        <v>4</v>
      </c>
      <c r="BY208" s="531" t="str">
        <f t="shared" si="365"/>
        <v>Post progression survival</v>
      </c>
      <c r="BZ208" s="530">
        <f t="shared" si="336"/>
        <v>0</v>
      </c>
      <c r="CA208" s="531">
        <f t="shared" si="358"/>
        <v>0</v>
      </c>
      <c r="CB208" s="530">
        <f t="shared" si="337"/>
        <v>2</v>
      </c>
      <c r="CC208" s="530">
        <f t="shared" si="338"/>
        <v>4</v>
      </c>
      <c r="CD208" s="530">
        <f t="shared" si="339"/>
        <v>999</v>
      </c>
      <c r="CE208" s="1295">
        <f t="shared" si="340"/>
        <v>2</v>
      </c>
      <c r="CF208" s="1301">
        <f t="shared" si="341"/>
        <v>4</v>
      </c>
      <c r="CG208" s="530" t="str">
        <f t="shared" si="342"/>
        <v/>
      </c>
      <c r="CH208" s="61">
        <f t="shared" si="343"/>
        <v>0</v>
      </c>
      <c r="CI208" s="61">
        <f t="shared" si="344"/>
        <v>0</v>
      </c>
      <c r="CJ208" s="61">
        <f t="shared" si="345"/>
        <v>0</v>
      </c>
      <c r="DA208" s="1024"/>
      <c r="DB208" s="1024"/>
      <c r="DC208" s="1024"/>
      <c r="DD208" s="1024"/>
      <c r="DE208" s="1024"/>
      <c r="DF208" s="1024"/>
      <c r="DG208" s="1024"/>
      <c r="DK208" s="58" t="str" cm="1">
        <f t="array" ref="DK208">IF(AND($BT208=4,$BX208=4,$BU208=999),$DB$36,_xlfn.IFNA(INDEX(DB$13:DB$70,MATCH(1,($BR208=$CV$13:$CV$70)*($BT208=$CX$13:$CX$70)*($CE208=$CY$13:$CY$70)*($BY208=$DA$13:$DA$70)*($CD208=$DH$13:$DH$70),0)),""))</f>
        <v/>
      </c>
      <c r="DL208" s="58" t="str" cm="1">
        <f t="array" ref="DL208">IF(AND($BT208=4,$BX208=4,$BU208=999),$DC$36,_xlfn.IFNA(INDEX(CHOOSE(DP208,DB$13:DB$70,DC$13:DC$70,DD$13:DD$70,DE$13:DE$70),MATCH(1,($BR208=$CV$13:$CV$70)*($BT208=$CX$13:$CX$70)*($CE208=$CY$13:$CY$70)*($BY208=$DA$13:$DA$70)*($CD208=$DH$13:$DH$70),0)),""))</f>
        <v/>
      </c>
      <c r="DM208" s="740" t="str" cm="1">
        <f t="array" ref="DM208">IF(AND($BT208=4,$BX208=4,$BU208=999),$DD$36,_xlfn.IFNA(INDEX(DD$13:DD$68,MATCH(1,($BR208=$CV$13:$CV$68)*($BT208=$CX$13:$CX$68)*($CE208=$CY$13:$CY$68)*($BY208=$DA$13:$DA$68)*($CD208=$DH$13:$DH$68),0)),""))</f>
        <v/>
      </c>
      <c r="DN208" s="740" t="str" cm="1">
        <f t="array" ref="DN208">IF(AND($BT208=4,$BX208=4,$BU208=999),$DD$36,_xlfn.IFNA(INDEX(DE$13:DE$68,MATCH(1,($BR208=$CV$13:$CV$68)*($BT208=$CX$13:$CX$68)*($CE208=$CY$13:$CY$68)*($BY208=$DA$13:$DA$68)*($CD208=$DH$13:$DH$68),0)),""))</f>
        <v/>
      </c>
      <c r="DO208" s="58" t="str" cm="1">
        <f t="array" ref="DO208">IF(AND($BT208=4,$BX208=4,$BU208=999),$DF$36,_xlfn.IFNA(INDEX(DF$13:DF$70,MATCH(1,($BR208=$CV$13:$CV$70)*($BT208=$CX$13:$CX$70)*($CE208=$CY$13:$CY$70)*($BY208=$DA$13:$DA$70)*($CD208=$DH$13:$DH$70),0)),""))</f>
        <v/>
      </c>
      <c r="DP208" s="58" t="e">
        <f t="shared" si="367"/>
        <v>#N/A</v>
      </c>
      <c r="DW208" s="58" t="s">
        <v>58</v>
      </c>
      <c r="DX208" s="58" t="s">
        <v>557</v>
      </c>
      <c r="DY208" s="58">
        <v>0</v>
      </c>
      <c r="DZ208" s="58">
        <v>0</v>
      </c>
      <c r="EB208" s="58">
        <v>2</v>
      </c>
      <c r="EC208" s="58">
        <v>4</v>
      </c>
      <c r="ED208" s="58">
        <v>999</v>
      </c>
      <c r="EE208" s="58">
        <v>2</v>
      </c>
      <c r="EF208" s="58">
        <v>4</v>
      </c>
      <c r="EI208" s="58" t="s">
        <v>58</v>
      </c>
      <c r="EJ208" s="58" t="s">
        <v>557</v>
      </c>
      <c r="EK208" s="58">
        <v>0</v>
      </c>
      <c r="EL208" s="58">
        <v>0</v>
      </c>
      <c r="EN208" s="58">
        <v>2</v>
      </c>
      <c r="EO208" s="58">
        <v>4</v>
      </c>
      <c r="EP208" s="58">
        <v>999</v>
      </c>
      <c r="EQ208" s="58">
        <v>2</v>
      </c>
      <c r="ER208" s="58">
        <v>4</v>
      </c>
      <c r="EU208" s="58" t="str">
        <f t="shared" si="346"/>
        <v>No</v>
      </c>
      <c r="EV208" s="58" t="str">
        <f t="shared" si="347"/>
        <v>Post progression survival</v>
      </c>
      <c r="EW208" s="58">
        <f t="shared" si="348"/>
        <v>0</v>
      </c>
      <c r="EX208" s="58">
        <f t="shared" si="349"/>
        <v>0</v>
      </c>
      <c r="EZ208" s="58">
        <f t="shared" si="350"/>
        <v>2</v>
      </c>
      <c r="FA208" s="58">
        <f t="shared" si="351"/>
        <v>4</v>
      </c>
      <c r="FB208" s="58">
        <f>IF(i_eff_inputs_based_on_num=2,ED208,(INDEX(Lists!$L$51:$L$85,MATCH(O208,Lists!$K$51:$K$85,0))))</f>
        <v>999</v>
      </c>
      <c r="FC208" s="58">
        <f>IF(i_eff_inputs_based_on_num=2,EE208,(INDEX(Lists!$L$51:$L$85,MATCH(P208,Lists!$K$51:$K$85,0))))</f>
        <v>2</v>
      </c>
      <c r="FD208" s="58">
        <f>IF(i_eff_inputs_based_on_num=2,EF208,(INDEX(Lists!$L$51:$L$85,MATCH(Q208,Lists!$K$51:$K$85,0))))</f>
        <v>4</v>
      </c>
      <c r="FG208" s="58" t="str">
        <f t="shared" si="352"/>
        <v>No</v>
      </c>
      <c r="FH208" s="58" t="str">
        <f t="shared" si="353"/>
        <v>Post progression survival</v>
      </c>
      <c r="FI208" s="58">
        <f t="shared" si="354"/>
        <v>0</v>
      </c>
      <c r="FJ208" s="58">
        <f t="shared" si="355"/>
        <v>0</v>
      </c>
      <c r="FL208" s="58">
        <f t="shared" si="356"/>
        <v>2</v>
      </c>
      <c r="FM208" s="58">
        <f t="shared" si="357"/>
        <v>4</v>
      </c>
      <c r="FN208" s="58">
        <f>IF(i_eff_inputs_based_on_num=2,EP208,(INDEX(Lists!$L$51:$L$85,MATCH(O208,Lists!$K$51:$K$85,0))))</f>
        <v>999</v>
      </c>
      <c r="FO208" s="58">
        <f>IF(i_eff_inputs_based_on_num=2,EQ208,(INDEX(Lists!$L$51:$L$85,MATCH(P208,Lists!$K$51:$K$85,0))))</f>
        <v>2</v>
      </c>
      <c r="FP208" s="58">
        <f>IF(i_eff_inputs_based_on_num=2,ER208,(INDEX(Lists!$L$51:$L$85,MATCH(Q208,Lists!$K$51:$K$85,0))))</f>
        <v>4</v>
      </c>
      <c r="FT208" s="58">
        <f t="shared" si="368"/>
        <v>0</v>
      </c>
      <c r="FW208" s="58">
        <f>IF(i_baseline_risk_from=2,'Effectiveness settings'!EW208,'Effectiveness settings'!FI208)</f>
        <v>0</v>
      </c>
      <c r="FX208" s="58">
        <f t="shared" si="369"/>
        <v>0</v>
      </c>
      <c r="FY208" s="58">
        <f t="shared" si="370"/>
        <v>0</v>
      </c>
      <c r="FZ208" s="58">
        <f t="shared" si="371"/>
        <v>0</v>
      </c>
      <c r="GA208" s="58">
        <f t="shared" si="372"/>
        <v>0</v>
      </c>
      <c r="GB208" s="58">
        <f t="shared" si="373"/>
        <v>0</v>
      </c>
      <c r="GC208" s="58">
        <f t="shared" si="374"/>
        <v>0</v>
      </c>
      <c r="GD208" s="58">
        <f t="shared" si="375"/>
        <v>0</v>
      </c>
      <c r="GE208" s="58">
        <f>IF(AND(dd_CheckMate214_TTD="Yes",'Effectiveness settings'!BU208=2,'Effectiveness settings'!BX208=2),"Apply HR to",GD208)</f>
        <v>0</v>
      </c>
      <c r="GF208" s="58">
        <f t="shared" si="376"/>
        <v>0</v>
      </c>
      <c r="GG208" s="58">
        <f t="shared" si="377"/>
        <v>0</v>
      </c>
      <c r="GH208" s="58">
        <f t="shared" si="378"/>
        <v>0</v>
      </c>
      <c r="GI208" s="58">
        <f t="shared" si="359"/>
        <v>0</v>
      </c>
      <c r="GK208" s="58">
        <f>IF(i_baseline_risk_from=2,'Effectiveness settings'!FA208,'Effectiveness settings'!FM208)</f>
        <v>4</v>
      </c>
      <c r="GL208" s="58">
        <f>IF(i_baseline_risk_from=2,'Effectiveness settings'!FB208,'Effectiveness settings'!FN208)</f>
        <v>999</v>
      </c>
      <c r="GM208" s="58">
        <f>IF(i_baseline_risk_from=2,'Effectiveness settings'!FC208,'Effectiveness settings'!FO208)</f>
        <v>2</v>
      </c>
      <c r="GN208" s="58">
        <f>IF(i_baseline_risk_from=2,'Effectiveness settings'!FD208,'Effectiveness settings'!FP208)</f>
        <v>4</v>
      </c>
      <c r="GQ208" s="58">
        <f t="shared" si="379"/>
        <v>999</v>
      </c>
      <c r="GR208" s="58">
        <f t="shared" si="380"/>
        <v>999</v>
      </c>
      <c r="GS208" s="58">
        <f t="shared" si="381"/>
        <v>999</v>
      </c>
      <c r="GT208" s="58">
        <f t="shared" si="382"/>
        <v>999</v>
      </c>
      <c r="GU208" s="58">
        <f>IF(AND(dd_CheckMate214_TTD="Yes",'Effectiveness settings'!BU208=2,'Effectiveness settings'!BX208=2),2,GT208)</f>
        <v>999</v>
      </c>
      <c r="GV208" s="58">
        <f t="shared" si="383"/>
        <v>999</v>
      </c>
      <c r="GW208" s="58">
        <f t="shared" si="384"/>
        <v>999</v>
      </c>
      <c r="GY208" s="58">
        <f>IF(AND(dd_CheckMate214_TTD="Yes",'Effectiveness settings'!BU208=2,'Effectiveness settings'!BX208=2),1,GN208)</f>
        <v>4</v>
      </c>
      <c r="GZ208" s="58">
        <f t="shared" si="385"/>
        <v>4</v>
      </c>
      <c r="HB208" s="58">
        <f t="shared" si="386"/>
        <v>2</v>
      </c>
      <c r="HD208" s="58">
        <f t="shared" si="360"/>
        <v>2</v>
      </c>
      <c r="HE208" s="58">
        <f t="shared" si="361"/>
        <v>4</v>
      </c>
      <c r="HF208" s="58">
        <f t="shared" si="362"/>
        <v>999</v>
      </c>
      <c r="HG208" s="58">
        <f t="shared" si="363"/>
        <v>2</v>
      </c>
      <c r="HH208" s="58">
        <f t="shared" si="364"/>
        <v>4</v>
      </c>
    </row>
    <row r="209" spans="9:216" ht="15.75" x14ac:dyDescent="0.25">
      <c r="I209" s="67"/>
      <c r="J209" s="520"/>
      <c r="K209" s="525"/>
      <c r="L209" s="517"/>
      <c r="Q209" s="520"/>
      <c r="Y209" s="517"/>
      <c r="AA209" s="517"/>
      <c r="AF209" s="517"/>
      <c r="AM209" s="517"/>
      <c r="AO209" s="517"/>
      <c r="AT209" s="517"/>
      <c r="AV209" s="511"/>
      <c r="AW209" s="511"/>
      <c r="AX209" s="511"/>
      <c r="BA209" s="517"/>
      <c r="BC209" s="517"/>
      <c r="BH209" s="517"/>
      <c r="BJ209" s="511"/>
      <c r="BK209" s="511"/>
      <c r="BL209" s="511"/>
      <c r="BQ209" s="58">
        <f t="shared" si="366"/>
        <v>140</v>
      </c>
      <c r="BR209" s="17"/>
      <c r="BS209" s="17"/>
      <c r="BT209" s="17"/>
      <c r="BU209" s="61"/>
      <c r="BV209" s="17"/>
      <c r="BW209" s="17"/>
      <c r="BX209" s="61"/>
      <c r="BY209" s="531"/>
      <c r="BZ209" s="530"/>
      <c r="CA209" s="531"/>
      <c r="CB209" s="530"/>
      <c r="CC209" s="530"/>
      <c r="CD209" s="530"/>
      <c r="CE209" s="1295"/>
      <c r="CF209" s="1301"/>
      <c r="CG209" s="530"/>
      <c r="CH209" s="61"/>
      <c r="CI209" s="61"/>
      <c r="CJ209" s="61"/>
      <c r="DA209" s="1024"/>
      <c r="DB209" s="1024"/>
      <c r="DC209" s="1024"/>
      <c r="DD209" s="1024"/>
      <c r="DE209" s="1024"/>
      <c r="DF209" s="1024"/>
      <c r="DG209" s="1024"/>
      <c r="DK209" s="58" t="str" cm="1">
        <f t="array" ref="DK209">IF(AND($BT209=4,$BX209=4,$BU209=999),$DB$36,_xlfn.IFNA(INDEX(DB$13:DB$70,MATCH(1,($BR209=$CV$13:$CV$70)*($BT209=$CX$13:$CX$70)*($CE209=$CY$13:$CY$70)*($BY209=$DA$13:$DA$70)*($CD209=$DH$13:$DH$70),0)),""))</f>
        <v/>
      </c>
      <c r="DL209" s="58" t="str" cm="1">
        <f t="array" ref="DL209">IF(AND($BT209=4,$BX209=4,$BU209=999),$DC$36,_xlfn.IFNA(INDEX(CHOOSE(DP209,DB$13:DB$70,DC$13:DC$70,DD$13:DD$70,DE$13:DE$70),MATCH(1,($BR209=$CV$13:$CV$70)*($BT209=$CX$13:$CX$70)*($CE209=$CY$13:$CY$70)*($BY209=$DA$13:$DA$70)*($CD209=$DH$13:$DH$70),0)),""))</f>
        <v/>
      </c>
      <c r="DM209" s="740" t="str" cm="1">
        <f t="array" ref="DM209">IF(AND($BT209=4,$BX209=4,$BU209=999),$DD$36,_xlfn.IFNA(INDEX(DD$13:DD$68,MATCH(1,($BR209=$CV$13:$CV$68)*($BT209=$CX$13:$CX$68)*($CE209=$CY$13:$CY$68)*($BY209=$DA$13:$DA$68)*($CD209=$DH$13:$DH$68),0)),""))</f>
        <v/>
      </c>
      <c r="DN209" s="740" t="str" cm="1">
        <f t="array" ref="DN209">IF(AND($BT209=4,$BX209=4,$BU209=999),$DD$36,_xlfn.IFNA(INDEX(DE$13:DE$68,MATCH(1,($BR209=$CV$13:$CV$68)*($BT209=$CX$13:$CX$68)*($CE209=$CY$13:$CY$68)*($BY209=$DA$13:$DA$68)*($CD209=$DH$13:$DH$68),0)),""))</f>
        <v/>
      </c>
      <c r="DO209" s="58" t="str" cm="1">
        <f t="array" ref="DO209">IF(AND($BT209=4,$BX209=4,$BU209=999),$DF$36,_xlfn.IFNA(INDEX(DF$13:DF$70,MATCH(1,($BR209=$CV$13:$CV$70)*($BT209=$CX$13:$CX$70)*($CE209=$CY$13:$CY$70)*($BY209=$DA$13:$DA$70)*($CD209=$DH$13:$DH$70),0)),""))</f>
        <v/>
      </c>
      <c r="DP209" s="58" t="e">
        <f t="shared" si="367"/>
        <v>#N/A</v>
      </c>
      <c r="FT209" s="58">
        <f t="shared" si="368"/>
        <v>0</v>
      </c>
      <c r="FW209" s="58">
        <f>IF(i_baseline_risk_from=2,'Effectiveness settings'!EW209,'Effectiveness settings'!FI209)</f>
        <v>0</v>
      </c>
      <c r="FX209" s="58">
        <f t="shared" si="369"/>
        <v>0</v>
      </c>
      <c r="FY209" s="58">
        <f t="shared" si="370"/>
        <v>0</v>
      </c>
      <c r="FZ209" s="58">
        <f t="shared" si="371"/>
        <v>0</v>
      </c>
      <c r="GA209" s="58">
        <f t="shared" si="372"/>
        <v>0</v>
      </c>
      <c r="GB209" s="58">
        <f t="shared" si="373"/>
        <v>0</v>
      </c>
      <c r="GC209" s="58">
        <f t="shared" si="374"/>
        <v>0</v>
      </c>
      <c r="GD209" s="58">
        <f t="shared" si="375"/>
        <v>0</v>
      </c>
      <c r="GE209" s="58">
        <f>IF(AND(dd_CheckMate214_TTD="Yes",'Effectiveness settings'!BU209=2,'Effectiveness settings'!BX209=2),"Apply HR to",GD209)</f>
        <v>0</v>
      </c>
      <c r="GF209" s="58">
        <f t="shared" si="376"/>
        <v>0</v>
      </c>
      <c r="GG209" s="58">
        <f t="shared" si="377"/>
        <v>0</v>
      </c>
      <c r="GH209" s="58">
        <f t="shared" si="378"/>
        <v>0</v>
      </c>
      <c r="GI209" s="58">
        <f t="shared" si="359"/>
        <v>0</v>
      </c>
      <c r="GK209" s="58">
        <f>IF(i_baseline_risk_from=2,'Effectiveness settings'!FA209,'Effectiveness settings'!FM209)</f>
        <v>0</v>
      </c>
      <c r="GL209" s="58">
        <f>IF(i_baseline_risk_from=2,'Effectiveness settings'!FB209,'Effectiveness settings'!FN209)</f>
        <v>0</v>
      </c>
      <c r="GM209" s="58">
        <f>IF(i_baseline_risk_from=2,'Effectiveness settings'!FC209,'Effectiveness settings'!FO209)</f>
        <v>0</v>
      </c>
      <c r="GN209" s="58">
        <f>IF(i_baseline_risk_from=2,'Effectiveness settings'!FD209,'Effectiveness settings'!FP209)</f>
        <v>0</v>
      </c>
      <c r="GQ209" s="58">
        <f t="shared" si="379"/>
        <v>0</v>
      </c>
      <c r="GR209" s="58">
        <f t="shared" si="380"/>
        <v>0</v>
      </c>
      <c r="GS209" s="58">
        <f t="shared" si="381"/>
        <v>0</v>
      </c>
      <c r="GT209" s="58">
        <f t="shared" si="382"/>
        <v>0</v>
      </c>
      <c r="GU209" s="58">
        <f>IF(AND(dd_CheckMate214_TTD="Yes",'Effectiveness settings'!BU209=2,'Effectiveness settings'!BX209=2),2,GT209)</f>
        <v>0</v>
      </c>
      <c r="GV209" s="58">
        <f t="shared" si="383"/>
        <v>0</v>
      </c>
      <c r="GW209" s="58">
        <f t="shared" si="384"/>
        <v>0</v>
      </c>
      <c r="GY209" s="58">
        <f>IF(AND(dd_CheckMate214_TTD="Yes",'Effectiveness settings'!BU209=2,'Effectiveness settings'!BX209=2),1,GN209)</f>
        <v>0</v>
      </c>
      <c r="GZ209" s="58">
        <f t="shared" si="385"/>
        <v>0</v>
      </c>
      <c r="HB209" s="58">
        <f t="shared" si="386"/>
        <v>0</v>
      </c>
      <c r="HD209" s="58">
        <f t="shared" si="360"/>
        <v>0</v>
      </c>
      <c r="HE209" s="58">
        <f t="shared" si="361"/>
        <v>0</v>
      </c>
      <c r="HF209" s="58">
        <f t="shared" si="362"/>
        <v>0</v>
      </c>
      <c r="HG209" s="58">
        <f t="shared" si="363"/>
        <v>0</v>
      </c>
      <c r="HH209" s="58">
        <f t="shared" si="364"/>
        <v>0</v>
      </c>
    </row>
    <row r="210" spans="9:216" ht="15.75" hidden="1" x14ac:dyDescent="0.25">
      <c r="I210" s="64"/>
      <c r="J210" s="519"/>
      <c r="K210" s="524"/>
      <c r="L210" s="519"/>
      <c r="M210" s="516"/>
      <c r="N210" s="64"/>
      <c r="O210" s="64"/>
      <c r="P210" s="64"/>
      <c r="Q210" s="519"/>
      <c r="R210" s="516"/>
      <c r="S210" s="497"/>
      <c r="T210" s="497"/>
      <c r="U210" s="497"/>
      <c r="Y210" s="517"/>
      <c r="AA210" s="517"/>
      <c r="AF210" s="517"/>
      <c r="AM210" s="517"/>
      <c r="AO210" s="517"/>
      <c r="AT210" s="517"/>
      <c r="AV210" s="511"/>
      <c r="AW210" s="511"/>
      <c r="AX210" s="511"/>
      <c r="BA210" s="517"/>
      <c r="BC210" s="517"/>
      <c r="BH210" s="517"/>
      <c r="BJ210" s="511"/>
      <c r="BK210" s="511"/>
      <c r="BL210" s="511"/>
      <c r="BQ210" s="58">
        <f t="shared" si="366"/>
        <v>140</v>
      </c>
      <c r="BR210" s="17"/>
      <c r="BS210" s="17"/>
      <c r="BT210" s="17"/>
      <c r="BU210" s="17"/>
      <c r="BV210" s="17"/>
      <c r="BW210" s="17"/>
      <c r="BX210" s="61"/>
      <c r="BY210" s="531"/>
      <c r="BZ210" s="530"/>
      <c r="CA210" s="531"/>
      <c r="CB210" s="530"/>
      <c r="CC210" s="530"/>
      <c r="CD210" s="530"/>
      <c r="CE210" s="1295"/>
      <c r="CF210" s="1301"/>
      <c r="CG210" s="530"/>
      <c r="CH210" s="61"/>
      <c r="CI210" s="61"/>
      <c r="CJ210" s="61"/>
      <c r="CV210" s="940">
        <v>0</v>
      </c>
      <c r="CW210" s="940" t="s">
        <v>31</v>
      </c>
      <c r="CX210" s="940">
        <v>3</v>
      </c>
      <c r="CY210" s="940">
        <v>1</v>
      </c>
      <c r="CZ210" s="940" t="str" cm="1">
        <f t="array" ref="CZ210">INDEX(List_trials,CY210+1)</f>
        <v>CheckMate 025</v>
      </c>
      <c r="DA210" s="1025" t="s">
        <v>554</v>
      </c>
      <c r="DB210" s="1025" t="s">
        <v>563</v>
      </c>
      <c r="DC210" s="1025" t="s">
        <v>563</v>
      </c>
      <c r="DD210" s="1025"/>
      <c r="DE210" s="1025"/>
      <c r="DF210" s="1025"/>
      <c r="DG210" s="1025" t="s">
        <v>119</v>
      </c>
      <c r="DH210" s="58">
        <f t="shared" ref="DH210:DH245" si="387">IF(MATCH(DG210,List_comparators,0)-1=13,999,MATCH(DG210,List_comparators,0)-1)</f>
        <v>10</v>
      </c>
      <c r="DK210" s="58" t="str" cm="1">
        <f t="array" ref="DK210">IF(AND($BT210=4,$BX210=4,$BU210=999),$DB$36,_xlfn.IFNA(INDEX(DB$13:DB$70,MATCH(1,($BR210=$CV$13:$CV$70)*($BT210=$CX$13:$CX$70)*($CE210=$CY$13:$CY$70)*($BY210=$DA$13:$DA$70)*($CD210=$DH$13:$DH$70),0)),""))</f>
        <v/>
      </c>
      <c r="DL210" s="58" t="str" cm="1">
        <f t="array" ref="DL210">IF(AND($BT210=4,$BX210=4,$BU210=999),$DC$36,_xlfn.IFNA(INDEX(CHOOSE(DP210,DB$13:DB$70,DC$13:DC$70,DD$13:DD$70,DE$13:DE$70),MATCH(1,($BR210=$CV$13:$CV$70)*($BT210=$CX$13:$CX$70)*($CE210=$CY$13:$CY$70)*($BY210=$DA$13:$DA$70)*($CD210=$DH$13:$DH$70),0)),""))</f>
        <v/>
      </c>
      <c r="DM210" s="740" t="str" cm="1">
        <f t="array" ref="DM210">IF(AND($BT210=4,$BX210=4,$BU210=999),$DD$36,_xlfn.IFNA(INDEX(DD$13:DD$68,MATCH(1,($BR210=$CV$13:$CV$68)*($BT210=$CX$13:$CX$68)*($CE210=$CY$13:$CY$68)*($BY210=$DA$13:$DA$68)*($CD210=$DH$13:$DH$68),0)),""))</f>
        <v/>
      </c>
      <c r="DN210" s="740" t="str" cm="1">
        <f t="array" ref="DN210">IF(AND($BT210=4,$BX210=4,$BU210=999),$DD$36,_xlfn.IFNA(INDEX(DE$13:DE$68,MATCH(1,($BR210=$CV$13:$CV$68)*($BT210=$CX$13:$CX$68)*($CE210=$CY$13:$CY$68)*($BY210=$DA$13:$DA$68)*($CD210=$DH$13:$DH$68),0)),""))</f>
        <v/>
      </c>
      <c r="DO210" s="58" t="str" cm="1">
        <f t="array" ref="DO210">IF(AND($BT210=4,$BX210=4,$BU210=999),$DF$36,_xlfn.IFNA(INDEX(DF$13:DF$70,MATCH(1,($BR210=$CV$13:$CV$70)*($BT210=$CX$13:$CX$70)*($CE210=$CY$13:$CY$70)*($BY210=$DA$13:$DA$70)*($CD210=$DH$13:$DH$70),0)),""))</f>
        <v/>
      </c>
      <c r="DP210" s="58" t="e">
        <f t="shared" si="367"/>
        <v>#N/A</v>
      </c>
      <c r="FT210" s="58">
        <f t="shared" si="368"/>
        <v>0</v>
      </c>
      <c r="FW210" s="58">
        <f>IF(i_baseline_risk_from=2,'Effectiveness settings'!EW210,'Effectiveness settings'!FI210)</f>
        <v>0</v>
      </c>
      <c r="FX210" s="58">
        <f t="shared" si="369"/>
        <v>0</v>
      </c>
      <c r="FY210" s="58">
        <f t="shared" si="370"/>
        <v>0</v>
      </c>
      <c r="FZ210" s="58">
        <f t="shared" si="371"/>
        <v>0</v>
      </c>
      <c r="GA210" s="58">
        <f t="shared" si="372"/>
        <v>0</v>
      </c>
      <c r="GB210" s="58">
        <f t="shared" si="373"/>
        <v>0</v>
      </c>
      <c r="GC210" s="58">
        <f t="shared" si="374"/>
        <v>0</v>
      </c>
      <c r="GD210" s="58">
        <f t="shared" si="375"/>
        <v>0</v>
      </c>
      <c r="GE210" s="58">
        <f>IF(AND(dd_CheckMate214_TTD="Yes",'Effectiveness settings'!BU210=2,'Effectiveness settings'!BX210=2),"Apply HR to",GD210)</f>
        <v>0</v>
      </c>
      <c r="GF210" s="58">
        <f t="shared" si="376"/>
        <v>0</v>
      </c>
      <c r="GG210" s="58">
        <f t="shared" si="377"/>
        <v>0</v>
      </c>
      <c r="GH210" s="58">
        <f t="shared" si="378"/>
        <v>0</v>
      </c>
      <c r="GI210" s="58">
        <f t="shared" si="359"/>
        <v>0</v>
      </c>
      <c r="GK210" s="58">
        <f>IF(i_baseline_risk_from=2,'Effectiveness settings'!FA210,'Effectiveness settings'!FM210)</f>
        <v>0</v>
      </c>
      <c r="GL210" s="58">
        <f>IF(i_baseline_risk_from=2,'Effectiveness settings'!FB210,'Effectiveness settings'!FN210)</f>
        <v>0</v>
      </c>
      <c r="GM210" s="58">
        <f>IF(i_baseline_risk_from=2,'Effectiveness settings'!FC210,'Effectiveness settings'!FO210)</f>
        <v>0</v>
      </c>
      <c r="GN210" s="58">
        <f>IF(i_baseline_risk_from=2,'Effectiveness settings'!FD210,'Effectiveness settings'!FP210)</f>
        <v>0</v>
      </c>
      <c r="GQ210" s="58">
        <f t="shared" si="379"/>
        <v>0</v>
      </c>
      <c r="GR210" s="58">
        <f t="shared" si="380"/>
        <v>0</v>
      </c>
      <c r="GS210" s="58">
        <f t="shared" si="381"/>
        <v>0</v>
      </c>
      <c r="GT210" s="58">
        <f t="shared" si="382"/>
        <v>0</v>
      </c>
      <c r="GU210" s="58">
        <f>IF(AND(dd_CheckMate214_TTD="Yes",'Effectiveness settings'!BU210=2,'Effectiveness settings'!BX210=2),2,GT210)</f>
        <v>0</v>
      </c>
      <c r="GV210" s="58">
        <f t="shared" si="383"/>
        <v>0</v>
      </c>
      <c r="GW210" s="58">
        <f t="shared" si="384"/>
        <v>0</v>
      </c>
      <c r="GY210" s="58">
        <f>IF(AND(dd_CheckMate214_TTD="Yes",'Effectiveness settings'!BU210=2,'Effectiveness settings'!BX210=2),1,GN210)</f>
        <v>0</v>
      </c>
      <c r="GZ210" s="58">
        <f t="shared" si="385"/>
        <v>0</v>
      </c>
      <c r="HB210" s="58">
        <f t="shared" si="386"/>
        <v>0</v>
      </c>
      <c r="HD210" s="58">
        <f t="shared" si="360"/>
        <v>0</v>
      </c>
      <c r="HE210" s="58">
        <f t="shared" si="361"/>
        <v>0</v>
      </c>
      <c r="HF210" s="58">
        <f t="shared" si="362"/>
        <v>0</v>
      </c>
      <c r="HG210" s="58">
        <f t="shared" si="363"/>
        <v>0</v>
      </c>
      <c r="HH210" s="58">
        <f t="shared" si="364"/>
        <v>0</v>
      </c>
    </row>
    <row r="211" spans="9:216" ht="15.75" hidden="1" x14ac:dyDescent="0.25">
      <c r="I211" s="64"/>
      <c r="J211" s="519"/>
      <c r="K211" s="524"/>
      <c r="L211" s="519"/>
      <c r="M211" s="516"/>
      <c r="N211" s="64"/>
      <c r="O211" s="64"/>
      <c r="P211" s="64"/>
      <c r="Q211" s="519"/>
      <c r="R211" s="516"/>
      <c r="S211" s="497"/>
      <c r="T211" s="497"/>
      <c r="U211" s="497"/>
      <c r="Y211" s="517"/>
      <c r="AA211" s="517"/>
      <c r="AF211" s="517"/>
      <c r="AM211" s="517"/>
      <c r="AO211" s="517"/>
      <c r="AT211" s="517"/>
      <c r="AV211" s="511"/>
      <c r="AW211" s="511"/>
      <c r="AX211" s="511"/>
      <c r="BA211" s="517"/>
      <c r="BC211" s="517"/>
      <c r="BH211" s="517"/>
      <c r="BJ211" s="511"/>
      <c r="BK211" s="511"/>
      <c r="BL211" s="511"/>
      <c r="BQ211" s="58">
        <f t="shared" si="366"/>
        <v>140</v>
      </c>
      <c r="BR211" s="17"/>
      <c r="BS211" s="17"/>
      <c r="BT211" s="17"/>
      <c r="BU211" s="17"/>
      <c r="BV211" s="17"/>
      <c r="BW211" s="17"/>
      <c r="BX211" s="61"/>
      <c r="BY211" s="531"/>
      <c r="BZ211" s="530"/>
      <c r="CA211" s="531"/>
      <c r="CB211" s="530"/>
      <c r="CC211" s="530"/>
      <c r="CD211" s="530"/>
      <c r="CE211" s="1295"/>
      <c r="CF211" s="1301"/>
      <c r="CG211" s="530"/>
      <c r="CH211" s="61"/>
      <c r="CI211" s="61"/>
      <c r="CJ211" s="61"/>
      <c r="CV211" s="940">
        <v>0</v>
      </c>
      <c r="CW211" s="940" t="s">
        <v>31</v>
      </c>
      <c r="CX211" s="940">
        <v>3</v>
      </c>
      <c r="CY211" s="940">
        <v>1</v>
      </c>
      <c r="CZ211" s="940" t="str" cm="1">
        <f t="array" ref="CZ211">INDEX(List_trials,CY211+1)</f>
        <v>CheckMate 025</v>
      </c>
      <c r="DA211" s="1025" t="s">
        <v>555</v>
      </c>
      <c r="DB211" s="1025" t="s">
        <v>563</v>
      </c>
      <c r="DC211" s="1025" t="s">
        <v>563</v>
      </c>
      <c r="DD211" s="1025"/>
      <c r="DE211" s="1025"/>
      <c r="DF211" s="1025"/>
      <c r="DG211" s="1025" t="s">
        <v>119</v>
      </c>
      <c r="DH211" s="58">
        <f t="shared" si="387"/>
        <v>10</v>
      </c>
      <c r="DK211" s="58" t="str" cm="1">
        <f t="array" ref="DK211">IF(AND($BT211=4,$BX211=4,$BU211=999),$DB$36,_xlfn.IFNA(INDEX(DB$13:DB$70,MATCH(1,($BR211=$CV$13:$CV$70)*($BT211=$CX$13:$CX$70)*($CE211=$CY$13:$CY$70)*($BY211=$DA$13:$DA$70)*($CD211=$DH$13:$DH$70),0)),""))</f>
        <v/>
      </c>
      <c r="DL211" s="58" t="str" cm="1">
        <f t="array" ref="DL211">IF(AND($BT211=4,$BX211=4,$BU211=999),$DC$36,_xlfn.IFNA(INDEX(CHOOSE(DP211,DB$13:DB$70,DC$13:DC$70,DD$13:DD$70,DE$13:DE$70),MATCH(1,($BR211=$CV$13:$CV$70)*($BT211=$CX$13:$CX$70)*($CE211=$CY$13:$CY$70)*($BY211=$DA$13:$DA$70)*($CD211=$DH$13:$DH$70),0)),""))</f>
        <v/>
      </c>
      <c r="DM211" s="740" t="str" cm="1">
        <f t="array" ref="DM211">IF(AND($BT211=4,$BX211=4,$BU211=999),$DD$36,_xlfn.IFNA(INDEX(DD$13:DD$68,MATCH(1,($BR211=$CV$13:$CV$68)*($BT211=$CX$13:$CX$68)*($CE211=$CY$13:$CY$68)*($BY211=$DA$13:$DA$68)*($CD211=$DH$13:$DH$68),0)),""))</f>
        <v/>
      </c>
      <c r="DN211" s="740" t="str" cm="1">
        <f t="array" ref="DN211">IF(AND($BT211=4,$BX211=4,$BU211=999),$DD$36,_xlfn.IFNA(INDEX(DE$13:DE$68,MATCH(1,($BR211=$CV$13:$CV$68)*($BT211=$CX$13:$CX$68)*($CE211=$CY$13:$CY$68)*($BY211=$DA$13:$DA$68)*($CD211=$DH$13:$DH$68),0)),""))</f>
        <v/>
      </c>
      <c r="DO211" s="58" t="str" cm="1">
        <f t="array" ref="DO211">IF(AND($BT211=4,$BX211=4,$BU211=999),$DF$36,_xlfn.IFNA(INDEX(DF$13:DF$70,MATCH(1,($BR211=$CV$13:$CV$70)*($BT211=$CX$13:$CX$70)*($CE211=$CY$13:$CY$70)*($BY211=$DA$13:$DA$70)*($CD211=$DH$13:$DH$70),0)),""))</f>
        <v/>
      </c>
      <c r="DP211" s="58" t="e">
        <f t="shared" si="367"/>
        <v>#N/A</v>
      </c>
      <c r="FT211" s="58">
        <f t="shared" si="368"/>
        <v>0</v>
      </c>
      <c r="FW211" s="58">
        <f>IF(i_baseline_risk_from=2,'Effectiveness settings'!EW211,'Effectiveness settings'!FI211)</f>
        <v>0</v>
      </c>
      <c r="FX211" s="58">
        <f t="shared" si="369"/>
        <v>0</v>
      </c>
      <c r="FY211" s="58">
        <f t="shared" si="370"/>
        <v>0</v>
      </c>
      <c r="FZ211" s="58">
        <f t="shared" si="371"/>
        <v>0</v>
      </c>
      <c r="GA211" s="58">
        <f t="shared" si="372"/>
        <v>0</v>
      </c>
      <c r="GB211" s="58">
        <f t="shared" si="373"/>
        <v>0</v>
      </c>
      <c r="GC211" s="58">
        <f t="shared" si="374"/>
        <v>0</v>
      </c>
      <c r="GD211" s="58">
        <f t="shared" si="375"/>
        <v>0</v>
      </c>
      <c r="GE211" s="58">
        <f>IF(AND(dd_CheckMate214_TTD="Yes",'Effectiveness settings'!BU211=2,'Effectiveness settings'!BX211=2),"Apply HR to",GD211)</f>
        <v>0</v>
      </c>
      <c r="GF211" s="58">
        <f t="shared" si="376"/>
        <v>0</v>
      </c>
      <c r="GG211" s="58">
        <f t="shared" si="377"/>
        <v>0</v>
      </c>
      <c r="GH211" s="58">
        <f t="shared" si="378"/>
        <v>0</v>
      </c>
      <c r="GI211" s="58">
        <f t="shared" si="359"/>
        <v>0</v>
      </c>
      <c r="GK211" s="58">
        <f>IF(i_baseline_risk_from=2,'Effectiveness settings'!FA211,'Effectiveness settings'!FM211)</f>
        <v>0</v>
      </c>
      <c r="GL211" s="58">
        <f>IF(i_baseline_risk_from=2,'Effectiveness settings'!FB211,'Effectiveness settings'!FN211)</f>
        <v>0</v>
      </c>
      <c r="GM211" s="58">
        <f>IF(i_baseline_risk_from=2,'Effectiveness settings'!FC211,'Effectiveness settings'!FO211)</f>
        <v>0</v>
      </c>
      <c r="GN211" s="58">
        <f>IF(i_baseline_risk_from=2,'Effectiveness settings'!FD211,'Effectiveness settings'!FP211)</f>
        <v>0</v>
      </c>
      <c r="GQ211" s="58">
        <f t="shared" si="379"/>
        <v>0</v>
      </c>
      <c r="GR211" s="58">
        <f t="shared" si="380"/>
        <v>0</v>
      </c>
      <c r="GS211" s="58">
        <f t="shared" si="381"/>
        <v>0</v>
      </c>
      <c r="GT211" s="58">
        <f t="shared" si="382"/>
        <v>0</v>
      </c>
      <c r="GU211" s="58">
        <f>IF(AND(dd_CheckMate214_TTD="Yes",'Effectiveness settings'!BU211=2,'Effectiveness settings'!BX211=2),2,GT211)</f>
        <v>0</v>
      </c>
      <c r="GV211" s="58">
        <f t="shared" si="383"/>
        <v>0</v>
      </c>
      <c r="GW211" s="58">
        <f t="shared" si="384"/>
        <v>0</v>
      </c>
      <c r="GY211" s="58">
        <f>IF(AND(dd_CheckMate214_TTD="Yes",'Effectiveness settings'!BU211=2,'Effectiveness settings'!BX211=2),1,GN211)</f>
        <v>0</v>
      </c>
      <c r="GZ211" s="58">
        <f t="shared" si="385"/>
        <v>0</v>
      </c>
      <c r="HB211" s="58">
        <f t="shared" si="386"/>
        <v>0</v>
      </c>
      <c r="HD211" s="58">
        <f t="shared" si="360"/>
        <v>0</v>
      </c>
      <c r="HE211" s="58">
        <f t="shared" si="361"/>
        <v>0</v>
      </c>
      <c r="HF211" s="58">
        <f t="shared" si="362"/>
        <v>0</v>
      </c>
      <c r="HG211" s="58">
        <f t="shared" si="363"/>
        <v>0</v>
      </c>
      <c r="HH211" s="58">
        <f t="shared" si="364"/>
        <v>0</v>
      </c>
    </row>
    <row r="212" spans="9:216" ht="15.75" hidden="1" x14ac:dyDescent="0.25">
      <c r="I212" s="64"/>
      <c r="J212" s="519"/>
      <c r="K212" s="524"/>
      <c r="L212" s="519"/>
      <c r="M212" s="516"/>
      <c r="N212" s="64"/>
      <c r="O212" s="64"/>
      <c r="P212" s="64"/>
      <c r="Q212" s="519"/>
      <c r="R212" s="516"/>
      <c r="S212" s="497"/>
      <c r="T212" s="497"/>
      <c r="U212" s="497"/>
      <c r="Y212" s="517"/>
      <c r="AA212" s="517"/>
      <c r="AF212" s="517"/>
      <c r="AM212" s="517"/>
      <c r="AO212" s="517"/>
      <c r="AT212" s="517"/>
      <c r="AV212" s="511"/>
      <c r="AW212" s="511"/>
      <c r="AX212" s="511"/>
      <c r="BA212" s="517"/>
      <c r="BC212" s="517"/>
      <c r="BH212" s="517"/>
      <c r="BJ212" s="511"/>
      <c r="BK212" s="511"/>
      <c r="BL212" s="511"/>
      <c r="BQ212" s="58">
        <f t="shared" si="366"/>
        <v>140</v>
      </c>
      <c r="BR212" s="17"/>
      <c r="BS212" s="17"/>
      <c r="BT212" s="17"/>
      <c r="BU212" s="17"/>
      <c r="BV212" s="17"/>
      <c r="BW212" s="17"/>
      <c r="BX212" s="61"/>
      <c r="BY212" s="531"/>
      <c r="BZ212" s="530"/>
      <c r="CA212" s="531"/>
      <c r="CB212" s="530"/>
      <c r="CC212" s="530"/>
      <c r="CD212" s="530"/>
      <c r="CE212" s="1295"/>
      <c r="CF212" s="1301"/>
      <c r="CG212" s="530"/>
      <c r="CH212" s="61"/>
      <c r="CI212" s="61"/>
      <c r="CJ212" s="61"/>
      <c r="CV212" s="940">
        <v>0</v>
      </c>
      <c r="CW212" s="940" t="s">
        <v>31</v>
      </c>
      <c r="CX212" s="940">
        <v>3</v>
      </c>
      <c r="CY212" s="940">
        <v>1</v>
      </c>
      <c r="CZ212" s="940" t="str" cm="1">
        <f t="array" ref="CZ212">INDEX(List_trials,CY212+1)</f>
        <v>CheckMate 025</v>
      </c>
      <c r="DA212" s="1025" t="s">
        <v>557</v>
      </c>
      <c r="DB212" s="1025" t="s">
        <v>563</v>
      </c>
      <c r="DC212" s="1025" t="s">
        <v>563</v>
      </c>
      <c r="DD212" s="1025"/>
      <c r="DE212" s="1025"/>
      <c r="DF212" s="1025"/>
      <c r="DG212" s="1025" t="s">
        <v>119</v>
      </c>
      <c r="DH212" s="58">
        <f t="shared" si="387"/>
        <v>10</v>
      </c>
      <c r="DK212" s="58" t="str" cm="1">
        <f t="array" ref="DK212">IF(AND($BT212=4,$BX212=4,$BU212=999),$DB$36,_xlfn.IFNA(INDEX(DB$13:DB$70,MATCH(1,($BR212=$CV$13:$CV$70)*($BT212=$CX$13:$CX$70)*($CE212=$CY$13:$CY$70)*($BY212=$DA$13:$DA$70)*($CD212=$DH$13:$DH$70),0)),""))</f>
        <v/>
      </c>
      <c r="DL212" s="58" t="str" cm="1">
        <f t="array" ref="DL212">IF(AND($BT212=4,$BX212=4,$BU212=999),$DC$36,_xlfn.IFNA(INDEX(CHOOSE(DP212,DB$13:DB$70,DC$13:DC$70,DD$13:DD$70,DE$13:DE$70),MATCH(1,($BR212=$CV$13:$CV$70)*($BT212=$CX$13:$CX$70)*($CE212=$CY$13:$CY$70)*($BY212=$DA$13:$DA$70)*($CD212=$DH$13:$DH$70),0)),""))</f>
        <v/>
      </c>
      <c r="DM212" s="740" t="str" cm="1">
        <f t="array" ref="DM212">IF(AND($BT212=4,$BX212=4,$BU212=999),$DD$36,_xlfn.IFNA(INDEX(DD$13:DD$68,MATCH(1,($BR212=$CV$13:$CV$68)*($BT212=$CX$13:$CX$68)*($CE212=$CY$13:$CY$68)*($BY212=$DA$13:$DA$68)*($CD212=$DH$13:$DH$68),0)),""))</f>
        <v/>
      </c>
      <c r="DN212" s="740" t="str" cm="1">
        <f t="array" ref="DN212">IF(AND($BT212=4,$BX212=4,$BU212=999),$DD$36,_xlfn.IFNA(INDEX(DE$13:DE$68,MATCH(1,($BR212=$CV$13:$CV$68)*($BT212=$CX$13:$CX$68)*($CE212=$CY$13:$CY$68)*($BY212=$DA$13:$DA$68)*($CD212=$DH$13:$DH$68),0)),""))</f>
        <v/>
      </c>
      <c r="DO212" s="58" t="str" cm="1">
        <f t="array" ref="DO212">IF(AND($BT212=4,$BX212=4,$BU212=999),$DF$36,_xlfn.IFNA(INDEX(DF$13:DF$70,MATCH(1,($BR212=$CV$13:$CV$70)*($BT212=$CX$13:$CX$70)*($CE212=$CY$13:$CY$70)*($BY212=$DA$13:$DA$70)*($CD212=$DH$13:$DH$70),0)),""))</f>
        <v/>
      </c>
      <c r="DP212" s="58" t="e">
        <f t="shared" si="367"/>
        <v>#N/A</v>
      </c>
      <c r="FT212" s="58">
        <f t="shared" si="368"/>
        <v>0</v>
      </c>
      <c r="FW212" s="58">
        <f>IF(i_baseline_risk_from=2,'Effectiveness settings'!EW212,'Effectiveness settings'!FI212)</f>
        <v>0</v>
      </c>
      <c r="FX212" s="58">
        <f t="shared" si="369"/>
        <v>0</v>
      </c>
      <c r="FY212" s="58">
        <f t="shared" si="370"/>
        <v>0</v>
      </c>
      <c r="FZ212" s="58">
        <f t="shared" si="371"/>
        <v>0</v>
      </c>
      <c r="GA212" s="58">
        <f t="shared" si="372"/>
        <v>0</v>
      </c>
      <c r="GB212" s="58">
        <f t="shared" si="373"/>
        <v>0</v>
      </c>
      <c r="GC212" s="58">
        <f t="shared" si="374"/>
        <v>0</v>
      </c>
      <c r="GD212" s="58">
        <f t="shared" si="375"/>
        <v>0</v>
      </c>
      <c r="GE212" s="58">
        <f>IF(AND(dd_CheckMate214_TTD="Yes",'Effectiveness settings'!BU212=2,'Effectiveness settings'!BX212=2),"Apply HR to",GD212)</f>
        <v>0</v>
      </c>
      <c r="GF212" s="58">
        <f t="shared" si="376"/>
        <v>0</v>
      </c>
      <c r="GG212" s="58">
        <f t="shared" si="377"/>
        <v>0</v>
      </c>
      <c r="GH212" s="58">
        <f t="shared" si="378"/>
        <v>0</v>
      </c>
      <c r="GI212" s="58">
        <f t="shared" si="359"/>
        <v>0</v>
      </c>
      <c r="GK212" s="58">
        <f>IF(i_baseline_risk_from=2,'Effectiveness settings'!FA212,'Effectiveness settings'!FM212)</f>
        <v>0</v>
      </c>
      <c r="GL212" s="58">
        <f>IF(i_baseline_risk_from=2,'Effectiveness settings'!FB212,'Effectiveness settings'!FN212)</f>
        <v>0</v>
      </c>
      <c r="GM212" s="58">
        <f>IF(i_baseline_risk_from=2,'Effectiveness settings'!FC212,'Effectiveness settings'!FO212)</f>
        <v>0</v>
      </c>
      <c r="GN212" s="58">
        <f>IF(i_baseline_risk_from=2,'Effectiveness settings'!FD212,'Effectiveness settings'!FP212)</f>
        <v>0</v>
      </c>
      <c r="GQ212" s="58">
        <f t="shared" si="379"/>
        <v>0</v>
      </c>
      <c r="GR212" s="58">
        <f t="shared" si="380"/>
        <v>0</v>
      </c>
      <c r="GS212" s="58">
        <f t="shared" si="381"/>
        <v>0</v>
      </c>
      <c r="GT212" s="58">
        <f t="shared" si="382"/>
        <v>0</v>
      </c>
      <c r="GU212" s="58">
        <f>IF(AND(dd_CheckMate214_TTD="Yes",'Effectiveness settings'!BU212=2,'Effectiveness settings'!BX212=2),2,GT212)</f>
        <v>0</v>
      </c>
      <c r="GV212" s="58">
        <f t="shared" si="383"/>
        <v>0</v>
      </c>
      <c r="GW212" s="58">
        <f t="shared" si="384"/>
        <v>0</v>
      </c>
      <c r="GY212" s="58">
        <f>IF(AND(dd_CheckMate214_TTD="Yes",'Effectiveness settings'!BU212=2,'Effectiveness settings'!BX212=2),1,GN212)</f>
        <v>0</v>
      </c>
      <c r="GZ212" s="58">
        <f t="shared" si="385"/>
        <v>0</v>
      </c>
      <c r="HB212" s="58">
        <f t="shared" si="386"/>
        <v>0</v>
      </c>
      <c r="HD212" s="58">
        <f t="shared" si="360"/>
        <v>0</v>
      </c>
      <c r="HE212" s="58">
        <f t="shared" si="361"/>
        <v>0</v>
      </c>
      <c r="HF212" s="58">
        <f t="shared" si="362"/>
        <v>0</v>
      </c>
      <c r="HG212" s="58">
        <f t="shared" si="363"/>
        <v>0</v>
      </c>
      <c r="HH212" s="58">
        <f t="shared" si="364"/>
        <v>0</v>
      </c>
    </row>
    <row r="213" spans="9:216" ht="15.75" hidden="1" x14ac:dyDescent="0.25">
      <c r="I213" s="64"/>
      <c r="J213" s="519"/>
      <c r="K213" s="524"/>
      <c r="L213" s="519"/>
      <c r="M213" s="516"/>
      <c r="N213" s="64"/>
      <c r="O213" s="64"/>
      <c r="P213" s="64"/>
      <c r="Q213" s="519"/>
      <c r="R213" s="516"/>
      <c r="S213" s="497"/>
      <c r="T213" s="497"/>
      <c r="U213" s="497"/>
      <c r="Y213" s="517"/>
      <c r="AA213" s="517"/>
      <c r="AF213" s="517"/>
      <c r="AM213" s="517"/>
      <c r="AO213" s="517"/>
      <c r="AT213" s="517"/>
      <c r="AV213" s="511"/>
      <c r="AW213" s="511"/>
      <c r="AX213" s="511"/>
      <c r="BA213" s="517"/>
      <c r="BC213" s="517"/>
      <c r="BH213" s="517"/>
      <c r="BJ213" s="511"/>
      <c r="BK213" s="511"/>
      <c r="BL213" s="511"/>
      <c r="BQ213" s="58">
        <f t="shared" si="366"/>
        <v>140</v>
      </c>
      <c r="BR213" s="17"/>
      <c r="BS213" s="17"/>
      <c r="BT213" s="17"/>
      <c r="BU213" s="17"/>
      <c r="BV213" s="17"/>
      <c r="BW213" s="17"/>
      <c r="BX213" s="61"/>
      <c r="BY213" s="531"/>
      <c r="BZ213" s="530"/>
      <c r="CA213" s="531"/>
      <c r="CB213" s="530"/>
      <c r="CC213" s="530"/>
      <c r="CD213" s="530"/>
      <c r="CE213" s="1295"/>
      <c r="CF213" s="1301"/>
      <c r="CG213" s="530"/>
      <c r="CH213" s="61"/>
      <c r="CI213" s="61"/>
      <c r="CJ213" s="61"/>
      <c r="CV213" s="940">
        <v>0</v>
      </c>
      <c r="CW213" s="940" t="s">
        <v>31</v>
      </c>
      <c r="CX213" s="940">
        <v>2</v>
      </c>
      <c r="CY213" s="940">
        <v>1</v>
      </c>
      <c r="CZ213" s="940" t="str" cm="1">
        <f t="array" ref="CZ213">INDEX(List_trials,CY213+1)</f>
        <v>CheckMate 025</v>
      </c>
      <c r="DA213" s="1025" t="s">
        <v>554</v>
      </c>
      <c r="DB213" s="1025" t="s">
        <v>563</v>
      </c>
      <c r="DC213" s="1025" t="s">
        <v>563</v>
      </c>
      <c r="DD213" s="1025"/>
      <c r="DE213" s="1025"/>
      <c r="DF213" s="1025"/>
      <c r="DG213" s="1025" t="s">
        <v>119</v>
      </c>
      <c r="DH213" s="58">
        <f t="shared" si="387"/>
        <v>10</v>
      </c>
      <c r="DK213" s="58" t="str" cm="1">
        <f t="array" ref="DK213">IF(AND($BT213=4,$BX213=4,$BU213=999),$DB$36,_xlfn.IFNA(INDEX(DB$13:DB$70,MATCH(1,($BR213=$CV$13:$CV$70)*($BT213=$CX$13:$CX$70)*($CE213=$CY$13:$CY$70)*($BY213=$DA$13:$DA$70)*($CD213=$DH$13:$DH$70),0)),""))</f>
        <v/>
      </c>
      <c r="DL213" s="58" t="str" cm="1">
        <f t="array" ref="DL213">IF(AND($BT213=4,$BX213=4,$BU213=999),$DC$36,_xlfn.IFNA(INDEX(CHOOSE(DP213,DB$13:DB$70,DC$13:DC$70,DD$13:DD$70,DE$13:DE$70),MATCH(1,($BR213=$CV$13:$CV$70)*($BT213=$CX$13:$CX$70)*($CE213=$CY$13:$CY$70)*($BY213=$DA$13:$DA$70)*($CD213=$DH$13:$DH$70),0)),""))</f>
        <v/>
      </c>
      <c r="DM213" s="740" t="str" cm="1">
        <f t="array" ref="DM213">IF(AND($BT213=4,$BX213=4,$BU213=999),$DD$36,_xlfn.IFNA(INDEX(DD$13:DD$68,MATCH(1,($BR213=$CV$13:$CV$68)*($BT213=$CX$13:$CX$68)*($CE213=$CY$13:$CY$68)*($BY213=$DA$13:$DA$68)*($CD213=$DH$13:$DH$68),0)),""))</f>
        <v/>
      </c>
      <c r="DN213" s="740" t="str" cm="1">
        <f t="array" ref="DN213">IF(AND($BT213=4,$BX213=4,$BU213=999),$DD$36,_xlfn.IFNA(INDEX(DE$13:DE$68,MATCH(1,($BR213=$CV$13:$CV$68)*($BT213=$CX$13:$CX$68)*($CE213=$CY$13:$CY$68)*($BY213=$DA$13:$DA$68)*($CD213=$DH$13:$DH$68),0)),""))</f>
        <v/>
      </c>
      <c r="DO213" s="58" t="str" cm="1">
        <f t="array" ref="DO213">IF(AND($BT213=4,$BX213=4,$BU213=999),$DF$36,_xlfn.IFNA(INDEX(DF$13:DF$70,MATCH(1,($BR213=$CV$13:$CV$70)*($BT213=$CX$13:$CX$70)*($CE213=$CY$13:$CY$70)*($BY213=$DA$13:$DA$70)*($CD213=$DH$13:$DH$70),0)),""))</f>
        <v/>
      </c>
      <c r="DP213" s="58" t="e">
        <f t="shared" si="367"/>
        <v>#N/A</v>
      </c>
      <c r="FT213" s="58">
        <f t="shared" si="368"/>
        <v>0</v>
      </c>
      <c r="FW213" s="58">
        <f>IF(i_baseline_risk_from=2,'Effectiveness settings'!EW213,'Effectiveness settings'!FI213)</f>
        <v>0</v>
      </c>
      <c r="FX213" s="58">
        <f t="shared" si="369"/>
        <v>0</v>
      </c>
      <c r="FY213" s="58">
        <f t="shared" si="370"/>
        <v>0</v>
      </c>
      <c r="FZ213" s="58">
        <f t="shared" si="371"/>
        <v>0</v>
      </c>
      <c r="GA213" s="58">
        <f t="shared" si="372"/>
        <v>0</v>
      </c>
      <c r="GB213" s="58">
        <f t="shared" si="373"/>
        <v>0</v>
      </c>
      <c r="GC213" s="58">
        <f t="shared" si="374"/>
        <v>0</v>
      </c>
      <c r="GD213" s="58">
        <f t="shared" si="375"/>
        <v>0</v>
      </c>
      <c r="GE213" s="58">
        <f>IF(AND(dd_CheckMate214_TTD="Yes",'Effectiveness settings'!BU213=2,'Effectiveness settings'!BX213=2),"Apply HR to",GD213)</f>
        <v>0</v>
      </c>
      <c r="GF213" s="58">
        <f t="shared" si="376"/>
        <v>0</v>
      </c>
      <c r="GG213" s="58">
        <f t="shared" si="377"/>
        <v>0</v>
      </c>
      <c r="GH213" s="58">
        <f t="shared" si="378"/>
        <v>0</v>
      </c>
      <c r="GI213" s="58">
        <f t="shared" si="359"/>
        <v>0</v>
      </c>
      <c r="GK213" s="58">
        <f>IF(i_baseline_risk_from=2,'Effectiveness settings'!FA213,'Effectiveness settings'!FM213)</f>
        <v>0</v>
      </c>
      <c r="GL213" s="58">
        <f>IF(i_baseline_risk_from=2,'Effectiveness settings'!FB213,'Effectiveness settings'!FN213)</f>
        <v>0</v>
      </c>
      <c r="GM213" s="58">
        <f>IF(i_baseline_risk_from=2,'Effectiveness settings'!FC213,'Effectiveness settings'!FO213)</f>
        <v>0</v>
      </c>
      <c r="GN213" s="58">
        <f>IF(i_baseline_risk_from=2,'Effectiveness settings'!FD213,'Effectiveness settings'!FP213)</f>
        <v>0</v>
      </c>
      <c r="GQ213" s="58">
        <f t="shared" si="379"/>
        <v>0</v>
      </c>
      <c r="GR213" s="58">
        <f t="shared" si="380"/>
        <v>0</v>
      </c>
      <c r="GS213" s="58">
        <f t="shared" si="381"/>
        <v>0</v>
      </c>
      <c r="GT213" s="58">
        <f t="shared" si="382"/>
        <v>0</v>
      </c>
      <c r="GU213" s="58">
        <f>IF(AND(dd_CheckMate214_TTD="Yes",'Effectiveness settings'!BU213=2,'Effectiveness settings'!BX213=2),2,GT213)</f>
        <v>0</v>
      </c>
      <c r="GV213" s="58">
        <f t="shared" si="383"/>
        <v>0</v>
      </c>
      <c r="GW213" s="58">
        <f t="shared" si="384"/>
        <v>0</v>
      </c>
      <c r="GY213" s="58">
        <f>IF(AND(dd_CheckMate214_TTD="Yes",'Effectiveness settings'!BU213=2,'Effectiveness settings'!BX213=2),1,GN213)</f>
        <v>0</v>
      </c>
      <c r="GZ213" s="58">
        <f t="shared" si="385"/>
        <v>0</v>
      </c>
      <c r="HB213" s="58">
        <f t="shared" si="386"/>
        <v>0</v>
      </c>
      <c r="HD213" s="58">
        <f t="shared" si="360"/>
        <v>0</v>
      </c>
      <c r="HE213" s="58">
        <f t="shared" si="361"/>
        <v>0</v>
      </c>
      <c r="HF213" s="58">
        <f t="shared" si="362"/>
        <v>0</v>
      </c>
      <c r="HG213" s="58">
        <f t="shared" si="363"/>
        <v>0</v>
      </c>
      <c r="HH213" s="58">
        <f t="shared" si="364"/>
        <v>0</v>
      </c>
    </row>
    <row r="214" spans="9:216" ht="15.75" hidden="1" x14ac:dyDescent="0.25">
      <c r="I214" s="64"/>
      <c r="J214" s="519"/>
      <c r="K214" s="524"/>
      <c r="L214" s="519"/>
      <c r="M214" s="516"/>
      <c r="N214" s="64"/>
      <c r="O214" s="64"/>
      <c r="P214" s="64"/>
      <c r="Q214" s="519"/>
      <c r="R214" s="516"/>
      <c r="S214" s="497"/>
      <c r="T214" s="497"/>
      <c r="U214" s="497"/>
      <c r="Y214" s="517"/>
      <c r="AA214" s="517"/>
      <c r="AF214" s="517"/>
      <c r="AM214" s="517"/>
      <c r="AO214" s="517"/>
      <c r="AT214" s="517"/>
      <c r="AV214" s="511"/>
      <c r="AW214" s="511"/>
      <c r="AX214" s="511"/>
      <c r="BA214" s="517"/>
      <c r="BC214" s="517"/>
      <c r="BH214" s="517"/>
      <c r="BJ214" s="511"/>
      <c r="BK214" s="511"/>
      <c r="BL214" s="511"/>
      <c r="BQ214" s="58">
        <f t="shared" si="366"/>
        <v>140</v>
      </c>
      <c r="BR214" s="17"/>
      <c r="BS214" s="17"/>
      <c r="BT214" s="17"/>
      <c r="BU214" s="17"/>
      <c r="BV214" s="17"/>
      <c r="BW214" s="17"/>
      <c r="BX214" s="61"/>
      <c r="BY214" s="531"/>
      <c r="BZ214" s="530"/>
      <c r="CA214" s="531"/>
      <c r="CB214" s="530"/>
      <c r="CC214" s="530"/>
      <c r="CD214" s="530"/>
      <c r="CE214" s="1295"/>
      <c r="CF214" s="1301"/>
      <c r="CG214" s="530"/>
      <c r="CH214" s="61"/>
      <c r="CI214" s="61"/>
      <c r="CJ214" s="61"/>
      <c r="CV214" s="940">
        <v>0</v>
      </c>
      <c r="CW214" s="940" t="s">
        <v>31</v>
      </c>
      <c r="CX214" s="940">
        <v>3</v>
      </c>
      <c r="CY214" s="940">
        <v>1</v>
      </c>
      <c r="CZ214" s="940" t="str" cm="1">
        <f t="array" ref="CZ214">INDEX(List_trials,CY214+1)</f>
        <v>CheckMate 025</v>
      </c>
      <c r="DA214" s="1025" t="s">
        <v>555</v>
      </c>
      <c r="DB214" s="1025" t="s">
        <v>563</v>
      </c>
      <c r="DC214" s="1025" t="s">
        <v>563</v>
      </c>
      <c r="DD214" s="1025"/>
      <c r="DE214" s="1025"/>
      <c r="DF214" s="1025"/>
      <c r="DG214" s="1025" t="s">
        <v>119</v>
      </c>
      <c r="DH214" s="58">
        <f t="shared" si="387"/>
        <v>10</v>
      </c>
      <c r="DK214" s="58" t="str" cm="1">
        <f t="array" ref="DK214">IF(AND($BT214=4,$BX214=4,$BU214=999),$DB$36,_xlfn.IFNA(INDEX(DB$13:DB$70,MATCH(1,($BR214=$CV$13:$CV$70)*($BT214=$CX$13:$CX$70)*($CE214=$CY$13:$CY$70)*($BY214=$DA$13:$DA$70)*($CD214=$DH$13:$DH$70),0)),""))</f>
        <v/>
      </c>
      <c r="DL214" s="58" t="str" cm="1">
        <f t="array" ref="DL214">IF(AND($BT214=4,$BX214=4,$BU214=999),$DC$36,_xlfn.IFNA(INDEX(CHOOSE(DP214,DB$13:DB$70,DC$13:DC$70,DD$13:DD$70,DE$13:DE$70),MATCH(1,($BR214=$CV$13:$CV$70)*($BT214=$CX$13:$CX$70)*($CE214=$CY$13:$CY$70)*($BY214=$DA$13:$DA$70)*($CD214=$DH$13:$DH$70),0)),""))</f>
        <v/>
      </c>
      <c r="DM214" s="740" t="str" cm="1">
        <f t="array" ref="DM214">IF(AND($BT214=4,$BX214=4,$BU214=999),$DD$36,_xlfn.IFNA(INDEX(DD$13:DD$68,MATCH(1,($BR214=$CV$13:$CV$68)*($BT214=$CX$13:$CX$68)*($CE214=$CY$13:$CY$68)*($BY214=$DA$13:$DA$68)*($CD214=$DH$13:$DH$68),0)),""))</f>
        <v/>
      </c>
      <c r="DN214" s="740" t="str" cm="1">
        <f t="array" ref="DN214">IF(AND($BT214=4,$BX214=4,$BU214=999),$DD$36,_xlfn.IFNA(INDEX(DE$13:DE$68,MATCH(1,($BR214=$CV$13:$CV$68)*($BT214=$CX$13:$CX$68)*($CE214=$CY$13:$CY$68)*($BY214=$DA$13:$DA$68)*($CD214=$DH$13:$DH$68),0)),""))</f>
        <v/>
      </c>
      <c r="DO214" s="58" t="str" cm="1">
        <f t="array" ref="DO214">IF(AND($BT214=4,$BX214=4,$BU214=999),$DF$36,_xlfn.IFNA(INDEX(DF$13:DF$70,MATCH(1,($BR214=$CV$13:$CV$70)*($BT214=$CX$13:$CX$70)*($CE214=$CY$13:$CY$70)*($BY214=$DA$13:$DA$70)*($CD214=$DH$13:$DH$70),0)),""))</f>
        <v/>
      </c>
      <c r="DP214" s="58" t="e">
        <f t="shared" si="367"/>
        <v>#N/A</v>
      </c>
      <c r="FT214" s="58">
        <f t="shared" si="368"/>
        <v>0</v>
      </c>
      <c r="FW214" s="58">
        <f>IF(i_baseline_risk_from=2,'Effectiveness settings'!EW214,'Effectiveness settings'!FI214)</f>
        <v>0</v>
      </c>
      <c r="FX214" s="58">
        <f t="shared" si="369"/>
        <v>0</v>
      </c>
      <c r="FY214" s="58">
        <f t="shared" si="370"/>
        <v>0</v>
      </c>
      <c r="FZ214" s="58">
        <f t="shared" si="371"/>
        <v>0</v>
      </c>
      <c r="GA214" s="58">
        <f t="shared" si="372"/>
        <v>0</v>
      </c>
      <c r="GB214" s="58">
        <f t="shared" si="373"/>
        <v>0</v>
      </c>
      <c r="GC214" s="58">
        <f t="shared" si="374"/>
        <v>0</v>
      </c>
      <c r="GD214" s="58">
        <f t="shared" si="375"/>
        <v>0</v>
      </c>
      <c r="GE214" s="58">
        <f>IF(AND(dd_CheckMate214_TTD="Yes",'Effectiveness settings'!BU214=2,'Effectiveness settings'!BX214=2),"Apply HR to",GD214)</f>
        <v>0</v>
      </c>
      <c r="GF214" s="58">
        <f t="shared" si="376"/>
        <v>0</v>
      </c>
      <c r="GG214" s="58">
        <f t="shared" si="377"/>
        <v>0</v>
      </c>
      <c r="GH214" s="58">
        <f t="shared" si="378"/>
        <v>0</v>
      </c>
      <c r="GI214" s="58">
        <f t="shared" si="359"/>
        <v>0</v>
      </c>
      <c r="GK214" s="58">
        <f>IF(i_baseline_risk_from=2,'Effectiveness settings'!FA214,'Effectiveness settings'!FM214)</f>
        <v>0</v>
      </c>
      <c r="GL214" s="58">
        <f>IF(i_baseline_risk_from=2,'Effectiveness settings'!FB214,'Effectiveness settings'!FN214)</f>
        <v>0</v>
      </c>
      <c r="GM214" s="58">
        <f>IF(i_baseline_risk_from=2,'Effectiveness settings'!FC214,'Effectiveness settings'!FO214)</f>
        <v>0</v>
      </c>
      <c r="GN214" s="58">
        <f>IF(i_baseline_risk_from=2,'Effectiveness settings'!FD214,'Effectiveness settings'!FP214)</f>
        <v>0</v>
      </c>
      <c r="GQ214" s="58">
        <f t="shared" si="379"/>
        <v>0</v>
      </c>
      <c r="GR214" s="58">
        <f t="shared" si="380"/>
        <v>0</v>
      </c>
      <c r="GS214" s="58">
        <f t="shared" si="381"/>
        <v>0</v>
      </c>
      <c r="GT214" s="58">
        <f t="shared" si="382"/>
        <v>0</v>
      </c>
      <c r="GU214" s="58">
        <f>IF(AND(dd_CheckMate214_TTD="Yes",'Effectiveness settings'!BU214=2,'Effectiveness settings'!BX214=2),2,GT214)</f>
        <v>0</v>
      </c>
      <c r="GV214" s="58">
        <f t="shared" si="383"/>
        <v>0</v>
      </c>
      <c r="GW214" s="58">
        <f t="shared" si="384"/>
        <v>0</v>
      </c>
      <c r="GY214" s="58">
        <f>IF(AND(dd_CheckMate214_TTD="Yes",'Effectiveness settings'!BU214=2,'Effectiveness settings'!BX214=2),1,GN214)</f>
        <v>0</v>
      </c>
      <c r="GZ214" s="58">
        <f t="shared" si="385"/>
        <v>0</v>
      </c>
      <c r="HB214" s="58">
        <f t="shared" si="386"/>
        <v>0</v>
      </c>
      <c r="HD214" s="58">
        <f t="shared" si="360"/>
        <v>0</v>
      </c>
      <c r="HE214" s="58">
        <f t="shared" si="361"/>
        <v>0</v>
      </c>
      <c r="HF214" s="58">
        <f t="shared" si="362"/>
        <v>0</v>
      </c>
      <c r="HG214" s="58">
        <f t="shared" si="363"/>
        <v>0</v>
      </c>
      <c r="HH214" s="58">
        <f t="shared" si="364"/>
        <v>0</v>
      </c>
    </row>
    <row r="215" spans="9:216" ht="15.75" hidden="1" x14ac:dyDescent="0.25">
      <c r="I215" s="64"/>
      <c r="J215" s="519"/>
      <c r="K215" s="524"/>
      <c r="L215" s="519"/>
      <c r="M215" s="516"/>
      <c r="N215" s="64"/>
      <c r="O215" s="64"/>
      <c r="P215" s="64"/>
      <c r="Q215" s="519"/>
      <c r="R215" s="516"/>
      <c r="S215" s="497"/>
      <c r="T215" s="497"/>
      <c r="U215" s="497"/>
      <c r="Y215" s="517"/>
      <c r="AA215" s="517"/>
      <c r="AF215" s="517"/>
      <c r="AM215" s="517"/>
      <c r="AO215" s="517"/>
      <c r="AT215" s="517"/>
      <c r="AV215" s="511"/>
      <c r="AW215" s="511"/>
      <c r="AX215" s="511"/>
      <c r="BA215" s="517"/>
      <c r="BC215" s="517"/>
      <c r="BH215" s="517"/>
      <c r="BJ215" s="511"/>
      <c r="BK215" s="511"/>
      <c r="BL215" s="511"/>
      <c r="BQ215" s="58">
        <f t="shared" si="366"/>
        <v>140</v>
      </c>
      <c r="BR215" s="17"/>
      <c r="BS215" s="17"/>
      <c r="BT215" s="17"/>
      <c r="BU215" s="17"/>
      <c r="BV215" s="17"/>
      <c r="BW215" s="17"/>
      <c r="BX215" s="61"/>
      <c r="BY215" s="531"/>
      <c r="BZ215" s="530"/>
      <c r="CA215" s="531"/>
      <c r="CB215" s="530"/>
      <c r="CC215" s="530"/>
      <c r="CD215" s="530"/>
      <c r="CE215" s="1295"/>
      <c r="CF215" s="1301"/>
      <c r="CG215" s="530"/>
      <c r="CH215" s="61"/>
      <c r="CI215" s="61"/>
      <c r="CJ215" s="61"/>
      <c r="CV215" s="940">
        <v>0</v>
      </c>
      <c r="CW215" s="940" t="s">
        <v>31</v>
      </c>
      <c r="CX215" s="940">
        <v>3</v>
      </c>
      <c r="CY215" s="940">
        <v>1</v>
      </c>
      <c r="CZ215" s="940" t="str" cm="1">
        <f t="array" ref="CZ215">INDEX(List_trials,CY215+1)</f>
        <v>CheckMate 025</v>
      </c>
      <c r="DA215" s="1025" t="s">
        <v>557</v>
      </c>
      <c r="DB215" s="1025" t="s">
        <v>553</v>
      </c>
      <c r="DC215" s="1025" t="s">
        <v>553</v>
      </c>
      <c r="DD215" s="1025"/>
      <c r="DE215" s="1025"/>
      <c r="DF215" s="1025"/>
      <c r="DG215" s="1025" t="s">
        <v>119</v>
      </c>
      <c r="DH215" s="58">
        <f t="shared" si="387"/>
        <v>10</v>
      </c>
      <c r="DK215" s="58" t="str" cm="1">
        <f t="array" ref="DK215">IF(AND($BT215=4,$BX215=4,$BU215=999),$DB$36,_xlfn.IFNA(INDEX(DB$13:DB$70,MATCH(1,($BR215=$CV$13:$CV$70)*($BT215=$CX$13:$CX$70)*($CE215=$CY$13:$CY$70)*($BY215=$DA$13:$DA$70)*($CD215=$DH$13:$DH$70),0)),""))</f>
        <v/>
      </c>
      <c r="DL215" s="58" t="str" cm="1">
        <f t="array" ref="DL215">IF(AND($BT215=4,$BX215=4,$BU215=999),$DC$36,_xlfn.IFNA(INDEX(CHOOSE(DP215,DB$13:DB$70,DC$13:DC$70,DD$13:DD$70,DE$13:DE$70),MATCH(1,($BR215=$CV$13:$CV$70)*($BT215=$CX$13:$CX$70)*($CE215=$CY$13:$CY$70)*($BY215=$DA$13:$DA$70)*($CD215=$DH$13:$DH$70),0)),""))</f>
        <v/>
      </c>
      <c r="DM215" s="740" t="str" cm="1">
        <f t="array" ref="DM215">IF(AND($BT215=4,$BX215=4,$BU215=999),$DD$36,_xlfn.IFNA(INDEX(DD$13:DD$68,MATCH(1,($BR215=$CV$13:$CV$68)*($BT215=$CX$13:$CX$68)*($CE215=$CY$13:$CY$68)*($BY215=$DA$13:$DA$68)*($CD215=$DH$13:$DH$68),0)),""))</f>
        <v/>
      </c>
      <c r="DN215" s="740" t="str" cm="1">
        <f t="array" ref="DN215">IF(AND($BT215=4,$BX215=4,$BU215=999),$DD$36,_xlfn.IFNA(INDEX(DE$13:DE$68,MATCH(1,($BR215=$CV$13:$CV$68)*($BT215=$CX$13:$CX$68)*($CE215=$CY$13:$CY$68)*($BY215=$DA$13:$DA$68)*($CD215=$DH$13:$DH$68),0)),""))</f>
        <v/>
      </c>
      <c r="DO215" s="58" t="str" cm="1">
        <f t="array" ref="DO215">IF(AND($BT215=4,$BX215=4,$BU215=999),$DF$36,_xlfn.IFNA(INDEX(DF$13:DF$70,MATCH(1,($BR215=$CV$13:$CV$70)*($BT215=$CX$13:$CX$70)*($CE215=$CY$13:$CY$70)*($BY215=$DA$13:$DA$70)*($CD215=$DH$13:$DH$70),0)),""))</f>
        <v/>
      </c>
      <c r="DP215" s="58" t="e">
        <f t="shared" si="367"/>
        <v>#N/A</v>
      </c>
      <c r="FT215" s="58">
        <f t="shared" si="368"/>
        <v>0</v>
      </c>
      <c r="FW215" s="58">
        <f>IF(i_baseline_risk_from=2,'Effectiveness settings'!EW215,'Effectiveness settings'!FI215)</f>
        <v>0</v>
      </c>
      <c r="FX215" s="58">
        <f t="shared" si="369"/>
        <v>0</v>
      </c>
      <c r="FY215" s="58">
        <f t="shared" si="370"/>
        <v>0</v>
      </c>
      <c r="FZ215" s="58">
        <f t="shared" si="371"/>
        <v>0</v>
      </c>
      <c r="GA215" s="58">
        <f t="shared" si="372"/>
        <v>0</v>
      </c>
      <c r="GB215" s="58">
        <f t="shared" si="373"/>
        <v>0</v>
      </c>
      <c r="GC215" s="58">
        <f t="shared" si="374"/>
        <v>0</v>
      </c>
      <c r="GD215" s="58">
        <f t="shared" si="375"/>
        <v>0</v>
      </c>
      <c r="GE215" s="58">
        <f>IF(AND(dd_CheckMate214_TTD="Yes",'Effectiveness settings'!BU215=2,'Effectiveness settings'!BX215=2),"Apply HR to",GD215)</f>
        <v>0</v>
      </c>
      <c r="GF215" s="58">
        <f t="shared" si="376"/>
        <v>0</v>
      </c>
      <c r="GG215" s="58">
        <f t="shared" si="377"/>
        <v>0</v>
      </c>
      <c r="GH215" s="58">
        <f t="shared" si="378"/>
        <v>0</v>
      </c>
      <c r="GI215" s="58">
        <f t="shared" si="359"/>
        <v>0</v>
      </c>
      <c r="GK215" s="58">
        <f>IF(i_baseline_risk_from=2,'Effectiveness settings'!FA215,'Effectiveness settings'!FM215)</f>
        <v>0</v>
      </c>
      <c r="GL215" s="58">
        <f>IF(i_baseline_risk_from=2,'Effectiveness settings'!FB215,'Effectiveness settings'!FN215)</f>
        <v>0</v>
      </c>
      <c r="GM215" s="58">
        <f>IF(i_baseline_risk_from=2,'Effectiveness settings'!FC215,'Effectiveness settings'!FO215)</f>
        <v>0</v>
      </c>
      <c r="GN215" s="58">
        <f>IF(i_baseline_risk_from=2,'Effectiveness settings'!FD215,'Effectiveness settings'!FP215)</f>
        <v>0</v>
      </c>
      <c r="GQ215" s="58">
        <f t="shared" si="379"/>
        <v>0</v>
      </c>
      <c r="GR215" s="58">
        <f t="shared" si="380"/>
        <v>0</v>
      </c>
      <c r="GS215" s="58">
        <f t="shared" si="381"/>
        <v>0</v>
      </c>
      <c r="GT215" s="58">
        <f t="shared" si="382"/>
        <v>0</v>
      </c>
      <c r="GU215" s="58">
        <f>IF(AND(dd_CheckMate214_TTD="Yes",'Effectiveness settings'!BU215=2,'Effectiveness settings'!BX215=2),2,GT215)</f>
        <v>0</v>
      </c>
      <c r="GV215" s="58">
        <f t="shared" si="383"/>
        <v>0</v>
      </c>
      <c r="GW215" s="58">
        <f t="shared" si="384"/>
        <v>0</v>
      </c>
      <c r="GY215" s="58">
        <f>IF(AND(dd_CheckMate214_TTD="Yes",'Effectiveness settings'!BU215=2,'Effectiveness settings'!BX215=2),1,GN215)</f>
        <v>0</v>
      </c>
      <c r="GZ215" s="58">
        <f t="shared" si="385"/>
        <v>0</v>
      </c>
      <c r="HB215" s="58">
        <f t="shared" si="386"/>
        <v>0</v>
      </c>
      <c r="HD215" s="58">
        <f t="shared" si="360"/>
        <v>0</v>
      </c>
      <c r="HE215" s="58">
        <f t="shared" si="361"/>
        <v>0</v>
      </c>
      <c r="HF215" s="58">
        <f t="shared" si="362"/>
        <v>0</v>
      </c>
      <c r="HG215" s="58">
        <f t="shared" si="363"/>
        <v>0</v>
      </c>
      <c r="HH215" s="58">
        <f t="shared" si="364"/>
        <v>0</v>
      </c>
    </row>
    <row r="216" spans="9:216" ht="15.75" hidden="1" x14ac:dyDescent="0.25">
      <c r="I216" s="64"/>
      <c r="J216" s="519"/>
      <c r="K216" s="524"/>
      <c r="L216" s="519"/>
      <c r="M216" s="516"/>
      <c r="N216" s="64"/>
      <c r="O216" s="64"/>
      <c r="P216" s="64"/>
      <c r="Q216" s="519"/>
      <c r="R216" s="516"/>
      <c r="S216" s="497"/>
      <c r="T216" s="497"/>
      <c r="U216" s="497"/>
      <c r="Y216" s="517"/>
      <c r="AA216" s="517"/>
      <c r="AF216" s="517"/>
      <c r="AM216" s="517"/>
      <c r="AO216" s="517"/>
      <c r="AT216" s="517"/>
      <c r="AV216" s="511"/>
      <c r="AW216" s="511"/>
      <c r="AX216" s="511"/>
      <c r="BA216" s="517"/>
      <c r="BC216" s="517"/>
      <c r="BH216" s="517"/>
      <c r="BJ216" s="511"/>
      <c r="BK216" s="511"/>
      <c r="BL216" s="511"/>
      <c r="BQ216" s="58">
        <f t="shared" si="366"/>
        <v>140</v>
      </c>
      <c r="BR216" s="17"/>
      <c r="BS216" s="17"/>
      <c r="BT216" s="17"/>
      <c r="BU216" s="17"/>
      <c r="BV216" s="17"/>
      <c r="BW216" s="17"/>
      <c r="BX216" s="61"/>
      <c r="BY216" s="531"/>
      <c r="BZ216" s="530"/>
      <c r="CA216" s="531"/>
      <c r="CB216" s="530"/>
      <c r="CC216" s="530"/>
      <c r="CD216" s="530"/>
      <c r="CE216" s="1295"/>
      <c r="CF216" s="1301"/>
      <c r="CG216" s="530"/>
      <c r="CH216" s="61"/>
      <c r="CI216" s="61"/>
      <c r="CJ216" s="61"/>
      <c r="DH216" s="58" t="e">
        <f t="shared" si="387"/>
        <v>#N/A</v>
      </c>
      <c r="DK216" s="58" t="str" cm="1">
        <f t="array" ref="DK216">IF(AND($BT216=4,$BX216=4,$BU216=999),$DB$36,_xlfn.IFNA(INDEX(DB$13:DB$70,MATCH(1,($BR216=$CV$13:$CV$70)*($BT216=$CX$13:$CX$70)*($CE216=$CY$13:$CY$70)*($BY216=$DA$13:$DA$70)*($CD216=$DH$13:$DH$70),0)),""))</f>
        <v/>
      </c>
      <c r="DL216" s="58" t="str" cm="1">
        <f t="array" ref="DL216">IF(AND($BT216=4,$BX216=4,$BU216=999),$DC$36,_xlfn.IFNA(INDEX(CHOOSE(DP216,DB$13:DB$70,DC$13:DC$70,DD$13:DD$70,DE$13:DE$70),MATCH(1,($BR216=$CV$13:$CV$70)*($BT216=$CX$13:$CX$70)*($CE216=$CY$13:$CY$70)*($BY216=$DA$13:$DA$70)*($CD216=$DH$13:$DH$70),0)),""))</f>
        <v/>
      </c>
      <c r="DM216" s="740" t="str" cm="1">
        <f t="array" ref="DM216">IF(AND($BT216=4,$BX216=4,$BU216=999),$DD$36,_xlfn.IFNA(INDEX(DD$13:DD$68,MATCH(1,($BR216=$CV$13:$CV$68)*($BT216=$CX$13:$CX$68)*($CE216=$CY$13:$CY$68)*($BY216=$DA$13:$DA$68)*($CD216=$DH$13:$DH$68),0)),""))</f>
        <v/>
      </c>
      <c r="DN216" s="740" t="str" cm="1">
        <f t="array" ref="DN216">IF(AND($BT216=4,$BX216=4,$BU216=999),$DD$36,_xlfn.IFNA(INDEX(DE$13:DE$68,MATCH(1,($BR216=$CV$13:$CV$68)*($BT216=$CX$13:$CX$68)*($CE216=$CY$13:$CY$68)*($BY216=$DA$13:$DA$68)*($CD216=$DH$13:$DH$68),0)),""))</f>
        <v/>
      </c>
      <c r="DO216" s="58" t="str" cm="1">
        <f t="array" ref="DO216">IF(AND($BT216=4,$BX216=4,$BU216=999),$DF$36,_xlfn.IFNA(INDEX(DF$13:DF$70,MATCH(1,($BR216=$CV$13:$CV$70)*($BT216=$CX$13:$CX$70)*($CE216=$CY$13:$CY$70)*($BY216=$DA$13:$DA$70)*($CD216=$DH$13:$DH$70),0)),""))</f>
        <v/>
      </c>
      <c r="DP216" s="58" t="e">
        <f t="shared" si="367"/>
        <v>#N/A</v>
      </c>
      <c r="FT216" s="58">
        <f t="shared" si="368"/>
        <v>0</v>
      </c>
      <c r="FW216" s="58">
        <f>IF(i_baseline_risk_from=2,'Effectiveness settings'!EW216,'Effectiveness settings'!FI216)</f>
        <v>0</v>
      </c>
      <c r="FX216" s="58">
        <f t="shared" si="369"/>
        <v>0</v>
      </c>
      <c r="FY216" s="58">
        <f t="shared" si="370"/>
        <v>0</v>
      </c>
      <c r="FZ216" s="58">
        <f t="shared" si="371"/>
        <v>0</v>
      </c>
      <c r="GA216" s="58">
        <f t="shared" si="372"/>
        <v>0</v>
      </c>
      <c r="GB216" s="58">
        <f t="shared" si="373"/>
        <v>0</v>
      </c>
      <c r="GC216" s="58">
        <f t="shared" si="374"/>
        <v>0</v>
      </c>
      <c r="GD216" s="58">
        <f t="shared" si="375"/>
        <v>0</v>
      </c>
      <c r="GE216" s="58">
        <f>IF(AND(dd_CheckMate214_TTD="Yes",'Effectiveness settings'!BU216=2,'Effectiveness settings'!BX216=2),"Apply HR to",GD216)</f>
        <v>0</v>
      </c>
      <c r="GF216" s="58">
        <f t="shared" si="376"/>
        <v>0</v>
      </c>
      <c r="GG216" s="58">
        <f t="shared" si="377"/>
        <v>0</v>
      </c>
      <c r="GH216" s="58">
        <f t="shared" si="378"/>
        <v>0</v>
      </c>
      <c r="GI216" s="58">
        <f t="shared" si="359"/>
        <v>0</v>
      </c>
      <c r="GK216" s="58">
        <f>IF(i_baseline_risk_from=2,'Effectiveness settings'!FA216,'Effectiveness settings'!FM216)</f>
        <v>0</v>
      </c>
      <c r="GL216" s="58">
        <f>IF(i_baseline_risk_from=2,'Effectiveness settings'!FB216,'Effectiveness settings'!FN216)</f>
        <v>0</v>
      </c>
      <c r="GM216" s="58">
        <f>IF(i_baseline_risk_from=2,'Effectiveness settings'!FC216,'Effectiveness settings'!FO216)</f>
        <v>0</v>
      </c>
      <c r="GN216" s="58">
        <f>IF(i_baseline_risk_from=2,'Effectiveness settings'!FD216,'Effectiveness settings'!FP216)</f>
        <v>0</v>
      </c>
      <c r="GQ216" s="58">
        <f t="shared" si="379"/>
        <v>0</v>
      </c>
      <c r="GR216" s="58">
        <f t="shared" si="380"/>
        <v>0</v>
      </c>
      <c r="GS216" s="58">
        <f t="shared" si="381"/>
        <v>0</v>
      </c>
      <c r="GT216" s="58">
        <f t="shared" si="382"/>
        <v>0</v>
      </c>
      <c r="GU216" s="58">
        <f>IF(AND(dd_CheckMate214_TTD="Yes",'Effectiveness settings'!BU216=2,'Effectiveness settings'!BX216=2),2,GT216)</f>
        <v>0</v>
      </c>
      <c r="GV216" s="58">
        <f t="shared" si="383"/>
        <v>0</v>
      </c>
      <c r="GW216" s="58">
        <f t="shared" si="384"/>
        <v>0</v>
      </c>
      <c r="GY216" s="58">
        <f>IF(AND(dd_CheckMate214_TTD="Yes",'Effectiveness settings'!BU216=2,'Effectiveness settings'!BX216=2),1,GN216)</f>
        <v>0</v>
      </c>
      <c r="GZ216" s="58">
        <f t="shared" si="385"/>
        <v>0</v>
      </c>
      <c r="HB216" s="58">
        <f t="shared" si="386"/>
        <v>0</v>
      </c>
      <c r="HD216" s="58">
        <f t="shared" si="360"/>
        <v>0</v>
      </c>
      <c r="HE216" s="58">
        <f t="shared" si="361"/>
        <v>0</v>
      </c>
      <c r="HF216" s="58">
        <f t="shared" si="362"/>
        <v>0</v>
      </c>
      <c r="HG216" s="58">
        <f t="shared" si="363"/>
        <v>0</v>
      </c>
      <c r="HH216" s="58">
        <f t="shared" si="364"/>
        <v>0</v>
      </c>
    </row>
    <row r="217" spans="9:216" ht="15.75" hidden="1" x14ac:dyDescent="0.25">
      <c r="I217" s="64"/>
      <c r="J217" s="519"/>
      <c r="K217" s="524"/>
      <c r="L217" s="519"/>
      <c r="M217" s="516"/>
      <c r="N217" s="64"/>
      <c r="O217" s="64"/>
      <c r="P217" s="64"/>
      <c r="Q217" s="519"/>
      <c r="R217" s="516"/>
      <c r="S217" s="497"/>
      <c r="T217" s="497"/>
      <c r="U217" s="497"/>
      <c r="Y217" s="517"/>
      <c r="AA217" s="517"/>
      <c r="AF217" s="517"/>
      <c r="AM217" s="517"/>
      <c r="AO217" s="517"/>
      <c r="AT217" s="517"/>
      <c r="AV217" s="511"/>
      <c r="AW217" s="511"/>
      <c r="AX217" s="511"/>
      <c r="BA217" s="517"/>
      <c r="BC217" s="517"/>
      <c r="BH217" s="517"/>
      <c r="BJ217" s="511"/>
      <c r="BK217" s="511"/>
      <c r="BL217" s="511"/>
      <c r="BQ217" s="58">
        <f t="shared" si="366"/>
        <v>140</v>
      </c>
      <c r="BR217" s="17"/>
      <c r="BS217" s="17"/>
      <c r="BT217" s="17"/>
      <c r="BU217" s="17"/>
      <c r="BV217" s="17"/>
      <c r="BW217" s="17"/>
      <c r="BX217" s="61"/>
      <c r="BY217" s="531"/>
      <c r="BZ217" s="530"/>
      <c r="CA217" s="531"/>
      <c r="CB217" s="530"/>
      <c r="CC217" s="530"/>
      <c r="CD217" s="530"/>
      <c r="CE217" s="1295"/>
      <c r="CF217" s="1301"/>
      <c r="CG217" s="530"/>
      <c r="CH217" s="61"/>
      <c r="CI217" s="61"/>
      <c r="CJ217" s="61"/>
      <c r="DH217" s="58" t="e">
        <f t="shared" si="387"/>
        <v>#N/A</v>
      </c>
      <c r="DK217" s="58" t="str" cm="1">
        <f t="array" ref="DK217">IF(AND($BT217=4,$BX217=4,$BU217=999),$DB$36,_xlfn.IFNA(INDEX(DB$13:DB$70,MATCH(1,($BR217=$CV$13:$CV$70)*($BT217=$CX$13:$CX$70)*($CE217=$CY$13:$CY$70)*($BY217=$DA$13:$DA$70)*($CD217=$DH$13:$DH$70),0)),""))</f>
        <v/>
      </c>
      <c r="DL217" s="58" t="str" cm="1">
        <f t="array" ref="DL217">IF(AND($BT217=4,$BX217=4,$BU217=999),$DC$36,_xlfn.IFNA(INDEX(CHOOSE(DP217,DB$13:DB$70,DC$13:DC$70,DD$13:DD$70,DE$13:DE$70),MATCH(1,($BR217=$CV$13:$CV$70)*($BT217=$CX$13:$CX$70)*($CE217=$CY$13:$CY$70)*($BY217=$DA$13:$DA$70)*($CD217=$DH$13:$DH$70),0)),""))</f>
        <v/>
      </c>
      <c r="DM217" s="740" t="str" cm="1">
        <f t="array" ref="DM217">IF(AND($BT217=4,$BX217=4,$BU217=999),$DD$36,_xlfn.IFNA(INDEX(DD$13:DD$68,MATCH(1,($BR217=$CV$13:$CV$68)*($BT217=$CX$13:$CX$68)*($CE217=$CY$13:$CY$68)*($BY217=$DA$13:$DA$68)*($CD217=$DH$13:$DH$68),0)),""))</f>
        <v/>
      </c>
      <c r="DN217" s="740" t="str" cm="1">
        <f t="array" ref="DN217">IF(AND($BT217=4,$BX217=4,$BU217=999),$DD$36,_xlfn.IFNA(INDEX(DE$13:DE$68,MATCH(1,($BR217=$CV$13:$CV$68)*($BT217=$CX$13:$CX$68)*($CE217=$CY$13:$CY$68)*($BY217=$DA$13:$DA$68)*($CD217=$DH$13:$DH$68),0)),""))</f>
        <v/>
      </c>
      <c r="DO217" s="58" t="str" cm="1">
        <f t="array" ref="DO217">IF(AND($BT217=4,$BX217=4,$BU217=999),$DF$36,_xlfn.IFNA(INDEX(DF$13:DF$70,MATCH(1,($BR217=$CV$13:$CV$70)*($BT217=$CX$13:$CX$70)*($CE217=$CY$13:$CY$70)*($BY217=$DA$13:$DA$70)*($CD217=$DH$13:$DH$70),0)),""))</f>
        <v/>
      </c>
      <c r="DP217" s="58" t="e">
        <f t="shared" si="367"/>
        <v>#N/A</v>
      </c>
      <c r="FT217" s="58">
        <f t="shared" si="368"/>
        <v>0</v>
      </c>
      <c r="FW217" s="58">
        <f>IF(i_baseline_risk_from=2,'Effectiveness settings'!EW217,'Effectiveness settings'!FI217)</f>
        <v>0</v>
      </c>
      <c r="FX217" s="58">
        <f t="shared" si="369"/>
        <v>0</v>
      </c>
      <c r="FY217" s="58">
        <f t="shared" si="370"/>
        <v>0</v>
      </c>
      <c r="FZ217" s="58">
        <f t="shared" si="371"/>
        <v>0</v>
      </c>
      <c r="GA217" s="58">
        <f t="shared" si="372"/>
        <v>0</v>
      </c>
      <c r="GB217" s="58">
        <f t="shared" si="373"/>
        <v>0</v>
      </c>
      <c r="GC217" s="58">
        <f t="shared" si="374"/>
        <v>0</v>
      </c>
      <c r="GD217" s="58">
        <f t="shared" si="375"/>
        <v>0</v>
      </c>
      <c r="GE217" s="58">
        <f>IF(AND(dd_CheckMate214_TTD="Yes",'Effectiveness settings'!BU217=2,'Effectiveness settings'!BX217=2),"Apply HR to",GD217)</f>
        <v>0</v>
      </c>
      <c r="GF217" s="58">
        <f t="shared" si="376"/>
        <v>0</v>
      </c>
      <c r="GG217" s="58">
        <f t="shared" si="377"/>
        <v>0</v>
      </c>
      <c r="GH217" s="58">
        <f t="shared" si="378"/>
        <v>0</v>
      </c>
      <c r="GI217" s="58">
        <f t="shared" si="359"/>
        <v>0</v>
      </c>
      <c r="GK217" s="58">
        <f>IF(i_baseline_risk_from=2,'Effectiveness settings'!FA217,'Effectiveness settings'!FM217)</f>
        <v>0</v>
      </c>
      <c r="GL217" s="58">
        <f>IF(i_baseline_risk_from=2,'Effectiveness settings'!FB217,'Effectiveness settings'!FN217)</f>
        <v>0</v>
      </c>
      <c r="GM217" s="58">
        <f>IF(i_baseline_risk_from=2,'Effectiveness settings'!FC217,'Effectiveness settings'!FO217)</f>
        <v>0</v>
      </c>
      <c r="GN217" s="58">
        <f>IF(i_baseline_risk_from=2,'Effectiveness settings'!FD217,'Effectiveness settings'!FP217)</f>
        <v>0</v>
      </c>
      <c r="GQ217" s="58">
        <f t="shared" si="379"/>
        <v>0</v>
      </c>
      <c r="GR217" s="58">
        <f t="shared" si="380"/>
        <v>0</v>
      </c>
      <c r="GS217" s="58">
        <f t="shared" si="381"/>
        <v>0</v>
      </c>
      <c r="GT217" s="58">
        <f t="shared" si="382"/>
        <v>0</v>
      </c>
      <c r="GU217" s="58">
        <f>IF(AND(dd_CheckMate214_TTD="Yes",'Effectiveness settings'!BU217=2,'Effectiveness settings'!BX217=2),2,GT217)</f>
        <v>0</v>
      </c>
      <c r="GV217" s="58">
        <f t="shared" si="383"/>
        <v>0</v>
      </c>
      <c r="GW217" s="58">
        <f t="shared" si="384"/>
        <v>0</v>
      </c>
      <c r="GY217" s="58">
        <f>IF(AND(dd_CheckMate214_TTD="Yes",'Effectiveness settings'!BU217=2,'Effectiveness settings'!BX217=2),1,GN217)</f>
        <v>0</v>
      </c>
      <c r="GZ217" s="58">
        <f t="shared" si="385"/>
        <v>0</v>
      </c>
      <c r="HB217" s="58">
        <f t="shared" si="386"/>
        <v>0</v>
      </c>
      <c r="HD217" s="58">
        <f t="shared" si="360"/>
        <v>0</v>
      </c>
      <c r="HE217" s="58">
        <f t="shared" si="361"/>
        <v>0</v>
      </c>
      <c r="HF217" s="58">
        <f t="shared" si="362"/>
        <v>0</v>
      </c>
      <c r="HG217" s="58">
        <f t="shared" si="363"/>
        <v>0</v>
      </c>
      <c r="HH217" s="58">
        <f t="shared" si="364"/>
        <v>0</v>
      </c>
    </row>
    <row r="218" spans="9:216" ht="15.75" hidden="1" x14ac:dyDescent="0.25">
      <c r="I218" s="64"/>
      <c r="J218" s="519"/>
      <c r="K218" s="524"/>
      <c r="L218" s="519"/>
      <c r="M218" s="516"/>
      <c r="N218" s="64"/>
      <c r="O218" s="64"/>
      <c r="P218" s="64"/>
      <c r="Q218" s="519"/>
      <c r="R218" s="516"/>
      <c r="S218" s="497"/>
      <c r="T218" s="497"/>
      <c r="U218" s="497"/>
      <c r="Y218" s="517"/>
      <c r="AA218" s="517"/>
      <c r="AF218" s="517"/>
      <c r="AM218" s="517"/>
      <c r="AO218" s="517"/>
      <c r="AT218" s="517"/>
      <c r="AV218" s="511"/>
      <c r="AW218" s="511"/>
      <c r="AX218" s="511"/>
      <c r="BA218" s="517"/>
      <c r="BC218" s="517"/>
      <c r="BH218" s="517"/>
      <c r="BJ218" s="511"/>
      <c r="BK218" s="511"/>
      <c r="BL218" s="511"/>
      <c r="BQ218" s="58">
        <f t="shared" si="366"/>
        <v>140</v>
      </c>
      <c r="BR218" s="17"/>
      <c r="BS218" s="17"/>
      <c r="BT218" s="17"/>
      <c r="BU218" s="17"/>
      <c r="BV218" s="17"/>
      <c r="BW218" s="17"/>
      <c r="BX218" s="61"/>
      <c r="BY218" s="531"/>
      <c r="BZ218" s="530"/>
      <c r="CA218" s="531"/>
      <c r="CB218" s="530"/>
      <c r="CC218" s="530"/>
      <c r="CD218" s="530"/>
      <c r="CE218" s="1295"/>
      <c r="CF218" s="1301"/>
      <c r="CG218" s="530"/>
      <c r="CH218" s="61"/>
      <c r="CI218" s="61"/>
      <c r="CJ218" s="61"/>
      <c r="DH218" s="58" t="e">
        <f t="shared" si="387"/>
        <v>#N/A</v>
      </c>
      <c r="DK218" s="58" t="str" cm="1">
        <f t="array" ref="DK218">IF(AND($BT218=4,$BX218=4,$BU218=999),$DB$36,_xlfn.IFNA(INDEX(DB$13:DB$70,MATCH(1,($BR218=$CV$13:$CV$70)*($BT218=$CX$13:$CX$70)*($CE218=$CY$13:$CY$70)*($BY218=$DA$13:$DA$70)*($CD218=$DH$13:$DH$70),0)),""))</f>
        <v/>
      </c>
      <c r="DL218" s="58" t="str" cm="1">
        <f t="array" ref="DL218">IF(AND($BT218=4,$BX218=4,$BU218=999),$DC$36,_xlfn.IFNA(INDEX(CHOOSE(DP218,DB$13:DB$70,DC$13:DC$70,DD$13:DD$70,DE$13:DE$70),MATCH(1,($BR218=$CV$13:$CV$70)*($BT218=$CX$13:$CX$70)*($CE218=$CY$13:$CY$70)*($BY218=$DA$13:$DA$70)*($CD218=$DH$13:$DH$70),0)),""))</f>
        <v/>
      </c>
      <c r="DM218" s="740" t="str" cm="1">
        <f t="array" ref="DM218">IF(AND($BT218=4,$BX218=4,$BU218=999),$DD$36,_xlfn.IFNA(INDEX(DD$13:DD$68,MATCH(1,($BR218=$CV$13:$CV$68)*($BT218=$CX$13:$CX$68)*($CE218=$CY$13:$CY$68)*($BY218=$DA$13:$DA$68)*($CD218=$DH$13:$DH$68),0)),""))</f>
        <v/>
      </c>
      <c r="DN218" s="740" t="str" cm="1">
        <f t="array" ref="DN218">IF(AND($BT218=4,$BX218=4,$BU218=999),$DD$36,_xlfn.IFNA(INDEX(DE$13:DE$68,MATCH(1,($BR218=$CV$13:$CV$68)*($BT218=$CX$13:$CX$68)*($CE218=$CY$13:$CY$68)*($BY218=$DA$13:$DA$68)*($CD218=$DH$13:$DH$68),0)),""))</f>
        <v/>
      </c>
      <c r="DO218" s="58" t="str" cm="1">
        <f t="array" ref="DO218">IF(AND($BT218=4,$BX218=4,$BU218=999),$DF$36,_xlfn.IFNA(INDEX(DF$13:DF$70,MATCH(1,($BR218=$CV$13:$CV$70)*($BT218=$CX$13:$CX$70)*($CE218=$CY$13:$CY$70)*($BY218=$DA$13:$DA$70)*($CD218=$DH$13:$DH$70),0)),""))</f>
        <v/>
      </c>
      <c r="DP218" s="58" t="e">
        <f t="shared" si="367"/>
        <v>#N/A</v>
      </c>
      <c r="FT218" s="58">
        <f t="shared" si="368"/>
        <v>0</v>
      </c>
      <c r="FW218" s="58">
        <f>IF(i_baseline_risk_from=2,'Effectiveness settings'!EW218,'Effectiveness settings'!FI218)</f>
        <v>0</v>
      </c>
      <c r="FX218" s="58">
        <f t="shared" si="369"/>
        <v>0</v>
      </c>
      <c r="FY218" s="58">
        <f t="shared" si="370"/>
        <v>0</v>
      </c>
      <c r="FZ218" s="58">
        <f t="shared" si="371"/>
        <v>0</v>
      </c>
      <c r="GA218" s="58">
        <f t="shared" si="372"/>
        <v>0</v>
      </c>
      <c r="GB218" s="58">
        <f t="shared" si="373"/>
        <v>0</v>
      </c>
      <c r="GC218" s="58">
        <f t="shared" si="374"/>
        <v>0</v>
      </c>
      <c r="GD218" s="58">
        <f t="shared" si="375"/>
        <v>0</v>
      </c>
      <c r="GE218" s="58">
        <f>IF(AND(dd_CheckMate214_TTD="Yes",'Effectiveness settings'!BU218=2,'Effectiveness settings'!BX218=2),"Apply HR to",GD218)</f>
        <v>0</v>
      </c>
      <c r="GF218" s="58">
        <f t="shared" si="376"/>
        <v>0</v>
      </c>
      <c r="GG218" s="58">
        <f t="shared" si="377"/>
        <v>0</v>
      </c>
      <c r="GH218" s="58">
        <f t="shared" si="378"/>
        <v>0</v>
      </c>
      <c r="GI218" s="58">
        <f t="shared" si="359"/>
        <v>0</v>
      </c>
      <c r="GK218" s="58">
        <f>IF(i_baseline_risk_from=2,'Effectiveness settings'!FA218,'Effectiveness settings'!FM218)</f>
        <v>0</v>
      </c>
      <c r="GL218" s="58">
        <f>IF(i_baseline_risk_from=2,'Effectiveness settings'!FB218,'Effectiveness settings'!FN218)</f>
        <v>0</v>
      </c>
      <c r="GM218" s="58">
        <f>IF(i_baseline_risk_from=2,'Effectiveness settings'!FC218,'Effectiveness settings'!FO218)</f>
        <v>0</v>
      </c>
      <c r="GN218" s="58">
        <f>IF(i_baseline_risk_from=2,'Effectiveness settings'!FD218,'Effectiveness settings'!FP218)</f>
        <v>0</v>
      </c>
      <c r="GQ218" s="58">
        <f t="shared" si="379"/>
        <v>0</v>
      </c>
      <c r="GR218" s="58">
        <f t="shared" si="380"/>
        <v>0</v>
      </c>
      <c r="GS218" s="58">
        <f t="shared" si="381"/>
        <v>0</v>
      </c>
      <c r="GT218" s="58">
        <f t="shared" si="382"/>
        <v>0</v>
      </c>
      <c r="GU218" s="58">
        <f>IF(AND(dd_CheckMate214_TTD="Yes",'Effectiveness settings'!BU218=2,'Effectiveness settings'!BX218=2),2,GT218)</f>
        <v>0</v>
      </c>
      <c r="GV218" s="58">
        <f t="shared" si="383"/>
        <v>0</v>
      </c>
      <c r="GW218" s="58">
        <f t="shared" si="384"/>
        <v>0</v>
      </c>
      <c r="GY218" s="58">
        <f>IF(AND(dd_CheckMate214_TTD="Yes",'Effectiveness settings'!BU218=2,'Effectiveness settings'!BX218=2),1,GN218)</f>
        <v>0</v>
      </c>
      <c r="GZ218" s="58">
        <f t="shared" si="385"/>
        <v>0</v>
      </c>
      <c r="HB218" s="58">
        <f t="shared" si="386"/>
        <v>0</v>
      </c>
      <c r="HD218" s="58">
        <f t="shared" si="360"/>
        <v>0</v>
      </c>
      <c r="HE218" s="58">
        <f t="shared" si="361"/>
        <v>0</v>
      </c>
      <c r="HF218" s="58">
        <f t="shared" si="362"/>
        <v>0</v>
      </c>
      <c r="HG218" s="58">
        <f t="shared" si="363"/>
        <v>0</v>
      </c>
      <c r="HH218" s="58">
        <f t="shared" si="364"/>
        <v>0</v>
      </c>
    </row>
    <row r="219" spans="9:216" ht="15.75" hidden="1" x14ac:dyDescent="0.25">
      <c r="I219" s="64"/>
      <c r="J219" s="519"/>
      <c r="K219" s="524"/>
      <c r="L219" s="519"/>
      <c r="M219" s="516"/>
      <c r="N219" s="64"/>
      <c r="O219" s="64"/>
      <c r="P219" s="64"/>
      <c r="Q219" s="519"/>
      <c r="R219" s="516"/>
      <c r="S219" s="497"/>
      <c r="T219" s="497"/>
      <c r="U219" s="497"/>
      <c r="Y219" s="517"/>
      <c r="AA219" s="517"/>
      <c r="AF219" s="517"/>
      <c r="AM219" s="517"/>
      <c r="AO219" s="517"/>
      <c r="AT219" s="517"/>
      <c r="AV219" s="511"/>
      <c r="AW219" s="511"/>
      <c r="AX219" s="511"/>
      <c r="BA219" s="517"/>
      <c r="BC219" s="517"/>
      <c r="BH219" s="517"/>
      <c r="BJ219" s="511"/>
      <c r="BK219" s="511"/>
      <c r="BL219" s="511"/>
      <c r="BQ219" s="58">
        <f t="shared" si="366"/>
        <v>140</v>
      </c>
      <c r="BR219" s="17"/>
      <c r="BS219" s="17"/>
      <c r="BT219" s="17"/>
      <c r="BU219" s="17"/>
      <c r="BV219" s="17"/>
      <c r="BW219" s="17"/>
      <c r="BX219" s="61"/>
      <c r="BY219" s="531"/>
      <c r="BZ219" s="530"/>
      <c r="CA219" s="531"/>
      <c r="CB219" s="530"/>
      <c r="CC219" s="530"/>
      <c r="CD219" s="530"/>
      <c r="CE219" s="1295"/>
      <c r="CF219" s="1301"/>
      <c r="CG219" s="530"/>
      <c r="CH219" s="61"/>
      <c r="CI219" s="61"/>
      <c r="CJ219" s="61"/>
      <c r="DH219" s="58" t="e">
        <f t="shared" si="387"/>
        <v>#N/A</v>
      </c>
      <c r="DK219" s="58" t="str" cm="1">
        <f t="array" ref="DK219">IF(AND($BT219=4,$BX219=4,$BU219=999),$DB$36,_xlfn.IFNA(INDEX(DB$13:DB$70,MATCH(1,($BR219=$CV$13:$CV$70)*($BT219=$CX$13:$CX$70)*($CE219=$CY$13:$CY$70)*($BY219=$DA$13:$DA$70)*($CD219=$DH$13:$DH$70),0)),""))</f>
        <v/>
      </c>
      <c r="DL219" s="58" t="str" cm="1">
        <f t="array" ref="DL219">IF(AND($BT219=4,$BX219=4,$BU219=999),$DC$36,_xlfn.IFNA(INDEX(CHOOSE(DP219,DB$13:DB$70,DC$13:DC$70,DD$13:DD$70,DE$13:DE$70),MATCH(1,($BR219=$CV$13:$CV$70)*($BT219=$CX$13:$CX$70)*($CE219=$CY$13:$CY$70)*($BY219=$DA$13:$DA$70)*($CD219=$DH$13:$DH$70),0)),""))</f>
        <v/>
      </c>
      <c r="DM219" s="740" t="str" cm="1">
        <f t="array" ref="DM219">IF(AND($BT219=4,$BX219=4,$BU219=999),$DD$36,_xlfn.IFNA(INDEX(DD$13:DD$68,MATCH(1,($BR219=$CV$13:$CV$68)*($BT219=$CX$13:$CX$68)*($CE219=$CY$13:$CY$68)*($BY219=$DA$13:$DA$68)*($CD219=$DH$13:$DH$68),0)),""))</f>
        <v/>
      </c>
      <c r="DN219" s="740" t="str" cm="1">
        <f t="array" ref="DN219">IF(AND($BT219=4,$BX219=4,$BU219=999),$DD$36,_xlfn.IFNA(INDEX(DE$13:DE$68,MATCH(1,($BR219=$CV$13:$CV$68)*($BT219=$CX$13:$CX$68)*($CE219=$CY$13:$CY$68)*($BY219=$DA$13:$DA$68)*($CD219=$DH$13:$DH$68),0)),""))</f>
        <v/>
      </c>
      <c r="DO219" s="58" t="str" cm="1">
        <f t="array" ref="DO219">IF(AND($BT219=4,$BX219=4,$BU219=999),$DF$36,_xlfn.IFNA(INDEX(DF$13:DF$70,MATCH(1,($BR219=$CV$13:$CV$70)*($BT219=$CX$13:$CX$70)*($CE219=$CY$13:$CY$70)*($BY219=$DA$13:$DA$70)*($CD219=$DH$13:$DH$70),0)),""))</f>
        <v/>
      </c>
      <c r="DP219" s="58" t="e">
        <f t="shared" si="367"/>
        <v>#N/A</v>
      </c>
      <c r="FT219" s="58">
        <f t="shared" si="368"/>
        <v>0</v>
      </c>
      <c r="FW219" s="58">
        <f>IF(i_baseline_risk_from=2,'Effectiveness settings'!EW219,'Effectiveness settings'!FI219)</f>
        <v>0</v>
      </c>
      <c r="FX219" s="58">
        <f t="shared" si="369"/>
        <v>0</v>
      </c>
      <c r="FY219" s="58">
        <f t="shared" si="370"/>
        <v>0</v>
      </c>
      <c r="FZ219" s="58">
        <f t="shared" si="371"/>
        <v>0</v>
      </c>
      <c r="GA219" s="58">
        <f t="shared" si="372"/>
        <v>0</v>
      </c>
      <c r="GB219" s="58">
        <f t="shared" si="373"/>
        <v>0</v>
      </c>
      <c r="GC219" s="58">
        <f t="shared" si="374"/>
        <v>0</v>
      </c>
      <c r="GD219" s="58">
        <f t="shared" si="375"/>
        <v>0</v>
      </c>
      <c r="GE219" s="58">
        <f>IF(AND(dd_CheckMate214_TTD="Yes",'Effectiveness settings'!BU219=2,'Effectiveness settings'!BX219=2),"Apply HR to",GD219)</f>
        <v>0</v>
      </c>
      <c r="GF219" s="58">
        <f t="shared" si="376"/>
        <v>0</v>
      </c>
      <c r="GG219" s="58">
        <f t="shared" si="377"/>
        <v>0</v>
      </c>
      <c r="GH219" s="58">
        <f t="shared" si="378"/>
        <v>0</v>
      </c>
      <c r="GI219" s="58">
        <f t="shared" si="359"/>
        <v>0</v>
      </c>
      <c r="GK219" s="58">
        <f>IF(i_baseline_risk_from=2,'Effectiveness settings'!FA219,'Effectiveness settings'!FM219)</f>
        <v>0</v>
      </c>
      <c r="GL219" s="58">
        <f>IF(i_baseline_risk_from=2,'Effectiveness settings'!FB219,'Effectiveness settings'!FN219)</f>
        <v>0</v>
      </c>
      <c r="GM219" s="58">
        <f>IF(i_baseline_risk_from=2,'Effectiveness settings'!FC219,'Effectiveness settings'!FO219)</f>
        <v>0</v>
      </c>
      <c r="GN219" s="58">
        <f>IF(i_baseline_risk_from=2,'Effectiveness settings'!FD219,'Effectiveness settings'!FP219)</f>
        <v>0</v>
      </c>
      <c r="GQ219" s="58">
        <f t="shared" si="379"/>
        <v>0</v>
      </c>
      <c r="GR219" s="58">
        <f t="shared" si="380"/>
        <v>0</v>
      </c>
      <c r="GS219" s="58">
        <f t="shared" si="381"/>
        <v>0</v>
      </c>
      <c r="GT219" s="58">
        <f t="shared" si="382"/>
        <v>0</v>
      </c>
      <c r="GU219" s="58">
        <f>IF(AND(dd_CheckMate214_TTD="Yes",'Effectiveness settings'!BU219=2,'Effectiveness settings'!BX219=2),2,GT219)</f>
        <v>0</v>
      </c>
      <c r="GV219" s="58">
        <f t="shared" si="383"/>
        <v>0</v>
      </c>
      <c r="GW219" s="58">
        <f t="shared" si="384"/>
        <v>0</v>
      </c>
      <c r="GY219" s="58">
        <f>IF(AND(dd_CheckMate214_TTD="Yes",'Effectiveness settings'!BU219=2,'Effectiveness settings'!BX219=2),1,GN219)</f>
        <v>0</v>
      </c>
      <c r="GZ219" s="58">
        <f t="shared" si="385"/>
        <v>0</v>
      </c>
      <c r="HB219" s="58">
        <f t="shared" si="386"/>
        <v>0</v>
      </c>
      <c r="HD219" s="58">
        <f t="shared" si="360"/>
        <v>0</v>
      </c>
      <c r="HE219" s="58">
        <f t="shared" si="361"/>
        <v>0</v>
      </c>
      <c r="HF219" s="58">
        <f t="shared" si="362"/>
        <v>0</v>
      </c>
      <c r="HG219" s="58">
        <f t="shared" si="363"/>
        <v>0</v>
      </c>
      <c r="HH219" s="58">
        <f t="shared" si="364"/>
        <v>0</v>
      </c>
    </row>
    <row r="220" spans="9:216" ht="15.75" hidden="1" x14ac:dyDescent="0.25">
      <c r="I220" s="64"/>
      <c r="J220" s="519"/>
      <c r="K220" s="524"/>
      <c r="L220" s="519"/>
      <c r="M220" s="516"/>
      <c r="N220" s="64"/>
      <c r="O220" s="64"/>
      <c r="P220" s="64"/>
      <c r="Q220" s="519"/>
      <c r="R220" s="516"/>
      <c r="S220" s="497"/>
      <c r="T220" s="497"/>
      <c r="U220" s="497"/>
      <c r="Y220" s="517"/>
      <c r="AA220" s="517"/>
      <c r="AF220" s="517"/>
      <c r="AM220" s="517"/>
      <c r="AO220" s="517"/>
      <c r="AT220" s="517"/>
      <c r="AV220" s="511"/>
      <c r="AW220" s="511"/>
      <c r="AX220" s="511"/>
      <c r="BA220" s="517"/>
      <c r="BC220" s="517"/>
      <c r="BH220" s="517"/>
      <c r="BJ220" s="511"/>
      <c r="BK220" s="511"/>
      <c r="BL220" s="511"/>
      <c r="BQ220" s="58">
        <f t="shared" si="366"/>
        <v>140</v>
      </c>
      <c r="BR220" s="17"/>
      <c r="BS220" s="17"/>
      <c r="BT220" s="17"/>
      <c r="BU220" s="17"/>
      <c r="BV220" s="17"/>
      <c r="BW220" s="17"/>
      <c r="BX220" s="61"/>
      <c r="BY220" s="531"/>
      <c r="BZ220" s="530"/>
      <c r="CA220" s="531"/>
      <c r="CB220" s="530"/>
      <c r="CC220" s="530"/>
      <c r="CD220" s="530"/>
      <c r="CE220" s="1295"/>
      <c r="CF220" s="1301"/>
      <c r="CG220" s="530"/>
      <c r="CH220" s="61"/>
      <c r="CI220" s="61"/>
      <c r="CJ220" s="61"/>
      <c r="DH220" s="58" t="e">
        <f t="shared" si="387"/>
        <v>#N/A</v>
      </c>
      <c r="DK220" s="58" t="str" cm="1">
        <f t="array" ref="DK220">IF(AND($BT220=4,$BX220=4,$BU220=999),$DB$36,_xlfn.IFNA(INDEX(DB$13:DB$70,MATCH(1,($BR220=$CV$13:$CV$70)*($BT220=$CX$13:$CX$70)*($CE220=$CY$13:$CY$70)*($BY220=$DA$13:$DA$70)*($CD220=$DH$13:$DH$70),0)),""))</f>
        <v/>
      </c>
      <c r="DL220" s="58" t="str" cm="1">
        <f t="array" ref="DL220">IF(AND($BT220=4,$BX220=4,$BU220=999),$DC$36,_xlfn.IFNA(INDEX(CHOOSE(DP220,DB$13:DB$70,DC$13:DC$70,DD$13:DD$70,DE$13:DE$70),MATCH(1,($BR220=$CV$13:$CV$70)*($BT220=$CX$13:$CX$70)*($CE220=$CY$13:$CY$70)*($BY220=$DA$13:$DA$70)*($CD220=$DH$13:$DH$70),0)),""))</f>
        <v/>
      </c>
      <c r="DM220" s="740" t="str" cm="1">
        <f t="array" ref="DM220">IF(AND($BT220=4,$BX220=4,$BU220=999),$DD$36,_xlfn.IFNA(INDEX(DD$13:DD$68,MATCH(1,($BR220=$CV$13:$CV$68)*($BT220=$CX$13:$CX$68)*($CE220=$CY$13:$CY$68)*($BY220=$DA$13:$DA$68)*($CD220=$DH$13:$DH$68),0)),""))</f>
        <v/>
      </c>
      <c r="DN220" s="740" t="str" cm="1">
        <f t="array" ref="DN220">IF(AND($BT220=4,$BX220=4,$BU220=999),$DD$36,_xlfn.IFNA(INDEX(DE$13:DE$68,MATCH(1,($BR220=$CV$13:$CV$68)*($BT220=$CX$13:$CX$68)*($CE220=$CY$13:$CY$68)*($BY220=$DA$13:$DA$68)*($CD220=$DH$13:$DH$68),0)),""))</f>
        <v/>
      </c>
      <c r="DO220" s="58" t="str" cm="1">
        <f t="array" ref="DO220">IF(AND($BT220=4,$BX220=4,$BU220=999),$DF$36,_xlfn.IFNA(INDEX(DF$13:DF$70,MATCH(1,($BR220=$CV$13:$CV$70)*($BT220=$CX$13:$CX$70)*($CE220=$CY$13:$CY$70)*($BY220=$DA$13:$DA$70)*($CD220=$DH$13:$DH$70),0)),""))</f>
        <v/>
      </c>
      <c r="DP220" s="58" t="e">
        <f t="shared" si="367"/>
        <v>#N/A</v>
      </c>
      <c r="FT220" s="58">
        <f t="shared" si="368"/>
        <v>0</v>
      </c>
      <c r="FW220" s="58">
        <f>IF(i_baseline_risk_from=2,'Effectiveness settings'!EW220,'Effectiveness settings'!FI220)</f>
        <v>0</v>
      </c>
      <c r="FX220" s="58">
        <f t="shared" si="369"/>
        <v>0</v>
      </c>
      <c r="FY220" s="58">
        <f t="shared" si="370"/>
        <v>0</v>
      </c>
      <c r="FZ220" s="58">
        <f t="shared" si="371"/>
        <v>0</v>
      </c>
      <c r="GA220" s="58">
        <f t="shared" si="372"/>
        <v>0</v>
      </c>
      <c r="GB220" s="58">
        <f t="shared" si="373"/>
        <v>0</v>
      </c>
      <c r="GC220" s="58">
        <f t="shared" si="374"/>
        <v>0</v>
      </c>
      <c r="GD220" s="58">
        <f t="shared" si="375"/>
        <v>0</v>
      </c>
      <c r="GE220" s="58">
        <f>IF(AND(dd_CheckMate214_TTD="Yes",'Effectiveness settings'!BU220=2,'Effectiveness settings'!BX220=2),"Apply HR to",GD220)</f>
        <v>0</v>
      </c>
      <c r="GF220" s="58">
        <f t="shared" si="376"/>
        <v>0</v>
      </c>
      <c r="GG220" s="58">
        <f t="shared" si="377"/>
        <v>0</v>
      </c>
      <c r="GH220" s="58">
        <f t="shared" si="378"/>
        <v>0</v>
      </c>
      <c r="GI220" s="58">
        <f t="shared" si="359"/>
        <v>0</v>
      </c>
      <c r="GK220" s="58">
        <f>IF(i_baseline_risk_from=2,'Effectiveness settings'!FA220,'Effectiveness settings'!FM220)</f>
        <v>0</v>
      </c>
      <c r="GL220" s="58">
        <f>IF(i_baseline_risk_from=2,'Effectiveness settings'!FB220,'Effectiveness settings'!FN220)</f>
        <v>0</v>
      </c>
      <c r="GM220" s="58">
        <f>IF(i_baseline_risk_from=2,'Effectiveness settings'!FC220,'Effectiveness settings'!FO220)</f>
        <v>0</v>
      </c>
      <c r="GN220" s="58">
        <f>IF(i_baseline_risk_from=2,'Effectiveness settings'!FD220,'Effectiveness settings'!FP220)</f>
        <v>0</v>
      </c>
      <c r="GQ220" s="58">
        <f t="shared" si="379"/>
        <v>0</v>
      </c>
      <c r="GR220" s="58">
        <f t="shared" si="380"/>
        <v>0</v>
      </c>
      <c r="GS220" s="58">
        <f t="shared" si="381"/>
        <v>0</v>
      </c>
      <c r="GT220" s="58">
        <f t="shared" si="382"/>
        <v>0</v>
      </c>
      <c r="GU220" s="58">
        <f>IF(AND(dd_CheckMate214_TTD="Yes",'Effectiveness settings'!BU220=2,'Effectiveness settings'!BX220=2),2,GT220)</f>
        <v>0</v>
      </c>
      <c r="GV220" s="58">
        <f t="shared" si="383"/>
        <v>0</v>
      </c>
      <c r="GW220" s="58">
        <f t="shared" si="384"/>
        <v>0</v>
      </c>
      <c r="GY220" s="58">
        <f>IF(AND(dd_CheckMate214_TTD="Yes",'Effectiveness settings'!BU220=2,'Effectiveness settings'!BX220=2),1,GN220)</f>
        <v>0</v>
      </c>
      <c r="GZ220" s="58">
        <f t="shared" si="385"/>
        <v>0</v>
      </c>
      <c r="HB220" s="58">
        <f t="shared" si="386"/>
        <v>0</v>
      </c>
      <c r="HD220" s="58">
        <f t="shared" si="360"/>
        <v>0</v>
      </c>
      <c r="HE220" s="58">
        <f t="shared" si="361"/>
        <v>0</v>
      </c>
      <c r="HF220" s="58">
        <f t="shared" si="362"/>
        <v>0</v>
      </c>
      <c r="HG220" s="58">
        <f t="shared" si="363"/>
        <v>0</v>
      </c>
      <c r="HH220" s="58">
        <f t="shared" si="364"/>
        <v>0</v>
      </c>
    </row>
    <row r="221" spans="9:216" ht="15.75" hidden="1" x14ac:dyDescent="0.25">
      <c r="I221" s="64"/>
      <c r="J221" s="519"/>
      <c r="K221" s="524"/>
      <c r="L221" s="519"/>
      <c r="M221" s="516"/>
      <c r="N221" s="64"/>
      <c r="O221" s="64"/>
      <c r="P221" s="64"/>
      <c r="Q221" s="519"/>
      <c r="R221" s="516"/>
      <c r="S221" s="497"/>
      <c r="T221" s="497"/>
      <c r="U221" s="497"/>
      <c r="Y221" s="517"/>
      <c r="AA221" s="517"/>
      <c r="AF221" s="517"/>
      <c r="AM221" s="517"/>
      <c r="AO221" s="517"/>
      <c r="AT221" s="517"/>
      <c r="AV221" s="511"/>
      <c r="AW221" s="511"/>
      <c r="AX221" s="511"/>
      <c r="BA221" s="517"/>
      <c r="BC221" s="517"/>
      <c r="BH221" s="517"/>
      <c r="BJ221" s="511"/>
      <c r="BK221" s="511"/>
      <c r="BL221" s="511"/>
      <c r="BQ221" s="58">
        <f t="shared" si="366"/>
        <v>140</v>
      </c>
      <c r="BR221" s="17"/>
      <c r="BS221" s="17"/>
      <c r="BT221" s="17"/>
      <c r="BU221" s="17"/>
      <c r="BV221" s="17"/>
      <c r="BW221" s="17"/>
      <c r="BX221" s="61"/>
      <c r="BY221" s="531"/>
      <c r="BZ221" s="530"/>
      <c r="CA221" s="531"/>
      <c r="CB221" s="530"/>
      <c r="CC221" s="530"/>
      <c r="CD221" s="530"/>
      <c r="CE221" s="1295"/>
      <c r="CF221" s="1301"/>
      <c r="CG221" s="530"/>
      <c r="CH221" s="61"/>
      <c r="CI221" s="61"/>
      <c r="CJ221" s="61"/>
      <c r="DH221" s="58" t="e">
        <f t="shared" si="387"/>
        <v>#N/A</v>
      </c>
      <c r="DK221" s="58" t="str" cm="1">
        <f t="array" ref="DK221">IF(AND($BT221=4,$BX221=4,$BU221=999),$DB$36,_xlfn.IFNA(INDEX(DB$13:DB$70,MATCH(1,($BR221=$CV$13:$CV$70)*($BT221=$CX$13:$CX$70)*($CE221=$CY$13:$CY$70)*($BY221=$DA$13:$DA$70)*($CD221=$DH$13:$DH$70),0)),""))</f>
        <v/>
      </c>
      <c r="DL221" s="58" t="str" cm="1">
        <f t="array" ref="DL221">IF(AND($BT221=4,$BX221=4,$BU221=999),$DC$36,_xlfn.IFNA(INDEX(CHOOSE(DP221,DB$13:DB$70,DC$13:DC$70,DD$13:DD$70,DE$13:DE$70),MATCH(1,($BR221=$CV$13:$CV$70)*($BT221=$CX$13:$CX$70)*($CE221=$CY$13:$CY$70)*($BY221=$DA$13:$DA$70)*($CD221=$DH$13:$DH$70),0)),""))</f>
        <v/>
      </c>
      <c r="DM221" s="740" t="str" cm="1">
        <f t="array" ref="DM221">IF(AND($BT221=4,$BX221=4,$BU221=999),$DD$36,_xlfn.IFNA(INDEX(DD$13:DD$68,MATCH(1,($BR221=$CV$13:$CV$68)*($BT221=$CX$13:$CX$68)*($CE221=$CY$13:$CY$68)*($BY221=$DA$13:$DA$68)*($CD221=$DH$13:$DH$68),0)),""))</f>
        <v/>
      </c>
      <c r="DN221" s="740" t="str" cm="1">
        <f t="array" ref="DN221">IF(AND($BT221=4,$BX221=4,$BU221=999),$DD$36,_xlfn.IFNA(INDEX(DE$13:DE$68,MATCH(1,($BR221=$CV$13:$CV$68)*($BT221=$CX$13:$CX$68)*($CE221=$CY$13:$CY$68)*($BY221=$DA$13:$DA$68)*($CD221=$DH$13:$DH$68),0)),""))</f>
        <v/>
      </c>
      <c r="DO221" s="58" t="str" cm="1">
        <f t="array" ref="DO221">IF(AND($BT221=4,$BX221=4,$BU221=999),$DF$36,_xlfn.IFNA(INDEX(DF$13:DF$70,MATCH(1,($BR221=$CV$13:$CV$70)*($BT221=$CX$13:$CX$70)*($CE221=$CY$13:$CY$70)*($BY221=$DA$13:$DA$70)*($CD221=$DH$13:$DH$70),0)),""))</f>
        <v/>
      </c>
      <c r="DP221" s="58" t="e">
        <f t="shared" si="367"/>
        <v>#N/A</v>
      </c>
      <c r="FT221" s="58">
        <f t="shared" si="368"/>
        <v>0</v>
      </c>
      <c r="FW221" s="58">
        <f>IF(i_baseline_risk_from=2,'Effectiveness settings'!EW221,'Effectiveness settings'!FI221)</f>
        <v>0</v>
      </c>
      <c r="FX221" s="58">
        <f t="shared" si="369"/>
        <v>0</v>
      </c>
      <c r="FY221" s="58">
        <f t="shared" si="370"/>
        <v>0</v>
      </c>
      <c r="FZ221" s="58">
        <f t="shared" si="371"/>
        <v>0</v>
      </c>
      <c r="GA221" s="58">
        <f t="shared" si="372"/>
        <v>0</v>
      </c>
      <c r="GB221" s="58">
        <f t="shared" si="373"/>
        <v>0</v>
      </c>
      <c r="GC221" s="58">
        <f t="shared" si="374"/>
        <v>0</v>
      </c>
      <c r="GD221" s="58">
        <f t="shared" si="375"/>
        <v>0</v>
      </c>
      <c r="GE221" s="58">
        <f>IF(AND(dd_CheckMate214_TTD="Yes",'Effectiveness settings'!BU221=2,'Effectiveness settings'!BX221=2),"Apply HR to",GD221)</f>
        <v>0</v>
      </c>
      <c r="GF221" s="58">
        <f t="shared" si="376"/>
        <v>0</v>
      </c>
      <c r="GG221" s="58">
        <f t="shared" si="377"/>
        <v>0</v>
      </c>
      <c r="GH221" s="58">
        <f t="shared" si="378"/>
        <v>0</v>
      </c>
      <c r="GI221" s="58">
        <f t="shared" si="359"/>
        <v>0</v>
      </c>
      <c r="GK221" s="58">
        <f>IF(i_baseline_risk_from=2,'Effectiveness settings'!FA221,'Effectiveness settings'!FM221)</f>
        <v>0</v>
      </c>
      <c r="GL221" s="58">
        <f>IF(i_baseline_risk_from=2,'Effectiveness settings'!FB221,'Effectiveness settings'!FN221)</f>
        <v>0</v>
      </c>
      <c r="GM221" s="58">
        <f>IF(i_baseline_risk_from=2,'Effectiveness settings'!FC221,'Effectiveness settings'!FO221)</f>
        <v>0</v>
      </c>
      <c r="GN221" s="58">
        <f>IF(i_baseline_risk_from=2,'Effectiveness settings'!FD221,'Effectiveness settings'!FP221)</f>
        <v>0</v>
      </c>
      <c r="GQ221" s="58">
        <f t="shared" si="379"/>
        <v>0</v>
      </c>
      <c r="GR221" s="58">
        <f t="shared" si="380"/>
        <v>0</v>
      </c>
      <c r="GS221" s="58">
        <f t="shared" si="381"/>
        <v>0</v>
      </c>
      <c r="GT221" s="58">
        <f t="shared" si="382"/>
        <v>0</v>
      </c>
      <c r="GU221" s="58">
        <f>IF(AND(dd_CheckMate214_TTD="Yes",'Effectiveness settings'!BU221=2,'Effectiveness settings'!BX221=2),2,GT221)</f>
        <v>0</v>
      </c>
      <c r="GV221" s="58">
        <f t="shared" si="383"/>
        <v>0</v>
      </c>
      <c r="GW221" s="58">
        <f t="shared" si="384"/>
        <v>0</v>
      </c>
      <c r="GY221" s="58">
        <f>IF(AND(dd_CheckMate214_TTD="Yes",'Effectiveness settings'!BU221=2,'Effectiveness settings'!BX221=2),1,GN221)</f>
        <v>0</v>
      </c>
      <c r="GZ221" s="58">
        <f t="shared" si="385"/>
        <v>0</v>
      </c>
      <c r="HB221" s="58">
        <f t="shared" si="386"/>
        <v>0</v>
      </c>
      <c r="HD221" s="58">
        <f t="shared" si="360"/>
        <v>0</v>
      </c>
      <c r="HE221" s="58">
        <f t="shared" si="361"/>
        <v>0</v>
      </c>
      <c r="HF221" s="58">
        <f t="shared" si="362"/>
        <v>0</v>
      </c>
      <c r="HG221" s="58">
        <f t="shared" si="363"/>
        <v>0</v>
      </c>
      <c r="HH221" s="58">
        <f t="shared" si="364"/>
        <v>0</v>
      </c>
    </row>
    <row r="222" spans="9:216" ht="15.75" hidden="1" x14ac:dyDescent="0.25">
      <c r="I222" s="64"/>
      <c r="J222" s="519"/>
      <c r="K222" s="524"/>
      <c r="L222" s="519"/>
      <c r="M222" s="516"/>
      <c r="N222" s="64"/>
      <c r="O222" s="64"/>
      <c r="P222" s="64"/>
      <c r="Q222" s="519"/>
      <c r="R222" s="516"/>
      <c r="S222" s="497"/>
      <c r="T222" s="497"/>
      <c r="U222" s="497"/>
      <c r="Y222" s="517"/>
      <c r="AA222" s="517"/>
      <c r="AF222" s="517"/>
      <c r="AM222" s="517"/>
      <c r="AO222" s="517"/>
      <c r="AT222" s="517"/>
      <c r="AV222" s="511"/>
      <c r="AW222" s="511"/>
      <c r="AX222" s="511"/>
      <c r="BA222" s="517"/>
      <c r="BC222" s="517"/>
      <c r="BH222" s="517"/>
      <c r="BJ222" s="511"/>
      <c r="BK222" s="511"/>
      <c r="BL222" s="511"/>
      <c r="BQ222" s="58">
        <f t="shared" si="366"/>
        <v>140</v>
      </c>
      <c r="BR222" s="17"/>
      <c r="BS222" s="17"/>
      <c r="BT222" s="17"/>
      <c r="BU222" s="17"/>
      <c r="BV222" s="17"/>
      <c r="BW222" s="17"/>
      <c r="BX222" s="61"/>
      <c r="BY222" s="531"/>
      <c r="BZ222" s="530"/>
      <c r="CA222" s="531"/>
      <c r="CB222" s="530"/>
      <c r="CC222" s="530"/>
      <c r="CD222" s="530"/>
      <c r="CE222" s="1295"/>
      <c r="CF222" s="1301"/>
      <c r="CG222" s="530"/>
      <c r="CH222" s="61"/>
      <c r="CI222" s="61"/>
      <c r="CJ222" s="61"/>
      <c r="DH222" s="58" t="e">
        <f t="shared" si="387"/>
        <v>#N/A</v>
      </c>
      <c r="DK222" s="58" t="str" cm="1">
        <f t="array" ref="DK222">IF(AND($BT222=4,$BX222=4,$BU222=999),$DB$36,_xlfn.IFNA(INDEX(DB$13:DB$70,MATCH(1,($BR222=$CV$13:$CV$70)*($BT222=$CX$13:$CX$70)*($CE222=$CY$13:$CY$70)*($BY222=$DA$13:$DA$70)*($CD222=$DH$13:$DH$70),0)),""))</f>
        <v/>
      </c>
      <c r="DL222" s="58" t="str" cm="1">
        <f t="array" ref="DL222">IF(AND($BT222=4,$BX222=4,$BU222=999),$DC$36,_xlfn.IFNA(INDEX(CHOOSE(DP222,DB$13:DB$70,DC$13:DC$70,DD$13:DD$70,DE$13:DE$70),MATCH(1,($BR222=$CV$13:$CV$70)*($BT222=$CX$13:$CX$70)*($CE222=$CY$13:$CY$70)*($BY222=$DA$13:$DA$70)*($CD222=$DH$13:$DH$70),0)),""))</f>
        <v/>
      </c>
      <c r="DM222" s="740" t="str" cm="1">
        <f t="array" ref="DM222">IF(AND($BT222=4,$BX222=4,$BU222=999),$DD$36,_xlfn.IFNA(INDEX(DD$13:DD$68,MATCH(1,($BR222=$CV$13:$CV$68)*($BT222=$CX$13:$CX$68)*($CE222=$CY$13:$CY$68)*($BY222=$DA$13:$DA$68)*($CD222=$DH$13:$DH$68),0)),""))</f>
        <v/>
      </c>
      <c r="DN222" s="740" t="str" cm="1">
        <f t="array" ref="DN222">IF(AND($BT222=4,$BX222=4,$BU222=999),$DD$36,_xlfn.IFNA(INDEX(DE$13:DE$68,MATCH(1,($BR222=$CV$13:$CV$68)*($BT222=$CX$13:$CX$68)*($CE222=$CY$13:$CY$68)*($BY222=$DA$13:$DA$68)*($CD222=$DH$13:$DH$68),0)),""))</f>
        <v/>
      </c>
      <c r="DO222" s="58" t="str" cm="1">
        <f t="array" ref="DO222">IF(AND($BT222=4,$BX222=4,$BU222=999),$DF$36,_xlfn.IFNA(INDEX(DF$13:DF$70,MATCH(1,($BR222=$CV$13:$CV$70)*($BT222=$CX$13:$CX$70)*($CE222=$CY$13:$CY$70)*($BY222=$DA$13:$DA$70)*($CD222=$DH$13:$DH$70),0)),""))</f>
        <v/>
      </c>
      <c r="DP222" s="58" t="e">
        <f t="shared" si="367"/>
        <v>#N/A</v>
      </c>
      <c r="FT222" s="58">
        <f t="shared" si="368"/>
        <v>0</v>
      </c>
      <c r="FW222" s="58">
        <f>IF(i_baseline_risk_from=2,'Effectiveness settings'!EW222,'Effectiveness settings'!FI222)</f>
        <v>0</v>
      </c>
      <c r="FX222" s="58">
        <f t="shared" si="369"/>
        <v>0</v>
      </c>
      <c r="FY222" s="58">
        <f t="shared" si="370"/>
        <v>0</v>
      </c>
      <c r="FZ222" s="58">
        <f t="shared" si="371"/>
        <v>0</v>
      </c>
      <c r="GA222" s="58">
        <f t="shared" si="372"/>
        <v>0</v>
      </c>
      <c r="GB222" s="58">
        <f t="shared" si="373"/>
        <v>0</v>
      </c>
      <c r="GC222" s="58">
        <f t="shared" si="374"/>
        <v>0</v>
      </c>
      <c r="GD222" s="58">
        <f t="shared" si="375"/>
        <v>0</v>
      </c>
      <c r="GE222" s="58">
        <f>IF(AND(dd_CheckMate214_TTD="Yes",'Effectiveness settings'!BU222=2,'Effectiveness settings'!BX222=2),"Apply HR to",GD222)</f>
        <v>0</v>
      </c>
      <c r="GF222" s="58">
        <f t="shared" si="376"/>
        <v>0</v>
      </c>
      <c r="GG222" s="58">
        <f t="shared" si="377"/>
        <v>0</v>
      </c>
      <c r="GH222" s="58">
        <f t="shared" si="378"/>
        <v>0</v>
      </c>
      <c r="GI222" s="58">
        <f t="shared" si="359"/>
        <v>0</v>
      </c>
      <c r="GK222" s="58">
        <f>IF(i_baseline_risk_from=2,'Effectiveness settings'!FA222,'Effectiveness settings'!FM222)</f>
        <v>0</v>
      </c>
      <c r="GL222" s="58">
        <f>IF(i_baseline_risk_from=2,'Effectiveness settings'!FB222,'Effectiveness settings'!FN222)</f>
        <v>0</v>
      </c>
      <c r="GM222" s="58">
        <f>IF(i_baseline_risk_from=2,'Effectiveness settings'!FC222,'Effectiveness settings'!FO222)</f>
        <v>0</v>
      </c>
      <c r="GN222" s="58">
        <f>IF(i_baseline_risk_from=2,'Effectiveness settings'!FD222,'Effectiveness settings'!FP222)</f>
        <v>0</v>
      </c>
      <c r="GQ222" s="58">
        <f t="shared" si="379"/>
        <v>0</v>
      </c>
      <c r="GR222" s="58">
        <f t="shared" si="380"/>
        <v>0</v>
      </c>
      <c r="GS222" s="58">
        <f t="shared" si="381"/>
        <v>0</v>
      </c>
      <c r="GT222" s="58">
        <f t="shared" si="382"/>
        <v>0</v>
      </c>
      <c r="GU222" s="58">
        <f>IF(AND(dd_CheckMate214_TTD="Yes",'Effectiveness settings'!BU222=2,'Effectiveness settings'!BX222=2),2,GT222)</f>
        <v>0</v>
      </c>
      <c r="GV222" s="58">
        <f t="shared" si="383"/>
        <v>0</v>
      </c>
      <c r="GW222" s="58">
        <f t="shared" si="384"/>
        <v>0</v>
      </c>
      <c r="GY222" s="58">
        <f>IF(AND(dd_CheckMate214_TTD="Yes",'Effectiveness settings'!BU222=2,'Effectiveness settings'!BX222=2),1,GN222)</f>
        <v>0</v>
      </c>
      <c r="GZ222" s="58">
        <f t="shared" si="385"/>
        <v>0</v>
      </c>
      <c r="HB222" s="58">
        <f t="shared" si="386"/>
        <v>0</v>
      </c>
      <c r="HD222" s="58">
        <f t="shared" si="360"/>
        <v>0</v>
      </c>
      <c r="HE222" s="58">
        <f t="shared" si="361"/>
        <v>0</v>
      </c>
      <c r="HF222" s="58">
        <f t="shared" si="362"/>
        <v>0</v>
      </c>
      <c r="HG222" s="58">
        <f t="shared" si="363"/>
        <v>0</v>
      </c>
      <c r="HH222" s="58">
        <f t="shared" si="364"/>
        <v>0</v>
      </c>
    </row>
    <row r="223" spans="9:216" ht="15.75" hidden="1" x14ac:dyDescent="0.25">
      <c r="I223" s="64"/>
      <c r="J223" s="519"/>
      <c r="K223" s="524"/>
      <c r="L223" s="519"/>
      <c r="M223" s="516"/>
      <c r="N223" s="64"/>
      <c r="O223" s="64"/>
      <c r="P223" s="64"/>
      <c r="Q223" s="519"/>
      <c r="R223" s="516"/>
      <c r="S223" s="497"/>
      <c r="T223" s="497"/>
      <c r="U223" s="497"/>
      <c r="Y223" s="517"/>
      <c r="AA223" s="517"/>
      <c r="AF223" s="517"/>
      <c r="AM223" s="517"/>
      <c r="AO223" s="517"/>
      <c r="AT223" s="517"/>
      <c r="AV223" s="511"/>
      <c r="AW223" s="511"/>
      <c r="AX223" s="511"/>
      <c r="BA223" s="517"/>
      <c r="BC223" s="517"/>
      <c r="BH223" s="517"/>
      <c r="BJ223" s="511"/>
      <c r="BK223" s="511"/>
      <c r="BL223" s="511"/>
      <c r="BQ223" s="58">
        <f t="shared" si="366"/>
        <v>140</v>
      </c>
      <c r="BR223" s="17"/>
      <c r="BS223" s="17"/>
      <c r="BT223" s="17"/>
      <c r="BU223" s="17"/>
      <c r="BV223" s="17"/>
      <c r="BW223" s="17"/>
      <c r="BX223" s="61"/>
      <c r="BY223" s="531"/>
      <c r="BZ223" s="530"/>
      <c r="CA223" s="531"/>
      <c r="CB223" s="530"/>
      <c r="CC223" s="530"/>
      <c r="CD223" s="530"/>
      <c r="CE223" s="1295"/>
      <c r="CF223" s="1301"/>
      <c r="CG223" s="530"/>
      <c r="CH223" s="61"/>
      <c r="CI223" s="61"/>
      <c r="CJ223" s="61"/>
      <c r="DH223" s="58" t="e">
        <f t="shared" si="387"/>
        <v>#N/A</v>
      </c>
      <c r="DK223" s="58" t="str" cm="1">
        <f t="array" ref="DK223">IF(AND($BT223=4,$BX223=4,$BU223=999),$DB$36,_xlfn.IFNA(INDEX(DB$13:DB$70,MATCH(1,($BR223=$CV$13:$CV$70)*($BT223=$CX$13:$CX$70)*($CE223=$CY$13:$CY$70)*($BY223=$DA$13:$DA$70)*($CD223=$DH$13:$DH$70),0)),""))</f>
        <v/>
      </c>
      <c r="DL223" s="58" t="str" cm="1">
        <f t="array" ref="DL223">IF(AND($BT223=4,$BX223=4,$BU223=999),$DC$36,_xlfn.IFNA(INDEX(CHOOSE(DP223,DB$13:DB$70,DC$13:DC$70,DD$13:DD$70,DE$13:DE$70),MATCH(1,($BR223=$CV$13:$CV$70)*($BT223=$CX$13:$CX$70)*($CE223=$CY$13:$CY$70)*($BY223=$DA$13:$DA$70)*($CD223=$DH$13:$DH$70),0)),""))</f>
        <v/>
      </c>
      <c r="DM223" s="740" t="str" cm="1">
        <f t="array" ref="DM223">IF(AND($BT223=4,$BX223=4,$BU223=999),$DD$36,_xlfn.IFNA(INDEX(DD$13:DD$68,MATCH(1,($BR223=$CV$13:$CV$68)*($BT223=$CX$13:$CX$68)*($CE223=$CY$13:$CY$68)*($BY223=$DA$13:$DA$68)*($CD223=$DH$13:$DH$68),0)),""))</f>
        <v/>
      </c>
      <c r="DN223" s="740" t="str" cm="1">
        <f t="array" ref="DN223">IF(AND($BT223=4,$BX223=4,$BU223=999),$DD$36,_xlfn.IFNA(INDEX(DE$13:DE$68,MATCH(1,($BR223=$CV$13:$CV$68)*($BT223=$CX$13:$CX$68)*($CE223=$CY$13:$CY$68)*($BY223=$DA$13:$DA$68)*($CD223=$DH$13:$DH$68),0)),""))</f>
        <v/>
      </c>
      <c r="DO223" s="58" t="str" cm="1">
        <f t="array" ref="DO223">IF(AND($BT223=4,$BX223=4,$BU223=999),$DF$36,_xlfn.IFNA(INDEX(DF$13:DF$70,MATCH(1,($BR223=$CV$13:$CV$70)*($BT223=$CX$13:$CX$70)*($CE223=$CY$13:$CY$70)*($BY223=$DA$13:$DA$70)*($CD223=$DH$13:$DH$70),0)),""))</f>
        <v/>
      </c>
      <c r="DP223" s="58" t="e">
        <f t="shared" si="367"/>
        <v>#N/A</v>
      </c>
      <c r="FT223" s="58">
        <f t="shared" si="368"/>
        <v>0</v>
      </c>
      <c r="FW223" s="58">
        <f>IF(i_baseline_risk_from=2,'Effectiveness settings'!EW223,'Effectiveness settings'!FI223)</f>
        <v>0</v>
      </c>
      <c r="FX223" s="58">
        <f t="shared" si="369"/>
        <v>0</v>
      </c>
      <c r="FY223" s="58">
        <f t="shared" si="370"/>
        <v>0</v>
      </c>
      <c r="FZ223" s="58">
        <f t="shared" si="371"/>
        <v>0</v>
      </c>
      <c r="GA223" s="58">
        <f t="shared" si="372"/>
        <v>0</v>
      </c>
      <c r="GB223" s="58">
        <f t="shared" si="373"/>
        <v>0</v>
      </c>
      <c r="GC223" s="58">
        <f t="shared" si="374"/>
        <v>0</v>
      </c>
      <c r="GD223" s="58">
        <f t="shared" si="375"/>
        <v>0</v>
      </c>
      <c r="GE223" s="58">
        <f>IF(AND(dd_CheckMate214_TTD="Yes",'Effectiveness settings'!BU223=2,'Effectiveness settings'!BX223=2),"Apply HR to",GD223)</f>
        <v>0</v>
      </c>
      <c r="GF223" s="58">
        <f t="shared" si="376"/>
        <v>0</v>
      </c>
      <c r="GG223" s="58">
        <f t="shared" si="377"/>
        <v>0</v>
      </c>
      <c r="GH223" s="58">
        <f t="shared" si="378"/>
        <v>0</v>
      </c>
      <c r="GI223" s="58">
        <f t="shared" si="359"/>
        <v>0</v>
      </c>
      <c r="GK223" s="58">
        <f>IF(i_baseline_risk_from=2,'Effectiveness settings'!FA223,'Effectiveness settings'!FM223)</f>
        <v>0</v>
      </c>
      <c r="GL223" s="58">
        <f>IF(i_baseline_risk_from=2,'Effectiveness settings'!FB223,'Effectiveness settings'!FN223)</f>
        <v>0</v>
      </c>
      <c r="GM223" s="58">
        <f>IF(i_baseline_risk_from=2,'Effectiveness settings'!FC223,'Effectiveness settings'!FO223)</f>
        <v>0</v>
      </c>
      <c r="GN223" s="58">
        <f>IF(i_baseline_risk_from=2,'Effectiveness settings'!FD223,'Effectiveness settings'!FP223)</f>
        <v>0</v>
      </c>
      <c r="GQ223" s="58">
        <f t="shared" si="379"/>
        <v>0</v>
      </c>
      <c r="GR223" s="58">
        <f t="shared" si="380"/>
        <v>0</v>
      </c>
      <c r="GS223" s="58">
        <f t="shared" si="381"/>
        <v>0</v>
      </c>
      <c r="GT223" s="58">
        <f t="shared" si="382"/>
        <v>0</v>
      </c>
      <c r="GU223" s="58">
        <f>IF(AND(dd_CheckMate214_TTD="Yes",'Effectiveness settings'!BU223=2,'Effectiveness settings'!BX223=2),2,GT223)</f>
        <v>0</v>
      </c>
      <c r="GV223" s="58">
        <f t="shared" si="383"/>
        <v>0</v>
      </c>
      <c r="GW223" s="58">
        <f t="shared" si="384"/>
        <v>0</v>
      </c>
      <c r="GY223" s="58">
        <f>IF(AND(dd_CheckMate214_TTD="Yes",'Effectiveness settings'!BU223=2,'Effectiveness settings'!BX223=2),1,GN223)</f>
        <v>0</v>
      </c>
      <c r="GZ223" s="58">
        <f t="shared" si="385"/>
        <v>0</v>
      </c>
      <c r="HB223" s="58">
        <f t="shared" si="386"/>
        <v>0</v>
      </c>
      <c r="HD223" s="58">
        <f t="shared" si="360"/>
        <v>0</v>
      </c>
      <c r="HE223" s="58">
        <f t="shared" si="361"/>
        <v>0</v>
      </c>
      <c r="HF223" s="58">
        <f t="shared" si="362"/>
        <v>0</v>
      </c>
      <c r="HG223" s="58">
        <f t="shared" si="363"/>
        <v>0</v>
      </c>
      <c r="HH223" s="58">
        <f t="shared" si="364"/>
        <v>0</v>
      </c>
    </row>
    <row r="224" spans="9:216" ht="15.75" hidden="1" x14ac:dyDescent="0.25">
      <c r="I224" s="67"/>
      <c r="J224" s="520"/>
      <c r="K224" s="525"/>
      <c r="L224" s="517"/>
      <c r="Q224" s="520"/>
      <c r="Y224" s="517"/>
      <c r="AA224" s="517"/>
      <c r="AF224" s="517"/>
      <c r="AM224" s="517"/>
      <c r="AO224" s="517"/>
      <c r="AT224" s="517"/>
      <c r="AV224" s="511"/>
      <c r="AW224" s="511"/>
      <c r="AX224" s="511"/>
      <c r="BA224" s="517"/>
      <c r="BC224" s="517"/>
      <c r="BH224" s="517"/>
      <c r="BJ224" s="511"/>
      <c r="BK224" s="511"/>
      <c r="BL224" s="511"/>
      <c r="BQ224" s="58">
        <f t="shared" si="366"/>
        <v>140</v>
      </c>
      <c r="BR224" s="17"/>
      <c r="BS224" s="17"/>
      <c r="BT224" s="17"/>
      <c r="BU224" s="61"/>
      <c r="BV224" s="17"/>
      <c r="BW224" s="17"/>
      <c r="BX224" s="61"/>
      <c r="BY224" s="531"/>
      <c r="BZ224" s="530"/>
      <c r="CA224" s="531"/>
      <c r="CB224" s="530"/>
      <c r="CC224" s="530"/>
      <c r="CD224" s="530"/>
      <c r="CE224" s="1295"/>
      <c r="CF224" s="1301"/>
      <c r="CG224" s="530"/>
      <c r="CH224" s="61"/>
      <c r="CI224" s="61"/>
      <c r="CJ224" s="61"/>
      <c r="DH224" s="58" t="e">
        <f t="shared" si="387"/>
        <v>#N/A</v>
      </c>
      <c r="DK224" s="58" t="str" cm="1">
        <f t="array" ref="DK224">IF(AND($BT224=4,$BX224=4,$BU224=999),$DB$36,_xlfn.IFNA(INDEX(DB$13:DB$70,MATCH(1,($BR224=$CV$13:$CV$70)*($BT224=$CX$13:$CX$70)*($CE224=$CY$13:$CY$70)*($BY224=$DA$13:$DA$70)*($CD224=$DH$13:$DH$70),0)),""))</f>
        <v/>
      </c>
      <c r="DL224" s="58" t="str" cm="1">
        <f t="array" ref="DL224">IF(AND($BT224=4,$BX224=4,$BU224=999),$DC$36,_xlfn.IFNA(INDEX(CHOOSE(DP224,DB$13:DB$70,DC$13:DC$70,DD$13:DD$70,DE$13:DE$70),MATCH(1,($BR224=$CV$13:$CV$70)*($BT224=$CX$13:$CX$70)*($CE224=$CY$13:$CY$70)*($BY224=$DA$13:$DA$70)*($CD224=$DH$13:$DH$70),0)),""))</f>
        <v/>
      </c>
      <c r="DM224" s="740" t="str" cm="1">
        <f t="array" ref="DM224">IF(AND($BT224=4,$BX224=4,$BU224=999),$DD$36,_xlfn.IFNA(INDEX(DD$13:DD$68,MATCH(1,($BR224=$CV$13:$CV$68)*($BT224=$CX$13:$CX$68)*($CE224=$CY$13:$CY$68)*($BY224=$DA$13:$DA$68)*($CD224=$DH$13:$DH$68),0)),""))</f>
        <v/>
      </c>
      <c r="DN224" s="740" t="str" cm="1">
        <f t="array" ref="DN224">IF(AND($BT224=4,$BX224=4,$BU224=999),$DD$36,_xlfn.IFNA(INDEX(DE$13:DE$68,MATCH(1,($BR224=$CV$13:$CV$68)*($BT224=$CX$13:$CX$68)*($CE224=$CY$13:$CY$68)*($BY224=$DA$13:$DA$68)*($CD224=$DH$13:$DH$68),0)),""))</f>
        <v/>
      </c>
      <c r="DO224" s="58" t="str" cm="1">
        <f t="array" ref="DO224">IF(AND($BT224=4,$BX224=4,$BU224=999),$DF$36,_xlfn.IFNA(INDEX(DF$13:DF$70,MATCH(1,($BR224=$CV$13:$CV$70)*($BT224=$CX$13:$CX$70)*($CE224=$CY$13:$CY$70)*($BY224=$DA$13:$DA$70)*($CD224=$DH$13:$DH$70),0)),""))</f>
        <v/>
      </c>
      <c r="DP224" s="58" t="e">
        <f t="shared" si="367"/>
        <v>#N/A</v>
      </c>
      <c r="FT224" s="58">
        <f t="shared" si="368"/>
        <v>0</v>
      </c>
      <c r="FW224" s="58">
        <f>IF(i_baseline_risk_from=2,'Effectiveness settings'!EW224,'Effectiveness settings'!FI224)</f>
        <v>0</v>
      </c>
      <c r="FX224" s="58">
        <f t="shared" si="369"/>
        <v>0</v>
      </c>
      <c r="FY224" s="58">
        <f t="shared" si="370"/>
        <v>0</v>
      </c>
      <c r="FZ224" s="58">
        <f t="shared" si="371"/>
        <v>0</v>
      </c>
      <c r="GA224" s="58">
        <f t="shared" si="372"/>
        <v>0</v>
      </c>
      <c r="GB224" s="58">
        <f t="shared" si="373"/>
        <v>0</v>
      </c>
      <c r="GC224" s="58">
        <f t="shared" si="374"/>
        <v>0</v>
      </c>
      <c r="GD224" s="58">
        <f t="shared" si="375"/>
        <v>0</v>
      </c>
      <c r="GE224" s="58">
        <f>IF(AND(dd_CheckMate214_TTD="Yes",'Effectiveness settings'!BU224=2,'Effectiveness settings'!BX224=2),"Apply HR to",GD224)</f>
        <v>0</v>
      </c>
      <c r="GF224" s="58">
        <f t="shared" si="376"/>
        <v>0</v>
      </c>
      <c r="GG224" s="58">
        <f t="shared" si="377"/>
        <v>0</v>
      </c>
      <c r="GH224" s="58">
        <f t="shared" si="378"/>
        <v>0</v>
      </c>
      <c r="GI224" s="58">
        <f t="shared" si="359"/>
        <v>0</v>
      </c>
      <c r="GK224" s="58">
        <f>IF(i_baseline_risk_from=2,'Effectiveness settings'!FA224,'Effectiveness settings'!FM224)</f>
        <v>0</v>
      </c>
      <c r="GL224" s="58">
        <f>IF(i_baseline_risk_from=2,'Effectiveness settings'!FB224,'Effectiveness settings'!FN224)</f>
        <v>0</v>
      </c>
      <c r="GM224" s="58">
        <f>IF(i_baseline_risk_from=2,'Effectiveness settings'!FC224,'Effectiveness settings'!FO224)</f>
        <v>0</v>
      </c>
      <c r="GN224" s="58">
        <f>IF(i_baseline_risk_from=2,'Effectiveness settings'!FD224,'Effectiveness settings'!FP224)</f>
        <v>0</v>
      </c>
      <c r="GQ224" s="58">
        <f t="shared" si="379"/>
        <v>0</v>
      </c>
      <c r="GR224" s="58">
        <f t="shared" si="380"/>
        <v>0</v>
      </c>
      <c r="GS224" s="58">
        <f t="shared" si="381"/>
        <v>0</v>
      </c>
      <c r="GT224" s="58">
        <f t="shared" si="382"/>
        <v>0</v>
      </c>
      <c r="GU224" s="58">
        <f>IF(AND(dd_CheckMate214_TTD="Yes",'Effectiveness settings'!BU224=2,'Effectiveness settings'!BX224=2),2,GT224)</f>
        <v>0</v>
      </c>
      <c r="GV224" s="58">
        <f t="shared" si="383"/>
        <v>0</v>
      </c>
      <c r="GW224" s="58">
        <f t="shared" si="384"/>
        <v>0</v>
      </c>
      <c r="GY224" s="58">
        <f>IF(AND(dd_CheckMate214_TTD="Yes",'Effectiveness settings'!BU224=2,'Effectiveness settings'!BX224=2),1,GN224)</f>
        <v>0</v>
      </c>
      <c r="GZ224" s="58">
        <f t="shared" si="385"/>
        <v>0</v>
      </c>
      <c r="HB224" s="58">
        <f t="shared" si="386"/>
        <v>0</v>
      </c>
      <c r="HD224" s="58">
        <f t="shared" si="360"/>
        <v>0</v>
      </c>
      <c r="HE224" s="58">
        <f t="shared" si="361"/>
        <v>0</v>
      </c>
      <c r="HF224" s="58">
        <f t="shared" si="362"/>
        <v>0</v>
      </c>
      <c r="HG224" s="58">
        <f t="shared" si="363"/>
        <v>0</v>
      </c>
      <c r="HH224" s="58">
        <f t="shared" si="364"/>
        <v>0</v>
      </c>
    </row>
    <row r="225" spans="9:216" ht="15.75" hidden="1" x14ac:dyDescent="0.25">
      <c r="I225" s="64"/>
      <c r="J225" s="519"/>
      <c r="K225" s="524"/>
      <c r="L225" s="519"/>
      <c r="M225" s="516"/>
      <c r="N225" s="64"/>
      <c r="O225" s="64"/>
      <c r="P225" s="64"/>
      <c r="Q225" s="519"/>
      <c r="R225" s="516"/>
      <c r="S225" s="497"/>
      <c r="T225" s="497"/>
      <c r="U225" s="497"/>
      <c r="Y225" s="517"/>
      <c r="AA225" s="517"/>
      <c r="AF225" s="517"/>
      <c r="AM225" s="517"/>
      <c r="AO225" s="517"/>
      <c r="AT225" s="517"/>
      <c r="AV225" s="511"/>
      <c r="AW225" s="511"/>
      <c r="AX225" s="511"/>
      <c r="BA225" s="517"/>
      <c r="BC225" s="517"/>
      <c r="BH225" s="517"/>
      <c r="BJ225" s="511"/>
      <c r="BK225" s="511"/>
      <c r="BL225" s="511"/>
      <c r="BQ225" s="58">
        <f t="shared" si="366"/>
        <v>140</v>
      </c>
      <c r="BR225" s="17"/>
      <c r="BS225" s="17"/>
      <c r="BT225" s="17"/>
      <c r="BU225" s="17"/>
      <c r="BV225" s="17"/>
      <c r="BW225" s="17"/>
      <c r="BX225" s="61"/>
      <c r="BY225" s="531"/>
      <c r="BZ225" s="530"/>
      <c r="CA225" s="531"/>
      <c r="CB225" s="530"/>
      <c r="CC225" s="530"/>
      <c r="CD225" s="530"/>
      <c r="CE225" s="1295"/>
      <c r="CF225" s="1301"/>
      <c r="CG225" s="530"/>
      <c r="CH225" s="61"/>
      <c r="CI225" s="61"/>
      <c r="CJ225" s="61"/>
      <c r="DH225" s="58" t="e">
        <f t="shared" si="387"/>
        <v>#N/A</v>
      </c>
      <c r="DK225" s="58" t="str" cm="1">
        <f t="array" ref="DK225">IF(AND($BT225=4,$BX225=4,$BU225=999),$DB$36,_xlfn.IFNA(INDEX(DB$13:DB$70,MATCH(1,($BR225=$CV$13:$CV$70)*($BT225=$CX$13:$CX$70)*($CE225=$CY$13:$CY$70)*($BY225=$DA$13:$DA$70)*($CD225=$DH$13:$DH$70),0)),""))</f>
        <v/>
      </c>
      <c r="DL225" s="58" t="str" cm="1">
        <f t="array" ref="DL225">IF(AND($BT225=4,$BX225=4,$BU225=999),$DC$36,_xlfn.IFNA(INDEX(CHOOSE(DP225,DB$13:DB$70,DC$13:DC$70,DD$13:DD$70,DE$13:DE$70),MATCH(1,($BR225=$CV$13:$CV$70)*($BT225=$CX$13:$CX$70)*($CE225=$CY$13:$CY$70)*($BY225=$DA$13:$DA$70)*($CD225=$DH$13:$DH$70),0)),""))</f>
        <v/>
      </c>
      <c r="DM225" s="740" t="str" cm="1">
        <f t="array" ref="DM225">IF(AND($BT225=4,$BX225=4,$BU225=999),$DD$36,_xlfn.IFNA(INDEX(DD$13:DD$68,MATCH(1,($BR225=$CV$13:$CV$68)*($BT225=$CX$13:$CX$68)*($CE225=$CY$13:$CY$68)*($BY225=$DA$13:$DA$68)*($CD225=$DH$13:$DH$68),0)),""))</f>
        <v/>
      </c>
      <c r="DN225" s="740" t="str" cm="1">
        <f t="array" ref="DN225">IF(AND($BT225=4,$BX225=4,$BU225=999),$DD$36,_xlfn.IFNA(INDEX(DE$13:DE$68,MATCH(1,($BR225=$CV$13:$CV$68)*($BT225=$CX$13:$CX$68)*($CE225=$CY$13:$CY$68)*($BY225=$DA$13:$DA$68)*($CD225=$DH$13:$DH$68),0)),""))</f>
        <v/>
      </c>
      <c r="DO225" s="58" t="str" cm="1">
        <f t="array" ref="DO225">IF(AND($BT225=4,$BX225=4,$BU225=999),$DF$36,_xlfn.IFNA(INDEX(DF$13:DF$70,MATCH(1,($BR225=$CV$13:$CV$70)*($BT225=$CX$13:$CX$70)*($CE225=$CY$13:$CY$70)*($BY225=$DA$13:$DA$70)*($CD225=$DH$13:$DH$70),0)),""))</f>
        <v/>
      </c>
      <c r="DP225" s="58" t="e">
        <f t="shared" si="367"/>
        <v>#N/A</v>
      </c>
      <c r="FT225" s="58">
        <f t="shared" si="368"/>
        <v>0</v>
      </c>
      <c r="FW225" s="58">
        <f>IF(i_baseline_risk_from=2,'Effectiveness settings'!EW225,'Effectiveness settings'!FI225)</f>
        <v>0</v>
      </c>
      <c r="FX225" s="58">
        <f t="shared" si="369"/>
        <v>0</v>
      </c>
      <c r="FY225" s="58">
        <f t="shared" si="370"/>
        <v>0</v>
      </c>
      <c r="FZ225" s="58">
        <f t="shared" si="371"/>
        <v>0</v>
      </c>
      <c r="GA225" s="58">
        <f t="shared" si="372"/>
        <v>0</v>
      </c>
      <c r="GB225" s="58">
        <f t="shared" si="373"/>
        <v>0</v>
      </c>
      <c r="GC225" s="58">
        <f t="shared" si="374"/>
        <v>0</v>
      </c>
      <c r="GD225" s="58">
        <f t="shared" si="375"/>
        <v>0</v>
      </c>
      <c r="GE225" s="58">
        <f>IF(AND(dd_CheckMate214_TTD="Yes",'Effectiveness settings'!BU225=2,'Effectiveness settings'!BX225=2),"Apply HR to",GD225)</f>
        <v>0</v>
      </c>
      <c r="GF225" s="58">
        <f t="shared" si="376"/>
        <v>0</v>
      </c>
      <c r="GG225" s="58">
        <f t="shared" si="377"/>
        <v>0</v>
      </c>
      <c r="GH225" s="58">
        <f t="shared" si="378"/>
        <v>0</v>
      </c>
      <c r="GI225" s="58">
        <f t="shared" si="359"/>
        <v>0</v>
      </c>
      <c r="GK225" s="58">
        <f>IF(i_baseline_risk_from=2,'Effectiveness settings'!FA225,'Effectiveness settings'!FM225)</f>
        <v>0</v>
      </c>
      <c r="GL225" s="58">
        <f>IF(i_baseline_risk_from=2,'Effectiveness settings'!FB225,'Effectiveness settings'!FN225)</f>
        <v>0</v>
      </c>
      <c r="GM225" s="58">
        <f>IF(i_baseline_risk_from=2,'Effectiveness settings'!FC225,'Effectiveness settings'!FO225)</f>
        <v>0</v>
      </c>
      <c r="GN225" s="58">
        <f>IF(i_baseline_risk_from=2,'Effectiveness settings'!FD225,'Effectiveness settings'!FP225)</f>
        <v>0</v>
      </c>
      <c r="GQ225" s="58">
        <f t="shared" si="379"/>
        <v>0</v>
      </c>
      <c r="GR225" s="58">
        <f t="shared" si="380"/>
        <v>0</v>
      </c>
      <c r="GS225" s="58">
        <f t="shared" si="381"/>
        <v>0</v>
      </c>
      <c r="GT225" s="58">
        <f t="shared" si="382"/>
        <v>0</v>
      </c>
      <c r="GU225" s="58">
        <f>IF(AND(dd_CheckMate214_TTD="Yes",'Effectiveness settings'!BU225=2,'Effectiveness settings'!BX225=2),2,GT225)</f>
        <v>0</v>
      </c>
      <c r="GV225" s="58">
        <f t="shared" si="383"/>
        <v>0</v>
      </c>
      <c r="GW225" s="58">
        <f t="shared" si="384"/>
        <v>0</v>
      </c>
      <c r="GY225" s="58">
        <f>IF(AND(dd_CheckMate214_TTD="Yes",'Effectiveness settings'!BU225=2,'Effectiveness settings'!BX225=2),1,GN225)</f>
        <v>0</v>
      </c>
      <c r="GZ225" s="58">
        <f t="shared" si="385"/>
        <v>0</v>
      </c>
      <c r="HB225" s="58">
        <f t="shared" si="386"/>
        <v>0</v>
      </c>
      <c r="HD225" s="58">
        <f t="shared" si="360"/>
        <v>0</v>
      </c>
      <c r="HE225" s="58">
        <f t="shared" si="361"/>
        <v>0</v>
      </c>
      <c r="HF225" s="58">
        <f t="shared" si="362"/>
        <v>0</v>
      </c>
      <c r="HG225" s="58">
        <f t="shared" si="363"/>
        <v>0</v>
      </c>
      <c r="HH225" s="58">
        <f t="shared" si="364"/>
        <v>0</v>
      </c>
    </row>
    <row r="226" spans="9:216" ht="15.75" hidden="1" x14ac:dyDescent="0.25">
      <c r="I226" s="64"/>
      <c r="J226" s="519"/>
      <c r="K226" s="524"/>
      <c r="L226" s="519"/>
      <c r="M226" s="516"/>
      <c r="N226" s="64"/>
      <c r="O226" s="64"/>
      <c r="P226" s="64"/>
      <c r="Q226" s="519"/>
      <c r="R226" s="516"/>
      <c r="S226" s="497"/>
      <c r="T226" s="497"/>
      <c r="U226" s="497"/>
      <c r="Y226" s="517"/>
      <c r="AA226" s="517"/>
      <c r="AF226" s="517"/>
      <c r="AM226" s="517"/>
      <c r="AO226" s="517"/>
      <c r="AT226" s="517"/>
      <c r="AV226" s="511"/>
      <c r="AW226" s="511"/>
      <c r="AX226" s="511"/>
      <c r="BA226" s="517"/>
      <c r="BC226" s="517"/>
      <c r="BH226" s="517"/>
      <c r="BJ226" s="511"/>
      <c r="BK226" s="511"/>
      <c r="BL226" s="511"/>
      <c r="BQ226" s="58">
        <f t="shared" si="366"/>
        <v>140</v>
      </c>
      <c r="BR226" s="17"/>
      <c r="BS226" s="17"/>
      <c r="BT226" s="17"/>
      <c r="BU226" s="17"/>
      <c r="BV226" s="17"/>
      <c r="BW226" s="17"/>
      <c r="BX226" s="61"/>
      <c r="BY226" s="531"/>
      <c r="BZ226" s="530"/>
      <c r="CA226" s="531"/>
      <c r="CB226" s="530"/>
      <c r="CC226" s="530"/>
      <c r="CD226" s="530"/>
      <c r="CE226" s="1295"/>
      <c r="CF226" s="1301"/>
      <c r="CG226" s="530"/>
      <c r="CH226" s="61"/>
      <c r="CI226" s="61"/>
      <c r="CJ226" s="61"/>
      <c r="DH226" s="58" t="e">
        <f t="shared" si="387"/>
        <v>#N/A</v>
      </c>
      <c r="DK226" s="58" t="str" cm="1">
        <f t="array" ref="DK226">IF(AND($BT226=4,$BX226=4,$BU226=999),$DB$36,_xlfn.IFNA(INDEX(DB$13:DB$70,MATCH(1,($BR226=$CV$13:$CV$70)*($BT226=$CX$13:$CX$70)*($CE226=$CY$13:$CY$70)*($BY226=$DA$13:$DA$70)*($CD226=$DH$13:$DH$70),0)),""))</f>
        <v/>
      </c>
      <c r="DL226" s="58" t="str" cm="1">
        <f t="array" ref="DL226">IF(AND($BT226=4,$BX226=4,$BU226=999),$DC$36,_xlfn.IFNA(INDEX(CHOOSE(DP226,DB$13:DB$70,DC$13:DC$70,DD$13:DD$70,DE$13:DE$70),MATCH(1,($BR226=$CV$13:$CV$70)*($BT226=$CX$13:$CX$70)*($CE226=$CY$13:$CY$70)*($BY226=$DA$13:$DA$70)*($CD226=$DH$13:$DH$70),0)),""))</f>
        <v/>
      </c>
      <c r="DM226" s="740" t="str" cm="1">
        <f t="array" ref="DM226">IF(AND($BT226=4,$BX226=4,$BU226=999),$DD$36,_xlfn.IFNA(INDEX(DD$13:DD$68,MATCH(1,($BR226=$CV$13:$CV$68)*($BT226=$CX$13:$CX$68)*($CE226=$CY$13:$CY$68)*($BY226=$DA$13:$DA$68)*($CD226=$DH$13:$DH$68),0)),""))</f>
        <v/>
      </c>
      <c r="DN226" s="740" t="str" cm="1">
        <f t="array" ref="DN226">IF(AND($BT226=4,$BX226=4,$BU226=999),$DD$36,_xlfn.IFNA(INDEX(DE$13:DE$68,MATCH(1,($BR226=$CV$13:$CV$68)*($BT226=$CX$13:$CX$68)*($CE226=$CY$13:$CY$68)*($BY226=$DA$13:$DA$68)*($CD226=$DH$13:$DH$68),0)),""))</f>
        <v/>
      </c>
      <c r="DO226" s="58" t="str" cm="1">
        <f t="array" ref="DO226">IF(AND($BT226=4,$BX226=4,$BU226=999),$DF$36,_xlfn.IFNA(INDEX(DF$13:DF$70,MATCH(1,($BR226=$CV$13:$CV$70)*($BT226=$CX$13:$CX$70)*($CE226=$CY$13:$CY$70)*($BY226=$DA$13:$DA$70)*($CD226=$DH$13:$DH$70),0)),""))</f>
        <v/>
      </c>
      <c r="DP226" s="58" t="e">
        <f t="shared" si="367"/>
        <v>#N/A</v>
      </c>
      <c r="FT226" s="58">
        <f t="shared" si="368"/>
        <v>0</v>
      </c>
      <c r="FW226" s="58">
        <f>IF(i_baseline_risk_from=2,'Effectiveness settings'!EW226,'Effectiveness settings'!FI226)</f>
        <v>0</v>
      </c>
      <c r="FX226" s="58">
        <f t="shared" si="369"/>
        <v>0</v>
      </c>
      <c r="FY226" s="58">
        <f t="shared" si="370"/>
        <v>0</v>
      </c>
      <c r="FZ226" s="58">
        <f t="shared" si="371"/>
        <v>0</v>
      </c>
      <c r="GA226" s="58">
        <f t="shared" si="372"/>
        <v>0</v>
      </c>
      <c r="GB226" s="58">
        <f t="shared" si="373"/>
        <v>0</v>
      </c>
      <c r="GC226" s="58">
        <f t="shared" si="374"/>
        <v>0</v>
      </c>
      <c r="GD226" s="58">
        <f t="shared" si="375"/>
        <v>0</v>
      </c>
      <c r="GE226" s="58">
        <f>IF(AND(dd_CheckMate214_TTD="Yes",'Effectiveness settings'!BU226=2,'Effectiveness settings'!BX226=2),"Apply HR to",GD226)</f>
        <v>0</v>
      </c>
      <c r="GF226" s="58">
        <f t="shared" si="376"/>
        <v>0</v>
      </c>
      <c r="GG226" s="58">
        <f t="shared" si="377"/>
        <v>0</v>
      </c>
      <c r="GH226" s="58">
        <f t="shared" si="378"/>
        <v>0</v>
      </c>
      <c r="GI226" s="58">
        <f t="shared" si="359"/>
        <v>0</v>
      </c>
      <c r="GK226" s="58">
        <f>IF(i_baseline_risk_from=2,'Effectiveness settings'!FA226,'Effectiveness settings'!FM226)</f>
        <v>0</v>
      </c>
      <c r="GL226" s="58">
        <f>IF(i_baseline_risk_from=2,'Effectiveness settings'!FB226,'Effectiveness settings'!FN226)</f>
        <v>0</v>
      </c>
      <c r="GM226" s="58">
        <f>IF(i_baseline_risk_from=2,'Effectiveness settings'!FC226,'Effectiveness settings'!FO226)</f>
        <v>0</v>
      </c>
      <c r="GN226" s="58">
        <f>IF(i_baseline_risk_from=2,'Effectiveness settings'!FD226,'Effectiveness settings'!FP226)</f>
        <v>0</v>
      </c>
      <c r="GQ226" s="58">
        <f t="shared" si="379"/>
        <v>0</v>
      </c>
      <c r="GR226" s="58">
        <f t="shared" si="380"/>
        <v>0</v>
      </c>
      <c r="GS226" s="58">
        <f t="shared" si="381"/>
        <v>0</v>
      </c>
      <c r="GT226" s="58">
        <f t="shared" si="382"/>
        <v>0</v>
      </c>
      <c r="GU226" s="58">
        <f>IF(AND(dd_CheckMate214_TTD="Yes",'Effectiveness settings'!BU226=2,'Effectiveness settings'!BX226=2),2,GT226)</f>
        <v>0</v>
      </c>
      <c r="GV226" s="58">
        <f t="shared" si="383"/>
        <v>0</v>
      </c>
      <c r="GW226" s="58">
        <f t="shared" si="384"/>
        <v>0</v>
      </c>
      <c r="GY226" s="58">
        <f>IF(AND(dd_CheckMate214_TTD="Yes",'Effectiveness settings'!BU226=2,'Effectiveness settings'!BX226=2),1,GN226)</f>
        <v>0</v>
      </c>
      <c r="GZ226" s="58">
        <f t="shared" si="385"/>
        <v>0</v>
      </c>
      <c r="HB226" s="58">
        <f t="shared" si="386"/>
        <v>0</v>
      </c>
      <c r="HD226" s="58">
        <f t="shared" si="360"/>
        <v>0</v>
      </c>
      <c r="HE226" s="58">
        <f t="shared" si="361"/>
        <v>0</v>
      </c>
      <c r="HF226" s="58">
        <f t="shared" si="362"/>
        <v>0</v>
      </c>
      <c r="HG226" s="58">
        <f t="shared" si="363"/>
        <v>0</v>
      </c>
      <c r="HH226" s="58">
        <f t="shared" si="364"/>
        <v>0</v>
      </c>
    </row>
    <row r="227" spans="9:216" ht="15.75" hidden="1" x14ac:dyDescent="0.25">
      <c r="I227" s="64"/>
      <c r="J227" s="519"/>
      <c r="K227" s="524"/>
      <c r="L227" s="519"/>
      <c r="M227" s="516"/>
      <c r="N227" s="64"/>
      <c r="O227" s="64"/>
      <c r="P227" s="64"/>
      <c r="Q227" s="519"/>
      <c r="R227" s="516"/>
      <c r="S227" s="497"/>
      <c r="T227" s="497"/>
      <c r="U227" s="497"/>
      <c r="Y227" s="517"/>
      <c r="AA227" s="517"/>
      <c r="AF227" s="517"/>
      <c r="AM227" s="517"/>
      <c r="AO227" s="517"/>
      <c r="AT227" s="517"/>
      <c r="AV227" s="511"/>
      <c r="AW227" s="511"/>
      <c r="AX227" s="511"/>
      <c r="BA227" s="517"/>
      <c r="BC227" s="517"/>
      <c r="BH227" s="517"/>
      <c r="BJ227" s="511"/>
      <c r="BK227" s="511"/>
      <c r="BL227" s="511"/>
      <c r="BQ227" s="58">
        <f t="shared" si="366"/>
        <v>140</v>
      </c>
      <c r="BR227" s="17"/>
      <c r="BS227" s="17"/>
      <c r="BT227" s="17"/>
      <c r="BU227" s="17"/>
      <c r="BV227" s="17"/>
      <c r="BW227" s="17"/>
      <c r="BX227" s="61"/>
      <c r="BY227" s="531"/>
      <c r="BZ227" s="530"/>
      <c r="CA227" s="531"/>
      <c r="CB227" s="530"/>
      <c r="CC227" s="530"/>
      <c r="CD227" s="530"/>
      <c r="CE227" s="1295"/>
      <c r="CF227" s="1301"/>
      <c r="CG227" s="530"/>
      <c r="CH227" s="61"/>
      <c r="CI227" s="61"/>
      <c r="CJ227" s="61"/>
      <c r="DH227" s="58" t="e">
        <f t="shared" si="387"/>
        <v>#N/A</v>
      </c>
      <c r="DK227" s="58" t="str" cm="1">
        <f t="array" ref="DK227">IF(AND($BT227=4,$BX227=4,$BU227=999),$DB$36,_xlfn.IFNA(INDEX(DB$13:DB$70,MATCH(1,($BR227=$CV$13:$CV$70)*($BT227=$CX$13:$CX$70)*($CE227=$CY$13:$CY$70)*($BY227=$DA$13:$DA$70)*($CD227=$DH$13:$DH$70),0)),""))</f>
        <v/>
      </c>
      <c r="DL227" s="58" t="str" cm="1">
        <f t="array" ref="DL227">IF(AND($BT227=4,$BX227=4,$BU227=999),$DC$36,_xlfn.IFNA(INDEX(CHOOSE(DP227,DB$13:DB$70,DC$13:DC$70,DD$13:DD$70,DE$13:DE$70),MATCH(1,($BR227=$CV$13:$CV$70)*($BT227=$CX$13:$CX$70)*($CE227=$CY$13:$CY$70)*($BY227=$DA$13:$DA$70)*($CD227=$DH$13:$DH$70),0)),""))</f>
        <v/>
      </c>
      <c r="DM227" s="740" t="str" cm="1">
        <f t="array" ref="DM227">IF(AND($BT227=4,$BX227=4,$BU227=999),$DD$36,_xlfn.IFNA(INDEX(DD$13:DD$68,MATCH(1,($BR227=$CV$13:$CV$68)*($BT227=$CX$13:$CX$68)*($CE227=$CY$13:$CY$68)*($BY227=$DA$13:$DA$68)*($CD227=$DH$13:$DH$68),0)),""))</f>
        <v/>
      </c>
      <c r="DN227" s="740" t="str" cm="1">
        <f t="array" ref="DN227">IF(AND($BT227=4,$BX227=4,$BU227=999),$DD$36,_xlfn.IFNA(INDEX(DE$13:DE$68,MATCH(1,($BR227=$CV$13:$CV$68)*($BT227=$CX$13:$CX$68)*($CE227=$CY$13:$CY$68)*($BY227=$DA$13:$DA$68)*($CD227=$DH$13:$DH$68),0)),""))</f>
        <v/>
      </c>
      <c r="DO227" s="58" t="str" cm="1">
        <f t="array" ref="DO227">IF(AND($BT227=4,$BX227=4,$BU227=999),$DF$36,_xlfn.IFNA(INDEX(DF$13:DF$70,MATCH(1,($BR227=$CV$13:$CV$70)*($BT227=$CX$13:$CX$70)*($CE227=$CY$13:$CY$70)*($BY227=$DA$13:$DA$70)*($CD227=$DH$13:$DH$70),0)),""))</f>
        <v/>
      </c>
      <c r="DP227" s="58" t="e">
        <f t="shared" si="367"/>
        <v>#N/A</v>
      </c>
      <c r="FT227" s="58">
        <f t="shared" si="368"/>
        <v>0</v>
      </c>
      <c r="FW227" s="58">
        <f>IF(i_baseline_risk_from=2,'Effectiveness settings'!EW227,'Effectiveness settings'!FI227)</f>
        <v>0</v>
      </c>
      <c r="FX227" s="58">
        <f t="shared" si="369"/>
        <v>0</v>
      </c>
      <c r="FY227" s="58">
        <f t="shared" si="370"/>
        <v>0</v>
      </c>
      <c r="FZ227" s="58">
        <f t="shared" si="371"/>
        <v>0</v>
      </c>
      <c r="GA227" s="58">
        <f t="shared" si="372"/>
        <v>0</v>
      </c>
      <c r="GB227" s="58">
        <f t="shared" si="373"/>
        <v>0</v>
      </c>
      <c r="GC227" s="58">
        <f t="shared" si="374"/>
        <v>0</v>
      </c>
      <c r="GD227" s="58">
        <f t="shared" si="375"/>
        <v>0</v>
      </c>
      <c r="GE227" s="58">
        <f>IF(AND(dd_CheckMate214_TTD="Yes",'Effectiveness settings'!BU227=2,'Effectiveness settings'!BX227=2),"Apply HR to",GD227)</f>
        <v>0</v>
      </c>
      <c r="GF227" s="58">
        <f t="shared" si="376"/>
        <v>0</v>
      </c>
      <c r="GG227" s="58">
        <f t="shared" si="377"/>
        <v>0</v>
      </c>
      <c r="GH227" s="58">
        <f t="shared" si="378"/>
        <v>0</v>
      </c>
      <c r="GI227" s="58">
        <f t="shared" si="359"/>
        <v>0</v>
      </c>
      <c r="GK227" s="58">
        <f>IF(i_baseline_risk_from=2,'Effectiveness settings'!FA227,'Effectiveness settings'!FM227)</f>
        <v>0</v>
      </c>
      <c r="GL227" s="58">
        <f>IF(i_baseline_risk_from=2,'Effectiveness settings'!FB227,'Effectiveness settings'!FN227)</f>
        <v>0</v>
      </c>
      <c r="GM227" s="58">
        <f>IF(i_baseline_risk_from=2,'Effectiveness settings'!FC227,'Effectiveness settings'!FO227)</f>
        <v>0</v>
      </c>
      <c r="GN227" s="58">
        <f>IF(i_baseline_risk_from=2,'Effectiveness settings'!FD227,'Effectiveness settings'!FP227)</f>
        <v>0</v>
      </c>
      <c r="GQ227" s="58">
        <f t="shared" si="379"/>
        <v>0</v>
      </c>
      <c r="GR227" s="58">
        <f t="shared" si="380"/>
        <v>0</v>
      </c>
      <c r="GS227" s="58">
        <f t="shared" si="381"/>
        <v>0</v>
      </c>
      <c r="GT227" s="58">
        <f t="shared" si="382"/>
        <v>0</v>
      </c>
      <c r="GU227" s="58">
        <f>IF(AND(dd_CheckMate214_TTD="Yes",'Effectiveness settings'!BU227=2,'Effectiveness settings'!BX227=2),2,GT227)</f>
        <v>0</v>
      </c>
      <c r="GV227" s="58">
        <f t="shared" si="383"/>
        <v>0</v>
      </c>
      <c r="GW227" s="58">
        <f t="shared" si="384"/>
        <v>0</v>
      </c>
      <c r="GY227" s="58">
        <f>IF(AND(dd_CheckMate214_TTD="Yes",'Effectiveness settings'!BU227=2,'Effectiveness settings'!BX227=2),1,GN227)</f>
        <v>0</v>
      </c>
      <c r="GZ227" s="58">
        <f t="shared" si="385"/>
        <v>0</v>
      </c>
      <c r="HB227" s="58">
        <f t="shared" si="386"/>
        <v>0</v>
      </c>
      <c r="HD227" s="58">
        <f t="shared" si="360"/>
        <v>0</v>
      </c>
      <c r="HE227" s="58">
        <f t="shared" si="361"/>
        <v>0</v>
      </c>
      <c r="HF227" s="58">
        <f t="shared" si="362"/>
        <v>0</v>
      </c>
      <c r="HG227" s="58">
        <f t="shared" si="363"/>
        <v>0</v>
      </c>
      <c r="HH227" s="58">
        <f t="shared" si="364"/>
        <v>0</v>
      </c>
    </row>
    <row r="228" spans="9:216" ht="15.75" hidden="1" x14ac:dyDescent="0.25">
      <c r="I228" s="64"/>
      <c r="J228" s="519"/>
      <c r="K228" s="524"/>
      <c r="L228" s="519"/>
      <c r="M228" s="516"/>
      <c r="N228" s="64"/>
      <c r="O228" s="64"/>
      <c r="P228" s="64"/>
      <c r="Q228" s="519"/>
      <c r="R228" s="516"/>
      <c r="S228" s="497"/>
      <c r="T228" s="497"/>
      <c r="U228" s="497"/>
      <c r="Y228" s="517"/>
      <c r="AA228" s="517"/>
      <c r="AF228" s="517"/>
      <c r="AM228" s="517"/>
      <c r="AO228" s="517"/>
      <c r="AT228" s="517"/>
      <c r="AV228" s="511"/>
      <c r="AW228" s="511"/>
      <c r="AX228" s="511"/>
      <c r="BA228" s="517"/>
      <c r="BC228" s="517"/>
      <c r="BH228" s="517"/>
      <c r="BJ228" s="511"/>
      <c r="BK228" s="511"/>
      <c r="BL228" s="511"/>
      <c r="BQ228" s="58">
        <f t="shared" si="366"/>
        <v>140</v>
      </c>
      <c r="BR228" s="17"/>
      <c r="BS228" s="17"/>
      <c r="BT228" s="17"/>
      <c r="BU228" s="17"/>
      <c r="BV228" s="17"/>
      <c r="BW228" s="17"/>
      <c r="BX228" s="61"/>
      <c r="BY228" s="531"/>
      <c r="BZ228" s="530"/>
      <c r="CA228" s="531"/>
      <c r="CB228" s="530"/>
      <c r="CC228" s="530"/>
      <c r="CD228" s="530"/>
      <c r="CE228" s="1295"/>
      <c r="CF228" s="1301"/>
      <c r="CG228" s="530"/>
      <c r="CH228" s="61"/>
      <c r="CI228" s="61"/>
      <c r="CJ228" s="61"/>
      <c r="DH228" s="58" t="e">
        <f t="shared" si="387"/>
        <v>#N/A</v>
      </c>
      <c r="DK228" s="58" t="str" cm="1">
        <f t="array" ref="DK228">IF(AND($BT228=4,$BX228=4,$BU228=999),$DB$36,_xlfn.IFNA(INDEX(DB$13:DB$70,MATCH(1,($BR228=$CV$13:$CV$70)*($BT228=$CX$13:$CX$70)*($CE228=$CY$13:$CY$70)*($BY228=$DA$13:$DA$70)*($CD228=$DH$13:$DH$70),0)),""))</f>
        <v/>
      </c>
      <c r="DL228" s="58" t="str" cm="1">
        <f t="array" ref="DL228">IF(AND($BT228=4,$BX228=4,$BU228=999),$DC$36,_xlfn.IFNA(INDEX(CHOOSE(DP228,DB$13:DB$70,DC$13:DC$70,DD$13:DD$70,DE$13:DE$70),MATCH(1,($BR228=$CV$13:$CV$70)*($BT228=$CX$13:$CX$70)*($CE228=$CY$13:$CY$70)*($BY228=$DA$13:$DA$70)*($CD228=$DH$13:$DH$70),0)),""))</f>
        <v/>
      </c>
      <c r="DM228" s="740" t="str" cm="1">
        <f t="array" ref="DM228">IF(AND($BT228=4,$BX228=4,$BU228=999),$DD$36,_xlfn.IFNA(INDEX(DD$13:DD$68,MATCH(1,($BR228=$CV$13:$CV$68)*($BT228=$CX$13:$CX$68)*($CE228=$CY$13:$CY$68)*($BY228=$DA$13:$DA$68)*($CD228=$DH$13:$DH$68),0)),""))</f>
        <v/>
      </c>
      <c r="DN228" s="740" t="str" cm="1">
        <f t="array" ref="DN228">IF(AND($BT228=4,$BX228=4,$BU228=999),$DD$36,_xlfn.IFNA(INDEX(DE$13:DE$68,MATCH(1,($BR228=$CV$13:$CV$68)*($BT228=$CX$13:$CX$68)*($CE228=$CY$13:$CY$68)*($BY228=$DA$13:$DA$68)*($CD228=$DH$13:$DH$68),0)),""))</f>
        <v/>
      </c>
      <c r="DO228" s="58" t="str" cm="1">
        <f t="array" ref="DO228">IF(AND($BT228=4,$BX228=4,$BU228=999),$DF$36,_xlfn.IFNA(INDEX(DF$13:DF$70,MATCH(1,($BR228=$CV$13:$CV$70)*($BT228=$CX$13:$CX$70)*($CE228=$CY$13:$CY$70)*($BY228=$DA$13:$DA$70)*($CD228=$DH$13:$DH$70),0)),""))</f>
        <v/>
      </c>
      <c r="DP228" s="58" t="e">
        <f t="shared" si="367"/>
        <v>#N/A</v>
      </c>
      <c r="FT228" s="58">
        <f t="shared" si="368"/>
        <v>0</v>
      </c>
      <c r="FW228" s="58">
        <f>IF(i_baseline_risk_from=2,'Effectiveness settings'!EW228,'Effectiveness settings'!FI228)</f>
        <v>0</v>
      </c>
      <c r="FX228" s="58">
        <f t="shared" si="369"/>
        <v>0</v>
      </c>
      <c r="FY228" s="58">
        <f t="shared" si="370"/>
        <v>0</v>
      </c>
      <c r="FZ228" s="58">
        <f t="shared" si="371"/>
        <v>0</v>
      </c>
      <c r="GA228" s="58">
        <f t="shared" si="372"/>
        <v>0</v>
      </c>
      <c r="GB228" s="58">
        <f t="shared" si="373"/>
        <v>0</v>
      </c>
      <c r="GC228" s="58">
        <f t="shared" si="374"/>
        <v>0</v>
      </c>
      <c r="GD228" s="58">
        <f t="shared" si="375"/>
        <v>0</v>
      </c>
      <c r="GE228" s="58">
        <f>IF(AND(dd_CheckMate214_TTD="Yes",'Effectiveness settings'!BU228=2,'Effectiveness settings'!BX228=2),"Apply HR to",GD228)</f>
        <v>0</v>
      </c>
      <c r="GF228" s="58">
        <f t="shared" si="376"/>
        <v>0</v>
      </c>
      <c r="GG228" s="58">
        <f t="shared" si="377"/>
        <v>0</v>
      </c>
      <c r="GH228" s="58">
        <f t="shared" si="378"/>
        <v>0</v>
      </c>
      <c r="GI228" s="58">
        <f t="shared" si="359"/>
        <v>0</v>
      </c>
      <c r="GK228" s="58">
        <f>IF(i_baseline_risk_from=2,'Effectiveness settings'!FA228,'Effectiveness settings'!FM228)</f>
        <v>0</v>
      </c>
      <c r="GL228" s="58">
        <f>IF(i_baseline_risk_from=2,'Effectiveness settings'!FB228,'Effectiveness settings'!FN228)</f>
        <v>0</v>
      </c>
      <c r="GM228" s="58">
        <f>IF(i_baseline_risk_from=2,'Effectiveness settings'!FC228,'Effectiveness settings'!FO228)</f>
        <v>0</v>
      </c>
      <c r="GN228" s="58">
        <f>IF(i_baseline_risk_from=2,'Effectiveness settings'!FD228,'Effectiveness settings'!FP228)</f>
        <v>0</v>
      </c>
      <c r="GQ228" s="58">
        <f t="shared" si="379"/>
        <v>0</v>
      </c>
      <c r="GR228" s="58">
        <f t="shared" si="380"/>
        <v>0</v>
      </c>
      <c r="GS228" s="58">
        <f t="shared" si="381"/>
        <v>0</v>
      </c>
      <c r="GT228" s="58">
        <f t="shared" si="382"/>
        <v>0</v>
      </c>
      <c r="GU228" s="58">
        <f>IF(AND(dd_CheckMate214_TTD="Yes",'Effectiveness settings'!BU228=2,'Effectiveness settings'!BX228=2),2,GT228)</f>
        <v>0</v>
      </c>
      <c r="GV228" s="58">
        <f t="shared" si="383"/>
        <v>0</v>
      </c>
      <c r="GW228" s="58">
        <f t="shared" si="384"/>
        <v>0</v>
      </c>
      <c r="GY228" s="58">
        <f>IF(AND(dd_CheckMate214_TTD="Yes",'Effectiveness settings'!BU228=2,'Effectiveness settings'!BX228=2),1,GN228)</f>
        <v>0</v>
      </c>
      <c r="GZ228" s="58">
        <f t="shared" si="385"/>
        <v>0</v>
      </c>
      <c r="HB228" s="58">
        <f t="shared" si="386"/>
        <v>0</v>
      </c>
      <c r="HD228" s="58">
        <f t="shared" si="360"/>
        <v>0</v>
      </c>
      <c r="HE228" s="58">
        <f t="shared" si="361"/>
        <v>0</v>
      </c>
      <c r="HF228" s="58">
        <f t="shared" si="362"/>
        <v>0</v>
      </c>
      <c r="HG228" s="58">
        <f t="shared" si="363"/>
        <v>0</v>
      </c>
      <c r="HH228" s="58">
        <f t="shared" si="364"/>
        <v>0</v>
      </c>
    </row>
    <row r="229" spans="9:216" ht="15.75" hidden="1" x14ac:dyDescent="0.25">
      <c r="I229" s="64"/>
      <c r="J229" s="519"/>
      <c r="K229" s="524"/>
      <c r="L229" s="519"/>
      <c r="M229" s="516"/>
      <c r="N229" s="64"/>
      <c r="O229" s="64"/>
      <c r="P229" s="64"/>
      <c r="Q229" s="519"/>
      <c r="R229" s="516"/>
      <c r="S229" s="497"/>
      <c r="T229" s="497"/>
      <c r="U229" s="497"/>
      <c r="Y229" s="517"/>
      <c r="AA229" s="517"/>
      <c r="AF229" s="517"/>
      <c r="AM229" s="517"/>
      <c r="AO229" s="517"/>
      <c r="AT229" s="517"/>
      <c r="AV229" s="511"/>
      <c r="AW229" s="511"/>
      <c r="AX229" s="511"/>
      <c r="BA229" s="517"/>
      <c r="BC229" s="517"/>
      <c r="BH229" s="517"/>
      <c r="BJ229" s="511"/>
      <c r="BK229" s="511"/>
      <c r="BL229" s="511"/>
      <c r="BQ229" s="58">
        <f t="shared" si="366"/>
        <v>140</v>
      </c>
      <c r="BR229" s="17"/>
      <c r="BS229" s="17"/>
      <c r="BT229" s="17"/>
      <c r="BU229" s="17"/>
      <c r="BV229" s="17"/>
      <c r="BW229" s="17"/>
      <c r="BX229" s="61"/>
      <c r="BY229" s="531"/>
      <c r="BZ229" s="530"/>
      <c r="CA229" s="531"/>
      <c r="CB229" s="530"/>
      <c r="CC229" s="530"/>
      <c r="CD229" s="530"/>
      <c r="CE229" s="1295"/>
      <c r="CF229" s="1301"/>
      <c r="CG229" s="530"/>
      <c r="CH229" s="61"/>
      <c r="CI229" s="61"/>
      <c r="CJ229" s="61"/>
      <c r="DH229" s="58" t="e">
        <f t="shared" si="387"/>
        <v>#N/A</v>
      </c>
      <c r="DK229" s="58" t="str" cm="1">
        <f t="array" ref="DK229">IF(AND($BT229=4,$BX229=4,$BU229=999),$DB$36,_xlfn.IFNA(INDEX(DB$13:DB$70,MATCH(1,($BR229=$CV$13:$CV$70)*($BT229=$CX$13:$CX$70)*($CE229=$CY$13:$CY$70)*($BY229=$DA$13:$DA$70)*($CD229=$DH$13:$DH$70),0)),""))</f>
        <v/>
      </c>
      <c r="DL229" s="58" t="str" cm="1">
        <f t="array" ref="DL229">IF(AND($BT229=4,$BX229=4,$BU229=999),$DC$36,_xlfn.IFNA(INDEX(CHOOSE(DP229,DB$13:DB$70,DC$13:DC$70,DD$13:DD$70,DE$13:DE$70),MATCH(1,($BR229=$CV$13:$CV$70)*($BT229=$CX$13:$CX$70)*($CE229=$CY$13:$CY$70)*($BY229=$DA$13:$DA$70)*($CD229=$DH$13:$DH$70),0)),""))</f>
        <v/>
      </c>
      <c r="DM229" s="740" t="str" cm="1">
        <f t="array" ref="DM229">IF(AND($BT229=4,$BX229=4,$BU229=999),$DD$36,_xlfn.IFNA(INDEX(DD$13:DD$68,MATCH(1,($BR229=$CV$13:$CV$68)*($BT229=$CX$13:$CX$68)*($CE229=$CY$13:$CY$68)*($BY229=$DA$13:$DA$68)*($CD229=$DH$13:$DH$68),0)),""))</f>
        <v/>
      </c>
      <c r="DN229" s="740" t="str" cm="1">
        <f t="array" ref="DN229">IF(AND($BT229=4,$BX229=4,$BU229=999),$DD$36,_xlfn.IFNA(INDEX(DE$13:DE$68,MATCH(1,($BR229=$CV$13:$CV$68)*($BT229=$CX$13:$CX$68)*($CE229=$CY$13:$CY$68)*($BY229=$DA$13:$DA$68)*($CD229=$DH$13:$DH$68),0)),""))</f>
        <v/>
      </c>
      <c r="DO229" s="58" t="str" cm="1">
        <f t="array" ref="DO229">IF(AND($BT229=4,$BX229=4,$BU229=999),$DF$36,_xlfn.IFNA(INDEX(DF$13:DF$70,MATCH(1,($BR229=$CV$13:$CV$70)*($BT229=$CX$13:$CX$70)*($CE229=$CY$13:$CY$70)*($BY229=$DA$13:$DA$70)*($CD229=$DH$13:$DH$70),0)),""))</f>
        <v/>
      </c>
      <c r="DP229" s="58" t="e">
        <f t="shared" si="367"/>
        <v>#N/A</v>
      </c>
      <c r="FT229" s="58">
        <f t="shared" si="368"/>
        <v>0</v>
      </c>
      <c r="FW229" s="58">
        <f>IF(i_baseline_risk_from=2,'Effectiveness settings'!EW229,'Effectiveness settings'!FI229)</f>
        <v>0</v>
      </c>
      <c r="FX229" s="58">
        <f t="shared" si="369"/>
        <v>0</v>
      </c>
      <c r="FY229" s="58">
        <f t="shared" si="370"/>
        <v>0</v>
      </c>
      <c r="FZ229" s="58">
        <f t="shared" si="371"/>
        <v>0</v>
      </c>
      <c r="GA229" s="58">
        <f t="shared" si="372"/>
        <v>0</v>
      </c>
      <c r="GB229" s="58">
        <f t="shared" si="373"/>
        <v>0</v>
      </c>
      <c r="GC229" s="58">
        <f t="shared" si="374"/>
        <v>0</v>
      </c>
      <c r="GD229" s="58">
        <f t="shared" si="375"/>
        <v>0</v>
      </c>
      <c r="GE229" s="58">
        <f>IF(AND(dd_CheckMate214_TTD="Yes",'Effectiveness settings'!BU229=2,'Effectiveness settings'!BX229=2),"Apply HR to",GD229)</f>
        <v>0</v>
      </c>
      <c r="GF229" s="58">
        <f t="shared" si="376"/>
        <v>0</v>
      </c>
      <c r="GG229" s="58">
        <f t="shared" si="377"/>
        <v>0</v>
      </c>
      <c r="GH229" s="58">
        <f t="shared" si="378"/>
        <v>0</v>
      </c>
      <c r="GI229" s="58">
        <f t="shared" si="359"/>
        <v>0</v>
      </c>
      <c r="GK229" s="58">
        <f>IF(i_baseline_risk_from=2,'Effectiveness settings'!FA229,'Effectiveness settings'!FM229)</f>
        <v>0</v>
      </c>
      <c r="GL229" s="58">
        <f>IF(i_baseline_risk_from=2,'Effectiveness settings'!FB229,'Effectiveness settings'!FN229)</f>
        <v>0</v>
      </c>
      <c r="GM229" s="58">
        <f>IF(i_baseline_risk_from=2,'Effectiveness settings'!FC229,'Effectiveness settings'!FO229)</f>
        <v>0</v>
      </c>
      <c r="GN229" s="58">
        <f>IF(i_baseline_risk_from=2,'Effectiveness settings'!FD229,'Effectiveness settings'!FP229)</f>
        <v>0</v>
      </c>
      <c r="GQ229" s="58">
        <f t="shared" si="379"/>
        <v>0</v>
      </c>
      <c r="GR229" s="58">
        <f t="shared" si="380"/>
        <v>0</v>
      </c>
      <c r="GS229" s="58">
        <f t="shared" si="381"/>
        <v>0</v>
      </c>
      <c r="GT229" s="58">
        <f t="shared" si="382"/>
        <v>0</v>
      </c>
      <c r="GU229" s="58">
        <f>IF(AND(dd_CheckMate214_TTD="Yes",'Effectiveness settings'!BU229=2,'Effectiveness settings'!BX229=2),2,GT229)</f>
        <v>0</v>
      </c>
      <c r="GV229" s="58">
        <f t="shared" si="383"/>
        <v>0</v>
      </c>
      <c r="GW229" s="58">
        <f t="shared" si="384"/>
        <v>0</v>
      </c>
      <c r="GY229" s="58">
        <f>IF(AND(dd_CheckMate214_TTD="Yes",'Effectiveness settings'!BU229=2,'Effectiveness settings'!BX229=2),1,GN229)</f>
        <v>0</v>
      </c>
      <c r="GZ229" s="58">
        <f t="shared" si="385"/>
        <v>0</v>
      </c>
      <c r="HB229" s="58">
        <f t="shared" si="386"/>
        <v>0</v>
      </c>
      <c r="HD229" s="58">
        <f t="shared" si="360"/>
        <v>0</v>
      </c>
      <c r="HE229" s="58">
        <f t="shared" si="361"/>
        <v>0</v>
      </c>
      <c r="HF229" s="58">
        <f t="shared" si="362"/>
        <v>0</v>
      </c>
      <c r="HG229" s="58">
        <f t="shared" si="363"/>
        <v>0</v>
      </c>
      <c r="HH229" s="58">
        <f t="shared" si="364"/>
        <v>0</v>
      </c>
    </row>
    <row r="230" spans="9:216" ht="15.75" hidden="1" x14ac:dyDescent="0.25">
      <c r="I230" s="64"/>
      <c r="J230" s="519"/>
      <c r="K230" s="524"/>
      <c r="L230" s="519"/>
      <c r="M230" s="516"/>
      <c r="N230" s="64"/>
      <c r="O230" s="64"/>
      <c r="P230" s="64"/>
      <c r="Q230" s="519"/>
      <c r="R230" s="516"/>
      <c r="S230" s="497"/>
      <c r="T230" s="497"/>
      <c r="U230" s="497"/>
      <c r="Y230" s="517"/>
      <c r="AA230" s="517"/>
      <c r="AF230" s="517"/>
      <c r="AM230" s="517"/>
      <c r="AO230" s="517"/>
      <c r="AT230" s="517"/>
      <c r="AV230" s="511"/>
      <c r="AW230" s="511"/>
      <c r="AX230" s="511"/>
      <c r="BA230" s="517"/>
      <c r="BC230" s="517"/>
      <c r="BH230" s="517"/>
      <c r="BJ230" s="511"/>
      <c r="BK230" s="511"/>
      <c r="BL230" s="511"/>
      <c r="BQ230" s="58">
        <f t="shared" si="366"/>
        <v>140</v>
      </c>
      <c r="BR230" s="17"/>
      <c r="BS230" s="17"/>
      <c r="BT230" s="17"/>
      <c r="BU230" s="17"/>
      <c r="BV230" s="17"/>
      <c r="BW230" s="17"/>
      <c r="BX230" s="61"/>
      <c r="BY230" s="531"/>
      <c r="BZ230" s="530"/>
      <c r="CA230" s="531"/>
      <c r="CB230" s="530"/>
      <c r="CC230" s="530"/>
      <c r="CD230" s="530"/>
      <c r="CE230" s="1295"/>
      <c r="CF230" s="1301"/>
      <c r="CG230" s="530"/>
      <c r="CH230" s="61"/>
      <c r="CI230" s="61"/>
      <c r="CJ230" s="61"/>
      <c r="DH230" s="58" t="e">
        <f t="shared" si="387"/>
        <v>#N/A</v>
      </c>
      <c r="DK230" s="58" t="str" cm="1">
        <f t="array" ref="DK230">IF(AND($BT230=4,$BX230=4,$BU230=999),$DB$36,_xlfn.IFNA(INDEX(DB$13:DB$70,MATCH(1,($BR230=$CV$13:$CV$70)*($BT230=$CX$13:$CX$70)*($CE230=$CY$13:$CY$70)*($BY230=$DA$13:$DA$70)*($CD230=$DH$13:$DH$70),0)),""))</f>
        <v/>
      </c>
      <c r="DL230" s="58" t="str" cm="1">
        <f t="array" ref="DL230">IF(AND($BT230=4,$BX230=4,$BU230=999),$DC$36,_xlfn.IFNA(INDEX(CHOOSE(DP230,DB$13:DB$70,DC$13:DC$70,DD$13:DD$70,DE$13:DE$70),MATCH(1,($BR230=$CV$13:$CV$70)*($BT230=$CX$13:$CX$70)*($CE230=$CY$13:$CY$70)*($BY230=$DA$13:$DA$70)*($CD230=$DH$13:$DH$70),0)),""))</f>
        <v/>
      </c>
      <c r="DM230" s="740" t="str" cm="1">
        <f t="array" ref="DM230">IF(AND($BT230=4,$BX230=4,$BU230=999),$DD$36,_xlfn.IFNA(INDEX(DD$13:DD$68,MATCH(1,($BR230=$CV$13:$CV$68)*($BT230=$CX$13:$CX$68)*($CE230=$CY$13:$CY$68)*($BY230=$DA$13:$DA$68)*($CD230=$DH$13:$DH$68),0)),""))</f>
        <v/>
      </c>
      <c r="DN230" s="740" t="str" cm="1">
        <f t="array" ref="DN230">IF(AND($BT230=4,$BX230=4,$BU230=999),$DD$36,_xlfn.IFNA(INDEX(DE$13:DE$68,MATCH(1,($BR230=$CV$13:$CV$68)*($BT230=$CX$13:$CX$68)*($CE230=$CY$13:$CY$68)*($BY230=$DA$13:$DA$68)*($CD230=$DH$13:$DH$68),0)),""))</f>
        <v/>
      </c>
      <c r="DO230" s="58" t="str" cm="1">
        <f t="array" ref="DO230">IF(AND($BT230=4,$BX230=4,$BU230=999),$DF$36,_xlfn.IFNA(INDEX(DF$13:DF$70,MATCH(1,($BR230=$CV$13:$CV$70)*($BT230=$CX$13:$CX$70)*($CE230=$CY$13:$CY$70)*($BY230=$DA$13:$DA$70)*($CD230=$DH$13:$DH$70),0)),""))</f>
        <v/>
      </c>
      <c r="DP230" s="58" t="e">
        <f t="shared" si="367"/>
        <v>#N/A</v>
      </c>
      <c r="FT230" s="58">
        <f t="shared" si="368"/>
        <v>0</v>
      </c>
      <c r="FW230" s="58">
        <f>IF(i_baseline_risk_from=2,'Effectiveness settings'!EW230,'Effectiveness settings'!FI230)</f>
        <v>0</v>
      </c>
      <c r="FX230" s="58">
        <f t="shared" si="369"/>
        <v>0</v>
      </c>
      <c r="FY230" s="58">
        <f t="shared" si="370"/>
        <v>0</v>
      </c>
      <c r="FZ230" s="58">
        <f t="shared" si="371"/>
        <v>0</v>
      </c>
      <c r="GA230" s="58">
        <f t="shared" si="372"/>
        <v>0</v>
      </c>
      <c r="GB230" s="58">
        <f t="shared" si="373"/>
        <v>0</v>
      </c>
      <c r="GC230" s="58">
        <f t="shared" si="374"/>
        <v>0</v>
      </c>
      <c r="GD230" s="58">
        <f t="shared" si="375"/>
        <v>0</v>
      </c>
      <c r="GE230" s="58">
        <f>IF(AND(dd_CheckMate214_TTD="Yes",'Effectiveness settings'!BU230=2,'Effectiveness settings'!BX230=2),"Apply HR to",GD230)</f>
        <v>0</v>
      </c>
      <c r="GF230" s="58">
        <f t="shared" si="376"/>
        <v>0</v>
      </c>
      <c r="GG230" s="58">
        <f t="shared" si="377"/>
        <v>0</v>
      </c>
      <c r="GH230" s="58">
        <f t="shared" si="378"/>
        <v>0</v>
      </c>
      <c r="GI230" s="58">
        <f t="shared" ref="GI230:GI258" si="388">IF(AND(i_apply_AR_to_FR_NMA=1,GH230&lt;&gt;"Trial survival analysis",BW230&lt;&gt;"No"),GI354,GH230)</f>
        <v>0</v>
      </c>
      <c r="GK230" s="58">
        <f>IF(i_baseline_risk_from=2,'Effectiveness settings'!FA230,'Effectiveness settings'!FM230)</f>
        <v>0</v>
      </c>
      <c r="GL230" s="58">
        <f>IF(i_baseline_risk_from=2,'Effectiveness settings'!FB230,'Effectiveness settings'!FN230)</f>
        <v>0</v>
      </c>
      <c r="GM230" s="58">
        <f>IF(i_baseline_risk_from=2,'Effectiveness settings'!FC230,'Effectiveness settings'!FO230)</f>
        <v>0</v>
      </c>
      <c r="GN230" s="58">
        <f>IF(i_baseline_risk_from=2,'Effectiveness settings'!FD230,'Effectiveness settings'!FP230)</f>
        <v>0</v>
      </c>
      <c r="GQ230" s="58">
        <f t="shared" si="379"/>
        <v>0</v>
      </c>
      <c r="GR230" s="58">
        <f t="shared" si="380"/>
        <v>0</v>
      </c>
      <c r="GS230" s="58">
        <f t="shared" si="381"/>
        <v>0</v>
      </c>
      <c r="GT230" s="58">
        <f t="shared" si="382"/>
        <v>0</v>
      </c>
      <c r="GU230" s="58">
        <f>IF(AND(dd_CheckMate214_TTD="Yes",'Effectiveness settings'!BU230=2,'Effectiveness settings'!BX230=2),2,GT230)</f>
        <v>0</v>
      </c>
      <c r="GV230" s="58">
        <f t="shared" si="383"/>
        <v>0</v>
      </c>
      <c r="GW230" s="58">
        <f t="shared" si="384"/>
        <v>0</v>
      </c>
      <c r="GY230" s="58">
        <f>IF(AND(dd_CheckMate214_TTD="Yes",'Effectiveness settings'!BU230=2,'Effectiveness settings'!BX230=2),1,GN230)</f>
        <v>0</v>
      </c>
      <c r="GZ230" s="58">
        <f t="shared" si="385"/>
        <v>0</v>
      </c>
      <c r="HB230" s="58">
        <f t="shared" si="386"/>
        <v>0</v>
      </c>
      <c r="HD230" s="58">
        <f t="shared" si="360"/>
        <v>0</v>
      </c>
      <c r="HE230" s="58">
        <f t="shared" si="361"/>
        <v>0</v>
      </c>
      <c r="HF230" s="58">
        <f t="shared" si="362"/>
        <v>0</v>
      </c>
      <c r="HG230" s="58">
        <f t="shared" si="363"/>
        <v>0</v>
      </c>
      <c r="HH230" s="58">
        <f t="shared" si="364"/>
        <v>0</v>
      </c>
    </row>
    <row r="231" spans="9:216" ht="15.75" hidden="1" x14ac:dyDescent="0.25">
      <c r="I231" s="64"/>
      <c r="J231" s="519"/>
      <c r="K231" s="524"/>
      <c r="L231" s="519"/>
      <c r="M231" s="516"/>
      <c r="N231" s="64"/>
      <c r="O231" s="64"/>
      <c r="P231" s="64"/>
      <c r="Q231" s="519"/>
      <c r="R231" s="516"/>
      <c r="S231" s="497"/>
      <c r="T231" s="497"/>
      <c r="U231" s="497"/>
      <c r="Y231" s="517"/>
      <c r="AA231" s="517"/>
      <c r="AF231" s="517"/>
      <c r="AM231" s="517"/>
      <c r="AO231" s="517"/>
      <c r="AT231" s="517"/>
      <c r="AV231" s="511"/>
      <c r="AW231" s="511"/>
      <c r="AX231" s="511"/>
      <c r="BA231" s="517"/>
      <c r="BC231" s="517"/>
      <c r="BH231" s="517"/>
      <c r="BJ231" s="511"/>
      <c r="BK231" s="511"/>
      <c r="BL231" s="511"/>
      <c r="BQ231" s="58">
        <f t="shared" si="366"/>
        <v>140</v>
      </c>
      <c r="BR231" s="17"/>
      <c r="BS231" s="17"/>
      <c r="BT231" s="17"/>
      <c r="BU231" s="17"/>
      <c r="BV231" s="17"/>
      <c r="BW231" s="17"/>
      <c r="BX231" s="61"/>
      <c r="BY231" s="531"/>
      <c r="BZ231" s="530"/>
      <c r="CA231" s="531"/>
      <c r="CB231" s="530"/>
      <c r="CC231" s="530"/>
      <c r="CD231" s="530"/>
      <c r="CE231" s="1295"/>
      <c r="CF231" s="1301"/>
      <c r="CG231" s="530"/>
      <c r="CH231" s="61"/>
      <c r="CI231" s="61"/>
      <c r="CJ231" s="61"/>
      <c r="DH231" s="58" t="e">
        <f t="shared" si="387"/>
        <v>#N/A</v>
      </c>
      <c r="DK231" s="58" t="str" cm="1">
        <f t="array" ref="DK231">IF(AND($BT231=4,$BX231=4,$BU231=999),$DB$36,_xlfn.IFNA(INDEX(DB$13:DB$70,MATCH(1,($BR231=$CV$13:$CV$70)*($BT231=$CX$13:$CX$70)*($CE231=$CY$13:$CY$70)*($BY231=$DA$13:$DA$70)*($CD231=$DH$13:$DH$70),0)),""))</f>
        <v/>
      </c>
      <c r="DL231" s="58" t="str" cm="1">
        <f t="array" ref="DL231">IF(AND($BT231=4,$BX231=4,$BU231=999),$DC$36,_xlfn.IFNA(INDEX(CHOOSE(DP231,DB$13:DB$70,DC$13:DC$70,DD$13:DD$70,DE$13:DE$70),MATCH(1,($BR231=$CV$13:$CV$70)*($BT231=$CX$13:$CX$70)*($CE231=$CY$13:$CY$70)*($BY231=$DA$13:$DA$70)*($CD231=$DH$13:$DH$70),0)),""))</f>
        <v/>
      </c>
      <c r="DM231" s="740" t="str" cm="1">
        <f t="array" ref="DM231">IF(AND($BT231=4,$BX231=4,$BU231=999),$DD$36,_xlfn.IFNA(INDEX(DD$13:DD$68,MATCH(1,($BR231=$CV$13:$CV$68)*($BT231=$CX$13:$CX$68)*($CE231=$CY$13:$CY$68)*($BY231=$DA$13:$DA$68)*($CD231=$DH$13:$DH$68),0)),""))</f>
        <v/>
      </c>
      <c r="DN231" s="740" t="str" cm="1">
        <f t="array" ref="DN231">IF(AND($BT231=4,$BX231=4,$BU231=999),$DD$36,_xlfn.IFNA(INDEX(DE$13:DE$68,MATCH(1,($BR231=$CV$13:$CV$68)*($BT231=$CX$13:$CX$68)*($CE231=$CY$13:$CY$68)*($BY231=$DA$13:$DA$68)*($CD231=$DH$13:$DH$68),0)),""))</f>
        <v/>
      </c>
      <c r="DO231" s="58" t="str" cm="1">
        <f t="array" ref="DO231">IF(AND($BT231=4,$BX231=4,$BU231=999),$DF$36,_xlfn.IFNA(INDEX(DF$13:DF$70,MATCH(1,($BR231=$CV$13:$CV$70)*($BT231=$CX$13:$CX$70)*($CE231=$CY$13:$CY$70)*($BY231=$DA$13:$DA$70)*($CD231=$DH$13:$DH$70),0)),""))</f>
        <v/>
      </c>
      <c r="DP231" s="58" t="e">
        <f t="shared" si="367"/>
        <v>#N/A</v>
      </c>
      <c r="FT231" s="58">
        <f t="shared" si="368"/>
        <v>0</v>
      </c>
      <c r="FW231" s="58">
        <f>IF(i_baseline_risk_from=2,'Effectiveness settings'!EW231,'Effectiveness settings'!FI231)</f>
        <v>0</v>
      </c>
      <c r="FX231" s="58">
        <f t="shared" si="369"/>
        <v>0</v>
      </c>
      <c r="FY231" s="58">
        <f t="shared" si="370"/>
        <v>0</v>
      </c>
      <c r="FZ231" s="58">
        <f t="shared" si="371"/>
        <v>0</v>
      </c>
      <c r="GA231" s="58">
        <f t="shared" si="372"/>
        <v>0</v>
      </c>
      <c r="GB231" s="58">
        <f t="shared" si="373"/>
        <v>0</v>
      </c>
      <c r="GC231" s="58">
        <f t="shared" si="374"/>
        <v>0</v>
      </c>
      <c r="GD231" s="58">
        <f t="shared" si="375"/>
        <v>0</v>
      </c>
      <c r="GE231" s="58">
        <f>IF(AND(dd_CheckMate214_TTD="Yes",'Effectiveness settings'!BU231=2,'Effectiveness settings'!BX231=2),"Apply HR to",GD231)</f>
        <v>0</v>
      </c>
      <c r="GF231" s="58">
        <f t="shared" si="376"/>
        <v>0</v>
      </c>
      <c r="GG231" s="58">
        <f t="shared" si="377"/>
        <v>0</v>
      </c>
      <c r="GH231" s="58">
        <f t="shared" si="378"/>
        <v>0</v>
      </c>
      <c r="GI231" s="58">
        <f t="shared" si="388"/>
        <v>0</v>
      </c>
      <c r="GK231" s="58">
        <f>IF(i_baseline_risk_from=2,'Effectiveness settings'!FA231,'Effectiveness settings'!FM231)</f>
        <v>0</v>
      </c>
      <c r="GL231" s="58">
        <f>IF(i_baseline_risk_from=2,'Effectiveness settings'!FB231,'Effectiveness settings'!FN231)</f>
        <v>0</v>
      </c>
      <c r="GM231" s="58">
        <f>IF(i_baseline_risk_from=2,'Effectiveness settings'!FC231,'Effectiveness settings'!FO231)</f>
        <v>0</v>
      </c>
      <c r="GN231" s="58">
        <f>IF(i_baseline_risk_from=2,'Effectiveness settings'!FD231,'Effectiveness settings'!FP231)</f>
        <v>0</v>
      </c>
      <c r="GQ231" s="58">
        <f t="shared" si="379"/>
        <v>0</v>
      </c>
      <c r="GR231" s="58">
        <f t="shared" si="380"/>
        <v>0</v>
      </c>
      <c r="GS231" s="58">
        <f t="shared" si="381"/>
        <v>0</v>
      </c>
      <c r="GT231" s="58">
        <f t="shared" si="382"/>
        <v>0</v>
      </c>
      <c r="GU231" s="58">
        <f>IF(AND(dd_CheckMate214_TTD="Yes",'Effectiveness settings'!BU231=2,'Effectiveness settings'!BX231=2),2,GT231)</f>
        <v>0</v>
      </c>
      <c r="GV231" s="58">
        <f t="shared" si="383"/>
        <v>0</v>
      </c>
      <c r="GW231" s="58">
        <f t="shared" si="384"/>
        <v>0</v>
      </c>
      <c r="GY231" s="58">
        <f>IF(AND(dd_CheckMate214_TTD="Yes",'Effectiveness settings'!BU231=2,'Effectiveness settings'!BX231=2),1,GN231)</f>
        <v>0</v>
      </c>
      <c r="GZ231" s="58">
        <f t="shared" si="385"/>
        <v>0</v>
      </c>
      <c r="HB231" s="58">
        <f t="shared" si="386"/>
        <v>0</v>
      </c>
      <c r="HD231" s="58">
        <f t="shared" si="360"/>
        <v>0</v>
      </c>
      <c r="HE231" s="58">
        <f t="shared" si="361"/>
        <v>0</v>
      </c>
      <c r="HF231" s="58">
        <f t="shared" si="362"/>
        <v>0</v>
      </c>
      <c r="HG231" s="58">
        <f t="shared" si="363"/>
        <v>0</v>
      </c>
      <c r="HH231" s="58">
        <f t="shared" si="364"/>
        <v>0</v>
      </c>
    </row>
    <row r="232" spans="9:216" ht="15.75" hidden="1" x14ac:dyDescent="0.25">
      <c r="I232" s="64"/>
      <c r="J232" s="519"/>
      <c r="K232" s="524"/>
      <c r="L232" s="519"/>
      <c r="M232" s="516"/>
      <c r="N232" s="64"/>
      <c r="O232" s="64"/>
      <c r="P232" s="64"/>
      <c r="Q232" s="519"/>
      <c r="R232" s="516"/>
      <c r="S232" s="497"/>
      <c r="T232" s="497"/>
      <c r="U232" s="497"/>
      <c r="Y232" s="517"/>
      <c r="AA232" s="517"/>
      <c r="AF232" s="517"/>
      <c r="AM232" s="517"/>
      <c r="AO232" s="517"/>
      <c r="AT232" s="517"/>
      <c r="AV232" s="511"/>
      <c r="AW232" s="511"/>
      <c r="AX232" s="511"/>
      <c r="BA232" s="517"/>
      <c r="BC232" s="517"/>
      <c r="BH232" s="517"/>
      <c r="BJ232" s="511"/>
      <c r="BK232" s="511"/>
      <c r="BL232" s="511"/>
      <c r="BQ232" s="58">
        <f t="shared" si="366"/>
        <v>140</v>
      </c>
      <c r="BR232" s="17"/>
      <c r="BS232" s="17"/>
      <c r="BT232" s="17"/>
      <c r="BU232" s="17"/>
      <c r="BV232" s="17"/>
      <c r="BW232" s="17"/>
      <c r="BX232" s="61"/>
      <c r="BY232" s="531"/>
      <c r="BZ232" s="530"/>
      <c r="CA232" s="531"/>
      <c r="CB232" s="530"/>
      <c r="CC232" s="530"/>
      <c r="CD232" s="530"/>
      <c r="CE232" s="1295"/>
      <c r="CF232" s="1301"/>
      <c r="CG232" s="530"/>
      <c r="CH232" s="61"/>
      <c r="CI232" s="61"/>
      <c r="CJ232" s="61"/>
      <c r="DH232" s="58" t="e">
        <f t="shared" si="387"/>
        <v>#N/A</v>
      </c>
      <c r="DK232" s="58" t="str" cm="1">
        <f t="array" ref="DK232">IF(AND($BT232=4,$BX232=4,$BU232=999),$DB$36,_xlfn.IFNA(INDEX(DB$13:DB$70,MATCH(1,($BR232=$CV$13:$CV$70)*($BT232=$CX$13:$CX$70)*($CE232=$CY$13:$CY$70)*($BY232=$DA$13:$DA$70)*($CD232=$DH$13:$DH$70),0)),""))</f>
        <v/>
      </c>
      <c r="DL232" s="58" t="str" cm="1">
        <f t="array" ref="DL232">IF(AND($BT232=4,$BX232=4,$BU232=999),$DC$36,_xlfn.IFNA(INDEX(CHOOSE(DP232,DB$13:DB$70,DC$13:DC$70,DD$13:DD$70,DE$13:DE$70),MATCH(1,($BR232=$CV$13:$CV$70)*($BT232=$CX$13:$CX$70)*($CE232=$CY$13:$CY$70)*($BY232=$DA$13:$DA$70)*($CD232=$DH$13:$DH$70),0)),""))</f>
        <v/>
      </c>
      <c r="DM232" s="740" t="str" cm="1">
        <f t="array" ref="DM232">IF(AND($BT232=4,$BX232=4,$BU232=999),$DD$36,_xlfn.IFNA(INDEX(DD$13:DD$68,MATCH(1,($BR232=$CV$13:$CV$68)*($BT232=$CX$13:$CX$68)*($CE232=$CY$13:$CY$68)*($BY232=$DA$13:$DA$68)*($CD232=$DH$13:$DH$68),0)),""))</f>
        <v/>
      </c>
      <c r="DN232" s="740" t="str" cm="1">
        <f t="array" ref="DN232">IF(AND($BT232=4,$BX232=4,$BU232=999),$DD$36,_xlfn.IFNA(INDEX(DE$13:DE$68,MATCH(1,($BR232=$CV$13:$CV$68)*($BT232=$CX$13:$CX$68)*($CE232=$CY$13:$CY$68)*($BY232=$DA$13:$DA$68)*($CD232=$DH$13:$DH$68),0)),""))</f>
        <v/>
      </c>
      <c r="DO232" s="58" t="str" cm="1">
        <f t="array" ref="DO232">IF(AND($BT232=4,$BX232=4,$BU232=999),$DF$36,_xlfn.IFNA(INDEX(DF$13:DF$70,MATCH(1,($BR232=$CV$13:$CV$70)*($BT232=$CX$13:$CX$70)*($CE232=$CY$13:$CY$70)*($BY232=$DA$13:$DA$70)*($CD232=$DH$13:$DH$70),0)),""))</f>
        <v/>
      </c>
      <c r="DP232" s="58" t="e">
        <f t="shared" si="367"/>
        <v>#N/A</v>
      </c>
      <c r="FT232" s="58">
        <f t="shared" si="368"/>
        <v>0</v>
      </c>
      <c r="FW232" s="58">
        <f>IF(i_baseline_risk_from=2,'Effectiveness settings'!EW232,'Effectiveness settings'!FI232)</f>
        <v>0</v>
      </c>
      <c r="FX232" s="58">
        <f t="shared" si="369"/>
        <v>0</v>
      </c>
      <c r="FY232" s="58">
        <f t="shared" si="370"/>
        <v>0</v>
      </c>
      <c r="FZ232" s="58">
        <f t="shared" si="371"/>
        <v>0</v>
      </c>
      <c r="GA232" s="58">
        <f t="shared" si="372"/>
        <v>0</v>
      </c>
      <c r="GB232" s="58">
        <f t="shared" si="373"/>
        <v>0</v>
      </c>
      <c r="GC232" s="58">
        <f t="shared" si="374"/>
        <v>0</v>
      </c>
      <c r="GD232" s="58">
        <f t="shared" si="375"/>
        <v>0</v>
      </c>
      <c r="GE232" s="58">
        <f>IF(AND(dd_CheckMate214_TTD="Yes",'Effectiveness settings'!BU232=2,'Effectiveness settings'!BX232=2),"Apply HR to",GD232)</f>
        <v>0</v>
      </c>
      <c r="GF232" s="58">
        <f t="shared" si="376"/>
        <v>0</v>
      </c>
      <c r="GG232" s="58">
        <f t="shared" si="377"/>
        <v>0</v>
      </c>
      <c r="GH232" s="58">
        <f t="shared" si="378"/>
        <v>0</v>
      </c>
      <c r="GI232" s="58">
        <f t="shared" si="388"/>
        <v>0</v>
      </c>
      <c r="GK232" s="58">
        <f>IF(i_baseline_risk_from=2,'Effectiveness settings'!FA232,'Effectiveness settings'!FM232)</f>
        <v>0</v>
      </c>
      <c r="GL232" s="58">
        <f>IF(i_baseline_risk_from=2,'Effectiveness settings'!FB232,'Effectiveness settings'!FN232)</f>
        <v>0</v>
      </c>
      <c r="GM232" s="58">
        <f>IF(i_baseline_risk_from=2,'Effectiveness settings'!FC232,'Effectiveness settings'!FO232)</f>
        <v>0</v>
      </c>
      <c r="GN232" s="58">
        <f>IF(i_baseline_risk_from=2,'Effectiveness settings'!FD232,'Effectiveness settings'!FP232)</f>
        <v>0</v>
      </c>
      <c r="GQ232" s="58">
        <f t="shared" si="379"/>
        <v>0</v>
      </c>
      <c r="GR232" s="58">
        <f t="shared" si="380"/>
        <v>0</v>
      </c>
      <c r="GS232" s="58">
        <f t="shared" si="381"/>
        <v>0</v>
      </c>
      <c r="GT232" s="58">
        <f t="shared" si="382"/>
        <v>0</v>
      </c>
      <c r="GU232" s="58">
        <f>IF(AND(dd_CheckMate214_TTD="Yes",'Effectiveness settings'!BU232=2,'Effectiveness settings'!BX232=2),2,GT232)</f>
        <v>0</v>
      </c>
      <c r="GV232" s="58">
        <f t="shared" si="383"/>
        <v>0</v>
      </c>
      <c r="GW232" s="58">
        <f t="shared" si="384"/>
        <v>0</v>
      </c>
      <c r="GY232" s="58">
        <f>IF(AND(dd_CheckMate214_TTD="Yes",'Effectiveness settings'!BU232=2,'Effectiveness settings'!BX232=2),1,GN232)</f>
        <v>0</v>
      </c>
      <c r="GZ232" s="58">
        <f t="shared" si="385"/>
        <v>0</v>
      </c>
      <c r="HB232" s="58">
        <f t="shared" si="386"/>
        <v>0</v>
      </c>
      <c r="HD232" s="58">
        <f t="shared" si="360"/>
        <v>0</v>
      </c>
      <c r="HE232" s="58">
        <f t="shared" si="361"/>
        <v>0</v>
      </c>
      <c r="HF232" s="58">
        <f t="shared" si="362"/>
        <v>0</v>
      </c>
      <c r="HG232" s="58">
        <f t="shared" si="363"/>
        <v>0</v>
      </c>
      <c r="HH232" s="58">
        <f t="shared" si="364"/>
        <v>0</v>
      </c>
    </row>
    <row r="233" spans="9:216" ht="15.75" hidden="1" x14ac:dyDescent="0.25">
      <c r="I233" s="64"/>
      <c r="J233" s="519"/>
      <c r="K233" s="524"/>
      <c r="L233" s="519"/>
      <c r="M233" s="516"/>
      <c r="N233" s="64"/>
      <c r="O233" s="64"/>
      <c r="P233" s="64"/>
      <c r="Q233" s="519"/>
      <c r="R233" s="516"/>
      <c r="S233" s="497"/>
      <c r="T233" s="497"/>
      <c r="U233" s="497"/>
      <c r="Y233" s="517"/>
      <c r="AA233" s="517"/>
      <c r="AF233" s="517"/>
      <c r="AM233" s="517"/>
      <c r="AO233" s="517"/>
      <c r="AT233" s="517"/>
      <c r="AV233" s="511"/>
      <c r="AW233" s="511"/>
      <c r="AX233" s="511"/>
      <c r="BA233" s="517"/>
      <c r="BC233" s="517"/>
      <c r="BH233" s="517"/>
      <c r="BJ233" s="511"/>
      <c r="BK233" s="511"/>
      <c r="BL233" s="511"/>
      <c r="BQ233" s="58">
        <f t="shared" si="366"/>
        <v>140</v>
      </c>
      <c r="BR233" s="17"/>
      <c r="BS233" s="17"/>
      <c r="BT233" s="17"/>
      <c r="BU233" s="17"/>
      <c r="BV233" s="17"/>
      <c r="BW233" s="17"/>
      <c r="BX233" s="61"/>
      <c r="BY233" s="531"/>
      <c r="BZ233" s="530"/>
      <c r="CA233" s="531"/>
      <c r="CB233" s="530"/>
      <c r="CC233" s="530"/>
      <c r="CD233" s="530"/>
      <c r="CE233" s="1295"/>
      <c r="CF233" s="1301"/>
      <c r="CG233" s="530"/>
      <c r="CH233" s="61"/>
      <c r="CI233" s="61"/>
      <c r="CJ233" s="61"/>
      <c r="DH233" s="58" t="e">
        <f t="shared" si="387"/>
        <v>#N/A</v>
      </c>
      <c r="DK233" s="58" t="str" cm="1">
        <f t="array" ref="DK233">IF(AND($BT233=4,$BX233=4,$BU233=999),$DB$36,_xlfn.IFNA(INDEX(DB$13:DB$70,MATCH(1,($BR233=$CV$13:$CV$70)*($BT233=$CX$13:$CX$70)*($CE233=$CY$13:$CY$70)*($BY233=$DA$13:$DA$70)*($CD233=$DH$13:$DH$70),0)),""))</f>
        <v/>
      </c>
      <c r="DL233" s="58" t="str" cm="1">
        <f t="array" ref="DL233">IF(AND($BT233=4,$BX233=4,$BU233=999),$DC$36,_xlfn.IFNA(INDEX(CHOOSE(DP233,DB$13:DB$70,DC$13:DC$70,DD$13:DD$70,DE$13:DE$70),MATCH(1,($BR233=$CV$13:$CV$70)*($BT233=$CX$13:$CX$70)*($CE233=$CY$13:$CY$70)*($BY233=$DA$13:$DA$70)*($CD233=$DH$13:$DH$70),0)),""))</f>
        <v/>
      </c>
      <c r="DM233" s="740" t="str" cm="1">
        <f t="array" ref="DM233">IF(AND($BT233=4,$BX233=4,$BU233=999),$DD$36,_xlfn.IFNA(INDEX(DD$13:DD$68,MATCH(1,($BR233=$CV$13:$CV$68)*($BT233=$CX$13:$CX$68)*($CE233=$CY$13:$CY$68)*($BY233=$DA$13:$DA$68)*($CD233=$DH$13:$DH$68),0)),""))</f>
        <v/>
      </c>
      <c r="DN233" s="740" t="str" cm="1">
        <f t="array" ref="DN233">IF(AND($BT233=4,$BX233=4,$BU233=999),$DD$36,_xlfn.IFNA(INDEX(DE$13:DE$68,MATCH(1,($BR233=$CV$13:$CV$68)*($BT233=$CX$13:$CX$68)*($CE233=$CY$13:$CY$68)*($BY233=$DA$13:$DA$68)*($CD233=$DH$13:$DH$68),0)),""))</f>
        <v/>
      </c>
      <c r="DO233" s="58" t="str" cm="1">
        <f t="array" ref="DO233">IF(AND($BT233=4,$BX233=4,$BU233=999),$DF$36,_xlfn.IFNA(INDEX(DF$13:DF$70,MATCH(1,($BR233=$CV$13:$CV$70)*($BT233=$CX$13:$CX$70)*($CE233=$CY$13:$CY$70)*($BY233=$DA$13:$DA$70)*($CD233=$DH$13:$DH$70),0)),""))</f>
        <v/>
      </c>
      <c r="DP233" s="58" t="e">
        <f t="shared" si="367"/>
        <v>#N/A</v>
      </c>
      <c r="FT233" s="58">
        <f t="shared" si="368"/>
        <v>0</v>
      </c>
      <c r="FW233" s="58">
        <f>IF(i_baseline_risk_from=2,'Effectiveness settings'!EW233,'Effectiveness settings'!FI233)</f>
        <v>0</v>
      </c>
      <c r="FX233" s="58">
        <f t="shared" si="369"/>
        <v>0</v>
      </c>
      <c r="FY233" s="58">
        <f t="shared" si="370"/>
        <v>0</v>
      </c>
      <c r="FZ233" s="58">
        <f t="shared" si="371"/>
        <v>0</v>
      </c>
      <c r="GA233" s="58">
        <f t="shared" si="372"/>
        <v>0</v>
      </c>
      <c r="GB233" s="58">
        <f t="shared" si="373"/>
        <v>0</v>
      </c>
      <c r="GC233" s="58">
        <f t="shared" si="374"/>
        <v>0</v>
      </c>
      <c r="GD233" s="58">
        <f t="shared" si="375"/>
        <v>0</v>
      </c>
      <c r="GE233" s="58">
        <f>IF(AND(dd_CheckMate214_TTD="Yes",'Effectiveness settings'!BU233=2,'Effectiveness settings'!BX233=2),"Apply HR to",GD233)</f>
        <v>0</v>
      </c>
      <c r="GF233" s="58">
        <f t="shared" si="376"/>
        <v>0</v>
      </c>
      <c r="GG233" s="58">
        <f t="shared" si="377"/>
        <v>0</v>
      </c>
      <c r="GH233" s="58">
        <f t="shared" si="378"/>
        <v>0</v>
      </c>
      <c r="GI233" s="58">
        <f t="shared" si="388"/>
        <v>0</v>
      </c>
      <c r="GK233" s="58">
        <f>IF(i_baseline_risk_from=2,'Effectiveness settings'!FA233,'Effectiveness settings'!FM233)</f>
        <v>0</v>
      </c>
      <c r="GL233" s="58">
        <f>IF(i_baseline_risk_from=2,'Effectiveness settings'!FB233,'Effectiveness settings'!FN233)</f>
        <v>0</v>
      </c>
      <c r="GM233" s="58">
        <f>IF(i_baseline_risk_from=2,'Effectiveness settings'!FC233,'Effectiveness settings'!FO233)</f>
        <v>0</v>
      </c>
      <c r="GN233" s="58">
        <f>IF(i_baseline_risk_from=2,'Effectiveness settings'!FD233,'Effectiveness settings'!FP233)</f>
        <v>0</v>
      </c>
      <c r="GQ233" s="58">
        <f t="shared" si="379"/>
        <v>0</v>
      </c>
      <c r="GR233" s="58">
        <f t="shared" si="380"/>
        <v>0</v>
      </c>
      <c r="GS233" s="58">
        <f t="shared" si="381"/>
        <v>0</v>
      </c>
      <c r="GT233" s="58">
        <f t="shared" si="382"/>
        <v>0</v>
      </c>
      <c r="GU233" s="58">
        <f>IF(AND(dd_CheckMate214_TTD="Yes",'Effectiveness settings'!BU233=2,'Effectiveness settings'!BX233=2),2,GT233)</f>
        <v>0</v>
      </c>
      <c r="GV233" s="58">
        <f t="shared" si="383"/>
        <v>0</v>
      </c>
      <c r="GW233" s="58">
        <f t="shared" si="384"/>
        <v>0</v>
      </c>
      <c r="GY233" s="58">
        <f>IF(AND(dd_CheckMate214_TTD="Yes",'Effectiveness settings'!BU233=2,'Effectiveness settings'!BX233=2),1,GN233)</f>
        <v>0</v>
      </c>
      <c r="GZ233" s="58">
        <f t="shared" si="385"/>
        <v>0</v>
      </c>
      <c r="HB233" s="58">
        <f t="shared" si="386"/>
        <v>0</v>
      </c>
      <c r="HD233" s="58">
        <f t="shared" si="360"/>
        <v>0</v>
      </c>
      <c r="HE233" s="58">
        <f t="shared" si="361"/>
        <v>0</v>
      </c>
      <c r="HF233" s="58">
        <f t="shared" si="362"/>
        <v>0</v>
      </c>
      <c r="HG233" s="58">
        <f t="shared" si="363"/>
        <v>0</v>
      </c>
      <c r="HH233" s="58">
        <f t="shared" si="364"/>
        <v>0</v>
      </c>
    </row>
    <row r="234" spans="9:216" ht="15.75" hidden="1" x14ac:dyDescent="0.25">
      <c r="I234" s="64"/>
      <c r="J234" s="519"/>
      <c r="K234" s="524"/>
      <c r="L234" s="519"/>
      <c r="M234" s="516"/>
      <c r="N234" s="64"/>
      <c r="O234" s="64"/>
      <c r="P234" s="64"/>
      <c r="Q234" s="519"/>
      <c r="R234" s="516"/>
      <c r="S234" s="497"/>
      <c r="T234" s="497"/>
      <c r="U234" s="497"/>
      <c r="Y234" s="517"/>
      <c r="AA234" s="517"/>
      <c r="AF234" s="517"/>
      <c r="AM234" s="517"/>
      <c r="AO234" s="517"/>
      <c r="AT234" s="517"/>
      <c r="AV234" s="511"/>
      <c r="AW234" s="511"/>
      <c r="AX234" s="511"/>
      <c r="BA234" s="517"/>
      <c r="BC234" s="517"/>
      <c r="BH234" s="517"/>
      <c r="BJ234" s="511"/>
      <c r="BK234" s="511"/>
      <c r="BL234" s="511"/>
      <c r="BQ234" s="58">
        <f t="shared" si="366"/>
        <v>140</v>
      </c>
      <c r="BR234" s="17"/>
      <c r="BS234" s="17"/>
      <c r="BT234" s="17"/>
      <c r="BU234" s="17"/>
      <c r="BV234" s="17"/>
      <c r="BW234" s="17"/>
      <c r="BX234" s="61"/>
      <c r="BY234" s="531"/>
      <c r="BZ234" s="530"/>
      <c r="CA234" s="531"/>
      <c r="CB234" s="530"/>
      <c r="CC234" s="530"/>
      <c r="CD234" s="530"/>
      <c r="CE234" s="1295"/>
      <c r="CF234" s="1301"/>
      <c r="CG234" s="530"/>
      <c r="CH234" s="61"/>
      <c r="CI234" s="61"/>
      <c r="CJ234" s="61"/>
      <c r="DH234" s="58" t="e">
        <f t="shared" si="387"/>
        <v>#N/A</v>
      </c>
      <c r="DK234" s="58" t="str" cm="1">
        <f t="array" ref="DK234">IF(AND($BT234=4,$BX234=4,$BU234=999),$DB$36,_xlfn.IFNA(INDEX(DB$13:DB$70,MATCH(1,($BR234=$CV$13:$CV$70)*($BT234=$CX$13:$CX$70)*($CE234=$CY$13:$CY$70)*($BY234=$DA$13:$DA$70)*($CD234=$DH$13:$DH$70),0)),""))</f>
        <v/>
      </c>
      <c r="DL234" s="58" t="str" cm="1">
        <f t="array" ref="DL234">IF(AND($BT234=4,$BX234=4,$BU234=999),$DC$36,_xlfn.IFNA(INDEX(CHOOSE(DP234,DB$13:DB$70,DC$13:DC$70,DD$13:DD$70,DE$13:DE$70),MATCH(1,($BR234=$CV$13:$CV$70)*($BT234=$CX$13:$CX$70)*($CE234=$CY$13:$CY$70)*($BY234=$DA$13:$DA$70)*($CD234=$DH$13:$DH$70),0)),""))</f>
        <v/>
      </c>
      <c r="DM234" s="740" t="str" cm="1">
        <f t="array" ref="DM234">IF(AND($BT234=4,$BX234=4,$BU234=999),$DD$36,_xlfn.IFNA(INDEX(DD$13:DD$68,MATCH(1,($BR234=$CV$13:$CV$68)*($BT234=$CX$13:$CX$68)*($CE234=$CY$13:$CY$68)*($BY234=$DA$13:$DA$68)*($CD234=$DH$13:$DH$68),0)),""))</f>
        <v/>
      </c>
      <c r="DN234" s="740" t="str" cm="1">
        <f t="array" ref="DN234">IF(AND($BT234=4,$BX234=4,$BU234=999),$DD$36,_xlfn.IFNA(INDEX(DE$13:DE$68,MATCH(1,($BR234=$CV$13:$CV$68)*($BT234=$CX$13:$CX$68)*($CE234=$CY$13:$CY$68)*($BY234=$DA$13:$DA$68)*($CD234=$DH$13:$DH$68),0)),""))</f>
        <v/>
      </c>
      <c r="DO234" s="58" t="str" cm="1">
        <f t="array" ref="DO234">IF(AND($BT234=4,$BX234=4,$BU234=999),$DF$36,_xlfn.IFNA(INDEX(DF$13:DF$70,MATCH(1,($BR234=$CV$13:$CV$70)*($BT234=$CX$13:$CX$70)*($CE234=$CY$13:$CY$70)*($BY234=$DA$13:$DA$70)*($CD234=$DH$13:$DH$70),0)),""))</f>
        <v/>
      </c>
      <c r="DP234" s="58" t="e">
        <f t="shared" si="367"/>
        <v>#N/A</v>
      </c>
      <c r="FT234" s="58">
        <f t="shared" si="368"/>
        <v>0</v>
      </c>
      <c r="FW234" s="58">
        <f>IF(i_baseline_risk_from=2,'Effectiveness settings'!EW234,'Effectiveness settings'!FI234)</f>
        <v>0</v>
      </c>
      <c r="FX234" s="58">
        <f t="shared" si="369"/>
        <v>0</v>
      </c>
      <c r="FY234" s="58">
        <f t="shared" si="370"/>
        <v>0</v>
      </c>
      <c r="FZ234" s="58">
        <f t="shared" si="371"/>
        <v>0</v>
      </c>
      <c r="GA234" s="58">
        <f t="shared" si="372"/>
        <v>0</v>
      </c>
      <c r="GB234" s="58">
        <f t="shared" si="373"/>
        <v>0</v>
      </c>
      <c r="GC234" s="58">
        <f t="shared" si="374"/>
        <v>0</v>
      </c>
      <c r="GD234" s="58">
        <f t="shared" si="375"/>
        <v>0</v>
      </c>
      <c r="GE234" s="58">
        <f>IF(AND(dd_CheckMate214_TTD="Yes",'Effectiveness settings'!BU234=2,'Effectiveness settings'!BX234=2),"Apply HR to",GD234)</f>
        <v>0</v>
      </c>
      <c r="GF234" s="58">
        <f t="shared" si="376"/>
        <v>0</v>
      </c>
      <c r="GG234" s="58">
        <f t="shared" si="377"/>
        <v>0</v>
      </c>
      <c r="GH234" s="58">
        <f t="shared" si="378"/>
        <v>0</v>
      </c>
      <c r="GI234" s="58">
        <f t="shared" si="388"/>
        <v>0</v>
      </c>
      <c r="GK234" s="58">
        <f>IF(i_baseline_risk_from=2,'Effectiveness settings'!FA234,'Effectiveness settings'!FM234)</f>
        <v>0</v>
      </c>
      <c r="GL234" s="58">
        <f>IF(i_baseline_risk_from=2,'Effectiveness settings'!FB234,'Effectiveness settings'!FN234)</f>
        <v>0</v>
      </c>
      <c r="GM234" s="58">
        <f>IF(i_baseline_risk_from=2,'Effectiveness settings'!FC234,'Effectiveness settings'!FO234)</f>
        <v>0</v>
      </c>
      <c r="GN234" s="58">
        <f>IF(i_baseline_risk_from=2,'Effectiveness settings'!FD234,'Effectiveness settings'!FP234)</f>
        <v>0</v>
      </c>
      <c r="GQ234" s="58">
        <f t="shared" si="379"/>
        <v>0</v>
      </c>
      <c r="GR234" s="58">
        <f t="shared" si="380"/>
        <v>0</v>
      </c>
      <c r="GS234" s="58">
        <f t="shared" si="381"/>
        <v>0</v>
      </c>
      <c r="GT234" s="58">
        <f t="shared" si="382"/>
        <v>0</v>
      </c>
      <c r="GU234" s="58">
        <f>IF(AND(dd_CheckMate214_TTD="Yes",'Effectiveness settings'!BU234=2,'Effectiveness settings'!BX234=2),2,GT234)</f>
        <v>0</v>
      </c>
      <c r="GV234" s="58">
        <f t="shared" si="383"/>
        <v>0</v>
      </c>
      <c r="GW234" s="58">
        <f t="shared" si="384"/>
        <v>0</v>
      </c>
      <c r="GY234" s="58">
        <f>IF(AND(dd_CheckMate214_TTD="Yes",'Effectiveness settings'!BU234=2,'Effectiveness settings'!BX234=2),1,GN234)</f>
        <v>0</v>
      </c>
      <c r="GZ234" s="58">
        <f t="shared" si="385"/>
        <v>0</v>
      </c>
      <c r="HB234" s="58">
        <f t="shared" si="386"/>
        <v>0</v>
      </c>
      <c r="HD234" s="58">
        <f t="shared" si="360"/>
        <v>0</v>
      </c>
      <c r="HE234" s="58">
        <f t="shared" si="361"/>
        <v>0</v>
      </c>
      <c r="HF234" s="58">
        <f t="shared" si="362"/>
        <v>0</v>
      </c>
      <c r="HG234" s="58">
        <f t="shared" si="363"/>
        <v>0</v>
      </c>
      <c r="HH234" s="58">
        <f t="shared" si="364"/>
        <v>0</v>
      </c>
    </row>
    <row r="235" spans="9:216" ht="15.75" hidden="1" x14ac:dyDescent="0.25">
      <c r="I235" s="64"/>
      <c r="J235" s="519"/>
      <c r="K235" s="524"/>
      <c r="L235" s="519"/>
      <c r="M235" s="516"/>
      <c r="N235" s="64"/>
      <c r="O235" s="64"/>
      <c r="P235" s="64"/>
      <c r="Q235" s="519"/>
      <c r="R235" s="516"/>
      <c r="S235" s="497"/>
      <c r="T235" s="497"/>
      <c r="U235" s="497"/>
      <c r="Y235" s="517"/>
      <c r="AA235" s="517"/>
      <c r="AF235" s="517"/>
      <c r="AM235" s="517"/>
      <c r="AO235" s="517"/>
      <c r="AT235" s="517"/>
      <c r="AV235" s="511"/>
      <c r="AW235" s="511"/>
      <c r="AX235" s="511"/>
      <c r="BA235" s="517"/>
      <c r="BC235" s="517"/>
      <c r="BH235" s="517"/>
      <c r="BJ235" s="511"/>
      <c r="BK235" s="511"/>
      <c r="BL235" s="511"/>
      <c r="BQ235" s="58">
        <f t="shared" si="366"/>
        <v>140</v>
      </c>
      <c r="BR235" s="17"/>
      <c r="BS235" s="17"/>
      <c r="BT235" s="17"/>
      <c r="BU235" s="17"/>
      <c r="BV235" s="17"/>
      <c r="BW235" s="17"/>
      <c r="BX235" s="61"/>
      <c r="BY235" s="531"/>
      <c r="BZ235" s="530"/>
      <c r="CA235" s="531"/>
      <c r="CB235" s="530"/>
      <c r="CC235" s="530"/>
      <c r="CD235" s="530"/>
      <c r="CE235" s="1295"/>
      <c r="CF235" s="1301"/>
      <c r="CG235" s="530"/>
      <c r="CH235" s="61"/>
      <c r="CI235" s="61"/>
      <c r="CJ235" s="61"/>
      <c r="DH235" s="58" t="e">
        <f t="shared" si="387"/>
        <v>#N/A</v>
      </c>
      <c r="DK235" s="58" t="str" cm="1">
        <f t="array" ref="DK235">IF(AND($BT235=4,$BX235=4,$BU235=999),$DB$36,_xlfn.IFNA(INDEX(DB$13:DB$70,MATCH(1,($BR235=$CV$13:$CV$70)*($BT235=$CX$13:$CX$70)*($CE235=$CY$13:$CY$70)*($BY235=$DA$13:$DA$70)*($CD235=$DH$13:$DH$70),0)),""))</f>
        <v/>
      </c>
      <c r="DL235" s="58" t="str" cm="1">
        <f t="array" ref="DL235">IF(AND($BT235=4,$BX235=4,$BU235=999),$DC$36,_xlfn.IFNA(INDEX(CHOOSE(DP235,DB$13:DB$70,DC$13:DC$70,DD$13:DD$70,DE$13:DE$70),MATCH(1,($BR235=$CV$13:$CV$70)*($BT235=$CX$13:$CX$70)*($CE235=$CY$13:$CY$70)*($BY235=$DA$13:$DA$70)*($CD235=$DH$13:$DH$70),0)),""))</f>
        <v/>
      </c>
      <c r="DM235" s="740" t="str" cm="1">
        <f t="array" ref="DM235">IF(AND($BT235=4,$BX235=4,$BU235=999),$DD$36,_xlfn.IFNA(INDEX(DD$13:DD$68,MATCH(1,($BR235=$CV$13:$CV$68)*($BT235=$CX$13:$CX$68)*($CE235=$CY$13:$CY$68)*($BY235=$DA$13:$DA$68)*($CD235=$DH$13:$DH$68),0)),""))</f>
        <v/>
      </c>
      <c r="DN235" s="740" t="str" cm="1">
        <f t="array" ref="DN235">IF(AND($BT235=4,$BX235=4,$BU235=999),$DD$36,_xlfn.IFNA(INDEX(DE$13:DE$68,MATCH(1,($BR235=$CV$13:$CV$68)*($BT235=$CX$13:$CX$68)*($CE235=$CY$13:$CY$68)*($BY235=$DA$13:$DA$68)*($CD235=$DH$13:$DH$68),0)),""))</f>
        <v/>
      </c>
      <c r="DO235" s="58" t="str" cm="1">
        <f t="array" ref="DO235">IF(AND($BT235=4,$BX235=4,$BU235=999),$DF$36,_xlfn.IFNA(INDEX(DF$13:DF$70,MATCH(1,($BR235=$CV$13:$CV$70)*($BT235=$CX$13:$CX$70)*($CE235=$CY$13:$CY$70)*($BY235=$DA$13:$DA$70)*($CD235=$DH$13:$DH$70),0)),""))</f>
        <v/>
      </c>
      <c r="DP235" s="58" t="e">
        <f t="shared" si="367"/>
        <v>#N/A</v>
      </c>
      <c r="FT235" s="58">
        <f t="shared" si="368"/>
        <v>0</v>
      </c>
      <c r="FW235" s="58">
        <f>IF(i_baseline_risk_from=2,'Effectiveness settings'!EW235,'Effectiveness settings'!FI235)</f>
        <v>0</v>
      </c>
      <c r="FX235" s="58">
        <f t="shared" si="369"/>
        <v>0</v>
      </c>
      <c r="FY235" s="58">
        <f t="shared" si="370"/>
        <v>0</v>
      </c>
      <c r="FZ235" s="58">
        <f t="shared" si="371"/>
        <v>0</v>
      </c>
      <c r="GA235" s="58">
        <f t="shared" si="372"/>
        <v>0</v>
      </c>
      <c r="GB235" s="58">
        <f t="shared" si="373"/>
        <v>0</v>
      </c>
      <c r="GC235" s="58">
        <f t="shared" si="374"/>
        <v>0</v>
      </c>
      <c r="GD235" s="58">
        <f t="shared" si="375"/>
        <v>0</v>
      </c>
      <c r="GE235" s="58">
        <f>IF(AND(dd_CheckMate214_TTD="Yes",'Effectiveness settings'!BU235=2,'Effectiveness settings'!BX235=2),"Apply HR to",GD235)</f>
        <v>0</v>
      </c>
      <c r="GF235" s="58">
        <f t="shared" si="376"/>
        <v>0</v>
      </c>
      <c r="GG235" s="58">
        <f t="shared" si="377"/>
        <v>0</v>
      </c>
      <c r="GH235" s="58">
        <f t="shared" si="378"/>
        <v>0</v>
      </c>
      <c r="GI235" s="58">
        <f t="shared" si="388"/>
        <v>0</v>
      </c>
      <c r="GK235" s="58">
        <f>IF(i_baseline_risk_from=2,'Effectiveness settings'!FA235,'Effectiveness settings'!FM235)</f>
        <v>0</v>
      </c>
      <c r="GL235" s="58">
        <f>IF(i_baseline_risk_from=2,'Effectiveness settings'!FB235,'Effectiveness settings'!FN235)</f>
        <v>0</v>
      </c>
      <c r="GM235" s="58">
        <f>IF(i_baseline_risk_from=2,'Effectiveness settings'!FC235,'Effectiveness settings'!FO235)</f>
        <v>0</v>
      </c>
      <c r="GN235" s="58">
        <f>IF(i_baseline_risk_from=2,'Effectiveness settings'!FD235,'Effectiveness settings'!FP235)</f>
        <v>0</v>
      </c>
      <c r="GQ235" s="58">
        <f t="shared" si="379"/>
        <v>0</v>
      </c>
      <c r="GR235" s="58">
        <f t="shared" si="380"/>
        <v>0</v>
      </c>
      <c r="GS235" s="58">
        <f t="shared" si="381"/>
        <v>0</v>
      </c>
      <c r="GT235" s="58">
        <f t="shared" si="382"/>
        <v>0</v>
      </c>
      <c r="GU235" s="58">
        <f>IF(AND(dd_CheckMate214_TTD="Yes",'Effectiveness settings'!BU235=2,'Effectiveness settings'!BX235=2),2,GT235)</f>
        <v>0</v>
      </c>
      <c r="GV235" s="58">
        <f t="shared" si="383"/>
        <v>0</v>
      </c>
      <c r="GW235" s="58">
        <f t="shared" si="384"/>
        <v>0</v>
      </c>
      <c r="GY235" s="58">
        <f>IF(AND(dd_CheckMate214_TTD="Yes",'Effectiveness settings'!BU235=2,'Effectiveness settings'!BX235=2),1,GN235)</f>
        <v>0</v>
      </c>
      <c r="GZ235" s="58">
        <f t="shared" si="385"/>
        <v>0</v>
      </c>
      <c r="HB235" s="58">
        <f t="shared" si="386"/>
        <v>0</v>
      </c>
      <c r="HD235" s="58">
        <f t="shared" si="360"/>
        <v>0</v>
      </c>
      <c r="HE235" s="58">
        <f t="shared" si="361"/>
        <v>0</v>
      </c>
      <c r="HF235" s="58">
        <f t="shared" si="362"/>
        <v>0</v>
      </c>
      <c r="HG235" s="58">
        <f t="shared" si="363"/>
        <v>0</v>
      </c>
      <c r="HH235" s="58">
        <f t="shared" si="364"/>
        <v>0</v>
      </c>
    </row>
    <row r="236" spans="9:216" ht="15.75" hidden="1" x14ac:dyDescent="0.25">
      <c r="I236" s="64"/>
      <c r="J236" s="519"/>
      <c r="K236" s="524"/>
      <c r="L236" s="519"/>
      <c r="M236" s="516"/>
      <c r="N236" s="64"/>
      <c r="O236" s="64"/>
      <c r="P236" s="64"/>
      <c r="Q236" s="519"/>
      <c r="R236" s="516"/>
      <c r="S236" s="497"/>
      <c r="T236" s="497"/>
      <c r="U236" s="497"/>
      <c r="Y236" s="517"/>
      <c r="AA236" s="517"/>
      <c r="AF236" s="517"/>
      <c r="AM236" s="517"/>
      <c r="AO236" s="517"/>
      <c r="AT236" s="517"/>
      <c r="AV236" s="511"/>
      <c r="AW236" s="511"/>
      <c r="AX236" s="511"/>
      <c r="BA236" s="517"/>
      <c r="BC236" s="517"/>
      <c r="BH236" s="517"/>
      <c r="BJ236" s="511"/>
      <c r="BK236" s="511"/>
      <c r="BL236" s="511"/>
      <c r="BQ236" s="58">
        <f t="shared" si="366"/>
        <v>140</v>
      </c>
      <c r="BR236" s="17"/>
      <c r="BS236" s="17"/>
      <c r="BT236" s="17"/>
      <c r="BU236" s="17"/>
      <c r="BV236" s="17"/>
      <c r="BW236" s="17"/>
      <c r="BX236" s="61"/>
      <c r="BY236" s="531"/>
      <c r="BZ236" s="530"/>
      <c r="CA236" s="531"/>
      <c r="CB236" s="530"/>
      <c r="CC236" s="530"/>
      <c r="CD236" s="530"/>
      <c r="CE236" s="1295"/>
      <c r="CF236" s="1301"/>
      <c r="CG236" s="530"/>
      <c r="CH236" s="61"/>
      <c r="CI236" s="61"/>
      <c r="CJ236" s="61"/>
      <c r="DH236" s="58" t="e">
        <f t="shared" si="387"/>
        <v>#N/A</v>
      </c>
      <c r="DK236" s="58" t="str" cm="1">
        <f t="array" ref="DK236">IF(AND($BT236=4,$BX236=4,$BU236=999),$DB$36,_xlfn.IFNA(INDEX(DB$13:DB$70,MATCH(1,($BR236=$CV$13:$CV$70)*($BT236=$CX$13:$CX$70)*($CE236=$CY$13:$CY$70)*($BY236=$DA$13:$DA$70)*($CD236=$DH$13:$DH$70),0)),""))</f>
        <v/>
      </c>
      <c r="DL236" s="58" t="str" cm="1">
        <f t="array" ref="DL236">IF(AND($BT236=4,$BX236=4,$BU236=999),$DC$36,_xlfn.IFNA(INDEX(CHOOSE(DP236,DB$13:DB$70,DC$13:DC$70,DD$13:DD$70,DE$13:DE$70),MATCH(1,($BR236=$CV$13:$CV$70)*($BT236=$CX$13:$CX$70)*($CE236=$CY$13:$CY$70)*($BY236=$DA$13:$DA$70)*($CD236=$DH$13:$DH$70),0)),""))</f>
        <v/>
      </c>
      <c r="DM236" s="740" t="str" cm="1">
        <f t="array" ref="DM236">IF(AND($BT236=4,$BX236=4,$BU236=999),$DD$36,_xlfn.IFNA(INDEX(DD$13:DD$68,MATCH(1,($BR236=$CV$13:$CV$68)*($BT236=$CX$13:$CX$68)*($CE236=$CY$13:$CY$68)*($BY236=$DA$13:$DA$68)*($CD236=$DH$13:$DH$68),0)),""))</f>
        <v/>
      </c>
      <c r="DN236" s="740" t="str" cm="1">
        <f t="array" ref="DN236">IF(AND($BT236=4,$BX236=4,$BU236=999),$DD$36,_xlfn.IFNA(INDEX(DE$13:DE$68,MATCH(1,($BR236=$CV$13:$CV$68)*($BT236=$CX$13:$CX$68)*($CE236=$CY$13:$CY$68)*($BY236=$DA$13:$DA$68)*($CD236=$DH$13:$DH$68),0)),""))</f>
        <v/>
      </c>
      <c r="DO236" s="58" t="str" cm="1">
        <f t="array" ref="DO236">IF(AND($BT236=4,$BX236=4,$BU236=999),$DF$36,_xlfn.IFNA(INDEX(DF$13:DF$70,MATCH(1,($BR236=$CV$13:$CV$70)*($BT236=$CX$13:$CX$70)*($CE236=$CY$13:$CY$70)*($BY236=$DA$13:$DA$70)*($CD236=$DH$13:$DH$70),0)),""))</f>
        <v/>
      </c>
      <c r="DP236" s="58" t="e">
        <f t="shared" si="367"/>
        <v>#N/A</v>
      </c>
      <c r="FT236" s="58">
        <f t="shared" si="368"/>
        <v>0</v>
      </c>
      <c r="FW236" s="58">
        <f>IF(i_baseline_risk_from=2,'Effectiveness settings'!EW236,'Effectiveness settings'!FI236)</f>
        <v>0</v>
      </c>
      <c r="FX236" s="58">
        <f t="shared" si="369"/>
        <v>0</v>
      </c>
      <c r="FY236" s="58">
        <f t="shared" si="370"/>
        <v>0</v>
      </c>
      <c r="FZ236" s="58">
        <f t="shared" si="371"/>
        <v>0</v>
      </c>
      <c r="GA236" s="58">
        <f t="shared" si="372"/>
        <v>0</v>
      </c>
      <c r="GB236" s="58">
        <f t="shared" si="373"/>
        <v>0</v>
      </c>
      <c r="GC236" s="58">
        <f t="shared" si="374"/>
        <v>0</v>
      </c>
      <c r="GD236" s="58">
        <f t="shared" si="375"/>
        <v>0</v>
      </c>
      <c r="GE236" s="58">
        <f>IF(AND(dd_CheckMate214_TTD="Yes",'Effectiveness settings'!BU236=2,'Effectiveness settings'!BX236=2),"Apply HR to",GD236)</f>
        <v>0</v>
      </c>
      <c r="GF236" s="58">
        <f t="shared" si="376"/>
        <v>0</v>
      </c>
      <c r="GG236" s="58">
        <f t="shared" si="377"/>
        <v>0</v>
      </c>
      <c r="GH236" s="58">
        <f t="shared" si="378"/>
        <v>0</v>
      </c>
      <c r="GI236" s="58">
        <f t="shared" si="388"/>
        <v>0</v>
      </c>
      <c r="GK236" s="58">
        <f>IF(i_baseline_risk_from=2,'Effectiveness settings'!FA236,'Effectiveness settings'!FM236)</f>
        <v>0</v>
      </c>
      <c r="GL236" s="58">
        <f>IF(i_baseline_risk_from=2,'Effectiveness settings'!FB236,'Effectiveness settings'!FN236)</f>
        <v>0</v>
      </c>
      <c r="GM236" s="58">
        <f>IF(i_baseline_risk_from=2,'Effectiveness settings'!FC236,'Effectiveness settings'!FO236)</f>
        <v>0</v>
      </c>
      <c r="GN236" s="58">
        <f>IF(i_baseline_risk_from=2,'Effectiveness settings'!FD236,'Effectiveness settings'!FP236)</f>
        <v>0</v>
      </c>
      <c r="GQ236" s="58">
        <f t="shared" si="379"/>
        <v>0</v>
      </c>
      <c r="GR236" s="58">
        <f t="shared" si="380"/>
        <v>0</v>
      </c>
      <c r="GS236" s="58">
        <f t="shared" si="381"/>
        <v>0</v>
      </c>
      <c r="GT236" s="58">
        <f t="shared" si="382"/>
        <v>0</v>
      </c>
      <c r="GU236" s="58">
        <f>IF(AND(dd_CheckMate214_TTD="Yes",'Effectiveness settings'!BU236=2,'Effectiveness settings'!BX236=2),2,GT236)</f>
        <v>0</v>
      </c>
      <c r="GV236" s="58">
        <f t="shared" si="383"/>
        <v>0</v>
      </c>
      <c r="GW236" s="58">
        <f t="shared" si="384"/>
        <v>0</v>
      </c>
      <c r="GY236" s="58">
        <f>IF(AND(dd_CheckMate214_TTD="Yes",'Effectiveness settings'!BU236=2,'Effectiveness settings'!BX236=2),1,GN236)</f>
        <v>0</v>
      </c>
      <c r="GZ236" s="58">
        <f t="shared" si="385"/>
        <v>0</v>
      </c>
      <c r="HB236" s="58">
        <f t="shared" si="386"/>
        <v>0</v>
      </c>
      <c r="HD236" s="58">
        <f t="shared" si="360"/>
        <v>0</v>
      </c>
      <c r="HE236" s="58">
        <f t="shared" si="361"/>
        <v>0</v>
      </c>
      <c r="HF236" s="58">
        <f t="shared" si="362"/>
        <v>0</v>
      </c>
      <c r="HG236" s="58">
        <f t="shared" si="363"/>
        <v>0</v>
      </c>
      <c r="HH236" s="58">
        <f t="shared" si="364"/>
        <v>0</v>
      </c>
    </row>
    <row r="237" spans="9:216" ht="15.75" hidden="1" x14ac:dyDescent="0.25">
      <c r="I237" s="64"/>
      <c r="J237" s="519"/>
      <c r="K237" s="524"/>
      <c r="L237" s="519"/>
      <c r="M237" s="516"/>
      <c r="N237" s="64"/>
      <c r="O237" s="64"/>
      <c r="P237" s="64"/>
      <c r="Q237" s="519"/>
      <c r="R237" s="516"/>
      <c r="S237" s="497"/>
      <c r="T237" s="497"/>
      <c r="U237" s="497"/>
      <c r="Y237" s="517"/>
      <c r="AA237" s="517"/>
      <c r="AF237" s="517"/>
      <c r="AM237" s="517"/>
      <c r="AO237" s="517"/>
      <c r="AT237" s="517"/>
      <c r="AV237" s="511"/>
      <c r="AW237" s="511"/>
      <c r="AX237" s="511"/>
      <c r="BA237" s="517"/>
      <c r="BC237" s="517"/>
      <c r="BH237" s="517"/>
      <c r="BJ237" s="511"/>
      <c r="BK237" s="511"/>
      <c r="BL237" s="511"/>
      <c r="BQ237" s="58">
        <f t="shared" si="366"/>
        <v>140</v>
      </c>
      <c r="BR237" s="17"/>
      <c r="BS237" s="17"/>
      <c r="BT237" s="17"/>
      <c r="BU237" s="17"/>
      <c r="BV237" s="17"/>
      <c r="BW237" s="17"/>
      <c r="BX237" s="61"/>
      <c r="BY237" s="531"/>
      <c r="BZ237" s="530"/>
      <c r="CA237" s="531"/>
      <c r="CB237" s="530"/>
      <c r="CC237" s="530"/>
      <c r="CD237" s="530"/>
      <c r="CE237" s="1295"/>
      <c r="CF237" s="1301"/>
      <c r="CG237" s="530"/>
      <c r="CH237" s="61"/>
      <c r="CI237" s="61"/>
      <c r="CJ237" s="61"/>
      <c r="DH237" s="58" t="e">
        <f t="shared" si="387"/>
        <v>#N/A</v>
      </c>
      <c r="DK237" s="58" t="str" cm="1">
        <f t="array" ref="DK237">IF(AND($BT237=4,$BX237=4,$BU237=999),$DB$36,_xlfn.IFNA(INDEX(DB$13:DB$70,MATCH(1,($BR237=$CV$13:$CV$70)*($BT237=$CX$13:$CX$70)*($CE237=$CY$13:$CY$70)*($BY237=$DA$13:$DA$70)*($CD237=$DH$13:$DH$70),0)),""))</f>
        <v/>
      </c>
      <c r="DL237" s="58" t="str" cm="1">
        <f t="array" ref="DL237">IF(AND($BT237=4,$BX237=4,$BU237=999),$DC$36,_xlfn.IFNA(INDEX(CHOOSE(DP237,DB$13:DB$70,DC$13:DC$70,DD$13:DD$70,DE$13:DE$70),MATCH(1,($BR237=$CV$13:$CV$70)*($BT237=$CX$13:$CX$70)*($CE237=$CY$13:$CY$70)*($BY237=$DA$13:$DA$70)*($CD237=$DH$13:$DH$70),0)),""))</f>
        <v/>
      </c>
      <c r="DM237" s="740" t="str" cm="1">
        <f t="array" ref="DM237">IF(AND($BT237=4,$BX237=4,$BU237=999),$DD$36,_xlfn.IFNA(INDEX(DD$13:DD$68,MATCH(1,($BR237=$CV$13:$CV$68)*($BT237=$CX$13:$CX$68)*($CE237=$CY$13:$CY$68)*($BY237=$DA$13:$DA$68)*($CD237=$DH$13:$DH$68),0)),""))</f>
        <v/>
      </c>
      <c r="DN237" s="740" t="str" cm="1">
        <f t="array" ref="DN237">IF(AND($BT237=4,$BX237=4,$BU237=999),$DD$36,_xlfn.IFNA(INDEX(DE$13:DE$68,MATCH(1,($BR237=$CV$13:$CV$68)*($BT237=$CX$13:$CX$68)*($CE237=$CY$13:$CY$68)*($BY237=$DA$13:$DA$68)*($CD237=$DH$13:$DH$68),0)),""))</f>
        <v/>
      </c>
      <c r="DO237" s="58" t="str" cm="1">
        <f t="array" ref="DO237">IF(AND($BT237=4,$BX237=4,$BU237=999),$DF$36,_xlfn.IFNA(INDEX(DF$13:DF$70,MATCH(1,($BR237=$CV$13:$CV$70)*($BT237=$CX$13:$CX$70)*($CE237=$CY$13:$CY$70)*($BY237=$DA$13:$DA$70)*($CD237=$DH$13:$DH$70),0)),""))</f>
        <v/>
      </c>
      <c r="DP237" s="58" t="e">
        <f t="shared" si="367"/>
        <v>#N/A</v>
      </c>
      <c r="FT237" s="58">
        <f t="shared" si="368"/>
        <v>0</v>
      </c>
      <c r="FW237" s="58">
        <f>IF(i_baseline_risk_from=2,'Effectiveness settings'!EW237,'Effectiveness settings'!FI237)</f>
        <v>0</v>
      </c>
      <c r="FX237" s="58">
        <f t="shared" si="369"/>
        <v>0</v>
      </c>
      <c r="FY237" s="58">
        <f t="shared" si="370"/>
        <v>0</v>
      </c>
      <c r="FZ237" s="58">
        <f t="shared" si="371"/>
        <v>0</v>
      </c>
      <c r="GA237" s="58">
        <f t="shared" si="372"/>
        <v>0</v>
      </c>
      <c r="GB237" s="58">
        <f t="shared" si="373"/>
        <v>0</v>
      </c>
      <c r="GC237" s="58">
        <f t="shared" si="374"/>
        <v>0</v>
      </c>
      <c r="GD237" s="58">
        <f t="shared" si="375"/>
        <v>0</v>
      </c>
      <c r="GE237" s="58">
        <f>IF(AND(dd_CheckMate214_TTD="Yes",'Effectiveness settings'!BU237=2,'Effectiveness settings'!BX237=2),"Apply HR to",GD237)</f>
        <v>0</v>
      </c>
      <c r="GF237" s="58">
        <f t="shared" si="376"/>
        <v>0</v>
      </c>
      <c r="GG237" s="58">
        <f t="shared" si="377"/>
        <v>0</v>
      </c>
      <c r="GH237" s="58">
        <f t="shared" si="378"/>
        <v>0</v>
      </c>
      <c r="GI237" s="58">
        <f t="shared" si="388"/>
        <v>0</v>
      </c>
      <c r="GK237" s="58">
        <f>IF(i_baseline_risk_from=2,'Effectiveness settings'!FA237,'Effectiveness settings'!FM237)</f>
        <v>0</v>
      </c>
      <c r="GL237" s="58">
        <f>IF(i_baseline_risk_from=2,'Effectiveness settings'!FB237,'Effectiveness settings'!FN237)</f>
        <v>0</v>
      </c>
      <c r="GM237" s="58">
        <f>IF(i_baseline_risk_from=2,'Effectiveness settings'!FC237,'Effectiveness settings'!FO237)</f>
        <v>0</v>
      </c>
      <c r="GN237" s="58">
        <f>IF(i_baseline_risk_from=2,'Effectiveness settings'!FD237,'Effectiveness settings'!FP237)</f>
        <v>0</v>
      </c>
      <c r="GQ237" s="58">
        <f t="shared" si="379"/>
        <v>0</v>
      </c>
      <c r="GR237" s="58">
        <f t="shared" si="380"/>
        <v>0</v>
      </c>
      <c r="GS237" s="58">
        <f t="shared" si="381"/>
        <v>0</v>
      </c>
      <c r="GT237" s="58">
        <f t="shared" si="382"/>
        <v>0</v>
      </c>
      <c r="GU237" s="58">
        <f>IF(AND(dd_CheckMate214_TTD="Yes",'Effectiveness settings'!BU237=2,'Effectiveness settings'!BX237=2),2,GT237)</f>
        <v>0</v>
      </c>
      <c r="GV237" s="58">
        <f t="shared" si="383"/>
        <v>0</v>
      </c>
      <c r="GW237" s="58">
        <f t="shared" si="384"/>
        <v>0</v>
      </c>
      <c r="GY237" s="58">
        <f>IF(AND(dd_CheckMate214_TTD="Yes",'Effectiveness settings'!BU237=2,'Effectiveness settings'!BX237=2),1,GN237)</f>
        <v>0</v>
      </c>
      <c r="GZ237" s="58">
        <f t="shared" si="385"/>
        <v>0</v>
      </c>
      <c r="HB237" s="58">
        <f t="shared" si="386"/>
        <v>0</v>
      </c>
      <c r="HD237" s="58">
        <f t="shared" si="360"/>
        <v>0</v>
      </c>
      <c r="HE237" s="58">
        <f t="shared" si="361"/>
        <v>0</v>
      </c>
      <c r="HF237" s="58">
        <f t="shared" si="362"/>
        <v>0</v>
      </c>
      <c r="HG237" s="58">
        <f t="shared" si="363"/>
        <v>0</v>
      </c>
      <c r="HH237" s="58">
        <f t="shared" si="364"/>
        <v>0</v>
      </c>
    </row>
    <row r="238" spans="9:216" ht="15.75" hidden="1" x14ac:dyDescent="0.25">
      <c r="I238" s="64"/>
      <c r="J238" s="519"/>
      <c r="K238" s="524"/>
      <c r="L238" s="519"/>
      <c r="M238" s="516"/>
      <c r="N238" s="64"/>
      <c r="O238" s="64"/>
      <c r="P238" s="64"/>
      <c r="Q238" s="519"/>
      <c r="R238" s="516"/>
      <c r="S238" s="497"/>
      <c r="T238" s="497"/>
      <c r="U238" s="497"/>
      <c r="Y238" s="517"/>
      <c r="AA238" s="517"/>
      <c r="AF238" s="517"/>
      <c r="AM238" s="517"/>
      <c r="AO238" s="517"/>
      <c r="AT238" s="517"/>
      <c r="AV238" s="511"/>
      <c r="AW238" s="511"/>
      <c r="AX238" s="511"/>
      <c r="BA238" s="517"/>
      <c r="BC238" s="517"/>
      <c r="BH238" s="517"/>
      <c r="BJ238" s="511"/>
      <c r="BK238" s="511"/>
      <c r="BL238" s="511"/>
      <c r="BQ238" s="58">
        <f t="shared" si="366"/>
        <v>140</v>
      </c>
      <c r="BR238" s="17"/>
      <c r="BS238" s="17"/>
      <c r="BT238" s="17"/>
      <c r="BU238" s="17"/>
      <c r="BV238" s="17"/>
      <c r="BW238" s="17"/>
      <c r="BX238" s="61"/>
      <c r="BY238" s="531"/>
      <c r="BZ238" s="530"/>
      <c r="CA238" s="531"/>
      <c r="CB238" s="530"/>
      <c r="CC238" s="530"/>
      <c r="CD238" s="530"/>
      <c r="CE238" s="1295"/>
      <c r="CF238" s="1301"/>
      <c r="CG238" s="530"/>
      <c r="CH238" s="61"/>
      <c r="CI238" s="61"/>
      <c r="CJ238" s="61"/>
      <c r="DH238" s="58" t="e">
        <f t="shared" si="387"/>
        <v>#N/A</v>
      </c>
      <c r="DK238" s="58" t="str" cm="1">
        <f t="array" ref="DK238">IF(AND($BT238=4,$BX238=4,$BU238=999),$DB$36,_xlfn.IFNA(INDEX(DB$13:DB$70,MATCH(1,($BR238=$CV$13:$CV$70)*($BT238=$CX$13:$CX$70)*($CE238=$CY$13:$CY$70)*($BY238=$DA$13:$DA$70)*($CD238=$DH$13:$DH$70),0)),""))</f>
        <v/>
      </c>
      <c r="DL238" s="58" t="str" cm="1">
        <f t="array" ref="DL238">IF(AND($BT238=4,$BX238=4,$BU238=999),$DC$36,_xlfn.IFNA(INDEX(CHOOSE(DP238,DB$13:DB$70,DC$13:DC$70,DD$13:DD$70,DE$13:DE$70),MATCH(1,($BR238=$CV$13:$CV$70)*($BT238=$CX$13:$CX$70)*($CE238=$CY$13:$CY$70)*($BY238=$DA$13:$DA$70)*($CD238=$DH$13:$DH$70),0)),""))</f>
        <v/>
      </c>
      <c r="DM238" s="740" t="str" cm="1">
        <f t="array" ref="DM238">IF(AND($BT238=4,$BX238=4,$BU238=999),$DD$36,_xlfn.IFNA(INDEX(DD$13:DD$68,MATCH(1,($BR238=$CV$13:$CV$68)*($BT238=$CX$13:$CX$68)*($CE238=$CY$13:$CY$68)*($BY238=$DA$13:$DA$68)*($CD238=$DH$13:$DH$68),0)),""))</f>
        <v/>
      </c>
      <c r="DN238" s="740" t="str" cm="1">
        <f t="array" ref="DN238">IF(AND($BT238=4,$BX238=4,$BU238=999),$DD$36,_xlfn.IFNA(INDEX(DE$13:DE$68,MATCH(1,($BR238=$CV$13:$CV$68)*($BT238=$CX$13:$CX$68)*($CE238=$CY$13:$CY$68)*($BY238=$DA$13:$DA$68)*($CD238=$DH$13:$DH$68),0)),""))</f>
        <v/>
      </c>
      <c r="DO238" s="58" t="str" cm="1">
        <f t="array" ref="DO238">IF(AND($BT238=4,$BX238=4,$BU238=999),$DF$36,_xlfn.IFNA(INDEX(DF$13:DF$70,MATCH(1,($BR238=$CV$13:$CV$70)*($BT238=$CX$13:$CX$70)*($CE238=$CY$13:$CY$70)*($BY238=$DA$13:$DA$70)*($CD238=$DH$13:$DH$70),0)),""))</f>
        <v/>
      </c>
      <c r="DP238" s="58" t="e">
        <f t="shared" si="367"/>
        <v>#N/A</v>
      </c>
      <c r="FT238" s="58">
        <f t="shared" si="368"/>
        <v>0</v>
      </c>
      <c r="FW238" s="58">
        <f>IF(i_baseline_risk_from=2,'Effectiveness settings'!EW238,'Effectiveness settings'!FI238)</f>
        <v>0</v>
      </c>
      <c r="FX238" s="58">
        <f t="shared" si="369"/>
        <v>0</v>
      </c>
      <c r="FY238" s="58">
        <f t="shared" si="370"/>
        <v>0</v>
      </c>
      <c r="FZ238" s="58">
        <f t="shared" si="371"/>
        <v>0</v>
      </c>
      <c r="GA238" s="58">
        <f t="shared" si="372"/>
        <v>0</v>
      </c>
      <c r="GB238" s="58">
        <f t="shared" si="373"/>
        <v>0</v>
      </c>
      <c r="GC238" s="58">
        <f t="shared" si="374"/>
        <v>0</v>
      </c>
      <c r="GD238" s="58">
        <f t="shared" si="375"/>
        <v>0</v>
      </c>
      <c r="GE238" s="58">
        <f>IF(AND(dd_CheckMate214_TTD="Yes",'Effectiveness settings'!BU238=2,'Effectiveness settings'!BX238=2),"Apply HR to",GD238)</f>
        <v>0</v>
      </c>
      <c r="GF238" s="58">
        <f t="shared" si="376"/>
        <v>0</v>
      </c>
      <c r="GG238" s="58">
        <f t="shared" si="377"/>
        <v>0</v>
      </c>
      <c r="GH238" s="58">
        <f t="shared" si="378"/>
        <v>0</v>
      </c>
      <c r="GI238" s="58">
        <f t="shared" si="388"/>
        <v>0</v>
      </c>
      <c r="GK238" s="58">
        <f>IF(i_baseline_risk_from=2,'Effectiveness settings'!FA238,'Effectiveness settings'!FM238)</f>
        <v>0</v>
      </c>
      <c r="GL238" s="58">
        <f>IF(i_baseline_risk_from=2,'Effectiveness settings'!FB238,'Effectiveness settings'!FN238)</f>
        <v>0</v>
      </c>
      <c r="GM238" s="58">
        <f>IF(i_baseline_risk_from=2,'Effectiveness settings'!FC238,'Effectiveness settings'!FO238)</f>
        <v>0</v>
      </c>
      <c r="GN238" s="58">
        <f>IF(i_baseline_risk_from=2,'Effectiveness settings'!FD238,'Effectiveness settings'!FP238)</f>
        <v>0</v>
      </c>
      <c r="GQ238" s="58">
        <f t="shared" si="379"/>
        <v>0</v>
      </c>
      <c r="GR238" s="58">
        <f t="shared" si="380"/>
        <v>0</v>
      </c>
      <c r="GS238" s="58">
        <f t="shared" si="381"/>
        <v>0</v>
      </c>
      <c r="GT238" s="58">
        <f t="shared" si="382"/>
        <v>0</v>
      </c>
      <c r="GU238" s="58">
        <f>IF(AND(dd_CheckMate214_TTD="Yes",'Effectiveness settings'!BU238=2,'Effectiveness settings'!BX238=2),2,GT238)</f>
        <v>0</v>
      </c>
      <c r="GV238" s="58">
        <f t="shared" si="383"/>
        <v>0</v>
      </c>
      <c r="GW238" s="58">
        <f t="shared" si="384"/>
        <v>0</v>
      </c>
      <c r="GY238" s="58">
        <f>IF(AND(dd_CheckMate214_TTD="Yes",'Effectiveness settings'!BU238=2,'Effectiveness settings'!BX238=2),1,GN238)</f>
        <v>0</v>
      </c>
      <c r="GZ238" s="58">
        <f t="shared" si="385"/>
        <v>0</v>
      </c>
      <c r="HB238" s="58">
        <f t="shared" si="386"/>
        <v>0</v>
      </c>
      <c r="HD238" s="58">
        <f t="shared" si="360"/>
        <v>0</v>
      </c>
      <c r="HE238" s="58">
        <f t="shared" si="361"/>
        <v>0</v>
      </c>
      <c r="HF238" s="58">
        <f t="shared" si="362"/>
        <v>0</v>
      </c>
      <c r="HG238" s="58">
        <f t="shared" si="363"/>
        <v>0</v>
      </c>
      <c r="HH238" s="58">
        <f t="shared" si="364"/>
        <v>0</v>
      </c>
    </row>
    <row r="239" spans="9:216" ht="15.75" hidden="1" x14ac:dyDescent="0.25">
      <c r="I239" s="67"/>
      <c r="J239" s="520"/>
      <c r="K239" s="525"/>
      <c r="L239" s="517"/>
      <c r="Q239" s="520"/>
      <c r="Y239" s="517"/>
      <c r="AA239" s="517"/>
      <c r="AF239" s="517"/>
      <c r="AM239" s="517"/>
      <c r="AO239" s="517"/>
      <c r="AT239" s="517"/>
      <c r="AV239" s="511"/>
      <c r="AW239" s="511"/>
      <c r="AX239" s="511"/>
      <c r="BA239" s="517"/>
      <c r="BC239" s="517"/>
      <c r="BH239" s="517"/>
      <c r="BJ239" s="511"/>
      <c r="BK239" s="511"/>
      <c r="BL239" s="511"/>
      <c r="BQ239" s="58">
        <f t="shared" si="366"/>
        <v>140</v>
      </c>
      <c r="BR239" s="17"/>
      <c r="BS239" s="17"/>
      <c r="BT239" s="17"/>
      <c r="BU239" s="61"/>
      <c r="BV239" s="17"/>
      <c r="BW239" s="17"/>
      <c r="BX239" s="61"/>
      <c r="BY239" s="531"/>
      <c r="BZ239" s="530"/>
      <c r="CA239" s="531"/>
      <c r="CB239" s="530"/>
      <c r="CC239" s="530"/>
      <c r="CD239" s="530"/>
      <c r="CE239" s="1295"/>
      <c r="CF239" s="1301"/>
      <c r="CG239" s="530"/>
      <c r="CH239" s="61"/>
      <c r="CI239" s="61"/>
      <c r="CJ239" s="61"/>
      <c r="DH239" s="58" t="e">
        <f t="shared" si="387"/>
        <v>#N/A</v>
      </c>
      <c r="DK239" s="58" t="str" cm="1">
        <f t="array" ref="DK239">IF(AND($BT239=4,$BX239=4,$BU239=999),$DB$36,_xlfn.IFNA(INDEX(DB$13:DB$70,MATCH(1,($BR239=$CV$13:$CV$70)*($BT239=$CX$13:$CX$70)*($CE239=$CY$13:$CY$70)*($BY239=$DA$13:$DA$70)*($CD239=$DH$13:$DH$70),0)),""))</f>
        <v/>
      </c>
      <c r="DL239" s="58" t="str" cm="1">
        <f t="array" ref="DL239">IF(AND($BT239=4,$BX239=4,$BU239=999),$DC$36,_xlfn.IFNA(INDEX(CHOOSE(DP239,DB$13:DB$70,DC$13:DC$70,DD$13:DD$70,DE$13:DE$70),MATCH(1,($BR239=$CV$13:$CV$70)*($BT239=$CX$13:$CX$70)*($CE239=$CY$13:$CY$70)*($BY239=$DA$13:$DA$70)*($CD239=$DH$13:$DH$70),0)),""))</f>
        <v/>
      </c>
      <c r="DM239" s="740" t="str" cm="1">
        <f t="array" ref="DM239">IF(AND($BT239=4,$BX239=4,$BU239=999),$DD$36,_xlfn.IFNA(INDEX(DD$13:DD$68,MATCH(1,($BR239=$CV$13:$CV$68)*($BT239=$CX$13:$CX$68)*($CE239=$CY$13:$CY$68)*($BY239=$DA$13:$DA$68)*($CD239=$DH$13:$DH$68),0)),""))</f>
        <v/>
      </c>
      <c r="DN239" s="740" t="str" cm="1">
        <f t="array" ref="DN239">IF(AND($BT239=4,$BX239=4,$BU239=999),$DD$36,_xlfn.IFNA(INDEX(DE$13:DE$68,MATCH(1,($BR239=$CV$13:$CV$68)*($BT239=$CX$13:$CX$68)*($CE239=$CY$13:$CY$68)*($BY239=$DA$13:$DA$68)*($CD239=$DH$13:$DH$68),0)),""))</f>
        <v/>
      </c>
      <c r="DO239" s="58" t="str" cm="1">
        <f t="array" ref="DO239">IF(AND($BT239=4,$BX239=4,$BU239=999),$DF$36,_xlfn.IFNA(INDEX(DF$13:DF$70,MATCH(1,($BR239=$CV$13:$CV$70)*($BT239=$CX$13:$CX$70)*($CE239=$CY$13:$CY$70)*($BY239=$DA$13:$DA$70)*($CD239=$DH$13:$DH$70),0)),""))</f>
        <v/>
      </c>
      <c r="DP239" s="58" t="e">
        <f t="shared" si="367"/>
        <v>#N/A</v>
      </c>
      <c r="FT239" s="58">
        <f t="shared" si="368"/>
        <v>0</v>
      </c>
      <c r="FW239" s="58">
        <f>IF(i_baseline_risk_from=2,'Effectiveness settings'!EW239,'Effectiveness settings'!FI239)</f>
        <v>0</v>
      </c>
      <c r="FX239" s="58">
        <f t="shared" si="369"/>
        <v>0</v>
      </c>
      <c r="FY239" s="58">
        <f t="shared" si="370"/>
        <v>0</v>
      </c>
      <c r="FZ239" s="58">
        <f t="shared" si="371"/>
        <v>0</v>
      </c>
      <c r="GA239" s="58">
        <f t="shared" si="372"/>
        <v>0</v>
      </c>
      <c r="GB239" s="58">
        <f t="shared" si="373"/>
        <v>0</v>
      </c>
      <c r="GC239" s="58">
        <f t="shared" si="374"/>
        <v>0</v>
      </c>
      <c r="GD239" s="58">
        <f t="shared" si="375"/>
        <v>0</v>
      </c>
      <c r="GE239" s="58">
        <f>IF(AND(dd_CheckMate214_TTD="Yes",'Effectiveness settings'!BU239=2,'Effectiveness settings'!BX239=2),"Apply HR to",GD239)</f>
        <v>0</v>
      </c>
      <c r="GF239" s="58">
        <f t="shared" si="376"/>
        <v>0</v>
      </c>
      <c r="GG239" s="58">
        <f t="shared" si="377"/>
        <v>0</v>
      </c>
      <c r="GH239" s="58">
        <f t="shared" si="378"/>
        <v>0</v>
      </c>
      <c r="GI239" s="58">
        <f t="shared" si="388"/>
        <v>0</v>
      </c>
      <c r="GK239" s="58">
        <f>IF(i_baseline_risk_from=2,'Effectiveness settings'!FA239,'Effectiveness settings'!FM239)</f>
        <v>0</v>
      </c>
      <c r="GL239" s="58">
        <f>IF(i_baseline_risk_from=2,'Effectiveness settings'!FB239,'Effectiveness settings'!FN239)</f>
        <v>0</v>
      </c>
      <c r="GM239" s="58">
        <f>IF(i_baseline_risk_from=2,'Effectiveness settings'!FC239,'Effectiveness settings'!FO239)</f>
        <v>0</v>
      </c>
      <c r="GN239" s="58">
        <f>IF(i_baseline_risk_from=2,'Effectiveness settings'!FD239,'Effectiveness settings'!FP239)</f>
        <v>0</v>
      </c>
      <c r="GQ239" s="58">
        <f t="shared" si="379"/>
        <v>0</v>
      </c>
      <c r="GR239" s="58">
        <f t="shared" si="380"/>
        <v>0</v>
      </c>
      <c r="GS239" s="58">
        <f t="shared" si="381"/>
        <v>0</v>
      </c>
      <c r="GT239" s="58">
        <f t="shared" si="382"/>
        <v>0</v>
      </c>
      <c r="GU239" s="58">
        <f>IF(AND(dd_CheckMate214_TTD="Yes",'Effectiveness settings'!BU239=2,'Effectiveness settings'!BX239=2),2,GT239)</f>
        <v>0</v>
      </c>
      <c r="GV239" s="58">
        <f t="shared" si="383"/>
        <v>0</v>
      </c>
      <c r="GW239" s="58">
        <f t="shared" si="384"/>
        <v>0</v>
      </c>
      <c r="GY239" s="58">
        <f>IF(AND(dd_CheckMate214_TTD="Yes",'Effectiveness settings'!BU239=2,'Effectiveness settings'!BX239=2),1,GN239)</f>
        <v>0</v>
      </c>
      <c r="GZ239" s="58">
        <f t="shared" si="385"/>
        <v>0</v>
      </c>
      <c r="HB239" s="58">
        <f t="shared" si="386"/>
        <v>0</v>
      </c>
      <c r="HD239" s="58">
        <f t="shared" si="360"/>
        <v>0</v>
      </c>
      <c r="HE239" s="58">
        <f t="shared" si="361"/>
        <v>0</v>
      </c>
      <c r="HF239" s="58">
        <f t="shared" si="362"/>
        <v>0</v>
      </c>
      <c r="HG239" s="58">
        <f t="shared" si="363"/>
        <v>0</v>
      </c>
      <c r="HH239" s="58">
        <f t="shared" si="364"/>
        <v>0</v>
      </c>
    </row>
    <row r="240" spans="9:216" ht="15.75" hidden="1" x14ac:dyDescent="0.25">
      <c r="I240" s="64"/>
      <c r="J240" s="519"/>
      <c r="K240" s="524"/>
      <c r="L240" s="519"/>
      <c r="M240" s="516"/>
      <c r="N240" s="64"/>
      <c r="O240" s="64"/>
      <c r="P240" s="64"/>
      <c r="Q240" s="519"/>
      <c r="R240" s="516"/>
      <c r="S240" s="497"/>
      <c r="T240" s="497"/>
      <c r="U240" s="497"/>
      <c r="Y240" s="517"/>
      <c r="AA240" s="517"/>
      <c r="AF240" s="517"/>
      <c r="AM240" s="517"/>
      <c r="AO240" s="517"/>
      <c r="AT240" s="517"/>
      <c r="AV240" s="511"/>
      <c r="AW240" s="511"/>
      <c r="AX240" s="511"/>
      <c r="BA240" s="517"/>
      <c r="BC240" s="517"/>
      <c r="BH240" s="517"/>
      <c r="BJ240" s="511"/>
      <c r="BK240" s="511"/>
      <c r="BL240" s="511"/>
      <c r="BQ240" s="58">
        <f t="shared" si="366"/>
        <v>140</v>
      </c>
      <c r="BR240" s="17"/>
      <c r="BS240" s="17"/>
      <c r="BT240" s="17"/>
      <c r="BU240" s="17"/>
      <c r="BV240" s="17"/>
      <c r="BW240" s="17"/>
      <c r="BX240" s="61"/>
      <c r="BY240" s="531"/>
      <c r="BZ240" s="530"/>
      <c r="CA240" s="531"/>
      <c r="CB240" s="530"/>
      <c r="CC240" s="530"/>
      <c r="CD240" s="530"/>
      <c r="CE240" s="1295"/>
      <c r="CF240" s="1301"/>
      <c r="CG240" s="530"/>
      <c r="CH240" s="61"/>
      <c r="CI240" s="61"/>
      <c r="CJ240" s="61"/>
      <c r="DH240" s="58" t="e">
        <f t="shared" si="387"/>
        <v>#N/A</v>
      </c>
      <c r="DK240" s="58" t="str" cm="1">
        <f t="array" ref="DK240">IF(AND($BT240=4,$BX240=4,$BU240=999),$DB$36,_xlfn.IFNA(INDEX(DB$13:DB$70,MATCH(1,($BR240=$CV$13:$CV$70)*($BT240=$CX$13:$CX$70)*($CE240=$CY$13:$CY$70)*($BY240=$DA$13:$DA$70)*($CD240=$DH$13:$DH$70),0)),""))</f>
        <v/>
      </c>
      <c r="DL240" s="58" t="str" cm="1">
        <f t="array" ref="DL240">IF(AND($BT240=4,$BX240=4,$BU240=999),$DC$36,_xlfn.IFNA(INDEX(CHOOSE(DP240,DB$13:DB$70,DC$13:DC$70,DD$13:DD$70,DE$13:DE$70),MATCH(1,($BR240=$CV$13:$CV$70)*($BT240=$CX$13:$CX$70)*($CE240=$CY$13:$CY$70)*($BY240=$DA$13:$DA$70)*($CD240=$DH$13:$DH$70),0)),""))</f>
        <v/>
      </c>
      <c r="DM240" s="740" t="str" cm="1">
        <f t="array" ref="DM240">IF(AND($BT240=4,$BX240=4,$BU240=999),$DD$36,_xlfn.IFNA(INDEX(DD$13:DD$68,MATCH(1,($BR240=$CV$13:$CV$68)*($BT240=$CX$13:$CX$68)*($CE240=$CY$13:$CY$68)*($BY240=$DA$13:$DA$68)*($CD240=$DH$13:$DH$68),0)),""))</f>
        <v/>
      </c>
      <c r="DN240" s="740" t="str" cm="1">
        <f t="array" ref="DN240">IF(AND($BT240=4,$BX240=4,$BU240=999),$DD$36,_xlfn.IFNA(INDEX(DE$13:DE$68,MATCH(1,($BR240=$CV$13:$CV$68)*($BT240=$CX$13:$CX$68)*($CE240=$CY$13:$CY$68)*($BY240=$DA$13:$DA$68)*($CD240=$DH$13:$DH$68),0)),""))</f>
        <v/>
      </c>
      <c r="DO240" s="58" t="str" cm="1">
        <f t="array" ref="DO240">IF(AND($BT240=4,$BX240=4,$BU240=999),$DF$36,_xlfn.IFNA(INDEX(DF$13:DF$70,MATCH(1,($BR240=$CV$13:$CV$70)*($BT240=$CX$13:$CX$70)*($CE240=$CY$13:$CY$70)*($BY240=$DA$13:$DA$70)*($CD240=$DH$13:$DH$70),0)),""))</f>
        <v/>
      </c>
      <c r="DP240" s="58" t="e">
        <f t="shared" si="367"/>
        <v>#N/A</v>
      </c>
      <c r="FT240" s="58">
        <f t="shared" si="368"/>
        <v>0</v>
      </c>
      <c r="FW240" s="58">
        <f>IF(i_baseline_risk_from=2,'Effectiveness settings'!EW240,'Effectiveness settings'!FI240)</f>
        <v>0</v>
      </c>
      <c r="FX240" s="58">
        <f t="shared" si="369"/>
        <v>0</v>
      </c>
      <c r="FY240" s="58">
        <f t="shared" si="370"/>
        <v>0</v>
      </c>
      <c r="FZ240" s="58">
        <f t="shared" si="371"/>
        <v>0</v>
      </c>
      <c r="GA240" s="58">
        <f t="shared" si="372"/>
        <v>0</v>
      </c>
      <c r="GB240" s="58">
        <f t="shared" si="373"/>
        <v>0</v>
      </c>
      <c r="GC240" s="58">
        <f t="shared" si="374"/>
        <v>0</v>
      </c>
      <c r="GD240" s="58">
        <f t="shared" si="375"/>
        <v>0</v>
      </c>
      <c r="GE240" s="58">
        <f>IF(AND(dd_CheckMate214_TTD="Yes",'Effectiveness settings'!BU240=2,'Effectiveness settings'!BX240=2),"Apply HR to",GD240)</f>
        <v>0</v>
      </c>
      <c r="GF240" s="58">
        <f t="shared" si="376"/>
        <v>0</v>
      </c>
      <c r="GG240" s="58">
        <f t="shared" si="377"/>
        <v>0</v>
      </c>
      <c r="GH240" s="58">
        <f t="shared" si="378"/>
        <v>0</v>
      </c>
      <c r="GI240" s="58">
        <f t="shared" si="388"/>
        <v>0</v>
      </c>
      <c r="GK240" s="58">
        <f>IF(i_baseline_risk_from=2,'Effectiveness settings'!FA240,'Effectiveness settings'!FM240)</f>
        <v>0</v>
      </c>
      <c r="GL240" s="58">
        <f>IF(i_baseline_risk_from=2,'Effectiveness settings'!FB240,'Effectiveness settings'!FN240)</f>
        <v>0</v>
      </c>
      <c r="GM240" s="58">
        <f>IF(i_baseline_risk_from=2,'Effectiveness settings'!FC240,'Effectiveness settings'!FO240)</f>
        <v>0</v>
      </c>
      <c r="GN240" s="58">
        <f>IF(i_baseline_risk_from=2,'Effectiveness settings'!FD240,'Effectiveness settings'!FP240)</f>
        <v>0</v>
      </c>
      <c r="GQ240" s="58">
        <f t="shared" si="379"/>
        <v>0</v>
      </c>
      <c r="GR240" s="58">
        <f t="shared" si="380"/>
        <v>0</v>
      </c>
      <c r="GS240" s="58">
        <f t="shared" si="381"/>
        <v>0</v>
      </c>
      <c r="GT240" s="58">
        <f t="shared" si="382"/>
        <v>0</v>
      </c>
      <c r="GU240" s="58">
        <f>IF(AND(dd_CheckMate214_TTD="Yes",'Effectiveness settings'!BU240=2,'Effectiveness settings'!BX240=2),2,GT240)</f>
        <v>0</v>
      </c>
      <c r="GV240" s="58">
        <f t="shared" si="383"/>
        <v>0</v>
      </c>
      <c r="GW240" s="58">
        <f t="shared" si="384"/>
        <v>0</v>
      </c>
      <c r="GY240" s="58">
        <f>IF(AND(dd_CheckMate214_TTD="Yes",'Effectiveness settings'!BU240=2,'Effectiveness settings'!BX240=2),1,GN240)</f>
        <v>0</v>
      </c>
      <c r="GZ240" s="58">
        <f t="shared" si="385"/>
        <v>0</v>
      </c>
      <c r="HB240" s="58">
        <f t="shared" si="386"/>
        <v>0</v>
      </c>
      <c r="HD240" s="58">
        <f t="shared" si="360"/>
        <v>0</v>
      </c>
      <c r="HE240" s="58">
        <f t="shared" si="361"/>
        <v>0</v>
      </c>
      <c r="HF240" s="58">
        <f t="shared" si="362"/>
        <v>0</v>
      </c>
      <c r="HG240" s="58">
        <f t="shared" si="363"/>
        <v>0</v>
      </c>
      <c r="HH240" s="58">
        <f t="shared" si="364"/>
        <v>0</v>
      </c>
    </row>
    <row r="241" spans="9:216" ht="15.75" hidden="1" x14ac:dyDescent="0.25">
      <c r="I241" s="64"/>
      <c r="J241" s="519"/>
      <c r="K241" s="524"/>
      <c r="L241" s="519"/>
      <c r="M241" s="516"/>
      <c r="N241" s="64"/>
      <c r="O241" s="64"/>
      <c r="P241" s="64"/>
      <c r="Q241" s="519"/>
      <c r="R241" s="516"/>
      <c r="S241" s="497"/>
      <c r="T241" s="497"/>
      <c r="U241" s="497"/>
      <c r="Y241" s="517"/>
      <c r="AA241" s="517"/>
      <c r="AF241" s="517"/>
      <c r="AM241" s="517"/>
      <c r="AO241" s="517"/>
      <c r="AT241" s="517"/>
      <c r="AV241" s="511"/>
      <c r="AW241" s="511"/>
      <c r="AX241" s="511"/>
      <c r="BA241" s="517"/>
      <c r="BC241" s="517"/>
      <c r="BH241" s="517"/>
      <c r="BJ241" s="511"/>
      <c r="BK241" s="511"/>
      <c r="BL241" s="511"/>
      <c r="BQ241" s="58">
        <f t="shared" si="366"/>
        <v>140</v>
      </c>
      <c r="BR241" s="17"/>
      <c r="BS241" s="17"/>
      <c r="BT241" s="17"/>
      <c r="BU241" s="17"/>
      <c r="BV241" s="17"/>
      <c r="BW241" s="17"/>
      <c r="BX241" s="61"/>
      <c r="BY241" s="531"/>
      <c r="BZ241" s="530"/>
      <c r="CA241" s="531"/>
      <c r="CB241" s="530"/>
      <c r="CC241" s="530"/>
      <c r="CD241" s="530"/>
      <c r="CE241" s="1295"/>
      <c r="CF241" s="1301"/>
      <c r="CG241" s="530"/>
      <c r="CH241" s="61"/>
      <c r="CI241" s="61"/>
      <c r="CJ241" s="61"/>
      <c r="DH241" s="58" t="e">
        <f t="shared" si="387"/>
        <v>#N/A</v>
      </c>
      <c r="DK241" s="58" t="str" cm="1">
        <f t="array" ref="DK241">IF(AND($BT241=4,$BX241=4,$BU241=999),$DB$36,_xlfn.IFNA(INDEX(DB$13:DB$70,MATCH(1,($BR241=$CV$13:$CV$70)*($BT241=$CX$13:$CX$70)*($CE241=$CY$13:$CY$70)*($BY241=$DA$13:$DA$70)*($CD241=$DH$13:$DH$70),0)),""))</f>
        <v/>
      </c>
      <c r="DL241" s="58" t="str" cm="1">
        <f t="array" ref="DL241">IF(AND($BT241=4,$BX241=4,$BU241=999),$DC$36,_xlfn.IFNA(INDEX(CHOOSE(DP241,DB$13:DB$70,DC$13:DC$70,DD$13:DD$70,DE$13:DE$70),MATCH(1,($BR241=$CV$13:$CV$70)*($BT241=$CX$13:$CX$70)*($CE241=$CY$13:$CY$70)*($BY241=$DA$13:$DA$70)*($CD241=$DH$13:$DH$70),0)),""))</f>
        <v/>
      </c>
      <c r="DM241" s="740" t="str" cm="1">
        <f t="array" ref="DM241">IF(AND($BT241=4,$BX241=4,$BU241=999),$DD$36,_xlfn.IFNA(INDEX(DD$13:DD$68,MATCH(1,($BR241=$CV$13:$CV$68)*($BT241=$CX$13:$CX$68)*($CE241=$CY$13:$CY$68)*($BY241=$DA$13:$DA$68)*($CD241=$DH$13:$DH$68),0)),""))</f>
        <v/>
      </c>
      <c r="DN241" s="740" t="str" cm="1">
        <f t="array" ref="DN241">IF(AND($BT241=4,$BX241=4,$BU241=999),$DD$36,_xlfn.IFNA(INDEX(DE$13:DE$68,MATCH(1,($BR241=$CV$13:$CV$68)*($BT241=$CX$13:$CX$68)*($CE241=$CY$13:$CY$68)*($BY241=$DA$13:$DA$68)*($CD241=$DH$13:$DH$68),0)),""))</f>
        <v/>
      </c>
      <c r="DO241" s="58" t="str" cm="1">
        <f t="array" ref="DO241">IF(AND($BT241=4,$BX241=4,$BU241=999),$DF$36,_xlfn.IFNA(INDEX(DF$13:DF$70,MATCH(1,($BR241=$CV$13:$CV$70)*($BT241=$CX$13:$CX$70)*($CE241=$CY$13:$CY$70)*($BY241=$DA$13:$DA$70)*($CD241=$DH$13:$DH$70),0)),""))</f>
        <v/>
      </c>
      <c r="DP241" s="58" t="e">
        <f t="shared" si="367"/>
        <v>#N/A</v>
      </c>
      <c r="FT241" s="58">
        <f t="shared" si="368"/>
        <v>0</v>
      </c>
      <c r="FW241" s="58">
        <f>IF(i_baseline_risk_from=2,'Effectiveness settings'!EW241,'Effectiveness settings'!FI241)</f>
        <v>0</v>
      </c>
      <c r="FX241" s="58">
        <f t="shared" si="369"/>
        <v>0</v>
      </c>
      <c r="FY241" s="58">
        <f t="shared" si="370"/>
        <v>0</v>
      </c>
      <c r="FZ241" s="58">
        <f t="shared" si="371"/>
        <v>0</v>
      </c>
      <c r="GA241" s="58">
        <f t="shared" si="372"/>
        <v>0</v>
      </c>
      <c r="GB241" s="58">
        <f t="shared" si="373"/>
        <v>0</v>
      </c>
      <c r="GC241" s="58">
        <f t="shared" si="374"/>
        <v>0</v>
      </c>
      <c r="GD241" s="58">
        <f t="shared" si="375"/>
        <v>0</v>
      </c>
      <c r="GE241" s="58">
        <f>IF(AND(dd_CheckMate214_TTD="Yes",'Effectiveness settings'!BU241=2,'Effectiveness settings'!BX241=2),"Apply HR to",GD241)</f>
        <v>0</v>
      </c>
      <c r="GF241" s="58">
        <f t="shared" si="376"/>
        <v>0</v>
      </c>
      <c r="GG241" s="58">
        <f t="shared" si="377"/>
        <v>0</v>
      </c>
      <c r="GH241" s="58">
        <f t="shared" si="378"/>
        <v>0</v>
      </c>
      <c r="GI241" s="58">
        <f t="shared" si="388"/>
        <v>0</v>
      </c>
      <c r="GK241" s="58">
        <f>IF(i_baseline_risk_from=2,'Effectiveness settings'!FA241,'Effectiveness settings'!FM241)</f>
        <v>0</v>
      </c>
      <c r="GL241" s="58">
        <f>IF(i_baseline_risk_from=2,'Effectiveness settings'!FB241,'Effectiveness settings'!FN241)</f>
        <v>0</v>
      </c>
      <c r="GM241" s="58">
        <f>IF(i_baseline_risk_from=2,'Effectiveness settings'!FC241,'Effectiveness settings'!FO241)</f>
        <v>0</v>
      </c>
      <c r="GN241" s="58">
        <f>IF(i_baseline_risk_from=2,'Effectiveness settings'!FD241,'Effectiveness settings'!FP241)</f>
        <v>0</v>
      </c>
      <c r="GQ241" s="58">
        <f t="shared" si="379"/>
        <v>0</v>
      </c>
      <c r="GR241" s="58">
        <f t="shared" si="380"/>
        <v>0</v>
      </c>
      <c r="GS241" s="58">
        <f t="shared" si="381"/>
        <v>0</v>
      </c>
      <c r="GT241" s="58">
        <f t="shared" si="382"/>
        <v>0</v>
      </c>
      <c r="GU241" s="58">
        <f>IF(AND(dd_CheckMate214_TTD="Yes",'Effectiveness settings'!BU241=2,'Effectiveness settings'!BX241=2),2,GT241)</f>
        <v>0</v>
      </c>
      <c r="GV241" s="58">
        <f t="shared" si="383"/>
        <v>0</v>
      </c>
      <c r="GW241" s="58">
        <f t="shared" si="384"/>
        <v>0</v>
      </c>
      <c r="GY241" s="58">
        <f>IF(AND(dd_CheckMate214_TTD="Yes",'Effectiveness settings'!BU241=2,'Effectiveness settings'!BX241=2),1,GN241)</f>
        <v>0</v>
      </c>
      <c r="GZ241" s="58">
        <f t="shared" si="385"/>
        <v>0</v>
      </c>
      <c r="HB241" s="58">
        <f t="shared" si="386"/>
        <v>0</v>
      </c>
      <c r="HD241" s="58">
        <f t="shared" si="360"/>
        <v>0</v>
      </c>
      <c r="HE241" s="58">
        <f t="shared" si="361"/>
        <v>0</v>
      </c>
      <c r="HF241" s="58">
        <f t="shared" si="362"/>
        <v>0</v>
      </c>
      <c r="HG241" s="58">
        <f t="shared" si="363"/>
        <v>0</v>
      </c>
      <c r="HH241" s="58">
        <f t="shared" si="364"/>
        <v>0</v>
      </c>
    </row>
    <row r="242" spans="9:216" ht="15.75" hidden="1" x14ac:dyDescent="0.25">
      <c r="I242" s="64"/>
      <c r="J242" s="519"/>
      <c r="K242" s="524"/>
      <c r="L242" s="519"/>
      <c r="M242" s="516"/>
      <c r="N242" s="64"/>
      <c r="O242" s="64"/>
      <c r="P242" s="64"/>
      <c r="Q242" s="519"/>
      <c r="R242" s="516"/>
      <c r="S242" s="497"/>
      <c r="T242" s="497"/>
      <c r="U242" s="497"/>
      <c r="Y242" s="517"/>
      <c r="AA242" s="517"/>
      <c r="AF242" s="517"/>
      <c r="AM242" s="517"/>
      <c r="AO242" s="517"/>
      <c r="AT242" s="517"/>
      <c r="AV242" s="511"/>
      <c r="AW242" s="511"/>
      <c r="AX242" s="511"/>
      <c r="BA242" s="517"/>
      <c r="BC242" s="517"/>
      <c r="BH242" s="517"/>
      <c r="BJ242" s="511"/>
      <c r="BK242" s="511"/>
      <c r="BL242" s="511"/>
      <c r="BQ242" s="58">
        <f t="shared" si="366"/>
        <v>140</v>
      </c>
      <c r="BR242" s="17"/>
      <c r="BS242" s="17"/>
      <c r="BT242" s="17"/>
      <c r="BU242" s="17"/>
      <c r="BV242" s="17"/>
      <c r="BW242" s="17"/>
      <c r="BX242" s="61"/>
      <c r="BY242" s="531"/>
      <c r="BZ242" s="530"/>
      <c r="CA242" s="531"/>
      <c r="CB242" s="530"/>
      <c r="CC242" s="530"/>
      <c r="CD242" s="530"/>
      <c r="CE242" s="1295"/>
      <c r="CF242" s="1301"/>
      <c r="CG242" s="530"/>
      <c r="CH242" s="61"/>
      <c r="CI242" s="61"/>
      <c r="CJ242" s="61"/>
      <c r="DH242" s="58" t="e">
        <f t="shared" si="387"/>
        <v>#N/A</v>
      </c>
      <c r="DK242" s="58" t="str" cm="1">
        <f t="array" ref="DK242">IF(AND($BT242=4,$BX242=4,$BU242=999),$DB$36,_xlfn.IFNA(INDEX(DB$13:DB$70,MATCH(1,($BR242=$CV$13:$CV$70)*($BT242=$CX$13:$CX$70)*($CE242=$CY$13:$CY$70)*($BY242=$DA$13:$DA$70)*($CD242=$DH$13:$DH$70),0)),""))</f>
        <v/>
      </c>
      <c r="DL242" s="58" t="str" cm="1">
        <f t="array" ref="DL242">IF(AND($BT242=4,$BX242=4,$BU242=999),$DC$36,_xlfn.IFNA(INDEX(CHOOSE(DP242,DB$13:DB$70,DC$13:DC$70,DD$13:DD$70,DE$13:DE$70),MATCH(1,($BR242=$CV$13:$CV$70)*($BT242=$CX$13:$CX$70)*($CE242=$CY$13:$CY$70)*($BY242=$DA$13:$DA$70)*($CD242=$DH$13:$DH$70),0)),""))</f>
        <v/>
      </c>
      <c r="DM242" s="740" t="str" cm="1">
        <f t="array" ref="DM242">IF(AND($BT242=4,$BX242=4,$BU242=999),$DD$36,_xlfn.IFNA(INDEX(DD$13:DD$68,MATCH(1,($BR242=$CV$13:$CV$68)*($BT242=$CX$13:$CX$68)*($CE242=$CY$13:$CY$68)*($BY242=$DA$13:$DA$68)*($CD242=$DH$13:$DH$68),0)),""))</f>
        <v/>
      </c>
      <c r="DN242" s="740" t="str" cm="1">
        <f t="array" ref="DN242">IF(AND($BT242=4,$BX242=4,$BU242=999),$DD$36,_xlfn.IFNA(INDEX(DE$13:DE$68,MATCH(1,($BR242=$CV$13:$CV$68)*($BT242=$CX$13:$CX$68)*($CE242=$CY$13:$CY$68)*($BY242=$DA$13:$DA$68)*($CD242=$DH$13:$DH$68),0)),""))</f>
        <v/>
      </c>
      <c r="DO242" s="58" t="str" cm="1">
        <f t="array" ref="DO242">IF(AND($BT242=4,$BX242=4,$BU242=999),$DF$36,_xlfn.IFNA(INDEX(DF$13:DF$70,MATCH(1,($BR242=$CV$13:$CV$70)*($BT242=$CX$13:$CX$70)*($CE242=$CY$13:$CY$70)*($BY242=$DA$13:$DA$70)*($CD242=$DH$13:$DH$70),0)),""))</f>
        <v/>
      </c>
      <c r="DP242" s="58" t="e">
        <f t="shared" si="367"/>
        <v>#N/A</v>
      </c>
      <c r="FT242" s="58">
        <f t="shared" si="368"/>
        <v>0</v>
      </c>
      <c r="FW242" s="58">
        <f>IF(i_baseline_risk_from=2,'Effectiveness settings'!EW242,'Effectiveness settings'!FI242)</f>
        <v>0</v>
      </c>
      <c r="FX242" s="58">
        <f t="shared" si="369"/>
        <v>0</v>
      </c>
      <c r="FY242" s="58">
        <f t="shared" si="370"/>
        <v>0</v>
      </c>
      <c r="FZ242" s="58">
        <f t="shared" si="371"/>
        <v>0</v>
      </c>
      <c r="GA242" s="58">
        <f t="shared" si="372"/>
        <v>0</v>
      </c>
      <c r="GB242" s="58">
        <f t="shared" si="373"/>
        <v>0</v>
      </c>
      <c r="GC242" s="58">
        <f t="shared" si="374"/>
        <v>0</v>
      </c>
      <c r="GD242" s="58">
        <f t="shared" si="375"/>
        <v>0</v>
      </c>
      <c r="GE242" s="58">
        <f>IF(AND(dd_CheckMate214_TTD="Yes",'Effectiveness settings'!BU242=2,'Effectiveness settings'!BX242=2),"Apply HR to",GD242)</f>
        <v>0</v>
      </c>
      <c r="GF242" s="58">
        <f t="shared" si="376"/>
        <v>0</v>
      </c>
      <c r="GG242" s="58">
        <f t="shared" si="377"/>
        <v>0</v>
      </c>
      <c r="GH242" s="58">
        <f t="shared" si="378"/>
        <v>0</v>
      </c>
      <c r="GI242" s="58">
        <f t="shared" si="388"/>
        <v>0</v>
      </c>
      <c r="GK242" s="58">
        <f>IF(i_baseline_risk_from=2,'Effectiveness settings'!FA242,'Effectiveness settings'!FM242)</f>
        <v>0</v>
      </c>
      <c r="GL242" s="58">
        <f>IF(i_baseline_risk_from=2,'Effectiveness settings'!FB242,'Effectiveness settings'!FN242)</f>
        <v>0</v>
      </c>
      <c r="GM242" s="58">
        <f>IF(i_baseline_risk_from=2,'Effectiveness settings'!FC242,'Effectiveness settings'!FO242)</f>
        <v>0</v>
      </c>
      <c r="GN242" s="58">
        <f>IF(i_baseline_risk_from=2,'Effectiveness settings'!FD242,'Effectiveness settings'!FP242)</f>
        <v>0</v>
      </c>
      <c r="GQ242" s="58">
        <f t="shared" si="379"/>
        <v>0</v>
      </c>
      <c r="GR242" s="58">
        <f t="shared" si="380"/>
        <v>0</v>
      </c>
      <c r="GS242" s="58">
        <f t="shared" si="381"/>
        <v>0</v>
      </c>
      <c r="GT242" s="58">
        <f t="shared" si="382"/>
        <v>0</v>
      </c>
      <c r="GU242" s="58">
        <f>IF(AND(dd_CheckMate214_TTD="Yes",'Effectiveness settings'!BU242=2,'Effectiveness settings'!BX242=2),2,GT242)</f>
        <v>0</v>
      </c>
      <c r="GV242" s="58">
        <f t="shared" si="383"/>
        <v>0</v>
      </c>
      <c r="GW242" s="58">
        <f t="shared" si="384"/>
        <v>0</v>
      </c>
      <c r="GY242" s="58">
        <f>IF(AND(dd_CheckMate214_TTD="Yes",'Effectiveness settings'!BU242=2,'Effectiveness settings'!BX242=2),1,GN242)</f>
        <v>0</v>
      </c>
      <c r="GZ242" s="58">
        <f t="shared" si="385"/>
        <v>0</v>
      </c>
      <c r="HB242" s="58">
        <f t="shared" si="386"/>
        <v>0</v>
      </c>
      <c r="HD242" s="58">
        <f t="shared" si="360"/>
        <v>0</v>
      </c>
      <c r="HE242" s="58">
        <f t="shared" si="361"/>
        <v>0</v>
      </c>
      <c r="HF242" s="58">
        <f t="shared" si="362"/>
        <v>0</v>
      </c>
      <c r="HG242" s="58">
        <f t="shared" si="363"/>
        <v>0</v>
      </c>
      <c r="HH242" s="58">
        <f t="shared" si="364"/>
        <v>0</v>
      </c>
    </row>
    <row r="243" spans="9:216" ht="15.75" hidden="1" x14ac:dyDescent="0.25">
      <c r="I243" s="64"/>
      <c r="J243" s="519"/>
      <c r="K243" s="524"/>
      <c r="L243" s="519"/>
      <c r="M243" s="516"/>
      <c r="N243" s="64"/>
      <c r="O243" s="64"/>
      <c r="P243" s="64"/>
      <c r="Q243" s="519"/>
      <c r="R243" s="516"/>
      <c r="S243" s="497"/>
      <c r="T243" s="497"/>
      <c r="U243" s="497"/>
      <c r="Y243" s="517"/>
      <c r="AA243" s="517"/>
      <c r="AF243" s="517"/>
      <c r="AM243" s="517"/>
      <c r="AO243" s="517"/>
      <c r="AT243" s="517"/>
      <c r="AV243" s="511"/>
      <c r="AW243" s="511"/>
      <c r="AX243" s="511"/>
      <c r="BA243" s="517"/>
      <c r="BC243" s="517"/>
      <c r="BH243" s="517"/>
      <c r="BJ243" s="511"/>
      <c r="BK243" s="511"/>
      <c r="BL243" s="511"/>
      <c r="BQ243" s="58">
        <f t="shared" si="366"/>
        <v>140</v>
      </c>
      <c r="BR243" s="17"/>
      <c r="BS243" s="17"/>
      <c r="BT243" s="17"/>
      <c r="BU243" s="17"/>
      <c r="BV243" s="17"/>
      <c r="BW243" s="17"/>
      <c r="BX243" s="61"/>
      <c r="BY243" s="531"/>
      <c r="BZ243" s="530"/>
      <c r="CA243" s="531"/>
      <c r="CB243" s="530"/>
      <c r="CC243" s="530"/>
      <c r="CD243" s="530"/>
      <c r="CE243" s="1295"/>
      <c r="CF243" s="1301"/>
      <c r="CG243" s="530"/>
      <c r="CH243" s="61"/>
      <c r="CI243" s="61"/>
      <c r="CJ243" s="61"/>
      <c r="DH243" s="58" t="e">
        <f t="shared" si="387"/>
        <v>#N/A</v>
      </c>
      <c r="DK243" s="58" t="str" cm="1">
        <f t="array" ref="DK243">IF(AND($BT243=4,$BX243=4,$BU243=999),$DB$36,_xlfn.IFNA(INDEX(DB$13:DB$70,MATCH(1,($BR243=$CV$13:$CV$70)*($BT243=$CX$13:$CX$70)*($CE243=$CY$13:$CY$70)*($BY243=$DA$13:$DA$70)*($CD243=$DH$13:$DH$70),0)),""))</f>
        <v/>
      </c>
      <c r="DL243" s="58" t="str" cm="1">
        <f t="array" ref="DL243">IF(AND($BT243=4,$BX243=4,$BU243=999),$DC$36,_xlfn.IFNA(INDEX(CHOOSE(DP243,DB$13:DB$70,DC$13:DC$70,DD$13:DD$70,DE$13:DE$70),MATCH(1,($BR243=$CV$13:$CV$70)*($BT243=$CX$13:$CX$70)*($CE243=$CY$13:$CY$70)*($BY243=$DA$13:$DA$70)*($CD243=$DH$13:$DH$70),0)),""))</f>
        <v/>
      </c>
      <c r="DM243" s="740" t="str" cm="1">
        <f t="array" ref="DM243">IF(AND($BT243=4,$BX243=4,$BU243=999),$DD$36,_xlfn.IFNA(INDEX(DD$13:DD$68,MATCH(1,($BR243=$CV$13:$CV$68)*($BT243=$CX$13:$CX$68)*($CE243=$CY$13:$CY$68)*($BY243=$DA$13:$DA$68)*($CD243=$DH$13:$DH$68),0)),""))</f>
        <v/>
      </c>
      <c r="DN243" s="740" t="str" cm="1">
        <f t="array" ref="DN243">IF(AND($BT243=4,$BX243=4,$BU243=999),$DD$36,_xlfn.IFNA(INDEX(DE$13:DE$68,MATCH(1,($BR243=$CV$13:$CV$68)*($BT243=$CX$13:$CX$68)*($CE243=$CY$13:$CY$68)*($BY243=$DA$13:$DA$68)*($CD243=$DH$13:$DH$68),0)),""))</f>
        <v/>
      </c>
      <c r="DO243" s="58" t="str" cm="1">
        <f t="array" ref="DO243">IF(AND($BT243=4,$BX243=4,$BU243=999),$DF$36,_xlfn.IFNA(INDEX(DF$13:DF$70,MATCH(1,($BR243=$CV$13:$CV$70)*($BT243=$CX$13:$CX$70)*($CE243=$CY$13:$CY$70)*($BY243=$DA$13:$DA$70)*($CD243=$DH$13:$DH$70),0)),""))</f>
        <v/>
      </c>
      <c r="DP243" s="58" t="e">
        <f t="shared" si="367"/>
        <v>#N/A</v>
      </c>
      <c r="FT243" s="58">
        <f t="shared" si="368"/>
        <v>0</v>
      </c>
      <c r="FW243" s="58">
        <f>IF(i_baseline_risk_from=2,'Effectiveness settings'!EW243,'Effectiveness settings'!FI243)</f>
        <v>0</v>
      </c>
      <c r="FX243" s="58">
        <f t="shared" si="369"/>
        <v>0</v>
      </c>
      <c r="FY243" s="58">
        <f t="shared" si="370"/>
        <v>0</v>
      </c>
      <c r="FZ243" s="58">
        <f t="shared" si="371"/>
        <v>0</v>
      </c>
      <c r="GA243" s="58">
        <f t="shared" si="372"/>
        <v>0</v>
      </c>
      <c r="GB243" s="58">
        <f t="shared" si="373"/>
        <v>0</v>
      </c>
      <c r="GC243" s="58">
        <f t="shared" si="374"/>
        <v>0</v>
      </c>
      <c r="GD243" s="58">
        <f t="shared" si="375"/>
        <v>0</v>
      </c>
      <c r="GE243" s="58">
        <f>IF(AND(dd_CheckMate214_TTD="Yes",'Effectiveness settings'!BU243=2,'Effectiveness settings'!BX243=2),"Apply HR to",GD243)</f>
        <v>0</v>
      </c>
      <c r="GF243" s="58">
        <f t="shared" si="376"/>
        <v>0</v>
      </c>
      <c r="GG243" s="58">
        <f t="shared" si="377"/>
        <v>0</v>
      </c>
      <c r="GH243" s="58">
        <f t="shared" si="378"/>
        <v>0</v>
      </c>
      <c r="GI243" s="58">
        <f t="shared" si="388"/>
        <v>0</v>
      </c>
      <c r="GK243" s="58">
        <f>IF(i_baseline_risk_from=2,'Effectiveness settings'!FA243,'Effectiveness settings'!FM243)</f>
        <v>0</v>
      </c>
      <c r="GL243" s="58">
        <f>IF(i_baseline_risk_from=2,'Effectiveness settings'!FB243,'Effectiveness settings'!FN243)</f>
        <v>0</v>
      </c>
      <c r="GM243" s="58">
        <f>IF(i_baseline_risk_from=2,'Effectiveness settings'!FC243,'Effectiveness settings'!FO243)</f>
        <v>0</v>
      </c>
      <c r="GN243" s="58">
        <f>IF(i_baseline_risk_from=2,'Effectiveness settings'!FD243,'Effectiveness settings'!FP243)</f>
        <v>0</v>
      </c>
      <c r="GQ243" s="58">
        <f t="shared" si="379"/>
        <v>0</v>
      </c>
      <c r="GR243" s="58">
        <f t="shared" si="380"/>
        <v>0</v>
      </c>
      <c r="GS243" s="58">
        <f t="shared" si="381"/>
        <v>0</v>
      </c>
      <c r="GT243" s="58">
        <f t="shared" si="382"/>
        <v>0</v>
      </c>
      <c r="GU243" s="58">
        <f>IF(AND(dd_CheckMate214_TTD="Yes",'Effectiveness settings'!BU243=2,'Effectiveness settings'!BX243=2),2,GT243)</f>
        <v>0</v>
      </c>
      <c r="GV243" s="58">
        <f t="shared" si="383"/>
        <v>0</v>
      </c>
      <c r="GW243" s="58">
        <f t="shared" si="384"/>
        <v>0</v>
      </c>
      <c r="GY243" s="58">
        <f>IF(AND(dd_CheckMate214_TTD="Yes",'Effectiveness settings'!BU243=2,'Effectiveness settings'!BX243=2),1,GN243)</f>
        <v>0</v>
      </c>
      <c r="GZ243" s="58">
        <f t="shared" si="385"/>
        <v>0</v>
      </c>
      <c r="HB243" s="58">
        <f t="shared" si="386"/>
        <v>0</v>
      </c>
      <c r="HD243" s="58">
        <f t="shared" si="360"/>
        <v>0</v>
      </c>
      <c r="HE243" s="58">
        <f t="shared" si="361"/>
        <v>0</v>
      </c>
      <c r="HF243" s="58">
        <f t="shared" si="362"/>
        <v>0</v>
      </c>
      <c r="HG243" s="58">
        <f t="shared" si="363"/>
        <v>0</v>
      </c>
      <c r="HH243" s="58">
        <f t="shared" si="364"/>
        <v>0</v>
      </c>
    </row>
    <row r="244" spans="9:216" ht="15.75" hidden="1" x14ac:dyDescent="0.25">
      <c r="I244" s="64"/>
      <c r="J244" s="519"/>
      <c r="K244" s="524"/>
      <c r="L244" s="519"/>
      <c r="M244" s="516"/>
      <c r="N244" s="64"/>
      <c r="O244" s="64"/>
      <c r="P244" s="64"/>
      <c r="Q244" s="519"/>
      <c r="R244" s="516"/>
      <c r="S244" s="497"/>
      <c r="T244" s="497"/>
      <c r="U244" s="497"/>
      <c r="Y244" s="517"/>
      <c r="AA244" s="517"/>
      <c r="AF244" s="517"/>
      <c r="AM244" s="517"/>
      <c r="AO244" s="517"/>
      <c r="AT244" s="517"/>
      <c r="AV244" s="511"/>
      <c r="AW244" s="511"/>
      <c r="AX244" s="511"/>
      <c r="BA244" s="517"/>
      <c r="BC244" s="517"/>
      <c r="BH244" s="517"/>
      <c r="BJ244" s="511"/>
      <c r="BK244" s="511"/>
      <c r="BL244" s="511"/>
      <c r="BQ244" s="58">
        <f t="shared" si="366"/>
        <v>140</v>
      </c>
      <c r="BR244" s="17"/>
      <c r="BS244" s="17"/>
      <c r="BT244" s="17"/>
      <c r="BU244" s="17"/>
      <c r="BV244" s="17"/>
      <c r="BW244" s="17"/>
      <c r="BX244" s="61"/>
      <c r="BY244" s="531"/>
      <c r="BZ244" s="530"/>
      <c r="CA244" s="531"/>
      <c r="CB244" s="530"/>
      <c r="CC244" s="530"/>
      <c r="CD244" s="530"/>
      <c r="CE244" s="1295"/>
      <c r="CF244" s="1301"/>
      <c r="CG244" s="530"/>
      <c r="CH244" s="61"/>
      <c r="CI244" s="61"/>
      <c r="CJ244" s="61"/>
      <c r="CV244" s="940">
        <v>0</v>
      </c>
      <c r="CW244" s="940" t="s">
        <v>31</v>
      </c>
      <c r="CX244" s="940">
        <v>2</v>
      </c>
      <c r="CY244" s="940">
        <v>1</v>
      </c>
      <c r="CZ244" s="940" t="str" cm="1">
        <f t="array" ref="CZ244">INDEX(List_trials,CY244+1)</f>
        <v>CheckMate 025</v>
      </c>
      <c r="DA244" s="1025" t="s">
        <v>555</v>
      </c>
      <c r="DB244" s="1025" t="s">
        <v>563</v>
      </c>
      <c r="DC244" s="1025" t="s">
        <v>563</v>
      </c>
      <c r="DD244" s="1025"/>
      <c r="DE244" s="1025"/>
      <c r="DF244" s="1025"/>
      <c r="DG244" s="1025" t="s">
        <v>119</v>
      </c>
      <c r="DH244" s="58">
        <f t="shared" si="387"/>
        <v>10</v>
      </c>
      <c r="DK244" s="58" t="str" cm="1">
        <f t="array" ref="DK244">IF(AND($BT244=4,$BX244=4,$BU244=999),$DB$36,_xlfn.IFNA(INDEX(DB$13:DB$70,MATCH(1,($BR244=$CV$13:$CV$70)*($BT244=$CX$13:$CX$70)*($CE244=$CY$13:$CY$70)*($BY244=$DA$13:$DA$70)*($CD244=$DH$13:$DH$70),0)),""))</f>
        <v/>
      </c>
      <c r="DL244" s="58" t="str" cm="1">
        <f t="array" ref="DL244">IF(AND($BT244=4,$BX244=4,$BU244=999),$DC$36,_xlfn.IFNA(INDEX(CHOOSE(DP244,DB$13:DB$70,DC$13:DC$70,DD$13:DD$70,DE$13:DE$70),MATCH(1,($BR244=$CV$13:$CV$70)*($BT244=$CX$13:$CX$70)*($CE244=$CY$13:$CY$70)*($BY244=$DA$13:$DA$70)*($CD244=$DH$13:$DH$70),0)),""))</f>
        <v/>
      </c>
      <c r="DM244" s="740" t="str" cm="1">
        <f t="array" ref="DM244">IF(AND($BT244=4,$BX244=4,$BU244=999),$DD$36,_xlfn.IFNA(INDEX(DD$13:DD$68,MATCH(1,($BR244=$CV$13:$CV$68)*($BT244=$CX$13:$CX$68)*($CE244=$CY$13:$CY$68)*($BY244=$DA$13:$DA$68)*($CD244=$DH$13:$DH$68),0)),""))</f>
        <v/>
      </c>
      <c r="DN244" s="740" t="str" cm="1">
        <f t="array" ref="DN244">IF(AND($BT244=4,$BX244=4,$BU244=999),$DD$36,_xlfn.IFNA(INDEX(DE$13:DE$68,MATCH(1,($BR244=$CV$13:$CV$68)*($BT244=$CX$13:$CX$68)*($CE244=$CY$13:$CY$68)*($BY244=$DA$13:$DA$68)*($CD244=$DH$13:$DH$68),0)),""))</f>
        <v/>
      </c>
      <c r="DO244" s="58" t="str" cm="1">
        <f t="array" ref="DO244">IF(AND($BT244=4,$BX244=4,$BU244=999),$DF$36,_xlfn.IFNA(INDEX(DF$13:DF$70,MATCH(1,($BR244=$CV$13:$CV$70)*($BT244=$CX$13:$CX$70)*($CE244=$CY$13:$CY$70)*($BY244=$DA$13:$DA$70)*($CD244=$DH$13:$DH$70),0)),""))</f>
        <v/>
      </c>
      <c r="DP244" s="58" t="e">
        <f t="shared" si="367"/>
        <v>#N/A</v>
      </c>
      <c r="FT244" s="58">
        <f t="shared" si="368"/>
        <v>0</v>
      </c>
      <c r="FW244" s="58">
        <f>IF(i_baseline_risk_from=2,'Effectiveness settings'!EW244,'Effectiveness settings'!FI244)</f>
        <v>0</v>
      </c>
      <c r="FX244" s="58">
        <f t="shared" si="369"/>
        <v>0</v>
      </c>
      <c r="FY244" s="58">
        <f t="shared" si="370"/>
        <v>0</v>
      </c>
      <c r="FZ244" s="58">
        <f t="shared" si="371"/>
        <v>0</v>
      </c>
      <c r="GA244" s="58">
        <f t="shared" si="372"/>
        <v>0</v>
      </c>
      <c r="GB244" s="58">
        <f t="shared" si="373"/>
        <v>0</v>
      </c>
      <c r="GC244" s="58">
        <f t="shared" si="374"/>
        <v>0</v>
      </c>
      <c r="GD244" s="58">
        <f t="shared" si="375"/>
        <v>0</v>
      </c>
      <c r="GE244" s="58">
        <f>IF(AND(dd_CheckMate214_TTD="Yes",'Effectiveness settings'!BU244=2,'Effectiveness settings'!BX244=2),"Apply HR to",GD244)</f>
        <v>0</v>
      </c>
      <c r="GF244" s="58">
        <f t="shared" si="376"/>
        <v>0</v>
      </c>
      <c r="GG244" s="58">
        <f t="shared" si="377"/>
        <v>0</v>
      </c>
      <c r="GH244" s="58">
        <f t="shared" si="378"/>
        <v>0</v>
      </c>
      <c r="GI244" s="58">
        <f t="shared" si="388"/>
        <v>0</v>
      </c>
      <c r="GK244" s="58">
        <f>IF(i_baseline_risk_from=2,'Effectiveness settings'!FA244,'Effectiveness settings'!FM244)</f>
        <v>0</v>
      </c>
      <c r="GL244" s="58">
        <f>IF(i_baseline_risk_from=2,'Effectiveness settings'!FB244,'Effectiveness settings'!FN244)</f>
        <v>0</v>
      </c>
      <c r="GM244" s="58">
        <f>IF(i_baseline_risk_from=2,'Effectiveness settings'!FC244,'Effectiveness settings'!FO244)</f>
        <v>0</v>
      </c>
      <c r="GN244" s="58">
        <f>IF(i_baseline_risk_from=2,'Effectiveness settings'!FD244,'Effectiveness settings'!FP244)</f>
        <v>0</v>
      </c>
      <c r="GQ244" s="58">
        <f t="shared" si="379"/>
        <v>0</v>
      </c>
      <c r="GR244" s="58">
        <f t="shared" si="380"/>
        <v>0</v>
      </c>
      <c r="GS244" s="58">
        <f t="shared" si="381"/>
        <v>0</v>
      </c>
      <c r="GT244" s="58">
        <f t="shared" si="382"/>
        <v>0</v>
      </c>
      <c r="GU244" s="58">
        <f>IF(AND(dd_CheckMate214_TTD="Yes",'Effectiveness settings'!BU244=2,'Effectiveness settings'!BX244=2),2,GT244)</f>
        <v>0</v>
      </c>
      <c r="GV244" s="58">
        <f t="shared" si="383"/>
        <v>0</v>
      </c>
      <c r="GW244" s="58">
        <f t="shared" si="384"/>
        <v>0</v>
      </c>
      <c r="GY244" s="58">
        <f>IF(AND(dd_CheckMate214_TTD="Yes",'Effectiveness settings'!BU244=2,'Effectiveness settings'!BX244=2),1,GN244)</f>
        <v>0</v>
      </c>
      <c r="GZ244" s="58">
        <f t="shared" si="385"/>
        <v>0</v>
      </c>
      <c r="HB244" s="58">
        <f t="shared" si="386"/>
        <v>0</v>
      </c>
      <c r="HD244" s="58">
        <f t="shared" si="360"/>
        <v>0</v>
      </c>
      <c r="HE244" s="58">
        <f t="shared" si="361"/>
        <v>0</v>
      </c>
      <c r="HF244" s="58">
        <f t="shared" si="362"/>
        <v>0</v>
      </c>
      <c r="HG244" s="58">
        <f t="shared" si="363"/>
        <v>0</v>
      </c>
      <c r="HH244" s="58">
        <f t="shared" si="364"/>
        <v>0</v>
      </c>
    </row>
    <row r="245" spans="9:216" ht="15.75" hidden="1" x14ac:dyDescent="0.25">
      <c r="I245" s="64"/>
      <c r="J245" s="519"/>
      <c r="K245" s="524"/>
      <c r="L245" s="519"/>
      <c r="M245" s="516"/>
      <c r="N245" s="64"/>
      <c r="O245" s="64"/>
      <c r="P245" s="64"/>
      <c r="Q245" s="519"/>
      <c r="R245" s="516"/>
      <c r="S245" s="497"/>
      <c r="T245" s="497"/>
      <c r="U245" s="497"/>
      <c r="Y245" s="517"/>
      <c r="AA245" s="517"/>
      <c r="AF245" s="517"/>
      <c r="AM245" s="517"/>
      <c r="AO245" s="517"/>
      <c r="AT245" s="517"/>
      <c r="AV245" s="511"/>
      <c r="AW245" s="511"/>
      <c r="AX245" s="511"/>
      <c r="BA245" s="517"/>
      <c r="BC245" s="517"/>
      <c r="BH245" s="517"/>
      <c r="BJ245" s="511"/>
      <c r="BK245" s="511"/>
      <c r="BL245" s="511"/>
      <c r="BQ245" s="58">
        <f t="shared" si="366"/>
        <v>140</v>
      </c>
      <c r="BR245" s="17"/>
      <c r="BS245" s="17"/>
      <c r="BT245" s="17"/>
      <c r="BU245" s="17"/>
      <c r="BV245" s="17"/>
      <c r="BW245" s="17"/>
      <c r="BX245" s="61"/>
      <c r="BY245" s="531"/>
      <c r="BZ245" s="530"/>
      <c r="CA245" s="531"/>
      <c r="CB245" s="530"/>
      <c r="CC245" s="530"/>
      <c r="CD245" s="530"/>
      <c r="CE245" s="1295"/>
      <c r="CF245" s="1301"/>
      <c r="CG245" s="530"/>
      <c r="CH245" s="61"/>
      <c r="CI245" s="61"/>
      <c r="CJ245" s="61"/>
      <c r="CV245" s="940">
        <v>0</v>
      </c>
      <c r="CW245" s="940" t="s">
        <v>31</v>
      </c>
      <c r="CX245" s="940">
        <v>2</v>
      </c>
      <c r="CY245" s="940">
        <v>1</v>
      </c>
      <c r="CZ245" s="940" t="str" cm="1">
        <f t="array" ref="CZ245">INDEX(List_trials,CY245+1)</f>
        <v>CheckMate 025</v>
      </c>
      <c r="DA245" s="1025" t="s">
        <v>557</v>
      </c>
      <c r="DB245" s="1025" t="s">
        <v>563</v>
      </c>
      <c r="DC245" s="1025" t="s">
        <v>563</v>
      </c>
      <c r="DD245" s="1025"/>
      <c r="DE245" s="1025"/>
      <c r="DF245" s="1025"/>
      <c r="DG245" s="1025" t="s">
        <v>119</v>
      </c>
      <c r="DH245" s="58">
        <f t="shared" si="387"/>
        <v>10</v>
      </c>
      <c r="DK245" s="58" t="str" cm="1">
        <f t="array" ref="DK245">IF(AND($BT245=4,$BX245=4,$BU245=999),$DB$36,_xlfn.IFNA(INDEX(DB$13:DB$70,MATCH(1,($BR245=$CV$13:$CV$70)*($BT245=$CX$13:$CX$70)*($CE245=$CY$13:$CY$70)*($BY245=$DA$13:$DA$70)*($CD245=$DH$13:$DH$70),0)),""))</f>
        <v/>
      </c>
      <c r="DL245" s="58" t="str" cm="1">
        <f t="array" ref="DL245">IF(AND($BT245=4,$BX245=4,$BU245=999),$DC$36,_xlfn.IFNA(INDEX(CHOOSE(DP245,DB$13:DB$70,DC$13:DC$70,DD$13:DD$70,DE$13:DE$70),MATCH(1,($BR245=$CV$13:$CV$70)*($BT245=$CX$13:$CX$70)*($CE245=$CY$13:$CY$70)*($BY245=$DA$13:$DA$70)*($CD245=$DH$13:$DH$70),0)),""))</f>
        <v/>
      </c>
      <c r="DM245" s="740" t="str" cm="1">
        <f t="array" ref="DM245">IF(AND($BT245=4,$BX245=4,$BU245=999),$DD$36,_xlfn.IFNA(INDEX(DD$13:DD$68,MATCH(1,($BR245=$CV$13:$CV$68)*($BT245=$CX$13:$CX$68)*($CE245=$CY$13:$CY$68)*($BY245=$DA$13:$DA$68)*($CD245=$DH$13:$DH$68),0)),""))</f>
        <v/>
      </c>
      <c r="DN245" s="740" t="str" cm="1">
        <f t="array" ref="DN245">IF(AND($BT245=4,$BX245=4,$BU245=999),$DD$36,_xlfn.IFNA(INDEX(DE$13:DE$68,MATCH(1,($BR245=$CV$13:$CV$68)*($BT245=$CX$13:$CX$68)*($CE245=$CY$13:$CY$68)*($BY245=$DA$13:$DA$68)*($CD245=$DH$13:$DH$68),0)),""))</f>
        <v/>
      </c>
      <c r="DO245" s="58" t="str" cm="1">
        <f t="array" ref="DO245">IF(AND($BT245=4,$BX245=4,$BU245=999),$DF$36,_xlfn.IFNA(INDEX(DF$13:DF$70,MATCH(1,($BR245=$CV$13:$CV$70)*($BT245=$CX$13:$CX$70)*($CE245=$CY$13:$CY$70)*($BY245=$DA$13:$DA$70)*($CD245=$DH$13:$DH$70),0)),""))</f>
        <v/>
      </c>
      <c r="DP245" s="58" t="e">
        <f t="shared" si="367"/>
        <v>#N/A</v>
      </c>
      <c r="FT245" s="58">
        <f t="shared" si="368"/>
        <v>0</v>
      </c>
      <c r="FW245" s="58">
        <f>IF(i_baseline_risk_from=2,'Effectiveness settings'!EW245,'Effectiveness settings'!FI245)</f>
        <v>0</v>
      </c>
      <c r="FX245" s="58">
        <f t="shared" si="369"/>
        <v>0</v>
      </c>
      <c r="FY245" s="58">
        <f t="shared" si="370"/>
        <v>0</v>
      </c>
      <c r="FZ245" s="58">
        <f t="shared" si="371"/>
        <v>0</v>
      </c>
      <c r="GA245" s="58">
        <f t="shared" si="372"/>
        <v>0</v>
      </c>
      <c r="GB245" s="58">
        <f t="shared" si="373"/>
        <v>0</v>
      </c>
      <c r="GC245" s="58">
        <f t="shared" si="374"/>
        <v>0</v>
      </c>
      <c r="GD245" s="58">
        <f t="shared" si="375"/>
        <v>0</v>
      </c>
      <c r="GE245" s="58">
        <f>IF(AND(dd_CheckMate214_TTD="Yes",'Effectiveness settings'!BU245=2,'Effectiveness settings'!BX245=2),"Apply HR to",GD245)</f>
        <v>0</v>
      </c>
      <c r="GF245" s="58">
        <f t="shared" si="376"/>
        <v>0</v>
      </c>
      <c r="GG245" s="58">
        <f t="shared" si="377"/>
        <v>0</v>
      </c>
      <c r="GH245" s="58">
        <f t="shared" si="378"/>
        <v>0</v>
      </c>
      <c r="GI245" s="58">
        <f t="shared" si="388"/>
        <v>0</v>
      </c>
      <c r="GK245" s="58">
        <f>IF(i_baseline_risk_from=2,'Effectiveness settings'!FA245,'Effectiveness settings'!FM245)</f>
        <v>0</v>
      </c>
      <c r="GL245" s="58">
        <f>IF(i_baseline_risk_from=2,'Effectiveness settings'!FB245,'Effectiveness settings'!FN245)</f>
        <v>0</v>
      </c>
      <c r="GM245" s="58">
        <f>IF(i_baseline_risk_from=2,'Effectiveness settings'!FC245,'Effectiveness settings'!FO245)</f>
        <v>0</v>
      </c>
      <c r="GN245" s="58">
        <f>IF(i_baseline_risk_from=2,'Effectiveness settings'!FD245,'Effectiveness settings'!FP245)</f>
        <v>0</v>
      </c>
      <c r="GQ245" s="58">
        <f t="shared" si="379"/>
        <v>0</v>
      </c>
      <c r="GR245" s="58">
        <f t="shared" si="380"/>
        <v>0</v>
      </c>
      <c r="GS245" s="58">
        <f t="shared" si="381"/>
        <v>0</v>
      </c>
      <c r="GT245" s="58">
        <f t="shared" si="382"/>
        <v>0</v>
      </c>
      <c r="GU245" s="58">
        <f>IF(AND(dd_CheckMate214_TTD="Yes",'Effectiveness settings'!BU245=2,'Effectiveness settings'!BX245=2),2,GT245)</f>
        <v>0</v>
      </c>
      <c r="GV245" s="58">
        <f t="shared" si="383"/>
        <v>0</v>
      </c>
      <c r="GW245" s="58">
        <f t="shared" si="384"/>
        <v>0</v>
      </c>
      <c r="GY245" s="58">
        <f>IF(AND(dd_CheckMate214_TTD="Yes",'Effectiveness settings'!BU245=2,'Effectiveness settings'!BX245=2),1,GN245)</f>
        <v>0</v>
      </c>
      <c r="GZ245" s="58">
        <f t="shared" si="385"/>
        <v>0</v>
      </c>
      <c r="HB245" s="58">
        <f t="shared" si="386"/>
        <v>0</v>
      </c>
      <c r="HD245" s="58">
        <f t="shared" si="360"/>
        <v>0</v>
      </c>
      <c r="HE245" s="58">
        <f t="shared" si="361"/>
        <v>0</v>
      </c>
      <c r="HF245" s="58">
        <f t="shared" si="362"/>
        <v>0</v>
      </c>
      <c r="HG245" s="58">
        <f t="shared" si="363"/>
        <v>0</v>
      </c>
      <c r="HH245" s="58">
        <f t="shared" si="364"/>
        <v>0</v>
      </c>
    </row>
    <row r="246" spans="9:216" ht="15.75" hidden="1" x14ac:dyDescent="0.25">
      <c r="I246" s="64"/>
      <c r="J246" s="519"/>
      <c r="K246" s="524"/>
      <c r="L246" s="519"/>
      <c r="M246" s="516"/>
      <c r="N246" s="64"/>
      <c r="O246" s="64"/>
      <c r="P246" s="64"/>
      <c r="Q246" s="519"/>
      <c r="R246" s="516"/>
      <c r="S246" s="497"/>
      <c r="T246" s="497"/>
      <c r="U246" s="497"/>
      <c r="Y246" s="517"/>
      <c r="AA246" s="517"/>
      <c r="AF246" s="517"/>
      <c r="AM246" s="517"/>
      <c r="AO246" s="517"/>
      <c r="AT246" s="517"/>
      <c r="AV246" s="511"/>
      <c r="AW246" s="511"/>
      <c r="AX246" s="511"/>
      <c r="BA246" s="517"/>
      <c r="BC246" s="517"/>
      <c r="BH246" s="517"/>
      <c r="BJ246" s="511"/>
      <c r="BK246" s="511"/>
      <c r="BL246" s="511"/>
      <c r="BQ246" s="58">
        <f t="shared" si="366"/>
        <v>140</v>
      </c>
      <c r="BR246" s="17"/>
      <c r="BS246" s="17"/>
      <c r="BT246" s="17"/>
      <c r="BU246" s="17"/>
      <c r="BV246" s="17"/>
      <c r="BW246" s="17"/>
      <c r="BX246" s="61"/>
      <c r="BY246" s="531"/>
      <c r="BZ246" s="530"/>
      <c r="CA246" s="531"/>
      <c r="CB246" s="530"/>
      <c r="CC246" s="530"/>
      <c r="CD246" s="530"/>
      <c r="CE246" s="1295"/>
      <c r="CF246" s="1301"/>
      <c r="CG246" s="530"/>
      <c r="CH246" s="61"/>
      <c r="CI246" s="61"/>
      <c r="CJ246" s="61"/>
      <c r="DK246" s="58" t="str" cm="1">
        <f t="array" ref="DK246">IF(AND($BT246=4,$BX246=4,$BU246=999),$DB$36,_xlfn.IFNA(INDEX(DB$13:DB$70,MATCH(1,($BR246=$CV$13:$CV$70)*($BT246=$CX$13:$CX$70)*($CE246=$CY$13:$CY$70)*($BY246=$DA$13:$DA$70)*($CD246=$DH$13:$DH$70),0)),""))</f>
        <v/>
      </c>
      <c r="DL246" s="58" t="str" cm="1">
        <f t="array" ref="DL246">IF(AND($BT246=4,$BX246=4,$BU246=999),$DC$36,_xlfn.IFNA(INDEX(CHOOSE(DP246,DB$13:DB$70,DC$13:DC$70,DD$13:DD$70,DE$13:DE$70),MATCH(1,($BR246=$CV$13:$CV$70)*($BT246=$CX$13:$CX$70)*($CE246=$CY$13:$CY$70)*($BY246=$DA$13:$DA$70)*($CD246=$DH$13:$DH$70),0)),""))</f>
        <v/>
      </c>
      <c r="DM246" s="740" t="str" cm="1">
        <f t="array" ref="DM246">IF(AND($BT246=4,$BX246=4,$BU246=999),$DD$36,_xlfn.IFNA(INDEX(DD$13:DD$68,MATCH(1,($BR246=$CV$13:$CV$68)*($BT246=$CX$13:$CX$68)*($CE246=$CY$13:$CY$68)*($BY246=$DA$13:$DA$68)*($CD246=$DH$13:$DH$68),0)),""))</f>
        <v/>
      </c>
      <c r="DN246" s="740" t="str" cm="1">
        <f t="array" ref="DN246">IF(AND($BT246=4,$BX246=4,$BU246=999),$DD$36,_xlfn.IFNA(INDEX(DE$13:DE$68,MATCH(1,($BR246=$CV$13:$CV$68)*($BT246=$CX$13:$CX$68)*($CE246=$CY$13:$CY$68)*($BY246=$DA$13:$DA$68)*($CD246=$DH$13:$DH$68),0)),""))</f>
        <v/>
      </c>
      <c r="DO246" s="58" t="str" cm="1">
        <f t="array" ref="DO246">IF(AND($BT246=4,$BX246=4,$BU246=999),$DF$36,_xlfn.IFNA(INDEX(DF$13:DF$70,MATCH(1,($BR246=$CV$13:$CV$70)*($BT246=$CX$13:$CX$70)*($CE246=$CY$13:$CY$70)*($BY246=$DA$13:$DA$70)*($CD246=$DH$13:$DH$70),0)),""))</f>
        <v/>
      </c>
      <c r="DP246" s="58" t="e">
        <f t="shared" si="367"/>
        <v>#N/A</v>
      </c>
      <c r="FT246" s="58">
        <f t="shared" si="368"/>
        <v>0</v>
      </c>
      <c r="FW246" s="58">
        <f>IF(i_baseline_risk_from=2,'Effectiveness settings'!EW246,'Effectiveness settings'!FI246)</f>
        <v>0</v>
      </c>
      <c r="FX246" s="58">
        <f t="shared" si="369"/>
        <v>0</v>
      </c>
      <c r="FY246" s="58">
        <f t="shared" si="370"/>
        <v>0</v>
      </c>
      <c r="FZ246" s="58">
        <f t="shared" si="371"/>
        <v>0</v>
      </c>
      <c r="GA246" s="58">
        <f t="shared" si="372"/>
        <v>0</v>
      </c>
      <c r="GB246" s="58">
        <f t="shared" si="373"/>
        <v>0</v>
      </c>
      <c r="GC246" s="58">
        <f t="shared" si="374"/>
        <v>0</v>
      </c>
      <c r="GD246" s="58">
        <f t="shared" si="375"/>
        <v>0</v>
      </c>
      <c r="GE246" s="58">
        <f>IF(AND(dd_CheckMate214_TTD="Yes",'Effectiveness settings'!BU246=2,'Effectiveness settings'!BX246=2),"Apply HR to",GD246)</f>
        <v>0</v>
      </c>
      <c r="GF246" s="58">
        <f t="shared" si="376"/>
        <v>0</v>
      </c>
      <c r="GG246" s="58">
        <f t="shared" si="377"/>
        <v>0</v>
      </c>
      <c r="GH246" s="58">
        <f t="shared" si="378"/>
        <v>0</v>
      </c>
      <c r="GI246" s="58">
        <f t="shared" si="388"/>
        <v>0</v>
      </c>
      <c r="GK246" s="58">
        <f>IF(i_baseline_risk_from=2,'Effectiveness settings'!FA246,'Effectiveness settings'!FM246)</f>
        <v>0</v>
      </c>
      <c r="GL246" s="58">
        <f>IF(i_baseline_risk_from=2,'Effectiveness settings'!FB246,'Effectiveness settings'!FN246)</f>
        <v>0</v>
      </c>
      <c r="GM246" s="58">
        <f>IF(i_baseline_risk_from=2,'Effectiveness settings'!FC246,'Effectiveness settings'!FO246)</f>
        <v>0</v>
      </c>
      <c r="GN246" s="58">
        <f>IF(i_baseline_risk_from=2,'Effectiveness settings'!FD246,'Effectiveness settings'!FP246)</f>
        <v>0</v>
      </c>
      <c r="GQ246" s="58">
        <f t="shared" si="379"/>
        <v>0</v>
      </c>
      <c r="GR246" s="58">
        <f t="shared" si="380"/>
        <v>0</v>
      </c>
      <c r="GS246" s="58">
        <f t="shared" si="381"/>
        <v>0</v>
      </c>
      <c r="GT246" s="58">
        <f t="shared" si="382"/>
        <v>0</v>
      </c>
      <c r="GU246" s="58">
        <f>IF(AND(dd_CheckMate214_TTD="Yes",'Effectiveness settings'!BU246=2,'Effectiveness settings'!BX246=2),2,GT246)</f>
        <v>0</v>
      </c>
      <c r="GV246" s="58">
        <f t="shared" si="383"/>
        <v>0</v>
      </c>
      <c r="GW246" s="58">
        <f t="shared" si="384"/>
        <v>0</v>
      </c>
      <c r="GY246" s="58">
        <f>IF(AND(dd_CheckMate214_TTD="Yes",'Effectiveness settings'!BU246=2,'Effectiveness settings'!BX246=2),1,GN246)</f>
        <v>0</v>
      </c>
      <c r="GZ246" s="58">
        <f t="shared" si="385"/>
        <v>0</v>
      </c>
      <c r="HB246" s="58">
        <f t="shared" si="386"/>
        <v>0</v>
      </c>
      <c r="HD246" s="58">
        <f t="shared" si="360"/>
        <v>0</v>
      </c>
      <c r="HE246" s="58">
        <f t="shared" si="361"/>
        <v>0</v>
      </c>
      <c r="HF246" s="58">
        <f t="shared" si="362"/>
        <v>0</v>
      </c>
      <c r="HG246" s="58">
        <f t="shared" si="363"/>
        <v>0</v>
      </c>
      <c r="HH246" s="58">
        <f t="shared" si="364"/>
        <v>0</v>
      </c>
    </row>
    <row r="247" spans="9:216" ht="15.75" hidden="1" x14ac:dyDescent="0.25">
      <c r="I247" s="64"/>
      <c r="J247" s="519"/>
      <c r="K247" s="524"/>
      <c r="L247" s="519"/>
      <c r="M247" s="516"/>
      <c r="N247" s="64"/>
      <c r="O247" s="64"/>
      <c r="P247" s="64"/>
      <c r="Q247" s="519"/>
      <c r="R247" s="516"/>
      <c r="S247" s="497"/>
      <c r="T247" s="497"/>
      <c r="U247" s="497"/>
      <c r="Y247" s="517"/>
      <c r="AA247" s="517"/>
      <c r="AF247" s="517"/>
      <c r="AM247" s="517"/>
      <c r="AO247" s="517"/>
      <c r="AT247" s="517"/>
      <c r="AV247" s="511"/>
      <c r="AW247" s="511"/>
      <c r="AX247" s="511"/>
      <c r="BA247" s="517"/>
      <c r="BC247" s="517"/>
      <c r="BH247" s="517"/>
      <c r="BJ247" s="511"/>
      <c r="BK247" s="511"/>
      <c r="BL247" s="511"/>
      <c r="BQ247" s="58">
        <f t="shared" si="366"/>
        <v>140</v>
      </c>
      <c r="BR247" s="17"/>
      <c r="BS247" s="17"/>
      <c r="BT247" s="17"/>
      <c r="BU247" s="17"/>
      <c r="BV247" s="17"/>
      <c r="BW247" s="17"/>
      <c r="BX247" s="61"/>
      <c r="BY247" s="531"/>
      <c r="BZ247" s="530"/>
      <c r="CA247" s="531"/>
      <c r="CB247" s="530"/>
      <c r="CC247" s="530"/>
      <c r="CD247" s="530"/>
      <c r="CE247" s="1295"/>
      <c r="CF247" s="1301"/>
      <c r="CG247" s="530"/>
      <c r="CH247" s="61"/>
      <c r="CI247" s="61"/>
      <c r="CJ247" s="61"/>
      <c r="DK247" s="58" t="str" cm="1">
        <f t="array" ref="DK247">IF(AND($BT247=4,$BX247=4,$BU247=999),$DB$36,_xlfn.IFNA(INDEX(DB$13:DB$70,MATCH(1,($BR247=$CV$13:$CV$70)*($BT247=$CX$13:$CX$70)*($CE247=$CY$13:$CY$70)*($BY247=$DA$13:$DA$70)*($CD247=$DH$13:$DH$70),0)),""))</f>
        <v/>
      </c>
      <c r="DL247" s="58" t="str" cm="1">
        <f t="array" ref="DL247">IF(AND($BT247=4,$BX247=4,$BU247=999),$DC$36,_xlfn.IFNA(INDEX(CHOOSE(DP247,DB$13:DB$70,DC$13:DC$70,DD$13:DD$70,DE$13:DE$70),MATCH(1,($BR247=$CV$13:$CV$70)*($BT247=$CX$13:$CX$70)*($CE247=$CY$13:$CY$70)*($BY247=$DA$13:$DA$70)*($CD247=$DH$13:$DH$70),0)),""))</f>
        <v/>
      </c>
      <c r="DM247" s="740" t="str" cm="1">
        <f t="array" ref="DM247">IF(AND($BT247=4,$BX247=4,$BU247=999),$DD$36,_xlfn.IFNA(INDEX(DD$13:DD$68,MATCH(1,($BR247=$CV$13:$CV$68)*($BT247=$CX$13:$CX$68)*($CE247=$CY$13:$CY$68)*($BY247=$DA$13:$DA$68)*($CD247=$DH$13:$DH$68),0)),""))</f>
        <v/>
      </c>
      <c r="DN247" s="740" t="str" cm="1">
        <f t="array" ref="DN247">IF(AND($BT247=4,$BX247=4,$BU247=999),$DD$36,_xlfn.IFNA(INDEX(DE$13:DE$68,MATCH(1,($BR247=$CV$13:$CV$68)*($BT247=$CX$13:$CX$68)*($CE247=$CY$13:$CY$68)*($BY247=$DA$13:$DA$68)*($CD247=$DH$13:$DH$68),0)),""))</f>
        <v/>
      </c>
      <c r="DO247" s="58" t="str" cm="1">
        <f t="array" ref="DO247">IF(AND($BT247=4,$BX247=4,$BU247=999),$DF$36,_xlfn.IFNA(INDEX(DF$13:DF$70,MATCH(1,($BR247=$CV$13:$CV$70)*($BT247=$CX$13:$CX$70)*($CE247=$CY$13:$CY$70)*($BY247=$DA$13:$DA$70)*($CD247=$DH$13:$DH$70),0)),""))</f>
        <v/>
      </c>
      <c r="DP247" s="58" t="e">
        <f t="shared" si="367"/>
        <v>#N/A</v>
      </c>
      <c r="FT247" s="58">
        <f t="shared" si="368"/>
        <v>0</v>
      </c>
      <c r="FW247" s="58">
        <f>IF(i_baseline_risk_from=2,'Effectiveness settings'!EW247,'Effectiveness settings'!FI247)</f>
        <v>0</v>
      </c>
      <c r="FX247" s="58">
        <f t="shared" si="369"/>
        <v>0</v>
      </c>
      <c r="FY247" s="58">
        <f t="shared" si="370"/>
        <v>0</v>
      </c>
      <c r="FZ247" s="58">
        <f t="shared" si="371"/>
        <v>0</v>
      </c>
      <c r="GA247" s="58">
        <f t="shared" si="372"/>
        <v>0</v>
      </c>
      <c r="GB247" s="58">
        <f t="shared" si="373"/>
        <v>0</v>
      </c>
      <c r="GC247" s="58">
        <f t="shared" si="374"/>
        <v>0</v>
      </c>
      <c r="GD247" s="58">
        <f t="shared" si="375"/>
        <v>0</v>
      </c>
      <c r="GE247" s="58">
        <f>IF(AND(dd_CheckMate214_TTD="Yes",'Effectiveness settings'!BU247=2,'Effectiveness settings'!BX247=2),"Apply HR to",GD247)</f>
        <v>0</v>
      </c>
      <c r="GF247" s="58">
        <f t="shared" si="376"/>
        <v>0</v>
      </c>
      <c r="GG247" s="58">
        <f t="shared" si="377"/>
        <v>0</v>
      </c>
      <c r="GH247" s="58">
        <f t="shared" si="378"/>
        <v>0</v>
      </c>
      <c r="GI247" s="58">
        <f t="shared" si="388"/>
        <v>0</v>
      </c>
      <c r="GK247" s="58">
        <f>IF(i_baseline_risk_from=2,'Effectiveness settings'!FA247,'Effectiveness settings'!FM247)</f>
        <v>0</v>
      </c>
      <c r="GL247" s="58">
        <f>IF(i_baseline_risk_from=2,'Effectiveness settings'!FB247,'Effectiveness settings'!FN247)</f>
        <v>0</v>
      </c>
      <c r="GM247" s="58">
        <f>IF(i_baseline_risk_from=2,'Effectiveness settings'!FC247,'Effectiveness settings'!FO247)</f>
        <v>0</v>
      </c>
      <c r="GN247" s="58">
        <f>IF(i_baseline_risk_from=2,'Effectiveness settings'!FD247,'Effectiveness settings'!FP247)</f>
        <v>0</v>
      </c>
      <c r="GQ247" s="58">
        <f t="shared" si="379"/>
        <v>0</v>
      </c>
      <c r="GR247" s="58">
        <f t="shared" si="380"/>
        <v>0</v>
      </c>
      <c r="GS247" s="58">
        <f t="shared" si="381"/>
        <v>0</v>
      </c>
      <c r="GT247" s="58">
        <f t="shared" si="382"/>
        <v>0</v>
      </c>
      <c r="GU247" s="58">
        <f>IF(AND(dd_CheckMate214_TTD="Yes",'Effectiveness settings'!BU247=2,'Effectiveness settings'!BX247=2),2,GT247)</f>
        <v>0</v>
      </c>
      <c r="GV247" s="58">
        <f t="shared" si="383"/>
        <v>0</v>
      </c>
      <c r="GW247" s="58">
        <f t="shared" si="384"/>
        <v>0</v>
      </c>
      <c r="GY247" s="58">
        <f>IF(AND(dd_CheckMate214_TTD="Yes",'Effectiveness settings'!BU247=2,'Effectiveness settings'!BX247=2),1,GN247)</f>
        <v>0</v>
      </c>
      <c r="GZ247" s="58">
        <f t="shared" si="385"/>
        <v>0</v>
      </c>
      <c r="HB247" s="58">
        <f t="shared" si="386"/>
        <v>0</v>
      </c>
      <c r="HD247" s="58">
        <f t="shared" si="360"/>
        <v>0</v>
      </c>
      <c r="HE247" s="58">
        <f t="shared" si="361"/>
        <v>0</v>
      </c>
      <c r="HF247" s="58">
        <f t="shared" si="362"/>
        <v>0</v>
      </c>
      <c r="HG247" s="58">
        <f t="shared" si="363"/>
        <v>0</v>
      </c>
      <c r="HH247" s="58">
        <f t="shared" si="364"/>
        <v>0</v>
      </c>
    </row>
    <row r="248" spans="9:216" ht="15.75" hidden="1" x14ac:dyDescent="0.25">
      <c r="I248" s="64"/>
      <c r="J248" s="519"/>
      <c r="K248" s="524"/>
      <c r="L248" s="519"/>
      <c r="M248" s="516"/>
      <c r="N248" s="64"/>
      <c r="O248" s="64"/>
      <c r="P248" s="64"/>
      <c r="Q248" s="519"/>
      <c r="R248" s="516"/>
      <c r="S248" s="497"/>
      <c r="T248" s="497"/>
      <c r="U248" s="497"/>
      <c r="Y248" s="517"/>
      <c r="AA248" s="517"/>
      <c r="AF248" s="517"/>
      <c r="AM248" s="517"/>
      <c r="AO248" s="517"/>
      <c r="AT248" s="517"/>
      <c r="AV248" s="511"/>
      <c r="AW248" s="511"/>
      <c r="AX248" s="511"/>
      <c r="BA248" s="517"/>
      <c r="BC248" s="517"/>
      <c r="BH248" s="517"/>
      <c r="BJ248" s="511"/>
      <c r="BK248" s="511"/>
      <c r="BL248" s="511"/>
      <c r="BQ248" s="58">
        <f t="shared" si="366"/>
        <v>140</v>
      </c>
      <c r="BR248" s="17"/>
      <c r="BS248" s="17"/>
      <c r="BT248" s="17"/>
      <c r="BU248" s="17"/>
      <c r="BV248" s="17"/>
      <c r="BW248" s="17"/>
      <c r="BX248" s="61"/>
      <c r="BY248" s="531"/>
      <c r="BZ248" s="530"/>
      <c r="CA248" s="531"/>
      <c r="CB248" s="530"/>
      <c r="CC248" s="530"/>
      <c r="CD248" s="530"/>
      <c r="CE248" s="1295"/>
      <c r="CF248" s="1301"/>
      <c r="CG248" s="530"/>
      <c r="CH248" s="61"/>
      <c r="CI248" s="61"/>
      <c r="CJ248" s="61"/>
      <c r="DK248" s="58" t="str" cm="1">
        <f t="array" ref="DK248">IF(AND($BT248=4,$BX248=4,$BU248=999),$DB$36,_xlfn.IFNA(INDEX(DB$13:DB$70,MATCH(1,($BR248=$CV$13:$CV$70)*($BT248=$CX$13:$CX$70)*($CE248=$CY$13:$CY$70)*($BY248=$DA$13:$DA$70)*($CD248=$DH$13:$DH$70),0)),""))</f>
        <v/>
      </c>
      <c r="DL248" s="58" t="str" cm="1">
        <f t="array" ref="DL248">IF(AND($BT248=4,$BX248=4,$BU248=999),$DC$36,_xlfn.IFNA(INDEX(CHOOSE(DP248,DB$13:DB$70,DC$13:DC$70,DD$13:DD$70,DE$13:DE$70),MATCH(1,($BR248=$CV$13:$CV$70)*($BT248=$CX$13:$CX$70)*($CE248=$CY$13:$CY$70)*($BY248=$DA$13:$DA$70)*($CD248=$DH$13:$DH$70),0)),""))</f>
        <v/>
      </c>
      <c r="DM248" s="740" t="str" cm="1">
        <f t="array" ref="DM248">IF(AND($BT248=4,$BX248=4,$BU248=999),$DD$36,_xlfn.IFNA(INDEX(DD$13:DD$68,MATCH(1,($BR248=$CV$13:$CV$68)*($BT248=$CX$13:$CX$68)*($CE248=$CY$13:$CY$68)*($BY248=$DA$13:$DA$68)*($CD248=$DH$13:$DH$68),0)),""))</f>
        <v/>
      </c>
      <c r="DN248" s="740" t="str" cm="1">
        <f t="array" ref="DN248">IF(AND($BT248=4,$BX248=4,$BU248=999),$DD$36,_xlfn.IFNA(INDEX(DE$13:DE$68,MATCH(1,($BR248=$CV$13:$CV$68)*($BT248=$CX$13:$CX$68)*($CE248=$CY$13:$CY$68)*($BY248=$DA$13:$DA$68)*($CD248=$DH$13:$DH$68),0)),""))</f>
        <v/>
      </c>
      <c r="DO248" s="58" t="str" cm="1">
        <f t="array" ref="DO248">IF(AND($BT248=4,$BX248=4,$BU248=999),$DF$36,_xlfn.IFNA(INDEX(DF$13:DF$70,MATCH(1,($BR248=$CV$13:$CV$70)*($BT248=$CX$13:$CX$70)*($CE248=$CY$13:$CY$70)*($BY248=$DA$13:$DA$70)*($CD248=$DH$13:$DH$70),0)),""))</f>
        <v/>
      </c>
      <c r="DP248" s="58" t="e">
        <f t="shared" si="367"/>
        <v>#N/A</v>
      </c>
      <c r="FT248" s="58">
        <f t="shared" si="368"/>
        <v>0</v>
      </c>
      <c r="FW248" s="58">
        <f>IF(i_baseline_risk_from=2,'Effectiveness settings'!EW248,'Effectiveness settings'!FI248)</f>
        <v>0</v>
      </c>
      <c r="FX248" s="58">
        <f t="shared" si="369"/>
        <v>0</v>
      </c>
      <c r="FY248" s="58">
        <f t="shared" si="370"/>
        <v>0</v>
      </c>
      <c r="FZ248" s="58">
        <f t="shared" si="371"/>
        <v>0</v>
      </c>
      <c r="GA248" s="58">
        <f t="shared" si="372"/>
        <v>0</v>
      </c>
      <c r="GB248" s="58">
        <f t="shared" si="373"/>
        <v>0</v>
      </c>
      <c r="GC248" s="58">
        <f t="shared" si="374"/>
        <v>0</v>
      </c>
      <c r="GD248" s="58">
        <f t="shared" si="375"/>
        <v>0</v>
      </c>
      <c r="GE248" s="58">
        <f>IF(AND(dd_CheckMate214_TTD="Yes",'Effectiveness settings'!BU248=2,'Effectiveness settings'!BX248=2),"Apply HR to",GD248)</f>
        <v>0</v>
      </c>
      <c r="GF248" s="58">
        <f t="shared" si="376"/>
        <v>0</v>
      </c>
      <c r="GG248" s="58">
        <f t="shared" si="377"/>
        <v>0</v>
      </c>
      <c r="GH248" s="58">
        <f t="shared" si="378"/>
        <v>0</v>
      </c>
      <c r="GI248" s="58">
        <f t="shared" si="388"/>
        <v>0</v>
      </c>
      <c r="GK248" s="58">
        <f>IF(i_baseline_risk_from=2,'Effectiveness settings'!FA248,'Effectiveness settings'!FM248)</f>
        <v>0</v>
      </c>
      <c r="GL248" s="58">
        <f>IF(i_baseline_risk_from=2,'Effectiveness settings'!FB248,'Effectiveness settings'!FN248)</f>
        <v>0</v>
      </c>
      <c r="GM248" s="58">
        <f>IF(i_baseline_risk_from=2,'Effectiveness settings'!FC248,'Effectiveness settings'!FO248)</f>
        <v>0</v>
      </c>
      <c r="GN248" s="58">
        <f>IF(i_baseline_risk_from=2,'Effectiveness settings'!FD248,'Effectiveness settings'!FP248)</f>
        <v>0</v>
      </c>
      <c r="GQ248" s="58">
        <f t="shared" si="379"/>
        <v>0</v>
      </c>
      <c r="GR248" s="58">
        <f t="shared" si="380"/>
        <v>0</v>
      </c>
      <c r="GS248" s="58">
        <f t="shared" si="381"/>
        <v>0</v>
      </c>
      <c r="GT248" s="58">
        <f t="shared" si="382"/>
        <v>0</v>
      </c>
      <c r="GU248" s="58">
        <f>IF(AND(dd_CheckMate214_TTD="Yes",'Effectiveness settings'!BU248=2,'Effectiveness settings'!BX248=2),2,GT248)</f>
        <v>0</v>
      </c>
      <c r="GV248" s="58">
        <f t="shared" si="383"/>
        <v>0</v>
      </c>
      <c r="GW248" s="58">
        <f t="shared" si="384"/>
        <v>0</v>
      </c>
      <c r="GY248" s="58">
        <f>IF(AND(dd_CheckMate214_TTD="Yes",'Effectiveness settings'!BU248=2,'Effectiveness settings'!BX248=2),1,GN248)</f>
        <v>0</v>
      </c>
      <c r="GZ248" s="58">
        <f t="shared" si="385"/>
        <v>0</v>
      </c>
      <c r="HB248" s="58">
        <f t="shared" si="386"/>
        <v>0</v>
      </c>
      <c r="HD248" s="58">
        <f t="shared" si="360"/>
        <v>0</v>
      </c>
      <c r="HE248" s="58">
        <f t="shared" si="361"/>
        <v>0</v>
      </c>
      <c r="HF248" s="58">
        <f t="shared" si="362"/>
        <v>0</v>
      </c>
      <c r="HG248" s="58">
        <f t="shared" si="363"/>
        <v>0</v>
      </c>
      <c r="HH248" s="58">
        <f t="shared" si="364"/>
        <v>0</v>
      </c>
    </row>
    <row r="249" spans="9:216" ht="15.75" hidden="1" x14ac:dyDescent="0.25">
      <c r="I249" s="64"/>
      <c r="J249" s="519"/>
      <c r="K249" s="524"/>
      <c r="L249" s="519"/>
      <c r="M249" s="516"/>
      <c r="N249" s="64"/>
      <c r="O249" s="64"/>
      <c r="P249" s="64"/>
      <c r="Q249" s="519"/>
      <c r="R249" s="516"/>
      <c r="S249" s="497"/>
      <c r="T249" s="497"/>
      <c r="U249" s="497"/>
      <c r="Y249" s="517"/>
      <c r="AA249" s="517"/>
      <c r="AF249" s="517"/>
      <c r="AM249" s="517"/>
      <c r="AO249" s="517"/>
      <c r="AT249" s="517"/>
      <c r="AV249" s="511"/>
      <c r="AW249" s="511"/>
      <c r="AX249" s="511"/>
      <c r="BA249" s="517"/>
      <c r="BC249" s="517"/>
      <c r="BH249" s="517"/>
      <c r="BJ249" s="511"/>
      <c r="BK249" s="511"/>
      <c r="BL249" s="511"/>
      <c r="BQ249" s="58">
        <f t="shared" si="366"/>
        <v>140</v>
      </c>
      <c r="BR249" s="17"/>
      <c r="BS249" s="17"/>
      <c r="BT249" s="17"/>
      <c r="BU249" s="17"/>
      <c r="BV249" s="17"/>
      <c r="BW249" s="17"/>
      <c r="BX249" s="61"/>
      <c r="BY249" s="531"/>
      <c r="BZ249" s="530"/>
      <c r="CA249" s="531"/>
      <c r="CB249" s="530"/>
      <c r="CC249" s="530"/>
      <c r="CD249" s="530"/>
      <c r="CE249" s="1295"/>
      <c r="CF249" s="1301"/>
      <c r="CG249" s="530"/>
      <c r="CH249" s="61"/>
      <c r="CI249" s="61"/>
      <c r="CJ249" s="61"/>
      <c r="DK249" s="58" t="str" cm="1">
        <f t="array" ref="DK249">IF(AND($BT249=4,$BX249=4,$BU249=999),$DB$36,_xlfn.IFNA(INDEX(DB$13:DB$70,MATCH(1,($BR249=$CV$13:$CV$70)*($BT249=$CX$13:$CX$70)*($CE249=$CY$13:$CY$70)*($BY249=$DA$13:$DA$70)*($CD249=$DH$13:$DH$70),0)),""))</f>
        <v/>
      </c>
      <c r="DL249" s="58" t="str" cm="1">
        <f t="array" ref="DL249">IF(AND($BT249=4,$BX249=4,$BU249=999),$DC$36,_xlfn.IFNA(INDEX(CHOOSE(DP249,DB$13:DB$70,DC$13:DC$70,DD$13:DD$70,DE$13:DE$70),MATCH(1,($BR249=$CV$13:$CV$70)*($BT249=$CX$13:$CX$70)*($CE249=$CY$13:$CY$70)*($BY249=$DA$13:$DA$70)*($CD249=$DH$13:$DH$70),0)),""))</f>
        <v/>
      </c>
      <c r="DM249" s="740" t="str" cm="1">
        <f t="array" ref="DM249">IF(AND($BT249=4,$BX249=4,$BU249=999),$DD$36,_xlfn.IFNA(INDEX(DD$13:DD$68,MATCH(1,($BR249=$CV$13:$CV$68)*($BT249=$CX$13:$CX$68)*($CE249=$CY$13:$CY$68)*($BY249=$DA$13:$DA$68)*($CD249=$DH$13:$DH$68),0)),""))</f>
        <v/>
      </c>
      <c r="DN249" s="740" t="str" cm="1">
        <f t="array" ref="DN249">IF(AND($BT249=4,$BX249=4,$BU249=999),$DD$36,_xlfn.IFNA(INDEX(DE$13:DE$68,MATCH(1,($BR249=$CV$13:$CV$68)*($BT249=$CX$13:$CX$68)*($CE249=$CY$13:$CY$68)*($BY249=$DA$13:$DA$68)*($CD249=$DH$13:$DH$68),0)),""))</f>
        <v/>
      </c>
      <c r="DO249" s="58" t="str" cm="1">
        <f t="array" ref="DO249">IF(AND($BT249=4,$BX249=4,$BU249=999),$DF$36,_xlfn.IFNA(INDEX(DF$13:DF$70,MATCH(1,($BR249=$CV$13:$CV$70)*($BT249=$CX$13:$CX$70)*($CE249=$CY$13:$CY$70)*($BY249=$DA$13:$DA$70)*($CD249=$DH$13:$DH$70),0)),""))</f>
        <v/>
      </c>
      <c r="DP249" s="58" t="e">
        <f t="shared" si="367"/>
        <v>#N/A</v>
      </c>
      <c r="FT249" s="58">
        <f t="shared" si="368"/>
        <v>0</v>
      </c>
      <c r="FW249" s="58">
        <f>IF(i_baseline_risk_from=2,'Effectiveness settings'!EW249,'Effectiveness settings'!FI249)</f>
        <v>0</v>
      </c>
      <c r="FX249" s="58">
        <f t="shared" si="369"/>
        <v>0</v>
      </c>
      <c r="FY249" s="58">
        <f t="shared" si="370"/>
        <v>0</v>
      </c>
      <c r="FZ249" s="58">
        <f t="shared" si="371"/>
        <v>0</v>
      </c>
      <c r="GA249" s="58">
        <f t="shared" si="372"/>
        <v>0</v>
      </c>
      <c r="GB249" s="58">
        <f t="shared" si="373"/>
        <v>0</v>
      </c>
      <c r="GC249" s="58">
        <f t="shared" si="374"/>
        <v>0</v>
      </c>
      <c r="GD249" s="58">
        <f t="shared" si="375"/>
        <v>0</v>
      </c>
      <c r="GE249" s="58">
        <f>IF(AND(dd_CheckMate214_TTD="Yes",'Effectiveness settings'!BU249=2,'Effectiveness settings'!BX249=2),"Apply HR to",GD249)</f>
        <v>0</v>
      </c>
      <c r="GF249" s="58">
        <f t="shared" si="376"/>
        <v>0</v>
      </c>
      <c r="GG249" s="58">
        <f t="shared" si="377"/>
        <v>0</v>
      </c>
      <c r="GH249" s="58">
        <f t="shared" si="378"/>
        <v>0</v>
      </c>
      <c r="GI249" s="58">
        <f t="shared" si="388"/>
        <v>0</v>
      </c>
      <c r="GK249" s="58">
        <f>IF(i_baseline_risk_from=2,'Effectiveness settings'!FA249,'Effectiveness settings'!FM249)</f>
        <v>0</v>
      </c>
      <c r="GL249" s="58">
        <f>IF(i_baseline_risk_from=2,'Effectiveness settings'!FB249,'Effectiveness settings'!FN249)</f>
        <v>0</v>
      </c>
      <c r="GM249" s="58">
        <f>IF(i_baseline_risk_from=2,'Effectiveness settings'!FC249,'Effectiveness settings'!FO249)</f>
        <v>0</v>
      </c>
      <c r="GN249" s="58">
        <f>IF(i_baseline_risk_from=2,'Effectiveness settings'!FD249,'Effectiveness settings'!FP249)</f>
        <v>0</v>
      </c>
      <c r="GQ249" s="58">
        <f t="shared" si="379"/>
        <v>0</v>
      </c>
      <c r="GR249" s="58">
        <f t="shared" si="380"/>
        <v>0</v>
      </c>
      <c r="GS249" s="58">
        <f t="shared" si="381"/>
        <v>0</v>
      </c>
      <c r="GT249" s="58">
        <f t="shared" si="382"/>
        <v>0</v>
      </c>
      <c r="GU249" s="58">
        <f>IF(AND(dd_CheckMate214_TTD="Yes",'Effectiveness settings'!BU249=2,'Effectiveness settings'!BX249=2),2,GT249)</f>
        <v>0</v>
      </c>
      <c r="GV249" s="58">
        <f t="shared" si="383"/>
        <v>0</v>
      </c>
      <c r="GW249" s="58">
        <f t="shared" si="384"/>
        <v>0</v>
      </c>
      <c r="GY249" s="58">
        <f>IF(AND(dd_CheckMate214_TTD="Yes",'Effectiveness settings'!BU249=2,'Effectiveness settings'!BX249=2),1,GN249)</f>
        <v>0</v>
      </c>
      <c r="GZ249" s="58">
        <f t="shared" si="385"/>
        <v>0</v>
      </c>
      <c r="HB249" s="58">
        <f t="shared" si="386"/>
        <v>0</v>
      </c>
      <c r="HD249" s="58">
        <f t="shared" si="360"/>
        <v>0</v>
      </c>
      <c r="HE249" s="58">
        <f t="shared" si="361"/>
        <v>0</v>
      </c>
      <c r="HF249" s="58">
        <f t="shared" si="362"/>
        <v>0</v>
      </c>
      <c r="HG249" s="58">
        <f t="shared" si="363"/>
        <v>0</v>
      </c>
      <c r="HH249" s="58">
        <f t="shared" si="364"/>
        <v>0</v>
      </c>
    </row>
    <row r="250" spans="9:216" ht="15.75" hidden="1" x14ac:dyDescent="0.25">
      <c r="I250" s="64"/>
      <c r="J250" s="519"/>
      <c r="K250" s="524"/>
      <c r="L250" s="519"/>
      <c r="M250" s="516"/>
      <c r="N250" s="64"/>
      <c r="O250" s="64"/>
      <c r="P250" s="64"/>
      <c r="Q250" s="519"/>
      <c r="R250" s="516"/>
      <c r="S250" s="497"/>
      <c r="T250" s="497"/>
      <c r="U250" s="497"/>
      <c r="Y250" s="517"/>
      <c r="AA250" s="517"/>
      <c r="AF250" s="517"/>
      <c r="AM250" s="517"/>
      <c r="AO250" s="517"/>
      <c r="AT250" s="517"/>
      <c r="AV250" s="511"/>
      <c r="AW250" s="511"/>
      <c r="AX250" s="511"/>
      <c r="BA250" s="517"/>
      <c r="BC250" s="517"/>
      <c r="BH250" s="517"/>
      <c r="BJ250" s="511"/>
      <c r="BK250" s="511"/>
      <c r="BL250" s="511"/>
      <c r="BQ250" s="58">
        <f t="shared" si="366"/>
        <v>140</v>
      </c>
      <c r="BR250" s="17"/>
      <c r="BS250" s="17"/>
      <c r="BT250" s="17"/>
      <c r="BU250" s="17"/>
      <c r="BV250" s="17"/>
      <c r="BW250" s="17"/>
      <c r="BX250" s="61"/>
      <c r="BY250" s="531"/>
      <c r="BZ250" s="530"/>
      <c r="CA250" s="531"/>
      <c r="CB250" s="530"/>
      <c r="CC250" s="530"/>
      <c r="CD250" s="530"/>
      <c r="CE250" s="1295"/>
      <c r="CF250" s="1301"/>
      <c r="CG250" s="530"/>
      <c r="CH250" s="61"/>
      <c r="CI250" s="61"/>
      <c r="CJ250" s="61"/>
      <c r="DK250" s="58" t="str" cm="1">
        <f t="array" ref="DK250">IF(AND($BT250=4,$BX250=4,$BU250=999),$DB$36,_xlfn.IFNA(INDEX(DB$13:DB$70,MATCH(1,($BR250=$CV$13:$CV$70)*($BT250=$CX$13:$CX$70)*($CE250=$CY$13:$CY$70)*($BY250=$DA$13:$DA$70)*($CD250=$DH$13:$DH$70),0)),""))</f>
        <v/>
      </c>
      <c r="DL250" s="58" t="str" cm="1">
        <f t="array" ref="DL250">IF(AND($BT250=4,$BX250=4,$BU250=999),$DC$36,_xlfn.IFNA(INDEX(CHOOSE(DP250,DB$13:DB$70,DC$13:DC$70,DD$13:DD$70,DE$13:DE$70),MATCH(1,($BR250=$CV$13:$CV$70)*($BT250=$CX$13:$CX$70)*($CE250=$CY$13:$CY$70)*($BY250=$DA$13:$DA$70)*($CD250=$DH$13:$DH$70),0)),""))</f>
        <v/>
      </c>
      <c r="DM250" s="740" t="str" cm="1">
        <f t="array" ref="DM250">IF(AND($BT250=4,$BX250=4,$BU250=999),$DD$36,_xlfn.IFNA(INDEX(DD$13:DD$68,MATCH(1,($BR250=$CV$13:$CV$68)*($BT250=$CX$13:$CX$68)*($CE250=$CY$13:$CY$68)*($BY250=$DA$13:$DA$68)*($CD250=$DH$13:$DH$68),0)),""))</f>
        <v/>
      </c>
      <c r="DN250" s="740" t="str" cm="1">
        <f t="array" ref="DN250">IF(AND($BT250=4,$BX250=4,$BU250=999),$DD$36,_xlfn.IFNA(INDEX(DE$13:DE$68,MATCH(1,($BR250=$CV$13:$CV$68)*($BT250=$CX$13:$CX$68)*($CE250=$CY$13:$CY$68)*($BY250=$DA$13:$DA$68)*($CD250=$DH$13:$DH$68),0)),""))</f>
        <v/>
      </c>
      <c r="DO250" s="58" t="str" cm="1">
        <f t="array" ref="DO250">IF(AND($BT250=4,$BX250=4,$BU250=999),$DF$36,_xlfn.IFNA(INDEX(DF$13:DF$70,MATCH(1,($BR250=$CV$13:$CV$70)*($BT250=$CX$13:$CX$70)*($CE250=$CY$13:$CY$70)*($BY250=$DA$13:$DA$70)*($CD250=$DH$13:$DH$70),0)),""))</f>
        <v/>
      </c>
      <c r="DP250" s="58" t="e">
        <f t="shared" si="367"/>
        <v>#N/A</v>
      </c>
      <c r="FT250" s="58">
        <f t="shared" si="368"/>
        <v>0</v>
      </c>
      <c r="FW250" s="58">
        <f>IF(i_baseline_risk_from=2,'Effectiveness settings'!EW250,'Effectiveness settings'!FI250)</f>
        <v>0</v>
      </c>
      <c r="FX250" s="58">
        <f t="shared" si="369"/>
        <v>0</v>
      </c>
      <c r="FY250" s="58">
        <f t="shared" si="370"/>
        <v>0</v>
      </c>
      <c r="FZ250" s="58">
        <f t="shared" si="371"/>
        <v>0</v>
      </c>
      <c r="GA250" s="58">
        <f t="shared" si="372"/>
        <v>0</v>
      </c>
      <c r="GB250" s="58">
        <f t="shared" si="373"/>
        <v>0</v>
      </c>
      <c r="GC250" s="58">
        <f t="shared" si="374"/>
        <v>0</v>
      </c>
      <c r="GD250" s="58">
        <f t="shared" si="375"/>
        <v>0</v>
      </c>
      <c r="GE250" s="58">
        <f>IF(AND(dd_CheckMate214_TTD="Yes",'Effectiveness settings'!BU250=2,'Effectiveness settings'!BX250=2),"Apply HR to",GD250)</f>
        <v>0</v>
      </c>
      <c r="GF250" s="58">
        <f t="shared" si="376"/>
        <v>0</v>
      </c>
      <c r="GG250" s="58">
        <f t="shared" si="377"/>
        <v>0</v>
      </c>
      <c r="GH250" s="58">
        <f t="shared" si="378"/>
        <v>0</v>
      </c>
      <c r="GI250" s="58">
        <f t="shared" si="388"/>
        <v>0</v>
      </c>
      <c r="GK250" s="58">
        <f>IF(i_baseline_risk_from=2,'Effectiveness settings'!FA250,'Effectiveness settings'!FM250)</f>
        <v>0</v>
      </c>
      <c r="GL250" s="58">
        <f>IF(i_baseline_risk_from=2,'Effectiveness settings'!FB250,'Effectiveness settings'!FN250)</f>
        <v>0</v>
      </c>
      <c r="GM250" s="58">
        <f>IF(i_baseline_risk_from=2,'Effectiveness settings'!FC250,'Effectiveness settings'!FO250)</f>
        <v>0</v>
      </c>
      <c r="GN250" s="58">
        <f>IF(i_baseline_risk_from=2,'Effectiveness settings'!FD250,'Effectiveness settings'!FP250)</f>
        <v>0</v>
      </c>
      <c r="GQ250" s="58">
        <f t="shared" si="379"/>
        <v>0</v>
      </c>
      <c r="GR250" s="58">
        <f t="shared" si="380"/>
        <v>0</v>
      </c>
      <c r="GS250" s="58">
        <f t="shared" si="381"/>
        <v>0</v>
      </c>
      <c r="GT250" s="58">
        <f t="shared" si="382"/>
        <v>0</v>
      </c>
      <c r="GU250" s="58">
        <f>IF(AND(dd_CheckMate214_TTD="Yes",'Effectiveness settings'!BU250=2,'Effectiveness settings'!BX250=2),2,GT250)</f>
        <v>0</v>
      </c>
      <c r="GV250" s="58">
        <f t="shared" si="383"/>
        <v>0</v>
      </c>
      <c r="GW250" s="58">
        <f t="shared" si="384"/>
        <v>0</v>
      </c>
      <c r="GY250" s="58">
        <f>IF(AND(dd_CheckMate214_TTD="Yes",'Effectiveness settings'!BU250=2,'Effectiveness settings'!BX250=2),1,GN250)</f>
        <v>0</v>
      </c>
      <c r="GZ250" s="58">
        <f t="shared" si="385"/>
        <v>0</v>
      </c>
      <c r="HB250" s="58">
        <f t="shared" si="386"/>
        <v>0</v>
      </c>
      <c r="HD250" s="58">
        <f t="shared" si="360"/>
        <v>0</v>
      </c>
      <c r="HE250" s="58">
        <f t="shared" si="361"/>
        <v>0</v>
      </c>
      <c r="HF250" s="58">
        <f t="shared" si="362"/>
        <v>0</v>
      </c>
      <c r="HG250" s="58">
        <f t="shared" si="363"/>
        <v>0</v>
      </c>
      <c r="HH250" s="58">
        <f t="shared" si="364"/>
        <v>0</v>
      </c>
    </row>
    <row r="251" spans="9:216" ht="15.75" hidden="1" x14ac:dyDescent="0.25">
      <c r="I251" s="64"/>
      <c r="J251" s="519"/>
      <c r="K251" s="524"/>
      <c r="L251" s="519"/>
      <c r="M251" s="516"/>
      <c r="N251" s="64"/>
      <c r="O251" s="64"/>
      <c r="P251" s="64"/>
      <c r="Q251" s="519"/>
      <c r="R251" s="516"/>
      <c r="S251" s="497"/>
      <c r="T251" s="497"/>
      <c r="U251" s="497"/>
      <c r="Y251" s="517"/>
      <c r="AA251" s="517"/>
      <c r="AF251" s="517"/>
      <c r="AM251" s="517"/>
      <c r="AO251" s="517"/>
      <c r="AT251" s="517"/>
      <c r="AV251" s="511"/>
      <c r="AW251" s="511"/>
      <c r="AX251" s="511"/>
      <c r="BA251" s="517"/>
      <c r="BC251" s="517"/>
      <c r="BH251" s="517"/>
      <c r="BJ251" s="511"/>
      <c r="BK251" s="511"/>
      <c r="BL251" s="511"/>
      <c r="BQ251" s="58">
        <f t="shared" si="366"/>
        <v>140</v>
      </c>
      <c r="BR251" s="17"/>
      <c r="BS251" s="17"/>
      <c r="BT251" s="17"/>
      <c r="BU251" s="17"/>
      <c r="BV251" s="17"/>
      <c r="BW251" s="17"/>
      <c r="BX251" s="61"/>
      <c r="BY251" s="531"/>
      <c r="BZ251" s="530"/>
      <c r="CA251" s="531"/>
      <c r="CB251" s="530"/>
      <c r="CC251" s="530"/>
      <c r="CD251" s="530"/>
      <c r="CE251" s="1295"/>
      <c r="CF251" s="1301"/>
      <c r="CG251" s="530"/>
      <c r="CH251" s="61"/>
      <c r="CI251" s="61"/>
      <c r="CJ251" s="61"/>
      <c r="DK251" s="58" t="str" cm="1">
        <f t="array" ref="DK251">IF(AND($BT251=4,$BX251=4,$BU251=999),$DB$36,_xlfn.IFNA(INDEX(DB$13:DB$70,MATCH(1,($BR251=$CV$13:$CV$70)*($BT251=$CX$13:$CX$70)*($CE251=$CY$13:$CY$70)*($BY251=$DA$13:$DA$70)*($CD251=$DH$13:$DH$70),0)),""))</f>
        <v/>
      </c>
      <c r="DL251" s="58" t="str" cm="1">
        <f t="array" ref="DL251">IF(AND($BT251=4,$BX251=4,$BU251=999),$DC$36,_xlfn.IFNA(INDEX(CHOOSE(DP251,DB$13:DB$70,DC$13:DC$70,DD$13:DD$70,DE$13:DE$70),MATCH(1,($BR251=$CV$13:$CV$70)*($BT251=$CX$13:$CX$70)*($CE251=$CY$13:$CY$70)*($BY251=$DA$13:$DA$70)*($CD251=$DH$13:$DH$70),0)),""))</f>
        <v/>
      </c>
      <c r="DM251" s="740" t="str" cm="1">
        <f t="array" ref="DM251">IF(AND($BT251=4,$BX251=4,$BU251=999),$DD$36,_xlfn.IFNA(INDEX(DD$13:DD$68,MATCH(1,($BR251=$CV$13:$CV$68)*($BT251=$CX$13:$CX$68)*($CE251=$CY$13:$CY$68)*($BY251=$DA$13:$DA$68)*($CD251=$DH$13:$DH$68),0)),""))</f>
        <v/>
      </c>
      <c r="DN251" s="740" t="str" cm="1">
        <f t="array" ref="DN251">IF(AND($BT251=4,$BX251=4,$BU251=999),$DD$36,_xlfn.IFNA(INDEX(DE$13:DE$68,MATCH(1,($BR251=$CV$13:$CV$68)*($BT251=$CX$13:$CX$68)*($CE251=$CY$13:$CY$68)*($BY251=$DA$13:$DA$68)*($CD251=$DH$13:$DH$68),0)),""))</f>
        <v/>
      </c>
      <c r="DO251" s="58" t="str" cm="1">
        <f t="array" ref="DO251">IF(AND($BT251=4,$BX251=4,$BU251=999),$DF$36,_xlfn.IFNA(INDEX(DF$13:DF$70,MATCH(1,($BR251=$CV$13:$CV$70)*($BT251=$CX$13:$CX$70)*($CE251=$CY$13:$CY$70)*($BY251=$DA$13:$DA$70)*($CD251=$DH$13:$DH$70),0)),""))</f>
        <v/>
      </c>
      <c r="DP251" s="58" t="e">
        <f t="shared" si="367"/>
        <v>#N/A</v>
      </c>
      <c r="FT251" s="58">
        <f t="shared" si="368"/>
        <v>0</v>
      </c>
      <c r="FW251" s="58">
        <f>IF(i_baseline_risk_from=2,'Effectiveness settings'!EW251,'Effectiveness settings'!FI251)</f>
        <v>0</v>
      </c>
      <c r="FX251" s="58">
        <f t="shared" si="369"/>
        <v>0</v>
      </c>
      <c r="FY251" s="58">
        <f t="shared" si="370"/>
        <v>0</v>
      </c>
      <c r="FZ251" s="58">
        <f t="shared" si="371"/>
        <v>0</v>
      </c>
      <c r="GA251" s="58">
        <f t="shared" si="372"/>
        <v>0</v>
      </c>
      <c r="GB251" s="58">
        <f t="shared" si="373"/>
        <v>0</v>
      </c>
      <c r="GC251" s="58">
        <f t="shared" si="374"/>
        <v>0</v>
      </c>
      <c r="GD251" s="58">
        <f t="shared" si="375"/>
        <v>0</v>
      </c>
      <c r="GE251" s="58">
        <f>IF(AND(dd_CheckMate214_TTD="Yes",'Effectiveness settings'!BU251=2,'Effectiveness settings'!BX251=2),"Apply HR to",GD251)</f>
        <v>0</v>
      </c>
      <c r="GF251" s="58">
        <f t="shared" si="376"/>
        <v>0</v>
      </c>
      <c r="GG251" s="58">
        <f t="shared" si="377"/>
        <v>0</v>
      </c>
      <c r="GH251" s="58">
        <f t="shared" si="378"/>
        <v>0</v>
      </c>
      <c r="GI251" s="58">
        <f t="shared" si="388"/>
        <v>0</v>
      </c>
      <c r="GK251" s="58">
        <f>IF(i_baseline_risk_from=2,'Effectiveness settings'!FA251,'Effectiveness settings'!FM251)</f>
        <v>0</v>
      </c>
      <c r="GL251" s="58">
        <f>IF(i_baseline_risk_from=2,'Effectiveness settings'!FB251,'Effectiveness settings'!FN251)</f>
        <v>0</v>
      </c>
      <c r="GM251" s="58">
        <f>IF(i_baseline_risk_from=2,'Effectiveness settings'!FC251,'Effectiveness settings'!FO251)</f>
        <v>0</v>
      </c>
      <c r="GN251" s="58">
        <f>IF(i_baseline_risk_from=2,'Effectiveness settings'!FD251,'Effectiveness settings'!FP251)</f>
        <v>0</v>
      </c>
      <c r="GQ251" s="58">
        <f t="shared" si="379"/>
        <v>0</v>
      </c>
      <c r="GR251" s="58">
        <f t="shared" si="380"/>
        <v>0</v>
      </c>
      <c r="GS251" s="58">
        <f t="shared" si="381"/>
        <v>0</v>
      </c>
      <c r="GT251" s="58">
        <f t="shared" si="382"/>
        <v>0</v>
      </c>
      <c r="GU251" s="58">
        <f>IF(AND(dd_CheckMate214_TTD="Yes",'Effectiveness settings'!BU251=2,'Effectiveness settings'!BX251=2),2,GT251)</f>
        <v>0</v>
      </c>
      <c r="GV251" s="58">
        <f t="shared" si="383"/>
        <v>0</v>
      </c>
      <c r="GW251" s="58">
        <f t="shared" si="384"/>
        <v>0</v>
      </c>
      <c r="GY251" s="58">
        <f>IF(AND(dd_CheckMate214_TTD="Yes",'Effectiveness settings'!BU251=2,'Effectiveness settings'!BX251=2),1,GN251)</f>
        <v>0</v>
      </c>
      <c r="GZ251" s="58">
        <f t="shared" si="385"/>
        <v>0</v>
      </c>
      <c r="HB251" s="58">
        <f t="shared" si="386"/>
        <v>0</v>
      </c>
      <c r="HD251" s="58">
        <f t="shared" si="360"/>
        <v>0</v>
      </c>
      <c r="HE251" s="58">
        <f t="shared" si="361"/>
        <v>0</v>
      </c>
      <c r="HF251" s="58">
        <f t="shared" si="362"/>
        <v>0</v>
      </c>
      <c r="HG251" s="58">
        <f t="shared" si="363"/>
        <v>0</v>
      </c>
      <c r="HH251" s="58">
        <f t="shared" si="364"/>
        <v>0</v>
      </c>
    </row>
    <row r="252" spans="9:216" ht="15.75" hidden="1" x14ac:dyDescent="0.25">
      <c r="I252" s="64"/>
      <c r="J252" s="519"/>
      <c r="K252" s="524"/>
      <c r="L252" s="519"/>
      <c r="M252" s="516"/>
      <c r="N252" s="64"/>
      <c r="O252" s="64"/>
      <c r="P252" s="64"/>
      <c r="Q252" s="519"/>
      <c r="R252" s="516"/>
      <c r="S252" s="497"/>
      <c r="T252" s="497"/>
      <c r="U252" s="497"/>
      <c r="Y252" s="517"/>
      <c r="AA252" s="517"/>
      <c r="AF252" s="517"/>
      <c r="AM252" s="517"/>
      <c r="AO252" s="517"/>
      <c r="AT252" s="517"/>
      <c r="AV252" s="511"/>
      <c r="AW252" s="511"/>
      <c r="AX252" s="511"/>
      <c r="BA252" s="517"/>
      <c r="BC252" s="517"/>
      <c r="BH252" s="517"/>
      <c r="BJ252" s="511"/>
      <c r="BK252" s="511"/>
      <c r="BL252" s="511"/>
      <c r="BQ252" s="58">
        <f t="shared" si="366"/>
        <v>140</v>
      </c>
      <c r="BR252" s="17"/>
      <c r="BS252" s="17"/>
      <c r="BT252" s="17"/>
      <c r="BU252" s="17"/>
      <c r="BV252" s="17"/>
      <c r="BW252" s="17"/>
      <c r="BX252" s="61"/>
      <c r="BY252" s="531"/>
      <c r="BZ252" s="530"/>
      <c r="CA252" s="531"/>
      <c r="CB252" s="530"/>
      <c r="CC252" s="530"/>
      <c r="CD252" s="530"/>
      <c r="CE252" s="1295"/>
      <c r="CF252" s="1301"/>
      <c r="CG252" s="530"/>
      <c r="CH252" s="61"/>
      <c r="CI252" s="61"/>
      <c r="CJ252" s="61"/>
      <c r="DK252" s="58" t="str" cm="1">
        <f t="array" ref="DK252">IF(AND($BT252=4,$BX252=4,$BU252=999),$DB$36,_xlfn.IFNA(INDEX(DB$13:DB$70,MATCH(1,($BR252=$CV$13:$CV$70)*($BT252=$CX$13:$CX$70)*($CE252=$CY$13:$CY$70)*($BY252=$DA$13:$DA$70)*($CD252=$DH$13:$DH$70),0)),""))</f>
        <v/>
      </c>
      <c r="DL252" s="58" t="str" cm="1">
        <f t="array" ref="DL252">IF(AND($BT252=4,$BX252=4,$BU252=999),$DC$36,_xlfn.IFNA(INDEX(CHOOSE(DP252,DB$13:DB$70,DC$13:DC$70,DD$13:DD$70,DE$13:DE$70),MATCH(1,($BR252=$CV$13:$CV$70)*($BT252=$CX$13:$CX$70)*($CE252=$CY$13:$CY$70)*($BY252=$DA$13:$DA$70)*($CD252=$DH$13:$DH$70),0)),""))</f>
        <v/>
      </c>
      <c r="DM252" s="740" t="str" cm="1">
        <f t="array" ref="DM252">IF(AND($BT252=4,$BX252=4,$BU252=999),$DD$36,_xlfn.IFNA(INDEX(DD$13:DD$68,MATCH(1,($BR252=$CV$13:$CV$68)*($BT252=$CX$13:$CX$68)*($CE252=$CY$13:$CY$68)*($BY252=$DA$13:$DA$68)*($CD252=$DH$13:$DH$68),0)),""))</f>
        <v/>
      </c>
      <c r="DN252" s="740" t="str" cm="1">
        <f t="array" ref="DN252">IF(AND($BT252=4,$BX252=4,$BU252=999),$DD$36,_xlfn.IFNA(INDEX(DE$13:DE$68,MATCH(1,($BR252=$CV$13:$CV$68)*($BT252=$CX$13:$CX$68)*($CE252=$CY$13:$CY$68)*($BY252=$DA$13:$DA$68)*($CD252=$DH$13:$DH$68),0)),""))</f>
        <v/>
      </c>
      <c r="DO252" s="58" t="str" cm="1">
        <f t="array" ref="DO252">IF(AND($BT252=4,$BX252=4,$BU252=999),$DF$36,_xlfn.IFNA(INDEX(DF$13:DF$70,MATCH(1,($BR252=$CV$13:$CV$70)*($BT252=$CX$13:$CX$70)*($CE252=$CY$13:$CY$70)*($BY252=$DA$13:$DA$70)*($CD252=$DH$13:$DH$70),0)),""))</f>
        <v/>
      </c>
      <c r="DP252" s="58" t="e">
        <f t="shared" si="367"/>
        <v>#N/A</v>
      </c>
      <c r="FT252" s="58">
        <f t="shared" si="368"/>
        <v>0</v>
      </c>
      <c r="FW252" s="58">
        <f>IF(i_baseline_risk_from=2,'Effectiveness settings'!EW252,'Effectiveness settings'!FI252)</f>
        <v>0</v>
      </c>
      <c r="FX252" s="58">
        <f t="shared" si="369"/>
        <v>0</v>
      </c>
      <c r="FY252" s="58">
        <f t="shared" si="370"/>
        <v>0</v>
      </c>
      <c r="FZ252" s="58">
        <f t="shared" si="371"/>
        <v>0</v>
      </c>
      <c r="GA252" s="58">
        <f t="shared" si="372"/>
        <v>0</v>
      </c>
      <c r="GB252" s="58">
        <f t="shared" si="373"/>
        <v>0</v>
      </c>
      <c r="GC252" s="58">
        <f t="shared" si="374"/>
        <v>0</v>
      </c>
      <c r="GD252" s="58">
        <f t="shared" si="375"/>
        <v>0</v>
      </c>
      <c r="GE252" s="58">
        <f>IF(AND(dd_CheckMate214_TTD="Yes",'Effectiveness settings'!BU252=2,'Effectiveness settings'!BX252=2),"Apply HR to",GD252)</f>
        <v>0</v>
      </c>
      <c r="GF252" s="58">
        <f t="shared" si="376"/>
        <v>0</v>
      </c>
      <c r="GG252" s="58">
        <f t="shared" si="377"/>
        <v>0</v>
      </c>
      <c r="GH252" s="58">
        <f t="shared" si="378"/>
        <v>0</v>
      </c>
      <c r="GI252" s="58">
        <f t="shared" si="388"/>
        <v>0</v>
      </c>
      <c r="GK252" s="58">
        <f>IF(i_baseline_risk_from=2,'Effectiveness settings'!FA252,'Effectiveness settings'!FM252)</f>
        <v>0</v>
      </c>
      <c r="GL252" s="58">
        <f>IF(i_baseline_risk_from=2,'Effectiveness settings'!FB252,'Effectiveness settings'!FN252)</f>
        <v>0</v>
      </c>
      <c r="GM252" s="58">
        <f>IF(i_baseline_risk_from=2,'Effectiveness settings'!FC252,'Effectiveness settings'!FO252)</f>
        <v>0</v>
      </c>
      <c r="GN252" s="58">
        <f>IF(i_baseline_risk_from=2,'Effectiveness settings'!FD252,'Effectiveness settings'!FP252)</f>
        <v>0</v>
      </c>
      <c r="GQ252" s="58">
        <f t="shared" si="379"/>
        <v>0</v>
      </c>
      <c r="GR252" s="58">
        <f t="shared" si="380"/>
        <v>0</v>
      </c>
      <c r="GS252" s="58">
        <f t="shared" si="381"/>
        <v>0</v>
      </c>
      <c r="GT252" s="58">
        <f t="shared" si="382"/>
        <v>0</v>
      </c>
      <c r="GU252" s="58">
        <f>IF(AND(dd_CheckMate214_TTD="Yes",'Effectiveness settings'!BU252=2,'Effectiveness settings'!BX252=2),2,GT252)</f>
        <v>0</v>
      </c>
      <c r="GV252" s="58">
        <f t="shared" si="383"/>
        <v>0</v>
      </c>
      <c r="GW252" s="58">
        <f t="shared" si="384"/>
        <v>0</v>
      </c>
      <c r="GY252" s="58">
        <f>IF(AND(dd_CheckMate214_TTD="Yes",'Effectiveness settings'!BU252=2,'Effectiveness settings'!BX252=2),1,GN252)</f>
        <v>0</v>
      </c>
      <c r="GZ252" s="58">
        <f t="shared" si="385"/>
        <v>0</v>
      </c>
      <c r="HB252" s="58">
        <f t="shared" si="386"/>
        <v>0</v>
      </c>
      <c r="HD252" s="58">
        <f t="shared" si="360"/>
        <v>0</v>
      </c>
      <c r="HE252" s="58">
        <f t="shared" si="361"/>
        <v>0</v>
      </c>
      <c r="HF252" s="58">
        <f t="shared" si="362"/>
        <v>0</v>
      </c>
      <c r="HG252" s="58">
        <f t="shared" si="363"/>
        <v>0</v>
      </c>
      <c r="HH252" s="58">
        <f t="shared" si="364"/>
        <v>0</v>
      </c>
    </row>
    <row r="253" spans="9:216" ht="15.75" hidden="1" x14ac:dyDescent="0.25">
      <c r="I253" s="64"/>
      <c r="J253" s="519"/>
      <c r="K253" s="524"/>
      <c r="L253" s="519"/>
      <c r="M253" s="516"/>
      <c r="N253" s="64"/>
      <c r="O253" s="64"/>
      <c r="P253" s="64"/>
      <c r="Q253" s="519"/>
      <c r="R253" s="516"/>
      <c r="S253" s="497"/>
      <c r="T253" s="497"/>
      <c r="U253" s="497"/>
      <c r="Y253" s="517"/>
      <c r="AA253" s="517"/>
      <c r="AF253" s="517"/>
      <c r="AM253" s="517"/>
      <c r="AO253" s="517"/>
      <c r="AT253" s="517"/>
      <c r="AV253" s="511"/>
      <c r="AW253" s="511"/>
      <c r="AX253" s="511"/>
      <c r="BA253" s="517"/>
      <c r="BC253" s="517"/>
      <c r="BH253" s="517"/>
      <c r="BJ253" s="511"/>
      <c r="BK253" s="511"/>
      <c r="BL253" s="511"/>
      <c r="BQ253" s="58">
        <f t="shared" si="366"/>
        <v>140</v>
      </c>
      <c r="BR253" s="17"/>
      <c r="BS253" s="17"/>
      <c r="BT253" s="17"/>
      <c r="BU253" s="17"/>
      <c r="BV253" s="17"/>
      <c r="BW253" s="17"/>
      <c r="BX253" s="61"/>
      <c r="BY253" s="531"/>
      <c r="BZ253" s="530"/>
      <c r="CA253" s="531"/>
      <c r="CB253" s="530"/>
      <c r="CC253" s="530"/>
      <c r="CD253" s="530"/>
      <c r="CE253" s="1295"/>
      <c r="CF253" s="1301"/>
      <c r="CG253" s="530"/>
      <c r="CH253" s="61"/>
      <c r="CI253" s="61"/>
      <c r="CJ253" s="61"/>
      <c r="DK253" s="58" t="str" cm="1">
        <f t="array" ref="DK253">IF(AND($BT253=4,$BX253=4,$BU253=999),$DB$36,_xlfn.IFNA(INDEX(DB$13:DB$70,MATCH(1,($BR253=$CV$13:$CV$70)*($BT253=$CX$13:$CX$70)*($CE253=$CY$13:$CY$70)*($BY253=$DA$13:$DA$70)*($CD253=$DH$13:$DH$70),0)),""))</f>
        <v/>
      </c>
      <c r="DL253" s="58" t="str" cm="1">
        <f t="array" ref="DL253">IF(AND($BT253=4,$BX253=4,$BU253=999),$DC$36,_xlfn.IFNA(INDEX(CHOOSE(DP253,DB$13:DB$70,DC$13:DC$70,DD$13:DD$70,DE$13:DE$70),MATCH(1,($BR253=$CV$13:$CV$70)*($BT253=$CX$13:$CX$70)*($CE253=$CY$13:$CY$70)*($BY253=$DA$13:$DA$70)*($CD253=$DH$13:$DH$70),0)),""))</f>
        <v/>
      </c>
      <c r="DM253" s="740" t="str" cm="1">
        <f t="array" ref="DM253">IF(AND($BT253=4,$BX253=4,$BU253=999),$DD$36,_xlfn.IFNA(INDEX(DD$13:DD$68,MATCH(1,($BR253=$CV$13:$CV$68)*($BT253=$CX$13:$CX$68)*($CE253=$CY$13:$CY$68)*($BY253=$DA$13:$DA$68)*($CD253=$DH$13:$DH$68),0)),""))</f>
        <v/>
      </c>
      <c r="DN253" s="740" t="str" cm="1">
        <f t="array" ref="DN253">IF(AND($BT253=4,$BX253=4,$BU253=999),$DD$36,_xlfn.IFNA(INDEX(DE$13:DE$68,MATCH(1,($BR253=$CV$13:$CV$68)*($BT253=$CX$13:$CX$68)*($CE253=$CY$13:$CY$68)*($BY253=$DA$13:$DA$68)*($CD253=$DH$13:$DH$68),0)),""))</f>
        <v/>
      </c>
      <c r="DO253" s="58" t="str" cm="1">
        <f t="array" ref="DO253">IF(AND($BT253=4,$BX253=4,$BU253=999),$DF$36,_xlfn.IFNA(INDEX(DF$13:DF$70,MATCH(1,($BR253=$CV$13:$CV$70)*($BT253=$CX$13:$CX$70)*($CE253=$CY$13:$CY$70)*($BY253=$DA$13:$DA$70)*($CD253=$DH$13:$DH$70),0)),""))</f>
        <v/>
      </c>
      <c r="DP253" s="58" t="e">
        <f t="shared" si="367"/>
        <v>#N/A</v>
      </c>
      <c r="FT253" s="58">
        <f t="shared" si="368"/>
        <v>0</v>
      </c>
      <c r="FW253" s="58">
        <f>IF(i_baseline_risk_from=2,'Effectiveness settings'!EW253,'Effectiveness settings'!FI253)</f>
        <v>0</v>
      </c>
      <c r="FX253" s="58">
        <f t="shared" si="369"/>
        <v>0</v>
      </c>
      <c r="FY253" s="58">
        <f t="shared" si="370"/>
        <v>0</v>
      </c>
      <c r="FZ253" s="58">
        <f t="shared" si="371"/>
        <v>0</v>
      </c>
      <c r="GA253" s="58">
        <f t="shared" si="372"/>
        <v>0</v>
      </c>
      <c r="GB253" s="58">
        <f t="shared" si="373"/>
        <v>0</v>
      </c>
      <c r="GC253" s="58">
        <f t="shared" si="374"/>
        <v>0</v>
      </c>
      <c r="GD253" s="58">
        <f t="shared" si="375"/>
        <v>0</v>
      </c>
      <c r="GE253" s="58">
        <f>IF(AND(dd_CheckMate214_TTD="Yes",'Effectiveness settings'!BU253=2,'Effectiveness settings'!BX253=2),"Apply HR to",GD253)</f>
        <v>0</v>
      </c>
      <c r="GF253" s="58">
        <f t="shared" si="376"/>
        <v>0</v>
      </c>
      <c r="GG253" s="58">
        <f t="shared" si="377"/>
        <v>0</v>
      </c>
      <c r="GH253" s="58">
        <f t="shared" si="378"/>
        <v>0</v>
      </c>
      <c r="GI253" s="58">
        <f t="shared" si="388"/>
        <v>0</v>
      </c>
      <c r="GK253" s="58">
        <f>IF(i_baseline_risk_from=2,'Effectiveness settings'!FA253,'Effectiveness settings'!FM253)</f>
        <v>0</v>
      </c>
      <c r="GL253" s="58">
        <f>IF(i_baseline_risk_from=2,'Effectiveness settings'!FB253,'Effectiveness settings'!FN253)</f>
        <v>0</v>
      </c>
      <c r="GM253" s="58">
        <f>IF(i_baseline_risk_from=2,'Effectiveness settings'!FC253,'Effectiveness settings'!FO253)</f>
        <v>0</v>
      </c>
      <c r="GN253" s="58">
        <f>IF(i_baseline_risk_from=2,'Effectiveness settings'!FD253,'Effectiveness settings'!FP253)</f>
        <v>0</v>
      </c>
      <c r="GQ253" s="58">
        <f t="shared" si="379"/>
        <v>0</v>
      </c>
      <c r="GR253" s="58">
        <f t="shared" si="380"/>
        <v>0</v>
      </c>
      <c r="GS253" s="58">
        <f t="shared" si="381"/>
        <v>0</v>
      </c>
      <c r="GT253" s="58">
        <f t="shared" si="382"/>
        <v>0</v>
      </c>
      <c r="GU253" s="58">
        <f>IF(AND(dd_CheckMate214_TTD="Yes",'Effectiveness settings'!BU253=2,'Effectiveness settings'!BX253=2),2,GT253)</f>
        <v>0</v>
      </c>
      <c r="GV253" s="58">
        <f t="shared" si="383"/>
        <v>0</v>
      </c>
      <c r="GW253" s="58">
        <f t="shared" si="384"/>
        <v>0</v>
      </c>
      <c r="GY253" s="58">
        <f>IF(AND(dd_CheckMate214_TTD="Yes",'Effectiveness settings'!BU253=2,'Effectiveness settings'!BX253=2),1,GN253)</f>
        <v>0</v>
      </c>
      <c r="GZ253" s="58">
        <f t="shared" si="385"/>
        <v>0</v>
      </c>
      <c r="HB253" s="58">
        <f t="shared" si="386"/>
        <v>0</v>
      </c>
      <c r="HD253" s="58">
        <f t="shared" si="360"/>
        <v>0</v>
      </c>
      <c r="HE253" s="58">
        <f t="shared" si="361"/>
        <v>0</v>
      </c>
      <c r="HF253" s="58">
        <f t="shared" si="362"/>
        <v>0</v>
      </c>
      <c r="HG253" s="58">
        <f t="shared" si="363"/>
        <v>0</v>
      </c>
      <c r="HH253" s="58">
        <f t="shared" si="364"/>
        <v>0</v>
      </c>
    </row>
    <row r="254" spans="9:216" ht="15.75" hidden="1" x14ac:dyDescent="0.25">
      <c r="I254" s="67"/>
      <c r="J254" s="520"/>
      <c r="K254" s="525"/>
      <c r="L254" s="517"/>
      <c r="Q254" s="520"/>
      <c r="Y254" s="517"/>
      <c r="AA254" s="517"/>
      <c r="AF254" s="517"/>
      <c r="AM254" s="517"/>
      <c r="AO254" s="517"/>
      <c r="AT254" s="517"/>
      <c r="AV254" s="511"/>
      <c r="AW254" s="511"/>
      <c r="AX254" s="511"/>
      <c r="BA254" s="517"/>
      <c r="BC254" s="517"/>
      <c r="BH254" s="517"/>
      <c r="BJ254" s="511"/>
      <c r="BK254" s="511"/>
      <c r="BL254" s="511"/>
      <c r="BQ254" s="58">
        <f t="shared" si="366"/>
        <v>140</v>
      </c>
      <c r="BR254" s="61"/>
      <c r="BS254" s="61"/>
      <c r="BT254" s="61"/>
      <c r="BU254" s="61"/>
      <c r="BV254" s="61"/>
      <c r="BW254" s="61"/>
      <c r="BX254" s="61"/>
      <c r="BY254" s="531"/>
      <c r="BZ254" s="530"/>
      <c r="CA254" s="531"/>
      <c r="CB254" s="530"/>
      <c r="CC254" s="530"/>
      <c r="CD254" s="530"/>
      <c r="CE254" s="1295"/>
      <c r="CF254" s="1301"/>
      <c r="CG254" s="530"/>
      <c r="CH254" s="61"/>
      <c r="CI254" s="61"/>
      <c r="CJ254" s="61"/>
      <c r="DK254" s="58" t="str" cm="1">
        <f t="array" ref="DK254">IF(AND($BT254=4,$BX254=4,$BU254=999),$DB$36,_xlfn.IFNA(INDEX(DB$13:DB$70,MATCH(1,($BR254=$CV$13:$CV$70)*($BT254=$CX$13:$CX$70)*($CE254=$CY$13:$CY$70)*($BY254=$DA$13:$DA$70)*($CD254=$DH$13:$DH$70),0)),""))</f>
        <v/>
      </c>
      <c r="DL254" s="58" t="str" cm="1">
        <f t="array" ref="DL254">IF(AND($BT254=4,$BX254=4,$BU254=999),$DC$36,_xlfn.IFNA(INDEX(CHOOSE(DP254,DB$13:DB$70,DC$13:DC$70,DD$13:DD$70,DE$13:DE$70),MATCH(1,($BR254=$CV$13:$CV$70)*($BT254=$CX$13:$CX$70)*($CE254=$CY$13:$CY$70)*($BY254=$DA$13:$DA$70)*($CD254=$DH$13:$DH$70),0)),""))</f>
        <v/>
      </c>
      <c r="DM254" s="740" t="str" cm="1">
        <f t="array" ref="DM254">IF(AND($BT254=4,$BX254=4,$BU254=999),$DD$36,_xlfn.IFNA(INDEX(DD$13:DD$68,MATCH(1,($BR254=$CV$13:$CV$68)*($BT254=$CX$13:$CX$68)*($CE254=$CY$13:$CY$68)*($BY254=$DA$13:$DA$68)*($CD254=$DH$13:$DH$68),0)),""))</f>
        <v/>
      </c>
      <c r="DN254" s="740" t="str" cm="1">
        <f t="array" ref="DN254">IF(AND($BT254=4,$BX254=4,$BU254=999),$DD$36,_xlfn.IFNA(INDEX(DE$13:DE$68,MATCH(1,($BR254=$CV$13:$CV$68)*($BT254=$CX$13:$CX$68)*($CE254=$CY$13:$CY$68)*($BY254=$DA$13:$DA$68)*($CD254=$DH$13:$DH$68),0)),""))</f>
        <v/>
      </c>
      <c r="DO254" s="58" t="str" cm="1">
        <f t="array" ref="DO254">IF(AND($BT254=4,$BX254=4,$BU254=999),$DF$36,_xlfn.IFNA(INDEX(DF$13:DF$70,MATCH(1,($BR254=$CV$13:$CV$70)*($BT254=$CX$13:$CX$70)*($CE254=$CY$13:$CY$70)*($BY254=$DA$13:$DA$70)*($CD254=$DH$13:$DH$70),0)),""))</f>
        <v/>
      </c>
      <c r="DP254" s="58" t="e">
        <f t="shared" si="367"/>
        <v>#N/A</v>
      </c>
      <c r="FT254" s="58">
        <f t="shared" si="368"/>
        <v>0</v>
      </c>
      <c r="FW254" s="58">
        <f>IF(i_baseline_risk_from=2,'Effectiveness settings'!EW254,'Effectiveness settings'!FI254)</f>
        <v>0</v>
      </c>
      <c r="FX254" s="58">
        <f t="shared" si="369"/>
        <v>0</v>
      </c>
      <c r="FY254" s="58">
        <f t="shared" si="370"/>
        <v>0</v>
      </c>
      <c r="FZ254" s="58">
        <f t="shared" si="371"/>
        <v>0</v>
      </c>
      <c r="GA254" s="58">
        <f t="shared" si="372"/>
        <v>0</v>
      </c>
      <c r="GB254" s="58">
        <f t="shared" si="373"/>
        <v>0</v>
      </c>
      <c r="GC254" s="58">
        <f t="shared" si="374"/>
        <v>0</v>
      </c>
      <c r="GD254" s="58">
        <f t="shared" si="375"/>
        <v>0</v>
      </c>
      <c r="GE254" s="58">
        <f>IF(AND(dd_CheckMate214_TTD="Yes",'Effectiveness settings'!BU254=2,'Effectiveness settings'!BX254=2),"Apply HR to",GD254)</f>
        <v>0</v>
      </c>
      <c r="GF254" s="58">
        <f t="shared" si="376"/>
        <v>0</v>
      </c>
      <c r="GG254" s="58">
        <f t="shared" si="377"/>
        <v>0</v>
      </c>
      <c r="GH254" s="58">
        <f t="shared" si="378"/>
        <v>0</v>
      </c>
      <c r="GI254" s="58">
        <f t="shared" si="388"/>
        <v>0</v>
      </c>
      <c r="GK254" s="58">
        <f>IF(i_baseline_risk_from=2,'Effectiveness settings'!FA254,'Effectiveness settings'!FM254)</f>
        <v>0</v>
      </c>
      <c r="GL254" s="58">
        <f>IF(i_baseline_risk_from=2,'Effectiveness settings'!FB254,'Effectiveness settings'!FN254)</f>
        <v>0</v>
      </c>
      <c r="GM254" s="58">
        <f>IF(i_baseline_risk_from=2,'Effectiveness settings'!FC254,'Effectiveness settings'!FO254)</f>
        <v>0</v>
      </c>
      <c r="GN254" s="58">
        <f>IF(i_baseline_risk_from=2,'Effectiveness settings'!FD254,'Effectiveness settings'!FP254)</f>
        <v>0</v>
      </c>
      <c r="GQ254" s="58">
        <f t="shared" si="379"/>
        <v>0</v>
      </c>
      <c r="GR254" s="58">
        <f t="shared" si="380"/>
        <v>0</v>
      </c>
      <c r="GS254" s="58">
        <f t="shared" si="381"/>
        <v>0</v>
      </c>
      <c r="GT254" s="58">
        <f t="shared" si="382"/>
        <v>0</v>
      </c>
      <c r="GU254" s="58">
        <f>IF(AND(dd_CheckMate214_TTD="Yes",'Effectiveness settings'!BU254=2,'Effectiveness settings'!BX254=2),2,GT254)</f>
        <v>0</v>
      </c>
      <c r="GV254" s="58">
        <f t="shared" si="383"/>
        <v>0</v>
      </c>
      <c r="GW254" s="58">
        <f t="shared" si="384"/>
        <v>0</v>
      </c>
      <c r="GY254" s="58">
        <f>IF(AND(dd_CheckMate214_TTD="Yes",'Effectiveness settings'!BU254=2,'Effectiveness settings'!BX254=2),1,GN254)</f>
        <v>0</v>
      </c>
      <c r="GZ254" s="58">
        <f t="shared" si="385"/>
        <v>0</v>
      </c>
      <c r="HB254" s="58">
        <f t="shared" si="386"/>
        <v>0</v>
      </c>
      <c r="HD254" s="58">
        <f t="shared" si="360"/>
        <v>0</v>
      </c>
      <c r="HE254" s="58">
        <f t="shared" si="361"/>
        <v>0</v>
      </c>
      <c r="HF254" s="58">
        <f t="shared" si="362"/>
        <v>0</v>
      </c>
      <c r="HG254" s="58">
        <f t="shared" si="363"/>
        <v>0</v>
      </c>
      <c r="HH254" s="58">
        <f t="shared" si="364"/>
        <v>0</v>
      </c>
    </row>
    <row r="255" spans="9:216" x14ac:dyDescent="0.25">
      <c r="J255" s="517"/>
      <c r="K255" s="521"/>
      <c r="L255" s="517"/>
      <c r="Q255" s="517"/>
      <c r="Y255" s="517"/>
      <c r="AA255" s="517"/>
      <c r="AF255" s="517"/>
      <c r="AM255" s="517"/>
      <c r="AO255" s="517"/>
      <c r="AT255" s="517"/>
      <c r="AV255" s="511"/>
      <c r="AW255" s="511"/>
      <c r="AX255" s="511"/>
      <c r="BA255" s="517"/>
      <c r="BC255" s="517"/>
      <c r="BH255" s="517"/>
      <c r="BJ255" s="511"/>
      <c r="BK255" s="511"/>
      <c r="BL255" s="511"/>
      <c r="BQ255" s="58">
        <f t="shared" si="366"/>
        <v>140</v>
      </c>
      <c r="BR255" s="61"/>
      <c r="BS255" s="61"/>
      <c r="BT255" s="61"/>
      <c r="BU255" s="61"/>
      <c r="BV255" s="61"/>
      <c r="BW255" s="61"/>
      <c r="BX255" s="61"/>
      <c r="BY255" s="531"/>
      <c r="BZ255" s="530"/>
      <c r="CA255" s="531"/>
      <c r="CB255" s="530"/>
      <c r="CC255" s="530"/>
      <c r="CD255" s="530"/>
      <c r="CE255" s="1295"/>
      <c r="CF255" s="1301"/>
      <c r="CG255" s="530"/>
      <c r="CH255" s="61"/>
      <c r="CI255" s="61"/>
      <c r="CJ255" s="61"/>
      <c r="DK255" s="58" t="str" cm="1">
        <f t="array" ref="DK255">IF(AND($BT255=4,$BX255=4,$BU255=999),$DB$36,_xlfn.IFNA(INDEX(DB$13:DB$70,MATCH(1,($BR255=$CV$13:$CV$70)*($BT255=$CX$13:$CX$70)*($CE255=$CY$13:$CY$70)*($BY255=$DA$13:$DA$70)*($CD255=$DH$13:$DH$70),0)),""))</f>
        <v/>
      </c>
      <c r="DL255" s="58" t="str" cm="1">
        <f t="array" ref="DL255">IF(AND($BT255=4,$BX255=4,$BU255=999),$DC$36,_xlfn.IFNA(INDEX(CHOOSE(DP255,DB$13:DB$70,DC$13:DC$70,DD$13:DD$70,DE$13:DE$70),MATCH(1,($BR255=$CV$13:$CV$70)*($BT255=$CX$13:$CX$70)*($CE255=$CY$13:$CY$70)*($BY255=$DA$13:$DA$70)*($CD255=$DH$13:$DH$70),0)),""))</f>
        <v/>
      </c>
      <c r="DM255" s="740" t="str" cm="1">
        <f t="array" ref="DM255">IF(AND($BT255=4,$BX255=4,$BU255=999),$DD$36,_xlfn.IFNA(INDEX(DD$13:DD$68,MATCH(1,($BR255=$CV$13:$CV$68)*($BT255=$CX$13:$CX$68)*($CE255=$CY$13:$CY$68)*($BY255=$DA$13:$DA$68)*($CD255=$DH$13:$DH$68),0)),""))</f>
        <v/>
      </c>
      <c r="DN255" s="740" t="str" cm="1">
        <f t="array" ref="DN255">IF(AND($BT255=4,$BX255=4,$BU255=999),$DD$36,_xlfn.IFNA(INDEX(DE$13:DE$68,MATCH(1,($BR255=$CV$13:$CV$68)*($BT255=$CX$13:$CX$68)*($CE255=$CY$13:$CY$68)*($BY255=$DA$13:$DA$68)*($CD255=$DH$13:$DH$68),0)),""))</f>
        <v/>
      </c>
      <c r="DO255" s="58" t="str" cm="1">
        <f t="array" ref="DO255">IF(AND($BT255=4,$BX255=4,$BU255=999),$DF$36,_xlfn.IFNA(INDEX(DF$13:DF$70,MATCH(1,($BR255=$CV$13:$CV$70)*($BT255=$CX$13:$CX$70)*($CE255=$CY$13:$CY$70)*($BY255=$DA$13:$DA$70)*($CD255=$DH$13:$DH$70),0)),""))</f>
        <v/>
      </c>
      <c r="DP255" s="58" t="e">
        <f t="shared" si="367"/>
        <v>#N/A</v>
      </c>
      <c r="FT255" s="58">
        <f t="shared" si="368"/>
        <v>0</v>
      </c>
      <c r="FW255" s="58">
        <f>IF(i_baseline_risk_from=2,'Effectiveness settings'!EW255,'Effectiveness settings'!FI255)</f>
        <v>0</v>
      </c>
      <c r="FX255" s="58">
        <f t="shared" si="369"/>
        <v>0</v>
      </c>
      <c r="FY255" s="58">
        <f t="shared" si="370"/>
        <v>0</v>
      </c>
      <c r="FZ255" s="58">
        <f t="shared" si="371"/>
        <v>0</v>
      </c>
      <c r="GA255" s="58">
        <f t="shared" si="372"/>
        <v>0</v>
      </c>
      <c r="GB255" s="58">
        <f t="shared" si="373"/>
        <v>0</v>
      </c>
      <c r="GC255" s="58">
        <f t="shared" si="374"/>
        <v>0</v>
      </c>
      <c r="GD255" s="58">
        <f t="shared" si="375"/>
        <v>0</v>
      </c>
      <c r="GE255" s="58">
        <f>IF(AND(dd_CheckMate214_TTD="Yes",'Effectiveness settings'!BU255=2,'Effectiveness settings'!BX255=2),"Apply HR to",GD255)</f>
        <v>0</v>
      </c>
      <c r="GF255" s="58">
        <f t="shared" si="376"/>
        <v>0</v>
      </c>
      <c r="GG255" s="58">
        <f t="shared" si="377"/>
        <v>0</v>
      </c>
      <c r="GH255" s="58">
        <f t="shared" si="378"/>
        <v>0</v>
      </c>
      <c r="GI255" s="58">
        <f t="shared" si="388"/>
        <v>0</v>
      </c>
      <c r="GK255" s="58">
        <f>IF(i_baseline_risk_from=2,'Effectiveness settings'!FA255,'Effectiveness settings'!FM255)</f>
        <v>0</v>
      </c>
      <c r="GL255" s="58">
        <f>IF(i_baseline_risk_from=2,'Effectiveness settings'!FB255,'Effectiveness settings'!FN255)</f>
        <v>0</v>
      </c>
      <c r="GM255" s="58">
        <f>IF(i_baseline_risk_from=2,'Effectiveness settings'!FC255,'Effectiveness settings'!FO255)</f>
        <v>0</v>
      </c>
      <c r="GN255" s="58">
        <f>IF(i_baseline_risk_from=2,'Effectiveness settings'!FD255,'Effectiveness settings'!FP255)</f>
        <v>0</v>
      </c>
      <c r="GQ255" s="58">
        <f t="shared" si="379"/>
        <v>0</v>
      </c>
      <c r="GR255" s="58">
        <f t="shared" si="380"/>
        <v>0</v>
      </c>
      <c r="GS255" s="58">
        <f t="shared" si="381"/>
        <v>0</v>
      </c>
      <c r="GT255" s="58">
        <f t="shared" si="382"/>
        <v>0</v>
      </c>
      <c r="GU255" s="58">
        <f>IF(AND(dd_CheckMate214_TTD="Yes",'Effectiveness settings'!BU255=2,'Effectiveness settings'!BX255=2),2,GT255)</f>
        <v>0</v>
      </c>
      <c r="GV255" s="58">
        <f t="shared" si="383"/>
        <v>0</v>
      </c>
      <c r="GW255" s="58">
        <f t="shared" si="384"/>
        <v>0</v>
      </c>
      <c r="GY255" s="58">
        <f>IF(AND(dd_CheckMate214_TTD="Yes",'Effectiveness settings'!BU255=2,'Effectiveness settings'!BX255=2),1,GN255)</f>
        <v>0</v>
      </c>
      <c r="GZ255" s="58">
        <f t="shared" si="385"/>
        <v>0</v>
      </c>
      <c r="HB255" s="58">
        <f t="shared" si="386"/>
        <v>0</v>
      </c>
      <c r="HD255" s="58">
        <f t="shared" si="360"/>
        <v>0</v>
      </c>
      <c r="HE255" s="58">
        <f t="shared" si="361"/>
        <v>0</v>
      </c>
      <c r="HF255" s="58">
        <f t="shared" si="362"/>
        <v>0</v>
      </c>
      <c r="HG255" s="58">
        <f t="shared" si="363"/>
        <v>0</v>
      </c>
      <c r="HH255" s="58">
        <f t="shared" si="364"/>
        <v>0</v>
      </c>
    </row>
    <row r="256" spans="9:216" x14ac:dyDescent="0.25">
      <c r="J256" s="517"/>
      <c r="K256" s="521"/>
      <c r="L256" s="517"/>
      <c r="Q256" s="517"/>
      <c r="Y256" s="517"/>
      <c r="AA256" s="517"/>
      <c r="AF256" s="517"/>
      <c r="AM256" s="517"/>
      <c r="AO256" s="517"/>
      <c r="AT256" s="517"/>
      <c r="AV256" s="511"/>
      <c r="AW256" s="511"/>
      <c r="AX256" s="511"/>
      <c r="BA256" s="517"/>
      <c r="BC256" s="517"/>
      <c r="BH256" s="517"/>
      <c r="BJ256" s="511"/>
      <c r="BK256" s="511"/>
      <c r="BL256" s="511"/>
      <c r="BQ256" s="58">
        <f t="shared" si="366"/>
        <v>140</v>
      </c>
      <c r="BR256" s="61"/>
      <c r="BS256" s="61"/>
      <c r="BT256" s="61"/>
      <c r="BU256" s="61"/>
      <c r="BV256" s="61"/>
      <c r="BW256" s="61"/>
      <c r="BX256" s="61"/>
      <c r="BY256" s="531"/>
      <c r="BZ256" s="530"/>
      <c r="CA256" s="531"/>
      <c r="CB256" s="530"/>
      <c r="CC256" s="530"/>
      <c r="CD256" s="530"/>
      <c r="CE256" s="1295"/>
      <c r="CF256" s="1301"/>
      <c r="CG256" s="530"/>
      <c r="CH256" s="61"/>
      <c r="CI256" s="61"/>
      <c r="CJ256" s="61"/>
      <c r="DK256" s="58" t="str" cm="1">
        <f t="array" ref="DK256">IF(AND($BT256=4,$BX256=4,$BU256=999),$DB$36,_xlfn.IFNA(INDEX(DB$13:DB$70,MATCH(1,($BR256=$CV$13:$CV$70)*($BT256=$CX$13:$CX$70)*($CE256=$CY$13:$CY$70)*($BY256=$DA$13:$DA$70)*($CD256=$DH$13:$DH$70),0)),""))</f>
        <v/>
      </c>
      <c r="DL256" s="58" t="str" cm="1">
        <f t="array" ref="DL256">IF(AND($BT256=4,$BX256=4,$BU256=999),$DC$36,_xlfn.IFNA(INDEX(CHOOSE(DP256,DB$13:DB$70,DC$13:DC$70,DD$13:DD$70,DE$13:DE$70),MATCH(1,($BR256=$CV$13:$CV$70)*($BT256=$CX$13:$CX$70)*($CE256=$CY$13:$CY$70)*($BY256=$DA$13:$DA$70)*($CD256=$DH$13:$DH$70),0)),""))</f>
        <v/>
      </c>
      <c r="DM256" s="740" t="str" cm="1">
        <f t="array" ref="DM256">IF(AND($BT256=4,$BX256=4,$BU256=999),$DD$36,_xlfn.IFNA(INDEX(DD$13:DD$68,MATCH(1,($BR256=$CV$13:$CV$68)*($BT256=$CX$13:$CX$68)*($CE256=$CY$13:$CY$68)*($BY256=$DA$13:$DA$68)*($CD256=$DH$13:$DH$68),0)),""))</f>
        <v/>
      </c>
      <c r="DN256" s="740" t="str" cm="1">
        <f t="array" ref="DN256">IF(AND($BT256=4,$BX256=4,$BU256=999),$DD$36,_xlfn.IFNA(INDEX(DE$13:DE$68,MATCH(1,($BR256=$CV$13:$CV$68)*($BT256=$CX$13:$CX$68)*($CE256=$CY$13:$CY$68)*($BY256=$DA$13:$DA$68)*($CD256=$DH$13:$DH$68),0)),""))</f>
        <v/>
      </c>
      <c r="DO256" s="58" t="str" cm="1">
        <f t="array" ref="DO256">IF(AND($BT256=4,$BX256=4,$BU256=999),$DF$36,_xlfn.IFNA(INDEX(DF$13:DF$70,MATCH(1,($BR256=$CV$13:$CV$70)*($BT256=$CX$13:$CX$70)*($CE256=$CY$13:$CY$70)*($BY256=$DA$13:$DA$70)*($CD256=$DH$13:$DH$70),0)),""))</f>
        <v/>
      </c>
      <c r="DP256" s="58" t="e">
        <f t="shared" si="367"/>
        <v>#N/A</v>
      </c>
      <c r="FT256" s="58">
        <f t="shared" si="368"/>
        <v>0</v>
      </c>
      <c r="FW256" s="58">
        <f>IF(i_baseline_risk_from=2,'Effectiveness settings'!EW256,'Effectiveness settings'!FI256)</f>
        <v>0</v>
      </c>
      <c r="FX256" s="58">
        <f t="shared" si="369"/>
        <v>0</v>
      </c>
      <c r="FY256" s="58">
        <f t="shared" si="370"/>
        <v>0</v>
      </c>
      <c r="FZ256" s="58">
        <f t="shared" si="371"/>
        <v>0</v>
      </c>
      <c r="GA256" s="58">
        <f t="shared" si="372"/>
        <v>0</v>
      </c>
      <c r="GB256" s="58">
        <f t="shared" si="373"/>
        <v>0</v>
      </c>
      <c r="GC256" s="58">
        <f t="shared" si="374"/>
        <v>0</v>
      </c>
      <c r="GD256" s="58">
        <f t="shared" si="375"/>
        <v>0</v>
      </c>
      <c r="GE256" s="58">
        <f>IF(AND(dd_CheckMate214_TTD="Yes",'Effectiveness settings'!BU256=2,'Effectiveness settings'!BX256=2),"Apply HR to",GD256)</f>
        <v>0</v>
      </c>
      <c r="GF256" s="58">
        <f t="shared" si="376"/>
        <v>0</v>
      </c>
      <c r="GG256" s="58">
        <f t="shared" si="377"/>
        <v>0</v>
      </c>
      <c r="GH256" s="58">
        <f t="shared" si="378"/>
        <v>0</v>
      </c>
      <c r="GI256" s="58">
        <f t="shared" si="388"/>
        <v>0</v>
      </c>
      <c r="GK256" s="58">
        <f>IF(i_baseline_risk_from=2,'Effectiveness settings'!FA256,'Effectiveness settings'!FM256)</f>
        <v>0</v>
      </c>
      <c r="GL256" s="58">
        <f>IF(i_baseline_risk_from=2,'Effectiveness settings'!FB256,'Effectiveness settings'!FN256)</f>
        <v>0</v>
      </c>
      <c r="GM256" s="58">
        <f>IF(i_baseline_risk_from=2,'Effectiveness settings'!FC256,'Effectiveness settings'!FO256)</f>
        <v>0</v>
      </c>
      <c r="GN256" s="58">
        <f>IF(i_baseline_risk_from=2,'Effectiveness settings'!FD256,'Effectiveness settings'!FP256)</f>
        <v>0</v>
      </c>
      <c r="GQ256" s="58">
        <f t="shared" si="379"/>
        <v>0</v>
      </c>
      <c r="GR256" s="58">
        <f t="shared" si="380"/>
        <v>0</v>
      </c>
      <c r="GS256" s="58">
        <f t="shared" si="381"/>
        <v>0</v>
      </c>
      <c r="GT256" s="58">
        <f t="shared" si="382"/>
        <v>0</v>
      </c>
      <c r="GU256" s="58">
        <f>IF(AND(dd_CheckMate214_TTD="Yes",'Effectiveness settings'!BU256=2,'Effectiveness settings'!BX256=2),2,GT256)</f>
        <v>0</v>
      </c>
      <c r="GV256" s="58">
        <f t="shared" si="383"/>
        <v>0</v>
      </c>
      <c r="GW256" s="58">
        <f t="shared" si="384"/>
        <v>0</v>
      </c>
      <c r="GY256" s="58">
        <f>IF(AND(dd_CheckMate214_TTD="Yes",'Effectiveness settings'!BU256=2,'Effectiveness settings'!BX256=2),1,GN256)</f>
        <v>0</v>
      </c>
      <c r="GZ256" s="58">
        <f t="shared" si="385"/>
        <v>0</v>
      </c>
      <c r="HB256" s="58">
        <f t="shared" si="386"/>
        <v>0</v>
      </c>
      <c r="HD256" s="58">
        <f t="shared" si="360"/>
        <v>0</v>
      </c>
      <c r="HE256" s="58">
        <f t="shared" si="361"/>
        <v>0</v>
      </c>
      <c r="HF256" s="58">
        <f t="shared" si="362"/>
        <v>0</v>
      </c>
      <c r="HG256" s="58">
        <f t="shared" si="363"/>
        <v>0</v>
      </c>
      <c r="HH256" s="58">
        <f t="shared" si="364"/>
        <v>0</v>
      </c>
    </row>
    <row r="257" spans="1:216" ht="15.75" x14ac:dyDescent="0.25">
      <c r="D257" s="69" t="s">
        <v>575</v>
      </c>
      <c r="J257" s="517"/>
      <c r="K257" s="521"/>
      <c r="L257" s="517"/>
      <c r="Q257" s="517"/>
      <c r="Y257" s="517"/>
      <c r="AA257" s="517"/>
      <c r="AF257" s="517"/>
      <c r="AM257" s="517"/>
      <c r="AO257" s="517"/>
      <c r="AT257" s="517"/>
      <c r="AV257" s="511"/>
      <c r="AW257" s="511"/>
      <c r="AX257" s="511"/>
      <c r="BA257" s="517"/>
      <c r="BC257" s="517"/>
      <c r="BH257" s="517"/>
      <c r="BJ257" s="511"/>
      <c r="BK257" s="511"/>
      <c r="BL257" s="511"/>
      <c r="BQ257" s="58">
        <f t="shared" si="366"/>
        <v>140</v>
      </c>
      <c r="BR257" s="61"/>
      <c r="BS257" s="61"/>
      <c r="BT257" s="61"/>
      <c r="BU257" s="61"/>
      <c r="BV257" s="61"/>
      <c r="BW257" s="61"/>
      <c r="BX257" s="61"/>
      <c r="BY257" s="531"/>
      <c r="BZ257" s="530"/>
      <c r="CA257" s="531"/>
      <c r="CB257" s="530"/>
      <c r="CC257" s="530"/>
      <c r="CD257" s="530"/>
      <c r="CE257" s="1295"/>
      <c r="CF257" s="1301"/>
      <c r="CG257" s="530"/>
      <c r="CH257" s="61"/>
      <c r="CI257" s="61"/>
      <c r="CJ257" s="61"/>
      <c r="DK257" s="58" t="str" cm="1">
        <f t="array" ref="DK257">IF(AND($BT257=4,$BX257=4,$BU257=999),$DB$36,_xlfn.IFNA(INDEX(DB$13:DB$70,MATCH(1,($BR257=$CV$13:$CV$70)*($BT257=$CX$13:$CX$70)*($CE257=$CY$13:$CY$70)*($BY257=$DA$13:$DA$70)*($CD257=$DH$13:$DH$70),0)),""))</f>
        <v/>
      </c>
      <c r="DL257" s="58" t="str" cm="1">
        <f t="array" ref="DL257">IF(AND($BT257=4,$BX257=4,$BU257=999),$DC$36,_xlfn.IFNA(INDEX(CHOOSE(DP257,DB$13:DB$70,DC$13:DC$70,DD$13:DD$70,DE$13:DE$70),MATCH(1,($BR257=$CV$13:$CV$70)*($BT257=$CX$13:$CX$70)*($CE257=$CY$13:$CY$70)*($BY257=$DA$13:$DA$70)*($CD257=$DH$13:$DH$70),0)),""))</f>
        <v/>
      </c>
      <c r="DM257" s="740" t="str" cm="1">
        <f t="array" ref="DM257">IF(AND($BT257=4,$BX257=4,$BU257=999),$DD$36,_xlfn.IFNA(INDEX(DD$13:DD$68,MATCH(1,($BR257=$CV$13:$CV$68)*($BT257=$CX$13:$CX$68)*($CE257=$CY$13:$CY$68)*($BY257=$DA$13:$DA$68)*($CD257=$DH$13:$DH$68),0)),""))</f>
        <v/>
      </c>
      <c r="DN257" s="740" t="str" cm="1">
        <f t="array" ref="DN257">IF(AND($BT257=4,$BX257=4,$BU257=999),$DD$36,_xlfn.IFNA(INDEX(DE$13:DE$68,MATCH(1,($BR257=$CV$13:$CV$68)*($BT257=$CX$13:$CX$68)*($CE257=$CY$13:$CY$68)*($BY257=$DA$13:$DA$68)*($CD257=$DH$13:$DH$68),0)),""))</f>
        <v/>
      </c>
      <c r="DO257" s="58" t="str" cm="1">
        <f t="array" ref="DO257">IF(AND($BT257=4,$BX257=4,$BU257=999),$DF$36,_xlfn.IFNA(INDEX(DF$13:DF$70,MATCH(1,($BR257=$CV$13:$CV$70)*($BT257=$CX$13:$CX$70)*($CE257=$CY$13:$CY$70)*($BY257=$DA$13:$DA$70)*($CD257=$DH$13:$DH$70),0)),""))</f>
        <v/>
      </c>
      <c r="DP257" s="58" t="e">
        <f t="shared" si="367"/>
        <v>#N/A</v>
      </c>
      <c r="FT257" s="58">
        <f t="shared" si="368"/>
        <v>0</v>
      </c>
      <c r="FW257" s="58">
        <f>IF(i_baseline_risk_from=2,'Effectiveness settings'!EW257,'Effectiveness settings'!FI257)</f>
        <v>0</v>
      </c>
      <c r="FX257" s="58">
        <f t="shared" si="369"/>
        <v>0</v>
      </c>
      <c r="FY257" s="58">
        <f t="shared" si="370"/>
        <v>0</v>
      </c>
      <c r="FZ257" s="58">
        <f t="shared" si="371"/>
        <v>0</v>
      </c>
      <c r="GA257" s="58">
        <f t="shared" si="372"/>
        <v>0</v>
      </c>
      <c r="GB257" s="58">
        <f t="shared" si="373"/>
        <v>0</v>
      </c>
      <c r="GC257" s="58">
        <f t="shared" si="374"/>
        <v>0</v>
      </c>
      <c r="GD257" s="58">
        <f t="shared" si="375"/>
        <v>0</v>
      </c>
      <c r="GE257" s="58">
        <f>IF(AND(dd_CheckMate214_TTD="Yes",'Effectiveness settings'!BU257=2,'Effectiveness settings'!BX257=2),"Apply HR to",GD257)</f>
        <v>0</v>
      </c>
      <c r="GF257" s="58">
        <f t="shared" si="376"/>
        <v>0</v>
      </c>
      <c r="GG257" s="58">
        <f t="shared" si="377"/>
        <v>0</v>
      </c>
      <c r="GH257" s="58">
        <f t="shared" si="378"/>
        <v>0</v>
      </c>
      <c r="GI257" s="58">
        <f t="shared" si="388"/>
        <v>0</v>
      </c>
      <c r="GK257" s="58">
        <f>IF(i_baseline_risk_from=2,'Effectiveness settings'!FA257,'Effectiveness settings'!FM257)</f>
        <v>0</v>
      </c>
      <c r="GL257" s="58">
        <f>IF(i_baseline_risk_from=2,'Effectiveness settings'!FB257,'Effectiveness settings'!FN257)</f>
        <v>0</v>
      </c>
      <c r="GM257" s="58">
        <f>IF(i_baseline_risk_from=2,'Effectiveness settings'!FC257,'Effectiveness settings'!FO257)</f>
        <v>0</v>
      </c>
      <c r="GN257" s="58">
        <f>IF(i_baseline_risk_from=2,'Effectiveness settings'!FD257,'Effectiveness settings'!FP257)</f>
        <v>0</v>
      </c>
      <c r="GQ257" s="58">
        <f t="shared" si="379"/>
        <v>0</v>
      </c>
      <c r="GR257" s="58">
        <f t="shared" si="380"/>
        <v>0</v>
      </c>
      <c r="GS257" s="58">
        <f t="shared" si="381"/>
        <v>0</v>
      </c>
      <c r="GT257" s="58">
        <f t="shared" si="382"/>
        <v>0</v>
      </c>
      <c r="GU257" s="58">
        <f>IF(AND(dd_CheckMate214_TTD="Yes",'Effectiveness settings'!BU257=2,'Effectiveness settings'!BX257=2),2,GT257)</f>
        <v>0</v>
      </c>
      <c r="GV257" s="58">
        <f t="shared" si="383"/>
        <v>0</v>
      </c>
      <c r="GW257" s="58">
        <f t="shared" si="384"/>
        <v>0</v>
      </c>
      <c r="GY257" s="58">
        <f>IF(AND(dd_CheckMate214_TTD="Yes",'Effectiveness settings'!BU257=2,'Effectiveness settings'!BX257=2),1,GN257)</f>
        <v>0</v>
      </c>
      <c r="GZ257" s="58">
        <f t="shared" si="385"/>
        <v>0</v>
      </c>
      <c r="HB257" s="58">
        <f t="shared" si="386"/>
        <v>0</v>
      </c>
      <c r="HD257" s="58">
        <f t="shared" si="360"/>
        <v>0</v>
      </c>
      <c r="HE257" s="58">
        <f t="shared" si="361"/>
        <v>0</v>
      </c>
      <c r="HF257" s="58">
        <f t="shared" si="362"/>
        <v>0</v>
      </c>
      <c r="HG257" s="58">
        <f t="shared" si="363"/>
        <v>0</v>
      </c>
      <c r="HH257" s="58">
        <f t="shared" si="364"/>
        <v>0</v>
      </c>
    </row>
    <row r="258" spans="1:216" ht="30" x14ac:dyDescent="0.25">
      <c r="D258" s="60"/>
      <c r="I258" s="62" t="s">
        <v>486</v>
      </c>
      <c r="J258" s="518" t="s">
        <v>142</v>
      </c>
      <c r="K258" s="522" t="s">
        <v>487</v>
      </c>
      <c r="L258" s="523" t="s">
        <v>488</v>
      </c>
      <c r="M258" s="62"/>
      <c r="N258" s="62"/>
      <c r="O258" s="62"/>
      <c r="P258" s="62"/>
      <c r="Q258" s="523"/>
      <c r="R258" s="62" t="s">
        <v>494</v>
      </c>
      <c r="S258" s="62" t="s">
        <v>495</v>
      </c>
      <c r="T258" s="62" t="s">
        <v>483</v>
      </c>
      <c r="U258" s="62"/>
      <c r="X258" s="62" t="s">
        <v>486</v>
      </c>
      <c r="Y258" s="518" t="s">
        <v>142</v>
      </c>
      <c r="Z258" s="62" t="s">
        <v>487</v>
      </c>
      <c r="AA258" s="523" t="s">
        <v>488</v>
      </c>
      <c r="AB258" s="489" t="s">
        <v>489</v>
      </c>
      <c r="AC258" s="489" t="s">
        <v>490</v>
      </c>
      <c r="AD258" s="489" t="s">
        <v>491</v>
      </c>
      <c r="AE258" s="489" t="s">
        <v>498</v>
      </c>
      <c r="AF258" s="527" t="s">
        <v>493</v>
      </c>
      <c r="AG258" s="62" t="s">
        <v>494</v>
      </c>
      <c r="AH258" s="62" t="s">
        <v>495</v>
      </c>
      <c r="AI258" s="62" t="s">
        <v>483</v>
      </c>
      <c r="AJ258" s="62"/>
      <c r="AL258" s="62" t="s">
        <v>486</v>
      </c>
      <c r="AM258" s="518" t="s">
        <v>142</v>
      </c>
      <c r="AN258" s="62" t="s">
        <v>487</v>
      </c>
      <c r="AO258" s="523" t="s">
        <v>488</v>
      </c>
      <c r="AP258" s="489" t="s">
        <v>489</v>
      </c>
      <c r="AQ258" s="489" t="s">
        <v>490</v>
      </c>
      <c r="AR258" s="489" t="s">
        <v>491</v>
      </c>
      <c r="AS258" s="489" t="s">
        <v>498</v>
      </c>
      <c r="AT258" s="527" t="s">
        <v>493</v>
      </c>
      <c r="AU258" s="62" t="s">
        <v>494</v>
      </c>
      <c r="AV258" s="62" t="s">
        <v>495</v>
      </c>
      <c r="AW258" s="62" t="s">
        <v>483</v>
      </c>
      <c r="AX258" s="62"/>
      <c r="AZ258" s="62" t="s">
        <v>486</v>
      </c>
      <c r="BA258" s="518" t="s">
        <v>142</v>
      </c>
      <c r="BB258" s="62" t="s">
        <v>487</v>
      </c>
      <c r="BC258" s="523" t="s">
        <v>488</v>
      </c>
      <c r="BD258" s="489" t="s">
        <v>489</v>
      </c>
      <c r="BE258" s="489" t="s">
        <v>490</v>
      </c>
      <c r="BF258" s="489" t="s">
        <v>491</v>
      </c>
      <c r="BG258" s="489" t="s">
        <v>492</v>
      </c>
      <c r="BH258" s="527" t="s">
        <v>493</v>
      </c>
      <c r="BI258" s="62" t="s">
        <v>494</v>
      </c>
      <c r="BJ258" s="62" t="s">
        <v>495</v>
      </c>
      <c r="BK258" s="62" t="s">
        <v>483</v>
      </c>
      <c r="BL258" s="62"/>
      <c r="BQ258" s="58">
        <f t="shared" si="366"/>
        <v>140</v>
      </c>
      <c r="BR258" s="61"/>
      <c r="BS258" s="61"/>
      <c r="BT258" s="61"/>
      <c r="BU258" s="61"/>
      <c r="BV258" s="61"/>
      <c r="BW258" s="61"/>
      <c r="BX258" s="61"/>
      <c r="BY258" s="531"/>
      <c r="BZ258" s="530"/>
      <c r="CA258" s="531"/>
      <c r="CB258" s="530"/>
      <c r="CC258" s="530"/>
      <c r="CD258" s="530"/>
      <c r="CE258" s="1295"/>
      <c r="CF258" s="1301"/>
      <c r="CG258" s="530"/>
      <c r="CH258" s="61"/>
      <c r="CI258" s="61"/>
      <c r="CJ258" s="61"/>
      <c r="DK258" s="58" t="str" cm="1">
        <f t="array" ref="DK258">IF(AND($BT258=4,$BX258=4,$BU258=999),$DB$36,_xlfn.IFNA(INDEX(DB$13:DB$70,MATCH(1,($BR258=$CV$13:$CV$70)*($BT258=$CX$13:$CX$70)*($CE258=$CY$13:$CY$70)*($BY258=$DA$13:$DA$70)*($CD258=$DH$13:$DH$70),0)),""))</f>
        <v/>
      </c>
      <c r="DL258" s="58" t="str" cm="1">
        <f t="array" ref="DL258">IF(AND($BT258=4,$BX258=4,$BU258=999),$DC$36,_xlfn.IFNA(INDEX(CHOOSE(DP258,DB$13:DB$70,DC$13:DC$70,DD$13:DD$70,DE$13:DE$70),MATCH(1,($BR258=$CV$13:$CV$70)*($BT258=$CX$13:$CX$70)*($CE258=$CY$13:$CY$70)*($BY258=$DA$13:$DA$70)*($CD258=$DH$13:$DH$70),0)),""))</f>
        <v/>
      </c>
      <c r="DM258" s="740" t="str" cm="1">
        <f t="array" ref="DM258">IF(AND($BT258=4,$BX258=4,$BU258=999),$DD$36,_xlfn.IFNA(INDEX(DD$13:DD$68,MATCH(1,($BR258=$CV$13:$CV$68)*($BT258=$CX$13:$CX$68)*($CE258=$CY$13:$CY$68)*($BY258=$DA$13:$DA$68)*($CD258=$DH$13:$DH$68),0)),""))</f>
        <v/>
      </c>
      <c r="DN258" s="740" t="str" cm="1">
        <f t="array" ref="DN258">IF(AND($BT258=4,$BX258=4,$BU258=999),$DD$36,_xlfn.IFNA(INDEX(DE$13:DE$68,MATCH(1,($BR258=$CV$13:$CV$68)*($BT258=$CX$13:$CX$68)*($CE258=$CY$13:$CY$68)*($BY258=$DA$13:$DA$68)*($CD258=$DH$13:$DH$68),0)),""))</f>
        <v/>
      </c>
      <c r="DO258" s="58" t="str" cm="1">
        <f t="array" ref="DO258">IF(AND($BT258=4,$BX258=4,$BU258=999),$DF$36,_xlfn.IFNA(INDEX(DF$13:DF$70,MATCH(1,($BR258=$CV$13:$CV$70)*($BT258=$CX$13:$CX$70)*($CE258=$CY$13:$CY$70)*($BY258=$DA$13:$DA$70)*($CD258=$DH$13:$DH$70),0)),""))</f>
        <v/>
      </c>
      <c r="DP258" s="58" t="e">
        <f t="shared" si="367"/>
        <v>#N/A</v>
      </c>
      <c r="FT258" s="58">
        <f t="shared" si="368"/>
        <v>0</v>
      </c>
      <c r="FW258" s="58">
        <f>IF(i_baseline_risk_from=2,'Effectiveness settings'!EW258,'Effectiveness settings'!FI258)</f>
        <v>0</v>
      </c>
      <c r="FX258" s="58">
        <f t="shared" si="369"/>
        <v>0</v>
      </c>
      <c r="FY258" s="58">
        <f t="shared" si="370"/>
        <v>0</v>
      </c>
      <c r="FZ258" s="58">
        <f t="shared" si="371"/>
        <v>0</v>
      </c>
      <c r="GA258" s="58">
        <f t="shared" si="372"/>
        <v>0</v>
      </c>
      <c r="GB258" s="58">
        <f t="shared" si="373"/>
        <v>0</v>
      </c>
      <c r="GC258" s="58">
        <f t="shared" si="374"/>
        <v>0</v>
      </c>
      <c r="GD258" s="58">
        <f t="shared" si="375"/>
        <v>0</v>
      </c>
      <c r="GE258" s="58">
        <f>IF(AND(dd_CheckMate214_TTD="Yes",'Effectiveness settings'!BU258=2,'Effectiveness settings'!BX258=2),"Apply HR to",GD258)</f>
        <v>0</v>
      </c>
      <c r="GF258" s="58">
        <f t="shared" si="376"/>
        <v>0</v>
      </c>
      <c r="GG258" s="58">
        <f t="shared" si="377"/>
        <v>0</v>
      </c>
      <c r="GH258" s="58">
        <f t="shared" si="378"/>
        <v>0</v>
      </c>
      <c r="GI258" s="58">
        <f t="shared" si="388"/>
        <v>0</v>
      </c>
      <c r="GK258" s="58">
        <f>IF(i_baseline_risk_from=2,'Effectiveness settings'!FA258,'Effectiveness settings'!FM258)</f>
        <v>0</v>
      </c>
      <c r="GL258" s="58">
        <f>IF(i_baseline_risk_from=2,'Effectiveness settings'!FB258,'Effectiveness settings'!FN258)</f>
        <v>0</v>
      </c>
      <c r="GM258" s="58">
        <f>IF(i_baseline_risk_from=2,'Effectiveness settings'!FC258,'Effectiveness settings'!FO258)</f>
        <v>0</v>
      </c>
      <c r="GN258" s="58">
        <f>IF(i_baseline_risk_from=2,'Effectiveness settings'!FD258,'Effectiveness settings'!FP258)</f>
        <v>0</v>
      </c>
      <c r="GQ258" s="58">
        <f t="shared" si="379"/>
        <v>0</v>
      </c>
      <c r="GR258" s="58">
        <f t="shared" si="380"/>
        <v>0</v>
      </c>
      <c r="GS258" s="58">
        <f t="shared" si="381"/>
        <v>0</v>
      </c>
      <c r="GT258" s="58">
        <f t="shared" si="382"/>
        <v>0</v>
      </c>
      <c r="GU258" s="58">
        <f>IF(AND(dd_CheckMate214_TTD="Yes",'Effectiveness settings'!BU258=2,'Effectiveness settings'!BX258=2),2,GT258)</f>
        <v>0</v>
      </c>
      <c r="GV258" s="58">
        <f t="shared" si="383"/>
        <v>0</v>
      </c>
      <c r="GW258" s="58">
        <f t="shared" si="384"/>
        <v>0</v>
      </c>
      <c r="GY258" s="58">
        <f>IF(AND(dd_CheckMate214_TTD="Yes",'Effectiveness settings'!BU258=2,'Effectiveness settings'!BX258=2),1,GN258)</f>
        <v>0</v>
      </c>
      <c r="GZ258" s="58">
        <f t="shared" si="385"/>
        <v>0</v>
      </c>
      <c r="HB258" s="58">
        <f t="shared" si="386"/>
        <v>0</v>
      </c>
      <c r="HD258" s="58">
        <f t="shared" si="360"/>
        <v>0</v>
      </c>
      <c r="HE258" s="58">
        <f t="shared" si="361"/>
        <v>0</v>
      </c>
      <c r="HF258" s="58">
        <f>GW258</f>
        <v>0</v>
      </c>
      <c r="HG258" s="58">
        <f t="shared" si="363"/>
        <v>0</v>
      </c>
      <c r="HH258" s="58">
        <f>GZ258</f>
        <v>0</v>
      </c>
    </row>
    <row r="259" spans="1:216" ht="15.75" x14ac:dyDescent="0.25">
      <c r="D259" s="58" t="str" cm="1">
        <f t="array" ref="D259:D272">List_comparators</f>
        <v>nivolumab_monotherapy</v>
      </c>
      <c r="I259" s="64" t="s">
        <v>58</v>
      </c>
      <c r="J259" s="519" t="s">
        <v>544</v>
      </c>
      <c r="K259" s="524"/>
      <c r="L259" s="519"/>
      <c r="M259" s="516" t="s">
        <v>31</v>
      </c>
      <c r="N259" s="64" t="s">
        <v>546</v>
      </c>
      <c r="O259" s="64" t="s">
        <v>117</v>
      </c>
      <c r="P259" s="64" t="s">
        <v>547</v>
      </c>
      <c r="Q259" s="519" t="s">
        <v>544</v>
      </c>
      <c r="R259" s="516" t="s">
        <v>548</v>
      </c>
      <c r="S259" s="497"/>
      <c r="T259" s="497"/>
      <c r="U259" s="497"/>
      <c r="W259" s="58" t="str" cm="1">
        <f t="array" ref="W259:W272">List_comparators</f>
        <v>nivolumab_monotherapy</v>
      </c>
      <c r="X259" s="64" t="s">
        <v>74</v>
      </c>
      <c r="Y259" s="519" t="s">
        <v>544</v>
      </c>
      <c r="Z259" s="524" t="s">
        <v>63</v>
      </c>
      <c r="AA259" s="519"/>
      <c r="AB259" s="516" t="s">
        <v>31</v>
      </c>
      <c r="AC259" s="64" t="s">
        <v>576</v>
      </c>
      <c r="AD259" s="64" t="s">
        <v>118</v>
      </c>
      <c r="AE259" s="64" t="s">
        <v>547</v>
      </c>
      <c r="AF259" s="519" t="s">
        <v>544</v>
      </c>
      <c r="AG259" s="516" t="s">
        <v>548</v>
      </c>
      <c r="AH259" s="497"/>
      <c r="AI259" s="497"/>
      <c r="AJ259" s="497"/>
      <c r="AL259" s="64" t="str">
        <f t="shared" ref="AL259:AL272" si="389">X259</f>
        <v>Yes</v>
      </c>
      <c r="AM259" s="519" t="s">
        <v>544</v>
      </c>
      <c r="AN259" s="524" t="s">
        <v>63</v>
      </c>
      <c r="AO259" s="519"/>
      <c r="AP259" s="516" t="s">
        <v>31</v>
      </c>
      <c r="AQ259" s="64" t="s">
        <v>577</v>
      </c>
      <c r="AR259" s="64" t="s">
        <v>118</v>
      </c>
      <c r="AS259" s="64" t="s">
        <v>547</v>
      </c>
      <c r="AT259" s="519" t="s">
        <v>544</v>
      </c>
      <c r="AU259" s="516" t="s">
        <v>548</v>
      </c>
      <c r="AV259" s="497"/>
      <c r="AW259" s="497"/>
      <c r="AX259" s="497"/>
      <c r="AZ259" s="64" t="str">
        <f t="shared" ref="AZ259:AZ272" si="390">AL259</f>
        <v>Yes</v>
      </c>
      <c r="BA259" s="519" t="s">
        <v>544</v>
      </c>
      <c r="BB259" s="524" t="s">
        <v>578</v>
      </c>
      <c r="BC259" s="519" t="s">
        <v>547</v>
      </c>
      <c r="BD259" s="516" t="s">
        <v>31</v>
      </c>
      <c r="BE259" s="64" t="s">
        <v>577</v>
      </c>
      <c r="BF259" s="64" t="s">
        <v>579</v>
      </c>
      <c r="BG259" s="64" t="s">
        <v>547</v>
      </c>
      <c r="BH259" s="519" t="s">
        <v>544</v>
      </c>
      <c r="BI259" s="516" t="s">
        <v>548</v>
      </c>
      <c r="BJ259" s="497">
        <v>2.0059999999999998</v>
      </c>
      <c r="BK259" s="497">
        <v>1.45</v>
      </c>
      <c r="BL259" s="497">
        <v>2.7770000000000001</v>
      </c>
      <c r="BM259" s="58" t="s">
        <v>580</v>
      </c>
      <c r="BQ259" s="58">
        <f t="shared" si="366"/>
        <v>141</v>
      </c>
      <c r="BR259" s="61">
        <v>0</v>
      </c>
      <c r="BS259" s="61" t="s">
        <v>31</v>
      </c>
      <c r="BT259" s="17">
        <v>1</v>
      </c>
      <c r="BU259" s="17">
        <v>0</v>
      </c>
      <c r="BV259" s="17" t="str">
        <f t="shared" ref="BV259:BV272" si="391">D259</f>
        <v>nivolumab_monotherapy</v>
      </c>
      <c r="BW259" s="1006" t="str" cm="1">
        <f t="array" ref="BW259">IF(I259="No",I259,INDEX(List_incl_anal_1L_all,IF(BU259=999,35,BU259+1)))</f>
        <v>No</v>
      </c>
      <c r="BX259" s="61">
        <f t="shared" ref="BX259:BX272" si="392">MATCH(BY259,List_eff_endpoints,0)-1</f>
        <v>0</v>
      </c>
      <c r="BY259" s="531" t="str">
        <f>J259</f>
        <v>Overall survival</v>
      </c>
      <c r="BZ259" s="530">
        <f t="shared" ref="BZ259:BZ272" si="393">GI259</f>
        <v>0</v>
      </c>
      <c r="CA259" s="531">
        <f>FT259</f>
        <v>0</v>
      </c>
      <c r="CB259" s="530">
        <f t="shared" ref="CB259:CB272" si="394">HD259</f>
        <v>0</v>
      </c>
      <c r="CC259" s="530">
        <f t="shared" ref="CC259:CC272" si="395">HE259</f>
        <v>1</v>
      </c>
      <c r="CD259" s="530">
        <f t="shared" ref="CD259:CD272" si="396">HF259</f>
        <v>7</v>
      </c>
      <c r="CE259" s="1295">
        <f t="shared" ref="CE259:CE272" si="397">HG259</f>
        <v>2</v>
      </c>
      <c r="CF259" s="1301">
        <f t="shared" ref="CF259:CF272" si="398">HH259</f>
        <v>0</v>
      </c>
      <c r="CG259" s="530" t="str">
        <f t="shared" ref="CG259:CG272" si="399">IF(i_surv_cur=1,DK259,DL259)</f>
        <v>Exponential</v>
      </c>
      <c r="CH259" s="61">
        <f t="shared" ref="CH259:CH272" si="400">S259</f>
        <v>0</v>
      </c>
      <c r="CI259" s="61">
        <f t="shared" ref="CI259:CI272" si="401">T259</f>
        <v>0</v>
      </c>
      <c r="CJ259" s="61">
        <f t="shared" ref="CJ259:CJ272" si="402">U259</f>
        <v>0</v>
      </c>
      <c r="DK259" s="58" t="str" cm="1">
        <f t="array" ref="DK259">IF(AND($BT259=4,$BX259=4,$BU259=999),$DB$36,_xlfn.IFNA(INDEX(DB$13:DB$70,MATCH(1,($BR259=$CV$13:$CV$70)*($BT259=$CX$13:$CX$70)*($CE259=$CY$13:$CY$70)*($BY259=$DA$13:$DA$70)*($CD259=$DH$13:$DH$70),0)),""))</f>
        <v>Exponential</v>
      </c>
      <c r="DL259" s="58" t="str" cm="1">
        <f t="array" ref="DL259">IF(AND($BT259=4,$BX259=4,$BU259=999),$DC$36,_xlfn.IFNA(INDEX(CHOOSE(DP259,DB$13:DB$70,DC$13:DC$70,DD$13:DD$70,DE$13:DE$70),MATCH(1,($BR259=$CV$13:$CV$70)*($BT259=$CX$13:$CX$70)*($CE259=$CY$13:$CY$70)*($BY259=$DA$13:$DA$70)*($CD259=$DH$13:$DH$70),0)),""))</f>
        <v>Exponential</v>
      </c>
      <c r="DM259" s="740" cm="1">
        <f t="array" ref="DM259">IF(AND($BT259=4,$BX259=4,$BU259=999),$DD$36,_xlfn.IFNA(INDEX(DD$13:DD$68,MATCH(1,($BR259=$CV$13:$CV$68)*($BT259=$CX$13:$CX$68)*($CE259=$CY$13:$CY$68)*($BY259=$DA$13:$DA$68)*($CD259=$DH$13:$DH$68),0)),""))</f>
        <v>0</v>
      </c>
      <c r="DN259" s="740" cm="1">
        <f t="array" ref="DN259">IF(AND($BT259=4,$BX259=4,$BU259=999),$DD$36,_xlfn.IFNA(INDEX(DE$13:DE$68,MATCH(1,($BR259=$CV$13:$CV$68)*($BT259=$CX$13:$CX$68)*($CE259=$CY$13:$CY$68)*($BY259=$DA$13:$DA$68)*($CD259=$DH$13:$DH$68),0)),""))</f>
        <v>0</v>
      </c>
      <c r="DO259" s="58" t="str" cm="1">
        <f t="array" ref="DO259">IF(AND($BT259=4,$BX259=4,$BU259=999),$DF$36,_xlfn.IFNA(INDEX(DF$13:DF$70,MATCH(1,($BR259=$CV$13:$CV$70)*($BT259=$CX$13:$CX$70)*($CE259=$CY$13:$CY$70)*($BY259=$DA$13:$DA$70)*($CD259=$DH$13:$DH$70),0)),""))</f>
        <v>Base case</v>
      </c>
      <c r="DP259" s="58">
        <f t="shared" si="367"/>
        <v>1</v>
      </c>
      <c r="DW259" s="58" t="s">
        <v>58</v>
      </c>
      <c r="DX259" s="58" t="s">
        <v>544</v>
      </c>
      <c r="DY259" s="58">
        <v>0</v>
      </c>
      <c r="DZ259" s="58">
        <v>0</v>
      </c>
      <c r="EB259" s="58">
        <v>0</v>
      </c>
      <c r="EC259" s="58">
        <v>1</v>
      </c>
      <c r="ED259" s="58">
        <v>7</v>
      </c>
      <c r="EE259" s="58">
        <v>2</v>
      </c>
      <c r="EF259" s="58">
        <v>0</v>
      </c>
      <c r="EI259" s="58" t="s">
        <v>58</v>
      </c>
      <c r="EJ259" s="58" t="s">
        <v>544</v>
      </c>
      <c r="EK259" s="58">
        <v>0</v>
      </c>
      <c r="EL259" s="58">
        <v>0</v>
      </c>
      <c r="EN259" s="58">
        <v>0</v>
      </c>
      <c r="EO259" s="58">
        <v>1</v>
      </c>
      <c r="EP259" s="58">
        <v>7</v>
      </c>
      <c r="EQ259" s="58">
        <v>0</v>
      </c>
      <c r="ER259" s="58">
        <v>0</v>
      </c>
      <c r="EU259" s="58" t="str">
        <f t="shared" ref="EU259:EU272" si="403">IF(i_eff_inputs_based_on_num=2,DW259,I259)</f>
        <v>No</v>
      </c>
      <c r="EV259" s="58" t="str">
        <f t="shared" ref="EV259:EV272" si="404">IF(i_eff_inputs_based_on_num=2,DX259,J259)</f>
        <v>Overall survival</v>
      </c>
      <c r="EW259" s="58">
        <f t="shared" ref="EW259:EW272" si="405">IF(i_eff_inputs_based_on_num=2,DY259,K259)</f>
        <v>0</v>
      </c>
      <c r="EX259" s="58">
        <f t="shared" ref="EX259:EX272" si="406">IF(i_eff_inputs_based_on_num=2,DZ259,L259)</f>
        <v>0</v>
      </c>
      <c r="EZ259" s="58">
        <f t="shared" ref="EZ259:EZ272" si="407">IF(i_eff_inputs_based_on_num=2,EB259,VLOOKUP(M259,r_pld_lookup_line,3,FALSE))</f>
        <v>0</v>
      </c>
      <c r="FA259" s="58">
        <f t="shared" ref="FA259:FA272" si="408">IF(i_eff_inputs_based_on_num=2,EC259,VLOOKUP(N259,r_pld_lookup_line,3,FALSE))</f>
        <v>1</v>
      </c>
      <c r="FB259" s="58">
        <f>IF(i_eff_inputs_based_on_num=2,ED259,(INDEX(Lists!$L$51:$L$85,MATCH(O259,Lists!$K$51:$K$85,0))))</f>
        <v>7</v>
      </c>
      <c r="FC259" s="58">
        <f>IF(i_eff_inputs_based_on_num=2,EE259,(INDEX(Lists!$L$51:$L$85,MATCH(P259,Lists!$K$51:$K$85,0))))</f>
        <v>2</v>
      </c>
      <c r="FD259" s="58">
        <f>IF(i_eff_inputs_based_on_num=2,EF259,(INDEX(Lists!$L$51:$L$85,MATCH(Q259,Lists!$K$51:$K$85,0))))</f>
        <v>0</v>
      </c>
      <c r="FG259" s="58" t="str">
        <f t="shared" ref="FG259:FG272" si="409">IF(i_eff_inputs_based_on_num=2,EI259,I259)</f>
        <v>No</v>
      </c>
      <c r="FH259" s="58" t="str">
        <f t="shared" ref="FH259:FH272" si="410">IF(i_eff_inputs_based_on_num=2,EJ259,J259)</f>
        <v>Overall survival</v>
      </c>
      <c r="FI259" s="58">
        <f t="shared" ref="FI259:FI272" si="411">IF(i_eff_inputs_based_on_num=2,EK259,K259)</f>
        <v>0</v>
      </c>
      <c r="FJ259" s="58">
        <f t="shared" ref="FJ259:FJ272" si="412">IF(i_eff_inputs_based_on_num=2,EL259,L259)</f>
        <v>0</v>
      </c>
      <c r="FL259" s="58">
        <f t="shared" ref="FL259:FL272" si="413">IF(i_eff_inputs_based_on_num=2,EN259,VLOOKUP(M259,r_pld_lookup_line,3,FALSE))</f>
        <v>0</v>
      </c>
      <c r="FM259" s="58">
        <f t="shared" ref="FM259:FM272" si="414">IF(i_eff_inputs_based_on_num=2,EO259,VLOOKUP(N259,r_pld_lookup_line,3,FALSE))</f>
        <v>1</v>
      </c>
      <c r="FN259" s="58">
        <f>IF(i_eff_inputs_based_on_num=2,EP259,(INDEX(Lists!$L$51:$L$85,MATCH(O259,Lists!$K$51:$K$85,0))))</f>
        <v>7</v>
      </c>
      <c r="FO259" s="58">
        <f>IF(i_eff_inputs_based_on_num=2,EQ259,(INDEX(Lists!$L$51:$L$85,MATCH(P259,Lists!$K$51:$K$85,0))))</f>
        <v>0</v>
      </c>
      <c r="FP259" s="58">
        <f>IF(i_eff_inputs_based_on_num=2,ER259,(INDEX(Lists!$L$51:$L$85,MATCH(Q259,Lists!$K$51:$K$85,0))))</f>
        <v>0</v>
      </c>
      <c r="FT259" s="58">
        <f t="shared" si="368"/>
        <v>0</v>
      </c>
      <c r="FW259" s="58">
        <f>IF(i_baseline_risk_from=2,'Effectiveness settings'!EW259,'Effectiveness settings'!FI259)</f>
        <v>0</v>
      </c>
      <c r="FX259" s="58">
        <f t="shared" si="369"/>
        <v>0</v>
      </c>
      <c r="FY259" s="58">
        <f t="shared" si="370"/>
        <v>0</v>
      </c>
      <c r="FZ259" s="58">
        <f t="shared" si="371"/>
        <v>0</v>
      </c>
      <c r="GA259" s="58">
        <f t="shared" si="372"/>
        <v>0</v>
      </c>
      <c r="GB259" s="58">
        <f t="shared" si="373"/>
        <v>0</v>
      </c>
      <c r="GC259" s="58">
        <f t="shared" si="374"/>
        <v>0</v>
      </c>
      <c r="GD259" s="58">
        <f t="shared" si="375"/>
        <v>0</v>
      </c>
      <c r="GE259" s="58">
        <f>IF(AND(dd_CheckMate214_TTD="Yes",'Effectiveness settings'!BU259=2,'Effectiveness settings'!BX259=2),"Apply HR to",GD259)</f>
        <v>0</v>
      </c>
      <c r="GF259" s="58">
        <f t="shared" si="376"/>
        <v>0</v>
      </c>
      <c r="GG259" s="58">
        <f t="shared" si="377"/>
        <v>0</v>
      </c>
      <c r="GH259" s="58">
        <f t="shared" si="378"/>
        <v>0</v>
      </c>
      <c r="GI259" s="58">
        <f t="shared" ref="GI259:GI322" si="415">GH259</f>
        <v>0</v>
      </c>
      <c r="GK259" s="58">
        <f>IF(i_baseline_risk_from=2,'Effectiveness settings'!FA259,'Effectiveness settings'!FM259)</f>
        <v>1</v>
      </c>
      <c r="GL259" s="58">
        <f>IF(i_baseline_risk_from=2,'Effectiveness settings'!FB259,'Effectiveness settings'!FN259)</f>
        <v>7</v>
      </c>
      <c r="GM259" s="58">
        <f>IF(i_baseline_risk_from=2,'Effectiveness settings'!FC259,'Effectiveness settings'!FO259)</f>
        <v>2</v>
      </c>
      <c r="GN259" s="58">
        <f>IF(i_baseline_risk_from=2,'Effectiveness settings'!FD259,'Effectiveness settings'!FP259)</f>
        <v>0</v>
      </c>
      <c r="GQ259" s="58">
        <f t="shared" si="379"/>
        <v>7</v>
      </c>
      <c r="GR259" s="58">
        <f t="shared" si="380"/>
        <v>7</v>
      </c>
      <c r="GS259" s="58">
        <f t="shared" si="381"/>
        <v>7</v>
      </c>
      <c r="GT259" s="58">
        <f t="shared" si="382"/>
        <v>7</v>
      </c>
      <c r="GU259" s="58">
        <f>IF(AND(dd_CheckMate214_TTD="Yes",'Effectiveness settings'!BU259=2,'Effectiveness settings'!BX259=2),2,GT259)</f>
        <v>7</v>
      </c>
      <c r="GV259" s="58">
        <f t="shared" si="383"/>
        <v>7</v>
      </c>
      <c r="GW259" s="58">
        <f t="shared" si="384"/>
        <v>7</v>
      </c>
      <c r="GY259" s="58">
        <f>IF(AND(dd_CheckMate214_TTD="Yes",'Effectiveness settings'!BU259=2,'Effectiveness settings'!BX259=2),1,GN259)</f>
        <v>0</v>
      </c>
      <c r="GZ259" s="58">
        <f t="shared" si="385"/>
        <v>0</v>
      </c>
      <c r="HB259" s="58">
        <f t="shared" si="386"/>
        <v>0</v>
      </c>
      <c r="HD259" s="58">
        <f t="shared" ref="HD259:HD321" si="416">HB259</f>
        <v>0</v>
      </c>
      <c r="HE259" s="58">
        <f t="shared" ref="HE259:HE321" si="417">GK259</f>
        <v>1</v>
      </c>
      <c r="HF259" s="58">
        <f t="shared" ref="HF259:HF321" si="418">GW259</f>
        <v>7</v>
      </c>
      <c r="HG259" s="58">
        <f t="shared" ref="HG259:HG321" si="419">GM259</f>
        <v>2</v>
      </c>
      <c r="HH259" s="58">
        <f t="shared" ref="HH259:HH321" si="420">GZ259</f>
        <v>0</v>
      </c>
    </row>
    <row r="260" spans="1:216" ht="15.75" x14ac:dyDescent="0.25">
      <c r="D260" s="58" t="str">
        <v>cabozantinib_plus_nivolumab</v>
      </c>
      <c r="I260" s="64" t="s">
        <v>74</v>
      </c>
      <c r="J260" s="519" t="s">
        <v>544</v>
      </c>
      <c r="K260" s="524" t="s">
        <v>63</v>
      </c>
      <c r="L260" s="519"/>
      <c r="M260" s="516" t="s">
        <v>31</v>
      </c>
      <c r="N260" s="64" t="s">
        <v>546</v>
      </c>
      <c r="O260" s="64" t="s">
        <v>117</v>
      </c>
      <c r="P260" s="64" t="s">
        <v>547</v>
      </c>
      <c r="Q260" s="519" t="s">
        <v>544</v>
      </c>
      <c r="R260" s="516" t="s">
        <v>548</v>
      </c>
      <c r="S260" s="497"/>
      <c r="T260" s="497"/>
      <c r="U260" s="497"/>
      <c r="W260" s="58" t="str">
        <v>cabozantinib_plus_nivolumab</v>
      </c>
      <c r="X260" s="64" t="s">
        <v>58</v>
      </c>
      <c r="Y260" s="519" t="s">
        <v>544</v>
      </c>
      <c r="Z260" s="524"/>
      <c r="AA260" s="519"/>
      <c r="AB260" s="516" t="s">
        <v>31</v>
      </c>
      <c r="AC260" s="64" t="s">
        <v>576</v>
      </c>
      <c r="AD260" s="64" t="s">
        <v>118</v>
      </c>
      <c r="AE260" s="64" t="s">
        <v>547</v>
      </c>
      <c r="AF260" s="519" t="s">
        <v>544</v>
      </c>
      <c r="AG260" s="516" t="s">
        <v>548</v>
      </c>
      <c r="AH260" s="497"/>
      <c r="AI260" s="497"/>
      <c r="AJ260" s="497"/>
      <c r="AL260" s="64" t="str">
        <f t="shared" si="389"/>
        <v>No</v>
      </c>
      <c r="AM260" s="519" t="s">
        <v>544</v>
      </c>
      <c r="AN260" s="524"/>
      <c r="AO260" s="519"/>
      <c r="AP260" s="516" t="s">
        <v>31</v>
      </c>
      <c r="AQ260" s="64" t="s">
        <v>577</v>
      </c>
      <c r="AR260" s="64" t="s">
        <v>118</v>
      </c>
      <c r="AS260" s="64" t="s">
        <v>547</v>
      </c>
      <c r="AT260" s="519" t="s">
        <v>544</v>
      </c>
      <c r="AU260" s="516" t="s">
        <v>548</v>
      </c>
      <c r="AV260" s="497"/>
      <c r="AW260" s="497"/>
      <c r="AX260" s="497"/>
      <c r="AZ260" s="64" t="str">
        <f t="shared" si="390"/>
        <v>No</v>
      </c>
      <c r="BA260" s="519" t="s">
        <v>544</v>
      </c>
      <c r="BB260" s="524"/>
      <c r="BC260" s="519"/>
      <c r="BD260" s="516" t="s">
        <v>31</v>
      </c>
      <c r="BE260" s="64" t="s">
        <v>565</v>
      </c>
      <c r="BF260" s="64" t="s">
        <v>571</v>
      </c>
      <c r="BG260" s="64" t="s">
        <v>547</v>
      </c>
      <c r="BH260" s="519" t="s">
        <v>544</v>
      </c>
      <c r="BI260" s="516" t="s">
        <v>548</v>
      </c>
      <c r="BJ260" s="497">
        <v>1</v>
      </c>
      <c r="BK260" s="497"/>
      <c r="BL260" s="497"/>
      <c r="BQ260" s="58">
        <f t="shared" si="366"/>
        <v>142</v>
      </c>
      <c r="BR260" s="61">
        <v>0</v>
      </c>
      <c r="BS260" s="61" t="s">
        <v>31</v>
      </c>
      <c r="BT260" s="17">
        <v>1</v>
      </c>
      <c r="BU260" s="17">
        <v>1</v>
      </c>
      <c r="BV260" s="17" t="str">
        <f t="shared" si="391"/>
        <v>cabozantinib_plus_nivolumab</v>
      </c>
      <c r="BW260" s="1006" t="str" cm="1">
        <f t="array" ref="BW260">IF(I260="No",I260,INDEX(List_incl_anal_1L_all,IF(BU260=999,35,BU260+1)))</f>
        <v>Yes</v>
      </c>
      <c r="BX260" s="61">
        <f t="shared" si="392"/>
        <v>0</v>
      </c>
      <c r="BY260" s="531" t="str">
        <f t="shared" ref="BY260:BY272" si="421">J260</f>
        <v>Overall survival</v>
      </c>
      <c r="BZ260" s="530" t="str">
        <f t="shared" si="393"/>
        <v>FP_NMA</v>
      </c>
      <c r="CA260" s="531">
        <f t="shared" ref="CA260:CA272" si="422">FT260</f>
        <v>0</v>
      </c>
      <c r="CB260" s="530">
        <f t="shared" si="394"/>
        <v>0</v>
      </c>
      <c r="CC260" s="530">
        <f t="shared" si="395"/>
        <v>1</v>
      </c>
      <c r="CD260" s="530">
        <f t="shared" si="396"/>
        <v>7</v>
      </c>
      <c r="CE260" s="1295">
        <f t="shared" si="397"/>
        <v>2</v>
      </c>
      <c r="CF260" s="1301">
        <f t="shared" si="398"/>
        <v>0</v>
      </c>
      <c r="CG260" s="530" t="str">
        <f t="shared" si="399"/>
        <v>Exponential</v>
      </c>
      <c r="CH260" s="61">
        <f t="shared" si="400"/>
        <v>0</v>
      </c>
      <c r="CI260" s="61">
        <f t="shared" si="401"/>
        <v>0</v>
      </c>
      <c r="CJ260" s="61">
        <f t="shared" si="402"/>
        <v>0</v>
      </c>
      <c r="DK260" s="58" t="str" cm="1">
        <f t="array" ref="DK260">IF(AND($BT260=4,$BX260=4,$BU260=999),$DB$36,_xlfn.IFNA(INDEX(DB$13:DB$70,MATCH(1,($BR260=$CV$13:$CV$70)*($BT260=$CX$13:$CX$70)*($CE260=$CY$13:$CY$70)*($BY260=$DA$13:$DA$70)*($CD260=$DH$13:$DH$70),0)),""))</f>
        <v>Exponential</v>
      </c>
      <c r="DL260" s="58" t="str" cm="1">
        <f t="array" ref="DL260">IF(AND($BT260=4,$BX260=4,$BU260=999),$DC$36,_xlfn.IFNA(INDEX(CHOOSE(DP260,DB$13:DB$70,DC$13:DC$70,DD$13:DD$70,DE$13:DE$70),MATCH(1,($BR260=$CV$13:$CV$70)*($BT260=$CX$13:$CX$70)*($CE260=$CY$13:$CY$70)*($BY260=$DA$13:$DA$70)*($CD260=$DH$13:$DH$70),0)),""))</f>
        <v>Exponential</v>
      </c>
      <c r="DM260" s="740" cm="1">
        <f t="array" ref="DM260">IF(AND($BT260=4,$BX260=4,$BU260=999),$DD$36,_xlfn.IFNA(INDEX(DD$13:DD$68,MATCH(1,($BR260=$CV$13:$CV$68)*($BT260=$CX$13:$CX$68)*($CE260=$CY$13:$CY$68)*($BY260=$DA$13:$DA$68)*($CD260=$DH$13:$DH$68),0)),""))</f>
        <v>0</v>
      </c>
      <c r="DN260" s="740" cm="1">
        <f t="array" ref="DN260">IF(AND($BT260=4,$BX260=4,$BU260=999),$DD$36,_xlfn.IFNA(INDEX(DE$13:DE$68,MATCH(1,($BR260=$CV$13:$CV$68)*($BT260=$CX$13:$CX$68)*($CE260=$CY$13:$CY$68)*($BY260=$DA$13:$DA$68)*($CD260=$DH$13:$DH$68),0)),""))</f>
        <v>0</v>
      </c>
      <c r="DO260" s="58" t="str" cm="1">
        <f t="array" ref="DO260">IF(AND($BT260=4,$BX260=4,$BU260=999),$DF$36,_xlfn.IFNA(INDEX(DF$13:DF$70,MATCH(1,($BR260=$CV$13:$CV$70)*($BT260=$CX$13:$CX$70)*($CE260=$CY$13:$CY$70)*($BY260=$DA$13:$DA$70)*($CD260=$DH$13:$DH$70),0)),""))</f>
        <v>Base case</v>
      </c>
      <c r="DP260" s="58">
        <f t="shared" si="367"/>
        <v>1</v>
      </c>
      <c r="DW260" s="58" t="s">
        <v>74</v>
      </c>
      <c r="DX260" s="58" t="s">
        <v>544</v>
      </c>
      <c r="DY260" s="58" t="s">
        <v>63</v>
      </c>
      <c r="DZ260" s="58">
        <v>0</v>
      </c>
      <c r="EB260" s="58">
        <v>0</v>
      </c>
      <c r="EC260" s="58">
        <v>1</v>
      </c>
      <c r="ED260" s="58">
        <v>7</v>
      </c>
      <c r="EE260" s="58">
        <v>2</v>
      </c>
      <c r="EF260" s="58">
        <v>0</v>
      </c>
      <c r="EI260" s="58" t="s">
        <v>74</v>
      </c>
      <c r="EJ260" s="58" t="s">
        <v>544</v>
      </c>
      <c r="EK260" s="58" t="s">
        <v>63</v>
      </c>
      <c r="EL260" s="58">
        <v>0</v>
      </c>
      <c r="EN260" s="58">
        <v>0</v>
      </c>
      <c r="EO260" s="58">
        <v>1</v>
      </c>
      <c r="EP260" s="58">
        <v>7</v>
      </c>
      <c r="EQ260" s="58">
        <v>0</v>
      </c>
      <c r="ER260" s="58">
        <v>0</v>
      </c>
      <c r="EU260" s="58" t="str">
        <f t="shared" si="403"/>
        <v>Yes</v>
      </c>
      <c r="EV260" s="58" t="str">
        <f t="shared" si="404"/>
        <v>Overall survival</v>
      </c>
      <c r="EW260" s="58" t="str">
        <f t="shared" si="405"/>
        <v>FP_NMA</v>
      </c>
      <c r="EX260" s="58">
        <f t="shared" si="406"/>
        <v>0</v>
      </c>
      <c r="EZ260" s="58">
        <f t="shared" si="407"/>
        <v>0</v>
      </c>
      <c r="FA260" s="58">
        <f t="shared" si="408"/>
        <v>1</v>
      </c>
      <c r="FB260" s="58">
        <f>IF(i_eff_inputs_based_on_num=2,ED260,(INDEX(Lists!$L$51:$L$85,MATCH(O260,Lists!$K$51:$K$85,0))))</f>
        <v>7</v>
      </c>
      <c r="FC260" s="58">
        <f>IF(i_eff_inputs_based_on_num=2,EE260,(INDEX(Lists!$L$51:$L$85,MATCH(P260,Lists!$K$51:$K$85,0))))</f>
        <v>2</v>
      </c>
      <c r="FD260" s="58">
        <f>IF(i_eff_inputs_based_on_num=2,EF260,(INDEX(Lists!$L$51:$L$85,MATCH(Q260,Lists!$K$51:$K$85,0))))</f>
        <v>0</v>
      </c>
      <c r="FG260" s="58" t="str">
        <f t="shared" si="409"/>
        <v>Yes</v>
      </c>
      <c r="FH260" s="58" t="str">
        <f t="shared" si="410"/>
        <v>Overall survival</v>
      </c>
      <c r="FI260" s="58" t="str">
        <f t="shared" si="411"/>
        <v>FP_NMA</v>
      </c>
      <c r="FJ260" s="58">
        <f t="shared" si="412"/>
        <v>0</v>
      </c>
      <c r="FL260" s="58">
        <f t="shared" si="413"/>
        <v>0</v>
      </c>
      <c r="FM260" s="58">
        <f t="shared" si="414"/>
        <v>1</v>
      </c>
      <c r="FN260" s="58">
        <f>IF(i_eff_inputs_based_on_num=2,EP260,(INDEX(Lists!$L$51:$L$85,MATCH(O260,Lists!$K$51:$K$85,0))))</f>
        <v>7</v>
      </c>
      <c r="FO260" s="58">
        <f>IF(i_eff_inputs_based_on_num=2,EQ260,(INDEX(Lists!$L$51:$L$85,MATCH(P260,Lists!$K$51:$K$85,0))))</f>
        <v>0</v>
      </c>
      <c r="FP260" s="58">
        <f>IF(i_eff_inputs_based_on_num=2,ER260,(INDEX(Lists!$L$51:$L$85,MATCH(Q260,Lists!$K$51:$K$85,0))))</f>
        <v>0</v>
      </c>
      <c r="FT260" s="58">
        <f t="shared" si="368"/>
        <v>0</v>
      </c>
      <c r="FW260" s="58" t="str">
        <f>IF(i_baseline_risk_from=2,'Effectiveness settings'!EW260,'Effectiveness settings'!FI260)</f>
        <v>FP_NMA</v>
      </c>
      <c r="FX260" s="58" t="str">
        <f t="shared" si="369"/>
        <v>FP_NMA</v>
      </c>
      <c r="FY260" s="58" t="str">
        <f t="shared" si="370"/>
        <v>FP_NMA</v>
      </c>
      <c r="FZ260" s="58" t="str">
        <f t="shared" si="371"/>
        <v>FP_NMA</v>
      </c>
      <c r="GA260" s="58" t="str">
        <f t="shared" si="372"/>
        <v>FP_NMA</v>
      </c>
      <c r="GB260" s="58" t="str">
        <f t="shared" si="373"/>
        <v>FP_NMA</v>
      </c>
      <c r="GC260" s="58" t="str">
        <f t="shared" si="374"/>
        <v>FP_NMA</v>
      </c>
      <c r="GD260" s="58" t="str">
        <f t="shared" si="375"/>
        <v>FP_NMA</v>
      </c>
      <c r="GE260" s="58" t="str">
        <f>IF(AND(dd_CheckMate214_TTD="Yes",'Effectiveness settings'!BU260=2,'Effectiveness settings'!BX260=2),"Apply HR to",GD260)</f>
        <v>FP_NMA</v>
      </c>
      <c r="GF260" s="58" t="str">
        <f t="shared" si="376"/>
        <v>FP_NMA</v>
      </c>
      <c r="GG260" s="58" t="str">
        <f t="shared" si="377"/>
        <v>FP_NMA</v>
      </c>
      <c r="GH260" s="58" t="str">
        <f t="shared" si="378"/>
        <v>FP_NMA</v>
      </c>
      <c r="GI260" s="58" t="str">
        <f t="shared" si="415"/>
        <v>FP_NMA</v>
      </c>
      <c r="GK260" s="58">
        <f>IF(i_baseline_risk_from=2,'Effectiveness settings'!FA260,'Effectiveness settings'!FM260)</f>
        <v>1</v>
      </c>
      <c r="GL260" s="58">
        <f>IF(i_baseline_risk_from=2,'Effectiveness settings'!FB260,'Effectiveness settings'!FN260)</f>
        <v>7</v>
      </c>
      <c r="GM260" s="58">
        <f>IF(i_baseline_risk_from=2,'Effectiveness settings'!FC260,'Effectiveness settings'!FO260)</f>
        <v>2</v>
      </c>
      <c r="GN260" s="58">
        <f>IF(i_baseline_risk_from=2,'Effectiveness settings'!FD260,'Effectiveness settings'!FP260)</f>
        <v>0</v>
      </c>
      <c r="GQ260" s="58">
        <f t="shared" si="379"/>
        <v>7</v>
      </c>
      <c r="GR260" s="58">
        <f t="shared" si="380"/>
        <v>7</v>
      </c>
      <c r="GS260" s="58">
        <f t="shared" si="381"/>
        <v>7</v>
      </c>
      <c r="GT260" s="58">
        <f t="shared" si="382"/>
        <v>7</v>
      </c>
      <c r="GU260" s="58">
        <f>IF(AND(dd_CheckMate214_TTD="Yes",'Effectiveness settings'!BU260=2,'Effectiveness settings'!BX260=2),2,GT260)</f>
        <v>7</v>
      </c>
      <c r="GV260" s="58">
        <f t="shared" si="383"/>
        <v>7</v>
      </c>
      <c r="GW260" s="58">
        <f t="shared" si="384"/>
        <v>7</v>
      </c>
      <c r="GY260" s="58">
        <f>IF(AND(dd_CheckMate214_TTD="Yes",'Effectiveness settings'!BU260=2,'Effectiveness settings'!BX260=2),1,GN260)</f>
        <v>0</v>
      </c>
      <c r="GZ260" s="58">
        <f t="shared" si="385"/>
        <v>0</v>
      </c>
      <c r="HB260" s="58">
        <f t="shared" si="386"/>
        <v>0</v>
      </c>
      <c r="HD260" s="58">
        <f t="shared" si="416"/>
        <v>0</v>
      </c>
      <c r="HE260" s="58">
        <f t="shared" si="417"/>
        <v>1</v>
      </c>
      <c r="HF260" s="58">
        <f t="shared" si="418"/>
        <v>7</v>
      </c>
      <c r="HG260" s="58">
        <f t="shared" si="419"/>
        <v>2</v>
      </c>
      <c r="HH260" s="58">
        <f t="shared" si="420"/>
        <v>0</v>
      </c>
    </row>
    <row r="261" spans="1:216" ht="15.75" x14ac:dyDescent="0.25">
      <c r="D261" s="58" t="str">
        <v>nivolumab_plus_ipilimumab</v>
      </c>
      <c r="I261" s="64" t="s">
        <v>58</v>
      </c>
      <c r="J261" s="519" t="s">
        <v>544</v>
      </c>
      <c r="K261" s="524" t="s">
        <v>63</v>
      </c>
      <c r="L261" s="519"/>
      <c r="M261" s="516" t="s">
        <v>31</v>
      </c>
      <c r="N261" s="64" t="s">
        <v>546</v>
      </c>
      <c r="O261" s="64" t="s">
        <v>117</v>
      </c>
      <c r="P261" s="64" t="s">
        <v>547</v>
      </c>
      <c r="Q261" s="519" t="s">
        <v>544</v>
      </c>
      <c r="R261" s="516" t="s">
        <v>548</v>
      </c>
      <c r="S261" s="497"/>
      <c r="T261" s="497"/>
      <c r="U261" s="497"/>
      <c r="W261" s="58" t="str">
        <v>nivolumab_plus_ipilimumab</v>
      </c>
      <c r="X261" s="64" t="s">
        <v>58</v>
      </c>
      <c r="Y261" s="519" t="s">
        <v>544</v>
      </c>
      <c r="Z261" s="524"/>
      <c r="AA261" s="519"/>
      <c r="AB261" s="516" t="s">
        <v>31</v>
      </c>
      <c r="AC261" s="64" t="s">
        <v>576</v>
      </c>
      <c r="AD261" s="64" t="s">
        <v>118</v>
      </c>
      <c r="AE261" s="64" t="s">
        <v>547</v>
      </c>
      <c r="AF261" s="519" t="s">
        <v>544</v>
      </c>
      <c r="AG261" s="516" t="s">
        <v>548</v>
      </c>
      <c r="AH261" s="497"/>
      <c r="AI261" s="497"/>
      <c r="AJ261" s="497"/>
      <c r="AL261" s="64" t="str">
        <f t="shared" si="389"/>
        <v>No</v>
      </c>
      <c r="AM261" s="519" t="s">
        <v>544</v>
      </c>
      <c r="AN261" s="524"/>
      <c r="AO261" s="519"/>
      <c r="AP261" s="516" t="s">
        <v>31</v>
      </c>
      <c r="AQ261" s="64" t="s">
        <v>577</v>
      </c>
      <c r="AR261" s="64" t="s">
        <v>118</v>
      </c>
      <c r="AS261" s="64" t="s">
        <v>547</v>
      </c>
      <c r="AT261" s="519" t="s">
        <v>544</v>
      </c>
      <c r="AU261" s="516" t="s">
        <v>548</v>
      </c>
      <c r="AV261" s="497"/>
      <c r="AW261" s="497"/>
      <c r="AX261" s="497"/>
      <c r="AZ261" s="64" t="str">
        <f t="shared" si="390"/>
        <v>No</v>
      </c>
      <c r="BA261" s="519" t="s">
        <v>544</v>
      </c>
      <c r="BB261" s="524"/>
      <c r="BC261" s="519"/>
      <c r="BD261" s="516" t="s">
        <v>31</v>
      </c>
      <c r="BE261" s="64" t="s">
        <v>565</v>
      </c>
      <c r="BF261" s="64" t="s">
        <v>581</v>
      </c>
      <c r="BG261" s="64" t="s">
        <v>547</v>
      </c>
      <c r="BH261" s="519" t="s">
        <v>544</v>
      </c>
      <c r="BI261" s="516" t="s">
        <v>548</v>
      </c>
      <c r="BJ261" s="497">
        <v>1</v>
      </c>
      <c r="BK261" s="497"/>
      <c r="BL261" s="497"/>
      <c r="BQ261" s="58">
        <f t="shared" si="366"/>
        <v>143</v>
      </c>
      <c r="BR261" s="61">
        <v>0</v>
      </c>
      <c r="BS261" s="61" t="s">
        <v>31</v>
      </c>
      <c r="BT261" s="17">
        <v>1</v>
      </c>
      <c r="BU261" s="17">
        <v>2</v>
      </c>
      <c r="BV261" s="17" t="str">
        <f t="shared" si="391"/>
        <v>nivolumab_plus_ipilimumab</v>
      </c>
      <c r="BW261" s="1006" t="str" cm="1">
        <f t="array" ref="BW261">IF(I261="No",I261,INDEX(List_incl_anal_1L_all,IF(BU261=999,35,BU261+1)))</f>
        <v>No</v>
      </c>
      <c r="BX261" s="61">
        <f t="shared" si="392"/>
        <v>0</v>
      </c>
      <c r="BY261" s="531" t="str">
        <f t="shared" si="421"/>
        <v>Overall survival</v>
      </c>
      <c r="BZ261" s="530">
        <f t="shared" si="393"/>
        <v>0</v>
      </c>
      <c r="CA261" s="531">
        <f t="shared" si="422"/>
        <v>0</v>
      </c>
      <c r="CB261" s="530">
        <f t="shared" si="394"/>
        <v>0</v>
      </c>
      <c r="CC261" s="530">
        <f t="shared" si="395"/>
        <v>1</v>
      </c>
      <c r="CD261" s="530">
        <f t="shared" si="396"/>
        <v>7</v>
      </c>
      <c r="CE261" s="1295">
        <f t="shared" si="397"/>
        <v>2</v>
      </c>
      <c r="CF261" s="1301">
        <f t="shared" si="398"/>
        <v>0</v>
      </c>
      <c r="CG261" s="530" t="str">
        <f t="shared" si="399"/>
        <v>Exponential</v>
      </c>
      <c r="CH261" s="61">
        <f t="shared" si="400"/>
        <v>0</v>
      </c>
      <c r="CI261" s="61">
        <f t="shared" si="401"/>
        <v>0</v>
      </c>
      <c r="CJ261" s="61">
        <f t="shared" si="402"/>
        <v>0</v>
      </c>
      <c r="DK261" s="58" t="str" cm="1">
        <f t="array" ref="DK261">IF(AND($BT261=4,$BX261=4,$BU261=999),$DB$36,_xlfn.IFNA(INDEX(DB$13:DB$70,MATCH(1,($BR261=$CV$13:$CV$70)*($BT261=$CX$13:$CX$70)*($CE261=$CY$13:$CY$70)*($BY261=$DA$13:$DA$70)*($CD261=$DH$13:$DH$70),0)),""))</f>
        <v>Exponential</v>
      </c>
      <c r="DL261" s="58" t="str" cm="1">
        <f t="array" ref="DL261">IF(AND($BT261=4,$BX261=4,$BU261=999),$DC$36,_xlfn.IFNA(INDEX(CHOOSE(DP261,DB$13:DB$70,DC$13:DC$70,DD$13:DD$70,DE$13:DE$70),MATCH(1,($BR261=$CV$13:$CV$70)*($BT261=$CX$13:$CX$70)*($CE261=$CY$13:$CY$70)*($BY261=$DA$13:$DA$70)*($CD261=$DH$13:$DH$70),0)),""))</f>
        <v>Exponential</v>
      </c>
      <c r="DM261" s="740" cm="1">
        <f t="array" ref="DM261">IF(AND($BT261=4,$BX261=4,$BU261=999),$DD$36,_xlfn.IFNA(INDEX(DD$13:DD$68,MATCH(1,($BR261=$CV$13:$CV$68)*($BT261=$CX$13:$CX$68)*($CE261=$CY$13:$CY$68)*($BY261=$DA$13:$DA$68)*($CD261=$DH$13:$DH$68),0)),""))</f>
        <v>0</v>
      </c>
      <c r="DN261" s="740" cm="1">
        <f t="array" ref="DN261">IF(AND($BT261=4,$BX261=4,$BU261=999),$DD$36,_xlfn.IFNA(INDEX(DE$13:DE$68,MATCH(1,($BR261=$CV$13:$CV$68)*($BT261=$CX$13:$CX$68)*($CE261=$CY$13:$CY$68)*($BY261=$DA$13:$DA$68)*($CD261=$DH$13:$DH$68),0)),""))</f>
        <v>0</v>
      </c>
      <c r="DO261" s="58" t="str" cm="1">
        <f t="array" ref="DO261">IF(AND($BT261=4,$BX261=4,$BU261=999),$DF$36,_xlfn.IFNA(INDEX(DF$13:DF$70,MATCH(1,($BR261=$CV$13:$CV$70)*($BT261=$CX$13:$CX$70)*($CE261=$CY$13:$CY$70)*($BY261=$DA$13:$DA$70)*($CD261=$DH$13:$DH$70),0)),""))</f>
        <v>Base case</v>
      </c>
      <c r="DP261" s="58">
        <f t="shared" si="367"/>
        <v>1</v>
      </c>
      <c r="DW261" s="58" t="s">
        <v>58</v>
      </c>
      <c r="DX261" s="58" t="s">
        <v>544</v>
      </c>
      <c r="DY261" s="58">
        <v>0</v>
      </c>
      <c r="DZ261" s="58">
        <v>0</v>
      </c>
      <c r="EB261" s="58">
        <v>0</v>
      </c>
      <c r="EC261" s="58">
        <v>1</v>
      </c>
      <c r="ED261" s="58">
        <v>7</v>
      </c>
      <c r="EE261" s="58">
        <v>2</v>
      </c>
      <c r="EF261" s="58">
        <v>0</v>
      </c>
      <c r="EI261" s="58" t="s">
        <v>58</v>
      </c>
      <c r="EJ261" s="58" t="s">
        <v>544</v>
      </c>
      <c r="EK261" s="58">
        <v>0</v>
      </c>
      <c r="EL261" s="58">
        <v>0</v>
      </c>
      <c r="EN261" s="58">
        <v>0</v>
      </c>
      <c r="EO261" s="58">
        <v>1</v>
      </c>
      <c r="EP261" s="58">
        <v>7</v>
      </c>
      <c r="EQ261" s="58">
        <v>0</v>
      </c>
      <c r="ER261" s="58">
        <v>0</v>
      </c>
      <c r="EU261" s="58" t="str">
        <f t="shared" si="403"/>
        <v>No</v>
      </c>
      <c r="EV261" s="58" t="str">
        <f t="shared" si="404"/>
        <v>Overall survival</v>
      </c>
      <c r="EW261" s="58">
        <f t="shared" si="405"/>
        <v>0</v>
      </c>
      <c r="EX261" s="58">
        <f t="shared" si="406"/>
        <v>0</v>
      </c>
      <c r="EZ261" s="58">
        <f t="shared" si="407"/>
        <v>0</v>
      </c>
      <c r="FA261" s="58">
        <f t="shared" si="408"/>
        <v>1</v>
      </c>
      <c r="FB261" s="58">
        <f>IF(i_eff_inputs_based_on_num=2,ED261,(INDEX(Lists!$L$51:$L$85,MATCH(O261,Lists!$K$51:$K$85,0))))</f>
        <v>7</v>
      </c>
      <c r="FC261" s="58">
        <f>IF(i_eff_inputs_based_on_num=2,EE261,(INDEX(Lists!$L$51:$L$85,MATCH(P261,Lists!$K$51:$K$85,0))))</f>
        <v>2</v>
      </c>
      <c r="FD261" s="58">
        <f>IF(i_eff_inputs_based_on_num=2,EF261,(INDEX(Lists!$L$51:$L$85,MATCH(Q261,Lists!$K$51:$K$85,0))))</f>
        <v>0</v>
      </c>
      <c r="FG261" s="58" t="str">
        <f t="shared" si="409"/>
        <v>No</v>
      </c>
      <c r="FH261" s="58" t="str">
        <f t="shared" si="410"/>
        <v>Overall survival</v>
      </c>
      <c r="FI261" s="58">
        <f t="shared" si="411"/>
        <v>0</v>
      </c>
      <c r="FJ261" s="58">
        <f t="shared" si="412"/>
        <v>0</v>
      </c>
      <c r="FL261" s="58">
        <f t="shared" si="413"/>
        <v>0</v>
      </c>
      <c r="FM261" s="58">
        <f t="shared" si="414"/>
        <v>1</v>
      </c>
      <c r="FN261" s="58">
        <f>IF(i_eff_inputs_based_on_num=2,EP261,(INDEX(Lists!$L$51:$L$85,MATCH(O261,Lists!$K$51:$K$85,0))))</f>
        <v>7</v>
      </c>
      <c r="FO261" s="58">
        <f>IF(i_eff_inputs_based_on_num=2,EQ261,(INDEX(Lists!$L$51:$L$85,MATCH(P261,Lists!$K$51:$K$85,0))))</f>
        <v>0</v>
      </c>
      <c r="FP261" s="58">
        <f>IF(i_eff_inputs_based_on_num=2,ER261,(INDEX(Lists!$L$51:$L$85,MATCH(Q261,Lists!$K$51:$K$85,0))))</f>
        <v>0</v>
      </c>
      <c r="FT261" s="58">
        <f t="shared" si="368"/>
        <v>0</v>
      </c>
      <c r="FW261" s="58">
        <f>IF(i_baseline_risk_from=2,'Effectiveness settings'!EW261,'Effectiveness settings'!FI261)</f>
        <v>0</v>
      </c>
      <c r="FX261" s="58">
        <f t="shared" si="369"/>
        <v>0</v>
      </c>
      <c r="FY261" s="58">
        <f t="shared" si="370"/>
        <v>0</v>
      </c>
      <c r="FZ261" s="58">
        <f t="shared" si="371"/>
        <v>0</v>
      </c>
      <c r="GA261" s="58">
        <f t="shared" si="372"/>
        <v>0</v>
      </c>
      <c r="GB261" s="58">
        <f t="shared" si="373"/>
        <v>0</v>
      </c>
      <c r="GC261" s="58">
        <f t="shared" si="374"/>
        <v>0</v>
      </c>
      <c r="GD261" s="58">
        <f t="shared" si="375"/>
        <v>0</v>
      </c>
      <c r="GE261" s="58">
        <f>IF(AND(dd_CheckMate214_TTD="Yes",'Effectiveness settings'!BU261=2,'Effectiveness settings'!BX261=2),"Apply HR to",GD261)</f>
        <v>0</v>
      </c>
      <c r="GF261" s="58">
        <f t="shared" si="376"/>
        <v>0</v>
      </c>
      <c r="GG261" s="58">
        <f t="shared" si="377"/>
        <v>0</v>
      </c>
      <c r="GH261" s="58">
        <f t="shared" si="378"/>
        <v>0</v>
      </c>
      <c r="GI261" s="58">
        <f t="shared" si="415"/>
        <v>0</v>
      </c>
      <c r="GK261" s="58">
        <f>IF(i_baseline_risk_from=2,'Effectiveness settings'!FA261,'Effectiveness settings'!FM261)</f>
        <v>1</v>
      </c>
      <c r="GL261" s="58">
        <f>IF(i_baseline_risk_from=2,'Effectiveness settings'!FB261,'Effectiveness settings'!FN261)</f>
        <v>7</v>
      </c>
      <c r="GM261" s="58">
        <f>IF(i_baseline_risk_from=2,'Effectiveness settings'!FC261,'Effectiveness settings'!FO261)</f>
        <v>2</v>
      </c>
      <c r="GN261" s="58">
        <f>IF(i_baseline_risk_from=2,'Effectiveness settings'!FD261,'Effectiveness settings'!FP261)</f>
        <v>0</v>
      </c>
      <c r="GQ261" s="58">
        <f t="shared" si="379"/>
        <v>7</v>
      </c>
      <c r="GR261" s="58">
        <f t="shared" si="380"/>
        <v>7</v>
      </c>
      <c r="GS261" s="58">
        <f t="shared" si="381"/>
        <v>7</v>
      </c>
      <c r="GT261" s="58">
        <f t="shared" si="382"/>
        <v>7</v>
      </c>
      <c r="GU261" s="58">
        <f>IF(AND(dd_CheckMate214_TTD="Yes",'Effectiveness settings'!BU261=2,'Effectiveness settings'!BX261=2),2,GT261)</f>
        <v>7</v>
      </c>
      <c r="GV261" s="58">
        <f t="shared" si="383"/>
        <v>7</v>
      </c>
      <c r="GW261" s="58">
        <f t="shared" si="384"/>
        <v>7</v>
      </c>
      <c r="GY261" s="58">
        <f>IF(AND(dd_CheckMate214_TTD="Yes",'Effectiveness settings'!BU261=2,'Effectiveness settings'!BX261=2),1,GN261)</f>
        <v>0</v>
      </c>
      <c r="GZ261" s="58">
        <f t="shared" si="385"/>
        <v>0</v>
      </c>
      <c r="HB261" s="58">
        <f t="shared" si="386"/>
        <v>0</v>
      </c>
      <c r="HD261" s="58">
        <f t="shared" si="416"/>
        <v>0</v>
      </c>
      <c r="HE261" s="58">
        <f t="shared" si="417"/>
        <v>1</v>
      </c>
      <c r="HF261" s="58">
        <f t="shared" si="418"/>
        <v>7</v>
      </c>
      <c r="HG261" s="58">
        <f t="shared" si="419"/>
        <v>2</v>
      </c>
      <c r="HH261" s="58">
        <f t="shared" si="420"/>
        <v>0</v>
      </c>
    </row>
    <row r="262" spans="1:216" ht="15.75" x14ac:dyDescent="0.25">
      <c r="D262" s="58" t="str">
        <v>lenvatinib_plus_pembrolizumab</v>
      </c>
      <c r="I262" s="64" t="s">
        <v>58</v>
      </c>
      <c r="J262" s="519" t="s">
        <v>544</v>
      </c>
      <c r="K262" s="524" t="s">
        <v>63</v>
      </c>
      <c r="L262" s="519"/>
      <c r="M262" s="516" t="s">
        <v>31</v>
      </c>
      <c r="N262" s="64" t="s">
        <v>546</v>
      </c>
      <c r="O262" s="64" t="s">
        <v>117</v>
      </c>
      <c r="P262" s="64" t="s">
        <v>547</v>
      </c>
      <c r="Q262" s="519" t="s">
        <v>544</v>
      </c>
      <c r="R262" s="516" t="s">
        <v>548</v>
      </c>
      <c r="S262" s="497"/>
      <c r="T262" s="497"/>
      <c r="U262" s="497"/>
      <c r="W262" s="58" t="str">
        <v>lenvatinib_plus_pembrolizumab</v>
      </c>
      <c r="X262" s="64" t="s">
        <v>58</v>
      </c>
      <c r="Y262" s="519" t="s">
        <v>544</v>
      </c>
      <c r="Z262" s="524"/>
      <c r="AA262" s="519"/>
      <c r="AB262" s="516" t="s">
        <v>31</v>
      </c>
      <c r="AC262" s="64" t="s">
        <v>576</v>
      </c>
      <c r="AD262" s="64" t="s">
        <v>118</v>
      </c>
      <c r="AE262" s="64" t="s">
        <v>547</v>
      </c>
      <c r="AF262" s="519" t="s">
        <v>544</v>
      </c>
      <c r="AG262" s="516" t="s">
        <v>548</v>
      </c>
      <c r="AH262" s="497"/>
      <c r="AI262" s="497"/>
      <c r="AJ262" s="497"/>
      <c r="AL262" s="64" t="str">
        <f t="shared" si="389"/>
        <v>No</v>
      </c>
      <c r="AM262" s="519" t="s">
        <v>544</v>
      </c>
      <c r="AN262" s="524"/>
      <c r="AO262" s="519"/>
      <c r="AP262" s="516" t="s">
        <v>31</v>
      </c>
      <c r="AQ262" s="64" t="s">
        <v>577</v>
      </c>
      <c r="AR262" s="64" t="s">
        <v>118</v>
      </c>
      <c r="AS262" s="64" t="s">
        <v>547</v>
      </c>
      <c r="AT262" s="519" t="s">
        <v>544</v>
      </c>
      <c r="AU262" s="516" t="s">
        <v>548</v>
      </c>
      <c r="AV262" s="497"/>
      <c r="AW262" s="497"/>
      <c r="AX262" s="497"/>
      <c r="AZ262" s="64" t="str">
        <f t="shared" si="390"/>
        <v>No</v>
      </c>
      <c r="BA262" s="519" t="s">
        <v>544</v>
      </c>
      <c r="BB262" s="524"/>
      <c r="BC262" s="519"/>
      <c r="BD262" s="516" t="s">
        <v>31</v>
      </c>
      <c r="BE262" s="64" t="s">
        <v>565</v>
      </c>
      <c r="BF262" s="64" t="s">
        <v>582</v>
      </c>
      <c r="BG262" s="64" t="s">
        <v>547</v>
      </c>
      <c r="BH262" s="519" t="s">
        <v>544</v>
      </c>
      <c r="BI262" s="516" t="s">
        <v>548</v>
      </c>
      <c r="BJ262" s="497">
        <v>1</v>
      </c>
      <c r="BK262" s="497"/>
      <c r="BL262" s="497"/>
      <c r="BQ262" s="58">
        <f t="shared" si="366"/>
        <v>144</v>
      </c>
      <c r="BR262" s="61">
        <v>0</v>
      </c>
      <c r="BS262" s="61" t="s">
        <v>31</v>
      </c>
      <c r="BT262" s="17">
        <v>1</v>
      </c>
      <c r="BU262" s="17">
        <v>3</v>
      </c>
      <c r="BV262" s="17" t="str">
        <f t="shared" si="391"/>
        <v>lenvatinib_plus_pembrolizumab</v>
      </c>
      <c r="BW262" s="1006" t="str" cm="1">
        <f t="array" ref="BW262">IF(I262="No",I262,INDEX(List_incl_anal_1L_all,IF(BU262=999,35,BU262+1)))</f>
        <v>No</v>
      </c>
      <c r="BX262" s="61">
        <f t="shared" si="392"/>
        <v>0</v>
      </c>
      <c r="BY262" s="531" t="str">
        <f t="shared" si="421"/>
        <v>Overall survival</v>
      </c>
      <c r="BZ262" s="530">
        <f t="shared" si="393"/>
        <v>0</v>
      </c>
      <c r="CA262" s="531">
        <f t="shared" si="422"/>
        <v>0</v>
      </c>
      <c r="CB262" s="530">
        <f t="shared" si="394"/>
        <v>0</v>
      </c>
      <c r="CC262" s="530">
        <f t="shared" si="395"/>
        <v>1</v>
      </c>
      <c r="CD262" s="530">
        <f t="shared" si="396"/>
        <v>7</v>
      </c>
      <c r="CE262" s="1295">
        <f t="shared" si="397"/>
        <v>2</v>
      </c>
      <c r="CF262" s="1301">
        <f t="shared" si="398"/>
        <v>0</v>
      </c>
      <c r="CG262" s="530" t="str">
        <f t="shared" si="399"/>
        <v>Exponential</v>
      </c>
      <c r="CH262" s="61">
        <f t="shared" si="400"/>
        <v>0</v>
      </c>
      <c r="CI262" s="61">
        <f t="shared" si="401"/>
        <v>0</v>
      </c>
      <c r="CJ262" s="61">
        <f t="shared" si="402"/>
        <v>0</v>
      </c>
      <c r="DK262" s="58" t="str" cm="1">
        <f t="array" ref="DK262">IF(AND($BT262=4,$BX262=4,$BU262=999),$DB$36,_xlfn.IFNA(INDEX(DB$13:DB$70,MATCH(1,($BR262=$CV$13:$CV$70)*($BT262=$CX$13:$CX$70)*($CE262=$CY$13:$CY$70)*($BY262=$DA$13:$DA$70)*($CD262=$DH$13:$DH$70),0)),""))</f>
        <v>Exponential</v>
      </c>
      <c r="DL262" s="58" t="str" cm="1">
        <f t="array" ref="DL262">IF(AND($BT262=4,$BX262=4,$BU262=999),$DC$36,_xlfn.IFNA(INDEX(CHOOSE(DP262,DB$13:DB$70,DC$13:DC$70,DD$13:DD$70,DE$13:DE$70),MATCH(1,($BR262=$CV$13:$CV$70)*($BT262=$CX$13:$CX$70)*($CE262=$CY$13:$CY$70)*($BY262=$DA$13:$DA$70)*($CD262=$DH$13:$DH$70),0)),""))</f>
        <v>Exponential</v>
      </c>
      <c r="DM262" s="740" cm="1">
        <f t="array" ref="DM262">IF(AND($BT262=4,$BX262=4,$BU262=999),$DD$36,_xlfn.IFNA(INDEX(DD$13:DD$68,MATCH(1,($BR262=$CV$13:$CV$68)*($BT262=$CX$13:$CX$68)*($CE262=$CY$13:$CY$68)*($BY262=$DA$13:$DA$68)*($CD262=$DH$13:$DH$68),0)),""))</f>
        <v>0</v>
      </c>
      <c r="DN262" s="740" cm="1">
        <f t="array" ref="DN262">IF(AND($BT262=4,$BX262=4,$BU262=999),$DD$36,_xlfn.IFNA(INDEX(DE$13:DE$68,MATCH(1,($BR262=$CV$13:$CV$68)*($BT262=$CX$13:$CX$68)*($CE262=$CY$13:$CY$68)*($BY262=$DA$13:$DA$68)*($CD262=$DH$13:$DH$68),0)),""))</f>
        <v>0</v>
      </c>
      <c r="DO262" s="58" t="str" cm="1">
        <f t="array" ref="DO262">IF(AND($BT262=4,$BX262=4,$BU262=999),$DF$36,_xlfn.IFNA(INDEX(DF$13:DF$70,MATCH(1,($BR262=$CV$13:$CV$70)*($BT262=$CX$13:$CX$70)*($CE262=$CY$13:$CY$70)*($BY262=$DA$13:$DA$70)*($CD262=$DH$13:$DH$70),0)),""))</f>
        <v>Base case</v>
      </c>
      <c r="DP262" s="58">
        <f t="shared" si="367"/>
        <v>1</v>
      </c>
      <c r="DW262" s="58" t="s">
        <v>58</v>
      </c>
      <c r="DX262" s="58" t="s">
        <v>544</v>
      </c>
      <c r="DY262" s="58">
        <v>0</v>
      </c>
      <c r="DZ262" s="58">
        <v>0</v>
      </c>
      <c r="EB262" s="58">
        <v>0</v>
      </c>
      <c r="EC262" s="58">
        <v>1</v>
      </c>
      <c r="ED262" s="58">
        <v>7</v>
      </c>
      <c r="EE262" s="58">
        <v>2</v>
      </c>
      <c r="EF262" s="58">
        <v>0</v>
      </c>
      <c r="EI262" s="58" t="s">
        <v>58</v>
      </c>
      <c r="EJ262" s="58" t="s">
        <v>544</v>
      </c>
      <c r="EK262" s="58">
        <v>0</v>
      </c>
      <c r="EL262" s="58">
        <v>0</v>
      </c>
      <c r="EN262" s="58">
        <v>0</v>
      </c>
      <c r="EO262" s="58">
        <v>1</v>
      </c>
      <c r="EP262" s="58">
        <v>7</v>
      </c>
      <c r="EQ262" s="58">
        <v>0</v>
      </c>
      <c r="ER262" s="58">
        <v>0</v>
      </c>
      <c r="EU262" s="58" t="str">
        <f t="shared" si="403"/>
        <v>No</v>
      </c>
      <c r="EV262" s="58" t="str">
        <f t="shared" si="404"/>
        <v>Overall survival</v>
      </c>
      <c r="EW262" s="58">
        <f t="shared" si="405"/>
        <v>0</v>
      </c>
      <c r="EX262" s="58">
        <f t="shared" si="406"/>
        <v>0</v>
      </c>
      <c r="EZ262" s="58">
        <f t="shared" si="407"/>
        <v>0</v>
      </c>
      <c r="FA262" s="58">
        <f t="shared" si="408"/>
        <v>1</v>
      </c>
      <c r="FB262" s="58">
        <f>IF(i_eff_inputs_based_on_num=2,ED262,(INDEX(Lists!$L$51:$L$85,MATCH(O262,Lists!$K$51:$K$85,0))))</f>
        <v>7</v>
      </c>
      <c r="FC262" s="58">
        <f>IF(i_eff_inputs_based_on_num=2,EE262,(INDEX(Lists!$L$51:$L$85,MATCH(P262,Lists!$K$51:$K$85,0))))</f>
        <v>2</v>
      </c>
      <c r="FD262" s="58">
        <f>IF(i_eff_inputs_based_on_num=2,EF262,(INDEX(Lists!$L$51:$L$85,MATCH(Q262,Lists!$K$51:$K$85,0))))</f>
        <v>0</v>
      </c>
      <c r="FG262" s="58" t="str">
        <f t="shared" si="409"/>
        <v>No</v>
      </c>
      <c r="FH262" s="58" t="str">
        <f t="shared" si="410"/>
        <v>Overall survival</v>
      </c>
      <c r="FI262" s="58">
        <f t="shared" si="411"/>
        <v>0</v>
      </c>
      <c r="FJ262" s="58">
        <f t="shared" si="412"/>
        <v>0</v>
      </c>
      <c r="FL262" s="58">
        <f t="shared" si="413"/>
        <v>0</v>
      </c>
      <c r="FM262" s="58">
        <f t="shared" si="414"/>
        <v>1</v>
      </c>
      <c r="FN262" s="58">
        <f>IF(i_eff_inputs_based_on_num=2,EP262,(INDEX(Lists!$L$51:$L$85,MATCH(O262,Lists!$K$51:$K$85,0))))</f>
        <v>7</v>
      </c>
      <c r="FO262" s="58">
        <f>IF(i_eff_inputs_based_on_num=2,EQ262,(INDEX(Lists!$L$51:$L$85,MATCH(P262,Lists!$K$51:$K$85,0))))</f>
        <v>0</v>
      </c>
      <c r="FP262" s="58">
        <f>IF(i_eff_inputs_based_on_num=2,ER262,(INDEX(Lists!$L$51:$L$85,MATCH(Q262,Lists!$K$51:$K$85,0))))</f>
        <v>0</v>
      </c>
      <c r="FT262" s="58">
        <f t="shared" si="368"/>
        <v>0</v>
      </c>
      <c r="FW262" s="58">
        <f>IF(i_baseline_risk_from=2,'Effectiveness settings'!EW262,'Effectiveness settings'!FI262)</f>
        <v>0</v>
      </c>
      <c r="FX262" s="58">
        <f t="shared" si="369"/>
        <v>0</v>
      </c>
      <c r="FY262" s="58">
        <f t="shared" si="370"/>
        <v>0</v>
      </c>
      <c r="FZ262" s="58">
        <f t="shared" si="371"/>
        <v>0</v>
      </c>
      <c r="GA262" s="58">
        <f t="shared" si="372"/>
        <v>0</v>
      </c>
      <c r="GB262" s="58">
        <f t="shared" si="373"/>
        <v>0</v>
      </c>
      <c r="GC262" s="58">
        <f t="shared" si="374"/>
        <v>0</v>
      </c>
      <c r="GD262" s="58">
        <f t="shared" si="375"/>
        <v>0</v>
      </c>
      <c r="GE262" s="58">
        <f>IF(AND(dd_CheckMate214_TTD="Yes",'Effectiveness settings'!BU262=2,'Effectiveness settings'!BX262=2),"Apply HR to",GD262)</f>
        <v>0</v>
      </c>
      <c r="GF262" s="58">
        <f t="shared" si="376"/>
        <v>0</v>
      </c>
      <c r="GG262" s="58">
        <f t="shared" si="377"/>
        <v>0</v>
      </c>
      <c r="GH262" s="58">
        <f t="shared" si="378"/>
        <v>0</v>
      </c>
      <c r="GI262" s="58">
        <f t="shared" si="415"/>
        <v>0</v>
      </c>
      <c r="GK262" s="58">
        <f>IF(i_baseline_risk_from=2,'Effectiveness settings'!FA262,'Effectiveness settings'!FM262)</f>
        <v>1</v>
      </c>
      <c r="GL262" s="58">
        <f>IF(i_baseline_risk_from=2,'Effectiveness settings'!FB262,'Effectiveness settings'!FN262)</f>
        <v>7</v>
      </c>
      <c r="GM262" s="58">
        <f>IF(i_baseline_risk_from=2,'Effectiveness settings'!FC262,'Effectiveness settings'!FO262)</f>
        <v>2</v>
      </c>
      <c r="GN262" s="58">
        <f>IF(i_baseline_risk_from=2,'Effectiveness settings'!FD262,'Effectiveness settings'!FP262)</f>
        <v>0</v>
      </c>
      <c r="GQ262" s="58">
        <f t="shared" si="379"/>
        <v>7</v>
      </c>
      <c r="GR262" s="58">
        <f t="shared" si="380"/>
        <v>7</v>
      </c>
      <c r="GS262" s="58">
        <f t="shared" si="381"/>
        <v>7</v>
      </c>
      <c r="GT262" s="58">
        <f t="shared" si="382"/>
        <v>7</v>
      </c>
      <c r="GU262" s="58">
        <f>IF(AND(dd_CheckMate214_TTD="Yes",'Effectiveness settings'!BU262=2,'Effectiveness settings'!BX262=2),2,GT262)</f>
        <v>7</v>
      </c>
      <c r="GV262" s="58">
        <f t="shared" si="383"/>
        <v>7</v>
      </c>
      <c r="GW262" s="58">
        <f t="shared" si="384"/>
        <v>7</v>
      </c>
      <c r="GY262" s="58">
        <f>IF(AND(dd_CheckMate214_TTD="Yes",'Effectiveness settings'!BU262=2,'Effectiveness settings'!BX262=2),1,GN262)</f>
        <v>0</v>
      </c>
      <c r="GZ262" s="58">
        <f t="shared" si="385"/>
        <v>0</v>
      </c>
      <c r="HB262" s="58">
        <f t="shared" si="386"/>
        <v>0</v>
      </c>
      <c r="HD262" s="58">
        <f t="shared" si="416"/>
        <v>0</v>
      </c>
      <c r="HE262" s="58">
        <f t="shared" si="417"/>
        <v>1</v>
      </c>
      <c r="HF262" s="58">
        <f t="shared" si="418"/>
        <v>7</v>
      </c>
      <c r="HG262" s="58">
        <f t="shared" si="419"/>
        <v>2</v>
      </c>
      <c r="HH262" s="58">
        <f t="shared" si="420"/>
        <v>0</v>
      </c>
    </row>
    <row r="263" spans="1:216" ht="15.75" x14ac:dyDescent="0.25">
      <c r="D263" s="58" t="str">
        <v>avelumab_plus_axitinib</v>
      </c>
      <c r="I263" s="739" t="str">
        <f>dd_incl_ave_plus_axi</f>
        <v>No</v>
      </c>
      <c r="J263" s="519" t="s">
        <v>544</v>
      </c>
      <c r="K263" s="524" t="s">
        <v>63</v>
      </c>
      <c r="L263" s="519"/>
      <c r="M263" s="516" t="s">
        <v>31</v>
      </c>
      <c r="N263" s="64" t="s">
        <v>546</v>
      </c>
      <c r="O263" s="64" t="s">
        <v>117</v>
      </c>
      <c r="P263" s="64" t="s">
        <v>547</v>
      </c>
      <c r="Q263" s="519" t="s">
        <v>544</v>
      </c>
      <c r="R263" s="516" t="s">
        <v>548</v>
      </c>
      <c r="S263" s="497"/>
      <c r="T263" s="497"/>
      <c r="U263" s="497"/>
      <c r="W263" s="58" t="str">
        <v>avelumab_plus_axitinib</v>
      </c>
      <c r="X263" s="64" t="s">
        <v>58</v>
      </c>
      <c r="Y263" s="519" t="s">
        <v>544</v>
      </c>
      <c r="Z263" s="524"/>
      <c r="AA263" s="519"/>
      <c r="AB263" s="516" t="s">
        <v>31</v>
      </c>
      <c r="AC263" s="64" t="s">
        <v>576</v>
      </c>
      <c r="AD263" s="64" t="s">
        <v>118</v>
      </c>
      <c r="AE263" s="64" t="s">
        <v>547</v>
      </c>
      <c r="AF263" s="519" t="s">
        <v>544</v>
      </c>
      <c r="AG263" s="516" t="s">
        <v>548</v>
      </c>
      <c r="AH263" s="497"/>
      <c r="AI263" s="497"/>
      <c r="AJ263" s="497"/>
      <c r="AL263" s="64" t="s">
        <v>58</v>
      </c>
      <c r="AM263" s="519" t="s">
        <v>544</v>
      </c>
      <c r="AN263" s="524"/>
      <c r="AO263" s="519"/>
      <c r="AP263" s="516" t="s">
        <v>31</v>
      </c>
      <c r="AQ263" s="64" t="s">
        <v>577</v>
      </c>
      <c r="AR263" s="64" t="s">
        <v>118</v>
      </c>
      <c r="AS263" s="64" t="s">
        <v>547</v>
      </c>
      <c r="AT263" s="519" t="s">
        <v>544</v>
      </c>
      <c r="AU263" s="516" t="s">
        <v>548</v>
      </c>
      <c r="AV263" s="497"/>
      <c r="AW263" s="497"/>
      <c r="AX263" s="497"/>
      <c r="AZ263" s="64" t="s">
        <v>58</v>
      </c>
      <c r="BA263" s="519" t="s">
        <v>544</v>
      </c>
      <c r="BB263" s="524"/>
      <c r="BC263" s="519"/>
      <c r="BD263" s="516" t="s">
        <v>31</v>
      </c>
      <c r="BE263" s="64" t="s">
        <v>565</v>
      </c>
      <c r="BF263" s="64" t="s">
        <v>583</v>
      </c>
      <c r="BG263" s="64" t="s">
        <v>547</v>
      </c>
      <c r="BH263" s="519" t="s">
        <v>544</v>
      </c>
      <c r="BI263" s="516" t="s">
        <v>548</v>
      </c>
      <c r="BJ263" s="497">
        <v>1</v>
      </c>
      <c r="BK263" s="497"/>
      <c r="BL263" s="497"/>
      <c r="BQ263" s="58">
        <f t="shared" si="366"/>
        <v>145</v>
      </c>
      <c r="BR263" s="61">
        <v>0</v>
      </c>
      <c r="BS263" s="61" t="s">
        <v>31</v>
      </c>
      <c r="BT263" s="17">
        <v>1</v>
      </c>
      <c r="BU263" s="17">
        <v>4</v>
      </c>
      <c r="BV263" s="17" t="str">
        <f t="shared" si="391"/>
        <v>avelumab_plus_axitinib</v>
      </c>
      <c r="BW263" s="1006" t="str" cm="1">
        <f t="array" ref="BW263">IF(I263="No",I263,INDEX(List_incl_anal_1L_all,IF(BU263=999,35,BU263+1)))</f>
        <v>No</v>
      </c>
      <c r="BX263" s="61">
        <f t="shared" si="392"/>
        <v>0</v>
      </c>
      <c r="BY263" s="531" t="str">
        <f t="shared" si="421"/>
        <v>Overall survival</v>
      </c>
      <c r="BZ263" s="530" t="str">
        <f t="shared" si="393"/>
        <v>FP_NMA</v>
      </c>
      <c r="CA263" s="531">
        <f t="shared" si="422"/>
        <v>0</v>
      </c>
      <c r="CB263" s="530">
        <f t="shared" si="394"/>
        <v>0</v>
      </c>
      <c r="CC263" s="530">
        <f t="shared" si="395"/>
        <v>1</v>
      </c>
      <c r="CD263" s="530">
        <f t="shared" si="396"/>
        <v>7</v>
      </c>
      <c r="CE263" s="1295">
        <f t="shared" si="397"/>
        <v>2</v>
      </c>
      <c r="CF263" s="1301">
        <f t="shared" si="398"/>
        <v>0</v>
      </c>
      <c r="CG263" s="530" t="str">
        <f t="shared" si="399"/>
        <v>Exponential</v>
      </c>
      <c r="CH263" s="61">
        <f t="shared" si="400"/>
        <v>0</v>
      </c>
      <c r="CI263" s="61">
        <f t="shared" si="401"/>
        <v>0</v>
      </c>
      <c r="CJ263" s="61">
        <f t="shared" si="402"/>
        <v>0</v>
      </c>
      <c r="DK263" s="58" t="str" cm="1">
        <f t="array" ref="DK263">IF(AND($BT263=4,$BX263=4,$BU263=999),$DB$36,_xlfn.IFNA(INDEX(DB$13:DB$70,MATCH(1,($BR263=$CV$13:$CV$70)*($BT263=$CX$13:$CX$70)*($CE263=$CY$13:$CY$70)*($BY263=$DA$13:$DA$70)*($CD263=$DH$13:$DH$70),0)),""))</f>
        <v>Exponential</v>
      </c>
      <c r="DL263" s="58" t="str" cm="1">
        <f t="array" ref="DL263">IF(AND($BT263=4,$BX263=4,$BU263=999),$DC$36,_xlfn.IFNA(INDEX(CHOOSE(DP263,DB$13:DB$70,DC$13:DC$70,DD$13:DD$70,DE$13:DE$70),MATCH(1,($BR263=$CV$13:$CV$70)*($BT263=$CX$13:$CX$70)*($CE263=$CY$13:$CY$70)*($BY263=$DA$13:$DA$70)*($CD263=$DH$13:$DH$70),0)),""))</f>
        <v>Exponential</v>
      </c>
      <c r="DM263" s="740" cm="1">
        <f t="array" ref="DM263">IF(AND($BT263=4,$BX263=4,$BU263=999),$DD$36,_xlfn.IFNA(INDEX(DD$13:DD$68,MATCH(1,($BR263=$CV$13:$CV$68)*($BT263=$CX$13:$CX$68)*($CE263=$CY$13:$CY$68)*($BY263=$DA$13:$DA$68)*($CD263=$DH$13:$DH$68),0)),""))</f>
        <v>0</v>
      </c>
      <c r="DN263" s="740" cm="1">
        <f t="array" ref="DN263">IF(AND($BT263=4,$BX263=4,$BU263=999),$DD$36,_xlfn.IFNA(INDEX(DE$13:DE$68,MATCH(1,($BR263=$CV$13:$CV$68)*($BT263=$CX$13:$CX$68)*($CE263=$CY$13:$CY$68)*($BY263=$DA$13:$DA$68)*($CD263=$DH$13:$DH$68),0)),""))</f>
        <v>0</v>
      </c>
      <c r="DO263" s="58" t="str" cm="1">
        <f t="array" ref="DO263">IF(AND($BT263=4,$BX263=4,$BU263=999),$DF$36,_xlfn.IFNA(INDEX(DF$13:DF$70,MATCH(1,($BR263=$CV$13:$CV$70)*($BT263=$CX$13:$CX$70)*($CE263=$CY$13:$CY$70)*($BY263=$DA$13:$DA$70)*($CD263=$DH$13:$DH$70),0)),""))</f>
        <v>Base case</v>
      </c>
      <c r="DP263" s="58">
        <f t="shared" si="367"/>
        <v>1</v>
      </c>
      <c r="DW263" s="58" t="s">
        <v>58</v>
      </c>
      <c r="DX263" s="58" t="s">
        <v>544</v>
      </c>
      <c r="DY263" s="58" t="s">
        <v>63</v>
      </c>
      <c r="DZ263" s="58">
        <v>0</v>
      </c>
      <c r="EB263" s="58">
        <v>0</v>
      </c>
      <c r="EC263" s="58">
        <v>1</v>
      </c>
      <c r="ED263" s="58">
        <v>7</v>
      </c>
      <c r="EE263" s="58">
        <v>2</v>
      </c>
      <c r="EF263" s="58">
        <v>0</v>
      </c>
      <c r="EI263" s="58" t="s">
        <v>58</v>
      </c>
      <c r="EJ263" s="58" t="s">
        <v>544</v>
      </c>
      <c r="EK263" s="58" t="s">
        <v>63</v>
      </c>
      <c r="EL263" s="58">
        <v>0</v>
      </c>
      <c r="EN263" s="58">
        <v>0</v>
      </c>
      <c r="EO263" s="58">
        <v>1</v>
      </c>
      <c r="EP263" s="58">
        <v>7</v>
      </c>
      <c r="EQ263" s="58">
        <v>0</v>
      </c>
      <c r="ER263" s="58">
        <v>0</v>
      </c>
      <c r="EU263" s="58" t="str">
        <f t="shared" si="403"/>
        <v>No</v>
      </c>
      <c r="EV263" s="58" t="str">
        <f t="shared" si="404"/>
        <v>Overall survival</v>
      </c>
      <c r="EW263" s="58" t="str">
        <f t="shared" si="405"/>
        <v>FP_NMA</v>
      </c>
      <c r="EX263" s="58">
        <f t="shared" si="406"/>
        <v>0</v>
      </c>
      <c r="EZ263" s="58">
        <f t="shared" si="407"/>
        <v>0</v>
      </c>
      <c r="FA263" s="58">
        <f t="shared" si="408"/>
        <v>1</v>
      </c>
      <c r="FB263" s="58">
        <f>IF(i_eff_inputs_based_on_num=2,ED263,(INDEX(Lists!$L$51:$L$85,MATCH(O263,Lists!$K$51:$K$85,0))))</f>
        <v>7</v>
      </c>
      <c r="FC263" s="58">
        <f>IF(i_eff_inputs_based_on_num=2,EE263,(INDEX(Lists!$L$51:$L$85,MATCH(P263,Lists!$K$51:$K$85,0))))</f>
        <v>2</v>
      </c>
      <c r="FD263" s="58">
        <f>IF(i_eff_inputs_based_on_num=2,EF263,(INDEX(Lists!$L$51:$L$85,MATCH(Q263,Lists!$K$51:$K$85,0))))</f>
        <v>0</v>
      </c>
      <c r="FG263" s="58" t="str">
        <f t="shared" si="409"/>
        <v>No</v>
      </c>
      <c r="FH263" s="58" t="str">
        <f t="shared" si="410"/>
        <v>Overall survival</v>
      </c>
      <c r="FI263" s="58" t="str">
        <f t="shared" si="411"/>
        <v>FP_NMA</v>
      </c>
      <c r="FJ263" s="58">
        <f t="shared" si="412"/>
        <v>0</v>
      </c>
      <c r="FL263" s="58">
        <f t="shared" si="413"/>
        <v>0</v>
      </c>
      <c r="FM263" s="58">
        <f t="shared" si="414"/>
        <v>1</v>
      </c>
      <c r="FN263" s="58">
        <f>IF(i_eff_inputs_based_on_num=2,EP263,(INDEX(Lists!$L$51:$L$85,MATCH(O263,Lists!$K$51:$K$85,0))))</f>
        <v>7</v>
      </c>
      <c r="FO263" s="58">
        <f>IF(i_eff_inputs_based_on_num=2,EQ263,(INDEX(Lists!$L$51:$L$85,MATCH(P263,Lists!$K$51:$K$85,0))))</f>
        <v>0</v>
      </c>
      <c r="FP263" s="58">
        <f>IF(i_eff_inputs_based_on_num=2,ER263,(INDEX(Lists!$L$51:$L$85,MATCH(Q263,Lists!$K$51:$K$85,0))))</f>
        <v>0</v>
      </c>
      <c r="FT263" s="58">
        <f t="shared" si="368"/>
        <v>0</v>
      </c>
      <c r="FW263" s="58" t="str">
        <f>IF(i_baseline_risk_from=2,'Effectiveness settings'!EW263,'Effectiveness settings'!FI263)</f>
        <v>FP_NMA</v>
      </c>
      <c r="FX263" s="58" t="str">
        <f t="shared" si="369"/>
        <v>FP_NMA</v>
      </c>
      <c r="FY263" s="58" t="str">
        <f t="shared" si="370"/>
        <v>FP_NMA</v>
      </c>
      <c r="FZ263" s="58" t="str">
        <f t="shared" si="371"/>
        <v>FP_NMA</v>
      </c>
      <c r="GA263" s="58" t="str">
        <f t="shared" si="372"/>
        <v>FP_NMA</v>
      </c>
      <c r="GB263" s="58" t="str">
        <f t="shared" si="373"/>
        <v>FP_NMA</v>
      </c>
      <c r="GC263" s="58" t="str">
        <f t="shared" si="374"/>
        <v>FP_NMA</v>
      </c>
      <c r="GD263" s="58" t="str">
        <f t="shared" si="375"/>
        <v>FP_NMA</v>
      </c>
      <c r="GE263" s="58" t="str">
        <f>IF(AND(dd_CheckMate214_TTD="Yes",'Effectiveness settings'!BU263=2,'Effectiveness settings'!BX263=2),"Apply HR to",GD263)</f>
        <v>FP_NMA</v>
      </c>
      <c r="GF263" s="58" t="str">
        <f t="shared" si="376"/>
        <v>FP_NMA</v>
      </c>
      <c r="GG263" s="58" t="str">
        <f t="shared" si="377"/>
        <v>FP_NMA</v>
      </c>
      <c r="GH263" s="58" t="str">
        <f t="shared" si="378"/>
        <v>FP_NMA</v>
      </c>
      <c r="GI263" s="58" t="str">
        <f t="shared" si="415"/>
        <v>FP_NMA</v>
      </c>
      <c r="GK263" s="58">
        <f>IF(i_baseline_risk_from=2,'Effectiveness settings'!FA263,'Effectiveness settings'!FM263)</f>
        <v>1</v>
      </c>
      <c r="GL263" s="58">
        <f>IF(i_baseline_risk_from=2,'Effectiveness settings'!FB263,'Effectiveness settings'!FN263)</f>
        <v>7</v>
      </c>
      <c r="GM263" s="58">
        <f>IF(i_baseline_risk_from=2,'Effectiveness settings'!FC263,'Effectiveness settings'!FO263)</f>
        <v>2</v>
      </c>
      <c r="GN263" s="58">
        <f>IF(i_baseline_risk_from=2,'Effectiveness settings'!FD263,'Effectiveness settings'!FP263)</f>
        <v>0</v>
      </c>
      <c r="GQ263" s="58">
        <f t="shared" si="379"/>
        <v>7</v>
      </c>
      <c r="GR263" s="58">
        <f t="shared" si="380"/>
        <v>7</v>
      </c>
      <c r="GS263" s="58">
        <f t="shared" si="381"/>
        <v>7</v>
      </c>
      <c r="GT263" s="58">
        <f t="shared" si="382"/>
        <v>7</v>
      </c>
      <c r="GU263" s="58">
        <f>IF(AND(dd_CheckMate214_TTD="Yes",'Effectiveness settings'!BU263=2,'Effectiveness settings'!BX263=2),2,GT263)</f>
        <v>7</v>
      </c>
      <c r="GV263" s="58">
        <f t="shared" si="383"/>
        <v>7</v>
      </c>
      <c r="GW263" s="58">
        <f t="shared" si="384"/>
        <v>7</v>
      </c>
      <c r="GY263" s="58">
        <f>IF(AND(dd_CheckMate214_TTD="Yes",'Effectiveness settings'!BU263=2,'Effectiveness settings'!BX263=2),1,GN263)</f>
        <v>0</v>
      </c>
      <c r="GZ263" s="58">
        <f t="shared" si="385"/>
        <v>0</v>
      </c>
      <c r="HB263" s="58">
        <f t="shared" si="386"/>
        <v>0</v>
      </c>
      <c r="HD263" s="58">
        <f t="shared" si="416"/>
        <v>0</v>
      </c>
      <c r="HE263" s="58">
        <f t="shared" si="417"/>
        <v>1</v>
      </c>
      <c r="HF263" s="58">
        <f t="shared" si="418"/>
        <v>7</v>
      </c>
      <c r="HG263" s="58">
        <f t="shared" si="419"/>
        <v>2</v>
      </c>
      <c r="HH263" s="58">
        <f t="shared" si="420"/>
        <v>0</v>
      </c>
    </row>
    <row r="264" spans="1:216" ht="15.75" x14ac:dyDescent="0.25">
      <c r="D264" s="58" t="str">
        <v>pazopanib</v>
      </c>
      <c r="I264" s="64" t="s">
        <v>74</v>
      </c>
      <c r="J264" s="519" t="s">
        <v>544</v>
      </c>
      <c r="K264" s="524" t="s">
        <v>63</v>
      </c>
      <c r="L264" s="519"/>
      <c r="M264" s="516" t="s">
        <v>31</v>
      </c>
      <c r="N264" s="64" t="s">
        <v>546</v>
      </c>
      <c r="O264" s="64" t="s">
        <v>117</v>
      </c>
      <c r="P264" s="64" t="s">
        <v>547</v>
      </c>
      <c r="Q264" s="519" t="s">
        <v>544</v>
      </c>
      <c r="R264" s="516" t="s">
        <v>548</v>
      </c>
      <c r="S264" s="497"/>
      <c r="T264" s="497"/>
      <c r="U264" s="497"/>
      <c r="V264" s="58" t="s">
        <v>584</v>
      </c>
      <c r="W264" s="58" t="str">
        <v>pazopanib</v>
      </c>
      <c r="X264" s="64" t="s">
        <v>74</v>
      </c>
      <c r="Y264" s="519" t="s">
        <v>544</v>
      </c>
      <c r="Z264" s="524" t="s">
        <v>561</v>
      </c>
      <c r="AA264" s="519"/>
      <c r="AB264" s="516" t="s">
        <v>31</v>
      </c>
      <c r="AC264" s="64" t="s">
        <v>576</v>
      </c>
      <c r="AD264" s="64" t="s">
        <v>319</v>
      </c>
      <c r="AE264" s="64" t="s">
        <v>547</v>
      </c>
      <c r="AF264" s="519" t="s">
        <v>544</v>
      </c>
      <c r="AG264" s="516" t="s">
        <v>548</v>
      </c>
      <c r="AH264" s="497">
        <v>1</v>
      </c>
      <c r="AI264" s="497">
        <v>1</v>
      </c>
      <c r="AJ264" s="497">
        <v>1</v>
      </c>
      <c r="AL264" s="64" t="str">
        <f t="shared" si="389"/>
        <v>Yes</v>
      </c>
      <c r="AM264" s="519" t="s">
        <v>544</v>
      </c>
      <c r="AN264" s="524" t="s">
        <v>561</v>
      </c>
      <c r="AO264" s="519"/>
      <c r="AP264" s="516" t="s">
        <v>31</v>
      </c>
      <c r="AQ264" s="64" t="s">
        <v>577</v>
      </c>
      <c r="AR264" s="64" t="s">
        <v>319</v>
      </c>
      <c r="AS264" s="64" t="s">
        <v>547</v>
      </c>
      <c r="AT264" s="519" t="s">
        <v>544</v>
      </c>
      <c r="AU264" s="516" t="s">
        <v>548</v>
      </c>
      <c r="AV264" s="497">
        <v>1</v>
      </c>
      <c r="AW264" s="497">
        <v>1</v>
      </c>
      <c r="AX264" s="497">
        <v>1</v>
      </c>
      <c r="AZ264" s="64" t="str">
        <f t="shared" si="390"/>
        <v>Yes</v>
      </c>
      <c r="BA264" s="519" t="s">
        <v>544</v>
      </c>
      <c r="BB264" s="524" t="s">
        <v>578</v>
      </c>
      <c r="BC264" s="519" t="s">
        <v>547</v>
      </c>
      <c r="BD264" s="516" t="s">
        <v>31</v>
      </c>
      <c r="BE264" s="64" t="s">
        <v>577</v>
      </c>
      <c r="BF264" s="64" t="s">
        <v>585</v>
      </c>
      <c r="BG264" s="64" t="s">
        <v>547</v>
      </c>
      <c r="BH264" s="519" t="s">
        <v>544</v>
      </c>
      <c r="BI264" s="516" t="s">
        <v>548</v>
      </c>
      <c r="BJ264" s="497">
        <v>2.0059999999999998</v>
      </c>
      <c r="BK264" s="497">
        <v>1.45</v>
      </c>
      <c r="BL264" s="497">
        <v>2.7770000000000001</v>
      </c>
      <c r="BM264" s="58" t="s">
        <v>580</v>
      </c>
      <c r="BQ264" s="58">
        <f t="shared" si="366"/>
        <v>146</v>
      </c>
      <c r="BR264" s="61">
        <v>0</v>
      </c>
      <c r="BS264" s="61" t="s">
        <v>31</v>
      </c>
      <c r="BT264" s="17">
        <v>1</v>
      </c>
      <c r="BU264" s="17">
        <v>5</v>
      </c>
      <c r="BV264" s="17" t="str">
        <f t="shared" si="391"/>
        <v>pazopanib</v>
      </c>
      <c r="BW264" s="1006" t="str" cm="1">
        <f t="array" ref="BW264">IF(I264="No",I264,INDEX(List_incl_anal_1L_all,IF(BU264=999,35,BU264+1)))</f>
        <v>Yes</v>
      </c>
      <c r="BX264" s="61">
        <f t="shared" si="392"/>
        <v>0</v>
      </c>
      <c r="BY264" s="531" t="str">
        <f t="shared" si="421"/>
        <v>Overall survival</v>
      </c>
      <c r="BZ264" s="530" t="str">
        <f t="shared" si="393"/>
        <v>Assume equal to</v>
      </c>
      <c r="CA264" s="531">
        <f t="shared" si="422"/>
        <v>0</v>
      </c>
      <c r="CB264" s="530">
        <f t="shared" si="394"/>
        <v>0</v>
      </c>
      <c r="CC264" s="530">
        <f t="shared" si="395"/>
        <v>1</v>
      </c>
      <c r="CD264" s="530">
        <f t="shared" si="396"/>
        <v>7</v>
      </c>
      <c r="CE264" s="1295">
        <f t="shared" si="397"/>
        <v>2</v>
      </c>
      <c r="CF264" s="1301">
        <f t="shared" si="398"/>
        <v>0</v>
      </c>
      <c r="CG264" s="530" t="str">
        <f t="shared" si="399"/>
        <v>Exponential</v>
      </c>
      <c r="CH264" s="61">
        <f t="shared" si="400"/>
        <v>0</v>
      </c>
      <c r="CI264" s="61">
        <f t="shared" si="401"/>
        <v>0</v>
      </c>
      <c r="CJ264" s="61">
        <f t="shared" si="402"/>
        <v>0</v>
      </c>
      <c r="DK264" s="58" t="str" cm="1">
        <f t="array" ref="DK264">IF(AND($BT264=4,$BX264=4,$BU264=999),$DB$36,_xlfn.IFNA(INDEX(DB$13:DB$70,MATCH(1,($BR264=$CV$13:$CV$70)*($BT264=$CX$13:$CX$70)*($CE264=$CY$13:$CY$70)*($BY264=$DA$13:$DA$70)*($CD264=$DH$13:$DH$70),0)),""))</f>
        <v>Exponential</v>
      </c>
      <c r="DL264" s="58" t="str" cm="1">
        <f t="array" ref="DL264">IF(AND($BT264=4,$BX264=4,$BU264=999),$DC$36,_xlfn.IFNA(INDEX(CHOOSE(DP264,DB$13:DB$70,DC$13:DC$70,DD$13:DD$70,DE$13:DE$70),MATCH(1,($BR264=$CV$13:$CV$70)*($BT264=$CX$13:$CX$70)*($CE264=$CY$13:$CY$70)*($BY264=$DA$13:$DA$70)*($CD264=$DH$13:$DH$70),0)),""))</f>
        <v>Exponential</v>
      </c>
      <c r="DM264" s="740" cm="1">
        <f t="array" ref="DM264">IF(AND($BT264=4,$BX264=4,$BU264=999),$DD$36,_xlfn.IFNA(INDEX(DD$13:DD$68,MATCH(1,($BR264=$CV$13:$CV$68)*($BT264=$CX$13:$CX$68)*($CE264=$CY$13:$CY$68)*($BY264=$DA$13:$DA$68)*($CD264=$DH$13:$DH$68),0)),""))</f>
        <v>0</v>
      </c>
      <c r="DN264" s="740" cm="1">
        <f t="array" ref="DN264">IF(AND($BT264=4,$BX264=4,$BU264=999),$DD$36,_xlfn.IFNA(INDEX(DE$13:DE$68,MATCH(1,($BR264=$CV$13:$CV$68)*($BT264=$CX$13:$CX$68)*($CE264=$CY$13:$CY$68)*($BY264=$DA$13:$DA$68)*($CD264=$DH$13:$DH$68),0)),""))</f>
        <v>0</v>
      </c>
      <c r="DO264" s="58" t="str" cm="1">
        <f t="array" ref="DO264">IF(AND($BT264=4,$BX264=4,$BU264=999),$DF$36,_xlfn.IFNA(INDEX(DF$13:DF$70,MATCH(1,($BR264=$CV$13:$CV$70)*($BT264=$CX$13:$CX$70)*($CE264=$CY$13:$CY$70)*($BY264=$DA$13:$DA$70)*($CD264=$DH$13:$DH$70),0)),""))</f>
        <v>Base case</v>
      </c>
      <c r="DP264" s="58">
        <f t="shared" si="367"/>
        <v>1</v>
      </c>
      <c r="DW264" s="58" t="s">
        <v>74</v>
      </c>
      <c r="DX264" s="58" t="s">
        <v>544</v>
      </c>
      <c r="DY264" s="58" t="s">
        <v>63</v>
      </c>
      <c r="DZ264" s="58">
        <v>0</v>
      </c>
      <c r="EB264" s="58">
        <v>0</v>
      </c>
      <c r="EC264" s="58">
        <v>1</v>
      </c>
      <c r="ED264" s="58">
        <v>7</v>
      </c>
      <c r="EE264" s="58">
        <v>2</v>
      </c>
      <c r="EF264" s="58">
        <v>0</v>
      </c>
      <c r="EI264" s="58" t="s">
        <v>74</v>
      </c>
      <c r="EJ264" s="58" t="s">
        <v>544</v>
      </c>
      <c r="EK264" s="58" t="s">
        <v>63</v>
      </c>
      <c r="EL264" s="58">
        <v>0</v>
      </c>
      <c r="EN264" s="58">
        <v>0</v>
      </c>
      <c r="EO264" s="58">
        <v>1</v>
      </c>
      <c r="EP264" s="58">
        <v>7</v>
      </c>
      <c r="EQ264" s="58">
        <v>0</v>
      </c>
      <c r="ER264" s="58">
        <v>0</v>
      </c>
      <c r="EU264" s="58" t="str">
        <f t="shared" si="403"/>
        <v>Yes</v>
      </c>
      <c r="EV264" s="58" t="str">
        <f t="shared" si="404"/>
        <v>Overall survival</v>
      </c>
      <c r="EW264" s="58" t="str">
        <f t="shared" si="405"/>
        <v>FP_NMA</v>
      </c>
      <c r="EX264" s="58">
        <f t="shared" si="406"/>
        <v>0</v>
      </c>
      <c r="EZ264" s="58">
        <f t="shared" si="407"/>
        <v>0</v>
      </c>
      <c r="FA264" s="58">
        <f t="shared" si="408"/>
        <v>1</v>
      </c>
      <c r="FB264" s="58">
        <f>IF(i_eff_inputs_based_on_num=2,ED264,(INDEX(Lists!$L$51:$L$85,MATCH(O264,Lists!$K$51:$K$85,0))))</f>
        <v>7</v>
      </c>
      <c r="FC264" s="58">
        <f>IF(i_eff_inputs_based_on_num=2,EE264,(INDEX(Lists!$L$51:$L$85,MATCH(P264,Lists!$K$51:$K$85,0))))</f>
        <v>2</v>
      </c>
      <c r="FD264" s="58">
        <f>IF(i_eff_inputs_based_on_num=2,EF264,(INDEX(Lists!$L$51:$L$85,MATCH(Q264,Lists!$K$51:$K$85,0))))</f>
        <v>0</v>
      </c>
      <c r="FG264" s="58" t="str">
        <f t="shared" si="409"/>
        <v>Yes</v>
      </c>
      <c r="FH264" s="58" t="str">
        <f t="shared" si="410"/>
        <v>Overall survival</v>
      </c>
      <c r="FI264" s="58" t="str">
        <f t="shared" si="411"/>
        <v>FP_NMA</v>
      </c>
      <c r="FJ264" s="58">
        <f t="shared" si="412"/>
        <v>0</v>
      </c>
      <c r="FL264" s="58">
        <f t="shared" si="413"/>
        <v>0</v>
      </c>
      <c r="FM264" s="58">
        <f t="shared" si="414"/>
        <v>1</v>
      </c>
      <c r="FN264" s="58">
        <f>IF(i_eff_inputs_based_on_num=2,EP264,(INDEX(Lists!$L$51:$L$85,MATCH(O264,Lists!$K$51:$K$85,0))))</f>
        <v>7</v>
      </c>
      <c r="FO264" s="58">
        <f>IF(i_eff_inputs_based_on_num=2,EQ264,(INDEX(Lists!$L$51:$L$85,MATCH(P264,Lists!$K$51:$K$85,0))))</f>
        <v>0</v>
      </c>
      <c r="FP264" s="58">
        <f>IF(i_eff_inputs_based_on_num=2,ER264,(INDEX(Lists!$L$51:$L$85,MATCH(Q264,Lists!$K$51:$K$85,0))))</f>
        <v>0</v>
      </c>
      <c r="FT264" s="58">
        <f t="shared" si="368"/>
        <v>0</v>
      </c>
      <c r="FW264" s="58" t="str">
        <f>IF(i_baseline_risk_from=2,'Effectiveness settings'!EW264,'Effectiveness settings'!FI264)</f>
        <v>FP_NMA</v>
      </c>
      <c r="FX264" s="58" t="str">
        <f t="shared" si="369"/>
        <v>FP_NMA</v>
      </c>
      <c r="FY264" s="58" t="str">
        <f t="shared" si="370"/>
        <v>FP_NMA</v>
      </c>
      <c r="FZ264" s="58" t="str">
        <f t="shared" si="371"/>
        <v>Assume equal to</v>
      </c>
      <c r="GA264" s="58" t="str">
        <f t="shared" si="372"/>
        <v>Assume equal to</v>
      </c>
      <c r="GB264" s="58" t="str">
        <f t="shared" si="373"/>
        <v>Assume equal to</v>
      </c>
      <c r="GC264" s="58" t="str">
        <f t="shared" si="374"/>
        <v>Assume equal to</v>
      </c>
      <c r="GD264" s="58" t="str">
        <f t="shared" si="375"/>
        <v>Assume equal to</v>
      </c>
      <c r="GE264" s="58" t="str">
        <f>IF(AND(dd_CheckMate214_TTD="Yes",'Effectiveness settings'!BU264=2,'Effectiveness settings'!BX264=2),"Apply HR to",GD264)</f>
        <v>Assume equal to</v>
      </c>
      <c r="GF264" s="58" t="str">
        <f t="shared" si="376"/>
        <v>Assume equal to</v>
      </c>
      <c r="GG264" s="58" t="str">
        <f t="shared" si="377"/>
        <v>Assume equal to</v>
      </c>
      <c r="GH264" s="58" t="str">
        <f t="shared" si="378"/>
        <v>Assume equal to</v>
      </c>
      <c r="GI264" s="58" t="str">
        <f t="shared" si="415"/>
        <v>Assume equal to</v>
      </c>
      <c r="GK264" s="58">
        <f>IF(i_baseline_risk_from=2,'Effectiveness settings'!FA264,'Effectiveness settings'!FM264)</f>
        <v>1</v>
      </c>
      <c r="GL264" s="58">
        <f>IF(i_baseline_risk_from=2,'Effectiveness settings'!FB264,'Effectiveness settings'!FN264)</f>
        <v>7</v>
      </c>
      <c r="GM264" s="58">
        <f>IF(i_baseline_risk_from=2,'Effectiveness settings'!FC264,'Effectiveness settings'!FO264)</f>
        <v>2</v>
      </c>
      <c r="GN264" s="58">
        <f>IF(i_baseline_risk_from=2,'Effectiveness settings'!FD264,'Effectiveness settings'!FP264)</f>
        <v>0</v>
      </c>
      <c r="GQ264" s="58">
        <f t="shared" si="379"/>
        <v>7</v>
      </c>
      <c r="GR264" s="58">
        <f t="shared" si="380"/>
        <v>7</v>
      </c>
      <c r="GS264" s="58">
        <f t="shared" si="381"/>
        <v>7</v>
      </c>
      <c r="GT264" s="58">
        <f t="shared" si="382"/>
        <v>7</v>
      </c>
      <c r="GU264" s="58">
        <f>IF(AND(dd_CheckMate214_TTD="Yes",'Effectiveness settings'!BU264=2,'Effectiveness settings'!BX264=2),2,GT264)</f>
        <v>7</v>
      </c>
      <c r="GV264" s="58">
        <f t="shared" si="383"/>
        <v>7</v>
      </c>
      <c r="GW264" s="58">
        <f t="shared" si="384"/>
        <v>7</v>
      </c>
      <c r="GY264" s="58">
        <f>IF(AND(dd_CheckMate214_TTD="Yes",'Effectiveness settings'!BU264=2,'Effectiveness settings'!BX264=2),1,GN264)</f>
        <v>0</v>
      </c>
      <c r="GZ264" s="58">
        <f t="shared" si="385"/>
        <v>0</v>
      </c>
      <c r="HB264" s="58">
        <f t="shared" si="386"/>
        <v>0</v>
      </c>
      <c r="HD264" s="58">
        <f t="shared" si="416"/>
        <v>0</v>
      </c>
      <c r="HE264" s="58">
        <f t="shared" si="417"/>
        <v>1</v>
      </c>
      <c r="HF264" s="58">
        <f t="shared" si="418"/>
        <v>7</v>
      </c>
      <c r="HG264" s="58">
        <f t="shared" si="419"/>
        <v>2</v>
      </c>
      <c r="HH264" s="58">
        <f t="shared" si="420"/>
        <v>0</v>
      </c>
    </row>
    <row r="265" spans="1:216" ht="15.75" x14ac:dyDescent="0.25">
      <c r="A265" s="58" t="s">
        <v>586</v>
      </c>
      <c r="D265" s="58" t="str">
        <v>tivozanib</v>
      </c>
      <c r="I265" s="64" t="s">
        <v>74</v>
      </c>
      <c r="J265" s="519" t="s">
        <v>544</v>
      </c>
      <c r="K265" s="524" t="s">
        <v>561</v>
      </c>
      <c r="L265" s="519"/>
      <c r="M265" s="516" t="s">
        <v>31</v>
      </c>
      <c r="N265" s="64" t="s">
        <v>546</v>
      </c>
      <c r="O265" s="64" t="s">
        <v>117</v>
      </c>
      <c r="P265" s="64" t="s">
        <v>547</v>
      </c>
      <c r="Q265" s="519" t="s">
        <v>544</v>
      </c>
      <c r="R265" s="516" t="s">
        <v>548</v>
      </c>
      <c r="S265" s="497">
        <v>1</v>
      </c>
      <c r="T265" s="497">
        <v>1</v>
      </c>
      <c r="U265" s="497">
        <v>1</v>
      </c>
      <c r="V265" s="58" t="s">
        <v>587</v>
      </c>
      <c r="W265" s="58" t="str">
        <v>tivozanib</v>
      </c>
      <c r="X265" s="64" t="s">
        <v>74</v>
      </c>
      <c r="Y265" s="519" t="s">
        <v>544</v>
      </c>
      <c r="Z265" s="524" t="s">
        <v>67</v>
      </c>
      <c r="AA265" s="519"/>
      <c r="AB265" s="516" t="s">
        <v>31</v>
      </c>
      <c r="AC265" s="64" t="s">
        <v>576</v>
      </c>
      <c r="AD265" s="64" t="s">
        <v>118</v>
      </c>
      <c r="AE265" s="64" t="s">
        <v>547</v>
      </c>
      <c r="AF265" s="519" t="s">
        <v>544</v>
      </c>
      <c r="AG265" s="516" t="s">
        <v>548</v>
      </c>
      <c r="AH265" s="497"/>
      <c r="AI265" s="497"/>
      <c r="AJ265" s="497"/>
      <c r="AL265" s="64" t="str">
        <f t="shared" si="389"/>
        <v>Yes</v>
      </c>
      <c r="AM265" s="519" t="s">
        <v>544</v>
      </c>
      <c r="AN265" s="524" t="s">
        <v>67</v>
      </c>
      <c r="AO265" s="519"/>
      <c r="AP265" s="516" t="s">
        <v>31</v>
      </c>
      <c r="AQ265" s="64" t="s">
        <v>577</v>
      </c>
      <c r="AR265" s="64" t="s">
        <v>118</v>
      </c>
      <c r="AS265" s="64" t="s">
        <v>547</v>
      </c>
      <c r="AT265" s="519" t="s">
        <v>544</v>
      </c>
      <c r="AU265" s="516" t="s">
        <v>548</v>
      </c>
      <c r="AV265" s="497"/>
      <c r="AW265" s="497"/>
      <c r="AX265" s="497"/>
      <c r="AZ265" s="64" t="str">
        <f t="shared" si="390"/>
        <v>Yes</v>
      </c>
      <c r="BA265" s="519" t="s">
        <v>544</v>
      </c>
      <c r="BB265" s="524" t="s">
        <v>578</v>
      </c>
      <c r="BC265" s="519" t="s">
        <v>547</v>
      </c>
      <c r="BD265" s="516" t="s">
        <v>31</v>
      </c>
      <c r="BE265" s="64" t="s">
        <v>577</v>
      </c>
      <c r="BF265" s="64" t="s">
        <v>319</v>
      </c>
      <c r="BG265" s="64" t="s">
        <v>547</v>
      </c>
      <c r="BH265" s="519" t="s">
        <v>544</v>
      </c>
      <c r="BI265" s="516" t="s">
        <v>548</v>
      </c>
      <c r="BJ265" s="497">
        <v>2.0059999999999998</v>
      </c>
      <c r="BK265" s="497">
        <v>1.45</v>
      </c>
      <c r="BL265" s="497">
        <v>2.7770000000000001</v>
      </c>
      <c r="BM265" s="58" t="s">
        <v>580</v>
      </c>
      <c r="BQ265" s="58">
        <f t="shared" si="366"/>
        <v>147</v>
      </c>
      <c r="BR265" s="61">
        <v>0</v>
      </c>
      <c r="BS265" s="61" t="s">
        <v>31</v>
      </c>
      <c r="BT265" s="17">
        <v>1</v>
      </c>
      <c r="BU265" s="17">
        <v>6</v>
      </c>
      <c r="BV265" s="17" t="str">
        <f t="shared" si="391"/>
        <v>tivozanib</v>
      </c>
      <c r="BW265" s="1006" t="str" cm="1">
        <f t="array" ref="BW265">IF(I265="No",I265,INDEX(List_incl_anal_1L_all,IF(BU265=999,35,BU265+1)))</f>
        <v>Yes</v>
      </c>
      <c r="BX265" s="61">
        <f t="shared" si="392"/>
        <v>0</v>
      </c>
      <c r="BY265" s="531" t="str">
        <f t="shared" si="421"/>
        <v>Overall survival</v>
      </c>
      <c r="BZ265" s="530" t="str">
        <f t="shared" si="393"/>
        <v>Assume equal to</v>
      </c>
      <c r="CA265" s="531">
        <f t="shared" si="422"/>
        <v>0</v>
      </c>
      <c r="CB265" s="530">
        <f t="shared" si="394"/>
        <v>0</v>
      </c>
      <c r="CC265" s="530">
        <f t="shared" si="395"/>
        <v>1</v>
      </c>
      <c r="CD265" s="530">
        <f t="shared" si="396"/>
        <v>7</v>
      </c>
      <c r="CE265" s="1295">
        <f t="shared" si="397"/>
        <v>2</v>
      </c>
      <c r="CF265" s="1301">
        <f t="shared" si="398"/>
        <v>0</v>
      </c>
      <c r="CG265" s="530" t="str">
        <f t="shared" si="399"/>
        <v>Exponential</v>
      </c>
      <c r="CH265" s="61">
        <f t="shared" si="400"/>
        <v>1</v>
      </c>
      <c r="CI265" s="61">
        <f t="shared" si="401"/>
        <v>1</v>
      </c>
      <c r="CJ265" s="61">
        <f t="shared" si="402"/>
        <v>1</v>
      </c>
      <c r="DK265" s="58" t="str" cm="1">
        <f t="array" ref="DK265">IF(AND($BT265=4,$BX265=4,$BU265=999),$DB$36,_xlfn.IFNA(INDEX(DB$13:DB$70,MATCH(1,($BR265=$CV$13:$CV$70)*($BT265=$CX$13:$CX$70)*($CE265=$CY$13:$CY$70)*($BY265=$DA$13:$DA$70)*($CD265=$DH$13:$DH$70),0)),""))</f>
        <v>Exponential</v>
      </c>
      <c r="DL265" s="58" t="str" cm="1">
        <f t="array" ref="DL265">IF(AND($BT265=4,$BX265=4,$BU265=999),$DC$36,_xlfn.IFNA(INDEX(CHOOSE(DP265,DB$13:DB$70,DC$13:DC$70,DD$13:DD$70,DE$13:DE$70),MATCH(1,($BR265=$CV$13:$CV$70)*($BT265=$CX$13:$CX$70)*($CE265=$CY$13:$CY$70)*($BY265=$DA$13:$DA$70)*($CD265=$DH$13:$DH$70),0)),""))</f>
        <v>Exponential</v>
      </c>
      <c r="DM265" s="740" cm="1">
        <f t="array" ref="DM265">IF(AND($BT265=4,$BX265=4,$BU265=999),$DD$36,_xlfn.IFNA(INDEX(DD$13:DD$68,MATCH(1,($BR265=$CV$13:$CV$68)*($BT265=$CX$13:$CX$68)*($CE265=$CY$13:$CY$68)*($BY265=$DA$13:$DA$68)*($CD265=$DH$13:$DH$68),0)),""))</f>
        <v>0</v>
      </c>
      <c r="DN265" s="740" cm="1">
        <f t="array" ref="DN265">IF(AND($BT265=4,$BX265=4,$BU265=999),$DD$36,_xlfn.IFNA(INDEX(DE$13:DE$68,MATCH(1,($BR265=$CV$13:$CV$68)*($BT265=$CX$13:$CX$68)*($CE265=$CY$13:$CY$68)*($BY265=$DA$13:$DA$68)*($CD265=$DH$13:$DH$68),0)),""))</f>
        <v>0</v>
      </c>
      <c r="DO265" s="58" t="str" cm="1">
        <f t="array" ref="DO265">IF(AND($BT265=4,$BX265=4,$BU265=999),$DF$36,_xlfn.IFNA(INDEX(DF$13:DF$70,MATCH(1,($BR265=$CV$13:$CV$70)*($BT265=$CX$13:$CX$70)*($CE265=$CY$13:$CY$70)*($BY265=$DA$13:$DA$70)*($CD265=$DH$13:$DH$70),0)),""))</f>
        <v>Base case</v>
      </c>
      <c r="DP265" s="58">
        <f t="shared" si="367"/>
        <v>1</v>
      </c>
      <c r="DW265" s="58" t="s">
        <v>74</v>
      </c>
      <c r="DX265" s="58" t="s">
        <v>544</v>
      </c>
      <c r="DY265" s="58" t="s">
        <v>561</v>
      </c>
      <c r="DZ265" s="58">
        <v>0</v>
      </c>
      <c r="EB265" s="58">
        <v>0</v>
      </c>
      <c r="EC265" s="58">
        <v>1</v>
      </c>
      <c r="ED265" s="58">
        <v>7</v>
      </c>
      <c r="EE265" s="58">
        <v>2</v>
      </c>
      <c r="EF265" s="58">
        <v>0</v>
      </c>
      <c r="EI265" s="58" t="s">
        <v>74</v>
      </c>
      <c r="EJ265" s="58" t="s">
        <v>544</v>
      </c>
      <c r="EK265" s="58" t="s">
        <v>561</v>
      </c>
      <c r="EL265" s="58">
        <v>0</v>
      </c>
      <c r="EN265" s="58">
        <v>0</v>
      </c>
      <c r="EO265" s="58">
        <v>1</v>
      </c>
      <c r="EP265" s="58">
        <v>7</v>
      </c>
      <c r="EQ265" s="58">
        <v>0</v>
      </c>
      <c r="ER265" s="58">
        <v>0</v>
      </c>
      <c r="EU265" s="58" t="str">
        <f t="shared" si="403"/>
        <v>Yes</v>
      </c>
      <c r="EV265" s="58" t="str">
        <f t="shared" si="404"/>
        <v>Overall survival</v>
      </c>
      <c r="EW265" s="58" t="str">
        <f t="shared" si="405"/>
        <v>Assume equal to</v>
      </c>
      <c r="EX265" s="58">
        <f t="shared" si="406"/>
        <v>0</v>
      </c>
      <c r="EZ265" s="58">
        <f t="shared" si="407"/>
        <v>0</v>
      </c>
      <c r="FA265" s="58">
        <f t="shared" si="408"/>
        <v>1</v>
      </c>
      <c r="FB265" s="58">
        <f>IF(i_eff_inputs_based_on_num=2,ED265,(INDEX(Lists!$L$51:$L$85,MATCH(O265,Lists!$K$51:$K$85,0))))</f>
        <v>7</v>
      </c>
      <c r="FC265" s="58">
        <f>IF(i_eff_inputs_based_on_num=2,EE265,(INDEX(Lists!$L$51:$L$85,MATCH(P265,Lists!$K$51:$K$85,0))))</f>
        <v>2</v>
      </c>
      <c r="FD265" s="58">
        <f>IF(i_eff_inputs_based_on_num=2,EF265,(INDEX(Lists!$L$51:$L$85,MATCH(Q265,Lists!$K$51:$K$85,0))))</f>
        <v>0</v>
      </c>
      <c r="FG265" s="58" t="str">
        <f t="shared" si="409"/>
        <v>Yes</v>
      </c>
      <c r="FH265" s="58" t="str">
        <f t="shared" si="410"/>
        <v>Overall survival</v>
      </c>
      <c r="FI265" s="58" t="str">
        <f t="shared" si="411"/>
        <v>Assume equal to</v>
      </c>
      <c r="FJ265" s="58">
        <f t="shared" si="412"/>
        <v>0</v>
      </c>
      <c r="FL265" s="58">
        <f t="shared" si="413"/>
        <v>0</v>
      </c>
      <c r="FM265" s="58">
        <f t="shared" si="414"/>
        <v>1</v>
      </c>
      <c r="FN265" s="58">
        <f>IF(i_eff_inputs_based_on_num=2,EP265,(INDEX(Lists!$L$51:$L$85,MATCH(O265,Lists!$K$51:$K$85,0))))</f>
        <v>7</v>
      </c>
      <c r="FO265" s="58">
        <f>IF(i_eff_inputs_based_on_num=2,EQ265,(INDEX(Lists!$L$51:$L$85,MATCH(P265,Lists!$K$51:$K$85,0))))</f>
        <v>0</v>
      </c>
      <c r="FP265" s="58">
        <f>IF(i_eff_inputs_based_on_num=2,ER265,(INDEX(Lists!$L$51:$L$85,MATCH(Q265,Lists!$K$51:$K$85,0))))</f>
        <v>0</v>
      </c>
      <c r="FT265" s="58">
        <f t="shared" si="368"/>
        <v>0</v>
      </c>
      <c r="FW265" s="58" t="str">
        <f>IF(i_baseline_risk_from=2,'Effectiveness settings'!EW265,'Effectiveness settings'!FI265)</f>
        <v>Assume equal to</v>
      </c>
      <c r="FX265" s="58" t="str">
        <f t="shared" si="369"/>
        <v>Assume equal to</v>
      </c>
      <c r="FY265" s="58" t="str">
        <f t="shared" si="370"/>
        <v>Assume equal to</v>
      </c>
      <c r="FZ265" s="58" t="str">
        <f t="shared" si="371"/>
        <v>Assume equal to</v>
      </c>
      <c r="GA265" s="58" t="str">
        <f t="shared" si="372"/>
        <v>Assume equal to</v>
      </c>
      <c r="GB265" s="58" t="str">
        <f t="shared" si="373"/>
        <v>Assume equal to</v>
      </c>
      <c r="GC265" s="58" t="str">
        <f t="shared" si="374"/>
        <v>Assume equal to</v>
      </c>
      <c r="GD265" s="58" t="str">
        <f t="shared" si="375"/>
        <v>Assume equal to</v>
      </c>
      <c r="GE265" s="58" t="str">
        <f>IF(AND(dd_CheckMate214_TTD="Yes",'Effectiveness settings'!BU265=2,'Effectiveness settings'!BX265=2),"Apply HR to",GD265)</f>
        <v>Assume equal to</v>
      </c>
      <c r="GF265" s="58" t="str">
        <f t="shared" si="376"/>
        <v>Assume equal to</v>
      </c>
      <c r="GG265" s="58" t="str">
        <f t="shared" si="377"/>
        <v>Assume equal to</v>
      </c>
      <c r="GH265" s="58" t="str">
        <f t="shared" si="378"/>
        <v>Assume equal to</v>
      </c>
      <c r="GI265" s="58" t="str">
        <f t="shared" si="415"/>
        <v>Assume equal to</v>
      </c>
      <c r="GK265" s="58">
        <f>IF(i_baseline_risk_from=2,'Effectiveness settings'!FA265,'Effectiveness settings'!FM265)</f>
        <v>1</v>
      </c>
      <c r="GL265" s="58">
        <f>IF(i_baseline_risk_from=2,'Effectiveness settings'!FB265,'Effectiveness settings'!FN265)</f>
        <v>7</v>
      </c>
      <c r="GM265" s="58">
        <f>IF(i_baseline_risk_from=2,'Effectiveness settings'!FC265,'Effectiveness settings'!FO265)</f>
        <v>2</v>
      </c>
      <c r="GN265" s="58">
        <f>IF(i_baseline_risk_from=2,'Effectiveness settings'!FD265,'Effectiveness settings'!FP265)</f>
        <v>0</v>
      </c>
      <c r="GQ265" s="58">
        <f t="shared" si="379"/>
        <v>7</v>
      </c>
      <c r="GR265" s="58">
        <f t="shared" si="380"/>
        <v>7</v>
      </c>
      <c r="GS265" s="58">
        <f t="shared" si="381"/>
        <v>7</v>
      </c>
      <c r="GT265" s="58">
        <f t="shared" si="382"/>
        <v>7</v>
      </c>
      <c r="GU265" s="58">
        <f>IF(AND(dd_CheckMate214_TTD="Yes",'Effectiveness settings'!BU265=2,'Effectiveness settings'!BX265=2),2,GT265)</f>
        <v>7</v>
      </c>
      <c r="GV265" s="58">
        <f t="shared" si="383"/>
        <v>7</v>
      </c>
      <c r="GW265" s="58">
        <f t="shared" si="384"/>
        <v>7</v>
      </c>
      <c r="GY265" s="58">
        <f>IF(AND(dd_CheckMate214_TTD="Yes",'Effectiveness settings'!BU265=2,'Effectiveness settings'!BX265=2),1,GN265)</f>
        <v>0</v>
      </c>
      <c r="GZ265" s="58">
        <f t="shared" si="385"/>
        <v>0</v>
      </c>
      <c r="HB265" s="58">
        <f t="shared" si="386"/>
        <v>0</v>
      </c>
      <c r="HD265" s="58">
        <f t="shared" si="416"/>
        <v>0</v>
      </c>
      <c r="HE265" s="58">
        <f t="shared" si="417"/>
        <v>1</v>
      </c>
      <c r="HF265" s="58">
        <f t="shared" si="418"/>
        <v>7</v>
      </c>
      <c r="HG265" s="58">
        <f t="shared" si="419"/>
        <v>2</v>
      </c>
      <c r="HH265" s="58">
        <f t="shared" si="420"/>
        <v>0</v>
      </c>
    </row>
    <row r="266" spans="1:216" ht="15.75" x14ac:dyDescent="0.25">
      <c r="D266" s="58" t="str">
        <v>sunitinib</v>
      </c>
      <c r="I266" s="64" t="s">
        <v>74</v>
      </c>
      <c r="J266" s="519" t="s">
        <v>544</v>
      </c>
      <c r="K266" s="524" t="s">
        <v>562</v>
      </c>
      <c r="L266" s="519" t="s">
        <v>547</v>
      </c>
      <c r="M266" s="516" t="s">
        <v>31</v>
      </c>
      <c r="N266" s="64" t="s">
        <v>546</v>
      </c>
      <c r="O266" s="64" t="s">
        <v>117</v>
      </c>
      <c r="P266" s="64" t="s">
        <v>547</v>
      </c>
      <c r="Q266" s="519" t="s">
        <v>544</v>
      </c>
      <c r="R266" s="516" t="s">
        <v>548</v>
      </c>
      <c r="S266" s="497"/>
      <c r="T266" s="497"/>
      <c r="U266" s="497"/>
      <c r="V266" s="58" t="s">
        <v>584</v>
      </c>
      <c r="W266" s="58" t="str">
        <v>sunitinib</v>
      </c>
      <c r="X266" s="64" t="s">
        <v>74</v>
      </c>
      <c r="Y266" s="519" t="s">
        <v>544</v>
      </c>
      <c r="Z266" s="524" t="s">
        <v>561</v>
      </c>
      <c r="AA266" s="519"/>
      <c r="AB266" s="516" t="s">
        <v>31</v>
      </c>
      <c r="AC266" s="64" t="s">
        <v>576</v>
      </c>
      <c r="AD266" s="64" t="s">
        <v>319</v>
      </c>
      <c r="AE266" s="64" t="s">
        <v>547</v>
      </c>
      <c r="AF266" s="519" t="s">
        <v>544</v>
      </c>
      <c r="AG266" s="516" t="s">
        <v>548</v>
      </c>
      <c r="AH266" s="497"/>
      <c r="AI266" s="497"/>
      <c r="AJ266" s="497"/>
      <c r="AL266" s="64" t="str">
        <f t="shared" si="389"/>
        <v>Yes</v>
      </c>
      <c r="AM266" s="519" t="s">
        <v>544</v>
      </c>
      <c r="AN266" s="524" t="s">
        <v>561</v>
      </c>
      <c r="AO266" s="519"/>
      <c r="AP266" s="516" t="s">
        <v>31</v>
      </c>
      <c r="AQ266" s="64" t="s">
        <v>577</v>
      </c>
      <c r="AR266" s="64" t="s">
        <v>319</v>
      </c>
      <c r="AS266" s="64" t="s">
        <v>547</v>
      </c>
      <c r="AT266" s="519" t="s">
        <v>544</v>
      </c>
      <c r="AU266" s="516" t="s">
        <v>548</v>
      </c>
      <c r="AV266" s="497">
        <v>1</v>
      </c>
      <c r="AW266" s="497">
        <v>1</v>
      </c>
      <c r="AX266" s="497">
        <v>1</v>
      </c>
      <c r="AZ266" s="64" t="str">
        <f t="shared" si="390"/>
        <v>Yes</v>
      </c>
      <c r="BA266" s="519" t="s">
        <v>544</v>
      </c>
      <c r="BB266" s="524" t="s">
        <v>578</v>
      </c>
      <c r="BC266" s="519" t="s">
        <v>547</v>
      </c>
      <c r="BD266" s="516" t="s">
        <v>31</v>
      </c>
      <c r="BE266" s="64" t="s">
        <v>577</v>
      </c>
      <c r="BF266" s="64" t="s">
        <v>117</v>
      </c>
      <c r="BG266" s="64" t="s">
        <v>547</v>
      </c>
      <c r="BH266" s="519" t="s">
        <v>544</v>
      </c>
      <c r="BI266" s="516" t="s">
        <v>548</v>
      </c>
      <c r="BJ266" s="497">
        <v>2.0059999999999998</v>
      </c>
      <c r="BK266" s="497">
        <v>1.45</v>
      </c>
      <c r="BL266" s="497">
        <v>2.7770000000000001</v>
      </c>
      <c r="BM266" s="58" t="s">
        <v>580</v>
      </c>
      <c r="BQ266" s="58">
        <f t="shared" si="366"/>
        <v>148</v>
      </c>
      <c r="BR266" s="61">
        <v>0</v>
      </c>
      <c r="BS266" s="61" t="s">
        <v>31</v>
      </c>
      <c r="BT266" s="17">
        <v>1</v>
      </c>
      <c r="BU266" s="17">
        <v>7</v>
      </c>
      <c r="BV266" s="17" t="str">
        <f t="shared" si="391"/>
        <v>sunitinib</v>
      </c>
      <c r="BW266" s="1006" t="str" cm="1">
        <f t="array" ref="BW266">IF(I266="No",I266,INDEX(List_incl_anal_1L_all,IF(BU266=999,35,BU266+1)))</f>
        <v>Yes</v>
      </c>
      <c r="BX266" s="61">
        <f t="shared" si="392"/>
        <v>0</v>
      </c>
      <c r="BY266" s="531" t="str">
        <f t="shared" si="421"/>
        <v>Overall survival</v>
      </c>
      <c r="BZ266" s="530" t="str">
        <f t="shared" si="393"/>
        <v>Trial survival analysis</v>
      </c>
      <c r="CA266" s="531" t="str">
        <f t="shared" si="422"/>
        <v>Real world evidence</v>
      </c>
      <c r="CB266" s="530">
        <f t="shared" si="394"/>
        <v>0</v>
      </c>
      <c r="CC266" s="530">
        <f t="shared" si="395"/>
        <v>1</v>
      </c>
      <c r="CD266" s="530">
        <f t="shared" si="396"/>
        <v>7</v>
      </c>
      <c r="CE266" s="1295">
        <f t="shared" si="397"/>
        <v>2</v>
      </c>
      <c r="CF266" s="1301">
        <f t="shared" si="398"/>
        <v>0</v>
      </c>
      <c r="CG266" s="530" t="str">
        <f t="shared" si="399"/>
        <v>Exponential</v>
      </c>
      <c r="CH266" s="61">
        <f t="shared" si="400"/>
        <v>0</v>
      </c>
      <c r="CI266" s="61">
        <f t="shared" si="401"/>
        <v>0</v>
      </c>
      <c r="CJ266" s="61">
        <f t="shared" si="402"/>
        <v>0</v>
      </c>
      <c r="DK266" s="58" t="str" cm="1">
        <f t="array" ref="DK266">IF(AND($BT266=4,$BX266=4,$BU266=999),$DB$36,_xlfn.IFNA(INDEX(DB$13:DB$70,MATCH(1,($BR266=$CV$13:$CV$70)*($BT266=$CX$13:$CX$70)*($CE266=$CY$13:$CY$70)*($BY266=$DA$13:$DA$70)*($CD266=$DH$13:$DH$70),0)),""))</f>
        <v>Exponential</v>
      </c>
      <c r="DL266" s="58" t="str" cm="1">
        <f t="array" ref="DL266">IF(AND($BT266=4,$BX266=4,$BU266=999),$DC$36,_xlfn.IFNA(INDEX(CHOOSE(DP266,DB$13:DB$70,DC$13:DC$70,DD$13:DD$70,DE$13:DE$70),MATCH(1,($BR266=$CV$13:$CV$70)*($BT266=$CX$13:$CX$70)*($CE266=$CY$13:$CY$70)*($BY266=$DA$13:$DA$70)*($CD266=$DH$13:$DH$70),0)),""))</f>
        <v>Exponential</v>
      </c>
      <c r="DM266" s="740" cm="1">
        <f t="array" ref="DM266">IF(AND($BT266=4,$BX266=4,$BU266=999),$DD$36,_xlfn.IFNA(INDEX(DD$13:DD$68,MATCH(1,($BR266=$CV$13:$CV$68)*($BT266=$CX$13:$CX$68)*($CE266=$CY$13:$CY$68)*($BY266=$DA$13:$DA$68)*($CD266=$DH$13:$DH$68),0)),""))</f>
        <v>0</v>
      </c>
      <c r="DN266" s="740" cm="1">
        <f t="array" ref="DN266">IF(AND($BT266=4,$BX266=4,$BU266=999),$DD$36,_xlfn.IFNA(INDEX(DE$13:DE$68,MATCH(1,($BR266=$CV$13:$CV$68)*($BT266=$CX$13:$CX$68)*($CE266=$CY$13:$CY$68)*($BY266=$DA$13:$DA$68)*($CD266=$DH$13:$DH$68),0)),""))</f>
        <v>0</v>
      </c>
      <c r="DO266" s="58" t="str" cm="1">
        <f t="array" ref="DO266">IF(AND($BT266=4,$BX266=4,$BU266=999),$DF$36,_xlfn.IFNA(INDEX(DF$13:DF$70,MATCH(1,($BR266=$CV$13:$CV$70)*($BT266=$CX$13:$CX$70)*($CE266=$CY$13:$CY$70)*($BY266=$DA$13:$DA$70)*($CD266=$DH$13:$DH$70),0)),""))</f>
        <v>Base case</v>
      </c>
      <c r="DP266" s="58">
        <f t="shared" si="367"/>
        <v>1</v>
      </c>
      <c r="DW266" s="58" t="s">
        <v>74</v>
      </c>
      <c r="DX266" s="58" t="s">
        <v>544</v>
      </c>
      <c r="DY266" s="58" t="s">
        <v>562</v>
      </c>
      <c r="DZ266" s="58" t="s">
        <v>547</v>
      </c>
      <c r="EB266" s="58">
        <v>0</v>
      </c>
      <c r="EC266" s="58">
        <v>1</v>
      </c>
      <c r="ED266" s="58">
        <v>7</v>
      </c>
      <c r="EE266" s="58">
        <v>2</v>
      </c>
      <c r="EF266" s="58">
        <v>0</v>
      </c>
      <c r="EI266" s="58" t="s">
        <v>74</v>
      </c>
      <c r="EJ266" s="58" t="s">
        <v>544</v>
      </c>
      <c r="EK266" s="58" t="s">
        <v>562</v>
      </c>
      <c r="EL266" s="58" t="s">
        <v>564</v>
      </c>
      <c r="EN266" s="58">
        <v>0</v>
      </c>
      <c r="EO266" s="58">
        <v>1</v>
      </c>
      <c r="EP266" s="58">
        <v>7</v>
      </c>
      <c r="EQ266" s="58">
        <v>0</v>
      </c>
      <c r="ER266" s="58">
        <v>0</v>
      </c>
      <c r="EU266" s="58" t="str">
        <f t="shared" si="403"/>
        <v>Yes</v>
      </c>
      <c r="EV266" s="58" t="str">
        <f t="shared" si="404"/>
        <v>Overall survival</v>
      </c>
      <c r="EW266" s="58" t="str">
        <f t="shared" si="405"/>
        <v>Trial survival analysis</v>
      </c>
      <c r="EX266" s="58" t="str">
        <f t="shared" si="406"/>
        <v>Real world evidence</v>
      </c>
      <c r="EZ266" s="58">
        <f t="shared" si="407"/>
        <v>0</v>
      </c>
      <c r="FA266" s="58">
        <f t="shared" si="408"/>
        <v>1</v>
      </c>
      <c r="FB266" s="58">
        <f>IF(i_eff_inputs_based_on_num=2,ED266,(INDEX(Lists!$L$51:$L$85,MATCH(O266,Lists!$K$51:$K$85,0))))</f>
        <v>7</v>
      </c>
      <c r="FC266" s="58">
        <f>IF(i_eff_inputs_based_on_num=2,EE266,(INDEX(Lists!$L$51:$L$85,MATCH(P266,Lists!$K$51:$K$85,0))))</f>
        <v>2</v>
      </c>
      <c r="FD266" s="58">
        <f>IF(i_eff_inputs_based_on_num=2,EF266,(INDEX(Lists!$L$51:$L$85,MATCH(Q266,Lists!$K$51:$K$85,0))))</f>
        <v>0</v>
      </c>
      <c r="FG266" s="58" t="str">
        <f t="shared" si="409"/>
        <v>Yes</v>
      </c>
      <c r="FH266" s="58" t="str">
        <f t="shared" si="410"/>
        <v>Overall survival</v>
      </c>
      <c r="FI266" s="58" t="str">
        <f t="shared" si="411"/>
        <v>Trial survival analysis</v>
      </c>
      <c r="FJ266" s="58" t="str">
        <f t="shared" si="412"/>
        <v>CheckMate 9ER</v>
      </c>
      <c r="FL266" s="58">
        <f t="shared" si="413"/>
        <v>0</v>
      </c>
      <c r="FM266" s="58">
        <f t="shared" si="414"/>
        <v>1</v>
      </c>
      <c r="FN266" s="58">
        <f>IF(i_eff_inputs_based_on_num=2,EP266,(INDEX(Lists!$L$51:$L$85,MATCH(O266,Lists!$K$51:$K$85,0))))</f>
        <v>7</v>
      </c>
      <c r="FO266" s="58">
        <f>IF(i_eff_inputs_based_on_num=2,EQ266,(INDEX(Lists!$L$51:$L$85,MATCH(P266,Lists!$K$51:$K$85,0))))</f>
        <v>0</v>
      </c>
      <c r="FP266" s="58">
        <f>IF(i_eff_inputs_based_on_num=2,ER266,(INDEX(Lists!$L$51:$L$85,MATCH(Q266,Lists!$K$51:$K$85,0))))</f>
        <v>0</v>
      </c>
      <c r="FT266" s="58" t="str">
        <f t="shared" si="368"/>
        <v>Real world evidence</v>
      </c>
      <c r="FW266" s="58" t="str">
        <f>IF(i_baseline_risk_from=2,'Effectiveness settings'!EW266,'Effectiveness settings'!FI266)</f>
        <v>Trial survival analysis</v>
      </c>
      <c r="FX266" s="58" t="str">
        <f t="shared" si="369"/>
        <v>Trial survival analysis</v>
      </c>
      <c r="FY266" s="58" t="str">
        <f t="shared" si="370"/>
        <v>Trial survival analysis</v>
      </c>
      <c r="FZ266" s="58" t="str">
        <f t="shared" si="371"/>
        <v>Trial survival analysis</v>
      </c>
      <c r="GA266" s="58" t="str">
        <f t="shared" si="372"/>
        <v>Trial survival analysis</v>
      </c>
      <c r="GB266" s="58" t="str">
        <f t="shared" si="373"/>
        <v>Trial survival analysis</v>
      </c>
      <c r="GC266" s="58" t="str">
        <f t="shared" si="374"/>
        <v>Trial survival analysis</v>
      </c>
      <c r="GD266" s="58" t="str">
        <f t="shared" si="375"/>
        <v>Trial survival analysis</v>
      </c>
      <c r="GE266" s="58" t="str">
        <f>IF(AND(dd_CheckMate214_TTD="Yes",'Effectiveness settings'!BU266=2,'Effectiveness settings'!BX266=2),"Apply HR to",GD266)</f>
        <v>Trial survival analysis</v>
      </c>
      <c r="GF266" s="58" t="str">
        <f t="shared" si="376"/>
        <v>Trial survival analysis</v>
      </c>
      <c r="GG266" s="58" t="str">
        <f t="shared" si="377"/>
        <v>Trial survival analysis</v>
      </c>
      <c r="GH266" s="58" t="str">
        <f t="shared" si="378"/>
        <v>Trial survival analysis</v>
      </c>
      <c r="GI266" s="58" t="str">
        <f t="shared" si="415"/>
        <v>Trial survival analysis</v>
      </c>
      <c r="GK266" s="58">
        <f>IF(i_baseline_risk_from=2,'Effectiveness settings'!FA266,'Effectiveness settings'!FM266)</f>
        <v>1</v>
      </c>
      <c r="GL266" s="58">
        <f>IF(i_baseline_risk_from=2,'Effectiveness settings'!FB266,'Effectiveness settings'!FN266)</f>
        <v>7</v>
      </c>
      <c r="GM266" s="58">
        <f>IF(i_baseline_risk_from=2,'Effectiveness settings'!FC266,'Effectiveness settings'!FO266)</f>
        <v>2</v>
      </c>
      <c r="GN266" s="58">
        <f>IF(i_baseline_risk_from=2,'Effectiveness settings'!FD266,'Effectiveness settings'!FP266)</f>
        <v>0</v>
      </c>
      <c r="GQ266" s="58">
        <f t="shared" si="379"/>
        <v>7</v>
      </c>
      <c r="GR266" s="58">
        <f t="shared" si="380"/>
        <v>7</v>
      </c>
      <c r="GS266" s="58">
        <f t="shared" si="381"/>
        <v>7</v>
      </c>
      <c r="GT266" s="58">
        <f t="shared" si="382"/>
        <v>7</v>
      </c>
      <c r="GU266" s="58">
        <f>IF(AND(dd_CheckMate214_TTD="Yes",'Effectiveness settings'!BU266=2,'Effectiveness settings'!BX266=2),2,GT266)</f>
        <v>7</v>
      </c>
      <c r="GV266" s="58">
        <f t="shared" si="383"/>
        <v>7</v>
      </c>
      <c r="GW266" s="58">
        <f t="shared" si="384"/>
        <v>7</v>
      </c>
      <c r="GY266" s="58">
        <f>IF(AND(dd_CheckMate214_TTD="Yes",'Effectiveness settings'!BU266=2,'Effectiveness settings'!BX266=2),1,GN266)</f>
        <v>0</v>
      </c>
      <c r="GZ266" s="58">
        <f t="shared" si="385"/>
        <v>0</v>
      </c>
      <c r="HB266" s="58">
        <f t="shared" si="386"/>
        <v>0</v>
      </c>
      <c r="HD266" s="58">
        <f t="shared" si="416"/>
        <v>0</v>
      </c>
      <c r="HE266" s="58">
        <f t="shared" si="417"/>
        <v>1</v>
      </c>
      <c r="HF266" s="58">
        <f t="shared" si="418"/>
        <v>7</v>
      </c>
      <c r="HG266" s="58">
        <f t="shared" si="419"/>
        <v>2</v>
      </c>
      <c r="HH266" s="58">
        <f t="shared" si="420"/>
        <v>0</v>
      </c>
    </row>
    <row r="267" spans="1:216" ht="15.75" x14ac:dyDescent="0.25">
      <c r="D267" s="58" t="str">
        <v>cabozantinib</v>
      </c>
      <c r="I267" s="64" t="s">
        <v>58</v>
      </c>
      <c r="J267" s="519" t="s">
        <v>544</v>
      </c>
      <c r="K267" s="524" t="s">
        <v>63</v>
      </c>
      <c r="L267" s="519"/>
      <c r="M267" s="516" t="s">
        <v>31</v>
      </c>
      <c r="N267" s="64" t="s">
        <v>546</v>
      </c>
      <c r="O267" s="64" t="s">
        <v>117</v>
      </c>
      <c r="P267" s="64" t="s">
        <v>547</v>
      </c>
      <c r="Q267" s="519" t="s">
        <v>544</v>
      </c>
      <c r="R267" s="516" t="s">
        <v>548</v>
      </c>
      <c r="S267" s="497"/>
      <c r="T267" s="497"/>
      <c r="U267" s="497"/>
      <c r="W267" s="58" t="str">
        <v>cabozantinib</v>
      </c>
      <c r="X267" s="64" t="s">
        <v>74</v>
      </c>
      <c r="Y267" s="519" t="s">
        <v>544</v>
      </c>
      <c r="Z267" s="524" t="s">
        <v>562</v>
      </c>
      <c r="AA267" s="519" t="s">
        <v>547</v>
      </c>
      <c r="AB267" s="516" t="s">
        <v>31</v>
      </c>
      <c r="AC267" s="64" t="s">
        <v>576</v>
      </c>
      <c r="AD267" s="64" t="s">
        <v>118</v>
      </c>
      <c r="AE267" s="64" t="s">
        <v>547</v>
      </c>
      <c r="AF267" s="519" t="s">
        <v>544</v>
      </c>
      <c r="AG267" s="516" t="s">
        <v>548</v>
      </c>
      <c r="AH267" s="497"/>
      <c r="AI267" s="497"/>
      <c r="AJ267" s="497"/>
      <c r="AL267" s="64" t="str">
        <f t="shared" si="389"/>
        <v>Yes</v>
      </c>
      <c r="AM267" s="519" t="s">
        <v>544</v>
      </c>
      <c r="AN267" s="524" t="s">
        <v>562</v>
      </c>
      <c r="AO267" s="519" t="s">
        <v>547</v>
      </c>
      <c r="AP267" s="516" t="s">
        <v>31</v>
      </c>
      <c r="AQ267" s="64" t="s">
        <v>577</v>
      </c>
      <c r="AR267" s="64" t="s">
        <v>118</v>
      </c>
      <c r="AS267" s="64" t="s">
        <v>547</v>
      </c>
      <c r="AT267" s="519" t="s">
        <v>544</v>
      </c>
      <c r="AU267" s="516" t="s">
        <v>548</v>
      </c>
      <c r="AV267" s="497"/>
      <c r="AW267" s="497"/>
      <c r="AX267" s="497"/>
      <c r="AZ267" s="64" t="str">
        <f t="shared" si="390"/>
        <v>Yes</v>
      </c>
      <c r="BA267" s="519" t="s">
        <v>544</v>
      </c>
      <c r="BB267" s="524" t="s">
        <v>578</v>
      </c>
      <c r="BC267" s="519" t="s">
        <v>547</v>
      </c>
      <c r="BD267" s="516" t="s">
        <v>31</v>
      </c>
      <c r="BE267" s="64" t="s">
        <v>577</v>
      </c>
      <c r="BF267" s="64" t="s">
        <v>118</v>
      </c>
      <c r="BG267" s="64" t="s">
        <v>547</v>
      </c>
      <c r="BH267" s="519" t="s">
        <v>544</v>
      </c>
      <c r="BI267" s="516" t="s">
        <v>548</v>
      </c>
      <c r="BJ267" s="497">
        <v>2.0059999999999998</v>
      </c>
      <c r="BK267" s="497">
        <v>1.45</v>
      </c>
      <c r="BL267" s="497">
        <v>2.7770000000000001</v>
      </c>
      <c r="BM267" s="58" t="s">
        <v>580</v>
      </c>
      <c r="BQ267" s="58">
        <f t="shared" si="366"/>
        <v>149</v>
      </c>
      <c r="BR267" s="61">
        <v>0</v>
      </c>
      <c r="BS267" s="61" t="s">
        <v>31</v>
      </c>
      <c r="BT267" s="17">
        <v>1</v>
      </c>
      <c r="BU267" s="17">
        <v>8</v>
      </c>
      <c r="BV267" s="17" t="str">
        <f t="shared" si="391"/>
        <v>cabozantinib</v>
      </c>
      <c r="BW267" s="1006" t="str" cm="1">
        <f t="array" ref="BW267">IF(I267="No",I267,INDEX(List_incl_anal_1L_all,IF(BU267=999,35,BU267+1)))</f>
        <v>No</v>
      </c>
      <c r="BX267" s="61">
        <f t="shared" si="392"/>
        <v>0</v>
      </c>
      <c r="BY267" s="531" t="str">
        <f t="shared" si="421"/>
        <v>Overall survival</v>
      </c>
      <c r="BZ267" s="530">
        <f t="shared" si="393"/>
        <v>0</v>
      </c>
      <c r="CA267" s="531">
        <f t="shared" si="422"/>
        <v>0</v>
      </c>
      <c r="CB267" s="530">
        <f t="shared" si="394"/>
        <v>0</v>
      </c>
      <c r="CC267" s="530">
        <f t="shared" si="395"/>
        <v>1</v>
      </c>
      <c r="CD267" s="530">
        <f t="shared" si="396"/>
        <v>7</v>
      </c>
      <c r="CE267" s="1295">
        <f t="shared" si="397"/>
        <v>2</v>
      </c>
      <c r="CF267" s="1301">
        <f t="shared" si="398"/>
        <v>0</v>
      </c>
      <c r="CG267" s="530" t="str">
        <f t="shared" si="399"/>
        <v>Exponential</v>
      </c>
      <c r="CH267" s="61">
        <f t="shared" si="400"/>
        <v>0</v>
      </c>
      <c r="CI267" s="61">
        <f t="shared" si="401"/>
        <v>0</v>
      </c>
      <c r="CJ267" s="61">
        <f t="shared" si="402"/>
        <v>0</v>
      </c>
      <c r="DK267" s="58" t="str" cm="1">
        <f t="array" ref="DK267">IF(AND($BT267=4,$BX267=4,$BU267=999),$DB$36,_xlfn.IFNA(INDEX(DB$13:DB$70,MATCH(1,($BR267=$CV$13:$CV$70)*($BT267=$CX$13:$CX$70)*($CE267=$CY$13:$CY$70)*($BY267=$DA$13:$DA$70)*($CD267=$DH$13:$DH$70),0)),""))</f>
        <v>Exponential</v>
      </c>
      <c r="DL267" s="58" t="str" cm="1">
        <f t="array" ref="DL267">IF(AND($BT267=4,$BX267=4,$BU267=999),$DC$36,_xlfn.IFNA(INDEX(CHOOSE(DP267,DB$13:DB$70,DC$13:DC$70,DD$13:DD$70,DE$13:DE$70),MATCH(1,($BR267=$CV$13:$CV$70)*($BT267=$CX$13:$CX$70)*($CE267=$CY$13:$CY$70)*($BY267=$DA$13:$DA$70)*($CD267=$DH$13:$DH$70),0)),""))</f>
        <v>Exponential</v>
      </c>
      <c r="DM267" s="740" cm="1">
        <f t="array" ref="DM267">IF(AND($BT267=4,$BX267=4,$BU267=999),$DD$36,_xlfn.IFNA(INDEX(DD$13:DD$68,MATCH(1,($BR267=$CV$13:$CV$68)*($BT267=$CX$13:$CX$68)*($CE267=$CY$13:$CY$68)*($BY267=$DA$13:$DA$68)*($CD267=$DH$13:$DH$68),0)),""))</f>
        <v>0</v>
      </c>
      <c r="DN267" s="740" cm="1">
        <f t="array" ref="DN267">IF(AND($BT267=4,$BX267=4,$BU267=999),$DD$36,_xlfn.IFNA(INDEX(DE$13:DE$68,MATCH(1,($BR267=$CV$13:$CV$68)*($BT267=$CX$13:$CX$68)*($CE267=$CY$13:$CY$68)*($BY267=$DA$13:$DA$68)*($CD267=$DH$13:$DH$68),0)),""))</f>
        <v>0</v>
      </c>
      <c r="DO267" s="58" t="str" cm="1">
        <f t="array" ref="DO267">IF(AND($BT267=4,$BX267=4,$BU267=999),$DF$36,_xlfn.IFNA(INDEX(DF$13:DF$70,MATCH(1,($BR267=$CV$13:$CV$70)*($BT267=$CX$13:$CX$70)*($CE267=$CY$13:$CY$70)*($BY267=$DA$13:$DA$70)*($CD267=$DH$13:$DH$70),0)),""))</f>
        <v>Base case</v>
      </c>
      <c r="DP267" s="58">
        <f t="shared" si="367"/>
        <v>1</v>
      </c>
      <c r="DW267" s="58" t="s">
        <v>58</v>
      </c>
      <c r="DX267" s="58" t="s">
        <v>544</v>
      </c>
      <c r="DY267" s="58">
        <v>0</v>
      </c>
      <c r="DZ267" s="58">
        <v>0</v>
      </c>
      <c r="EB267" s="58">
        <v>0</v>
      </c>
      <c r="EC267" s="58">
        <v>1</v>
      </c>
      <c r="ED267" s="58">
        <v>7</v>
      </c>
      <c r="EE267" s="58">
        <v>2</v>
      </c>
      <c r="EF267" s="58">
        <v>0</v>
      </c>
      <c r="EI267" s="58" t="s">
        <v>58</v>
      </c>
      <c r="EJ267" s="58" t="s">
        <v>544</v>
      </c>
      <c r="EK267" s="58">
        <v>0</v>
      </c>
      <c r="EL267" s="58">
        <v>0</v>
      </c>
      <c r="EN267" s="58">
        <v>0</v>
      </c>
      <c r="EO267" s="58">
        <v>1</v>
      </c>
      <c r="EP267" s="58">
        <v>7</v>
      </c>
      <c r="EQ267" s="58">
        <v>0</v>
      </c>
      <c r="ER267" s="58">
        <v>0</v>
      </c>
      <c r="EU267" s="58" t="str">
        <f t="shared" si="403"/>
        <v>No</v>
      </c>
      <c r="EV267" s="58" t="str">
        <f t="shared" si="404"/>
        <v>Overall survival</v>
      </c>
      <c r="EW267" s="58">
        <f t="shared" si="405"/>
        <v>0</v>
      </c>
      <c r="EX267" s="58">
        <f t="shared" si="406"/>
        <v>0</v>
      </c>
      <c r="EZ267" s="58">
        <f t="shared" si="407"/>
        <v>0</v>
      </c>
      <c r="FA267" s="58">
        <f t="shared" si="408"/>
        <v>1</v>
      </c>
      <c r="FB267" s="58">
        <f>IF(i_eff_inputs_based_on_num=2,ED267,(INDEX(Lists!$L$51:$L$85,MATCH(O267,Lists!$K$51:$K$85,0))))</f>
        <v>7</v>
      </c>
      <c r="FC267" s="58">
        <f>IF(i_eff_inputs_based_on_num=2,EE267,(INDEX(Lists!$L$51:$L$85,MATCH(P267,Lists!$K$51:$K$85,0))))</f>
        <v>2</v>
      </c>
      <c r="FD267" s="58">
        <f>IF(i_eff_inputs_based_on_num=2,EF267,(INDEX(Lists!$L$51:$L$85,MATCH(Q267,Lists!$K$51:$K$85,0))))</f>
        <v>0</v>
      </c>
      <c r="FG267" s="58" t="str">
        <f t="shared" si="409"/>
        <v>No</v>
      </c>
      <c r="FH267" s="58" t="str">
        <f t="shared" si="410"/>
        <v>Overall survival</v>
      </c>
      <c r="FI267" s="58">
        <f t="shared" si="411"/>
        <v>0</v>
      </c>
      <c r="FJ267" s="58">
        <f t="shared" si="412"/>
        <v>0</v>
      </c>
      <c r="FL267" s="58">
        <f t="shared" si="413"/>
        <v>0</v>
      </c>
      <c r="FM267" s="58">
        <f t="shared" si="414"/>
        <v>1</v>
      </c>
      <c r="FN267" s="58">
        <f>IF(i_eff_inputs_based_on_num=2,EP267,(INDEX(Lists!$L$51:$L$85,MATCH(O267,Lists!$K$51:$K$85,0))))</f>
        <v>7</v>
      </c>
      <c r="FO267" s="58">
        <f>IF(i_eff_inputs_based_on_num=2,EQ267,(INDEX(Lists!$L$51:$L$85,MATCH(P267,Lists!$K$51:$K$85,0))))</f>
        <v>0</v>
      </c>
      <c r="FP267" s="58">
        <f>IF(i_eff_inputs_based_on_num=2,ER267,(INDEX(Lists!$L$51:$L$85,MATCH(Q267,Lists!$K$51:$K$85,0))))</f>
        <v>0</v>
      </c>
      <c r="FT267" s="58">
        <f t="shared" si="368"/>
        <v>0</v>
      </c>
      <c r="FW267" s="58">
        <f>IF(i_baseline_risk_from=2,'Effectiveness settings'!EW267,'Effectiveness settings'!FI267)</f>
        <v>0</v>
      </c>
      <c r="FX267" s="58">
        <f t="shared" si="369"/>
        <v>0</v>
      </c>
      <c r="FY267" s="58">
        <f t="shared" si="370"/>
        <v>0</v>
      </c>
      <c r="FZ267" s="58">
        <f t="shared" si="371"/>
        <v>0</v>
      </c>
      <c r="GA267" s="58">
        <f t="shared" si="372"/>
        <v>0</v>
      </c>
      <c r="GB267" s="58">
        <f t="shared" si="373"/>
        <v>0</v>
      </c>
      <c r="GC267" s="58">
        <f t="shared" si="374"/>
        <v>0</v>
      </c>
      <c r="GD267" s="58">
        <f t="shared" si="375"/>
        <v>0</v>
      </c>
      <c r="GE267" s="58">
        <f>IF(AND(dd_CheckMate214_TTD="Yes",'Effectiveness settings'!BU267=2,'Effectiveness settings'!BX267=2),"Apply HR to",GD267)</f>
        <v>0</v>
      </c>
      <c r="GF267" s="58">
        <f t="shared" si="376"/>
        <v>0</v>
      </c>
      <c r="GG267" s="58">
        <f t="shared" si="377"/>
        <v>0</v>
      </c>
      <c r="GH267" s="58">
        <f t="shared" si="378"/>
        <v>0</v>
      </c>
      <c r="GI267" s="58">
        <f t="shared" si="415"/>
        <v>0</v>
      </c>
      <c r="GK267" s="58">
        <f>IF(i_baseline_risk_from=2,'Effectiveness settings'!FA267,'Effectiveness settings'!FM267)</f>
        <v>1</v>
      </c>
      <c r="GL267" s="58">
        <f>IF(i_baseline_risk_from=2,'Effectiveness settings'!FB267,'Effectiveness settings'!FN267)</f>
        <v>7</v>
      </c>
      <c r="GM267" s="58">
        <f>IF(i_baseline_risk_from=2,'Effectiveness settings'!FC267,'Effectiveness settings'!FO267)</f>
        <v>2</v>
      </c>
      <c r="GN267" s="58">
        <f>IF(i_baseline_risk_from=2,'Effectiveness settings'!FD267,'Effectiveness settings'!FP267)</f>
        <v>0</v>
      </c>
      <c r="GQ267" s="58">
        <f t="shared" si="379"/>
        <v>7</v>
      </c>
      <c r="GR267" s="58">
        <f t="shared" si="380"/>
        <v>7</v>
      </c>
      <c r="GS267" s="58">
        <f t="shared" si="381"/>
        <v>7</v>
      </c>
      <c r="GT267" s="58">
        <f t="shared" si="382"/>
        <v>7</v>
      </c>
      <c r="GU267" s="58">
        <f>IF(AND(dd_CheckMate214_TTD="Yes",'Effectiveness settings'!BU267=2,'Effectiveness settings'!BX267=2),2,GT267)</f>
        <v>7</v>
      </c>
      <c r="GV267" s="58">
        <f t="shared" si="383"/>
        <v>7</v>
      </c>
      <c r="GW267" s="58">
        <f t="shared" si="384"/>
        <v>7</v>
      </c>
      <c r="GY267" s="58">
        <f>IF(AND(dd_CheckMate214_TTD="Yes",'Effectiveness settings'!BU267=2,'Effectiveness settings'!BX267=2),1,GN267)</f>
        <v>0</v>
      </c>
      <c r="GZ267" s="58">
        <f t="shared" si="385"/>
        <v>0</v>
      </c>
      <c r="HB267" s="58">
        <f t="shared" si="386"/>
        <v>0</v>
      </c>
      <c r="HD267" s="58">
        <f t="shared" si="416"/>
        <v>0</v>
      </c>
      <c r="HE267" s="58">
        <f t="shared" si="417"/>
        <v>1</v>
      </c>
      <c r="HF267" s="58">
        <f t="shared" si="418"/>
        <v>7</v>
      </c>
      <c r="HG267" s="58">
        <f t="shared" si="419"/>
        <v>2</v>
      </c>
      <c r="HH267" s="58">
        <f t="shared" si="420"/>
        <v>0</v>
      </c>
    </row>
    <row r="268" spans="1:216" ht="15.75" x14ac:dyDescent="0.25">
      <c r="D268" s="58" t="str">
        <v>lenvatinib_plus_everolimus</v>
      </c>
      <c r="I268" s="64" t="s">
        <v>58</v>
      </c>
      <c r="J268" s="519" t="s">
        <v>544</v>
      </c>
      <c r="K268" s="524"/>
      <c r="L268" s="519"/>
      <c r="M268" s="516" t="s">
        <v>31</v>
      </c>
      <c r="N268" s="64" t="s">
        <v>546</v>
      </c>
      <c r="O268" s="64" t="s">
        <v>117</v>
      </c>
      <c r="P268" s="64" t="s">
        <v>547</v>
      </c>
      <c r="Q268" s="519" t="s">
        <v>544</v>
      </c>
      <c r="R268" s="516" t="s">
        <v>548</v>
      </c>
      <c r="S268" s="497"/>
      <c r="T268" s="497"/>
      <c r="U268" s="497"/>
      <c r="W268" s="58" t="str">
        <v>lenvatinib_plus_everolimus</v>
      </c>
      <c r="X268" s="64" t="s">
        <v>74</v>
      </c>
      <c r="Y268" s="519" t="s">
        <v>544</v>
      </c>
      <c r="Z268" s="524" t="s">
        <v>63</v>
      </c>
      <c r="AA268" s="519"/>
      <c r="AB268" s="516" t="s">
        <v>31</v>
      </c>
      <c r="AC268" s="64" t="s">
        <v>576</v>
      </c>
      <c r="AD268" s="64" t="s">
        <v>118</v>
      </c>
      <c r="AE268" s="64" t="s">
        <v>547</v>
      </c>
      <c r="AF268" s="519" t="s">
        <v>544</v>
      </c>
      <c r="AG268" s="516" t="s">
        <v>548</v>
      </c>
      <c r="AH268" s="497"/>
      <c r="AI268" s="497"/>
      <c r="AJ268" s="497"/>
      <c r="AL268" s="64" t="str">
        <f t="shared" si="389"/>
        <v>Yes</v>
      </c>
      <c r="AM268" s="519" t="s">
        <v>544</v>
      </c>
      <c r="AN268" s="524" t="s">
        <v>63</v>
      </c>
      <c r="AO268" s="519"/>
      <c r="AP268" s="516" t="s">
        <v>31</v>
      </c>
      <c r="AQ268" s="64" t="s">
        <v>577</v>
      </c>
      <c r="AR268" s="64" t="s">
        <v>118</v>
      </c>
      <c r="AS268" s="64" t="s">
        <v>547</v>
      </c>
      <c r="AT268" s="519" t="s">
        <v>544</v>
      </c>
      <c r="AU268" s="516" t="s">
        <v>548</v>
      </c>
      <c r="AV268" s="497"/>
      <c r="AW268" s="497"/>
      <c r="AX268" s="497"/>
      <c r="AZ268" s="64" t="str">
        <f t="shared" si="390"/>
        <v>Yes</v>
      </c>
      <c r="BA268" s="519" t="s">
        <v>544</v>
      </c>
      <c r="BB268" s="524" t="s">
        <v>578</v>
      </c>
      <c r="BC268" s="519" t="s">
        <v>547</v>
      </c>
      <c r="BD268" s="516" t="s">
        <v>31</v>
      </c>
      <c r="BE268" s="64" t="s">
        <v>577</v>
      </c>
      <c r="BF268" s="64" t="s">
        <v>333</v>
      </c>
      <c r="BG268" s="64" t="s">
        <v>547</v>
      </c>
      <c r="BH268" s="519" t="s">
        <v>544</v>
      </c>
      <c r="BI268" s="516" t="s">
        <v>548</v>
      </c>
      <c r="BJ268" s="497">
        <v>2.0059999999999998</v>
      </c>
      <c r="BK268" s="497">
        <v>1.45</v>
      </c>
      <c r="BL268" s="497">
        <v>2.7770000000000001</v>
      </c>
      <c r="BM268" s="58" t="s">
        <v>580</v>
      </c>
      <c r="BQ268" s="58">
        <f t="shared" si="366"/>
        <v>150</v>
      </c>
      <c r="BR268" s="61">
        <v>0</v>
      </c>
      <c r="BS268" s="61" t="s">
        <v>31</v>
      </c>
      <c r="BT268" s="17">
        <v>1</v>
      </c>
      <c r="BU268" s="17">
        <v>9</v>
      </c>
      <c r="BV268" s="17" t="str">
        <f t="shared" si="391"/>
        <v>lenvatinib_plus_everolimus</v>
      </c>
      <c r="BW268" s="1006" t="str" cm="1">
        <f t="array" ref="BW268">IF(I268="No",I268,INDEX(List_incl_anal_1L_all,IF(BU268=999,35,BU268+1)))</f>
        <v>No</v>
      </c>
      <c r="BX268" s="61">
        <f t="shared" si="392"/>
        <v>0</v>
      </c>
      <c r="BY268" s="531" t="str">
        <f t="shared" si="421"/>
        <v>Overall survival</v>
      </c>
      <c r="BZ268" s="530">
        <f t="shared" si="393"/>
        <v>0</v>
      </c>
      <c r="CA268" s="531">
        <f t="shared" si="422"/>
        <v>0</v>
      </c>
      <c r="CB268" s="530">
        <f t="shared" si="394"/>
        <v>0</v>
      </c>
      <c r="CC268" s="530">
        <f t="shared" si="395"/>
        <v>1</v>
      </c>
      <c r="CD268" s="530">
        <f t="shared" si="396"/>
        <v>7</v>
      </c>
      <c r="CE268" s="1295">
        <f t="shared" si="397"/>
        <v>2</v>
      </c>
      <c r="CF268" s="1301">
        <f t="shared" si="398"/>
        <v>0</v>
      </c>
      <c r="CG268" s="530" t="str">
        <f t="shared" si="399"/>
        <v>Exponential</v>
      </c>
      <c r="CH268" s="61">
        <f t="shared" si="400"/>
        <v>0</v>
      </c>
      <c r="CI268" s="61">
        <f t="shared" si="401"/>
        <v>0</v>
      </c>
      <c r="CJ268" s="61">
        <f t="shared" si="402"/>
        <v>0</v>
      </c>
      <c r="DK268" s="58" t="str" cm="1">
        <f t="array" ref="DK268">IF(AND($BT268=4,$BX268=4,$BU268=999),$DB$36,_xlfn.IFNA(INDEX(DB$13:DB$70,MATCH(1,($BR268=$CV$13:$CV$70)*($BT268=$CX$13:$CX$70)*($CE268=$CY$13:$CY$70)*($BY268=$DA$13:$DA$70)*($CD268=$DH$13:$DH$70),0)),""))</f>
        <v>Exponential</v>
      </c>
      <c r="DL268" s="58" t="str" cm="1">
        <f t="array" ref="DL268">IF(AND($BT268=4,$BX268=4,$BU268=999),$DC$36,_xlfn.IFNA(INDEX(CHOOSE(DP268,DB$13:DB$70,DC$13:DC$70,DD$13:DD$70,DE$13:DE$70),MATCH(1,($BR268=$CV$13:$CV$70)*($BT268=$CX$13:$CX$70)*($CE268=$CY$13:$CY$70)*($BY268=$DA$13:$DA$70)*($CD268=$DH$13:$DH$70),0)),""))</f>
        <v>Exponential</v>
      </c>
      <c r="DM268" s="740" cm="1">
        <f t="array" ref="DM268">IF(AND($BT268=4,$BX268=4,$BU268=999),$DD$36,_xlfn.IFNA(INDEX(DD$13:DD$68,MATCH(1,($BR268=$CV$13:$CV$68)*($BT268=$CX$13:$CX$68)*($CE268=$CY$13:$CY$68)*($BY268=$DA$13:$DA$68)*($CD268=$DH$13:$DH$68),0)),""))</f>
        <v>0</v>
      </c>
      <c r="DN268" s="740" cm="1">
        <f t="array" ref="DN268">IF(AND($BT268=4,$BX268=4,$BU268=999),$DD$36,_xlfn.IFNA(INDEX(DE$13:DE$68,MATCH(1,($BR268=$CV$13:$CV$68)*($BT268=$CX$13:$CX$68)*($CE268=$CY$13:$CY$68)*($BY268=$DA$13:$DA$68)*($CD268=$DH$13:$DH$68),0)),""))</f>
        <v>0</v>
      </c>
      <c r="DO268" s="58" t="str" cm="1">
        <f t="array" ref="DO268">IF(AND($BT268=4,$BX268=4,$BU268=999),$DF$36,_xlfn.IFNA(INDEX(DF$13:DF$70,MATCH(1,($BR268=$CV$13:$CV$70)*($BT268=$CX$13:$CX$70)*($CE268=$CY$13:$CY$70)*($BY268=$DA$13:$DA$70)*($CD268=$DH$13:$DH$70),0)),""))</f>
        <v>Base case</v>
      </c>
      <c r="DP268" s="58">
        <f t="shared" si="367"/>
        <v>1</v>
      </c>
      <c r="DW268" s="58" t="s">
        <v>58</v>
      </c>
      <c r="DX268" s="58" t="s">
        <v>544</v>
      </c>
      <c r="DY268" s="58">
        <v>0</v>
      </c>
      <c r="DZ268" s="58">
        <v>0</v>
      </c>
      <c r="EB268" s="58">
        <v>0</v>
      </c>
      <c r="EC268" s="58">
        <v>1</v>
      </c>
      <c r="ED268" s="58">
        <v>7</v>
      </c>
      <c r="EE268" s="58">
        <v>2</v>
      </c>
      <c r="EF268" s="58">
        <v>0</v>
      </c>
      <c r="EI268" s="58" t="s">
        <v>58</v>
      </c>
      <c r="EJ268" s="58" t="s">
        <v>544</v>
      </c>
      <c r="EK268" s="58">
        <v>0</v>
      </c>
      <c r="EL268" s="58">
        <v>0</v>
      </c>
      <c r="EN268" s="58">
        <v>0</v>
      </c>
      <c r="EO268" s="58">
        <v>1</v>
      </c>
      <c r="EP268" s="58">
        <v>7</v>
      </c>
      <c r="EQ268" s="58">
        <v>0</v>
      </c>
      <c r="ER268" s="58">
        <v>0</v>
      </c>
      <c r="EU268" s="58" t="str">
        <f t="shared" si="403"/>
        <v>No</v>
      </c>
      <c r="EV268" s="58" t="str">
        <f t="shared" si="404"/>
        <v>Overall survival</v>
      </c>
      <c r="EW268" s="58">
        <f t="shared" si="405"/>
        <v>0</v>
      </c>
      <c r="EX268" s="58">
        <f t="shared" si="406"/>
        <v>0</v>
      </c>
      <c r="EZ268" s="58">
        <f t="shared" si="407"/>
        <v>0</v>
      </c>
      <c r="FA268" s="58">
        <f t="shared" si="408"/>
        <v>1</v>
      </c>
      <c r="FB268" s="58">
        <f>IF(i_eff_inputs_based_on_num=2,ED268,(INDEX(Lists!$L$51:$L$85,MATCH(O268,Lists!$K$51:$K$85,0))))</f>
        <v>7</v>
      </c>
      <c r="FC268" s="58">
        <f>IF(i_eff_inputs_based_on_num=2,EE268,(INDEX(Lists!$L$51:$L$85,MATCH(P268,Lists!$K$51:$K$85,0))))</f>
        <v>2</v>
      </c>
      <c r="FD268" s="58">
        <f>IF(i_eff_inputs_based_on_num=2,EF268,(INDEX(Lists!$L$51:$L$85,MATCH(Q268,Lists!$K$51:$K$85,0))))</f>
        <v>0</v>
      </c>
      <c r="FG268" s="58" t="str">
        <f t="shared" si="409"/>
        <v>No</v>
      </c>
      <c r="FH268" s="58" t="str">
        <f t="shared" si="410"/>
        <v>Overall survival</v>
      </c>
      <c r="FI268" s="58">
        <f t="shared" si="411"/>
        <v>0</v>
      </c>
      <c r="FJ268" s="58">
        <f t="shared" si="412"/>
        <v>0</v>
      </c>
      <c r="FL268" s="58">
        <f t="shared" si="413"/>
        <v>0</v>
      </c>
      <c r="FM268" s="58">
        <f t="shared" si="414"/>
        <v>1</v>
      </c>
      <c r="FN268" s="58">
        <f>IF(i_eff_inputs_based_on_num=2,EP268,(INDEX(Lists!$L$51:$L$85,MATCH(O268,Lists!$K$51:$K$85,0))))</f>
        <v>7</v>
      </c>
      <c r="FO268" s="58">
        <f>IF(i_eff_inputs_based_on_num=2,EQ268,(INDEX(Lists!$L$51:$L$85,MATCH(P268,Lists!$K$51:$K$85,0))))</f>
        <v>0</v>
      </c>
      <c r="FP268" s="58">
        <f>IF(i_eff_inputs_based_on_num=2,ER268,(INDEX(Lists!$L$51:$L$85,MATCH(Q268,Lists!$K$51:$K$85,0))))</f>
        <v>0</v>
      </c>
      <c r="FT268" s="58">
        <f t="shared" si="368"/>
        <v>0</v>
      </c>
      <c r="FW268" s="58">
        <f>IF(i_baseline_risk_from=2,'Effectiveness settings'!EW268,'Effectiveness settings'!FI268)</f>
        <v>0</v>
      </c>
      <c r="FX268" s="58">
        <f t="shared" si="369"/>
        <v>0</v>
      </c>
      <c r="FY268" s="58">
        <f t="shared" si="370"/>
        <v>0</v>
      </c>
      <c r="FZ268" s="58">
        <f t="shared" si="371"/>
        <v>0</v>
      </c>
      <c r="GA268" s="58">
        <f t="shared" si="372"/>
        <v>0</v>
      </c>
      <c r="GB268" s="58">
        <f t="shared" si="373"/>
        <v>0</v>
      </c>
      <c r="GC268" s="58">
        <f t="shared" si="374"/>
        <v>0</v>
      </c>
      <c r="GD268" s="58">
        <f t="shared" si="375"/>
        <v>0</v>
      </c>
      <c r="GE268" s="58">
        <f>IF(AND(dd_CheckMate214_TTD="Yes",'Effectiveness settings'!BU268=2,'Effectiveness settings'!BX268=2),"Apply HR to",GD268)</f>
        <v>0</v>
      </c>
      <c r="GF268" s="58">
        <f t="shared" si="376"/>
        <v>0</v>
      </c>
      <c r="GG268" s="58">
        <f t="shared" si="377"/>
        <v>0</v>
      </c>
      <c r="GH268" s="58">
        <f t="shared" si="378"/>
        <v>0</v>
      </c>
      <c r="GI268" s="58">
        <f t="shared" si="415"/>
        <v>0</v>
      </c>
      <c r="GK268" s="58">
        <f>IF(i_baseline_risk_from=2,'Effectiveness settings'!FA268,'Effectiveness settings'!FM268)</f>
        <v>1</v>
      </c>
      <c r="GL268" s="58">
        <f>IF(i_baseline_risk_from=2,'Effectiveness settings'!FB268,'Effectiveness settings'!FN268)</f>
        <v>7</v>
      </c>
      <c r="GM268" s="58">
        <f>IF(i_baseline_risk_from=2,'Effectiveness settings'!FC268,'Effectiveness settings'!FO268)</f>
        <v>2</v>
      </c>
      <c r="GN268" s="58">
        <f>IF(i_baseline_risk_from=2,'Effectiveness settings'!FD268,'Effectiveness settings'!FP268)</f>
        <v>0</v>
      </c>
      <c r="GQ268" s="58">
        <f t="shared" si="379"/>
        <v>7</v>
      </c>
      <c r="GR268" s="58">
        <f t="shared" si="380"/>
        <v>7</v>
      </c>
      <c r="GS268" s="58">
        <f t="shared" si="381"/>
        <v>7</v>
      </c>
      <c r="GT268" s="58">
        <f t="shared" si="382"/>
        <v>7</v>
      </c>
      <c r="GU268" s="58">
        <f>IF(AND(dd_CheckMate214_TTD="Yes",'Effectiveness settings'!BU268=2,'Effectiveness settings'!BX268=2),2,GT268)</f>
        <v>7</v>
      </c>
      <c r="GV268" s="58">
        <f t="shared" si="383"/>
        <v>7</v>
      </c>
      <c r="GW268" s="58">
        <f t="shared" si="384"/>
        <v>7</v>
      </c>
      <c r="GY268" s="58">
        <f>IF(AND(dd_CheckMate214_TTD="Yes",'Effectiveness settings'!BU268=2,'Effectiveness settings'!BX268=2),1,GN268)</f>
        <v>0</v>
      </c>
      <c r="GZ268" s="58">
        <f t="shared" si="385"/>
        <v>0</v>
      </c>
      <c r="HB268" s="58">
        <f t="shared" si="386"/>
        <v>0</v>
      </c>
      <c r="HD268" s="58">
        <f t="shared" si="416"/>
        <v>0</v>
      </c>
      <c r="HE268" s="58">
        <f t="shared" si="417"/>
        <v>1</v>
      </c>
      <c r="HF268" s="58">
        <f t="shared" si="418"/>
        <v>7</v>
      </c>
      <c r="HG268" s="58">
        <f t="shared" si="419"/>
        <v>2</v>
      </c>
      <c r="HH268" s="58">
        <f t="shared" si="420"/>
        <v>0</v>
      </c>
    </row>
    <row r="269" spans="1:216" ht="15.75" x14ac:dyDescent="0.25">
      <c r="D269" s="58" t="str">
        <v>everolimus</v>
      </c>
      <c r="I269" s="64" t="s">
        <v>58</v>
      </c>
      <c r="J269" s="519" t="s">
        <v>544</v>
      </c>
      <c r="K269" s="524"/>
      <c r="L269" s="519"/>
      <c r="M269" s="516" t="s">
        <v>31</v>
      </c>
      <c r="N269" s="64" t="s">
        <v>546</v>
      </c>
      <c r="O269" s="64" t="s">
        <v>117</v>
      </c>
      <c r="P269" s="64" t="s">
        <v>547</v>
      </c>
      <c r="Q269" s="519" t="s">
        <v>544</v>
      </c>
      <c r="R269" s="516" t="s">
        <v>548</v>
      </c>
      <c r="S269" s="497"/>
      <c r="T269" s="497"/>
      <c r="U269" s="497"/>
      <c r="W269" s="58" t="str">
        <v>everolimus</v>
      </c>
      <c r="X269" s="64" t="s">
        <v>74</v>
      </c>
      <c r="Y269" s="519" t="s">
        <v>544</v>
      </c>
      <c r="Z269" s="524" t="s">
        <v>63</v>
      </c>
      <c r="AA269" s="519"/>
      <c r="AB269" s="516" t="s">
        <v>31</v>
      </c>
      <c r="AC269" s="64" t="s">
        <v>576</v>
      </c>
      <c r="AD269" s="64" t="s">
        <v>118</v>
      </c>
      <c r="AE269" s="64" t="s">
        <v>547</v>
      </c>
      <c r="AF269" s="519" t="s">
        <v>544</v>
      </c>
      <c r="AG269" s="516" t="s">
        <v>548</v>
      </c>
      <c r="AH269" s="497"/>
      <c r="AI269" s="497"/>
      <c r="AJ269" s="497"/>
      <c r="AL269" s="64" t="str">
        <f t="shared" si="389"/>
        <v>Yes</v>
      </c>
      <c r="AM269" s="519" t="s">
        <v>544</v>
      </c>
      <c r="AN269" s="524" t="s">
        <v>63</v>
      </c>
      <c r="AO269" s="519"/>
      <c r="AP269" s="516" t="s">
        <v>31</v>
      </c>
      <c r="AQ269" s="64" t="s">
        <v>577</v>
      </c>
      <c r="AR269" s="64" t="s">
        <v>118</v>
      </c>
      <c r="AS269" s="64" t="s">
        <v>547</v>
      </c>
      <c r="AT269" s="519" t="s">
        <v>544</v>
      </c>
      <c r="AU269" s="516" t="s">
        <v>548</v>
      </c>
      <c r="AV269" s="497"/>
      <c r="AW269" s="497"/>
      <c r="AX269" s="497"/>
      <c r="AZ269" s="64" t="str">
        <f t="shared" si="390"/>
        <v>Yes</v>
      </c>
      <c r="BA269" s="519" t="s">
        <v>544</v>
      </c>
      <c r="BB269" s="524" t="s">
        <v>578</v>
      </c>
      <c r="BC269" s="519" t="s">
        <v>547</v>
      </c>
      <c r="BD269" s="516" t="s">
        <v>31</v>
      </c>
      <c r="BE269" s="64" t="s">
        <v>577</v>
      </c>
      <c r="BF269" s="64" t="s">
        <v>119</v>
      </c>
      <c r="BG269" s="64" t="s">
        <v>547</v>
      </c>
      <c r="BH269" s="519" t="s">
        <v>544</v>
      </c>
      <c r="BI269" s="516" t="s">
        <v>548</v>
      </c>
      <c r="BJ269" s="497">
        <v>2.0059999999999998</v>
      </c>
      <c r="BK269" s="497">
        <v>1.45</v>
      </c>
      <c r="BL269" s="497">
        <v>2.7770000000000001</v>
      </c>
      <c r="BM269" s="58" t="s">
        <v>580</v>
      </c>
      <c r="BQ269" s="58">
        <f t="shared" ref="BQ269:BQ332" si="423">BQ268+IF(ISBLANK(BR269),0,1)</f>
        <v>151</v>
      </c>
      <c r="BR269" s="61">
        <v>0</v>
      </c>
      <c r="BS269" s="61" t="s">
        <v>31</v>
      </c>
      <c r="BT269" s="17">
        <v>1</v>
      </c>
      <c r="BU269" s="17">
        <v>10</v>
      </c>
      <c r="BV269" s="17" t="str">
        <f t="shared" si="391"/>
        <v>everolimus</v>
      </c>
      <c r="BW269" s="1006" t="str" cm="1">
        <f t="array" ref="BW269">IF(I269="No",I269,INDEX(List_incl_anal_1L_all,IF(BU269=999,35,BU269+1)))</f>
        <v>No</v>
      </c>
      <c r="BX269" s="61">
        <f t="shared" si="392"/>
        <v>0</v>
      </c>
      <c r="BY269" s="531" t="str">
        <f t="shared" si="421"/>
        <v>Overall survival</v>
      </c>
      <c r="BZ269" s="530">
        <f t="shared" si="393"/>
        <v>0</v>
      </c>
      <c r="CA269" s="531">
        <f t="shared" si="422"/>
        <v>0</v>
      </c>
      <c r="CB269" s="530">
        <f t="shared" si="394"/>
        <v>0</v>
      </c>
      <c r="CC269" s="530">
        <f t="shared" si="395"/>
        <v>1</v>
      </c>
      <c r="CD269" s="530">
        <f t="shared" si="396"/>
        <v>7</v>
      </c>
      <c r="CE269" s="1295">
        <f t="shared" si="397"/>
        <v>2</v>
      </c>
      <c r="CF269" s="1301">
        <f t="shared" si="398"/>
        <v>0</v>
      </c>
      <c r="CG269" s="530" t="str">
        <f t="shared" si="399"/>
        <v>Exponential</v>
      </c>
      <c r="CH269" s="61">
        <f t="shared" si="400"/>
        <v>0</v>
      </c>
      <c r="CI269" s="61">
        <f t="shared" si="401"/>
        <v>0</v>
      </c>
      <c r="CJ269" s="61">
        <f t="shared" si="402"/>
        <v>0</v>
      </c>
      <c r="DK269" s="58" t="str" cm="1">
        <f t="array" ref="DK269">IF(AND($BT269=4,$BX269=4,$BU269=999),$DB$36,_xlfn.IFNA(INDEX(DB$13:DB$70,MATCH(1,($BR269=$CV$13:$CV$70)*($BT269=$CX$13:$CX$70)*($CE269=$CY$13:$CY$70)*($BY269=$DA$13:$DA$70)*($CD269=$DH$13:$DH$70),0)),""))</f>
        <v>Exponential</v>
      </c>
      <c r="DL269" s="58" t="str" cm="1">
        <f t="array" ref="DL269">IF(AND($BT269=4,$BX269=4,$BU269=999),$DC$36,_xlfn.IFNA(INDEX(CHOOSE(DP269,DB$13:DB$70,DC$13:DC$70,DD$13:DD$70,DE$13:DE$70),MATCH(1,($BR269=$CV$13:$CV$70)*($BT269=$CX$13:$CX$70)*($CE269=$CY$13:$CY$70)*($BY269=$DA$13:$DA$70)*($CD269=$DH$13:$DH$70),0)),""))</f>
        <v>Exponential</v>
      </c>
      <c r="DM269" s="740" cm="1">
        <f t="array" ref="DM269">IF(AND($BT269=4,$BX269=4,$BU269=999),$DD$36,_xlfn.IFNA(INDEX(DD$13:DD$68,MATCH(1,($BR269=$CV$13:$CV$68)*($BT269=$CX$13:$CX$68)*($CE269=$CY$13:$CY$68)*($BY269=$DA$13:$DA$68)*($CD269=$DH$13:$DH$68),0)),""))</f>
        <v>0</v>
      </c>
      <c r="DN269" s="740" cm="1">
        <f t="array" ref="DN269">IF(AND($BT269=4,$BX269=4,$BU269=999),$DD$36,_xlfn.IFNA(INDEX(DE$13:DE$68,MATCH(1,($BR269=$CV$13:$CV$68)*($BT269=$CX$13:$CX$68)*($CE269=$CY$13:$CY$68)*($BY269=$DA$13:$DA$68)*($CD269=$DH$13:$DH$68),0)),""))</f>
        <v>0</v>
      </c>
      <c r="DO269" s="58" t="str" cm="1">
        <f t="array" ref="DO269">IF(AND($BT269=4,$BX269=4,$BU269=999),$DF$36,_xlfn.IFNA(INDEX(DF$13:DF$70,MATCH(1,($BR269=$CV$13:$CV$70)*($BT269=$CX$13:$CX$70)*($CE269=$CY$13:$CY$70)*($BY269=$DA$13:$DA$70)*($CD269=$DH$13:$DH$70),0)),""))</f>
        <v>Base case</v>
      </c>
      <c r="DP269" s="58">
        <f t="shared" ref="DP269:DP332" si="424">MATCH(DO269,List_surv_cur_ext,0)</f>
        <v>1</v>
      </c>
      <c r="DW269" s="58" t="s">
        <v>58</v>
      </c>
      <c r="DX269" s="58" t="s">
        <v>544</v>
      </c>
      <c r="DY269" s="58">
        <v>0</v>
      </c>
      <c r="DZ269" s="58">
        <v>0</v>
      </c>
      <c r="EB269" s="58">
        <v>0</v>
      </c>
      <c r="EC269" s="58">
        <v>1</v>
      </c>
      <c r="ED269" s="58">
        <v>7</v>
      </c>
      <c r="EE269" s="58">
        <v>2</v>
      </c>
      <c r="EF269" s="58">
        <v>0</v>
      </c>
      <c r="EI269" s="58" t="s">
        <v>58</v>
      </c>
      <c r="EJ269" s="58" t="s">
        <v>544</v>
      </c>
      <c r="EK269" s="58">
        <v>0</v>
      </c>
      <c r="EL269" s="58">
        <v>0</v>
      </c>
      <c r="EN269" s="58">
        <v>0</v>
      </c>
      <c r="EO269" s="58">
        <v>1</v>
      </c>
      <c r="EP269" s="58">
        <v>7</v>
      </c>
      <c r="EQ269" s="58">
        <v>0</v>
      </c>
      <c r="ER269" s="58">
        <v>0</v>
      </c>
      <c r="EU269" s="58" t="str">
        <f t="shared" si="403"/>
        <v>No</v>
      </c>
      <c r="EV269" s="58" t="str">
        <f t="shared" si="404"/>
        <v>Overall survival</v>
      </c>
      <c r="EW269" s="58">
        <f t="shared" si="405"/>
        <v>0</v>
      </c>
      <c r="EX269" s="58">
        <f t="shared" si="406"/>
        <v>0</v>
      </c>
      <c r="EZ269" s="58">
        <f t="shared" si="407"/>
        <v>0</v>
      </c>
      <c r="FA269" s="58">
        <f t="shared" si="408"/>
        <v>1</v>
      </c>
      <c r="FB269" s="58">
        <f>IF(i_eff_inputs_based_on_num=2,ED269,(INDEX(Lists!$L$51:$L$85,MATCH(O269,Lists!$K$51:$K$85,0))))</f>
        <v>7</v>
      </c>
      <c r="FC269" s="58">
        <f>IF(i_eff_inputs_based_on_num=2,EE269,(INDEX(Lists!$L$51:$L$85,MATCH(P269,Lists!$K$51:$K$85,0))))</f>
        <v>2</v>
      </c>
      <c r="FD269" s="58">
        <f>IF(i_eff_inputs_based_on_num=2,EF269,(INDEX(Lists!$L$51:$L$85,MATCH(Q269,Lists!$K$51:$K$85,0))))</f>
        <v>0</v>
      </c>
      <c r="FG269" s="58" t="str">
        <f t="shared" si="409"/>
        <v>No</v>
      </c>
      <c r="FH269" s="58" t="str">
        <f t="shared" si="410"/>
        <v>Overall survival</v>
      </c>
      <c r="FI269" s="58">
        <f t="shared" si="411"/>
        <v>0</v>
      </c>
      <c r="FJ269" s="58">
        <f t="shared" si="412"/>
        <v>0</v>
      </c>
      <c r="FL269" s="58">
        <f t="shared" si="413"/>
        <v>0</v>
      </c>
      <c r="FM269" s="58">
        <f t="shared" si="414"/>
        <v>1</v>
      </c>
      <c r="FN269" s="58">
        <f>IF(i_eff_inputs_based_on_num=2,EP269,(INDEX(Lists!$L$51:$L$85,MATCH(O269,Lists!$K$51:$K$85,0))))</f>
        <v>7</v>
      </c>
      <c r="FO269" s="58">
        <f>IF(i_eff_inputs_based_on_num=2,EQ269,(INDEX(Lists!$L$51:$L$85,MATCH(P269,Lists!$K$51:$K$85,0))))</f>
        <v>0</v>
      </c>
      <c r="FP269" s="58">
        <f>IF(i_eff_inputs_based_on_num=2,ER269,(INDEX(Lists!$L$51:$L$85,MATCH(Q269,Lists!$K$51:$K$85,0))))</f>
        <v>0</v>
      </c>
      <c r="FT269" s="58">
        <f t="shared" ref="FT269:FT332" si="425">IF(AND(BZ269="Trial survival analysis",CE269=0),INDEX(List_trials,1),IF(AND(BZ269="Trial survival analysis",CE269=1),INDEX(List_trials,2),IF(AND(BZ269="Trial survival analysis",OR(CE269=2,CC269=4)),INDEX(List_trials,3),0)))</f>
        <v>0</v>
      </c>
      <c r="FW269" s="58">
        <f>IF(i_baseline_risk_from=2,'Effectiveness settings'!EW269,'Effectiveness settings'!FI269)</f>
        <v>0</v>
      </c>
      <c r="FX269" s="58">
        <f t="shared" ref="FX269:FX332" si="426">IF(AND(BT269&gt;1,FW269="FP_NMA",dd_2ndline_NMA="PH_NMA"),"PH_NMA",FW269)</f>
        <v>0</v>
      </c>
      <c r="FY269" s="58">
        <f t="shared" ref="FY269:FY332" si="427">IF(AND(BU269=1,OR(FX269="PH_NMA",FX269="FP_NMA",FX269="Trial survival analysis")),IF(dd_cabo_nivo_outcome_from="FP_NMA",FX269,dd_cabo_nivo_outcome_from),FX269)</f>
        <v>0</v>
      </c>
      <c r="FZ269" s="58">
        <f t="shared" ref="FZ269:FZ332" si="428">IF(AND(dd_eq_eff_pazo_suni="Yes",BX269&lt;4,$BU269=5,BT269&lt;4,FY269&lt;&gt;"Apply HR to"),"Assume equal to",FY269)</f>
        <v>0</v>
      </c>
      <c r="GA269" s="58">
        <f t="shared" ref="GA269:GA332" si="429">IF(AND(dd_eq_eff_tivo_suni="Yes",BX269&lt;4,$BU269=6,BT269=1,FZ269&lt;&gt;"Apply HR to"),"Assume equal to",FZ269)</f>
        <v>0</v>
      </c>
      <c r="GB269" s="58">
        <f t="shared" ref="GB269:GB332" si="430">IF(AND(dd_eq_eff_evero_axi="Yes",BX269&lt;4,$BU269=11,BT269&lt;4,GA269&lt;&gt;"Apply HR to"),"Assume equal to",GA269)</f>
        <v>0</v>
      </c>
      <c r="GC269" s="58">
        <f t="shared" ref="GC269:GC332" si="431">IF(AND(BX269=4,BR269=1),GB269,(IF(AND(OR(GB269="PH_NMA",GB269="FP_NMA"),BU269=3,BR269&lt;&gt;2),dd_pemlen_NMA,GB269)))</f>
        <v>0</v>
      </c>
      <c r="GD269" s="58">
        <f t="shared" ref="GD269:GD332" si="432">IF(AND(BU269=3,dd_pemlen_equal = "Yes"),"Assume equal to",GC269)</f>
        <v>0</v>
      </c>
      <c r="GE269" s="58">
        <f>IF(AND(dd_CheckMate214_TTD="Yes",'Effectiveness settings'!BU269=2,'Effectiveness settings'!BX269=2),"Apply HR to",GD269)</f>
        <v>0</v>
      </c>
      <c r="GF269" s="58">
        <f t="shared" ref="GF269:GF332" si="433">IF(AND(dd_TTD_same_as_PFS="Yes",BX269=2),"Assume equal to", GE269)</f>
        <v>0</v>
      </c>
      <c r="GG269" s="58">
        <f t="shared" ref="GG269:GG332" si="434">IF(AND(dd_nivoipiPFS="TTNT",BR269=1,BT269=1,BU269=2,BX269=1,dd_use_PHnma_for_FPnma="Yes"),"Apply HR to",GF269)</f>
        <v>0</v>
      </c>
      <c r="GH269" s="58">
        <f t="shared" ref="GH269:GH332" si="435">IF(AND(dd_eq_eff_cabo_suni="Yes",$BX269&lt;4,$BU269=8,$BT269=1,$BR269=1,$GG269&lt;&gt;"Apply HR to"),"Assume equal to",GG269)</f>
        <v>0</v>
      </c>
      <c r="GI269" s="58">
        <f t="shared" si="415"/>
        <v>0</v>
      </c>
      <c r="GK269" s="58">
        <f>IF(i_baseline_risk_from=2,'Effectiveness settings'!FA269,'Effectiveness settings'!FM269)</f>
        <v>1</v>
      </c>
      <c r="GL269" s="58">
        <f>IF(i_baseline_risk_from=2,'Effectiveness settings'!FB269,'Effectiveness settings'!FN269)</f>
        <v>7</v>
      </c>
      <c r="GM269" s="58">
        <f>IF(i_baseline_risk_from=2,'Effectiveness settings'!FC269,'Effectiveness settings'!FO269)</f>
        <v>2</v>
      </c>
      <c r="GN269" s="58">
        <f>IF(i_baseline_risk_from=2,'Effectiveness settings'!FD269,'Effectiveness settings'!FP269)</f>
        <v>0</v>
      </c>
      <c r="GQ269" s="58">
        <f t="shared" ref="GQ269:GQ332" si="436">IF(AND(dd_eq_eff_pazo_suni="Yes",BX269&lt;4,$BU269=5,BT269&lt;4,FY269&lt;&gt;"Apply HR to"),7,GL269)</f>
        <v>7</v>
      </c>
      <c r="GR269" s="58">
        <f t="shared" ref="GR269:GR332" si="437">IF(AND(dd_eq_eff_tivo_suni="Yes",BX269&lt;4,$BU269=6,BT269=1,FY269&lt;&gt;"Apply HR to"),7,IF(AND(BX269&lt;4,$BU269=7,BT269&gt;1,FY269&lt;&gt;"Apply HR to"),6,GQ269))</f>
        <v>7</v>
      </c>
      <c r="GS269" s="58">
        <f t="shared" ref="GS269:GS332" si="438">IF(AND(dd_eq_eff_evero_axi="Yes",BX269&lt;4,$BU269=11,BT269&lt;4,FY269&lt;&gt;"Apply HR to"),10,GR269)</f>
        <v>7</v>
      </c>
      <c r="GT269" s="58">
        <f t="shared" ref="GT269:GT332" si="439">IF(AND(BU269=3,dd_pemlen_equal = "Yes"),1,GS269)</f>
        <v>7</v>
      </c>
      <c r="GU269" s="58">
        <f>IF(AND(dd_CheckMate214_TTD="Yes",'Effectiveness settings'!BU269=2,'Effectiveness settings'!BX269=2),2,GT269)</f>
        <v>7</v>
      </c>
      <c r="GV269" s="58">
        <f t="shared" ref="GV269:GV332" si="440">IF(AND(BY269="Time to treatment discontinuation",dd_TTD_same_as_PFS="Yes"),BU269,GU269)</f>
        <v>7</v>
      </c>
      <c r="GW269" s="58">
        <f t="shared" ref="GW269:GW332" si="441">IF(AND(dd_eq_eff_cabo_suni="Yes",$BX269&lt;4,$BU269=8,$BT269=1,$BR269=1,$GG269&lt;&gt;"Apply HR to"),7,GV269)</f>
        <v>7</v>
      </c>
      <c r="GY269" s="58">
        <f>IF(AND(dd_CheckMate214_TTD="Yes",'Effectiveness settings'!BU269=2,'Effectiveness settings'!BX269=2),1,GN269)</f>
        <v>0</v>
      </c>
      <c r="GZ269" s="58">
        <f t="shared" ref="GZ269:GZ332" si="442">IF(AND(dd_TTD_same_as_PFS="Yes",BX269=2),1, GY269)</f>
        <v>0</v>
      </c>
      <c r="HB269" s="58">
        <f t="shared" ref="HB269:HB332" si="443">IF(i_baseline_risk_from=2,EZ269,FL269)</f>
        <v>0</v>
      </c>
      <c r="HD269" s="58">
        <f t="shared" si="416"/>
        <v>0</v>
      </c>
      <c r="HE269" s="58">
        <f t="shared" si="417"/>
        <v>1</v>
      </c>
      <c r="HF269" s="58">
        <f t="shared" si="418"/>
        <v>7</v>
      </c>
      <c r="HG269" s="58">
        <f t="shared" si="419"/>
        <v>2</v>
      </c>
      <c r="HH269" s="58">
        <f t="shared" si="420"/>
        <v>0</v>
      </c>
    </row>
    <row r="270" spans="1:216" ht="15.75" x14ac:dyDescent="0.25">
      <c r="D270" s="58" t="str">
        <v>axitinib</v>
      </c>
      <c r="I270" s="64" t="s">
        <v>58</v>
      </c>
      <c r="J270" s="519" t="s">
        <v>544</v>
      </c>
      <c r="K270" s="524"/>
      <c r="L270" s="519"/>
      <c r="M270" s="516" t="s">
        <v>31</v>
      </c>
      <c r="N270" s="64" t="s">
        <v>546</v>
      </c>
      <c r="O270" s="64" t="s">
        <v>117</v>
      </c>
      <c r="P270" s="64" t="s">
        <v>547</v>
      </c>
      <c r="Q270" s="519" t="s">
        <v>544</v>
      </c>
      <c r="R270" s="516" t="s">
        <v>548</v>
      </c>
      <c r="S270" s="497"/>
      <c r="T270" s="497"/>
      <c r="U270" s="497"/>
      <c r="W270" s="58" t="str">
        <v>axitinib</v>
      </c>
      <c r="X270" s="64" t="s">
        <v>74</v>
      </c>
      <c r="Y270" s="519" t="s">
        <v>544</v>
      </c>
      <c r="Z270" s="524" t="s">
        <v>63</v>
      </c>
      <c r="AA270" s="519"/>
      <c r="AB270" s="516" t="s">
        <v>31</v>
      </c>
      <c r="AC270" s="64" t="s">
        <v>576</v>
      </c>
      <c r="AD270" s="64" t="s">
        <v>118</v>
      </c>
      <c r="AE270" s="64" t="s">
        <v>547</v>
      </c>
      <c r="AF270" s="519" t="s">
        <v>544</v>
      </c>
      <c r="AG270" s="516" t="s">
        <v>548</v>
      </c>
      <c r="AH270" s="497"/>
      <c r="AI270" s="497"/>
      <c r="AJ270" s="497"/>
      <c r="AL270" s="64" t="str">
        <f t="shared" si="389"/>
        <v>Yes</v>
      </c>
      <c r="AM270" s="519" t="s">
        <v>544</v>
      </c>
      <c r="AN270" s="524" t="s">
        <v>63</v>
      </c>
      <c r="AO270" s="519"/>
      <c r="AP270" s="516" t="s">
        <v>31</v>
      </c>
      <c r="AQ270" s="64" t="s">
        <v>577</v>
      </c>
      <c r="AR270" s="64" t="s">
        <v>118</v>
      </c>
      <c r="AS270" s="64" t="s">
        <v>547</v>
      </c>
      <c r="AT270" s="519" t="s">
        <v>544</v>
      </c>
      <c r="AU270" s="516" t="s">
        <v>548</v>
      </c>
      <c r="AV270" s="497"/>
      <c r="AW270" s="497"/>
      <c r="AX270" s="497"/>
      <c r="AZ270" s="64" t="str">
        <f t="shared" si="390"/>
        <v>Yes</v>
      </c>
      <c r="BA270" s="519" t="s">
        <v>544</v>
      </c>
      <c r="BB270" s="524" t="s">
        <v>578</v>
      </c>
      <c r="BC270" s="519" t="s">
        <v>547</v>
      </c>
      <c r="BD270" s="516" t="s">
        <v>31</v>
      </c>
      <c r="BE270" s="64" t="s">
        <v>577</v>
      </c>
      <c r="BF270" s="64" t="s">
        <v>327</v>
      </c>
      <c r="BG270" s="64" t="s">
        <v>547</v>
      </c>
      <c r="BH270" s="519" t="s">
        <v>544</v>
      </c>
      <c r="BI270" s="516" t="s">
        <v>548</v>
      </c>
      <c r="BJ270" s="497">
        <v>2.0059999999999998</v>
      </c>
      <c r="BK270" s="497">
        <v>1.45</v>
      </c>
      <c r="BL270" s="497">
        <v>2.7770000000000001</v>
      </c>
      <c r="BM270" s="58" t="s">
        <v>580</v>
      </c>
      <c r="BQ270" s="58">
        <f t="shared" si="423"/>
        <v>152</v>
      </c>
      <c r="BR270" s="61">
        <v>0</v>
      </c>
      <c r="BS270" s="61" t="s">
        <v>31</v>
      </c>
      <c r="BT270" s="17">
        <v>1</v>
      </c>
      <c r="BU270" s="17">
        <v>11</v>
      </c>
      <c r="BV270" s="17" t="str">
        <f t="shared" si="391"/>
        <v>axitinib</v>
      </c>
      <c r="BW270" s="1006" t="str" cm="1">
        <f t="array" ref="BW270">IF(I270="No",I270,INDEX(List_incl_anal_1L_all,IF(BU270=999,35,BU270+1)))</f>
        <v>No</v>
      </c>
      <c r="BX270" s="61">
        <f t="shared" si="392"/>
        <v>0</v>
      </c>
      <c r="BY270" s="531" t="str">
        <f t="shared" si="421"/>
        <v>Overall survival</v>
      </c>
      <c r="BZ270" s="530">
        <f t="shared" si="393"/>
        <v>0</v>
      </c>
      <c r="CA270" s="531">
        <f t="shared" si="422"/>
        <v>0</v>
      </c>
      <c r="CB270" s="530">
        <f t="shared" si="394"/>
        <v>0</v>
      </c>
      <c r="CC270" s="530">
        <f t="shared" si="395"/>
        <v>1</v>
      </c>
      <c r="CD270" s="530">
        <f t="shared" si="396"/>
        <v>7</v>
      </c>
      <c r="CE270" s="1295">
        <f t="shared" si="397"/>
        <v>2</v>
      </c>
      <c r="CF270" s="1301">
        <f t="shared" si="398"/>
        <v>0</v>
      </c>
      <c r="CG270" s="530" t="str">
        <f t="shared" si="399"/>
        <v>Exponential</v>
      </c>
      <c r="CH270" s="61">
        <f t="shared" si="400"/>
        <v>0</v>
      </c>
      <c r="CI270" s="61">
        <f t="shared" si="401"/>
        <v>0</v>
      </c>
      <c r="CJ270" s="61">
        <f t="shared" si="402"/>
        <v>0</v>
      </c>
      <c r="DK270" s="58" t="str" cm="1">
        <f t="array" ref="DK270">IF(AND($BT270=4,$BX270=4,$BU270=999),$DB$36,_xlfn.IFNA(INDEX(DB$13:DB$70,MATCH(1,($BR270=$CV$13:$CV$70)*($BT270=$CX$13:$CX$70)*($CE270=$CY$13:$CY$70)*($BY270=$DA$13:$DA$70)*($CD270=$DH$13:$DH$70),0)),""))</f>
        <v>Exponential</v>
      </c>
      <c r="DL270" s="58" t="str" cm="1">
        <f t="array" ref="DL270">IF(AND($BT270=4,$BX270=4,$BU270=999),$DC$36,_xlfn.IFNA(INDEX(CHOOSE(DP270,DB$13:DB$70,DC$13:DC$70,DD$13:DD$70,DE$13:DE$70),MATCH(1,($BR270=$CV$13:$CV$70)*($BT270=$CX$13:$CX$70)*($CE270=$CY$13:$CY$70)*($BY270=$DA$13:$DA$70)*($CD270=$DH$13:$DH$70),0)),""))</f>
        <v>Exponential</v>
      </c>
      <c r="DM270" s="740" cm="1">
        <f t="array" ref="DM270">IF(AND($BT270=4,$BX270=4,$BU270=999),$DD$36,_xlfn.IFNA(INDEX(DD$13:DD$68,MATCH(1,($BR270=$CV$13:$CV$68)*($BT270=$CX$13:$CX$68)*($CE270=$CY$13:$CY$68)*($BY270=$DA$13:$DA$68)*($CD270=$DH$13:$DH$68),0)),""))</f>
        <v>0</v>
      </c>
      <c r="DN270" s="740" cm="1">
        <f t="array" ref="DN270">IF(AND($BT270=4,$BX270=4,$BU270=999),$DD$36,_xlfn.IFNA(INDEX(DE$13:DE$68,MATCH(1,($BR270=$CV$13:$CV$68)*($BT270=$CX$13:$CX$68)*($CE270=$CY$13:$CY$68)*($BY270=$DA$13:$DA$68)*($CD270=$DH$13:$DH$68),0)),""))</f>
        <v>0</v>
      </c>
      <c r="DO270" s="58" t="str" cm="1">
        <f t="array" ref="DO270">IF(AND($BT270=4,$BX270=4,$BU270=999),$DF$36,_xlfn.IFNA(INDEX(DF$13:DF$70,MATCH(1,($BR270=$CV$13:$CV$70)*($BT270=$CX$13:$CX$70)*($CE270=$CY$13:$CY$70)*($BY270=$DA$13:$DA$70)*($CD270=$DH$13:$DH$70),0)),""))</f>
        <v>Base case</v>
      </c>
      <c r="DP270" s="58">
        <f t="shared" si="424"/>
        <v>1</v>
      </c>
      <c r="DW270" s="58" t="s">
        <v>58</v>
      </c>
      <c r="DX270" s="58" t="s">
        <v>544</v>
      </c>
      <c r="DY270" s="58">
        <v>0</v>
      </c>
      <c r="DZ270" s="58">
        <v>0</v>
      </c>
      <c r="EB270" s="58">
        <v>0</v>
      </c>
      <c r="EC270" s="58">
        <v>1</v>
      </c>
      <c r="ED270" s="58">
        <v>7</v>
      </c>
      <c r="EE270" s="58">
        <v>2</v>
      </c>
      <c r="EF270" s="58">
        <v>0</v>
      </c>
      <c r="EI270" s="58" t="s">
        <v>58</v>
      </c>
      <c r="EJ270" s="58" t="s">
        <v>544</v>
      </c>
      <c r="EK270" s="58">
        <v>0</v>
      </c>
      <c r="EL270" s="58">
        <v>0</v>
      </c>
      <c r="EN270" s="58">
        <v>0</v>
      </c>
      <c r="EO270" s="58">
        <v>1</v>
      </c>
      <c r="EP270" s="58">
        <v>7</v>
      </c>
      <c r="EQ270" s="58">
        <v>0</v>
      </c>
      <c r="ER270" s="58">
        <v>0</v>
      </c>
      <c r="EU270" s="58" t="str">
        <f t="shared" si="403"/>
        <v>No</v>
      </c>
      <c r="EV270" s="58" t="str">
        <f t="shared" si="404"/>
        <v>Overall survival</v>
      </c>
      <c r="EW270" s="58">
        <f t="shared" si="405"/>
        <v>0</v>
      </c>
      <c r="EX270" s="58">
        <f t="shared" si="406"/>
        <v>0</v>
      </c>
      <c r="EZ270" s="58">
        <f t="shared" si="407"/>
        <v>0</v>
      </c>
      <c r="FA270" s="58">
        <f t="shared" si="408"/>
        <v>1</v>
      </c>
      <c r="FB270" s="58">
        <f>IF(i_eff_inputs_based_on_num=2,ED270,(INDEX(Lists!$L$51:$L$85,MATCH(O270,Lists!$K$51:$K$85,0))))</f>
        <v>7</v>
      </c>
      <c r="FC270" s="58">
        <f>IF(i_eff_inputs_based_on_num=2,EE270,(INDEX(Lists!$L$51:$L$85,MATCH(P270,Lists!$K$51:$K$85,0))))</f>
        <v>2</v>
      </c>
      <c r="FD270" s="58">
        <f>IF(i_eff_inputs_based_on_num=2,EF270,(INDEX(Lists!$L$51:$L$85,MATCH(Q270,Lists!$K$51:$K$85,0))))</f>
        <v>0</v>
      </c>
      <c r="FG270" s="58" t="str">
        <f t="shared" si="409"/>
        <v>No</v>
      </c>
      <c r="FH270" s="58" t="str">
        <f t="shared" si="410"/>
        <v>Overall survival</v>
      </c>
      <c r="FI270" s="58">
        <f t="shared" si="411"/>
        <v>0</v>
      </c>
      <c r="FJ270" s="58">
        <f t="shared" si="412"/>
        <v>0</v>
      </c>
      <c r="FL270" s="58">
        <f t="shared" si="413"/>
        <v>0</v>
      </c>
      <c r="FM270" s="58">
        <f t="shared" si="414"/>
        <v>1</v>
      </c>
      <c r="FN270" s="58">
        <f>IF(i_eff_inputs_based_on_num=2,EP270,(INDEX(Lists!$L$51:$L$85,MATCH(O270,Lists!$K$51:$K$85,0))))</f>
        <v>7</v>
      </c>
      <c r="FO270" s="58">
        <f>IF(i_eff_inputs_based_on_num=2,EQ270,(INDEX(Lists!$L$51:$L$85,MATCH(P270,Lists!$K$51:$K$85,0))))</f>
        <v>0</v>
      </c>
      <c r="FP270" s="58">
        <f>IF(i_eff_inputs_based_on_num=2,ER270,(INDEX(Lists!$L$51:$L$85,MATCH(Q270,Lists!$K$51:$K$85,0))))</f>
        <v>0</v>
      </c>
      <c r="FT270" s="58">
        <f t="shared" si="425"/>
        <v>0</v>
      </c>
      <c r="FW270" s="58">
        <f>IF(i_baseline_risk_from=2,'Effectiveness settings'!EW270,'Effectiveness settings'!FI270)</f>
        <v>0</v>
      </c>
      <c r="FX270" s="58">
        <f t="shared" si="426"/>
        <v>0</v>
      </c>
      <c r="FY270" s="58">
        <f t="shared" si="427"/>
        <v>0</v>
      </c>
      <c r="FZ270" s="58">
        <f t="shared" si="428"/>
        <v>0</v>
      </c>
      <c r="GA270" s="58">
        <f t="shared" si="429"/>
        <v>0</v>
      </c>
      <c r="GB270" s="58">
        <f t="shared" si="430"/>
        <v>0</v>
      </c>
      <c r="GC270" s="58">
        <f t="shared" si="431"/>
        <v>0</v>
      </c>
      <c r="GD270" s="58">
        <f t="shared" si="432"/>
        <v>0</v>
      </c>
      <c r="GE270" s="58">
        <f>IF(AND(dd_CheckMate214_TTD="Yes",'Effectiveness settings'!BU270=2,'Effectiveness settings'!BX270=2),"Apply HR to",GD270)</f>
        <v>0</v>
      </c>
      <c r="GF270" s="58">
        <f t="shared" si="433"/>
        <v>0</v>
      </c>
      <c r="GG270" s="58">
        <f t="shared" si="434"/>
        <v>0</v>
      </c>
      <c r="GH270" s="58">
        <f t="shared" si="435"/>
        <v>0</v>
      </c>
      <c r="GI270" s="58">
        <f t="shared" si="415"/>
        <v>0</v>
      </c>
      <c r="GK270" s="58">
        <f>IF(i_baseline_risk_from=2,'Effectiveness settings'!FA270,'Effectiveness settings'!FM270)</f>
        <v>1</v>
      </c>
      <c r="GL270" s="58">
        <f>IF(i_baseline_risk_from=2,'Effectiveness settings'!FB270,'Effectiveness settings'!FN270)</f>
        <v>7</v>
      </c>
      <c r="GM270" s="58">
        <f>IF(i_baseline_risk_from=2,'Effectiveness settings'!FC270,'Effectiveness settings'!FO270)</f>
        <v>2</v>
      </c>
      <c r="GN270" s="58">
        <f>IF(i_baseline_risk_from=2,'Effectiveness settings'!FD270,'Effectiveness settings'!FP270)</f>
        <v>0</v>
      </c>
      <c r="GQ270" s="58">
        <f t="shared" si="436"/>
        <v>7</v>
      </c>
      <c r="GR270" s="58">
        <f t="shared" si="437"/>
        <v>7</v>
      </c>
      <c r="GS270" s="58">
        <f t="shared" si="438"/>
        <v>7</v>
      </c>
      <c r="GT270" s="58">
        <f t="shared" si="439"/>
        <v>7</v>
      </c>
      <c r="GU270" s="58">
        <f>IF(AND(dd_CheckMate214_TTD="Yes",'Effectiveness settings'!BU270=2,'Effectiveness settings'!BX270=2),2,GT270)</f>
        <v>7</v>
      </c>
      <c r="GV270" s="58">
        <f t="shared" si="440"/>
        <v>7</v>
      </c>
      <c r="GW270" s="58">
        <f t="shared" si="441"/>
        <v>7</v>
      </c>
      <c r="GY270" s="58">
        <f>IF(AND(dd_CheckMate214_TTD="Yes",'Effectiveness settings'!BU270=2,'Effectiveness settings'!BX270=2),1,GN270)</f>
        <v>0</v>
      </c>
      <c r="GZ270" s="58">
        <f t="shared" si="442"/>
        <v>0</v>
      </c>
      <c r="HB270" s="58">
        <f t="shared" si="443"/>
        <v>0</v>
      </c>
      <c r="HD270" s="58">
        <f t="shared" si="416"/>
        <v>0</v>
      </c>
      <c r="HE270" s="58">
        <f t="shared" si="417"/>
        <v>1</v>
      </c>
      <c r="HF270" s="58">
        <f t="shared" si="418"/>
        <v>7</v>
      </c>
      <c r="HG270" s="58">
        <f t="shared" si="419"/>
        <v>2</v>
      </c>
      <c r="HH270" s="58">
        <f t="shared" si="420"/>
        <v>0</v>
      </c>
    </row>
    <row r="271" spans="1:216" ht="15.75" x14ac:dyDescent="0.25">
      <c r="D271" s="58" t="str">
        <v>sorafenib</v>
      </c>
      <c r="I271" s="64" t="s">
        <v>58</v>
      </c>
      <c r="J271" s="519" t="s">
        <v>544</v>
      </c>
      <c r="K271" s="524"/>
      <c r="L271" s="519"/>
      <c r="M271" s="516" t="s">
        <v>31</v>
      </c>
      <c r="N271" s="64" t="s">
        <v>546</v>
      </c>
      <c r="O271" s="64" t="s">
        <v>117</v>
      </c>
      <c r="P271" s="64" t="s">
        <v>547</v>
      </c>
      <c r="Q271" s="519" t="s">
        <v>544</v>
      </c>
      <c r="R271" s="516" t="s">
        <v>548</v>
      </c>
      <c r="S271" s="497"/>
      <c r="T271" s="497"/>
      <c r="U271" s="497"/>
      <c r="W271" s="58" t="str">
        <v>sorafenib</v>
      </c>
      <c r="X271" s="64" t="s">
        <v>58</v>
      </c>
      <c r="Y271" s="519" t="s">
        <v>544</v>
      </c>
      <c r="Z271" s="524"/>
      <c r="AA271" s="519"/>
      <c r="AB271" s="516" t="s">
        <v>31</v>
      </c>
      <c r="AC271" s="64" t="s">
        <v>576</v>
      </c>
      <c r="AD271" s="64" t="s">
        <v>118</v>
      </c>
      <c r="AE271" s="64" t="s">
        <v>547</v>
      </c>
      <c r="AF271" s="519" t="s">
        <v>544</v>
      </c>
      <c r="AG271" s="516" t="s">
        <v>548</v>
      </c>
      <c r="AH271" s="497"/>
      <c r="AI271" s="497"/>
      <c r="AJ271" s="497"/>
      <c r="AL271" s="64" t="str">
        <f t="shared" si="389"/>
        <v>No</v>
      </c>
      <c r="AM271" s="519" t="s">
        <v>544</v>
      </c>
      <c r="AN271" s="524"/>
      <c r="AO271" s="519"/>
      <c r="AP271" s="516" t="s">
        <v>31</v>
      </c>
      <c r="AQ271" s="64" t="s">
        <v>577</v>
      </c>
      <c r="AR271" s="64" t="s">
        <v>118</v>
      </c>
      <c r="AS271" s="64" t="s">
        <v>547</v>
      </c>
      <c r="AT271" s="519" t="s">
        <v>544</v>
      </c>
      <c r="AU271" s="516" t="s">
        <v>548</v>
      </c>
      <c r="AV271" s="497"/>
      <c r="AW271" s="497"/>
      <c r="AX271" s="497"/>
      <c r="AZ271" s="64" t="str">
        <f t="shared" si="390"/>
        <v>No</v>
      </c>
      <c r="BA271" s="519" t="s">
        <v>544</v>
      </c>
      <c r="BB271" s="524"/>
      <c r="BC271" s="519"/>
      <c r="BD271" s="516" t="s">
        <v>31</v>
      </c>
      <c r="BE271" s="64" t="s">
        <v>565</v>
      </c>
      <c r="BF271" s="64" t="s">
        <v>588</v>
      </c>
      <c r="BG271" s="64" t="s">
        <v>547</v>
      </c>
      <c r="BH271" s="519" t="s">
        <v>544</v>
      </c>
      <c r="BI271" s="516" t="s">
        <v>548</v>
      </c>
      <c r="BJ271" s="497">
        <v>1</v>
      </c>
      <c r="BK271" s="497"/>
      <c r="BL271" s="497"/>
      <c r="BQ271" s="58">
        <f t="shared" si="423"/>
        <v>153</v>
      </c>
      <c r="BR271" s="61">
        <v>0</v>
      </c>
      <c r="BS271" s="61" t="s">
        <v>31</v>
      </c>
      <c r="BT271" s="17">
        <v>1</v>
      </c>
      <c r="BU271" s="17">
        <v>12</v>
      </c>
      <c r="BV271" s="17" t="str">
        <f t="shared" si="391"/>
        <v>sorafenib</v>
      </c>
      <c r="BW271" s="1006" t="str" cm="1">
        <f t="array" ref="BW271">IF(I271="No",I271,INDEX(List_incl_anal_1L_all,IF(BU271=999,35,BU271+1)))</f>
        <v>No</v>
      </c>
      <c r="BX271" s="61">
        <f t="shared" si="392"/>
        <v>0</v>
      </c>
      <c r="BY271" s="531" t="str">
        <f t="shared" si="421"/>
        <v>Overall survival</v>
      </c>
      <c r="BZ271" s="530">
        <f t="shared" si="393"/>
        <v>0</v>
      </c>
      <c r="CA271" s="531">
        <f t="shared" si="422"/>
        <v>0</v>
      </c>
      <c r="CB271" s="530">
        <f t="shared" si="394"/>
        <v>0</v>
      </c>
      <c r="CC271" s="530">
        <f t="shared" si="395"/>
        <v>1</v>
      </c>
      <c r="CD271" s="530">
        <f t="shared" si="396"/>
        <v>7</v>
      </c>
      <c r="CE271" s="1295">
        <f t="shared" si="397"/>
        <v>2</v>
      </c>
      <c r="CF271" s="1301">
        <f t="shared" si="398"/>
        <v>0</v>
      </c>
      <c r="CG271" s="530" t="str">
        <f t="shared" si="399"/>
        <v>Exponential</v>
      </c>
      <c r="CH271" s="61">
        <f t="shared" si="400"/>
        <v>0</v>
      </c>
      <c r="CI271" s="61">
        <f t="shared" si="401"/>
        <v>0</v>
      </c>
      <c r="CJ271" s="61">
        <f t="shared" si="402"/>
        <v>0</v>
      </c>
      <c r="DK271" s="58" t="str" cm="1">
        <f t="array" ref="DK271">IF(AND($BT271=4,$BX271=4,$BU271=999),$DB$36,_xlfn.IFNA(INDEX(DB$13:DB$70,MATCH(1,($BR271=$CV$13:$CV$70)*($BT271=$CX$13:$CX$70)*($CE271=$CY$13:$CY$70)*($BY271=$DA$13:$DA$70)*($CD271=$DH$13:$DH$70),0)),""))</f>
        <v>Exponential</v>
      </c>
      <c r="DL271" s="58" t="str" cm="1">
        <f t="array" ref="DL271">IF(AND($BT271=4,$BX271=4,$BU271=999),$DC$36,_xlfn.IFNA(INDEX(CHOOSE(DP271,DB$13:DB$70,DC$13:DC$70,DD$13:DD$70,DE$13:DE$70),MATCH(1,($BR271=$CV$13:$CV$70)*($BT271=$CX$13:$CX$70)*($CE271=$CY$13:$CY$70)*($BY271=$DA$13:$DA$70)*($CD271=$DH$13:$DH$70),0)),""))</f>
        <v>Exponential</v>
      </c>
      <c r="DM271" s="740" cm="1">
        <f t="array" ref="DM271">IF(AND($BT271=4,$BX271=4,$BU271=999),$DD$36,_xlfn.IFNA(INDEX(DD$13:DD$68,MATCH(1,($BR271=$CV$13:$CV$68)*($BT271=$CX$13:$CX$68)*($CE271=$CY$13:$CY$68)*($BY271=$DA$13:$DA$68)*($CD271=$DH$13:$DH$68),0)),""))</f>
        <v>0</v>
      </c>
      <c r="DN271" s="740" cm="1">
        <f t="array" ref="DN271">IF(AND($BT271=4,$BX271=4,$BU271=999),$DD$36,_xlfn.IFNA(INDEX(DE$13:DE$68,MATCH(1,($BR271=$CV$13:$CV$68)*($BT271=$CX$13:$CX$68)*($CE271=$CY$13:$CY$68)*($BY271=$DA$13:$DA$68)*($CD271=$DH$13:$DH$68),0)),""))</f>
        <v>0</v>
      </c>
      <c r="DO271" s="58" t="str" cm="1">
        <f t="array" ref="DO271">IF(AND($BT271=4,$BX271=4,$BU271=999),$DF$36,_xlfn.IFNA(INDEX(DF$13:DF$70,MATCH(1,($BR271=$CV$13:$CV$70)*($BT271=$CX$13:$CX$70)*($CE271=$CY$13:$CY$70)*($BY271=$DA$13:$DA$70)*($CD271=$DH$13:$DH$70),0)),""))</f>
        <v>Base case</v>
      </c>
      <c r="DP271" s="58">
        <f t="shared" si="424"/>
        <v>1</v>
      </c>
      <c r="DW271" s="58" t="s">
        <v>58</v>
      </c>
      <c r="DX271" s="58" t="s">
        <v>544</v>
      </c>
      <c r="DY271" s="58">
        <v>0</v>
      </c>
      <c r="DZ271" s="58">
        <v>0</v>
      </c>
      <c r="EB271" s="58">
        <v>0</v>
      </c>
      <c r="EC271" s="58">
        <v>1</v>
      </c>
      <c r="ED271" s="58">
        <v>7</v>
      </c>
      <c r="EE271" s="58">
        <v>2</v>
      </c>
      <c r="EF271" s="58">
        <v>0</v>
      </c>
      <c r="EI271" s="58" t="s">
        <v>58</v>
      </c>
      <c r="EJ271" s="58" t="s">
        <v>544</v>
      </c>
      <c r="EK271" s="58">
        <v>0</v>
      </c>
      <c r="EL271" s="58">
        <v>0</v>
      </c>
      <c r="EN271" s="58">
        <v>0</v>
      </c>
      <c r="EO271" s="58">
        <v>1</v>
      </c>
      <c r="EP271" s="58">
        <v>7</v>
      </c>
      <c r="EQ271" s="58">
        <v>0</v>
      </c>
      <c r="ER271" s="58">
        <v>0</v>
      </c>
      <c r="EU271" s="58" t="str">
        <f t="shared" si="403"/>
        <v>No</v>
      </c>
      <c r="EV271" s="58" t="str">
        <f t="shared" si="404"/>
        <v>Overall survival</v>
      </c>
      <c r="EW271" s="58">
        <f t="shared" si="405"/>
        <v>0</v>
      </c>
      <c r="EX271" s="58">
        <f t="shared" si="406"/>
        <v>0</v>
      </c>
      <c r="EZ271" s="58">
        <f t="shared" si="407"/>
        <v>0</v>
      </c>
      <c r="FA271" s="58">
        <f t="shared" si="408"/>
        <v>1</v>
      </c>
      <c r="FB271" s="58">
        <f>IF(i_eff_inputs_based_on_num=2,ED271,(INDEX(Lists!$L$51:$L$85,MATCH(O271,Lists!$K$51:$K$85,0))))</f>
        <v>7</v>
      </c>
      <c r="FC271" s="58">
        <f>IF(i_eff_inputs_based_on_num=2,EE271,(INDEX(Lists!$L$51:$L$85,MATCH(P271,Lists!$K$51:$K$85,0))))</f>
        <v>2</v>
      </c>
      <c r="FD271" s="58">
        <f>IF(i_eff_inputs_based_on_num=2,EF271,(INDEX(Lists!$L$51:$L$85,MATCH(Q271,Lists!$K$51:$K$85,0))))</f>
        <v>0</v>
      </c>
      <c r="FG271" s="58" t="str">
        <f t="shared" si="409"/>
        <v>No</v>
      </c>
      <c r="FH271" s="58" t="str">
        <f t="shared" si="410"/>
        <v>Overall survival</v>
      </c>
      <c r="FI271" s="58">
        <f t="shared" si="411"/>
        <v>0</v>
      </c>
      <c r="FJ271" s="58">
        <f t="shared" si="412"/>
        <v>0</v>
      </c>
      <c r="FL271" s="58">
        <f t="shared" si="413"/>
        <v>0</v>
      </c>
      <c r="FM271" s="58">
        <f t="shared" si="414"/>
        <v>1</v>
      </c>
      <c r="FN271" s="58">
        <f>IF(i_eff_inputs_based_on_num=2,EP271,(INDEX(Lists!$L$51:$L$85,MATCH(O271,Lists!$K$51:$K$85,0))))</f>
        <v>7</v>
      </c>
      <c r="FO271" s="58">
        <f>IF(i_eff_inputs_based_on_num=2,EQ271,(INDEX(Lists!$L$51:$L$85,MATCH(P271,Lists!$K$51:$K$85,0))))</f>
        <v>0</v>
      </c>
      <c r="FP271" s="58">
        <f>IF(i_eff_inputs_based_on_num=2,ER271,(INDEX(Lists!$L$51:$L$85,MATCH(Q271,Lists!$K$51:$K$85,0))))</f>
        <v>0</v>
      </c>
      <c r="FT271" s="58">
        <f t="shared" si="425"/>
        <v>0</v>
      </c>
      <c r="FW271" s="58">
        <f>IF(i_baseline_risk_from=2,'Effectiveness settings'!EW271,'Effectiveness settings'!FI271)</f>
        <v>0</v>
      </c>
      <c r="FX271" s="58">
        <f t="shared" si="426"/>
        <v>0</v>
      </c>
      <c r="FY271" s="58">
        <f t="shared" si="427"/>
        <v>0</v>
      </c>
      <c r="FZ271" s="58">
        <f t="shared" si="428"/>
        <v>0</v>
      </c>
      <c r="GA271" s="58">
        <f t="shared" si="429"/>
        <v>0</v>
      </c>
      <c r="GB271" s="58">
        <f t="shared" si="430"/>
        <v>0</v>
      </c>
      <c r="GC271" s="58">
        <f t="shared" si="431"/>
        <v>0</v>
      </c>
      <c r="GD271" s="58">
        <f t="shared" si="432"/>
        <v>0</v>
      </c>
      <c r="GE271" s="58">
        <f>IF(AND(dd_CheckMate214_TTD="Yes",'Effectiveness settings'!BU271=2,'Effectiveness settings'!BX271=2),"Apply HR to",GD271)</f>
        <v>0</v>
      </c>
      <c r="GF271" s="58">
        <f t="shared" si="433"/>
        <v>0</v>
      </c>
      <c r="GG271" s="58">
        <f t="shared" si="434"/>
        <v>0</v>
      </c>
      <c r="GH271" s="58">
        <f t="shared" si="435"/>
        <v>0</v>
      </c>
      <c r="GI271" s="58">
        <f t="shared" si="415"/>
        <v>0</v>
      </c>
      <c r="GK271" s="58">
        <f>IF(i_baseline_risk_from=2,'Effectiveness settings'!FA271,'Effectiveness settings'!FM271)</f>
        <v>1</v>
      </c>
      <c r="GL271" s="58">
        <f>IF(i_baseline_risk_from=2,'Effectiveness settings'!FB271,'Effectiveness settings'!FN271)</f>
        <v>7</v>
      </c>
      <c r="GM271" s="58">
        <f>IF(i_baseline_risk_from=2,'Effectiveness settings'!FC271,'Effectiveness settings'!FO271)</f>
        <v>2</v>
      </c>
      <c r="GN271" s="58">
        <f>IF(i_baseline_risk_from=2,'Effectiveness settings'!FD271,'Effectiveness settings'!FP271)</f>
        <v>0</v>
      </c>
      <c r="GQ271" s="58">
        <f t="shared" si="436"/>
        <v>7</v>
      </c>
      <c r="GR271" s="58">
        <f t="shared" si="437"/>
        <v>7</v>
      </c>
      <c r="GS271" s="58">
        <f t="shared" si="438"/>
        <v>7</v>
      </c>
      <c r="GT271" s="58">
        <f t="shared" si="439"/>
        <v>7</v>
      </c>
      <c r="GU271" s="58">
        <f>IF(AND(dd_CheckMate214_TTD="Yes",'Effectiveness settings'!BU271=2,'Effectiveness settings'!BX271=2),2,GT271)</f>
        <v>7</v>
      </c>
      <c r="GV271" s="58">
        <f t="shared" si="440"/>
        <v>7</v>
      </c>
      <c r="GW271" s="58">
        <f t="shared" si="441"/>
        <v>7</v>
      </c>
      <c r="GY271" s="58">
        <f>IF(AND(dd_CheckMate214_TTD="Yes",'Effectiveness settings'!BU271=2,'Effectiveness settings'!BX271=2),1,GN271)</f>
        <v>0</v>
      </c>
      <c r="GZ271" s="58">
        <f t="shared" si="442"/>
        <v>0</v>
      </c>
      <c r="HB271" s="58">
        <f t="shared" si="443"/>
        <v>0</v>
      </c>
      <c r="HD271" s="58">
        <f t="shared" si="416"/>
        <v>0</v>
      </c>
      <c r="HE271" s="58">
        <f t="shared" si="417"/>
        <v>1</v>
      </c>
      <c r="HF271" s="58">
        <f t="shared" si="418"/>
        <v>7</v>
      </c>
      <c r="HG271" s="58">
        <f t="shared" si="419"/>
        <v>2</v>
      </c>
      <c r="HH271" s="58">
        <f t="shared" si="420"/>
        <v>0</v>
      </c>
    </row>
    <row r="272" spans="1:216" ht="15.75" x14ac:dyDescent="0.25">
      <c r="D272" s="58" t="str">
        <v>placebo_BSC</v>
      </c>
      <c r="I272" s="64" t="s">
        <v>58</v>
      </c>
      <c r="J272" s="519" t="s">
        <v>544</v>
      </c>
      <c r="K272" s="524"/>
      <c r="L272" s="519"/>
      <c r="M272" s="516" t="s">
        <v>31</v>
      </c>
      <c r="N272" s="64" t="s">
        <v>565</v>
      </c>
      <c r="O272" s="64" t="s">
        <v>566</v>
      </c>
      <c r="P272" s="64" t="s">
        <v>547</v>
      </c>
      <c r="Q272" s="519" t="s">
        <v>557</v>
      </c>
      <c r="R272" s="516" t="s">
        <v>548</v>
      </c>
      <c r="S272" s="497">
        <v>1</v>
      </c>
      <c r="T272" s="497">
        <v>1</v>
      </c>
      <c r="U272" s="497">
        <v>1</v>
      </c>
      <c r="W272" s="58" t="str">
        <v>placebo_BSC</v>
      </c>
      <c r="X272" s="64" t="s">
        <v>74</v>
      </c>
      <c r="Y272" s="519" t="s">
        <v>544</v>
      </c>
      <c r="Z272" s="524" t="s">
        <v>561</v>
      </c>
      <c r="AA272" s="519"/>
      <c r="AB272" s="516" t="s">
        <v>31</v>
      </c>
      <c r="AC272" s="64" t="s">
        <v>565</v>
      </c>
      <c r="AD272" s="64" t="s">
        <v>566</v>
      </c>
      <c r="AE272" s="64" t="s">
        <v>547</v>
      </c>
      <c r="AF272" s="519" t="s">
        <v>557</v>
      </c>
      <c r="AG272" s="516" t="s">
        <v>548</v>
      </c>
      <c r="AH272" s="497"/>
      <c r="AI272" s="497"/>
      <c r="AJ272" s="497"/>
      <c r="AL272" s="64" t="str">
        <f t="shared" si="389"/>
        <v>Yes</v>
      </c>
      <c r="AM272" s="519" t="s">
        <v>544</v>
      </c>
      <c r="AN272" s="524" t="s">
        <v>561</v>
      </c>
      <c r="AO272" s="519"/>
      <c r="AP272" s="516" t="s">
        <v>31</v>
      </c>
      <c r="AQ272" s="64" t="s">
        <v>565</v>
      </c>
      <c r="AR272" s="64" t="s">
        <v>566</v>
      </c>
      <c r="AS272" s="64" t="s">
        <v>547</v>
      </c>
      <c r="AT272" s="519" t="s">
        <v>557</v>
      </c>
      <c r="AU272" s="516" t="s">
        <v>548</v>
      </c>
      <c r="AV272" s="497">
        <v>1</v>
      </c>
      <c r="AW272" s="497">
        <v>1</v>
      </c>
      <c r="AX272" s="497">
        <v>1</v>
      </c>
      <c r="AZ272" s="64" t="str">
        <f t="shared" si="390"/>
        <v>Yes</v>
      </c>
      <c r="BA272" s="519" t="s">
        <v>544</v>
      </c>
      <c r="BB272" s="524" t="s">
        <v>561</v>
      </c>
      <c r="BC272" s="519"/>
      <c r="BD272" s="516" t="s">
        <v>31</v>
      </c>
      <c r="BE272" s="64" t="s">
        <v>565</v>
      </c>
      <c r="BF272" s="64" t="s">
        <v>566</v>
      </c>
      <c r="BG272" s="64" t="s">
        <v>547</v>
      </c>
      <c r="BH272" s="519" t="s">
        <v>557</v>
      </c>
      <c r="BI272" s="516" t="s">
        <v>548</v>
      </c>
      <c r="BJ272" s="497">
        <v>1</v>
      </c>
      <c r="BK272" s="497">
        <v>1</v>
      </c>
      <c r="BL272" s="497">
        <v>1</v>
      </c>
      <c r="BQ272" s="58">
        <f t="shared" si="423"/>
        <v>154</v>
      </c>
      <c r="BR272" s="61">
        <v>0</v>
      </c>
      <c r="BS272" s="61" t="s">
        <v>31</v>
      </c>
      <c r="BT272" s="17">
        <v>1</v>
      </c>
      <c r="BU272" s="17">
        <v>999</v>
      </c>
      <c r="BV272" s="17" t="str">
        <f t="shared" si="391"/>
        <v>placebo_BSC</v>
      </c>
      <c r="BW272" s="1006" t="str" cm="1">
        <f t="array" ref="BW272">IF(I272="No",I272,INDEX(List_incl_anal_1L_all,IF(BU272=999,35,BU272+1)))</f>
        <v>No</v>
      </c>
      <c r="BX272" s="61">
        <f t="shared" si="392"/>
        <v>0</v>
      </c>
      <c r="BY272" s="531" t="str">
        <f t="shared" si="421"/>
        <v>Overall survival</v>
      </c>
      <c r="BZ272" s="530">
        <f t="shared" si="393"/>
        <v>0</v>
      </c>
      <c r="CA272" s="531">
        <f t="shared" si="422"/>
        <v>0</v>
      </c>
      <c r="CB272" s="530">
        <f t="shared" si="394"/>
        <v>0</v>
      </c>
      <c r="CC272" s="530">
        <f t="shared" si="395"/>
        <v>4</v>
      </c>
      <c r="CD272" s="530">
        <f t="shared" si="396"/>
        <v>999</v>
      </c>
      <c r="CE272" s="1295">
        <f t="shared" si="397"/>
        <v>2</v>
      </c>
      <c r="CF272" s="1301">
        <f t="shared" si="398"/>
        <v>4</v>
      </c>
      <c r="CG272" s="530" t="str">
        <f t="shared" si="399"/>
        <v/>
      </c>
      <c r="CH272" s="61">
        <f t="shared" si="400"/>
        <v>1</v>
      </c>
      <c r="CI272" s="61">
        <f t="shared" si="401"/>
        <v>1</v>
      </c>
      <c r="CJ272" s="61">
        <f t="shared" si="402"/>
        <v>1</v>
      </c>
      <c r="DK272" s="58" t="str" cm="1">
        <f t="array" ref="DK272">IF(AND($BT272=4,$BX272=4,$BU272=999),$DB$36,_xlfn.IFNA(INDEX(DB$13:DB$70,MATCH(1,($BR272=$CV$13:$CV$70)*($BT272=$CX$13:$CX$70)*($CE272=$CY$13:$CY$70)*($BY272=$DA$13:$DA$70)*($CD272=$DH$13:$DH$70),0)),""))</f>
        <v/>
      </c>
      <c r="DL272" s="58" t="str" cm="1">
        <f t="array" ref="DL272">IF(AND($BT272=4,$BX272=4,$BU272=999),$DC$36,_xlfn.IFNA(INDEX(CHOOSE(DP272,DB$13:DB$70,DC$13:DC$70,DD$13:DD$70,DE$13:DE$70),MATCH(1,($BR272=$CV$13:$CV$70)*($BT272=$CX$13:$CX$70)*($CE272=$CY$13:$CY$70)*($BY272=$DA$13:$DA$70)*($CD272=$DH$13:$DH$70),0)),""))</f>
        <v/>
      </c>
      <c r="DM272" s="740" t="str" cm="1">
        <f t="array" ref="DM272">IF(AND($BT272=4,$BX272=4,$BU272=999),$DD$36,_xlfn.IFNA(INDEX(DD$13:DD$68,MATCH(1,($BR272=$CV$13:$CV$68)*($BT272=$CX$13:$CX$68)*($CE272=$CY$13:$CY$68)*($BY272=$DA$13:$DA$68)*($CD272=$DH$13:$DH$68),0)),""))</f>
        <v/>
      </c>
      <c r="DN272" s="740" t="str" cm="1">
        <f t="array" ref="DN272">IF(AND($BT272=4,$BX272=4,$BU272=999),$DD$36,_xlfn.IFNA(INDEX(DE$13:DE$68,MATCH(1,($BR272=$CV$13:$CV$68)*($BT272=$CX$13:$CX$68)*($CE272=$CY$13:$CY$68)*($BY272=$DA$13:$DA$68)*($CD272=$DH$13:$DH$68),0)),""))</f>
        <v/>
      </c>
      <c r="DO272" s="58" t="str" cm="1">
        <f t="array" ref="DO272">IF(AND($BT272=4,$BX272=4,$BU272=999),$DF$36,_xlfn.IFNA(INDEX(DF$13:DF$70,MATCH(1,($BR272=$CV$13:$CV$70)*($BT272=$CX$13:$CX$70)*($CE272=$CY$13:$CY$70)*($BY272=$DA$13:$DA$70)*($CD272=$DH$13:$DH$70),0)),""))</f>
        <v/>
      </c>
      <c r="DP272" s="58" t="e">
        <f t="shared" si="424"/>
        <v>#N/A</v>
      </c>
      <c r="DW272" s="58" t="s">
        <v>58</v>
      </c>
      <c r="DX272" s="58" t="s">
        <v>544</v>
      </c>
      <c r="DY272" s="58">
        <v>0</v>
      </c>
      <c r="DZ272" s="58">
        <v>0</v>
      </c>
      <c r="EB272" s="58">
        <v>0</v>
      </c>
      <c r="EC272" s="58">
        <v>4</v>
      </c>
      <c r="ED272" s="58">
        <v>999</v>
      </c>
      <c r="EE272" s="58">
        <v>2</v>
      </c>
      <c r="EF272" s="58">
        <v>4</v>
      </c>
      <c r="EI272" s="58" t="s">
        <v>58</v>
      </c>
      <c r="EJ272" s="58" t="s">
        <v>544</v>
      </c>
      <c r="EK272" s="58">
        <v>0</v>
      </c>
      <c r="EL272" s="58">
        <v>0</v>
      </c>
      <c r="EN272" s="58">
        <v>0</v>
      </c>
      <c r="EO272" s="58">
        <v>4</v>
      </c>
      <c r="EP272" s="58">
        <v>999</v>
      </c>
      <c r="EQ272" s="58">
        <v>2</v>
      </c>
      <c r="ER272" s="58">
        <v>4</v>
      </c>
      <c r="EU272" s="58" t="str">
        <f t="shared" si="403"/>
        <v>No</v>
      </c>
      <c r="EV272" s="58" t="str">
        <f t="shared" si="404"/>
        <v>Overall survival</v>
      </c>
      <c r="EW272" s="58">
        <f t="shared" si="405"/>
        <v>0</v>
      </c>
      <c r="EX272" s="58">
        <f t="shared" si="406"/>
        <v>0</v>
      </c>
      <c r="EZ272" s="58">
        <f t="shared" si="407"/>
        <v>0</v>
      </c>
      <c r="FA272" s="58">
        <f t="shared" si="408"/>
        <v>4</v>
      </c>
      <c r="FB272" s="58">
        <f>IF(i_eff_inputs_based_on_num=2,ED272,(INDEX(Lists!$L$51:$L$85,MATCH(O272,Lists!$K$51:$K$85,0))))</f>
        <v>999</v>
      </c>
      <c r="FC272" s="58">
        <f>IF(i_eff_inputs_based_on_num=2,EE272,(INDEX(Lists!$L$51:$L$85,MATCH(P272,Lists!$K$51:$K$85,0))))</f>
        <v>2</v>
      </c>
      <c r="FD272" s="58">
        <f>IF(i_eff_inputs_based_on_num=2,EF272,(INDEX(Lists!$L$51:$L$85,MATCH(Q272,Lists!$K$51:$K$85,0))))</f>
        <v>4</v>
      </c>
      <c r="FG272" s="58" t="str">
        <f t="shared" si="409"/>
        <v>No</v>
      </c>
      <c r="FH272" s="58" t="str">
        <f t="shared" si="410"/>
        <v>Overall survival</v>
      </c>
      <c r="FI272" s="58">
        <f t="shared" si="411"/>
        <v>0</v>
      </c>
      <c r="FJ272" s="58">
        <f t="shared" si="412"/>
        <v>0</v>
      </c>
      <c r="FL272" s="58">
        <f t="shared" si="413"/>
        <v>0</v>
      </c>
      <c r="FM272" s="58">
        <f t="shared" si="414"/>
        <v>4</v>
      </c>
      <c r="FN272" s="58">
        <f>IF(i_eff_inputs_based_on_num=2,EP272,(INDEX(Lists!$L$51:$L$85,MATCH(O272,Lists!$K$51:$K$85,0))))</f>
        <v>999</v>
      </c>
      <c r="FO272" s="58">
        <f>IF(i_eff_inputs_based_on_num=2,EQ272,(INDEX(Lists!$L$51:$L$85,MATCH(P272,Lists!$K$51:$K$85,0))))</f>
        <v>2</v>
      </c>
      <c r="FP272" s="58">
        <f>IF(i_eff_inputs_based_on_num=2,ER272,(INDEX(Lists!$L$51:$L$85,MATCH(Q272,Lists!$K$51:$K$85,0))))</f>
        <v>4</v>
      </c>
      <c r="FT272" s="58">
        <f t="shared" si="425"/>
        <v>0</v>
      </c>
      <c r="FW272" s="58">
        <f>IF(i_baseline_risk_from=2,'Effectiveness settings'!EW272,'Effectiveness settings'!FI272)</f>
        <v>0</v>
      </c>
      <c r="FX272" s="58">
        <f t="shared" si="426"/>
        <v>0</v>
      </c>
      <c r="FY272" s="58">
        <f t="shared" si="427"/>
        <v>0</v>
      </c>
      <c r="FZ272" s="58">
        <f t="shared" si="428"/>
        <v>0</v>
      </c>
      <c r="GA272" s="58">
        <f t="shared" si="429"/>
        <v>0</v>
      </c>
      <c r="GB272" s="58">
        <f t="shared" si="430"/>
        <v>0</v>
      </c>
      <c r="GC272" s="58">
        <f t="shared" si="431"/>
        <v>0</v>
      </c>
      <c r="GD272" s="58">
        <f t="shared" si="432"/>
        <v>0</v>
      </c>
      <c r="GE272" s="58">
        <f>IF(AND(dd_CheckMate214_TTD="Yes",'Effectiveness settings'!BU272=2,'Effectiveness settings'!BX272=2),"Apply HR to",GD272)</f>
        <v>0</v>
      </c>
      <c r="GF272" s="58">
        <f t="shared" si="433"/>
        <v>0</v>
      </c>
      <c r="GG272" s="58">
        <f t="shared" si="434"/>
        <v>0</v>
      </c>
      <c r="GH272" s="58">
        <f t="shared" si="435"/>
        <v>0</v>
      </c>
      <c r="GI272" s="58">
        <f t="shared" si="415"/>
        <v>0</v>
      </c>
      <c r="GK272" s="58">
        <f>IF(i_baseline_risk_from=2,'Effectiveness settings'!FA272,'Effectiveness settings'!FM272)</f>
        <v>4</v>
      </c>
      <c r="GL272" s="58">
        <f>IF(i_baseline_risk_from=2,'Effectiveness settings'!FB272,'Effectiveness settings'!FN272)</f>
        <v>999</v>
      </c>
      <c r="GM272" s="58">
        <f>IF(i_baseline_risk_from=2,'Effectiveness settings'!FC272,'Effectiveness settings'!FO272)</f>
        <v>2</v>
      </c>
      <c r="GN272" s="58">
        <f>IF(i_baseline_risk_from=2,'Effectiveness settings'!FD272,'Effectiveness settings'!FP272)</f>
        <v>4</v>
      </c>
      <c r="GQ272" s="58">
        <f t="shared" si="436"/>
        <v>999</v>
      </c>
      <c r="GR272" s="58">
        <f t="shared" si="437"/>
        <v>999</v>
      </c>
      <c r="GS272" s="58">
        <f t="shared" si="438"/>
        <v>999</v>
      </c>
      <c r="GT272" s="58">
        <f t="shared" si="439"/>
        <v>999</v>
      </c>
      <c r="GU272" s="58">
        <f>IF(AND(dd_CheckMate214_TTD="Yes",'Effectiveness settings'!BU272=2,'Effectiveness settings'!BX272=2),2,GT272)</f>
        <v>999</v>
      </c>
      <c r="GV272" s="58">
        <f t="shared" si="440"/>
        <v>999</v>
      </c>
      <c r="GW272" s="58">
        <f t="shared" si="441"/>
        <v>999</v>
      </c>
      <c r="GY272" s="58">
        <f>IF(AND(dd_CheckMate214_TTD="Yes",'Effectiveness settings'!BU272=2,'Effectiveness settings'!BX272=2),1,GN272)</f>
        <v>4</v>
      </c>
      <c r="GZ272" s="58">
        <f t="shared" si="442"/>
        <v>4</v>
      </c>
      <c r="HB272" s="58">
        <f t="shared" si="443"/>
        <v>0</v>
      </c>
      <c r="HD272" s="58">
        <f t="shared" si="416"/>
        <v>0</v>
      </c>
      <c r="HE272" s="58">
        <f t="shared" si="417"/>
        <v>4</v>
      </c>
      <c r="HF272" s="58">
        <f t="shared" si="418"/>
        <v>999</v>
      </c>
      <c r="HG272" s="58">
        <f t="shared" si="419"/>
        <v>2</v>
      </c>
      <c r="HH272" s="58">
        <f t="shared" si="420"/>
        <v>4</v>
      </c>
    </row>
    <row r="273" spans="4:216" ht="15.75" x14ac:dyDescent="0.25">
      <c r="I273" s="67"/>
      <c r="J273" s="520"/>
      <c r="K273" s="525"/>
      <c r="L273" s="517"/>
      <c r="Q273" s="520"/>
      <c r="X273" s="1"/>
      <c r="Y273" s="625"/>
      <c r="Z273" s="1"/>
      <c r="AA273" s="626"/>
      <c r="AB273" s="4"/>
      <c r="AD273" s="4"/>
      <c r="AE273" s="4"/>
      <c r="AF273" s="625"/>
      <c r="AL273" s="1"/>
      <c r="AM273" s="625"/>
      <c r="AN273" s="67"/>
      <c r="AO273" s="517"/>
      <c r="AT273" s="625"/>
      <c r="AZ273" s="1"/>
      <c r="BA273" s="625"/>
      <c r="BB273" s="67"/>
      <c r="BC273" s="517"/>
      <c r="BH273" s="625"/>
      <c r="BQ273" s="58">
        <f t="shared" si="423"/>
        <v>154</v>
      </c>
      <c r="BR273" s="61"/>
      <c r="BS273" s="61"/>
      <c r="BT273" s="17"/>
      <c r="BU273" s="61"/>
      <c r="BV273" s="17"/>
      <c r="BW273" s="17"/>
      <c r="BX273" s="505"/>
      <c r="BY273" s="531"/>
      <c r="BZ273" s="530"/>
      <c r="CA273" s="531"/>
      <c r="CB273" s="530"/>
      <c r="CC273" s="530"/>
      <c r="CD273" s="530"/>
      <c r="CE273" s="1295"/>
      <c r="CF273" s="1301"/>
      <c r="CG273" s="530"/>
      <c r="CH273" s="61"/>
      <c r="CI273" s="61"/>
      <c r="CJ273" s="61"/>
      <c r="DK273" s="58" t="str" cm="1">
        <f t="array" ref="DK273">IF(AND($BT273=4,$BX273=4,$BU273=999),$DB$36,_xlfn.IFNA(INDEX(DB$13:DB$70,MATCH(1,($BR273=$CV$13:$CV$70)*($BT273=$CX$13:$CX$70)*($CE273=$CY$13:$CY$70)*($BY273=$DA$13:$DA$70)*($CD273=$DH$13:$DH$70),0)),""))</f>
        <v/>
      </c>
      <c r="DL273" s="58" t="str" cm="1">
        <f t="array" ref="DL273">IF(AND($BT273=4,$BX273=4,$BU273=999),$DC$36,_xlfn.IFNA(INDEX(CHOOSE(DP273,DB$13:DB$70,DC$13:DC$70,DD$13:DD$70,DE$13:DE$70),MATCH(1,($BR273=$CV$13:$CV$70)*($BT273=$CX$13:$CX$70)*($CE273=$CY$13:$CY$70)*($BY273=$DA$13:$DA$70)*($CD273=$DH$13:$DH$70),0)),""))</f>
        <v/>
      </c>
      <c r="DM273" s="740" t="str" cm="1">
        <f t="array" ref="DM273">IF(AND($BT273=4,$BX273=4,$BU273=999),$DD$36,_xlfn.IFNA(INDEX(DD$13:DD$68,MATCH(1,($BR273=$CV$13:$CV$68)*($BT273=$CX$13:$CX$68)*($CE273=$CY$13:$CY$68)*($BY273=$DA$13:$DA$68)*($CD273=$DH$13:$DH$68),0)),""))</f>
        <v/>
      </c>
      <c r="DN273" s="740" t="str" cm="1">
        <f t="array" ref="DN273">IF(AND($BT273=4,$BX273=4,$BU273=999),$DD$36,_xlfn.IFNA(INDEX(DE$13:DE$68,MATCH(1,($BR273=$CV$13:$CV$68)*($BT273=$CX$13:$CX$68)*($CE273=$CY$13:$CY$68)*($BY273=$DA$13:$DA$68)*($CD273=$DH$13:$DH$68),0)),""))</f>
        <v/>
      </c>
      <c r="DO273" s="58" t="str" cm="1">
        <f t="array" ref="DO273">IF(AND($BT273=4,$BX273=4,$BU273=999),$DF$36,_xlfn.IFNA(INDEX(DF$13:DF$70,MATCH(1,($BR273=$CV$13:$CV$70)*($BT273=$CX$13:$CX$70)*($CE273=$CY$13:$CY$70)*($BY273=$DA$13:$DA$70)*($CD273=$DH$13:$DH$70),0)),""))</f>
        <v/>
      </c>
      <c r="DP273" s="58" t="e">
        <f t="shared" si="424"/>
        <v>#N/A</v>
      </c>
      <c r="FT273" s="58">
        <f t="shared" si="425"/>
        <v>0</v>
      </c>
      <c r="FW273" s="58">
        <f>IF(i_baseline_risk_from=2,'Effectiveness settings'!EW273,'Effectiveness settings'!FI273)</f>
        <v>0</v>
      </c>
      <c r="FX273" s="58">
        <f t="shared" si="426"/>
        <v>0</v>
      </c>
      <c r="FY273" s="58">
        <f t="shared" si="427"/>
        <v>0</v>
      </c>
      <c r="FZ273" s="58">
        <f t="shared" si="428"/>
        <v>0</v>
      </c>
      <c r="GA273" s="58">
        <f t="shared" si="429"/>
        <v>0</v>
      </c>
      <c r="GB273" s="58">
        <f t="shared" si="430"/>
        <v>0</v>
      </c>
      <c r="GC273" s="58">
        <f t="shared" si="431"/>
        <v>0</v>
      </c>
      <c r="GD273" s="58">
        <f t="shared" si="432"/>
        <v>0</v>
      </c>
      <c r="GE273" s="58">
        <f>IF(AND(dd_CheckMate214_TTD="Yes",'Effectiveness settings'!BU273=2,'Effectiveness settings'!BX273=2),"Apply HR to",GD273)</f>
        <v>0</v>
      </c>
      <c r="GF273" s="58">
        <f t="shared" si="433"/>
        <v>0</v>
      </c>
      <c r="GG273" s="58">
        <f t="shared" si="434"/>
        <v>0</v>
      </c>
      <c r="GH273" s="58">
        <f t="shared" si="435"/>
        <v>0</v>
      </c>
      <c r="GI273" s="58">
        <f t="shared" si="415"/>
        <v>0</v>
      </c>
      <c r="GK273" s="58">
        <f>IF(i_baseline_risk_from=2,'Effectiveness settings'!FA273,'Effectiveness settings'!FM273)</f>
        <v>0</v>
      </c>
      <c r="GL273" s="58">
        <f>IF(i_baseline_risk_from=2,'Effectiveness settings'!FB273,'Effectiveness settings'!FN273)</f>
        <v>0</v>
      </c>
      <c r="GM273" s="58">
        <f>IF(i_baseline_risk_from=2,'Effectiveness settings'!FC273,'Effectiveness settings'!FO273)</f>
        <v>0</v>
      </c>
      <c r="GN273" s="58">
        <f>IF(i_baseline_risk_from=2,'Effectiveness settings'!FD273,'Effectiveness settings'!FP273)</f>
        <v>0</v>
      </c>
      <c r="GQ273" s="58">
        <f t="shared" si="436"/>
        <v>0</v>
      </c>
      <c r="GR273" s="58">
        <f t="shared" si="437"/>
        <v>0</v>
      </c>
      <c r="GS273" s="58">
        <f t="shared" si="438"/>
        <v>0</v>
      </c>
      <c r="GT273" s="58">
        <f t="shared" si="439"/>
        <v>0</v>
      </c>
      <c r="GU273" s="58">
        <f>IF(AND(dd_CheckMate214_TTD="Yes",'Effectiveness settings'!BU273=2,'Effectiveness settings'!BX273=2),2,GT273)</f>
        <v>0</v>
      </c>
      <c r="GV273" s="58">
        <f t="shared" si="440"/>
        <v>0</v>
      </c>
      <c r="GW273" s="58">
        <f t="shared" si="441"/>
        <v>0</v>
      </c>
      <c r="GY273" s="58">
        <f>IF(AND(dd_CheckMate214_TTD="Yes",'Effectiveness settings'!BU273=2,'Effectiveness settings'!BX273=2),1,GN273)</f>
        <v>0</v>
      </c>
      <c r="GZ273" s="58">
        <f t="shared" si="442"/>
        <v>0</v>
      </c>
      <c r="HB273" s="58">
        <f t="shared" si="443"/>
        <v>0</v>
      </c>
      <c r="HD273" s="58">
        <f t="shared" si="416"/>
        <v>0</v>
      </c>
      <c r="HE273" s="58">
        <f t="shared" si="417"/>
        <v>0</v>
      </c>
      <c r="HF273" s="58">
        <f t="shared" si="418"/>
        <v>0</v>
      </c>
      <c r="HG273" s="58">
        <f t="shared" si="419"/>
        <v>0</v>
      </c>
      <c r="HH273" s="58">
        <f t="shared" si="420"/>
        <v>0</v>
      </c>
    </row>
    <row r="274" spans="4:216" ht="15.75" x14ac:dyDescent="0.25">
      <c r="D274" s="58" t="str" cm="1">
        <f t="array" ref="D274:D287">List_comparators</f>
        <v>nivolumab_monotherapy</v>
      </c>
      <c r="I274" s="64" t="s">
        <v>58</v>
      </c>
      <c r="J274" s="519" t="s">
        <v>552</v>
      </c>
      <c r="K274" s="524"/>
      <c r="L274" s="519"/>
      <c r="M274" s="516" t="s">
        <v>31</v>
      </c>
      <c r="N274" s="64" t="s">
        <v>546</v>
      </c>
      <c r="O274" s="64" t="s">
        <v>117</v>
      </c>
      <c r="P274" s="64" t="s">
        <v>547</v>
      </c>
      <c r="Q274" s="519" t="s">
        <v>552</v>
      </c>
      <c r="R274" s="516" t="s">
        <v>548</v>
      </c>
      <c r="S274" s="497"/>
      <c r="T274" s="497"/>
      <c r="U274" s="497"/>
      <c r="W274" s="58" t="str" cm="1">
        <f t="array" ref="W274:W287">List_comparators</f>
        <v>nivolumab_monotherapy</v>
      </c>
      <c r="X274" s="64" t="s">
        <v>74</v>
      </c>
      <c r="Y274" s="519" t="s">
        <v>552</v>
      </c>
      <c r="Z274" s="524" t="s">
        <v>63</v>
      </c>
      <c r="AA274" s="519"/>
      <c r="AB274" s="516" t="s">
        <v>31</v>
      </c>
      <c r="AC274" s="64" t="s">
        <v>576</v>
      </c>
      <c r="AD274" s="64" t="s">
        <v>118</v>
      </c>
      <c r="AE274" s="64" t="s">
        <v>547</v>
      </c>
      <c r="AF274" s="519" t="s">
        <v>552</v>
      </c>
      <c r="AG274" s="516" t="s">
        <v>548</v>
      </c>
      <c r="AH274" s="497"/>
      <c r="AI274" s="497"/>
      <c r="AJ274" s="497"/>
      <c r="AL274" s="64" t="str">
        <f t="shared" ref="AL274:AL287" si="444">X274</f>
        <v>Yes</v>
      </c>
      <c r="AM274" s="519" t="s">
        <v>552</v>
      </c>
      <c r="AN274" s="524" t="s">
        <v>63</v>
      </c>
      <c r="AO274" s="519"/>
      <c r="AP274" s="516" t="s">
        <v>31</v>
      </c>
      <c r="AQ274" s="64" t="s">
        <v>577</v>
      </c>
      <c r="AR274" s="64" t="s">
        <v>118</v>
      </c>
      <c r="AS274" s="64" t="s">
        <v>547</v>
      </c>
      <c r="AT274" s="519" t="s">
        <v>552</v>
      </c>
      <c r="AU274" s="516" t="s">
        <v>548</v>
      </c>
      <c r="AV274" s="497"/>
      <c r="AW274" s="497"/>
      <c r="AX274" s="497"/>
      <c r="AZ274" s="64" t="str">
        <f t="shared" ref="AZ274:AZ287" si="445">AL274</f>
        <v>Yes</v>
      </c>
      <c r="BA274" s="519" t="s">
        <v>552</v>
      </c>
      <c r="BB274" s="524" t="s">
        <v>578</v>
      </c>
      <c r="BC274" s="519" t="s">
        <v>547</v>
      </c>
      <c r="BD274" s="516" t="s">
        <v>31</v>
      </c>
      <c r="BE274" s="64" t="s">
        <v>577</v>
      </c>
      <c r="BF274" s="64" t="s">
        <v>579</v>
      </c>
      <c r="BG274" s="64" t="s">
        <v>547</v>
      </c>
      <c r="BH274" s="519" t="s">
        <v>552</v>
      </c>
      <c r="BI274" s="516" t="s">
        <v>548</v>
      </c>
      <c r="BJ274" s="497">
        <v>1.7410000000000001</v>
      </c>
      <c r="BK274" s="497">
        <v>1.208</v>
      </c>
      <c r="BL274" s="497">
        <v>2.5099999999999998</v>
      </c>
      <c r="BM274" s="58" t="s">
        <v>589</v>
      </c>
      <c r="BQ274" s="58">
        <f t="shared" si="423"/>
        <v>155</v>
      </c>
      <c r="BR274" s="61">
        <v>0</v>
      </c>
      <c r="BS274" s="61" t="s">
        <v>31</v>
      </c>
      <c r="BT274" s="17">
        <v>1</v>
      </c>
      <c r="BU274" s="17">
        <v>0</v>
      </c>
      <c r="BV274" s="17" t="str">
        <f t="shared" ref="BV274:BV287" si="446">D274</f>
        <v>nivolumab_monotherapy</v>
      </c>
      <c r="BW274" s="1006" t="str" cm="1">
        <f t="array" ref="BW274">IF(I274="No",I274,INDEX(List_incl_anal_1L_all,IF(BU274=999,35,BU274+1)))</f>
        <v>No</v>
      </c>
      <c r="BX274" s="61">
        <f t="shared" ref="BX274:BX287" si="447">MATCH(BY274,List_eff_endpoints,0)-1</f>
        <v>1</v>
      </c>
      <c r="BY274" s="531" t="str">
        <f>J274</f>
        <v>Progression free survival</v>
      </c>
      <c r="BZ274" s="530">
        <f t="shared" ref="BZ274:BZ287" si="448">GI274</f>
        <v>0</v>
      </c>
      <c r="CA274" s="531">
        <f>FT274</f>
        <v>0</v>
      </c>
      <c r="CB274" s="530">
        <f t="shared" ref="CB274:CB287" si="449">HD274</f>
        <v>0</v>
      </c>
      <c r="CC274" s="530">
        <f t="shared" ref="CC274:CC287" si="450">HE274</f>
        <v>1</v>
      </c>
      <c r="CD274" s="530">
        <f t="shared" ref="CD274:CD287" si="451">HF274</f>
        <v>7</v>
      </c>
      <c r="CE274" s="1295">
        <f t="shared" ref="CE274:CE287" si="452">HG274</f>
        <v>2</v>
      </c>
      <c r="CF274" s="1301">
        <f t="shared" ref="CF274:CF287" si="453">HH274</f>
        <v>1</v>
      </c>
      <c r="CG274" s="530" t="str">
        <f t="shared" ref="CG274:CG287" si="454">IF(i_surv_cur=1,DK274,DL274)</f>
        <v>Log-logistic</v>
      </c>
      <c r="CH274" s="61">
        <f t="shared" ref="CH274:CH287" si="455">S274</f>
        <v>0</v>
      </c>
      <c r="CI274" s="61">
        <f t="shared" ref="CI274:CI287" si="456">T274</f>
        <v>0</v>
      </c>
      <c r="CJ274" s="61">
        <f t="shared" ref="CJ274:CJ287" si="457">U274</f>
        <v>0</v>
      </c>
      <c r="DK274" s="58" t="str" cm="1">
        <f t="array" ref="DK274">IF(AND($BT274=4,$BX274=4,$BU274=999),$DB$36,_xlfn.IFNA(INDEX(DB$13:DB$70,MATCH(1,($BR274=$CV$13:$CV$70)*($BT274=$CX$13:$CX$70)*($CE274=$CY$13:$CY$70)*($BY274=$DA$13:$DA$70)*($CD274=$DH$13:$DH$70),0)),""))</f>
        <v>Log-logistic</v>
      </c>
      <c r="DL274" s="58" t="str" cm="1">
        <f t="array" ref="DL274">IF(AND($BT274=4,$BX274=4,$BU274=999),$DC$36,_xlfn.IFNA(INDEX(CHOOSE(DP274,DB$13:DB$70,DC$13:DC$70,DD$13:DD$70,DE$13:DE$70),MATCH(1,($BR274=$CV$13:$CV$70)*($BT274=$CX$13:$CX$70)*($CE274=$CY$13:$CY$70)*($BY274=$DA$13:$DA$70)*($CD274=$DH$13:$DH$70),0)),""))</f>
        <v>Log-logistic</v>
      </c>
      <c r="DM274" s="740" cm="1">
        <f t="array" ref="DM274">IF(AND($BT274=4,$BX274=4,$BU274=999),$DD$36,_xlfn.IFNA(INDEX(DD$13:DD$68,MATCH(1,($BR274=$CV$13:$CV$68)*($BT274=$CX$13:$CX$68)*($CE274=$CY$13:$CY$68)*($BY274=$DA$13:$DA$68)*($CD274=$DH$13:$DH$68),0)),""))</f>
        <v>0</v>
      </c>
      <c r="DN274" s="740" cm="1">
        <f t="array" ref="DN274">IF(AND($BT274=4,$BX274=4,$BU274=999),$DD$36,_xlfn.IFNA(INDEX(DE$13:DE$68,MATCH(1,($BR274=$CV$13:$CV$68)*($BT274=$CX$13:$CX$68)*($CE274=$CY$13:$CY$68)*($BY274=$DA$13:$DA$68)*($CD274=$DH$13:$DH$68),0)),""))</f>
        <v>0</v>
      </c>
      <c r="DO274" s="58" t="str" cm="1">
        <f t="array" ref="DO274">IF(AND($BT274=4,$BX274=4,$BU274=999),$DF$36,_xlfn.IFNA(INDEX(DF$13:DF$70,MATCH(1,($BR274=$CV$13:$CV$70)*($BT274=$CX$13:$CX$70)*($CE274=$CY$13:$CY$70)*($BY274=$DA$13:$DA$70)*($CD274=$DH$13:$DH$70),0)),""))</f>
        <v>Base case</v>
      </c>
      <c r="DP274" s="58">
        <f t="shared" si="424"/>
        <v>1</v>
      </c>
      <c r="DW274" s="58" t="s">
        <v>58</v>
      </c>
      <c r="DX274" s="58" t="s">
        <v>552</v>
      </c>
      <c r="DY274" s="58">
        <v>0</v>
      </c>
      <c r="DZ274" s="58">
        <v>0</v>
      </c>
      <c r="EB274" s="58">
        <v>0</v>
      </c>
      <c r="EC274" s="58">
        <v>1</v>
      </c>
      <c r="ED274" s="58">
        <v>7</v>
      </c>
      <c r="EE274" s="58">
        <v>2</v>
      </c>
      <c r="EF274" s="58">
        <v>1</v>
      </c>
      <c r="EI274" s="58" t="s">
        <v>58</v>
      </c>
      <c r="EJ274" s="58" t="s">
        <v>552</v>
      </c>
      <c r="EK274" s="58">
        <v>0</v>
      </c>
      <c r="EL274" s="58">
        <v>0</v>
      </c>
      <c r="EN274" s="58">
        <v>0</v>
      </c>
      <c r="EO274" s="58">
        <v>1</v>
      </c>
      <c r="EP274" s="58">
        <v>7</v>
      </c>
      <c r="EQ274" s="58">
        <v>0</v>
      </c>
      <c r="ER274" s="58">
        <v>1</v>
      </c>
      <c r="EU274" s="58" t="str">
        <f t="shared" ref="EU274:EU287" si="458">IF(i_eff_inputs_based_on_num=2,DW274,I274)</f>
        <v>No</v>
      </c>
      <c r="EV274" s="58" t="str">
        <f t="shared" ref="EV274:EV287" si="459">IF(i_eff_inputs_based_on_num=2,DX274,J274)</f>
        <v>Progression free survival</v>
      </c>
      <c r="EW274" s="58">
        <f t="shared" ref="EW274:EW287" si="460">IF(i_eff_inputs_based_on_num=2,DY274,K274)</f>
        <v>0</v>
      </c>
      <c r="EX274" s="58">
        <f t="shared" ref="EX274:EX287" si="461">IF(i_eff_inputs_based_on_num=2,DZ274,L274)</f>
        <v>0</v>
      </c>
      <c r="EZ274" s="58">
        <f t="shared" ref="EZ274:EZ287" si="462">IF(i_eff_inputs_based_on_num=2,EB274,VLOOKUP(M274,r_pld_lookup_line,3,FALSE))</f>
        <v>0</v>
      </c>
      <c r="FA274" s="58">
        <f t="shared" ref="FA274:FA287" si="463">IF(i_eff_inputs_based_on_num=2,EC274,VLOOKUP(N274,r_pld_lookup_line,3,FALSE))</f>
        <v>1</v>
      </c>
      <c r="FB274" s="58">
        <f>IF(i_eff_inputs_based_on_num=2,ED274,(INDEX(Lists!$L$51:$L$85,MATCH(O274,Lists!$K$51:$K$85,0))))</f>
        <v>7</v>
      </c>
      <c r="FC274" s="58">
        <f>IF(i_eff_inputs_based_on_num=2,EE274,(INDEX(Lists!$L$51:$L$85,MATCH(P274,Lists!$K$51:$K$85,0))))</f>
        <v>2</v>
      </c>
      <c r="FD274" s="58">
        <f>IF(i_eff_inputs_based_on_num=2,EF274,(INDEX(Lists!$L$51:$L$85,MATCH(Q274,Lists!$K$51:$K$85,0))))</f>
        <v>1</v>
      </c>
      <c r="FG274" s="58" t="str">
        <f t="shared" ref="FG274:FG287" si="464">IF(i_eff_inputs_based_on_num=2,EI274,I274)</f>
        <v>No</v>
      </c>
      <c r="FH274" s="58" t="str">
        <f t="shared" ref="FH274:FH287" si="465">IF(i_eff_inputs_based_on_num=2,EJ274,J274)</f>
        <v>Progression free survival</v>
      </c>
      <c r="FI274" s="58">
        <f t="shared" ref="FI274:FI287" si="466">IF(i_eff_inputs_based_on_num=2,EK274,K274)</f>
        <v>0</v>
      </c>
      <c r="FJ274" s="58">
        <f t="shared" ref="FJ274:FJ287" si="467">IF(i_eff_inputs_based_on_num=2,EL274,L274)</f>
        <v>0</v>
      </c>
      <c r="FL274" s="58">
        <f t="shared" ref="FL274:FL287" si="468">IF(i_eff_inputs_based_on_num=2,EN274,VLOOKUP(M274,r_pld_lookup_line,3,FALSE))</f>
        <v>0</v>
      </c>
      <c r="FM274" s="58">
        <f t="shared" ref="FM274:FM287" si="469">IF(i_eff_inputs_based_on_num=2,EO274,VLOOKUP(N274,r_pld_lookup_line,3,FALSE))</f>
        <v>1</v>
      </c>
      <c r="FN274" s="58">
        <f>IF(i_eff_inputs_based_on_num=2,EP274,(INDEX(Lists!$L$51:$L$85,MATCH(O274,Lists!$K$51:$K$85,0))))</f>
        <v>7</v>
      </c>
      <c r="FO274" s="58">
        <f>IF(i_eff_inputs_based_on_num=2,EQ274,(INDEX(Lists!$L$51:$L$85,MATCH(P274,Lists!$K$51:$K$85,0))))</f>
        <v>0</v>
      </c>
      <c r="FP274" s="58">
        <f>IF(i_eff_inputs_based_on_num=2,ER274,(INDEX(Lists!$L$51:$L$85,MATCH(Q274,Lists!$K$51:$K$85,0))))</f>
        <v>1</v>
      </c>
      <c r="FT274" s="58">
        <f t="shared" si="425"/>
        <v>0</v>
      </c>
      <c r="FW274" s="58">
        <f>IF(i_baseline_risk_from=2,'Effectiveness settings'!EW274,'Effectiveness settings'!FI274)</f>
        <v>0</v>
      </c>
      <c r="FX274" s="58">
        <f t="shared" si="426"/>
        <v>0</v>
      </c>
      <c r="FY274" s="58">
        <f t="shared" si="427"/>
        <v>0</v>
      </c>
      <c r="FZ274" s="58">
        <f t="shared" si="428"/>
        <v>0</v>
      </c>
      <c r="GA274" s="58">
        <f t="shared" si="429"/>
        <v>0</v>
      </c>
      <c r="GB274" s="58">
        <f t="shared" si="430"/>
        <v>0</v>
      </c>
      <c r="GC274" s="58">
        <f t="shared" si="431"/>
        <v>0</v>
      </c>
      <c r="GD274" s="58">
        <f t="shared" si="432"/>
        <v>0</v>
      </c>
      <c r="GE274" s="58">
        <f>IF(AND(dd_CheckMate214_TTD="Yes",'Effectiveness settings'!BU274=2,'Effectiveness settings'!BX274=2),"Apply HR to",GD274)</f>
        <v>0</v>
      </c>
      <c r="GF274" s="58">
        <f t="shared" si="433"/>
        <v>0</v>
      </c>
      <c r="GG274" s="58">
        <f t="shared" si="434"/>
        <v>0</v>
      </c>
      <c r="GH274" s="58">
        <f t="shared" si="435"/>
        <v>0</v>
      </c>
      <c r="GI274" s="58">
        <f t="shared" si="415"/>
        <v>0</v>
      </c>
      <c r="GK274" s="58">
        <f>IF(i_baseline_risk_from=2,'Effectiveness settings'!FA274,'Effectiveness settings'!FM274)</f>
        <v>1</v>
      </c>
      <c r="GL274" s="58">
        <f>IF(i_baseline_risk_from=2,'Effectiveness settings'!FB274,'Effectiveness settings'!FN274)</f>
        <v>7</v>
      </c>
      <c r="GM274" s="58">
        <f>IF(i_baseline_risk_from=2,'Effectiveness settings'!FC274,'Effectiveness settings'!FO274)</f>
        <v>2</v>
      </c>
      <c r="GN274" s="58">
        <f>IF(i_baseline_risk_from=2,'Effectiveness settings'!FD274,'Effectiveness settings'!FP274)</f>
        <v>1</v>
      </c>
      <c r="GQ274" s="58">
        <f t="shared" si="436"/>
        <v>7</v>
      </c>
      <c r="GR274" s="58">
        <f t="shared" si="437"/>
        <v>7</v>
      </c>
      <c r="GS274" s="58">
        <f t="shared" si="438"/>
        <v>7</v>
      </c>
      <c r="GT274" s="58">
        <f t="shared" si="439"/>
        <v>7</v>
      </c>
      <c r="GU274" s="58">
        <f>IF(AND(dd_CheckMate214_TTD="Yes",'Effectiveness settings'!BU274=2,'Effectiveness settings'!BX274=2),2,GT274)</f>
        <v>7</v>
      </c>
      <c r="GV274" s="58">
        <f t="shared" si="440"/>
        <v>7</v>
      </c>
      <c r="GW274" s="58">
        <f t="shared" si="441"/>
        <v>7</v>
      </c>
      <c r="GY274" s="58">
        <f>IF(AND(dd_CheckMate214_TTD="Yes",'Effectiveness settings'!BU274=2,'Effectiveness settings'!BX274=2),1,GN274)</f>
        <v>1</v>
      </c>
      <c r="GZ274" s="58">
        <f t="shared" si="442"/>
        <v>1</v>
      </c>
      <c r="HB274" s="58">
        <f t="shared" si="443"/>
        <v>0</v>
      </c>
      <c r="HD274" s="58">
        <f t="shared" si="416"/>
        <v>0</v>
      </c>
      <c r="HE274" s="58">
        <f t="shared" si="417"/>
        <v>1</v>
      </c>
      <c r="HF274" s="58">
        <f t="shared" si="418"/>
        <v>7</v>
      </c>
      <c r="HG274" s="58">
        <f t="shared" si="419"/>
        <v>2</v>
      </c>
      <c r="HH274" s="58">
        <f t="shared" si="420"/>
        <v>1</v>
      </c>
    </row>
    <row r="275" spans="4:216" ht="15.75" x14ac:dyDescent="0.25">
      <c r="D275" s="58" t="str">
        <v>cabozantinib_plus_nivolumab</v>
      </c>
      <c r="I275" s="64" t="s">
        <v>74</v>
      </c>
      <c r="J275" s="519" t="s">
        <v>552</v>
      </c>
      <c r="K275" s="524" t="s">
        <v>63</v>
      </c>
      <c r="L275" s="519"/>
      <c r="M275" s="516" t="s">
        <v>31</v>
      </c>
      <c r="N275" s="64" t="s">
        <v>546</v>
      </c>
      <c r="O275" s="64" t="s">
        <v>117</v>
      </c>
      <c r="P275" s="64" t="s">
        <v>547</v>
      </c>
      <c r="Q275" s="519" t="s">
        <v>552</v>
      </c>
      <c r="R275" s="516" t="s">
        <v>548</v>
      </c>
      <c r="S275" s="497"/>
      <c r="T275" s="497"/>
      <c r="U275" s="497"/>
      <c r="W275" s="58" t="str">
        <v>cabozantinib_plus_nivolumab</v>
      </c>
      <c r="X275" s="64" t="s">
        <v>58</v>
      </c>
      <c r="Y275" s="519" t="s">
        <v>552</v>
      </c>
      <c r="Z275" s="524"/>
      <c r="AA275" s="519"/>
      <c r="AB275" s="516" t="s">
        <v>31</v>
      </c>
      <c r="AC275" s="64" t="s">
        <v>576</v>
      </c>
      <c r="AD275" s="64" t="s">
        <v>118</v>
      </c>
      <c r="AE275" s="64" t="s">
        <v>547</v>
      </c>
      <c r="AF275" s="519" t="s">
        <v>552</v>
      </c>
      <c r="AG275" s="516" t="s">
        <v>548</v>
      </c>
      <c r="AH275" s="497"/>
      <c r="AI275" s="497"/>
      <c r="AJ275" s="497"/>
      <c r="AL275" s="64" t="str">
        <f t="shared" si="444"/>
        <v>No</v>
      </c>
      <c r="AM275" s="519" t="s">
        <v>552</v>
      </c>
      <c r="AN275" s="524"/>
      <c r="AO275" s="519"/>
      <c r="AP275" s="516" t="s">
        <v>31</v>
      </c>
      <c r="AQ275" s="64" t="s">
        <v>577</v>
      </c>
      <c r="AR275" s="64" t="s">
        <v>118</v>
      </c>
      <c r="AS275" s="64" t="s">
        <v>547</v>
      </c>
      <c r="AT275" s="519" t="s">
        <v>552</v>
      </c>
      <c r="AU275" s="516" t="s">
        <v>548</v>
      </c>
      <c r="AV275" s="497"/>
      <c r="AW275" s="497"/>
      <c r="AX275" s="497"/>
      <c r="AZ275" s="64" t="str">
        <f t="shared" si="445"/>
        <v>No</v>
      </c>
      <c r="BA275" s="519" t="s">
        <v>552</v>
      </c>
      <c r="BB275" s="524"/>
      <c r="BC275" s="519"/>
      <c r="BD275" s="516" t="s">
        <v>31</v>
      </c>
      <c r="BE275" s="64" t="s">
        <v>565</v>
      </c>
      <c r="BF275" s="64" t="s">
        <v>571</v>
      </c>
      <c r="BG275" s="64" t="s">
        <v>547</v>
      </c>
      <c r="BH275" s="519" t="s">
        <v>552</v>
      </c>
      <c r="BI275" s="516" t="s">
        <v>548</v>
      </c>
      <c r="BJ275" s="497">
        <v>1</v>
      </c>
      <c r="BK275" s="497"/>
      <c r="BL275" s="497"/>
      <c r="BQ275" s="58">
        <f t="shared" si="423"/>
        <v>156</v>
      </c>
      <c r="BR275" s="61">
        <v>0</v>
      </c>
      <c r="BS275" s="61" t="s">
        <v>31</v>
      </c>
      <c r="BT275" s="17">
        <v>1</v>
      </c>
      <c r="BU275" s="17">
        <v>1</v>
      </c>
      <c r="BV275" s="17" t="str">
        <f t="shared" si="446"/>
        <v>cabozantinib_plus_nivolumab</v>
      </c>
      <c r="BW275" s="1006" t="str" cm="1">
        <f t="array" ref="BW275">IF(I275="No",I275,INDEX(List_incl_anal_1L_all,IF(BU275=999,35,BU275+1)))</f>
        <v>Yes</v>
      </c>
      <c r="BX275" s="61">
        <f t="shared" si="447"/>
        <v>1</v>
      </c>
      <c r="BY275" s="531" t="str">
        <f t="shared" ref="BY275:BY287" si="470">J275</f>
        <v>Progression free survival</v>
      </c>
      <c r="BZ275" s="530" t="str">
        <f t="shared" si="448"/>
        <v>FP_NMA</v>
      </c>
      <c r="CA275" s="531">
        <f t="shared" ref="CA275:CA287" si="471">FT275</f>
        <v>0</v>
      </c>
      <c r="CB275" s="530">
        <f t="shared" si="449"/>
        <v>0</v>
      </c>
      <c r="CC275" s="530">
        <f t="shared" si="450"/>
        <v>1</v>
      </c>
      <c r="CD275" s="530">
        <f t="shared" si="451"/>
        <v>7</v>
      </c>
      <c r="CE275" s="1295">
        <f t="shared" si="452"/>
        <v>2</v>
      </c>
      <c r="CF275" s="1301">
        <f t="shared" si="453"/>
        <v>1</v>
      </c>
      <c r="CG275" s="530" t="str">
        <f t="shared" si="454"/>
        <v>Log-logistic</v>
      </c>
      <c r="CH275" s="61">
        <f t="shared" si="455"/>
        <v>0</v>
      </c>
      <c r="CI275" s="61">
        <f t="shared" si="456"/>
        <v>0</v>
      </c>
      <c r="CJ275" s="61">
        <f t="shared" si="457"/>
        <v>0</v>
      </c>
      <c r="DK275" s="58" t="str" cm="1">
        <f t="array" ref="DK275">IF(AND($BT275=4,$BX275=4,$BU275=999),$DB$36,_xlfn.IFNA(INDEX(DB$13:DB$70,MATCH(1,($BR275=$CV$13:$CV$70)*($BT275=$CX$13:$CX$70)*($CE275=$CY$13:$CY$70)*($BY275=$DA$13:$DA$70)*($CD275=$DH$13:$DH$70),0)),""))</f>
        <v>Log-logistic</v>
      </c>
      <c r="DL275" s="58" t="str" cm="1">
        <f t="array" ref="DL275">IF(AND($BT275=4,$BX275=4,$BU275=999),$DC$36,_xlfn.IFNA(INDEX(CHOOSE(DP275,DB$13:DB$70,DC$13:DC$70,DD$13:DD$70,DE$13:DE$70),MATCH(1,($BR275=$CV$13:$CV$70)*($BT275=$CX$13:$CX$70)*($CE275=$CY$13:$CY$70)*($BY275=$DA$13:$DA$70)*($CD275=$DH$13:$DH$70),0)),""))</f>
        <v>Log-logistic</v>
      </c>
      <c r="DM275" s="740" cm="1">
        <f t="array" ref="DM275">IF(AND($BT275=4,$BX275=4,$BU275=999),$DD$36,_xlfn.IFNA(INDEX(DD$13:DD$68,MATCH(1,($BR275=$CV$13:$CV$68)*($BT275=$CX$13:$CX$68)*($CE275=$CY$13:$CY$68)*($BY275=$DA$13:$DA$68)*($CD275=$DH$13:$DH$68),0)),""))</f>
        <v>0</v>
      </c>
      <c r="DN275" s="740" cm="1">
        <f t="array" ref="DN275">IF(AND($BT275=4,$BX275=4,$BU275=999),$DD$36,_xlfn.IFNA(INDEX(DE$13:DE$68,MATCH(1,($BR275=$CV$13:$CV$68)*($BT275=$CX$13:$CX$68)*($CE275=$CY$13:$CY$68)*($BY275=$DA$13:$DA$68)*($CD275=$DH$13:$DH$68),0)),""))</f>
        <v>0</v>
      </c>
      <c r="DO275" s="58" t="str" cm="1">
        <f t="array" ref="DO275">IF(AND($BT275=4,$BX275=4,$BU275=999),$DF$36,_xlfn.IFNA(INDEX(DF$13:DF$70,MATCH(1,($BR275=$CV$13:$CV$70)*($BT275=$CX$13:$CX$70)*($CE275=$CY$13:$CY$70)*($BY275=$DA$13:$DA$70)*($CD275=$DH$13:$DH$70),0)),""))</f>
        <v>Base case</v>
      </c>
      <c r="DP275" s="58">
        <f t="shared" si="424"/>
        <v>1</v>
      </c>
      <c r="DW275" s="58" t="s">
        <v>74</v>
      </c>
      <c r="DX275" s="58" t="s">
        <v>552</v>
      </c>
      <c r="DY275" s="58" t="s">
        <v>63</v>
      </c>
      <c r="DZ275" s="58">
        <v>0</v>
      </c>
      <c r="EB275" s="58">
        <v>0</v>
      </c>
      <c r="EC275" s="58">
        <v>1</v>
      </c>
      <c r="ED275" s="58">
        <v>7</v>
      </c>
      <c r="EE275" s="58">
        <v>2</v>
      </c>
      <c r="EF275" s="58">
        <v>1</v>
      </c>
      <c r="EI275" s="58" t="s">
        <v>74</v>
      </c>
      <c r="EJ275" s="58" t="s">
        <v>552</v>
      </c>
      <c r="EK275" s="58" t="s">
        <v>63</v>
      </c>
      <c r="EL275" s="58">
        <v>0</v>
      </c>
      <c r="EN275" s="58">
        <v>0</v>
      </c>
      <c r="EO275" s="58">
        <v>1</v>
      </c>
      <c r="EP275" s="58">
        <v>7</v>
      </c>
      <c r="EQ275" s="58">
        <v>0</v>
      </c>
      <c r="ER275" s="58">
        <v>1</v>
      </c>
      <c r="EU275" s="58" t="str">
        <f t="shared" si="458"/>
        <v>Yes</v>
      </c>
      <c r="EV275" s="58" t="str">
        <f t="shared" si="459"/>
        <v>Progression free survival</v>
      </c>
      <c r="EW275" s="58" t="str">
        <f t="shared" si="460"/>
        <v>FP_NMA</v>
      </c>
      <c r="EX275" s="58">
        <f t="shared" si="461"/>
        <v>0</v>
      </c>
      <c r="EZ275" s="58">
        <f t="shared" si="462"/>
        <v>0</v>
      </c>
      <c r="FA275" s="58">
        <f t="shared" si="463"/>
        <v>1</v>
      </c>
      <c r="FB275" s="58">
        <f>IF(i_eff_inputs_based_on_num=2,ED275,(INDEX(Lists!$L$51:$L$85,MATCH(O275,Lists!$K$51:$K$85,0))))</f>
        <v>7</v>
      </c>
      <c r="FC275" s="58">
        <f>IF(i_eff_inputs_based_on_num=2,EE275,(INDEX(Lists!$L$51:$L$85,MATCH(P275,Lists!$K$51:$K$85,0))))</f>
        <v>2</v>
      </c>
      <c r="FD275" s="58">
        <f>IF(i_eff_inputs_based_on_num=2,EF275,(INDEX(Lists!$L$51:$L$85,MATCH(Q275,Lists!$K$51:$K$85,0))))</f>
        <v>1</v>
      </c>
      <c r="FG275" s="58" t="str">
        <f t="shared" si="464"/>
        <v>Yes</v>
      </c>
      <c r="FH275" s="58" t="str">
        <f t="shared" si="465"/>
        <v>Progression free survival</v>
      </c>
      <c r="FI275" s="58" t="str">
        <f t="shared" si="466"/>
        <v>FP_NMA</v>
      </c>
      <c r="FJ275" s="58">
        <f t="shared" si="467"/>
        <v>0</v>
      </c>
      <c r="FL275" s="58">
        <f t="shared" si="468"/>
        <v>0</v>
      </c>
      <c r="FM275" s="58">
        <f t="shared" si="469"/>
        <v>1</v>
      </c>
      <c r="FN275" s="58">
        <f>IF(i_eff_inputs_based_on_num=2,EP275,(INDEX(Lists!$L$51:$L$85,MATCH(O275,Lists!$K$51:$K$85,0))))</f>
        <v>7</v>
      </c>
      <c r="FO275" s="58">
        <f>IF(i_eff_inputs_based_on_num=2,EQ275,(INDEX(Lists!$L$51:$L$85,MATCH(P275,Lists!$K$51:$K$85,0))))</f>
        <v>0</v>
      </c>
      <c r="FP275" s="58">
        <f>IF(i_eff_inputs_based_on_num=2,ER275,(INDEX(Lists!$L$51:$L$85,MATCH(Q275,Lists!$K$51:$K$85,0))))</f>
        <v>1</v>
      </c>
      <c r="FT275" s="58">
        <f t="shared" si="425"/>
        <v>0</v>
      </c>
      <c r="FW275" s="58" t="str">
        <f>IF(i_baseline_risk_from=2,'Effectiveness settings'!EW275,'Effectiveness settings'!FI275)</f>
        <v>FP_NMA</v>
      </c>
      <c r="FX275" s="58" t="str">
        <f t="shared" si="426"/>
        <v>FP_NMA</v>
      </c>
      <c r="FY275" s="58" t="str">
        <f t="shared" si="427"/>
        <v>FP_NMA</v>
      </c>
      <c r="FZ275" s="58" t="str">
        <f t="shared" si="428"/>
        <v>FP_NMA</v>
      </c>
      <c r="GA275" s="58" t="str">
        <f t="shared" si="429"/>
        <v>FP_NMA</v>
      </c>
      <c r="GB275" s="58" t="str">
        <f t="shared" si="430"/>
        <v>FP_NMA</v>
      </c>
      <c r="GC275" s="58" t="str">
        <f t="shared" si="431"/>
        <v>FP_NMA</v>
      </c>
      <c r="GD275" s="58" t="str">
        <f t="shared" si="432"/>
        <v>FP_NMA</v>
      </c>
      <c r="GE275" s="58" t="str">
        <f>IF(AND(dd_CheckMate214_TTD="Yes",'Effectiveness settings'!BU275=2,'Effectiveness settings'!BX275=2),"Apply HR to",GD275)</f>
        <v>FP_NMA</v>
      </c>
      <c r="GF275" s="58" t="str">
        <f t="shared" si="433"/>
        <v>FP_NMA</v>
      </c>
      <c r="GG275" s="58" t="str">
        <f t="shared" si="434"/>
        <v>FP_NMA</v>
      </c>
      <c r="GH275" s="58" t="str">
        <f t="shared" si="435"/>
        <v>FP_NMA</v>
      </c>
      <c r="GI275" s="58" t="str">
        <f t="shared" si="415"/>
        <v>FP_NMA</v>
      </c>
      <c r="GK275" s="58">
        <f>IF(i_baseline_risk_from=2,'Effectiveness settings'!FA275,'Effectiveness settings'!FM275)</f>
        <v>1</v>
      </c>
      <c r="GL275" s="58">
        <f>IF(i_baseline_risk_from=2,'Effectiveness settings'!FB275,'Effectiveness settings'!FN275)</f>
        <v>7</v>
      </c>
      <c r="GM275" s="58">
        <f>IF(i_baseline_risk_from=2,'Effectiveness settings'!FC275,'Effectiveness settings'!FO275)</f>
        <v>2</v>
      </c>
      <c r="GN275" s="58">
        <f>IF(i_baseline_risk_from=2,'Effectiveness settings'!FD275,'Effectiveness settings'!FP275)</f>
        <v>1</v>
      </c>
      <c r="GQ275" s="58">
        <f t="shared" si="436"/>
        <v>7</v>
      </c>
      <c r="GR275" s="58">
        <f t="shared" si="437"/>
        <v>7</v>
      </c>
      <c r="GS275" s="58">
        <f t="shared" si="438"/>
        <v>7</v>
      </c>
      <c r="GT275" s="58">
        <f t="shared" si="439"/>
        <v>7</v>
      </c>
      <c r="GU275" s="58">
        <f>IF(AND(dd_CheckMate214_TTD="Yes",'Effectiveness settings'!BU275=2,'Effectiveness settings'!BX275=2),2,GT275)</f>
        <v>7</v>
      </c>
      <c r="GV275" s="58">
        <f t="shared" si="440"/>
        <v>7</v>
      </c>
      <c r="GW275" s="58">
        <f t="shared" si="441"/>
        <v>7</v>
      </c>
      <c r="GY275" s="58">
        <f>IF(AND(dd_CheckMate214_TTD="Yes",'Effectiveness settings'!BU275=2,'Effectiveness settings'!BX275=2),1,GN275)</f>
        <v>1</v>
      </c>
      <c r="GZ275" s="58">
        <f t="shared" si="442"/>
        <v>1</v>
      </c>
      <c r="HB275" s="58">
        <f t="shared" si="443"/>
        <v>0</v>
      </c>
      <c r="HD275" s="58">
        <f t="shared" si="416"/>
        <v>0</v>
      </c>
      <c r="HE275" s="58">
        <f t="shared" si="417"/>
        <v>1</v>
      </c>
      <c r="HF275" s="58">
        <f t="shared" si="418"/>
        <v>7</v>
      </c>
      <c r="HG275" s="58">
        <f t="shared" si="419"/>
        <v>2</v>
      </c>
      <c r="HH275" s="58">
        <f t="shared" si="420"/>
        <v>1</v>
      </c>
    </row>
    <row r="276" spans="4:216" ht="15.75" x14ac:dyDescent="0.25">
      <c r="D276" s="58" t="str">
        <v>nivolumab_plus_ipilimumab</v>
      </c>
      <c r="I276" s="64" t="s">
        <v>58</v>
      </c>
      <c r="J276" s="519" t="s">
        <v>552</v>
      </c>
      <c r="K276" s="524" t="s">
        <v>63</v>
      </c>
      <c r="L276" s="519"/>
      <c r="M276" s="516" t="s">
        <v>31</v>
      </c>
      <c r="N276" s="64" t="s">
        <v>546</v>
      </c>
      <c r="O276" s="64" t="s">
        <v>117</v>
      </c>
      <c r="P276" s="64" t="s">
        <v>547</v>
      </c>
      <c r="Q276" s="519" t="s">
        <v>552</v>
      </c>
      <c r="R276" s="516" t="s">
        <v>548</v>
      </c>
      <c r="S276" s="497"/>
      <c r="T276" s="497"/>
      <c r="U276" s="497"/>
      <c r="W276" s="58" t="str">
        <v>nivolumab_plus_ipilimumab</v>
      </c>
      <c r="X276" s="64" t="s">
        <v>58</v>
      </c>
      <c r="Y276" s="519" t="s">
        <v>552</v>
      </c>
      <c r="Z276" s="524"/>
      <c r="AA276" s="519"/>
      <c r="AB276" s="516" t="s">
        <v>31</v>
      </c>
      <c r="AC276" s="64" t="s">
        <v>576</v>
      </c>
      <c r="AD276" s="64" t="s">
        <v>118</v>
      </c>
      <c r="AE276" s="64" t="s">
        <v>547</v>
      </c>
      <c r="AF276" s="519" t="s">
        <v>552</v>
      </c>
      <c r="AG276" s="516" t="s">
        <v>548</v>
      </c>
      <c r="AH276" s="497"/>
      <c r="AI276" s="497"/>
      <c r="AJ276" s="497"/>
      <c r="AL276" s="64" t="str">
        <f t="shared" si="444"/>
        <v>No</v>
      </c>
      <c r="AM276" s="519" t="s">
        <v>552</v>
      </c>
      <c r="AN276" s="524"/>
      <c r="AO276" s="519"/>
      <c r="AP276" s="516" t="s">
        <v>31</v>
      </c>
      <c r="AQ276" s="64" t="s">
        <v>577</v>
      </c>
      <c r="AR276" s="64" t="s">
        <v>118</v>
      </c>
      <c r="AS276" s="64" t="s">
        <v>547</v>
      </c>
      <c r="AT276" s="519" t="s">
        <v>552</v>
      </c>
      <c r="AU276" s="516" t="s">
        <v>548</v>
      </c>
      <c r="AV276" s="497"/>
      <c r="AW276" s="497"/>
      <c r="AX276" s="497"/>
      <c r="AZ276" s="64" t="str">
        <f t="shared" si="445"/>
        <v>No</v>
      </c>
      <c r="BA276" s="519" t="s">
        <v>552</v>
      </c>
      <c r="BB276" s="524"/>
      <c r="BC276" s="519"/>
      <c r="BD276" s="516" t="s">
        <v>31</v>
      </c>
      <c r="BE276" s="64" t="s">
        <v>565</v>
      </c>
      <c r="BF276" s="64" t="s">
        <v>581</v>
      </c>
      <c r="BG276" s="64" t="s">
        <v>547</v>
      </c>
      <c r="BH276" s="519" t="s">
        <v>552</v>
      </c>
      <c r="BI276" s="516" t="s">
        <v>548</v>
      </c>
      <c r="BJ276" s="497">
        <v>1</v>
      </c>
      <c r="BK276" s="497"/>
      <c r="BL276" s="497"/>
      <c r="BQ276" s="58">
        <f t="shared" si="423"/>
        <v>157</v>
      </c>
      <c r="BR276" s="61">
        <v>0</v>
      </c>
      <c r="BS276" s="61" t="s">
        <v>31</v>
      </c>
      <c r="BT276" s="17">
        <v>1</v>
      </c>
      <c r="BU276" s="17">
        <v>2</v>
      </c>
      <c r="BV276" s="17" t="str">
        <f t="shared" si="446"/>
        <v>nivolumab_plus_ipilimumab</v>
      </c>
      <c r="BW276" s="1006" t="str" cm="1">
        <f t="array" ref="BW276">IF(I276="No",I276,INDEX(List_incl_anal_1L_all,IF(BU276=999,35,BU276+1)))</f>
        <v>No</v>
      </c>
      <c r="BX276" s="61">
        <f t="shared" si="447"/>
        <v>1</v>
      </c>
      <c r="BY276" s="531" t="str">
        <f t="shared" si="470"/>
        <v>Progression free survival</v>
      </c>
      <c r="BZ276" s="530">
        <f t="shared" si="448"/>
        <v>0</v>
      </c>
      <c r="CA276" s="531">
        <f t="shared" si="471"/>
        <v>0</v>
      </c>
      <c r="CB276" s="530">
        <f t="shared" si="449"/>
        <v>0</v>
      </c>
      <c r="CC276" s="530">
        <f t="shared" si="450"/>
        <v>1</v>
      </c>
      <c r="CD276" s="530">
        <f t="shared" si="451"/>
        <v>7</v>
      </c>
      <c r="CE276" s="1295">
        <f t="shared" si="452"/>
        <v>2</v>
      </c>
      <c r="CF276" s="1301">
        <f t="shared" si="453"/>
        <v>1</v>
      </c>
      <c r="CG276" s="530" t="str">
        <f t="shared" si="454"/>
        <v>Log-logistic</v>
      </c>
      <c r="CH276" s="61">
        <f t="shared" si="455"/>
        <v>0</v>
      </c>
      <c r="CI276" s="61">
        <f t="shared" si="456"/>
        <v>0</v>
      </c>
      <c r="CJ276" s="61">
        <f t="shared" si="457"/>
        <v>0</v>
      </c>
      <c r="DK276" s="58" t="str" cm="1">
        <f t="array" ref="DK276">IF(AND($BT276=4,$BX276=4,$BU276=999),$DB$36,_xlfn.IFNA(INDEX(DB$13:DB$70,MATCH(1,($BR276=$CV$13:$CV$70)*($BT276=$CX$13:$CX$70)*($CE276=$CY$13:$CY$70)*($BY276=$DA$13:$DA$70)*($CD276=$DH$13:$DH$70),0)),""))</f>
        <v>Log-logistic</v>
      </c>
      <c r="DL276" s="58" t="str" cm="1">
        <f t="array" ref="DL276">IF(AND($BT276=4,$BX276=4,$BU276=999),$DC$36,_xlfn.IFNA(INDEX(CHOOSE(DP276,DB$13:DB$70,DC$13:DC$70,DD$13:DD$70,DE$13:DE$70),MATCH(1,($BR276=$CV$13:$CV$70)*($BT276=$CX$13:$CX$70)*($CE276=$CY$13:$CY$70)*($BY276=$DA$13:$DA$70)*($CD276=$DH$13:$DH$70),0)),""))</f>
        <v>Log-logistic</v>
      </c>
      <c r="DM276" s="740" cm="1">
        <f t="array" ref="DM276">IF(AND($BT276=4,$BX276=4,$BU276=999),$DD$36,_xlfn.IFNA(INDEX(DD$13:DD$68,MATCH(1,($BR276=$CV$13:$CV$68)*($BT276=$CX$13:$CX$68)*($CE276=$CY$13:$CY$68)*($BY276=$DA$13:$DA$68)*($CD276=$DH$13:$DH$68),0)),""))</f>
        <v>0</v>
      </c>
      <c r="DN276" s="740" cm="1">
        <f t="array" ref="DN276">IF(AND($BT276=4,$BX276=4,$BU276=999),$DD$36,_xlfn.IFNA(INDEX(DE$13:DE$68,MATCH(1,($BR276=$CV$13:$CV$68)*($BT276=$CX$13:$CX$68)*($CE276=$CY$13:$CY$68)*($BY276=$DA$13:$DA$68)*($CD276=$DH$13:$DH$68),0)),""))</f>
        <v>0</v>
      </c>
      <c r="DO276" s="58" t="str" cm="1">
        <f t="array" ref="DO276">IF(AND($BT276=4,$BX276=4,$BU276=999),$DF$36,_xlfn.IFNA(INDEX(DF$13:DF$70,MATCH(1,($BR276=$CV$13:$CV$70)*($BT276=$CX$13:$CX$70)*($CE276=$CY$13:$CY$70)*($BY276=$DA$13:$DA$70)*($CD276=$DH$13:$DH$70),0)),""))</f>
        <v>Base case</v>
      </c>
      <c r="DP276" s="58">
        <f t="shared" si="424"/>
        <v>1</v>
      </c>
      <c r="DW276" s="58" t="s">
        <v>58</v>
      </c>
      <c r="DX276" s="58" t="s">
        <v>552</v>
      </c>
      <c r="DY276" s="58">
        <v>0</v>
      </c>
      <c r="DZ276" s="58">
        <v>0</v>
      </c>
      <c r="EB276" s="58">
        <v>0</v>
      </c>
      <c r="EC276" s="58">
        <v>1</v>
      </c>
      <c r="ED276" s="58">
        <v>7</v>
      </c>
      <c r="EE276" s="58">
        <v>2</v>
      </c>
      <c r="EF276" s="58">
        <v>1</v>
      </c>
      <c r="EI276" s="58" t="s">
        <v>58</v>
      </c>
      <c r="EJ276" s="58" t="s">
        <v>552</v>
      </c>
      <c r="EK276" s="58">
        <v>0</v>
      </c>
      <c r="EL276" s="58">
        <v>0</v>
      </c>
      <c r="EN276" s="58">
        <v>0</v>
      </c>
      <c r="EO276" s="58">
        <v>1</v>
      </c>
      <c r="EP276" s="58">
        <v>7</v>
      </c>
      <c r="EQ276" s="58">
        <v>0</v>
      </c>
      <c r="ER276" s="58">
        <v>1</v>
      </c>
      <c r="EU276" s="58" t="str">
        <f t="shared" si="458"/>
        <v>No</v>
      </c>
      <c r="EV276" s="58" t="str">
        <f t="shared" si="459"/>
        <v>Progression free survival</v>
      </c>
      <c r="EW276" s="58">
        <f t="shared" si="460"/>
        <v>0</v>
      </c>
      <c r="EX276" s="58">
        <f t="shared" si="461"/>
        <v>0</v>
      </c>
      <c r="EZ276" s="58">
        <f t="shared" si="462"/>
        <v>0</v>
      </c>
      <c r="FA276" s="58">
        <f t="shared" si="463"/>
        <v>1</v>
      </c>
      <c r="FB276" s="58">
        <f>IF(i_eff_inputs_based_on_num=2,ED276,(INDEX(Lists!$L$51:$L$85,MATCH(O276,Lists!$K$51:$K$85,0))))</f>
        <v>7</v>
      </c>
      <c r="FC276" s="58">
        <f>IF(i_eff_inputs_based_on_num=2,EE276,(INDEX(Lists!$L$51:$L$85,MATCH(P276,Lists!$K$51:$K$85,0))))</f>
        <v>2</v>
      </c>
      <c r="FD276" s="58">
        <f>IF(i_eff_inputs_based_on_num=2,EF276,(INDEX(Lists!$L$51:$L$85,MATCH(Q276,Lists!$K$51:$K$85,0))))</f>
        <v>1</v>
      </c>
      <c r="FG276" s="58" t="str">
        <f t="shared" si="464"/>
        <v>No</v>
      </c>
      <c r="FH276" s="58" t="str">
        <f t="shared" si="465"/>
        <v>Progression free survival</v>
      </c>
      <c r="FI276" s="58">
        <f t="shared" si="466"/>
        <v>0</v>
      </c>
      <c r="FJ276" s="58">
        <f t="shared" si="467"/>
        <v>0</v>
      </c>
      <c r="FL276" s="58">
        <f t="shared" si="468"/>
        <v>0</v>
      </c>
      <c r="FM276" s="58">
        <f t="shared" si="469"/>
        <v>1</v>
      </c>
      <c r="FN276" s="58">
        <f>IF(i_eff_inputs_based_on_num=2,EP276,(INDEX(Lists!$L$51:$L$85,MATCH(O276,Lists!$K$51:$K$85,0))))</f>
        <v>7</v>
      </c>
      <c r="FO276" s="58">
        <f>IF(i_eff_inputs_based_on_num=2,EQ276,(INDEX(Lists!$L$51:$L$85,MATCH(P276,Lists!$K$51:$K$85,0))))</f>
        <v>0</v>
      </c>
      <c r="FP276" s="58">
        <f>IF(i_eff_inputs_based_on_num=2,ER276,(INDEX(Lists!$L$51:$L$85,MATCH(Q276,Lists!$K$51:$K$85,0))))</f>
        <v>1</v>
      </c>
      <c r="FT276" s="58">
        <f t="shared" si="425"/>
        <v>0</v>
      </c>
      <c r="FW276" s="58">
        <f>IF(i_baseline_risk_from=2,'Effectiveness settings'!EW276,'Effectiveness settings'!FI276)</f>
        <v>0</v>
      </c>
      <c r="FX276" s="58">
        <f t="shared" si="426"/>
        <v>0</v>
      </c>
      <c r="FY276" s="58">
        <f t="shared" si="427"/>
        <v>0</v>
      </c>
      <c r="FZ276" s="58">
        <f t="shared" si="428"/>
        <v>0</v>
      </c>
      <c r="GA276" s="58">
        <f t="shared" si="429"/>
        <v>0</v>
      </c>
      <c r="GB276" s="58">
        <f t="shared" si="430"/>
        <v>0</v>
      </c>
      <c r="GC276" s="58">
        <f t="shared" si="431"/>
        <v>0</v>
      </c>
      <c r="GD276" s="58">
        <f t="shared" si="432"/>
        <v>0</v>
      </c>
      <c r="GE276" s="58">
        <f>IF(AND(dd_CheckMate214_TTD="Yes",'Effectiveness settings'!BU276=2,'Effectiveness settings'!BX276=2),"Apply HR to",GD276)</f>
        <v>0</v>
      </c>
      <c r="GF276" s="58">
        <f t="shared" si="433"/>
        <v>0</v>
      </c>
      <c r="GG276" s="58">
        <f t="shared" si="434"/>
        <v>0</v>
      </c>
      <c r="GH276" s="58">
        <f t="shared" si="435"/>
        <v>0</v>
      </c>
      <c r="GI276" s="58">
        <f t="shared" si="415"/>
        <v>0</v>
      </c>
      <c r="GK276" s="58">
        <f>IF(i_baseline_risk_from=2,'Effectiveness settings'!FA276,'Effectiveness settings'!FM276)</f>
        <v>1</v>
      </c>
      <c r="GL276" s="58">
        <f>IF(i_baseline_risk_from=2,'Effectiveness settings'!FB276,'Effectiveness settings'!FN276)</f>
        <v>7</v>
      </c>
      <c r="GM276" s="58">
        <f>IF(i_baseline_risk_from=2,'Effectiveness settings'!FC276,'Effectiveness settings'!FO276)</f>
        <v>2</v>
      </c>
      <c r="GN276" s="58">
        <f>IF(i_baseline_risk_from=2,'Effectiveness settings'!FD276,'Effectiveness settings'!FP276)</f>
        <v>1</v>
      </c>
      <c r="GQ276" s="58">
        <f t="shared" si="436"/>
        <v>7</v>
      </c>
      <c r="GR276" s="58">
        <f t="shared" si="437"/>
        <v>7</v>
      </c>
      <c r="GS276" s="58">
        <f t="shared" si="438"/>
        <v>7</v>
      </c>
      <c r="GT276" s="58">
        <f t="shared" si="439"/>
        <v>7</v>
      </c>
      <c r="GU276" s="58">
        <f>IF(AND(dd_CheckMate214_TTD="Yes",'Effectiveness settings'!BU276=2,'Effectiveness settings'!BX276=2),2,GT276)</f>
        <v>7</v>
      </c>
      <c r="GV276" s="58">
        <f t="shared" si="440"/>
        <v>7</v>
      </c>
      <c r="GW276" s="58">
        <f t="shared" si="441"/>
        <v>7</v>
      </c>
      <c r="GY276" s="58">
        <f>IF(AND(dd_CheckMate214_TTD="Yes",'Effectiveness settings'!BU276=2,'Effectiveness settings'!BX276=2),1,GN276)</f>
        <v>1</v>
      </c>
      <c r="GZ276" s="58">
        <f t="shared" si="442"/>
        <v>1</v>
      </c>
      <c r="HB276" s="58">
        <f t="shared" si="443"/>
        <v>0</v>
      </c>
      <c r="HD276" s="58">
        <f t="shared" si="416"/>
        <v>0</v>
      </c>
      <c r="HE276" s="58">
        <f t="shared" si="417"/>
        <v>1</v>
      </c>
      <c r="HF276" s="58">
        <f t="shared" si="418"/>
        <v>7</v>
      </c>
      <c r="HG276" s="58">
        <f t="shared" si="419"/>
        <v>2</v>
      </c>
      <c r="HH276" s="58">
        <f t="shared" si="420"/>
        <v>1</v>
      </c>
    </row>
    <row r="277" spans="4:216" ht="15.75" x14ac:dyDescent="0.25">
      <c r="D277" s="58" t="str">
        <v>lenvatinib_plus_pembrolizumab</v>
      </c>
      <c r="I277" s="64" t="s">
        <v>58</v>
      </c>
      <c r="J277" s="519" t="s">
        <v>552</v>
      </c>
      <c r="K277" s="524" t="s">
        <v>63</v>
      </c>
      <c r="L277" s="519"/>
      <c r="M277" s="516" t="s">
        <v>31</v>
      </c>
      <c r="N277" s="64" t="s">
        <v>546</v>
      </c>
      <c r="O277" s="64" t="s">
        <v>117</v>
      </c>
      <c r="P277" s="64" t="s">
        <v>547</v>
      </c>
      <c r="Q277" s="519" t="s">
        <v>552</v>
      </c>
      <c r="R277" s="516" t="s">
        <v>548</v>
      </c>
      <c r="S277" s="497"/>
      <c r="T277" s="497"/>
      <c r="U277" s="497"/>
      <c r="W277" s="58" t="str">
        <v>lenvatinib_plus_pembrolizumab</v>
      </c>
      <c r="X277" s="64" t="s">
        <v>58</v>
      </c>
      <c r="Y277" s="519" t="s">
        <v>552</v>
      </c>
      <c r="Z277" s="524"/>
      <c r="AA277" s="519"/>
      <c r="AB277" s="516" t="s">
        <v>31</v>
      </c>
      <c r="AC277" s="64" t="s">
        <v>576</v>
      </c>
      <c r="AD277" s="64" t="s">
        <v>118</v>
      </c>
      <c r="AE277" s="64" t="s">
        <v>547</v>
      </c>
      <c r="AF277" s="519" t="s">
        <v>552</v>
      </c>
      <c r="AG277" s="516" t="s">
        <v>548</v>
      </c>
      <c r="AH277" s="497"/>
      <c r="AI277" s="497"/>
      <c r="AJ277" s="497"/>
      <c r="AL277" s="64" t="str">
        <f t="shared" si="444"/>
        <v>No</v>
      </c>
      <c r="AM277" s="519" t="s">
        <v>552</v>
      </c>
      <c r="AN277" s="524"/>
      <c r="AO277" s="519"/>
      <c r="AP277" s="516" t="s">
        <v>31</v>
      </c>
      <c r="AQ277" s="64" t="s">
        <v>577</v>
      </c>
      <c r="AR277" s="64" t="s">
        <v>118</v>
      </c>
      <c r="AS277" s="64" t="s">
        <v>547</v>
      </c>
      <c r="AT277" s="519" t="s">
        <v>552</v>
      </c>
      <c r="AU277" s="516" t="s">
        <v>548</v>
      </c>
      <c r="AV277" s="497"/>
      <c r="AW277" s="497"/>
      <c r="AX277" s="497"/>
      <c r="AZ277" s="64" t="str">
        <f t="shared" si="445"/>
        <v>No</v>
      </c>
      <c r="BA277" s="519" t="s">
        <v>552</v>
      </c>
      <c r="BB277" s="524"/>
      <c r="BC277" s="519"/>
      <c r="BD277" s="516" t="s">
        <v>31</v>
      </c>
      <c r="BE277" s="64" t="s">
        <v>565</v>
      </c>
      <c r="BF277" s="64" t="s">
        <v>582</v>
      </c>
      <c r="BG277" s="64" t="s">
        <v>547</v>
      </c>
      <c r="BH277" s="519" t="s">
        <v>552</v>
      </c>
      <c r="BI277" s="516" t="s">
        <v>548</v>
      </c>
      <c r="BJ277" s="497">
        <v>1</v>
      </c>
      <c r="BK277" s="497"/>
      <c r="BL277" s="497"/>
      <c r="BQ277" s="58">
        <f t="shared" si="423"/>
        <v>158</v>
      </c>
      <c r="BR277" s="61">
        <v>0</v>
      </c>
      <c r="BS277" s="61" t="s">
        <v>31</v>
      </c>
      <c r="BT277" s="17">
        <v>1</v>
      </c>
      <c r="BU277" s="17">
        <v>3</v>
      </c>
      <c r="BV277" s="17" t="str">
        <f t="shared" si="446"/>
        <v>lenvatinib_plus_pembrolizumab</v>
      </c>
      <c r="BW277" s="1006" t="str" cm="1">
        <f t="array" ref="BW277">IF(I277="No",I277,INDEX(List_incl_anal_1L_all,IF(BU277=999,35,BU277+1)))</f>
        <v>No</v>
      </c>
      <c r="BX277" s="61">
        <f t="shared" si="447"/>
        <v>1</v>
      </c>
      <c r="BY277" s="531" t="str">
        <f t="shared" si="470"/>
        <v>Progression free survival</v>
      </c>
      <c r="BZ277" s="530">
        <f t="shared" si="448"/>
        <v>0</v>
      </c>
      <c r="CA277" s="531">
        <f t="shared" si="471"/>
        <v>0</v>
      </c>
      <c r="CB277" s="530">
        <f t="shared" si="449"/>
        <v>0</v>
      </c>
      <c r="CC277" s="530">
        <f t="shared" si="450"/>
        <v>1</v>
      </c>
      <c r="CD277" s="530">
        <f t="shared" si="451"/>
        <v>7</v>
      </c>
      <c r="CE277" s="1295">
        <f t="shared" si="452"/>
        <v>2</v>
      </c>
      <c r="CF277" s="1301">
        <f t="shared" si="453"/>
        <v>1</v>
      </c>
      <c r="CG277" s="530" t="str">
        <f t="shared" si="454"/>
        <v>Log-logistic</v>
      </c>
      <c r="CH277" s="61">
        <f t="shared" si="455"/>
        <v>0</v>
      </c>
      <c r="CI277" s="61">
        <f t="shared" si="456"/>
        <v>0</v>
      </c>
      <c r="CJ277" s="61">
        <f t="shared" si="457"/>
        <v>0</v>
      </c>
      <c r="DK277" s="58" t="str" cm="1">
        <f t="array" ref="DK277">IF(AND($BT277=4,$BX277=4,$BU277=999),$DB$36,_xlfn.IFNA(INDEX(DB$13:DB$70,MATCH(1,($BR277=$CV$13:$CV$70)*($BT277=$CX$13:$CX$70)*($CE277=$CY$13:$CY$70)*($BY277=$DA$13:$DA$70)*($CD277=$DH$13:$DH$70),0)),""))</f>
        <v>Log-logistic</v>
      </c>
      <c r="DL277" s="58" t="str" cm="1">
        <f t="array" ref="DL277">IF(AND($BT277=4,$BX277=4,$BU277=999),$DC$36,_xlfn.IFNA(INDEX(CHOOSE(DP277,DB$13:DB$70,DC$13:DC$70,DD$13:DD$70,DE$13:DE$70),MATCH(1,($BR277=$CV$13:$CV$70)*($BT277=$CX$13:$CX$70)*($CE277=$CY$13:$CY$70)*($BY277=$DA$13:$DA$70)*($CD277=$DH$13:$DH$70),0)),""))</f>
        <v>Log-logistic</v>
      </c>
      <c r="DM277" s="740" cm="1">
        <f t="array" ref="DM277">IF(AND($BT277=4,$BX277=4,$BU277=999),$DD$36,_xlfn.IFNA(INDEX(DD$13:DD$68,MATCH(1,($BR277=$CV$13:$CV$68)*($BT277=$CX$13:$CX$68)*($CE277=$CY$13:$CY$68)*($BY277=$DA$13:$DA$68)*($CD277=$DH$13:$DH$68),0)),""))</f>
        <v>0</v>
      </c>
      <c r="DN277" s="740" cm="1">
        <f t="array" ref="DN277">IF(AND($BT277=4,$BX277=4,$BU277=999),$DD$36,_xlfn.IFNA(INDEX(DE$13:DE$68,MATCH(1,($BR277=$CV$13:$CV$68)*($BT277=$CX$13:$CX$68)*($CE277=$CY$13:$CY$68)*($BY277=$DA$13:$DA$68)*($CD277=$DH$13:$DH$68),0)),""))</f>
        <v>0</v>
      </c>
      <c r="DO277" s="58" t="str" cm="1">
        <f t="array" ref="DO277">IF(AND($BT277=4,$BX277=4,$BU277=999),$DF$36,_xlfn.IFNA(INDEX(DF$13:DF$70,MATCH(1,($BR277=$CV$13:$CV$70)*($BT277=$CX$13:$CX$70)*($CE277=$CY$13:$CY$70)*($BY277=$DA$13:$DA$70)*($CD277=$DH$13:$DH$70),0)),""))</f>
        <v>Base case</v>
      </c>
      <c r="DP277" s="58">
        <f t="shared" si="424"/>
        <v>1</v>
      </c>
      <c r="DW277" s="58" t="s">
        <v>58</v>
      </c>
      <c r="DX277" s="58" t="s">
        <v>552</v>
      </c>
      <c r="DY277" s="58">
        <v>0</v>
      </c>
      <c r="DZ277" s="58">
        <v>0</v>
      </c>
      <c r="EB277" s="58">
        <v>0</v>
      </c>
      <c r="EC277" s="58">
        <v>1</v>
      </c>
      <c r="ED277" s="58">
        <v>7</v>
      </c>
      <c r="EE277" s="58">
        <v>2</v>
      </c>
      <c r="EF277" s="58">
        <v>1</v>
      </c>
      <c r="EI277" s="58" t="s">
        <v>58</v>
      </c>
      <c r="EJ277" s="58" t="s">
        <v>552</v>
      </c>
      <c r="EK277" s="58">
        <v>0</v>
      </c>
      <c r="EL277" s="58">
        <v>0</v>
      </c>
      <c r="EN277" s="58">
        <v>0</v>
      </c>
      <c r="EO277" s="58">
        <v>1</v>
      </c>
      <c r="EP277" s="58">
        <v>7</v>
      </c>
      <c r="EQ277" s="58">
        <v>0</v>
      </c>
      <c r="ER277" s="58">
        <v>1</v>
      </c>
      <c r="EU277" s="58" t="str">
        <f t="shared" si="458"/>
        <v>No</v>
      </c>
      <c r="EV277" s="58" t="str">
        <f t="shared" si="459"/>
        <v>Progression free survival</v>
      </c>
      <c r="EW277" s="58">
        <f t="shared" si="460"/>
        <v>0</v>
      </c>
      <c r="EX277" s="58">
        <f t="shared" si="461"/>
        <v>0</v>
      </c>
      <c r="EZ277" s="58">
        <f t="shared" si="462"/>
        <v>0</v>
      </c>
      <c r="FA277" s="58">
        <f t="shared" si="463"/>
        <v>1</v>
      </c>
      <c r="FB277" s="58">
        <f>IF(i_eff_inputs_based_on_num=2,ED277,(INDEX(Lists!$L$51:$L$85,MATCH(O277,Lists!$K$51:$K$85,0))))</f>
        <v>7</v>
      </c>
      <c r="FC277" s="58">
        <f>IF(i_eff_inputs_based_on_num=2,EE277,(INDEX(Lists!$L$51:$L$85,MATCH(P277,Lists!$K$51:$K$85,0))))</f>
        <v>2</v>
      </c>
      <c r="FD277" s="58">
        <f>IF(i_eff_inputs_based_on_num=2,EF277,(INDEX(Lists!$L$51:$L$85,MATCH(Q277,Lists!$K$51:$K$85,0))))</f>
        <v>1</v>
      </c>
      <c r="FG277" s="58" t="str">
        <f t="shared" si="464"/>
        <v>No</v>
      </c>
      <c r="FH277" s="58" t="str">
        <f t="shared" si="465"/>
        <v>Progression free survival</v>
      </c>
      <c r="FI277" s="58">
        <f t="shared" si="466"/>
        <v>0</v>
      </c>
      <c r="FJ277" s="58">
        <f t="shared" si="467"/>
        <v>0</v>
      </c>
      <c r="FL277" s="58">
        <f t="shared" si="468"/>
        <v>0</v>
      </c>
      <c r="FM277" s="58">
        <f t="shared" si="469"/>
        <v>1</v>
      </c>
      <c r="FN277" s="58">
        <f>IF(i_eff_inputs_based_on_num=2,EP277,(INDEX(Lists!$L$51:$L$85,MATCH(O277,Lists!$K$51:$K$85,0))))</f>
        <v>7</v>
      </c>
      <c r="FO277" s="58">
        <f>IF(i_eff_inputs_based_on_num=2,EQ277,(INDEX(Lists!$L$51:$L$85,MATCH(P277,Lists!$K$51:$K$85,0))))</f>
        <v>0</v>
      </c>
      <c r="FP277" s="58">
        <f>IF(i_eff_inputs_based_on_num=2,ER277,(INDEX(Lists!$L$51:$L$85,MATCH(Q277,Lists!$K$51:$K$85,0))))</f>
        <v>1</v>
      </c>
      <c r="FT277" s="58">
        <f t="shared" si="425"/>
        <v>0</v>
      </c>
      <c r="FW277" s="58">
        <f>IF(i_baseline_risk_from=2,'Effectiveness settings'!EW277,'Effectiveness settings'!FI277)</f>
        <v>0</v>
      </c>
      <c r="FX277" s="58">
        <f t="shared" si="426"/>
        <v>0</v>
      </c>
      <c r="FY277" s="58">
        <f t="shared" si="427"/>
        <v>0</v>
      </c>
      <c r="FZ277" s="58">
        <f t="shared" si="428"/>
        <v>0</v>
      </c>
      <c r="GA277" s="58">
        <f t="shared" si="429"/>
        <v>0</v>
      </c>
      <c r="GB277" s="58">
        <f t="shared" si="430"/>
        <v>0</v>
      </c>
      <c r="GC277" s="58">
        <f t="shared" si="431"/>
        <v>0</v>
      </c>
      <c r="GD277" s="58">
        <f t="shared" si="432"/>
        <v>0</v>
      </c>
      <c r="GE277" s="58">
        <f>IF(AND(dd_CheckMate214_TTD="Yes",'Effectiveness settings'!BU277=2,'Effectiveness settings'!BX277=2),"Apply HR to",GD277)</f>
        <v>0</v>
      </c>
      <c r="GF277" s="58">
        <f t="shared" si="433"/>
        <v>0</v>
      </c>
      <c r="GG277" s="58">
        <f t="shared" si="434"/>
        <v>0</v>
      </c>
      <c r="GH277" s="58">
        <f t="shared" si="435"/>
        <v>0</v>
      </c>
      <c r="GI277" s="58">
        <f t="shared" si="415"/>
        <v>0</v>
      </c>
      <c r="GK277" s="58">
        <f>IF(i_baseline_risk_from=2,'Effectiveness settings'!FA277,'Effectiveness settings'!FM277)</f>
        <v>1</v>
      </c>
      <c r="GL277" s="58">
        <f>IF(i_baseline_risk_from=2,'Effectiveness settings'!FB277,'Effectiveness settings'!FN277)</f>
        <v>7</v>
      </c>
      <c r="GM277" s="58">
        <f>IF(i_baseline_risk_from=2,'Effectiveness settings'!FC277,'Effectiveness settings'!FO277)</f>
        <v>2</v>
      </c>
      <c r="GN277" s="58">
        <f>IF(i_baseline_risk_from=2,'Effectiveness settings'!FD277,'Effectiveness settings'!FP277)</f>
        <v>1</v>
      </c>
      <c r="GQ277" s="58">
        <f t="shared" si="436"/>
        <v>7</v>
      </c>
      <c r="GR277" s="58">
        <f t="shared" si="437"/>
        <v>7</v>
      </c>
      <c r="GS277" s="58">
        <f t="shared" si="438"/>
        <v>7</v>
      </c>
      <c r="GT277" s="58">
        <f t="shared" si="439"/>
        <v>7</v>
      </c>
      <c r="GU277" s="58">
        <f>IF(AND(dd_CheckMate214_TTD="Yes",'Effectiveness settings'!BU277=2,'Effectiveness settings'!BX277=2),2,GT277)</f>
        <v>7</v>
      </c>
      <c r="GV277" s="58">
        <f t="shared" si="440"/>
        <v>7</v>
      </c>
      <c r="GW277" s="58">
        <f t="shared" si="441"/>
        <v>7</v>
      </c>
      <c r="GY277" s="58">
        <f>IF(AND(dd_CheckMate214_TTD="Yes",'Effectiveness settings'!BU277=2,'Effectiveness settings'!BX277=2),1,GN277)</f>
        <v>1</v>
      </c>
      <c r="GZ277" s="58">
        <f t="shared" si="442"/>
        <v>1</v>
      </c>
      <c r="HB277" s="58">
        <f t="shared" si="443"/>
        <v>0</v>
      </c>
      <c r="HD277" s="58">
        <f t="shared" si="416"/>
        <v>0</v>
      </c>
      <c r="HE277" s="58">
        <f t="shared" si="417"/>
        <v>1</v>
      </c>
      <c r="HF277" s="58">
        <f t="shared" si="418"/>
        <v>7</v>
      </c>
      <c r="HG277" s="58">
        <f t="shared" si="419"/>
        <v>2</v>
      </c>
      <c r="HH277" s="58">
        <f t="shared" si="420"/>
        <v>1</v>
      </c>
    </row>
    <row r="278" spans="4:216" ht="15.75" x14ac:dyDescent="0.25">
      <c r="D278" s="58" t="str">
        <v>avelumab_plus_axitinib</v>
      </c>
      <c r="I278" s="739" t="str">
        <f>dd_incl_ave_plus_axi</f>
        <v>No</v>
      </c>
      <c r="J278" s="519" t="s">
        <v>552</v>
      </c>
      <c r="K278" s="524" t="s">
        <v>63</v>
      </c>
      <c r="L278" s="519"/>
      <c r="M278" s="516" t="s">
        <v>31</v>
      </c>
      <c r="N278" s="64" t="s">
        <v>546</v>
      </c>
      <c r="O278" s="64" t="s">
        <v>117</v>
      </c>
      <c r="P278" s="64" t="s">
        <v>547</v>
      </c>
      <c r="Q278" s="519" t="s">
        <v>552</v>
      </c>
      <c r="R278" s="516" t="s">
        <v>548</v>
      </c>
      <c r="S278" s="497"/>
      <c r="T278" s="497"/>
      <c r="U278" s="497"/>
      <c r="W278" s="58" t="str">
        <v>avelumab_plus_axitinib</v>
      </c>
      <c r="X278" s="64" t="s">
        <v>58</v>
      </c>
      <c r="Y278" s="519" t="s">
        <v>552</v>
      </c>
      <c r="Z278" s="524"/>
      <c r="AA278" s="519"/>
      <c r="AB278" s="516" t="s">
        <v>31</v>
      </c>
      <c r="AC278" s="64" t="s">
        <v>576</v>
      </c>
      <c r="AD278" s="64" t="s">
        <v>118</v>
      </c>
      <c r="AE278" s="64" t="s">
        <v>547</v>
      </c>
      <c r="AF278" s="519" t="s">
        <v>552</v>
      </c>
      <c r="AG278" s="516" t="s">
        <v>548</v>
      </c>
      <c r="AH278" s="497"/>
      <c r="AI278" s="497"/>
      <c r="AJ278" s="497"/>
      <c r="AL278" s="64" t="s">
        <v>58</v>
      </c>
      <c r="AM278" s="519" t="s">
        <v>552</v>
      </c>
      <c r="AN278" s="524"/>
      <c r="AO278" s="519"/>
      <c r="AP278" s="516" t="s">
        <v>31</v>
      </c>
      <c r="AQ278" s="64" t="s">
        <v>577</v>
      </c>
      <c r="AR278" s="64" t="s">
        <v>118</v>
      </c>
      <c r="AS278" s="64" t="s">
        <v>547</v>
      </c>
      <c r="AT278" s="519" t="s">
        <v>552</v>
      </c>
      <c r="AU278" s="516" t="s">
        <v>548</v>
      </c>
      <c r="AV278" s="497"/>
      <c r="AW278" s="497"/>
      <c r="AX278" s="497"/>
      <c r="AZ278" s="64" t="s">
        <v>58</v>
      </c>
      <c r="BA278" s="519" t="s">
        <v>552</v>
      </c>
      <c r="BB278" s="524"/>
      <c r="BC278" s="519"/>
      <c r="BD278" s="516" t="s">
        <v>31</v>
      </c>
      <c r="BE278" s="64" t="s">
        <v>565</v>
      </c>
      <c r="BF278" s="64" t="s">
        <v>583</v>
      </c>
      <c r="BG278" s="64" t="s">
        <v>547</v>
      </c>
      <c r="BH278" s="519" t="s">
        <v>552</v>
      </c>
      <c r="BI278" s="516" t="s">
        <v>548</v>
      </c>
      <c r="BJ278" s="497">
        <v>1</v>
      </c>
      <c r="BK278" s="497"/>
      <c r="BL278" s="497"/>
      <c r="BQ278" s="58">
        <f t="shared" si="423"/>
        <v>159</v>
      </c>
      <c r="BR278" s="61">
        <v>0</v>
      </c>
      <c r="BS278" s="61" t="s">
        <v>31</v>
      </c>
      <c r="BT278" s="17">
        <v>1</v>
      </c>
      <c r="BU278" s="17">
        <v>4</v>
      </c>
      <c r="BV278" s="17" t="str">
        <f t="shared" si="446"/>
        <v>avelumab_plus_axitinib</v>
      </c>
      <c r="BW278" s="1006" t="str" cm="1">
        <f t="array" ref="BW278">IF(I278="No",I278,INDEX(List_incl_anal_1L_all,IF(BU278=999,35,BU278+1)))</f>
        <v>No</v>
      </c>
      <c r="BX278" s="61">
        <f t="shared" si="447"/>
        <v>1</v>
      </c>
      <c r="BY278" s="531" t="str">
        <f t="shared" si="470"/>
        <v>Progression free survival</v>
      </c>
      <c r="BZ278" s="530" t="str">
        <f t="shared" si="448"/>
        <v>FP_NMA</v>
      </c>
      <c r="CA278" s="531">
        <f t="shared" si="471"/>
        <v>0</v>
      </c>
      <c r="CB278" s="530">
        <f t="shared" si="449"/>
        <v>0</v>
      </c>
      <c r="CC278" s="530">
        <f t="shared" si="450"/>
        <v>1</v>
      </c>
      <c r="CD278" s="530">
        <f t="shared" si="451"/>
        <v>7</v>
      </c>
      <c r="CE278" s="1295">
        <f t="shared" si="452"/>
        <v>2</v>
      </c>
      <c r="CF278" s="1301">
        <f t="shared" si="453"/>
        <v>1</v>
      </c>
      <c r="CG278" s="530" t="str">
        <f t="shared" si="454"/>
        <v>Log-logistic</v>
      </c>
      <c r="CH278" s="61">
        <f t="shared" si="455"/>
        <v>0</v>
      </c>
      <c r="CI278" s="61">
        <f t="shared" si="456"/>
        <v>0</v>
      </c>
      <c r="CJ278" s="61">
        <f t="shared" si="457"/>
        <v>0</v>
      </c>
      <c r="DK278" s="58" t="str" cm="1">
        <f t="array" ref="DK278">IF(AND($BT278=4,$BX278=4,$BU278=999),$DB$36,_xlfn.IFNA(INDEX(DB$13:DB$70,MATCH(1,($BR278=$CV$13:$CV$70)*($BT278=$CX$13:$CX$70)*($CE278=$CY$13:$CY$70)*($BY278=$DA$13:$DA$70)*($CD278=$DH$13:$DH$70),0)),""))</f>
        <v>Log-logistic</v>
      </c>
      <c r="DL278" s="58" t="str" cm="1">
        <f t="array" ref="DL278">IF(AND($BT278=4,$BX278=4,$BU278=999),$DC$36,_xlfn.IFNA(INDEX(CHOOSE(DP278,DB$13:DB$70,DC$13:DC$70,DD$13:DD$70,DE$13:DE$70),MATCH(1,($BR278=$CV$13:$CV$70)*($BT278=$CX$13:$CX$70)*($CE278=$CY$13:$CY$70)*($BY278=$DA$13:$DA$70)*($CD278=$DH$13:$DH$70),0)),""))</f>
        <v>Log-logistic</v>
      </c>
      <c r="DM278" s="740" cm="1">
        <f t="array" ref="DM278">IF(AND($BT278=4,$BX278=4,$BU278=999),$DD$36,_xlfn.IFNA(INDEX(DD$13:DD$68,MATCH(1,($BR278=$CV$13:$CV$68)*($BT278=$CX$13:$CX$68)*($CE278=$CY$13:$CY$68)*($BY278=$DA$13:$DA$68)*($CD278=$DH$13:$DH$68),0)),""))</f>
        <v>0</v>
      </c>
      <c r="DN278" s="740" cm="1">
        <f t="array" ref="DN278">IF(AND($BT278=4,$BX278=4,$BU278=999),$DD$36,_xlfn.IFNA(INDEX(DE$13:DE$68,MATCH(1,($BR278=$CV$13:$CV$68)*($BT278=$CX$13:$CX$68)*($CE278=$CY$13:$CY$68)*($BY278=$DA$13:$DA$68)*($CD278=$DH$13:$DH$68),0)),""))</f>
        <v>0</v>
      </c>
      <c r="DO278" s="58" t="str" cm="1">
        <f t="array" ref="DO278">IF(AND($BT278=4,$BX278=4,$BU278=999),$DF$36,_xlfn.IFNA(INDEX(DF$13:DF$70,MATCH(1,($BR278=$CV$13:$CV$70)*($BT278=$CX$13:$CX$70)*($CE278=$CY$13:$CY$70)*($BY278=$DA$13:$DA$70)*($CD278=$DH$13:$DH$70),0)),""))</f>
        <v>Base case</v>
      </c>
      <c r="DP278" s="58">
        <f t="shared" si="424"/>
        <v>1</v>
      </c>
      <c r="DW278" s="58" t="s">
        <v>58</v>
      </c>
      <c r="DX278" s="58" t="s">
        <v>552</v>
      </c>
      <c r="DY278" s="58" t="s">
        <v>63</v>
      </c>
      <c r="DZ278" s="58">
        <v>0</v>
      </c>
      <c r="EB278" s="58">
        <v>0</v>
      </c>
      <c r="EC278" s="58">
        <v>1</v>
      </c>
      <c r="ED278" s="58">
        <v>7</v>
      </c>
      <c r="EE278" s="58">
        <v>2</v>
      </c>
      <c r="EF278" s="58">
        <v>1</v>
      </c>
      <c r="EI278" s="58" t="s">
        <v>58</v>
      </c>
      <c r="EJ278" s="58" t="s">
        <v>552</v>
      </c>
      <c r="EK278" s="58" t="s">
        <v>63</v>
      </c>
      <c r="EL278" s="58">
        <v>0</v>
      </c>
      <c r="EN278" s="58">
        <v>0</v>
      </c>
      <c r="EO278" s="58">
        <v>1</v>
      </c>
      <c r="EP278" s="58">
        <v>7</v>
      </c>
      <c r="EQ278" s="58">
        <v>0</v>
      </c>
      <c r="ER278" s="58">
        <v>1</v>
      </c>
      <c r="EU278" s="58" t="str">
        <f t="shared" si="458"/>
        <v>No</v>
      </c>
      <c r="EV278" s="58" t="str">
        <f t="shared" si="459"/>
        <v>Progression free survival</v>
      </c>
      <c r="EW278" s="58" t="str">
        <f t="shared" si="460"/>
        <v>FP_NMA</v>
      </c>
      <c r="EX278" s="58">
        <f t="shared" si="461"/>
        <v>0</v>
      </c>
      <c r="EZ278" s="58">
        <f t="shared" si="462"/>
        <v>0</v>
      </c>
      <c r="FA278" s="58">
        <f t="shared" si="463"/>
        <v>1</v>
      </c>
      <c r="FB278" s="58">
        <f>IF(i_eff_inputs_based_on_num=2,ED278,(INDEX(Lists!$L$51:$L$85,MATCH(O278,Lists!$K$51:$K$85,0))))</f>
        <v>7</v>
      </c>
      <c r="FC278" s="58">
        <f>IF(i_eff_inputs_based_on_num=2,EE278,(INDEX(Lists!$L$51:$L$85,MATCH(P278,Lists!$K$51:$K$85,0))))</f>
        <v>2</v>
      </c>
      <c r="FD278" s="58">
        <f>IF(i_eff_inputs_based_on_num=2,EF278,(INDEX(Lists!$L$51:$L$85,MATCH(Q278,Lists!$K$51:$K$85,0))))</f>
        <v>1</v>
      </c>
      <c r="FG278" s="58" t="str">
        <f t="shared" si="464"/>
        <v>No</v>
      </c>
      <c r="FH278" s="58" t="str">
        <f t="shared" si="465"/>
        <v>Progression free survival</v>
      </c>
      <c r="FI278" s="58" t="str">
        <f t="shared" si="466"/>
        <v>FP_NMA</v>
      </c>
      <c r="FJ278" s="58">
        <f t="shared" si="467"/>
        <v>0</v>
      </c>
      <c r="FL278" s="58">
        <f t="shared" si="468"/>
        <v>0</v>
      </c>
      <c r="FM278" s="58">
        <f t="shared" si="469"/>
        <v>1</v>
      </c>
      <c r="FN278" s="58">
        <f>IF(i_eff_inputs_based_on_num=2,EP278,(INDEX(Lists!$L$51:$L$85,MATCH(O278,Lists!$K$51:$K$85,0))))</f>
        <v>7</v>
      </c>
      <c r="FO278" s="58">
        <f>IF(i_eff_inputs_based_on_num=2,EQ278,(INDEX(Lists!$L$51:$L$85,MATCH(P278,Lists!$K$51:$K$85,0))))</f>
        <v>0</v>
      </c>
      <c r="FP278" s="58">
        <f>IF(i_eff_inputs_based_on_num=2,ER278,(INDEX(Lists!$L$51:$L$85,MATCH(Q278,Lists!$K$51:$K$85,0))))</f>
        <v>1</v>
      </c>
      <c r="FT278" s="58">
        <f t="shared" si="425"/>
        <v>0</v>
      </c>
      <c r="FW278" s="58" t="str">
        <f>IF(i_baseline_risk_from=2,'Effectiveness settings'!EW278,'Effectiveness settings'!FI278)</f>
        <v>FP_NMA</v>
      </c>
      <c r="FX278" s="58" t="str">
        <f t="shared" si="426"/>
        <v>FP_NMA</v>
      </c>
      <c r="FY278" s="58" t="str">
        <f t="shared" si="427"/>
        <v>FP_NMA</v>
      </c>
      <c r="FZ278" s="58" t="str">
        <f t="shared" si="428"/>
        <v>FP_NMA</v>
      </c>
      <c r="GA278" s="58" t="str">
        <f t="shared" si="429"/>
        <v>FP_NMA</v>
      </c>
      <c r="GB278" s="58" t="str">
        <f t="shared" si="430"/>
        <v>FP_NMA</v>
      </c>
      <c r="GC278" s="58" t="str">
        <f t="shared" si="431"/>
        <v>FP_NMA</v>
      </c>
      <c r="GD278" s="58" t="str">
        <f t="shared" si="432"/>
        <v>FP_NMA</v>
      </c>
      <c r="GE278" s="58" t="str">
        <f>IF(AND(dd_CheckMate214_TTD="Yes",'Effectiveness settings'!BU278=2,'Effectiveness settings'!BX278=2),"Apply HR to",GD278)</f>
        <v>FP_NMA</v>
      </c>
      <c r="GF278" s="58" t="str">
        <f t="shared" si="433"/>
        <v>FP_NMA</v>
      </c>
      <c r="GG278" s="58" t="str">
        <f t="shared" si="434"/>
        <v>FP_NMA</v>
      </c>
      <c r="GH278" s="58" t="str">
        <f t="shared" si="435"/>
        <v>FP_NMA</v>
      </c>
      <c r="GI278" s="58" t="str">
        <f t="shared" si="415"/>
        <v>FP_NMA</v>
      </c>
      <c r="GK278" s="58">
        <f>IF(i_baseline_risk_from=2,'Effectiveness settings'!FA278,'Effectiveness settings'!FM278)</f>
        <v>1</v>
      </c>
      <c r="GL278" s="58">
        <f>IF(i_baseline_risk_from=2,'Effectiveness settings'!FB278,'Effectiveness settings'!FN278)</f>
        <v>7</v>
      </c>
      <c r="GM278" s="58">
        <f>IF(i_baseline_risk_from=2,'Effectiveness settings'!FC278,'Effectiveness settings'!FO278)</f>
        <v>2</v>
      </c>
      <c r="GN278" s="58">
        <f>IF(i_baseline_risk_from=2,'Effectiveness settings'!FD278,'Effectiveness settings'!FP278)</f>
        <v>1</v>
      </c>
      <c r="GQ278" s="58">
        <f t="shared" si="436"/>
        <v>7</v>
      </c>
      <c r="GR278" s="58">
        <f t="shared" si="437"/>
        <v>7</v>
      </c>
      <c r="GS278" s="58">
        <f t="shared" si="438"/>
        <v>7</v>
      </c>
      <c r="GT278" s="58">
        <f t="shared" si="439"/>
        <v>7</v>
      </c>
      <c r="GU278" s="58">
        <f>IF(AND(dd_CheckMate214_TTD="Yes",'Effectiveness settings'!BU278=2,'Effectiveness settings'!BX278=2),2,GT278)</f>
        <v>7</v>
      </c>
      <c r="GV278" s="58">
        <f t="shared" si="440"/>
        <v>7</v>
      </c>
      <c r="GW278" s="58">
        <f t="shared" si="441"/>
        <v>7</v>
      </c>
      <c r="GY278" s="58">
        <f>IF(AND(dd_CheckMate214_TTD="Yes",'Effectiveness settings'!BU278=2,'Effectiveness settings'!BX278=2),1,GN278)</f>
        <v>1</v>
      </c>
      <c r="GZ278" s="58">
        <f t="shared" si="442"/>
        <v>1</v>
      </c>
      <c r="HB278" s="58">
        <f t="shared" si="443"/>
        <v>0</v>
      </c>
      <c r="HD278" s="58">
        <f t="shared" si="416"/>
        <v>0</v>
      </c>
      <c r="HE278" s="58">
        <f t="shared" si="417"/>
        <v>1</v>
      </c>
      <c r="HF278" s="58">
        <f t="shared" si="418"/>
        <v>7</v>
      </c>
      <c r="HG278" s="58">
        <f t="shared" si="419"/>
        <v>2</v>
      </c>
      <c r="HH278" s="58">
        <f t="shared" si="420"/>
        <v>1</v>
      </c>
    </row>
    <row r="279" spans="4:216" ht="15.75" x14ac:dyDescent="0.25">
      <c r="D279" s="58" t="str">
        <v>pazopanib</v>
      </c>
      <c r="I279" s="64" t="s">
        <v>74</v>
      </c>
      <c r="J279" s="519" t="s">
        <v>552</v>
      </c>
      <c r="K279" s="524" t="s">
        <v>63</v>
      </c>
      <c r="L279" s="519"/>
      <c r="M279" s="516" t="s">
        <v>31</v>
      </c>
      <c r="N279" s="64" t="s">
        <v>546</v>
      </c>
      <c r="O279" s="64" t="s">
        <v>117</v>
      </c>
      <c r="P279" s="64" t="s">
        <v>547</v>
      </c>
      <c r="Q279" s="519" t="s">
        <v>552</v>
      </c>
      <c r="R279" s="516" t="s">
        <v>548</v>
      </c>
      <c r="S279" s="497"/>
      <c r="T279" s="497"/>
      <c r="U279" s="497"/>
      <c r="V279" s="58" t="s">
        <v>584</v>
      </c>
      <c r="W279" s="58" t="str">
        <v>pazopanib</v>
      </c>
      <c r="X279" s="64" t="s">
        <v>74</v>
      </c>
      <c r="Y279" s="519" t="s">
        <v>552</v>
      </c>
      <c r="Z279" s="524" t="s">
        <v>561</v>
      </c>
      <c r="AA279" s="519"/>
      <c r="AB279" s="516" t="s">
        <v>31</v>
      </c>
      <c r="AC279" s="64" t="s">
        <v>576</v>
      </c>
      <c r="AD279" s="64" t="s">
        <v>319</v>
      </c>
      <c r="AE279" s="64" t="s">
        <v>547</v>
      </c>
      <c r="AF279" s="519" t="s">
        <v>552</v>
      </c>
      <c r="AG279" s="516" t="s">
        <v>548</v>
      </c>
      <c r="AH279" s="497"/>
      <c r="AI279" s="497"/>
      <c r="AJ279" s="497"/>
      <c r="AL279" s="64" t="str">
        <f t="shared" si="444"/>
        <v>Yes</v>
      </c>
      <c r="AM279" s="519" t="s">
        <v>552</v>
      </c>
      <c r="AN279" s="524" t="s">
        <v>561</v>
      </c>
      <c r="AO279" s="519"/>
      <c r="AP279" s="516" t="s">
        <v>31</v>
      </c>
      <c r="AQ279" s="64" t="s">
        <v>577</v>
      </c>
      <c r="AR279" s="64" t="s">
        <v>319</v>
      </c>
      <c r="AS279" s="64" t="s">
        <v>547</v>
      </c>
      <c r="AT279" s="519" t="s">
        <v>552</v>
      </c>
      <c r="AU279" s="516" t="s">
        <v>548</v>
      </c>
      <c r="AV279" s="497">
        <v>1</v>
      </c>
      <c r="AW279" s="497">
        <v>1</v>
      </c>
      <c r="AX279" s="497">
        <v>1</v>
      </c>
      <c r="AZ279" s="64" t="str">
        <f t="shared" si="445"/>
        <v>Yes</v>
      </c>
      <c r="BA279" s="519" t="s">
        <v>552</v>
      </c>
      <c r="BB279" s="524" t="s">
        <v>578</v>
      </c>
      <c r="BC279" s="519" t="s">
        <v>547</v>
      </c>
      <c r="BD279" s="516" t="s">
        <v>31</v>
      </c>
      <c r="BE279" s="64" t="s">
        <v>577</v>
      </c>
      <c r="BF279" s="64" t="s">
        <v>585</v>
      </c>
      <c r="BG279" s="64" t="s">
        <v>547</v>
      </c>
      <c r="BH279" s="519" t="s">
        <v>552</v>
      </c>
      <c r="BI279" s="516" t="s">
        <v>548</v>
      </c>
      <c r="BJ279" s="497">
        <v>1.7410000000000001</v>
      </c>
      <c r="BK279" s="497">
        <v>1.208</v>
      </c>
      <c r="BL279" s="497">
        <v>2.5099999999999998</v>
      </c>
      <c r="BM279" s="58" t="s">
        <v>589</v>
      </c>
      <c r="BQ279" s="58">
        <f t="shared" si="423"/>
        <v>160</v>
      </c>
      <c r="BR279" s="61">
        <v>0</v>
      </c>
      <c r="BS279" s="61" t="s">
        <v>31</v>
      </c>
      <c r="BT279" s="17">
        <v>1</v>
      </c>
      <c r="BU279" s="17">
        <v>5</v>
      </c>
      <c r="BV279" s="17" t="str">
        <f t="shared" si="446"/>
        <v>pazopanib</v>
      </c>
      <c r="BW279" s="1006" t="str" cm="1">
        <f t="array" ref="BW279">IF(I279="No",I279,INDEX(List_incl_anal_1L_all,IF(BU279=999,35,BU279+1)))</f>
        <v>Yes</v>
      </c>
      <c r="BX279" s="61">
        <f t="shared" si="447"/>
        <v>1</v>
      </c>
      <c r="BY279" s="531" t="str">
        <f t="shared" si="470"/>
        <v>Progression free survival</v>
      </c>
      <c r="BZ279" s="530" t="str">
        <f t="shared" si="448"/>
        <v>Assume equal to</v>
      </c>
      <c r="CA279" s="531">
        <f t="shared" si="471"/>
        <v>0</v>
      </c>
      <c r="CB279" s="530">
        <f t="shared" si="449"/>
        <v>0</v>
      </c>
      <c r="CC279" s="530">
        <f t="shared" si="450"/>
        <v>1</v>
      </c>
      <c r="CD279" s="530">
        <f t="shared" si="451"/>
        <v>7</v>
      </c>
      <c r="CE279" s="1295">
        <f t="shared" si="452"/>
        <v>2</v>
      </c>
      <c r="CF279" s="1301">
        <f t="shared" si="453"/>
        <v>1</v>
      </c>
      <c r="CG279" s="530" t="str">
        <f t="shared" si="454"/>
        <v>Log-logistic</v>
      </c>
      <c r="CH279" s="61">
        <f t="shared" si="455"/>
        <v>0</v>
      </c>
      <c r="CI279" s="61">
        <f t="shared" si="456"/>
        <v>0</v>
      </c>
      <c r="CJ279" s="61">
        <f t="shared" si="457"/>
        <v>0</v>
      </c>
      <c r="DK279" s="58" t="str" cm="1">
        <f t="array" ref="DK279">IF(AND($BT279=4,$BX279=4,$BU279=999),$DB$36,_xlfn.IFNA(INDEX(DB$13:DB$70,MATCH(1,($BR279=$CV$13:$CV$70)*($BT279=$CX$13:$CX$70)*($CE279=$CY$13:$CY$70)*($BY279=$DA$13:$DA$70)*($CD279=$DH$13:$DH$70),0)),""))</f>
        <v>Log-logistic</v>
      </c>
      <c r="DL279" s="58" t="str" cm="1">
        <f t="array" ref="DL279">IF(AND($BT279=4,$BX279=4,$BU279=999),$DC$36,_xlfn.IFNA(INDEX(CHOOSE(DP279,DB$13:DB$70,DC$13:DC$70,DD$13:DD$70,DE$13:DE$70),MATCH(1,($BR279=$CV$13:$CV$70)*($BT279=$CX$13:$CX$70)*($CE279=$CY$13:$CY$70)*($BY279=$DA$13:$DA$70)*($CD279=$DH$13:$DH$70),0)),""))</f>
        <v>Log-logistic</v>
      </c>
      <c r="DM279" s="740" cm="1">
        <f t="array" ref="DM279">IF(AND($BT279=4,$BX279=4,$BU279=999),$DD$36,_xlfn.IFNA(INDEX(DD$13:DD$68,MATCH(1,($BR279=$CV$13:$CV$68)*($BT279=$CX$13:$CX$68)*($CE279=$CY$13:$CY$68)*($BY279=$DA$13:$DA$68)*($CD279=$DH$13:$DH$68),0)),""))</f>
        <v>0</v>
      </c>
      <c r="DN279" s="740" cm="1">
        <f t="array" ref="DN279">IF(AND($BT279=4,$BX279=4,$BU279=999),$DD$36,_xlfn.IFNA(INDEX(DE$13:DE$68,MATCH(1,($BR279=$CV$13:$CV$68)*($BT279=$CX$13:$CX$68)*($CE279=$CY$13:$CY$68)*($BY279=$DA$13:$DA$68)*($CD279=$DH$13:$DH$68),0)),""))</f>
        <v>0</v>
      </c>
      <c r="DO279" s="58" t="str" cm="1">
        <f t="array" ref="DO279">IF(AND($BT279=4,$BX279=4,$BU279=999),$DF$36,_xlfn.IFNA(INDEX(DF$13:DF$70,MATCH(1,($BR279=$CV$13:$CV$70)*($BT279=$CX$13:$CX$70)*($CE279=$CY$13:$CY$70)*($BY279=$DA$13:$DA$70)*($CD279=$DH$13:$DH$70),0)),""))</f>
        <v>Base case</v>
      </c>
      <c r="DP279" s="58">
        <f t="shared" si="424"/>
        <v>1</v>
      </c>
      <c r="DW279" s="58" t="s">
        <v>74</v>
      </c>
      <c r="DX279" s="58" t="s">
        <v>552</v>
      </c>
      <c r="DY279" s="58" t="s">
        <v>63</v>
      </c>
      <c r="DZ279" s="58">
        <v>0</v>
      </c>
      <c r="EB279" s="58">
        <v>0</v>
      </c>
      <c r="EC279" s="58">
        <v>1</v>
      </c>
      <c r="ED279" s="58">
        <v>7</v>
      </c>
      <c r="EE279" s="58">
        <v>2</v>
      </c>
      <c r="EF279" s="58">
        <v>1</v>
      </c>
      <c r="EI279" s="58" t="s">
        <v>74</v>
      </c>
      <c r="EJ279" s="58" t="s">
        <v>552</v>
      </c>
      <c r="EK279" s="58" t="s">
        <v>63</v>
      </c>
      <c r="EL279" s="58">
        <v>0</v>
      </c>
      <c r="EN279" s="58">
        <v>0</v>
      </c>
      <c r="EO279" s="58">
        <v>1</v>
      </c>
      <c r="EP279" s="58">
        <v>7</v>
      </c>
      <c r="EQ279" s="58">
        <v>0</v>
      </c>
      <c r="ER279" s="58">
        <v>1</v>
      </c>
      <c r="EU279" s="58" t="str">
        <f t="shared" si="458"/>
        <v>Yes</v>
      </c>
      <c r="EV279" s="58" t="str">
        <f t="shared" si="459"/>
        <v>Progression free survival</v>
      </c>
      <c r="EW279" s="58" t="str">
        <f t="shared" si="460"/>
        <v>FP_NMA</v>
      </c>
      <c r="EX279" s="58">
        <f t="shared" si="461"/>
        <v>0</v>
      </c>
      <c r="EZ279" s="58">
        <f t="shared" si="462"/>
        <v>0</v>
      </c>
      <c r="FA279" s="58">
        <f t="shared" si="463"/>
        <v>1</v>
      </c>
      <c r="FB279" s="58">
        <f>IF(i_eff_inputs_based_on_num=2,ED279,(INDEX(Lists!$L$51:$L$85,MATCH(O279,Lists!$K$51:$K$85,0))))</f>
        <v>7</v>
      </c>
      <c r="FC279" s="58">
        <f>IF(i_eff_inputs_based_on_num=2,EE279,(INDEX(Lists!$L$51:$L$85,MATCH(P279,Lists!$K$51:$K$85,0))))</f>
        <v>2</v>
      </c>
      <c r="FD279" s="58">
        <f>IF(i_eff_inputs_based_on_num=2,EF279,(INDEX(Lists!$L$51:$L$85,MATCH(Q279,Lists!$K$51:$K$85,0))))</f>
        <v>1</v>
      </c>
      <c r="FG279" s="58" t="str">
        <f t="shared" si="464"/>
        <v>Yes</v>
      </c>
      <c r="FH279" s="58" t="str">
        <f t="shared" si="465"/>
        <v>Progression free survival</v>
      </c>
      <c r="FI279" s="58" t="str">
        <f t="shared" si="466"/>
        <v>FP_NMA</v>
      </c>
      <c r="FJ279" s="58">
        <f t="shared" si="467"/>
        <v>0</v>
      </c>
      <c r="FL279" s="58">
        <f t="shared" si="468"/>
        <v>0</v>
      </c>
      <c r="FM279" s="58">
        <f t="shared" si="469"/>
        <v>1</v>
      </c>
      <c r="FN279" s="58">
        <f>IF(i_eff_inputs_based_on_num=2,EP279,(INDEX(Lists!$L$51:$L$85,MATCH(O279,Lists!$K$51:$K$85,0))))</f>
        <v>7</v>
      </c>
      <c r="FO279" s="58">
        <f>IF(i_eff_inputs_based_on_num=2,EQ279,(INDEX(Lists!$L$51:$L$85,MATCH(P279,Lists!$K$51:$K$85,0))))</f>
        <v>0</v>
      </c>
      <c r="FP279" s="58">
        <f>IF(i_eff_inputs_based_on_num=2,ER279,(INDEX(Lists!$L$51:$L$85,MATCH(Q279,Lists!$K$51:$K$85,0))))</f>
        <v>1</v>
      </c>
      <c r="FT279" s="58">
        <f t="shared" si="425"/>
        <v>0</v>
      </c>
      <c r="FW279" s="58" t="str">
        <f>IF(i_baseline_risk_from=2,'Effectiveness settings'!EW279,'Effectiveness settings'!FI279)</f>
        <v>FP_NMA</v>
      </c>
      <c r="FX279" s="58" t="str">
        <f t="shared" si="426"/>
        <v>FP_NMA</v>
      </c>
      <c r="FY279" s="58" t="str">
        <f t="shared" si="427"/>
        <v>FP_NMA</v>
      </c>
      <c r="FZ279" s="58" t="str">
        <f t="shared" si="428"/>
        <v>Assume equal to</v>
      </c>
      <c r="GA279" s="58" t="str">
        <f t="shared" si="429"/>
        <v>Assume equal to</v>
      </c>
      <c r="GB279" s="58" t="str">
        <f t="shared" si="430"/>
        <v>Assume equal to</v>
      </c>
      <c r="GC279" s="58" t="str">
        <f t="shared" si="431"/>
        <v>Assume equal to</v>
      </c>
      <c r="GD279" s="58" t="str">
        <f t="shared" si="432"/>
        <v>Assume equal to</v>
      </c>
      <c r="GE279" s="58" t="str">
        <f>IF(AND(dd_CheckMate214_TTD="Yes",'Effectiveness settings'!BU279=2,'Effectiveness settings'!BX279=2),"Apply HR to",GD279)</f>
        <v>Assume equal to</v>
      </c>
      <c r="GF279" s="58" t="str">
        <f t="shared" si="433"/>
        <v>Assume equal to</v>
      </c>
      <c r="GG279" s="58" t="str">
        <f t="shared" si="434"/>
        <v>Assume equal to</v>
      </c>
      <c r="GH279" s="58" t="str">
        <f t="shared" si="435"/>
        <v>Assume equal to</v>
      </c>
      <c r="GI279" s="58" t="str">
        <f t="shared" si="415"/>
        <v>Assume equal to</v>
      </c>
      <c r="GK279" s="58">
        <f>IF(i_baseline_risk_from=2,'Effectiveness settings'!FA279,'Effectiveness settings'!FM279)</f>
        <v>1</v>
      </c>
      <c r="GL279" s="58">
        <f>IF(i_baseline_risk_from=2,'Effectiveness settings'!FB279,'Effectiveness settings'!FN279)</f>
        <v>7</v>
      </c>
      <c r="GM279" s="58">
        <f>IF(i_baseline_risk_from=2,'Effectiveness settings'!FC279,'Effectiveness settings'!FO279)</f>
        <v>2</v>
      </c>
      <c r="GN279" s="58">
        <f>IF(i_baseline_risk_from=2,'Effectiveness settings'!FD279,'Effectiveness settings'!FP279)</f>
        <v>1</v>
      </c>
      <c r="GQ279" s="58">
        <f t="shared" si="436"/>
        <v>7</v>
      </c>
      <c r="GR279" s="58">
        <f t="shared" si="437"/>
        <v>7</v>
      </c>
      <c r="GS279" s="58">
        <f t="shared" si="438"/>
        <v>7</v>
      </c>
      <c r="GT279" s="58">
        <f t="shared" si="439"/>
        <v>7</v>
      </c>
      <c r="GU279" s="58">
        <f>IF(AND(dd_CheckMate214_TTD="Yes",'Effectiveness settings'!BU279=2,'Effectiveness settings'!BX279=2),2,GT279)</f>
        <v>7</v>
      </c>
      <c r="GV279" s="58">
        <f t="shared" si="440"/>
        <v>7</v>
      </c>
      <c r="GW279" s="58">
        <f t="shared" si="441"/>
        <v>7</v>
      </c>
      <c r="GY279" s="58">
        <f>IF(AND(dd_CheckMate214_TTD="Yes",'Effectiveness settings'!BU279=2,'Effectiveness settings'!BX279=2),1,GN279)</f>
        <v>1</v>
      </c>
      <c r="GZ279" s="58">
        <f t="shared" si="442"/>
        <v>1</v>
      </c>
      <c r="HB279" s="58">
        <f t="shared" si="443"/>
        <v>0</v>
      </c>
      <c r="HD279" s="58">
        <f t="shared" si="416"/>
        <v>0</v>
      </c>
      <c r="HE279" s="58">
        <f t="shared" si="417"/>
        <v>1</v>
      </c>
      <c r="HF279" s="58">
        <f t="shared" si="418"/>
        <v>7</v>
      </c>
      <c r="HG279" s="58">
        <f t="shared" si="419"/>
        <v>2</v>
      </c>
      <c r="HH279" s="58">
        <f t="shared" si="420"/>
        <v>1</v>
      </c>
    </row>
    <row r="280" spans="4:216" ht="15.75" x14ac:dyDescent="0.25">
      <c r="D280" s="58" t="str">
        <v>tivozanib</v>
      </c>
      <c r="I280" s="64" t="s">
        <v>74</v>
      </c>
      <c r="J280" s="519" t="s">
        <v>552</v>
      </c>
      <c r="K280" s="524" t="s">
        <v>63</v>
      </c>
      <c r="L280" s="519"/>
      <c r="M280" s="516" t="s">
        <v>31</v>
      </c>
      <c r="N280" s="64" t="s">
        <v>546</v>
      </c>
      <c r="O280" s="64" t="s">
        <v>117</v>
      </c>
      <c r="P280" s="64" t="s">
        <v>547</v>
      </c>
      <c r="Q280" s="519" t="s">
        <v>552</v>
      </c>
      <c r="R280" s="516" t="s">
        <v>548</v>
      </c>
      <c r="S280" s="497"/>
      <c r="T280" s="497"/>
      <c r="U280" s="497"/>
      <c r="V280" s="58" t="s">
        <v>587</v>
      </c>
      <c r="W280" s="58" t="str">
        <v>tivozanib</v>
      </c>
      <c r="X280" s="64" t="s">
        <v>74</v>
      </c>
      <c r="Y280" s="519" t="s">
        <v>552</v>
      </c>
      <c r="Z280" s="524" t="s">
        <v>67</v>
      </c>
      <c r="AA280" s="519"/>
      <c r="AB280" s="516" t="s">
        <v>31</v>
      </c>
      <c r="AC280" s="64" t="s">
        <v>576</v>
      </c>
      <c r="AD280" s="64" t="s">
        <v>118</v>
      </c>
      <c r="AE280" s="64" t="s">
        <v>547</v>
      </c>
      <c r="AF280" s="519" t="s">
        <v>552</v>
      </c>
      <c r="AG280" s="516" t="s">
        <v>548</v>
      </c>
      <c r="AH280" s="497"/>
      <c r="AI280" s="497"/>
      <c r="AJ280" s="497"/>
      <c r="AL280" s="64" t="str">
        <f t="shared" si="444"/>
        <v>Yes</v>
      </c>
      <c r="AM280" s="519" t="s">
        <v>552</v>
      </c>
      <c r="AN280" s="524" t="s">
        <v>67</v>
      </c>
      <c r="AO280" s="519"/>
      <c r="AP280" s="516" t="s">
        <v>31</v>
      </c>
      <c r="AQ280" s="64" t="s">
        <v>577</v>
      </c>
      <c r="AR280" s="64" t="s">
        <v>118</v>
      </c>
      <c r="AS280" s="64" t="s">
        <v>547</v>
      </c>
      <c r="AT280" s="519" t="s">
        <v>552</v>
      </c>
      <c r="AU280" s="516" t="s">
        <v>548</v>
      </c>
      <c r="AV280" s="497"/>
      <c r="AW280" s="497"/>
      <c r="AX280" s="497"/>
      <c r="AZ280" s="64" t="str">
        <f t="shared" si="445"/>
        <v>Yes</v>
      </c>
      <c r="BA280" s="519" t="s">
        <v>552</v>
      </c>
      <c r="BB280" s="524" t="s">
        <v>578</v>
      </c>
      <c r="BC280" s="519" t="s">
        <v>547</v>
      </c>
      <c r="BD280" s="516" t="s">
        <v>31</v>
      </c>
      <c r="BE280" s="64" t="s">
        <v>577</v>
      </c>
      <c r="BF280" s="64" t="s">
        <v>319</v>
      </c>
      <c r="BG280" s="64" t="s">
        <v>547</v>
      </c>
      <c r="BH280" s="519" t="s">
        <v>552</v>
      </c>
      <c r="BI280" s="516" t="s">
        <v>548</v>
      </c>
      <c r="BJ280" s="497">
        <v>1.7410000000000001</v>
      </c>
      <c r="BK280" s="497">
        <v>1.208</v>
      </c>
      <c r="BL280" s="497">
        <v>2.5099999999999998</v>
      </c>
      <c r="BM280" s="58" t="s">
        <v>590</v>
      </c>
      <c r="BQ280" s="58">
        <f t="shared" si="423"/>
        <v>161</v>
      </c>
      <c r="BR280" s="61">
        <v>0</v>
      </c>
      <c r="BS280" s="61" t="s">
        <v>31</v>
      </c>
      <c r="BT280" s="17">
        <v>1</v>
      </c>
      <c r="BU280" s="17">
        <v>6</v>
      </c>
      <c r="BV280" s="17" t="str">
        <f t="shared" si="446"/>
        <v>tivozanib</v>
      </c>
      <c r="BW280" s="1006" t="str" cm="1">
        <f t="array" ref="BW280">IF(I280="No",I280,INDEX(List_incl_anal_1L_all,IF(BU280=999,35,BU280+1)))</f>
        <v>Yes</v>
      </c>
      <c r="BX280" s="61">
        <f t="shared" si="447"/>
        <v>1</v>
      </c>
      <c r="BY280" s="531" t="str">
        <f t="shared" si="470"/>
        <v>Progression free survival</v>
      </c>
      <c r="BZ280" s="530" t="str">
        <f t="shared" si="448"/>
        <v>Assume equal to</v>
      </c>
      <c r="CA280" s="531">
        <f t="shared" si="471"/>
        <v>0</v>
      </c>
      <c r="CB280" s="530">
        <f t="shared" si="449"/>
        <v>0</v>
      </c>
      <c r="CC280" s="530">
        <f t="shared" si="450"/>
        <v>1</v>
      </c>
      <c r="CD280" s="530">
        <f t="shared" si="451"/>
        <v>7</v>
      </c>
      <c r="CE280" s="1295">
        <f t="shared" si="452"/>
        <v>2</v>
      </c>
      <c r="CF280" s="1301">
        <f t="shared" si="453"/>
        <v>1</v>
      </c>
      <c r="CG280" s="530" t="str">
        <f t="shared" si="454"/>
        <v>Log-logistic</v>
      </c>
      <c r="CH280" s="61">
        <f t="shared" si="455"/>
        <v>0</v>
      </c>
      <c r="CI280" s="61">
        <f t="shared" si="456"/>
        <v>0</v>
      </c>
      <c r="CJ280" s="61">
        <f t="shared" si="457"/>
        <v>0</v>
      </c>
      <c r="DK280" s="58" t="str" cm="1">
        <f t="array" ref="DK280">IF(AND($BT280=4,$BX280=4,$BU280=999),$DB$36,_xlfn.IFNA(INDEX(DB$13:DB$70,MATCH(1,($BR280=$CV$13:$CV$70)*($BT280=$CX$13:$CX$70)*($CE280=$CY$13:$CY$70)*($BY280=$DA$13:$DA$70)*($CD280=$DH$13:$DH$70),0)),""))</f>
        <v>Log-logistic</v>
      </c>
      <c r="DL280" s="58" t="str" cm="1">
        <f t="array" ref="DL280">IF(AND($BT280=4,$BX280=4,$BU280=999),$DC$36,_xlfn.IFNA(INDEX(CHOOSE(DP280,DB$13:DB$70,DC$13:DC$70,DD$13:DD$70,DE$13:DE$70),MATCH(1,($BR280=$CV$13:$CV$70)*($BT280=$CX$13:$CX$70)*($CE280=$CY$13:$CY$70)*($BY280=$DA$13:$DA$70)*($CD280=$DH$13:$DH$70),0)),""))</f>
        <v>Log-logistic</v>
      </c>
      <c r="DM280" s="740" cm="1">
        <f t="array" ref="DM280">IF(AND($BT280=4,$BX280=4,$BU280=999),$DD$36,_xlfn.IFNA(INDEX(DD$13:DD$68,MATCH(1,($BR280=$CV$13:$CV$68)*($BT280=$CX$13:$CX$68)*($CE280=$CY$13:$CY$68)*($BY280=$DA$13:$DA$68)*($CD280=$DH$13:$DH$68),0)),""))</f>
        <v>0</v>
      </c>
      <c r="DN280" s="740" cm="1">
        <f t="array" ref="DN280">IF(AND($BT280=4,$BX280=4,$BU280=999),$DD$36,_xlfn.IFNA(INDEX(DE$13:DE$68,MATCH(1,($BR280=$CV$13:$CV$68)*($BT280=$CX$13:$CX$68)*($CE280=$CY$13:$CY$68)*($BY280=$DA$13:$DA$68)*($CD280=$DH$13:$DH$68),0)),""))</f>
        <v>0</v>
      </c>
      <c r="DO280" s="58" t="str" cm="1">
        <f t="array" ref="DO280">IF(AND($BT280=4,$BX280=4,$BU280=999),$DF$36,_xlfn.IFNA(INDEX(DF$13:DF$70,MATCH(1,($BR280=$CV$13:$CV$70)*($BT280=$CX$13:$CX$70)*($CE280=$CY$13:$CY$70)*($BY280=$DA$13:$DA$70)*($CD280=$DH$13:$DH$70),0)),""))</f>
        <v>Base case</v>
      </c>
      <c r="DP280" s="58">
        <f t="shared" si="424"/>
        <v>1</v>
      </c>
      <c r="DW280" s="58" t="s">
        <v>74</v>
      </c>
      <c r="DX280" s="58" t="s">
        <v>552</v>
      </c>
      <c r="DY280" s="58" t="s">
        <v>63</v>
      </c>
      <c r="DZ280" s="58">
        <v>0</v>
      </c>
      <c r="EB280" s="58">
        <v>0</v>
      </c>
      <c r="EC280" s="58">
        <v>1</v>
      </c>
      <c r="ED280" s="58">
        <v>7</v>
      </c>
      <c r="EE280" s="58">
        <v>2</v>
      </c>
      <c r="EF280" s="58">
        <v>1</v>
      </c>
      <c r="EI280" s="58" t="s">
        <v>74</v>
      </c>
      <c r="EJ280" s="58" t="s">
        <v>552</v>
      </c>
      <c r="EK280" s="58" t="s">
        <v>63</v>
      </c>
      <c r="EL280" s="58">
        <v>0</v>
      </c>
      <c r="EN280" s="58">
        <v>0</v>
      </c>
      <c r="EO280" s="58">
        <v>1</v>
      </c>
      <c r="EP280" s="58">
        <v>7</v>
      </c>
      <c r="EQ280" s="58">
        <v>0</v>
      </c>
      <c r="ER280" s="58">
        <v>1</v>
      </c>
      <c r="EU280" s="58" t="str">
        <f t="shared" si="458"/>
        <v>Yes</v>
      </c>
      <c r="EV280" s="58" t="str">
        <f t="shared" si="459"/>
        <v>Progression free survival</v>
      </c>
      <c r="EW280" s="58" t="str">
        <f t="shared" si="460"/>
        <v>FP_NMA</v>
      </c>
      <c r="EX280" s="58">
        <f t="shared" si="461"/>
        <v>0</v>
      </c>
      <c r="EZ280" s="58">
        <f t="shared" si="462"/>
        <v>0</v>
      </c>
      <c r="FA280" s="58">
        <f t="shared" si="463"/>
        <v>1</v>
      </c>
      <c r="FB280" s="58">
        <f>IF(i_eff_inputs_based_on_num=2,ED280,(INDEX(Lists!$L$51:$L$85,MATCH(O280,Lists!$K$51:$K$85,0))))</f>
        <v>7</v>
      </c>
      <c r="FC280" s="58">
        <f>IF(i_eff_inputs_based_on_num=2,EE280,(INDEX(Lists!$L$51:$L$85,MATCH(P280,Lists!$K$51:$K$85,0))))</f>
        <v>2</v>
      </c>
      <c r="FD280" s="58">
        <f>IF(i_eff_inputs_based_on_num=2,EF280,(INDEX(Lists!$L$51:$L$85,MATCH(Q280,Lists!$K$51:$K$85,0))))</f>
        <v>1</v>
      </c>
      <c r="FG280" s="58" t="str">
        <f t="shared" si="464"/>
        <v>Yes</v>
      </c>
      <c r="FH280" s="58" t="str">
        <f t="shared" si="465"/>
        <v>Progression free survival</v>
      </c>
      <c r="FI280" s="58" t="str">
        <f t="shared" si="466"/>
        <v>FP_NMA</v>
      </c>
      <c r="FJ280" s="58">
        <f t="shared" si="467"/>
        <v>0</v>
      </c>
      <c r="FL280" s="58">
        <f t="shared" si="468"/>
        <v>0</v>
      </c>
      <c r="FM280" s="58">
        <f t="shared" si="469"/>
        <v>1</v>
      </c>
      <c r="FN280" s="58">
        <f>IF(i_eff_inputs_based_on_num=2,EP280,(INDEX(Lists!$L$51:$L$85,MATCH(O280,Lists!$K$51:$K$85,0))))</f>
        <v>7</v>
      </c>
      <c r="FO280" s="58">
        <f>IF(i_eff_inputs_based_on_num=2,EQ280,(INDEX(Lists!$L$51:$L$85,MATCH(P280,Lists!$K$51:$K$85,0))))</f>
        <v>0</v>
      </c>
      <c r="FP280" s="58">
        <f>IF(i_eff_inputs_based_on_num=2,ER280,(INDEX(Lists!$L$51:$L$85,MATCH(Q280,Lists!$K$51:$K$85,0))))</f>
        <v>1</v>
      </c>
      <c r="FT280" s="58">
        <f t="shared" si="425"/>
        <v>0</v>
      </c>
      <c r="FW280" s="58" t="str">
        <f>IF(i_baseline_risk_from=2,'Effectiveness settings'!EW280,'Effectiveness settings'!FI280)</f>
        <v>FP_NMA</v>
      </c>
      <c r="FX280" s="58" t="str">
        <f t="shared" si="426"/>
        <v>FP_NMA</v>
      </c>
      <c r="FY280" s="58" t="str">
        <f t="shared" si="427"/>
        <v>FP_NMA</v>
      </c>
      <c r="FZ280" s="58" t="str">
        <f t="shared" si="428"/>
        <v>FP_NMA</v>
      </c>
      <c r="GA280" s="58" t="str">
        <f t="shared" si="429"/>
        <v>Assume equal to</v>
      </c>
      <c r="GB280" s="58" t="str">
        <f t="shared" si="430"/>
        <v>Assume equal to</v>
      </c>
      <c r="GC280" s="58" t="str">
        <f t="shared" si="431"/>
        <v>Assume equal to</v>
      </c>
      <c r="GD280" s="58" t="str">
        <f t="shared" si="432"/>
        <v>Assume equal to</v>
      </c>
      <c r="GE280" s="58" t="str">
        <f>IF(AND(dd_CheckMate214_TTD="Yes",'Effectiveness settings'!BU280=2,'Effectiveness settings'!BX280=2),"Apply HR to",GD280)</f>
        <v>Assume equal to</v>
      </c>
      <c r="GF280" s="58" t="str">
        <f t="shared" si="433"/>
        <v>Assume equal to</v>
      </c>
      <c r="GG280" s="58" t="str">
        <f t="shared" si="434"/>
        <v>Assume equal to</v>
      </c>
      <c r="GH280" s="58" t="str">
        <f t="shared" si="435"/>
        <v>Assume equal to</v>
      </c>
      <c r="GI280" s="58" t="str">
        <f t="shared" si="415"/>
        <v>Assume equal to</v>
      </c>
      <c r="GK280" s="58">
        <f>IF(i_baseline_risk_from=2,'Effectiveness settings'!FA280,'Effectiveness settings'!FM280)</f>
        <v>1</v>
      </c>
      <c r="GL280" s="58">
        <f>IF(i_baseline_risk_from=2,'Effectiveness settings'!FB280,'Effectiveness settings'!FN280)</f>
        <v>7</v>
      </c>
      <c r="GM280" s="58">
        <f>IF(i_baseline_risk_from=2,'Effectiveness settings'!FC280,'Effectiveness settings'!FO280)</f>
        <v>2</v>
      </c>
      <c r="GN280" s="58">
        <f>IF(i_baseline_risk_from=2,'Effectiveness settings'!FD280,'Effectiveness settings'!FP280)</f>
        <v>1</v>
      </c>
      <c r="GQ280" s="58">
        <f t="shared" si="436"/>
        <v>7</v>
      </c>
      <c r="GR280" s="58">
        <f t="shared" si="437"/>
        <v>7</v>
      </c>
      <c r="GS280" s="58">
        <f t="shared" si="438"/>
        <v>7</v>
      </c>
      <c r="GT280" s="58">
        <f t="shared" si="439"/>
        <v>7</v>
      </c>
      <c r="GU280" s="58">
        <f>IF(AND(dd_CheckMate214_TTD="Yes",'Effectiveness settings'!BU280=2,'Effectiveness settings'!BX280=2),2,GT280)</f>
        <v>7</v>
      </c>
      <c r="GV280" s="58">
        <f t="shared" si="440"/>
        <v>7</v>
      </c>
      <c r="GW280" s="58">
        <f t="shared" si="441"/>
        <v>7</v>
      </c>
      <c r="GY280" s="58">
        <f>IF(AND(dd_CheckMate214_TTD="Yes",'Effectiveness settings'!BU280=2,'Effectiveness settings'!BX280=2),1,GN280)</f>
        <v>1</v>
      </c>
      <c r="GZ280" s="58">
        <f t="shared" si="442"/>
        <v>1</v>
      </c>
      <c r="HB280" s="58">
        <f t="shared" si="443"/>
        <v>0</v>
      </c>
      <c r="HD280" s="58">
        <f t="shared" si="416"/>
        <v>0</v>
      </c>
      <c r="HE280" s="58">
        <f t="shared" si="417"/>
        <v>1</v>
      </c>
      <c r="HF280" s="58">
        <f t="shared" si="418"/>
        <v>7</v>
      </c>
      <c r="HG280" s="58">
        <f t="shared" si="419"/>
        <v>2</v>
      </c>
      <c r="HH280" s="58">
        <f t="shared" si="420"/>
        <v>1</v>
      </c>
    </row>
    <row r="281" spans="4:216" ht="15.75" x14ac:dyDescent="0.25">
      <c r="D281" s="58" t="str">
        <v>sunitinib</v>
      </c>
      <c r="I281" s="64" t="s">
        <v>74</v>
      </c>
      <c r="J281" s="519" t="s">
        <v>552</v>
      </c>
      <c r="K281" s="524" t="s">
        <v>562</v>
      </c>
      <c r="L281" s="519" t="s">
        <v>547</v>
      </c>
      <c r="M281" s="516" t="s">
        <v>31</v>
      </c>
      <c r="N281" s="64" t="s">
        <v>546</v>
      </c>
      <c r="O281" s="64" t="s">
        <v>117</v>
      </c>
      <c r="P281" s="64" t="s">
        <v>547</v>
      </c>
      <c r="Q281" s="519" t="s">
        <v>552</v>
      </c>
      <c r="R281" s="516" t="s">
        <v>548</v>
      </c>
      <c r="S281" s="497"/>
      <c r="T281" s="497"/>
      <c r="U281" s="497"/>
      <c r="V281" s="58" t="s">
        <v>584</v>
      </c>
      <c r="W281" s="58" t="str">
        <v>sunitinib</v>
      </c>
      <c r="X281" s="64" t="s">
        <v>74</v>
      </c>
      <c r="Y281" s="519" t="s">
        <v>552</v>
      </c>
      <c r="Z281" s="524" t="s">
        <v>561</v>
      </c>
      <c r="AA281" s="519"/>
      <c r="AB281" s="516" t="s">
        <v>31</v>
      </c>
      <c r="AC281" s="64" t="s">
        <v>576</v>
      </c>
      <c r="AD281" s="64" t="s">
        <v>319</v>
      </c>
      <c r="AE281" s="64" t="s">
        <v>547</v>
      </c>
      <c r="AF281" s="519" t="s">
        <v>552</v>
      </c>
      <c r="AG281" s="516" t="s">
        <v>548</v>
      </c>
      <c r="AH281" s="497"/>
      <c r="AI281" s="497"/>
      <c r="AJ281" s="497"/>
      <c r="AL281" s="64" t="str">
        <f t="shared" si="444"/>
        <v>Yes</v>
      </c>
      <c r="AM281" s="519" t="s">
        <v>552</v>
      </c>
      <c r="AN281" s="524" t="s">
        <v>561</v>
      </c>
      <c r="AO281" s="519"/>
      <c r="AP281" s="516" t="s">
        <v>31</v>
      </c>
      <c r="AQ281" s="64" t="s">
        <v>577</v>
      </c>
      <c r="AR281" s="64" t="s">
        <v>319</v>
      </c>
      <c r="AS281" s="64" t="s">
        <v>547</v>
      </c>
      <c r="AT281" s="519" t="s">
        <v>552</v>
      </c>
      <c r="AU281" s="516" t="s">
        <v>548</v>
      </c>
      <c r="AV281" s="497">
        <v>1</v>
      </c>
      <c r="AW281" s="497">
        <v>1</v>
      </c>
      <c r="AX281" s="497">
        <v>1</v>
      </c>
      <c r="AZ281" s="64" t="str">
        <f t="shared" si="445"/>
        <v>Yes</v>
      </c>
      <c r="BA281" s="519" t="s">
        <v>552</v>
      </c>
      <c r="BB281" s="524" t="s">
        <v>578</v>
      </c>
      <c r="BC281" s="519" t="s">
        <v>547</v>
      </c>
      <c r="BD281" s="516" t="s">
        <v>31</v>
      </c>
      <c r="BE281" s="64" t="s">
        <v>577</v>
      </c>
      <c r="BF281" s="64" t="s">
        <v>117</v>
      </c>
      <c r="BG281" s="64" t="s">
        <v>547</v>
      </c>
      <c r="BH281" s="519" t="s">
        <v>552</v>
      </c>
      <c r="BI281" s="516" t="s">
        <v>548</v>
      </c>
      <c r="BJ281" s="497">
        <v>1.7410000000000001</v>
      </c>
      <c r="BK281" s="497">
        <v>1.208</v>
      </c>
      <c r="BL281" s="497">
        <v>2.5099999999999998</v>
      </c>
      <c r="BM281" s="58" t="s">
        <v>591</v>
      </c>
      <c r="BQ281" s="58">
        <f t="shared" si="423"/>
        <v>162</v>
      </c>
      <c r="BR281" s="61">
        <v>0</v>
      </c>
      <c r="BS281" s="61" t="s">
        <v>31</v>
      </c>
      <c r="BT281" s="17">
        <v>1</v>
      </c>
      <c r="BU281" s="17">
        <v>7</v>
      </c>
      <c r="BV281" s="17" t="str">
        <f t="shared" si="446"/>
        <v>sunitinib</v>
      </c>
      <c r="BW281" s="1006" t="str" cm="1">
        <f t="array" ref="BW281">IF(I281="No",I281,INDEX(List_incl_anal_1L_all,IF(BU281=999,35,BU281+1)))</f>
        <v>Yes</v>
      </c>
      <c r="BX281" s="61">
        <f t="shared" si="447"/>
        <v>1</v>
      </c>
      <c r="BY281" s="531" t="str">
        <f t="shared" si="470"/>
        <v>Progression free survival</v>
      </c>
      <c r="BZ281" s="530" t="str">
        <f t="shared" si="448"/>
        <v>Trial survival analysis</v>
      </c>
      <c r="CA281" s="531" t="str">
        <f t="shared" si="471"/>
        <v>Real world evidence</v>
      </c>
      <c r="CB281" s="530">
        <f t="shared" si="449"/>
        <v>0</v>
      </c>
      <c r="CC281" s="530">
        <f t="shared" si="450"/>
        <v>1</v>
      </c>
      <c r="CD281" s="530">
        <f t="shared" si="451"/>
        <v>7</v>
      </c>
      <c r="CE281" s="1295">
        <f t="shared" si="452"/>
        <v>2</v>
      </c>
      <c r="CF281" s="1301">
        <f t="shared" si="453"/>
        <v>1</v>
      </c>
      <c r="CG281" s="530" t="str">
        <f t="shared" si="454"/>
        <v>Log-logistic</v>
      </c>
      <c r="CH281" s="61">
        <f t="shared" si="455"/>
        <v>0</v>
      </c>
      <c r="CI281" s="61">
        <f t="shared" si="456"/>
        <v>0</v>
      </c>
      <c r="CJ281" s="61">
        <f t="shared" si="457"/>
        <v>0</v>
      </c>
      <c r="DK281" s="58" t="str" cm="1">
        <f t="array" ref="DK281">IF(AND($BT281=4,$BX281=4,$BU281=999),$DB$36,_xlfn.IFNA(INDEX(DB$13:DB$70,MATCH(1,($BR281=$CV$13:$CV$70)*($BT281=$CX$13:$CX$70)*($CE281=$CY$13:$CY$70)*($BY281=$DA$13:$DA$70)*($CD281=$DH$13:$DH$70),0)),""))</f>
        <v>Log-logistic</v>
      </c>
      <c r="DL281" s="58" t="str" cm="1">
        <f t="array" ref="DL281">IF(AND($BT281=4,$BX281=4,$BU281=999),$DC$36,_xlfn.IFNA(INDEX(CHOOSE(DP281,DB$13:DB$70,DC$13:DC$70,DD$13:DD$70,DE$13:DE$70),MATCH(1,($BR281=$CV$13:$CV$70)*($BT281=$CX$13:$CX$70)*($CE281=$CY$13:$CY$70)*($BY281=$DA$13:$DA$70)*($CD281=$DH$13:$DH$70),0)),""))</f>
        <v>Log-logistic</v>
      </c>
      <c r="DM281" s="740" cm="1">
        <f t="array" ref="DM281">IF(AND($BT281=4,$BX281=4,$BU281=999),$DD$36,_xlfn.IFNA(INDEX(DD$13:DD$68,MATCH(1,($BR281=$CV$13:$CV$68)*($BT281=$CX$13:$CX$68)*($CE281=$CY$13:$CY$68)*($BY281=$DA$13:$DA$68)*($CD281=$DH$13:$DH$68),0)),""))</f>
        <v>0</v>
      </c>
      <c r="DN281" s="740" cm="1">
        <f t="array" ref="DN281">IF(AND($BT281=4,$BX281=4,$BU281=999),$DD$36,_xlfn.IFNA(INDEX(DE$13:DE$68,MATCH(1,($BR281=$CV$13:$CV$68)*($BT281=$CX$13:$CX$68)*($CE281=$CY$13:$CY$68)*($BY281=$DA$13:$DA$68)*($CD281=$DH$13:$DH$68),0)),""))</f>
        <v>0</v>
      </c>
      <c r="DO281" s="58" t="str" cm="1">
        <f t="array" ref="DO281">IF(AND($BT281=4,$BX281=4,$BU281=999),$DF$36,_xlfn.IFNA(INDEX(DF$13:DF$70,MATCH(1,($BR281=$CV$13:$CV$70)*($BT281=$CX$13:$CX$70)*($CE281=$CY$13:$CY$70)*($BY281=$DA$13:$DA$70)*($CD281=$DH$13:$DH$70),0)),""))</f>
        <v>Base case</v>
      </c>
      <c r="DP281" s="58">
        <f t="shared" si="424"/>
        <v>1</v>
      </c>
      <c r="DW281" s="58" t="s">
        <v>74</v>
      </c>
      <c r="DX281" s="58" t="s">
        <v>552</v>
      </c>
      <c r="DY281" s="58" t="s">
        <v>562</v>
      </c>
      <c r="DZ281" s="58" t="s">
        <v>547</v>
      </c>
      <c r="EB281" s="58">
        <v>0</v>
      </c>
      <c r="EC281" s="58">
        <v>1</v>
      </c>
      <c r="ED281" s="58">
        <v>7</v>
      </c>
      <c r="EE281" s="58">
        <v>2</v>
      </c>
      <c r="EF281" s="58">
        <v>1</v>
      </c>
      <c r="EI281" s="58" t="s">
        <v>74</v>
      </c>
      <c r="EJ281" s="58" t="s">
        <v>552</v>
      </c>
      <c r="EK281" s="58" t="s">
        <v>562</v>
      </c>
      <c r="EL281" s="58" t="s">
        <v>564</v>
      </c>
      <c r="EN281" s="58">
        <v>0</v>
      </c>
      <c r="EO281" s="58">
        <v>1</v>
      </c>
      <c r="EP281" s="58">
        <v>7</v>
      </c>
      <c r="EQ281" s="58">
        <v>0</v>
      </c>
      <c r="ER281" s="58">
        <v>1</v>
      </c>
      <c r="EU281" s="58" t="str">
        <f t="shared" si="458"/>
        <v>Yes</v>
      </c>
      <c r="EV281" s="58" t="str">
        <f t="shared" si="459"/>
        <v>Progression free survival</v>
      </c>
      <c r="EW281" s="58" t="str">
        <f t="shared" si="460"/>
        <v>Trial survival analysis</v>
      </c>
      <c r="EX281" s="58" t="str">
        <f t="shared" si="461"/>
        <v>Real world evidence</v>
      </c>
      <c r="EZ281" s="58">
        <f t="shared" si="462"/>
        <v>0</v>
      </c>
      <c r="FA281" s="58">
        <f t="shared" si="463"/>
        <v>1</v>
      </c>
      <c r="FB281" s="58">
        <f>IF(i_eff_inputs_based_on_num=2,ED281,(INDEX(Lists!$L$51:$L$85,MATCH(O281,Lists!$K$51:$K$85,0))))</f>
        <v>7</v>
      </c>
      <c r="FC281" s="58">
        <f>IF(i_eff_inputs_based_on_num=2,EE281,(INDEX(Lists!$L$51:$L$85,MATCH(P281,Lists!$K$51:$K$85,0))))</f>
        <v>2</v>
      </c>
      <c r="FD281" s="58">
        <f>IF(i_eff_inputs_based_on_num=2,EF281,(INDEX(Lists!$L$51:$L$85,MATCH(Q281,Lists!$K$51:$K$85,0))))</f>
        <v>1</v>
      </c>
      <c r="FG281" s="58" t="str">
        <f t="shared" si="464"/>
        <v>Yes</v>
      </c>
      <c r="FH281" s="58" t="str">
        <f t="shared" si="465"/>
        <v>Progression free survival</v>
      </c>
      <c r="FI281" s="58" t="str">
        <f t="shared" si="466"/>
        <v>Trial survival analysis</v>
      </c>
      <c r="FJ281" s="58" t="str">
        <f t="shared" si="467"/>
        <v>CheckMate 9ER</v>
      </c>
      <c r="FL281" s="58">
        <f t="shared" si="468"/>
        <v>0</v>
      </c>
      <c r="FM281" s="58">
        <f t="shared" si="469"/>
        <v>1</v>
      </c>
      <c r="FN281" s="58">
        <f>IF(i_eff_inputs_based_on_num=2,EP281,(INDEX(Lists!$L$51:$L$85,MATCH(O281,Lists!$K$51:$K$85,0))))</f>
        <v>7</v>
      </c>
      <c r="FO281" s="58">
        <f>IF(i_eff_inputs_based_on_num=2,EQ281,(INDEX(Lists!$L$51:$L$85,MATCH(P281,Lists!$K$51:$K$85,0))))</f>
        <v>0</v>
      </c>
      <c r="FP281" s="58">
        <f>IF(i_eff_inputs_based_on_num=2,ER281,(INDEX(Lists!$L$51:$L$85,MATCH(Q281,Lists!$K$51:$K$85,0))))</f>
        <v>1</v>
      </c>
      <c r="FT281" s="58" t="str">
        <f t="shared" si="425"/>
        <v>Real world evidence</v>
      </c>
      <c r="FW281" s="58" t="str">
        <f>IF(i_baseline_risk_from=2,'Effectiveness settings'!EW281,'Effectiveness settings'!FI281)</f>
        <v>Trial survival analysis</v>
      </c>
      <c r="FX281" s="58" t="str">
        <f t="shared" si="426"/>
        <v>Trial survival analysis</v>
      </c>
      <c r="FY281" s="58" t="str">
        <f t="shared" si="427"/>
        <v>Trial survival analysis</v>
      </c>
      <c r="FZ281" s="58" t="str">
        <f t="shared" si="428"/>
        <v>Trial survival analysis</v>
      </c>
      <c r="GA281" s="58" t="str">
        <f t="shared" si="429"/>
        <v>Trial survival analysis</v>
      </c>
      <c r="GB281" s="58" t="str">
        <f t="shared" si="430"/>
        <v>Trial survival analysis</v>
      </c>
      <c r="GC281" s="58" t="str">
        <f t="shared" si="431"/>
        <v>Trial survival analysis</v>
      </c>
      <c r="GD281" s="58" t="str">
        <f t="shared" si="432"/>
        <v>Trial survival analysis</v>
      </c>
      <c r="GE281" s="58" t="str">
        <f>IF(AND(dd_CheckMate214_TTD="Yes",'Effectiveness settings'!BU281=2,'Effectiveness settings'!BX281=2),"Apply HR to",GD281)</f>
        <v>Trial survival analysis</v>
      </c>
      <c r="GF281" s="58" t="str">
        <f t="shared" si="433"/>
        <v>Trial survival analysis</v>
      </c>
      <c r="GG281" s="58" t="str">
        <f t="shared" si="434"/>
        <v>Trial survival analysis</v>
      </c>
      <c r="GH281" s="58" t="str">
        <f t="shared" si="435"/>
        <v>Trial survival analysis</v>
      </c>
      <c r="GI281" s="58" t="str">
        <f t="shared" si="415"/>
        <v>Trial survival analysis</v>
      </c>
      <c r="GK281" s="58">
        <f>IF(i_baseline_risk_from=2,'Effectiveness settings'!FA281,'Effectiveness settings'!FM281)</f>
        <v>1</v>
      </c>
      <c r="GL281" s="58">
        <f>IF(i_baseline_risk_from=2,'Effectiveness settings'!FB281,'Effectiveness settings'!FN281)</f>
        <v>7</v>
      </c>
      <c r="GM281" s="58">
        <f>IF(i_baseline_risk_from=2,'Effectiveness settings'!FC281,'Effectiveness settings'!FO281)</f>
        <v>2</v>
      </c>
      <c r="GN281" s="58">
        <f>IF(i_baseline_risk_from=2,'Effectiveness settings'!FD281,'Effectiveness settings'!FP281)</f>
        <v>1</v>
      </c>
      <c r="GQ281" s="58">
        <f t="shared" si="436"/>
        <v>7</v>
      </c>
      <c r="GR281" s="58">
        <f t="shared" si="437"/>
        <v>7</v>
      </c>
      <c r="GS281" s="58">
        <f t="shared" si="438"/>
        <v>7</v>
      </c>
      <c r="GT281" s="58">
        <f t="shared" si="439"/>
        <v>7</v>
      </c>
      <c r="GU281" s="58">
        <f>IF(AND(dd_CheckMate214_TTD="Yes",'Effectiveness settings'!BU281=2,'Effectiveness settings'!BX281=2),2,GT281)</f>
        <v>7</v>
      </c>
      <c r="GV281" s="58">
        <f t="shared" si="440"/>
        <v>7</v>
      </c>
      <c r="GW281" s="58">
        <f t="shared" si="441"/>
        <v>7</v>
      </c>
      <c r="GY281" s="58">
        <f>IF(AND(dd_CheckMate214_TTD="Yes",'Effectiveness settings'!BU281=2,'Effectiveness settings'!BX281=2),1,GN281)</f>
        <v>1</v>
      </c>
      <c r="GZ281" s="58">
        <f t="shared" si="442"/>
        <v>1</v>
      </c>
      <c r="HB281" s="58">
        <f t="shared" si="443"/>
        <v>0</v>
      </c>
      <c r="HD281" s="58">
        <f t="shared" si="416"/>
        <v>0</v>
      </c>
      <c r="HE281" s="58">
        <f t="shared" si="417"/>
        <v>1</v>
      </c>
      <c r="HF281" s="58">
        <f t="shared" si="418"/>
        <v>7</v>
      </c>
      <c r="HG281" s="58">
        <f t="shared" si="419"/>
        <v>2</v>
      </c>
      <c r="HH281" s="58">
        <f t="shared" si="420"/>
        <v>1</v>
      </c>
    </row>
    <row r="282" spans="4:216" ht="15.75" x14ac:dyDescent="0.25">
      <c r="D282" s="58" t="str">
        <v>cabozantinib</v>
      </c>
      <c r="I282" s="64" t="s">
        <v>58</v>
      </c>
      <c r="J282" s="519" t="s">
        <v>552</v>
      </c>
      <c r="K282" s="524" t="s">
        <v>63</v>
      </c>
      <c r="L282" s="519"/>
      <c r="M282" s="516" t="s">
        <v>31</v>
      </c>
      <c r="N282" s="64" t="s">
        <v>546</v>
      </c>
      <c r="O282" s="64" t="s">
        <v>117</v>
      </c>
      <c r="P282" s="64" t="s">
        <v>547</v>
      </c>
      <c r="Q282" s="519" t="s">
        <v>552</v>
      </c>
      <c r="R282" s="516" t="s">
        <v>548</v>
      </c>
      <c r="S282" s="497"/>
      <c r="T282" s="497"/>
      <c r="U282" s="497"/>
      <c r="W282" s="58" t="str">
        <v>cabozantinib</v>
      </c>
      <c r="X282" s="64" t="s">
        <v>74</v>
      </c>
      <c r="Y282" s="519" t="s">
        <v>552</v>
      </c>
      <c r="Z282" s="524" t="s">
        <v>562</v>
      </c>
      <c r="AA282" s="519" t="s">
        <v>547</v>
      </c>
      <c r="AB282" s="516" t="s">
        <v>31</v>
      </c>
      <c r="AC282" s="64" t="s">
        <v>576</v>
      </c>
      <c r="AD282" s="64" t="s">
        <v>118</v>
      </c>
      <c r="AE282" s="64" t="s">
        <v>547</v>
      </c>
      <c r="AF282" s="519" t="s">
        <v>552</v>
      </c>
      <c r="AG282" s="516" t="s">
        <v>548</v>
      </c>
      <c r="AH282" s="497"/>
      <c r="AI282" s="497"/>
      <c r="AJ282" s="497"/>
      <c r="AL282" s="64" t="str">
        <f t="shared" si="444"/>
        <v>Yes</v>
      </c>
      <c r="AM282" s="519" t="s">
        <v>552</v>
      </c>
      <c r="AN282" s="524" t="s">
        <v>562</v>
      </c>
      <c r="AO282" s="519" t="s">
        <v>547</v>
      </c>
      <c r="AP282" s="516" t="s">
        <v>31</v>
      </c>
      <c r="AQ282" s="64" t="s">
        <v>577</v>
      </c>
      <c r="AR282" s="64" t="s">
        <v>118</v>
      </c>
      <c r="AS282" s="64" t="s">
        <v>547</v>
      </c>
      <c r="AT282" s="519" t="s">
        <v>552</v>
      </c>
      <c r="AU282" s="516" t="s">
        <v>548</v>
      </c>
      <c r="AV282" s="497"/>
      <c r="AW282" s="497"/>
      <c r="AX282" s="497"/>
      <c r="AZ282" s="64" t="str">
        <f t="shared" si="445"/>
        <v>Yes</v>
      </c>
      <c r="BA282" s="519" t="s">
        <v>552</v>
      </c>
      <c r="BB282" s="524" t="s">
        <v>578</v>
      </c>
      <c r="BC282" s="519" t="s">
        <v>547</v>
      </c>
      <c r="BD282" s="516" t="s">
        <v>31</v>
      </c>
      <c r="BE282" s="64" t="s">
        <v>577</v>
      </c>
      <c r="BF282" s="64" t="s">
        <v>118</v>
      </c>
      <c r="BG282" s="64" t="s">
        <v>547</v>
      </c>
      <c r="BH282" s="519" t="s">
        <v>552</v>
      </c>
      <c r="BI282" s="516" t="s">
        <v>548</v>
      </c>
      <c r="BJ282" s="497">
        <v>1.7410000000000001</v>
      </c>
      <c r="BK282" s="497">
        <v>1.208</v>
      </c>
      <c r="BL282" s="497">
        <v>2.5099999999999998</v>
      </c>
      <c r="BM282" s="58" t="s">
        <v>592</v>
      </c>
      <c r="BQ282" s="58">
        <f t="shared" si="423"/>
        <v>163</v>
      </c>
      <c r="BR282" s="61">
        <v>0</v>
      </c>
      <c r="BS282" s="61" t="s">
        <v>31</v>
      </c>
      <c r="BT282" s="17">
        <v>1</v>
      </c>
      <c r="BU282" s="17">
        <v>8</v>
      </c>
      <c r="BV282" s="17" t="str">
        <f t="shared" si="446"/>
        <v>cabozantinib</v>
      </c>
      <c r="BW282" s="1006" t="str" cm="1">
        <f t="array" ref="BW282">IF(I282="No",I282,INDEX(List_incl_anal_1L_all,IF(BU282=999,35,BU282+1)))</f>
        <v>No</v>
      </c>
      <c r="BX282" s="61">
        <f t="shared" si="447"/>
        <v>1</v>
      </c>
      <c r="BY282" s="531" t="str">
        <f t="shared" si="470"/>
        <v>Progression free survival</v>
      </c>
      <c r="BZ282" s="530">
        <f t="shared" si="448"/>
        <v>0</v>
      </c>
      <c r="CA282" s="531">
        <f t="shared" si="471"/>
        <v>0</v>
      </c>
      <c r="CB282" s="530">
        <f t="shared" si="449"/>
        <v>0</v>
      </c>
      <c r="CC282" s="530">
        <f t="shared" si="450"/>
        <v>1</v>
      </c>
      <c r="CD282" s="530">
        <f t="shared" si="451"/>
        <v>7</v>
      </c>
      <c r="CE282" s="1295">
        <f t="shared" si="452"/>
        <v>2</v>
      </c>
      <c r="CF282" s="1301">
        <f t="shared" si="453"/>
        <v>1</v>
      </c>
      <c r="CG282" s="530" t="str">
        <f t="shared" si="454"/>
        <v>Log-logistic</v>
      </c>
      <c r="CH282" s="61">
        <f t="shared" si="455"/>
        <v>0</v>
      </c>
      <c r="CI282" s="61">
        <f t="shared" si="456"/>
        <v>0</v>
      </c>
      <c r="CJ282" s="61">
        <f t="shared" si="457"/>
        <v>0</v>
      </c>
      <c r="DK282" s="58" t="str" cm="1">
        <f t="array" ref="DK282">IF(AND($BT282=4,$BX282=4,$BU282=999),$DB$36,_xlfn.IFNA(INDEX(DB$13:DB$70,MATCH(1,($BR282=$CV$13:$CV$70)*($BT282=$CX$13:$CX$70)*($CE282=$CY$13:$CY$70)*($BY282=$DA$13:$DA$70)*($CD282=$DH$13:$DH$70),0)),""))</f>
        <v>Log-logistic</v>
      </c>
      <c r="DL282" s="58" t="str" cm="1">
        <f t="array" ref="DL282">IF(AND($BT282=4,$BX282=4,$BU282=999),$DC$36,_xlfn.IFNA(INDEX(CHOOSE(DP282,DB$13:DB$70,DC$13:DC$70,DD$13:DD$70,DE$13:DE$70),MATCH(1,($BR282=$CV$13:$CV$70)*($BT282=$CX$13:$CX$70)*($CE282=$CY$13:$CY$70)*($BY282=$DA$13:$DA$70)*($CD282=$DH$13:$DH$70),0)),""))</f>
        <v>Log-logistic</v>
      </c>
      <c r="DM282" s="740" cm="1">
        <f t="array" ref="DM282">IF(AND($BT282=4,$BX282=4,$BU282=999),$DD$36,_xlfn.IFNA(INDEX(DD$13:DD$68,MATCH(1,($BR282=$CV$13:$CV$68)*($BT282=$CX$13:$CX$68)*($CE282=$CY$13:$CY$68)*($BY282=$DA$13:$DA$68)*($CD282=$DH$13:$DH$68),0)),""))</f>
        <v>0</v>
      </c>
      <c r="DN282" s="740" cm="1">
        <f t="array" ref="DN282">IF(AND($BT282=4,$BX282=4,$BU282=999),$DD$36,_xlfn.IFNA(INDEX(DE$13:DE$68,MATCH(1,($BR282=$CV$13:$CV$68)*($BT282=$CX$13:$CX$68)*($CE282=$CY$13:$CY$68)*($BY282=$DA$13:$DA$68)*($CD282=$DH$13:$DH$68),0)),""))</f>
        <v>0</v>
      </c>
      <c r="DO282" s="58" t="str" cm="1">
        <f t="array" ref="DO282">IF(AND($BT282=4,$BX282=4,$BU282=999),$DF$36,_xlfn.IFNA(INDEX(DF$13:DF$70,MATCH(1,($BR282=$CV$13:$CV$70)*($BT282=$CX$13:$CX$70)*($CE282=$CY$13:$CY$70)*($BY282=$DA$13:$DA$70)*($CD282=$DH$13:$DH$70),0)),""))</f>
        <v>Base case</v>
      </c>
      <c r="DP282" s="58">
        <f t="shared" si="424"/>
        <v>1</v>
      </c>
      <c r="DW282" s="58" t="s">
        <v>58</v>
      </c>
      <c r="DX282" s="58" t="s">
        <v>552</v>
      </c>
      <c r="DY282" s="58">
        <v>0</v>
      </c>
      <c r="DZ282" s="58">
        <v>0</v>
      </c>
      <c r="EB282" s="58">
        <v>0</v>
      </c>
      <c r="EC282" s="58">
        <v>1</v>
      </c>
      <c r="ED282" s="58">
        <v>7</v>
      </c>
      <c r="EE282" s="58">
        <v>2</v>
      </c>
      <c r="EF282" s="58">
        <v>1</v>
      </c>
      <c r="EI282" s="58" t="s">
        <v>58</v>
      </c>
      <c r="EJ282" s="58" t="s">
        <v>552</v>
      </c>
      <c r="EK282" s="58">
        <v>0</v>
      </c>
      <c r="EL282" s="58">
        <v>0</v>
      </c>
      <c r="EN282" s="58">
        <v>0</v>
      </c>
      <c r="EO282" s="58">
        <v>1</v>
      </c>
      <c r="EP282" s="58">
        <v>7</v>
      </c>
      <c r="EQ282" s="58">
        <v>0</v>
      </c>
      <c r="ER282" s="58">
        <v>1</v>
      </c>
      <c r="EU282" s="58" t="str">
        <f t="shared" si="458"/>
        <v>No</v>
      </c>
      <c r="EV282" s="58" t="str">
        <f t="shared" si="459"/>
        <v>Progression free survival</v>
      </c>
      <c r="EW282" s="58">
        <f t="shared" si="460"/>
        <v>0</v>
      </c>
      <c r="EX282" s="58">
        <f t="shared" si="461"/>
        <v>0</v>
      </c>
      <c r="EZ282" s="58">
        <f t="shared" si="462"/>
        <v>0</v>
      </c>
      <c r="FA282" s="58">
        <f t="shared" si="463"/>
        <v>1</v>
      </c>
      <c r="FB282" s="58">
        <f>IF(i_eff_inputs_based_on_num=2,ED282,(INDEX(Lists!$L$51:$L$85,MATCH(O282,Lists!$K$51:$K$85,0))))</f>
        <v>7</v>
      </c>
      <c r="FC282" s="58">
        <f>IF(i_eff_inputs_based_on_num=2,EE282,(INDEX(Lists!$L$51:$L$85,MATCH(P282,Lists!$K$51:$K$85,0))))</f>
        <v>2</v>
      </c>
      <c r="FD282" s="58">
        <f>IF(i_eff_inputs_based_on_num=2,EF282,(INDEX(Lists!$L$51:$L$85,MATCH(Q282,Lists!$K$51:$K$85,0))))</f>
        <v>1</v>
      </c>
      <c r="FG282" s="58" t="str">
        <f t="shared" si="464"/>
        <v>No</v>
      </c>
      <c r="FH282" s="58" t="str">
        <f t="shared" si="465"/>
        <v>Progression free survival</v>
      </c>
      <c r="FI282" s="58">
        <f t="shared" si="466"/>
        <v>0</v>
      </c>
      <c r="FJ282" s="58">
        <f t="shared" si="467"/>
        <v>0</v>
      </c>
      <c r="FL282" s="58">
        <f t="shared" si="468"/>
        <v>0</v>
      </c>
      <c r="FM282" s="58">
        <f t="shared" si="469"/>
        <v>1</v>
      </c>
      <c r="FN282" s="58">
        <f>IF(i_eff_inputs_based_on_num=2,EP282,(INDEX(Lists!$L$51:$L$85,MATCH(O282,Lists!$K$51:$K$85,0))))</f>
        <v>7</v>
      </c>
      <c r="FO282" s="58">
        <f>IF(i_eff_inputs_based_on_num=2,EQ282,(INDEX(Lists!$L$51:$L$85,MATCH(P282,Lists!$K$51:$K$85,0))))</f>
        <v>0</v>
      </c>
      <c r="FP282" s="58">
        <f>IF(i_eff_inputs_based_on_num=2,ER282,(INDEX(Lists!$L$51:$L$85,MATCH(Q282,Lists!$K$51:$K$85,0))))</f>
        <v>1</v>
      </c>
      <c r="FT282" s="58">
        <f t="shared" si="425"/>
        <v>0</v>
      </c>
      <c r="FW282" s="58">
        <f>IF(i_baseline_risk_from=2,'Effectiveness settings'!EW282,'Effectiveness settings'!FI282)</f>
        <v>0</v>
      </c>
      <c r="FX282" s="58">
        <f t="shared" si="426"/>
        <v>0</v>
      </c>
      <c r="FY282" s="58">
        <f t="shared" si="427"/>
        <v>0</v>
      </c>
      <c r="FZ282" s="58">
        <f t="shared" si="428"/>
        <v>0</v>
      </c>
      <c r="GA282" s="58">
        <f t="shared" si="429"/>
        <v>0</v>
      </c>
      <c r="GB282" s="58">
        <f t="shared" si="430"/>
        <v>0</v>
      </c>
      <c r="GC282" s="58">
        <f t="shared" si="431"/>
        <v>0</v>
      </c>
      <c r="GD282" s="58">
        <f t="shared" si="432"/>
        <v>0</v>
      </c>
      <c r="GE282" s="58">
        <f>IF(AND(dd_CheckMate214_TTD="Yes",'Effectiveness settings'!BU282=2,'Effectiveness settings'!BX282=2),"Apply HR to",GD282)</f>
        <v>0</v>
      </c>
      <c r="GF282" s="58">
        <f t="shared" si="433"/>
        <v>0</v>
      </c>
      <c r="GG282" s="58">
        <f t="shared" si="434"/>
        <v>0</v>
      </c>
      <c r="GH282" s="58">
        <f t="shared" si="435"/>
        <v>0</v>
      </c>
      <c r="GI282" s="58">
        <f t="shared" si="415"/>
        <v>0</v>
      </c>
      <c r="GK282" s="58">
        <f>IF(i_baseline_risk_from=2,'Effectiveness settings'!FA282,'Effectiveness settings'!FM282)</f>
        <v>1</v>
      </c>
      <c r="GL282" s="58">
        <f>IF(i_baseline_risk_from=2,'Effectiveness settings'!FB282,'Effectiveness settings'!FN282)</f>
        <v>7</v>
      </c>
      <c r="GM282" s="58">
        <f>IF(i_baseline_risk_from=2,'Effectiveness settings'!FC282,'Effectiveness settings'!FO282)</f>
        <v>2</v>
      </c>
      <c r="GN282" s="58">
        <f>IF(i_baseline_risk_from=2,'Effectiveness settings'!FD282,'Effectiveness settings'!FP282)</f>
        <v>1</v>
      </c>
      <c r="GQ282" s="58">
        <f t="shared" si="436"/>
        <v>7</v>
      </c>
      <c r="GR282" s="58">
        <f t="shared" si="437"/>
        <v>7</v>
      </c>
      <c r="GS282" s="58">
        <f t="shared" si="438"/>
        <v>7</v>
      </c>
      <c r="GT282" s="58">
        <f t="shared" si="439"/>
        <v>7</v>
      </c>
      <c r="GU282" s="58">
        <f>IF(AND(dd_CheckMate214_TTD="Yes",'Effectiveness settings'!BU282=2,'Effectiveness settings'!BX282=2),2,GT282)</f>
        <v>7</v>
      </c>
      <c r="GV282" s="58">
        <f t="shared" si="440"/>
        <v>7</v>
      </c>
      <c r="GW282" s="58">
        <f t="shared" si="441"/>
        <v>7</v>
      </c>
      <c r="GY282" s="58">
        <f>IF(AND(dd_CheckMate214_TTD="Yes",'Effectiveness settings'!BU282=2,'Effectiveness settings'!BX282=2),1,GN282)</f>
        <v>1</v>
      </c>
      <c r="GZ282" s="58">
        <f t="shared" si="442"/>
        <v>1</v>
      </c>
      <c r="HB282" s="58">
        <f t="shared" si="443"/>
        <v>0</v>
      </c>
      <c r="HD282" s="58">
        <f t="shared" si="416"/>
        <v>0</v>
      </c>
      <c r="HE282" s="58">
        <f t="shared" si="417"/>
        <v>1</v>
      </c>
      <c r="HF282" s="58">
        <f t="shared" si="418"/>
        <v>7</v>
      </c>
      <c r="HG282" s="58">
        <f t="shared" si="419"/>
        <v>2</v>
      </c>
      <c r="HH282" s="58">
        <f t="shared" si="420"/>
        <v>1</v>
      </c>
    </row>
    <row r="283" spans="4:216" ht="15.75" x14ac:dyDescent="0.25">
      <c r="D283" s="58" t="str">
        <v>lenvatinib_plus_everolimus</v>
      </c>
      <c r="I283" s="64" t="s">
        <v>58</v>
      </c>
      <c r="J283" s="519" t="s">
        <v>552</v>
      </c>
      <c r="K283" s="524"/>
      <c r="L283" s="519"/>
      <c r="M283" s="516" t="s">
        <v>31</v>
      </c>
      <c r="N283" s="64" t="s">
        <v>546</v>
      </c>
      <c r="O283" s="64" t="s">
        <v>117</v>
      </c>
      <c r="P283" s="64" t="s">
        <v>547</v>
      </c>
      <c r="Q283" s="519" t="s">
        <v>552</v>
      </c>
      <c r="R283" s="516" t="s">
        <v>548</v>
      </c>
      <c r="S283" s="497"/>
      <c r="T283" s="497"/>
      <c r="U283" s="497"/>
      <c r="W283" s="58" t="str">
        <v>lenvatinib_plus_everolimus</v>
      </c>
      <c r="X283" s="64" t="s">
        <v>74</v>
      </c>
      <c r="Y283" s="519" t="s">
        <v>552</v>
      </c>
      <c r="Z283" s="524" t="s">
        <v>63</v>
      </c>
      <c r="AA283" s="519"/>
      <c r="AB283" s="516" t="s">
        <v>31</v>
      </c>
      <c r="AC283" s="64" t="s">
        <v>576</v>
      </c>
      <c r="AD283" s="64" t="s">
        <v>118</v>
      </c>
      <c r="AE283" s="64" t="s">
        <v>547</v>
      </c>
      <c r="AF283" s="519" t="s">
        <v>552</v>
      </c>
      <c r="AG283" s="516" t="s">
        <v>548</v>
      </c>
      <c r="AH283" s="497"/>
      <c r="AI283" s="497"/>
      <c r="AJ283" s="497"/>
      <c r="AL283" s="64" t="str">
        <f t="shared" si="444"/>
        <v>Yes</v>
      </c>
      <c r="AM283" s="519" t="s">
        <v>552</v>
      </c>
      <c r="AN283" s="524" t="s">
        <v>63</v>
      </c>
      <c r="AO283" s="519"/>
      <c r="AP283" s="516" t="s">
        <v>31</v>
      </c>
      <c r="AQ283" s="64" t="s">
        <v>577</v>
      </c>
      <c r="AR283" s="64" t="s">
        <v>118</v>
      </c>
      <c r="AS283" s="64" t="s">
        <v>547</v>
      </c>
      <c r="AT283" s="519" t="s">
        <v>552</v>
      </c>
      <c r="AU283" s="516" t="s">
        <v>548</v>
      </c>
      <c r="AV283" s="497"/>
      <c r="AW283" s="497"/>
      <c r="AX283" s="497"/>
      <c r="AZ283" s="64" t="str">
        <f t="shared" si="445"/>
        <v>Yes</v>
      </c>
      <c r="BA283" s="519" t="s">
        <v>552</v>
      </c>
      <c r="BB283" s="524" t="s">
        <v>578</v>
      </c>
      <c r="BC283" s="519" t="s">
        <v>547</v>
      </c>
      <c r="BD283" s="516" t="s">
        <v>31</v>
      </c>
      <c r="BE283" s="64" t="s">
        <v>577</v>
      </c>
      <c r="BF283" s="64" t="s">
        <v>333</v>
      </c>
      <c r="BG283" s="64" t="s">
        <v>547</v>
      </c>
      <c r="BH283" s="519" t="s">
        <v>552</v>
      </c>
      <c r="BI283" s="516" t="s">
        <v>548</v>
      </c>
      <c r="BJ283" s="497">
        <v>1.7410000000000001</v>
      </c>
      <c r="BK283" s="497">
        <v>1.208</v>
      </c>
      <c r="BL283" s="497">
        <v>2.5099999999999998</v>
      </c>
      <c r="BM283" s="58" t="s">
        <v>593</v>
      </c>
      <c r="BQ283" s="58">
        <f t="shared" si="423"/>
        <v>164</v>
      </c>
      <c r="BR283" s="61">
        <v>0</v>
      </c>
      <c r="BS283" s="61" t="s">
        <v>31</v>
      </c>
      <c r="BT283" s="17">
        <v>1</v>
      </c>
      <c r="BU283" s="17">
        <v>9</v>
      </c>
      <c r="BV283" s="17" t="str">
        <f t="shared" si="446"/>
        <v>lenvatinib_plus_everolimus</v>
      </c>
      <c r="BW283" s="1006" t="str" cm="1">
        <f t="array" ref="BW283">IF(I283="No",I283,INDEX(List_incl_anal_1L_all,IF(BU283=999,35,BU283+1)))</f>
        <v>No</v>
      </c>
      <c r="BX283" s="61">
        <f t="shared" si="447"/>
        <v>1</v>
      </c>
      <c r="BY283" s="531" t="str">
        <f t="shared" si="470"/>
        <v>Progression free survival</v>
      </c>
      <c r="BZ283" s="530">
        <f t="shared" si="448"/>
        <v>0</v>
      </c>
      <c r="CA283" s="531">
        <f t="shared" si="471"/>
        <v>0</v>
      </c>
      <c r="CB283" s="530">
        <f t="shared" si="449"/>
        <v>0</v>
      </c>
      <c r="CC283" s="530">
        <f t="shared" si="450"/>
        <v>1</v>
      </c>
      <c r="CD283" s="530">
        <f t="shared" si="451"/>
        <v>7</v>
      </c>
      <c r="CE283" s="1295">
        <f t="shared" si="452"/>
        <v>2</v>
      </c>
      <c r="CF283" s="1301">
        <f t="shared" si="453"/>
        <v>1</v>
      </c>
      <c r="CG283" s="530" t="str">
        <f t="shared" si="454"/>
        <v>Log-logistic</v>
      </c>
      <c r="CH283" s="61">
        <f t="shared" si="455"/>
        <v>0</v>
      </c>
      <c r="CI283" s="61">
        <f t="shared" si="456"/>
        <v>0</v>
      </c>
      <c r="CJ283" s="61">
        <f t="shared" si="457"/>
        <v>0</v>
      </c>
      <c r="DK283" s="58" t="str" cm="1">
        <f t="array" ref="DK283">IF(AND($BT283=4,$BX283=4,$BU283=999),$DB$36,_xlfn.IFNA(INDEX(DB$13:DB$70,MATCH(1,($BR283=$CV$13:$CV$70)*($BT283=$CX$13:$CX$70)*($CE283=$CY$13:$CY$70)*($BY283=$DA$13:$DA$70)*($CD283=$DH$13:$DH$70),0)),""))</f>
        <v>Log-logistic</v>
      </c>
      <c r="DL283" s="58" t="str" cm="1">
        <f t="array" ref="DL283">IF(AND($BT283=4,$BX283=4,$BU283=999),$DC$36,_xlfn.IFNA(INDEX(CHOOSE(DP283,DB$13:DB$70,DC$13:DC$70,DD$13:DD$70,DE$13:DE$70),MATCH(1,($BR283=$CV$13:$CV$70)*($BT283=$CX$13:$CX$70)*($CE283=$CY$13:$CY$70)*($BY283=$DA$13:$DA$70)*($CD283=$DH$13:$DH$70),0)),""))</f>
        <v>Log-logistic</v>
      </c>
      <c r="DM283" s="740" cm="1">
        <f t="array" ref="DM283">IF(AND($BT283=4,$BX283=4,$BU283=999),$DD$36,_xlfn.IFNA(INDEX(DD$13:DD$68,MATCH(1,($BR283=$CV$13:$CV$68)*($BT283=$CX$13:$CX$68)*($CE283=$CY$13:$CY$68)*($BY283=$DA$13:$DA$68)*($CD283=$DH$13:$DH$68),0)),""))</f>
        <v>0</v>
      </c>
      <c r="DN283" s="740" cm="1">
        <f t="array" ref="DN283">IF(AND($BT283=4,$BX283=4,$BU283=999),$DD$36,_xlfn.IFNA(INDEX(DE$13:DE$68,MATCH(1,($BR283=$CV$13:$CV$68)*($BT283=$CX$13:$CX$68)*($CE283=$CY$13:$CY$68)*($BY283=$DA$13:$DA$68)*($CD283=$DH$13:$DH$68),0)),""))</f>
        <v>0</v>
      </c>
      <c r="DO283" s="58" t="str" cm="1">
        <f t="array" ref="DO283">IF(AND($BT283=4,$BX283=4,$BU283=999),$DF$36,_xlfn.IFNA(INDEX(DF$13:DF$70,MATCH(1,($BR283=$CV$13:$CV$70)*($BT283=$CX$13:$CX$70)*($CE283=$CY$13:$CY$70)*($BY283=$DA$13:$DA$70)*($CD283=$DH$13:$DH$70),0)),""))</f>
        <v>Base case</v>
      </c>
      <c r="DP283" s="58">
        <f t="shared" si="424"/>
        <v>1</v>
      </c>
      <c r="DW283" s="58" t="s">
        <v>58</v>
      </c>
      <c r="DX283" s="58" t="s">
        <v>552</v>
      </c>
      <c r="DY283" s="58">
        <v>0</v>
      </c>
      <c r="DZ283" s="58">
        <v>0</v>
      </c>
      <c r="EB283" s="58">
        <v>0</v>
      </c>
      <c r="EC283" s="58">
        <v>1</v>
      </c>
      <c r="ED283" s="58">
        <v>7</v>
      </c>
      <c r="EE283" s="58">
        <v>2</v>
      </c>
      <c r="EF283" s="58">
        <v>1</v>
      </c>
      <c r="EI283" s="58" t="s">
        <v>58</v>
      </c>
      <c r="EJ283" s="58" t="s">
        <v>552</v>
      </c>
      <c r="EK283" s="58">
        <v>0</v>
      </c>
      <c r="EL283" s="58">
        <v>0</v>
      </c>
      <c r="EN283" s="58">
        <v>0</v>
      </c>
      <c r="EO283" s="58">
        <v>1</v>
      </c>
      <c r="EP283" s="58">
        <v>7</v>
      </c>
      <c r="EQ283" s="58">
        <v>0</v>
      </c>
      <c r="ER283" s="58">
        <v>1</v>
      </c>
      <c r="EU283" s="58" t="str">
        <f t="shared" si="458"/>
        <v>No</v>
      </c>
      <c r="EV283" s="58" t="str">
        <f t="shared" si="459"/>
        <v>Progression free survival</v>
      </c>
      <c r="EW283" s="58">
        <f t="shared" si="460"/>
        <v>0</v>
      </c>
      <c r="EX283" s="58">
        <f t="shared" si="461"/>
        <v>0</v>
      </c>
      <c r="EZ283" s="58">
        <f t="shared" si="462"/>
        <v>0</v>
      </c>
      <c r="FA283" s="58">
        <f t="shared" si="463"/>
        <v>1</v>
      </c>
      <c r="FB283" s="58">
        <f>IF(i_eff_inputs_based_on_num=2,ED283,(INDEX(Lists!$L$51:$L$85,MATCH(O283,Lists!$K$51:$K$85,0))))</f>
        <v>7</v>
      </c>
      <c r="FC283" s="58">
        <f>IF(i_eff_inputs_based_on_num=2,EE283,(INDEX(Lists!$L$51:$L$85,MATCH(P283,Lists!$K$51:$K$85,0))))</f>
        <v>2</v>
      </c>
      <c r="FD283" s="58">
        <f>IF(i_eff_inputs_based_on_num=2,EF283,(INDEX(Lists!$L$51:$L$85,MATCH(Q283,Lists!$K$51:$K$85,0))))</f>
        <v>1</v>
      </c>
      <c r="FG283" s="58" t="str">
        <f t="shared" si="464"/>
        <v>No</v>
      </c>
      <c r="FH283" s="58" t="str">
        <f t="shared" si="465"/>
        <v>Progression free survival</v>
      </c>
      <c r="FI283" s="58">
        <f t="shared" si="466"/>
        <v>0</v>
      </c>
      <c r="FJ283" s="58">
        <f t="shared" si="467"/>
        <v>0</v>
      </c>
      <c r="FL283" s="58">
        <f t="shared" si="468"/>
        <v>0</v>
      </c>
      <c r="FM283" s="58">
        <f t="shared" si="469"/>
        <v>1</v>
      </c>
      <c r="FN283" s="58">
        <f>IF(i_eff_inputs_based_on_num=2,EP283,(INDEX(Lists!$L$51:$L$85,MATCH(O283,Lists!$K$51:$K$85,0))))</f>
        <v>7</v>
      </c>
      <c r="FO283" s="58">
        <f>IF(i_eff_inputs_based_on_num=2,EQ283,(INDEX(Lists!$L$51:$L$85,MATCH(P283,Lists!$K$51:$K$85,0))))</f>
        <v>0</v>
      </c>
      <c r="FP283" s="58">
        <f>IF(i_eff_inputs_based_on_num=2,ER283,(INDEX(Lists!$L$51:$L$85,MATCH(Q283,Lists!$K$51:$K$85,0))))</f>
        <v>1</v>
      </c>
      <c r="FT283" s="58">
        <f t="shared" si="425"/>
        <v>0</v>
      </c>
      <c r="FW283" s="58">
        <f>IF(i_baseline_risk_from=2,'Effectiveness settings'!EW283,'Effectiveness settings'!FI283)</f>
        <v>0</v>
      </c>
      <c r="FX283" s="58">
        <f t="shared" si="426"/>
        <v>0</v>
      </c>
      <c r="FY283" s="58">
        <f t="shared" si="427"/>
        <v>0</v>
      </c>
      <c r="FZ283" s="58">
        <f t="shared" si="428"/>
        <v>0</v>
      </c>
      <c r="GA283" s="58">
        <f t="shared" si="429"/>
        <v>0</v>
      </c>
      <c r="GB283" s="58">
        <f t="shared" si="430"/>
        <v>0</v>
      </c>
      <c r="GC283" s="58">
        <f t="shared" si="431"/>
        <v>0</v>
      </c>
      <c r="GD283" s="58">
        <f t="shared" si="432"/>
        <v>0</v>
      </c>
      <c r="GE283" s="58">
        <f>IF(AND(dd_CheckMate214_TTD="Yes",'Effectiveness settings'!BU283=2,'Effectiveness settings'!BX283=2),"Apply HR to",GD283)</f>
        <v>0</v>
      </c>
      <c r="GF283" s="58">
        <f t="shared" si="433"/>
        <v>0</v>
      </c>
      <c r="GG283" s="58">
        <f t="shared" si="434"/>
        <v>0</v>
      </c>
      <c r="GH283" s="58">
        <f t="shared" si="435"/>
        <v>0</v>
      </c>
      <c r="GI283" s="58">
        <f t="shared" si="415"/>
        <v>0</v>
      </c>
      <c r="GK283" s="58">
        <f>IF(i_baseline_risk_from=2,'Effectiveness settings'!FA283,'Effectiveness settings'!FM283)</f>
        <v>1</v>
      </c>
      <c r="GL283" s="58">
        <f>IF(i_baseline_risk_from=2,'Effectiveness settings'!FB283,'Effectiveness settings'!FN283)</f>
        <v>7</v>
      </c>
      <c r="GM283" s="58">
        <f>IF(i_baseline_risk_from=2,'Effectiveness settings'!FC283,'Effectiveness settings'!FO283)</f>
        <v>2</v>
      </c>
      <c r="GN283" s="58">
        <f>IF(i_baseline_risk_from=2,'Effectiveness settings'!FD283,'Effectiveness settings'!FP283)</f>
        <v>1</v>
      </c>
      <c r="GQ283" s="58">
        <f t="shared" si="436"/>
        <v>7</v>
      </c>
      <c r="GR283" s="58">
        <f t="shared" si="437"/>
        <v>7</v>
      </c>
      <c r="GS283" s="58">
        <f t="shared" si="438"/>
        <v>7</v>
      </c>
      <c r="GT283" s="58">
        <f t="shared" si="439"/>
        <v>7</v>
      </c>
      <c r="GU283" s="58">
        <f>IF(AND(dd_CheckMate214_TTD="Yes",'Effectiveness settings'!BU283=2,'Effectiveness settings'!BX283=2),2,GT283)</f>
        <v>7</v>
      </c>
      <c r="GV283" s="58">
        <f t="shared" si="440"/>
        <v>7</v>
      </c>
      <c r="GW283" s="58">
        <f t="shared" si="441"/>
        <v>7</v>
      </c>
      <c r="GY283" s="58">
        <f>IF(AND(dd_CheckMate214_TTD="Yes",'Effectiveness settings'!BU283=2,'Effectiveness settings'!BX283=2),1,GN283)</f>
        <v>1</v>
      </c>
      <c r="GZ283" s="58">
        <f t="shared" si="442"/>
        <v>1</v>
      </c>
      <c r="HB283" s="58">
        <f t="shared" si="443"/>
        <v>0</v>
      </c>
      <c r="HD283" s="58">
        <f t="shared" si="416"/>
        <v>0</v>
      </c>
      <c r="HE283" s="58">
        <f t="shared" si="417"/>
        <v>1</v>
      </c>
      <c r="HF283" s="58">
        <f t="shared" si="418"/>
        <v>7</v>
      </c>
      <c r="HG283" s="58">
        <f t="shared" si="419"/>
        <v>2</v>
      </c>
      <c r="HH283" s="58">
        <f t="shared" si="420"/>
        <v>1</v>
      </c>
    </row>
    <row r="284" spans="4:216" ht="15.75" x14ac:dyDescent="0.25">
      <c r="D284" s="58" t="str">
        <v>everolimus</v>
      </c>
      <c r="I284" s="64" t="s">
        <v>58</v>
      </c>
      <c r="J284" s="519" t="s">
        <v>552</v>
      </c>
      <c r="K284" s="524"/>
      <c r="L284" s="519"/>
      <c r="M284" s="516" t="s">
        <v>31</v>
      </c>
      <c r="N284" s="64" t="s">
        <v>546</v>
      </c>
      <c r="O284" s="64" t="s">
        <v>117</v>
      </c>
      <c r="P284" s="64" t="s">
        <v>547</v>
      </c>
      <c r="Q284" s="519" t="s">
        <v>552</v>
      </c>
      <c r="R284" s="516" t="s">
        <v>548</v>
      </c>
      <c r="S284" s="497"/>
      <c r="T284" s="497"/>
      <c r="U284" s="497"/>
      <c r="W284" s="58" t="str">
        <v>everolimus</v>
      </c>
      <c r="X284" s="64" t="s">
        <v>74</v>
      </c>
      <c r="Y284" s="519" t="s">
        <v>552</v>
      </c>
      <c r="Z284" s="524" t="s">
        <v>63</v>
      </c>
      <c r="AA284" s="519"/>
      <c r="AB284" s="516" t="s">
        <v>31</v>
      </c>
      <c r="AC284" s="64" t="s">
        <v>576</v>
      </c>
      <c r="AD284" s="64" t="s">
        <v>118</v>
      </c>
      <c r="AE284" s="64" t="s">
        <v>547</v>
      </c>
      <c r="AF284" s="519" t="s">
        <v>552</v>
      </c>
      <c r="AG284" s="516" t="s">
        <v>548</v>
      </c>
      <c r="AH284" s="497"/>
      <c r="AI284" s="497"/>
      <c r="AJ284" s="497"/>
      <c r="AL284" s="64" t="str">
        <f t="shared" si="444"/>
        <v>Yes</v>
      </c>
      <c r="AM284" s="519" t="s">
        <v>552</v>
      </c>
      <c r="AN284" s="524" t="s">
        <v>63</v>
      </c>
      <c r="AO284" s="519"/>
      <c r="AP284" s="516" t="s">
        <v>31</v>
      </c>
      <c r="AQ284" s="64" t="s">
        <v>577</v>
      </c>
      <c r="AR284" s="64" t="s">
        <v>118</v>
      </c>
      <c r="AS284" s="64" t="s">
        <v>547</v>
      </c>
      <c r="AT284" s="519" t="s">
        <v>552</v>
      </c>
      <c r="AU284" s="516" t="s">
        <v>548</v>
      </c>
      <c r="AV284" s="497"/>
      <c r="AW284" s="497"/>
      <c r="AX284" s="497"/>
      <c r="AZ284" s="64" t="str">
        <f t="shared" si="445"/>
        <v>Yes</v>
      </c>
      <c r="BA284" s="519" t="s">
        <v>552</v>
      </c>
      <c r="BB284" s="524" t="s">
        <v>578</v>
      </c>
      <c r="BC284" s="519" t="s">
        <v>547</v>
      </c>
      <c r="BD284" s="516" t="s">
        <v>31</v>
      </c>
      <c r="BE284" s="64" t="s">
        <v>577</v>
      </c>
      <c r="BF284" s="64" t="s">
        <v>119</v>
      </c>
      <c r="BG284" s="64" t="s">
        <v>547</v>
      </c>
      <c r="BH284" s="519" t="s">
        <v>552</v>
      </c>
      <c r="BI284" s="516" t="s">
        <v>548</v>
      </c>
      <c r="BJ284" s="497">
        <v>1.7410000000000001</v>
      </c>
      <c r="BK284" s="497">
        <v>1.208</v>
      </c>
      <c r="BL284" s="497">
        <v>2.5099999999999998</v>
      </c>
      <c r="BM284" s="58" t="s">
        <v>594</v>
      </c>
      <c r="BQ284" s="58">
        <f t="shared" si="423"/>
        <v>165</v>
      </c>
      <c r="BR284" s="61">
        <v>0</v>
      </c>
      <c r="BS284" s="61" t="s">
        <v>31</v>
      </c>
      <c r="BT284" s="17">
        <v>1</v>
      </c>
      <c r="BU284" s="17">
        <v>10</v>
      </c>
      <c r="BV284" s="17" t="str">
        <f t="shared" si="446"/>
        <v>everolimus</v>
      </c>
      <c r="BW284" s="1006" t="str" cm="1">
        <f t="array" ref="BW284">IF(I284="No",I284,INDEX(List_incl_anal_1L_all,IF(BU284=999,35,BU284+1)))</f>
        <v>No</v>
      </c>
      <c r="BX284" s="61">
        <f t="shared" si="447"/>
        <v>1</v>
      </c>
      <c r="BY284" s="531" t="str">
        <f t="shared" si="470"/>
        <v>Progression free survival</v>
      </c>
      <c r="BZ284" s="530">
        <f t="shared" si="448"/>
        <v>0</v>
      </c>
      <c r="CA284" s="531">
        <f t="shared" si="471"/>
        <v>0</v>
      </c>
      <c r="CB284" s="530">
        <f t="shared" si="449"/>
        <v>0</v>
      </c>
      <c r="CC284" s="530">
        <f t="shared" si="450"/>
        <v>1</v>
      </c>
      <c r="CD284" s="530">
        <f t="shared" si="451"/>
        <v>7</v>
      </c>
      <c r="CE284" s="1295">
        <f t="shared" si="452"/>
        <v>2</v>
      </c>
      <c r="CF284" s="1301">
        <f t="shared" si="453"/>
        <v>1</v>
      </c>
      <c r="CG284" s="530" t="str">
        <f t="shared" si="454"/>
        <v>Log-logistic</v>
      </c>
      <c r="CH284" s="61">
        <f t="shared" si="455"/>
        <v>0</v>
      </c>
      <c r="CI284" s="61">
        <f t="shared" si="456"/>
        <v>0</v>
      </c>
      <c r="CJ284" s="61">
        <f t="shared" si="457"/>
        <v>0</v>
      </c>
      <c r="DK284" s="58" t="str" cm="1">
        <f t="array" ref="DK284">IF(AND($BT284=4,$BX284=4,$BU284=999),$DB$36,_xlfn.IFNA(INDEX(DB$13:DB$70,MATCH(1,($BR284=$CV$13:$CV$70)*($BT284=$CX$13:$CX$70)*($CE284=$CY$13:$CY$70)*($BY284=$DA$13:$DA$70)*($CD284=$DH$13:$DH$70),0)),""))</f>
        <v>Log-logistic</v>
      </c>
      <c r="DL284" s="58" t="str" cm="1">
        <f t="array" ref="DL284">IF(AND($BT284=4,$BX284=4,$BU284=999),$DC$36,_xlfn.IFNA(INDEX(CHOOSE(DP284,DB$13:DB$70,DC$13:DC$70,DD$13:DD$70,DE$13:DE$70),MATCH(1,($BR284=$CV$13:$CV$70)*($BT284=$CX$13:$CX$70)*($CE284=$CY$13:$CY$70)*($BY284=$DA$13:$DA$70)*($CD284=$DH$13:$DH$70),0)),""))</f>
        <v>Log-logistic</v>
      </c>
      <c r="DM284" s="740" cm="1">
        <f t="array" ref="DM284">IF(AND($BT284=4,$BX284=4,$BU284=999),$DD$36,_xlfn.IFNA(INDEX(DD$13:DD$68,MATCH(1,($BR284=$CV$13:$CV$68)*($BT284=$CX$13:$CX$68)*($CE284=$CY$13:$CY$68)*($BY284=$DA$13:$DA$68)*($CD284=$DH$13:$DH$68),0)),""))</f>
        <v>0</v>
      </c>
      <c r="DN284" s="740" cm="1">
        <f t="array" ref="DN284">IF(AND($BT284=4,$BX284=4,$BU284=999),$DD$36,_xlfn.IFNA(INDEX(DE$13:DE$68,MATCH(1,($BR284=$CV$13:$CV$68)*($BT284=$CX$13:$CX$68)*($CE284=$CY$13:$CY$68)*($BY284=$DA$13:$DA$68)*($CD284=$DH$13:$DH$68),0)),""))</f>
        <v>0</v>
      </c>
      <c r="DO284" s="58" t="str" cm="1">
        <f t="array" ref="DO284">IF(AND($BT284=4,$BX284=4,$BU284=999),$DF$36,_xlfn.IFNA(INDEX(DF$13:DF$70,MATCH(1,($BR284=$CV$13:$CV$70)*($BT284=$CX$13:$CX$70)*($CE284=$CY$13:$CY$70)*($BY284=$DA$13:$DA$70)*($CD284=$DH$13:$DH$70),0)),""))</f>
        <v>Base case</v>
      </c>
      <c r="DP284" s="58">
        <f t="shared" si="424"/>
        <v>1</v>
      </c>
      <c r="DW284" s="58" t="s">
        <v>58</v>
      </c>
      <c r="DX284" s="58" t="s">
        <v>552</v>
      </c>
      <c r="DY284" s="58">
        <v>0</v>
      </c>
      <c r="DZ284" s="58">
        <v>0</v>
      </c>
      <c r="EB284" s="58">
        <v>0</v>
      </c>
      <c r="EC284" s="58">
        <v>1</v>
      </c>
      <c r="ED284" s="58">
        <v>7</v>
      </c>
      <c r="EE284" s="58">
        <v>2</v>
      </c>
      <c r="EF284" s="58">
        <v>1</v>
      </c>
      <c r="EI284" s="58" t="s">
        <v>58</v>
      </c>
      <c r="EJ284" s="58" t="s">
        <v>552</v>
      </c>
      <c r="EK284" s="58">
        <v>0</v>
      </c>
      <c r="EL284" s="58">
        <v>0</v>
      </c>
      <c r="EN284" s="58">
        <v>0</v>
      </c>
      <c r="EO284" s="58">
        <v>1</v>
      </c>
      <c r="EP284" s="58">
        <v>7</v>
      </c>
      <c r="EQ284" s="58">
        <v>0</v>
      </c>
      <c r="ER284" s="58">
        <v>1</v>
      </c>
      <c r="EU284" s="58" t="str">
        <f t="shared" si="458"/>
        <v>No</v>
      </c>
      <c r="EV284" s="58" t="str">
        <f t="shared" si="459"/>
        <v>Progression free survival</v>
      </c>
      <c r="EW284" s="58">
        <f t="shared" si="460"/>
        <v>0</v>
      </c>
      <c r="EX284" s="58">
        <f t="shared" si="461"/>
        <v>0</v>
      </c>
      <c r="EZ284" s="58">
        <f t="shared" si="462"/>
        <v>0</v>
      </c>
      <c r="FA284" s="58">
        <f t="shared" si="463"/>
        <v>1</v>
      </c>
      <c r="FB284" s="58">
        <f>IF(i_eff_inputs_based_on_num=2,ED284,(INDEX(Lists!$L$51:$L$85,MATCH(O284,Lists!$K$51:$K$85,0))))</f>
        <v>7</v>
      </c>
      <c r="FC284" s="58">
        <f>IF(i_eff_inputs_based_on_num=2,EE284,(INDEX(Lists!$L$51:$L$85,MATCH(P284,Lists!$K$51:$K$85,0))))</f>
        <v>2</v>
      </c>
      <c r="FD284" s="58">
        <f>IF(i_eff_inputs_based_on_num=2,EF284,(INDEX(Lists!$L$51:$L$85,MATCH(Q284,Lists!$K$51:$K$85,0))))</f>
        <v>1</v>
      </c>
      <c r="FG284" s="58" t="str">
        <f t="shared" si="464"/>
        <v>No</v>
      </c>
      <c r="FH284" s="58" t="str">
        <f t="shared" si="465"/>
        <v>Progression free survival</v>
      </c>
      <c r="FI284" s="58">
        <f t="shared" si="466"/>
        <v>0</v>
      </c>
      <c r="FJ284" s="58">
        <f t="shared" si="467"/>
        <v>0</v>
      </c>
      <c r="FL284" s="58">
        <f t="shared" si="468"/>
        <v>0</v>
      </c>
      <c r="FM284" s="58">
        <f t="shared" si="469"/>
        <v>1</v>
      </c>
      <c r="FN284" s="58">
        <f>IF(i_eff_inputs_based_on_num=2,EP284,(INDEX(Lists!$L$51:$L$85,MATCH(O284,Lists!$K$51:$K$85,0))))</f>
        <v>7</v>
      </c>
      <c r="FO284" s="58">
        <f>IF(i_eff_inputs_based_on_num=2,EQ284,(INDEX(Lists!$L$51:$L$85,MATCH(P284,Lists!$K$51:$K$85,0))))</f>
        <v>0</v>
      </c>
      <c r="FP284" s="58">
        <f>IF(i_eff_inputs_based_on_num=2,ER284,(INDEX(Lists!$L$51:$L$85,MATCH(Q284,Lists!$K$51:$K$85,0))))</f>
        <v>1</v>
      </c>
      <c r="FT284" s="58">
        <f t="shared" si="425"/>
        <v>0</v>
      </c>
      <c r="FW284" s="58">
        <f>IF(i_baseline_risk_from=2,'Effectiveness settings'!EW284,'Effectiveness settings'!FI284)</f>
        <v>0</v>
      </c>
      <c r="FX284" s="58">
        <f t="shared" si="426"/>
        <v>0</v>
      </c>
      <c r="FY284" s="58">
        <f t="shared" si="427"/>
        <v>0</v>
      </c>
      <c r="FZ284" s="58">
        <f t="shared" si="428"/>
        <v>0</v>
      </c>
      <c r="GA284" s="58">
        <f t="shared" si="429"/>
        <v>0</v>
      </c>
      <c r="GB284" s="58">
        <f t="shared" si="430"/>
        <v>0</v>
      </c>
      <c r="GC284" s="58">
        <f t="shared" si="431"/>
        <v>0</v>
      </c>
      <c r="GD284" s="58">
        <f t="shared" si="432"/>
        <v>0</v>
      </c>
      <c r="GE284" s="58">
        <f>IF(AND(dd_CheckMate214_TTD="Yes",'Effectiveness settings'!BU284=2,'Effectiveness settings'!BX284=2),"Apply HR to",GD284)</f>
        <v>0</v>
      </c>
      <c r="GF284" s="58">
        <f t="shared" si="433"/>
        <v>0</v>
      </c>
      <c r="GG284" s="58">
        <f t="shared" si="434"/>
        <v>0</v>
      </c>
      <c r="GH284" s="58">
        <f t="shared" si="435"/>
        <v>0</v>
      </c>
      <c r="GI284" s="58">
        <f t="shared" si="415"/>
        <v>0</v>
      </c>
      <c r="GK284" s="58">
        <f>IF(i_baseline_risk_from=2,'Effectiveness settings'!FA284,'Effectiveness settings'!FM284)</f>
        <v>1</v>
      </c>
      <c r="GL284" s="58">
        <f>IF(i_baseline_risk_from=2,'Effectiveness settings'!FB284,'Effectiveness settings'!FN284)</f>
        <v>7</v>
      </c>
      <c r="GM284" s="58">
        <f>IF(i_baseline_risk_from=2,'Effectiveness settings'!FC284,'Effectiveness settings'!FO284)</f>
        <v>2</v>
      </c>
      <c r="GN284" s="58">
        <f>IF(i_baseline_risk_from=2,'Effectiveness settings'!FD284,'Effectiveness settings'!FP284)</f>
        <v>1</v>
      </c>
      <c r="GQ284" s="58">
        <f t="shared" si="436"/>
        <v>7</v>
      </c>
      <c r="GR284" s="58">
        <f t="shared" si="437"/>
        <v>7</v>
      </c>
      <c r="GS284" s="58">
        <f t="shared" si="438"/>
        <v>7</v>
      </c>
      <c r="GT284" s="58">
        <f t="shared" si="439"/>
        <v>7</v>
      </c>
      <c r="GU284" s="58">
        <f>IF(AND(dd_CheckMate214_TTD="Yes",'Effectiveness settings'!BU284=2,'Effectiveness settings'!BX284=2),2,GT284)</f>
        <v>7</v>
      </c>
      <c r="GV284" s="58">
        <f t="shared" si="440"/>
        <v>7</v>
      </c>
      <c r="GW284" s="58">
        <f t="shared" si="441"/>
        <v>7</v>
      </c>
      <c r="GY284" s="58">
        <f>IF(AND(dd_CheckMate214_TTD="Yes",'Effectiveness settings'!BU284=2,'Effectiveness settings'!BX284=2),1,GN284)</f>
        <v>1</v>
      </c>
      <c r="GZ284" s="58">
        <f t="shared" si="442"/>
        <v>1</v>
      </c>
      <c r="HB284" s="58">
        <f t="shared" si="443"/>
        <v>0</v>
      </c>
      <c r="HD284" s="58">
        <f t="shared" si="416"/>
        <v>0</v>
      </c>
      <c r="HE284" s="58">
        <f t="shared" si="417"/>
        <v>1</v>
      </c>
      <c r="HF284" s="58">
        <f t="shared" si="418"/>
        <v>7</v>
      </c>
      <c r="HG284" s="58">
        <f t="shared" si="419"/>
        <v>2</v>
      </c>
      <c r="HH284" s="58">
        <f t="shared" si="420"/>
        <v>1</v>
      </c>
    </row>
    <row r="285" spans="4:216" ht="15.75" x14ac:dyDescent="0.25">
      <c r="D285" s="58" t="str">
        <v>axitinib</v>
      </c>
      <c r="I285" s="64" t="s">
        <v>58</v>
      </c>
      <c r="J285" s="519" t="s">
        <v>552</v>
      </c>
      <c r="K285" s="524"/>
      <c r="L285" s="519"/>
      <c r="M285" s="516" t="s">
        <v>31</v>
      </c>
      <c r="N285" s="64" t="s">
        <v>546</v>
      </c>
      <c r="O285" s="64" t="s">
        <v>117</v>
      </c>
      <c r="P285" s="64" t="s">
        <v>547</v>
      </c>
      <c r="Q285" s="519" t="s">
        <v>552</v>
      </c>
      <c r="R285" s="516" t="s">
        <v>548</v>
      </c>
      <c r="S285" s="497"/>
      <c r="T285" s="497"/>
      <c r="U285" s="497"/>
      <c r="W285" s="58" t="str">
        <v>axitinib</v>
      </c>
      <c r="X285" s="64" t="s">
        <v>74</v>
      </c>
      <c r="Y285" s="519" t="s">
        <v>552</v>
      </c>
      <c r="Z285" s="524" t="s">
        <v>63</v>
      </c>
      <c r="AA285" s="519"/>
      <c r="AB285" s="516" t="s">
        <v>31</v>
      </c>
      <c r="AC285" s="64" t="s">
        <v>576</v>
      </c>
      <c r="AD285" s="64" t="s">
        <v>118</v>
      </c>
      <c r="AE285" s="64" t="s">
        <v>547</v>
      </c>
      <c r="AF285" s="519" t="s">
        <v>552</v>
      </c>
      <c r="AG285" s="516" t="s">
        <v>548</v>
      </c>
      <c r="AH285" s="497"/>
      <c r="AI285" s="497"/>
      <c r="AJ285" s="497"/>
      <c r="AL285" s="64" t="str">
        <f t="shared" si="444"/>
        <v>Yes</v>
      </c>
      <c r="AM285" s="519" t="s">
        <v>552</v>
      </c>
      <c r="AN285" s="524" t="s">
        <v>63</v>
      </c>
      <c r="AO285" s="519"/>
      <c r="AP285" s="516" t="s">
        <v>31</v>
      </c>
      <c r="AQ285" s="64" t="s">
        <v>577</v>
      </c>
      <c r="AR285" s="64" t="s">
        <v>118</v>
      </c>
      <c r="AS285" s="64" t="s">
        <v>547</v>
      </c>
      <c r="AT285" s="519" t="s">
        <v>552</v>
      </c>
      <c r="AU285" s="516" t="s">
        <v>548</v>
      </c>
      <c r="AV285" s="497"/>
      <c r="AW285" s="497"/>
      <c r="AX285" s="497"/>
      <c r="AZ285" s="64" t="str">
        <f t="shared" si="445"/>
        <v>Yes</v>
      </c>
      <c r="BA285" s="519" t="s">
        <v>552</v>
      </c>
      <c r="BB285" s="524" t="s">
        <v>578</v>
      </c>
      <c r="BC285" s="519" t="s">
        <v>547</v>
      </c>
      <c r="BD285" s="516" t="s">
        <v>31</v>
      </c>
      <c r="BE285" s="64" t="s">
        <v>577</v>
      </c>
      <c r="BF285" s="64" t="s">
        <v>327</v>
      </c>
      <c r="BG285" s="64" t="s">
        <v>547</v>
      </c>
      <c r="BH285" s="519" t="s">
        <v>552</v>
      </c>
      <c r="BI285" s="516" t="s">
        <v>548</v>
      </c>
      <c r="BJ285" s="497">
        <v>1.7410000000000001</v>
      </c>
      <c r="BK285" s="497">
        <v>1.208</v>
      </c>
      <c r="BL285" s="497">
        <v>2.5099999999999998</v>
      </c>
      <c r="BM285" s="58" t="s">
        <v>595</v>
      </c>
      <c r="BQ285" s="58">
        <f t="shared" si="423"/>
        <v>166</v>
      </c>
      <c r="BR285" s="61">
        <v>0</v>
      </c>
      <c r="BS285" s="61" t="s">
        <v>31</v>
      </c>
      <c r="BT285" s="17">
        <v>1</v>
      </c>
      <c r="BU285" s="17">
        <v>11</v>
      </c>
      <c r="BV285" s="17" t="str">
        <f t="shared" si="446"/>
        <v>axitinib</v>
      </c>
      <c r="BW285" s="1006" t="str" cm="1">
        <f t="array" ref="BW285">IF(I285="No",I285,INDEX(List_incl_anal_1L_all,IF(BU285=999,35,BU285+1)))</f>
        <v>No</v>
      </c>
      <c r="BX285" s="61">
        <f t="shared" si="447"/>
        <v>1</v>
      </c>
      <c r="BY285" s="531" t="str">
        <f t="shared" si="470"/>
        <v>Progression free survival</v>
      </c>
      <c r="BZ285" s="530">
        <f t="shared" si="448"/>
        <v>0</v>
      </c>
      <c r="CA285" s="531">
        <f t="shared" si="471"/>
        <v>0</v>
      </c>
      <c r="CB285" s="530">
        <f t="shared" si="449"/>
        <v>0</v>
      </c>
      <c r="CC285" s="530">
        <f t="shared" si="450"/>
        <v>1</v>
      </c>
      <c r="CD285" s="530">
        <f t="shared" si="451"/>
        <v>7</v>
      </c>
      <c r="CE285" s="1295">
        <f t="shared" si="452"/>
        <v>2</v>
      </c>
      <c r="CF285" s="1301">
        <f t="shared" si="453"/>
        <v>1</v>
      </c>
      <c r="CG285" s="530" t="str">
        <f t="shared" si="454"/>
        <v>Log-logistic</v>
      </c>
      <c r="CH285" s="61">
        <f t="shared" si="455"/>
        <v>0</v>
      </c>
      <c r="CI285" s="61">
        <f t="shared" si="456"/>
        <v>0</v>
      </c>
      <c r="CJ285" s="61">
        <f t="shared" si="457"/>
        <v>0</v>
      </c>
      <c r="DK285" s="58" t="str" cm="1">
        <f t="array" ref="DK285">IF(AND($BT285=4,$BX285=4,$BU285=999),$DB$36,_xlfn.IFNA(INDEX(DB$13:DB$70,MATCH(1,($BR285=$CV$13:$CV$70)*($BT285=$CX$13:$CX$70)*($CE285=$CY$13:$CY$70)*($BY285=$DA$13:$DA$70)*($CD285=$DH$13:$DH$70),0)),""))</f>
        <v>Log-logistic</v>
      </c>
      <c r="DL285" s="58" t="str" cm="1">
        <f t="array" ref="DL285">IF(AND($BT285=4,$BX285=4,$BU285=999),$DC$36,_xlfn.IFNA(INDEX(CHOOSE(DP285,DB$13:DB$70,DC$13:DC$70,DD$13:DD$70,DE$13:DE$70),MATCH(1,($BR285=$CV$13:$CV$70)*($BT285=$CX$13:$CX$70)*($CE285=$CY$13:$CY$70)*($BY285=$DA$13:$DA$70)*($CD285=$DH$13:$DH$70),0)),""))</f>
        <v>Log-logistic</v>
      </c>
      <c r="DM285" s="740" cm="1">
        <f t="array" ref="DM285">IF(AND($BT285=4,$BX285=4,$BU285=999),$DD$36,_xlfn.IFNA(INDEX(DD$13:DD$68,MATCH(1,($BR285=$CV$13:$CV$68)*($BT285=$CX$13:$CX$68)*($CE285=$CY$13:$CY$68)*($BY285=$DA$13:$DA$68)*($CD285=$DH$13:$DH$68),0)),""))</f>
        <v>0</v>
      </c>
      <c r="DN285" s="740" cm="1">
        <f t="array" ref="DN285">IF(AND($BT285=4,$BX285=4,$BU285=999),$DD$36,_xlfn.IFNA(INDEX(DE$13:DE$68,MATCH(1,($BR285=$CV$13:$CV$68)*($BT285=$CX$13:$CX$68)*($CE285=$CY$13:$CY$68)*($BY285=$DA$13:$DA$68)*($CD285=$DH$13:$DH$68),0)),""))</f>
        <v>0</v>
      </c>
      <c r="DO285" s="58" t="str" cm="1">
        <f t="array" ref="DO285">IF(AND($BT285=4,$BX285=4,$BU285=999),$DF$36,_xlfn.IFNA(INDEX(DF$13:DF$70,MATCH(1,($BR285=$CV$13:$CV$70)*($BT285=$CX$13:$CX$70)*($CE285=$CY$13:$CY$70)*($BY285=$DA$13:$DA$70)*($CD285=$DH$13:$DH$70),0)),""))</f>
        <v>Base case</v>
      </c>
      <c r="DP285" s="58">
        <f t="shared" si="424"/>
        <v>1</v>
      </c>
      <c r="DW285" s="58" t="s">
        <v>58</v>
      </c>
      <c r="DX285" s="58" t="s">
        <v>552</v>
      </c>
      <c r="DY285" s="58">
        <v>0</v>
      </c>
      <c r="DZ285" s="58">
        <v>0</v>
      </c>
      <c r="EB285" s="58">
        <v>0</v>
      </c>
      <c r="EC285" s="58">
        <v>1</v>
      </c>
      <c r="ED285" s="58">
        <v>7</v>
      </c>
      <c r="EE285" s="58">
        <v>2</v>
      </c>
      <c r="EF285" s="58">
        <v>1</v>
      </c>
      <c r="EI285" s="58" t="s">
        <v>58</v>
      </c>
      <c r="EJ285" s="58" t="s">
        <v>552</v>
      </c>
      <c r="EK285" s="58">
        <v>0</v>
      </c>
      <c r="EL285" s="58">
        <v>0</v>
      </c>
      <c r="EN285" s="58">
        <v>0</v>
      </c>
      <c r="EO285" s="58">
        <v>1</v>
      </c>
      <c r="EP285" s="58">
        <v>7</v>
      </c>
      <c r="EQ285" s="58">
        <v>0</v>
      </c>
      <c r="ER285" s="58">
        <v>1</v>
      </c>
      <c r="EU285" s="58" t="str">
        <f t="shared" si="458"/>
        <v>No</v>
      </c>
      <c r="EV285" s="58" t="str">
        <f t="shared" si="459"/>
        <v>Progression free survival</v>
      </c>
      <c r="EW285" s="58">
        <f t="shared" si="460"/>
        <v>0</v>
      </c>
      <c r="EX285" s="58">
        <f t="shared" si="461"/>
        <v>0</v>
      </c>
      <c r="EZ285" s="58">
        <f t="shared" si="462"/>
        <v>0</v>
      </c>
      <c r="FA285" s="58">
        <f t="shared" si="463"/>
        <v>1</v>
      </c>
      <c r="FB285" s="58">
        <f>IF(i_eff_inputs_based_on_num=2,ED285,(INDEX(Lists!$L$51:$L$85,MATCH(O285,Lists!$K$51:$K$85,0))))</f>
        <v>7</v>
      </c>
      <c r="FC285" s="58">
        <f>IF(i_eff_inputs_based_on_num=2,EE285,(INDEX(Lists!$L$51:$L$85,MATCH(P285,Lists!$K$51:$K$85,0))))</f>
        <v>2</v>
      </c>
      <c r="FD285" s="58">
        <f>IF(i_eff_inputs_based_on_num=2,EF285,(INDEX(Lists!$L$51:$L$85,MATCH(Q285,Lists!$K$51:$K$85,0))))</f>
        <v>1</v>
      </c>
      <c r="FG285" s="58" t="str">
        <f t="shared" si="464"/>
        <v>No</v>
      </c>
      <c r="FH285" s="58" t="str">
        <f t="shared" si="465"/>
        <v>Progression free survival</v>
      </c>
      <c r="FI285" s="58">
        <f t="shared" si="466"/>
        <v>0</v>
      </c>
      <c r="FJ285" s="58">
        <f t="shared" si="467"/>
        <v>0</v>
      </c>
      <c r="FL285" s="58">
        <f t="shared" si="468"/>
        <v>0</v>
      </c>
      <c r="FM285" s="58">
        <f t="shared" si="469"/>
        <v>1</v>
      </c>
      <c r="FN285" s="58">
        <f>IF(i_eff_inputs_based_on_num=2,EP285,(INDEX(Lists!$L$51:$L$85,MATCH(O285,Lists!$K$51:$K$85,0))))</f>
        <v>7</v>
      </c>
      <c r="FO285" s="58">
        <f>IF(i_eff_inputs_based_on_num=2,EQ285,(INDEX(Lists!$L$51:$L$85,MATCH(P285,Lists!$K$51:$K$85,0))))</f>
        <v>0</v>
      </c>
      <c r="FP285" s="58">
        <f>IF(i_eff_inputs_based_on_num=2,ER285,(INDEX(Lists!$L$51:$L$85,MATCH(Q285,Lists!$K$51:$K$85,0))))</f>
        <v>1</v>
      </c>
      <c r="FT285" s="58">
        <f t="shared" si="425"/>
        <v>0</v>
      </c>
      <c r="FW285" s="58">
        <f>IF(i_baseline_risk_from=2,'Effectiveness settings'!EW285,'Effectiveness settings'!FI285)</f>
        <v>0</v>
      </c>
      <c r="FX285" s="58">
        <f t="shared" si="426"/>
        <v>0</v>
      </c>
      <c r="FY285" s="58">
        <f t="shared" si="427"/>
        <v>0</v>
      </c>
      <c r="FZ285" s="58">
        <f t="shared" si="428"/>
        <v>0</v>
      </c>
      <c r="GA285" s="58">
        <f t="shared" si="429"/>
        <v>0</v>
      </c>
      <c r="GB285" s="58">
        <f t="shared" si="430"/>
        <v>0</v>
      </c>
      <c r="GC285" s="58">
        <f t="shared" si="431"/>
        <v>0</v>
      </c>
      <c r="GD285" s="58">
        <f t="shared" si="432"/>
        <v>0</v>
      </c>
      <c r="GE285" s="58">
        <f>IF(AND(dd_CheckMate214_TTD="Yes",'Effectiveness settings'!BU285=2,'Effectiveness settings'!BX285=2),"Apply HR to",GD285)</f>
        <v>0</v>
      </c>
      <c r="GF285" s="58">
        <f t="shared" si="433"/>
        <v>0</v>
      </c>
      <c r="GG285" s="58">
        <f t="shared" si="434"/>
        <v>0</v>
      </c>
      <c r="GH285" s="58">
        <f t="shared" si="435"/>
        <v>0</v>
      </c>
      <c r="GI285" s="58">
        <f t="shared" si="415"/>
        <v>0</v>
      </c>
      <c r="GK285" s="58">
        <f>IF(i_baseline_risk_from=2,'Effectiveness settings'!FA285,'Effectiveness settings'!FM285)</f>
        <v>1</v>
      </c>
      <c r="GL285" s="58">
        <f>IF(i_baseline_risk_from=2,'Effectiveness settings'!FB285,'Effectiveness settings'!FN285)</f>
        <v>7</v>
      </c>
      <c r="GM285" s="58">
        <f>IF(i_baseline_risk_from=2,'Effectiveness settings'!FC285,'Effectiveness settings'!FO285)</f>
        <v>2</v>
      </c>
      <c r="GN285" s="58">
        <f>IF(i_baseline_risk_from=2,'Effectiveness settings'!FD285,'Effectiveness settings'!FP285)</f>
        <v>1</v>
      </c>
      <c r="GQ285" s="58">
        <f t="shared" si="436"/>
        <v>7</v>
      </c>
      <c r="GR285" s="58">
        <f t="shared" si="437"/>
        <v>7</v>
      </c>
      <c r="GS285" s="58">
        <f t="shared" si="438"/>
        <v>7</v>
      </c>
      <c r="GT285" s="58">
        <f t="shared" si="439"/>
        <v>7</v>
      </c>
      <c r="GU285" s="58">
        <f>IF(AND(dd_CheckMate214_TTD="Yes",'Effectiveness settings'!BU285=2,'Effectiveness settings'!BX285=2),2,GT285)</f>
        <v>7</v>
      </c>
      <c r="GV285" s="58">
        <f t="shared" si="440"/>
        <v>7</v>
      </c>
      <c r="GW285" s="58">
        <f t="shared" si="441"/>
        <v>7</v>
      </c>
      <c r="GY285" s="58">
        <f>IF(AND(dd_CheckMate214_TTD="Yes",'Effectiveness settings'!BU285=2,'Effectiveness settings'!BX285=2),1,GN285)</f>
        <v>1</v>
      </c>
      <c r="GZ285" s="58">
        <f t="shared" si="442"/>
        <v>1</v>
      </c>
      <c r="HB285" s="58">
        <f t="shared" si="443"/>
        <v>0</v>
      </c>
      <c r="HD285" s="58">
        <f t="shared" si="416"/>
        <v>0</v>
      </c>
      <c r="HE285" s="58">
        <f t="shared" si="417"/>
        <v>1</v>
      </c>
      <c r="HF285" s="58">
        <f t="shared" si="418"/>
        <v>7</v>
      </c>
      <c r="HG285" s="58">
        <f t="shared" si="419"/>
        <v>2</v>
      </c>
      <c r="HH285" s="58">
        <f t="shared" si="420"/>
        <v>1</v>
      </c>
    </row>
    <row r="286" spans="4:216" ht="15.75" x14ac:dyDescent="0.25">
      <c r="D286" s="58" t="str">
        <v>sorafenib</v>
      </c>
      <c r="I286" s="64" t="s">
        <v>58</v>
      </c>
      <c r="J286" s="519" t="s">
        <v>552</v>
      </c>
      <c r="K286" s="524"/>
      <c r="L286" s="519"/>
      <c r="M286" s="516" t="s">
        <v>31</v>
      </c>
      <c r="N286" s="64" t="s">
        <v>546</v>
      </c>
      <c r="O286" s="64" t="s">
        <v>117</v>
      </c>
      <c r="P286" s="64" t="s">
        <v>547</v>
      </c>
      <c r="Q286" s="519" t="s">
        <v>552</v>
      </c>
      <c r="R286" s="516" t="s">
        <v>548</v>
      </c>
      <c r="S286" s="497"/>
      <c r="T286" s="497"/>
      <c r="U286" s="497"/>
      <c r="W286" s="58" t="str">
        <v>sorafenib</v>
      </c>
      <c r="X286" s="64" t="s">
        <v>58</v>
      </c>
      <c r="Y286" s="519" t="s">
        <v>552</v>
      </c>
      <c r="Z286" s="524"/>
      <c r="AA286" s="519"/>
      <c r="AB286" s="516" t="s">
        <v>31</v>
      </c>
      <c r="AC286" s="64" t="s">
        <v>576</v>
      </c>
      <c r="AD286" s="64" t="s">
        <v>118</v>
      </c>
      <c r="AE286" s="64" t="s">
        <v>547</v>
      </c>
      <c r="AF286" s="519" t="s">
        <v>552</v>
      </c>
      <c r="AG286" s="516" t="s">
        <v>548</v>
      </c>
      <c r="AH286" s="497"/>
      <c r="AI286" s="497"/>
      <c r="AJ286" s="497"/>
      <c r="AL286" s="64" t="str">
        <f t="shared" si="444"/>
        <v>No</v>
      </c>
      <c r="AM286" s="519" t="s">
        <v>552</v>
      </c>
      <c r="AN286" s="524"/>
      <c r="AO286" s="519"/>
      <c r="AP286" s="516" t="s">
        <v>31</v>
      </c>
      <c r="AQ286" s="64" t="s">
        <v>577</v>
      </c>
      <c r="AR286" s="64" t="s">
        <v>118</v>
      </c>
      <c r="AS286" s="64" t="s">
        <v>547</v>
      </c>
      <c r="AT286" s="519" t="s">
        <v>552</v>
      </c>
      <c r="AU286" s="516" t="s">
        <v>548</v>
      </c>
      <c r="AV286" s="497"/>
      <c r="AW286" s="497"/>
      <c r="AX286" s="497"/>
      <c r="AZ286" s="64" t="str">
        <f t="shared" si="445"/>
        <v>No</v>
      </c>
      <c r="BA286" s="519" t="s">
        <v>552</v>
      </c>
      <c r="BB286" s="524"/>
      <c r="BC286" s="519"/>
      <c r="BD286" s="516" t="s">
        <v>31</v>
      </c>
      <c r="BE286" s="64" t="s">
        <v>565</v>
      </c>
      <c r="BF286" s="64" t="s">
        <v>588</v>
      </c>
      <c r="BG286" s="64" t="s">
        <v>547</v>
      </c>
      <c r="BH286" s="519" t="s">
        <v>552</v>
      </c>
      <c r="BI286" s="516" t="s">
        <v>548</v>
      </c>
      <c r="BJ286" s="497">
        <v>1</v>
      </c>
      <c r="BK286" s="497"/>
      <c r="BL286" s="497"/>
      <c r="BQ286" s="58">
        <f t="shared" si="423"/>
        <v>167</v>
      </c>
      <c r="BR286" s="61">
        <v>0</v>
      </c>
      <c r="BS286" s="61" t="s">
        <v>31</v>
      </c>
      <c r="BT286" s="17">
        <v>1</v>
      </c>
      <c r="BU286" s="17">
        <v>12</v>
      </c>
      <c r="BV286" s="17" t="str">
        <f t="shared" si="446"/>
        <v>sorafenib</v>
      </c>
      <c r="BW286" s="1006" t="str" cm="1">
        <f t="array" ref="BW286">IF(I286="No",I286,INDEX(List_incl_anal_1L_all,IF(BU286=999,35,BU286+1)))</f>
        <v>No</v>
      </c>
      <c r="BX286" s="61">
        <f t="shared" si="447"/>
        <v>1</v>
      </c>
      <c r="BY286" s="531" t="str">
        <f t="shared" si="470"/>
        <v>Progression free survival</v>
      </c>
      <c r="BZ286" s="530">
        <f t="shared" si="448"/>
        <v>0</v>
      </c>
      <c r="CA286" s="531">
        <f t="shared" si="471"/>
        <v>0</v>
      </c>
      <c r="CB286" s="530">
        <f t="shared" si="449"/>
        <v>0</v>
      </c>
      <c r="CC286" s="530">
        <f t="shared" si="450"/>
        <v>1</v>
      </c>
      <c r="CD286" s="530">
        <f t="shared" si="451"/>
        <v>7</v>
      </c>
      <c r="CE286" s="1295">
        <f t="shared" si="452"/>
        <v>2</v>
      </c>
      <c r="CF286" s="1301">
        <f t="shared" si="453"/>
        <v>1</v>
      </c>
      <c r="CG286" s="530" t="str">
        <f t="shared" si="454"/>
        <v>Log-logistic</v>
      </c>
      <c r="CH286" s="61">
        <f t="shared" si="455"/>
        <v>0</v>
      </c>
      <c r="CI286" s="61">
        <f t="shared" si="456"/>
        <v>0</v>
      </c>
      <c r="CJ286" s="61">
        <f t="shared" si="457"/>
        <v>0</v>
      </c>
      <c r="DK286" s="58" t="str" cm="1">
        <f t="array" ref="DK286">IF(AND($BT286=4,$BX286=4,$BU286=999),$DB$36,_xlfn.IFNA(INDEX(DB$13:DB$70,MATCH(1,($BR286=$CV$13:$CV$70)*($BT286=$CX$13:$CX$70)*($CE286=$CY$13:$CY$70)*($BY286=$DA$13:$DA$70)*($CD286=$DH$13:$DH$70),0)),""))</f>
        <v>Log-logistic</v>
      </c>
      <c r="DL286" s="58" t="str" cm="1">
        <f t="array" ref="DL286">IF(AND($BT286=4,$BX286=4,$BU286=999),$DC$36,_xlfn.IFNA(INDEX(CHOOSE(DP286,DB$13:DB$70,DC$13:DC$70,DD$13:DD$70,DE$13:DE$70),MATCH(1,($BR286=$CV$13:$CV$70)*($BT286=$CX$13:$CX$70)*($CE286=$CY$13:$CY$70)*($BY286=$DA$13:$DA$70)*($CD286=$DH$13:$DH$70),0)),""))</f>
        <v>Log-logistic</v>
      </c>
      <c r="DM286" s="740" cm="1">
        <f t="array" ref="DM286">IF(AND($BT286=4,$BX286=4,$BU286=999),$DD$36,_xlfn.IFNA(INDEX(DD$13:DD$68,MATCH(1,($BR286=$CV$13:$CV$68)*($BT286=$CX$13:$CX$68)*($CE286=$CY$13:$CY$68)*($BY286=$DA$13:$DA$68)*($CD286=$DH$13:$DH$68),0)),""))</f>
        <v>0</v>
      </c>
      <c r="DN286" s="740" cm="1">
        <f t="array" ref="DN286">IF(AND($BT286=4,$BX286=4,$BU286=999),$DD$36,_xlfn.IFNA(INDEX(DE$13:DE$68,MATCH(1,($BR286=$CV$13:$CV$68)*($BT286=$CX$13:$CX$68)*($CE286=$CY$13:$CY$68)*($BY286=$DA$13:$DA$68)*($CD286=$DH$13:$DH$68),0)),""))</f>
        <v>0</v>
      </c>
      <c r="DO286" s="58" t="str" cm="1">
        <f t="array" ref="DO286">IF(AND($BT286=4,$BX286=4,$BU286=999),$DF$36,_xlfn.IFNA(INDEX(DF$13:DF$70,MATCH(1,($BR286=$CV$13:$CV$70)*($BT286=$CX$13:$CX$70)*($CE286=$CY$13:$CY$70)*($BY286=$DA$13:$DA$70)*($CD286=$DH$13:$DH$70),0)),""))</f>
        <v>Base case</v>
      </c>
      <c r="DP286" s="58">
        <f t="shared" si="424"/>
        <v>1</v>
      </c>
      <c r="DW286" s="58" t="s">
        <v>58</v>
      </c>
      <c r="DX286" s="58" t="s">
        <v>552</v>
      </c>
      <c r="DY286" s="58">
        <v>0</v>
      </c>
      <c r="DZ286" s="58">
        <v>0</v>
      </c>
      <c r="EB286" s="58">
        <v>0</v>
      </c>
      <c r="EC286" s="58">
        <v>1</v>
      </c>
      <c r="ED286" s="58">
        <v>7</v>
      </c>
      <c r="EE286" s="58">
        <v>2</v>
      </c>
      <c r="EF286" s="58">
        <v>1</v>
      </c>
      <c r="EI286" s="58" t="s">
        <v>58</v>
      </c>
      <c r="EJ286" s="58" t="s">
        <v>552</v>
      </c>
      <c r="EK286" s="58">
        <v>0</v>
      </c>
      <c r="EL286" s="58">
        <v>0</v>
      </c>
      <c r="EN286" s="58">
        <v>0</v>
      </c>
      <c r="EO286" s="58">
        <v>1</v>
      </c>
      <c r="EP286" s="58">
        <v>7</v>
      </c>
      <c r="EQ286" s="58">
        <v>0</v>
      </c>
      <c r="ER286" s="58">
        <v>1</v>
      </c>
      <c r="EU286" s="58" t="str">
        <f t="shared" si="458"/>
        <v>No</v>
      </c>
      <c r="EV286" s="58" t="str">
        <f t="shared" si="459"/>
        <v>Progression free survival</v>
      </c>
      <c r="EW286" s="58">
        <f t="shared" si="460"/>
        <v>0</v>
      </c>
      <c r="EX286" s="58">
        <f t="shared" si="461"/>
        <v>0</v>
      </c>
      <c r="EZ286" s="58">
        <f t="shared" si="462"/>
        <v>0</v>
      </c>
      <c r="FA286" s="58">
        <f t="shared" si="463"/>
        <v>1</v>
      </c>
      <c r="FB286" s="58">
        <f>IF(i_eff_inputs_based_on_num=2,ED286,(INDEX(Lists!$L$51:$L$85,MATCH(O286,Lists!$K$51:$K$85,0))))</f>
        <v>7</v>
      </c>
      <c r="FC286" s="58">
        <f>IF(i_eff_inputs_based_on_num=2,EE286,(INDEX(Lists!$L$51:$L$85,MATCH(P286,Lists!$K$51:$K$85,0))))</f>
        <v>2</v>
      </c>
      <c r="FD286" s="58">
        <f>IF(i_eff_inputs_based_on_num=2,EF286,(INDEX(Lists!$L$51:$L$85,MATCH(Q286,Lists!$K$51:$K$85,0))))</f>
        <v>1</v>
      </c>
      <c r="FG286" s="58" t="str">
        <f t="shared" si="464"/>
        <v>No</v>
      </c>
      <c r="FH286" s="58" t="str">
        <f t="shared" si="465"/>
        <v>Progression free survival</v>
      </c>
      <c r="FI286" s="58">
        <f t="shared" si="466"/>
        <v>0</v>
      </c>
      <c r="FJ286" s="58">
        <f t="shared" si="467"/>
        <v>0</v>
      </c>
      <c r="FL286" s="58">
        <f t="shared" si="468"/>
        <v>0</v>
      </c>
      <c r="FM286" s="58">
        <f t="shared" si="469"/>
        <v>1</v>
      </c>
      <c r="FN286" s="58">
        <f>IF(i_eff_inputs_based_on_num=2,EP286,(INDEX(Lists!$L$51:$L$85,MATCH(O286,Lists!$K$51:$K$85,0))))</f>
        <v>7</v>
      </c>
      <c r="FO286" s="58">
        <f>IF(i_eff_inputs_based_on_num=2,EQ286,(INDEX(Lists!$L$51:$L$85,MATCH(P286,Lists!$K$51:$K$85,0))))</f>
        <v>0</v>
      </c>
      <c r="FP286" s="58">
        <f>IF(i_eff_inputs_based_on_num=2,ER286,(INDEX(Lists!$L$51:$L$85,MATCH(Q286,Lists!$K$51:$K$85,0))))</f>
        <v>1</v>
      </c>
      <c r="FT286" s="58">
        <f t="shared" si="425"/>
        <v>0</v>
      </c>
      <c r="FW286" s="58">
        <f>IF(i_baseline_risk_from=2,'Effectiveness settings'!EW286,'Effectiveness settings'!FI286)</f>
        <v>0</v>
      </c>
      <c r="FX286" s="58">
        <f t="shared" si="426"/>
        <v>0</v>
      </c>
      <c r="FY286" s="58">
        <f t="shared" si="427"/>
        <v>0</v>
      </c>
      <c r="FZ286" s="58">
        <f t="shared" si="428"/>
        <v>0</v>
      </c>
      <c r="GA286" s="58">
        <f t="shared" si="429"/>
        <v>0</v>
      </c>
      <c r="GB286" s="58">
        <f t="shared" si="430"/>
        <v>0</v>
      </c>
      <c r="GC286" s="58">
        <f t="shared" si="431"/>
        <v>0</v>
      </c>
      <c r="GD286" s="58">
        <f t="shared" si="432"/>
        <v>0</v>
      </c>
      <c r="GE286" s="58">
        <f>IF(AND(dd_CheckMate214_TTD="Yes",'Effectiveness settings'!BU286=2,'Effectiveness settings'!BX286=2),"Apply HR to",GD286)</f>
        <v>0</v>
      </c>
      <c r="GF286" s="58">
        <f t="shared" si="433"/>
        <v>0</v>
      </c>
      <c r="GG286" s="58">
        <f t="shared" si="434"/>
        <v>0</v>
      </c>
      <c r="GH286" s="58">
        <f t="shared" si="435"/>
        <v>0</v>
      </c>
      <c r="GI286" s="58">
        <f t="shared" si="415"/>
        <v>0</v>
      </c>
      <c r="GK286" s="58">
        <f>IF(i_baseline_risk_from=2,'Effectiveness settings'!FA286,'Effectiveness settings'!FM286)</f>
        <v>1</v>
      </c>
      <c r="GL286" s="58">
        <f>IF(i_baseline_risk_from=2,'Effectiveness settings'!FB286,'Effectiveness settings'!FN286)</f>
        <v>7</v>
      </c>
      <c r="GM286" s="58">
        <f>IF(i_baseline_risk_from=2,'Effectiveness settings'!FC286,'Effectiveness settings'!FO286)</f>
        <v>2</v>
      </c>
      <c r="GN286" s="58">
        <f>IF(i_baseline_risk_from=2,'Effectiveness settings'!FD286,'Effectiveness settings'!FP286)</f>
        <v>1</v>
      </c>
      <c r="GQ286" s="58">
        <f t="shared" si="436"/>
        <v>7</v>
      </c>
      <c r="GR286" s="58">
        <f t="shared" si="437"/>
        <v>7</v>
      </c>
      <c r="GS286" s="58">
        <f t="shared" si="438"/>
        <v>7</v>
      </c>
      <c r="GT286" s="58">
        <f t="shared" si="439"/>
        <v>7</v>
      </c>
      <c r="GU286" s="58">
        <f>IF(AND(dd_CheckMate214_TTD="Yes",'Effectiveness settings'!BU286=2,'Effectiveness settings'!BX286=2),2,GT286)</f>
        <v>7</v>
      </c>
      <c r="GV286" s="58">
        <f t="shared" si="440"/>
        <v>7</v>
      </c>
      <c r="GW286" s="58">
        <f t="shared" si="441"/>
        <v>7</v>
      </c>
      <c r="GY286" s="58">
        <f>IF(AND(dd_CheckMate214_TTD="Yes",'Effectiveness settings'!BU286=2,'Effectiveness settings'!BX286=2),1,GN286)</f>
        <v>1</v>
      </c>
      <c r="GZ286" s="58">
        <f t="shared" si="442"/>
        <v>1</v>
      </c>
      <c r="HB286" s="58">
        <f t="shared" si="443"/>
        <v>0</v>
      </c>
      <c r="HD286" s="58">
        <f t="shared" si="416"/>
        <v>0</v>
      </c>
      <c r="HE286" s="58">
        <f t="shared" si="417"/>
        <v>1</v>
      </c>
      <c r="HF286" s="58">
        <f t="shared" si="418"/>
        <v>7</v>
      </c>
      <c r="HG286" s="58">
        <f t="shared" si="419"/>
        <v>2</v>
      </c>
      <c r="HH286" s="58">
        <f t="shared" si="420"/>
        <v>1</v>
      </c>
    </row>
    <row r="287" spans="4:216" ht="15.75" x14ac:dyDescent="0.25">
      <c r="D287" s="58" t="str">
        <v>placebo_BSC</v>
      </c>
      <c r="I287" s="64" t="s">
        <v>58</v>
      </c>
      <c r="J287" s="519" t="s">
        <v>552</v>
      </c>
      <c r="K287" s="524"/>
      <c r="L287" s="519"/>
      <c r="M287" s="516" t="s">
        <v>31</v>
      </c>
      <c r="N287" s="64" t="s">
        <v>546</v>
      </c>
      <c r="O287" s="64" t="s">
        <v>117</v>
      </c>
      <c r="P287" s="64" t="s">
        <v>547</v>
      </c>
      <c r="Q287" s="519" t="s">
        <v>552</v>
      </c>
      <c r="R287" s="516" t="s">
        <v>548</v>
      </c>
      <c r="S287" s="497"/>
      <c r="T287" s="497"/>
      <c r="U287" s="497"/>
      <c r="W287" s="58" t="str">
        <v>placebo_BSC</v>
      </c>
      <c r="X287" s="64" t="s">
        <v>58</v>
      </c>
      <c r="Y287" s="519" t="s">
        <v>552</v>
      </c>
      <c r="Z287" s="524" t="s">
        <v>63</v>
      </c>
      <c r="AA287" s="519"/>
      <c r="AB287" s="516" t="s">
        <v>31</v>
      </c>
      <c r="AC287" s="64" t="s">
        <v>576</v>
      </c>
      <c r="AD287" s="64" t="s">
        <v>118</v>
      </c>
      <c r="AE287" s="64" t="s">
        <v>547</v>
      </c>
      <c r="AF287" s="519" t="s">
        <v>552</v>
      </c>
      <c r="AG287" s="516" t="s">
        <v>548</v>
      </c>
      <c r="AH287" s="497"/>
      <c r="AI287" s="497"/>
      <c r="AJ287" s="497"/>
      <c r="AL287" s="64" t="str">
        <f t="shared" si="444"/>
        <v>No</v>
      </c>
      <c r="AM287" s="519" t="s">
        <v>552</v>
      </c>
      <c r="AN287" s="524" t="s">
        <v>63</v>
      </c>
      <c r="AO287" s="519"/>
      <c r="AP287" s="516" t="s">
        <v>31</v>
      </c>
      <c r="AQ287" s="64" t="s">
        <v>577</v>
      </c>
      <c r="AR287" s="64" t="s">
        <v>118</v>
      </c>
      <c r="AS287" s="64" t="s">
        <v>547</v>
      </c>
      <c r="AT287" s="519" t="s">
        <v>552</v>
      </c>
      <c r="AU287" s="516" t="s">
        <v>548</v>
      </c>
      <c r="AV287" s="497"/>
      <c r="AW287" s="497"/>
      <c r="AX287" s="497"/>
      <c r="AZ287" s="64" t="str">
        <f t="shared" si="445"/>
        <v>No</v>
      </c>
      <c r="BA287" s="519" t="s">
        <v>552</v>
      </c>
      <c r="BB287" s="524"/>
      <c r="BC287" s="519"/>
      <c r="BD287" s="516" t="s">
        <v>31</v>
      </c>
      <c r="BE287" s="64" t="s">
        <v>565</v>
      </c>
      <c r="BF287" s="64" t="s">
        <v>118</v>
      </c>
      <c r="BG287" s="64" t="s">
        <v>547</v>
      </c>
      <c r="BH287" s="519" t="s">
        <v>552</v>
      </c>
      <c r="BI287" s="516" t="s">
        <v>548</v>
      </c>
      <c r="BJ287" s="497">
        <v>1</v>
      </c>
      <c r="BK287" s="497"/>
      <c r="BL287" s="497"/>
      <c r="BQ287" s="58">
        <f t="shared" si="423"/>
        <v>168</v>
      </c>
      <c r="BR287" s="61">
        <v>0</v>
      </c>
      <c r="BS287" s="61" t="s">
        <v>31</v>
      </c>
      <c r="BT287" s="17">
        <v>1</v>
      </c>
      <c r="BU287" s="17">
        <v>999</v>
      </c>
      <c r="BV287" s="17" t="str">
        <f t="shared" si="446"/>
        <v>placebo_BSC</v>
      </c>
      <c r="BW287" s="1006" t="str" cm="1">
        <f t="array" ref="BW287">IF(I287="No",I287,INDEX(List_incl_anal_1L_all,IF(BU287=999,35,BU287+1)))</f>
        <v>No</v>
      </c>
      <c r="BX287" s="61">
        <f t="shared" si="447"/>
        <v>1</v>
      </c>
      <c r="BY287" s="531" t="str">
        <f t="shared" si="470"/>
        <v>Progression free survival</v>
      </c>
      <c r="BZ287" s="530">
        <f t="shared" si="448"/>
        <v>0</v>
      </c>
      <c r="CA287" s="531">
        <f t="shared" si="471"/>
        <v>0</v>
      </c>
      <c r="CB287" s="530">
        <f t="shared" si="449"/>
        <v>0</v>
      </c>
      <c r="CC287" s="530">
        <f t="shared" si="450"/>
        <v>4</v>
      </c>
      <c r="CD287" s="530">
        <f t="shared" si="451"/>
        <v>999</v>
      </c>
      <c r="CE287" s="1295">
        <f t="shared" si="452"/>
        <v>2</v>
      </c>
      <c r="CF287" s="1301">
        <f t="shared" si="453"/>
        <v>4</v>
      </c>
      <c r="CG287" s="530" t="str">
        <f t="shared" si="454"/>
        <v/>
      </c>
      <c r="CH287" s="61">
        <f t="shared" si="455"/>
        <v>0</v>
      </c>
      <c r="CI287" s="61">
        <f t="shared" si="456"/>
        <v>0</v>
      </c>
      <c r="CJ287" s="61">
        <f t="shared" si="457"/>
        <v>0</v>
      </c>
      <c r="DK287" s="58" t="str" cm="1">
        <f t="array" ref="DK287">IF(AND($BT287=4,$BX287=4,$BU287=999),$DB$36,_xlfn.IFNA(INDEX(DB$13:DB$70,MATCH(1,($BR287=$CV$13:$CV$70)*($BT287=$CX$13:$CX$70)*($CE287=$CY$13:$CY$70)*($BY287=$DA$13:$DA$70)*($CD287=$DH$13:$DH$70),0)),""))</f>
        <v/>
      </c>
      <c r="DL287" s="58" t="str" cm="1">
        <f t="array" ref="DL287">IF(AND($BT287=4,$BX287=4,$BU287=999),$DC$36,_xlfn.IFNA(INDEX(CHOOSE(DP287,DB$13:DB$70,DC$13:DC$70,DD$13:DD$70,DE$13:DE$70),MATCH(1,($BR287=$CV$13:$CV$70)*($BT287=$CX$13:$CX$70)*($CE287=$CY$13:$CY$70)*($BY287=$DA$13:$DA$70)*($CD287=$DH$13:$DH$70),0)),""))</f>
        <v/>
      </c>
      <c r="DM287" s="740" t="str" cm="1">
        <f t="array" ref="DM287">IF(AND($BT287=4,$BX287=4,$BU287=999),$DD$36,_xlfn.IFNA(INDEX(DD$13:DD$68,MATCH(1,($BR287=$CV$13:$CV$68)*($BT287=$CX$13:$CX$68)*($CE287=$CY$13:$CY$68)*($BY287=$DA$13:$DA$68)*($CD287=$DH$13:$DH$68),0)),""))</f>
        <v/>
      </c>
      <c r="DN287" s="740" t="str" cm="1">
        <f t="array" ref="DN287">IF(AND($BT287=4,$BX287=4,$BU287=999),$DD$36,_xlfn.IFNA(INDEX(DE$13:DE$68,MATCH(1,($BR287=$CV$13:$CV$68)*($BT287=$CX$13:$CX$68)*($CE287=$CY$13:$CY$68)*($BY287=$DA$13:$DA$68)*($CD287=$DH$13:$DH$68),0)),""))</f>
        <v/>
      </c>
      <c r="DO287" s="58" t="str" cm="1">
        <f t="array" ref="DO287">IF(AND($BT287=4,$BX287=4,$BU287=999),$DF$36,_xlfn.IFNA(INDEX(DF$13:DF$70,MATCH(1,($BR287=$CV$13:$CV$70)*($BT287=$CX$13:$CX$70)*($CE287=$CY$13:$CY$70)*($BY287=$DA$13:$DA$70)*($CD287=$DH$13:$DH$70),0)),""))</f>
        <v/>
      </c>
      <c r="DP287" s="58" t="e">
        <f t="shared" si="424"/>
        <v>#N/A</v>
      </c>
      <c r="DW287" s="58" t="s">
        <v>58</v>
      </c>
      <c r="DX287" s="58" t="s">
        <v>552</v>
      </c>
      <c r="DY287" s="58">
        <v>0</v>
      </c>
      <c r="DZ287" s="58">
        <v>0</v>
      </c>
      <c r="EB287" s="58">
        <v>0</v>
      </c>
      <c r="EC287" s="58">
        <v>4</v>
      </c>
      <c r="ED287" s="58">
        <v>999</v>
      </c>
      <c r="EE287" s="58">
        <v>2</v>
      </c>
      <c r="EF287" s="58">
        <v>4</v>
      </c>
      <c r="EI287" s="58" t="s">
        <v>58</v>
      </c>
      <c r="EJ287" s="58" t="s">
        <v>552</v>
      </c>
      <c r="EK287" s="58">
        <v>0</v>
      </c>
      <c r="EL287" s="58">
        <v>0</v>
      </c>
      <c r="EN287" s="58">
        <v>0</v>
      </c>
      <c r="EO287" s="58">
        <v>4</v>
      </c>
      <c r="EP287" s="58">
        <v>999</v>
      </c>
      <c r="EQ287" s="58">
        <v>2</v>
      </c>
      <c r="ER287" s="58">
        <v>4</v>
      </c>
      <c r="EU287" s="58" t="str">
        <f t="shared" si="458"/>
        <v>No</v>
      </c>
      <c r="EV287" s="58" t="str">
        <f t="shared" si="459"/>
        <v>Progression free survival</v>
      </c>
      <c r="EW287" s="58">
        <f t="shared" si="460"/>
        <v>0</v>
      </c>
      <c r="EX287" s="58">
        <f t="shared" si="461"/>
        <v>0</v>
      </c>
      <c r="EZ287" s="58">
        <f t="shared" si="462"/>
        <v>0</v>
      </c>
      <c r="FA287" s="58">
        <f t="shared" si="463"/>
        <v>4</v>
      </c>
      <c r="FB287" s="58">
        <f>IF(i_eff_inputs_based_on_num=2,ED287,(INDEX(Lists!$L$51:$L$85,MATCH(O287,Lists!$K$51:$K$85,0))))</f>
        <v>999</v>
      </c>
      <c r="FC287" s="58">
        <f>IF(i_eff_inputs_based_on_num=2,EE287,(INDEX(Lists!$L$51:$L$85,MATCH(P287,Lists!$K$51:$K$85,0))))</f>
        <v>2</v>
      </c>
      <c r="FD287" s="58">
        <f>IF(i_eff_inputs_based_on_num=2,EF287,(INDEX(Lists!$L$51:$L$85,MATCH(Q287,Lists!$K$51:$K$85,0))))</f>
        <v>4</v>
      </c>
      <c r="FG287" s="58" t="str">
        <f t="shared" si="464"/>
        <v>No</v>
      </c>
      <c r="FH287" s="58" t="str">
        <f t="shared" si="465"/>
        <v>Progression free survival</v>
      </c>
      <c r="FI287" s="58">
        <f t="shared" si="466"/>
        <v>0</v>
      </c>
      <c r="FJ287" s="58">
        <f t="shared" si="467"/>
        <v>0</v>
      </c>
      <c r="FL287" s="58">
        <f t="shared" si="468"/>
        <v>0</v>
      </c>
      <c r="FM287" s="58">
        <f t="shared" si="469"/>
        <v>4</v>
      </c>
      <c r="FN287" s="58">
        <f>IF(i_eff_inputs_based_on_num=2,EP287,(INDEX(Lists!$L$51:$L$85,MATCH(O287,Lists!$K$51:$K$85,0))))</f>
        <v>999</v>
      </c>
      <c r="FO287" s="58">
        <f>IF(i_eff_inputs_based_on_num=2,EQ287,(INDEX(Lists!$L$51:$L$85,MATCH(P287,Lists!$K$51:$K$85,0))))</f>
        <v>2</v>
      </c>
      <c r="FP287" s="58">
        <f>IF(i_eff_inputs_based_on_num=2,ER287,(INDEX(Lists!$L$51:$L$85,MATCH(Q287,Lists!$K$51:$K$85,0))))</f>
        <v>4</v>
      </c>
      <c r="FT287" s="58">
        <f t="shared" si="425"/>
        <v>0</v>
      </c>
      <c r="FW287" s="58">
        <f>IF(i_baseline_risk_from=2,'Effectiveness settings'!EW287,'Effectiveness settings'!FI287)</f>
        <v>0</v>
      </c>
      <c r="FX287" s="58">
        <f t="shared" si="426"/>
        <v>0</v>
      </c>
      <c r="FY287" s="58">
        <f t="shared" si="427"/>
        <v>0</v>
      </c>
      <c r="FZ287" s="58">
        <f t="shared" si="428"/>
        <v>0</v>
      </c>
      <c r="GA287" s="58">
        <f t="shared" si="429"/>
        <v>0</v>
      </c>
      <c r="GB287" s="58">
        <f t="shared" si="430"/>
        <v>0</v>
      </c>
      <c r="GC287" s="58">
        <f t="shared" si="431"/>
        <v>0</v>
      </c>
      <c r="GD287" s="58">
        <f t="shared" si="432"/>
        <v>0</v>
      </c>
      <c r="GE287" s="58">
        <f>IF(AND(dd_CheckMate214_TTD="Yes",'Effectiveness settings'!BU287=2,'Effectiveness settings'!BX287=2),"Apply HR to",GD287)</f>
        <v>0</v>
      </c>
      <c r="GF287" s="58">
        <f t="shared" si="433"/>
        <v>0</v>
      </c>
      <c r="GG287" s="58">
        <f t="shared" si="434"/>
        <v>0</v>
      </c>
      <c r="GH287" s="58">
        <f t="shared" si="435"/>
        <v>0</v>
      </c>
      <c r="GI287" s="58">
        <f t="shared" si="415"/>
        <v>0</v>
      </c>
      <c r="GK287" s="58">
        <f>IF(i_baseline_risk_from=2,'Effectiveness settings'!FA287,'Effectiveness settings'!FM287)</f>
        <v>4</v>
      </c>
      <c r="GL287" s="58">
        <f>IF(i_baseline_risk_from=2,'Effectiveness settings'!FB287,'Effectiveness settings'!FN287)</f>
        <v>999</v>
      </c>
      <c r="GM287" s="58">
        <f>IF(i_baseline_risk_from=2,'Effectiveness settings'!FC287,'Effectiveness settings'!FO287)</f>
        <v>2</v>
      </c>
      <c r="GN287" s="58">
        <f>IF(i_baseline_risk_from=2,'Effectiveness settings'!FD287,'Effectiveness settings'!FP287)</f>
        <v>4</v>
      </c>
      <c r="GQ287" s="58">
        <f t="shared" si="436"/>
        <v>999</v>
      </c>
      <c r="GR287" s="58">
        <f t="shared" si="437"/>
        <v>999</v>
      </c>
      <c r="GS287" s="58">
        <f t="shared" si="438"/>
        <v>999</v>
      </c>
      <c r="GT287" s="58">
        <f t="shared" si="439"/>
        <v>999</v>
      </c>
      <c r="GU287" s="58">
        <f>IF(AND(dd_CheckMate214_TTD="Yes",'Effectiveness settings'!BU287=2,'Effectiveness settings'!BX287=2),2,GT287)</f>
        <v>999</v>
      </c>
      <c r="GV287" s="58">
        <f t="shared" si="440"/>
        <v>999</v>
      </c>
      <c r="GW287" s="58">
        <f t="shared" si="441"/>
        <v>999</v>
      </c>
      <c r="GY287" s="58">
        <f>IF(AND(dd_CheckMate214_TTD="Yes",'Effectiveness settings'!BU287=2,'Effectiveness settings'!BX287=2),1,GN287)</f>
        <v>4</v>
      </c>
      <c r="GZ287" s="58">
        <f t="shared" si="442"/>
        <v>4</v>
      </c>
      <c r="HB287" s="58">
        <f t="shared" si="443"/>
        <v>0</v>
      </c>
      <c r="HD287" s="58">
        <f t="shared" si="416"/>
        <v>0</v>
      </c>
      <c r="HE287" s="58">
        <f t="shared" si="417"/>
        <v>4</v>
      </c>
      <c r="HF287" s="58">
        <f t="shared" si="418"/>
        <v>999</v>
      </c>
      <c r="HG287" s="58">
        <f t="shared" si="419"/>
        <v>2</v>
      </c>
      <c r="HH287" s="58">
        <f t="shared" si="420"/>
        <v>4</v>
      </c>
    </row>
    <row r="288" spans="4:216" ht="15.75" x14ac:dyDescent="0.25">
      <c r="I288" s="67"/>
      <c r="J288" s="520"/>
      <c r="K288" s="525"/>
      <c r="L288" s="517"/>
      <c r="M288" s="496"/>
      <c r="N288" s="496"/>
      <c r="O288" s="496"/>
      <c r="P288" s="496"/>
      <c r="Q288" s="520"/>
      <c r="X288" s="1"/>
      <c r="Y288" s="625"/>
      <c r="Z288" s="1"/>
      <c r="AA288" s="626"/>
      <c r="AB288" s="4"/>
      <c r="AD288" s="4"/>
      <c r="AE288" s="4"/>
      <c r="AF288" s="625"/>
      <c r="AL288" s="1"/>
      <c r="AM288" s="625"/>
      <c r="AN288" s="67"/>
      <c r="AO288" s="517"/>
      <c r="AT288" s="625"/>
      <c r="AZ288" s="1"/>
      <c r="BA288" s="625"/>
      <c r="BB288" s="67"/>
      <c r="BC288" s="517"/>
      <c r="BH288" s="625"/>
      <c r="BQ288" s="58">
        <f t="shared" si="423"/>
        <v>168</v>
      </c>
      <c r="BR288" s="61"/>
      <c r="BS288" s="61"/>
      <c r="BT288" s="17"/>
      <c r="BU288" s="61"/>
      <c r="BV288" s="17"/>
      <c r="BW288" s="17"/>
      <c r="BX288" s="61"/>
      <c r="BY288" s="531"/>
      <c r="BZ288" s="530"/>
      <c r="CA288" s="531"/>
      <c r="CB288" s="530"/>
      <c r="CC288" s="530"/>
      <c r="CD288" s="530"/>
      <c r="CE288" s="1295"/>
      <c r="CF288" s="1301"/>
      <c r="CG288" s="530"/>
      <c r="CH288" s="61"/>
      <c r="CI288" s="61"/>
      <c r="CJ288" s="61"/>
      <c r="DK288" s="58" t="str" cm="1">
        <f t="array" ref="DK288">IF(AND($BT288=4,$BX288=4,$BU288=999),$DB$36,_xlfn.IFNA(INDEX(DB$13:DB$70,MATCH(1,($BR288=$CV$13:$CV$70)*($BT288=$CX$13:$CX$70)*($CE288=$CY$13:$CY$70)*($BY288=$DA$13:$DA$70)*($CD288=$DH$13:$DH$70),0)),""))</f>
        <v/>
      </c>
      <c r="DL288" s="58" t="str" cm="1">
        <f t="array" ref="DL288">IF(AND($BT288=4,$BX288=4,$BU288=999),$DC$36,_xlfn.IFNA(INDEX(CHOOSE(DP288,DB$13:DB$70,DC$13:DC$70,DD$13:DD$70,DE$13:DE$70),MATCH(1,($BR288=$CV$13:$CV$70)*($BT288=$CX$13:$CX$70)*($CE288=$CY$13:$CY$70)*($BY288=$DA$13:$DA$70)*($CD288=$DH$13:$DH$70),0)),""))</f>
        <v/>
      </c>
      <c r="DM288" s="740" t="str" cm="1">
        <f t="array" ref="DM288">IF(AND($BT288=4,$BX288=4,$BU288=999),$DD$36,_xlfn.IFNA(INDEX(DD$13:DD$68,MATCH(1,($BR288=$CV$13:$CV$68)*($BT288=$CX$13:$CX$68)*($CE288=$CY$13:$CY$68)*($BY288=$DA$13:$DA$68)*($CD288=$DH$13:$DH$68),0)),""))</f>
        <v/>
      </c>
      <c r="DN288" s="740" t="str" cm="1">
        <f t="array" ref="DN288">IF(AND($BT288=4,$BX288=4,$BU288=999),$DD$36,_xlfn.IFNA(INDEX(DE$13:DE$68,MATCH(1,($BR288=$CV$13:$CV$68)*($BT288=$CX$13:$CX$68)*($CE288=$CY$13:$CY$68)*($BY288=$DA$13:$DA$68)*($CD288=$DH$13:$DH$68),0)),""))</f>
        <v/>
      </c>
      <c r="DO288" s="58" t="str" cm="1">
        <f t="array" ref="DO288">IF(AND($BT288=4,$BX288=4,$BU288=999),$DF$36,_xlfn.IFNA(INDEX(DF$13:DF$70,MATCH(1,($BR288=$CV$13:$CV$70)*($BT288=$CX$13:$CX$70)*($CE288=$CY$13:$CY$70)*($BY288=$DA$13:$DA$70)*($CD288=$DH$13:$DH$70),0)),""))</f>
        <v/>
      </c>
      <c r="DP288" s="58" t="e">
        <f t="shared" si="424"/>
        <v>#N/A</v>
      </c>
      <c r="FT288" s="58">
        <f t="shared" si="425"/>
        <v>0</v>
      </c>
      <c r="FW288" s="58">
        <f>IF(i_baseline_risk_from=2,'Effectiveness settings'!EW288,'Effectiveness settings'!FI288)</f>
        <v>0</v>
      </c>
      <c r="FX288" s="58">
        <f t="shared" si="426"/>
        <v>0</v>
      </c>
      <c r="FY288" s="58">
        <f t="shared" si="427"/>
        <v>0</v>
      </c>
      <c r="FZ288" s="58">
        <f t="shared" si="428"/>
        <v>0</v>
      </c>
      <c r="GA288" s="58">
        <f t="shared" si="429"/>
        <v>0</v>
      </c>
      <c r="GB288" s="58">
        <f t="shared" si="430"/>
        <v>0</v>
      </c>
      <c r="GC288" s="58">
        <f t="shared" si="431"/>
        <v>0</v>
      </c>
      <c r="GD288" s="58">
        <f t="shared" si="432"/>
        <v>0</v>
      </c>
      <c r="GE288" s="58">
        <f>IF(AND(dd_CheckMate214_TTD="Yes",'Effectiveness settings'!BU288=2,'Effectiveness settings'!BX288=2),"Apply HR to",GD288)</f>
        <v>0</v>
      </c>
      <c r="GF288" s="58">
        <f t="shared" si="433"/>
        <v>0</v>
      </c>
      <c r="GG288" s="58">
        <f t="shared" si="434"/>
        <v>0</v>
      </c>
      <c r="GH288" s="58">
        <f t="shared" si="435"/>
        <v>0</v>
      </c>
      <c r="GI288" s="58">
        <f t="shared" si="415"/>
        <v>0</v>
      </c>
      <c r="GK288" s="58">
        <f>IF(i_baseline_risk_from=2,'Effectiveness settings'!FA288,'Effectiveness settings'!FM288)</f>
        <v>0</v>
      </c>
      <c r="GL288" s="58">
        <f>IF(i_baseline_risk_from=2,'Effectiveness settings'!FB288,'Effectiveness settings'!FN288)</f>
        <v>0</v>
      </c>
      <c r="GM288" s="58">
        <f>IF(i_baseline_risk_from=2,'Effectiveness settings'!FC288,'Effectiveness settings'!FO288)</f>
        <v>0</v>
      </c>
      <c r="GN288" s="58">
        <f>IF(i_baseline_risk_from=2,'Effectiveness settings'!FD288,'Effectiveness settings'!FP288)</f>
        <v>0</v>
      </c>
      <c r="GQ288" s="58">
        <f t="shared" si="436"/>
        <v>0</v>
      </c>
      <c r="GR288" s="58">
        <f t="shared" si="437"/>
        <v>0</v>
      </c>
      <c r="GS288" s="58">
        <f t="shared" si="438"/>
        <v>0</v>
      </c>
      <c r="GT288" s="58">
        <f t="shared" si="439"/>
        <v>0</v>
      </c>
      <c r="GU288" s="58">
        <f>IF(AND(dd_CheckMate214_TTD="Yes",'Effectiveness settings'!BU288=2,'Effectiveness settings'!BX288=2),2,GT288)</f>
        <v>0</v>
      </c>
      <c r="GV288" s="58">
        <f t="shared" si="440"/>
        <v>0</v>
      </c>
      <c r="GW288" s="58">
        <f t="shared" si="441"/>
        <v>0</v>
      </c>
      <c r="GY288" s="58">
        <f>IF(AND(dd_CheckMate214_TTD="Yes",'Effectiveness settings'!BU288=2,'Effectiveness settings'!BX288=2),1,GN288)</f>
        <v>0</v>
      </c>
      <c r="GZ288" s="58">
        <f t="shared" si="442"/>
        <v>0</v>
      </c>
      <c r="HB288" s="58">
        <f t="shared" si="443"/>
        <v>0</v>
      </c>
      <c r="HD288" s="58">
        <f t="shared" si="416"/>
        <v>0</v>
      </c>
      <c r="HE288" s="58">
        <f t="shared" si="417"/>
        <v>0</v>
      </c>
      <c r="HF288" s="58">
        <f t="shared" si="418"/>
        <v>0</v>
      </c>
      <c r="HG288" s="58">
        <f t="shared" si="419"/>
        <v>0</v>
      </c>
      <c r="HH288" s="58">
        <f t="shared" si="420"/>
        <v>0</v>
      </c>
    </row>
    <row r="289" spans="1:216" ht="15.75" x14ac:dyDescent="0.25">
      <c r="D289" s="58" t="str" cm="1">
        <f t="array" ref="D289:D302">List_comparators</f>
        <v>nivolumab_monotherapy</v>
      </c>
      <c r="I289" s="64" t="s">
        <v>58</v>
      </c>
      <c r="J289" s="519" t="s">
        <v>554</v>
      </c>
      <c r="K289" s="524"/>
      <c r="L289" s="519"/>
      <c r="M289" s="516" t="s">
        <v>31</v>
      </c>
      <c r="N289" s="64" t="s">
        <v>546</v>
      </c>
      <c r="O289" s="64" t="s">
        <v>117</v>
      </c>
      <c r="P289" s="64" t="s">
        <v>547</v>
      </c>
      <c r="Q289" s="519" t="s">
        <v>554</v>
      </c>
      <c r="R289" s="516" t="s">
        <v>548</v>
      </c>
      <c r="S289" s="497"/>
      <c r="T289" s="497"/>
      <c r="U289" s="497"/>
      <c r="W289" s="58" t="str" cm="1">
        <f t="array" ref="W289:W302">List_comparators</f>
        <v>nivolumab_monotherapy</v>
      </c>
      <c r="X289" s="64" t="s">
        <v>74</v>
      </c>
      <c r="Y289" s="519" t="s">
        <v>554</v>
      </c>
      <c r="Z289" s="524" t="s">
        <v>578</v>
      </c>
      <c r="AA289" s="519"/>
      <c r="AB289" s="516" t="s">
        <v>31</v>
      </c>
      <c r="AC289" s="64" t="s">
        <v>576</v>
      </c>
      <c r="AD289" s="64" t="s">
        <v>579</v>
      </c>
      <c r="AE289" s="64" t="s">
        <v>547</v>
      </c>
      <c r="AF289" s="519" t="s">
        <v>552</v>
      </c>
      <c r="AG289" s="516" t="s">
        <v>548</v>
      </c>
      <c r="AH289" s="999">
        <f>IF(i_baseline_risk_from=2,1.19,1/0.983)</f>
        <v>1.19</v>
      </c>
      <c r="AI289" s="999">
        <f>IF(i_baseline_risk_from=2,1.15,1/1.16)</f>
        <v>1.1499999999999999</v>
      </c>
      <c r="AJ289" s="999">
        <f>IF(i_baseline_risk_from=2,1.24,1/0.832)</f>
        <v>1.24</v>
      </c>
      <c r="AK289" s="58" t="s">
        <v>596</v>
      </c>
      <c r="AL289" s="64" t="str">
        <f t="shared" ref="AL289:AL302" si="472">X289</f>
        <v>Yes</v>
      </c>
      <c r="AM289" s="519" t="s">
        <v>554</v>
      </c>
      <c r="AN289" s="524" t="s">
        <v>578</v>
      </c>
      <c r="AO289" s="519"/>
      <c r="AP289" s="516" t="s">
        <v>31</v>
      </c>
      <c r="AQ289" s="64" t="s">
        <v>577</v>
      </c>
      <c r="AR289" s="64" t="s">
        <v>579</v>
      </c>
      <c r="AS289" s="64" t="s">
        <v>547</v>
      </c>
      <c r="AT289" s="519" t="s">
        <v>552</v>
      </c>
      <c r="AU289" s="516" t="s">
        <v>548</v>
      </c>
      <c r="AV289" s="999">
        <v>1.19</v>
      </c>
      <c r="AW289" s="999">
        <v>1.1499999999999999</v>
      </c>
      <c r="AX289" s="999">
        <v>1.24</v>
      </c>
      <c r="AY289" s="58" t="s">
        <v>596</v>
      </c>
      <c r="AZ289" s="64" t="str">
        <f t="shared" ref="AZ289:AZ302" si="473">AL289</f>
        <v>Yes</v>
      </c>
      <c r="BA289" s="519" t="s">
        <v>554</v>
      </c>
      <c r="BB289" s="524" t="s">
        <v>578</v>
      </c>
      <c r="BC289" s="519"/>
      <c r="BD289" s="516" t="s">
        <v>31</v>
      </c>
      <c r="BE289" s="64" t="s">
        <v>577</v>
      </c>
      <c r="BF289" s="64" t="s">
        <v>579</v>
      </c>
      <c r="BG289" s="64" t="s">
        <v>547</v>
      </c>
      <c r="BH289" s="519" t="s">
        <v>554</v>
      </c>
      <c r="BI289" s="516" t="s">
        <v>548</v>
      </c>
      <c r="BJ289" s="497">
        <v>1.7410000000000001</v>
      </c>
      <c r="BK289" s="497">
        <v>1.208</v>
      </c>
      <c r="BL289" s="497">
        <v>2.5099999999999998</v>
      </c>
      <c r="BM289" s="58" t="s">
        <v>589</v>
      </c>
      <c r="BQ289" s="58">
        <f t="shared" si="423"/>
        <v>169</v>
      </c>
      <c r="BR289" s="61">
        <v>0</v>
      </c>
      <c r="BS289" s="61" t="s">
        <v>31</v>
      </c>
      <c r="BT289" s="17">
        <v>1</v>
      </c>
      <c r="BU289" s="17">
        <v>0</v>
      </c>
      <c r="BV289" s="17" t="str">
        <f t="shared" ref="BV289:BV302" si="474">D289</f>
        <v>nivolumab_monotherapy</v>
      </c>
      <c r="BW289" s="1006" t="str" cm="1">
        <f t="array" ref="BW289">IF(I289="No",I289,INDEX(List_incl_anal_1L_all,IF(BU289=999,35,BU289+1)))</f>
        <v>No</v>
      </c>
      <c r="BX289" s="61">
        <f t="shared" ref="BX289:BX302" si="475">MATCH(BY289,List_eff_endpoints,0)-1</f>
        <v>2</v>
      </c>
      <c r="BY289" s="531" t="str">
        <f>J289</f>
        <v>Time to treatment discontinuation</v>
      </c>
      <c r="BZ289" s="530">
        <f t="shared" ref="BZ289:BZ302" si="476">GI289</f>
        <v>0</v>
      </c>
      <c r="CA289" s="531">
        <f>FT289</f>
        <v>0</v>
      </c>
      <c r="CB289" s="530">
        <f t="shared" ref="CB289:CB302" si="477">HD289</f>
        <v>0</v>
      </c>
      <c r="CC289" s="530">
        <f t="shared" ref="CC289:CC302" si="478">HE289</f>
        <v>1</v>
      </c>
      <c r="CD289" s="530">
        <f t="shared" ref="CD289:CD302" si="479">HF289</f>
        <v>7</v>
      </c>
      <c r="CE289" s="1295">
        <f t="shared" ref="CE289:CE302" si="480">HG289</f>
        <v>2</v>
      </c>
      <c r="CF289" s="1301">
        <f t="shared" ref="CF289:CF302" si="481">HH289</f>
        <v>2</v>
      </c>
      <c r="CG289" s="530" t="str">
        <f t="shared" ref="CG289:CG302" si="482">IF(i_surv_cur=1,DK289,DL289)</f>
        <v>Log-logistic</v>
      </c>
      <c r="CH289" s="61">
        <f t="shared" ref="CH289:CH302" si="483">S289</f>
        <v>0</v>
      </c>
      <c r="CI289" s="61">
        <f t="shared" ref="CI289:CI302" si="484">T289</f>
        <v>0</v>
      </c>
      <c r="CJ289" s="61">
        <f t="shared" ref="CJ289:CJ302" si="485">U289</f>
        <v>0</v>
      </c>
      <c r="DK289" s="58" t="str" cm="1">
        <f t="array" ref="DK289">IF(AND($BT289=4,$BX289=4,$BU289=999),$DB$36,_xlfn.IFNA(INDEX(DB$13:DB$70,MATCH(1,($BR289=$CV$13:$CV$70)*($BT289=$CX$13:$CX$70)*($CE289=$CY$13:$CY$70)*($BY289=$DA$13:$DA$70)*($CD289=$DH$13:$DH$70),0)),""))</f>
        <v>Log-logistic</v>
      </c>
      <c r="DL289" s="58" t="str" cm="1">
        <f t="array" ref="DL289">IF(AND($BT289=4,$BX289=4,$BU289=999),$DC$36,_xlfn.IFNA(INDEX(CHOOSE(DP289,DB$13:DB$70,DC$13:DC$70,DD$13:DD$70,DE$13:DE$70),MATCH(1,($BR289=$CV$13:$CV$70)*($BT289=$CX$13:$CX$70)*($CE289=$CY$13:$CY$70)*($BY289=$DA$13:$DA$70)*($CD289=$DH$13:$DH$70),0)),""))</f>
        <v>Log-logistic</v>
      </c>
      <c r="DM289" s="740" cm="1">
        <f t="array" ref="DM289">IF(AND($BT289=4,$BX289=4,$BU289=999),$DD$36,_xlfn.IFNA(INDEX(DD$13:DD$68,MATCH(1,($BR289=$CV$13:$CV$68)*($BT289=$CX$13:$CX$68)*($CE289=$CY$13:$CY$68)*($BY289=$DA$13:$DA$68)*($CD289=$DH$13:$DH$68),0)),""))</f>
        <v>0</v>
      </c>
      <c r="DN289" s="740" cm="1">
        <f t="array" ref="DN289">IF(AND($BT289=4,$BX289=4,$BU289=999),$DD$36,_xlfn.IFNA(INDEX(DE$13:DE$68,MATCH(1,($BR289=$CV$13:$CV$68)*($BT289=$CX$13:$CX$68)*($CE289=$CY$13:$CY$68)*($BY289=$DA$13:$DA$68)*($CD289=$DH$13:$DH$68),0)),""))</f>
        <v>0</v>
      </c>
      <c r="DO289" s="58" t="str" cm="1">
        <f t="array" ref="DO289">IF(AND($BT289=4,$BX289=4,$BU289=999),$DF$36,_xlfn.IFNA(INDEX(DF$13:DF$70,MATCH(1,($BR289=$CV$13:$CV$70)*($BT289=$CX$13:$CX$70)*($CE289=$CY$13:$CY$70)*($BY289=$DA$13:$DA$70)*($CD289=$DH$13:$DH$70),0)),""))</f>
        <v>Base case</v>
      </c>
      <c r="DP289" s="58">
        <f t="shared" si="424"/>
        <v>1</v>
      </c>
      <c r="DW289" s="58" t="s">
        <v>58</v>
      </c>
      <c r="DX289" s="58" t="s">
        <v>554</v>
      </c>
      <c r="DY289" s="58">
        <v>0</v>
      </c>
      <c r="DZ289" s="58">
        <v>0</v>
      </c>
      <c r="EB289" s="58">
        <v>0</v>
      </c>
      <c r="EC289" s="58">
        <v>1</v>
      </c>
      <c r="ED289" s="58">
        <v>7</v>
      </c>
      <c r="EE289" s="58">
        <v>2</v>
      </c>
      <c r="EF289" s="58">
        <v>2</v>
      </c>
      <c r="EI289" s="58" t="s">
        <v>58</v>
      </c>
      <c r="EJ289" s="58" t="s">
        <v>554</v>
      </c>
      <c r="EK289" s="58">
        <v>0</v>
      </c>
      <c r="EL289" s="58">
        <v>0</v>
      </c>
      <c r="EN289" s="58">
        <v>0</v>
      </c>
      <c r="EO289" s="58">
        <v>1</v>
      </c>
      <c r="EP289" s="58">
        <v>7</v>
      </c>
      <c r="EQ289" s="58">
        <v>0</v>
      </c>
      <c r="ER289" s="58">
        <v>2</v>
      </c>
      <c r="EU289" s="58" t="str">
        <f t="shared" ref="EU289:EU302" si="486">IF(i_eff_inputs_based_on_num=2,DW289,I289)</f>
        <v>No</v>
      </c>
      <c r="EV289" s="58" t="str">
        <f t="shared" ref="EV289:EV302" si="487">IF(i_eff_inputs_based_on_num=2,DX289,J289)</f>
        <v>Time to treatment discontinuation</v>
      </c>
      <c r="EW289" s="58">
        <f t="shared" ref="EW289:EW302" si="488">IF(i_eff_inputs_based_on_num=2,DY289,K289)</f>
        <v>0</v>
      </c>
      <c r="EX289" s="58">
        <f t="shared" ref="EX289:EX302" si="489">IF(i_eff_inputs_based_on_num=2,DZ289,L289)</f>
        <v>0</v>
      </c>
      <c r="EZ289" s="58">
        <f t="shared" ref="EZ289:EZ302" si="490">IF(i_eff_inputs_based_on_num=2,EB289,VLOOKUP(M289,r_pld_lookup_line,3,FALSE))</f>
        <v>0</v>
      </c>
      <c r="FA289" s="58">
        <f t="shared" ref="FA289:FA302" si="491">IF(i_eff_inputs_based_on_num=2,EC289,VLOOKUP(N289,r_pld_lookup_line,3,FALSE))</f>
        <v>1</v>
      </c>
      <c r="FB289" s="58">
        <f>IF(i_eff_inputs_based_on_num=2,ED289,(INDEX(Lists!$L$51:$L$85,MATCH(O289,Lists!$K$51:$K$85,0))))</f>
        <v>7</v>
      </c>
      <c r="FC289" s="58">
        <f>IF(i_eff_inputs_based_on_num=2,EE289,(INDEX(Lists!$L$51:$L$85,MATCH(P289,Lists!$K$51:$K$85,0))))</f>
        <v>2</v>
      </c>
      <c r="FD289" s="58">
        <f>IF(i_eff_inputs_based_on_num=2,EF289,(INDEX(Lists!$L$51:$L$85,MATCH(Q289,Lists!$K$51:$K$85,0))))</f>
        <v>2</v>
      </c>
      <c r="FG289" s="58" t="str">
        <f t="shared" ref="FG289:FG302" si="492">IF(i_eff_inputs_based_on_num=2,EI289,I289)</f>
        <v>No</v>
      </c>
      <c r="FH289" s="58" t="str">
        <f t="shared" ref="FH289:FH302" si="493">IF(i_eff_inputs_based_on_num=2,EJ289,J289)</f>
        <v>Time to treatment discontinuation</v>
      </c>
      <c r="FI289" s="58">
        <f t="shared" ref="FI289:FI302" si="494">IF(i_eff_inputs_based_on_num=2,EK289,K289)</f>
        <v>0</v>
      </c>
      <c r="FJ289" s="58">
        <f t="shared" ref="FJ289:FJ302" si="495">IF(i_eff_inputs_based_on_num=2,EL289,L289)</f>
        <v>0</v>
      </c>
      <c r="FL289" s="58">
        <f t="shared" ref="FL289:FL302" si="496">IF(i_eff_inputs_based_on_num=2,EN289,VLOOKUP(M289,r_pld_lookup_line,3,FALSE))</f>
        <v>0</v>
      </c>
      <c r="FM289" s="58">
        <f t="shared" ref="FM289:FM302" si="497">IF(i_eff_inputs_based_on_num=2,EO289,VLOOKUP(N289,r_pld_lookup_line,3,FALSE))</f>
        <v>1</v>
      </c>
      <c r="FN289" s="58">
        <f>IF(i_eff_inputs_based_on_num=2,EP289,(INDEX(Lists!$L$51:$L$85,MATCH(O289,Lists!$K$51:$K$85,0))))</f>
        <v>7</v>
      </c>
      <c r="FO289" s="58">
        <f>IF(i_eff_inputs_based_on_num=2,EQ289,(INDEX(Lists!$L$51:$L$85,MATCH(P289,Lists!$K$51:$K$85,0))))</f>
        <v>0</v>
      </c>
      <c r="FP289" s="58">
        <f>IF(i_eff_inputs_based_on_num=2,ER289,(INDEX(Lists!$L$51:$L$85,MATCH(Q289,Lists!$K$51:$K$85,0))))</f>
        <v>2</v>
      </c>
      <c r="FT289" s="58">
        <f t="shared" si="425"/>
        <v>0</v>
      </c>
      <c r="FW289" s="58">
        <f>IF(i_baseline_risk_from=2,'Effectiveness settings'!EW289,'Effectiveness settings'!FI289)</f>
        <v>0</v>
      </c>
      <c r="FX289" s="58">
        <f t="shared" si="426"/>
        <v>0</v>
      </c>
      <c r="FY289" s="58">
        <f t="shared" si="427"/>
        <v>0</v>
      </c>
      <c r="FZ289" s="58">
        <f t="shared" si="428"/>
        <v>0</v>
      </c>
      <c r="GA289" s="58">
        <f t="shared" si="429"/>
        <v>0</v>
      </c>
      <c r="GB289" s="58">
        <f t="shared" si="430"/>
        <v>0</v>
      </c>
      <c r="GC289" s="58">
        <f t="shared" si="431"/>
        <v>0</v>
      </c>
      <c r="GD289" s="58">
        <f t="shared" si="432"/>
        <v>0</v>
      </c>
      <c r="GE289" s="58">
        <f>IF(AND(dd_CheckMate214_TTD="Yes",'Effectiveness settings'!BU289=2,'Effectiveness settings'!BX289=2),"Apply HR to",GD289)</f>
        <v>0</v>
      </c>
      <c r="GF289" s="58">
        <f t="shared" si="433"/>
        <v>0</v>
      </c>
      <c r="GG289" s="58">
        <f t="shared" si="434"/>
        <v>0</v>
      </c>
      <c r="GH289" s="58">
        <f t="shared" si="435"/>
        <v>0</v>
      </c>
      <c r="GI289" s="58">
        <f t="shared" si="415"/>
        <v>0</v>
      </c>
      <c r="GK289" s="58">
        <f>IF(i_baseline_risk_from=2,'Effectiveness settings'!FA289,'Effectiveness settings'!FM289)</f>
        <v>1</v>
      </c>
      <c r="GL289" s="58">
        <f>IF(i_baseline_risk_from=2,'Effectiveness settings'!FB289,'Effectiveness settings'!FN289)</f>
        <v>7</v>
      </c>
      <c r="GM289" s="58">
        <f>IF(i_baseline_risk_from=2,'Effectiveness settings'!FC289,'Effectiveness settings'!FO289)</f>
        <v>2</v>
      </c>
      <c r="GN289" s="58">
        <f>IF(i_baseline_risk_from=2,'Effectiveness settings'!FD289,'Effectiveness settings'!FP289)</f>
        <v>2</v>
      </c>
      <c r="GQ289" s="58">
        <f t="shared" si="436"/>
        <v>7</v>
      </c>
      <c r="GR289" s="58">
        <f t="shared" si="437"/>
        <v>7</v>
      </c>
      <c r="GS289" s="58">
        <f t="shared" si="438"/>
        <v>7</v>
      </c>
      <c r="GT289" s="58">
        <f t="shared" si="439"/>
        <v>7</v>
      </c>
      <c r="GU289" s="58">
        <f>IF(AND(dd_CheckMate214_TTD="Yes",'Effectiveness settings'!BU289=2,'Effectiveness settings'!BX289=2),2,GT289)</f>
        <v>7</v>
      </c>
      <c r="GV289" s="58">
        <f t="shared" si="440"/>
        <v>7</v>
      </c>
      <c r="GW289" s="58">
        <f t="shared" si="441"/>
        <v>7</v>
      </c>
      <c r="GY289" s="58">
        <f>IF(AND(dd_CheckMate214_TTD="Yes",'Effectiveness settings'!BU289=2,'Effectiveness settings'!BX289=2),1,GN289)</f>
        <v>2</v>
      </c>
      <c r="GZ289" s="58">
        <f t="shared" si="442"/>
        <v>2</v>
      </c>
      <c r="HB289" s="58">
        <f t="shared" si="443"/>
        <v>0</v>
      </c>
      <c r="HD289" s="58">
        <f t="shared" si="416"/>
        <v>0</v>
      </c>
      <c r="HE289" s="58">
        <f t="shared" si="417"/>
        <v>1</v>
      </c>
      <c r="HF289" s="58">
        <f t="shared" si="418"/>
        <v>7</v>
      </c>
      <c r="HG289" s="58">
        <f t="shared" si="419"/>
        <v>2</v>
      </c>
      <c r="HH289" s="58">
        <f t="shared" si="420"/>
        <v>2</v>
      </c>
    </row>
    <row r="290" spans="1:216" ht="15.75" x14ac:dyDescent="0.25">
      <c r="A290" s="58" t="s">
        <v>569</v>
      </c>
      <c r="D290" s="58" t="str">
        <v>cabozantinib_plus_nivolumab</v>
      </c>
      <c r="I290" s="64" t="s">
        <v>74</v>
      </c>
      <c r="J290" s="519" t="s">
        <v>554</v>
      </c>
      <c r="K290" s="524" t="s">
        <v>63</v>
      </c>
      <c r="L290" s="519"/>
      <c r="M290" s="516" t="s">
        <v>31</v>
      </c>
      <c r="N290" s="64" t="s">
        <v>546</v>
      </c>
      <c r="O290" s="64" t="s">
        <v>117</v>
      </c>
      <c r="P290" s="64" t="s">
        <v>547</v>
      </c>
      <c r="Q290" s="519" t="s">
        <v>554</v>
      </c>
      <c r="R290" s="516" t="s">
        <v>548</v>
      </c>
      <c r="S290" s="497"/>
      <c r="T290" s="497"/>
      <c r="U290" s="497"/>
      <c r="W290" s="58" t="str">
        <v>cabozantinib_plus_nivolumab</v>
      </c>
      <c r="X290" s="64" t="s">
        <v>58</v>
      </c>
      <c r="Y290" s="519" t="s">
        <v>554</v>
      </c>
      <c r="Z290" s="524"/>
      <c r="AA290" s="519"/>
      <c r="AB290" s="516" t="s">
        <v>31</v>
      </c>
      <c r="AC290" s="64" t="s">
        <v>576</v>
      </c>
      <c r="AD290" s="64" t="s">
        <v>571</v>
      </c>
      <c r="AE290" s="64" t="s">
        <v>547</v>
      </c>
      <c r="AF290" s="519" t="s">
        <v>552</v>
      </c>
      <c r="AG290" s="516" t="s">
        <v>548</v>
      </c>
      <c r="AH290" s="497"/>
      <c r="AI290" s="497"/>
      <c r="AJ290" s="497"/>
      <c r="AL290" s="64" t="str">
        <f t="shared" si="472"/>
        <v>No</v>
      </c>
      <c r="AM290" s="519" t="s">
        <v>554</v>
      </c>
      <c r="AN290" s="524"/>
      <c r="AO290" s="519"/>
      <c r="AP290" s="516" t="s">
        <v>31</v>
      </c>
      <c r="AQ290" s="64" t="s">
        <v>577</v>
      </c>
      <c r="AR290" s="64" t="s">
        <v>571</v>
      </c>
      <c r="AS290" s="64" t="s">
        <v>547</v>
      </c>
      <c r="AT290" s="519" t="s">
        <v>552</v>
      </c>
      <c r="AU290" s="516" t="s">
        <v>548</v>
      </c>
      <c r="AV290" s="497"/>
      <c r="AW290" s="497"/>
      <c r="AX290" s="497"/>
      <c r="AZ290" s="64" t="str">
        <f t="shared" si="473"/>
        <v>No</v>
      </c>
      <c r="BA290" s="519" t="s">
        <v>554</v>
      </c>
      <c r="BB290" s="524"/>
      <c r="BC290" s="519"/>
      <c r="BD290" s="516" t="s">
        <v>31</v>
      </c>
      <c r="BE290" s="64" t="s">
        <v>565</v>
      </c>
      <c r="BF290" s="64" t="s">
        <v>571</v>
      </c>
      <c r="BG290" s="64" t="s">
        <v>547</v>
      </c>
      <c r="BH290" s="519" t="s">
        <v>552</v>
      </c>
      <c r="BI290" s="516" t="s">
        <v>548</v>
      </c>
      <c r="BJ290" s="497">
        <v>1</v>
      </c>
      <c r="BK290" s="497"/>
      <c r="BL290" s="497"/>
      <c r="BQ290" s="58">
        <f t="shared" si="423"/>
        <v>170</v>
      </c>
      <c r="BR290" s="61">
        <v>0</v>
      </c>
      <c r="BS290" s="61" t="s">
        <v>31</v>
      </c>
      <c r="BT290" s="17">
        <v>1</v>
      </c>
      <c r="BU290" s="17">
        <v>1</v>
      </c>
      <c r="BV290" s="17" t="str">
        <f t="shared" si="474"/>
        <v>cabozantinib_plus_nivolumab</v>
      </c>
      <c r="BW290" s="1006" t="str" cm="1">
        <f t="array" ref="BW290">IF(I290="No",I290,INDEX(List_incl_anal_1L_all,IF(BU290=999,35,BU290+1)))</f>
        <v>Yes</v>
      </c>
      <c r="BX290" s="61">
        <f t="shared" si="475"/>
        <v>2</v>
      </c>
      <c r="BY290" s="531" t="str">
        <f>J290</f>
        <v>Time to treatment discontinuation</v>
      </c>
      <c r="BZ290" s="530" t="str">
        <f t="shared" si="476"/>
        <v>FP_NMA</v>
      </c>
      <c r="CA290" s="531">
        <f t="shared" ref="CA290:CA302" si="498">FT290</f>
        <v>0</v>
      </c>
      <c r="CB290" s="530">
        <f t="shared" si="477"/>
        <v>0</v>
      </c>
      <c r="CC290" s="530">
        <f t="shared" si="478"/>
        <v>1</v>
      </c>
      <c r="CD290" s="530">
        <f t="shared" si="479"/>
        <v>7</v>
      </c>
      <c r="CE290" s="1295">
        <f t="shared" si="480"/>
        <v>2</v>
      </c>
      <c r="CF290" s="1301">
        <f t="shared" si="481"/>
        <v>2</v>
      </c>
      <c r="CG290" s="530" t="str">
        <f t="shared" si="482"/>
        <v>Log-logistic</v>
      </c>
      <c r="CH290" s="61">
        <f t="shared" si="483"/>
        <v>0</v>
      </c>
      <c r="CI290" s="61">
        <f t="shared" si="484"/>
        <v>0</v>
      </c>
      <c r="CJ290" s="61">
        <f t="shared" si="485"/>
        <v>0</v>
      </c>
      <c r="DK290" s="58" t="str" cm="1">
        <f t="array" ref="DK290">IF(AND($BT290=4,$BX290=4,$BU290=999),$DB$36,_xlfn.IFNA(INDEX(DB$13:DB$70,MATCH(1,($BR290=$CV$13:$CV$70)*($BT290=$CX$13:$CX$70)*($CE290=$CY$13:$CY$70)*($BY290=$DA$13:$DA$70)*($CD290=$DH$13:$DH$70),0)),""))</f>
        <v>Log-logistic</v>
      </c>
      <c r="DL290" s="58" t="str" cm="1">
        <f t="array" ref="DL290">IF(AND($BT290=4,$BX290=4,$BU290=999),$DC$36,_xlfn.IFNA(INDEX(CHOOSE(DP290,DB$13:DB$70,DC$13:DC$70,DD$13:DD$70,DE$13:DE$70),MATCH(1,($BR290=$CV$13:$CV$70)*($BT290=$CX$13:$CX$70)*($CE290=$CY$13:$CY$70)*($BY290=$DA$13:$DA$70)*($CD290=$DH$13:$DH$70),0)),""))</f>
        <v>Log-logistic</v>
      </c>
      <c r="DM290" s="740" cm="1">
        <f t="array" ref="DM290">IF(AND($BT290=4,$BX290=4,$BU290=999),$DD$36,_xlfn.IFNA(INDEX(DD$13:DD$68,MATCH(1,($BR290=$CV$13:$CV$68)*($BT290=$CX$13:$CX$68)*($CE290=$CY$13:$CY$68)*($BY290=$DA$13:$DA$68)*($CD290=$DH$13:$DH$68),0)),""))</f>
        <v>0</v>
      </c>
      <c r="DN290" s="740" cm="1">
        <f t="array" ref="DN290">IF(AND($BT290=4,$BX290=4,$BU290=999),$DD$36,_xlfn.IFNA(INDEX(DE$13:DE$68,MATCH(1,($BR290=$CV$13:$CV$68)*($BT290=$CX$13:$CX$68)*($CE290=$CY$13:$CY$68)*($BY290=$DA$13:$DA$68)*($CD290=$DH$13:$DH$68),0)),""))</f>
        <v>0</v>
      </c>
      <c r="DO290" s="58" t="str" cm="1">
        <f t="array" ref="DO290">IF(AND($BT290=4,$BX290=4,$BU290=999),$DF$36,_xlfn.IFNA(INDEX(DF$13:DF$70,MATCH(1,($BR290=$CV$13:$CV$70)*($BT290=$CX$13:$CX$70)*($CE290=$CY$13:$CY$70)*($BY290=$DA$13:$DA$70)*($CD290=$DH$13:$DH$70),0)),""))</f>
        <v>Base case</v>
      </c>
      <c r="DP290" s="58">
        <f t="shared" si="424"/>
        <v>1</v>
      </c>
      <c r="DW290" s="58" t="s">
        <v>74</v>
      </c>
      <c r="DX290" s="58" t="s">
        <v>554</v>
      </c>
      <c r="DY290" s="58" t="s">
        <v>63</v>
      </c>
      <c r="DZ290" s="58">
        <v>0</v>
      </c>
      <c r="EB290" s="58">
        <v>0</v>
      </c>
      <c r="EC290" s="58">
        <v>1</v>
      </c>
      <c r="ED290" s="58">
        <v>7</v>
      </c>
      <c r="EE290" s="58">
        <v>2</v>
      </c>
      <c r="EF290" s="58">
        <v>2</v>
      </c>
      <c r="EI290" s="58" t="s">
        <v>74</v>
      </c>
      <c r="EJ290" s="58" t="s">
        <v>554</v>
      </c>
      <c r="EK290" s="58" t="s">
        <v>63</v>
      </c>
      <c r="EL290" s="58">
        <v>0</v>
      </c>
      <c r="EN290" s="58">
        <v>0</v>
      </c>
      <c r="EO290" s="58">
        <v>1</v>
      </c>
      <c r="EP290" s="58">
        <v>7</v>
      </c>
      <c r="EQ290" s="58">
        <v>0</v>
      </c>
      <c r="ER290" s="58">
        <v>2</v>
      </c>
      <c r="EU290" s="58" t="str">
        <f t="shared" si="486"/>
        <v>Yes</v>
      </c>
      <c r="EV290" s="58" t="str">
        <f t="shared" si="487"/>
        <v>Time to treatment discontinuation</v>
      </c>
      <c r="EW290" s="58" t="str">
        <f t="shared" si="488"/>
        <v>FP_NMA</v>
      </c>
      <c r="EX290" s="58">
        <f t="shared" si="489"/>
        <v>0</v>
      </c>
      <c r="EZ290" s="58">
        <f t="shared" si="490"/>
        <v>0</v>
      </c>
      <c r="FA290" s="58">
        <f t="shared" si="491"/>
        <v>1</v>
      </c>
      <c r="FB290" s="58">
        <f>IF(i_eff_inputs_based_on_num=2,ED290,(INDEX(Lists!$L$51:$L$85,MATCH(O290,Lists!$K$51:$K$85,0))))</f>
        <v>7</v>
      </c>
      <c r="FC290" s="58">
        <f>IF(i_eff_inputs_based_on_num=2,EE290,(INDEX(Lists!$L$51:$L$85,MATCH(P290,Lists!$K$51:$K$85,0))))</f>
        <v>2</v>
      </c>
      <c r="FD290" s="58">
        <f>IF(i_eff_inputs_based_on_num=2,EF290,(INDEX(Lists!$L$51:$L$85,MATCH(Q290,Lists!$K$51:$K$85,0))))</f>
        <v>2</v>
      </c>
      <c r="FG290" s="58" t="str">
        <f t="shared" si="492"/>
        <v>Yes</v>
      </c>
      <c r="FH290" s="58" t="str">
        <f t="shared" si="493"/>
        <v>Time to treatment discontinuation</v>
      </c>
      <c r="FI290" s="58" t="str">
        <f t="shared" si="494"/>
        <v>FP_NMA</v>
      </c>
      <c r="FJ290" s="58">
        <f t="shared" si="495"/>
        <v>0</v>
      </c>
      <c r="FL290" s="58">
        <f t="shared" si="496"/>
        <v>0</v>
      </c>
      <c r="FM290" s="58">
        <f t="shared" si="497"/>
        <v>1</v>
      </c>
      <c r="FN290" s="58">
        <f>IF(i_eff_inputs_based_on_num=2,EP290,(INDEX(Lists!$L$51:$L$85,MATCH(O290,Lists!$K$51:$K$85,0))))</f>
        <v>7</v>
      </c>
      <c r="FO290" s="58">
        <f>IF(i_eff_inputs_based_on_num=2,EQ290,(INDEX(Lists!$L$51:$L$85,MATCH(P290,Lists!$K$51:$K$85,0))))</f>
        <v>0</v>
      </c>
      <c r="FP290" s="58">
        <f>IF(i_eff_inputs_based_on_num=2,ER290,(INDEX(Lists!$L$51:$L$85,MATCH(Q290,Lists!$K$51:$K$85,0))))</f>
        <v>2</v>
      </c>
      <c r="FT290" s="58">
        <f t="shared" si="425"/>
        <v>0</v>
      </c>
      <c r="FW290" s="58" t="str">
        <f>IF(i_baseline_risk_from=2,'Effectiveness settings'!EW290,'Effectiveness settings'!FI290)</f>
        <v>FP_NMA</v>
      </c>
      <c r="FX290" s="58" t="str">
        <f t="shared" si="426"/>
        <v>FP_NMA</v>
      </c>
      <c r="FY290" s="58" t="str">
        <f t="shared" si="427"/>
        <v>FP_NMA</v>
      </c>
      <c r="FZ290" s="58" t="str">
        <f t="shared" si="428"/>
        <v>FP_NMA</v>
      </c>
      <c r="GA290" s="58" t="str">
        <f t="shared" si="429"/>
        <v>FP_NMA</v>
      </c>
      <c r="GB290" s="58" t="str">
        <f t="shared" si="430"/>
        <v>FP_NMA</v>
      </c>
      <c r="GC290" s="58" t="str">
        <f t="shared" si="431"/>
        <v>FP_NMA</v>
      </c>
      <c r="GD290" s="58" t="str">
        <f t="shared" si="432"/>
        <v>FP_NMA</v>
      </c>
      <c r="GE290" s="58" t="str">
        <f>IF(AND(dd_CheckMate214_TTD="Yes",'Effectiveness settings'!BU290=2,'Effectiveness settings'!BX290=2),"Apply HR to",GD290)</f>
        <v>FP_NMA</v>
      </c>
      <c r="GF290" s="58" t="str">
        <f t="shared" si="433"/>
        <v>FP_NMA</v>
      </c>
      <c r="GG290" s="58" t="str">
        <f t="shared" si="434"/>
        <v>FP_NMA</v>
      </c>
      <c r="GH290" s="58" t="str">
        <f t="shared" si="435"/>
        <v>FP_NMA</v>
      </c>
      <c r="GI290" s="58" t="str">
        <f t="shared" si="415"/>
        <v>FP_NMA</v>
      </c>
      <c r="GK290" s="58">
        <f>IF(i_baseline_risk_from=2,'Effectiveness settings'!FA290,'Effectiveness settings'!FM290)</f>
        <v>1</v>
      </c>
      <c r="GL290" s="58">
        <f>IF(i_baseline_risk_from=2,'Effectiveness settings'!FB290,'Effectiveness settings'!FN290)</f>
        <v>7</v>
      </c>
      <c r="GM290" s="58">
        <f>IF(i_baseline_risk_from=2,'Effectiveness settings'!FC290,'Effectiveness settings'!FO290)</f>
        <v>2</v>
      </c>
      <c r="GN290" s="58">
        <f>IF(i_baseline_risk_from=2,'Effectiveness settings'!FD290,'Effectiveness settings'!FP290)</f>
        <v>2</v>
      </c>
      <c r="GQ290" s="58">
        <f t="shared" si="436"/>
        <v>7</v>
      </c>
      <c r="GR290" s="58">
        <f t="shared" si="437"/>
        <v>7</v>
      </c>
      <c r="GS290" s="58">
        <f t="shared" si="438"/>
        <v>7</v>
      </c>
      <c r="GT290" s="58">
        <f t="shared" si="439"/>
        <v>7</v>
      </c>
      <c r="GU290" s="58">
        <f>IF(AND(dd_CheckMate214_TTD="Yes",'Effectiveness settings'!BU290=2,'Effectiveness settings'!BX290=2),2,GT290)</f>
        <v>7</v>
      </c>
      <c r="GV290" s="58">
        <f t="shared" si="440"/>
        <v>7</v>
      </c>
      <c r="GW290" s="58">
        <f t="shared" si="441"/>
        <v>7</v>
      </c>
      <c r="GY290" s="58">
        <f>IF(AND(dd_CheckMate214_TTD="Yes",'Effectiveness settings'!BU290=2,'Effectiveness settings'!BX290=2),1,GN290)</f>
        <v>2</v>
      </c>
      <c r="GZ290" s="58">
        <f t="shared" si="442"/>
        <v>2</v>
      </c>
      <c r="HB290" s="58">
        <f t="shared" si="443"/>
        <v>0</v>
      </c>
      <c r="HD290" s="58">
        <f t="shared" si="416"/>
        <v>0</v>
      </c>
      <c r="HE290" s="58">
        <f t="shared" si="417"/>
        <v>1</v>
      </c>
      <c r="HF290" s="58">
        <f t="shared" si="418"/>
        <v>7</v>
      </c>
      <c r="HG290" s="58">
        <f t="shared" si="419"/>
        <v>2</v>
      </c>
      <c r="HH290" s="58">
        <f t="shared" si="420"/>
        <v>2</v>
      </c>
    </row>
    <row r="291" spans="1:216" ht="15.75" x14ac:dyDescent="0.25">
      <c r="A291" s="58" t="s">
        <v>569</v>
      </c>
      <c r="D291" s="58" t="str">
        <v>nivolumab_plus_ipilimumab</v>
      </c>
      <c r="I291" s="64" t="s">
        <v>58</v>
      </c>
      <c r="J291" s="519" t="s">
        <v>554</v>
      </c>
      <c r="K291" s="524" t="s">
        <v>63</v>
      </c>
      <c r="L291" s="519"/>
      <c r="M291" s="516" t="s">
        <v>31</v>
      </c>
      <c r="N291" s="64" t="s">
        <v>546</v>
      </c>
      <c r="O291" s="64" t="s">
        <v>117</v>
      </c>
      <c r="P291" s="64" t="s">
        <v>547</v>
      </c>
      <c r="Q291" s="519" t="s">
        <v>554</v>
      </c>
      <c r="R291" s="516" t="s">
        <v>548</v>
      </c>
      <c r="S291" s="497"/>
      <c r="T291" s="497"/>
      <c r="U291" s="497"/>
      <c r="W291" s="58" t="str">
        <v>nivolumab_plus_ipilimumab</v>
      </c>
      <c r="X291" s="64" t="s">
        <v>58</v>
      </c>
      <c r="Y291" s="519" t="s">
        <v>554</v>
      </c>
      <c r="Z291" s="524"/>
      <c r="AA291" s="519"/>
      <c r="AB291" s="516" t="s">
        <v>31</v>
      </c>
      <c r="AC291" s="64" t="s">
        <v>576</v>
      </c>
      <c r="AD291" s="64" t="s">
        <v>581</v>
      </c>
      <c r="AE291" s="64" t="s">
        <v>547</v>
      </c>
      <c r="AF291" s="519" t="s">
        <v>552</v>
      </c>
      <c r="AG291" s="516" t="s">
        <v>548</v>
      </c>
      <c r="AH291" s="497"/>
      <c r="AI291" s="497"/>
      <c r="AJ291" s="497"/>
      <c r="AL291" s="64" t="str">
        <f t="shared" si="472"/>
        <v>No</v>
      </c>
      <c r="AM291" s="519" t="s">
        <v>554</v>
      </c>
      <c r="AN291" s="524"/>
      <c r="AO291" s="519"/>
      <c r="AP291" s="516" t="s">
        <v>31</v>
      </c>
      <c r="AQ291" s="64" t="s">
        <v>577</v>
      </c>
      <c r="AR291" s="64" t="s">
        <v>581</v>
      </c>
      <c r="AS291" s="64" t="s">
        <v>547</v>
      </c>
      <c r="AT291" s="519" t="s">
        <v>552</v>
      </c>
      <c r="AU291" s="516" t="s">
        <v>548</v>
      </c>
      <c r="AV291" s="497"/>
      <c r="AW291" s="497"/>
      <c r="AX291" s="497"/>
      <c r="AZ291" s="64" t="str">
        <f t="shared" si="473"/>
        <v>No</v>
      </c>
      <c r="BA291" s="519" t="s">
        <v>554</v>
      </c>
      <c r="BB291" s="524"/>
      <c r="BC291" s="519"/>
      <c r="BD291" s="516" t="s">
        <v>31</v>
      </c>
      <c r="BE291" s="64" t="s">
        <v>565</v>
      </c>
      <c r="BF291" s="64" t="s">
        <v>581</v>
      </c>
      <c r="BG291" s="64" t="s">
        <v>547</v>
      </c>
      <c r="BH291" s="519" t="s">
        <v>552</v>
      </c>
      <c r="BI291" s="516" t="s">
        <v>548</v>
      </c>
      <c r="BJ291" s="497">
        <v>1</v>
      </c>
      <c r="BK291" s="497"/>
      <c r="BL291" s="497"/>
      <c r="BQ291" s="58">
        <f t="shared" si="423"/>
        <v>171</v>
      </c>
      <c r="BR291" s="61">
        <v>0</v>
      </c>
      <c r="BS291" s="61" t="s">
        <v>31</v>
      </c>
      <c r="BT291" s="17">
        <v>1</v>
      </c>
      <c r="BU291" s="17">
        <v>2</v>
      </c>
      <c r="BV291" s="17" t="str">
        <f t="shared" si="474"/>
        <v>nivolumab_plus_ipilimumab</v>
      </c>
      <c r="BW291" s="1006" t="str" cm="1">
        <f t="array" ref="BW291">IF(I291="No",I291,INDEX(List_incl_anal_1L_all,IF(BU291=999,35,BU291+1)))</f>
        <v>No</v>
      </c>
      <c r="BX291" s="61">
        <f t="shared" si="475"/>
        <v>2</v>
      </c>
      <c r="BY291" s="531" t="str">
        <f>J291</f>
        <v>Time to treatment discontinuation</v>
      </c>
      <c r="BZ291" s="530">
        <f t="shared" si="476"/>
        <v>0</v>
      </c>
      <c r="CA291" s="531">
        <f t="shared" si="498"/>
        <v>0</v>
      </c>
      <c r="CB291" s="530">
        <f t="shared" si="477"/>
        <v>0</v>
      </c>
      <c r="CC291" s="530">
        <f t="shared" si="478"/>
        <v>1</v>
      </c>
      <c r="CD291" s="530">
        <f t="shared" si="479"/>
        <v>7</v>
      </c>
      <c r="CE291" s="1295">
        <f t="shared" si="480"/>
        <v>2</v>
      </c>
      <c r="CF291" s="1301">
        <f t="shared" si="481"/>
        <v>2</v>
      </c>
      <c r="CG291" s="530" t="str">
        <f t="shared" si="482"/>
        <v>Log-logistic</v>
      </c>
      <c r="CH291" s="61">
        <f t="shared" si="483"/>
        <v>0</v>
      </c>
      <c r="CI291" s="61">
        <f t="shared" si="484"/>
        <v>0</v>
      </c>
      <c r="CJ291" s="61">
        <f t="shared" si="485"/>
        <v>0</v>
      </c>
      <c r="DK291" s="58" t="str" cm="1">
        <f t="array" ref="DK291">IF(AND($BT291=4,$BX291=4,$BU291=999),$DB$36,_xlfn.IFNA(INDEX(DB$13:DB$70,MATCH(1,($BR291=$CV$13:$CV$70)*($BT291=$CX$13:$CX$70)*($CE291=$CY$13:$CY$70)*($BY291=$DA$13:$DA$70)*($CD291=$DH$13:$DH$70),0)),""))</f>
        <v>Log-logistic</v>
      </c>
      <c r="DL291" s="58" t="str" cm="1">
        <f t="array" ref="DL291">IF(AND($BT291=4,$BX291=4,$BU291=999),$DC$36,_xlfn.IFNA(INDEX(CHOOSE(DP291,DB$13:DB$70,DC$13:DC$70,DD$13:DD$70,DE$13:DE$70),MATCH(1,($BR291=$CV$13:$CV$70)*($BT291=$CX$13:$CX$70)*($CE291=$CY$13:$CY$70)*($BY291=$DA$13:$DA$70)*($CD291=$DH$13:$DH$70),0)),""))</f>
        <v>Log-logistic</v>
      </c>
      <c r="DM291" s="740" cm="1">
        <f t="array" ref="DM291">IF(AND($BT291=4,$BX291=4,$BU291=999),$DD$36,_xlfn.IFNA(INDEX(DD$13:DD$68,MATCH(1,($BR291=$CV$13:$CV$68)*($BT291=$CX$13:$CX$68)*($CE291=$CY$13:$CY$68)*($BY291=$DA$13:$DA$68)*($CD291=$DH$13:$DH$68),0)),""))</f>
        <v>0</v>
      </c>
      <c r="DN291" s="740" cm="1">
        <f t="array" ref="DN291">IF(AND($BT291=4,$BX291=4,$BU291=999),$DD$36,_xlfn.IFNA(INDEX(DE$13:DE$68,MATCH(1,($BR291=$CV$13:$CV$68)*($BT291=$CX$13:$CX$68)*($CE291=$CY$13:$CY$68)*($BY291=$DA$13:$DA$68)*($CD291=$DH$13:$DH$68),0)),""))</f>
        <v>0</v>
      </c>
      <c r="DO291" s="58" t="str" cm="1">
        <f t="array" ref="DO291">IF(AND($BT291=4,$BX291=4,$BU291=999),$DF$36,_xlfn.IFNA(INDEX(DF$13:DF$70,MATCH(1,($BR291=$CV$13:$CV$70)*($BT291=$CX$13:$CX$70)*($CE291=$CY$13:$CY$70)*($BY291=$DA$13:$DA$70)*($CD291=$DH$13:$DH$70),0)),""))</f>
        <v>Base case</v>
      </c>
      <c r="DP291" s="58">
        <f t="shared" si="424"/>
        <v>1</v>
      </c>
      <c r="DW291" s="58" t="s">
        <v>58</v>
      </c>
      <c r="DX291" s="58" t="s">
        <v>554</v>
      </c>
      <c r="DY291" s="58">
        <v>0</v>
      </c>
      <c r="DZ291" s="58">
        <v>0</v>
      </c>
      <c r="EB291" s="58">
        <v>0</v>
      </c>
      <c r="EC291" s="58">
        <v>1</v>
      </c>
      <c r="ED291" s="58">
        <v>7</v>
      </c>
      <c r="EE291" s="58">
        <v>2</v>
      </c>
      <c r="EF291" s="58">
        <v>2</v>
      </c>
      <c r="EI291" s="58" t="s">
        <v>58</v>
      </c>
      <c r="EJ291" s="58" t="s">
        <v>554</v>
      </c>
      <c r="EK291" s="58">
        <v>0</v>
      </c>
      <c r="EL291" s="58">
        <v>0</v>
      </c>
      <c r="EN291" s="58">
        <v>0</v>
      </c>
      <c r="EO291" s="58">
        <v>1</v>
      </c>
      <c r="EP291" s="58">
        <v>7</v>
      </c>
      <c r="EQ291" s="58">
        <v>0</v>
      </c>
      <c r="ER291" s="58">
        <v>2</v>
      </c>
      <c r="EU291" s="58" t="str">
        <f t="shared" si="486"/>
        <v>No</v>
      </c>
      <c r="EV291" s="58" t="str">
        <f t="shared" si="487"/>
        <v>Time to treatment discontinuation</v>
      </c>
      <c r="EW291" s="58">
        <f t="shared" si="488"/>
        <v>0</v>
      </c>
      <c r="EX291" s="58">
        <f t="shared" si="489"/>
        <v>0</v>
      </c>
      <c r="EZ291" s="58">
        <f t="shared" si="490"/>
        <v>0</v>
      </c>
      <c r="FA291" s="58">
        <f t="shared" si="491"/>
        <v>1</v>
      </c>
      <c r="FB291" s="58">
        <f>IF(i_eff_inputs_based_on_num=2,ED291,(INDEX(Lists!$L$51:$L$85,MATCH(O291,Lists!$K$51:$K$85,0))))</f>
        <v>7</v>
      </c>
      <c r="FC291" s="58">
        <f>IF(i_eff_inputs_based_on_num=2,EE291,(INDEX(Lists!$L$51:$L$85,MATCH(P291,Lists!$K$51:$K$85,0))))</f>
        <v>2</v>
      </c>
      <c r="FD291" s="58">
        <f>IF(i_eff_inputs_based_on_num=2,EF291,(INDEX(Lists!$L$51:$L$85,MATCH(Q291,Lists!$K$51:$K$85,0))))</f>
        <v>2</v>
      </c>
      <c r="FG291" s="58" t="str">
        <f t="shared" si="492"/>
        <v>No</v>
      </c>
      <c r="FH291" s="58" t="str">
        <f t="shared" si="493"/>
        <v>Time to treatment discontinuation</v>
      </c>
      <c r="FI291" s="58">
        <f t="shared" si="494"/>
        <v>0</v>
      </c>
      <c r="FJ291" s="58">
        <f t="shared" si="495"/>
        <v>0</v>
      </c>
      <c r="FL291" s="58">
        <f t="shared" si="496"/>
        <v>0</v>
      </c>
      <c r="FM291" s="58">
        <f t="shared" si="497"/>
        <v>1</v>
      </c>
      <c r="FN291" s="58">
        <f>IF(i_eff_inputs_based_on_num=2,EP291,(INDEX(Lists!$L$51:$L$85,MATCH(O291,Lists!$K$51:$K$85,0))))</f>
        <v>7</v>
      </c>
      <c r="FO291" s="58">
        <f>IF(i_eff_inputs_based_on_num=2,EQ291,(INDEX(Lists!$L$51:$L$85,MATCH(P291,Lists!$K$51:$K$85,0))))</f>
        <v>0</v>
      </c>
      <c r="FP291" s="58">
        <f>IF(i_eff_inputs_based_on_num=2,ER291,(INDEX(Lists!$L$51:$L$85,MATCH(Q291,Lists!$K$51:$K$85,0))))</f>
        <v>2</v>
      </c>
      <c r="FT291" s="58">
        <f t="shared" si="425"/>
        <v>0</v>
      </c>
      <c r="FW291" s="58">
        <f>IF(i_baseline_risk_from=2,'Effectiveness settings'!EW291,'Effectiveness settings'!FI291)</f>
        <v>0</v>
      </c>
      <c r="FX291" s="58">
        <f t="shared" si="426"/>
        <v>0</v>
      </c>
      <c r="FY291" s="58">
        <f t="shared" si="427"/>
        <v>0</v>
      </c>
      <c r="FZ291" s="58">
        <f t="shared" si="428"/>
        <v>0</v>
      </c>
      <c r="GA291" s="58">
        <f t="shared" si="429"/>
        <v>0</v>
      </c>
      <c r="GB291" s="58">
        <f t="shared" si="430"/>
        <v>0</v>
      </c>
      <c r="GC291" s="58">
        <f t="shared" si="431"/>
        <v>0</v>
      </c>
      <c r="GD291" s="58">
        <f t="shared" si="432"/>
        <v>0</v>
      </c>
      <c r="GE291" s="58">
        <f>IF(AND(dd_CheckMate214_TTD="Yes",'Effectiveness settings'!BU291=2,'Effectiveness settings'!BX291=2),"Apply HR to",GD291)</f>
        <v>0</v>
      </c>
      <c r="GF291" s="58">
        <f t="shared" si="433"/>
        <v>0</v>
      </c>
      <c r="GG291" s="58">
        <f t="shared" si="434"/>
        <v>0</v>
      </c>
      <c r="GH291" s="58">
        <f t="shared" si="435"/>
        <v>0</v>
      </c>
      <c r="GI291" s="58">
        <f t="shared" si="415"/>
        <v>0</v>
      </c>
      <c r="GK291" s="58">
        <f>IF(i_baseline_risk_from=2,'Effectiveness settings'!FA291,'Effectiveness settings'!FM291)</f>
        <v>1</v>
      </c>
      <c r="GL291" s="58">
        <f>IF(i_baseline_risk_from=2,'Effectiveness settings'!FB291,'Effectiveness settings'!FN291)</f>
        <v>7</v>
      </c>
      <c r="GM291" s="58">
        <f>IF(i_baseline_risk_from=2,'Effectiveness settings'!FC291,'Effectiveness settings'!FO291)</f>
        <v>2</v>
      </c>
      <c r="GN291" s="58">
        <f>IF(i_baseline_risk_from=2,'Effectiveness settings'!FD291,'Effectiveness settings'!FP291)</f>
        <v>2</v>
      </c>
      <c r="GQ291" s="58">
        <f t="shared" si="436"/>
        <v>7</v>
      </c>
      <c r="GR291" s="58">
        <f t="shared" si="437"/>
        <v>7</v>
      </c>
      <c r="GS291" s="58">
        <f t="shared" si="438"/>
        <v>7</v>
      </c>
      <c r="GT291" s="58">
        <f t="shared" si="439"/>
        <v>7</v>
      </c>
      <c r="GU291" s="58">
        <f>IF(AND(dd_CheckMate214_TTD="Yes",'Effectiveness settings'!BU291=2,'Effectiveness settings'!BX291=2),2,GT291)</f>
        <v>7</v>
      </c>
      <c r="GV291" s="58">
        <f t="shared" si="440"/>
        <v>7</v>
      </c>
      <c r="GW291" s="58">
        <f t="shared" si="441"/>
        <v>7</v>
      </c>
      <c r="GY291" s="58">
        <f>IF(AND(dd_CheckMate214_TTD="Yes",'Effectiveness settings'!BU291=2,'Effectiveness settings'!BX291=2),1,GN291)</f>
        <v>2</v>
      </c>
      <c r="GZ291" s="58">
        <f t="shared" si="442"/>
        <v>2</v>
      </c>
      <c r="HB291" s="58">
        <f t="shared" si="443"/>
        <v>0</v>
      </c>
      <c r="HD291" s="58">
        <f t="shared" si="416"/>
        <v>0</v>
      </c>
      <c r="HE291" s="58">
        <f t="shared" si="417"/>
        <v>1</v>
      </c>
      <c r="HF291" s="58">
        <f t="shared" si="418"/>
        <v>7</v>
      </c>
      <c r="HG291" s="58">
        <f t="shared" si="419"/>
        <v>2</v>
      </c>
      <c r="HH291" s="58">
        <f t="shared" si="420"/>
        <v>2</v>
      </c>
    </row>
    <row r="292" spans="1:216" ht="15.75" x14ac:dyDescent="0.25">
      <c r="D292" s="58" t="str">
        <v>lenvatinib_plus_pembrolizumab</v>
      </c>
      <c r="I292" s="64" t="s">
        <v>58</v>
      </c>
      <c r="J292" s="519" t="s">
        <v>554</v>
      </c>
      <c r="K292" s="524" t="s">
        <v>63</v>
      </c>
      <c r="L292" s="519"/>
      <c r="M292" s="516" t="s">
        <v>31</v>
      </c>
      <c r="N292" s="64" t="s">
        <v>546</v>
      </c>
      <c r="O292" s="64" t="s">
        <v>117</v>
      </c>
      <c r="P292" s="64" t="s">
        <v>547</v>
      </c>
      <c r="Q292" s="519" t="s">
        <v>554</v>
      </c>
      <c r="R292" s="516" t="s">
        <v>548</v>
      </c>
      <c r="S292" s="497"/>
      <c r="T292" s="497"/>
      <c r="U292" s="497"/>
      <c r="W292" s="58" t="str">
        <v>lenvatinib_plus_pembrolizumab</v>
      </c>
      <c r="X292" s="64" t="s">
        <v>58</v>
      </c>
      <c r="Y292" s="519" t="s">
        <v>554</v>
      </c>
      <c r="Z292" s="524"/>
      <c r="AA292" s="519"/>
      <c r="AB292" s="516" t="s">
        <v>31</v>
      </c>
      <c r="AC292" s="64" t="s">
        <v>576</v>
      </c>
      <c r="AD292" s="64" t="s">
        <v>582</v>
      </c>
      <c r="AE292" s="64" t="s">
        <v>547</v>
      </c>
      <c r="AF292" s="519" t="s">
        <v>552</v>
      </c>
      <c r="AG292" s="516" t="s">
        <v>548</v>
      </c>
      <c r="AH292" s="497"/>
      <c r="AI292" s="497"/>
      <c r="AJ292" s="497"/>
      <c r="AL292" s="64" t="str">
        <f t="shared" si="472"/>
        <v>No</v>
      </c>
      <c r="AM292" s="519" t="s">
        <v>554</v>
      </c>
      <c r="AN292" s="524"/>
      <c r="AO292" s="519"/>
      <c r="AP292" s="516" t="s">
        <v>31</v>
      </c>
      <c r="AQ292" s="64" t="s">
        <v>577</v>
      </c>
      <c r="AR292" s="64" t="s">
        <v>582</v>
      </c>
      <c r="AS292" s="64" t="s">
        <v>547</v>
      </c>
      <c r="AT292" s="519" t="s">
        <v>552</v>
      </c>
      <c r="AU292" s="516" t="s">
        <v>548</v>
      </c>
      <c r="AV292" s="497"/>
      <c r="AW292" s="497"/>
      <c r="AX292" s="497"/>
      <c r="AZ292" s="64" t="str">
        <f t="shared" si="473"/>
        <v>No</v>
      </c>
      <c r="BA292" s="519" t="s">
        <v>554</v>
      </c>
      <c r="BB292" s="524"/>
      <c r="BC292" s="519"/>
      <c r="BD292" s="516" t="s">
        <v>31</v>
      </c>
      <c r="BE292" s="64" t="s">
        <v>565</v>
      </c>
      <c r="BF292" s="64" t="s">
        <v>582</v>
      </c>
      <c r="BG292" s="64" t="s">
        <v>547</v>
      </c>
      <c r="BH292" s="519" t="s">
        <v>552</v>
      </c>
      <c r="BI292" s="516" t="s">
        <v>548</v>
      </c>
      <c r="BJ292" s="497">
        <v>1</v>
      </c>
      <c r="BK292" s="497"/>
      <c r="BL292" s="497"/>
      <c r="BQ292" s="58">
        <f t="shared" si="423"/>
        <v>172</v>
      </c>
      <c r="BR292" s="61">
        <v>0</v>
      </c>
      <c r="BS292" s="61" t="s">
        <v>31</v>
      </c>
      <c r="BT292" s="17">
        <v>1</v>
      </c>
      <c r="BU292" s="17">
        <v>3</v>
      </c>
      <c r="BV292" s="17" t="str">
        <f t="shared" si="474"/>
        <v>lenvatinib_plus_pembrolizumab</v>
      </c>
      <c r="BW292" s="1006" t="str" cm="1">
        <f t="array" ref="BW292">IF(I292="No",I292,INDEX(List_incl_anal_1L_all,IF(BU292=999,35,BU292+1)))</f>
        <v>No</v>
      </c>
      <c r="BX292" s="61">
        <f t="shared" si="475"/>
        <v>2</v>
      </c>
      <c r="BY292" s="531" t="str">
        <f>J292</f>
        <v>Time to treatment discontinuation</v>
      </c>
      <c r="BZ292" s="530">
        <f t="shared" si="476"/>
        <v>0</v>
      </c>
      <c r="CA292" s="531">
        <f t="shared" si="498"/>
        <v>0</v>
      </c>
      <c r="CB292" s="530">
        <f t="shared" si="477"/>
        <v>0</v>
      </c>
      <c r="CC292" s="530">
        <f t="shared" si="478"/>
        <v>1</v>
      </c>
      <c r="CD292" s="530">
        <f t="shared" si="479"/>
        <v>7</v>
      </c>
      <c r="CE292" s="1295">
        <f t="shared" si="480"/>
        <v>2</v>
      </c>
      <c r="CF292" s="1301">
        <f t="shared" si="481"/>
        <v>2</v>
      </c>
      <c r="CG292" s="530" t="str">
        <f t="shared" si="482"/>
        <v>Log-logistic</v>
      </c>
      <c r="CH292" s="61">
        <f t="shared" si="483"/>
        <v>0</v>
      </c>
      <c r="CI292" s="61">
        <f t="shared" si="484"/>
        <v>0</v>
      </c>
      <c r="CJ292" s="61">
        <f t="shared" si="485"/>
        <v>0</v>
      </c>
      <c r="DK292" s="58" t="str" cm="1">
        <f t="array" ref="DK292">IF(AND($BT292=4,$BX292=4,$BU292=999),$DB$36,_xlfn.IFNA(INDEX(DB$13:DB$70,MATCH(1,($BR292=$CV$13:$CV$70)*($BT292=$CX$13:$CX$70)*($CE292=$CY$13:$CY$70)*($BY292=$DA$13:$DA$70)*($CD292=$DH$13:$DH$70),0)),""))</f>
        <v>Log-logistic</v>
      </c>
      <c r="DL292" s="58" t="str" cm="1">
        <f t="array" ref="DL292">IF(AND($BT292=4,$BX292=4,$BU292=999),$DC$36,_xlfn.IFNA(INDEX(CHOOSE(DP292,DB$13:DB$70,DC$13:DC$70,DD$13:DD$70,DE$13:DE$70),MATCH(1,($BR292=$CV$13:$CV$70)*($BT292=$CX$13:$CX$70)*($CE292=$CY$13:$CY$70)*($BY292=$DA$13:$DA$70)*($CD292=$DH$13:$DH$70),0)),""))</f>
        <v>Log-logistic</v>
      </c>
      <c r="DM292" s="740" cm="1">
        <f t="array" ref="DM292">IF(AND($BT292=4,$BX292=4,$BU292=999),$DD$36,_xlfn.IFNA(INDEX(DD$13:DD$68,MATCH(1,($BR292=$CV$13:$CV$68)*($BT292=$CX$13:$CX$68)*($CE292=$CY$13:$CY$68)*($BY292=$DA$13:$DA$68)*($CD292=$DH$13:$DH$68),0)),""))</f>
        <v>0</v>
      </c>
      <c r="DN292" s="740" cm="1">
        <f t="array" ref="DN292">IF(AND($BT292=4,$BX292=4,$BU292=999),$DD$36,_xlfn.IFNA(INDEX(DE$13:DE$68,MATCH(1,($BR292=$CV$13:$CV$68)*($BT292=$CX$13:$CX$68)*($CE292=$CY$13:$CY$68)*($BY292=$DA$13:$DA$68)*($CD292=$DH$13:$DH$68),0)),""))</f>
        <v>0</v>
      </c>
      <c r="DO292" s="58" t="str" cm="1">
        <f t="array" ref="DO292">IF(AND($BT292=4,$BX292=4,$BU292=999),$DF$36,_xlfn.IFNA(INDEX(DF$13:DF$70,MATCH(1,($BR292=$CV$13:$CV$70)*($BT292=$CX$13:$CX$70)*($CE292=$CY$13:$CY$70)*($BY292=$DA$13:$DA$70)*($CD292=$DH$13:$DH$70),0)),""))</f>
        <v>Base case</v>
      </c>
      <c r="DP292" s="58">
        <f t="shared" si="424"/>
        <v>1</v>
      </c>
      <c r="DW292" s="58" t="s">
        <v>58</v>
      </c>
      <c r="DX292" s="58" t="s">
        <v>554</v>
      </c>
      <c r="DY292" s="58">
        <v>0</v>
      </c>
      <c r="DZ292" s="58">
        <v>0</v>
      </c>
      <c r="EB292" s="58">
        <v>0</v>
      </c>
      <c r="EC292" s="58">
        <v>1</v>
      </c>
      <c r="ED292" s="58">
        <v>7</v>
      </c>
      <c r="EE292" s="58">
        <v>2</v>
      </c>
      <c r="EF292" s="58">
        <v>2</v>
      </c>
      <c r="EI292" s="58" t="s">
        <v>58</v>
      </c>
      <c r="EJ292" s="58" t="s">
        <v>554</v>
      </c>
      <c r="EK292" s="58">
        <v>0</v>
      </c>
      <c r="EL292" s="58">
        <v>0</v>
      </c>
      <c r="EN292" s="58">
        <v>0</v>
      </c>
      <c r="EO292" s="58">
        <v>1</v>
      </c>
      <c r="EP292" s="58">
        <v>7</v>
      </c>
      <c r="EQ292" s="58">
        <v>0</v>
      </c>
      <c r="ER292" s="58">
        <v>2</v>
      </c>
      <c r="EU292" s="58" t="str">
        <f t="shared" si="486"/>
        <v>No</v>
      </c>
      <c r="EV292" s="58" t="str">
        <f t="shared" si="487"/>
        <v>Time to treatment discontinuation</v>
      </c>
      <c r="EW292" s="58">
        <f t="shared" si="488"/>
        <v>0</v>
      </c>
      <c r="EX292" s="58">
        <f t="shared" si="489"/>
        <v>0</v>
      </c>
      <c r="EZ292" s="58">
        <f t="shared" si="490"/>
        <v>0</v>
      </c>
      <c r="FA292" s="58">
        <f t="shared" si="491"/>
        <v>1</v>
      </c>
      <c r="FB292" s="58">
        <f>IF(i_eff_inputs_based_on_num=2,ED292,(INDEX(Lists!$L$51:$L$85,MATCH(O292,Lists!$K$51:$K$85,0))))</f>
        <v>7</v>
      </c>
      <c r="FC292" s="58">
        <f>IF(i_eff_inputs_based_on_num=2,EE292,(INDEX(Lists!$L$51:$L$85,MATCH(P292,Lists!$K$51:$K$85,0))))</f>
        <v>2</v>
      </c>
      <c r="FD292" s="58">
        <f>IF(i_eff_inputs_based_on_num=2,EF292,(INDEX(Lists!$L$51:$L$85,MATCH(Q292,Lists!$K$51:$K$85,0))))</f>
        <v>2</v>
      </c>
      <c r="FG292" s="58" t="str">
        <f t="shared" si="492"/>
        <v>No</v>
      </c>
      <c r="FH292" s="58" t="str">
        <f t="shared" si="493"/>
        <v>Time to treatment discontinuation</v>
      </c>
      <c r="FI292" s="58">
        <f t="shared" si="494"/>
        <v>0</v>
      </c>
      <c r="FJ292" s="58">
        <f t="shared" si="495"/>
        <v>0</v>
      </c>
      <c r="FL292" s="58">
        <f t="shared" si="496"/>
        <v>0</v>
      </c>
      <c r="FM292" s="58">
        <f t="shared" si="497"/>
        <v>1</v>
      </c>
      <c r="FN292" s="58">
        <f>IF(i_eff_inputs_based_on_num=2,EP292,(INDEX(Lists!$L$51:$L$85,MATCH(O292,Lists!$K$51:$K$85,0))))</f>
        <v>7</v>
      </c>
      <c r="FO292" s="58">
        <f>IF(i_eff_inputs_based_on_num=2,EQ292,(INDEX(Lists!$L$51:$L$85,MATCH(P292,Lists!$K$51:$K$85,0))))</f>
        <v>0</v>
      </c>
      <c r="FP292" s="58">
        <f>IF(i_eff_inputs_based_on_num=2,ER292,(INDEX(Lists!$L$51:$L$85,MATCH(Q292,Lists!$K$51:$K$85,0))))</f>
        <v>2</v>
      </c>
      <c r="FT292" s="58">
        <f t="shared" si="425"/>
        <v>0</v>
      </c>
      <c r="FW292" s="58">
        <f>IF(i_baseline_risk_from=2,'Effectiveness settings'!EW292,'Effectiveness settings'!FI292)</f>
        <v>0</v>
      </c>
      <c r="FX292" s="58">
        <f t="shared" si="426"/>
        <v>0</v>
      </c>
      <c r="FY292" s="58">
        <f t="shared" si="427"/>
        <v>0</v>
      </c>
      <c r="FZ292" s="58">
        <f t="shared" si="428"/>
        <v>0</v>
      </c>
      <c r="GA292" s="58">
        <f t="shared" si="429"/>
        <v>0</v>
      </c>
      <c r="GB292" s="58">
        <f t="shared" si="430"/>
        <v>0</v>
      </c>
      <c r="GC292" s="58">
        <f t="shared" si="431"/>
        <v>0</v>
      </c>
      <c r="GD292" s="58">
        <f t="shared" si="432"/>
        <v>0</v>
      </c>
      <c r="GE292" s="58">
        <f>IF(AND(dd_CheckMate214_TTD="Yes",'Effectiveness settings'!BU292=2,'Effectiveness settings'!BX292=2),"Apply HR to",GD292)</f>
        <v>0</v>
      </c>
      <c r="GF292" s="58">
        <f t="shared" si="433"/>
        <v>0</v>
      </c>
      <c r="GG292" s="58">
        <f t="shared" si="434"/>
        <v>0</v>
      </c>
      <c r="GH292" s="58">
        <f t="shared" si="435"/>
        <v>0</v>
      </c>
      <c r="GI292" s="58">
        <f t="shared" si="415"/>
        <v>0</v>
      </c>
      <c r="GK292" s="58">
        <f>IF(i_baseline_risk_from=2,'Effectiveness settings'!FA292,'Effectiveness settings'!FM292)</f>
        <v>1</v>
      </c>
      <c r="GL292" s="58">
        <f>IF(i_baseline_risk_from=2,'Effectiveness settings'!FB292,'Effectiveness settings'!FN292)</f>
        <v>7</v>
      </c>
      <c r="GM292" s="58">
        <f>IF(i_baseline_risk_from=2,'Effectiveness settings'!FC292,'Effectiveness settings'!FO292)</f>
        <v>2</v>
      </c>
      <c r="GN292" s="58">
        <f>IF(i_baseline_risk_from=2,'Effectiveness settings'!FD292,'Effectiveness settings'!FP292)</f>
        <v>2</v>
      </c>
      <c r="GQ292" s="58">
        <f t="shared" si="436"/>
        <v>7</v>
      </c>
      <c r="GR292" s="58">
        <f t="shared" si="437"/>
        <v>7</v>
      </c>
      <c r="GS292" s="58">
        <f t="shared" si="438"/>
        <v>7</v>
      </c>
      <c r="GT292" s="58">
        <f t="shared" si="439"/>
        <v>7</v>
      </c>
      <c r="GU292" s="58">
        <f>IF(AND(dd_CheckMate214_TTD="Yes",'Effectiveness settings'!BU292=2,'Effectiveness settings'!BX292=2),2,GT292)</f>
        <v>7</v>
      </c>
      <c r="GV292" s="58">
        <f t="shared" si="440"/>
        <v>7</v>
      </c>
      <c r="GW292" s="58">
        <f t="shared" si="441"/>
        <v>7</v>
      </c>
      <c r="GY292" s="58">
        <f>IF(AND(dd_CheckMate214_TTD="Yes",'Effectiveness settings'!BU292=2,'Effectiveness settings'!BX292=2),1,GN292)</f>
        <v>2</v>
      </c>
      <c r="GZ292" s="58">
        <f t="shared" si="442"/>
        <v>2</v>
      </c>
      <c r="HB292" s="58">
        <f t="shared" si="443"/>
        <v>0</v>
      </c>
      <c r="HD292" s="58">
        <f t="shared" si="416"/>
        <v>0</v>
      </c>
      <c r="HE292" s="58">
        <f t="shared" si="417"/>
        <v>1</v>
      </c>
      <c r="HF292" s="58">
        <f t="shared" si="418"/>
        <v>7</v>
      </c>
      <c r="HG292" s="58">
        <f t="shared" si="419"/>
        <v>2</v>
      </c>
      <c r="HH292" s="58">
        <f t="shared" si="420"/>
        <v>2</v>
      </c>
    </row>
    <row r="293" spans="1:216" ht="15.75" x14ac:dyDescent="0.25">
      <c r="D293" s="58" t="str">
        <v>avelumab_plus_axitinib</v>
      </c>
      <c r="I293" s="739" t="str">
        <f>dd_incl_ave_plus_axi</f>
        <v>No</v>
      </c>
      <c r="J293" s="519" t="s">
        <v>554</v>
      </c>
      <c r="K293" s="524" t="s">
        <v>63</v>
      </c>
      <c r="L293" s="519"/>
      <c r="M293" s="516" t="s">
        <v>31</v>
      </c>
      <c r="N293" s="64" t="s">
        <v>546</v>
      </c>
      <c r="O293" s="64" t="s">
        <v>117</v>
      </c>
      <c r="P293" s="64" t="s">
        <v>547</v>
      </c>
      <c r="Q293" s="519" t="s">
        <v>554</v>
      </c>
      <c r="R293" s="516" t="s">
        <v>548</v>
      </c>
      <c r="S293" s="497"/>
      <c r="T293" s="497"/>
      <c r="U293" s="497"/>
      <c r="W293" s="58" t="str">
        <v>avelumab_plus_axitinib</v>
      </c>
      <c r="X293" s="64" t="s">
        <v>58</v>
      </c>
      <c r="Y293" s="519" t="s">
        <v>554</v>
      </c>
      <c r="Z293" s="524"/>
      <c r="AA293" s="519"/>
      <c r="AB293" s="516" t="s">
        <v>31</v>
      </c>
      <c r="AC293" s="64" t="s">
        <v>576</v>
      </c>
      <c r="AD293" s="64" t="s">
        <v>583</v>
      </c>
      <c r="AE293" s="64" t="s">
        <v>547</v>
      </c>
      <c r="AF293" s="519" t="s">
        <v>552</v>
      </c>
      <c r="AG293" s="516" t="s">
        <v>548</v>
      </c>
      <c r="AH293" s="497"/>
      <c r="AI293" s="497"/>
      <c r="AJ293" s="497"/>
      <c r="AL293" s="64" t="s">
        <v>58</v>
      </c>
      <c r="AM293" s="519" t="s">
        <v>554</v>
      </c>
      <c r="AN293" s="524"/>
      <c r="AO293" s="519"/>
      <c r="AP293" s="516" t="s">
        <v>31</v>
      </c>
      <c r="AQ293" s="64" t="s">
        <v>577</v>
      </c>
      <c r="AR293" s="64" t="s">
        <v>583</v>
      </c>
      <c r="AS293" s="64" t="s">
        <v>547</v>
      </c>
      <c r="AT293" s="519" t="s">
        <v>552</v>
      </c>
      <c r="AU293" s="516" t="s">
        <v>548</v>
      </c>
      <c r="AV293" s="497"/>
      <c r="AW293" s="497"/>
      <c r="AX293" s="497"/>
      <c r="AZ293" s="64" t="s">
        <v>58</v>
      </c>
      <c r="BA293" s="519" t="s">
        <v>554</v>
      </c>
      <c r="BB293" s="524"/>
      <c r="BC293" s="519"/>
      <c r="BD293" s="516" t="s">
        <v>31</v>
      </c>
      <c r="BE293" s="64" t="s">
        <v>565</v>
      </c>
      <c r="BF293" s="64" t="s">
        <v>583</v>
      </c>
      <c r="BG293" s="64" t="s">
        <v>547</v>
      </c>
      <c r="BH293" s="519" t="s">
        <v>552</v>
      </c>
      <c r="BI293" s="516" t="s">
        <v>548</v>
      </c>
      <c r="BJ293" s="497">
        <v>1</v>
      </c>
      <c r="BK293" s="497"/>
      <c r="BL293" s="497"/>
      <c r="BQ293" s="58">
        <f t="shared" si="423"/>
        <v>173</v>
      </c>
      <c r="BR293" s="61">
        <v>0</v>
      </c>
      <c r="BS293" s="61" t="s">
        <v>31</v>
      </c>
      <c r="BT293" s="17">
        <v>1</v>
      </c>
      <c r="BU293" s="17">
        <v>4</v>
      </c>
      <c r="BV293" s="17" t="str">
        <f t="shared" si="474"/>
        <v>avelumab_plus_axitinib</v>
      </c>
      <c r="BW293" s="1006" t="str" cm="1">
        <f t="array" ref="BW293">IF(I293="No",I293,INDEX(List_incl_anal_1L_all,IF(BU293=999,35,BU293+1)))</f>
        <v>No</v>
      </c>
      <c r="BX293" s="61">
        <f t="shared" si="475"/>
        <v>2</v>
      </c>
      <c r="BY293" s="531" t="str">
        <f>J293</f>
        <v>Time to treatment discontinuation</v>
      </c>
      <c r="BZ293" s="530" t="str">
        <f t="shared" si="476"/>
        <v>FP_NMA</v>
      </c>
      <c r="CA293" s="531">
        <f t="shared" si="498"/>
        <v>0</v>
      </c>
      <c r="CB293" s="530">
        <f t="shared" si="477"/>
        <v>0</v>
      </c>
      <c r="CC293" s="530">
        <f t="shared" si="478"/>
        <v>1</v>
      </c>
      <c r="CD293" s="530">
        <f t="shared" si="479"/>
        <v>7</v>
      </c>
      <c r="CE293" s="1295">
        <f t="shared" si="480"/>
        <v>2</v>
      </c>
      <c r="CF293" s="1301">
        <f t="shared" si="481"/>
        <v>2</v>
      </c>
      <c r="CG293" s="530" t="str">
        <f t="shared" si="482"/>
        <v>Log-logistic</v>
      </c>
      <c r="CH293" s="61">
        <f t="shared" si="483"/>
        <v>0</v>
      </c>
      <c r="CI293" s="61">
        <f t="shared" si="484"/>
        <v>0</v>
      </c>
      <c r="CJ293" s="61">
        <f t="shared" si="485"/>
        <v>0</v>
      </c>
      <c r="DK293" s="58" t="str" cm="1">
        <f t="array" ref="DK293">IF(AND($BT293=4,$BX293=4,$BU293=999),$DB$36,_xlfn.IFNA(INDEX(DB$13:DB$70,MATCH(1,($BR293=$CV$13:$CV$70)*($BT293=$CX$13:$CX$70)*($CE293=$CY$13:$CY$70)*($BY293=$DA$13:$DA$70)*($CD293=$DH$13:$DH$70),0)),""))</f>
        <v>Log-logistic</v>
      </c>
      <c r="DL293" s="58" t="str" cm="1">
        <f t="array" ref="DL293">IF(AND($BT293=4,$BX293=4,$BU293=999),$DC$36,_xlfn.IFNA(INDEX(CHOOSE(DP293,DB$13:DB$70,DC$13:DC$70,DD$13:DD$70,DE$13:DE$70),MATCH(1,($BR293=$CV$13:$CV$70)*($BT293=$CX$13:$CX$70)*($CE293=$CY$13:$CY$70)*($BY293=$DA$13:$DA$70)*($CD293=$DH$13:$DH$70),0)),""))</f>
        <v>Log-logistic</v>
      </c>
      <c r="DM293" s="740" cm="1">
        <f t="array" ref="DM293">IF(AND($BT293=4,$BX293=4,$BU293=999),$DD$36,_xlfn.IFNA(INDEX(DD$13:DD$68,MATCH(1,($BR293=$CV$13:$CV$68)*($BT293=$CX$13:$CX$68)*($CE293=$CY$13:$CY$68)*($BY293=$DA$13:$DA$68)*($CD293=$DH$13:$DH$68),0)),""))</f>
        <v>0</v>
      </c>
      <c r="DN293" s="740" cm="1">
        <f t="array" ref="DN293">IF(AND($BT293=4,$BX293=4,$BU293=999),$DD$36,_xlfn.IFNA(INDEX(DE$13:DE$68,MATCH(1,($BR293=$CV$13:$CV$68)*($BT293=$CX$13:$CX$68)*($CE293=$CY$13:$CY$68)*($BY293=$DA$13:$DA$68)*($CD293=$DH$13:$DH$68),0)),""))</f>
        <v>0</v>
      </c>
      <c r="DO293" s="58" t="str" cm="1">
        <f t="array" ref="DO293">IF(AND($BT293=4,$BX293=4,$BU293=999),$DF$36,_xlfn.IFNA(INDEX(DF$13:DF$70,MATCH(1,($BR293=$CV$13:$CV$70)*($BT293=$CX$13:$CX$70)*($CE293=$CY$13:$CY$70)*($BY293=$DA$13:$DA$70)*($CD293=$DH$13:$DH$70),0)),""))</f>
        <v>Base case</v>
      </c>
      <c r="DP293" s="58">
        <f t="shared" si="424"/>
        <v>1</v>
      </c>
      <c r="DW293" s="58" t="s">
        <v>58</v>
      </c>
      <c r="DX293" s="58" t="s">
        <v>554</v>
      </c>
      <c r="DY293" s="58" t="s">
        <v>63</v>
      </c>
      <c r="DZ293" s="58">
        <v>0</v>
      </c>
      <c r="EB293" s="58">
        <v>0</v>
      </c>
      <c r="EC293" s="58">
        <v>1</v>
      </c>
      <c r="ED293" s="58">
        <v>7</v>
      </c>
      <c r="EE293" s="58">
        <v>2</v>
      </c>
      <c r="EF293" s="58">
        <v>2</v>
      </c>
      <c r="EI293" s="58" t="s">
        <v>58</v>
      </c>
      <c r="EJ293" s="58" t="s">
        <v>554</v>
      </c>
      <c r="EK293" s="58" t="s">
        <v>63</v>
      </c>
      <c r="EL293" s="58">
        <v>0</v>
      </c>
      <c r="EN293" s="58">
        <v>0</v>
      </c>
      <c r="EO293" s="58">
        <v>1</v>
      </c>
      <c r="EP293" s="58">
        <v>7</v>
      </c>
      <c r="EQ293" s="58">
        <v>0</v>
      </c>
      <c r="ER293" s="58">
        <v>2</v>
      </c>
      <c r="EU293" s="58" t="str">
        <f t="shared" si="486"/>
        <v>No</v>
      </c>
      <c r="EV293" s="58" t="str">
        <f t="shared" si="487"/>
        <v>Time to treatment discontinuation</v>
      </c>
      <c r="EW293" s="58" t="str">
        <f t="shared" si="488"/>
        <v>FP_NMA</v>
      </c>
      <c r="EX293" s="58">
        <f t="shared" si="489"/>
        <v>0</v>
      </c>
      <c r="EZ293" s="58">
        <f t="shared" si="490"/>
        <v>0</v>
      </c>
      <c r="FA293" s="58">
        <f t="shared" si="491"/>
        <v>1</v>
      </c>
      <c r="FB293" s="58">
        <f>IF(i_eff_inputs_based_on_num=2,ED293,(INDEX(Lists!$L$51:$L$85,MATCH(O293,Lists!$K$51:$K$85,0))))</f>
        <v>7</v>
      </c>
      <c r="FC293" s="58">
        <f>IF(i_eff_inputs_based_on_num=2,EE293,(INDEX(Lists!$L$51:$L$85,MATCH(P293,Lists!$K$51:$K$85,0))))</f>
        <v>2</v>
      </c>
      <c r="FD293" s="58">
        <f>IF(i_eff_inputs_based_on_num=2,EF293,(INDEX(Lists!$L$51:$L$85,MATCH(Q293,Lists!$K$51:$K$85,0))))</f>
        <v>2</v>
      </c>
      <c r="FG293" s="58" t="str">
        <f t="shared" si="492"/>
        <v>No</v>
      </c>
      <c r="FH293" s="58" t="str">
        <f t="shared" si="493"/>
        <v>Time to treatment discontinuation</v>
      </c>
      <c r="FI293" s="58" t="str">
        <f t="shared" si="494"/>
        <v>FP_NMA</v>
      </c>
      <c r="FJ293" s="58">
        <f t="shared" si="495"/>
        <v>0</v>
      </c>
      <c r="FL293" s="58">
        <f t="shared" si="496"/>
        <v>0</v>
      </c>
      <c r="FM293" s="58">
        <f t="shared" si="497"/>
        <v>1</v>
      </c>
      <c r="FN293" s="58">
        <f>IF(i_eff_inputs_based_on_num=2,EP293,(INDEX(Lists!$L$51:$L$85,MATCH(O293,Lists!$K$51:$K$85,0))))</f>
        <v>7</v>
      </c>
      <c r="FO293" s="58">
        <f>IF(i_eff_inputs_based_on_num=2,EQ293,(INDEX(Lists!$L$51:$L$85,MATCH(P293,Lists!$K$51:$K$85,0))))</f>
        <v>0</v>
      </c>
      <c r="FP293" s="58">
        <f>IF(i_eff_inputs_based_on_num=2,ER293,(INDEX(Lists!$L$51:$L$85,MATCH(Q293,Lists!$K$51:$K$85,0))))</f>
        <v>2</v>
      </c>
      <c r="FT293" s="58">
        <f t="shared" si="425"/>
        <v>0</v>
      </c>
      <c r="FW293" s="58" t="str">
        <f>IF(i_baseline_risk_from=2,'Effectiveness settings'!EW293,'Effectiveness settings'!FI293)</f>
        <v>FP_NMA</v>
      </c>
      <c r="FX293" s="58" t="str">
        <f t="shared" si="426"/>
        <v>FP_NMA</v>
      </c>
      <c r="FY293" s="58" t="str">
        <f t="shared" si="427"/>
        <v>FP_NMA</v>
      </c>
      <c r="FZ293" s="58" t="str">
        <f t="shared" si="428"/>
        <v>FP_NMA</v>
      </c>
      <c r="GA293" s="58" t="str">
        <f t="shared" si="429"/>
        <v>FP_NMA</v>
      </c>
      <c r="GB293" s="58" t="str">
        <f t="shared" si="430"/>
        <v>FP_NMA</v>
      </c>
      <c r="GC293" s="58" t="str">
        <f t="shared" si="431"/>
        <v>FP_NMA</v>
      </c>
      <c r="GD293" s="58" t="str">
        <f t="shared" si="432"/>
        <v>FP_NMA</v>
      </c>
      <c r="GE293" s="58" t="str">
        <f>IF(AND(dd_CheckMate214_TTD="Yes",'Effectiveness settings'!BU293=2,'Effectiveness settings'!BX293=2),"Apply HR to",GD293)</f>
        <v>FP_NMA</v>
      </c>
      <c r="GF293" s="58" t="str">
        <f t="shared" si="433"/>
        <v>FP_NMA</v>
      </c>
      <c r="GG293" s="58" t="str">
        <f t="shared" si="434"/>
        <v>FP_NMA</v>
      </c>
      <c r="GH293" s="58" t="str">
        <f t="shared" si="435"/>
        <v>FP_NMA</v>
      </c>
      <c r="GI293" s="58" t="str">
        <f t="shared" si="415"/>
        <v>FP_NMA</v>
      </c>
      <c r="GK293" s="58">
        <f>IF(i_baseline_risk_from=2,'Effectiveness settings'!FA293,'Effectiveness settings'!FM293)</f>
        <v>1</v>
      </c>
      <c r="GL293" s="58">
        <f>IF(i_baseline_risk_from=2,'Effectiveness settings'!FB293,'Effectiveness settings'!FN293)</f>
        <v>7</v>
      </c>
      <c r="GM293" s="58">
        <f>IF(i_baseline_risk_from=2,'Effectiveness settings'!FC293,'Effectiveness settings'!FO293)</f>
        <v>2</v>
      </c>
      <c r="GN293" s="58">
        <f>IF(i_baseline_risk_from=2,'Effectiveness settings'!FD293,'Effectiveness settings'!FP293)</f>
        <v>2</v>
      </c>
      <c r="GQ293" s="58">
        <f t="shared" si="436"/>
        <v>7</v>
      </c>
      <c r="GR293" s="58">
        <f t="shared" si="437"/>
        <v>7</v>
      </c>
      <c r="GS293" s="58">
        <f t="shared" si="438"/>
        <v>7</v>
      </c>
      <c r="GT293" s="58">
        <f t="shared" si="439"/>
        <v>7</v>
      </c>
      <c r="GU293" s="58">
        <f>IF(AND(dd_CheckMate214_TTD="Yes",'Effectiveness settings'!BU293=2,'Effectiveness settings'!BX293=2),2,GT293)</f>
        <v>7</v>
      </c>
      <c r="GV293" s="58">
        <f t="shared" si="440"/>
        <v>7</v>
      </c>
      <c r="GW293" s="58">
        <f t="shared" si="441"/>
        <v>7</v>
      </c>
      <c r="GY293" s="58">
        <f>IF(AND(dd_CheckMate214_TTD="Yes",'Effectiveness settings'!BU293=2,'Effectiveness settings'!BX293=2),1,GN293)</f>
        <v>2</v>
      </c>
      <c r="GZ293" s="58">
        <f t="shared" si="442"/>
        <v>2</v>
      </c>
      <c r="HB293" s="58">
        <f t="shared" si="443"/>
        <v>0</v>
      </c>
      <c r="HD293" s="58">
        <f t="shared" si="416"/>
        <v>0</v>
      </c>
      <c r="HE293" s="58">
        <f t="shared" si="417"/>
        <v>1</v>
      </c>
      <c r="HF293" s="58">
        <f t="shared" si="418"/>
        <v>7</v>
      </c>
      <c r="HG293" s="58">
        <f t="shared" si="419"/>
        <v>2</v>
      </c>
      <c r="HH293" s="58">
        <f t="shared" si="420"/>
        <v>2</v>
      </c>
    </row>
    <row r="294" spans="1:216" ht="15.75" x14ac:dyDescent="0.25">
      <c r="D294" s="58" t="str">
        <v>pazopanib</v>
      </c>
      <c r="I294" s="64" t="s">
        <v>74</v>
      </c>
      <c r="J294" s="519" t="s">
        <v>554</v>
      </c>
      <c r="K294" s="524" t="s">
        <v>63</v>
      </c>
      <c r="L294" s="519"/>
      <c r="M294" s="516" t="s">
        <v>31</v>
      </c>
      <c r="N294" s="64" t="s">
        <v>546</v>
      </c>
      <c r="O294" s="64" t="s">
        <v>117</v>
      </c>
      <c r="P294" s="64" t="s">
        <v>547</v>
      </c>
      <c r="Q294" s="519" t="s">
        <v>554</v>
      </c>
      <c r="R294" s="516" t="s">
        <v>548</v>
      </c>
      <c r="S294" s="497"/>
      <c r="T294" s="497"/>
      <c r="U294" s="497"/>
      <c r="W294" s="58" t="str">
        <v>pazopanib</v>
      </c>
      <c r="X294" s="64" t="s">
        <v>74</v>
      </c>
      <c r="Y294" s="519" t="s">
        <v>554</v>
      </c>
      <c r="Z294" s="524" t="s">
        <v>578</v>
      </c>
      <c r="AA294" s="519"/>
      <c r="AB294" s="516" t="s">
        <v>31</v>
      </c>
      <c r="AC294" s="64" t="s">
        <v>576</v>
      </c>
      <c r="AD294" s="64" t="s">
        <v>585</v>
      </c>
      <c r="AE294" s="64" t="s">
        <v>547</v>
      </c>
      <c r="AF294" s="519" t="s">
        <v>552</v>
      </c>
      <c r="AG294" s="516" t="s">
        <v>548</v>
      </c>
      <c r="AH294" s="999">
        <f t="shared" ref="AH294:AH300" si="499">IF(i_baseline_risk_from=2,1.19,1/0.983)</f>
        <v>1.19</v>
      </c>
      <c r="AI294" s="999">
        <f t="shared" ref="AI294:AI300" si="500">IF(i_baseline_risk_from=2,1.15,1/1.16)</f>
        <v>1.1499999999999999</v>
      </c>
      <c r="AJ294" s="999">
        <f t="shared" ref="AJ294:AJ300" si="501">IF(i_baseline_risk_from=2,1.24,1/0.832)</f>
        <v>1.24</v>
      </c>
      <c r="AK294" s="58" t="s">
        <v>596</v>
      </c>
      <c r="AL294" s="64" t="str">
        <f t="shared" si="472"/>
        <v>Yes</v>
      </c>
      <c r="AM294" s="519" t="s">
        <v>554</v>
      </c>
      <c r="AN294" s="524" t="s">
        <v>578</v>
      </c>
      <c r="AO294" s="519"/>
      <c r="AP294" s="516" t="s">
        <v>31</v>
      </c>
      <c r="AQ294" s="64" t="s">
        <v>577</v>
      </c>
      <c r="AR294" s="64" t="s">
        <v>585</v>
      </c>
      <c r="AS294" s="64" t="s">
        <v>547</v>
      </c>
      <c r="AT294" s="519" t="s">
        <v>552</v>
      </c>
      <c r="AU294" s="516" t="s">
        <v>548</v>
      </c>
      <c r="AV294" s="999">
        <v>1.19</v>
      </c>
      <c r="AW294" s="999">
        <v>1.1499999999999999</v>
      </c>
      <c r="AX294" s="999">
        <v>1.24</v>
      </c>
      <c r="AY294" s="58" t="s">
        <v>596</v>
      </c>
      <c r="AZ294" s="64" t="str">
        <f t="shared" si="473"/>
        <v>Yes</v>
      </c>
      <c r="BA294" s="519" t="s">
        <v>554</v>
      </c>
      <c r="BB294" s="524" t="s">
        <v>578</v>
      </c>
      <c r="BC294" s="519"/>
      <c r="BD294" s="516" t="s">
        <v>31</v>
      </c>
      <c r="BE294" s="64" t="s">
        <v>577</v>
      </c>
      <c r="BF294" s="64" t="s">
        <v>585</v>
      </c>
      <c r="BG294" s="64" t="s">
        <v>547</v>
      </c>
      <c r="BH294" s="519" t="s">
        <v>554</v>
      </c>
      <c r="BI294" s="516" t="s">
        <v>548</v>
      </c>
      <c r="BJ294" s="497">
        <v>1.7410000000000001</v>
      </c>
      <c r="BK294" s="497">
        <v>1.208</v>
      </c>
      <c r="BL294" s="497">
        <v>2.5099999999999998</v>
      </c>
      <c r="BM294" s="58" t="s">
        <v>589</v>
      </c>
      <c r="BQ294" s="58">
        <f t="shared" si="423"/>
        <v>174</v>
      </c>
      <c r="BR294" s="61">
        <v>0</v>
      </c>
      <c r="BS294" s="61" t="s">
        <v>31</v>
      </c>
      <c r="BT294" s="17">
        <v>1</v>
      </c>
      <c r="BU294" s="17">
        <v>5</v>
      </c>
      <c r="BV294" s="17" t="str">
        <f t="shared" si="474"/>
        <v>pazopanib</v>
      </c>
      <c r="BW294" s="1006" t="str" cm="1">
        <f t="array" ref="BW294">IF(I294="No",I294,INDEX(List_incl_anal_1L_all,IF(BU294=999,35,BU294+1)))</f>
        <v>Yes</v>
      </c>
      <c r="BX294" s="61">
        <f t="shared" si="475"/>
        <v>2</v>
      </c>
      <c r="BY294" s="531" t="str">
        <f t="shared" ref="BY294:BY302" si="502">J294</f>
        <v>Time to treatment discontinuation</v>
      </c>
      <c r="BZ294" s="530" t="str">
        <f t="shared" si="476"/>
        <v>Assume equal to</v>
      </c>
      <c r="CA294" s="531">
        <f t="shared" si="498"/>
        <v>0</v>
      </c>
      <c r="CB294" s="530">
        <f t="shared" si="477"/>
        <v>0</v>
      </c>
      <c r="CC294" s="530">
        <f t="shared" si="478"/>
        <v>1</v>
      </c>
      <c r="CD294" s="530">
        <f t="shared" si="479"/>
        <v>7</v>
      </c>
      <c r="CE294" s="1295">
        <f t="shared" si="480"/>
        <v>2</v>
      </c>
      <c r="CF294" s="1301">
        <f t="shared" si="481"/>
        <v>2</v>
      </c>
      <c r="CG294" s="530" t="str">
        <f t="shared" si="482"/>
        <v>Log-logistic</v>
      </c>
      <c r="CH294" s="61">
        <f t="shared" si="483"/>
        <v>0</v>
      </c>
      <c r="CI294" s="61">
        <f t="shared" si="484"/>
        <v>0</v>
      </c>
      <c r="CJ294" s="61">
        <f t="shared" si="485"/>
        <v>0</v>
      </c>
      <c r="DK294" s="58" t="str" cm="1">
        <f t="array" ref="DK294">IF(AND($BT294=4,$BX294=4,$BU294=999),$DB$36,_xlfn.IFNA(INDEX(DB$13:DB$70,MATCH(1,($BR294=$CV$13:$CV$70)*($BT294=$CX$13:$CX$70)*($CE294=$CY$13:$CY$70)*($BY294=$DA$13:$DA$70)*($CD294=$DH$13:$DH$70),0)),""))</f>
        <v>Log-logistic</v>
      </c>
      <c r="DL294" s="58" t="str" cm="1">
        <f t="array" ref="DL294">IF(AND($BT294=4,$BX294=4,$BU294=999),$DC$36,_xlfn.IFNA(INDEX(CHOOSE(DP294,DB$13:DB$70,DC$13:DC$70,DD$13:DD$70,DE$13:DE$70),MATCH(1,($BR294=$CV$13:$CV$70)*($BT294=$CX$13:$CX$70)*($CE294=$CY$13:$CY$70)*($BY294=$DA$13:$DA$70)*($CD294=$DH$13:$DH$70),0)),""))</f>
        <v>Log-logistic</v>
      </c>
      <c r="DM294" s="740" cm="1">
        <f t="array" ref="DM294">IF(AND($BT294=4,$BX294=4,$BU294=999),$DD$36,_xlfn.IFNA(INDEX(DD$13:DD$68,MATCH(1,($BR294=$CV$13:$CV$68)*($BT294=$CX$13:$CX$68)*($CE294=$CY$13:$CY$68)*($BY294=$DA$13:$DA$68)*($CD294=$DH$13:$DH$68),0)),""))</f>
        <v>0</v>
      </c>
      <c r="DN294" s="740" cm="1">
        <f t="array" ref="DN294">IF(AND($BT294=4,$BX294=4,$BU294=999),$DD$36,_xlfn.IFNA(INDEX(DE$13:DE$68,MATCH(1,($BR294=$CV$13:$CV$68)*($BT294=$CX$13:$CX$68)*($CE294=$CY$13:$CY$68)*($BY294=$DA$13:$DA$68)*($CD294=$DH$13:$DH$68),0)),""))</f>
        <v>0</v>
      </c>
      <c r="DO294" s="58" t="str" cm="1">
        <f t="array" ref="DO294">IF(AND($BT294=4,$BX294=4,$BU294=999),$DF$36,_xlfn.IFNA(INDEX(DF$13:DF$70,MATCH(1,($BR294=$CV$13:$CV$70)*($BT294=$CX$13:$CX$70)*($CE294=$CY$13:$CY$70)*($BY294=$DA$13:$DA$70)*($CD294=$DH$13:$DH$70),0)),""))</f>
        <v>Base case</v>
      </c>
      <c r="DP294" s="58">
        <f t="shared" si="424"/>
        <v>1</v>
      </c>
      <c r="DW294" s="58" t="s">
        <v>74</v>
      </c>
      <c r="DX294" s="58" t="s">
        <v>554</v>
      </c>
      <c r="DY294" s="58" t="s">
        <v>63</v>
      </c>
      <c r="DZ294" s="58">
        <v>0</v>
      </c>
      <c r="EB294" s="58">
        <v>0</v>
      </c>
      <c r="EC294" s="58">
        <v>1</v>
      </c>
      <c r="ED294" s="58">
        <v>7</v>
      </c>
      <c r="EE294" s="58">
        <v>2</v>
      </c>
      <c r="EF294" s="58">
        <v>2</v>
      </c>
      <c r="EI294" s="58" t="s">
        <v>74</v>
      </c>
      <c r="EJ294" s="58" t="s">
        <v>554</v>
      </c>
      <c r="EK294" s="58" t="s">
        <v>63</v>
      </c>
      <c r="EL294" s="58">
        <v>0</v>
      </c>
      <c r="EN294" s="58">
        <v>0</v>
      </c>
      <c r="EO294" s="58">
        <v>1</v>
      </c>
      <c r="EP294" s="58">
        <v>7</v>
      </c>
      <c r="EQ294" s="58">
        <v>0</v>
      </c>
      <c r="ER294" s="58">
        <v>2</v>
      </c>
      <c r="EU294" s="58" t="str">
        <f t="shared" si="486"/>
        <v>Yes</v>
      </c>
      <c r="EV294" s="58" t="str">
        <f t="shared" si="487"/>
        <v>Time to treatment discontinuation</v>
      </c>
      <c r="EW294" s="58" t="str">
        <f t="shared" si="488"/>
        <v>FP_NMA</v>
      </c>
      <c r="EX294" s="58">
        <f t="shared" si="489"/>
        <v>0</v>
      </c>
      <c r="EZ294" s="58">
        <f t="shared" si="490"/>
        <v>0</v>
      </c>
      <c r="FA294" s="58">
        <f t="shared" si="491"/>
        <v>1</v>
      </c>
      <c r="FB294" s="58">
        <f>IF(i_eff_inputs_based_on_num=2,ED294,(INDEX(Lists!$L$51:$L$85,MATCH(O294,Lists!$K$51:$K$85,0))))</f>
        <v>7</v>
      </c>
      <c r="FC294" s="58">
        <f>IF(i_eff_inputs_based_on_num=2,EE294,(INDEX(Lists!$L$51:$L$85,MATCH(P294,Lists!$K$51:$K$85,0))))</f>
        <v>2</v>
      </c>
      <c r="FD294" s="58">
        <f>IF(i_eff_inputs_based_on_num=2,EF294,(INDEX(Lists!$L$51:$L$85,MATCH(Q294,Lists!$K$51:$K$85,0))))</f>
        <v>2</v>
      </c>
      <c r="FG294" s="58" t="str">
        <f t="shared" si="492"/>
        <v>Yes</v>
      </c>
      <c r="FH294" s="58" t="str">
        <f t="shared" si="493"/>
        <v>Time to treatment discontinuation</v>
      </c>
      <c r="FI294" s="58" t="str">
        <f t="shared" si="494"/>
        <v>FP_NMA</v>
      </c>
      <c r="FJ294" s="58">
        <f t="shared" si="495"/>
        <v>0</v>
      </c>
      <c r="FL294" s="58">
        <f t="shared" si="496"/>
        <v>0</v>
      </c>
      <c r="FM294" s="58">
        <f t="shared" si="497"/>
        <v>1</v>
      </c>
      <c r="FN294" s="58">
        <f>IF(i_eff_inputs_based_on_num=2,EP294,(INDEX(Lists!$L$51:$L$85,MATCH(O294,Lists!$K$51:$K$85,0))))</f>
        <v>7</v>
      </c>
      <c r="FO294" s="58">
        <f>IF(i_eff_inputs_based_on_num=2,EQ294,(INDEX(Lists!$L$51:$L$85,MATCH(P294,Lists!$K$51:$K$85,0))))</f>
        <v>0</v>
      </c>
      <c r="FP294" s="58">
        <f>IF(i_eff_inputs_based_on_num=2,ER294,(INDEX(Lists!$L$51:$L$85,MATCH(Q294,Lists!$K$51:$K$85,0))))</f>
        <v>2</v>
      </c>
      <c r="FT294" s="58">
        <f t="shared" si="425"/>
        <v>0</v>
      </c>
      <c r="FW294" s="58" t="str">
        <f>IF(i_baseline_risk_from=2,'Effectiveness settings'!EW294,'Effectiveness settings'!FI294)</f>
        <v>FP_NMA</v>
      </c>
      <c r="FX294" s="58" t="str">
        <f t="shared" si="426"/>
        <v>FP_NMA</v>
      </c>
      <c r="FY294" s="58" t="str">
        <f t="shared" si="427"/>
        <v>FP_NMA</v>
      </c>
      <c r="FZ294" s="58" t="str">
        <f t="shared" si="428"/>
        <v>Assume equal to</v>
      </c>
      <c r="GA294" s="58" t="str">
        <f t="shared" si="429"/>
        <v>Assume equal to</v>
      </c>
      <c r="GB294" s="58" t="str">
        <f t="shared" si="430"/>
        <v>Assume equal to</v>
      </c>
      <c r="GC294" s="58" t="str">
        <f t="shared" si="431"/>
        <v>Assume equal to</v>
      </c>
      <c r="GD294" s="58" t="str">
        <f t="shared" si="432"/>
        <v>Assume equal to</v>
      </c>
      <c r="GE294" s="58" t="str">
        <f>IF(AND(dd_CheckMate214_TTD="Yes",'Effectiveness settings'!BU294=2,'Effectiveness settings'!BX294=2),"Apply HR to",GD294)</f>
        <v>Assume equal to</v>
      </c>
      <c r="GF294" s="58" t="str">
        <f t="shared" si="433"/>
        <v>Assume equal to</v>
      </c>
      <c r="GG294" s="58" t="str">
        <f t="shared" si="434"/>
        <v>Assume equal to</v>
      </c>
      <c r="GH294" s="58" t="str">
        <f t="shared" si="435"/>
        <v>Assume equal to</v>
      </c>
      <c r="GI294" s="58" t="str">
        <f t="shared" si="415"/>
        <v>Assume equal to</v>
      </c>
      <c r="GK294" s="58">
        <f>IF(i_baseline_risk_from=2,'Effectiveness settings'!FA294,'Effectiveness settings'!FM294)</f>
        <v>1</v>
      </c>
      <c r="GL294" s="58">
        <f>IF(i_baseline_risk_from=2,'Effectiveness settings'!FB294,'Effectiveness settings'!FN294)</f>
        <v>7</v>
      </c>
      <c r="GM294" s="58">
        <f>IF(i_baseline_risk_from=2,'Effectiveness settings'!FC294,'Effectiveness settings'!FO294)</f>
        <v>2</v>
      </c>
      <c r="GN294" s="58">
        <f>IF(i_baseline_risk_from=2,'Effectiveness settings'!FD294,'Effectiveness settings'!FP294)</f>
        <v>2</v>
      </c>
      <c r="GQ294" s="58">
        <f t="shared" si="436"/>
        <v>7</v>
      </c>
      <c r="GR294" s="58">
        <f t="shared" si="437"/>
        <v>7</v>
      </c>
      <c r="GS294" s="58">
        <f t="shared" si="438"/>
        <v>7</v>
      </c>
      <c r="GT294" s="58">
        <f t="shared" si="439"/>
        <v>7</v>
      </c>
      <c r="GU294" s="58">
        <f>IF(AND(dd_CheckMate214_TTD="Yes",'Effectiveness settings'!BU294=2,'Effectiveness settings'!BX294=2),2,GT294)</f>
        <v>7</v>
      </c>
      <c r="GV294" s="58">
        <f t="shared" si="440"/>
        <v>7</v>
      </c>
      <c r="GW294" s="58">
        <f t="shared" si="441"/>
        <v>7</v>
      </c>
      <c r="GY294" s="58">
        <f>IF(AND(dd_CheckMate214_TTD="Yes",'Effectiveness settings'!BU294=2,'Effectiveness settings'!BX294=2),1,GN294)</f>
        <v>2</v>
      </c>
      <c r="GZ294" s="58">
        <f t="shared" si="442"/>
        <v>2</v>
      </c>
      <c r="HB294" s="58">
        <f t="shared" si="443"/>
        <v>0</v>
      </c>
      <c r="HD294" s="58">
        <f t="shared" si="416"/>
        <v>0</v>
      </c>
      <c r="HE294" s="58">
        <f t="shared" si="417"/>
        <v>1</v>
      </c>
      <c r="HF294" s="58">
        <f t="shared" si="418"/>
        <v>7</v>
      </c>
      <c r="HG294" s="58">
        <f t="shared" si="419"/>
        <v>2</v>
      </c>
      <c r="HH294" s="58">
        <f t="shared" si="420"/>
        <v>2</v>
      </c>
    </row>
    <row r="295" spans="1:216" ht="15.75" x14ac:dyDescent="0.25">
      <c r="D295" s="58" t="str">
        <v>tivozanib</v>
      </c>
      <c r="I295" s="64" t="s">
        <v>74</v>
      </c>
      <c r="J295" s="519" t="s">
        <v>554</v>
      </c>
      <c r="K295" s="524" t="s">
        <v>63</v>
      </c>
      <c r="L295" s="519"/>
      <c r="M295" s="516" t="s">
        <v>31</v>
      </c>
      <c r="N295" s="64" t="s">
        <v>546</v>
      </c>
      <c r="O295" s="64" t="s">
        <v>117</v>
      </c>
      <c r="P295" s="64" t="s">
        <v>547</v>
      </c>
      <c r="Q295" s="519" t="s">
        <v>554</v>
      </c>
      <c r="R295" s="516" t="s">
        <v>548</v>
      </c>
      <c r="S295" s="497"/>
      <c r="T295" s="497"/>
      <c r="U295" s="497"/>
      <c r="W295" s="58" t="str">
        <v>tivozanib</v>
      </c>
      <c r="X295" s="64" t="s">
        <v>74</v>
      </c>
      <c r="Y295" s="519" t="s">
        <v>554</v>
      </c>
      <c r="Z295" s="524" t="s">
        <v>578</v>
      </c>
      <c r="AA295" s="519"/>
      <c r="AB295" s="516" t="s">
        <v>31</v>
      </c>
      <c r="AC295" s="64" t="s">
        <v>576</v>
      </c>
      <c r="AD295" s="64" t="s">
        <v>319</v>
      </c>
      <c r="AE295" s="64" t="s">
        <v>547</v>
      </c>
      <c r="AF295" s="519" t="s">
        <v>552</v>
      </c>
      <c r="AG295" s="516" t="s">
        <v>548</v>
      </c>
      <c r="AH295" s="999">
        <f t="shared" si="499"/>
        <v>1.19</v>
      </c>
      <c r="AI295" s="999">
        <f t="shared" si="500"/>
        <v>1.1499999999999999</v>
      </c>
      <c r="AJ295" s="999">
        <f t="shared" si="501"/>
        <v>1.24</v>
      </c>
      <c r="AK295" s="58" t="s">
        <v>596</v>
      </c>
      <c r="AL295" s="64" t="str">
        <f t="shared" si="472"/>
        <v>Yes</v>
      </c>
      <c r="AM295" s="519" t="s">
        <v>554</v>
      </c>
      <c r="AN295" s="524" t="s">
        <v>578</v>
      </c>
      <c r="AO295" s="519"/>
      <c r="AP295" s="516" t="s">
        <v>31</v>
      </c>
      <c r="AQ295" s="64" t="s">
        <v>577</v>
      </c>
      <c r="AR295" s="64" t="s">
        <v>319</v>
      </c>
      <c r="AS295" s="64" t="s">
        <v>547</v>
      </c>
      <c r="AT295" s="519" t="s">
        <v>552</v>
      </c>
      <c r="AU295" s="516" t="s">
        <v>548</v>
      </c>
      <c r="AV295" s="999">
        <v>1.19</v>
      </c>
      <c r="AW295" s="999">
        <v>1.1499999999999999</v>
      </c>
      <c r="AX295" s="999">
        <v>1.24</v>
      </c>
      <c r="AY295" s="58" t="s">
        <v>596</v>
      </c>
      <c r="AZ295" s="64" t="str">
        <f t="shared" si="473"/>
        <v>Yes</v>
      </c>
      <c r="BA295" s="519" t="s">
        <v>554</v>
      </c>
      <c r="BB295" s="524" t="s">
        <v>578</v>
      </c>
      <c r="BC295" s="519"/>
      <c r="BD295" s="516" t="s">
        <v>31</v>
      </c>
      <c r="BE295" s="64" t="s">
        <v>577</v>
      </c>
      <c r="BF295" s="64" t="s">
        <v>319</v>
      </c>
      <c r="BG295" s="64" t="s">
        <v>547</v>
      </c>
      <c r="BH295" s="519" t="s">
        <v>554</v>
      </c>
      <c r="BI295" s="516" t="s">
        <v>548</v>
      </c>
      <c r="BJ295" s="497">
        <v>1.7410000000000001</v>
      </c>
      <c r="BK295" s="497">
        <v>1.208</v>
      </c>
      <c r="BL295" s="497">
        <v>2.5099999999999998</v>
      </c>
      <c r="BM295" s="58" t="s">
        <v>590</v>
      </c>
      <c r="BQ295" s="58">
        <f t="shared" si="423"/>
        <v>175</v>
      </c>
      <c r="BR295" s="61">
        <v>0</v>
      </c>
      <c r="BS295" s="61" t="s">
        <v>31</v>
      </c>
      <c r="BT295" s="17">
        <v>1</v>
      </c>
      <c r="BU295" s="17">
        <v>6</v>
      </c>
      <c r="BV295" s="17" t="str">
        <f t="shared" si="474"/>
        <v>tivozanib</v>
      </c>
      <c r="BW295" s="1006" t="str" cm="1">
        <f t="array" ref="BW295">IF(I295="No",I295,INDEX(List_incl_anal_1L_all,IF(BU295=999,35,BU295+1)))</f>
        <v>Yes</v>
      </c>
      <c r="BX295" s="61">
        <f t="shared" si="475"/>
        <v>2</v>
      </c>
      <c r="BY295" s="531" t="str">
        <f t="shared" si="502"/>
        <v>Time to treatment discontinuation</v>
      </c>
      <c r="BZ295" s="530" t="str">
        <f t="shared" si="476"/>
        <v>Assume equal to</v>
      </c>
      <c r="CA295" s="531">
        <f t="shared" si="498"/>
        <v>0</v>
      </c>
      <c r="CB295" s="530">
        <f t="shared" si="477"/>
        <v>0</v>
      </c>
      <c r="CC295" s="530">
        <f t="shared" si="478"/>
        <v>1</v>
      </c>
      <c r="CD295" s="530">
        <f t="shared" si="479"/>
        <v>7</v>
      </c>
      <c r="CE295" s="1295">
        <f t="shared" si="480"/>
        <v>2</v>
      </c>
      <c r="CF295" s="1301">
        <f t="shared" si="481"/>
        <v>2</v>
      </c>
      <c r="CG295" s="530" t="str">
        <f t="shared" si="482"/>
        <v>Log-logistic</v>
      </c>
      <c r="CH295" s="61">
        <f t="shared" si="483"/>
        <v>0</v>
      </c>
      <c r="CI295" s="61">
        <f t="shared" si="484"/>
        <v>0</v>
      </c>
      <c r="CJ295" s="61">
        <f t="shared" si="485"/>
        <v>0</v>
      </c>
      <c r="DK295" s="58" t="str" cm="1">
        <f t="array" ref="DK295">IF(AND($BT295=4,$BX295=4,$BU295=999),$DB$36,_xlfn.IFNA(INDEX(DB$13:DB$70,MATCH(1,($BR295=$CV$13:$CV$70)*($BT295=$CX$13:$CX$70)*($CE295=$CY$13:$CY$70)*($BY295=$DA$13:$DA$70)*($CD295=$DH$13:$DH$70),0)),""))</f>
        <v>Log-logistic</v>
      </c>
      <c r="DL295" s="58" t="str" cm="1">
        <f t="array" ref="DL295">IF(AND($BT295=4,$BX295=4,$BU295=999),$DC$36,_xlfn.IFNA(INDEX(CHOOSE(DP295,DB$13:DB$70,DC$13:DC$70,DD$13:DD$70,DE$13:DE$70),MATCH(1,($BR295=$CV$13:$CV$70)*($BT295=$CX$13:$CX$70)*($CE295=$CY$13:$CY$70)*($BY295=$DA$13:$DA$70)*($CD295=$DH$13:$DH$70),0)),""))</f>
        <v>Log-logistic</v>
      </c>
      <c r="DM295" s="740" cm="1">
        <f t="array" ref="DM295">IF(AND($BT295=4,$BX295=4,$BU295=999),$DD$36,_xlfn.IFNA(INDEX(DD$13:DD$68,MATCH(1,($BR295=$CV$13:$CV$68)*($BT295=$CX$13:$CX$68)*($CE295=$CY$13:$CY$68)*($BY295=$DA$13:$DA$68)*($CD295=$DH$13:$DH$68),0)),""))</f>
        <v>0</v>
      </c>
      <c r="DN295" s="740" cm="1">
        <f t="array" ref="DN295">IF(AND($BT295=4,$BX295=4,$BU295=999),$DD$36,_xlfn.IFNA(INDEX(DE$13:DE$68,MATCH(1,($BR295=$CV$13:$CV$68)*($BT295=$CX$13:$CX$68)*($CE295=$CY$13:$CY$68)*($BY295=$DA$13:$DA$68)*($CD295=$DH$13:$DH$68),0)),""))</f>
        <v>0</v>
      </c>
      <c r="DO295" s="58" t="str" cm="1">
        <f t="array" ref="DO295">IF(AND($BT295=4,$BX295=4,$BU295=999),$DF$36,_xlfn.IFNA(INDEX(DF$13:DF$70,MATCH(1,($BR295=$CV$13:$CV$70)*($BT295=$CX$13:$CX$70)*($CE295=$CY$13:$CY$70)*($BY295=$DA$13:$DA$70)*($CD295=$DH$13:$DH$70),0)),""))</f>
        <v>Base case</v>
      </c>
      <c r="DP295" s="58">
        <f t="shared" si="424"/>
        <v>1</v>
      </c>
      <c r="DW295" s="58" t="s">
        <v>74</v>
      </c>
      <c r="DX295" s="58" t="s">
        <v>554</v>
      </c>
      <c r="DY295" s="58" t="s">
        <v>63</v>
      </c>
      <c r="DZ295" s="58">
        <v>0</v>
      </c>
      <c r="EB295" s="58">
        <v>0</v>
      </c>
      <c r="EC295" s="58">
        <v>1</v>
      </c>
      <c r="ED295" s="58">
        <v>7</v>
      </c>
      <c r="EE295" s="58">
        <v>2</v>
      </c>
      <c r="EF295" s="58">
        <v>2</v>
      </c>
      <c r="EI295" s="58" t="s">
        <v>74</v>
      </c>
      <c r="EJ295" s="58" t="s">
        <v>554</v>
      </c>
      <c r="EK295" s="58" t="s">
        <v>63</v>
      </c>
      <c r="EL295" s="58">
        <v>0</v>
      </c>
      <c r="EN295" s="58">
        <v>0</v>
      </c>
      <c r="EO295" s="58">
        <v>1</v>
      </c>
      <c r="EP295" s="58">
        <v>7</v>
      </c>
      <c r="EQ295" s="58">
        <v>0</v>
      </c>
      <c r="ER295" s="58">
        <v>2</v>
      </c>
      <c r="EU295" s="58" t="str">
        <f t="shared" si="486"/>
        <v>Yes</v>
      </c>
      <c r="EV295" s="58" t="str">
        <f t="shared" si="487"/>
        <v>Time to treatment discontinuation</v>
      </c>
      <c r="EW295" s="58" t="str">
        <f t="shared" si="488"/>
        <v>FP_NMA</v>
      </c>
      <c r="EX295" s="58">
        <f t="shared" si="489"/>
        <v>0</v>
      </c>
      <c r="EZ295" s="58">
        <f t="shared" si="490"/>
        <v>0</v>
      </c>
      <c r="FA295" s="58">
        <f t="shared" si="491"/>
        <v>1</v>
      </c>
      <c r="FB295" s="58">
        <f>IF(i_eff_inputs_based_on_num=2,ED295,(INDEX(Lists!$L$51:$L$85,MATCH(O295,Lists!$K$51:$K$85,0))))</f>
        <v>7</v>
      </c>
      <c r="FC295" s="58">
        <f>IF(i_eff_inputs_based_on_num=2,EE295,(INDEX(Lists!$L$51:$L$85,MATCH(P295,Lists!$K$51:$K$85,0))))</f>
        <v>2</v>
      </c>
      <c r="FD295" s="58">
        <f>IF(i_eff_inputs_based_on_num=2,EF295,(INDEX(Lists!$L$51:$L$85,MATCH(Q295,Lists!$K$51:$K$85,0))))</f>
        <v>2</v>
      </c>
      <c r="FG295" s="58" t="str">
        <f t="shared" si="492"/>
        <v>Yes</v>
      </c>
      <c r="FH295" s="58" t="str">
        <f t="shared" si="493"/>
        <v>Time to treatment discontinuation</v>
      </c>
      <c r="FI295" s="58" t="str">
        <f t="shared" si="494"/>
        <v>FP_NMA</v>
      </c>
      <c r="FJ295" s="58">
        <f t="shared" si="495"/>
        <v>0</v>
      </c>
      <c r="FL295" s="58">
        <f t="shared" si="496"/>
        <v>0</v>
      </c>
      <c r="FM295" s="58">
        <f t="shared" si="497"/>
        <v>1</v>
      </c>
      <c r="FN295" s="58">
        <f>IF(i_eff_inputs_based_on_num=2,EP295,(INDEX(Lists!$L$51:$L$85,MATCH(O295,Lists!$K$51:$K$85,0))))</f>
        <v>7</v>
      </c>
      <c r="FO295" s="58">
        <f>IF(i_eff_inputs_based_on_num=2,EQ295,(INDEX(Lists!$L$51:$L$85,MATCH(P295,Lists!$K$51:$K$85,0))))</f>
        <v>0</v>
      </c>
      <c r="FP295" s="58">
        <f>IF(i_eff_inputs_based_on_num=2,ER295,(INDEX(Lists!$L$51:$L$85,MATCH(Q295,Lists!$K$51:$K$85,0))))</f>
        <v>2</v>
      </c>
      <c r="FT295" s="58">
        <f t="shared" si="425"/>
        <v>0</v>
      </c>
      <c r="FW295" s="58" t="str">
        <f>IF(i_baseline_risk_from=2,'Effectiveness settings'!EW295,'Effectiveness settings'!FI295)</f>
        <v>FP_NMA</v>
      </c>
      <c r="FX295" s="58" t="str">
        <f t="shared" si="426"/>
        <v>FP_NMA</v>
      </c>
      <c r="FY295" s="58" t="str">
        <f t="shared" si="427"/>
        <v>FP_NMA</v>
      </c>
      <c r="FZ295" s="58" t="str">
        <f t="shared" si="428"/>
        <v>FP_NMA</v>
      </c>
      <c r="GA295" s="58" t="str">
        <f t="shared" si="429"/>
        <v>Assume equal to</v>
      </c>
      <c r="GB295" s="58" t="str">
        <f t="shared" si="430"/>
        <v>Assume equal to</v>
      </c>
      <c r="GC295" s="58" t="str">
        <f t="shared" si="431"/>
        <v>Assume equal to</v>
      </c>
      <c r="GD295" s="58" t="str">
        <f t="shared" si="432"/>
        <v>Assume equal to</v>
      </c>
      <c r="GE295" s="58" t="str">
        <f>IF(AND(dd_CheckMate214_TTD="Yes",'Effectiveness settings'!BU295=2,'Effectiveness settings'!BX295=2),"Apply HR to",GD295)</f>
        <v>Assume equal to</v>
      </c>
      <c r="GF295" s="58" t="str">
        <f t="shared" si="433"/>
        <v>Assume equal to</v>
      </c>
      <c r="GG295" s="58" t="str">
        <f t="shared" si="434"/>
        <v>Assume equal to</v>
      </c>
      <c r="GH295" s="58" t="str">
        <f t="shared" si="435"/>
        <v>Assume equal to</v>
      </c>
      <c r="GI295" s="58" t="str">
        <f t="shared" si="415"/>
        <v>Assume equal to</v>
      </c>
      <c r="GK295" s="58">
        <f>IF(i_baseline_risk_from=2,'Effectiveness settings'!FA295,'Effectiveness settings'!FM295)</f>
        <v>1</v>
      </c>
      <c r="GL295" s="58">
        <f>IF(i_baseline_risk_from=2,'Effectiveness settings'!FB295,'Effectiveness settings'!FN295)</f>
        <v>7</v>
      </c>
      <c r="GM295" s="58">
        <f>IF(i_baseline_risk_from=2,'Effectiveness settings'!FC295,'Effectiveness settings'!FO295)</f>
        <v>2</v>
      </c>
      <c r="GN295" s="58">
        <f>IF(i_baseline_risk_from=2,'Effectiveness settings'!FD295,'Effectiveness settings'!FP295)</f>
        <v>2</v>
      </c>
      <c r="GQ295" s="58">
        <f t="shared" si="436"/>
        <v>7</v>
      </c>
      <c r="GR295" s="58">
        <f t="shared" si="437"/>
        <v>7</v>
      </c>
      <c r="GS295" s="58">
        <f t="shared" si="438"/>
        <v>7</v>
      </c>
      <c r="GT295" s="58">
        <f t="shared" si="439"/>
        <v>7</v>
      </c>
      <c r="GU295" s="58">
        <f>IF(AND(dd_CheckMate214_TTD="Yes",'Effectiveness settings'!BU295=2,'Effectiveness settings'!BX295=2),2,GT295)</f>
        <v>7</v>
      </c>
      <c r="GV295" s="58">
        <f t="shared" si="440"/>
        <v>7</v>
      </c>
      <c r="GW295" s="58">
        <f t="shared" si="441"/>
        <v>7</v>
      </c>
      <c r="GY295" s="58">
        <f>IF(AND(dd_CheckMate214_TTD="Yes",'Effectiveness settings'!BU295=2,'Effectiveness settings'!BX295=2),1,GN295)</f>
        <v>2</v>
      </c>
      <c r="GZ295" s="58">
        <f t="shared" si="442"/>
        <v>2</v>
      </c>
      <c r="HB295" s="58">
        <f t="shared" si="443"/>
        <v>0</v>
      </c>
      <c r="HD295" s="58">
        <f t="shared" si="416"/>
        <v>0</v>
      </c>
      <c r="HE295" s="58">
        <f t="shared" si="417"/>
        <v>1</v>
      </c>
      <c r="HF295" s="58">
        <f t="shared" si="418"/>
        <v>7</v>
      </c>
      <c r="HG295" s="58">
        <f t="shared" si="419"/>
        <v>2</v>
      </c>
      <c r="HH295" s="58">
        <f t="shared" si="420"/>
        <v>2</v>
      </c>
    </row>
    <row r="296" spans="1:216" ht="15.75" x14ac:dyDescent="0.25">
      <c r="A296" s="58" t="s">
        <v>570</v>
      </c>
      <c r="D296" s="58" t="str">
        <v>sunitinib</v>
      </c>
      <c r="I296" s="64" t="s">
        <v>74</v>
      </c>
      <c r="J296" s="519" t="s">
        <v>554</v>
      </c>
      <c r="K296" s="524" t="s">
        <v>562</v>
      </c>
      <c r="L296" s="519" t="s">
        <v>547</v>
      </c>
      <c r="M296" s="516" t="s">
        <v>31</v>
      </c>
      <c r="N296" s="64" t="s">
        <v>546</v>
      </c>
      <c r="O296" s="64" t="s">
        <v>117</v>
      </c>
      <c r="P296" s="64" t="s">
        <v>547</v>
      </c>
      <c r="Q296" s="519" t="s">
        <v>554</v>
      </c>
      <c r="R296" s="516" t="s">
        <v>548</v>
      </c>
      <c r="S296" s="497"/>
      <c r="T296" s="497"/>
      <c r="U296" s="497"/>
      <c r="W296" s="58" t="str">
        <v>sunitinib</v>
      </c>
      <c r="X296" s="64" t="s">
        <v>74</v>
      </c>
      <c r="Y296" s="519" t="s">
        <v>554</v>
      </c>
      <c r="Z296" s="524" t="s">
        <v>578</v>
      </c>
      <c r="AA296" s="519"/>
      <c r="AB296" s="516" t="s">
        <v>31</v>
      </c>
      <c r="AC296" s="64" t="s">
        <v>576</v>
      </c>
      <c r="AD296" s="64" t="s">
        <v>117</v>
      </c>
      <c r="AE296" s="64" t="s">
        <v>547</v>
      </c>
      <c r="AF296" s="519" t="s">
        <v>552</v>
      </c>
      <c r="AG296" s="516" t="s">
        <v>548</v>
      </c>
      <c r="AH296" s="999">
        <f t="shared" si="499"/>
        <v>1.19</v>
      </c>
      <c r="AI296" s="999">
        <f t="shared" si="500"/>
        <v>1.1499999999999999</v>
      </c>
      <c r="AJ296" s="999">
        <f t="shared" si="501"/>
        <v>1.24</v>
      </c>
      <c r="AK296" s="58" t="s">
        <v>596</v>
      </c>
      <c r="AL296" s="64" t="str">
        <f t="shared" si="472"/>
        <v>Yes</v>
      </c>
      <c r="AM296" s="519" t="s">
        <v>554</v>
      </c>
      <c r="AN296" s="524" t="s">
        <v>578</v>
      </c>
      <c r="AO296" s="519"/>
      <c r="AP296" s="516" t="s">
        <v>31</v>
      </c>
      <c r="AQ296" s="64" t="s">
        <v>577</v>
      </c>
      <c r="AR296" s="64" t="s">
        <v>117</v>
      </c>
      <c r="AS296" s="64" t="s">
        <v>547</v>
      </c>
      <c r="AT296" s="519" t="s">
        <v>552</v>
      </c>
      <c r="AU296" s="516" t="s">
        <v>548</v>
      </c>
      <c r="AV296" s="999">
        <v>1.19</v>
      </c>
      <c r="AW296" s="999">
        <v>1.1499999999999999</v>
      </c>
      <c r="AX296" s="999">
        <v>1.24</v>
      </c>
      <c r="AY296" s="58" t="s">
        <v>596</v>
      </c>
      <c r="AZ296" s="64" t="str">
        <f t="shared" si="473"/>
        <v>Yes</v>
      </c>
      <c r="BA296" s="519" t="s">
        <v>554</v>
      </c>
      <c r="BB296" s="524" t="s">
        <v>578</v>
      </c>
      <c r="BC296" s="519"/>
      <c r="BD296" s="516" t="s">
        <v>31</v>
      </c>
      <c r="BE296" s="64" t="s">
        <v>577</v>
      </c>
      <c r="BF296" s="64" t="s">
        <v>117</v>
      </c>
      <c r="BG296" s="64" t="s">
        <v>547</v>
      </c>
      <c r="BH296" s="519" t="s">
        <v>554</v>
      </c>
      <c r="BI296" s="516" t="s">
        <v>548</v>
      </c>
      <c r="BJ296" s="497">
        <v>1.7410000000000001</v>
      </c>
      <c r="BK296" s="497">
        <v>1.208</v>
      </c>
      <c r="BL296" s="497">
        <v>2.5099999999999998</v>
      </c>
      <c r="BM296" s="58" t="s">
        <v>591</v>
      </c>
      <c r="BQ296" s="58">
        <f t="shared" si="423"/>
        <v>176</v>
      </c>
      <c r="BR296" s="61">
        <v>0</v>
      </c>
      <c r="BS296" s="61" t="s">
        <v>31</v>
      </c>
      <c r="BT296" s="17">
        <v>1</v>
      </c>
      <c r="BU296" s="17">
        <v>7</v>
      </c>
      <c r="BV296" s="17" t="str">
        <f t="shared" si="474"/>
        <v>sunitinib</v>
      </c>
      <c r="BW296" s="1006" t="str" cm="1">
        <f t="array" ref="BW296">IF(I296="No",I296,INDEX(List_incl_anal_1L_all,IF(BU296=999,35,BU296+1)))</f>
        <v>Yes</v>
      </c>
      <c r="BX296" s="61">
        <f t="shared" si="475"/>
        <v>2</v>
      </c>
      <c r="BY296" s="531" t="str">
        <f t="shared" si="502"/>
        <v>Time to treatment discontinuation</v>
      </c>
      <c r="BZ296" s="530" t="str">
        <f t="shared" si="476"/>
        <v>Trial survival analysis</v>
      </c>
      <c r="CA296" s="531" t="str">
        <f t="shared" si="498"/>
        <v>Real world evidence</v>
      </c>
      <c r="CB296" s="530">
        <f t="shared" si="477"/>
        <v>0</v>
      </c>
      <c r="CC296" s="530">
        <f t="shared" si="478"/>
        <v>1</v>
      </c>
      <c r="CD296" s="530">
        <f t="shared" si="479"/>
        <v>7</v>
      </c>
      <c r="CE296" s="1295">
        <f t="shared" si="480"/>
        <v>2</v>
      </c>
      <c r="CF296" s="1301">
        <f t="shared" si="481"/>
        <v>2</v>
      </c>
      <c r="CG296" s="530" t="str">
        <f t="shared" si="482"/>
        <v>Log-logistic</v>
      </c>
      <c r="CH296" s="61">
        <f t="shared" si="483"/>
        <v>0</v>
      </c>
      <c r="CI296" s="61">
        <f t="shared" si="484"/>
        <v>0</v>
      </c>
      <c r="CJ296" s="61">
        <f t="shared" si="485"/>
        <v>0</v>
      </c>
      <c r="DK296" s="58" t="str" cm="1">
        <f t="array" ref="DK296">IF(AND($BT296=4,$BX296=4,$BU296=999),$DB$36,_xlfn.IFNA(INDEX(DB$13:DB$70,MATCH(1,($BR296=$CV$13:$CV$70)*($BT296=$CX$13:$CX$70)*($CE296=$CY$13:$CY$70)*($BY296=$DA$13:$DA$70)*($CD296=$DH$13:$DH$70),0)),""))</f>
        <v>Log-logistic</v>
      </c>
      <c r="DL296" s="58" t="str" cm="1">
        <f t="array" ref="DL296">IF(AND($BT296=4,$BX296=4,$BU296=999),$DC$36,_xlfn.IFNA(INDEX(CHOOSE(DP296,DB$13:DB$70,DC$13:DC$70,DD$13:DD$70,DE$13:DE$70),MATCH(1,($BR296=$CV$13:$CV$70)*($BT296=$CX$13:$CX$70)*($CE296=$CY$13:$CY$70)*($BY296=$DA$13:$DA$70)*($CD296=$DH$13:$DH$70),0)),""))</f>
        <v>Log-logistic</v>
      </c>
      <c r="DM296" s="740" cm="1">
        <f t="array" ref="DM296">IF(AND($BT296=4,$BX296=4,$BU296=999),$DD$36,_xlfn.IFNA(INDEX(DD$13:DD$68,MATCH(1,($BR296=$CV$13:$CV$68)*($BT296=$CX$13:$CX$68)*($CE296=$CY$13:$CY$68)*($BY296=$DA$13:$DA$68)*($CD296=$DH$13:$DH$68),0)),""))</f>
        <v>0</v>
      </c>
      <c r="DN296" s="740" cm="1">
        <f t="array" ref="DN296">IF(AND($BT296=4,$BX296=4,$BU296=999),$DD$36,_xlfn.IFNA(INDEX(DE$13:DE$68,MATCH(1,($BR296=$CV$13:$CV$68)*($BT296=$CX$13:$CX$68)*($CE296=$CY$13:$CY$68)*($BY296=$DA$13:$DA$68)*($CD296=$DH$13:$DH$68),0)),""))</f>
        <v>0</v>
      </c>
      <c r="DO296" s="58" t="str" cm="1">
        <f t="array" ref="DO296">IF(AND($BT296=4,$BX296=4,$BU296=999),$DF$36,_xlfn.IFNA(INDEX(DF$13:DF$70,MATCH(1,($BR296=$CV$13:$CV$70)*($BT296=$CX$13:$CX$70)*($CE296=$CY$13:$CY$70)*($BY296=$DA$13:$DA$70)*($CD296=$DH$13:$DH$70),0)),""))</f>
        <v>Base case</v>
      </c>
      <c r="DP296" s="58">
        <f t="shared" si="424"/>
        <v>1</v>
      </c>
      <c r="DW296" s="58" t="s">
        <v>74</v>
      </c>
      <c r="DX296" s="58" t="s">
        <v>554</v>
      </c>
      <c r="DY296" s="58" t="s">
        <v>562</v>
      </c>
      <c r="DZ296" s="58" t="s">
        <v>547</v>
      </c>
      <c r="EB296" s="58">
        <v>0</v>
      </c>
      <c r="EC296" s="58">
        <v>1</v>
      </c>
      <c r="ED296" s="58">
        <v>7</v>
      </c>
      <c r="EE296" s="58">
        <v>2</v>
      </c>
      <c r="EF296" s="58">
        <v>2</v>
      </c>
      <c r="EI296" s="58" t="s">
        <v>74</v>
      </c>
      <c r="EJ296" s="58" t="s">
        <v>554</v>
      </c>
      <c r="EK296" s="58" t="s">
        <v>562</v>
      </c>
      <c r="EL296" s="58" t="s">
        <v>564</v>
      </c>
      <c r="EN296" s="58">
        <v>0</v>
      </c>
      <c r="EO296" s="58">
        <v>1</v>
      </c>
      <c r="EP296" s="58">
        <v>7</v>
      </c>
      <c r="EQ296" s="58">
        <v>0</v>
      </c>
      <c r="ER296" s="58">
        <v>2</v>
      </c>
      <c r="EU296" s="58" t="str">
        <f t="shared" si="486"/>
        <v>Yes</v>
      </c>
      <c r="EV296" s="58" t="str">
        <f t="shared" si="487"/>
        <v>Time to treatment discontinuation</v>
      </c>
      <c r="EW296" s="58" t="str">
        <f t="shared" si="488"/>
        <v>Trial survival analysis</v>
      </c>
      <c r="EX296" s="58" t="str">
        <f t="shared" si="489"/>
        <v>Real world evidence</v>
      </c>
      <c r="EZ296" s="58">
        <f t="shared" si="490"/>
        <v>0</v>
      </c>
      <c r="FA296" s="58">
        <f t="shared" si="491"/>
        <v>1</v>
      </c>
      <c r="FB296" s="58">
        <f>IF(i_eff_inputs_based_on_num=2,ED296,(INDEX(Lists!$L$51:$L$85,MATCH(O296,Lists!$K$51:$K$85,0))))</f>
        <v>7</v>
      </c>
      <c r="FC296" s="58">
        <f>IF(i_eff_inputs_based_on_num=2,EE296,(INDEX(Lists!$L$51:$L$85,MATCH(P296,Lists!$K$51:$K$85,0))))</f>
        <v>2</v>
      </c>
      <c r="FD296" s="58">
        <f>IF(i_eff_inputs_based_on_num=2,EF296,(INDEX(Lists!$L$51:$L$85,MATCH(Q296,Lists!$K$51:$K$85,0))))</f>
        <v>2</v>
      </c>
      <c r="FG296" s="58" t="str">
        <f t="shared" si="492"/>
        <v>Yes</v>
      </c>
      <c r="FH296" s="58" t="str">
        <f t="shared" si="493"/>
        <v>Time to treatment discontinuation</v>
      </c>
      <c r="FI296" s="58" t="str">
        <f t="shared" si="494"/>
        <v>Trial survival analysis</v>
      </c>
      <c r="FJ296" s="58" t="str">
        <f t="shared" si="495"/>
        <v>CheckMate 9ER</v>
      </c>
      <c r="FL296" s="58">
        <f t="shared" si="496"/>
        <v>0</v>
      </c>
      <c r="FM296" s="58">
        <f t="shared" si="497"/>
        <v>1</v>
      </c>
      <c r="FN296" s="58">
        <f>IF(i_eff_inputs_based_on_num=2,EP296,(INDEX(Lists!$L$51:$L$85,MATCH(O296,Lists!$K$51:$K$85,0))))</f>
        <v>7</v>
      </c>
      <c r="FO296" s="58">
        <f>IF(i_eff_inputs_based_on_num=2,EQ296,(INDEX(Lists!$L$51:$L$85,MATCH(P296,Lists!$K$51:$K$85,0))))</f>
        <v>0</v>
      </c>
      <c r="FP296" s="58">
        <f>IF(i_eff_inputs_based_on_num=2,ER296,(INDEX(Lists!$L$51:$L$85,MATCH(Q296,Lists!$K$51:$K$85,0))))</f>
        <v>2</v>
      </c>
      <c r="FT296" s="58" t="str">
        <f t="shared" si="425"/>
        <v>Real world evidence</v>
      </c>
      <c r="FW296" s="58" t="str">
        <f>IF(i_baseline_risk_from=2,'Effectiveness settings'!EW296,'Effectiveness settings'!FI296)</f>
        <v>Trial survival analysis</v>
      </c>
      <c r="FX296" s="58" t="str">
        <f t="shared" si="426"/>
        <v>Trial survival analysis</v>
      </c>
      <c r="FY296" s="58" t="str">
        <f t="shared" si="427"/>
        <v>Trial survival analysis</v>
      </c>
      <c r="FZ296" s="58" t="str">
        <f t="shared" si="428"/>
        <v>Trial survival analysis</v>
      </c>
      <c r="GA296" s="58" t="str">
        <f t="shared" si="429"/>
        <v>Trial survival analysis</v>
      </c>
      <c r="GB296" s="58" t="str">
        <f t="shared" si="430"/>
        <v>Trial survival analysis</v>
      </c>
      <c r="GC296" s="58" t="str">
        <f t="shared" si="431"/>
        <v>Trial survival analysis</v>
      </c>
      <c r="GD296" s="58" t="str">
        <f t="shared" si="432"/>
        <v>Trial survival analysis</v>
      </c>
      <c r="GE296" s="58" t="str">
        <f>IF(AND(dd_CheckMate214_TTD="Yes",'Effectiveness settings'!BU296=2,'Effectiveness settings'!BX296=2),"Apply HR to",GD296)</f>
        <v>Trial survival analysis</v>
      </c>
      <c r="GF296" s="58" t="str">
        <f t="shared" si="433"/>
        <v>Trial survival analysis</v>
      </c>
      <c r="GG296" s="58" t="str">
        <f t="shared" si="434"/>
        <v>Trial survival analysis</v>
      </c>
      <c r="GH296" s="58" t="str">
        <f t="shared" si="435"/>
        <v>Trial survival analysis</v>
      </c>
      <c r="GI296" s="58" t="str">
        <f t="shared" si="415"/>
        <v>Trial survival analysis</v>
      </c>
      <c r="GK296" s="58">
        <f>IF(i_baseline_risk_from=2,'Effectiveness settings'!FA296,'Effectiveness settings'!FM296)</f>
        <v>1</v>
      </c>
      <c r="GL296" s="58">
        <f>IF(i_baseline_risk_from=2,'Effectiveness settings'!FB296,'Effectiveness settings'!FN296)</f>
        <v>7</v>
      </c>
      <c r="GM296" s="58">
        <f>IF(i_baseline_risk_from=2,'Effectiveness settings'!FC296,'Effectiveness settings'!FO296)</f>
        <v>2</v>
      </c>
      <c r="GN296" s="58">
        <f>IF(i_baseline_risk_from=2,'Effectiveness settings'!FD296,'Effectiveness settings'!FP296)</f>
        <v>2</v>
      </c>
      <c r="GQ296" s="58">
        <f t="shared" si="436"/>
        <v>7</v>
      </c>
      <c r="GR296" s="58">
        <f t="shared" si="437"/>
        <v>7</v>
      </c>
      <c r="GS296" s="58">
        <f t="shared" si="438"/>
        <v>7</v>
      </c>
      <c r="GT296" s="58">
        <f t="shared" si="439"/>
        <v>7</v>
      </c>
      <c r="GU296" s="58">
        <f>IF(AND(dd_CheckMate214_TTD="Yes",'Effectiveness settings'!BU296=2,'Effectiveness settings'!BX296=2),2,GT296)</f>
        <v>7</v>
      </c>
      <c r="GV296" s="58">
        <f t="shared" si="440"/>
        <v>7</v>
      </c>
      <c r="GW296" s="58">
        <f t="shared" si="441"/>
        <v>7</v>
      </c>
      <c r="GY296" s="58">
        <f>IF(AND(dd_CheckMate214_TTD="Yes",'Effectiveness settings'!BU296=2,'Effectiveness settings'!BX296=2),1,GN296)</f>
        <v>2</v>
      </c>
      <c r="GZ296" s="58">
        <f t="shared" si="442"/>
        <v>2</v>
      </c>
      <c r="HB296" s="58">
        <f t="shared" si="443"/>
        <v>0</v>
      </c>
      <c r="HD296" s="58">
        <f t="shared" si="416"/>
        <v>0</v>
      </c>
      <c r="HE296" s="58">
        <f t="shared" si="417"/>
        <v>1</v>
      </c>
      <c r="HF296" s="58">
        <f t="shared" si="418"/>
        <v>7</v>
      </c>
      <c r="HG296" s="58">
        <f t="shared" si="419"/>
        <v>2</v>
      </c>
      <c r="HH296" s="58">
        <f t="shared" si="420"/>
        <v>2</v>
      </c>
    </row>
    <row r="297" spans="1:216" ht="15.75" x14ac:dyDescent="0.25">
      <c r="D297" s="58" t="str">
        <v>cabozantinib</v>
      </c>
      <c r="I297" s="64" t="s">
        <v>58</v>
      </c>
      <c r="J297" s="519" t="s">
        <v>554</v>
      </c>
      <c r="K297" s="524"/>
      <c r="L297" s="519"/>
      <c r="M297" s="516" t="s">
        <v>31</v>
      </c>
      <c r="N297" s="64" t="s">
        <v>546</v>
      </c>
      <c r="O297" s="64" t="s">
        <v>117</v>
      </c>
      <c r="P297" s="64" t="s">
        <v>547</v>
      </c>
      <c r="Q297" s="519" t="s">
        <v>554</v>
      </c>
      <c r="R297" s="516" t="s">
        <v>548</v>
      </c>
      <c r="S297" s="497"/>
      <c r="T297" s="497"/>
      <c r="U297" s="497"/>
      <c r="W297" s="58" t="str">
        <v>cabozantinib</v>
      </c>
      <c r="X297" s="64" t="s">
        <v>74</v>
      </c>
      <c r="Y297" s="519" t="s">
        <v>554</v>
      </c>
      <c r="Z297" s="524" t="s">
        <v>578</v>
      </c>
      <c r="AA297" s="519"/>
      <c r="AB297" s="516" t="s">
        <v>31</v>
      </c>
      <c r="AC297" s="64" t="s">
        <v>576</v>
      </c>
      <c r="AD297" s="64" t="s">
        <v>118</v>
      </c>
      <c r="AE297" s="64" t="s">
        <v>547</v>
      </c>
      <c r="AF297" s="519" t="s">
        <v>552</v>
      </c>
      <c r="AG297" s="516" t="s">
        <v>548</v>
      </c>
      <c r="AH297" s="999">
        <f t="shared" si="499"/>
        <v>1.19</v>
      </c>
      <c r="AI297" s="999">
        <f t="shared" si="500"/>
        <v>1.1499999999999999</v>
      </c>
      <c r="AJ297" s="999">
        <f t="shared" si="501"/>
        <v>1.24</v>
      </c>
      <c r="AK297" s="58" t="s">
        <v>596</v>
      </c>
      <c r="AL297" s="64" t="str">
        <f t="shared" si="472"/>
        <v>Yes</v>
      </c>
      <c r="AM297" s="519" t="s">
        <v>554</v>
      </c>
      <c r="AN297" s="524" t="s">
        <v>578</v>
      </c>
      <c r="AO297" s="519"/>
      <c r="AP297" s="516" t="s">
        <v>31</v>
      </c>
      <c r="AQ297" s="64" t="s">
        <v>577</v>
      </c>
      <c r="AR297" s="64" t="s">
        <v>118</v>
      </c>
      <c r="AS297" s="64" t="s">
        <v>547</v>
      </c>
      <c r="AT297" s="519" t="s">
        <v>552</v>
      </c>
      <c r="AU297" s="516" t="s">
        <v>548</v>
      </c>
      <c r="AV297" s="999">
        <v>1.19</v>
      </c>
      <c r="AW297" s="999">
        <v>1.1499999999999999</v>
      </c>
      <c r="AX297" s="999">
        <v>1.24</v>
      </c>
      <c r="AY297" s="58" t="s">
        <v>596</v>
      </c>
      <c r="AZ297" s="64" t="str">
        <f t="shared" si="473"/>
        <v>Yes</v>
      </c>
      <c r="BA297" s="519" t="s">
        <v>554</v>
      </c>
      <c r="BB297" s="524" t="s">
        <v>578</v>
      </c>
      <c r="BC297" s="519"/>
      <c r="BD297" s="516" t="s">
        <v>31</v>
      </c>
      <c r="BE297" s="64" t="s">
        <v>577</v>
      </c>
      <c r="BF297" s="64" t="s">
        <v>118</v>
      </c>
      <c r="BG297" s="64" t="s">
        <v>547</v>
      </c>
      <c r="BH297" s="519" t="s">
        <v>554</v>
      </c>
      <c r="BI297" s="516" t="s">
        <v>548</v>
      </c>
      <c r="BJ297" s="497">
        <v>1.7410000000000001</v>
      </c>
      <c r="BK297" s="497">
        <v>1.208</v>
      </c>
      <c r="BL297" s="497">
        <v>2.5099999999999998</v>
      </c>
      <c r="BM297" s="58" t="s">
        <v>592</v>
      </c>
      <c r="BQ297" s="58">
        <f t="shared" si="423"/>
        <v>177</v>
      </c>
      <c r="BR297" s="61">
        <v>0</v>
      </c>
      <c r="BS297" s="61" t="s">
        <v>31</v>
      </c>
      <c r="BT297" s="17">
        <v>1</v>
      </c>
      <c r="BU297" s="17">
        <v>8</v>
      </c>
      <c r="BV297" s="17" t="str">
        <f t="shared" si="474"/>
        <v>cabozantinib</v>
      </c>
      <c r="BW297" s="1006" t="str" cm="1">
        <f t="array" ref="BW297">IF(I297="No",I297,INDEX(List_incl_anal_1L_all,IF(BU297=999,35,BU297+1)))</f>
        <v>No</v>
      </c>
      <c r="BX297" s="61">
        <f t="shared" si="475"/>
        <v>2</v>
      </c>
      <c r="BY297" s="531" t="str">
        <f t="shared" si="502"/>
        <v>Time to treatment discontinuation</v>
      </c>
      <c r="BZ297" s="530">
        <f t="shared" si="476"/>
        <v>0</v>
      </c>
      <c r="CA297" s="531">
        <f t="shared" si="498"/>
        <v>0</v>
      </c>
      <c r="CB297" s="530">
        <f t="shared" si="477"/>
        <v>0</v>
      </c>
      <c r="CC297" s="530">
        <f t="shared" si="478"/>
        <v>1</v>
      </c>
      <c r="CD297" s="530">
        <f t="shared" si="479"/>
        <v>7</v>
      </c>
      <c r="CE297" s="1295">
        <f t="shared" si="480"/>
        <v>2</v>
      </c>
      <c r="CF297" s="1301">
        <f t="shared" si="481"/>
        <v>2</v>
      </c>
      <c r="CG297" s="530" t="str">
        <f t="shared" si="482"/>
        <v>Log-logistic</v>
      </c>
      <c r="CH297" s="61">
        <f t="shared" si="483"/>
        <v>0</v>
      </c>
      <c r="CI297" s="61">
        <f t="shared" si="484"/>
        <v>0</v>
      </c>
      <c r="CJ297" s="61">
        <f t="shared" si="485"/>
        <v>0</v>
      </c>
      <c r="DK297" s="58" t="str" cm="1">
        <f t="array" ref="DK297">IF(AND($BT297=4,$BX297=4,$BU297=999),$DB$36,_xlfn.IFNA(INDEX(DB$13:DB$70,MATCH(1,($BR297=$CV$13:$CV$70)*($BT297=$CX$13:$CX$70)*($CE297=$CY$13:$CY$70)*($BY297=$DA$13:$DA$70)*($CD297=$DH$13:$DH$70),0)),""))</f>
        <v>Log-logistic</v>
      </c>
      <c r="DL297" s="58" t="str" cm="1">
        <f t="array" ref="DL297">IF(AND($BT297=4,$BX297=4,$BU297=999),$DC$36,_xlfn.IFNA(INDEX(CHOOSE(DP297,DB$13:DB$70,DC$13:DC$70,DD$13:DD$70,DE$13:DE$70),MATCH(1,($BR297=$CV$13:$CV$70)*($BT297=$CX$13:$CX$70)*($CE297=$CY$13:$CY$70)*($BY297=$DA$13:$DA$70)*($CD297=$DH$13:$DH$70),0)),""))</f>
        <v>Log-logistic</v>
      </c>
      <c r="DM297" s="740" cm="1">
        <f t="array" ref="DM297">IF(AND($BT297=4,$BX297=4,$BU297=999),$DD$36,_xlfn.IFNA(INDEX(DD$13:DD$68,MATCH(1,($BR297=$CV$13:$CV$68)*($BT297=$CX$13:$CX$68)*($CE297=$CY$13:$CY$68)*($BY297=$DA$13:$DA$68)*($CD297=$DH$13:$DH$68),0)),""))</f>
        <v>0</v>
      </c>
      <c r="DN297" s="740" cm="1">
        <f t="array" ref="DN297">IF(AND($BT297=4,$BX297=4,$BU297=999),$DD$36,_xlfn.IFNA(INDEX(DE$13:DE$68,MATCH(1,($BR297=$CV$13:$CV$68)*($BT297=$CX$13:$CX$68)*($CE297=$CY$13:$CY$68)*($BY297=$DA$13:$DA$68)*($CD297=$DH$13:$DH$68),0)),""))</f>
        <v>0</v>
      </c>
      <c r="DO297" s="58" t="str" cm="1">
        <f t="array" ref="DO297">IF(AND($BT297=4,$BX297=4,$BU297=999),$DF$36,_xlfn.IFNA(INDEX(DF$13:DF$70,MATCH(1,($BR297=$CV$13:$CV$70)*($BT297=$CX$13:$CX$70)*($CE297=$CY$13:$CY$70)*($BY297=$DA$13:$DA$70)*($CD297=$DH$13:$DH$70),0)),""))</f>
        <v>Base case</v>
      </c>
      <c r="DP297" s="58">
        <f t="shared" si="424"/>
        <v>1</v>
      </c>
      <c r="DW297" s="58" t="s">
        <v>58</v>
      </c>
      <c r="DX297" s="58" t="s">
        <v>554</v>
      </c>
      <c r="DY297" s="58">
        <v>0</v>
      </c>
      <c r="DZ297" s="58">
        <v>0</v>
      </c>
      <c r="EB297" s="58">
        <v>0</v>
      </c>
      <c r="EC297" s="58">
        <v>1</v>
      </c>
      <c r="ED297" s="58">
        <v>7</v>
      </c>
      <c r="EE297" s="58">
        <v>2</v>
      </c>
      <c r="EF297" s="58">
        <v>2</v>
      </c>
      <c r="EI297" s="58" t="s">
        <v>58</v>
      </c>
      <c r="EJ297" s="58" t="s">
        <v>554</v>
      </c>
      <c r="EK297" s="58">
        <v>0</v>
      </c>
      <c r="EL297" s="58">
        <v>0</v>
      </c>
      <c r="EN297" s="58">
        <v>0</v>
      </c>
      <c r="EO297" s="58">
        <v>1</v>
      </c>
      <c r="EP297" s="58">
        <v>7</v>
      </c>
      <c r="EQ297" s="58">
        <v>0</v>
      </c>
      <c r="ER297" s="58">
        <v>2</v>
      </c>
      <c r="EU297" s="58" t="str">
        <f t="shared" si="486"/>
        <v>No</v>
      </c>
      <c r="EV297" s="58" t="str">
        <f t="shared" si="487"/>
        <v>Time to treatment discontinuation</v>
      </c>
      <c r="EW297" s="58">
        <f t="shared" si="488"/>
        <v>0</v>
      </c>
      <c r="EX297" s="58">
        <f t="shared" si="489"/>
        <v>0</v>
      </c>
      <c r="EZ297" s="58">
        <f t="shared" si="490"/>
        <v>0</v>
      </c>
      <c r="FA297" s="58">
        <f t="shared" si="491"/>
        <v>1</v>
      </c>
      <c r="FB297" s="58">
        <f>IF(i_eff_inputs_based_on_num=2,ED297,(INDEX(Lists!$L$51:$L$85,MATCH(O297,Lists!$K$51:$K$85,0))))</f>
        <v>7</v>
      </c>
      <c r="FC297" s="58">
        <f>IF(i_eff_inputs_based_on_num=2,EE297,(INDEX(Lists!$L$51:$L$85,MATCH(P297,Lists!$K$51:$K$85,0))))</f>
        <v>2</v>
      </c>
      <c r="FD297" s="58">
        <f>IF(i_eff_inputs_based_on_num=2,EF297,(INDEX(Lists!$L$51:$L$85,MATCH(Q297,Lists!$K$51:$K$85,0))))</f>
        <v>2</v>
      </c>
      <c r="FG297" s="58" t="str">
        <f t="shared" si="492"/>
        <v>No</v>
      </c>
      <c r="FH297" s="58" t="str">
        <f t="shared" si="493"/>
        <v>Time to treatment discontinuation</v>
      </c>
      <c r="FI297" s="58">
        <f t="shared" si="494"/>
        <v>0</v>
      </c>
      <c r="FJ297" s="58">
        <f t="shared" si="495"/>
        <v>0</v>
      </c>
      <c r="FL297" s="58">
        <f t="shared" si="496"/>
        <v>0</v>
      </c>
      <c r="FM297" s="58">
        <f t="shared" si="497"/>
        <v>1</v>
      </c>
      <c r="FN297" s="58">
        <f>IF(i_eff_inputs_based_on_num=2,EP297,(INDEX(Lists!$L$51:$L$85,MATCH(O297,Lists!$K$51:$K$85,0))))</f>
        <v>7</v>
      </c>
      <c r="FO297" s="58">
        <f>IF(i_eff_inputs_based_on_num=2,EQ297,(INDEX(Lists!$L$51:$L$85,MATCH(P297,Lists!$K$51:$K$85,0))))</f>
        <v>0</v>
      </c>
      <c r="FP297" s="58">
        <f>IF(i_eff_inputs_based_on_num=2,ER297,(INDEX(Lists!$L$51:$L$85,MATCH(Q297,Lists!$K$51:$K$85,0))))</f>
        <v>2</v>
      </c>
      <c r="FT297" s="58">
        <f t="shared" si="425"/>
        <v>0</v>
      </c>
      <c r="FW297" s="58">
        <f>IF(i_baseline_risk_from=2,'Effectiveness settings'!EW297,'Effectiveness settings'!FI297)</f>
        <v>0</v>
      </c>
      <c r="FX297" s="58">
        <f t="shared" si="426"/>
        <v>0</v>
      </c>
      <c r="FY297" s="58">
        <f t="shared" si="427"/>
        <v>0</v>
      </c>
      <c r="FZ297" s="58">
        <f t="shared" si="428"/>
        <v>0</v>
      </c>
      <c r="GA297" s="58">
        <f t="shared" si="429"/>
        <v>0</v>
      </c>
      <c r="GB297" s="58">
        <f t="shared" si="430"/>
        <v>0</v>
      </c>
      <c r="GC297" s="58">
        <f t="shared" si="431"/>
        <v>0</v>
      </c>
      <c r="GD297" s="58">
        <f t="shared" si="432"/>
        <v>0</v>
      </c>
      <c r="GE297" s="58">
        <f>IF(AND(dd_CheckMate214_TTD="Yes",'Effectiveness settings'!BU297=2,'Effectiveness settings'!BX297=2),"Apply HR to",GD297)</f>
        <v>0</v>
      </c>
      <c r="GF297" s="58">
        <f t="shared" si="433"/>
        <v>0</v>
      </c>
      <c r="GG297" s="58">
        <f t="shared" si="434"/>
        <v>0</v>
      </c>
      <c r="GH297" s="58">
        <f t="shared" si="435"/>
        <v>0</v>
      </c>
      <c r="GI297" s="58">
        <f t="shared" si="415"/>
        <v>0</v>
      </c>
      <c r="GK297" s="58">
        <f>IF(i_baseline_risk_from=2,'Effectiveness settings'!FA297,'Effectiveness settings'!FM297)</f>
        <v>1</v>
      </c>
      <c r="GL297" s="58">
        <f>IF(i_baseline_risk_from=2,'Effectiveness settings'!FB297,'Effectiveness settings'!FN297)</f>
        <v>7</v>
      </c>
      <c r="GM297" s="58">
        <f>IF(i_baseline_risk_from=2,'Effectiveness settings'!FC297,'Effectiveness settings'!FO297)</f>
        <v>2</v>
      </c>
      <c r="GN297" s="58">
        <f>IF(i_baseline_risk_from=2,'Effectiveness settings'!FD297,'Effectiveness settings'!FP297)</f>
        <v>2</v>
      </c>
      <c r="GQ297" s="58">
        <f t="shared" si="436"/>
        <v>7</v>
      </c>
      <c r="GR297" s="58">
        <f t="shared" si="437"/>
        <v>7</v>
      </c>
      <c r="GS297" s="58">
        <f t="shared" si="438"/>
        <v>7</v>
      </c>
      <c r="GT297" s="58">
        <f t="shared" si="439"/>
        <v>7</v>
      </c>
      <c r="GU297" s="58">
        <f>IF(AND(dd_CheckMate214_TTD="Yes",'Effectiveness settings'!BU297=2,'Effectiveness settings'!BX297=2),2,GT297)</f>
        <v>7</v>
      </c>
      <c r="GV297" s="58">
        <f t="shared" si="440"/>
        <v>7</v>
      </c>
      <c r="GW297" s="58">
        <f t="shared" si="441"/>
        <v>7</v>
      </c>
      <c r="GY297" s="58">
        <f>IF(AND(dd_CheckMate214_TTD="Yes",'Effectiveness settings'!BU297=2,'Effectiveness settings'!BX297=2),1,GN297)</f>
        <v>2</v>
      </c>
      <c r="GZ297" s="58">
        <f t="shared" si="442"/>
        <v>2</v>
      </c>
      <c r="HB297" s="58">
        <f t="shared" si="443"/>
        <v>0</v>
      </c>
      <c r="HD297" s="58">
        <f t="shared" si="416"/>
        <v>0</v>
      </c>
      <c r="HE297" s="58">
        <f t="shared" si="417"/>
        <v>1</v>
      </c>
      <c r="HF297" s="58">
        <f t="shared" si="418"/>
        <v>7</v>
      </c>
      <c r="HG297" s="58">
        <f t="shared" si="419"/>
        <v>2</v>
      </c>
      <c r="HH297" s="58">
        <f t="shared" si="420"/>
        <v>2</v>
      </c>
    </row>
    <row r="298" spans="1:216" ht="15.75" x14ac:dyDescent="0.25">
      <c r="D298" s="58" t="str">
        <v>lenvatinib_plus_everolimus</v>
      </c>
      <c r="I298" s="64" t="s">
        <v>58</v>
      </c>
      <c r="J298" s="519" t="s">
        <v>554</v>
      </c>
      <c r="K298" s="524"/>
      <c r="L298" s="519"/>
      <c r="M298" s="516" t="s">
        <v>31</v>
      </c>
      <c r="N298" s="64" t="s">
        <v>546</v>
      </c>
      <c r="O298" s="64" t="s">
        <v>117</v>
      </c>
      <c r="P298" s="64" t="s">
        <v>547</v>
      </c>
      <c r="Q298" s="519" t="s">
        <v>554</v>
      </c>
      <c r="R298" s="516" t="s">
        <v>548</v>
      </c>
      <c r="S298" s="497"/>
      <c r="T298" s="497"/>
      <c r="U298" s="497"/>
      <c r="W298" s="58" t="str">
        <v>lenvatinib_plus_everolimus</v>
      </c>
      <c r="X298" s="64" t="s">
        <v>74</v>
      </c>
      <c r="Y298" s="519" t="s">
        <v>554</v>
      </c>
      <c r="Z298" s="524" t="s">
        <v>578</v>
      </c>
      <c r="AA298" s="519"/>
      <c r="AB298" s="516" t="s">
        <v>31</v>
      </c>
      <c r="AC298" s="64" t="s">
        <v>576</v>
      </c>
      <c r="AD298" s="64" t="s">
        <v>333</v>
      </c>
      <c r="AE298" s="64" t="s">
        <v>547</v>
      </c>
      <c r="AF298" s="519" t="s">
        <v>552</v>
      </c>
      <c r="AG298" s="516" t="s">
        <v>548</v>
      </c>
      <c r="AH298" s="999">
        <f t="shared" si="499"/>
        <v>1.19</v>
      </c>
      <c r="AI298" s="999">
        <f t="shared" si="500"/>
        <v>1.1499999999999999</v>
      </c>
      <c r="AJ298" s="999">
        <f t="shared" si="501"/>
        <v>1.24</v>
      </c>
      <c r="AK298" s="58" t="s">
        <v>596</v>
      </c>
      <c r="AL298" s="64" t="str">
        <f t="shared" si="472"/>
        <v>Yes</v>
      </c>
      <c r="AM298" s="519" t="s">
        <v>554</v>
      </c>
      <c r="AN298" s="524" t="s">
        <v>578</v>
      </c>
      <c r="AO298" s="519"/>
      <c r="AP298" s="516" t="s">
        <v>31</v>
      </c>
      <c r="AQ298" s="64" t="s">
        <v>577</v>
      </c>
      <c r="AR298" s="64" t="s">
        <v>333</v>
      </c>
      <c r="AS298" s="64" t="s">
        <v>547</v>
      </c>
      <c r="AT298" s="519" t="s">
        <v>552</v>
      </c>
      <c r="AU298" s="516" t="s">
        <v>548</v>
      </c>
      <c r="AV298" s="999">
        <v>1.19</v>
      </c>
      <c r="AW298" s="999">
        <v>1.1499999999999999</v>
      </c>
      <c r="AX298" s="999">
        <v>1.24</v>
      </c>
      <c r="AY298" s="58" t="s">
        <v>596</v>
      </c>
      <c r="AZ298" s="64" t="str">
        <f t="shared" si="473"/>
        <v>Yes</v>
      </c>
      <c r="BA298" s="519" t="s">
        <v>554</v>
      </c>
      <c r="BB298" s="524" t="s">
        <v>578</v>
      </c>
      <c r="BC298" s="519"/>
      <c r="BD298" s="516" t="s">
        <v>31</v>
      </c>
      <c r="BE298" s="64" t="s">
        <v>577</v>
      </c>
      <c r="BF298" s="64" t="s">
        <v>333</v>
      </c>
      <c r="BG298" s="64" t="s">
        <v>547</v>
      </c>
      <c r="BH298" s="519" t="s">
        <v>554</v>
      </c>
      <c r="BI298" s="516" t="s">
        <v>548</v>
      </c>
      <c r="BJ298" s="497">
        <v>1.7410000000000001</v>
      </c>
      <c r="BK298" s="497">
        <v>1.208</v>
      </c>
      <c r="BL298" s="497">
        <v>2.5099999999999998</v>
      </c>
      <c r="BM298" s="58" t="s">
        <v>593</v>
      </c>
      <c r="BQ298" s="58">
        <f t="shared" si="423"/>
        <v>178</v>
      </c>
      <c r="BR298" s="61">
        <v>0</v>
      </c>
      <c r="BS298" s="61" t="s">
        <v>31</v>
      </c>
      <c r="BT298" s="17">
        <v>1</v>
      </c>
      <c r="BU298" s="17">
        <v>9</v>
      </c>
      <c r="BV298" s="17" t="str">
        <f t="shared" si="474"/>
        <v>lenvatinib_plus_everolimus</v>
      </c>
      <c r="BW298" s="1006" t="str" cm="1">
        <f t="array" ref="BW298">IF(I298="No",I298,INDEX(List_incl_anal_1L_all,IF(BU298=999,35,BU298+1)))</f>
        <v>No</v>
      </c>
      <c r="BX298" s="61">
        <f t="shared" si="475"/>
        <v>2</v>
      </c>
      <c r="BY298" s="531" t="str">
        <f t="shared" si="502"/>
        <v>Time to treatment discontinuation</v>
      </c>
      <c r="BZ298" s="530">
        <f t="shared" si="476"/>
        <v>0</v>
      </c>
      <c r="CA298" s="531">
        <f t="shared" si="498"/>
        <v>0</v>
      </c>
      <c r="CB298" s="530">
        <f t="shared" si="477"/>
        <v>0</v>
      </c>
      <c r="CC298" s="530">
        <f t="shared" si="478"/>
        <v>1</v>
      </c>
      <c r="CD298" s="530">
        <f t="shared" si="479"/>
        <v>7</v>
      </c>
      <c r="CE298" s="1295">
        <f t="shared" si="480"/>
        <v>2</v>
      </c>
      <c r="CF298" s="1301">
        <f t="shared" si="481"/>
        <v>2</v>
      </c>
      <c r="CG298" s="530" t="str">
        <f t="shared" si="482"/>
        <v>Log-logistic</v>
      </c>
      <c r="CH298" s="61">
        <f t="shared" si="483"/>
        <v>0</v>
      </c>
      <c r="CI298" s="61">
        <f t="shared" si="484"/>
        <v>0</v>
      </c>
      <c r="CJ298" s="61">
        <f t="shared" si="485"/>
        <v>0</v>
      </c>
      <c r="DK298" s="58" t="str" cm="1">
        <f t="array" ref="DK298">IF(AND($BT298=4,$BX298=4,$BU298=999),$DB$36,_xlfn.IFNA(INDEX(DB$13:DB$70,MATCH(1,($BR298=$CV$13:$CV$70)*($BT298=$CX$13:$CX$70)*($CE298=$CY$13:$CY$70)*($BY298=$DA$13:$DA$70)*($CD298=$DH$13:$DH$70),0)),""))</f>
        <v>Log-logistic</v>
      </c>
      <c r="DL298" s="58" t="str" cm="1">
        <f t="array" ref="DL298">IF(AND($BT298=4,$BX298=4,$BU298=999),$DC$36,_xlfn.IFNA(INDEX(CHOOSE(DP298,DB$13:DB$70,DC$13:DC$70,DD$13:DD$70,DE$13:DE$70),MATCH(1,($BR298=$CV$13:$CV$70)*($BT298=$CX$13:$CX$70)*($CE298=$CY$13:$CY$70)*($BY298=$DA$13:$DA$70)*($CD298=$DH$13:$DH$70),0)),""))</f>
        <v>Log-logistic</v>
      </c>
      <c r="DM298" s="740" cm="1">
        <f t="array" ref="DM298">IF(AND($BT298=4,$BX298=4,$BU298=999),$DD$36,_xlfn.IFNA(INDEX(DD$13:DD$68,MATCH(1,($BR298=$CV$13:$CV$68)*($BT298=$CX$13:$CX$68)*($CE298=$CY$13:$CY$68)*($BY298=$DA$13:$DA$68)*($CD298=$DH$13:$DH$68),0)),""))</f>
        <v>0</v>
      </c>
      <c r="DN298" s="740" cm="1">
        <f t="array" ref="DN298">IF(AND($BT298=4,$BX298=4,$BU298=999),$DD$36,_xlfn.IFNA(INDEX(DE$13:DE$68,MATCH(1,($BR298=$CV$13:$CV$68)*($BT298=$CX$13:$CX$68)*($CE298=$CY$13:$CY$68)*($BY298=$DA$13:$DA$68)*($CD298=$DH$13:$DH$68),0)),""))</f>
        <v>0</v>
      </c>
      <c r="DO298" s="58" t="str" cm="1">
        <f t="array" ref="DO298">IF(AND($BT298=4,$BX298=4,$BU298=999),$DF$36,_xlfn.IFNA(INDEX(DF$13:DF$70,MATCH(1,($BR298=$CV$13:$CV$70)*($BT298=$CX$13:$CX$70)*($CE298=$CY$13:$CY$70)*($BY298=$DA$13:$DA$70)*($CD298=$DH$13:$DH$70),0)),""))</f>
        <v>Base case</v>
      </c>
      <c r="DP298" s="58">
        <f t="shared" si="424"/>
        <v>1</v>
      </c>
      <c r="DW298" s="58" t="s">
        <v>58</v>
      </c>
      <c r="DX298" s="58" t="s">
        <v>554</v>
      </c>
      <c r="DY298" s="58">
        <v>0</v>
      </c>
      <c r="DZ298" s="58">
        <v>0</v>
      </c>
      <c r="EB298" s="58">
        <v>0</v>
      </c>
      <c r="EC298" s="58">
        <v>1</v>
      </c>
      <c r="ED298" s="58">
        <v>7</v>
      </c>
      <c r="EE298" s="58">
        <v>2</v>
      </c>
      <c r="EF298" s="58">
        <v>2</v>
      </c>
      <c r="EI298" s="58" t="s">
        <v>58</v>
      </c>
      <c r="EJ298" s="58" t="s">
        <v>554</v>
      </c>
      <c r="EK298" s="58">
        <v>0</v>
      </c>
      <c r="EL298" s="58">
        <v>0</v>
      </c>
      <c r="EN298" s="58">
        <v>0</v>
      </c>
      <c r="EO298" s="58">
        <v>1</v>
      </c>
      <c r="EP298" s="58">
        <v>7</v>
      </c>
      <c r="EQ298" s="58">
        <v>0</v>
      </c>
      <c r="ER298" s="58">
        <v>2</v>
      </c>
      <c r="EU298" s="58" t="str">
        <f t="shared" si="486"/>
        <v>No</v>
      </c>
      <c r="EV298" s="58" t="str">
        <f t="shared" si="487"/>
        <v>Time to treatment discontinuation</v>
      </c>
      <c r="EW298" s="58">
        <f t="shared" si="488"/>
        <v>0</v>
      </c>
      <c r="EX298" s="58">
        <f t="shared" si="489"/>
        <v>0</v>
      </c>
      <c r="EZ298" s="58">
        <f t="shared" si="490"/>
        <v>0</v>
      </c>
      <c r="FA298" s="58">
        <f t="shared" si="491"/>
        <v>1</v>
      </c>
      <c r="FB298" s="58">
        <f>IF(i_eff_inputs_based_on_num=2,ED298,(INDEX(Lists!$L$51:$L$85,MATCH(O298,Lists!$K$51:$K$85,0))))</f>
        <v>7</v>
      </c>
      <c r="FC298" s="58">
        <f>IF(i_eff_inputs_based_on_num=2,EE298,(INDEX(Lists!$L$51:$L$85,MATCH(P298,Lists!$K$51:$K$85,0))))</f>
        <v>2</v>
      </c>
      <c r="FD298" s="58">
        <f>IF(i_eff_inputs_based_on_num=2,EF298,(INDEX(Lists!$L$51:$L$85,MATCH(Q298,Lists!$K$51:$K$85,0))))</f>
        <v>2</v>
      </c>
      <c r="FG298" s="58" t="str">
        <f t="shared" si="492"/>
        <v>No</v>
      </c>
      <c r="FH298" s="58" t="str">
        <f t="shared" si="493"/>
        <v>Time to treatment discontinuation</v>
      </c>
      <c r="FI298" s="58">
        <f t="shared" si="494"/>
        <v>0</v>
      </c>
      <c r="FJ298" s="58">
        <f t="shared" si="495"/>
        <v>0</v>
      </c>
      <c r="FL298" s="58">
        <f t="shared" si="496"/>
        <v>0</v>
      </c>
      <c r="FM298" s="58">
        <f t="shared" si="497"/>
        <v>1</v>
      </c>
      <c r="FN298" s="58">
        <f>IF(i_eff_inputs_based_on_num=2,EP298,(INDEX(Lists!$L$51:$L$85,MATCH(O298,Lists!$K$51:$K$85,0))))</f>
        <v>7</v>
      </c>
      <c r="FO298" s="58">
        <f>IF(i_eff_inputs_based_on_num=2,EQ298,(INDEX(Lists!$L$51:$L$85,MATCH(P298,Lists!$K$51:$K$85,0))))</f>
        <v>0</v>
      </c>
      <c r="FP298" s="58">
        <f>IF(i_eff_inputs_based_on_num=2,ER298,(INDEX(Lists!$L$51:$L$85,MATCH(Q298,Lists!$K$51:$K$85,0))))</f>
        <v>2</v>
      </c>
      <c r="FT298" s="58">
        <f t="shared" si="425"/>
        <v>0</v>
      </c>
      <c r="FW298" s="58">
        <f>IF(i_baseline_risk_from=2,'Effectiveness settings'!EW298,'Effectiveness settings'!FI298)</f>
        <v>0</v>
      </c>
      <c r="FX298" s="58">
        <f t="shared" si="426"/>
        <v>0</v>
      </c>
      <c r="FY298" s="58">
        <f t="shared" si="427"/>
        <v>0</v>
      </c>
      <c r="FZ298" s="58">
        <f t="shared" si="428"/>
        <v>0</v>
      </c>
      <c r="GA298" s="58">
        <f t="shared" si="429"/>
        <v>0</v>
      </c>
      <c r="GB298" s="58">
        <f t="shared" si="430"/>
        <v>0</v>
      </c>
      <c r="GC298" s="58">
        <f t="shared" si="431"/>
        <v>0</v>
      </c>
      <c r="GD298" s="58">
        <f t="shared" si="432"/>
        <v>0</v>
      </c>
      <c r="GE298" s="58">
        <f>IF(AND(dd_CheckMate214_TTD="Yes",'Effectiveness settings'!BU298=2,'Effectiveness settings'!BX298=2),"Apply HR to",GD298)</f>
        <v>0</v>
      </c>
      <c r="GF298" s="58">
        <f t="shared" si="433"/>
        <v>0</v>
      </c>
      <c r="GG298" s="58">
        <f t="shared" si="434"/>
        <v>0</v>
      </c>
      <c r="GH298" s="58">
        <f t="shared" si="435"/>
        <v>0</v>
      </c>
      <c r="GI298" s="58">
        <f t="shared" si="415"/>
        <v>0</v>
      </c>
      <c r="GK298" s="58">
        <f>IF(i_baseline_risk_from=2,'Effectiveness settings'!FA298,'Effectiveness settings'!FM298)</f>
        <v>1</v>
      </c>
      <c r="GL298" s="58">
        <f>IF(i_baseline_risk_from=2,'Effectiveness settings'!FB298,'Effectiveness settings'!FN298)</f>
        <v>7</v>
      </c>
      <c r="GM298" s="58">
        <f>IF(i_baseline_risk_from=2,'Effectiveness settings'!FC298,'Effectiveness settings'!FO298)</f>
        <v>2</v>
      </c>
      <c r="GN298" s="58">
        <f>IF(i_baseline_risk_from=2,'Effectiveness settings'!FD298,'Effectiveness settings'!FP298)</f>
        <v>2</v>
      </c>
      <c r="GQ298" s="58">
        <f t="shared" si="436"/>
        <v>7</v>
      </c>
      <c r="GR298" s="58">
        <f t="shared" si="437"/>
        <v>7</v>
      </c>
      <c r="GS298" s="58">
        <f t="shared" si="438"/>
        <v>7</v>
      </c>
      <c r="GT298" s="58">
        <f t="shared" si="439"/>
        <v>7</v>
      </c>
      <c r="GU298" s="58">
        <f>IF(AND(dd_CheckMate214_TTD="Yes",'Effectiveness settings'!BU298=2,'Effectiveness settings'!BX298=2),2,GT298)</f>
        <v>7</v>
      </c>
      <c r="GV298" s="58">
        <f t="shared" si="440"/>
        <v>7</v>
      </c>
      <c r="GW298" s="58">
        <f t="shared" si="441"/>
        <v>7</v>
      </c>
      <c r="GY298" s="58">
        <f>IF(AND(dd_CheckMate214_TTD="Yes",'Effectiveness settings'!BU298=2,'Effectiveness settings'!BX298=2),1,GN298)</f>
        <v>2</v>
      </c>
      <c r="GZ298" s="58">
        <f t="shared" si="442"/>
        <v>2</v>
      </c>
      <c r="HB298" s="58">
        <f t="shared" si="443"/>
        <v>0</v>
      </c>
      <c r="HD298" s="58">
        <f t="shared" si="416"/>
        <v>0</v>
      </c>
      <c r="HE298" s="58">
        <f t="shared" si="417"/>
        <v>1</v>
      </c>
      <c r="HF298" s="58">
        <f t="shared" si="418"/>
        <v>7</v>
      </c>
      <c r="HG298" s="58">
        <f t="shared" si="419"/>
        <v>2</v>
      </c>
      <c r="HH298" s="58">
        <f t="shared" si="420"/>
        <v>2</v>
      </c>
    </row>
    <row r="299" spans="1:216" ht="15.75" x14ac:dyDescent="0.25">
      <c r="D299" s="58" t="str">
        <v>everolimus</v>
      </c>
      <c r="I299" s="64" t="s">
        <v>58</v>
      </c>
      <c r="J299" s="519" t="s">
        <v>554</v>
      </c>
      <c r="K299" s="524"/>
      <c r="L299" s="519"/>
      <c r="M299" s="516" t="s">
        <v>31</v>
      </c>
      <c r="N299" s="64" t="s">
        <v>546</v>
      </c>
      <c r="O299" s="64" t="s">
        <v>117</v>
      </c>
      <c r="P299" s="64" t="s">
        <v>547</v>
      </c>
      <c r="Q299" s="519" t="s">
        <v>554</v>
      </c>
      <c r="R299" s="516" t="s">
        <v>548</v>
      </c>
      <c r="S299" s="497"/>
      <c r="T299" s="497"/>
      <c r="U299" s="497"/>
      <c r="W299" s="58" t="str">
        <v>everolimus</v>
      </c>
      <c r="X299" s="64" t="s">
        <v>74</v>
      </c>
      <c r="Y299" s="519" t="s">
        <v>554</v>
      </c>
      <c r="Z299" s="524" t="s">
        <v>578</v>
      </c>
      <c r="AA299" s="519"/>
      <c r="AB299" s="516" t="s">
        <v>31</v>
      </c>
      <c r="AC299" s="64" t="s">
        <v>576</v>
      </c>
      <c r="AD299" s="64" t="s">
        <v>119</v>
      </c>
      <c r="AE299" s="64" t="s">
        <v>547</v>
      </c>
      <c r="AF299" s="519" t="s">
        <v>552</v>
      </c>
      <c r="AG299" s="516" t="s">
        <v>548</v>
      </c>
      <c r="AH299" s="999">
        <f t="shared" si="499"/>
        <v>1.19</v>
      </c>
      <c r="AI299" s="999">
        <f t="shared" si="500"/>
        <v>1.1499999999999999</v>
      </c>
      <c r="AJ299" s="999">
        <f t="shared" si="501"/>
        <v>1.24</v>
      </c>
      <c r="AK299" s="58" t="s">
        <v>596</v>
      </c>
      <c r="AL299" s="64" t="str">
        <f t="shared" si="472"/>
        <v>Yes</v>
      </c>
      <c r="AM299" s="519" t="s">
        <v>554</v>
      </c>
      <c r="AN299" s="524" t="s">
        <v>578</v>
      </c>
      <c r="AO299" s="519"/>
      <c r="AP299" s="516" t="s">
        <v>31</v>
      </c>
      <c r="AQ299" s="64" t="s">
        <v>577</v>
      </c>
      <c r="AR299" s="64" t="s">
        <v>119</v>
      </c>
      <c r="AS299" s="64" t="s">
        <v>547</v>
      </c>
      <c r="AT299" s="519" t="s">
        <v>552</v>
      </c>
      <c r="AU299" s="516" t="s">
        <v>548</v>
      </c>
      <c r="AV299" s="999">
        <v>1.19</v>
      </c>
      <c r="AW299" s="999">
        <v>1.1499999999999999</v>
      </c>
      <c r="AX299" s="999">
        <v>1.24</v>
      </c>
      <c r="AY299" s="58" t="s">
        <v>596</v>
      </c>
      <c r="AZ299" s="64" t="str">
        <f t="shared" si="473"/>
        <v>Yes</v>
      </c>
      <c r="BA299" s="519" t="s">
        <v>554</v>
      </c>
      <c r="BB299" s="524" t="s">
        <v>578</v>
      </c>
      <c r="BC299" s="519"/>
      <c r="BD299" s="516" t="s">
        <v>31</v>
      </c>
      <c r="BE299" s="64" t="s">
        <v>577</v>
      </c>
      <c r="BF299" s="64" t="s">
        <v>119</v>
      </c>
      <c r="BG299" s="64" t="s">
        <v>547</v>
      </c>
      <c r="BH299" s="519" t="s">
        <v>554</v>
      </c>
      <c r="BI299" s="516" t="s">
        <v>548</v>
      </c>
      <c r="BJ299" s="497">
        <v>1.7410000000000001</v>
      </c>
      <c r="BK299" s="497">
        <v>1.208</v>
      </c>
      <c r="BL299" s="497">
        <v>2.5099999999999998</v>
      </c>
      <c r="BM299" s="58" t="s">
        <v>594</v>
      </c>
      <c r="BQ299" s="58">
        <f t="shared" si="423"/>
        <v>179</v>
      </c>
      <c r="BR299" s="61">
        <v>0</v>
      </c>
      <c r="BS299" s="61" t="s">
        <v>31</v>
      </c>
      <c r="BT299" s="17">
        <v>1</v>
      </c>
      <c r="BU299" s="17">
        <v>10</v>
      </c>
      <c r="BV299" s="17" t="str">
        <f t="shared" si="474"/>
        <v>everolimus</v>
      </c>
      <c r="BW299" s="1006" t="str" cm="1">
        <f t="array" ref="BW299">IF(I299="No",I299,INDEX(List_incl_anal_1L_all,IF(BU299=999,35,BU299+1)))</f>
        <v>No</v>
      </c>
      <c r="BX299" s="61">
        <f t="shared" si="475"/>
        <v>2</v>
      </c>
      <c r="BY299" s="531" t="str">
        <f t="shared" si="502"/>
        <v>Time to treatment discontinuation</v>
      </c>
      <c r="BZ299" s="530">
        <f t="shared" si="476"/>
        <v>0</v>
      </c>
      <c r="CA299" s="531">
        <f t="shared" si="498"/>
        <v>0</v>
      </c>
      <c r="CB299" s="530">
        <f t="shared" si="477"/>
        <v>0</v>
      </c>
      <c r="CC299" s="530">
        <f t="shared" si="478"/>
        <v>1</v>
      </c>
      <c r="CD299" s="530">
        <f t="shared" si="479"/>
        <v>7</v>
      </c>
      <c r="CE299" s="1295">
        <f t="shared" si="480"/>
        <v>2</v>
      </c>
      <c r="CF299" s="1301">
        <f t="shared" si="481"/>
        <v>2</v>
      </c>
      <c r="CG299" s="530" t="str">
        <f t="shared" si="482"/>
        <v>Log-logistic</v>
      </c>
      <c r="CH299" s="61">
        <f t="shared" si="483"/>
        <v>0</v>
      </c>
      <c r="CI299" s="61">
        <f t="shared" si="484"/>
        <v>0</v>
      </c>
      <c r="CJ299" s="61">
        <f t="shared" si="485"/>
        <v>0</v>
      </c>
      <c r="DK299" s="58" t="str" cm="1">
        <f t="array" ref="DK299">IF(AND($BT299=4,$BX299=4,$BU299=999),$DB$36,_xlfn.IFNA(INDEX(DB$13:DB$70,MATCH(1,($BR299=$CV$13:$CV$70)*($BT299=$CX$13:$CX$70)*($CE299=$CY$13:$CY$70)*($BY299=$DA$13:$DA$70)*($CD299=$DH$13:$DH$70),0)),""))</f>
        <v>Log-logistic</v>
      </c>
      <c r="DL299" s="58" t="str" cm="1">
        <f t="array" ref="DL299">IF(AND($BT299=4,$BX299=4,$BU299=999),$DC$36,_xlfn.IFNA(INDEX(CHOOSE(DP299,DB$13:DB$70,DC$13:DC$70,DD$13:DD$70,DE$13:DE$70),MATCH(1,($BR299=$CV$13:$CV$70)*($BT299=$CX$13:$CX$70)*($CE299=$CY$13:$CY$70)*($BY299=$DA$13:$DA$70)*($CD299=$DH$13:$DH$70),0)),""))</f>
        <v>Log-logistic</v>
      </c>
      <c r="DM299" s="740" cm="1">
        <f t="array" ref="DM299">IF(AND($BT299=4,$BX299=4,$BU299=999),$DD$36,_xlfn.IFNA(INDEX(DD$13:DD$68,MATCH(1,($BR299=$CV$13:$CV$68)*($BT299=$CX$13:$CX$68)*($CE299=$CY$13:$CY$68)*($BY299=$DA$13:$DA$68)*($CD299=$DH$13:$DH$68),0)),""))</f>
        <v>0</v>
      </c>
      <c r="DN299" s="740" cm="1">
        <f t="array" ref="DN299">IF(AND($BT299=4,$BX299=4,$BU299=999),$DD$36,_xlfn.IFNA(INDEX(DE$13:DE$68,MATCH(1,($BR299=$CV$13:$CV$68)*($BT299=$CX$13:$CX$68)*($CE299=$CY$13:$CY$68)*($BY299=$DA$13:$DA$68)*($CD299=$DH$13:$DH$68),0)),""))</f>
        <v>0</v>
      </c>
      <c r="DO299" s="58" t="str" cm="1">
        <f t="array" ref="DO299">IF(AND($BT299=4,$BX299=4,$BU299=999),$DF$36,_xlfn.IFNA(INDEX(DF$13:DF$70,MATCH(1,($BR299=$CV$13:$CV$70)*($BT299=$CX$13:$CX$70)*($CE299=$CY$13:$CY$70)*($BY299=$DA$13:$DA$70)*($CD299=$DH$13:$DH$70),0)),""))</f>
        <v>Base case</v>
      </c>
      <c r="DP299" s="58">
        <f t="shared" si="424"/>
        <v>1</v>
      </c>
      <c r="DW299" s="58" t="s">
        <v>58</v>
      </c>
      <c r="DX299" s="58" t="s">
        <v>554</v>
      </c>
      <c r="DY299" s="58">
        <v>0</v>
      </c>
      <c r="DZ299" s="58">
        <v>0</v>
      </c>
      <c r="EB299" s="58">
        <v>0</v>
      </c>
      <c r="EC299" s="58">
        <v>1</v>
      </c>
      <c r="ED299" s="58">
        <v>7</v>
      </c>
      <c r="EE299" s="58">
        <v>2</v>
      </c>
      <c r="EF299" s="58">
        <v>2</v>
      </c>
      <c r="EI299" s="58" t="s">
        <v>58</v>
      </c>
      <c r="EJ299" s="58" t="s">
        <v>554</v>
      </c>
      <c r="EK299" s="58">
        <v>0</v>
      </c>
      <c r="EL299" s="58">
        <v>0</v>
      </c>
      <c r="EN299" s="58">
        <v>0</v>
      </c>
      <c r="EO299" s="58">
        <v>1</v>
      </c>
      <c r="EP299" s="58">
        <v>7</v>
      </c>
      <c r="EQ299" s="58">
        <v>0</v>
      </c>
      <c r="ER299" s="58">
        <v>2</v>
      </c>
      <c r="EU299" s="58" t="str">
        <f t="shared" si="486"/>
        <v>No</v>
      </c>
      <c r="EV299" s="58" t="str">
        <f t="shared" si="487"/>
        <v>Time to treatment discontinuation</v>
      </c>
      <c r="EW299" s="58">
        <f t="shared" si="488"/>
        <v>0</v>
      </c>
      <c r="EX299" s="58">
        <f t="shared" si="489"/>
        <v>0</v>
      </c>
      <c r="EZ299" s="58">
        <f t="shared" si="490"/>
        <v>0</v>
      </c>
      <c r="FA299" s="58">
        <f t="shared" si="491"/>
        <v>1</v>
      </c>
      <c r="FB299" s="58">
        <f>IF(i_eff_inputs_based_on_num=2,ED299,(INDEX(Lists!$L$51:$L$85,MATCH(O299,Lists!$K$51:$K$85,0))))</f>
        <v>7</v>
      </c>
      <c r="FC299" s="58">
        <f>IF(i_eff_inputs_based_on_num=2,EE299,(INDEX(Lists!$L$51:$L$85,MATCH(P299,Lists!$K$51:$K$85,0))))</f>
        <v>2</v>
      </c>
      <c r="FD299" s="58">
        <f>IF(i_eff_inputs_based_on_num=2,EF299,(INDEX(Lists!$L$51:$L$85,MATCH(Q299,Lists!$K$51:$K$85,0))))</f>
        <v>2</v>
      </c>
      <c r="FG299" s="58" t="str">
        <f t="shared" si="492"/>
        <v>No</v>
      </c>
      <c r="FH299" s="58" t="str">
        <f t="shared" si="493"/>
        <v>Time to treatment discontinuation</v>
      </c>
      <c r="FI299" s="58">
        <f t="shared" si="494"/>
        <v>0</v>
      </c>
      <c r="FJ299" s="58">
        <f t="shared" si="495"/>
        <v>0</v>
      </c>
      <c r="FL299" s="58">
        <f t="shared" si="496"/>
        <v>0</v>
      </c>
      <c r="FM299" s="58">
        <f t="shared" si="497"/>
        <v>1</v>
      </c>
      <c r="FN299" s="58">
        <f>IF(i_eff_inputs_based_on_num=2,EP299,(INDEX(Lists!$L$51:$L$85,MATCH(O299,Lists!$K$51:$K$85,0))))</f>
        <v>7</v>
      </c>
      <c r="FO299" s="58">
        <f>IF(i_eff_inputs_based_on_num=2,EQ299,(INDEX(Lists!$L$51:$L$85,MATCH(P299,Lists!$K$51:$K$85,0))))</f>
        <v>0</v>
      </c>
      <c r="FP299" s="58">
        <f>IF(i_eff_inputs_based_on_num=2,ER299,(INDEX(Lists!$L$51:$L$85,MATCH(Q299,Lists!$K$51:$K$85,0))))</f>
        <v>2</v>
      </c>
      <c r="FT299" s="58">
        <f t="shared" si="425"/>
        <v>0</v>
      </c>
      <c r="FW299" s="58">
        <f>IF(i_baseline_risk_from=2,'Effectiveness settings'!EW299,'Effectiveness settings'!FI299)</f>
        <v>0</v>
      </c>
      <c r="FX299" s="58">
        <f t="shared" si="426"/>
        <v>0</v>
      </c>
      <c r="FY299" s="58">
        <f t="shared" si="427"/>
        <v>0</v>
      </c>
      <c r="FZ299" s="58">
        <f t="shared" si="428"/>
        <v>0</v>
      </c>
      <c r="GA299" s="58">
        <f t="shared" si="429"/>
        <v>0</v>
      </c>
      <c r="GB299" s="58">
        <f t="shared" si="430"/>
        <v>0</v>
      </c>
      <c r="GC299" s="58">
        <f t="shared" si="431"/>
        <v>0</v>
      </c>
      <c r="GD299" s="58">
        <f t="shared" si="432"/>
        <v>0</v>
      </c>
      <c r="GE299" s="58">
        <f>IF(AND(dd_CheckMate214_TTD="Yes",'Effectiveness settings'!BU299=2,'Effectiveness settings'!BX299=2),"Apply HR to",GD299)</f>
        <v>0</v>
      </c>
      <c r="GF299" s="58">
        <f t="shared" si="433"/>
        <v>0</v>
      </c>
      <c r="GG299" s="58">
        <f t="shared" si="434"/>
        <v>0</v>
      </c>
      <c r="GH299" s="58">
        <f t="shared" si="435"/>
        <v>0</v>
      </c>
      <c r="GI299" s="58">
        <f t="shared" si="415"/>
        <v>0</v>
      </c>
      <c r="GK299" s="58">
        <f>IF(i_baseline_risk_from=2,'Effectiveness settings'!FA299,'Effectiveness settings'!FM299)</f>
        <v>1</v>
      </c>
      <c r="GL299" s="58">
        <f>IF(i_baseline_risk_from=2,'Effectiveness settings'!FB299,'Effectiveness settings'!FN299)</f>
        <v>7</v>
      </c>
      <c r="GM299" s="58">
        <f>IF(i_baseline_risk_from=2,'Effectiveness settings'!FC299,'Effectiveness settings'!FO299)</f>
        <v>2</v>
      </c>
      <c r="GN299" s="58">
        <f>IF(i_baseline_risk_from=2,'Effectiveness settings'!FD299,'Effectiveness settings'!FP299)</f>
        <v>2</v>
      </c>
      <c r="GQ299" s="58">
        <f t="shared" si="436"/>
        <v>7</v>
      </c>
      <c r="GR299" s="58">
        <f t="shared" si="437"/>
        <v>7</v>
      </c>
      <c r="GS299" s="58">
        <f t="shared" si="438"/>
        <v>7</v>
      </c>
      <c r="GT299" s="58">
        <f t="shared" si="439"/>
        <v>7</v>
      </c>
      <c r="GU299" s="58">
        <f>IF(AND(dd_CheckMate214_TTD="Yes",'Effectiveness settings'!BU299=2,'Effectiveness settings'!BX299=2),2,GT299)</f>
        <v>7</v>
      </c>
      <c r="GV299" s="58">
        <f t="shared" si="440"/>
        <v>7</v>
      </c>
      <c r="GW299" s="58">
        <f t="shared" si="441"/>
        <v>7</v>
      </c>
      <c r="GY299" s="58">
        <f>IF(AND(dd_CheckMate214_TTD="Yes",'Effectiveness settings'!BU299=2,'Effectiveness settings'!BX299=2),1,GN299)</f>
        <v>2</v>
      </c>
      <c r="GZ299" s="58">
        <f t="shared" si="442"/>
        <v>2</v>
      </c>
      <c r="HB299" s="58">
        <f t="shared" si="443"/>
        <v>0</v>
      </c>
      <c r="HD299" s="58">
        <f t="shared" si="416"/>
        <v>0</v>
      </c>
      <c r="HE299" s="58">
        <f t="shared" si="417"/>
        <v>1</v>
      </c>
      <c r="HF299" s="58">
        <f t="shared" si="418"/>
        <v>7</v>
      </c>
      <c r="HG299" s="58">
        <f t="shared" si="419"/>
        <v>2</v>
      </c>
      <c r="HH299" s="58">
        <f t="shared" si="420"/>
        <v>2</v>
      </c>
    </row>
    <row r="300" spans="1:216" ht="15.75" x14ac:dyDescent="0.25">
      <c r="D300" s="58" t="str">
        <v>axitinib</v>
      </c>
      <c r="I300" s="64" t="s">
        <v>58</v>
      </c>
      <c r="J300" s="519" t="s">
        <v>554</v>
      </c>
      <c r="K300" s="524"/>
      <c r="L300" s="519"/>
      <c r="M300" s="516" t="s">
        <v>31</v>
      </c>
      <c r="N300" s="64" t="s">
        <v>546</v>
      </c>
      <c r="O300" s="64" t="s">
        <v>117</v>
      </c>
      <c r="P300" s="64" t="s">
        <v>547</v>
      </c>
      <c r="Q300" s="519" t="s">
        <v>554</v>
      </c>
      <c r="R300" s="516" t="s">
        <v>548</v>
      </c>
      <c r="S300" s="497"/>
      <c r="T300" s="497"/>
      <c r="U300" s="497"/>
      <c r="W300" s="58" t="str">
        <v>axitinib</v>
      </c>
      <c r="X300" s="64" t="s">
        <v>74</v>
      </c>
      <c r="Y300" s="519" t="s">
        <v>554</v>
      </c>
      <c r="Z300" s="524" t="s">
        <v>578</v>
      </c>
      <c r="AA300" s="519"/>
      <c r="AB300" s="516" t="s">
        <v>31</v>
      </c>
      <c r="AC300" s="64" t="s">
        <v>576</v>
      </c>
      <c r="AD300" s="64" t="s">
        <v>327</v>
      </c>
      <c r="AE300" s="64" t="s">
        <v>547</v>
      </c>
      <c r="AF300" s="519" t="s">
        <v>552</v>
      </c>
      <c r="AG300" s="516" t="s">
        <v>548</v>
      </c>
      <c r="AH300" s="999">
        <f t="shared" si="499"/>
        <v>1.19</v>
      </c>
      <c r="AI300" s="999">
        <f t="shared" si="500"/>
        <v>1.1499999999999999</v>
      </c>
      <c r="AJ300" s="999">
        <f t="shared" si="501"/>
        <v>1.24</v>
      </c>
      <c r="AK300" s="58" t="s">
        <v>596</v>
      </c>
      <c r="AL300" s="64" t="str">
        <f t="shared" si="472"/>
        <v>Yes</v>
      </c>
      <c r="AM300" s="519" t="s">
        <v>554</v>
      </c>
      <c r="AN300" s="524" t="s">
        <v>578</v>
      </c>
      <c r="AO300" s="519"/>
      <c r="AP300" s="516" t="s">
        <v>31</v>
      </c>
      <c r="AQ300" s="64" t="s">
        <v>577</v>
      </c>
      <c r="AR300" s="64" t="s">
        <v>327</v>
      </c>
      <c r="AS300" s="64" t="s">
        <v>547</v>
      </c>
      <c r="AT300" s="519" t="s">
        <v>552</v>
      </c>
      <c r="AU300" s="516" t="s">
        <v>548</v>
      </c>
      <c r="AV300" s="999">
        <v>1.19</v>
      </c>
      <c r="AW300" s="999">
        <v>1.1499999999999999</v>
      </c>
      <c r="AX300" s="999">
        <v>1.24</v>
      </c>
      <c r="AY300" s="58" t="s">
        <v>596</v>
      </c>
      <c r="AZ300" s="64" t="str">
        <f t="shared" si="473"/>
        <v>Yes</v>
      </c>
      <c r="BA300" s="519" t="s">
        <v>554</v>
      </c>
      <c r="BB300" s="524" t="s">
        <v>578</v>
      </c>
      <c r="BC300" s="519"/>
      <c r="BD300" s="516" t="s">
        <v>31</v>
      </c>
      <c r="BE300" s="64" t="s">
        <v>577</v>
      </c>
      <c r="BF300" s="64" t="s">
        <v>327</v>
      </c>
      <c r="BG300" s="64" t="s">
        <v>547</v>
      </c>
      <c r="BH300" s="519" t="s">
        <v>554</v>
      </c>
      <c r="BI300" s="516" t="s">
        <v>548</v>
      </c>
      <c r="BJ300" s="497">
        <v>1.7410000000000001</v>
      </c>
      <c r="BK300" s="497">
        <v>1.208</v>
      </c>
      <c r="BL300" s="497">
        <v>2.5099999999999998</v>
      </c>
      <c r="BM300" s="58" t="s">
        <v>595</v>
      </c>
      <c r="BQ300" s="58">
        <f t="shared" si="423"/>
        <v>180</v>
      </c>
      <c r="BR300" s="61">
        <v>0</v>
      </c>
      <c r="BS300" s="61" t="s">
        <v>31</v>
      </c>
      <c r="BT300" s="17">
        <v>1</v>
      </c>
      <c r="BU300" s="17">
        <v>11</v>
      </c>
      <c r="BV300" s="17" t="str">
        <f t="shared" si="474"/>
        <v>axitinib</v>
      </c>
      <c r="BW300" s="1006" t="str" cm="1">
        <f t="array" ref="BW300">IF(I300="No",I300,INDEX(List_incl_anal_1L_all,IF(BU300=999,35,BU300+1)))</f>
        <v>No</v>
      </c>
      <c r="BX300" s="61">
        <f t="shared" si="475"/>
        <v>2</v>
      </c>
      <c r="BY300" s="531" t="str">
        <f t="shared" si="502"/>
        <v>Time to treatment discontinuation</v>
      </c>
      <c r="BZ300" s="530">
        <f t="shared" si="476"/>
        <v>0</v>
      </c>
      <c r="CA300" s="531">
        <f t="shared" si="498"/>
        <v>0</v>
      </c>
      <c r="CB300" s="530">
        <f t="shared" si="477"/>
        <v>0</v>
      </c>
      <c r="CC300" s="530">
        <f t="shared" si="478"/>
        <v>1</v>
      </c>
      <c r="CD300" s="530">
        <f t="shared" si="479"/>
        <v>7</v>
      </c>
      <c r="CE300" s="1295">
        <f t="shared" si="480"/>
        <v>2</v>
      </c>
      <c r="CF300" s="1301">
        <f t="shared" si="481"/>
        <v>2</v>
      </c>
      <c r="CG300" s="530" t="str">
        <f t="shared" si="482"/>
        <v>Log-logistic</v>
      </c>
      <c r="CH300" s="61">
        <f t="shared" si="483"/>
        <v>0</v>
      </c>
      <c r="CI300" s="61">
        <f t="shared" si="484"/>
        <v>0</v>
      </c>
      <c r="CJ300" s="61">
        <f t="shared" si="485"/>
        <v>0</v>
      </c>
      <c r="DK300" s="58" t="str" cm="1">
        <f t="array" ref="DK300">IF(AND($BT300=4,$BX300=4,$BU300=999),$DB$36,_xlfn.IFNA(INDEX(DB$13:DB$70,MATCH(1,($BR300=$CV$13:$CV$70)*($BT300=$CX$13:$CX$70)*($CE300=$CY$13:$CY$70)*($BY300=$DA$13:$DA$70)*($CD300=$DH$13:$DH$70),0)),""))</f>
        <v>Log-logistic</v>
      </c>
      <c r="DL300" s="58" t="str" cm="1">
        <f t="array" ref="DL300">IF(AND($BT300=4,$BX300=4,$BU300=999),$DC$36,_xlfn.IFNA(INDEX(CHOOSE(DP300,DB$13:DB$70,DC$13:DC$70,DD$13:DD$70,DE$13:DE$70),MATCH(1,($BR300=$CV$13:$CV$70)*($BT300=$CX$13:$CX$70)*($CE300=$CY$13:$CY$70)*($BY300=$DA$13:$DA$70)*($CD300=$DH$13:$DH$70),0)),""))</f>
        <v>Log-logistic</v>
      </c>
      <c r="DM300" s="740" cm="1">
        <f t="array" ref="DM300">IF(AND($BT300=4,$BX300=4,$BU300=999),$DD$36,_xlfn.IFNA(INDEX(DD$13:DD$68,MATCH(1,($BR300=$CV$13:$CV$68)*($BT300=$CX$13:$CX$68)*($CE300=$CY$13:$CY$68)*($BY300=$DA$13:$DA$68)*($CD300=$DH$13:$DH$68),0)),""))</f>
        <v>0</v>
      </c>
      <c r="DN300" s="740" cm="1">
        <f t="array" ref="DN300">IF(AND($BT300=4,$BX300=4,$BU300=999),$DD$36,_xlfn.IFNA(INDEX(DE$13:DE$68,MATCH(1,($BR300=$CV$13:$CV$68)*($BT300=$CX$13:$CX$68)*($CE300=$CY$13:$CY$68)*($BY300=$DA$13:$DA$68)*($CD300=$DH$13:$DH$68),0)),""))</f>
        <v>0</v>
      </c>
      <c r="DO300" s="58" t="str" cm="1">
        <f t="array" ref="DO300">IF(AND($BT300=4,$BX300=4,$BU300=999),$DF$36,_xlfn.IFNA(INDEX(DF$13:DF$70,MATCH(1,($BR300=$CV$13:$CV$70)*($BT300=$CX$13:$CX$70)*($CE300=$CY$13:$CY$70)*($BY300=$DA$13:$DA$70)*($CD300=$DH$13:$DH$70),0)),""))</f>
        <v>Base case</v>
      </c>
      <c r="DP300" s="58">
        <f t="shared" si="424"/>
        <v>1</v>
      </c>
      <c r="DW300" s="58" t="s">
        <v>58</v>
      </c>
      <c r="DX300" s="58" t="s">
        <v>554</v>
      </c>
      <c r="DY300" s="58">
        <v>0</v>
      </c>
      <c r="DZ300" s="58">
        <v>0</v>
      </c>
      <c r="EB300" s="58">
        <v>0</v>
      </c>
      <c r="EC300" s="58">
        <v>1</v>
      </c>
      <c r="ED300" s="58">
        <v>7</v>
      </c>
      <c r="EE300" s="58">
        <v>2</v>
      </c>
      <c r="EF300" s="58">
        <v>2</v>
      </c>
      <c r="EI300" s="58" t="s">
        <v>58</v>
      </c>
      <c r="EJ300" s="58" t="s">
        <v>554</v>
      </c>
      <c r="EK300" s="58">
        <v>0</v>
      </c>
      <c r="EL300" s="58">
        <v>0</v>
      </c>
      <c r="EN300" s="58">
        <v>0</v>
      </c>
      <c r="EO300" s="58">
        <v>1</v>
      </c>
      <c r="EP300" s="58">
        <v>7</v>
      </c>
      <c r="EQ300" s="58">
        <v>0</v>
      </c>
      <c r="ER300" s="58">
        <v>2</v>
      </c>
      <c r="EU300" s="58" t="str">
        <f t="shared" si="486"/>
        <v>No</v>
      </c>
      <c r="EV300" s="58" t="str">
        <f t="shared" si="487"/>
        <v>Time to treatment discontinuation</v>
      </c>
      <c r="EW300" s="58">
        <f t="shared" si="488"/>
        <v>0</v>
      </c>
      <c r="EX300" s="58">
        <f t="shared" si="489"/>
        <v>0</v>
      </c>
      <c r="EZ300" s="58">
        <f t="shared" si="490"/>
        <v>0</v>
      </c>
      <c r="FA300" s="58">
        <f t="shared" si="491"/>
        <v>1</v>
      </c>
      <c r="FB300" s="58">
        <f>IF(i_eff_inputs_based_on_num=2,ED300,(INDEX(Lists!$L$51:$L$85,MATCH(O300,Lists!$K$51:$K$85,0))))</f>
        <v>7</v>
      </c>
      <c r="FC300" s="58">
        <f>IF(i_eff_inputs_based_on_num=2,EE300,(INDEX(Lists!$L$51:$L$85,MATCH(P300,Lists!$K$51:$K$85,0))))</f>
        <v>2</v>
      </c>
      <c r="FD300" s="58">
        <f>IF(i_eff_inputs_based_on_num=2,EF300,(INDEX(Lists!$L$51:$L$85,MATCH(Q300,Lists!$K$51:$K$85,0))))</f>
        <v>2</v>
      </c>
      <c r="FG300" s="58" t="str">
        <f t="shared" si="492"/>
        <v>No</v>
      </c>
      <c r="FH300" s="58" t="str">
        <f t="shared" si="493"/>
        <v>Time to treatment discontinuation</v>
      </c>
      <c r="FI300" s="58">
        <f t="shared" si="494"/>
        <v>0</v>
      </c>
      <c r="FJ300" s="58">
        <f t="shared" si="495"/>
        <v>0</v>
      </c>
      <c r="FL300" s="58">
        <f t="shared" si="496"/>
        <v>0</v>
      </c>
      <c r="FM300" s="58">
        <f t="shared" si="497"/>
        <v>1</v>
      </c>
      <c r="FN300" s="58">
        <f>IF(i_eff_inputs_based_on_num=2,EP300,(INDEX(Lists!$L$51:$L$85,MATCH(O300,Lists!$K$51:$K$85,0))))</f>
        <v>7</v>
      </c>
      <c r="FO300" s="58">
        <f>IF(i_eff_inputs_based_on_num=2,EQ300,(INDEX(Lists!$L$51:$L$85,MATCH(P300,Lists!$K$51:$K$85,0))))</f>
        <v>0</v>
      </c>
      <c r="FP300" s="58">
        <f>IF(i_eff_inputs_based_on_num=2,ER300,(INDEX(Lists!$L$51:$L$85,MATCH(Q300,Lists!$K$51:$K$85,0))))</f>
        <v>2</v>
      </c>
      <c r="FT300" s="58">
        <f t="shared" si="425"/>
        <v>0</v>
      </c>
      <c r="FW300" s="58">
        <f>IF(i_baseline_risk_from=2,'Effectiveness settings'!EW300,'Effectiveness settings'!FI300)</f>
        <v>0</v>
      </c>
      <c r="FX300" s="58">
        <f t="shared" si="426"/>
        <v>0</v>
      </c>
      <c r="FY300" s="58">
        <f t="shared" si="427"/>
        <v>0</v>
      </c>
      <c r="FZ300" s="58">
        <f t="shared" si="428"/>
        <v>0</v>
      </c>
      <c r="GA300" s="58">
        <f t="shared" si="429"/>
        <v>0</v>
      </c>
      <c r="GB300" s="58">
        <f t="shared" si="430"/>
        <v>0</v>
      </c>
      <c r="GC300" s="58">
        <f t="shared" si="431"/>
        <v>0</v>
      </c>
      <c r="GD300" s="58">
        <f t="shared" si="432"/>
        <v>0</v>
      </c>
      <c r="GE300" s="58">
        <f>IF(AND(dd_CheckMate214_TTD="Yes",'Effectiveness settings'!BU300=2,'Effectiveness settings'!BX300=2),"Apply HR to",GD300)</f>
        <v>0</v>
      </c>
      <c r="GF300" s="58">
        <f t="shared" si="433"/>
        <v>0</v>
      </c>
      <c r="GG300" s="58">
        <f t="shared" si="434"/>
        <v>0</v>
      </c>
      <c r="GH300" s="58">
        <f t="shared" si="435"/>
        <v>0</v>
      </c>
      <c r="GI300" s="58">
        <f t="shared" si="415"/>
        <v>0</v>
      </c>
      <c r="GK300" s="58">
        <f>IF(i_baseline_risk_from=2,'Effectiveness settings'!FA300,'Effectiveness settings'!FM300)</f>
        <v>1</v>
      </c>
      <c r="GL300" s="58">
        <f>IF(i_baseline_risk_from=2,'Effectiveness settings'!FB300,'Effectiveness settings'!FN300)</f>
        <v>7</v>
      </c>
      <c r="GM300" s="58">
        <f>IF(i_baseline_risk_from=2,'Effectiveness settings'!FC300,'Effectiveness settings'!FO300)</f>
        <v>2</v>
      </c>
      <c r="GN300" s="58">
        <f>IF(i_baseline_risk_from=2,'Effectiveness settings'!FD300,'Effectiveness settings'!FP300)</f>
        <v>2</v>
      </c>
      <c r="GQ300" s="58">
        <f t="shared" si="436"/>
        <v>7</v>
      </c>
      <c r="GR300" s="58">
        <f t="shared" si="437"/>
        <v>7</v>
      </c>
      <c r="GS300" s="58">
        <f t="shared" si="438"/>
        <v>7</v>
      </c>
      <c r="GT300" s="58">
        <f t="shared" si="439"/>
        <v>7</v>
      </c>
      <c r="GU300" s="58">
        <f>IF(AND(dd_CheckMate214_TTD="Yes",'Effectiveness settings'!BU300=2,'Effectiveness settings'!BX300=2),2,GT300)</f>
        <v>7</v>
      </c>
      <c r="GV300" s="58">
        <f t="shared" si="440"/>
        <v>7</v>
      </c>
      <c r="GW300" s="58">
        <f t="shared" si="441"/>
        <v>7</v>
      </c>
      <c r="GY300" s="58">
        <f>IF(AND(dd_CheckMate214_TTD="Yes",'Effectiveness settings'!BU300=2,'Effectiveness settings'!BX300=2),1,GN300)</f>
        <v>2</v>
      </c>
      <c r="GZ300" s="58">
        <f t="shared" si="442"/>
        <v>2</v>
      </c>
      <c r="HB300" s="58">
        <f t="shared" si="443"/>
        <v>0</v>
      </c>
      <c r="HD300" s="58">
        <f t="shared" si="416"/>
        <v>0</v>
      </c>
      <c r="HE300" s="58">
        <f t="shared" si="417"/>
        <v>1</v>
      </c>
      <c r="HF300" s="58">
        <f t="shared" si="418"/>
        <v>7</v>
      </c>
      <c r="HG300" s="58">
        <f t="shared" si="419"/>
        <v>2</v>
      </c>
      <c r="HH300" s="58">
        <f t="shared" si="420"/>
        <v>2</v>
      </c>
    </row>
    <row r="301" spans="1:216" ht="15.75" x14ac:dyDescent="0.25">
      <c r="D301" s="58" t="str">
        <v>sorafenib</v>
      </c>
      <c r="I301" s="64" t="s">
        <v>58</v>
      </c>
      <c r="J301" s="519" t="s">
        <v>554</v>
      </c>
      <c r="K301" s="524"/>
      <c r="L301" s="519"/>
      <c r="M301" s="516" t="s">
        <v>31</v>
      </c>
      <c r="N301" s="64" t="s">
        <v>546</v>
      </c>
      <c r="O301" s="64" t="s">
        <v>117</v>
      </c>
      <c r="P301" s="64" t="s">
        <v>547</v>
      </c>
      <c r="Q301" s="519" t="s">
        <v>554</v>
      </c>
      <c r="R301" s="516" t="s">
        <v>548</v>
      </c>
      <c r="S301" s="497"/>
      <c r="T301" s="497"/>
      <c r="U301" s="497"/>
      <c r="W301" s="58" t="str">
        <v>sorafenib</v>
      </c>
      <c r="X301" s="64" t="s">
        <v>58</v>
      </c>
      <c r="Y301" s="519" t="s">
        <v>554</v>
      </c>
      <c r="Z301" s="524"/>
      <c r="AA301" s="519"/>
      <c r="AB301" s="516" t="s">
        <v>31</v>
      </c>
      <c r="AC301" s="64" t="s">
        <v>576</v>
      </c>
      <c r="AD301" s="64" t="s">
        <v>588</v>
      </c>
      <c r="AE301" s="64" t="s">
        <v>547</v>
      </c>
      <c r="AF301" s="519" t="s">
        <v>552</v>
      </c>
      <c r="AG301" s="516" t="s">
        <v>548</v>
      </c>
      <c r="AH301" s="497"/>
      <c r="AI301" s="497"/>
      <c r="AJ301" s="497"/>
      <c r="AL301" s="64" t="str">
        <f t="shared" si="472"/>
        <v>No</v>
      </c>
      <c r="AM301" s="519" t="s">
        <v>554</v>
      </c>
      <c r="AN301" s="524"/>
      <c r="AO301" s="519"/>
      <c r="AP301" s="516" t="s">
        <v>31</v>
      </c>
      <c r="AQ301" s="64" t="s">
        <v>577</v>
      </c>
      <c r="AR301" s="64" t="s">
        <v>588</v>
      </c>
      <c r="AS301" s="64" t="s">
        <v>547</v>
      </c>
      <c r="AT301" s="519" t="s">
        <v>552</v>
      </c>
      <c r="AU301" s="516" t="s">
        <v>548</v>
      </c>
      <c r="AV301" s="497"/>
      <c r="AW301" s="497"/>
      <c r="AX301" s="497"/>
      <c r="AZ301" s="64" t="str">
        <f t="shared" si="473"/>
        <v>No</v>
      </c>
      <c r="BA301" s="519" t="s">
        <v>554</v>
      </c>
      <c r="BB301" s="524"/>
      <c r="BC301" s="519"/>
      <c r="BD301" s="516" t="s">
        <v>31</v>
      </c>
      <c r="BE301" s="64" t="s">
        <v>565</v>
      </c>
      <c r="BF301" s="64" t="s">
        <v>588</v>
      </c>
      <c r="BG301" s="64" t="s">
        <v>547</v>
      </c>
      <c r="BH301" s="519" t="s">
        <v>552</v>
      </c>
      <c r="BI301" s="516" t="s">
        <v>548</v>
      </c>
      <c r="BJ301" s="497">
        <v>1</v>
      </c>
      <c r="BK301" s="497"/>
      <c r="BL301" s="497"/>
      <c r="BQ301" s="58">
        <f t="shared" si="423"/>
        <v>181</v>
      </c>
      <c r="BR301" s="61">
        <v>0</v>
      </c>
      <c r="BS301" s="61" t="s">
        <v>31</v>
      </c>
      <c r="BT301" s="17">
        <v>1</v>
      </c>
      <c r="BU301" s="17">
        <v>12</v>
      </c>
      <c r="BV301" s="17" t="str">
        <f t="shared" si="474"/>
        <v>sorafenib</v>
      </c>
      <c r="BW301" s="1006" t="str" cm="1">
        <f t="array" ref="BW301">IF(I301="No",I301,INDEX(List_incl_anal_1L_all,IF(BU301=999,35,BU301+1)))</f>
        <v>No</v>
      </c>
      <c r="BX301" s="61">
        <f t="shared" si="475"/>
        <v>2</v>
      </c>
      <c r="BY301" s="531" t="str">
        <f t="shared" si="502"/>
        <v>Time to treatment discontinuation</v>
      </c>
      <c r="BZ301" s="530">
        <f t="shared" si="476"/>
        <v>0</v>
      </c>
      <c r="CA301" s="531">
        <f t="shared" si="498"/>
        <v>0</v>
      </c>
      <c r="CB301" s="530">
        <f t="shared" si="477"/>
        <v>0</v>
      </c>
      <c r="CC301" s="530">
        <f t="shared" si="478"/>
        <v>1</v>
      </c>
      <c r="CD301" s="530">
        <f t="shared" si="479"/>
        <v>7</v>
      </c>
      <c r="CE301" s="1295">
        <f t="shared" si="480"/>
        <v>2</v>
      </c>
      <c r="CF301" s="1301">
        <f t="shared" si="481"/>
        <v>2</v>
      </c>
      <c r="CG301" s="530" t="str">
        <f t="shared" si="482"/>
        <v>Log-logistic</v>
      </c>
      <c r="CH301" s="61">
        <f t="shared" si="483"/>
        <v>0</v>
      </c>
      <c r="CI301" s="61">
        <f t="shared" si="484"/>
        <v>0</v>
      </c>
      <c r="CJ301" s="61">
        <f t="shared" si="485"/>
        <v>0</v>
      </c>
      <c r="DK301" s="58" t="str" cm="1">
        <f t="array" ref="DK301">IF(AND($BT301=4,$BX301=4,$BU301=999),$DB$36,_xlfn.IFNA(INDEX(DB$13:DB$70,MATCH(1,($BR301=$CV$13:$CV$70)*($BT301=$CX$13:$CX$70)*($CE301=$CY$13:$CY$70)*($BY301=$DA$13:$DA$70)*($CD301=$DH$13:$DH$70),0)),""))</f>
        <v>Log-logistic</v>
      </c>
      <c r="DL301" s="58" t="str" cm="1">
        <f t="array" ref="DL301">IF(AND($BT301=4,$BX301=4,$BU301=999),$DC$36,_xlfn.IFNA(INDEX(CHOOSE(DP301,DB$13:DB$70,DC$13:DC$70,DD$13:DD$70,DE$13:DE$70),MATCH(1,($BR301=$CV$13:$CV$70)*($BT301=$CX$13:$CX$70)*($CE301=$CY$13:$CY$70)*($BY301=$DA$13:$DA$70)*($CD301=$DH$13:$DH$70),0)),""))</f>
        <v>Log-logistic</v>
      </c>
      <c r="DM301" s="740" cm="1">
        <f t="array" ref="DM301">IF(AND($BT301=4,$BX301=4,$BU301=999),$DD$36,_xlfn.IFNA(INDEX(DD$13:DD$68,MATCH(1,($BR301=$CV$13:$CV$68)*($BT301=$CX$13:$CX$68)*($CE301=$CY$13:$CY$68)*($BY301=$DA$13:$DA$68)*($CD301=$DH$13:$DH$68),0)),""))</f>
        <v>0</v>
      </c>
      <c r="DN301" s="740" cm="1">
        <f t="array" ref="DN301">IF(AND($BT301=4,$BX301=4,$BU301=999),$DD$36,_xlfn.IFNA(INDEX(DE$13:DE$68,MATCH(1,($BR301=$CV$13:$CV$68)*($BT301=$CX$13:$CX$68)*($CE301=$CY$13:$CY$68)*($BY301=$DA$13:$DA$68)*($CD301=$DH$13:$DH$68),0)),""))</f>
        <v>0</v>
      </c>
      <c r="DO301" s="58" t="str" cm="1">
        <f t="array" ref="DO301">IF(AND($BT301=4,$BX301=4,$BU301=999),$DF$36,_xlfn.IFNA(INDEX(DF$13:DF$70,MATCH(1,($BR301=$CV$13:$CV$70)*($BT301=$CX$13:$CX$70)*($CE301=$CY$13:$CY$70)*($BY301=$DA$13:$DA$70)*($CD301=$DH$13:$DH$70),0)),""))</f>
        <v>Base case</v>
      </c>
      <c r="DP301" s="58">
        <f t="shared" si="424"/>
        <v>1</v>
      </c>
      <c r="DW301" s="58" t="s">
        <v>58</v>
      </c>
      <c r="DX301" s="58" t="s">
        <v>554</v>
      </c>
      <c r="DY301" s="58">
        <v>0</v>
      </c>
      <c r="DZ301" s="58">
        <v>0</v>
      </c>
      <c r="EB301" s="58">
        <v>0</v>
      </c>
      <c r="EC301" s="58">
        <v>1</v>
      </c>
      <c r="ED301" s="58">
        <v>7</v>
      </c>
      <c r="EE301" s="58">
        <v>2</v>
      </c>
      <c r="EF301" s="58">
        <v>2</v>
      </c>
      <c r="EI301" s="58" t="s">
        <v>58</v>
      </c>
      <c r="EJ301" s="58" t="s">
        <v>554</v>
      </c>
      <c r="EK301" s="58">
        <v>0</v>
      </c>
      <c r="EL301" s="58">
        <v>0</v>
      </c>
      <c r="EN301" s="58">
        <v>0</v>
      </c>
      <c r="EO301" s="58">
        <v>1</v>
      </c>
      <c r="EP301" s="58">
        <v>7</v>
      </c>
      <c r="EQ301" s="58">
        <v>0</v>
      </c>
      <c r="ER301" s="58">
        <v>2</v>
      </c>
      <c r="EU301" s="58" t="str">
        <f t="shared" si="486"/>
        <v>No</v>
      </c>
      <c r="EV301" s="58" t="str">
        <f t="shared" si="487"/>
        <v>Time to treatment discontinuation</v>
      </c>
      <c r="EW301" s="58">
        <f t="shared" si="488"/>
        <v>0</v>
      </c>
      <c r="EX301" s="58">
        <f t="shared" si="489"/>
        <v>0</v>
      </c>
      <c r="EZ301" s="58">
        <f t="shared" si="490"/>
        <v>0</v>
      </c>
      <c r="FA301" s="58">
        <f t="shared" si="491"/>
        <v>1</v>
      </c>
      <c r="FB301" s="58">
        <f>IF(i_eff_inputs_based_on_num=2,ED301,(INDEX(Lists!$L$51:$L$85,MATCH(O301,Lists!$K$51:$K$85,0))))</f>
        <v>7</v>
      </c>
      <c r="FC301" s="58">
        <f>IF(i_eff_inputs_based_on_num=2,EE301,(INDEX(Lists!$L$51:$L$85,MATCH(P301,Lists!$K$51:$K$85,0))))</f>
        <v>2</v>
      </c>
      <c r="FD301" s="58">
        <f>IF(i_eff_inputs_based_on_num=2,EF301,(INDEX(Lists!$L$51:$L$85,MATCH(Q301,Lists!$K$51:$K$85,0))))</f>
        <v>2</v>
      </c>
      <c r="FG301" s="58" t="str">
        <f t="shared" si="492"/>
        <v>No</v>
      </c>
      <c r="FH301" s="58" t="str">
        <f t="shared" si="493"/>
        <v>Time to treatment discontinuation</v>
      </c>
      <c r="FI301" s="58">
        <f t="shared" si="494"/>
        <v>0</v>
      </c>
      <c r="FJ301" s="58">
        <f t="shared" si="495"/>
        <v>0</v>
      </c>
      <c r="FL301" s="58">
        <f t="shared" si="496"/>
        <v>0</v>
      </c>
      <c r="FM301" s="58">
        <f t="shared" si="497"/>
        <v>1</v>
      </c>
      <c r="FN301" s="58">
        <f>IF(i_eff_inputs_based_on_num=2,EP301,(INDEX(Lists!$L$51:$L$85,MATCH(O301,Lists!$K$51:$K$85,0))))</f>
        <v>7</v>
      </c>
      <c r="FO301" s="58">
        <f>IF(i_eff_inputs_based_on_num=2,EQ301,(INDEX(Lists!$L$51:$L$85,MATCH(P301,Lists!$K$51:$K$85,0))))</f>
        <v>0</v>
      </c>
      <c r="FP301" s="58">
        <f>IF(i_eff_inputs_based_on_num=2,ER301,(INDEX(Lists!$L$51:$L$85,MATCH(Q301,Lists!$K$51:$K$85,0))))</f>
        <v>2</v>
      </c>
      <c r="FT301" s="58">
        <f t="shared" si="425"/>
        <v>0</v>
      </c>
      <c r="FW301" s="58">
        <f>IF(i_baseline_risk_from=2,'Effectiveness settings'!EW301,'Effectiveness settings'!FI301)</f>
        <v>0</v>
      </c>
      <c r="FX301" s="58">
        <f t="shared" si="426"/>
        <v>0</v>
      </c>
      <c r="FY301" s="58">
        <f t="shared" si="427"/>
        <v>0</v>
      </c>
      <c r="FZ301" s="58">
        <f t="shared" si="428"/>
        <v>0</v>
      </c>
      <c r="GA301" s="58">
        <f t="shared" si="429"/>
        <v>0</v>
      </c>
      <c r="GB301" s="58">
        <f t="shared" si="430"/>
        <v>0</v>
      </c>
      <c r="GC301" s="58">
        <f t="shared" si="431"/>
        <v>0</v>
      </c>
      <c r="GD301" s="58">
        <f t="shared" si="432"/>
        <v>0</v>
      </c>
      <c r="GE301" s="58">
        <f>IF(AND(dd_CheckMate214_TTD="Yes",'Effectiveness settings'!BU301=2,'Effectiveness settings'!BX301=2),"Apply HR to",GD301)</f>
        <v>0</v>
      </c>
      <c r="GF301" s="58">
        <f t="shared" si="433"/>
        <v>0</v>
      </c>
      <c r="GG301" s="58">
        <f t="shared" si="434"/>
        <v>0</v>
      </c>
      <c r="GH301" s="58">
        <f t="shared" si="435"/>
        <v>0</v>
      </c>
      <c r="GI301" s="58">
        <f t="shared" si="415"/>
        <v>0</v>
      </c>
      <c r="GK301" s="58">
        <f>IF(i_baseline_risk_from=2,'Effectiveness settings'!FA301,'Effectiveness settings'!FM301)</f>
        <v>1</v>
      </c>
      <c r="GL301" s="58">
        <f>IF(i_baseline_risk_from=2,'Effectiveness settings'!FB301,'Effectiveness settings'!FN301)</f>
        <v>7</v>
      </c>
      <c r="GM301" s="58">
        <f>IF(i_baseline_risk_from=2,'Effectiveness settings'!FC301,'Effectiveness settings'!FO301)</f>
        <v>2</v>
      </c>
      <c r="GN301" s="58">
        <f>IF(i_baseline_risk_from=2,'Effectiveness settings'!FD301,'Effectiveness settings'!FP301)</f>
        <v>2</v>
      </c>
      <c r="GQ301" s="58">
        <f t="shared" si="436"/>
        <v>7</v>
      </c>
      <c r="GR301" s="58">
        <f t="shared" si="437"/>
        <v>7</v>
      </c>
      <c r="GS301" s="58">
        <f t="shared" si="438"/>
        <v>7</v>
      </c>
      <c r="GT301" s="58">
        <f t="shared" si="439"/>
        <v>7</v>
      </c>
      <c r="GU301" s="58">
        <f>IF(AND(dd_CheckMate214_TTD="Yes",'Effectiveness settings'!BU301=2,'Effectiveness settings'!BX301=2),2,GT301)</f>
        <v>7</v>
      </c>
      <c r="GV301" s="58">
        <f t="shared" si="440"/>
        <v>7</v>
      </c>
      <c r="GW301" s="58">
        <f t="shared" si="441"/>
        <v>7</v>
      </c>
      <c r="GY301" s="58">
        <f>IF(AND(dd_CheckMate214_TTD="Yes",'Effectiveness settings'!BU301=2,'Effectiveness settings'!BX301=2),1,GN301)</f>
        <v>2</v>
      </c>
      <c r="GZ301" s="58">
        <f t="shared" si="442"/>
        <v>2</v>
      </c>
      <c r="HB301" s="58">
        <f t="shared" si="443"/>
        <v>0</v>
      </c>
      <c r="HD301" s="58">
        <f t="shared" si="416"/>
        <v>0</v>
      </c>
      <c r="HE301" s="58">
        <f t="shared" si="417"/>
        <v>1</v>
      </c>
      <c r="HF301" s="58">
        <f t="shared" si="418"/>
        <v>7</v>
      </c>
      <c r="HG301" s="58">
        <f t="shared" si="419"/>
        <v>2</v>
      </c>
      <c r="HH301" s="58">
        <f t="shared" si="420"/>
        <v>2</v>
      </c>
    </row>
    <row r="302" spans="1:216" ht="15.75" x14ac:dyDescent="0.25">
      <c r="D302" s="58" t="str">
        <v>placebo_BSC</v>
      </c>
      <c r="I302" s="64" t="s">
        <v>58</v>
      </c>
      <c r="J302" s="519" t="s">
        <v>554</v>
      </c>
      <c r="K302" s="524"/>
      <c r="L302" s="519"/>
      <c r="M302" s="516" t="s">
        <v>31</v>
      </c>
      <c r="N302" s="64" t="s">
        <v>546</v>
      </c>
      <c r="O302" s="64" t="s">
        <v>117</v>
      </c>
      <c r="P302" s="64" t="s">
        <v>547</v>
      </c>
      <c r="Q302" s="519" t="s">
        <v>554</v>
      </c>
      <c r="R302" s="516" t="s">
        <v>548</v>
      </c>
      <c r="S302" s="497"/>
      <c r="T302" s="497"/>
      <c r="U302" s="497"/>
      <c r="W302" s="58" t="str">
        <v>placebo_BSC</v>
      </c>
      <c r="X302" s="64" t="s">
        <v>58</v>
      </c>
      <c r="Y302" s="519" t="s">
        <v>554</v>
      </c>
      <c r="Z302" s="524" t="s">
        <v>578</v>
      </c>
      <c r="AA302" s="519"/>
      <c r="AB302" s="516" t="s">
        <v>31</v>
      </c>
      <c r="AC302" s="64" t="s">
        <v>576</v>
      </c>
      <c r="AD302" s="64" t="s">
        <v>566</v>
      </c>
      <c r="AE302" s="64" t="s">
        <v>547</v>
      </c>
      <c r="AF302" s="519" t="s">
        <v>552</v>
      </c>
      <c r="AG302" s="516" t="s">
        <v>548</v>
      </c>
      <c r="AH302" s="497"/>
      <c r="AI302" s="497"/>
      <c r="AJ302" s="497"/>
      <c r="AL302" s="64" t="str">
        <f t="shared" si="472"/>
        <v>No</v>
      </c>
      <c r="AM302" s="519" t="s">
        <v>554</v>
      </c>
      <c r="AN302" s="524" t="s">
        <v>578</v>
      </c>
      <c r="AO302" s="519"/>
      <c r="AP302" s="516" t="s">
        <v>31</v>
      </c>
      <c r="AQ302" s="64" t="s">
        <v>577</v>
      </c>
      <c r="AR302" s="64" t="s">
        <v>566</v>
      </c>
      <c r="AS302" s="64" t="s">
        <v>547</v>
      </c>
      <c r="AT302" s="519" t="s">
        <v>552</v>
      </c>
      <c r="AU302" s="516" t="s">
        <v>548</v>
      </c>
      <c r="AV302" s="497"/>
      <c r="AW302" s="497"/>
      <c r="AX302" s="497"/>
      <c r="AZ302" s="64" t="str">
        <f t="shared" si="473"/>
        <v>No</v>
      </c>
      <c r="BA302" s="519" t="s">
        <v>554</v>
      </c>
      <c r="BB302" s="524"/>
      <c r="BC302" s="519"/>
      <c r="BD302" s="516" t="s">
        <v>31</v>
      </c>
      <c r="BE302" s="64" t="s">
        <v>565</v>
      </c>
      <c r="BF302" s="64" t="s">
        <v>566</v>
      </c>
      <c r="BG302" s="64" t="s">
        <v>547</v>
      </c>
      <c r="BH302" s="519" t="s">
        <v>552</v>
      </c>
      <c r="BI302" s="516" t="s">
        <v>548</v>
      </c>
      <c r="BJ302" s="497">
        <v>1</v>
      </c>
      <c r="BK302" s="497"/>
      <c r="BL302" s="497"/>
      <c r="BQ302" s="58">
        <f t="shared" si="423"/>
        <v>182</v>
      </c>
      <c r="BR302" s="61">
        <v>0</v>
      </c>
      <c r="BS302" s="61" t="s">
        <v>31</v>
      </c>
      <c r="BT302" s="17">
        <v>1</v>
      </c>
      <c r="BU302" s="17">
        <v>999</v>
      </c>
      <c r="BV302" s="17" t="str">
        <f t="shared" si="474"/>
        <v>placebo_BSC</v>
      </c>
      <c r="BW302" s="1006" t="str" cm="1">
        <f t="array" ref="BW302">IF(I302="No",I302,INDEX(List_incl_anal_1L_all,IF(BU302=999,35,BU302+1)))</f>
        <v>No</v>
      </c>
      <c r="BX302" s="61">
        <f t="shared" si="475"/>
        <v>2</v>
      </c>
      <c r="BY302" s="531" t="str">
        <f t="shared" si="502"/>
        <v>Time to treatment discontinuation</v>
      </c>
      <c r="BZ302" s="530">
        <f t="shared" si="476"/>
        <v>0</v>
      </c>
      <c r="CA302" s="531">
        <f t="shared" si="498"/>
        <v>0</v>
      </c>
      <c r="CB302" s="530">
        <f t="shared" si="477"/>
        <v>0</v>
      </c>
      <c r="CC302" s="530">
        <f t="shared" si="478"/>
        <v>4</v>
      </c>
      <c r="CD302" s="530">
        <f t="shared" si="479"/>
        <v>999</v>
      </c>
      <c r="CE302" s="1295">
        <f t="shared" si="480"/>
        <v>2</v>
      </c>
      <c r="CF302" s="1301">
        <f t="shared" si="481"/>
        <v>4</v>
      </c>
      <c r="CG302" s="530" t="str">
        <f t="shared" si="482"/>
        <v/>
      </c>
      <c r="CH302" s="61">
        <f t="shared" si="483"/>
        <v>0</v>
      </c>
      <c r="CI302" s="61">
        <f t="shared" si="484"/>
        <v>0</v>
      </c>
      <c r="CJ302" s="61">
        <f t="shared" si="485"/>
        <v>0</v>
      </c>
      <c r="DK302" s="58" t="str" cm="1">
        <f t="array" ref="DK302">IF(AND($BT302=4,$BX302=4,$BU302=999),$DB$36,_xlfn.IFNA(INDEX(DB$13:DB$70,MATCH(1,($BR302=$CV$13:$CV$70)*($BT302=$CX$13:$CX$70)*($CE302=$CY$13:$CY$70)*($BY302=$DA$13:$DA$70)*($CD302=$DH$13:$DH$70),0)),""))</f>
        <v/>
      </c>
      <c r="DL302" s="58" t="str" cm="1">
        <f t="array" ref="DL302">IF(AND($BT302=4,$BX302=4,$BU302=999),$DC$36,_xlfn.IFNA(INDEX(CHOOSE(DP302,DB$13:DB$70,DC$13:DC$70,DD$13:DD$70,DE$13:DE$70),MATCH(1,($BR302=$CV$13:$CV$70)*($BT302=$CX$13:$CX$70)*($CE302=$CY$13:$CY$70)*($BY302=$DA$13:$DA$70)*($CD302=$DH$13:$DH$70),0)),""))</f>
        <v/>
      </c>
      <c r="DM302" s="740" t="str" cm="1">
        <f t="array" ref="DM302">IF(AND($BT302=4,$BX302=4,$BU302=999),$DD$36,_xlfn.IFNA(INDEX(DD$13:DD$68,MATCH(1,($BR302=$CV$13:$CV$68)*($BT302=$CX$13:$CX$68)*($CE302=$CY$13:$CY$68)*($BY302=$DA$13:$DA$68)*($CD302=$DH$13:$DH$68),0)),""))</f>
        <v/>
      </c>
      <c r="DN302" s="740" t="str" cm="1">
        <f t="array" ref="DN302">IF(AND($BT302=4,$BX302=4,$BU302=999),$DD$36,_xlfn.IFNA(INDEX(DE$13:DE$68,MATCH(1,($BR302=$CV$13:$CV$68)*($BT302=$CX$13:$CX$68)*($CE302=$CY$13:$CY$68)*($BY302=$DA$13:$DA$68)*($CD302=$DH$13:$DH$68),0)),""))</f>
        <v/>
      </c>
      <c r="DO302" s="58" t="str" cm="1">
        <f t="array" ref="DO302">IF(AND($BT302=4,$BX302=4,$BU302=999),$DF$36,_xlfn.IFNA(INDEX(DF$13:DF$70,MATCH(1,($BR302=$CV$13:$CV$70)*($BT302=$CX$13:$CX$70)*($CE302=$CY$13:$CY$70)*($BY302=$DA$13:$DA$70)*($CD302=$DH$13:$DH$70),0)),""))</f>
        <v/>
      </c>
      <c r="DP302" s="58" t="e">
        <f t="shared" si="424"/>
        <v>#N/A</v>
      </c>
      <c r="DW302" s="58" t="s">
        <v>58</v>
      </c>
      <c r="DX302" s="58" t="s">
        <v>554</v>
      </c>
      <c r="DY302" s="58">
        <v>0</v>
      </c>
      <c r="DZ302" s="58">
        <v>0</v>
      </c>
      <c r="EB302" s="58">
        <v>0</v>
      </c>
      <c r="EC302" s="58">
        <v>4</v>
      </c>
      <c r="ED302" s="58">
        <v>999</v>
      </c>
      <c r="EE302" s="58">
        <v>2</v>
      </c>
      <c r="EF302" s="58">
        <v>4</v>
      </c>
      <c r="EI302" s="58" t="s">
        <v>58</v>
      </c>
      <c r="EJ302" s="58" t="s">
        <v>554</v>
      </c>
      <c r="EK302" s="58">
        <v>0</v>
      </c>
      <c r="EL302" s="58">
        <v>0</v>
      </c>
      <c r="EN302" s="58">
        <v>0</v>
      </c>
      <c r="EO302" s="58">
        <v>4</v>
      </c>
      <c r="EP302" s="58">
        <v>999</v>
      </c>
      <c r="EQ302" s="58">
        <v>2</v>
      </c>
      <c r="ER302" s="58">
        <v>4</v>
      </c>
      <c r="EU302" s="58" t="str">
        <f t="shared" si="486"/>
        <v>No</v>
      </c>
      <c r="EV302" s="58" t="str">
        <f t="shared" si="487"/>
        <v>Time to treatment discontinuation</v>
      </c>
      <c r="EW302" s="58">
        <f t="shared" si="488"/>
        <v>0</v>
      </c>
      <c r="EX302" s="58">
        <f t="shared" si="489"/>
        <v>0</v>
      </c>
      <c r="EZ302" s="58">
        <f t="shared" si="490"/>
        <v>0</v>
      </c>
      <c r="FA302" s="58">
        <f t="shared" si="491"/>
        <v>4</v>
      </c>
      <c r="FB302" s="58">
        <f>IF(i_eff_inputs_based_on_num=2,ED302,(INDEX(Lists!$L$51:$L$85,MATCH(O302,Lists!$K$51:$K$85,0))))</f>
        <v>999</v>
      </c>
      <c r="FC302" s="58">
        <f>IF(i_eff_inputs_based_on_num=2,EE302,(INDEX(Lists!$L$51:$L$85,MATCH(P302,Lists!$K$51:$K$85,0))))</f>
        <v>2</v>
      </c>
      <c r="FD302" s="58">
        <f>IF(i_eff_inputs_based_on_num=2,EF302,(INDEX(Lists!$L$51:$L$85,MATCH(Q302,Lists!$K$51:$K$85,0))))</f>
        <v>4</v>
      </c>
      <c r="FG302" s="58" t="str">
        <f t="shared" si="492"/>
        <v>No</v>
      </c>
      <c r="FH302" s="58" t="str">
        <f t="shared" si="493"/>
        <v>Time to treatment discontinuation</v>
      </c>
      <c r="FI302" s="58">
        <f t="shared" si="494"/>
        <v>0</v>
      </c>
      <c r="FJ302" s="58">
        <f t="shared" si="495"/>
        <v>0</v>
      </c>
      <c r="FL302" s="58">
        <f t="shared" si="496"/>
        <v>0</v>
      </c>
      <c r="FM302" s="58">
        <f t="shared" si="497"/>
        <v>4</v>
      </c>
      <c r="FN302" s="58">
        <f>IF(i_eff_inputs_based_on_num=2,EP302,(INDEX(Lists!$L$51:$L$85,MATCH(O302,Lists!$K$51:$K$85,0))))</f>
        <v>999</v>
      </c>
      <c r="FO302" s="58">
        <f>IF(i_eff_inputs_based_on_num=2,EQ302,(INDEX(Lists!$L$51:$L$85,MATCH(P302,Lists!$K$51:$K$85,0))))</f>
        <v>2</v>
      </c>
      <c r="FP302" s="58">
        <f>IF(i_eff_inputs_based_on_num=2,ER302,(INDEX(Lists!$L$51:$L$85,MATCH(Q302,Lists!$K$51:$K$85,0))))</f>
        <v>4</v>
      </c>
      <c r="FT302" s="58">
        <f t="shared" si="425"/>
        <v>0</v>
      </c>
      <c r="FW302" s="58">
        <f>IF(i_baseline_risk_from=2,'Effectiveness settings'!EW302,'Effectiveness settings'!FI302)</f>
        <v>0</v>
      </c>
      <c r="FX302" s="58">
        <f t="shared" si="426"/>
        <v>0</v>
      </c>
      <c r="FY302" s="58">
        <f t="shared" si="427"/>
        <v>0</v>
      </c>
      <c r="FZ302" s="58">
        <f t="shared" si="428"/>
        <v>0</v>
      </c>
      <c r="GA302" s="58">
        <f t="shared" si="429"/>
        <v>0</v>
      </c>
      <c r="GB302" s="58">
        <f t="shared" si="430"/>
        <v>0</v>
      </c>
      <c r="GC302" s="58">
        <f t="shared" si="431"/>
        <v>0</v>
      </c>
      <c r="GD302" s="58">
        <f t="shared" si="432"/>
        <v>0</v>
      </c>
      <c r="GE302" s="58">
        <f>IF(AND(dd_CheckMate214_TTD="Yes",'Effectiveness settings'!BU302=2,'Effectiveness settings'!BX302=2),"Apply HR to",GD302)</f>
        <v>0</v>
      </c>
      <c r="GF302" s="58">
        <f t="shared" si="433"/>
        <v>0</v>
      </c>
      <c r="GG302" s="58">
        <f t="shared" si="434"/>
        <v>0</v>
      </c>
      <c r="GH302" s="58">
        <f t="shared" si="435"/>
        <v>0</v>
      </c>
      <c r="GI302" s="58">
        <f t="shared" si="415"/>
        <v>0</v>
      </c>
      <c r="GK302" s="58">
        <f>IF(i_baseline_risk_from=2,'Effectiveness settings'!FA302,'Effectiveness settings'!FM302)</f>
        <v>4</v>
      </c>
      <c r="GL302" s="58">
        <f>IF(i_baseline_risk_from=2,'Effectiveness settings'!FB302,'Effectiveness settings'!FN302)</f>
        <v>999</v>
      </c>
      <c r="GM302" s="58">
        <f>IF(i_baseline_risk_from=2,'Effectiveness settings'!FC302,'Effectiveness settings'!FO302)</f>
        <v>2</v>
      </c>
      <c r="GN302" s="58">
        <f>IF(i_baseline_risk_from=2,'Effectiveness settings'!FD302,'Effectiveness settings'!FP302)</f>
        <v>4</v>
      </c>
      <c r="GQ302" s="58">
        <f t="shared" si="436"/>
        <v>999</v>
      </c>
      <c r="GR302" s="58">
        <f t="shared" si="437"/>
        <v>999</v>
      </c>
      <c r="GS302" s="58">
        <f t="shared" si="438"/>
        <v>999</v>
      </c>
      <c r="GT302" s="58">
        <f t="shared" si="439"/>
        <v>999</v>
      </c>
      <c r="GU302" s="58">
        <f>IF(AND(dd_CheckMate214_TTD="Yes",'Effectiveness settings'!BU302=2,'Effectiveness settings'!BX302=2),2,GT302)</f>
        <v>999</v>
      </c>
      <c r="GV302" s="58">
        <f t="shared" si="440"/>
        <v>999</v>
      </c>
      <c r="GW302" s="58">
        <f t="shared" si="441"/>
        <v>999</v>
      </c>
      <c r="GY302" s="58">
        <f>IF(AND(dd_CheckMate214_TTD="Yes",'Effectiveness settings'!BU302=2,'Effectiveness settings'!BX302=2),1,GN302)</f>
        <v>4</v>
      </c>
      <c r="GZ302" s="58">
        <f t="shared" si="442"/>
        <v>4</v>
      </c>
      <c r="HB302" s="58">
        <f t="shared" si="443"/>
        <v>0</v>
      </c>
      <c r="HD302" s="58">
        <f t="shared" si="416"/>
        <v>0</v>
      </c>
      <c r="HE302" s="58">
        <f t="shared" si="417"/>
        <v>4</v>
      </c>
      <c r="HF302" s="58">
        <f t="shared" si="418"/>
        <v>999</v>
      </c>
      <c r="HG302" s="58">
        <f t="shared" si="419"/>
        <v>2</v>
      </c>
      <c r="HH302" s="58">
        <f t="shared" si="420"/>
        <v>4</v>
      </c>
    </row>
    <row r="303" spans="1:216" ht="15.75" x14ac:dyDescent="0.25">
      <c r="I303" s="67"/>
      <c r="J303" s="520"/>
      <c r="K303" s="525"/>
      <c r="L303" s="517"/>
      <c r="Q303" s="520"/>
      <c r="X303" s="1"/>
      <c r="Y303" s="625"/>
      <c r="Z303" s="1"/>
      <c r="AA303" s="626"/>
      <c r="AB303" s="4"/>
      <c r="AD303" s="4"/>
      <c r="AE303" s="4"/>
      <c r="AF303" s="625"/>
      <c r="AL303" s="1"/>
      <c r="AM303" s="625"/>
      <c r="AN303" s="67"/>
      <c r="AO303" s="517"/>
      <c r="AT303" s="625"/>
      <c r="AV303" s="511"/>
      <c r="AW303" s="511"/>
      <c r="AX303" s="511"/>
      <c r="AZ303" s="1"/>
      <c r="BA303" s="625"/>
      <c r="BB303" s="67"/>
      <c r="BC303" s="517"/>
      <c r="BH303" s="625"/>
      <c r="BJ303" s="511"/>
      <c r="BK303" s="511"/>
      <c r="BL303" s="511"/>
      <c r="BQ303" s="58">
        <f t="shared" si="423"/>
        <v>182</v>
      </c>
      <c r="BR303" s="61"/>
      <c r="BS303" s="61"/>
      <c r="BT303" s="17"/>
      <c r="BU303" s="61"/>
      <c r="BV303" s="17"/>
      <c r="BW303" s="17"/>
      <c r="BX303" s="61"/>
      <c r="BY303" s="531"/>
      <c r="BZ303" s="530"/>
      <c r="CA303" s="531"/>
      <c r="CB303" s="530"/>
      <c r="CC303" s="530"/>
      <c r="CD303" s="530"/>
      <c r="CE303" s="1295"/>
      <c r="CF303" s="1301"/>
      <c r="CG303" s="530"/>
      <c r="CH303" s="61"/>
      <c r="CI303" s="61"/>
      <c r="CJ303" s="61"/>
      <c r="DK303" s="58" t="str" cm="1">
        <f t="array" ref="DK303">IF(AND($BT303=4,$BX303=4,$BU303=999),$DB$36,_xlfn.IFNA(INDEX(DB$13:DB$70,MATCH(1,($BR303=$CV$13:$CV$70)*($BT303=$CX$13:$CX$70)*($CE303=$CY$13:$CY$70)*($BY303=$DA$13:$DA$70)*($CD303=$DH$13:$DH$70),0)),""))</f>
        <v/>
      </c>
      <c r="DL303" s="58" t="str" cm="1">
        <f t="array" ref="DL303">IF(AND($BT303=4,$BX303=4,$BU303=999),$DC$36,_xlfn.IFNA(INDEX(CHOOSE(DP303,DB$13:DB$70,DC$13:DC$70,DD$13:DD$70,DE$13:DE$70),MATCH(1,($BR303=$CV$13:$CV$70)*($BT303=$CX$13:$CX$70)*($CE303=$CY$13:$CY$70)*($BY303=$DA$13:$DA$70)*($CD303=$DH$13:$DH$70),0)),""))</f>
        <v/>
      </c>
      <c r="DM303" s="740" t="str" cm="1">
        <f t="array" ref="DM303">IF(AND($BT303=4,$BX303=4,$BU303=999),$DD$36,_xlfn.IFNA(INDEX(DD$13:DD$68,MATCH(1,($BR303=$CV$13:$CV$68)*($BT303=$CX$13:$CX$68)*($CE303=$CY$13:$CY$68)*($BY303=$DA$13:$DA$68)*($CD303=$DH$13:$DH$68),0)),""))</f>
        <v/>
      </c>
      <c r="DN303" s="740" t="str" cm="1">
        <f t="array" ref="DN303">IF(AND($BT303=4,$BX303=4,$BU303=999),$DD$36,_xlfn.IFNA(INDEX(DE$13:DE$68,MATCH(1,($BR303=$CV$13:$CV$68)*($BT303=$CX$13:$CX$68)*($CE303=$CY$13:$CY$68)*($BY303=$DA$13:$DA$68)*($CD303=$DH$13:$DH$68),0)),""))</f>
        <v/>
      </c>
      <c r="DO303" s="58" t="str" cm="1">
        <f t="array" ref="DO303">IF(AND($BT303=4,$BX303=4,$BU303=999),$DF$36,_xlfn.IFNA(INDEX(DF$13:DF$70,MATCH(1,($BR303=$CV$13:$CV$70)*($BT303=$CX$13:$CX$70)*($CE303=$CY$13:$CY$70)*($BY303=$DA$13:$DA$70)*($CD303=$DH$13:$DH$70),0)),""))</f>
        <v/>
      </c>
      <c r="DP303" s="58" t="e">
        <f t="shared" si="424"/>
        <v>#N/A</v>
      </c>
      <c r="FT303" s="58">
        <f t="shared" si="425"/>
        <v>0</v>
      </c>
      <c r="FW303" s="58">
        <f>IF(i_baseline_risk_from=2,'Effectiveness settings'!EW303,'Effectiveness settings'!FI303)</f>
        <v>0</v>
      </c>
      <c r="FX303" s="58">
        <f t="shared" si="426"/>
        <v>0</v>
      </c>
      <c r="FY303" s="58">
        <f t="shared" si="427"/>
        <v>0</v>
      </c>
      <c r="FZ303" s="58">
        <f t="shared" si="428"/>
        <v>0</v>
      </c>
      <c r="GA303" s="58">
        <f t="shared" si="429"/>
        <v>0</v>
      </c>
      <c r="GB303" s="58">
        <f t="shared" si="430"/>
        <v>0</v>
      </c>
      <c r="GC303" s="58">
        <f t="shared" si="431"/>
        <v>0</v>
      </c>
      <c r="GD303" s="58">
        <f t="shared" si="432"/>
        <v>0</v>
      </c>
      <c r="GE303" s="58">
        <f>IF(AND(dd_CheckMate214_TTD="Yes",'Effectiveness settings'!BU303=2,'Effectiveness settings'!BX303=2),"Apply HR to",GD303)</f>
        <v>0</v>
      </c>
      <c r="GF303" s="58">
        <f t="shared" si="433"/>
        <v>0</v>
      </c>
      <c r="GG303" s="58">
        <f t="shared" si="434"/>
        <v>0</v>
      </c>
      <c r="GH303" s="58">
        <f t="shared" si="435"/>
        <v>0</v>
      </c>
      <c r="GI303" s="58">
        <f t="shared" si="415"/>
        <v>0</v>
      </c>
      <c r="GK303" s="58">
        <f>IF(i_baseline_risk_from=2,'Effectiveness settings'!FA303,'Effectiveness settings'!FM303)</f>
        <v>0</v>
      </c>
      <c r="GL303" s="58">
        <f>IF(i_baseline_risk_from=2,'Effectiveness settings'!FB303,'Effectiveness settings'!FN303)</f>
        <v>0</v>
      </c>
      <c r="GM303" s="58">
        <f>IF(i_baseline_risk_from=2,'Effectiveness settings'!FC303,'Effectiveness settings'!FO303)</f>
        <v>0</v>
      </c>
      <c r="GN303" s="58">
        <f>IF(i_baseline_risk_from=2,'Effectiveness settings'!FD303,'Effectiveness settings'!FP303)</f>
        <v>0</v>
      </c>
      <c r="GQ303" s="58">
        <f t="shared" si="436"/>
        <v>0</v>
      </c>
      <c r="GR303" s="58">
        <f t="shared" si="437"/>
        <v>0</v>
      </c>
      <c r="GS303" s="58">
        <f t="shared" si="438"/>
        <v>0</v>
      </c>
      <c r="GT303" s="58">
        <f t="shared" si="439"/>
        <v>0</v>
      </c>
      <c r="GU303" s="58">
        <f>IF(AND(dd_CheckMate214_TTD="Yes",'Effectiveness settings'!BU303=2,'Effectiveness settings'!BX303=2),2,GT303)</f>
        <v>0</v>
      </c>
      <c r="GV303" s="58">
        <f t="shared" si="440"/>
        <v>0</v>
      </c>
      <c r="GW303" s="58">
        <f t="shared" si="441"/>
        <v>0</v>
      </c>
      <c r="GY303" s="58">
        <f>IF(AND(dd_CheckMate214_TTD="Yes",'Effectiveness settings'!BU303=2,'Effectiveness settings'!BX303=2),1,GN303)</f>
        <v>0</v>
      </c>
      <c r="GZ303" s="58">
        <f t="shared" si="442"/>
        <v>0</v>
      </c>
      <c r="HB303" s="58">
        <f t="shared" si="443"/>
        <v>0</v>
      </c>
      <c r="HD303" s="58">
        <f t="shared" si="416"/>
        <v>0</v>
      </c>
      <c r="HE303" s="58">
        <f t="shared" si="417"/>
        <v>0</v>
      </c>
      <c r="HF303" s="58">
        <f t="shared" si="418"/>
        <v>0</v>
      </c>
      <c r="HG303" s="58">
        <f t="shared" si="419"/>
        <v>0</v>
      </c>
      <c r="HH303" s="58">
        <f t="shared" si="420"/>
        <v>0</v>
      </c>
    </row>
    <row r="304" spans="1:216" ht="15.75" x14ac:dyDescent="0.25">
      <c r="D304" s="58" t="str" cm="1">
        <f t="array" ref="D304:D317">List_comparators</f>
        <v>nivolumab_monotherapy</v>
      </c>
      <c r="I304" s="64" t="s">
        <v>58</v>
      </c>
      <c r="J304" s="519" t="s">
        <v>555</v>
      </c>
      <c r="K304" s="524"/>
      <c r="L304" s="519"/>
      <c r="M304" s="516" t="s">
        <v>31</v>
      </c>
      <c r="N304" s="64" t="s">
        <v>546</v>
      </c>
      <c r="O304" s="64" t="s">
        <v>117</v>
      </c>
      <c r="P304" s="64" t="s">
        <v>547</v>
      </c>
      <c r="Q304" s="519" t="s">
        <v>555</v>
      </c>
      <c r="R304" s="516" t="s">
        <v>548</v>
      </c>
      <c r="S304" s="497"/>
      <c r="T304" s="497"/>
      <c r="U304" s="497"/>
      <c r="W304" s="58" t="str" cm="1">
        <f t="array" ref="W304:W317">List_comparators</f>
        <v>nivolumab_monotherapy</v>
      </c>
      <c r="X304" s="64" t="s">
        <v>74</v>
      </c>
      <c r="Y304" s="519" t="s">
        <v>555</v>
      </c>
      <c r="Z304" s="524" t="s">
        <v>578</v>
      </c>
      <c r="AA304" s="519"/>
      <c r="AB304" s="516" t="s">
        <v>31</v>
      </c>
      <c r="AC304" s="64" t="s">
        <v>576</v>
      </c>
      <c r="AD304" s="64" t="s">
        <v>118</v>
      </c>
      <c r="AE304" s="64" t="s">
        <v>547</v>
      </c>
      <c r="AF304" s="519" t="s">
        <v>555</v>
      </c>
      <c r="AG304" s="516" t="s">
        <v>548</v>
      </c>
      <c r="AH304" s="998">
        <f>IF(i_baseline_risk_from=2,0.82,1/1.278)</f>
        <v>0.82</v>
      </c>
      <c r="AI304" s="998">
        <f>IF(i_baseline_risk_from=2,0.8,1/1.539)</f>
        <v>0.8</v>
      </c>
      <c r="AJ304" s="998">
        <f>IF(i_baseline_risk_from=2,0.84,1/1.062)</f>
        <v>0.84</v>
      </c>
      <c r="AL304" s="64" t="str">
        <f t="shared" ref="AL304:AL317" si="503">X304</f>
        <v>Yes</v>
      </c>
      <c r="AM304" s="519" t="s">
        <v>555</v>
      </c>
      <c r="AN304" s="524" t="s">
        <v>578</v>
      </c>
      <c r="AO304" s="519"/>
      <c r="AP304" s="516" t="s">
        <v>31</v>
      </c>
      <c r="AQ304" s="64" t="s">
        <v>577</v>
      </c>
      <c r="AR304" s="64" t="s">
        <v>118</v>
      </c>
      <c r="AS304" s="64" t="s">
        <v>547</v>
      </c>
      <c r="AT304" s="519" t="s">
        <v>555</v>
      </c>
      <c r="AU304" s="516" t="s">
        <v>548</v>
      </c>
      <c r="AV304" s="998">
        <f>IF(i_baseline_risk_from=2,0.82,1/1.278)</f>
        <v>0.82</v>
      </c>
      <c r="AW304" s="998">
        <f>IF(i_baseline_risk_from=2,0.8,1/1.539)</f>
        <v>0.8</v>
      </c>
      <c r="AX304" s="998">
        <f>IF(i_baseline_risk_from=2,0.84,1/1.062)</f>
        <v>0.84</v>
      </c>
      <c r="AZ304" s="64" t="str">
        <f t="shared" ref="AZ304:AZ317" si="504">AL304</f>
        <v>Yes</v>
      </c>
      <c r="BA304" s="519" t="s">
        <v>555</v>
      </c>
      <c r="BB304" s="524" t="s">
        <v>578</v>
      </c>
      <c r="BC304" s="519"/>
      <c r="BD304" s="516" t="s">
        <v>31</v>
      </c>
      <c r="BE304" s="64" t="s">
        <v>565</v>
      </c>
      <c r="BF304" s="64" t="s">
        <v>579</v>
      </c>
      <c r="BG304" s="64" t="s">
        <v>547</v>
      </c>
      <c r="BH304" s="519" t="s">
        <v>552</v>
      </c>
      <c r="BI304" s="516" t="s">
        <v>548</v>
      </c>
      <c r="BJ304" s="1135">
        <f>IF(i_baseline_risk_from=2,0.82,1/1.278)</f>
        <v>0.82</v>
      </c>
      <c r="BK304" s="1135">
        <f>IF(i_baseline_risk_from=2,0.8,1/1.539)</f>
        <v>0.8</v>
      </c>
      <c r="BL304" s="1135">
        <f>IF(i_baseline_risk_from=2,0.84,1/1.062)</f>
        <v>0.84</v>
      </c>
      <c r="BM304" s="740">
        <v>0.82</v>
      </c>
      <c r="BN304" s="740">
        <v>0.8</v>
      </c>
      <c r="BO304" s="740">
        <v>0.84</v>
      </c>
      <c r="BQ304" s="58">
        <f t="shared" si="423"/>
        <v>183</v>
      </c>
      <c r="BR304" s="61">
        <v>0</v>
      </c>
      <c r="BS304" s="61" t="s">
        <v>31</v>
      </c>
      <c r="BT304" s="17">
        <v>1</v>
      </c>
      <c r="BU304" s="17">
        <v>0</v>
      </c>
      <c r="BV304" s="17" t="str">
        <f t="shared" ref="BV304:BV317" si="505">D304</f>
        <v>nivolumab_monotherapy</v>
      </c>
      <c r="BW304" s="1006" t="str" cm="1">
        <f t="array" ref="BW304">IF(I304="No",I304,INDEX(List_incl_anal_1L_all,IF(BU304=999,35,BU304+1)))</f>
        <v>No</v>
      </c>
      <c r="BX304" s="61">
        <f t="shared" ref="BX304:BX317" si="506">MATCH(BY304,List_eff_endpoints,0)-1</f>
        <v>3</v>
      </c>
      <c r="BY304" s="531" t="str">
        <f>J304</f>
        <v>Time to progression</v>
      </c>
      <c r="BZ304" s="530">
        <f t="shared" ref="BZ304:BZ317" si="507">GI304</f>
        <v>0</v>
      </c>
      <c r="CA304" s="531">
        <f>FT304</f>
        <v>0</v>
      </c>
      <c r="CB304" s="530">
        <f t="shared" ref="CB304:CB317" si="508">HD304</f>
        <v>0</v>
      </c>
      <c r="CC304" s="530">
        <f t="shared" ref="CC304:CC317" si="509">HE304</f>
        <v>1</v>
      </c>
      <c r="CD304" s="530">
        <f t="shared" ref="CD304:CD317" si="510">HF304</f>
        <v>7</v>
      </c>
      <c r="CE304" s="1295">
        <f t="shared" ref="CE304:CE317" si="511">HG304</f>
        <v>2</v>
      </c>
      <c r="CF304" s="1301">
        <f t="shared" ref="CF304:CF317" si="512">HH304</f>
        <v>3</v>
      </c>
      <c r="CG304" s="530" t="str">
        <f t="shared" ref="CG304:CG317" si="513">IF(i_surv_cur=1,DK304,DL304)</f>
        <v>Log-logistic</v>
      </c>
      <c r="CH304" s="61">
        <f t="shared" ref="CH304:CH317" si="514">S304</f>
        <v>0</v>
      </c>
      <c r="CI304" s="61">
        <f t="shared" ref="CI304:CI317" si="515">T304</f>
        <v>0</v>
      </c>
      <c r="CJ304" s="61">
        <f t="shared" ref="CJ304:CJ317" si="516">U304</f>
        <v>0</v>
      </c>
      <c r="DK304" s="58" t="str" cm="1">
        <f t="array" ref="DK304">IF(AND($BT304=4,$BX304=4,$BU304=999),$DB$36,_xlfn.IFNA(INDEX(DB$13:DB$70,MATCH(1,($BR304=$CV$13:$CV$70)*($BT304=$CX$13:$CX$70)*($CE304=$CY$13:$CY$70)*($BY304=$DA$13:$DA$70)*($CD304=$DH$13:$DH$70),0)),""))</f>
        <v>Log-logistic</v>
      </c>
      <c r="DL304" s="58" t="str" cm="1">
        <f t="array" ref="DL304">IF(AND($BT304=4,$BX304=4,$BU304=999),$DC$36,_xlfn.IFNA(INDEX(CHOOSE(DP304,DB$13:DB$70,DC$13:DC$70,DD$13:DD$70,DE$13:DE$70),MATCH(1,($BR304=$CV$13:$CV$70)*($BT304=$CX$13:$CX$70)*($CE304=$CY$13:$CY$70)*($BY304=$DA$13:$DA$70)*($CD304=$DH$13:$DH$70),0)),""))</f>
        <v>Log-logistic</v>
      </c>
      <c r="DM304" s="740" cm="1">
        <f t="array" ref="DM304">IF(AND($BT304=4,$BX304=4,$BU304=999),$DD$36,_xlfn.IFNA(INDEX(DD$13:DD$68,MATCH(1,($BR304=$CV$13:$CV$68)*($BT304=$CX$13:$CX$68)*($CE304=$CY$13:$CY$68)*($BY304=$DA$13:$DA$68)*($CD304=$DH$13:$DH$68),0)),""))</f>
        <v>0</v>
      </c>
      <c r="DN304" s="740" cm="1">
        <f t="array" ref="DN304">IF(AND($BT304=4,$BX304=4,$BU304=999),$DD$36,_xlfn.IFNA(INDEX(DE$13:DE$68,MATCH(1,($BR304=$CV$13:$CV$68)*($BT304=$CX$13:$CX$68)*($CE304=$CY$13:$CY$68)*($BY304=$DA$13:$DA$68)*($CD304=$DH$13:$DH$68),0)),""))</f>
        <v>0</v>
      </c>
      <c r="DO304" s="58" t="str" cm="1">
        <f t="array" ref="DO304">IF(AND($BT304=4,$BX304=4,$BU304=999),$DF$36,_xlfn.IFNA(INDEX(DF$13:DF$70,MATCH(1,($BR304=$CV$13:$CV$70)*($BT304=$CX$13:$CX$70)*($CE304=$CY$13:$CY$70)*($BY304=$DA$13:$DA$70)*($CD304=$DH$13:$DH$70),0)),""))</f>
        <v>Base case</v>
      </c>
      <c r="DP304" s="58">
        <f t="shared" si="424"/>
        <v>1</v>
      </c>
      <c r="DW304" s="58" t="s">
        <v>58</v>
      </c>
      <c r="DX304" s="58" t="s">
        <v>555</v>
      </c>
      <c r="DY304" s="58">
        <v>0</v>
      </c>
      <c r="DZ304" s="58">
        <v>0</v>
      </c>
      <c r="EB304" s="58">
        <v>0</v>
      </c>
      <c r="EC304" s="58">
        <v>1</v>
      </c>
      <c r="ED304" s="58">
        <v>7</v>
      </c>
      <c r="EE304" s="58">
        <v>2</v>
      </c>
      <c r="EF304" s="58">
        <v>3</v>
      </c>
      <c r="EI304" s="58" t="s">
        <v>58</v>
      </c>
      <c r="EJ304" s="58" t="s">
        <v>555</v>
      </c>
      <c r="EK304" s="58">
        <v>0</v>
      </c>
      <c r="EL304" s="58">
        <v>0</v>
      </c>
      <c r="EN304" s="58">
        <v>0</v>
      </c>
      <c r="EO304" s="58">
        <v>1</v>
      </c>
      <c r="EP304" s="58">
        <v>7</v>
      </c>
      <c r="EQ304" s="58">
        <v>0</v>
      </c>
      <c r="ER304" s="58">
        <v>3</v>
      </c>
      <c r="EU304" s="58" t="str">
        <f t="shared" ref="EU304:EU317" si="517">IF(i_eff_inputs_based_on_num=2,DW304,I304)</f>
        <v>No</v>
      </c>
      <c r="EV304" s="58" t="str">
        <f t="shared" ref="EV304:EV317" si="518">IF(i_eff_inputs_based_on_num=2,DX304,J304)</f>
        <v>Time to progression</v>
      </c>
      <c r="EW304" s="58">
        <f t="shared" ref="EW304:EW317" si="519">IF(i_eff_inputs_based_on_num=2,DY304,K304)</f>
        <v>0</v>
      </c>
      <c r="EX304" s="58">
        <f t="shared" ref="EX304:EX317" si="520">IF(i_eff_inputs_based_on_num=2,DZ304,L304)</f>
        <v>0</v>
      </c>
      <c r="EZ304" s="58">
        <f t="shared" ref="EZ304:EZ317" si="521">IF(i_eff_inputs_based_on_num=2,EB304,VLOOKUP(M304,r_pld_lookup_line,3,FALSE))</f>
        <v>0</v>
      </c>
      <c r="FA304" s="58">
        <f t="shared" ref="FA304:FA317" si="522">IF(i_eff_inputs_based_on_num=2,EC304,VLOOKUP(N304,r_pld_lookup_line,3,FALSE))</f>
        <v>1</v>
      </c>
      <c r="FB304" s="58">
        <f>IF(i_eff_inputs_based_on_num=2,ED304,(INDEX(Lists!$L$51:$L$85,MATCH(O304,Lists!$K$51:$K$85,0))))</f>
        <v>7</v>
      </c>
      <c r="FC304" s="58">
        <f>IF(i_eff_inputs_based_on_num=2,EE304,(INDEX(Lists!$L$51:$L$85,MATCH(P304,Lists!$K$51:$K$85,0))))</f>
        <v>2</v>
      </c>
      <c r="FD304" s="58">
        <f>IF(i_eff_inputs_based_on_num=2,EF304,(INDEX(Lists!$L$51:$L$85,MATCH(Q304,Lists!$K$51:$K$85,0))))</f>
        <v>3</v>
      </c>
      <c r="FG304" s="58" t="str">
        <f t="shared" ref="FG304:FG317" si="523">IF(i_eff_inputs_based_on_num=2,EI304,I304)</f>
        <v>No</v>
      </c>
      <c r="FH304" s="58" t="str">
        <f t="shared" ref="FH304:FH317" si="524">IF(i_eff_inputs_based_on_num=2,EJ304,J304)</f>
        <v>Time to progression</v>
      </c>
      <c r="FI304" s="58">
        <f t="shared" ref="FI304:FI317" si="525">IF(i_eff_inputs_based_on_num=2,EK304,K304)</f>
        <v>0</v>
      </c>
      <c r="FJ304" s="58">
        <f t="shared" ref="FJ304:FJ317" si="526">IF(i_eff_inputs_based_on_num=2,EL304,L304)</f>
        <v>0</v>
      </c>
      <c r="FL304" s="58">
        <f t="shared" ref="FL304:FL317" si="527">IF(i_eff_inputs_based_on_num=2,EN304,VLOOKUP(M304,r_pld_lookup_line,3,FALSE))</f>
        <v>0</v>
      </c>
      <c r="FM304" s="58">
        <f t="shared" ref="FM304:FM317" si="528">IF(i_eff_inputs_based_on_num=2,EO304,VLOOKUP(N304,r_pld_lookup_line,3,FALSE))</f>
        <v>1</v>
      </c>
      <c r="FN304" s="58">
        <f>IF(i_eff_inputs_based_on_num=2,EP304,(INDEX(Lists!$L$51:$L$85,MATCH(O304,Lists!$K$51:$K$85,0))))</f>
        <v>7</v>
      </c>
      <c r="FO304" s="58">
        <f>IF(i_eff_inputs_based_on_num=2,EQ304,(INDEX(Lists!$L$51:$L$85,MATCH(P304,Lists!$K$51:$K$85,0))))</f>
        <v>0</v>
      </c>
      <c r="FP304" s="58">
        <f>IF(i_eff_inputs_based_on_num=2,ER304,(INDEX(Lists!$L$51:$L$85,MATCH(Q304,Lists!$K$51:$K$85,0))))</f>
        <v>3</v>
      </c>
      <c r="FT304" s="58">
        <f t="shared" si="425"/>
        <v>0</v>
      </c>
      <c r="FW304" s="58">
        <f>IF(i_baseline_risk_from=2,'Effectiveness settings'!EW304,'Effectiveness settings'!FI304)</f>
        <v>0</v>
      </c>
      <c r="FX304" s="58">
        <f t="shared" si="426"/>
        <v>0</v>
      </c>
      <c r="FY304" s="58">
        <f t="shared" si="427"/>
        <v>0</v>
      </c>
      <c r="FZ304" s="58">
        <f t="shared" si="428"/>
        <v>0</v>
      </c>
      <c r="GA304" s="58">
        <f t="shared" si="429"/>
        <v>0</v>
      </c>
      <c r="GB304" s="58">
        <f t="shared" si="430"/>
        <v>0</v>
      </c>
      <c r="GC304" s="58">
        <f t="shared" si="431"/>
        <v>0</v>
      </c>
      <c r="GD304" s="58">
        <f t="shared" si="432"/>
        <v>0</v>
      </c>
      <c r="GE304" s="58">
        <f>IF(AND(dd_CheckMate214_TTD="Yes",'Effectiveness settings'!BU304=2,'Effectiveness settings'!BX304=2),"Apply HR to",GD304)</f>
        <v>0</v>
      </c>
      <c r="GF304" s="58">
        <f t="shared" si="433"/>
        <v>0</v>
      </c>
      <c r="GG304" s="58">
        <f t="shared" si="434"/>
        <v>0</v>
      </c>
      <c r="GH304" s="58">
        <f t="shared" si="435"/>
        <v>0</v>
      </c>
      <c r="GI304" s="58">
        <f t="shared" si="415"/>
        <v>0</v>
      </c>
      <c r="GK304" s="58">
        <f>IF(i_baseline_risk_from=2,'Effectiveness settings'!FA304,'Effectiveness settings'!FM304)</f>
        <v>1</v>
      </c>
      <c r="GL304" s="58">
        <f>IF(i_baseline_risk_from=2,'Effectiveness settings'!FB304,'Effectiveness settings'!FN304)</f>
        <v>7</v>
      </c>
      <c r="GM304" s="58">
        <f>IF(i_baseline_risk_from=2,'Effectiveness settings'!FC304,'Effectiveness settings'!FO304)</f>
        <v>2</v>
      </c>
      <c r="GN304" s="58">
        <f>IF(i_baseline_risk_from=2,'Effectiveness settings'!FD304,'Effectiveness settings'!FP304)</f>
        <v>3</v>
      </c>
      <c r="GQ304" s="58">
        <f t="shared" si="436"/>
        <v>7</v>
      </c>
      <c r="GR304" s="58">
        <f t="shared" si="437"/>
        <v>7</v>
      </c>
      <c r="GS304" s="58">
        <f t="shared" si="438"/>
        <v>7</v>
      </c>
      <c r="GT304" s="58">
        <f t="shared" si="439"/>
        <v>7</v>
      </c>
      <c r="GU304" s="58">
        <f>IF(AND(dd_CheckMate214_TTD="Yes",'Effectiveness settings'!BU304=2,'Effectiveness settings'!BX304=2),2,GT304)</f>
        <v>7</v>
      </c>
      <c r="GV304" s="58">
        <f t="shared" si="440"/>
        <v>7</v>
      </c>
      <c r="GW304" s="58">
        <f t="shared" si="441"/>
        <v>7</v>
      </c>
      <c r="GY304" s="58">
        <f>IF(AND(dd_CheckMate214_TTD="Yes",'Effectiveness settings'!BU304=2,'Effectiveness settings'!BX304=2),1,GN304)</f>
        <v>3</v>
      </c>
      <c r="GZ304" s="58">
        <f t="shared" si="442"/>
        <v>3</v>
      </c>
      <c r="HB304" s="58">
        <f t="shared" si="443"/>
        <v>0</v>
      </c>
      <c r="HD304" s="58">
        <f t="shared" si="416"/>
        <v>0</v>
      </c>
      <c r="HE304" s="58">
        <f t="shared" si="417"/>
        <v>1</v>
      </c>
      <c r="HF304" s="58">
        <f t="shared" si="418"/>
        <v>7</v>
      </c>
      <c r="HG304" s="58">
        <f t="shared" si="419"/>
        <v>2</v>
      </c>
      <c r="HH304" s="58">
        <f t="shared" si="420"/>
        <v>3</v>
      </c>
    </row>
    <row r="305" spans="1:216" ht="15.75" x14ac:dyDescent="0.25">
      <c r="A305" s="58" t="s">
        <v>569</v>
      </c>
      <c r="D305" s="58" t="str">
        <v>cabozantinib_plus_nivolumab</v>
      </c>
      <c r="I305" s="64" t="s">
        <v>74</v>
      </c>
      <c r="J305" s="519" t="s">
        <v>555</v>
      </c>
      <c r="K305" s="524" t="s">
        <v>63</v>
      </c>
      <c r="L305" s="519"/>
      <c r="M305" s="516" t="s">
        <v>31</v>
      </c>
      <c r="N305" s="64" t="s">
        <v>546</v>
      </c>
      <c r="O305" s="64" t="s">
        <v>117</v>
      </c>
      <c r="P305" s="64" t="s">
        <v>547</v>
      </c>
      <c r="Q305" s="519" t="s">
        <v>555</v>
      </c>
      <c r="R305" s="516" t="s">
        <v>548</v>
      </c>
      <c r="S305" s="497"/>
      <c r="T305" s="497"/>
      <c r="U305" s="497"/>
      <c r="W305" s="58" t="str">
        <v>cabozantinib_plus_nivolumab</v>
      </c>
      <c r="X305" s="64" t="s">
        <v>58</v>
      </c>
      <c r="Y305" s="519" t="s">
        <v>555</v>
      </c>
      <c r="Z305" s="524"/>
      <c r="AA305" s="519"/>
      <c r="AB305" s="516" t="s">
        <v>31</v>
      </c>
      <c r="AC305" s="64" t="s">
        <v>576</v>
      </c>
      <c r="AD305" s="64" t="s">
        <v>571</v>
      </c>
      <c r="AE305" s="64" t="s">
        <v>547</v>
      </c>
      <c r="AF305" s="519" t="s">
        <v>552</v>
      </c>
      <c r="AG305" s="516" t="s">
        <v>548</v>
      </c>
      <c r="AH305" s="1000">
        <v>1</v>
      </c>
      <c r="AI305" s="998"/>
      <c r="AJ305" s="998"/>
      <c r="AL305" s="64" t="str">
        <f t="shared" si="503"/>
        <v>No</v>
      </c>
      <c r="AM305" s="519" t="s">
        <v>555</v>
      </c>
      <c r="AN305" s="524"/>
      <c r="AO305" s="519"/>
      <c r="AP305" s="516" t="s">
        <v>31</v>
      </c>
      <c r="AQ305" s="64" t="s">
        <v>577</v>
      </c>
      <c r="AR305" s="64" t="s">
        <v>571</v>
      </c>
      <c r="AS305" s="64" t="s">
        <v>547</v>
      </c>
      <c r="AT305" s="519" t="s">
        <v>552</v>
      </c>
      <c r="AU305" s="516" t="s">
        <v>548</v>
      </c>
      <c r="AV305" s="1000">
        <v>1</v>
      </c>
      <c r="AW305" s="998"/>
      <c r="AX305" s="998"/>
      <c r="AZ305" s="64" t="str">
        <f t="shared" si="504"/>
        <v>No</v>
      </c>
      <c r="BA305" s="519" t="s">
        <v>555</v>
      </c>
      <c r="BB305" s="524"/>
      <c r="BC305" s="519"/>
      <c r="BD305" s="516" t="s">
        <v>31</v>
      </c>
      <c r="BE305" s="64" t="s">
        <v>565</v>
      </c>
      <c r="BF305" s="64" t="s">
        <v>571</v>
      </c>
      <c r="BG305" s="64" t="s">
        <v>547</v>
      </c>
      <c r="BH305" s="519" t="s">
        <v>552</v>
      </c>
      <c r="BI305" s="516" t="s">
        <v>548</v>
      </c>
      <c r="BJ305" s="1000">
        <v>1</v>
      </c>
      <c r="BK305" s="998"/>
      <c r="BL305" s="998"/>
      <c r="BM305" s="740"/>
      <c r="BN305" s="740"/>
      <c r="BO305" s="740"/>
      <c r="BQ305" s="58">
        <f t="shared" si="423"/>
        <v>184</v>
      </c>
      <c r="BR305" s="61">
        <v>0</v>
      </c>
      <c r="BS305" s="61" t="s">
        <v>31</v>
      </c>
      <c r="BT305" s="17">
        <v>1</v>
      </c>
      <c r="BU305" s="17">
        <v>1</v>
      </c>
      <c r="BV305" s="17" t="str">
        <f t="shared" si="505"/>
        <v>cabozantinib_plus_nivolumab</v>
      </c>
      <c r="BW305" s="1006" t="str" cm="1">
        <f t="array" ref="BW305">IF(I305="No",I305,INDEX(List_incl_anal_1L_all,IF(BU305=999,35,BU305+1)))</f>
        <v>Yes</v>
      </c>
      <c r="BX305" s="61">
        <f t="shared" si="506"/>
        <v>3</v>
      </c>
      <c r="BY305" s="531" t="str">
        <f>J305</f>
        <v>Time to progression</v>
      </c>
      <c r="BZ305" s="530" t="str">
        <f t="shared" si="507"/>
        <v>FP_NMA</v>
      </c>
      <c r="CA305" s="531">
        <f t="shared" ref="CA305:CA317" si="529">FT305</f>
        <v>0</v>
      </c>
      <c r="CB305" s="530">
        <f t="shared" si="508"/>
        <v>0</v>
      </c>
      <c r="CC305" s="530">
        <f t="shared" si="509"/>
        <v>1</v>
      </c>
      <c r="CD305" s="530">
        <f t="shared" si="510"/>
        <v>7</v>
      </c>
      <c r="CE305" s="1295">
        <f t="shared" si="511"/>
        <v>2</v>
      </c>
      <c r="CF305" s="1301">
        <f t="shared" si="512"/>
        <v>3</v>
      </c>
      <c r="CG305" s="530" t="str">
        <f t="shared" si="513"/>
        <v>Log-logistic</v>
      </c>
      <c r="CH305" s="61">
        <f t="shared" si="514"/>
        <v>0</v>
      </c>
      <c r="CI305" s="61">
        <f t="shared" si="515"/>
        <v>0</v>
      </c>
      <c r="CJ305" s="61">
        <f t="shared" si="516"/>
        <v>0</v>
      </c>
      <c r="DK305" s="58" t="str" cm="1">
        <f t="array" ref="DK305">IF(AND($BT305=4,$BX305=4,$BU305=999),$DB$36,_xlfn.IFNA(INDEX(DB$13:DB$70,MATCH(1,($BR305=$CV$13:$CV$70)*($BT305=$CX$13:$CX$70)*($CE305=$CY$13:$CY$70)*($BY305=$DA$13:$DA$70)*($CD305=$DH$13:$DH$70),0)),""))</f>
        <v>Log-logistic</v>
      </c>
      <c r="DL305" s="58" t="str" cm="1">
        <f t="array" ref="DL305">IF(AND($BT305=4,$BX305=4,$BU305=999),$DC$36,_xlfn.IFNA(INDEX(CHOOSE(DP305,DB$13:DB$70,DC$13:DC$70,DD$13:DD$70,DE$13:DE$70),MATCH(1,($BR305=$CV$13:$CV$70)*($BT305=$CX$13:$CX$70)*($CE305=$CY$13:$CY$70)*($BY305=$DA$13:$DA$70)*($CD305=$DH$13:$DH$70),0)),""))</f>
        <v>Log-logistic</v>
      </c>
      <c r="DM305" s="740" cm="1">
        <f t="array" ref="DM305">IF(AND($BT305=4,$BX305=4,$BU305=999),$DD$36,_xlfn.IFNA(INDEX(DD$13:DD$68,MATCH(1,($BR305=$CV$13:$CV$68)*($BT305=$CX$13:$CX$68)*($CE305=$CY$13:$CY$68)*($BY305=$DA$13:$DA$68)*($CD305=$DH$13:$DH$68),0)),""))</f>
        <v>0</v>
      </c>
      <c r="DN305" s="740" cm="1">
        <f t="array" ref="DN305">IF(AND($BT305=4,$BX305=4,$BU305=999),$DD$36,_xlfn.IFNA(INDEX(DE$13:DE$68,MATCH(1,($BR305=$CV$13:$CV$68)*($BT305=$CX$13:$CX$68)*($CE305=$CY$13:$CY$68)*($BY305=$DA$13:$DA$68)*($CD305=$DH$13:$DH$68),0)),""))</f>
        <v>0</v>
      </c>
      <c r="DO305" s="58" t="str" cm="1">
        <f t="array" ref="DO305">IF(AND($BT305=4,$BX305=4,$BU305=999),$DF$36,_xlfn.IFNA(INDEX(DF$13:DF$70,MATCH(1,($BR305=$CV$13:$CV$70)*($BT305=$CX$13:$CX$70)*($CE305=$CY$13:$CY$70)*($BY305=$DA$13:$DA$70)*($CD305=$DH$13:$DH$70),0)),""))</f>
        <v>Base case</v>
      </c>
      <c r="DP305" s="58">
        <f t="shared" si="424"/>
        <v>1</v>
      </c>
      <c r="DW305" s="58" t="s">
        <v>74</v>
      </c>
      <c r="DX305" s="58" t="s">
        <v>555</v>
      </c>
      <c r="DY305" s="58" t="s">
        <v>63</v>
      </c>
      <c r="DZ305" s="58">
        <v>0</v>
      </c>
      <c r="EB305" s="58">
        <v>0</v>
      </c>
      <c r="EC305" s="58">
        <v>1</v>
      </c>
      <c r="ED305" s="58">
        <v>7</v>
      </c>
      <c r="EE305" s="58">
        <v>2</v>
      </c>
      <c r="EF305" s="58">
        <v>3</v>
      </c>
      <c r="EI305" s="58" t="s">
        <v>74</v>
      </c>
      <c r="EJ305" s="58" t="s">
        <v>555</v>
      </c>
      <c r="EK305" s="58" t="s">
        <v>63</v>
      </c>
      <c r="EL305" s="58">
        <v>0</v>
      </c>
      <c r="EN305" s="58">
        <v>0</v>
      </c>
      <c r="EO305" s="58">
        <v>1</v>
      </c>
      <c r="EP305" s="58">
        <v>7</v>
      </c>
      <c r="EQ305" s="58">
        <v>0</v>
      </c>
      <c r="ER305" s="58">
        <v>3</v>
      </c>
      <c r="EU305" s="58" t="str">
        <f t="shared" si="517"/>
        <v>Yes</v>
      </c>
      <c r="EV305" s="58" t="str">
        <f t="shared" si="518"/>
        <v>Time to progression</v>
      </c>
      <c r="EW305" s="58" t="str">
        <f t="shared" si="519"/>
        <v>FP_NMA</v>
      </c>
      <c r="EX305" s="58">
        <f t="shared" si="520"/>
        <v>0</v>
      </c>
      <c r="EZ305" s="58">
        <f t="shared" si="521"/>
        <v>0</v>
      </c>
      <c r="FA305" s="58">
        <f t="shared" si="522"/>
        <v>1</v>
      </c>
      <c r="FB305" s="58">
        <f>IF(i_eff_inputs_based_on_num=2,ED305,(INDEX(Lists!$L$51:$L$85,MATCH(O305,Lists!$K$51:$K$85,0))))</f>
        <v>7</v>
      </c>
      <c r="FC305" s="58">
        <f>IF(i_eff_inputs_based_on_num=2,EE305,(INDEX(Lists!$L$51:$L$85,MATCH(P305,Lists!$K$51:$K$85,0))))</f>
        <v>2</v>
      </c>
      <c r="FD305" s="58">
        <f>IF(i_eff_inputs_based_on_num=2,EF305,(INDEX(Lists!$L$51:$L$85,MATCH(Q305,Lists!$K$51:$K$85,0))))</f>
        <v>3</v>
      </c>
      <c r="FG305" s="58" t="str">
        <f t="shared" si="523"/>
        <v>Yes</v>
      </c>
      <c r="FH305" s="58" t="str">
        <f t="shared" si="524"/>
        <v>Time to progression</v>
      </c>
      <c r="FI305" s="58" t="str">
        <f t="shared" si="525"/>
        <v>FP_NMA</v>
      </c>
      <c r="FJ305" s="58">
        <f t="shared" si="526"/>
        <v>0</v>
      </c>
      <c r="FL305" s="58">
        <f t="shared" si="527"/>
        <v>0</v>
      </c>
      <c r="FM305" s="58">
        <f t="shared" si="528"/>
        <v>1</v>
      </c>
      <c r="FN305" s="58">
        <f>IF(i_eff_inputs_based_on_num=2,EP305,(INDEX(Lists!$L$51:$L$85,MATCH(O305,Lists!$K$51:$K$85,0))))</f>
        <v>7</v>
      </c>
      <c r="FO305" s="58">
        <f>IF(i_eff_inputs_based_on_num=2,EQ305,(INDEX(Lists!$L$51:$L$85,MATCH(P305,Lists!$K$51:$K$85,0))))</f>
        <v>0</v>
      </c>
      <c r="FP305" s="58">
        <f>IF(i_eff_inputs_based_on_num=2,ER305,(INDEX(Lists!$L$51:$L$85,MATCH(Q305,Lists!$K$51:$K$85,0))))</f>
        <v>3</v>
      </c>
      <c r="FT305" s="58">
        <f t="shared" si="425"/>
        <v>0</v>
      </c>
      <c r="FW305" s="58" t="str">
        <f>IF(i_baseline_risk_from=2,'Effectiveness settings'!EW305,'Effectiveness settings'!FI305)</f>
        <v>FP_NMA</v>
      </c>
      <c r="FX305" s="58" t="str">
        <f t="shared" si="426"/>
        <v>FP_NMA</v>
      </c>
      <c r="FY305" s="58" t="str">
        <f t="shared" si="427"/>
        <v>FP_NMA</v>
      </c>
      <c r="FZ305" s="58" t="str">
        <f t="shared" si="428"/>
        <v>FP_NMA</v>
      </c>
      <c r="GA305" s="58" t="str">
        <f t="shared" si="429"/>
        <v>FP_NMA</v>
      </c>
      <c r="GB305" s="58" t="str">
        <f t="shared" si="430"/>
        <v>FP_NMA</v>
      </c>
      <c r="GC305" s="58" t="str">
        <f t="shared" si="431"/>
        <v>FP_NMA</v>
      </c>
      <c r="GD305" s="58" t="str">
        <f t="shared" si="432"/>
        <v>FP_NMA</v>
      </c>
      <c r="GE305" s="58" t="str">
        <f>IF(AND(dd_CheckMate214_TTD="Yes",'Effectiveness settings'!BU305=2,'Effectiveness settings'!BX305=2),"Apply HR to",GD305)</f>
        <v>FP_NMA</v>
      </c>
      <c r="GF305" s="58" t="str">
        <f t="shared" si="433"/>
        <v>FP_NMA</v>
      </c>
      <c r="GG305" s="58" t="str">
        <f t="shared" si="434"/>
        <v>FP_NMA</v>
      </c>
      <c r="GH305" s="58" t="str">
        <f t="shared" si="435"/>
        <v>FP_NMA</v>
      </c>
      <c r="GI305" s="58" t="str">
        <f t="shared" si="415"/>
        <v>FP_NMA</v>
      </c>
      <c r="GK305" s="58">
        <f>IF(i_baseline_risk_from=2,'Effectiveness settings'!FA305,'Effectiveness settings'!FM305)</f>
        <v>1</v>
      </c>
      <c r="GL305" s="58">
        <f>IF(i_baseline_risk_from=2,'Effectiveness settings'!FB305,'Effectiveness settings'!FN305)</f>
        <v>7</v>
      </c>
      <c r="GM305" s="58">
        <f>IF(i_baseline_risk_from=2,'Effectiveness settings'!FC305,'Effectiveness settings'!FO305)</f>
        <v>2</v>
      </c>
      <c r="GN305" s="58">
        <f>IF(i_baseline_risk_from=2,'Effectiveness settings'!FD305,'Effectiveness settings'!FP305)</f>
        <v>3</v>
      </c>
      <c r="GQ305" s="58">
        <f t="shared" si="436"/>
        <v>7</v>
      </c>
      <c r="GR305" s="58">
        <f t="shared" si="437"/>
        <v>7</v>
      </c>
      <c r="GS305" s="58">
        <f t="shared" si="438"/>
        <v>7</v>
      </c>
      <c r="GT305" s="58">
        <f t="shared" si="439"/>
        <v>7</v>
      </c>
      <c r="GU305" s="58">
        <f>IF(AND(dd_CheckMate214_TTD="Yes",'Effectiveness settings'!BU305=2,'Effectiveness settings'!BX305=2),2,GT305)</f>
        <v>7</v>
      </c>
      <c r="GV305" s="58">
        <f t="shared" si="440"/>
        <v>7</v>
      </c>
      <c r="GW305" s="58">
        <f t="shared" si="441"/>
        <v>7</v>
      </c>
      <c r="GY305" s="58">
        <f>IF(AND(dd_CheckMate214_TTD="Yes",'Effectiveness settings'!BU305=2,'Effectiveness settings'!BX305=2),1,GN305)</f>
        <v>3</v>
      </c>
      <c r="GZ305" s="58">
        <f t="shared" si="442"/>
        <v>3</v>
      </c>
      <c r="HB305" s="58">
        <f t="shared" si="443"/>
        <v>0</v>
      </c>
      <c r="HD305" s="58">
        <f t="shared" si="416"/>
        <v>0</v>
      </c>
      <c r="HE305" s="58">
        <f t="shared" si="417"/>
        <v>1</v>
      </c>
      <c r="HF305" s="58">
        <f t="shared" si="418"/>
        <v>7</v>
      </c>
      <c r="HG305" s="58">
        <f t="shared" si="419"/>
        <v>2</v>
      </c>
      <c r="HH305" s="58">
        <f t="shared" si="420"/>
        <v>3</v>
      </c>
    </row>
    <row r="306" spans="1:216" ht="15.75" x14ac:dyDescent="0.25">
      <c r="D306" s="58" t="str">
        <v>nivolumab_plus_ipilimumab</v>
      </c>
      <c r="I306" s="64" t="s">
        <v>58</v>
      </c>
      <c r="J306" s="519" t="s">
        <v>555</v>
      </c>
      <c r="K306" s="524" t="s">
        <v>63</v>
      </c>
      <c r="L306" s="519"/>
      <c r="M306" s="516" t="s">
        <v>31</v>
      </c>
      <c r="N306" s="64" t="s">
        <v>546</v>
      </c>
      <c r="O306" s="64" t="s">
        <v>117</v>
      </c>
      <c r="P306" s="64" t="s">
        <v>547</v>
      </c>
      <c r="Q306" s="519" t="s">
        <v>555</v>
      </c>
      <c r="R306" s="516" t="s">
        <v>548</v>
      </c>
      <c r="S306" s="497"/>
      <c r="T306" s="497"/>
      <c r="U306" s="497"/>
      <c r="W306" s="58" t="str">
        <v>nivolumab_plus_ipilimumab</v>
      </c>
      <c r="X306" s="64" t="s">
        <v>58</v>
      </c>
      <c r="Y306" s="519" t="s">
        <v>555</v>
      </c>
      <c r="Z306" s="524"/>
      <c r="AA306" s="519"/>
      <c r="AB306" s="516" t="s">
        <v>31</v>
      </c>
      <c r="AC306" s="64" t="s">
        <v>576</v>
      </c>
      <c r="AD306" s="64" t="s">
        <v>581</v>
      </c>
      <c r="AE306" s="64" t="s">
        <v>547</v>
      </c>
      <c r="AF306" s="519" t="s">
        <v>552</v>
      </c>
      <c r="AG306" s="516" t="s">
        <v>548</v>
      </c>
      <c r="AH306" s="1000">
        <v>1</v>
      </c>
      <c r="AI306" s="998"/>
      <c r="AJ306" s="998"/>
      <c r="AL306" s="64" t="str">
        <f t="shared" si="503"/>
        <v>No</v>
      </c>
      <c r="AM306" s="519" t="s">
        <v>555</v>
      </c>
      <c r="AN306" s="524"/>
      <c r="AO306" s="519"/>
      <c r="AP306" s="516" t="s">
        <v>31</v>
      </c>
      <c r="AQ306" s="64" t="s">
        <v>577</v>
      </c>
      <c r="AR306" s="64" t="s">
        <v>581</v>
      </c>
      <c r="AS306" s="64" t="s">
        <v>547</v>
      </c>
      <c r="AT306" s="519" t="s">
        <v>552</v>
      </c>
      <c r="AU306" s="516" t="s">
        <v>548</v>
      </c>
      <c r="AV306" s="1000">
        <v>1</v>
      </c>
      <c r="AW306" s="998"/>
      <c r="AX306" s="998"/>
      <c r="AZ306" s="64" t="str">
        <f t="shared" si="504"/>
        <v>No</v>
      </c>
      <c r="BA306" s="519" t="s">
        <v>555</v>
      </c>
      <c r="BB306" s="524"/>
      <c r="BC306" s="519"/>
      <c r="BD306" s="516" t="s">
        <v>31</v>
      </c>
      <c r="BE306" s="64" t="s">
        <v>565</v>
      </c>
      <c r="BF306" s="64" t="s">
        <v>581</v>
      </c>
      <c r="BG306" s="64" t="s">
        <v>547</v>
      </c>
      <c r="BH306" s="519" t="s">
        <v>552</v>
      </c>
      <c r="BI306" s="516" t="s">
        <v>548</v>
      </c>
      <c r="BJ306" s="1000">
        <v>1</v>
      </c>
      <c r="BK306" s="998"/>
      <c r="BL306" s="998"/>
      <c r="BM306" s="740"/>
      <c r="BN306" s="740"/>
      <c r="BO306" s="740"/>
      <c r="BQ306" s="58">
        <f t="shared" si="423"/>
        <v>185</v>
      </c>
      <c r="BR306" s="61">
        <v>0</v>
      </c>
      <c r="BS306" s="61" t="s">
        <v>31</v>
      </c>
      <c r="BT306" s="17">
        <v>1</v>
      </c>
      <c r="BU306" s="17">
        <v>2</v>
      </c>
      <c r="BV306" s="17" t="str">
        <f t="shared" si="505"/>
        <v>nivolumab_plus_ipilimumab</v>
      </c>
      <c r="BW306" s="1006" t="str" cm="1">
        <f t="array" ref="BW306">IF(I306="No",I306,INDEX(List_incl_anal_1L_all,IF(BU306=999,35,BU306+1)))</f>
        <v>No</v>
      </c>
      <c r="BX306" s="61">
        <f t="shared" si="506"/>
        <v>3</v>
      </c>
      <c r="BY306" s="531" t="str">
        <f>J306</f>
        <v>Time to progression</v>
      </c>
      <c r="BZ306" s="530">
        <f t="shared" si="507"/>
        <v>0</v>
      </c>
      <c r="CA306" s="531">
        <f t="shared" si="529"/>
        <v>0</v>
      </c>
      <c r="CB306" s="530">
        <f t="shared" si="508"/>
        <v>0</v>
      </c>
      <c r="CC306" s="530">
        <f t="shared" si="509"/>
        <v>1</v>
      </c>
      <c r="CD306" s="530">
        <f t="shared" si="510"/>
        <v>7</v>
      </c>
      <c r="CE306" s="1295">
        <f t="shared" si="511"/>
        <v>2</v>
      </c>
      <c r="CF306" s="1301">
        <f t="shared" si="512"/>
        <v>3</v>
      </c>
      <c r="CG306" s="530" t="str">
        <f t="shared" si="513"/>
        <v>Log-logistic</v>
      </c>
      <c r="CH306" s="61">
        <f t="shared" si="514"/>
        <v>0</v>
      </c>
      <c r="CI306" s="61">
        <f t="shared" si="515"/>
        <v>0</v>
      </c>
      <c r="CJ306" s="61">
        <f t="shared" si="516"/>
        <v>0</v>
      </c>
      <c r="DK306" s="58" t="str" cm="1">
        <f t="array" ref="DK306">IF(AND($BT306=4,$BX306=4,$BU306=999),$DB$36,_xlfn.IFNA(INDEX(DB$13:DB$70,MATCH(1,($BR306=$CV$13:$CV$70)*($BT306=$CX$13:$CX$70)*($CE306=$CY$13:$CY$70)*($BY306=$DA$13:$DA$70)*($CD306=$DH$13:$DH$70),0)),""))</f>
        <v>Log-logistic</v>
      </c>
      <c r="DL306" s="58" t="str" cm="1">
        <f t="array" ref="DL306">IF(AND($BT306=4,$BX306=4,$BU306=999),$DC$36,_xlfn.IFNA(INDEX(CHOOSE(DP306,DB$13:DB$70,DC$13:DC$70,DD$13:DD$70,DE$13:DE$70),MATCH(1,($BR306=$CV$13:$CV$70)*($BT306=$CX$13:$CX$70)*($CE306=$CY$13:$CY$70)*($BY306=$DA$13:$DA$70)*($CD306=$DH$13:$DH$70),0)),""))</f>
        <v>Log-logistic</v>
      </c>
      <c r="DM306" s="740" cm="1">
        <f t="array" ref="DM306">IF(AND($BT306=4,$BX306=4,$BU306=999),$DD$36,_xlfn.IFNA(INDEX(DD$13:DD$68,MATCH(1,($BR306=$CV$13:$CV$68)*($BT306=$CX$13:$CX$68)*($CE306=$CY$13:$CY$68)*($BY306=$DA$13:$DA$68)*($CD306=$DH$13:$DH$68),0)),""))</f>
        <v>0</v>
      </c>
      <c r="DN306" s="740" cm="1">
        <f t="array" ref="DN306">IF(AND($BT306=4,$BX306=4,$BU306=999),$DD$36,_xlfn.IFNA(INDEX(DE$13:DE$68,MATCH(1,($BR306=$CV$13:$CV$68)*($BT306=$CX$13:$CX$68)*($CE306=$CY$13:$CY$68)*($BY306=$DA$13:$DA$68)*($CD306=$DH$13:$DH$68),0)),""))</f>
        <v>0</v>
      </c>
      <c r="DO306" s="58" t="str" cm="1">
        <f t="array" ref="DO306">IF(AND($BT306=4,$BX306=4,$BU306=999),$DF$36,_xlfn.IFNA(INDEX(DF$13:DF$70,MATCH(1,($BR306=$CV$13:$CV$70)*($BT306=$CX$13:$CX$70)*($CE306=$CY$13:$CY$70)*($BY306=$DA$13:$DA$70)*($CD306=$DH$13:$DH$70),0)),""))</f>
        <v>Base case</v>
      </c>
      <c r="DP306" s="58">
        <f t="shared" si="424"/>
        <v>1</v>
      </c>
      <c r="DW306" s="58" t="s">
        <v>58</v>
      </c>
      <c r="DX306" s="58" t="s">
        <v>555</v>
      </c>
      <c r="DY306" s="58">
        <v>0</v>
      </c>
      <c r="DZ306" s="58">
        <v>0</v>
      </c>
      <c r="EB306" s="58">
        <v>0</v>
      </c>
      <c r="EC306" s="58">
        <v>1</v>
      </c>
      <c r="ED306" s="58">
        <v>7</v>
      </c>
      <c r="EE306" s="58">
        <v>2</v>
      </c>
      <c r="EF306" s="58">
        <v>3</v>
      </c>
      <c r="EI306" s="58" t="s">
        <v>58</v>
      </c>
      <c r="EJ306" s="58" t="s">
        <v>555</v>
      </c>
      <c r="EK306" s="58">
        <v>0</v>
      </c>
      <c r="EL306" s="58">
        <v>0</v>
      </c>
      <c r="EN306" s="58">
        <v>0</v>
      </c>
      <c r="EO306" s="58">
        <v>1</v>
      </c>
      <c r="EP306" s="58">
        <v>7</v>
      </c>
      <c r="EQ306" s="58">
        <v>0</v>
      </c>
      <c r="ER306" s="58">
        <v>3</v>
      </c>
      <c r="EU306" s="58" t="str">
        <f t="shared" si="517"/>
        <v>No</v>
      </c>
      <c r="EV306" s="58" t="str">
        <f t="shared" si="518"/>
        <v>Time to progression</v>
      </c>
      <c r="EW306" s="58">
        <f t="shared" si="519"/>
        <v>0</v>
      </c>
      <c r="EX306" s="58">
        <f t="shared" si="520"/>
        <v>0</v>
      </c>
      <c r="EZ306" s="58">
        <f t="shared" si="521"/>
        <v>0</v>
      </c>
      <c r="FA306" s="58">
        <f t="shared" si="522"/>
        <v>1</v>
      </c>
      <c r="FB306" s="58">
        <f>IF(i_eff_inputs_based_on_num=2,ED306,(INDEX(Lists!$L$51:$L$85,MATCH(O306,Lists!$K$51:$K$85,0))))</f>
        <v>7</v>
      </c>
      <c r="FC306" s="58">
        <f>IF(i_eff_inputs_based_on_num=2,EE306,(INDEX(Lists!$L$51:$L$85,MATCH(P306,Lists!$K$51:$K$85,0))))</f>
        <v>2</v>
      </c>
      <c r="FD306" s="58">
        <f>IF(i_eff_inputs_based_on_num=2,EF306,(INDEX(Lists!$L$51:$L$85,MATCH(Q306,Lists!$K$51:$K$85,0))))</f>
        <v>3</v>
      </c>
      <c r="FG306" s="58" t="str">
        <f t="shared" si="523"/>
        <v>No</v>
      </c>
      <c r="FH306" s="58" t="str">
        <f t="shared" si="524"/>
        <v>Time to progression</v>
      </c>
      <c r="FI306" s="58">
        <f t="shared" si="525"/>
        <v>0</v>
      </c>
      <c r="FJ306" s="58">
        <f t="shared" si="526"/>
        <v>0</v>
      </c>
      <c r="FL306" s="58">
        <f t="shared" si="527"/>
        <v>0</v>
      </c>
      <c r="FM306" s="58">
        <f t="shared" si="528"/>
        <v>1</v>
      </c>
      <c r="FN306" s="58">
        <f>IF(i_eff_inputs_based_on_num=2,EP306,(INDEX(Lists!$L$51:$L$85,MATCH(O306,Lists!$K$51:$K$85,0))))</f>
        <v>7</v>
      </c>
      <c r="FO306" s="58">
        <f>IF(i_eff_inputs_based_on_num=2,EQ306,(INDEX(Lists!$L$51:$L$85,MATCH(P306,Lists!$K$51:$K$85,0))))</f>
        <v>0</v>
      </c>
      <c r="FP306" s="58">
        <f>IF(i_eff_inputs_based_on_num=2,ER306,(INDEX(Lists!$L$51:$L$85,MATCH(Q306,Lists!$K$51:$K$85,0))))</f>
        <v>3</v>
      </c>
      <c r="FT306" s="58">
        <f t="shared" si="425"/>
        <v>0</v>
      </c>
      <c r="FW306" s="58">
        <f>IF(i_baseline_risk_from=2,'Effectiveness settings'!EW306,'Effectiveness settings'!FI306)</f>
        <v>0</v>
      </c>
      <c r="FX306" s="58">
        <f t="shared" si="426"/>
        <v>0</v>
      </c>
      <c r="FY306" s="58">
        <f t="shared" si="427"/>
        <v>0</v>
      </c>
      <c r="FZ306" s="58">
        <f t="shared" si="428"/>
        <v>0</v>
      </c>
      <c r="GA306" s="58">
        <f t="shared" si="429"/>
        <v>0</v>
      </c>
      <c r="GB306" s="58">
        <f t="shared" si="430"/>
        <v>0</v>
      </c>
      <c r="GC306" s="58">
        <f t="shared" si="431"/>
        <v>0</v>
      </c>
      <c r="GD306" s="58">
        <f t="shared" si="432"/>
        <v>0</v>
      </c>
      <c r="GE306" s="58">
        <f>IF(AND(dd_CheckMate214_TTD="Yes",'Effectiveness settings'!BU306=2,'Effectiveness settings'!BX306=2),"Apply HR to",GD306)</f>
        <v>0</v>
      </c>
      <c r="GF306" s="58">
        <f t="shared" si="433"/>
        <v>0</v>
      </c>
      <c r="GG306" s="58">
        <f t="shared" si="434"/>
        <v>0</v>
      </c>
      <c r="GH306" s="58">
        <f t="shared" si="435"/>
        <v>0</v>
      </c>
      <c r="GI306" s="58">
        <f t="shared" si="415"/>
        <v>0</v>
      </c>
      <c r="GK306" s="58">
        <f>IF(i_baseline_risk_from=2,'Effectiveness settings'!FA306,'Effectiveness settings'!FM306)</f>
        <v>1</v>
      </c>
      <c r="GL306" s="58">
        <f>IF(i_baseline_risk_from=2,'Effectiveness settings'!FB306,'Effectiveness settings'!FN306)</f>
        <v>7</v>
      </c>
      <c r="GM306" s="58">
        <f>IF(i_baseline_risk_from=2,'Effectiveness settings'!FC306,'Effectiveness settings'!FO306)</f>
        <v>2</v>
      </c>
      <c r="GN306" s="58">
        <f>IF(i_baseline_risk_from=2,'Effectiveness settings'!FD306,'Effectiveness settings'!FP306)</f>
        <v>3</v>
      </c>
      <c r="GQ306" s="58">
        <f t="shared" si="436"/>
        <v>7</v>
      </c>
      <c r="GR306" s="58">
        <f t="shared" si="437"/>
        <v>7</v>
      </c>
      <c r="GS306" s="58">
        <f t="shared" si="438"/>
        <v>7</v>
      </c>
      <c r="GT306" s="58">
        <f t="shared" si="439"/>
        <v>7</v>
      </c>
      <c r="GU306" s="58">
        <f>IF(AND(dd_CheckMate214_TTD="Yes",'Effectiveness settings'!BU306=2,'Effectiveness settings'!BX306=2),2,GT306)</f>
        <v>7</v>
      </c>
      <c r="GV306" s="58">
        <f t="shared" si="440"/>
        <v>7</v>
      </c>
      <c r="GW306" s="58">
        <f t="shared" si="441"/>
        <v>7</v>
      </c>
      <c r="GY306" s="58">
        <f>IF(AND(dd_CheckMate214_TTD="Yes",'Effectiveness settings'!BU306=2,'Effectiveness settings'!BX306=2),1,GN306)</f>
        <v>3</v>
      </c>
      <c r="GZ306" s="58">
        <f t="shared" si="442"/>
        <v>3</v>
      </c>
      <c r="HB306" s="58">
        <f t="shared" si="443"/>
        <v>0</v>
      </c>
      <c r="HD306" s="58">
        <f t="shared" si="416"/>
        <v>0</v>
      </c>
      <c r="HE306" s="58">
        <f t="shared" si="417"/>
        <v>1</v>
      </c>
      <c r="HF306" s="58">
        <f t="shared" si="418"/>
        <v>7</v>
      </c>
      <c r="HG306" s="58">
        <f t="shared" si="419"/>
        <v>2</v>
      </c>
      <c r="HH306" s="58">
        <f t="shared" si="420"/>
        <v>3</v>
      </c>
    </row>
    <row r="307" spans="1:216" ht="15.75" x14ac:dyDescent="0.25">
      <c r="D307" s="58" t="str">
        <v>lenvatinib_plus_pembrolizumab</v>
      </c>
      <c r="I307" s="64" t="s">
        <v>58</v>
      </c>
      <c r="J307" s="519" t="s">
        <v>555</v>
      </c>
      <c r="K307" s="524" t="s">
        <v>63</v>
      </c>
      <c r="L307" s="519"/>
      <c r="M307" s="516" t="s">
        <v>31</v>
      </c>
      <c r="N307" s="64" t="s">
        <v>546</v>
      </c>
      <c r="O307" s="64" t="s">
        <v>117</v>
      </c>
      <c r="P307" s="64" t="s">
        <v>547</v>
      </c>
      <c r="Q307" s="519" t="s">
        <v>555</v>
      </c>
      <c r="R307" s="516" t="s">
        <v>548</v>
      </c>
      <c r="S307" s="497"/>
      <c r="T307" s="497"/>
      <c r="U307" s="497"/>
      <c r="W307" s="58" t="str">
        <v>lenvatinib_plus_pembrolizumab</v>
      </c>
      <c r="X307" s="64" t="s">
        <v>58</v>
      </c>
      <c r="Y307" s="519" t="s">
        <v>555</v>
      </c>
      <c r="Z307" s="524"/>
      <c r="AA307" s="519"/>
      <c r="AB307" s="516" t="s">
        <v>31</v>
      </c>
      <c r="AC307" s="64" t="s">
        <v>576</v>
      </c>
      <c r="AD307" s="64" t="s">
        <v>582</v>
      </c>
      <c r="AE307" s="64" t="s">
        <v>547</v>
      </c>
      <c r="AF307" s="519" t="s">
        <v>552</v>
      </c>
      <c r="AG307" s="516" t="s">
        <v>548</v>
      </c>
      <c r="AH307" s="1000">
        <v>1</v>
      </c>
      <c r="AI307" s="998"/>
      <c r="AJ307" s="998"/>
      <c r="AL307" s="64" t="str">
        <f t="shared" si="503"/>
        <v>No</v>
      </c>
      <c r="AM307" s="519" t="s">
        <v>555</v>
      </c>
      <c r="AN307" s="524"/>
      <c r="AO307" s="519"/>
      <c r="AP307" s="516" t="s">
        <v>31</v>
      </c>
      <c r="AQ307" s="64" t="s">
        <v>577</v>
      </c>
      <c r="AR307" s="64" t="s">
        <v>582</v>
      </c>
      <c r="AS307" s="64" t="s">
        <v>547</v>
      </c>
      <c r="AT307" s="519" t="s">
        <v>552</v>
      </c>
      <c r="AU307" s="516" t="s">
        <v>548</v>
      </c>
      <c r="AV307" s="1000">
        <v>1</v>
      </c>
      <c r="AW307" s="998"/>
      <c r="AX307" s="998"/>
      <c r="AZ307" s="64" t="str">
        <f t="shared" si="504"/>
        <v>No</v>
      </c>
      <c r="BA307" s="519" t="s">
        <v>555</v>
      </c>
      <c r="BB307" s="524"/>
      <c r="BC307" s="519"/>
      <c r="BD307" s="516" t="s">
        <v>31</v>
      </c>
      <c r="BE307" s="64" t="s">
        <v>565</v>
      </c>
      <c r="BF307" s="64" t="s">
        <v>582</v>
      </c>
      <c r="BG307" s="64" t="s">
        <v>547</v>
      </c>
      <c r="BH307" s="519" t="s">
        <v>552</v>
      </c>
      <c r="BI307" s="516" t="s">
        <v>548</v>
      </c>
      <c r="BJ307" s="1000">
        <v>1</v>
      </c>
      <c r="BK307" s="998"/>
      <c r="BL307" s="998"/>
      <c r="BM307" s="740"/>
      <c r="BN307" s="740"/>
      <c r="BO307" s="740"/>
      <c r="BQ307" s="58">
        <f t="shared" si="423"/>
        <v>186</v>
      </c>
      <c r="BR307" s="61">
        <v>0</v>
      </c>
      <c r="BS307" s="61" t="s">
        <v>31</v>
      </c>
      <c r="BT307" s="17">
        <v>1</v>
      </c>
      <c r="BU307" s="17">
        <v>3</v>
      </c>
      <c r="BV307" s="17" t="str">
        <f t="shared" si="505"/>
        <v>lenvatinib_plus_pembrolizumab</v>
      </c>
      <c r="BW307" s="1006" t="str" cm="1">
        <f t="array" ref="BW307">IF(I307="No",I307,INDEX(List_incl_anal_1L_all,IF(BU307=999,35,BU307+1)))</f>
        <v>No</v>
      </c>
      <c r="BX307" s="61">
        <f t="shared" si="506"/>
        <v>3</v>
      </c>
      <c r="BY307" s="531" t="str">
        <f>J307</f>
        <v>Time to progression</v>
      </c>
      <c r="BZ307" s="530">
        <f t="shared" si="507"/>
        <v>0</v>
      </c>
      <c r="CA307" s="531">
        <f t="shared" si="529"/>
        <v>0</v>
      </c>
      <c r="CB307" s="530">
        <f t="shared" si="508"/>
        <v>0</v>
      </c>
      <c r="CC307" s="530">
        <f t="shared" si="509"/>
        <v>1</v>
      </c>
      <c r="CD307" s="530">
        <f t="shared" si="510"/>
        <v>7</v>
      </c>
      <c r="CE307" s="1295">
        <f t="shared" si="511"/>
        <v>2</v>
      </c>
      <c r="CF307" s="1301">
        <f t="shared" si="512"/>
        <v>3</v>
      </c>
      <c r="CG307" s="530" t="str">
        <f t="shared" si="513"/>
        <v>Log-logistic</v>
      </c>
      <c r="CH307" s="61">
        <f t="shared" si="514"/>
        <v>0</v>
      </c>
      <c r="CI307" s="61">
        <f t="shared" si="515"/>
        <v>0</v>
      </c>
      <c r="CJ307" s="61">
        <f t="shared" si="516"/>
        <v>0</v>
      </c>
      <c r="DK307" s="58" t="str" cm="1">
        <f t="array" ref="DK307">IF(AND($BT307=4,$BX307=4,$BU307=999),$DB$36,_xlfn.IFNA(INDEX(DB$13:DB$70,MATCH(1,($BR307=$CV$13:$CV$70)*($BT307=$CX$13:$CX$70)*($CE307=$CY$13:$CY$70)*($BY307=$DA$13:$DA$70)*($CD307=$DH$13:$DH$70),0)),""))</f>
        <v>Log-logistic</v>
      </c>
      <c r="DL307" s="58" t="str" cm="1">
        <f t="array" ref="DL307">IF(AND($BT307=4,$BX307=4,$BU307=999),$DC$36,_xlfn.IFNA(INDEX(CHOOSE(DP307,DB$13:DB$70,DC$13:DC$70,DD$13:DD$70,DE$13:DE$70),MATCH(1,($BR307=$CV$13:$CV$70)*($BT307=$CX$13:$CX$70)*($CE307=$CY$13:$CY$70)*($BY307=$DA$13:$DA$70)*($CD307=$DH$13:$DH$70),0)),""))</f>
        <v>Log-logistic</v>
      </c>
      <c r="DM307" s="740" cm="1">
        <f t="array" ref="DM307">IF(AND($BT307=4,$BX307=4,$BU307=999),$DD$36,_xlfn.IFNA(INDEX(DD$13:DD$68,MATCH(1,($BR307=$CV$13:$CV$68)*($BT307=$CX$13:$CX$68)*($CE307=$CY$13:$CY$68)*($BY307=$DA$13:$DA$68)*($CD307=$DH$13:$DH$68),0)),""))</f>
        <v>0</v>
      </c>
      <c r="DN307" s="740" cm="1">
        <f t="array" ref="DN307">IF(AND($BT307=4,$BX307=4,$BU307=999),$DD$36,_xlfn.IFNA(INDEX(DE$13:DE$68,MATCH(1,($BR307=$CV$13:$CV$68)*($BT307=$CX$13:$CX$68)*($CE307=$CY$13:$CY$68)*($BY307=$DA$13:$DA$68)*($CD307=$DH$13:$DH$68),0)),""))</f>
        <v>0</v>
      </c>
      <c r="DO307" s="58" t="str" cm="1">
        <f t="array" ref="DO307">IF(AND($BT307=4,$BX307=4,$BU307=999),$DF$36,_xlfn.IFNA(INDEX(DF$13:DF$70,MATCH(1,($BR307=$CV$13:$CV$70)*($BT307=$CX$13:$CX$70)*($CE307=$CY$13:$CY$70)*($BY307=$DA$13:$DA$70)*($CD307=$DH$13:$DH$70),0)),""))</f>
        <v>Base case</v>
      </c>
      <c r="DP307" s="58">
        <f t="shared" si="424"/>
        <v>1</v>
      </c>
      <c r="DW307" s="58" t="s">
        <v>58</v>
      </c>
      <c r="DX307" s="58" t="s">
        <v>555</v>
      </c>
      <c r="DY307" s="58">
        <v>0</v>
      </c>
      <c r="DZ307" s="58">
        <v>0</v>
      </c>
      <c r="EB307" s="58">
        <v>0</v>
      </c>
      <c r="EC307" s="58">
        <v>1</v>
      </c>
      <c r="ED307" s="58">
        <v>7</v>
      </c>
      <c r="EE307" s="58">
        <v>2</v>
      </c>
      <c r="EF307" s="58">
        <v>3</v>
      </c>
      <c r="EI307" s="58" t="s">
        <v>58</v>
      </c>
      <c r="EJ307" s="58" t="s">
        <v>555</v>
      </c>
      <c r="EK307" s="58">
        <v>0</v>
      </c>
      <c r="EL307" s="58">
        <v>0</v>
      </c>
      <c r="EN307" s="58">
        <v>0</v>
      </c>
      <c r="EO307" s="58">
        <v>1</v>
      </c>
      <c r="EP307" s="58">
        <v>7</v>
      </c>
      <c r="EQ307" s="58">
        <v>0</v>
      </c>
      <c r="ER307" s="58">
        <v>3</v>
      </c>
      <c r="EU307" s="58" t="str">
        <f t="shared" si="517"/>
        <v>No</v>
      </c>
      <c r="EV307" s="58" t="str">
        <f t="shared" si="518"/>
        <v>Time to progression</v>
      </c>
      <c r="EW307" s="58">
        <f t="shared" si="519"/>
        <v>0</v>
      </c>
      <c r="EX307" s="58">
        <f t="shared" si="520"/>
        <v>0</v>
      </c>
      <c r="EZ307" s="58">
        <f t="shared" si="521"/>
        <v>0</v>
      </c>
      <c r="FA307" s="58">
        <f t="shared" si="522"/>
        <v>1</v>
      </c>
      <c r="FB307" s="58">
        <f>IF(i_eff_inputs_based_on_num=2,ED307,(INDEX(Lists!$L$51:$L$85,MATCH(O307,Lists!$K$51:$K$85,0))))</f>
        <v>7</v>
      </c>
      <c r="FC307" s="58">
        <f>IF(i_eff_inputs_based_on_num=2,EE307,(INDEX(Lists!$L$51:$L$85,MATCH(P307,Lists!$K$51:$K$85,0))))</f>
        <v>2</v>
      </c>
      <c r="FD307" s="58">
        <f>IF(i_eff_inputs_based_on_num=2,EF307,(INDEX(Lists!$L$51:$L$85,MATCH(Q307,Lists!$K$51:$K$85,0))))</f>
        <v>3</v>
      </c>
      <c r="FG307" s="58" t="str">
        <f t="shared" si="523"/>
        <v>No</v>
      </c>
      <c r="FH307" s="58" t="str">
        <f t="shared" si="524"/>
        <v>Time to progression</v>
      </c>
      <c r="FI307" s="58">
        <f t="shared" si="525"/>
        <v>0</v>
      </c>
      <c r="FJ307" s="58">
        <f t="shared" si="526"/>
        <v>0</v>
      </c>
      <c r="FL307" s="58">
        <f t="shared" si="527"/>
        <v>0</v>
      </c>
      <c r="FM307" s="58">
        <f t="shared" si="528"/>
        <v>1</v>
      </c>
      <c r="FN307" s="58">
        <f>IF(i_eff_inputs_based_on_num=2,EP307,(INDEX(Lists!$L$51:$L$85,MATCH(O307,Lists!$K$51:$K$85,0))))</f>
        <v>7</v>
      </c>
      <c r="FO307" s="58">
        <f>IF(i_eff_inputs_based_on_num=2,EQ307,(INDEX(Lists!$L$51:$L$85,MATCH(P307,Lists!$K$51:$K$85,0))))</f>
        <v>0</v>
      </c>
      <c r="FP307" s="58">
        <f>IF(i_eff_inputs_based_on_num=2,ER307,(INDEX(Lists!$L$51:$L$85,MATCH(Q307,Lists!$K$51:$K$85,0))))</f>
        <v>3</v>
      </c>
      <c r="FT307" s="58">
        <f t="shared" si="425"/>
        <v>0</v>
      </c>
      <c r="FW307" s="58">
        <f>IF(i_baseline_risk_from=2,'Effectiveness settings'!EW307,'Effectiveness settings'!FI307)</f>
        <v>0</v>
      </c>
      <c r="FX307" s="58">
        <f t="shared" si="426"/>
        <v>0</v>
      </c>
      <c r="FY307" s="58">
        <f t="shared" si="427"/>
        <v>0</v>
      </c>
      <c r="FZ307" s="58">
        <f t="shared" si="428"/>
        <v>0</v>
      </c>
      <c r="GA307" s="58">
        <f t="shared" si="429"/>
        <v>0</v>
      </c>
      <c r="GB307" s="58">
        <f t="shared" si="430"/>
        <v>0</v>
      </c>
      <c r="GC307" s="58">
        <f t="shared" si="431"/>
        <v>0</v>
      </c>
      <c r="GD307" s="58">
        <f t="shared" si="432"/>
        <v>0</v>
      </c>
      <c r="GE307" s="58">
        <f>IF(AND(dd_CheckMate214_TTD="Yes",'Effectiveness settings'!BU307=2,'Effectiveness settings'!BX307=2),"Apply HR to",GD307)</f>
        <v>0</v>
      </c>
      <c r="GF307" s="58">
        <f t="shared" si="433"/>
        <v>0</v>
      </c>
      <c r="GG307" s="58">
        <f t="shared" si="434"/>
        <v>0</v>
      </c>
      <c r="GH307" s="58">
        <f t="shared" si="435"/>
        <v>0</v>
      </c>
      <c r="GI307" s="58">
        <f t="shared" si="415"/>
        <v>0</v>
      </c>
      <c r="GK307" s="58">
        <f>IF(i_baseline_risk_from=2,'Effectiveness settings'!FA307,'Effectiveness settings'!FM307)</f>
        <v>1</v>
      </c>
      <c r="GL307" s="58">
        <f>IF(i_baseline_risk_from=2,'Effectiveness settings'!FB307,'Effectiveness settings'!FN307)</f>
        <v>7</v>
      </c>
      <c r="GM307" s="58">
        <f>IF(i_baseline_risk_from=2,'Effectiveness settings'!FC307,'Effectiveness settings'!FO307)</f>
        <v>2</v>
      </c>
      <c r="GN307" s="58">
        <f>IF(i_baseline_risk_from=2,'Effectiveness settings'!FD307,'Effectiveness settings'!FP307)</f>
        <v>3</v>
      </c>
      <c r="GQ307" s="58">
        <f t="shared" si="436"/>
        <v>7</v>
      </c>
      <c r="GR307" s="58">
        <f t="shared" si="437"/>
        <v>7</v>
      </c>
      <c r="GS307" s="58">
        <f t="shared" si="438"/>
        <v>7</v>
      </c>
      <c r="GT307" s="58">
        <f t="shared" si="439"/>
        <v>7</v>
      </c>
      <c r="GU307" s="58">
        <f>IF(AND(dd_CheckMate214_TTD="Yes",'Effectiveness settings'!BU307=2,'Effectiveness settings'!BX307=2),2,GT307)</f>
        <v>7</v>
      </c>
      <c r="GV307" s="58">
        <f t="shared" si="440"/>
        <v>7</v>
      </c>
      <c r="GW307" s="58">
        <f t="shared" si="441"/>
        <v>7</v>
      </c>
      <c r="GY307" s="58">
        <f>IF(AND(dd_CheckMate214_TTD="Yes",'Effectiveness settings'!BU307=2,'Effectiveness settings'!BX307=2),1,GN307)</f>
        <v>3</v>
      </c>
      <c r="GZ307" s="58">
        <f t="shared" si="442"/>
        <v>3</v>
      </c>
      <c r="HB307" s="58">
        <f t="shared" si="443"/>
        <v>0</v>
      </c>
      <c r="HD307" s="58">
        <f t="shared" si="416"/>
        <v>0</v>
      </c>
      <c r="HE307" s="58">
        <f t="shared" si="417"/>
        <v>1</v>
      </c>
      <c r="HF307" s="58">
        <f t="shared" si="418"/>
        <v>7</v>
      </c>
      <c r="HG307" s="58">
        <f t="shared" si="419"/>
        <v>2</v>
      </c>
      <c r="HH307" s="58">
        <f t="shared" si="420"/>
        <v>3</v>
      </c>
    </row>
    <row r="308" spans="1:216" ht="15.75" x14ac:dyDescent="0.25">
      <c r="D308" s="58" t="str">
        <v>avelumab_plus_axitinib</v>
      </c>
      <c r="I308" s="739" t="str">
        <f>dd_incl_ave_plus_axi</f>
        <v>No</v>
      </c>
      <c r="J308" s="519" t="s">
        <v>555</v>
      </c>
      <c r="K308" s="524" t="s">
        <v>63</v>
      </c>
      <c r="L308" s="519"/>
      <c r="M308" s="516" t="s">
        <v>31</v>
      </c>
      <c r="N308" s="64" t="s">
        <v>546</v>
      </c>
      <c r="O308" s="64" t="s">
        <v>117</v>
      </c>
      <c r="P308" s="64" t="s">
        <v>547</v>
      </c>
      <c r="Q308" s="519" t="s">
        <v>555</v>
      </c>
      <c r="R308" s="516" t="s">
        <v>548</v>
      </c>
      <c r="S308" s="497"/>
      <c r="T308" s="497"/>
      <c r="U308" s="497"/>
      <c r="W308" s="58" t="str">
        <v>avelumab_plus_axitinib</v>
      </c>
      <c r="X308" s="64" t="s">
        <v>58</v>
      </c>
      <c r="Y308" s="519" t="s">
        <v>555</v>
      </c>
      <c r="Z308" s="524"/>
      <c r="AA308" s="519"/>
      <c r="AB308" s="516" t="s">
        <v>31</v>
      </c>
      <c r="AC308" s="64" t="s">
        <v>576</v>
      </c>
      <c r="AD308" s="64" t="s">
        <v>118</v>
      </c>
      <c r="AE308" s="64" t="s">
        <v>547</v>
      </c>
      <c r="AF308" s="519" t="s">
        <v>555</v>
      </c>
      <c r="AG308" s="516" t="s">
        <v>548</v>
      </c>
      <c r="AH308" s="1000">
        <v>1</v>
      </c>
      <c r="AI308" s="998"/>
      <c r="AJ308" s="998"/>
      <c r="AL308" s="64" t="s">
        <v>58</v>
      </c>
      <c r="AM308" s="519" t="s">
        <v>555</v>
      </c>
      <c r="AN308" s="524"/>
      <c r="AO308" s="519"/>
      <c r="AP308" s="516" t="s">
        <v>31</v>
      </c>
      <c r="AQ308" s="64" t="s">
        <v>577</v>
      </c>
      <c r="AR308" s="64" t="s">
        <v>118</v>
      </c>
      <c r="AS308" s="64" t="s">
        <v>547</v>
      </c>
      <c r="AT308" s="519" t="s">
        <v>555</v>
      </c>
      <c r="AU308" s="516" t="s">
        <v>548</v>
      </c>
      <c r="AV308" s="1000">
        <v>1</v>
      </c>
      <c r="AW308" s="998"/>
      <c r="AX308" s="998"/>
      <c r="AZ308" s="64" t="s">
        <v>58</v>
      </c>
      <c r="BA308" s="519" t="s">
        <v>555</v>
      </c>
      <c r="BB308" s="524"/>
      <c r="BC308" s="519"/>
      <c r="BD308" s="516" t="s">
        <v>31</v>
      </c>
      <c r="BE308" s="64" t="s">
        <v>565</v>
      </c>
      <c r="BF308" s="64" t="s">
        <v>583</v>
      </c>
      <c r="BG308" s="64" t="s">
        <v>547</v>
      </c>
      <c r="BH308" s="519" t="s">
        <v>552</v>
      </c>
      <c r="BI308" s="516" t="s">
        <v>548</v>
      </c>
      <c r="BJ308" s="1000">
        <v>1</v>
      </c>
      <c r="BK308" s="998"/>
      <c r="BL308" s="998"/>
      <c r="BM308" s="740">
        <v>0.82</v>
      </c>
      <c r="BN308" s="740">
        <v>0.8</v>
      </c>
      <c r="BO308" s="740">
        <v>0.84</v>
      </c>
      <c r="BQ308" s="58">
        <f t="shared" si="423"/>
        <v>187</v>
      </c>
      <c r="BR308" s="61">
        <v>0</v>
      </c>
      <c r="BS308" s="61" t="s">
        <v>31</v>
      </c>
      <c r="BT308" s="17">
        <v>1</v>
      </c>
      <c r="BU308" s="17">
        <v>4</v>
      </c>
      <c r="BV308" s="17" t="str">
        <f t="shared" si="505"/>
        <v>avelumab_plus_axitinib</v>
      </c>
      <c r="BW308" s="1006" t="str" cm="1">
        <f t="array" ref="BW308">IF(I308="No",I308,INDEX(List_incl_anal_1L_all,IF(BU308=999,35,BU308+1)))</f>
        <v>No</v>
      </c>
      <c r="BX308" s="61">
        <f t="shared" si="506"/>
        <v>3</v>
      </c>
      <c r="BY308" s="531" t="str">
        <f>J308</f>
        <v>Time to progression</v>
      </c>
      <c r="BZ308" s="530" t="str">
        <f t="shared" si="507"/>
        <v>FP_NMA</v>
      </c>
      <c r="CA308" s="531">
        <f t="shared" si="529"/>
        <v>0</v>
      </c>
      <c r="CB308" s="530">
        <f t="shared" si="508"/>
        <v>0</v>
      </c>
      <c r="CC308" s="530">
        <f t="shared" si="509"/>
        <v>1</v>
      </c>
      <c r="CD308" s="530">
        <f t="shared" si="510"/>
        <v>7</v>
      </c>
      <c r="CE308" s="1295">
        <f t="shared" si="511"/>
        <v>2</v>
      </c>
      <c r="CF308" s="1301">
        <f t="shared" si="512"/>
        <v>3</v>
      </c>
      <c r="CG308" s="530" t="str">
        <f t="shared" si="513"/>
        <v>Log-logistic</v>
      </c>
      <c r="CH308" s="61">
        <f t="shared" si="514"/>
        <v>0</v>
      </c>
      <c r="CI308" s="61">
        <f t="shared" si="515"/>
        <v>0</v>
      </c>
      <c r="CJ308" s="61">
        <f t="shared" si="516"/>
        <v>0</v>
      </c>
      <c r="DK308" s="58" t="str" cm="1">
        <f t="array" ref="DK308">IF(AND($BT308=4,$BX308=4,$BU308=999),$DB$36,_xlfn.IFNA(INDEX(DB$13:DB$70,MATCH(1,($BR308=$CV$13:$CV$70)*($BT308=$CX$13:$CX$70)*($CE308=$CY$13:$CY$70)*($BY308=$DA$13:$DA$70)*($CD308=$DH$13:$DH$70),0)),""))</f>
        <v>Log-logistic</v>
      </c>
      <c r="DL308" s="58" t="str" cm="1">
        <f t="array" ref="DL308">IF(AND($BT308=4,$BX308=4,$BU308=999),$DC$36,_xlfn.IFNA(INDEX(CHOOSE(DP308,DB$13:DB$70,DC$13:DC$70,DD$13:DD$70,DE$13:DE$70),MATCH(1,($BR308=$CV$13:$CV$70)*($BT308=$CX$13:$CX$70)*($CE308=$CY$13:$CY$70)*($BY308=$DA$13:$DA$70)*($CD308=$DH$13:$DH$70),0)),""))</f>
        <v>Log-logistic</v>
      </c>
      <c r="DM308" s="740" cm="1">
        <f t="array" ref="DM308">IF(AND($BT308=4,$BX308=4,$BU308=999),$DD$36,_xlfn.IFNA(INDEX(DD$13:DD$68,MATCH(1,($BR308=$CV$13:$CV$68)*($BT308=$CX$13:$CX$68)*($CE308=$CY$13:$CY$68)*($BY308=$DA$13:$DA$68)*($CD308=$DH$13:$DH$68),0)),""))</f>
        <v>0</v>
      </c>
      <c r="DN308" s="740" cm="1">
        <f t="array" ref="DN308">IF(AND($BT308=4,$BX308=4,$BU308=999),$DD$36,_xlfn.IFNA(INDEX(DE$13:DE$68,MATCH(1,($BR308=$CV$13:$CV$68)*($BT308=$CX$13:$CX$68)*($CE308=$CY$13:$CY$68)*($BY308=$DA$13:$DA$68)*($CD308=$DH$13:$DH$68),0)),""))</f>
        <v>0</v>
      </c>
      <c r="DO308" s="58" t="str" cm="1">
        <f t="array" ref="DO308">IF(AND($BT308=4,$BX308=4,$BU308=999),$DF$36,_xlfn.IFNA(INDEX(DF$13:DF$70,MATCH(1,($BR308=$CV$13:$CV$70)*($BT308=$CX$13:$CX$70)*($CE308=$CY$13:$CY$70)*($BY308=$DA$13:$DA$70)*($CD308=$DH$13:$DH$70),0)),""))</f>
        <v>Base case</v>
      </c>
      <c r="DP308" s="58">
        <f t="shared" si="424"/>
        <v>1</v>
      </c>
      <c r="DW308" s="58" t="s">
        <v>58</v>
      </c>
      <c r="DX308" s="58" t="s">
        <v>555</v>
      </c>
      <c r="DY308" s="58" t="s">
        <v>63</v>
      </c>
      <c r="DZ308" s="58">
        <v>0</v>
      </c>
      <c r="EB308" s="58">
        <v>0</v>
      </c>
      <c r="EC308" s="58">
        <v>1</v>
      </c>
      <c r="ED308" s="58">
        <v>7</v>
      </c>
      <c r="EE308" s="58">
        <v>2</v>
      </c>
      <c r="EF308" s="58">
        <v>3</v>
      </c>
      <c r="EI308" s="58" t="s">
        <v>58</v>
      </c>
      <c r="EJ308" s="58" t="s">
        <v>555</v>
      </c>
      <c r="EK308" s="58" t="s">
        <v>63</v>
      </c>
      <c r="EL308" s="58">
        <v>0</v>
      </c>
      <c r="EN308" s="58">
        <v>0</v>
      </c>
      <c r="EO308" s="58">
        <v>1</v>
      </c>
      <c r="EP308" s="58">
        <v>7</v>
      </c>
      <c r="EQ308" s="58">
        <v>0</v>
      </c>
      <c r="ER308" s="58">
        <v>3</v>
      </c>
      <c r="EU308" s="58" t="str">
        <f t="shared" si="517"/>
        <v>No</v>
      </c>
      <c r="EV308" s="58" t="str">
        <f t="shared" si="518"/>
        <v>Time to progression</v>
      </c>
      <c r="EW308" s="58" t="str">
        <f t="shared" si="519"/>
        <v>FP_NMA</v>
      </c>
      <c r="EX308" s="58">
        <f t="shared" si="520"/>
        <v>0</v>
      </c>
      <c r="EZ308" s="58">
        <f t="shared" si="521"/>
        <v>0</v>
      </c>
      <c r="FA308" s="58">
        <f t="shared" si="522"/>
        <v>1</v>
      </c>
      <c r="FB308" s="58">
        <f>IF(i_eff_inputs_based_on_num=2,ED308,(INDEX(Lists!$L$51:$L$85,MATCH(O308,Lists!$K$51:$K$85,0))))</f>
        <v>7</v>
      </c>
      <c r="FC308" s="58">
        <f>IF(i_eff_inputs_based_on_num=2,EE308,(INDEX(Lists!$L$51:$L$85,MATCH(P308,Lists!$K$51:$K$85,0))))</f>
        <v>2</v>
      </c>
      <c r="FD308" s="58">
        <f>IF(i_eff_inputs_based_on_num=2,EF308,(INDEX(Lists!$L$51:$L$85,MATCH(Q308,Lists!$K$51:$K$85,0))))</f>
        <v>3</v>
      </c>
      <c r="FG308" s="58" t="str">
        <f t="shared" si="523"/>
        <v>No</v>
      </c>
      <c r="FH308" s="58" t="str">
        <f t="shared" si="524"/>
        <v>Time to progression</v>
      </c>
      <c r="FI308" s="58" t="str">
        <f t="shared" si="525"/>
        <v>FP_NMA</v>
      </c>
      <c r="FJ308" s="58">
        <f t="shared" si="526"/>
        <v>0</v>
      </c>
      <c r="FL308" s="58">
        <f t="shared" si="527"/>
        <v>0</v>
      </c>
      <c r="FM308" s="58">
        <f t="shared" si="528"/>
        <v>1</v>
      </c>
      <c r="FN308" s="58">
        <f>IF(i_eff_inputs_based_on_num=2,EP308,(INDEX(Lists!$L$51:$L$85,MATCH(O308,Lists!$K$51:$K$85,0))))</f>
        <v>7</v>
      </c>
      <c r="FO308" s="58">
        <f>IF(i_eff_inputs_based_on_num=2,EQ308,(INDEX(Lists!$L$51:$L$85,MATCH(P308,Lists!$K$51:$K$85,0))))</f>
        <v>0</v>
      </c>
      <c r="FP308" s="58">
        <f>IF(i_eff_inputs_based_on_num=2,ER308,(INDEX(Lists!$L$51:$L$85,MATCH(Q308,Lists!$K$51:$K$85,0))))</f>
        <v>3</v>
      </c>
      <c r="FT308" s="58">
        <f t="shared" si="425"/>
        <v>0</v>
      </c>
      <c r="FW308" s="58" t="str">
        <f>IF(i_baseline_risk_from=2,'Effectiveness settings'!EW308,'Effectiveness settings'!FI308)</f>
        <v>FP_NMA</v>
      </c>
      <c r="FX308" s="58" t="str">
        <f t="shared" si="426"/>
        <v>FP_NMA</v>
      </c>
      <c r="FY308" s="58" t="str">
        <f t="shared" si="427"/>
        <v>FP_NMA</v>
      </c>
      <c r="FZ308" s="58" t="str">
        <f t="shared" si="428"/>
        <v>FP_NMA</v>
      </c>
      <c r="GA308" s="58" t="str">
        <f t="shared" si="429"/>
        <v>FP_NMA</v>
      </c>
      <c r="GB308" s="58" t="str">
        <f t="shared" si="430"/>
        <v>FP_NMA</v>
      </c>
      <c r="GC308" s="58" t="str">
        <f t="shared" si="431"/>
        <v>FP_NMA</v>
      </c>
      <c r="GD308" s="58" t="str">
        <f t="shared" si="432"/>
        <v>FP_NMA</v>
      </c>
      <c r="GE308" s="58" t="str">
        <f>IF(AND(dd_CheckMate214_TTD="Yes",'Effectiveness settings'!BU308=2,'Effectiveness settings'!BX308=2),"Apply HR to",GD308)</f>
        <v>FP_NMA</v>
      </c>
      <c r="GF308" s="58" t="str">
        <f t="shared" si="433"/>
        <v>FP_NMA</v>
      </c>
      <c r="GG308" s="58" t="str">
        <f t="shared" si="434"/>
        <v>FP_NMA</v>
      </c>
      <c r="GH308" s="58" t="str">
        <f t="shared" si="435"/>
        <v>FP_NMA</v>
      </c>
      <c r="GI308" s="58" t="str">
        <f t="shared" si="415"/>
        <v>FP_NMA</v>
      </c>
      <c r="GK308" s="58">
        <f>IF(i_baseline_risk_from=2,'Effectiveness settings'!FA308,'Effectiveness settings'!FM308)</f>
        <v>1</v>
      </c>
      <c r="GL308" s="58">
        <f>IF(i_baseline_risk_from=2,'Effectiveness settings'!FB308,'Effectiveness settings'!FN308)</f>
        <v>7</v>
      </c>
      <c r="GM308" s="58">
        <f>IF(i_baseline_risk_from=2,'Effectiveness settings'!FC308,'Effectiveness settings'!FO308)</f>
        <v>2</v>
      </c>
      <c r="GN308" s="58">
        <f>IF(i_baseline_risk_from=2,'Effectiveness settings'!FD308,'Effectiveness settings'!FP308)</f>
        <v>3</v>
      </c>
      <c r="GQ308" s="58">
        <f t="shared" si="436"/>
        <v>7</v>
      </c>
      <c r="GR308" s="58">
        <f t="shared" si="437"/>
        <v>7</v>
      </c>
      <c r="GS308" s="58">
        <f t="shared" si="438"/>
        <v>7</v>
      </c>
      <c r="GT308" s="58">
        <f t="shared" si="439"/>
        <v>7</v>
      </c>
      <c r="GU308" s="58">
        <f>IF(AND(dd_CheckMate214_TTD="Yes",'Effectiveness settings'!BU308=2,'Effectiveness settings'!BX308=2),2,GT308)</f>
        <v>7</v>
      </c>
      <c r="GV308" s="58">
        <f t="shared" si="440"/>
        <v>7</v>
      </c>
      <c r="GW308" s="58">
        <f t="shared" si="441"/>
        <v>7</v>
      </c>
      <c r="GY308" s="58">
        <f>IF(AND(dd_CheckMate214_TTD="Yes",'Effectiveness settings'!BU308=2,'Effectiveness settings'!BX308=2),1,GN308)</f>
        <v>3</v>
      </c>
      <c r="GZ308" s="58">
        <f t="shared" si="442"/>
        <v>3</v>
      </c>
      <c r="HB308" s="58">
        <f t="shared" si="443"/>
        <v>0</v>
      </c>
      <c r="HD308" s="58">
        <f t="shared" si="416"/>
        <v>0</v>
      </c>
      <c r="HE308" s="58">
        <f t="shared" si="417"/>
        <v>1</v>
      </c>
      <c r="HF308" s="58">
        <f t="shared" si="418"/>
        <v>7</v>
      </c>
      <c r="HG308" s="58">
        <f t="shared" si="419"/>
        <v>2</v>
      </c>
      <c r="HH308" s="58">
        <f t="shared" si="420"/>
        <v>3</v>
      </c>
    </row>
    <row r="309" spans="1:216" ht="15.75" x14ac:dyDescent="0.25">
      <c r="D309" s="58" t="str">
        <v>pazopanib</v>
      </c>
      <c r="I309" s="64" t="s">
        <v>74</v>
      </c>
      <c r="J309" s="519" t="s">
        <v>555</v>
      </c>
      <c r="K309" s="524" t="s">
        <v>63</v>
      </c>
      <c r="L309" s="519"/>
      <c r="M309" s="516" t="s">
        <v>31</v>
      </c>
      <c r="N309" s="64" t="s">
        <v>546</v>
      </c>
      <c r="O309" s="64" t="s">
        <v>117</v>
      </c>
      <c r="P309" s="64" t="s">
        <v>547</v>
      </c>
      <c r="Q309" s="519" t="s">
        <v>555</v>
      </c>
      <c r="R309" s="516" t="s">
        <v>548</v>
      </c>
      <c r="S309" s="497"/>
      <c r="T309" s="497"/>
      <c r="U309" s="497"/>
      <c r="W309" s="58" t="str">
        <v>pazopanib</v>
      </c>
      <c r="X309" s="64" t="s">
        <v>74</v>
      </c>
      <c r="Y309" s="519" t="s">
        <v>555</v>
      </c>
      <c r="Z309" s="524" t="s">
        <v>561</v>
      </c>
      <c r="AA309" s="519"/>
      <c r="AB309" s="516" t="s">
        <v>31</v>
      </c>
      <c r="AC309" s="64" t="s">
        <v>576</v>
      </c>
      <c r="AD309" s="64" t="s">
        <v>118</v>
      </c>
      <c r="AE309" s="64" t="s">
        <v>547</v>
      </c>
      <c r="AF309" s="519" t="s">
        <v>555</v>
      </c>
      <c r="AG309" s="516" t="s">
        <v>548</v>
      </c>
      <c r="AH309" s="998">
        <f t="shared" ref="AH309:AH315" si="530">IF(i_baseline_risk_from=2,0.82,1/1.278)</f>
        <v>0.82</v>
      </c>
      <c r="AI309" s="998">
        <f t="shared" ref="AI309:AI315" si="531">IF(i_baseline_risk_from=2,0.8,1/1.539)</f>
        <v>0.8</v>
      </c>
      <c r="AJ309" s="998">
        <f t="shared" ref="AJ309:AJ315" si="532">IF(i_baseline_risk_from=2,0.84,1/1.062)</f>
        <v>0.84</v>
      </c>
      <c r="AL309" s="64" t="str">
        <f>X309</f>
        <v>Yes</v>
      </c>
      <c r="AM309" s="519" t="s">
        <v>555</v>
      </c>
      <c r="AN309" s="524" t="s">
        <v>561</v>
      </c>
      <c r="AO309" s="519"/>
      <c r="AP309" s="516" t="s">
        <v>31</v>
      </c>
      <c r="AQ309" s="64" t="s">
        <v>577</v>
      </c>
      <c r="AR309" s="64" t="s">
        <v>118</v>
      </c>
      <c r="AS309" s="64" t="s">
        <v>547</v>
      </c>
      <c r="AT309" s="519" t="s">
        <v>555</v>
      </c>
      <c r="AU309" s="516" t="s">
        <v>548</v>
      </c>
      <c r="AV309" s="998">
        <f t="shared" ref="AV309:AV315" si="533">IF(i_baseline_risk_from=2,0.82,1/1.278)</f>
        <v>0.82</v>
      </c>
      <c r="AW309" s="998">
        <f t="shared" ref="AW309:AW315" si="534">IF(i_baseline_risk_from=2,0.8,1/1.539)</f>
        <v>0.8</v>
      </c>
      <c r="AX309" s="998">
        <f t="shared" ref="AX309:AX315" si="535">IF(i_baseline_risk_from=2,0.84,1/1.062)</f>
        <v>0.84</v>
      </c>
      <c r="AZ309" s="64" t="str">
        <f t="shared" si="504"/>
        <v>Yes</v>
      </c>
      <c r="BA309" s="519" t="s">
        <v>555</v>
      </c>
      <c r="BB309" s="524" t="s">
        <v>578</v>
      </c>
      <c r="BC309" s="519"/>
      <c r="BD309" s="516" t="s">
        <v>31</v>
      </c>
      <c r="BE309" s="64" t="s">
        <v>565</v>
      </c>
      <c r="BF309" s="64" t="s">
        <v>585</v>
      </c>
      <c r="BG309" s="64" t="s">
        <v>547</v>
      </c>
      <c r="BH309" s="519" t="s">
        <v>552</v>
      </c>
      <c r="BI309" s="516" t="s">
        <v>548</v>
      </c>
      <c r="BJ309" s="998">
        <f t="shared" ref="BJ309:BJ315" si="536">IF(i_baseline_risk_from=2,0.82,1/1.278)</f>
        <v>0.82</v>
      </c>
      <c r="BK309" s="998">
        <f t="shared" ref="BK309:BK315" si="537">IF(i_baseline_risk_from=2,0.8,1/1.539)</f>
        <v>0.8</v>
      </c>
      <c r="BL309" s="998">
        <f t="shared" ref="BL309:BL315" si="538">IF(i_baseline_risk_from=2,0.84,1/1.062)</f>
        <v>0.84</v>
      </c>
      <c r="BM309" s="740">
        <v>0.82</v>
      </c>
      <c r="BN309" s="740">
        <v>0.8</v>
      </c>
      <c r="BO309" s="740">
        <v>0.84</v>
      </c>
      <c r="BQ309" s="58">
        <f t="shared" si="423"/>
        <v>188</v>
      </c>
      <c r="BR309" s="61">
        <v>0</v>
      </c>
      <c r="BS309" s="61" t="s">
        <v>31</v>
      </c>
      <c r="BT309" s="17">
        <v>1</v>
      </c>
      <c r="BU309" s="17">
        <v>5</v>
      </c>
      <c r="BV309" s="17" t="str">
        <f t="shared" si="505"/>
        <v>pazopanib</v>
      </c>
      <c r="BW309" s="1006" t="str" cm="1">
        <f t="array" ref="BW309">IF(I309="No",I309,INDEX(List_incl_anal_1L_all,IF(BU309=999,35,BU309+1)))</f>
        <v>Yes</v>
      </c>
      <c r="BX309" s="61">
        <f t="shared" si="506"/>
        <v>3</v>
      </c>
      <c r="BY309" s="531" t="str">
        <f t="shared" ref="BY309:BY317" si="539">J309</f>
        <v>Time to progression</v>
      </c>
      <c r="BZ309" s="530" t="str">
        <f t="shared" si="507"/>
        <v>Assume equal to</v>
      </c>
      <c r="CA309" s="531">
        <f t="shared" si="529"/>
        <v>0</v>
      </c>
      <c r="CB309" s="530">
        <f t="shared" si="508"/>
        <v>0</v>
      </c>
      <c r="CC309" s="530">
        <f t="shared" si="509"/>
        <v>1</v>
      </c>
      <c r="CD309" s="530">
        <f t="shared" si="510"/>
        <v>7</v>
      </c>
      <c r="CE309" s="1295">
        <f t="shared" si="511"/>
        <v>2</v>
      </c>
      <c r="CF309" s="1301">
        <f t="shared" si="512"/>
        <v>3</v>
      </c>
      <c r="CG309" s="530" t="str">
        <f t="shared" si="513"/>
        <v>Log-logistic</v>
      </c>
      <c r="CH309" s="61">
        <f t="shared" si="514"/>
        <v>0</v>
      </c>
      <c r="CI309" s="61">
        <f t="shared" si="515"/>
        <v>0</v>
      </c>
      <c r="CJ309" s="61">
        <f t="shared" si="516"/>
        <v>0</v>
      </c>
      <c r="DK309" s="58" t="str" cm="1">
        <f t="array" ref="DK309">IF(AND($BT309=4,$BX309=4,$BU309=999),$DB$36,_xlfn.IFNA(INDEX(DB$13:DB$70,MATCH(1,($BR309=$CV$13:$CV$70)*($BT309=$CX$13:$CX$70)*($CE309=$CY$13:$CY$70)*($BY309=$DA$13:$DA$70)*($CD309=$DH$13:$DH$70),0)),""))</f>
        <v>Log-logistic</v>
      </c>
      <c r="DL309" s="58" t="str" cm="1">
        <f t="array" ref="DL309">IF(AND($BT309=4,$BX309=4,$BU309=999),$DC$36,_xlfn.IFNA(INDEX(CHOOSE(DP309,DB$13:DB$70,DC$13:DC$70,DD$13:DD$70,DE$13:DE$70),MATCH(1,($BR309=$CV$13:$CV$70)*($BT309=$CX$13:$CX$70)*($CE309=$CY$13:$CY$70)*($BY309=$DA$13:$DA$70)*($CD309=$DH$13:$DH$70),0)),""))</f>
        <v>Log-logistic</v>
      </c>
      <c r="DM309" s="740" cm="1">
        <f t="array" ref="DM309">IF(AND($BT309=4,$BX309=4,$BU309=999),$DD$36,_xlfn.IFNA(INDEX(DD$13:DD$68,MATCH(1,($BR309=$CV$13:$CV$68)*($BT309=$CX$13:$CX$68)*($CE309=$CY$13:$CY$68)*($BY309=$DA$13:$DA$68)*($CD309=$DH$13:$DH$68),0)),""))</f>
        <v>0</v>
      </c>
      <c r="DN309" s="740" cm="1">
        <f t="array" ref="DN309">IF(AND($BT309=4,$BX309=4,$BU309=999),$DD$36,_xlfn.IFNA(INDEX(DE$13:DE$68,MATCH(1,($BR309=$CV$13:$CV$68)*($BT309=$CX$13:$CX$68)*($CE309=$CY$13:$CY$68)*($BY309=$DA$13:$DA$68)*($CD309=$DH$13:$DH$68),0)),""))</f>
        <v>0</v>
      </c>
      <c r="DO309" s="58" t="str" cm="1">
        <f t="array" ref="DO309">IF(AND($BT309=4,$BX309=4,$BU309=999),$DF$36,_xlfn.IFNA(INDEX(DF$13:DF$70,MATCH(1,($BR309=$CV$13:$CV$70)*($BT309=$CX$13:$CX$70)*($CE309=$CY$13:$CY$70)*($BY309=$DA$13:$DA$70)*($CD309=$DH$13:$DH$70),0)),""))</f>
        <v>Base case</v>
      </c>
      <c r="DP309" s="58">
        <f t="shared" si="424"/>
        <v>1</v>
      </c>
      <c r="DW309" s="58" t="s">
        <v>74</v>
      </c>
      <c r="DX309" s="58" t="s">
        <v>555</v>
      </c>
      <c r="DY309" s="58" t="s">
        <v>63</v>
      </c>
      <c r="DZ309" s="58">
        <v>0</v>
      </c>
      <c r="EB309" s="58">
        <v>0</v>
      </c>
      <c r="EC309" s="58">
        <v>1</v>
      </c>
      <c r="ED309" s="58">
        <v>7</v>
      </c>
      <c r="EE309" s="58">
        <v>2</v>
      </c>
      <c r="EF309" s="58">
        <v>3</v>
      </c>
      <c r="EI309" s="58" t="s">
        <v>74</v>
      </c>
      <c r="EJ309" s="58" t="s">
        <v>555</v>
      </c>
      <c r="EK309" s="58" t="s">
        <v>63</v>
      </c>
      <c r="EL309" s="58">
        <v>0</v>
      </c>
      <c r="EN309" s="58">
        <v>0</v>
      </c>
      <c r="EO309" s="58">
        <v>1</v>
      </c>
      <c r="EP309" s="58">
        <v>7</v>
      </c>
      <c r="EQ309" s="58">
        <v>0</v>
      </c>
      <c r="ER309" s="58">
        <v>3</v>
      </c>
      <c r="EU309" s="58" t="str">
        <f t="shared" si="517"/>
        <v>Yes</v>
      </c>
      <c r="EV309" s="58" t="str">
        <f t="shared" si="518"/>
        <v>Time to progression</v>
      </c>
      <c r="EW309" s="58" t="str">
        <f t="shared" si="519"/>
        <v>FP_NMA</v>
      </c>
      <c r="EX309" s="58">
        <f t="shared" si="520"/>
        <v>0</v>
      </c>
      <c r="EZ309" s="58">
        <f t="shared" si="521"/>
        <v>0</v>
      </c>
      <c r="FA309" s="58">
        <f t="shared" si="522"/>
        <v>1</v>
      </c>
      <c r="FB309" s="58">
        <f>IF(i_eff_inputs_based_on_num=2,ED309,(INDEX(Lists!$L$51:$L$85,MATCH(O309,Lists!$K$51:$K$85,0))))</f>
        <v>7</v>
      </c>
      <c r="FC309" s="58">
        <f>IF(i_eff_inputs_based_on_num=2,EE309,(INDEX(Lists!$L$51:$L$85,MATCH(P309,Lists!$K$51:$K$85,0))))</f>
        <v>2</v>
      </c>
      <c r="FD309" s="58">
        <f>IF(i_eff_inputs_based_on_num=2,EF309,(INDEX(Lists!$L$51:$L$85,MATCH(Q309,Lists!$K$51:$K$85,0))))</f>
        <v>3</v>
      </c>
      <c r="FG309" s="58" t="str">
        <f t="shared" si="523"/>
        <v>Yes</v>
      </c>
      <c r="FH309" s="58" t="str">
        <f t="shared" si="524"/>
        <v>Time to progression</v>
      </c>
      <c r="FI309" s="58" t="str">
        <f t="shared" si="525"/>
        <v>FP_NMA</v>
      </c>
      <c r="FJ309" s="58">
        <f t="shared" si="526"/>
        <v>0</v>
      </c>
      <c r="FL309" s="58">
        <f t="shared" si="527"/>
        <v>0</v>
      </c>
      <c r="FM309" s="58">
        <f t="shared" si="528"/>
        <v>1</v>
      </c>
      <c r="FN309" s="58">
        <f>IF(i_eff_inputs_based_on_num=2,EP309,(INDEX(Lists!$L$51:$L$85,MATCH(O309,Lists!$K$51:$K$85,0))))</f>
        <v>7</v>
      </c>
      <c r="FO309" s="58">
        <f>IF(i_eff_inputs_based_on_num=2,EQ309,(INDEX(Lists!$L$51:$L$85,MATCH(P309,Lists!$K$51:$K$85,0))))</f>
        <v>0</v>
      </c>
      <c r="FP309" s="58">
        <f>IF(i_eff_inputs_based_on_num=2,ER309,(INDEX(Lists!$L$51:$L$85,MATCH(Q309,Lists!$K$51:$K$85,0))))</f>
        <v>3</v>
      </c>
      <c r="FT309" s="58">
        <f t="shared" si="425"/>
        <v>0</v>
      </c>
      <c r="FW309" s="58" t="str">
        <f>IF(i_baseline_risk_from=2,'Effectiveness settings'!EW309,'Effectiveness settings'!FI309)</f>
        <v>FP_NMA</v>
      </c>
      <c r="FX309" s="58" t="str">
        <f t="shared" si="426"/>
        <v>FP_NMA</v>
      </c>
      <c r="FY309" s="58" t="str">
        <f t="shared" si="427"/>
        <v>FP_NMA</v>
      </c>
      <c r="FZ309" s="58" t="str">
        <f t="shared" si="428"/>
        <v>Assume equal to</v>
      </c>
      <c r="GA309" s="58" t="str">
        <f t="shared" si="429"/>
        <v>Assume equal to</v>
      </c>
      <c r="GB309" s="58" t="str">
        <f t="shared" si="430"/>
        <v>Assume equal to</v>
      </c>
      <c r="GC309" s="58" t="str">
        <f t="shared" si="431"/>
        <v>Assume equal to</v>
      </c>
      <c r="GD309" s="58" t="str">
        <f t="shared" si="432"/>
        <v>Assume equal to</v>
      </c>
      <c r="GE309" s="58" t="str">
        <f>IF(AND(dd_CheckMate214_TTD="Yes",'Effectiveness settings'!BU309=2,'Effectiveness settings'!BX309=2),"Apply HR to",GD309)</f>
        <v>Assume equal to</v>
      </c>
      <c r="GF309" s="58" t="str">
        <f t="shared" si="433"/>
        <v>Assume equal to</v>
      </c>
      <c r="GG309" s="58" t="str">
        <f t="shared" si="434"/>
        <v>Assume equal to</v>
      </c>
      <c r="GH309" s="58" t="str">
        <f t="shared" si="435"/>
        <v>Assume equal to</v>
      </c>
      <c r="GI309" s="58" t="str">
        <f t="shared" si="415"/>
        <v>Assume equal to</v>
      </c>
      <c r="GK309" s="58">
        <f>IF(i_baseline_risk_from=2,'Effectiveness settings'!FA309,'Effectiveness settings'!FM309)</f>
        <v>1</v>
      </c>
      <c r="GL309" s="58">
        <f>IF(i_baseline_risk_from=2,'Effectiveness settings'!FB309,'Effectiveness settings'!FN309)</f>
        <v>7</v>
      </c>
      <c r="GM309" s="58">
        <f>IF(i_baseline_risk_from=2,'Effectiveness settings'!FC309,'Effectiveness settings'!FO309)</f>
        <v>2</v>
      </c>
      <c r="GN309" s="58">
        <f>IF(i_baseline_risk_from=2,'Effectiveness settings'!FD309,'Effectiveness settings'!FP309)</f>
        <v>3</v>
      </c>
      <c r="GQ309" s="58">
        <f t="shared" si="436"/>
        <v>7</v>
      </c>
      <c r="GR309" s="58">
        <f t="shared" si="437"/>
        <v>7</v>
      </c>
      <c r="GS309" s="58">
        <f t="shared" si="438"/>
        <v>7</v>
      </c>
      <c r="GT309" s="58">
        <f t="shared" si="439"/>
        <v>7</v>
      </c>
      <c r="GU309" s="58">
        <f>IF(AND(dd_CheckMate214_TTD="Yes",'Effectiveness settings'!BU309=2,'Effectiveness settings'!BX309=2),2,GT309)</f>
        <v>7</v>
      </c>
      <c r="GV309" s="58">
        <f t="shared" si="440"/>
        <v>7</v>
      </c>
      <c r="GW309" s="58">
        <f t="shared" si="441"/>
        <v>7</v>
      </c>
      <c r="GY309" s="58">
        <f>IF(AND(dd_CheckMate214_TTD="Yes",'Effectiveness settings'!BU309=2,'Effectiveness settings'!BX309=2),1,GN309)</f>
        <v>3</v>
      </c>
      <c r="GZ309" s="58">
        <f t="shared" si="442"/>
        <v>3</v>
      </c>
      <c r="HB309" s="58">
        <f t="shared" si="443"/>
        <v>0</v>
      </c>
      <c r="HD309" s="58">
        <f t="shared" si="416"/>
        <v>0</v>
      </c>
      <c r="HE309" s="58">
        <f t="shared" si="417"/>
        <v>1</v>
      </c>
      <c r="HF309" s="58">
        <f t="shared" si="418"/>
        <v>7</v>
      </c>
      <c r="HG309" s="58">
        <f t="shared" si="419"/>
        <v>2</v>
      </c>
      <c r="HH309" s="58">
        <f t="shared" si="420"/>
        <v>3</v>
      </c>
    </row>
    <row r="310" spans="1:216" ht="15.75" x14ac:dyDescent="0.25">
      <c r="D310" s="58" t="str">
        <v>tivozanib</v>
      </c>
      <c r="I310" s="64" t="s">
        <v>74</v>
      </c>
      <c r="J310" s="519" t="s">
        <v>555</v>
      </c>
      <c r="K310" s="524" t="s">
        <v>63</v>
      </c>
      <c r="L310" s="519"/>
      <c r="M310" s="516" t="s">
        <v>31</v>
      </c>
      <c r="N310" s="64" t="s">
        <v>546</v>
      </c>
      <c r="O310" s="64" t="s">
        <v>117</v>
      </c>
      <c r="P310" s="64" t="s">
        <v>547</v>
      </c>
      <c r="Q310" s="519" t="s">
        <v>555</v>
      </c>
      <c r="R310" s="516" t="s">
        <v>548</v>
      </c>
      <c r="S310" s="497"/>
      <c r="T310" s="497"/>
      <c r="U310" s="497"/>
      <c r="W310" s="58" t="str">
        <v>tivozanib</v>
      </c>
      <c r="X310" s="64" t="s">
        <v>74</v>
      </c>
      <c r="Y310" s="519" t="s">
        <v>555</v>
      </c>
      <c r="Z310" s="524" t="s">
        <v>67</v>
      </c>
      <c r="AA310" s="519"/>
      <c r="AB310" s="516" t="s">
        <v>31</v>
      </c>
      <c r="AC310" s="64" t="s">
        <v>576</v>
      </c>
      <c r="AD310" s="64" t="s">
        <v>118</v>
      </c>
      <c r="AE310" s="64" t="s">
        <v>547</v>
      </c>
      <c r="AF310" s="519" t="s">
        <v>555</v>
      </c>
      <c r="AG310" s="516" t="s">
        <v>548</v>
      </c>
      <c r="AH310" s="998">
        <f t="shared" si="530"/>
        <v>0.82</v>
      </c>
      <c r="AI310" s="998">
        <f t="shared" si="531"/>
        <v>0.8</v>
      </c>
      <c r="AJ310" s="998">
        <f t="shared" si="532"/>
        <v>0.84</v>
      </c>
      <c r="AL310" s="64" t="str">
        <f t="shared" si="503"/>
        <v>Yes</v>
      </c>
      <c r="AM310" s="519" t="s">
        <v>555</v>
      </c>
      <c r="AN310" s="524" t="s">
        <v>67</v>
      </c>
      <c r="AO310" s="519"/>
      <c r="AP310" s="516" t="s">
        <v>31</v>
      </c>
      <c r="AQ310" s="64" t="s">
        <v>577</v>
      </c>
      <c r="AR310" s="64" t="s">
        <v>118</v>
      </c>
      <c r="AS310" s="64" t="s">
        <v>547</v>
      </c>
      <c r="AT310" s="519" t="s">
        <v>555</v>
      </c>
      <c r="AU310" s="516" t="s">
        <v>548</v>
      </c>
      <c r="AV310" s="998">
        <f t="shared" si="533"/>
        <v>0.82</v>
      </c>
      <c r="AW310" s="998">
        <f t="shared" si="534"/>
        <v>0.8</v>
      </c>
      <c r="AX310" s="998">
        <f t="shared" si="535"/>
        <v>0.84</v>
      </c>
      <c r="AZ310" s="64" t="str">
        <f t="shared" si="504"/>
        <v>Yes</v>
      </c>
      <c r="BA310" s="519" t="s">
        <v>555</v>
      </c>
      <c r="BB310" s="524" t="s">
        <v>578</v>
      </c>
      <c r="BC310" s="519"/>
      <c r="BD310" s="516" t="s">
        <v>31</v>
      </c>
      <c r="BE310" s="64" t="s">
        <v>565</v>
      </c>
      <c r="BF310" s="64" t="s">
        <v>319</v>
      </c>
      <c r="BG310" s="64" t="s">
        <v>547</v>
      </c>
      <c r="BH310" s="519" t="s">
        <v>552</v>
      </c>
      <c r="BI310" s="516" t="s">
        <v>548</v>
      </c>
      <c r="BJ310" s="998">
        <f t="shared" si="536"/>
        <v>0.82</v>
      </c>
      <c r="BK310" s="998">
        <f t="shared" si="537"/>
        <v>0.8</v>
      </c>
      <c r="BL310" s="998">
        <f t="shared" si="538"/>
        <v>0.84</v>
      </c>
      <c r="BM310" s="740">
        <v>0.82</v>
      </c>
      <c r="BN310" s="740">
        <v>0.8</v>
      </c>
      <c r="BO310" s="740">
        <v>0.84</v>
      </c>
      <c r="BQ310" s="58">
        <f t="shared" si="423"/>
        <v>189</v>
      </c>
      <c r="BR310" s="61">
        <v>0</v>
      </c>
      <c r="BS310" s="61" t="s">
        <v>31</v>
      </c>
      <c r="BT310" s="17">
        <v>1</v>
      </c>
      <c r="BU310" s="17">
        <v>6</v>
      </c>
      <c r="BV310" s="17" t="str">
        <f t="shared" si="505"/>
        <v>tivozanib</v>
      </c>
      <c r="BW310" s="1006" t="str" cm="1">
        <f t="array" ref="BW310">IF(I310="No",I310,INDEX(List_incl_anal_1L_all,IF(BU310=999,35,BU310+1)))</f>
        <v>Yes</v>
      </c>
      <c r="BX310" s="61">
        <f t="shared" si="506"/>
        <v>3</v>
      </c>
      <c r="BY310" s="531" t="str">
        <f t="shared" si="539"/>
        <v>Time to progression</v>
      </c>
      <c r="BZ310" s="530" t="str">
        <f t="shared" si="507"/>
        <v>Assume equal to</v>
      </c>
      <c r="CA310" s="531">
        <f t="shared" si="529"/>
        <v>0</v>
      </c>
      <c r="CB310" s="530">
        <f t="shared" si="508"/>
        <v>0</v>
      </c>
      <c r="CC310" s="530">
        <f t="shared" si="509"/>
        <v>1</v>
      </c>
      <c r="CD310" s="530">
        <f t="shared" si="510"/>
        <v>7</v>
      </c>
      <c r="CE310" s="1295">
        <f t="shared" si="511"/>
        <v>2</v>
      </c>
      <c r="CF310" s="1301">
        <f t="shared" si="512"/>
        <v>3</v>
      </c>
      <c r="CG310" s="530" t="str">
        <f t="shared" si="513"/>
        <v>Log-logistic</v>
      </c>
      <c r="CH310" s="61">
        <f t="shared" si="514"/>
        <v>0</v>
      </c>
      <c r="CI310" s="61">
        <f t="shared" si="515"/>
        <v>0</v>
      </c>
      <c r="CJ310" s="61">
        <f t="shared" si="516"/>
        <v>0</v>
      </c>
      <c r="DK310" s="58" t="str" cm="1">
        <f t="array" ref="DK310">IF(AND($BT310=4,$BX310=4,$BU310=999),$DB$36,_xlfn.IFNA(INDEX(DB$13:DB$70,MATCH(1,($BR310=$CV$13:$CV$70)*($BT310=$CX$13:$CX$70)*($CE310=$CY$13:$CY$70)*($BY310=$DA$13:$DA$70)*($CD310=$DH$13:$DH$70),0)),""))</f>
        <v>Log-logistic</v>
      </c>
      <c r="DL310" s="58" t="str" cm="1">
        <f t="array" ref="DL310">IF(AND($BT310=4,$BX310=4,$BU310=999),$DC$36,_xlfn.IFNA(INDEX(CHOOSE(DP310,DB$13:DB$70,DC$13:DC$70,DD$13:DD$70,DE$13:DE$70),MATCH(1,($BR310=$CV$13:$CV$70)*($BT310=$CX$13:$CX$70)*($CE310=$CY$13:$CY$70)*($BY310=$DA$13:$DA$70)*($CD310=$DH$13:$DH$70),0)),""))</f>
        <v>Log-logistic</v>
      </c>
      <c r="DM310" s="740" cm="1">
        <f t="array" ref="DM310">IF(AND($BT310=4,$BX310=4,$BU310=999),$DD$36,_xlfn.IFNA(INDEX(DD$13:DD$68,MATCH(1,($BR310=$CV$13:$CV$68)*($BT310=$CX$13:$CX$68)*($CE310=$CY$13:$CY$68)*($BY310=$DA$13:$DA$68)*($CD310=$DH$13:$DH$68),0)),""))</f>
        <v>0</v>
      </c>
      <c r="DN310" s="740" cm="1">
        <f t="array" ref="DN310">IF(AND($BT310=4,$BX310=4,$BU310=999),$DD$36,_xlfn.IFNA(INDEX(DE$13:DE$68,MATCH(1,($BR310=$CV$13:$CV$68)*($BT310=$CX$13:$CX$68)*($CE310=$CY$13:$CY$68)*($BY310=$DA$13:$DA$68)*($CD310=$DH$13:$DH$68),0)),""))</f>
        <v>0</v>
      </c>
      <c r="DO310" s="58" t="str" cm="1">
        <f t="array" ref="DO310">IF(AND($BT310=4,$BX310=4,$BU310=999),$DF$36,_xlfn.IFNA(INDEX(DF$13:DF$70,MATCH(1,($BR310=$CV$13:$CV$70)*($BT310=$CX$13:$CX$70)*($CE310=$CY$13:$CY$70)*($BY310=$DA$13:$DA$70)*($CD310=$DH$13:$DH$70),0)),""))</f>
        <v>Base case</v>
      </c>
      <c r="DP310" s="58">
        <f t="shared" si="424"/>
        <v>1</v>
      </c>
      <c r="DW310" s="58" t="s">
        <v>74</v>
      </c>
      <c r="DX310" s="58" t="s">
        <v>555</v>
      </c>
      <c r="DY310" s="58" t="s">
        <v>63</v>
      </c>
      <c r="DZ310" s="58">
        <v>0</v>
      </c>
      <c r="EB310" s="58">
        <v>0</v>
      </c>
      <c r="EC310" s="58">
        <v>1</v>
      </c>
      <c r="ED310" s="58">
        <v>7</v>
      </c>
      <c r="EE310" s="58">
        <v>2</v>
      </c>
      <c r="EF310" s="58">
        <v>3</v>
      </c>
      <c r="EI310" s="58" t="s">
        <v>74</v>
      </c>
      <c r="EJ310" s="58" t="s">
        <v>555</v>
      </c>
      <c r="EK310" s="58" t="s">
        <v>63</v>
      </c>
      <c r="EL310" s="58">
        <v>0</v>
      </c>
      <c r="EN310" s="58">
        <v>0</v>
      </c>
      <c r="EO310" s="58">
        <v>1</v>
      </c>
      <c r="EP310" s="58">
        <v>7</v>
      </c>
      <c r="EQ310" s="58">
        <v>0</v>
      </c>
      <c r="ER310" s="58">
        <v>3</v>
      </c>
      <c r="EU310" s="58" t="str">
        <f t="shared" si="517"/>
        <v>Yes</v>
      </c>
      <c r="EV310" s="58" t="str">
        <f t="shared" si="518"/>
        <v>Time to progression</v>
      </c>
      <c r="EW310" s="58" t="str">
        <f t="shared" si="519"/>
        <v>FP_NMA</v>
      </c>
      <c r="EX310" s="58">
        <f t="shared" si="520"/>
        <v>0</v>
      </c>
      <c r="EZ310" s="58">
        <f t="shared" si="521"/>
        <v>0</v>
      </c>
      <c r="FA310" s="58">
        <f t="shared" si="522"/>
        <v>1</v>
      </c>
      <c r="FB310" s="58">
        <f>IF(i_eff_inputs_based_on_num=2,ED310,(INDEX(Lists!$L$51:$L$85,MATCH(O310,Lists!$K$51:$K$85,0))))</f>
        <v>7</v>
      </c>
      <c r="FC310" s="58">
        <f>IF(i_eff_inputs_based_on_num=2,EE310,(INDEX(Lists!$L$51:$L$85,MATCH(P310,Lists!$K$51:$K$85,0))))</f>
        <v>2</v>
      </c>
      <c r="FD310" s="58">
        <f>IF(i_eff_inputs_based_on_num=2,EF310,(INDEX(Lists!$L$51:$L$85,MATCH(Q310,Lists!$K$51:$K$85,0))))</f>
        <v>3</v>
      </c>
      <c r="FG310" s="58" t="str">
        <f t="shared" si="523"/>
        <v>Yes</v>
      </c>
      <c r="FH310" s="58" t="str">
        <f t="shared" si="524"/>
        <v>Time to progression</v>
      </c>
      <c r="FI310" s="58" t="str">
        <f t="shared" si="525"/>
        <v>FP_NMA</v>
      </c>
      <c r="FJ310" s="58">
        <f t="shared" si="526"/>
        <v>0</v>
      </c>
      <c r="FL310" s="58">
        <f t="shared" si="527"/>
        <v>0</v>
      </c>
      <c r="FM310" s="58">
        <f t="shared" si="528"/>
        <v>1</v>
      </c>
      <c r="FN310" s="58">
        <f>IF(i_eff_inputs_based_on_num=2,EP310,(INDEX(Lists!$L$51:$L$85,MATCH(O310,Lists!$K$51:$K$85,0))))</f>
        <v>7</v>
      </c>
      <c r="FO310" s="58">
        <f>IF(i_eff_inputs_based_on_num=2,EQ310,(INDEX(Lists!$L$51:$L$85,MATCH(P310,Lists!$K$51:$K$85,0))))</f>
        <v>0</v>
      </c>
      <c r="FP310" s="58">
        <f>IF(i_eff_inputs_based_on_num=2,ER310,(INDEX(Lists!$L$51:$L$85,MATCH(Q310,Lists!$K$51:$K$85,0))))</f>
        <v>3</v>
      </c>
      <c r="FT310" s="58">
        <f t="shared" si="425"/>
        <v>0</v>
      </c>
      <c r="FW310" s="58" t="str">
        <f>IF(i_baseline_risk_from=2,'Effectiveness settings'!EW310,'Effectiveness settings'!FI310)</f>
        <v>FP_NMA</v>
      </c>
      <c r="FX310" s="58" t="str">
        <f t="shared" si="426"/>
        <v>FP_NMA</v>
      </c>
      <c r="FY310" s="58" t="str">
        <f t="shared" si="427"/>
        <v>FP_NMA</v>
      </c>
      <c r="FZ310" s="58" t="str">
        <f t="shared" si="428"/>
        <v>FP_NMA</v>
      </c>
      <c r="GA310" s="58" t="str">
        <f t="shared" si="429"/>
        <v>Assume equal to</v>
      </c>
      <c r="GB310" s="58" t="str">
        <f t="shared" si="430"/>
        <v>Assume equal to</v>
      </c>
      <c r="GC310" s="58" t="str">
        <f t="shared" si="431"/>
        <v>Assume equal to</v>
      </c>
      <c r="GD310" s="58" t="str">
        <f t="shared" si="432"/>
        <v>Assume equal to</v>
      </c>
      <c r="GE310" s="58" t="str">
        <f>IF(AND(dd_CheckMate214_TTD="Yes",'Effectiveness settings'!BU310=2,'Effectiveness settings'!BX310=2),"Apply HR to",GD310)</f>
        <v>Assume equal to</v>
      </c>
      <c r="GF310" s="58" t="str">
        <f t="shared" si="433"/>
        <v>Assume equal to</v>
      </c>
      <c r="GG310" s="58" t="str">
        <f t="shared" si="434"/>
        <v>Assume equal to</v>
      </c>
      <c r="GH310" s="58" t="str">
        <f t="shared" si="435"/>
        <v>Assume equal to</v>
      </c>
      <c r="GI310" s="58" t="str">
        <f t="shared" si="415"/>
        <v>Assume equal to</v>
      </c>
      <c r="GK310" s="58">
        <f>IF(i_baseline_risk_from=2,'Effectiveness settings'!FA310,'Effectiveness settings'!FM310)</f>
        <v>1</v>
      </c>
      <c r="GL310" s="58">
        <f>IF(i_baseline_risk_from=2,'Effectiveness settings'!FB310,'Effectiveness settings'!FN310)</f>
        <v>7</v>
      </c>
      <c r="GM310" s="58">
        <f>IF(i_baseline_risk_from=2,'Effectiveness settings'!FC310,'Effectiveness settings'!FO310)</f>
        <v>2</v>
      </c>
      <c r="GN310" s="58">
        <f>IF(i_baseline_risk_from=2,'Effectiveness settings'!FD310,'Effectiveness settings'!FP310)</f>
        <v>3</v>
      </c>
      <c r="GQ310" s="58">
        <f t="shared" si="436"/>
        <v>7</v>
      </c>
      <c r="GR310" s="58">
        <f t="shared" si="437"/>
        <v>7</v>
      </c>
      <c r="GS310" s="58">
        <f t="shared" si="438"/>
        <v>7</v>
      </c>
      <c r="GT310" s="58">
        <f t="shared" si="439"/>
        <v>7</v>
      </c>
      <c r="GU310" s="58">
        <f>IF(AND(dd_CheckMate214_TTD="Yes",'Effectiveness settings'!BU310=2,'Effectiveness settings'!BX310=2),2,GT310)</f>
        <v>7</v>
      </c>
      <c r="GV310" s="58">
        <f t="shared" si="440"/>
        <v>7</v>
      </c>
      <c r="GW310" s="58">
        <f t="shared" si="441"/>
        <v>7</v>
      </c>
      <c r="GY310" s="58">
        <f>IF(AND(dd_CheckMate214_TTD="Yes",'Effectiveness settings'!BU310=2,'Effectiveness settings'!BX310=2),1,GN310)</f>
        <v>3</v>
      </c>
      <c r="GZ310" s="58">
        <f t="shared" si="442"/>
        <v>3</v>
      </c>
      <c r="HB310" s="58">
        <f t="shared" si="443"/>
        <v>0</v>
      </c>
      <c r="HD310" s="58">
        <f t="shared" si="416"/>
        <v>0</v>
      </c>
      <c r="HE310" s="58">
        <f t="shared" si="417"/>
        <v>1</v>
      </c>
      <c r="HF310" s="58">
        <f t="shared" si="418"/>
        <v>7</v>
      </c>
      <c r="HG310" s="58">
        <f t="shared" si="419"/>
        <v>2</v>
      </c>
      <c r="HH310" s="58">
        <f t="shared" si="420"/>
        <v>3</v>
      </c>
    </row>
    <row r="311" spans="1:216" ht="15.75" x14ac:dyDescent="0.25">
      <c r="A311" s="58" t="s">
        <v>572</v>
      </c>
      <c r="D311" s="58" t="str">
        <v>sunitinib</v>
      </c>
      <c r="I311" s="64" t="s">
        <v>74</v>
      </c>
      <c r="J311" s="519" t="s">
        <v>555</v>
      </c>
      <c r="K311" s="524" t="s">
        <v>562</v>
      </c>
      <c r="L311" s="519" t="s">
        <v>547</v>
      </c>
      <c r="M311" s="516" t="s">
        <v>31</v>
      </c>
      <c r="N311" s="64" t="s">
        <v>546</v>
      </c>
      <c r="O311" s="64" t="s">
        <v>117</v>
      </c>
      <c r="P311" s="64" t="s">
        <v>547</v>
      </c>
      <c r="Q311" s="519" t="s">
        <v>555</v>
      </c>
      <c r="R311" s="516" t="s">
        <v>548</v>
      </c>
      <c r="S311" s="497"/>
      <c r="T311" s="497"/>
      <c r="U311" s="497"/>
      <c r="W311" s="58" t="str">
        <v>sunitinib</v>
      </c>
      <c r="X311" s="64" t="s">
        <v>74</v>
      </c>
      <c r="Y311" s="519" t="s">
        <v>555</v>
      </c>
      <c r="Z311" s="524" t="s">
        <v>561</v>
      </c>
      <c r="AA311" s="519"/>
      <c r="AB311" s="516" t="s">
        <v>31</v>
      </c>
      <c r="AC311" s="64" t="s">
        <v>576</v>
      </c>
      <c r="AD311" s="64" t="s">
        <v>118</v>
      </c>
      <c r="AE311" s="64" t="s">
        <v>547</v>
      </c>
      <c r="AF311" s="519" t="s">
        <v>555</v>
      </c>
      <c r="AG311" s="516" t="s">
        <v>548</v>
      </c>
      <c r="AH311" s="998">
        <f t="shared" si="530"/>
        <v>0.82</v>
      </c>
      <c r="AI311" s="998">
        <f t="shared" si="531"/>
        <v>0.8</v>
      </c>
      <c r="AJ311" s="998">
        <f t="shared" si="532"/>
        <v>0.84</v>
      </c>
      <c r="AL311" s="64" t="str">
        <f t="shared" si="503"/>
        <v>Yes</v>
      </c>
      <c r="AM311" s="519" t="s">
        <v>555</v>
      </c>
      <c r="AN311" s="524" t="s">
        <v>561</v>
      </c>
      <c r="AO311" s="519"/>
      <c r="AP311" s="516" t="s">
        <v>31</v>
      </c>
      <c r="AQ311" s="64" t="s">
        <v>577</v>
      </c>
      <c r="AR311" s="64" t="s">
        <v>118</v>
      </c>
      <c r="AS311" s="64" t="s">
        <v>547</v>
      </c>
      <c r="AT311" s="519" t="s">
        <v>555</v>
      </c>
      <c r="AU311" s="516" t="s">
        <v>548</v>
      </c>
      <c r="AV311" s="998">
        <f t="shared" si="533"/>
        <v>0.82</v>
      </c>
      <c r="AW311" s="998">
        <f t="shared" si="534"/>
        <v>0.8</v>
      </c>
      <c r="AX311" s="998">
        <f t="shared" si="535"/>
        <v>0.84</v>
      </c>
      <c r="AZ311" s="64" t="str">
        <f t="shared" si="504"/>
        <v>Yes</v>
      </c>
      <c r="BA311" s="519" t="s">
        <v>555</v>
      </c>
      <c r="BB311" s="524" t="s">
        <v>578</v>
      </c>
      <c r="BC311" s="519"/>
      <c r="BD311" s="516" t="s">
        <v>31</v>
      </c>
      <c r="BE311" s="64" t="s">
        <v>565</v>
      </c>
      <c r="BF311" s="64" t="s">
        <v>117</v>
      </c>
      <c r="BG311" s="64" t="s">
        <v>547</v>
      </c>
      <c r="BH311" s="519" t="s">
        <v>552</v>
      </c>
      <c r="BI311" s="516" t="s">
        <v>548</v>
      </c>
      <c r="BJ311" s="998">
        <f t="shared" si="536"/>
        <v>0.82</v>
      </c>
      <c r="BK311" s="998">
        <f t="shared" si="537"/>
        <v>0.8</v>
      </c>
      <c r="BL311" s="998">
        <f t="shared" si="538"/>
        <v>0.84</v>
      </c>
      <c r="BM311" s="740">
        <v>0.82</v>
      </c>
      <c r="BN311" s="740">
        <v>0.8</v>
      </c>
      <c r="BO311" s="740">
        <v>0.84</v>
      </c>
      <c r="BQ311" s="58">
        <f t="shared" si="423"/>
        <v>190</v>
      </c>
      <c r="BR311" s="61">
        <v>0</v>
      </c>
      <c r="BS311" s="61" t="s">
        <v>31</v>
      </c>
      <c r="BT311" s="17">
        <v>1</v>
      </c>
      <c r="BU311" s="17">
        <v>7</v>
      </c>
      <c r="BV311" s="17" t="str">
        <f t="shared" si="505"/>
        <v>sunitinib</v>
      </c>
      <c r="BW311" s="1006" t="str" cm="1">
        <f t="array" ref="BW311">IF(I311="No",I311,INDEX(List_incl_anal_1L_all,IF(BU311=999,35,BU311+1)))</f>
        <v>Yes</v>
      </c>
      <c r="BX311" s="61">
        <f t="shared" si="506"/>
        <v>3</v>
      </c>
      <c r="BY311" s="531" t="str">
        <f t="shared" si="539"/>
        <v>Time to progression</v>
      </c>
      <c r="BZ311" s="530" t="str">
        <f t="shared" si="507"/>
        <v>Trial survival analysis</v>
      </c>
      <c r="CA311" s="531" t="str">
        <f t="shared" si="529"/>
        <v>Real world evidence</v>
      </c>
      <c r="CB311" s="530">
        <f t="shared" si="508"/>
        <v>0</v>
      </c>
      <c r="CC311" s="530">
        <f t="shared" si="509"/>
        <v>1</v>
      </c>
      <c r="CD311" s="530">
        <f t="shared" si="510"/>
        <v>7</v>
      </c>
      <c r="CE311" s="1295">
        <f t="shared" si="511"/>
        <v>2</v>
      </c>
      <c r="CF311" s="1301">
        <f t="shared" si="512"/>
        <v>3</v>
      </c>
      <c r="CG311" s="530" t="str">
        <f t="shared" si="513"/>
        <v>Log-logistic</v>
      </c>
      <c r="CH311" s="61">
        <f t="shared" si="514"/>
        <v>0</v>
      </c>
      <c r="CI311" s="61">
        <f t="shared" si="515"/>
        <v>0</v>
      </c>
      <c r="CJ311" s="61">
        <f t="shared" si="516"/>
        <v>0</v>
      </c>
      <c r="DK311" s="58" t="str" cm="1">
        <f t="array" ref="DK311">IF(AND($BT311=4,$BX311=4,$BU311=999),$DB$36,_xlfn.IFNA(INDEX(DB$13:DB$70,MATCH(1,($BR311=$CV$13:$CV$70)*($BT311=$CX$13:$CX$70)*($CE311=$CY$13:$CY$70)*($BY311=$DA$13:$DA$70)*($CD311=$DH$13:$DH$70),0)),""))</f>
        <v>Log-logistic</v>
      </c>
      <c r="DL311" s="58" t="str" cm="1">
        <f t="array" ref="DL311">IF(AND($BT311=4,$BX311=4,$BU311=999),$DC$36,_xlfn.IFNA(INDEX(CHOOSE(DP311,DB$13:DB$70,DC$13:DC$70,DD$13:DD$70,DE$13:DE$70),MATCH(1,($BR311=$CV$13:$CV$70)*($BT311=$CX$13:$CX$70)*($CE311=$CY$13:$CY$70)*($BY311=$DA$13:$DA$70)*($CD311=$DH$13:$DH$70),0)),""))</f>
        <v>Log-logistic</v>
      </c>
      <c r="DM311" s="740" cm="1">
        <f t="array" ref="DM311">IF(AND($BT311=4,$BX311=4,$BU311=999),$DD$36,_xlfn.IFNA(INDEX(DD$13:DD$68,MATCH(1,($BR311=$CV$13:$CV$68)*($BT311=$CX$13:$CX$68)*($CE311=$CY$13:$CY$68)*($BY311=$DA$13:$DA$68)*($CD311=$DH$13:$DH$68),0)),""))</f>
        <v>0</v>
      </c>
      <c r="DN311" s="740" cm="1">
        <f t="array" ref="DN311">IF(AND($BT311=4,$BX311=4,$BU311=999),$DD$36,_xlfn.IFNA(INDEX(DE$13:DE$68,MATCH(1,($BR311=$CV$13:$CV$68)*($BT311=$CX$13:$CX$68)*($CE311=$CY$13:$CY$68)*($BY311=$DA$13:$DA$68)*($CD311=$DH$13:$DH$68),0)),""))</f>
        <v>0</v>
      </c>
      <c r="DO311" s="58" t="str" cm="1">
        <f t="array" ref="DO311">IF(AND($BT311=4,$BX311=4,$BU311=999),$DF$36,_xlfn.IFNA(INDEX(DF$13:DF$70,MATCH(1,($BR311=$CV$13:$CV$70)*($BT311=$CX$13:$CX$70)*($CE311=$CY$13:$CY$70)*($BY311=$DA$13:$DA$70)*($CD311=$DH$13:$DH$70),0)),""))</f>
        <v>Base case</v>
      </c>
      <c r="DP311" s="58">
        <f t="shared" si="424"/>
        <v>1</v>
      </c>
      <c r="DW311" s="58" t="s">
        <v>74</v>
      </c>
      <c r="DX311" s="58" t="s">
        <v>555</v>
      </c>
      <c r="DY311" s="58" t="s">
        <v>562</v>
      </c>
      <c r="DZ311" s="58" t="s">
        <v>547</v>
      </c>
      <c r="EB311" s="58">
        <v>0</v>
      </c>
      <c r="EC311" s="58">
        <v>1</v>
      </c>
      <c r="ED311" s="58">
        <v>7</v>
      </c>
      <c r="EE311" s="58">
        <v>2</v>
      </c>
      <c r="EF311" s="58">
        <v>3</v>
      </c>
      <c r="EI311" s="58" t="s">
        <v>74</v>
      </c>
      <c r="EJ311" s="58" t="s">
        <v>555</v>
      </c>
      <c r="EK311" s="58" t="s">
        <v>562</v>
      </c>
      <c r="EL311" s="58" t="s">
        <v>564</v>
      </c>
      <c r="EN311" s="58">
        <v>0</v>
      </c>
      <c r="EO311" s="58">
        <v>1</v>
      </c>
      <c r="EP311" s="58">
        <v>7</v>
      </c>
      <c r="EQ311" s="58">
        <v>0</v>
      </c>
      <c r="ER311" s="58">
        <v>3</v>
      </c>
      <c r="EU311" s="58" t="str">
        <f t="shared" si="517"/>
        <v>Yes</v>
      </c>
      <c r="EV311" s="58" t="str">
        <f t="shared" si="518"/>
        <v>Time to progression</v>
      </c>
      <c r="EW311" s="58" t="str">
        <f t="shared" si="519"/>
        <v>Trial survival analysis</v>
      </c>
      <c r="EX311" s="58" t="str">
        <f t="shared" si="520"/>
        <v>Real world evidence</v>
      </c>
      <c r="EZ311" s="58">
        <f t="shared" si="521"/>
        <v>0</v>
      </c>
      <c r="FA311" s="58">
        <f t="shared" si="522"/>
        <v>1</v>
      </c>
      <c r="FB311" s="58">
        <f>IF(i_eff_inputs_based_on_num=2,ED311,(INDEX(Lists!$L$51:$L$85,MATCH(O311,Lists!$K$51:$K$85,0))))</f>
        <v>7</v>
      </c>
      <c r="FC311" s="58">
        <f>IF(i_eff_inputs_based_on_num=2,EE311,(INDEX(Lists!$L$51:$L$85,MATCH(P311,Lists!$K$51:$K$85,0))))</f>
        <v>2</v>
      </c>
      <c r="FD311" s="58">
        <f>IF(i_eff_inputs_based_on_num=2,EF311,(INDEX(Lists!$L$51:$L$85,MATCH(Q311,Lists!$K$51:$K$85,0))))</f>
        <v>3</v>
      </c>
      <c r="FG311" s="58" t="str">
        <f t="shared" si="523"/>
        <v>Yes</v>
      </c>
      <c r="FH311" s="58" t="str">
        <f t="shared" si="524"/>
        <v>Time to progression</v>
      </c>
      <c r="FI311" s="58" t="str">
        <f t="shared" si="525"/>
        <v>Trial survival analysis</v>
      </c>
      <c r="FJ311" s="58" t="str">
        <f t="shared" si="526"/>
        <v>CheckMate 9ER</v>
      </c>
      <c r="FL311" s="58">
        <f t="shared" si="527"/>
        <v>0</v>
      </c>
      <c r="FM311" s="58">
        <f t="shared" si="528"/>
        <v>1</v>
      </c>
      <c r="FN311" s="58">
        <f>IF(i_eff_inputs_based_on_num=2,EP311,(INDEX(Lists!$L$51:$L$85,MATCH(O311,Lists!$K$51:$K$85,0))))</f>
        <v>7</v>
      </c>
      <c r="FO311" s="58">
        <f>IF(i_eff_inputs_based_on_num=2,EQ311,(INDEX(Lists!$L$51:$L$85,MATCH(P311,Lists!$K$51:$K$85,0))))</f>
        <v>0</v>
      </c>
      <c r="FP311" s="58">
        <f>IF(i_eff_inputs_based_on_num=2,ER311,(INDEX(Lists!$L$51:$L$85,MATCH(Q311,Lists!$K$51:$K$85,0))))</f>
        <v>3</v>
      </c>
      <c r="FT311" s="58" t="str">
        <f t="shared" si="425"/>
        <v>Real world evidence</v>
      </c>
      <c r="FW311" s="58" t="str">
        <f>IF(i_baseline_risk_from=2,'Effectiveness settings'!EW311,'Effectiveness settings'!FI311)</f>
        <v>Trial survival analysis</v>
      </c>
      <c r="FX311" s="58" t="str">
        <f t="shared" si="426"/>
        <v>Trial survival analysis</v>
      </c>
      <c r="FY311" s="58" t="str">
        <f t="shared" si="427"/>
        <v>Trial survival analysis</v>
      </c>
      <c r="FZ311" s="58" t="str">
        <f t="shared" si="428"/>
        <v>Trial survival analysis</v>
      </c>
      <c r="GA311" s="58" t="str">
        <f t="shared" si="429"/>
        <v>Trial survival analysis</v>
      </c>
      <c r="GB311" s="58" t="str">
        <f t="shared" si="430"/>
        <v>Trial survival analysis</v>
      </c>
      <c r="GC311" s="58" t="str">
        <f t="shared" si="431"/>
        <v>Trial survival analysis</v>
      </c>
      <c r="GD311" s="58" t="str">
        <f t="shared" si="432"/>
        <v>Trial survival analysis</v>
      </c>
      <c r="GE311" s="58" t="str">
        <f>IF(AND(dd_CheckMate214_TTD="Yes",'Effectiveness settings'!BU311=2,'Effectiveness settings'!BX311=2),"Apply HR to",GD311)</f>
        <v>Trial survival analysis</v>
      </c>
      <c r="GF311" s="58" t="str">
        <f t="shared" si="433"/>
        <v>Trial survival analysis</v>
      </c>
      <c r="GG311" s="58" t="str">
        <f t="shared" si="434"/>
        <v>Trial survival analysis</v>
      </c>
      <c r="GH311" s="58" t="str">
        <f t="shared" si="435"/>
        <v>Trial survival analysis</v>
      </c>
      <c r="GI311" s="58" t="str">
        <f t="shared" si="415"/>
        <v>Trial survival analysis</v>
      </c>
      <c r="GK311" s="58">
        <f>IF(i_baseline_risk_from=2,'Effectiveness settings'!FA311,'Effectiveness settings'!FM311)</f>
        <v>1</v>
      </c>
      <c r="GL311" s="58">
        <f>IF(i_baseline_risk_from=2,'Effectiveness settings'!FB311,'Effectiveness settings'!FN311)</f>
        <v>7</v>
      </c>
      <c r="GM311" s="58">
        <f>IF(i_baseline_risk_from=2,'Effectiveness settings'!FC311,'Effectiveness settings'!FO311)</f>
        <v>2</v>
      </c>
      <c r="GN311" s="58">
        <f>IF(i_baseline_risk_from=2,'Effectiveness settings'!FD311,'Effectiveness settings'!FP311)</f>
        <v>3</v>
      </c>
      <c r="GQ311" s="58">
        <f t="shared" si="436"/>
        <v>7</v>
      </c>
      <c r="GR311" s="58">
        <f t="shared" si="437"/>
        <v>7</v>
      </c>
      <c r="GS311" s="58">
        <f t="shared" si="438"/>
        <v>7</v>
      </c>
      <c r="GT311" s="58">
        <f t="shared" si="439"/>
        <v>7</v>
      </c>
      <c r="GU311" s="58">
        <f>IF(AND(dd_CheckMate214_TTD="Yes",'Effectiveness settings'!BU311=2,'Effectiveness settings'!BX311=2),2,GT311)</f>
        <v>7</v>
      </c>
      <c r="GV311" s="58">
        <f t="shared" si="440"/>
        <v>7</v>
      </c>
      <c r="GW311" s="58">
        <f t="shared" si="441"/>
        <v>7</v>
      </c>
      <c r="GY311" s="58">
        <f>IF(AND(dd_CheckMate214_TTD="Yes",'Effectiveness settings'!BU311=2,'Effectiveness settings'!BX311=2),1,GN311)</f>
        <v>3</v>
      </c>
      <c r="GZ311" s="58">
        <f t="shared" si="442"/>
        <v>3</v>
      </c>
      <c r="HB311" s="58">
        <f t="shared" si="443"/>
        <v>0</v>
      </c>
      <c r="HD311" s="58">
        <f t="shared" si="416"/>
        <v>0</v>
      </c>
      <c r="HE311" s="58">
        <f t="shared" si="417"/>
        <v>1</v>
      </c>
      <c r="HF311" s="58">
        <f t="shared" si="418"/>
        <v>7</v>
      </c>
      <c r="HG311" s="58">
        <f t="shared" si="419"/>
        <v>2</v>
      </c>
      <c r="HH311" s="58">
        <f t="shared" si="420"/>
        <v>3</v>
      </c>
    </row>
    <row r="312" spans="1:216" ht="15.75" x14ac:dyDescent="0.25">
      <c r="D312" s="58" t="str">
        <v>cabozantinib</v>
      </c>
      <c r="I312" s="64" t="s">
        <v>58</v>
      </c>
      <c r="J312" s="519" t="s">
        <v>555</v>
      </c>
      <c r="K312" s="524"/>
      <c r="L312" s="519"/>
      <c r="M312" s="516" t="s">
        <v>31</v>
      </c>
      <c r="N312" s="64" t="s">
        <v>546</v>
      </c>
      <c r="O312" s="64" t="s">
        <v>117</v>
      </c>
      <c r="P312" s="64" t="s">
        <v>547</v>
      </c>
      <c r="Q312" s="519" t="s">
        <v>555</v>
      </c>
      <c r="R312" s="516" t="s">
        <v>548</v>
      </c>
      <c r="S312" s="497"/>
      <c r="T312" s="497"/>
      <c r="U312" s="497"/>
      <c r="W312" s="58" t="str">
        <v>cabozantinib</v>
      </c>
      <c r="X312" s="64" t="s">
        <v>74</v>
      </c>
      <c r="Y312" s="519" t="s">
        <v>555</v>
      </c>
      <c r="Z312" s="524" t="s">
        <v>562</v>
      </c>
      <c r="AA312" s="519" t="s">
        <v>547</v>
      </c>
      <c r="AB312" s="516" t="s">
        <v>31</v>
      </c>
      <c r="AC312" s="64" t="s">
        <v>576</v>
      </c>
      <c r="AD312" s="64" t="s">
        <v>118</v>
      </c>
      <c r="AE312" s="64" t="s">
        <v>547</v>
      </c>
      <c r="AF312" s="519" t="s">
        <v>555</v>
      </c>
      <c r="AG312" s="516" t="s">
        <v>548</v>
      </c>
      <c r="AH312" s="998">
        <f t="shared" si="530"/>
        <v>0.82</v>
      </c>
      <c r="AI312" s="998">
        <f t="shared" si="531"/>
        <v>0.8</v>
      </c>
      <c r="AJ312" s="998">
        <f t="shared" si="532"/>
        <v>0.84</v>
      </c>
      <c r="AL312" s="64" t="str">
        <f t="shared" si="503"/>
        <v>Yes</v>
      </c>
      <c r="AM312" s="519" t="s">
        <v>555</v>
      </c>
      <c r="AN312" s="524" t="s">
        <v>562</v>
      </c>
      <c r="AO312" s="519" t="s">
        <v>547</v>
      </c>
      <c r="AP312" s="516" t="s">
        <v>31</v>
      </c>
      <c r="AQ312" s="64" t="s">
        <v>577</v>
      </c>
      <c r="AR312" s="64" t="s">
        <v>118</v>
      </c>
      <c r="AS312" s="64" t="s">
        <v>547</v>
      </c>
      <c r="AT312" s="519" t="s">
        <v>555</v>
      </c>
      <c r="AU312" s="516" t="s">
        <v>548</v>
      </c>
      <c r="AV312" s="998">
        <f t="shared" si="533"/>
        <v>0.82</v>
      </c>
      <c r="AW312" s="998">
        <f t="shared" si="534"/>
        <v>0.8</v>
      </c>
      <c r="AX312" s="998">
        <f t="shared" si="535"/>
        <v>0.84</v>
      </c>
      <c r="AZ312" s="64" t="str">
        <f t="shared" si="504"/>
        <v>Yes</v>
      </c>
      <c r="BA312" s="519" t="s">
        <v>555</v>
      </c>
      <c r="BB312" s="524" t="s">
        <v>578</v>
      </c>
      <c r="BC312" s="519"/>
      <c r="BD312" s="516" t="s">
        <v>31</v>
      </c>
      <c r="BE312" s="64" t="s">
        <v>565</v>
      </c>
      <c r="BF312" s="64" t="s">
        <v>118</v>
      </c>
      <c r="BG312" s="64" t="s">
        <v>547</v>
      </c>
      <c r="BH312" s="519" t="s">
        <v>552</v>
      </c>
      <c r="BI312" s="516" t="s">
        <v>548</v>
      </c>
      <c r="BJ312" s="998">
        <f t="shared" si="536"/>
        <v>0.82</v>
      </c>
      <c r="BK312" s="998">
        <f t="shared" si="537"/>
        <v>0.8</v>
      </c>
      <c r="BL312" s="998">
        <f t="shared" si="538"/>
        <v>0.84</v>
      </c>
      <c r="BM312" s="740"/>
      <c r="BN312" s="740"/>
      <c r="BO312" s="740"/>
      <c r="BQ312" s="58">
        <f t="shared" si="423"/>
        <v>191</v>
      </c>
      <c r="BR312" s="61">
        <v>0</v>
      </c>
      <c r="BS312" s="61" t="s">
        <v>31</v>
      </c>
      <c r="BT312" s="17">
        <v>1</v>
      </c>
      <c r="BU312" s="17">
        <v>8</v>
      </c>
      <c r="BV312" s="17" t="str">
        <f t="shared" si="505"/>
        <v>cabozantinib</v>
      </c>
      <c r="BW312" s="1006" t="str" cm="1">
        <f t="array" ref="BW312">IF(I312="No",I312,INDEX(List_incl_anal_1L_all,IF(BU312=999,35,BU312+1)))</f>
        <v>No</v>
      </c>
      <c r="BX312" s="61">
        <f t="shared" si="506"/>
        <v>3</v>
      </c>
      <c r="BY312" s="531" t="str">
        <f t="shared" si="539"/>
        <v>Time to progression</v>
      </c>
      <c r="BZ312" s="530">
        <f t="shared" si="507"/>
        <v>0</v>
      </c>
      <c r="CA312" s="531">
        <f t="shared" si="529"/>
        <v>0</v>
      </c>
      <c r="CB312" s="530">
        <f t="shared" si="508"/>
        <v>0</v>
      </c>
      <c r="CC312" s="530">
        <f t="shared" si="509"/>
        <v>1</v>
      </c>
      <c r="CD312" s="530">
        <f t="shared" si="510"/>
        <v>7</v>
      </c>
      <c r="CE312" s="1295">
        <f t="shared" si="511"/>
        <v>2</v>
      </c>
      <c r="CF312" s="1301">
        <f t="shared" si="512"/>
        <v>3</v>
      </c>
      <c r="CG312" s="530" t="str">
        <f t="shared" si="513"/>
        <v>Log-logistic</v>
      </c>
      <c r="CH312" s="61">
        <f t="shared" si="514"/>
        <v>0</v>
      </c>
      <c r="CI312" s="61">
        <f t="shared" si="515"/>
        <v>0</v>
      </c>
      <c r="CJ312" s="61">
        <f t="shared" si="516"/>
        <v>0</v>
      </c>
      <c r="DK312" s="58" t="str" cm="1">
        <f t="array" ref="DK312">IF(AND($BT312=4,$BX312=4,$BU312=999),$DB$36,_xlfn.IFNA(INDEX(DB$13:DB$70,MATCH(1,($BR312=$CV$13:$CV$70)*($BT312=$CX$13:$CX$70)*($CE312=$CY$13:$CY$70)*($BY312=$DA$13:$DA$70)*($CD312=$DH$13:$DH$70),0)),""))</f>
        <v>Log-logistic</v>
      </c>
      <c r="DL312" s="58" t="str" cm="1">
        <f t="array" ref="DL312">IF(AND($BT312=4,$BX312=4,$BU312=999),$DC$36,_xlfn.IFNA(INDEX(CHOOSE(DP312,DB$13:DB$70,DC$13:DC$70,DD$13:DD$70,DE$13:DE$70),MATCH(1,($BR312=$CV$13:$CV$70)*($BT312=$CX$13:$CX$70)*($CE312=$CY$13:$CY$70)*($BY312=$DA$13:$DA$70)*($CD312=$DH$13:$DH$70),0)),""))</f>
        <v>Log-logistic</v>
      </c>
      <c r="DM312" s="740" cm="1">
        <f t="array" ref="DM312">IF(AND($BT312=4,$BX312=4,$BU312=999),$DD$36,_xlfn.IFNA(INDEX(DD$13:DD$68,MATCH(1,($BR312=$CV$13:$CV$68)*($BT312=$CX$13:$CX$68)*($CE312=$CY$13:$CY$68)*($BY312=$DA$13:$DA$68)*($CD312=$DH$13:$DH$68),0)),""))</f>
        <v>0</v>
      </c>
      <c r="DN312" s="740" cm="1">
        <f t="array" ref="DN312">IF(AND($BT312=4,$BX312=4,$BU312=999),$DD$36,_xlfn.IFNA(INDEX(DE$13:DE$68,MATCH(1,($BR312=$CV$13:$CV$68)*($BT312=$CX$13:$CX$68)*($CE312=$CY$13:$CY$68)*($BY312=$DA$13:$DA$68)*($CD312=$DH$13:$DH$68),0)),""))</f>
        <v>0</v>
      </c>
      <c r="DO312" s="58" t="str" cm="1">
        <f t="array" ref="DO312">IF(AND($BT312=4,$BX312=4,$BU312=999),$DF$36,_xlfn.IFNA(INDEX(DF$13:DF$70,MATCH(1,($BR312=$CV$13:$CV$70)*($BT312=$CX$13:$CX$70)*($CE312=$CY$13:$CY$70)*($BY312=$DA$13:$DA$70)*($CD312=$DH$13:$DH$70),0)),""))</f>
        <v>Base case</v>
      </c>
      <c r="DP312" s="58">
        <f t="shared" si="424"/>
        <v>1</v>
      </c>
      <c r="DW312" s="58" t="s">
        <v>58</v>
      </c>
      <c r="DX312" s="58" t="s">
        <v>555</v>
      </c>
      <c r="DY312" s="58">
        <v>0</v>
      </c>
      <c r="DZ312" s="58">
        <v>0</v>
      </c>
      <c r="EB312" s="58">
        <v>0</v>
      </c>
      <c r="EC312" s="58">
        <v>1</v>
      </c>
      <c r="ED312" s="58">
        <v>7</v>
      </c>
      <c r="EE312" s="58">
        <v>2</v>
      </c>
      <c r="EF312" s="58">
        <v>3</v>
      </c>
      <c r="EI312" s="58" t="s">
        <v>58</v>
      </c>
      <c r="EJ312" s="58" t="s">
        <v>555</v>
      </c>
      <c r="EK312" s="58">
        <v>0</v>
      </c>
      <c r="EL312" s="58">
        <v>0</v>
      </c>
      <c r="EN312" s="58">
        <v>0</v>
      </c>
      <c r="EO312" s="58">
        <v>1</v>
      </c>
      <c r="EP312" s="58">
        <v>7</v>
      </c>
      <c r="EQ312" s="58">
        <v>0</v>
      </c>
      <c r="ER312" s="58">
        <v>3</v>
      </c>
      <c r="EU312" s="58" t="str">
        <f t="shared" si="517"/>
        <v>No</v>
      </c>
      <c r="EV312" s="58" t="str">
        <f t="shared" si="518"/>
        <v>Time to progression</v>
      </c>
      <c r="EW312" s="58">
        <f t="shared" si="519"/>
        <v>0</v>
      </c>
      <c r="EX312" s="58">
        <f t="shared" si="520"/>
        <v>0</v>
      </c>
      <c r="EZ312" s="58">
        <f t="shared" si="521"/>
        <v>0</v>
      </c>
      <c r="FA312" s="58">
        <f t="shared" si="522"/>
        <v>1</v>
      </c>
      <c r="FB312" s="58">
        <f>IF(i_eff_inputs_based_on_num=2,ED312,(INDEX(Lists!$L$51:$L$85,MATCH(O312,Lists!$K$51:$K$85,0))))</f>
        <v>7</v>
      </c>
      <c r="FC312" s="58">
        <f>IF(i_eff_inputs_based_on_num=2,EE312,(INDEX(Lists!$L$51:$L$85,MATCH(P312,Lists!$K$51:$K$85,0))))</f>
        <v>2</v>
      </c>
      <c r="FD312" s="58">
        <f>IF(i_eff_inputs_based_on_num=2,EF312,(INDEX(Lists!$L$51:$L$85,MATCH(Q312,Lists!$K$51:$K$85,0))))</f>
        <v>3</v>
      </c>
      <c r="FG312" s="58" t="str">
        <f t="shared" si="523"/>
        <v>No</v>
      </c>
      <c r="FH312" s="58" t="str">
        <f t="shared" si="524"/>
        <v>Time to progression</v>
      </c>
      <c r="FI312" s="58">
        <f t="shared" si="525"/>
        <v>0</v>
      </c>
      <c r="FJ312" s="58">
        <f t="shared" si="526"/>
        <v>0</v>
      </c>
      <c r="FL312" s="58">
        <f t="shared" si="527"/>
        <v>0</v>
      </c>
      <c r="FM312" s="58">
        <f t="shared" si="528"/>
        <v>1</v>
      </c>
      <c r="FN312" s="58">
        <f>IF(i_eff_inputs_based_on_num=2,EP312,(INDEX(Lists!$L$51:$L$85,MATCH(O312,Lists!$K$51:$K$85,0))))</f>
        <v>7</v>
      </c>
      <c r="FO312" s="58">
        <f>IF(i_eff_inputs_based_on_num=2,EQ312,(INDEX(Lists!$L$51:$L$85,MATCH(P312,Lists!$K$51:$K$85,0))))</f>
        <v>0</v>
      </c>
      <c r="FP312" s="58">
        <f>IF(i_eff_inputs_based_on_num=2,ER312,(INDEX(Lists!$L$51:$L$85,MATCH(Q312,Lists!$K$51:$K$85,0))))</f>
        <v>3</v>
      </c>
      <c r="FT312" s="58">
        <f t="shared" si="425"/>
        <v>0</v>
      </c>
      <c r="FW312" s="58">
        <f>IF(i_baseline_risk_from=2,'Effectiveness settings'!EW312,'Effectiveness settings'!FI312)</f>
        <v>0</v>
      </c>
      <c r="FX312" s="58">
        <f t="shared" si="426"/>
        <v>0</v>
      </c>
      <c r="FY312" s="58">
        <f t="shared" si="427"/>
        <v>0</v>
      </c>
      <c r="FZ312" s="58">
        <f t="shared" si="428"/>
        <v>0</v>
      </c>
      <c r="GA312" s="58">
        <f t="shared" si="429"/>
        <v>0</v>
      </c>
      <c r="GB312" s="58">
        <f t="shared" si="430"/>
        <v>0</v>
      </c>
      <c r="GC312" s="58">
        <f t="shared" si="431"/>
        <v>0</v>
      </c>
      <c r="GD312" s="58">
        <f t="shared" si="432"/>
        <v>0</v>
      </c>
      <c r="GE312" s="58">
        <f>IF(AND(dd_CheckMate214_TTD="Yes",'Effectiveness settings'!BU312=2,'Effectiveness settings'!BX312=2),"Apply HR to",GD312)</f>
        <v>0</v>
      </c>
      <c r="GF312" s="58">
        <f t="shared" si="433"/>
        <v>0</v>
      </c>
      <c r="GG312" s="58">
        <f t="shared" si="434"/>
        <v>0</v>
      </c>
      <c r="GH312" s="58">
        <f t="shared" si="435"/>
        <v>0</v>
      </c>
      <c r="GI312" s="58">
        <f t="shared" si="415"/>
        <v>0</v>
      </c>
      <c r="GK312" s="58">
        <f>IF(i_baseline_risk_from=2,'Effectiveness settings'!FA312,'Effectiveness settings'!FM312)</f>
        <v>1</v>
      </c>
      <c r="GL312" s="58">
        <f>IF(i_baseline_risk_from=2,'Effectiveness settings'!FB312,'Effectiveness settings'!FN312)</f>
        <v>7</v>
      </c>
      <c r="GM312" s="58">
        <f>IF(i_baseline_risk_from=2,'Effectiveness settings'!FC312,'Effectiveness settings'!FO312)</f>
        <v>2</v>
      </c>
      <c r="GN312" s="58">
        <f>IF(i_baseline_risk_from=2,'Effectiveness settings'!FD312,'Effectiveness settings'!FP312)</f>
        <v>3</v>
      </c>
      <c r="GQ312" s="58">
        <f t="shared" si="436"/>
        <v>7</v>
      </c>
      <c r="GR312" s="58">
        <f t="shared" si="437"/>
        <v>7</v>
      </c>
      <c r="GS312" s="58">
        <f t="shared" si="438"/>
        <v>7</v>
      </c>
      <c r="GT312" s="58">
        <f t="shared" si="439"/>
        <v>7</v>
      </c>
      <c r="GU312" s="58">
        <f>IF(AND(dd_CheckMate214_TTD="Yes",'Effectiveness settings'!BU312=2,'Effectiveness settings'!BX312=2),2,GT312)</f>
        <v>7</v>
      </c>
      <c r="GV312" s="58">
        <f t="shared" si="440"/>
        <v>7</v>
      </c>
      <c r="GW312" s="58">
        <f t="shared" si="441"/>
        <v>7</v>
      </c>
      <c r="GY312" s="58">
        <f>IF(AND(dd_CheckMate214_TTD="Yes",'Effectiveness settings'!BU312=2,'Effectiveness settings'!BX312=2),1,GN312)</f>
        <v>3</v>
      </c>
      <c r="GZ312" s="58">
        <f t="shared" si="442"/>
        <v>3</v>
      </c>
      <c r="HB312" s="58">
        <f t="shared" si="443"/>
        <v>0</v>
      </c>
      <c r="HD312" s="58">
        <f t="shared" si="416"/>
        <v>0</v>
      </c>
      <c r="HE312" s="58">
        <f t="shared" si="417"/>
        <v>1</v>
      </c>
      <c r="HF312" s="58">
        <f t="shared" si="418"/>
        <v>7</v>
      </c>
      <c r="HG312" s="58">
        <f t="shared" si="419"/>
        <v>2</v>
      </c>
      <c r="HH312" s="58">
        <f t="shared" si="420"/>
        <v>3</v>
      </c>
    </row>
    <row r="313" spans="1:216" ht="15.75" x14ac:dyDescent="0.25">
      <c r="D313" s="58" t="str">
        <v>lenvatinib_plus_everolimus</v>
      </c>
      <c r="I313" s="64" t="s">
        <v>58</v>
      </c>
      <c r="J313" s="519" t="s">
        <v>555</v>
      </c>
      <c r="K313" s="524"/>
      <c r="L313" s="519"/>
      <c r="M313" s="516" t="s">
        <v>31</v>
      </c>
      <c r="N313" s="64" t="s">
        <v>546</v>
      </c>
      <c r="O313" s="64" t="s">
        <v>117</v>
      </c>
      <c r="P313" s="64" t="s">
        <v>547</v>
      </c>
      <c r="Q313" s="519" t="s">
        <v>555</v>
      </c>
      <c r="R313" s="516" t="s">
        <v>548</v>
      </c>
      <c r="S313" s="497"/>
      <c r="T313" s="497"/>
      <c r="U313" s="497"/>
      <c r="W313" s="58" t="str">
        <v>lenvatinib_plus_everolimus</v>
      </c>
      <c r="X313" s="64" t="s">
        <v>74</v>
      </c>
      <c r="Y313" s="519" t="s">
        <v>555</v>
      </c>
      <c r="Z313" s="524" t="s">
        <v>63</v>
      </c>
      <c r="AA313" s="519"/>
      <c r="AB313" s="516" t="s">
        <v>31</v>
      </c>
      <c r="AC313" s="64" t="s">
        <v>576</v>
      </c>
      <c r="AD313" s="64" t="s">
        <v>118</v>
      </c>
      <c r="AE313" s="64" t="s">
        <v>547</v>
      </c>
      <c r="AF313" s="519" t="s">
        <v>555</v>
      </c>
      <c r="AG313" s="516" t="s">
        <v>548</v>
      </c>
      <c r="AH313" s="998">
        <f t="shared" si="530"/>
        <v>0.82</v>
      </c>
      <c r="AI313" s="998">
        <f t="shared" si="531"/>
        <v>0.8</v>
      </c>
      <c r="AJ313" s="998">
        <f t="shared" si="532"/>
        <v>0.84</v>
      </c>
      <c r="AL313" s="64" t="str">
        <f t="shared" si="503"/>
        <v>Yes</v>
      </c>
      <c r="AM313" s="519" t="s">
        <v>555</v>
      </c>
      <c r="AN313" s="524" t="s">
        <v>63</v>
      </c>
      <c r="AO313" s="519"/>
      <c r="AP313" s="516" t="s">
        <v>31</v>
      </c>
      <c r="AQ313" s="64" t="s">
        <v>577</v>
      </c>
      <c r="AR313" s="64" t="s">
        <v>118</v>
      </c>
      <c r="AS313" s="64" t="s">
        <v>547</v>
      </c>
      <c r="AT313" s="519" t="s">
        <v>555</v>
      </c>
      <c r="AU313" s="516" t="s">
        <v>548</v>
      </c>
      <c r="AV313" s="998">
        <f t="shared" si="533"/>
        <v>0.82</v>
      </c>
      <c r="AW313" s="998">
        <f t="shared" si="534"/>
        <v>0.8</v>
      </c>
      <c r="AX313" s="998">
        <f t="shared" si="535"/>
        <v>0.84</v>
      </c>
      <c r="AZ313" s="64" t="str">
        <f t="shared" si="504"/>
        <v>Yes</v>
      </c>
      <c r="BA313" s="519" t="s">
        <v>555</v>
      </c>
      <c r="BB313" s="524" t="s">
        <v>578</v>
      </c>
      <c r="BC313" s="519"/>
      <c r="BD313" s="516" t="s">
        <v>31</v>
      </c>
      <c r="BE313" s="64" t="s">
        <v>565</v>
      </c>
      <c r="BF313" s="64" t="s">
        <v>333</v>
      </c>
      <c r="BG313" s="64" t="s">
        <v>547</v>
      </c>
      <c r="BH313" s="519" t="s">
        <v>552</v>
      </c>
      <c r="BI313" s="516" t="s">
        <v>548</v>
      </c>
      <c r="BJ313" s="998">
        <f t="shared" si="536"/>
        <v>0.82</v>
      </c>
      <c r="BK313" s="998">
        <f t="shared" si="537"/>
        <v>0.8</v>
      </c>
      <c r="BL313" s="998">
        <f t="shared" si="538"/>
        <v>0.84</v>
      </c>
      <c r="BM313" s="740">
        <v>0.82</v>
      </c>
      <c r="BN313" s="740">
        <v>0.8</v>
      </c>
      <c r="BO313" s="740">
        <v>0.84</v>
      </c>
      <c r="BQ313" s="58">
        <f t="shared" si="423"/>
        <v>192</v>
      </c>
      <c r="BR313" s="61">
        <v>0</v>
      </c>
      <c r="BS313" s="61" t="s">
        <v>31</v>
      </c>
      <c r="BT313" s="17">
        <v>1</v>
      </c>
      <c r="BU313" s="17">
        <v>9</v>
      </c>
      <c r="BV313" s="17" t="str">
        <f t="shared" si="505"/>
        <v>lenvatinib_plus_everolimus</v>
      </c>
      <c r="BW313" s="1006" t="str" cm="1">
        <f t="array" ref="BW313">IF(I313="No",I313,INDEX(List_incl_anal_1L_all,IF(BU313=999,35,BU313+1)))</f>
        <v>No</v>
      </c>
      <c r="BX313" s="61">
        <f t="shared" si="506"/>
        <v>3</v>
      </c>
      <c r="BY313" s="531" t="str">
        <f t="shared" si="539"/>
        <v>Time to progression</v>
      </c>
      <c r="BZ313" s="530">
        <f t="shared" si="507"/>
        <v>0</v>
      </c>
      <c r="CA313" s="531">
        <f t="shared" si="529"/>
        <v>0</v>
      </c>
      <c r="CB313" s="530">
        <f t="shared" si="508"/>
        <v>0</v>
      </c>
      <c r="CC313" s="530">
        <f t="shared" si="509"/>
        <v>1</v>
      </c>
      <c r="CD313" s="530">
        <f t="shared" si="510"/>
        <v>7</v>
      </c>
      <c r="CE313" s="1295">
        <f t="shared" si="511"/>
        <v>2</v>
      </c>
      <c r="CF313" s="1301">
        <f t="shared" si="512"/>
        <v>3</v>
      </c>
      <c r="CG313" s="530" t="str">
        <f t="shared" si="513"/>
        <v>Log-logistic</v>
      </c>
      <c r="CH313" s="61">
        <f t="shared" si="514"/>
        <v>0</v>
      </c>
      <c r="CI313" s="61">
        <f t="shared" si="515"/>
        <v>0</v>
      </c>
      <c r="CJ313" s="61">
        <f t="shared" si="516"/>
        <v>0</v>
      </c>
      <c r="DK313" s="58" t="str" cm="1">
        <f t="array" ref="DK313">IF(AND($BT313=4,$BX313=4,$BU313=999),$DB$36,_xlfn.IFNA(INDEX(DB$13:DB$70,MATCH(1,($BR313=$CV$13:$CV$70)*($BT313=$CX$13:$CX$70)*($CE313=$CY$13:$CY$70)*($BY313=$DA$13:$DA$70)*($CD313=$DH$13:$DH$70),0)),""))</f>
        <v>Log-logistic</v>
      </c>
      <c r="DL313" s="58" t="str" cm="1">
        <f t="array" ref="DL313">IF(AND($BT313=4,$BX313=4,$BU313=999),$DC$36,_xlfn.IFNA(INDEX(CHOOSE(DP313,DB$13:DB$70,DC$13:DC$70,DD$13:DD$70,DE$13:DE$70),MATCH(1,($BR313=$CV$13:$CV$70)*($BT313=$CX$13:$CX$70)*($CE313=$CY$13:$CY$70)*($BY313=$DA$13:$DA$70)*($CD313=$DH$13:$DH$70),0)),""))</f>
        <v>Log-logistic</v>
      </c>
      <c r="DM313" s="740" cm="1">
        <f t="array" ref="DM313">IF(AND($BT313=4,$BX313=4,$BU313=999),$DD$36,_xlfn.IFNA(INDEX(DD$13:DD$68,MATCH(1,($BR313=$CV$13:$CV$68)*($BT313=$CX$13:$CX$68)*($CE313=$CY$13:$CY$68)*($BY313=$DA$13:$DA$68)*($CD313=$DH$13:$DH$68),0)),""))</f>
        <v>0</v>
      </c>
      <c r="DN313" s="740" cm="1">
        <f t="array" ref="DN313">IF(AND($BT313=4,$BX313=4,$BU313=999),$DD$36,_xlfn.IFNA(INDEX(DE$13:DE$68,MATCH(1,($BR313=$CV$13:$CV$68)*($BT313=$CX$13:$CX$68)*($CE313=$CY$13:$CY$68)*($BY313=$DA$13:$DA$68)*($CD313=$DH$13:$DH$68),0)),""))</f>
        <v>0</v>
      </c>
      <c r="DO313" s="58" t="str" cm="1">
        <f t="array" ref="DO313">IF(AND($BT313=4,$BX313=4,$BU313=999),$DF$36,_xlfn.IFNA(INDEX(DF$13:DF$70,MATCH(1,($BR313=$CV$13:$CV$70)*($BT313=$CX$13:$CX$70)*($CE313=$CY$13:$CY$70)*($BY313=$DA$13:$DA$70)*($CD313=$DH$13:$DH$70),0)),""))</f>
        <v>Base case</v>
      </c>
      <c r="DP313" s="58">
        <f t="shared" si="424"/>
        <v>1</v>
      </c>
      <c r="DW313" s="58" t="s">
        <v>58</v>
      </c>
      <c r="DX313" s="58" t="s">
        <v>555</v>
      </c>
      <c r="DY313" s="58">
        <v>0</v>
      </c>
      <c r="DZ313" s="58">
        <v>0</v>
      </c>
      <c r="EB313" s="58">
        <v>0</v>
      </c>
      <c r="EC313" s="58">
        <v>1</v>
      </c>
      <c r="ED313" s="58">
        <v>7</v>
      </c>
      <c r="EE313" s="58">
        <v>2</v>
      </c>
      <c r="EF313" s="58">
        <v>3</v>
      </c>
      <c r="EI313" s="58" t="s">
        <v>58</v>
      </c>
      <c r="EJ313" s="58" t="s">
        <v>555</v>
      </c>
      <c r="EK313" s="58">
        <v>0</v>
      </c>
      <c r="EL313" s="58">
        <v>0</v>
      </c>
      <c r="EN313" s="58">
        <v>0</v>
      </c>
      <c r="EO313" s="58">
        <v>1</v>
      </c>
      <c r="EP313" s="58">
        <v>7</v>
      </c>
      <c r="EQ313" s="58">
        <v>0</v>
      </c>
      <c r="ER313" s="58">
        <v>3</v>
      </c>
      <c r="EU313" s="58" t="str">
        <f t="shared" si="517"/>
        <v>No</v>
      </c>
      <c r="EV313" s="58" t="str">
        <f t="shared" si="518"/>
        <v>Time to progression</v>
      </c>
      <c r="EW313" s="58">
        <f t="shared" si="519"/>
        <v>0</v>
      </c>
      <c r="EX313" s="58">
        <f t="shared" si="520"/>
        <v>0</v>
      </c>
      <c r="EZ313" s="58">
        <f t="shared" si="521"/>
        <v>0</v>
      </c>
      <c r="FA313" s="58">
        <f t="shared" si="522"/>
        <v>1</v>
      </c>
      <c r="FB313" s="58">
        <f>IF(i_eff_inputs_based_on_num=2,ED313,(INDEX(Lists!$L$51:$L$85,MATCH(O313,Lists!$K$51:$K$85,0))))</f>
        <v>7</v>
      </c>
      <c r="FC313" s="58">
        <f>IF(i_eff_inputs_based_on_num=2,EE313,(INDEX(Lists!$L$51:$L$85,MATCH(P313,Lists!$K$51:$K$85,0))))</f>
        <v>2</v>
      </c>
      <c r="FD313" s="58">
        <f>IF(i_eff_inputs_based_on_num=2,EF313,(INDEX(Lists!$L$51:$L$85,MATCH(Q313,Lists!$K$51:$K$85,0))))</f>
        <v>3</v>
      </c>
      <c r="FG313" s="58" t="str">
        <f t="shared" si="523"/>
        <v>No</v>
      </c>
      <c r="FH313" s="58" t="str">
        <f t="shared" si="524"/>
        <v>Time to progression</v>
      </c>
      <c r="FI313" s="58">
        <f t="shared" si="525"/>
        <v>0</v>
      </c>
      <c r="FJ313" s="58">
        <f t="shared" si="526"/>
        <v>0</v>
      </c>
      <c r="FL313" s="58">
        <f t="shared" si="527"/>
        <v>0</v>
      </c>
      <c r="FM313" s="58">
        <f t="shared" si="528"/>
        <v>1</v>
      </c>
      <c r="FN313" s="58">
        <f>IF(i_eff_inputs_based_on_num=2,EP313,(INDEX(Lists!$L$51:$L$85,MATCH(O313,Lists!$K$51:$K$85,0))))</f>
        <v>7</v>
      </c>
      <c r="FO313" s="58">
        <f>IF(i_eff_inputs_based_on_num=2,EQ313,(INDEX(Lists!$L$51:$L$85,MATCH(P313,Lists!$K$51:$K$85,0))))</f>
        <v>0</v>
      </c>
      <c r="FP313" s="58">
        <f>IF(i_eff_inputs_based_on_num=2,ER313,(INDEX(Lists!$L$51:$L$85,MATCH(Q313,Lists!$K$51:$K$85,0))))</f>
        <v>3</v>
      </c>
      <c r="FT313" s="58">
        <f t="shared" si="425"/>
        <v>0</v>
      </c>
      <c r="FW313" s="58">
        <f>IF(i_baseline_risk_from=2,'Effectiveness settings'!EW313,'Effectiveness settings'!FI313)</f>
        <v>0</v>
      </c>
      <c r="FX313" s="58">
        <f t="shared" si="426"/>
        <v>0</v>
      </c>
      <c r="FY313" s="58">
        <f t="shared" si="427"/>
        <v>0</v>
      </c>
      <c r="FZ313" s="58">
        <f t="shared" si="428"/>
        <v>0</v>
      </c>
      <c r="GA313" s="58">
        <f t="shared" si="429"/>
        <v>0</v>
      </c>
      <c r="GB313" s="58">
        <f t="shared" si="430"/>
        <v>0</v>
      </c>
      <c r="GC313" s="58">
        <f t="shared" si="431"/>
        <v>0</v>
      </c>
      <c r="GD313" s="58">
        <f t="shared" si="432"/>
        <v>0</v>
      </c>
      <c r="GE313" s="58">
        <f>IF(AND(dd_CheckMate214_TTD="Yes",'Effectiveness settings'!BU313=2,'Effectiveness settings'!BX313=2),"Apply HR to",GD313)</f>
        <v>0</v>
      </c>
      <c r="GF313" s="58">
        <f t="shared" si="433"/>
        <v>0</v>
      </c>
      <c r="GG313" s="58">
        <f t="shared" si="434"/>
        <v>0</v>
      </c>
      <c r="GH313" s="58">
        <f t="shared" si="435"/>
        <v>0</v>
      </c>
      <c r="GI313" s="58">
        <f t="shared" si="415"/>
        <v>0</v>
      </c>
      <c r="GK313" s="58">
        <f>IF(i_baseline_risk_from=2,'Effectiveness settings'!FA313,'Effectiveness settings'!FM313)</f>
        <v>1</v>
      </c>
      <c r="GL313" s="58">
        <f>IF(i_baseline_risk_from=2,'Effectiveness settings'!FB313,'Effectiveness settings'!FN313)</f>
        <v>7</v>
      </c>
      <c r="GM313" s="58">
        <f>IF(i_baseline_risk_from=2,'Effectiveness settings'!FC313,'Effectiveness settings'!FO313)</f>
        <v>2</v>
      </c>
      <c r="GN313" s="58">
        <f>IF(i_baseline_risk_from=2,'Effectiveness settings'!FD313,'Effectiveness settings'!FP313)</f>
        <v>3</v>
      </c>
      <c r="GQ313" s="58">
        <f t="shared" si="436"/>
        <v>7</v>
      </c>
      <c r="GR313" s="58">
        <f t="shared" si="437"/>
        <v>7</v>
      </c>
      <c r="GS313" s="58">
        <f t="shared" si="438"/>
        <v>7</v>
      </c>
      <c r="GT313" s="58">
        <f t="shared" si="439"/>
        <v>7</v>
      </c>
      <c r="GU313" s="58">
        <f>IF(AND(dd_CheckMate214_TTD="Yes",'Effectiveness settings'!BU313=2,'Effectiveness settings'!BX313=2),2,GT313)</f>
        <v>7</v>
      </c>
      <c r="GV313" s="58">
        <f t="shared" si="440"/>
        <v>7</v>
      </c>
      <c r="GW313" s="58">
        <f t="shared" si="441"/>
        <v>7</v>
      </c>
      <c r="GY313" s="58">
        <f>IF(AND(dd_CheckMate214_TTD="Yes",'Effectiveness settings'!BU313=2,'Effectiveness settings'!BX313=2),1,GN313)</f>
        <v>3</v>
      </c>
      <c r="GZ313" s="58">
        <f t="shared" si="442"/>
        <v>3</v>
      </c>
      <c r="HB313" s="58">
        <f t="shared" si="443"/>
        <v>0</v>
      </c>
      <c r="HD313" s="58">
        <f t="shared" si="416"/>
        <v>0</v>
      </c>
      <c r="HE313" s="58">
        <f t="shared" si="417"/>
        <v>1</v>
      </c>
      <c r="HF313" s="58">
        <f t="shared" si="418"/>
        <v>7</v>
      </c>
      <c r="HG313" s="58">
        <f t="shared" si="419"/>
        <v>2</v>
      </c>
      <c r="HH313" s="58">
        <f t="shared" si="420"/>
        <v>3</v>
      </c>
    </row>
    <row r="314" spans="1:216" ht="15.75" x14ac:dyDescent="0.25">
      <c r="D314" s="58" t="str">
        <v>everolimus</v>
      </c>
      <c r="I314" s="64" t="s">
        <v>58</v>
      </c>
      <c r="J314" s="519" t="s">
        <v>555</v>
      </c>
      <c r="K314" s="524"/>
      <c r="L314" s="519"/>
      <c r="M314" s="516" t="s">
        <v>31</v>
      </c>
      <c r="N314" s="64" t="s">
        <v>546</v>
      </c>
      <c r="O314" s="64" t="s">
        <v>117</v>
      </c>
      <c r="P314" s="64" t="s">
        <v>547</v>
      </c>
      <c r="Q314" s="519" t="s">
        <v>555</v>
      </c>
      <c r="R314" s="516" t="s">
        <v>548</v>
      </c>
      <c r="S314" s="497"/>
      <c r="T314" s="497"/>
      <c r="U314" s="497"/>
      <c r="W314" s="58" t="str">
        <v>everolimus</v>
      </c>
      <c r="X314" s="64" t="s">
        <v>74</v>
      </c>
      <c r="Y314" s="519" t="s">
        <v>555</v>
      </c>
      <c r="Z314" s="524" t="s">
        <v>63</v>
      </c>
      <c r="AA314" s="519"/>
      <c r="AB314" s="516" t="s">
        <v>31</v>
      </c>
      <c r="AC314" s="64" t="s">
        <v>576</v>
      </c>
      <c r="AD314" s="64" t="s">
        <v>118</v>
      </c>
      <c r="AE314" s="64" t="s">
        <v>547</v>
      </c>
      <c r="AF314" s="519" t="s">
        <v>555</v>
      </c>
      <c r="AG314" s="516" t="s">
        <v>548</v>
      </c>
      <c r="AH314" s="998">
        <f t="shared" si="530"/>
        <v>0.82</v>
      </c>
      <c r="AI314" s="998">
        <f t="shared" si="531"/>
        <v>0.8</v>
      </c>
      <c r="AJ314" s="998">
        <f t="shared" si="532"/>
        <v>0.84</v>
      </c>
      <c r="AL314" s="64" t="str">
        <f t="shared" si="503"/>
        <v>Yes</v>
      </c>
      <c r="AM314" s="519" t="s">
        <v>555</v>
      </c>
      <c r="AN314" s="524" t="s">
        <v>63</v>
      </c>
      <c r="AO314" s="519"/>
      <c r="AP314" s="516" t="s">
        <v>31</v>
      </c>
      <c r="AQ314" s="64" t="s">
        <v>577</v>
      </c>
      <c r="AR314" s="64" t="s">
        <v>118</v>
      </c>
      <c r="AS314" s="64" t="s">
        <v>547</v>
      </c>
      <c r="AT314" s="519" t="s">
        <v>555</v>
      </c>
      <c r="AU314" s="516" t="s">
        <v>548</v>
      </c>
      <c r="AV314" s="998">
        <f t="shared" si="533"/>
        <v>0.82</v>
      </c>
      <c r="AW314" s="998">
        <f t="shared" si="534"/>
        <v>0.8</v>
      </c>
      <c r="AX314" s="998">
        <f t="shared" si="535"/>
        <v>0.84</v>
      </c>
      <c r="AZ314" s="64" t="str">
        <f t="shared" si="504"/>
        <v>Yes</v>
      </c>
      <c r="BA314" s="519" t="s">
        <v>555</v>
      </c>
      <c r="BB314" s="524" t="s">
        <v>578</v>
      </c>
      <c r="BC314" s="519"/>
      <c r="BD314" s="516" t="s">
        <v>31</v>
      </c>
      <c r="BE314" s="64" t="s">
        <v>565</v>
      </c>
      <c r="BF314" s="64" t="s">
        <v>119</v>
      </c>
      <c r="BG314" s="64" t="s">
        <v>547</v>
      </c>
      <c r="BH314" s="519" t="s">
        <v>552</v>
      </c>
      <c r="BI314" s="516" t="s">
        <v>548</v>
      </c>
      <c r="BJ314" s="998">
        <f t="shared" si="536"/>
        <v>0.82</v>
      </c>
      <c r="BK314" s="998">
        <f t="shared" si="537"/>
        <v>0.8</v>
      </c>
      <c r="BL314" s="998">
        <f t="shared" si="538"/>
        <v>0.84</v>
      </c>
      <c r="BM314" s="740">
        <v>0.82</v>
      </c>
      <c r="BN314" s="740">
        <v>0.8</v>
      </c>
      <c r="BO314" s="740">
        <v>0.84</v>
      </c>
      <c r="BQ314" s="58">
        <f t="shared" si="423"/>
        <v>193</v>
      </c>
      <c r="BR314" s="61">
        <v>0</v>
      </c>
      <c r="BS314" s="61" t="s">
        <v>31</v>
      </c>
      <c r="BT314" s="17">
        <v>1</v>
      </c>
      <c r="BU314" s="17">
        <v>10</v>
      </c>
      <c r="BV314" s="17" t="str">
        <f t="shared" si="505"/>
        <v>everolimus</v>
      </c>
      <c r="BW314" s="1006" t="str" cm="1">
        <f t="array" ref="BW314">IF(I314="No",I314,INDEX(List_incl_anal_1L_all,IF(BU314=999,35,BU314+1)))</f>
        <v>No</v>
      </c>
      <c r="BX314" s="61">
        <f t="shared" si="506"/>
        <v>3</v>
      </c>
      <c r="BY314" s="531" t="str">
        <f t="shared" si="539"/>
        <v>Time to progression</v>
      </c>
      <c r="BZ314" s="530">
        <f t="shared" si="507"/>
        <v>0</v>
      </c>
      <c r="CA314" s="531">
        <f t="shared" si="529"/>
        <v>0</v>
      </c>
      <c r="CB314" s="530">
        <f t="shared" si="508"/>
        <v>0</v>
      </c>
      <c r="CC314" s="530">
        <f t="shared" si="509"/>
        <v>1</v>
      </c>
      <c r="CD314" s="530">
        <f t="shared" si="510"/>
        <v>7</v>
      </c>
      <c r="CE314" s="1295">
        <f t="shared" si="511"/>
        <v>2</v>
      </c>
      <c r="CF314" s="1301">
        <f t="shared" si="512"/>
        <v>3</v>
      </c>
      <c r="CG314" s="530" t="str">
        <f t="shared" si="513"/>
        <v>Log-logistic</v>
      </c>
      <c r="CH314" s="61">
        <f t="shared" si="514"/>
        <v>0</v>
      </c>
      <c r="CI314" s="61">
        <f t="shared" si="515"/>
        <v>0</v>
      </c>
      <c r="CJ314" s="61">
        <f t="shared" si="516"/>
        <v>0</v>
      </c>
      <c r="DK314" s="58" t="str" cm="1">
        <f t="array" ref="DK314">IF(AND($BT314=4,$BX314=4,$BU314=999),$DB$36,_xlfn.IFNA(INDEX(DB$13:DB$70,MATCH(1,($BR314=$CV$13:$CV$70)*($BT314=$CX$13:$CX$70)*($CE314=$CY$13:$CY$70)*($BY314=$DA$13:$DA$70)*($CD314=$DH$13:$DH$70),0)),""))</f>
        <v>Log-logistic</v>
      </c>
      <c r="DL314" s="58" t="str" cm="1">
        <f t="array" ref="DL314">IF(AND($BT314=4,$BX314=4,$BU314=999),$DC$36,_xlfn.IFNA(INDEX(CHOOSE(DP314,DB$13:DB$70,DC$13:DC$70,DD$13:DD$70,DE$13:DE$70),MATCH(1,($BR314=$CV$13:$CV$70)*($BT314=$CX$13:$CX$70)*($CE314=$CY$13:$CY$70)*($BY314=$DA$13:$DA$70)*($CD314=$DH$13:$DH$70),0)),""))</f>
        <v>Log-logistic</v>
      </c>
      <c r="DM314" s="740" cm="1">
        <f t="array" ref="DM314">IF(AND($BT314=4,$BX314=4,$BU314=999),$DD$36,_xlfn.IFNA(INDEX(DD$13:DD$68,MATCH(1,($BR314=$CV$13:$CV$68)*($BT314=$CX$13:$CX$68)*($CE314=$CY$13:$CY$68)*($BY314=$DA$13:$DA$68)*($CD314=$DH$13:$DH$68),0)),""))</f>
        <v>0</v>
      </c>
      <c r="DN314" s="740" cm="1">
        <f t="array" ref="DN314">IF(AND($BT314=4,$BX314=4,$BU314=999),$DD$36,_xlfn.IFNA(INDEX(DE$13:DE$68,MATCH(1,($BR314=$CV$13:$CV$68)*($BT314=$CX$13:$CX$68)*($CE314=$CY$13:$CY$68)*($BY314=$DA$13:$DA$68)*($CD314=$DH$13:$DH$68),0)),""))</f>
        <v>0</v>
      </c>
      <c r="DO314" s="58" t="str" cm="1">
        <f t="array" ref="DO314">IF(AND($BT314=4,$BX314=4,$BU314=999),$DF$36,_xlfn.IFNA(INDEX(DF$13:DF$70,MATCH(1,($BR314=$CV$13:$CV$70)*($BT314=$CX$13:$CX$70)*($CE314=$CY$13:$CY$70)*($BY314=$DA$13:$DA$70)*($CD314=$DH$13:$DH$70),0)),""))</f>
        <v>Base case</v>
      </c>
      <c r="DP314" s="58">
        <f t="shared" si="424"/>
        <v>1</v>
      </c>
      <c r="DW314" s="58" t="s">
        <v>58</v>
      </c>
      <c r="DX314" s="58" t="s">
        <v>555</v>
      </c>
      <c r="DY314" s="58">
        <v>0</v>
      </c>
      <c r="DZ314" s="58">
        <v>0</v>
      </c>
      <c r="EB314" s="58">
        <v>0</v>
      </c>
      <c r="EC314" s="58">
        <v>1</v>
      </c>
      <c r="ED314" s="58">
        <v>7</v>
      </c>
      <c r="EE314" s="58">
        <v>2</v>
      </c>
      <c r="EF314" s="58">
        <v>3</v>
      </c>
      <c r="EI314" s="58" t="s">
        <v>58</v>
      </c>
      <c r="EJ314" s="58" t="s">
        <v>555</v>
      </c>
      <c r="EK314" s="58">
        <v>0</v>
      </c>
      <c r="EL314" s="58">
        <v>0</v>
      </c>
      <c r="EN314" s="58">
        <v>0</v>
      </c>
      <c r="EO314" s="58">
        <v>1</v>
      </c>
      <c r="EP314" s="58">
        <v>7</v>
      </c>
      <c r="EQ314" s="58">
        <v>0</v>
      </c>
      <c r="ER314" s="58">
        <v>3</v>
      </c>
      <c r="EU314" s="58" t="str">
        <f t="shared" si="517"/>
        <v>No</v>
      </c>
      <c r="EV314" s="58" t="str">
        <f t="shared" si="518"/>
        <v>Time to progression</v>
      </c>
      <c r="EW314" s="58">
        <f t="shared" si="519"/>
        <v>0</v>
      </c>
      <c r="EX314" s="58">
        <f t="shared" si="520"/>
        <v>0</v>
      </c>
      <c r="EZ314" s="58">
        <f t="shared" si="521"/>
        <v>0</v>
      </c>
      <c r="FA314" s="58">
        <f t="shared" si="522"/>
        <v>1</v>
      </c>
      <c r="FB314" s="58">
        <f>IF(i_eff_inputs_based_on_num=2,ED314,(INDEX(Lists!$L$51:$L$85,MATCH(O314,Lists!$K$51:$K$85,0))))</f>
        <v>7</v>
      </c>
      <c r="FC314" s="58">
        <f>IF(i_eff_inputs_based_on_num=2,EE314,(INDEX(Lists!$L$51:$L$85,MATCH(P314,Lists!$K$51:$K$85,0))))</f>
        <v>2</v>
      </c>
      <c r="FD314" s="58">
        <f>IF(i_eff_inputs_based_on_num=2,EF314,(INDEX(Lists!$L$51:$L$85,MATCH(Q314,Lists!$K$51:$K$85,0))))</f>
        <v>3</v>
      </c>
      <c r="FG314" s="58" t="str">
        <f t="shared" si="523"/>
        <v>No</v>
      </c>
      <c r="FH314" s="58" t="str">
        <f t="shared" si="524"/>
        <v>Time to progression</v>
      </c>
      <c r="FI314" s="58">
        <f t="shared" si="525"/>
        <v>0</v>
      </c>
      <c r="FJ314" s="58">
        <f t="shared" si="526"/>
        <v>0</v>
      </c>
      <c r="FL314" s="58">
        <f t="shared" si="527"/>
        <v>0</v>
      </c>
      <c r="FM314" s="58">
        <f t="shared" si="528"/>
        <v>1</v>
      </c>
      <c r="FN314" s="58">
        <f>IF(i_eff_inputs_based_on_num=2,EP314,(INDEX(Lists!$L$51:$L$85,MATCH(O314,Lists!$K$51:$K$85,0))))</f>
        <v>7</v>
      </c>
      <c r="FO314" s="58">
        <f>IF(i_eff_inputs_based_on_num=2,EQ314,(INDEX(Lists!$L$51:$L$85,MATCH(P314,Lists!$K$51:$K$85,0))))</f>
        <v>0</v>
      </c>
      <c r="FP314" s="58">
        <f>IF(i_eff_inputs_based_on_num=2,ER314,(INDEX(Lists!$L$51:$L$85,MATCH(Q314,Lists!$K$51:$K$85,0))))</f>
        <v>3</v>
      </c>
      <c r="FT314" s="58">
        <f t="shared" si="425"/>
        <v>0</v>
      </c>
      <c r="FW314" s="58">
        <f>IF(i_baseline_risk_from=2,'Effectiveness settings'!EW314,'Effectiveness settings'!FI314)</f>
        <v>0</v>
      </c>
      <c r="FX314" s="58">
        <f t="shared" si="426"/>
        <v>0</v>
      </c>
      <c r="FY314" s="58">
        <f t="shared" si="427"/>
        <v>0</v>
      </c>
      <c r="FZ314" s="58">
        <f t="shared" si="428"/>
        <v>0</v>
      </c>
      <c r="GA314" s="58">
        <f t="shared" si="429"/>
        <v>0</v>
      </c>
      <c r="GB314" s="58">
        <f t="shared" si="430"/>
        <v>0</v>
      </c>
      <c r="GC314" s="58">
        <f t="shared" si="431"/>
        <v>0</v>
      </c>
      <c r="GD314" s="58">
        <f t="shared" si="432"/>
        <v>0</v>
      </c>
      <c r="GE314" s="58">
        <f>IF(AND(dd_CheckMate214_TTD="Yes",'Effectiveness settings'!BU314=2,'Effectiveness settings'!BX314=2),"Apply HR to",GD314)</f>
        <v>0</v>
      </c>
      <c r="GF314" s="58">
        <f t="shared" si="433"/>
        <v>0</v>
      </c>
      <c r="GG314" s="58">
        <f t="shared" si="434"/>
        <v>0</v>
      </c>
      <c r="GH314" s="58">
        <f t="shared" si="435"/>
        <v>0</v>
      </c>
      <c r="GI314" s="58">
        <f t="shared" si="415"/>
        <v>0</v>
      </c>
      <c r="GK314" s="58">
        <f>IF(i_baseline_risk_from=2,'Effectiveness settings'!FA314,'Effectiveness settings'!FM314)</f>
        <v>1</v>
      </c>
      <c r="GL314" s="58">
        <f>IF(i_baseline_risk_from=2,'Effectiveness settings'!FB314,'Effectiveness settings'!FN314)</f>
        <v>7</v>
      </c>
      <c r="GM314" s="58">
        <f>IF(i_baseline_risk_from=2,'Effectiveness settings'!FC314,'Effectiveness settings'!FO314)</f>
        <v>2</v>
      </c>
      <c r="GN314" s="58">
        <f>IF(i_baseline_risk_from=2,'Effectiveness settings'!FD314,'Effectiveness settings'!FP314)</f>
        <v>3</v>
      </c>
      <c r="GQ314" s="58">
        <f t="shared" si="436"/>
        <v>7</v>
      </c>
      <c r="GR314" s="58">
        <f t="shared" si="437"/>
        <v>7</v>
      </c>
      <c r="GS314" s="58">
        <f t="shared" si="438"/>
        <v>7</v>
      </c>
      <c r="GT314" s="58">
        <f t="shared" si="439"/>
        <v>7</v>
      </c>
      <c r="GU314" s="58">
        <f>IF(AND(dd_CheckMate214_TTD="Yes",'Effectiveness settings'!BU314=2,'Effectiveness settings'!BX314=2),2,GT314)</f>
        <v>7</v>
      </c>
      <c r="GV314" s="58">
        <f t="shared" si="440"/>
        <v>7</v>
      </c>
      <c r="GW314" s="58">
        <f t="shared" si="441"/>
        <v>7</v>
      </c>
      <c r="GY314" s="58">
        <f>IF(AND(dd_CheckMate214_TTD="Yes",'Effectiveness settings'!BU314=2,'Effectiveness settings'!BX314=2),1,GN314)</f>
        <v>3</v>
      </c>
      <c r="GZ314" s="58">
        <f t="shared" si="442"/>
        <v>3</v>
      </c>
      <c r="HB314" s="58">
        <f t="shared" si="443"/>
        <v>0</v>
      </c>
      <c r="HD314" s="58">
        <f t="shared" si="416"/>
        <v>0</v>
      </c>
      <c r="HE314" s="58">
        <f t="shared" si="417"/>
        <v>1</v>
      </c>
      <c r="HF314" s="58">
        <f t="shared" si="418"/>
        <v>7</v>
      </c>
      <c r="HG314" s="58">
        <f t="shared" si="419"/>
        <v>2</v>
      </c>
      <c r="HH314" s="58">
        <f t="shared" si="420"/>
        <v>3</v>
      </c>
    </row>
    <row r="315" spans="1:216" ht="15.75" x14ac:dyDescent="0.25">
      <c r="D315" s="58" t="str">
        <v>axitinib</v>
      </c>
      <c r="I315" s="64" t="s">
        <v>58</v>
      </c>
      <c r="J315" s="519" t="s">
        <v>555</v>
      </c>
      <c r="K315" s="524"/>
      <c r="L315" s="519"/>
      <c r="M315" s="516" t="s">
        <v>31</v>
      </c>
      <c r="N315" s="64" t="s">
        <v>546</v>
      </c>
      <c r="O315" s="64" t="s">
        <v>117</v>
      </c>
      <c r="P315" s="64" t="s">
        <v>547</v>
      </c>
      <c r="Q315" s="519" t="s">
        <v>555</v>
      </c>
      <c r="R315" s="516" t="s">
        <v>548</v>
      </c>
      <c r="S315" s="497"/>
      <c r="T315" s="497"/>
      <c r="U315" s="497"/>
      <c r="W315" s="58" t="str">
        <v>axitinib</v>
      </c>
      <c r="X315" s="64" t="s">
        <v>74</v>
      </c>
      <c r="Y315" s="519" t="s">
        <v>555</v>
      </c>
      <c r="Z315" s="524" t="s">
        <v>63</v>
      </c>
      <c r="AA315" s="519"/>
      <c r="AB315" s="516" t="s">
        <v>31</v>
      </c>
      <c r="AC315" s="64" t="s">
        <v>576</v>
      </c>
      <c r="AD315" s="64" t="s">
        <v>118</v>
      </c>
      <c r="AE315" s="64" t="s">
        <v>547</v>
      </c>
      <c r="AF315" s="519" t="s">
        <v>555</v>
      </c>
      <c r="AG315" s="516" t="s">
        <v>548</v>
      </c>
      <c r="AH315" s="998">
        <f t="shared" si="530"/>
        <v>0.82</v>
      </c>
      <c r="AI315" s="998">
        <f t="shared" si="531"/>
        <v>0.8</v>
      </c>
      <c r="AJ315" s="998">
        <f t="shared" si="532"/>
        <v>0.84</v>
      </c>
      <c r="AL315" s="64" t="str">
        <f t="shared" si="503"/>
        <v>Yes</v>
      </c>
      <c r="AM315" s="519" t="s">
        <v>555</v>
      </c>
      <c r="AN315" s="524" t="s">
        <v>63</v>
      </c>
      <c r="AO315" s="519"/>
      <c r="AP315" s="516" t="s">
        <v>31</v>
      </c>
      <c r="AQ315" s="64" t="s">
        <v>577</v>
      </c>
      <c r="AR315" s="64" t="s">
        <v>118</v>
      </c>
      <c r="AS315" s="64" t="s">
        <v>547</v>
      </c>
      <c r="AT315" s="519" t="s">
        <v>555</v>
      </c>
      <c r="AU315" s="516" t="s">
        <v>548</v>
      </c>
      <c r="AV315" s="998">
        <f t="shared" si="533"/>
        <v>0.82</v>
      </c>
      <c r="AW315" s="998">
        <f t="shared" si="534"/>
        <v>0.8</v>
      </c>
      <c r="AX315" s="998">
        <f t="shared" si="535"/>
        <v>0.84</v>
      </c>
      <c r="AZ315" s="64" t="str">
        <f t="shared" si="504"/>
        <v>Yes</v>
      </c>
      <c r="BA315" s="519" t="s">
        <v>555</v>
      </c>
      <c r="BB315" s="524" t="s">
        <v>578</v>
      </c>
      <c r="BC315" s="519"/>
      <c r="BD315" s="516" t="s">
        <v>31</v>
      </c>
      <c r="BE315" s="64" t="s">
        <v>565</v>
      </c>
      <c r="BF315" s="64" t="s">
        <v>327</v>
      </c>
      <c r="BG315" s="64" t="s">
        <v>547</v>
      </c>
      <c r="BH315" s="519" t="s">
        <v>552</v>
      </c>
      <c r="BI315" s="516" t="s">
        <v>548</v>
      </c>
      <c r="BJ315" s="998">
        <f t="shared" si="536"/>
        <v>0.82</v>
      </c>
      <c r="BK315" s="998">
        <f t="shared" si="537"/>
        <v>0.8</v>
      </c>
      <c r="BL315" s="998">
        <f t="shared" si="538"/>
        <v>0.84</v>
      </c>
      <c r="BM315" s="740">
        <v>0.82</v>
      </c>
      <c r="BN315" s="740">
        <v>0.8</v>
      </c>
      <c r="BO315" s="740">
        <v>0.84</v>
      </c>
      <c r="BQ315" s="58">
        <f t="shared" si="423"/>
        <v>194</v>
      </c>
      <c r="BR315" s="61">
        <v>0</v>
      </c>
      <c r="BS315" s="61" t="s">
        <v>31</v>
      </c>
      <c r="BT315" s="17">
        <v>1</v>
      </c>
      <c r="BU315" s="17">
        <v>11</v>
      </c>
      <c r="BV315" s="17" t="str">
        <f t="shared" si="505"/>
        <v>axitinib</v>
      </c>
      <c r="BW315" s="1006" t="str" cm="1">
        <f t="array" ref="BW315">IF(I315="No",I315,INDEX(List_incl_anal_1L_all,IF(BU315=999,35,BU315+1)))</f>
        <v>No</v>
      </c>
      <c r="BX315" s="61">
        <f t="shared" si="506"/>
        <v>3</v>
      </c>
      <c r="BY315" s="531" t="str">
        <f t="shared" si="539"/>
        <v>Time to progression</v>
      </c>
      <c r="BZ315" s="530">
        <f t="shared" si="507"/>
        <v>0</v>
      </c>
      <c r="CA315" s="531">
        <f t="shared" si="529"/>
        <v>0</v>
      </c>
      <c r="CB315" s="530">
        <f t="shared" si="508"/>
        <v>0</v>
      </c>
      <c r="CC315" s="530">
        <f t="shared" si="509"/>
        <v>1</v>
      </c>
      <c r="CD315" s="530">
        <f t="shared" si="510"/>
        <v>7</v>
      </c>
      <c r="CE315" s="1295">
        <f t="shared" si="511"/>
        <v>2</v>
      </c>
      <c r="CF315" s="1301">
        <f t="shared" si="512"/>
        <v>3</v>
      </c>
      <c r="CG315" s="530" t="str">
        <f t="shared" si="513"/>
        <v>Log-logistic</v>
      </c>
      <c r="CH315" s="61">
        <f t="shared" si="514"/>
        <v>0</v>
      </c>
      <c r="CI315" s="61">
        <f t="shared" si="515"/>
        <v>0</v>
      </c>
      <c r="CJ315" s="61">
        <f t="shared" si="516"/>
        <v>0</v>
      </c>
      <c r="DK315" s="58" t="str" cm="1">
        <f t="array" ref="DK315">IF(AND($BT315=4,$BX315=4,$BU315=999),$DB$36,_xlfn.IFNA(INDEX(DB$13:DB$70,MATCH(1,($BR315=$CV$13:$CV$70)*($BT315=$CX$13:$CX$70)*($CE315=$CY$13:$CY$70)*($BY315=$DA$13:$DA$70)*($CD315=$DH$13:$DH$70),0)),""))</f>
        <v>Log-logistic</v>
      </c>
      <c r="DL315" s="58" t="str" cm="1">
        <f t="array" ref="DL315">IF(AND($BT315=4,$BX315=4,$BU315=999),$DC$36,_xlfn.IFNA(INDEX(CHOOSE(DP315,DB$13:DB$70,DC$13:DC$70,DD$13:DD$70,DE$13:DE$70),MATCH(1,($BR315=$CV$13:$CV$70)*($BT315=$CX$13:$CX$70)*($CE315=$CY$13:$CY$70)*($BY315=$DA$13:$DA$70)*($CD315=$DH$13:$DH$70),0)),""))</f>
        <v>Log-logistic</v>
      </c>
      <c r="DM315" s="740" cm="1">
        <f t="array" ref="DM315">IF(AND($BT315=4,$BX315=4,$BU315=999),$DD$36,_xlfn.IFNA(INDEX(DD$13:DD$68,MATCH(1,($BR315=$CV$13:$CV$68)*($BT315=$CX$13:$CX$68)*($CE315=$CY$13:$CY$68)*($BY315=$DA$13:$DA$68)*($CD315=$DH$13:$DH$68),0)),""))</f>
        <v>0</v>
      </c>
      <c r="DN315" s="740" cm="1">
        <f t="array" ref="DN315">IF(AND($BT315=4,$BX315=4,$BU315=999),$DD$36,_xlfn.IFNA(INDEX(DE$13:DE$68,MATCH(1,($BR315=$CV$13:$CV$68)*($BT315=$CX$13:$CX$68)*($CE315=$CY$13:$CY$68)*($BY315=$DA$13:$DA$68)*($CD315=$DH$13:$DH$68),0)),""))</f>
        <v>0</v>
      </c>
      <c r="DO315" s="58" t="str" cm="1">
        <f t="array" ref="DO315">IF(AND($BT315=4,$BX315=4,$BU315=999),$DF$36,_xlfn.IFNA(INDEX(DF$13:DF$70,MATCH(1,($BR315=$CV$13:$CV$70)*($BT315=$CX$13:$CX$70)*($CE315=$CY$13:$CY$70)*($BY315=$DA$13:$DA$70)*($CD315=$DH$13:$DH$70),0)),""))</f>
        <v>Base case</v>
      </c>
      <c r="DP315" s="58">
        <f t="shared" si="424"/>
        <v>1</v>
      </c>
      <c r="DW315" s="58" t="s">
        <v>58</v>
      </c>
      <c r="DX315" s="58" t="s">
        <v>555</v>
      </c>
      <c r="DY315" s="58">
        <v>0</v>
      </c>
      <c r="DZ315" s="58">
        <v>0</v>
      </c>
      <c r="EB315" s="58">
        <v>0</v>
      </c>
      <c r="EC315" s="58">
        <v>1</v>
      </c>
      <c r="ED315" s="58">
        <v>7</v>
      </c>
      <c r="EE315" s="58">
        <v>2</v>
      </c>
      <c r="EF315" s="58">
        <v>3</v>
      </c>
      <c r="EI315" s="58" t="s">
        <v>58</v>
      </c>
      <c r="EJ315" s="58" t="s">
        <v>555</v>
      </c>
      <c r="EK315" s="58">
        <v>0</v>
      </c>
      <c r="EL315" s="58">
        <v>0</v>
      </c>
      <c r="EN315" s="58">
        <v>0</v>
      </c>
      <c r="EO315" s="58">
        <v>1</v>
      </c>
      <c r="EP315" s="58">
        <v>7</v>
      </c>
      <c r="EQ315" s="58">
        <v>0</v>
      </c>
      <c r="ER315" s="58">
        <v>3</v>
      </c>
      <c r="EU315" s="58" t="str">
        <f t="shared" si="517"/>
        <v>No</v>
      </c>
      <c r="EV315" s="58" t="str">
        <f t="shared" si="518"/>
        <v>Time to progression</v>
      </c>
      <c r="EW315" s="58">
        <f t="shared" si="519"/>
        <v>0</v>
      </c>
      <c r="EX315" s="58">
        <f t="shared" si="520"/>
        <v>0</v>
      </c>
      <c r="EZ315" s="58">
        <f t="shared" si="521"/>
        <v>0</v>
      </c>
      <c r="FA315" s="58">
        <f t="shared" si="522"/>
        <v>1</v>
      </c>
      <c r="FB315" s="58">
        <f>IF(i_eff_inputs_based_on_num=2,ED315,(INDEX(Lists!$L$51:$L$85,MATCH(O315,Lists!$K$51:$K$85,0))))</f>
        <v>7</v>
      </c>
      <c r="FC315" s="58">
        <f>IF(i_eff_inputs_based_on_num=2,EE315,(INDEX(Lists!$L$51:$L$85,MATCH(P315,Lists!$K$51:$K$85,0))))</f>
        <v>2</v>
      </c>
      <c r="FD315" s="58">
        <f>IF(i_eff_inputs_based_on_num=2,EF315,(INDEX(Lists!$L$51:$L$85,MATCH(Q315,Lists!$K$51:$K$85,0))))</f>
        <v>3</v>
      </c>
      <c r="FG315" s="58" t="str">
        <f t="shared" si="523"/>
        <v>No</v>
      </c>
      <c r="FH315" s="58" t="str">
        <f t="shared" si="524"/>
        <v>Time to progression</v>
      </c>
      <c r="FI315" s="58">
        <f t="shared" si="525"/>
        <v>0</v>
      </c>
      <c r="FJ315" s="58">
        <f t="shared" si="526"/>
        <v>0</v>
      </c>
      <c r="FL315" s="58">
        <f t="shared" si="527"/>
        <v>0</v>
      </c>
      <c r="FM315" s="58">
        <f t="shared" si="528"/>
        <v>1</v>
      </c>
      <c r="FN315" s="58">
        <f>IF(i_eff_inputs_based_on_num=2,EP315,(INDEX(Lists!$L$51:$L$85,MATCH(O315,Lists!$K$51:$K$85,0))))</f>
        <v>7</v>
      </c>
      <c r="FO315" s="58">
        <f>IF(i_eff_inputs_based_on_num=2,EQ315,(INDEX(Lists!$L$51:$L$85,MATCH(P315,Lists!$K$51:$K$85,0))))</f>
        <v>0</v>
      </c>
      <c r="FP315" s="58">
        <f>IF(i_eff_inputs_based_on_num=2,ER315,(INDEX(Lists!$L$51:$L$85,MATCH(Q315,Lists!$K$51:$K$85,0))))</f>
        <v>3</v>
      </c>
      <c r="FT315" s="58">
        <f t="shared" si="425"/>
        <v>0</v>
      </c>
      <c r="FW315" s="58">
        <f>IF(i_baseline_risk_from=2,'Effectiveness settings'!EW315,'Effectiveness settings'!FI315)</f>
        <v>0</v>
      </c>
      <c r="FX315" s="58">
        <f t="shared" si="426"/>
        <v>0</v>
      </c>
      <c r="FY315" s="58">
        <f t="shared" si="427"/>
        <v>0</v>
      </c>
      <c r="FZ315" s="58">
        <f t="shared" si="428"/>
        <v>0</v>
      </c>
      <c r="GA315" s="58">
        <f t="shared" si="429"/>
        <v>0</v>
      </c>
      <c r="GB315" s="58">
        <f t="shared" si="430"/>
        <v>0</v>
      </c>
      <c r="GC315" s="58">
        <f t="shared" si="431"/>
        <v>0</v>
      </c>
      <c r="GD315" s="58">
        <f t="shared" si="432"/>
        <v>0</v>
      </c>
      <c r="GE315" s="58">
        <f>IF(AND(dd_CheckMate214_TTD="Yes",'Effectiveness settings'!BU315=2,'Effectiveness settings'!BX315=2),"Apply HR to",GD315)</f>
        <v>0</v>
      </c>
      <c r="GF315" s="58">
        <f t="shared" si="433"/>
        <v>0</v>
      </c>
      <c r="GG315" s="58">
        <f t="shared" si="434"/>
        <v>0</v>
      </c>
      <c r="GH315" s="58">
        <f t="shared" si="435"/>
        <v>0</v>
      </c>
      <c r="GI315" s="58">
        <f t="shared" si="415"/>
        <v>0</v>
      </c>
      <c r="GK315" s="58">
        <f>IF(i_baseline_risk_from=2,'Effectiveness settings'!FA315,'Effectiveness settings'!FM315)</f>
        <v>1</v>
      </c>
      <c r="GL315" s="58">
        <f>IF(i_baseline_risk_from=2,'Effectiveness settings'!FB315,'Effectiveness settings'!FN315)</f>
        <v>7</v>
      </c>
      <c r="GM315" s="58">
        <f>IF(i_baseline_risk_from=2,'Effectiveness settings'!FC315,'Effectiveness settings'!FO315)</f>
        <v>2</v>
      </c>
      <c r="GN315" s="58">
        <f>IF(i_baseline_risk_from=2,'Effectiveness settings'!FD315,'Effectiveness settings'!FP315)</f>
        <v>3</v>
      </c>
      <c r="GQ315" s="58">
        <f t="shared" si="436"/>
        <v>7</v>
      </c>
      <c r="GR315" s="58">
        <f t="shared" si="437"/>
        <v>7</v>
      </c>
      <c r="GS315" s="58">
        <f t="shared" si="438"/>
        <v>7</v>
      </c>
      <c r="GT315" s="58">
        <f t="shared" si="439"/>
        <v>7</v>
      </c>
      <c r="GU315" s="58">
        <f>IF(AND(dd_CheckMate214_TTD="Yes",'Effectiveness settings'!BU315=2,'Effectiveness settings'!BX315=2),2,GT315)</f>
        <v>7</v>
      </c>
      <c r="GV315" s="58">
        <f t="shared" si="440"/>
        <v>7</v>
      </c>
      <c r="GW315" s="58">
        <f t="shared" si="441"/>
        <v>7</v>
      </c>
      <c r="GY315" s="58">
        <f>IF(AND(dd_CheckMate214_TTD="Yes",'Effectiveness settings'!BU315=2,'Effectiveness settings'!BX315=2),1,GN315)</f>
        <v>3</v>
      </c>
      <c r="GZ315" s="58">
        <f t="shared" si="442"/>
        <v>3</v>
      </c>
      <c r="HB315" s="58">
        <f t="shared" si="443"/>
        <v>0</v>
      </c>
      <c r="HD315" s="58">
        <f t="shared" si="416"/>
        <v>0</v>
      </c>
      <c r="HE315" s="58">
        <f t="shared" si="417"/>
        <v>1</v>
      </c>
      <c r="HF315" s="58">
        <f t="shared" si="418"/>
        <v>7</v>
      </c>
      <c r="HG315" s="58">
        <f t="shared" si="419"/>
        <v>2</v>
      </c>
      <c r="HH315" s="58">
        <f t="shared" si="420"/>
        <v>3</v>
      </c>
    </row>
    <row r="316" spans="1:216" ht="15.75" x14ac:dyDescent="0.25">
      <c r="D316" s="58" t="str">
        <v>sorafenib</v>
      </c>
      <c r="I316" s="64" t="s">
        <v>58</v>
      </c>
      <c r="J316" s="519" t="s">
        <v>555</v>
      </c>
      <c r="K316" s="524"/>
      <c r="L316" s="519"/>
      <c r="M316" s="516" t="s">
        <v>31</v>
      </c>
      <c r="N316" s="64" t="s">
        <v>546</v>
      </c>
      <c r="O316" s="64" t="s">
        <v>117</v>
      </c>
      <c r="P316" s="64" t="s">
        <v>547</v>
      </c>
      <c r="Q316" s="519" t="s">
        <v>555</v>
      </c>
      <c r="R316" s="516" t="s">
        <v>548</v>
      </c>
      <c r="S316" s="497"/>
      <c r="T316" s="497"/>
      <c r="U316" s="497"/>
      <c r="W316" s="58" t="str">
        <v>sorafenib</v>
      </c>
      <c r="X316" s="64" t="s">
        <v>58</v>
      </c>
      <c r="Y316" s="519" t="s">
        <v>555</v>
      </c>
      <c r="Z316" s="524"/>
      <c r="AA316" s="519"/>
      <c r="AB316" s="516" t="s">
        <v>31</v>
      </c>
      <c r="AC316" s="64" t="s">
        <v>576</v>
      </c>
      <c r="AD316" s="64" t="s">
        <v>588</v>
      </c>
      <c r="AE316" s="64" t="s">
        <v>547</v>
      </c>
      <c r="AF316" s="519" t="s">
        <v>552</v>
      </c>
      <c r="AG316" s="516" t="s">
        <v>548</v>
      </c>
      <c r="AH316" s="497">
        <v>1</v>
      </c>
      <c r="AI316" s="497"/>
      <c r="AJ316" s="497"/>
      <c r="AL316" s="64" t="str">
        <f t="shared" si="503"/>
        <v>No</v>
      </c>
      <c r="AM316" s="519" t="s">
        <v>555</v>
      </c>
      <c r="AN316" s="524"/>
      <c r="AO316" s="519"/>
      <c r="AP316" s="516" t="s">
        <v>31</v>
      </c>
      <c r="AQ316" s="64" t="s">
        <v>577</v>
      </c>
      <c r="AR316" s="64" t="s">
        <v>588</v>
      </c>
      <c r="AS316" s="64" t="s">
        <v>547</v>
      </c>
      <c r="AT316" s="519" t="s">
        <v>552</v>
      </c>
      <c r="AU316" s="516" t="s">
        <v>548</v>
      </c>
      <c r="AV316" s="497">
        <v>1</v>
      </c>
      <c r="AW316" s="497"/>
      <c r="AX316" s="497"/>
      <c r="AZ316" s="64" t="str">
        <f t="shared" si="504"/>
        <v>No</v>
      </c>
      <c r="BA316" s="519" t="s">
        <v>555</v>
      </c>
      <c r="BB316" s="524"/>
      <c r="BC316" s="519"/>
      <c r="BD316" s="516" t="s">
        <v>31</v>
      </c>
      <c r="BE316" s="64" t="s">
        <v>565</v>
      </c>
      <c r="BF316" s="64" t="s">
        <v>588</v>
      </c>
      <c r="BG316" s="64" t="s">
        <v>547</v>
      </c>
      <c r="BH316" s="519" t="s">
        <v>552</v>
      </c>
      <c r="BI316" s="516" t="s">
        <v>548</v>
      </c>
      <c r="BJ316" s="497">
        <v>1</v>
      </c>
      <c r="BK316" s="497"/>
      <c r="BL316" s="497"/>
      <c r="BQ316" s="58">
        <f t="shared" si="423"/>
        <v>195</v>
      </c>
      <c r="BR316" s="61">
        <v>0</v>
      </c>
      <c r="BS316" s="61" t="s">
        <v>31</v>
      </c>
      <c r="BT316" s="17">
        <v>1</v>
      </c>
      <c r="BU316" s="17">
        <v>12</v>
      </c>
      <c r="BV316" s="17" t="str">
        <f t="shared" si="505"/>
        <v>sorafenib</v>
      </c>
      <c r="BW316" s="1006" t="str" cm="1">
        <f t="array" ref="BW316">IF(I316="No",I316,INDEX(List_incl_anal_1L_all,IF(BU316=999,35,BU316+1)))</f>
        <v>No</v>
      </c>
      <c r="BX316" s="61">
        <f t="shared" si="506"/>
        <v>3</v>
      </c>
      <c r="BY316" s="531" t="str">
        <f t="shared" si="539"/>
        <v>Time to progression</v>
      </c>
      <c r="BZ316" s="530">
        <f t="shared" si="507"/>
        <v>0</v>
      </c>
      <c r="CA316" s="531">
        <f t="shared" si="529"/>
        <v>0</v>
      </c>
      <c r="CB316" s="530">
        <f t="shared" si="508"/>
        <v>0</v>
      </c>
      <c r="CC316" s="530">
        <f t="shared" si="509"/>
        <v>1</v>
      </c>
      <c r="CD316" s="530">
        <f t="shared" si="510"/>
        <v>7</v>
      </c>
      <c r="CE316" s="1295">
        <f t="shared" si="511"/>
        <v>2</v>
      </c>
      <c r="CF316" s="1301">
        <f t="shared" si="512"/>
        <v>3</v>
      </c>
      <c r="CG316" s="530" t="str">
        <f t="shared" si="513"/>
        <v>Log-logistic</v>
      </c>
      <c r="CH316" s="61">
        <f t="shared" si="514"/>
        <v>0</v>
      </c>
      <c r="CI316" s="61">
        <f t="shared" si="515"/>
        <v>0</v>
      </c>
      <c r="CJ316" s="61">
        <f t="shared" si="516"/>
        <v>0</v>
      </c>
      <c r="DK316" s="58" t="str" cm="1">
        <f t="array" ref="DK316">IF(AND($BT316=4,$BX316=4,$BU316=999),$DB$36,_xlfn.IFNA(INDEX(DB$13:DB$70,MATCH(1,($BR316=$CV$13:$CV$70)*($BT316=$CX$13:$CX$70)*($CE316=$CY$13:$CY$70)*($BY316=$DA$13:$DA$70)*($CD316=$DH$13:$DH$70),0)),""))</f>
        <v>Log-logistic</v>
      </c>
      <c r="DL316" s="58" t="str" cm="1">
        <f t="array" ref="DL316">IF(AND($BT316=4,$BX316=4,$BU316=999),$DC$36,_xlfn.IFNA(INDEX(CHOOSE(DP316,DB$13:DB$70,DC$13:DC$70,DD$13:DD$70,DE$13:DE$70),MATCH(1,($BR316=$CV$13:$CV$70)*($BT316=$CX$13:$CX$70)*($CE316=$CY$13:$CY$70)*($BY316=$DA$13:$DA$70)*($CD316=$DH$13:$DH$70),0)),""))</f>
        <v>Log-logistic</v>
      </c>
      <c r="DM316" s="740" cm="1">
        <f t="array" ref="DM316">IF(AND($BT316=4,$BX316=4,$BU316=999),$DD$36,_xlfn.IFNA(INDEX(DD$13:DD$68,MATCH(1,($BR316=$CV$13:$CV$68)*($BT316=$CX$13:$CX$68)*($CE316=$CY$13:$CY$68)*($BY316=$DA$13:$DA$68)*($CD316=$DH$13:$DH$68),0)),""))</f>
        <v>0</v>
      </c>
      <c r="DN316" s="740" cm="1">
        <f t="array" ref="DN316">IF(AND($BT316=4,$BX316=4,$BU316=999),$DD$36,_xlfn.IFNA(INDEX(DE$13:DE$68,MATCH(1,($BR316=$CV$13:$CV$68)*($BT316=$CX$13:$CX$68)*($CE316=$CY$13:$CY$68)*($BY316=$DA$13:$DA$68)*($CD316=$DH$13:$DH$68),0)),""))</f>
        <v>0</v>
      </c>
      <c r="DO316" s="58" t="str" cm="1">
        <f t="array" ref="DO316">IF(AND($BT316=4,$BX316=4,$BU316=999),$DF$36,_xlfn.IFNA(INDEX(DF$13:DF$70,MATCH(1,($BR316=$CV$13:$CV$70)*($BT316=$CX$13:$CX$70)*($CE316=$CY$13:$CY$70)*($BY316=$DA$13:$DA$70)*($CD316=$DH$13:$DH$70),0)),""))</f>
        <v>Base case</v>
      </c>
      <c r="DP316" s="58">
        <f t="shared" si="424"/>
        <v>1</v>
      </c>
      <c r="DW316" s="58" t="s">
        <v>58</v>
      </c>
      <c r="DX316" s="58" t="s">
        <v>555</v>
      </c>
      <c r="DY316" s="58">
        <v>0</v>
      </c>
      <c r="DZ316" s="58">
        <v>0</v>
      </c>
      <c r="EB316" s="58">
        <v>0</v>
      </c>
      <c r="EC316" s="58">
        <v>1</v>
      </c>
      <c r="ED316" s="58">
        <v>7</v>
      </c>
      <c r="EE316" s="58">
        <v>2</v>
      </c>
      <c r="EF316" s="58">
        <v>3</v>
      </c>
      <c r="EI316" s="58" t="s">
        <v>58</v>
      </c>
      <c r="EJ316" s="58" t="s">
        <v>555</v>
      </c>
      <c r="EK316" s="58">
        <v>0</v>
      </c>
      <c r="EL316" s="58">
        <v>0</v>
      </c>
      <c r="EN316" s="58">
        <v>0</v>
      </c>
      <c r="EO316" s="58">
        <v>1</v>
      </c>
      <c r="EP316" s="58">
        <v>7</v>
      </c>
      <c r="EQ316" s="58">
        <v>0</v>
      </c>
      <c r="ER316" s="58">
        <v>3</v>
      </c>
      <c r="EU316" s="58" t="str">
        <f t="shared" si="517"/>
        <v>No</v>
      </c>
      <c r="EV316" s="58" t="str">
        <f t="shared" si="518"/>
        <v>Time to progression</v>
      </c>
      <c r="EW316" s="58">
        <f t="shared" si="519"/>
        <v>0</v>
      </c>
      <c r="EX316" s="58">
        <f t="shared" si="520"/>
        <v>0</v>
      </c>
      <c r="EZ316" s="58">
        <f t="shared" si="521"/>
        <v>0</v>
      </c>
      <c r="FA316" s="58">
        <f t="shared" si="522"/>
        <v>1</v>
      </c>
      <c r="FB316" s="58">
        <f>IF(i_eff_inputs_based_on_num=2,ED316,(INDEX(Lists!$L$51:$L$85,MATCH(O316,Lists!$K$51:$K$85,0))))</f>
        <v>7</v>
      </c>
      <c r="FC316" s="58">
        <f>IF(i_eff_inputs_based_on_num=2,EE316,(INDEX(Lists!$L$51:$L$85,MATCH(P316,Lists!$K$51:$K$85,0))))</f>
        <v>2</v>
      </c>
      <c r="FD316" s="58">
        <f>IF(i_eff_inputs_based_on_num=2,EF316,(INDEX(Lists!$L$51:$L$85,MATCH(Q316,Lists!$K$51:$K$85,0))))</f>
        <v>3</v>
      </c>
      <c r="FG316" s="58" t="str">
        <f t="shared" si="523"/>
        <v>No</v>
      </c>
      <c r="FH316" s="58" t="str">
        <f t="shared" si="524"/>
        <v>Time to progression</v>
      </c>
      <c r="FI316" s="58">
        <f t="shared" si="525"/>
        <v>0</v>
      </c>
      <c r="FJ316" s="58">
        <f t="shared" si="526"/>
        <v>0</v>
      </c>
      <c r="FL316" s="58">
        <f t="shared" si="527"/>
        <v>0</v>
      </c>
      <c r="FM316" s="58">
        <f t="shared" si="528"/>
        <v>1</v>
      </c>
      <c r="FN316" s="58">
        <f>IF(i_eff_inputs_based_on_num=2,EP316,(INDEX(Lists!$L$51:$L$85,MATCH(O316,Lists!$K$51:$K$85,0))))</f>
        <v>7</v>
      </c>
      <c r="FO316" s="58">
        <f>IF(i_eff_inputs_based_on_num=2,EQ316,(INDEX(Lists!$L$51:$L$85,MATCH(P316,Lists!$K$51:$K$85,0))))</f>
        <v>0</v>
      </c>
      <c r="FP316" s="58">
        <f>IF(i_eff_inputs_based_on_num=2,ER316,(INDEX(Lists!$L$51:$L$85,MATCH(Q316,Lists!$K$51:$K$85,0))))</f>
        <v>3</v>
      </c>
      <c r="FT316" s="58">
        <f t="shared" si="425"/>
        <v>0</v>
      </c>
      <c r="FW316" s="58">
        <f>IF(i_baseline_risk_from=2,'Effectiveness settings'!EW316,'Effectiveness settings'!FI316)</f>
        <v>0</v>
      </c>
      <c r="FX316" s="58">
        <f t="shared" si="426"/>
        <v>0</v>
      </c>
      <c r="FY316" s="58">
        <f t="shared" si="427"/>
        <v>0</v>
      </c>
      <c r="FZ316" s="58">
        <f t="shared" si="428"/>
        <v>0</v>
      </c>
      <c r="GA316" s="58">
        <f t="shared" si="429"/>
        <v>0</v>
      </c>
      <c r="GB316" s="58">
        <f t="shared" si="430"/>
        <v>0</v>
      </c>
      <c r="GC316" s="58">
        <f t="shared" si="431"/>
        <v>0</v>
      </c>
      <c r="GD316" s="58">
        <f t="shared" si="432"/>
        <v>0</v>
      </c>
      <c r="GE316" s="58">
        <f>IF(AND(dd_CheckMate214_TTD="Yes",'Effectiveness settings'!BU316=2,'Effectiveness settings'!BX316=2),"Apply HR to",GD316)</f>
        <v>0</v>
      </c>
      <c r="GF316" s="58">
        <f t="shared" si="433"/>
        <v>0</v>
      </c>
      <c r="GG316" s="58">
        <f t="shared" si="434"/>
        <v>0</v>
      </c>
      <c r="GH316" s="58">
        <f t="shared" si="435"/>
        <v>0</v>
      </c>
      <c r="GI316" s="58">
        <f t="shared" si="415"/>
        <v>0</v>
      </c>
      <c r="GK316" s="58">
        <f>IF(i_baseline_risk_from=2,'Effectiveness settings'!FA316,'Effectiveness settings'!FM316)</f>
        <v>1</v>
      </c>
      <c r="GL316" s="58">
        <f>IF(i_baseline_risk_from=2,'Effectiveness settings'!FB316,'Effectiveness settings'!FN316)</f>
        <v>7</v>
      </c>
      <c r="GM316" s="58">
        <f>IF(i_baseline_risk_from=2,'Effectiveness settings'!FC316,'Effectiveness settings'!FO316)</f>
        <v>2</v>
      </c>
      <c r="GN316" s="58">
        <f>IF(i_baseline_risk_from=2,'Effectiveness settings'!FD316,'Effectiveness settings'!FP316)</f>
        <v>3</v>
      </c>
      <c r="GQ316" s="58">
        <f t="shared" si="436"/>
        <v>7</v>
      </c>
      <c r="GR316" s="58">
        <f t="shared" si="437"/>
        <v>7</v>
      </c>
      <c r="GS316" s="58">
        <f t="shared" si="438"/>
        <v>7</v>
      </c>
      <c r="GT316" s="58">
        <f t="shared" si="439"/>
        <v>7</v>
      </c>
      <c r="GU316" s="58">
        <f>IF(AND(dd_CheckMate214_TTD="Yes",'Effectiveness settings'!BU316=2,'Effectiveness settings'!BX316=2),2,GT316)</f>
        <v>7</v>
      </c>
      <c r="GV316" s="58">
        <f t="shared" si="440"/>
        <v>7</v>
      </c>
      <c r="GW316" s="58">
        <f t="shared" si="441"/>
        <v>7</v>
      </c>
      <c r="GY316" s="58">
        <f>IF(AND(dd_CheckMate214_TTD="Yes",'Effectiveness settings'!BU316=2,'Effectiveness settings'!BX316=2),1,GN316)</f>
        <v>3</v>
      </c>
      <c r="GZ316" s="58">
        <f t="shared" si="442"/>
        <v>3</v>
      </c>
      <c r="HB316" s="58">
        <f t="shared" si="443"/>
        <v>0</v>
      </c>
      <c r="HD316" s="58">
        <f t="shared" si="416"/>
        <v>0</v>
      </c>
      <c r="HE316" s="58">
        <f t="shared" si="417"/>
        <v>1</v>
      </c>
      <c r="HF316" s="58">
        <f t="shared" si="418"/>
        <v>7</v>
      </c>
      <c r="HG316" s="58">
        <f t="shared" si="419"/>
        <v>2</v>
      </c>
      <c r="HH316" s="58">
        <f t="shared" si="420"/>
        <v>3</v>
      </c>
    </row>
    <row r="317" spans="1:216" ht="15.75" x14ac:dyDescent="0.25">
      <c r="D317" s="58" t="str">
        <v>placebo_BSC</v>
      </c>
      <c r="I317" s="64" t="s">
        <v>58</v>
      </c>
      <c r="J317" s="519" t="s">
        <v>555</v>
      </c>
      <c r="K317" s="524"/>
      <c r="L317" s="519"/>
      <c r="M317" s="516" t="s">
        <v>31</v>
      </c>
      <c r="N317" s="64" t="s">
        <v>546</v>
      </c>
      <c r="O317" s="64" t="s">
        <v>117</v>
      </c>
      <c r="P317" s="64" t="s">
        <v>547</v>
      </c>
      <c r="Q317" s="519" t="s">
        <v>555</v>
      </c>
      <c r="R317" s="516" t="s">
        <v>548</v>
      </c>
      <c r="S317" s="497"/>
      <c r="T317" s="497"/>
      <c r="U317" s="497"/>
      <c r="W317" s="58" t="str">
        <v>placebo_BSC</v>
      </c>
      <c r="X317" s="64" t="s">
        <v>58</v>
      </c>
      <c r="Y317" s="519" t="s">
        <v>555</v>
      </c>
      <c r="Z317" s="524" t="s">
        <v>578</v>
      </c>
      <c r="AA317" s="519"/>
      <c r="AB317" s="516" t="s">
        <v>31</v>
      </c>
      <c r="AC317" s="64" t="s">
        <v>576</v>
      </c>
      <c r="AD317" s="64" t="s">
        <v>566</v>
      </c>
      <c r="AE317" s="64" t="s">
        <v>547</v>
      </c>
      <c r="AF317" s="519" t="s">
        <v>552</v>
      </c>
      <c r="AG317" s="516" t="s">
        <v>548</v>
      </c>
      <c r="AH317" s="497">
        <v>1</v>
      </c>
      <c r="AI317" s="497"/>
      <c r="AJ317" s="497"/>
      <c r="AL317" s="64" t="str">
        <f t="shared" si="503"/>
        <v>No</v>
      </c>
      <c r="AM317" s="519" t="s">
        <v>555</v>
      </c>
      <c r="AN317" s="524" t="s">
        <v>578</v>
      </c>
      <c r="AO317" s="519"/>
      <c r="AP317" s="516" t="s">
        <v>31</v>
      </c>
      <c r="AQ317" s="64" t="s">
        <v>577</v>
      </c>
      <c r="AR317" s="64" t="s">
        <v>566</v>
      </c>
      <c r="AS317" s="64" t="s">
        <v>547</v>
      </c>
      <c r="AT317" s="519" t="s">
        <v>552</v>
      </c>
      <c r="AU317" s="516" t="s">
        <v>548</v>
      </c>
      <c r="AV317" s="497">
        <v>1</v>
      </c>
      <c r="AW317" s="497"/>
      <c r="AX317" s="497"/>
      <c r="AZ317" s="64" t="str">
        <f t="shared" si="504"/>
        <v>No</v>
      </c>
      <c r="BA317" s="519" t="s">
        <v>555</v>
      </c>
      <c r="BB317" s="524"/>
      <c r="BC317" s="519"/>
      <c r="BD317" s="516" t="s">
        <v>31</v>
      </c>
      <c r="BE317" s="64" t="s">
        <v>565</v>
      </c>
      <c r="BF317" s="64" t="s">
        <v>566</v>
      </c>
      <c r="BG317" s="64" t="s">
        <v>547</v>
      </c>
      <c r="BH317" s="519" t="s">
        <v>552</v>
      </c>
      <c r="BI317" s="516" t="s">
        <v>548</v>
      </c>
      <c r="BJ317" s="497">
        <v>1</v>
      </c>
      <c r="BK317" s="497"/>
      <c r="BL317" s="497"/>
      <c r="BQ317" s="58">
        <f t="shared" si="423"/>
        <v>196</v>
      </c>
      <c r="BR317" s="61">
        <v>0</v>
      </c>
      <c r="BS317" s="61" t="s">
        <v>31</v>
      </c>
      <c r="BT317" s="17">
        <v>1</v>
      </c>
      <c r="BU317" s="17">
        <v>999</v>
      </c>
      <c r="BV317" s="17" t="str">
        <f t="shared" si="505"/>
        <v>placebo_BSC</v>
      </c>
      <c r="BW317" s="1006" t="str" cm="1">
        <f t="array" ref="BW317">IF(I317="No",I317,INDEX(List_incl_anal_1L_all,IF(BU317=999,35,BU317+1)))</f>
        <v>No</v>
      </c>
      <c r="BX317" s="61">
        <f t="shared" si="506"/>
        <v>3</v>
      </c>
      <c r="BY317" s="531" t="str">
        <f t="shared" si="539"/>
        <v>Time to progression</v>
      </c>
      <c r="BZ317" s="530">
        <f t="shared" si="507"/>
        <v>0</v>
      </c>
      <c r="CA317" s="531">
        <f t="shared" si="529"/>
        <v>0</v>
      </c>
      <c r="CB317" s="530">
        <f t="shared" si="508"/>
        <v>0</v>
      </c>
      <c r="CC317" s="530">
        <f t="shared" si="509"/>
        <v>4</v>
      </c>
      <c r="CD317" s="530">
        <f t="shared" si="510"/>
        <v>999</v>
      </c>
      <c r="CE317" s="1295">
        <f t="shared" si="511"/>
        <v>2</v>
      </c>
      <c r="CF317" s="1301">
        <f t="shared" si="512"/>
        <v>4</v>
      </c>
      <c r="CG317" s="530" t="str">
        <f t="shared" si="513"/>
        <v/>
      </c>
      <c r="CH317" s="61">
        <f t="shared" si="514"/>
        <v>0</v>
      </c>
      <c r="CI317" s="61">
        <f t="shared" si="515"/>
        <v>0</v>
      </c>
      <c r="CJ317" s="61">
        <f t="shared" si="516"/>
        <v>0</v>
      </c>
      <c r="DK317" s="58" t="str" cm="1">
        <f t="array" ref="DK317">IF(AND($BT317=4,$BX317=4,$BU317=999),$DB$36,_xlfn.IFNA(INDEX(DB$13:DB$70,MATCH(1,($BR317=$CV$13:$CV$70)*($BT317=$CX$13:$CX$70)*($CE317=$CY$13:$CY$70)*($BY317=$DA$13:$DA$70)*($CD317=$DH$13:$DH$70),0)),""))</f>
        <v/>
      </c>
      <c r="DL317" s="58" t="str" cm="1">
        <f t="array" ref="DL317">IF(AND($BT317=4,$BX317=4,$BU317=999),$DC$36,_xlfn.IFNA(INDEX(CHOOSE(DP317,DB$13:DB$70,DC$13:DC$70,DD$13:DD$70,DE$13:DE$70),MATCH(1,($BR317=$CV$13:$CV$70)*($BT317=$CX$13:$CX$70)*($CE317=$CY$13:$CY$70)*($BY317=$DA$13:$DA$70)*($CD317=$DH$13:$DH$70),0)),""))</f>
        <v/>
      </c>
      <c r="DM317" s="740" t="str" cm="1">
        <f t="array" ref="DM317">IF(AND($BT317=4,$BX317=4,$BU317=999),$DD$36,_xlfn.IFNA(INDEX(DD$13:DD$68,MATCH(1,($BR317=$CV$13:$CV$68)*($BT317=$CX$13:$CX$68)*($CE317=$CY$13:$CY$68)*($BY317=$DA$13:$DA$68)*($CD317=$DH$13:$DH$68),0)),""))</f>
        <v/>
      </c>
      <c r="DN317" s="740" t="str" cm="1">
        <f t="array" ref="DN317">IF(AND($BT317=4,$BX317=4,$BU317=999),$DD$36,_xlfn.IFNA(INDEX(DE$13:DE$68,MATCH(1,($BR317=$CV$13:$CV$68)*($BT317=$CX$13:$CX$68)*($CE317=$CY$13:$CY$68)*($BY317=$DA$13:$DA$68)*($CD317=$DH$13:$DH$68),0)),""))</f>
        <v/>
      </c>
      <c r="DO317" s="58" t="str" cm="1">
        <f t="array" ref="DO317">IF(AND($BT317=4,$BX317=4,$BU317=999),$DF$36,_xlfn.IFNA(INDEX(DF$13:DF$70,MATCH(1,($BR317=$CV$13:$CV$70)*($BT317=$CX$13:$CX$70)*($CE317=$CY$13:$CY$70)*($BY317=$DA$13:$DA$70)*($CD317=$DH$13:$DH$70),0)),""))</f>
        <v/>
      </c>
      <c r="DP317" s="58" t="e">
        <f t="shared" si="424"/>
        <v>#N/A</v>
      </c>
      <c r="DW317" s="58" t="s">
        <v>58</v>
      </c>
      <c r="DX317" s="58" t="s">
        <v>555</v>
      </c>
      <c r="DY317" s="58">
        <v>0</v>
      </c>
      <c r="DZ317" s="58">
        <v>0</v>
      </c>
      <c r="EB317" s="58">
        <v>0</v>
      </c>
      <c r="EC317" s="58">
        <v>4</v>
      </c>
      <c r="ED317" s="58">
        <v>999</v>
      </c>
      <c r="EE317" s="58">
        <v>2</v>
      </c>
      <c r="EF317" s="58">
        <v>4</v>
      </c>
      <c r="EI317" s="58" t="s">
        <v>58</v>
      </c>
      <c r="EJ317" s="58" t="s">
        <v>555</v>
      </c>
      <c r="EK317" s="58">
        <v>0</v>
      </c>
      <c r="EL317" s="58">
        <v>0</v>
      </c>
      <c r="EN317" s="58">
        <v>0</v>
      </c>
      <c r="EO317" s="58">
        <v>4</v>
      </c>
      <c r="EP317" s="58">
        <v>999</v>
      </c>
      <c r="EQ317" s="58">
        <v>2</v>
      </c>
      <c r="ER317" s="58">
        <v>4</v>
      </c>
      <c r="EU317" s="58" t="str">
        <f t="shared" si="517"/>
        <v>No</v>
      </c>
      <c r="EV317" s="58" t="str">
        <f t="shared" si="518"/>
        <v>Time to progression</v>
      </c>
      <c r="EW317" s="58">
        <f t="shared" si="519"/>
        <v>0</v>
      </c>
      <c r="EX317" s="58">
        <f t="shared" si="520"/>
        <v>0</v>
      </c>
      <c r="EZ317" s="58">
        <f t="shared" si="521"/>
        <v>0</v>
      </c>
      <c r="FA317" s="58">
        <f t="shared" si="522"/>
        <v>4</v>
      </c>
      <c r="FB317" s="58">
        <f>IF(i_eff_inputs_based_on_num=2,ED317,(INDEX(Lists!$L$51:$L$85,MATCH(O317,Lists!$K$51:$K$85,0))))</f>
        <v>999</v>
      </c>
      <c r="FC317" s="58">
        <f>IF(i_eff_inputs_based_on_num=2,EE317,(INDEX(Lists!$L$51:$L$85,MATCH(P317,Lists!$K$51:$K$85,0))))</f>
        <v>2</v>
      </c>
      <c r="FD317" s="58">
        <f>IF(i_eff_inputs_based_on_num=2,EF317,(INDEX(Lists!$L$51:$L$85,MATCH(Q317,Lists!$K$51:$K$85,0))))</f>
        <v>4</v>
      </c>
      <c r="FG317" s="58" t="str">
        <f t="shared" si="523"/>
        <v>No</v>
      </c>
      <c r="FH317" s="58" t="str">
        <f t="shared" si="524"/>
        <v>Time to progression</v>
      </c>
      <c r="FI317" s="58">
        <f t="shared" si="525"/>
        <v>0</v>
      </c>
      <c r="FJ317" s="58">
        <f t="shared" si="526"/>
        <v>0</v>
      </c>
      <c r="FL317" s="58">
        <f t="shared" si="527"/>
        <v>0</v>
      </c>
      <c r="FM317" s="58">
        <f t="shared" si="528"/>
        <v>4</v>
      </c>
      <c r="FN317" s="58">
        <f>IF(i_eff_inputs_based_on_num=2,EP317,(INDEX(Lists!$L$51:$L$85,MATCH(O317,Lists!$K$51:$K$85,0))))</f>
        <v>999</v>
      </c>
      <c r="FO317" s="58">
        <f>IF(i_eff_inputs_based_on_num=2,EQ317,(INDEX(Lists!$L$51:$L$85,MATCH(P317,Lists!$K$51:$K$85,0))))</f>
        <v>2</v>
      </c>
      <c r="FP317" s="58">
        <f>IF(i_eff_inputs_based_on_num=2,ER317,(INDEX(Lists!$L$51:$L$85,MATCH(Q317,Lists!$K$51:$K$85,0))))</f>
        <v>4</v>
      </c>
      <c r="FT317" s="58">
        <f t="shared" si="425"/>
        <v>0</v>
      </c>
      <c r="FW317" s="58">
        <f>IF(i_baseline_risk_from=2,'Effectiveness settings'!EW317,'Effectiveness settings'!FI317)</f>
        <v>0</v>
      </c>
      <c r="FX317" s="58">
        <f t="shared" si="426"/>
        <v>0</v>
      </c>
      <c r="FY317" s="58">
        <f t="shared" si="427"/>
        <v>0</v>
      </c>
      <c r="FZ317" s="58">
        <f t="shared" si="428"/>
        <v>0</v>
      </c>
      <c r="GA317" s="58">
        <f t="shared" si="429"/>
        <v>0</v>
      </c>
      <c r="GB317" s="58">
        <f t="shared" si="430"/>
        <v>0</v>
      </c>
      <c r="GC317" s="58">
        <f t="shared" si="431"/>
        <v>0</v>
      </c>
      <c r="GD317" s="58">
        <f t="shared" si="432"/>
        <v>0</v>
      </c>
      <c r="GE317" s="58">
        <f>IF(AND(dd_CheckMate214_TTD="Yes",'Effectiveness settings'!BU317=2,'Effectiveness settings'!BX317=2),"Apply HR to",GD317)</f>
        <v>0</v>
      </c>
      <c r="GF317" s="58">
        <f t="shared" si="433"/>
        <v>0</v>
      </c>
      <c r="GG317" s="58">
        <f t="shared" si="434"/>
        <v>0</v>
      </c>
      <c r="GH317" s="58">
        <f t="shared" si="435"/>
        <v>0</v>
      </c>
      <c r="GI317" s="58">
        <f t="shared" si="415"/>
        <v>0</v>
      </c>
      <c r="GK317" s="58">
        <f>IF(i_baseline_risk_from=2,'Effectiveness settings'!FA317,'Effectiveness settings'!FM317)</f>
        <v>4</v>
      </c>
      <c r="GL317" s="58">
        <f>IF(i_baseline_risk_from=2,'Effectiveness settings'!FB317,'Effectiveness settings'!FN317)</f>
        <v>999</v>
      </c>
      <c r="GM317" s="58">
        <f>IF(i_baseline_risk_from=2,'Effectiveness settings'!FC317,'Effectiveness settings'!FO317)</f>
        <v>2</v>
      </c>
      <c r="GN317" s="58">
        <f>IF(i_baseline_risk_from=2,'Effectiveness settings'!FD317,'Effectiveness settings'!FP317)</f>
        <v>4</v>
      </c>
      <c r="GQ317" s="58">
        <f t="shared" si="436"/>
        <v>999</v>
      </c>
      <c r="GR317" s="58">
        <f t="shared" si="437"/>
        <v>999</v>
      </c>
      <c r="GS317" s="58">
        <f t="shared" si="438"/>
        <v>999</v>
      </c>
      <c r="GT317" s="58">
        <f t="shared" si="439"/>
        <v>999</v>
      </c>
      <c r="GU317" s="58">
        <f>IF(AND(dd_CheckMate214_TTD="Yes",'Effectiveness settings'!BU317=2,'Effectiveness settings'!BX317=2),2,GT317)</f>
        <v>999</v>
      </c>
      <c r="GV317" s="58">
        <f t="shared" si="440"/>
        <v>999</v>
      </c>
      <c r="GW317" s="58">
        <f t="shared" si="441"/>
        <v>999</v>
      </c>
      <c r="GY317" s="58">
        <f>IF(AND(dd_CheckMate214_TTD="Yes",'Effectiveness settings'!BU317=2,'Effectiveness settings'!BX317=2),1,GN317)</f>
        <v>4</v>
      </c>
      <c r="GZ317" s="58">
        <f t="shared" si="442"/>
        <v>4</v>
      </c>
      <c r="HB317" s="58">
        <f t="shared" si="443"/>
        <v>0</v>
      </c>
      <c r="HD317" s="58">
        <f t="shared" si="416"/>
        <v>0</v>
      </c>
      <c r="HE317" s="58">
        <f t="shared" si="417"/>
        <v>4</v>
      </c>
      <c r="HF317" s="58">
        <f t="shared" si="418"/>
        <v>999</v>
      </c>
      <c r="HG317" s="58">
        <f t="shared" si="419"/>
        <v>2</v>
      </c>
      <c r="HH317" s="58">
        <f t="shared" si="420"/>
        <v>4</v>
      </c>
    </row>
    <row r="318" spans="1:216" ht="15.75" x14ac:dyDescent="0.25">
      <c r="I318" s="67"/>
      <c r="J318" s="520"/>
      <c r="K318" s="525"/>
      <c r="L318" s="517"/>
      <c r="Q318" s="520"/>
      <c r="X318" s="1"/>
      <c r="Y318" s="625"/>
      <c r="Z318" s="1"/>
      <c r="AA318" s="626"/>
      <c r="AB318" s="4"/>
      <c r="AD318" s="4"/>
      <c r="AE318" s="4"/>
      <c r="AF318" s="625"/>
      <c r="AL318" s="1"/>
      <c r="AM318" s="625"/>
      <c r="AN318" s="67"/>
      <c r="AO318" s="517"/>
      <c r="AT318" s="625"/>
      <c r="AZ318" s="1"/>
      <c r="BA318" s="625"/>
      <c r="BB318" s="67"/>
      <c r="BC318" s="517"/>
      <c r="BH318" s="625"/>
      <c r="BQ318" s="58">
        <f t="shared" si="423"/>
        <v>196</v>
      </c>
      <c r="BR318" s="61"/>
      <c r="BS318" s="61"/>
      <c r="BT318" s="17"/>
      <c r="BU318" s="61"/>
      <c r="BV318" s="17"/>
      <c r="BW318" s="17"/>
      <c r="BX318" s="61"/>
      <c r="BY318" s="531"/>
      <c r="BZ318" s="530"/>
      <c r="CA318" s="531"/>
      <c r="CB318" s="530"/>
      <c r="CC318" s="530"/>
      <c r="CD318" s="530"/>
      <c r="CE318" s="1295"/>
      <c r="CF318" s="1301"/>
      <c r="CG318" s="530"/>
      <c r="CH318" s="61"/>
      <c r="CI318" s="61"/>
      <c r="CJ318" s="61"/>
      <c r="DK318" s="58" t="str" cm="1">
        <f t="array" ref="DK318">IF(AND($BT318=4,$BX318=4,$BU318=999),$DB$36,_xlfn.IFNA(INDEX(DB$13:DB$70,MATCH(1,($BR318=$CV$13:$CV$70)*($BT318=$CX$13:$CX$70)*($CE318=$CY$13:$CY$70)*($BY318=$DA$13:$DA$70)*($CD318=$DH$13:$DH$70),0)),""))</f>
        <v/>
      </c>
      <c r="DL318" s="58" t="str" cm="1">
        <f t="array" ref="DL318">IF(AND($BT318=4,$BX318=4,$BU318=999),$DC$36,_xlfn.IFNA(INDEX(CHOOSE(DP318,DB$13:DB$70,DC$13:DC$70,DD$13:DD$70,DE$13:DE$70),MATCH(1,($BR318=$CV$13:$CV$70)*($BT318=$CX$13:$CX$70)*($CE318=$CY$13:$CY$70)*($BY318=$DA$13:$DA$70)*($CD318=$DH$13:$DH$70),0)),""))</f>
        <v/>
      </c>
      <c r="DM318" s="740" t="str" cm="1">
        <f t="array" ref="DM318">IF(AND($BT318=4,$BX318=4,$BU318=999),$DD$36,_xlfn.IFNA(INDEX(DD$13:DD$68,MATCH(1,($BR318=$CV$13:$CV$68)*($BT318=$CX$13:$CX$68)*($CE318=$CY$13:$CY$68)*($BY318=$DA$13:$DA$68)*($CD318=$DH$13:$DH$68),0)),""))</f>
        <v/>
      </c>
      <c r="DN318" s="740" t="str" cm="1">
        <f t="array" ref="DN318">IF(AND($BT318=4,$BX318=4,$BU318=999),$DD$36,_xlfn.IFNA(INDEX(DE$13:DE$68,MATCH(1,($BR318=$CV$13:$CV$68)*($BT318=$CX$13:$CX$68)*($CE318=$CY$13:$CY$68)*($BY318=$DA$13:$DA$68)*($CD318=$DH$13:$DH$68),0)),""))</f>
        <v/>
      </c>
      <c r="DO318" s="58" t="str" cm="1">
        <f t="array" ref="DO318">IF(AND($BT318=4,$BX318=4,$BU318=999),$DF$36,_xlfn.IFNA(INDEX(DF$13:DF$70,MATCH(1,($BR318=$CV$13:$CV$70)*($BT318=$CX$13:$CX$70)*($CE318=$CY$13:$CY$70)*($BY318=$DA$13:$DA$70)*($CD318=$DH$13:$DH$70),0)),""))</f>
        <v/>
      </c>
      <c r="DP318" s="58" t="e">
        <f t="shared" si="424"/>
        <v>#N/A</v>
      </c>
      <c r="FT318" s="58">
        <f t="shared" si="425"/>
        <v>0</v>
      </c>
      <c r="FW318" s="58">
        <f>IF(i_baseline_risk_from=2,'Effectiveness settings'!EW318,'Effectiveness settings'!FI318)</f>
        <v>0</v>
      </c>
      <c r="FX318" s="58">
        <f t="shared" si="426"/>
        <v>0</v>
      </c>
      <c r="FY318" s="58">
        <f t="shared" si="427"/>
        <v>0</v>
      </c>
      <c r="FZ318" s="58">
        <f t="shared" si="428"/>
        <v>0</v>
      </c>
      <c r="GA318" s="58">
        <f t="shared" si="429"/>
        <v>0</v>
      </c>
      <c r="GB318" s="58">
        <f t="shared" si="430"/>
        <v>0</v>
      </c>
      <c r="GC318" s="58">
        <f t="shared" si="431"/>
        <v>0</v>
      </c>
      <c r="GD318" s="58">
        <f t="shared" si="432"/>
        <v>0</v>
      </c>
      <c r="GE318" s="58">
        <f>IF(AND(dd_CheckMate214_TTD="Yes",'Effectiveness settings'!BU318=2,'Effectiveness settings'!BX318=2),"Apply HR to",GD318)</f>
        <v>0</v>
      </c>
      <c r="GF318" s="58">
        <f t="shared" si="433"/>
        <v>0</v>
      </c>
      <c r="GG318" s="58">
        <f t="shared" si="434"/>
        <v>0</v>
      </c>
      <c r="GH318" s="58">
        <f t="shared" si="435"/>
        <v>0</v>
      </c>
      <c r="GI318" s="58">
        <f t="shared" si="415"/>
        <v>0</v>
      </c>
      <c r="GK318" s="58">
        <f>IF(i_baseline_risk_from=2,'Effectiveness settings'!FA318,'Effectiveness settings'!FM318)</f>
        <v>0</v>
      </c>
      <c r="GL318" s="58">
        <f>IF(i_baseline_risk_from=2,'Effectiveness settings'!FB318,'Effectiveness settings'!FN318)</f>
        <v>0</v>
      </c>
      <c r="GM318" s="58">
        <f>IF(i_baseline_risk_from=2,'Effectiveness settings'!FC318,'Effectiveness settings'!FO318)</f>
        <v>0</v>
      </c>
      <c r="GN318" s="58">
        <f>IF(i_baseline_risk_from=2,'Effectiveness settings'!FD318,'Effectiveness settings'!FP318)</f>
        <v>0</v>
      </c>
      <c r="GQ318" s="58">
        <f t="shared" si="436"/>
        <v>0</v>
      </c>
      <c r="GR318" s="58">
        <f t="shared" si="437"/>
        <v>0</v>
      </c>
      <c r="GS318" s="58">
        <f t="shared" si="438"/>
        <v>0</v>
      </c>
      <c r="GT318" s="58">
        <f t="shared" si="439"/>
        <v>0</v>
      </c>
      <c r="GU318" s="58">
        <f>IF(AND(dd_CheckMate214_TTD="Yes",'Effectiveness settings'!BU318=2,'Effectiveness settings'!BX318=2),2,GT318)</f>
        <v>0</v>
      </c>
      <c r="GV318" s="58">
        <f t="shared" si="440"/>
        <v>0</v>
      </c>
      <c r="GW318" s="58">
        <f t="shared" si="441"/>
        <v>0</v>
      </c>
      <c r="GY318" s="58">
        <f>IF(AND(dd_CheckMate214_TTD="Yes",'Effectiveness settings'!BU318=2,'Effectiveness settings'!BX318=2),1,GN318)</f>
        <v>0</v>
      </c>
      <c r="GZ318" s="58">
        <f t="shared" si="442"/>
        <v>0</v>
      </c>
      <c r="HB318" s="58">
        <f t="shared" si="443"/>
        <v>0</v>
      </c>
      <c r="HD318" s="58">
        <f t="shared" si="416"/>
        <v>0</v>
      </c>
      <c r="HE318" s="58">
        <f t="shared" si="417"/>
        <v>0</v>
      </c>
      <c r="HF318" s="58">
        <f t="shared" si="418"/>
        <v>0</v>
      </c>
      <c r="HG318" s="58">
        <f t="shared" si="419"/>
        <v>0</v>
      </c>
      <c r="HH318" s="58">
        <f t="shared" si="420"/>
        <v>0</v>
      </c>
    </row>
    <row r="319" spans="1:216" ht="15.75" x14ac:dyDescent="0.25">
      <c r="A319" s="480"/>
      <c r="C319" s="740">
        <v>0</v>
      </c>
      <c r="D319" s="58" t="str" cm="1">
        <f t="array" ref="D319:D332">List_comparators</f>
        <v>nivolumab_monotherapy</v>
      </c>
      <c r="I319" s="64" t="s">
        <v>58</v>
      </c>
      <c r="J319" s="519" t="s">
        <v>557</v>
      </c>
      <c r="K319" s="524"/>
      <c r="L319" s="519"/>
      <c r="M319" s="516" t="s">
        <v>31</v>
      </c>
      <c r="N319" s="64" t="s">
        <v>546</v>
      </c>
      <c r="O319" s="64" t="s">
        <v>566</v>
      </c>
      <c r="P319" s="64" t="s">
        <v>547</v>
      </c>
      <c r="Q319" s="519" t="s">
        <v>557</v>
      </c>
      <c r="R319" s="516" t="s">
        <v>548</v>
      </c>
      <c r="S319" s="497"/>
      <c r="T319" s="497"/>
      <c r="U319" s="497"/>
      <c r="W319" s="58" t="str" cm="1">
        <f t="array" ref="W319:W332">List_comparators</f>
        <v>nivolumab_monotherapy</v>
      </c>
      <c r="X319" s="64" t="s">
        <v>58</v>
      </c>
      <c r="Y319" s="519" t="s">
        <v>557</v>
      </c>
      <c r="Z319" s="524"/>
      <c r="AA319" s="519"/>
      <c r="AB319" s="516" t="s">
        <v>31</v>
      </c>
      <c r="AC319" s="64" t="s">
        <v>576</v>
      </c>
      <c r="AD319" s="64" t="s">
        <v>566</v>
      </c>
      <c r="AE319" s="64" t="s">
        <v>547</v>
      </c>
      <c r="AF319" s="519" t="s">
        <v>557</v>
      </c>
      <c r="AG319" s="516" t="s">
        <v>548</v>
      </c>
      <c r="AH319" s="497"/>
      <c r="AI319" s="497"/>
      <c r="AJ319" s="497"/>
      <c r="AL319" s="64" t="s">
        <v>58</v>
      </c>
      <c r="AM319" s="519" t="s">
        <v>557</v>
      </c>
      <c r="AN319" s="524"/>
      <c r="AO319" s="519"/>
      <c r="AP319" s="516" t="s">
        <v>31</v>
      </c>
      <c r="AQ319" s="64" t="s">
        <v>577</v>
      </c>
      <c r="AR319" s="64" t="s">
        <v>566</v>
      </c>
      <c r="AS319" s="64" t="s">
        <v>547</v>
      </c>
      <c r="AT319" s="519" t="s">
        <v>557</v>
      </c>
      <c r="AU319" s="516" t="s">
        <v>548</v>
      </c>
      <c r="AV319" s="497"/>
      <c r="AW319" s="497"/>
      <c r="AX319" s="497"/>
      <c r="AZ319" s="64" t="s">
        <v>58</v>
      </c>
      <c r="BA319" s="519" t="s">
        <v>557</v>
      </c>
      <c r="BB319" s="524"/>
      <c r="BC319" s="519"/>
      <c r="BD319" s="516" t="s">
        <v>31</v>
      </c>
      <c r="BE319" s="64" t="s">
        <v>565</v>
      </c>
      <c r="BF319" s="64" t="s">
        <v>566</v>
      </c>
      <c r="BG319" s="64" t="s">
        <v>547</v>
      </c>
      <c r="BH319" s="519" t="s">
        <v>557</v>
      </c>
      <c r="BI319" s="516" t="s">
        <v>548</v>
      </c>
      <c r="BJ319" s="497"/>
      <c r="BK319" s="497"/>
      <c r="BL319" s="497"/>
      <c r="BQ319" s="58">
        <f t="shared" si="423"/>
        <v>197</v>
      </c>
      <c r="BR319" s="61">
        <v>0</v>
      </c>
      <c r="BS319" s="61" t="s">
        <v>31</v>
      </c>
      <c r="BT319" s="17">
        <v>1</v>
      </c>
      <c r="BU319" s="17">
        <v>0</v>
      </c>
      <c r="BV319" s="17" t="str">
        <f t="shared" ref="BV319:BV332" si="540">D319</f>
        <v>nivolumab_monotherapy</v>
      </c>
      <c r="BW319" s="1006" t="str" cm="1">
        <f t="array" ref="BW319">IF(I319="No",I319,INDEX(List_incl_anal_1L_all,IF(BU319=999,35,BU319+1)))</f>
        <v>No</v>
      </c>
      <c r="BX319" s="61">
        <f t="shared" ref="BX319:BX332" si="541">MATCH(BY319,List_eff_endpoints,0)-1</f>
        <v>4</v>
      </c>
      <c r="BY319" s="531" t="str">
        <f>J319</f>
        <v>Post progression survival</v>
      </c>
      <c r="BZ319" s="530">
        <f t="shared" ref="BZ319:BZ332" si="542">GI319</f>
        <v>0</v>
      </c>
      <c r="CA319" s="531">
        <f>FT319</f>
        <v>0</v>
      </c>
      <c r="CB319" s="530">
        <f t="shared" ref="CB319:CB332" si="543">HD319</f>
        <v>0</v>
      </c>
      <c r="CC319" s="530">
        <f t="shared" ref="CC319:CC332" si="544">HE319</f>
        <v>1</v>
      </c>
      <c r="CD319" s="530">
        <f t="shared" ref="CD319:CD332" si="545">HF319</f>
        <v>999</v>
      </c>
      <c r="CE319" s="1295">
        <f t="shared" ref="CE319:CE332" si="546">HG319</f>
        <v>2</v>
      </c>
      <c r="CF319" s="1301">
        <f t="shared" ref="CF319:CF332" si="547">HH319</f>
        <v>4</v>
      </c>
      <c r="CG319" s="530" t="str">
        <f t="shared" ref="CG319:CG332" si="548">IF(i_surv_cur=1,DK319,DL319)</f>
        <v/>
      </c>
      <c r="CH319" s="61">
        <f t="shared" ref="CH319:CH332" si="549">S319</f>
        <v>0</v>
      </c>
      <c r="CI319" s="61">
        <f t="shared" ref="CI319:CI332" si="550">T319</f>
        <v>0</v>
      </c>
      <c r="CJ319" s="61">
        <f t="shared" ref="CJ319:CJ332" si="551">U319</f>
        <v>0</v>
      </c>
      <c r="DK319" s="58" t="str" cm="1">
        <f t="array" ref="DK319">IF(AND($BT319=4,$BX319=4,$BU319=999),$DB$36,_xlfn.IFNA(INDEX(DB$13:DB$70,MATCH(1,($BR319=$CV$13:$CV$70)*($BT319=$CX$13:$CX$70)*($CE319=$CY$13:$CY$70)*($BY319=$DA$13:$DA$70)*($CD319=$DH$13:$DH$70),0)),""))</f>
        <v/>
      </c>
      <c r="DL319" s="58" t="str" cm="1">
        <f t="array" ref="DL319">IF(AND($BT319=4,$BX319=4,$BU319=999),$DC$36,_xlfn.IFNA(INDEX(CHOOSE(DP319,DB$13:DB$70,DC$13:DC$70,DD$13:DD$70,DE$13:DE$70),MATCH(1,($BR319=$CV$13:$CV$70)*($BT319=$CX$13:$CX$70)*($CE319=$CY$13:$CY$70)*($BY319=$DA$13:$DA$70)*($CD319=$DH$13:$DH$70),0)),""))</f>
        <v/>
      </c>
      <c r="DM319" s="740" t="str" cm="1">
        <f t="array" ref="DM319">IF(AND($BT319=4,$BX319=4,$BU319=999),$DD$36,_xlfn.IFNA(INDEX(DD$13:DD$68,MATCH(1,($BR319=$CV$13:$CV$68)*($BT319=$CX$13:$CX$68)*($CE319=$CY$13:$CY$68)*($BY319=$DA$13:$DA$68)*($CD319=$DH$13:$DH$68),0)),""))</f>
        <v/>
      </c>
      <c r="DN319" s="740" t="str" cm="1">
        <f t="array" ref="DN319">IF(AND($BT319=4,$BX319=4,$BU319=999),$DD$36,_xlfn.IFNA(INDEX(DE$13:DE$68,MATCH(1,($BR319=$CV$13:$CV$68)*($BT319=$CX$13:$CX$68)*($CE319=$CY$13:$CY$68)*($BY319=$DA$13:$DA$68)*($CD319=$DH$13:$DH$68),0)),""))</f>
        <v/>
      </c>
      <c r="DO319" s="58" t="str" cm="1">
        <f t="array" ref="DO319">IF(AND($BT319=4,$BX319=4,$BU319=999),$DF$36,_xlfn.IFNA(INDEX(DF$13:DF$70,MATCH(1,($BR319=$CV$13:$CV$70)*($BT319=$CX$13:$CX$70)*($CE319=$CY$13:$CY$70)*($BY319=$DA$13:$DA$70)*($CD319=$DH$13:$DH$70),0)),""))</f>
        <v/>
      </c>
      <c r="DP319" s="58" t="e">
        <f t="shared" si="424"/>
        <v>#N/A</v>
      </c>
      <c r="DW319" s="58" t="s">
        <v>58</v>
      </c>
      <c r="DX319" s="58" t="s">
        <v>557</v>
      </c>
      <c r="DY319" s="58">
        <v>0</v>
      </c>
      <c r="DZ319" s="58">
        <v>0</v>
      </c>
      <c r="EB319" s="58">
        <v>0</v>
      </c>
      <c r="EC319" s="58">
        <v>1</v>
      </c>
      <c r="ED319" s="58">
        <v>999</v>
      </c>
      <c r="EE319" s="58">
        <v>2</v>
      </c>
      <c r="EF319" s="58">
        <v>4</v>
      </c>
      <c r="EI319" s="58" t="s">
        <v>58</v>
      </c>
      <c r="EJ319" s="58" t="s">
        <v>557</v>
      </c>
      <c r="EK319" s="58">
        <v>0</v>
      </c>
      <c r="EL319" s="58">
        <v>0</v>
      </c>
      <c r="EN319" s="58">
        <v>0</v>
      </c>
      <c r="EO319" s="58">
        <v>1</v>
      </c>
      <c r="EP319" s="58">
        <v>999</v>
      </c>
      <c r="EQ319" s="58">
        <v>2</v>
      </c>
      <c r="ER319" s="58">
        <v>4</v>
      </c>
      <c r="EU319" s="58" t="str">
        <f t="shared" ref="EU319:EU350" si="552">IF(i_eff_inputs_based_on_num=2,DW319,I319)</f>
        <v>No</v>
      </c>
      <c r="EV319" s="58" t="str">
        <f t="shared" ref="EV319:EV350" si="553">IF(i_eff_inputs_based_on_num=2,DX319,J319)</f>
        <v>Post progression survival</v>
      </c>
      <c r="EW319" s="58">
        <f t="shared" ref="EW319:EW350" si="554">IF(i_eff_inputs_based_on_num=2,DY319,K319)</f>
        <v>0</v>
      </c>
      <c r="EX319" s="58">
        <f t="shared" ref="EX319:EX350" si="555">IF(i_eff_inputs_based_on_num=2,DZ319,L319)</f>
        <v>0</v>
      </c>
      <c r="EZ319" s="58">
        <f t="shared" ref="EZ319:EZ350" si="556">IF(i_eff_inputs_based_on_num=2,EB319,VLOOKUP(M319,r_pld_lookup_line,3,FALSE))</f>
        <v>0</v>
      </c>
      <c r="FA319" s="58">
        <f t="shared" ref="FA319:FA350" si="557">IF(i_eff_inputs_based_on_num=2,EC319,VLOOKUP(N319,r_pld_lookup_line,3,FALSE))</f>
        <v>1</v>
      </c>
      <c r="FB319" s="58">
        <f>IF(i_eff_inputs_based_on_num=2,ED319,(INDEX(Lists!$L$51:$L$85,MATCH(O319,Lists!$K$51:$K$85,0))))</f>
        <v>999</v>
      </c>
      <c r="FC319" s="58">
        <f>IF(i_eff_inputs_based_on_num=2,EE319,(INDEX(Lists!$L$51:$L$85,MATCH(P319,Lists!$K$51:$K$85,0))))</f>
        <v>2</v>
      </c>
      <c r="FD319" s="58">
        <f>IF(i_eff_inputs_based_on_num=2,EF319,(INDEX(Lists!$L$51:$L$85,MATCH(Q319,Lists!$K$51:$K$85,0))))</f>
        <v>4</v>
      </c>
      <c r="FG319" s="58" t="str">
        <f t="shared" ref="FG319:FG332" si="558">IF(i_eff_inputs_based_on_num=2,EI319,I319)</f>
        <v>No</v>
      </c>
      <c r="FH319" s="58" t="str">
        <f t="shared" ref="FH319:FH332" si="559">IF(i_eff_inputs_based_on_num=2,EJ319,J319)</f>
        <v>Post progression survival</v>
      </c>
      <c r="FI319" s="58">
        <f t="shared" ref="FI319:FI332" si="560">IF(i_eff_inputs_based_on_num=2,EK319,K319)</f>
        <v>0</v>
      </c>
      <c r="FJ319" s="58">
        <f t="shared" ref="FJ319:FJ332" si="561">IF(i_eff_inputs_based_on_num=2,EL319,L319)</f>
        <v>0</v>
      </c>
      <c r="FL319" s="58">
        <f t="shared" ref="FL319:FL332" si="562">IF(i_eff_inputs_based_on_num=2,EN319,VLOOKUP(M319,r_pld_lookup_line,3,FALSE))</f>
        <v>0</v>
      </c>
      <c r="FM319" s="58">
        <f t="shared" ref="FM319:FM332" si="563">IF(i_eff_inputs_based_on_num=2,EO319,VLOOKUP(N319,r_pld_lookup_line,3,FALSE))</f>
        <v>1</v>
      </c>
      <c r="FN319" s="58">
        <f>IF(i_eff_inputs_based_on_num=2,EP319,(INDEX(Lists!$L$51:$L$85,MATCH(O319,Lists!$K$51:$K$85,0))))</f>
        <v>999</v>
      </c>
      <c r="FO319" s="58">
        <f>IF(i_eff_inputs_based_on_num=2,EQ319,(INDEX(Lists!$L$51:$L$85,MATCH(P319,Lists!$K$51:$K$85,0))))</f>
        <v>2</v>
      </c>
      <c r="FP319" s="58">
        <f>IF(i_eff_inputs_based_on_num=2,ER319,(INDEX(Lists!$L$51:$L$85,MATCH(Q319,Lists!$K$51:$K$85,0))))</f>
        <v>4</v>
      </c>
      <c r="FT319" s="58">
        <f t="shared" si="425"/>
        <v>0</v>
      </c>
      <c r="FW319" s="58">
        <f>IF(i_baseline_risk_from=2,'Effectiveness settings'!EW319,'Effectiveness settings'!FI319)</f>
        <v>0</v>
      </c>
      <c r="FX319" s="58">
        <f t="shared" si="426"/>
        <v>0</v>
      </c>
      <c r="FY319" s="58">
        <f t="shared" si="427"/>
        <v>0</v>
      </c>
      <c r="FZ319" s="58">
        <f t="shared" si="428"/>
        <v>0</v>
      </c>
      <c r="GA319" s="58">
        <f t="shared" si="429"/>
        <v>0</v>
      </c>
      <c r="GB319" s="58">
        <f t="shared" si="430"/>
        <v>0</v>
      </c>
      <c r="GC319" s="58">
        <f t="shared" si="431"/>
        <v>0</v>
      </c>
      <c r="GD319" s="58">
        <f t="shared" si="432"/>
        <v>0</v>
      </c>
      <c r="GE319" s="58">
        <f>IF(AND(dd_CheckMate214_TTD="Yes",'Effectiveness settings'!BU319=2,'Effectiveness settings'!BX319=2),"Apply HR to",GD319)</f>
        <v>0</v>
      </c>
      <c r="GF319" s="58">
        <f t="shared" si="433"/>
        <v>0</v>
      </c>
      <c r="GG319" s="58">
        <f t="shared" si="434"/>
        <v>0</v>
      </c>
      <c r="GH319" s="58">
        <f t="shared" si="435"/>
        <v>0</v>
      </c>
      <c r="GI319" s="58">
        <f t="shared" si="415"/>
        <v>0</v>
      </c>
      <c r="GK319" s="58">
        <f>IF(i_baseline_risk_from=2,'Effectiveness settings'!FA319,'Effectiveness settings'!FM319)</f>
        <v>1</v>
      </c>
      <c r="GL319" s="58">
        <f>IF(i_baseline_risk_from=2,'Effectiveness settings'!FB319,'Effectiveness settings'!FN319)</f>
        <v>999</v>
      </c>
      <c r="GM319" s="58">
        <f>IF(i_baseline_risk_from=2,'Effectiveness settings'!FC319,'Effectiveness settings'!FO319)</f>
        <v>2</v>
      </c>
      <c r="GN319" s="58">
        <f>IF(i_baseline_risk_from=2,'Effectiveness settings'!FD319,'Effectiveness settings'!FP319)</f>
        <v>4</v>
      </c>
      <c r="GQ319" s="58">
        <f t="shared" si="436"/>
        <v>999</v>
      </c>
      <c r="GR319" s="58">
        <f t="shared" si="437"/>
        <v>999</v>
      </c>
      <c r="GS319" s="58">
        <f t="shared" si="438"/>
        <v>999</v>
      </c>
      <c r="GT319" s="58">
        <f t="shared" si="439"/>
        <v>999</v>
      </c>
      <c r="GU319" s="58">
        <f>IF(AND(dd_CheckMate214_TTD="Yes",'Effectiveness settings'!BU319=2,'Effectiveness settings'!BX319=2),2,GT319)</f>
        <v>999</v>
      </c>
      <c r="GV319" s="58">
        <f t="shared" si="440"/>
        <v>999</v>
      </c>
      <c r="GW319" s="58">
        <f t="shared" si="441"/>
        <v>999</v>
      </c>
      <c r="GY319" s="58">
        <f>IF(AND(dd_CheckMate214_TTD="Yes",'Effectiveness settings'!BU319=2,'Effectiveness settings'!BX319=2),1,GN319)</f>
        <v>4</v>
      </c>
      <c r="GZ319" s="58">
        <f t="shared" si="442"/>
        <v>4</v>
      </c>
      <c r="HB319" s="58">
        <f t="shared" si="443"/>
        <v>0</v>
      </c>
      <c r="HD319" s="58">
        <f t="shared" si="416"/>
        <v>0</v>
      </c>
      <c r="HE319" s="58">
        <f t="shared" si="417"/>
        <v>1</v>
      </c>
      <c r="HF319" s="58">
        <f t="shared" si="418"/>
        <v>999</v>
      </c>
      <c r="HG319" s="58">
        <f t="shared" si="419"/>
        <v>2</v>
      </c>
      <c r="HH319" s="58">
        <f t="shared" si="420"/>
        <v>4</v>
      </c>
    </row>
    <row r="320" spans="1:216" ht="15.75" x14ac:dyDescent="0.25">
      <c r="A320" s="58" t="s">
        <v>569</v>
      </c>
      <c r="C320" s="740">
        <f>C319+1</f>
        <v>1</v>
      </c>
      <c r="D320" s="58" t="str">
        <v>cabozantinib_plus_nivolumab</v>
      </c>
      <c r="I320" s="64" t="s">
        <v>58</v>
      </c>
      <c r="J320" s="519" t="s">
        <v>557</v>
      </c>
      <c r="K320" s="524"/>
      <c r="L320" s="519"/>
      <c r="M320" s="516" t="s">
        <v>31</v>
      </c>
      <c r="N320" s="64" t="s">
        <v>546</v>
      </c>
      <c r="O320" s="64" t="s">
        <v>566</v>
      </c>
      <c r="P320" s="64" t="s">
        <v>547</v>
      </c>
      <c r="Q320" s="519" t="s">
        <v>557</v>
      </c>
      <c r="R320" s="516" t="s">
        <v>548</v>
      </c>
      <c r="S320" s="497"/>
      <c r="T320" s="497"/>
      <c r="U320" s="497"/>
      <c r="W320" s="58" t="str">
        <v>cabozantinib_plus_nivolumab</v>
      </c>
      <c r="X320" s="64" t="s">
        <v>58</v>
      </c>
      <c r="Y320" s="519" t="s">
        <v>557</v>
      </c>
      <c r="Z320" s="524"/>
      <c r="AA320" s="519"/>
      <c r="AB320" s="516" t="s">
        <v>31</v>
      </c>
      <c r="AC320" s="64" t="s">
        <v>576</v>
      </c>
      <c r="AD320" s="64" t="s">
        <v>566</v>
      </c>
      <c r="AE320" s="64" t="s">
        <v>547</v>
      </c>
      <c r="AF320" s="519" t="s">
        <v>557</v>
      </c>
      <c r="AG320" s="516" t="s">
        <v>548</v>
      </c>
      <c r="AH320" s="497"/>
      <c r="AI320" s="497"/>
      <c r="AJ320" s="497"/>
      <c r="AL320" s="64" t="s">
        <v>58</v>
      </c>
      <c r="AM320" s="519" t="s">
        <v>557</v>
      </c>
      <c r="AN320" s="524"/>
      <c r="AO320" s="519"/>
      <c r="AP320" s="516" t="s">
        <v>31</v>
      </c>
      <c r="AQ320" s="64" t="s">
        <v>577</v>
      </c>
      <c r="AR320" s="64" t="s">
        <v>566</v>
      </c>
      <c r="AS320" s="64" t="s">
        <v>547</v>
      </c>
      <c r="AT320" s="519" t="s">
        <v>557</v>
      </c>
      <c r="AU320" s="516" t="s">
        <v>548</v>
      </c>
      <c r="AV320" s="497"/>
      <c r="AW320" s="497"/>
      <c r="AX320" s="497"/>
      <c r="AZ320" s="64" t="s">
        <v>58</v>
      </c>
      <c r="BA320" s="519" t="s">
        <v>557</v>
      </c>
      <c r="BB320" s="524"/>
      <c r="BC320" s="519"/>
      <c r="BD320" s="516" t="s">
        <v>31</v>
      </c>
      <c r="BE320" s="64" t="s">
        <v>565</v>
      </c>
      <c r="BF320" s="64" t="s">
        <v>566</v>
      </c>
      <c r="BG320" s="64" t="s">
        <v>547</v>
      </c>
      <c r="BH320" s="519" t="s">
        <v>557</v>
      </c>
      <c r="BI320" s="516" t="s">
        <v>548</v>
      </c>
      <c r="BJ320" s="497"/>
      <c r="BK320" s="497"/>
      <c r="BL320" s="497"/>
      <c r="BQ320" s="58">
        <f t="shared" si="423"/>
        <v>198</v>
      </c>
      <c r="BR320" s="61">
        <v>0</v>
      </c>
      <c r="BS320" s="61" t="s">
        <v>31</v>
      </c>
      <c r="BT320" s="17">
        <v>1</v>
      </c>
      <c r="BU320" s="17">
        <v>1</v>
      </c>
      <c r="BV320" s="17" t="str">
        <f t="shared" si="540"/>
        <v>cabozantinib_plus_nivolumab</v>
      </c>
      <c r="BW320" s="1006" t="str" cm="1">
        <f t="array" ref="BW320">IF(I320="No",I320,INDEX(List_incl_anal_1L_all,IF(BU320=999,35,BU320+1)))</f>
        <v>No</v>
      </c>
      <c r="BX320" s="61">
        <f t="shared" si="541"/>
        <v>4</v>
      </c>
      <c r="BY320" s="531" t="str">
        <f>J320</f>
        <v>Post progression survival</v>
      </c>
      <c r="BZ320" s="530">
        <f t="shared" si="542"/>
        <v>0</v>
      </c>
      <c r="CA320" s="531">
        <f t="shared" ref="CA320:CA332" si="564">FT320</f>
        <v>0</v>
      </c>
      <c r="CB320" s="530">
        <f t="shared" si="543"/>
        <v>0</v>
      </c>
      <c r="CC320" s="530">
        <f t="shared" si="544"/>
        <v>1</v>
      </c>
      <c r="CD320" s="530">
        <f t="shared" si="545"/>
        <v>999</v>
      </c>
      <c r="CE320" s="1295">
        <f t="shared" si="546"/>
        <v>2</v>
      </c>
      <c r="CF320" s="1301">
        <f t="shared" si="547"/>
        <v>4</v>
      </c>
      <c r="CG320" s="530" t="str">
        <f t="shared" si="548"/>
        <v/>
      </c>
      <c r="CH320" s="61">
        <f t="shared" si="549"/>
        <v>0</v>
      </c>
      <c r="CI320" s="61">
        <f t="shared" si="550"/>
        <v>0</v>
      </c>
      <c r="CJ320" s="61">
        <f t="shared" si="551"/>
        <v>0</v>
      </c>
      <c r="DK320" s="58" t="str" cm="1">
        <f t="array" ref="DK320">IF(AND($BT320=4,$BX320=4,$BU320=999),$DB$36,_xlfn.IFNA(INDEX(DB$13:DB$70,MATCH(1,($BR320=$CV$13:$CV$70)*($BT320=$CX$13:$CX$70)*($CE320=$CY$13:$CY$70)*($BY320=$DA$13:$DA$70)*($CD320=$DH$13:$DH$70),0)),""))</f>
        <v/>
      </c>
      <c r="DL320" s="58" t="str" cm="1">
        <f t="array" ref="DL320">IF(AND($BT320=4,$BX320=4,$BU320=999),$DC$36,_xlfn.IFNA(INDEX(CHOOSE(DP320,DB$13:DB$70,DC$13:DC$70,DD$13:DD$70,DE$13:DE$70),MATCH(1,($BR320=$CV$13:$CV$70)*($BT320=$CX$13:$CX$70)*($CE320=$CY$13:$CY$70)*($BY320=$DA$13:$DA$70)*($CD320=$DH$13:$DH$70),0)),""))</f>
        <v/>
      </c>
      <c r="DM320" s="740" t="str" cm="1">
        <f t="array" ref="DM320">IF(AND($BT320=4,$BX320=4,$BU320=999),$DD$36,_xlfn.IFNA(INDEX(DD$13:DD$68,MATCH(1,($BR320=$CV$13:$CV$68)*($BT320=$CX$13:$CX$68)*($CE320=$CY$13:$CY$68)*($BY320=$DA$13:$DA$68)*($CD320=$DH$13:$DH$68),0)),""))</f>
        <v/>
      </c>
      <c r="DN320" s="740" t="str" cm="1">
        <f t="array" ref="DN320">IF(AND($BT320=4,$BX320=4,$BU320=999),$DD$36,_xlfn.IFNA(INDEX(DE$13:DE$68,MATCH(1,($BR320=$CV$13:$CV$68)*($BT320=$CX$13:$CX$68)*($CE320=$CY$13:$CY$68)*($BY320=$DA$13:$DA$68)*($CD320=$DH$13:$DH$68),0)),""))</f>
        <v/>
      </c>
      <c r="DO320" s="58" t="str" cm="1">
        <f t="array" ref="DO320">IF(AND($BT320=4,$BX320=4,$BU320=999),$DF$36,_xlfn.IFNA(INDEX(DF$13:DF$70,MATCH(1,($BR320=$CV$13:$CV$70)*($BT320=$CX$13:$CX$70)*($CE320=$CY$13:$CY$70)*($BY320=$DA$13:$DA$70)*($CD320=$DH$13:$DH$70),0)),""))</f>
        <v/>
      </c>
      <c r="DP320" s="58" t="e">
        <f t="shared" si="424"/>
        <v>#N/A</v>
      </c>
      <c r="DW320" s="58" t="s">
        <v>58</v>
      </c>
      <c r="DX320" s="58" t="s">
        <v>557</v>
      </c>
      <c r="DY320" s="58">
        <v>0</v>
      </c>
      <c r="DZ320" s="58">
        <v>0</v>
      </c>
      <c r="EB320" s="58">
        <v>0</v>
      </c>
      <c r="EC320" s="58">
        <v>1</v>
      </c>
      <c r="ED320" s="58">
        <v>999</v>
      </c>
      <c r="EE320" s="58">
        <v>2</v>
      </c>
      <c r="EF320" s="58">
        <v>4</v>
      </c>
      <c r="EI320" s="58" t="s">
        <v>58</v>
      </c>
      <c r="EJ320" s="58" t="s">
        <v>557</v>
      </c>
      <c r="EK320" s="58">
        <v>0</v>
      </c>
      <c r="EL320" s="58">
        <v>0</v>
      </c>
      <c r="EN320" s="58">
        <v>0</v>
      </c>
      <c r="EO320" s="58">
        <v>1</v>
      </c>
      <c r="EP320" s="58">
        <v>999</v>
      </c>
      <c r="EQ320" s="58">
        <v>2</v>
      </c>
      <c r="ER320" s="58">
        <v>4</v>
      </c>
      <c r="EU320" s="58" t="str">
        <f t="shared" si="552"/>
        <v>No</v>
      </c>
      <c r="EV320" s="58" t="str">
        <f t="shared" si="553"/>
        <v>Post progression survival</v>
      </c>
      <c r="EW320" s="58">
        <f t="shared" si="554"/>
        <v>0</v>
      </c>
      <c r="EX320" s="58">
        <f t="shared" si="555"/>
        <v>0</v>
      </c>
      <c r="EZ320" s="58">
        <f t="shared" si="556"/>
        <v>0</v>
      </c>
      <c r="FA320" s="58">
        <f t="shared" si="557"/>
        <v>1</v>
      </c>
      <c r="FB320" s="58">
        <f>IF(i_eff_inputs_based_on_num=2,ED320,(INDEX(Lists!$L$51:$L$85,MATCH(O320,Lists!$K$51:$K$85,0))))</f>
        <v>999</v>
      </c>
      <c r="FC320" s="58">
        <f>IF(i_eff_inputs_based_on_num=2,EE320,(INDEX(Lists!$L$51:$L$85,MATCH(P320,Lists!$K$51:$K$85,0))))</f>
        <v>2</v>
      </c>
      <c r="FD320" s="58">
        <f>IF(i_eff_inputs_based_on_num=2,EF320,(INDEX(Lists!$L$51:$L$85,MATCH(Q320,Lists!$K$51:$K$85,0))))</f>
        <v>4</v>
      </c>
      <c r="FG320" s="58" t="str">
        <f t="shared" si="558"/>
        <v>No</v>
      </c>
      <c r="FH320" s="58" t="str">
        <f t="shared" si="559"/>
        <v>Post progression survival</v>
      </c>
      <c r="FI320" s="58">
        <f t="shared" si="560"/>
        <v>0</v>
      </c>
      <c r="FJ320" s="58">
        <f t="shared" si="561"/>
        <v>0</v>
      </c>
      <c r="FL320" s="58">
        <f t="shared" si="562"/>
        <v>0</v>
      </c>
      <c r="FM320" s="58">
        <f t="shared" si="563"/>
        <v>1</v>
      </c>
      <c r="FN320" s="58">
        <f>IF(i_eff_inputs_based_on_num=2,EP320,(INDEX(Lists!$L$51:$L$85,MATCH(O320,Lists!$K$51:$K$85,0))))</f>
        <v>999</v>
      </c>
      <c r="FO320" s="58">
        <f>IF(i_eff_inputs_based_on_num=2,EQ320,(INDEX(Lists!$L$51:$L$85,MATCH(P320,Lists!$K$51:$K$85,0))))</f>
        <v>2</v>
      </c>
      <c r="FP320" s="58">
        <f>IF(i_eff_inputs_based_on_num=2,ER320,(INDEX(Lists!$L$51:$L$85,MATCH(Q320,Lists!$K$51:$K$85,0))))</f>
        <v>4</v>
      </c>
      <c r="FT320" s="58">
        <f t="shared" si="425"/>
        <v>0</v>
      </c>
      <c r="FW320" s="58">
        <f>IF(i_baseline_risk_from=2,'Effectiveness settings'!EW320,'Effectiveness settings'!FI320)</f>
        <v>0</v>
      </c>
      <c r="FX320" s="58">
        <f t="shared" si="426"/>
        <v>0</v>
      </c>
      <c r="FY320" s="58">
        <f t="shared" si="427"/>
        <v>0</v>
      </c>
      <c r="FZ320" s="58">
        <f t="shared" si="428"/>
        <v>0</v>
      </c>
      <c r="GA320" s="58">
        <f t="shared" si="429"/>
        <v>0</v>
      </c>
      <c r="GB320" s="58">
        <f t="shared" si="430"/>
        <v>0</v>
      </c>
      <c r="GC320" s="58">
        <f t="shared" si="431"/>
        <v>0</v>
      </c>
      <c r="GD320" s="58">
        <f t="shared" si="432"/>
        <v>0</v>
      </c>
      <c r="GE320" s="58">
        <f>IF(AND(dd_CheckMate214_TTD="Yes",'Effectiveness settings'!BU320=2,'Effectiveness settings'!BX320=2),"Apply HR to",GD320)</f>
        <v>0</v>
      </c>
      <c r="GF320" s="58">
        <f t="shared" si="433"/>
        <v>0</v>
      </c>
      <c r="GG320" s="58">
        <f t="shared" si="434"/>
        <v>0</v>
      </c>
      <c r="GH320" s="58">
        <f t="shared" si="435"/>
        <v>0</v>
      </c>
      <c r="GI320" s="58">
        <f t="shared" si="415"/>
        <v>0</v>
      </c>
      <c r="GK320" s="58">
        <f>IF(i_baseline_risk_from=2,'Effectiveness settings'!FA320,'Effectiveness settings'!FM320)</f>
        <v>1</v>
      </c>
      <c r="GL320" s="58">
        <f>IF(i_baseline_risk_from=2,'Effectiveness settings'!FB320,'Effectiveness settings'!FN320)</f>
        <v>999</v>
      </c>
      <c r="GM320" s="58">
        <f>IF(i_baseline_risk_from=2,'Effectiveness settings'!FC320,'Effectiveness settings'!FO320)</f>
        <v>2</v>
      </c>
      <c r="GN320" s="58">
        <f>IF(i_baseline_risk_from=2,'Effectiveness settings'!FD320,'Effectiveness settings'!FP320)</f>
        <v>4</v>
      </c>
      <c r="GQ320" s="58">
        <f t="shared" si="436"/>
        <v>999</v>
      </c>
      <c r="GR320" s="58">
        <f t="shared" si="437"/>
        <v>999</v>
      </c>
      <c r="GS320" s="58">
        <f t="shared" si="438"/>
        <v>999</v>
      </c>
      <c r="GT320" s="58">
        <f t="shared" si="439"/>
        <v>999</v>
      </c>
      <c r="GU320" s="58">
        <f>IF(AND(dd_CheckMate214_TTD="Yes",'Effectiveness settings'!BU320=2,'Effectiveness settings'!BX320=2),2,GT320)</f>
        <v>999</v>
      </c>
      <c r="GV320" s="58">
        <f t="shared" si="440"/>
        <v>999</v>
      </c>
      <c r="GW320" s="58">
        <f t="shared" si="441"/>
        <v>999</v>
      </c>
      <c r="GY320" s="58">
        <f>IF(AND(dd_CheckMate214_TTD="Yes",'Effectiveness settings'!BU320=2,'Effectiveness settings'!BX320=2),1,GN320)</f>
        <v>4</v>
      </c>
      <c r="GZ320" s="58">
        <f t="shared" si="442"/>
        <v>4</v>
      </c>
      <c r="HB320" s="58">
        <f t="shared" si="443"/>
        <v>0</v>
      </c>
      <c r="HD320" s="58">
        <f t="shared" si="416"/>
        <v>0</v>
      </c>
      <c r="HE320" s="58">
        <f t="shared" si="417"/>
        <v>1</v>
      </c>
      <c r="HF320" s="58">
        <f t="shared" si="418"/>
        <v>999</v>
      </c>
      <c r="HG320" s="58">
        <f t="shared" si="419"/>
        <v>2</v>
      </c>
      <c r="HH320" s="58">
        <f t="shared" si="420"/>
        <v>4</v>
      </c>
    </row>
    <row r="321" spans="1:216" ht="15.75" x14ac:dyDescent="0.25">
      <c r="C321" s="740">
        <f t="shared" ref="C321:C332" si="565">C320+1</f>
        <v>2</v>
      </c>
      <c r="D321" s="58" t="str">
        <v>nivolumab_plus_ipilimumab</v>
      </c>
      <c r="I321" s="64" t="s">
        <v>58</v>
      </c>
      <c r="J321" s="519" t="s">
        <v>557</v>
      </c>
      <c r="K321" s="524"/>
      <c r="L321" s="519"/>
      <c r="M321" s="516" t="s">
        <v>31</v>
      </c>
      <c r="N321" s="64" t="s">
        <v>546</v>
      </c>
      <c r="O321" s="64" t="s">
        <v>566</v>
      </c>
      <c r="P321" s="64" t="s">
        <v>547</v>
      </c>
      <c r="Q321" s="519" t="s">
        <v>557</v>
      </c>
      <c r="R321" s="516" t="s">
        <v>548</v>
      </c>
      <c r="S321" s="497"/>
      <c r="T321" s="497"/>
      <c r="U321" s="497"/>
      <c r="W321" s="58" t="str">
        <v>nivolumab_plus_ipilimumab</v>
      </c>
      <c r="X321" s="64" t="s">
        <v>58</v>
      </c>
      <c r="Y321" s="519" t="s">
        <v>557</v>
      </c>
      <c r="Z321" s="524"/>
      <c r="AA321" s="519"/>
      <c r="AB321" s="516" t="s">
        <v>31</v>
      </c>
      <c r="AC321" s="64" t="s">
        <v>576</v>
      </c>
      <c r="AD321" s="64" t="s">
        <v>566</v>
      </c>
      <c r="AE321" s="64" t="s">
        <v>547</v>
      </c>
      <c r="AF321" s="519" t="s">
        <v>557</v>
      </c>
      <c r="AG321" s="516" t="s">
        <v>548</v>
      </c>
      <c r="AH321" s="497"/>
      <c r="AI321" s="497"/>
      <c r="AJ321" s="497"/>
      <c r="AL321" s="64" t="s">
        <v>58</v>
      </c>
      <c r="AM321" s="519" t="s">
        <v>557</v>
      </c>
      <c r="AN321" s="524"/>
      <c r="AO321" s="519"/>
      <c r="AP321" s="516" t="s">
        <v>31</v>
      </c>
      <c r="AQ321" s="64" t="s">
        <v>577</v>
      </c>
      <c r="AR321" s="64" t="s">
        <v>566</v>
      </c>
      <c r="AS321" s="64" t="s">
        <v>547</v>
      </c>
      <c r="AT321" s="519" t="s">
        <v>557</v>
      </c>
      <c r="AU321" s="516" t="s">
        <v>548</v>
      </c>
      <c r="AV321" s="497"/>
      <c r="AW321" s="497"/>
      <c r="AX321" s="497"/>
      <c r="AZ321" s="64" t="s">
        <v>58</v>
      </c>
      <c r="BA321" s="519" t="s">
        <v>557</v>
      </c>
      <c r="BB321" s="524"/>
      <c r="BC321" s="519"/>
      <c r="BD321" s="516" t="s">
        <v>31</v>
      </c>
      <c r="BE321" s="64" t="s">
        <v>565</v>
      </c>
      <c r="BF321" s="64" t="s">
        <v>566</v>
      </c>
      <c r="BG321" s="64" t="s">
        <v>547</v>
      </c>
      <c r="BH321" s="519" t="s">
        <v>557</v>
      </c>
      <c r="BI321" s="516" t="s">
        <v>548</v>
      </c>
      <c r="BJ321" s="497"/>
      <c r="BK321" s="497"/>
      <c r="BL321" s="497"/>
      <c r="BQ321" s="58">
        <f t="shared" si="423"/>
        <v>199</v>
      </c>
      <c r="BR321" s="61">
        <v>0</v>
      </c>
      <c r="BS321" s="61" t="s">
        <v>31</v>
      </c>
      <c r="BT321" s="17">
        <v>1</v>
      </c>
      <c r="BU321" s="17">
        <v>2</v>
      </c>
      <c r="BV321" s="17" t="str">
        <f t="shared" si="540"/>
        <v>nivolumab_plus_ipilimumab</v>
      </c>
      <c r="BW321" s="1006" t="str" cm="1">
        <f t="array" ref="BW321">IF(I321="No",I321,INDEX(List_incl_anal_1L_all,IF(BU321=999,35,BU321+1)))</f>
        <v>No</v>
      </c>
      <c r="BX321" s="61">
        <f t="shared" si="541"/>
        <v>4</v>
      </c>
      <c r="BY321" s="531" t="str">
        <f>J321</f>
        <v>Post progression survival</v>
      </c>
      <c r="BZ321" s="530">
        <f t="shared" si="542"/>
        <v>0</v>
      </c>
      <c r="CA321" s="531">
        <f t="shared" si="564"/>
        <v>0</v>
      </c>
      <c r="CB321" s="530">
        <f t="shared" si="543"/>
        <v>0</v>
      </c>
      <c r="CC321" s="530">
        <f t="shared" si="544"/>
        <v>1</v>
      </c>
      <c r="CD321" s="530">
        <f t="shared" si="545"/>
        <v>999</v>
      </c>
      <c r="CE321" s="1295">
        <f t="shared" si="546"/>
        <v>2</v>
      </c>
      <c r="CF321" s="1301">
        <f t="shared" si="547"/>
        <v>4</v>
      </c>
      <c r="CG321" s="530" t="str">
        <f t="shared" si="548"/>
        <v/>
      </c>
      <c r="CH321" s="61">
        <f t="shared" si="549"/>
        <v>0</v>
      </c>
      <c r="CI321" s="61">
        <f t="shared" si="550"/>
        <v>0</v>
      </c>
      <c r="CJ321" s="61">
        <f t="shared" si="551"/>
        <v>0</v>
      </c>
      <c r="DK321" s="58" t="str" cm="1">
        <f t="array" ref="DK321">IF(AND($BT321=4,$BX321=4,$BU321=999),$DB$36,_xlfn.IFNA(INDEX(DB$13:DB$70,MATCH(1,($BR321=$CV$13:$CV$70)*($BT321=$CX$13:$CX$70)*($CE321=$CY$13:$CY$70)*($BY321=$DA$13:$DA$70)*($CD321=$DH$13:$DH$70),0)),""))</f>
        <v/>
      </c>
      <c r="DL321" s="58" t="str" cm="1">
        <f t="array" ref="DL321">IF(AND($BT321=4,$BX321=4,$BU321=999),$DC$36,_xlfn.IFNA(INDEX(CHOOSE(DP321,DB$13:DB$70,DC$13:DC$70,DD$13:DD$70,DE$13:DE$70),MATCH(1,($BR321=$CV$13:$CV$70)*($BT321=$CX$13:$CX$70)*($CE321=$CY$13:$CY$70)*($BY321=$DA$13:$DA$70)*($CD321=$DH$13:$DH$70),0)),""))</f>
        <v/>
      </c>
      <c r="DM321" s="740" t="str" cm="1">
        <f t="array" ref="DM321">IF(AND($BT321=4,$BX321=4,$BU321=999),$DD$36,_xlfn.IFNA(INDEX(DD$13:DD$68,MATCH(1,($BR321=$CV$13:$CV$68)*($BT321=$CX$13:$CX$68)*($CE321=$CY$13:$CY$68)*($BY321=$DA$13:$DA$68)*($CD321=$DH$13:$DH$68),0)),""))</f>
        <v/>
      </c>
      <c r="DN321" s="740" t="str" cm="1">
        <f t="array" ref="DN321">IF(AND($BT321=4,$BX321=4,$BU321=999),$DD$36,_xlfn.IFNA(INDEX(DE$13:DE$68,MATCH(1,($BR321=$CV$13:$CV$68)*($BT321=$CX$13:$CX$68)*($CE321=$CY$13:$CY$68)*($BY321=$DA$13:$DA$68)*($CD321=$DH$13:$DH$68),0)),""))</f>
        <v/>
      </c>
      <c r="DO321" s="58" t="str" cm="1">
        <f t="array" ref="DO321">IF(AND($BT321=4,$BX321=4,$BU321=999),$DF$36,_xlfn.IFNA(INDEX(DF$13:DF$70,MATCH(1,($BR321=$CV$13:$CV$70)*($BT321=$CX$13:$CX$70)*($CE321=$CY$13:$CY$70)*($BY321=$DA$13:$DA$70)*($CD321=$DH$13:$DH$70),0)),""))</f>
        <v/>
      </c>
      <c r="DP321" s="58" t="e">
        <f t="shared" si="424"/>
        <v>#N/A</v>
      </c>
      <c r="DW321" s="58" t="s">
        <v>58</v>
      </c>
      <c r="DX321" s="58" t="s">
        <v>557</v>
      </c>
      <c r="DY321" s="58">
        <v>0</v>
      </c>
      <c r="DZ321" s="58">
        <v>0</v>
      </c>
      <c r="EB321" s="58">
        <v>0</v>
      </c>
      <c r="EC321" s="58">
        <v>1</v>
      </c>
      <c r="ED321" s="58">
        <v>999</v>
      </c>
      <c r="EE321" s="58">
        <v>2</v>
      </c>
      <c r="EF321" s="58">
        <v>4</v>
      </c>
      <c r="EI321" s="58" t="s">
        <v>58</v>
      </c>
      <c r="EJ321" s="58" t="s">
        <v>557</v>
      </c>
      <c r="EK321" s="58">
        <v>0</v>
      </c>
      <c r="EL321" s="58">
        <v>0</v>
      </c>
      <c r="EN321" s="58">
        <v>0</v>
      </c>
      <c r="EO321" s="58">
        <v>1</v>
      </c>
      <c r="EP321" s="58">
        <v>999</v>
      </c>
      <c r="EQ321" s="58">
        <v>2</v>
      </c>
      <c r="ER321" s="58">
        <v>4</v>
      </c>
      <c r="EU321" s="58" t="str">
        <f t="shared" si="552"/>
        <v>No</v>
      </c>
      <c r="EV321" s="58" t="str">
        <f t="shared" si="553"/>
        <v>Post progression survival</v>
      </c>
      <c r="EW321" s="58">
        <f t="shared" si="554"/>
        <v>0</v>
      </c>
      <c r="EX321" s="58">
        <f t="shared" si="555"/>
        <v>0</v>
      </c>
      <c r="EZ321" s="58">
        <f t="shared" si="556"/>
        <v>0</v>
      </c>
      <c r="FA321" s="58">
        <f t="shared" si="557"/>
        <v>1</v>
      </c>
      <c r="FB321" s="58">
        <f>IF(i_eff_inputs_based_on_num=2,ED321,(INDEX(Lists!$L$51:$L$85,MATCH(O321,Lists!$K$51:$K$85,0))))</f>
        <v>999</v>
      </c>
      <c r="FC321" s="58">
        <f>IF(i_eff_inputs_based_on_num=2,EE321,(INDEX(Lists!$L$51:$L$85,MATCH(P321,Lists!$K$51:$K$85,0))))</f>
        <v>2</v>
      </c>
      <c r="FD321" s="58">
        <f>IF(i_eff_inputs_based_on_num=2,EF321,(INDEX(Lists!$L$51:$L$85,MATCH(Q321,Lists!$K$51:$K$85,0))))</f>
        <v>4</v>
      </c>
      <c r="FG321" s="58" t="str">
        <f t="shared" si="558"/>
        <v>No</v>
      </c>
      <c r="FH321" s="58" t="str">
        <f t="shared" si="559"/>
        <v>Post progression survival</v>
      </c>
      <c r="FI321" s="58">
        <f t="shared" si="560"/>
        <v>0</v>
      </c>
      <c r="FJ321" s="58">
        <f t="shared" si="561"/>
        <v>0</v>
      </c>
      <c r="FL321" s="58">
        <f t="shared" si="562"/>
        <v>0</v>
      </c>
      <c r="FM321" s="58">
        <f t="shared" si="563"/>
        <v>1</v>
      </c>
      <c r="FN321" s="58">
        <f>IF(i_eff_inputs_based_on_num=2,EP321,(INDEX(Lists!$L$51:$L$85,MATCH(O321,Lists!$K$51:$K$85,0))))</f>
        <v>999</v>
      </c>
      <c r="FO321" s="58">
        <f>IF(i_eff_inputs_based_on_num=2,EQ321,(INDEX(Lists!$L$51:$L$85,MATCH(P321,Lists!$K$51:$K$85,0))))</f>
        <v>2</v>
      </c>
      <c r="FP321" s="58">
        <f>IF(i_eff_inputs_based_on_num=2,ER321,(INDEX(Lists!$L$51:$L$85,MATCH(Q321,Lists!$K$51:$K$85,0))))</f>
        <v>4</v>
      </c>
      <c r="FT321" s="58">
        <f t="shared" si="425"/>
        <v>0</v>
      </c>
      <c r="FW321" s="58">
        <f>IF(i_baseline_risk_from=2,'Effectiveness settings'!EW321,'Effectiveness settings'!FI321)</f>
        <v>0</v>
      </c>
      <c r="FX321" s="58">
        <f t="shared" si="426"/>
        <v>0</v>
      </c>
      <c r="FY321" s="58">
        <f t="shared" si="427"/>
        <v>0</v>
      </c>
      <c r="FZ321" s="58">
        <f t="shared" si="428"/>
        <v>0</v>
      </c>
      <c r="GA321" s="58">
        <f t="shared" si="429"/>
        <v>0</v>
      </c>
      <c r="GB321" s="58">
        <f t="shared" si="430"/>
        <v>0</v>
      </c>
      <c r="GC321" s="58">
        <f t="shared" si="431"/>
        <v>0</v>
      </c>
      <c r="GD321" s="58">
        <f t="shared" si="432"/>
        <v>0</v>
      </c>
      <c r="GE321" s="58">
        <f>IF(AND(dd_CheckMate214_TTD="Yes",'Effectiveness settings'!BU321=2,'Effectiveness settings'!BX321=2),"Apply HR to",GD321)</f>
        <v>0</v>
      </c>
      <c r="GF321" s="58">
        <f t="shared" si="433"/>
        <v>0</v>
      </c>
      <c r="GG321" s="58">
        <f t="shared" si="434"/>
        <v>0</v>
      </c>
      <c r="GH321" s="58">
        <f t="shared" si="435"/>
        <v>0</v>
      </c>
      <c r="GI321" s="58">
        <f t="shared" si="415"/>
        <v>0</v>
      </c>
      <c r="GK321" s="58">
        <f>IF(i_baseline_risk_from=2,'Effectiveness settings'!FA321,'Effectiveness settings'!FM321)</f>
        <v>1</v>
      </c>
      <c r="GL321" s="58">
        <f>IF(i_baseline_risk_from=2,'Effectiveness settings'!FB321,'Effectiveness settings'!FN321)</f>
        <v>999</v>
      </c>
      <c r="GM321" s="58">
        <f>IF(i_baseline_risk_from=2,'Effectiveness settings'!FC321,'Effectiveness settings'!FO321)</f>
        <v>2</v>
      </c>
      <c r="GN321" s="58">
        <f>IF(i_baseline_risk_from=2,'Effectiveness settings'!FD321,'Effectiveness settings'!FP321)</f>
        <v>4</v>
      </c>
      <c r="GQ321" s="58">
        <f t="shared" si="436"/>
        <v>999</v>
      </c>
      <c r="GR321" s="58">
        <f t="shared" si="437"/>
        <v>999</v>
      </c>
      <c r="GS321" s="58">
        <f t="shared" si="438"/>
        <v>999</v>
      </c>
      <c r="GT321" s="58">
        <f t="shared" si="439"/>
        <v>999</v>
      </c>
      <c r="GU321" s="58">
        <f>IF(AND(dd_CheckMate214_TTD="Yes",'Effectiveness settings'!BU321=2,'Effectiveness settings'!BX321=2),2,GT321)</f>
        <v>999</v>
      </c>
      <c r="GV321" s="58">
        <f t="shared" si="440"/>
        <v>999</v>
      </c>
      <c r="GW321" s="58">
        <f t="shared" si="441"/>
        <v>999</v>
      </c>
      <c r="GY321" s="58">
        <f>IF(AND(dd_CheckMate214_TTD="Yes",'Effectiveness settings'!BU321=2,'Effectiveness settings'!BX321=2),1,GN321)</f>
        <v>4</v>
      </c>
      <c r="GZ321" s="58">
        <f t="shared" si="442"/>
        <v>4</v>
      </c>
      <c r="HB321" s="58">
        <f t="shared" si="443"/>
        <v>0</v>
      </c>
      <c r="HD321" s="58">
        <f t="shared" si="416"/>
        <v>0</v>
      </c>
      <c r="HE321" s="58">
        <f t="shared" si="417"/>
        <v>1</v>
      </c>
      <c r="HF321" s="58">
        <f t="shared" si="418"/>
        <v>999</v>
      </c>
      <c r="HG321" s="58">
        <f t="shared" si="419"/>
        <v>2</v>
      </c>
      <c r="HH321" s="58">
        <f t="shared" si="420"/>
        <v>4</v>
      </c>
    </row>
    <row r="322" spans="1:216" ht="15.75" x14ac:dyDescent="0.25">
      <c r="C322" s="740">
        <f t="shared" si="565"/>
        <v>3</v>
      </c>
      <c r="D322" s="58" t="str">
        <v>lenvatinib_plus_pembrolizumab</v>
      </c>
      <c r="I322" s="64" t="s">
        <v>58</v>
      </c>
      <c r="J322" s="519" t="s">
        <v>557</v>
      </c>
      <c r="K322" s="524"/>
      <c r="L322" s="519"/>
      <c r="M322" s="516" t="s">
        <v>31</v>
      </c>
      <c r="N322" s="64" t="s">
        <v>546</v>
      </c>
      <c r="O322" s="64" t="s">
        <v>566</v>
      </c>
      <c r="P322" s="64" t="s">
        <v>547</v>
      </c>
      <c r="Q322" s="519" t="s">
        <v>557</v>
      </c>
      <c r="R322" s="516" t="s">
        <v>548</v>
      </c>
      <c r="S322" s="497"/>
      <c r="T322" s="497"/>
      <c r="U322" s="497"/>
      <c r="W322" s="58" t="str">
        <v>lenvatinib_plus_pembrolizumab</v>
      </c>
      <c r="X322" s="64" t="s">
        <v>58</v>
      </c>
      <c r="Y322" s="519" t="s">
        <v>557</v>
      </c>
      <c r="Z322" s="524"/>
      <c r="AA322" s="519"/>
      <c r="AB322" s="516" t="s">
        <v>31</v>
      </c>
      <c r="AC322" s="64" t="s">
        <v>576</v>
      </c>
      <c r="AD322" s="64" t="s">
        <v>566</v>
      </c>
      <c r="AE322" s="64" t="s">
        <v>547</v>
      </c>
      <c r="AF322" s="519" t="s">
        <v>557</v>
      </c>
      <c r="AG322" s="516" t="s">
        <v>548</v>
      </c>
      <c r="AH322" s="497"/>
      <c r="AI322" s="497"/>
      <c r="AJ322" s="497"/>
      <c r="AL322" s="64" t="s">
        <v>58</v>
      </c>
      <c r="AM322" s="519" t="s">
        <v>557</v>
      </c>
      <c r="AN322" s="524"/>
      <c r="AO322" s="519"/>
      <c r="AP322" s="516" t="s">
        <v>31</v>
      </c>
      <c r="AQ322" s="64" t="s">
        <v>577</v>
      </c>
      <c r="AR322" s="64" t="s">
        <v>566</v>
      </c>
      <c r="AS322" s="64" t="s">
        <v>547</v>
      </c>
      <c r="AT322" s="519" t="s">
        <v>557</v>
      </c>
      <c r="AU322" s="516" t="s">
        <v>548</v>
      </c>
      <c r="AV322" s="497"/>
      <c r="AW322" s="497"/>
      <c r="AX322" s="497"/>
      <c r="AZ322" s="64" t="s">
        <v>58</v>
      </c>
      <c r="BA322" s="519" t="s">
        <v>557</v>
      </c>
      <c r="BB322" s="524"/>
      <c r="BC322" s="519"/>
      <c r="BD322" s="516" t="s">
        <v>31</v>
      </c>
      <c r="BE322" s="64" t="s">
        <v>565</v>
      </c>
      <c r="BF322" s="64" t="s">
        <v>566</v>
      </c>
      <c r="BG322" s="64" t="s">
        <v>547</v>
      </c>
      <c r="BH322" s="519" t="s">
        <v>557</v>
      </c>
      <c r="BI322" s="516" t="s">
        <v>548</v>
      </c>
      <c r="BJ322" s="497"/>
      <c r="BK322" s="497"/>
      <c r="BL322" s="497"/>
      <c r="BQ322" s="58">
        <f t="shared" si="423"/>
        <v>200</v>
      </c>
      <c r="BR322" s="61">
        <v>0</v>
      </c>
      <c r="BS322" s="61" t="s">
        <v>31</v>
      </c>
      <c r="BT322" s="17">
        <v>1</v>
      </c>
      <c r="BU322" s="17">
        <v>3</v>
      </c>
      <c r="BV322" s="17" t="str">
        <f t="shared" si="540"/>
        <v>lenvatinib_plus_pembrolizumab</v>
      </c>
      <c r="BW322" s="1006" t="str" cm="1">
        <f t="array" ref="BW322">IF(I322="No",I322,INDEX(List_incl_anal_1L_all,IF(BU322=999,35,BU322+1)))</f>
        <v>No</v>
      </c>
      <c r="BX322" s="61">
        <f t="shared" si="541"/>
        <v>4</v>
      </c>
      <c r="BY322" s="531" t="str">
        <f>J322</f>
        <v>Post progression survival</v>
      </c>
      <c r="BZ322" s="530">
        <f t="shared" si="542"/>
        <v>0</v>
      </c>
      <c r="CA322" s="531">
        <f t="shared" si="564"/>
        <v>0</v>
      </c>
      <c r="CB322" s="530">
        <f t="shared" si="543"/>
        <v>0</v>
      </c>
      <c r="CC322" s="530">
        <f t="shared" si="544"/>
        <v>1</v>
      </c>
      <c r="CD322" s="530">
        <f t="shared" si="545"/>
        <v>999</v>
      </c>
      <c r="CE322" s="1295">
        <f t="shared" si="546"/>
        <v>2</v>
      </c>
      <c r="CF322" s="1301">
        <f t="shared" si="547"/>
        <v>4</v>
      </c>
      <c r="CG322" s="530" t="str">
        <f t="shared" si="548"/>
        <v/>
      </c>
      <c r="CH322" s="61">
        <f t="shared" si="549"/>
        <v>0</v>
      </c>
      <c r="CI322" s="61">
        <f t="shared" si="550"/>
        <v>0</v>
      </c>
      <c r="CJ322" s="61">
        <f t="shared" si="551"/>
        <v>0</v>
      </c>
      <c r="DK322" s="58" t="str" cm="1">
        <f t="array" ref="DK322">IF(AND($BT322=4,$BX322=4,$BU322=999),$DB$36,_xlfn.IFNA(INDEX(DB$13:DB$70,MATCH(1,($BR322=$CV$13:$CV$70)*($BT322=$CX$13:$CX$70)*($CE322=$CY$13:$CY$70)*($BY322=$DA$13:$DA$70)*($CD322=$DH$13:$DH$70),0)),""))</f>
        <v/>
      </c>
      <c r="DL322" s="58" t="str" cm="1">
        <f t="array" ref="DL322">IF(AND($BT322=4,$BX322=4,$BU322=999),$DC$36,_xlfn.IFNA(INDEX(CHOOSE(DP322,DB$13:DB$70,DC$13:DC$70,DD$13:DD$70,DE$13:DE$70),MATCH(1,($BR322=$CV$13:$CV$70)*($BT322=$CX$13:$CX$70)*($CE322=$CY$13:$CY$70)*($BY322=$DA$13:$DA$70)*($CD322=$DH$13:$DH$70),0)),""))</f>
        <v/>
      </c>
      <c r="DM322" s="740" t="str" cm="1">
        <f t="array" ref="DM322">IF(AND($BT322=4,$BX322=4,$BU322=999),$DD$36,_xlfn.IFNA(INDEX(DD$13:DD$68,MATCH(1,($BR322=$CV$13:$CV$68)*($BT322=$CX$13:$CX$68)*($CE322=$CY$13:$CY$68)*($BY322=$DA$13:$DA$68)*($CD322=$DH$13:$DH$68),0)),""))</f>
        <v/>
      </c>
      <c r="DN322" s="740" t="str" cm="1">
        <f t="array" ref="DN322">IF(AND($BT322=4,$BX322=4,$BU322=999),$DD$36,_xlfn.IFNA(INDEX(DE$13:DE$68,MATCH(1,($BR322=$CV$13:$CV$68)*($BT322=$CX$13:$CX$68)*($CE322=$CY$13:$CY$68)*($BY322=$DA$13:$DA$68)*($CD322=$DH$13:$DH$68),0)),""))</f>
        <v/>
      </c>
      <c r="DO322" s="58" t="str" cm="1">
        <f t="array" ref="DO322">IF(AND($BT322=4,$BX322=4,$BU322=999),$DF$36,_xlfn.IFNA(INDEX(DF$13:DF$70,MATCH(1,($BR322=$CV$13:$CV$70)*($BT322=$CX$13:$CX$70)*($CE322=$CY$13:$CY$70)*($BY322=$DA$13:$DA$70)*($CD322=$DH$13:$DH$70),0)),""))</f>
        <v/>
      </c>
      <c r="DP322" s="58" t="e">
        <f t="shared" si="424"/>
        <v>#N/A</v>
      </c>
      <c r="DW322" s="58" t="s">
        <v>58</v>
      </c>
      <c r="DX322" s="58" t="s">
        <v>557</v>
      </c>
      <c r="DY322" s="58">
        <v>0</v>
      </c>
      <c r="DZ322" s="58">
        <v>0</v>
      </c>
      <c r="EB322" s="58">
        <v>0</v>
      </c>
      <c r="EC322" s="58">
        <v>1</v>
      </c>
      <c r="ED322" s="58">
        <v>999</v>
      </c>
      <c r="EE322" s="58">
        <v>2</v>
      </c>
      <c r="EF322" s="58">
        <v>4</v>
      </c>
      <c r="EI322" s="58" t="s">
        <v>58</v>
      </c>
      <c r="EJ322" s="58" t="s">
        <v>557</v>
      </c>
      <c r="EK322" s="58">
        <v>0</v>
      </c>
      <c r="EL322" s="58">
        <v>0</v>
      </c>
      <c r="EN322" s="58">
        <v>0</v>
      </c>
      <c r="EO322" s="58">
        <v>1</v>
      </c>
      <c r="EP322" s="58">
        <v>999</v>
      </c>
      <c r="EQ322" s="58">
        <v>2</v>
      </c>
      <c r="ER322" s="58">
        <v>4</v>
      </c>
      <c r="EU322" s="58" t="str">
        <f t="shared" si="552"/>
        <v>No</v>
      </c>
      <c r="EV322" s="58" t="str">
        <f t="shared" si="553"/>
        <v>Post progression survival</v>
      </c>
      <c r="EW322" s="58">
        <f t="shared" si="554"/>
        <v>0</v>
      </c>
      <c r="EX322" s="58">
        <f t="shared" si="555"/>
        <v>0</v>
      </c>
      <c r="EZ322" s="58">
        <f t="shared" si="556"/>
        <v>0</v>
      </c>
      <c r="FA322" s="58">
        <f t="shared" si="557"/>
        <v>1</v>
      </c>
      <c r="FB322" s="58">
        <f>IF(i_eff_inputs_based_on_num=2,ED322,(INDEX(Lists!$L$51:$L$85,MATCH(O322,Lists!$K$51:$K$85,0))))</f>
        <v>999</v>
      </c>
      <c r="FC322" s="58">
        <f>IF(i_eff_inputs_based_on_num=2,EE322,(INDEX(Lists!$L$51:$L$85,MATCH(P322,Lists!$K$51:$K$85,0))))</f>
        <v>2</v>
      </c>
      <c r="FD322" s="58">
        <f>IF(i_eff_inputs_based_on_num=2,EF322,(INDEX(Lists!$L$51:$L$85,MATCH(Q322,Lists!$K$51:$K$85,0))))</f>
        <v>4</v>
      </c>
      <c r="FG322" s="58" t="str">
        <f t="shared" si="558"/>
        <v>No</v>
      </c>
      <c r="FH322" s="58" t="str">
        <f t="shared" si="559"/>
        <v>Post progression survival</v>
      </c>
      <c r="FI322" s="58">
        <f t="shared" si="560"/>
        <v>0</v>
      </c>
      <c r="FJ322" s="58">
        <f t="shared" si="561"/>
        <v>0</v>
      </c>
      <c r="FL322" s="58">
        <f t="shared" si="562"/>
        <v>0</v>
      </c>
      <c r="FM322" s="58">
        <f t="shared" si="563"/>
        <v>1</v>
      </c>
      <c r="FN322" s="58">
        <f>IF(i_eff_inputs_based_on_num=2,EP322,(INDEX(Lists!$L$51:$L$85,MATCH(O322,Lists!$K$51:$K$85,0))))</f>
        <v>999</v>
      </c>
      <c r="FO322" s="58">
        <f>IF(i_eff_inputs_based_on_num=2,EQ322,(INDEX(Lists!$L$51:$L$85,MATCH(P322,Lists!$K$51:$K$85,0))))</f>
        <v>2</v>
      </c>
      <c r="FP322" s="58">
        <f>IF(i_eff_inputs_based_on_num=2,ER322,(INDEX(Lists!$L$51:$L$85,MATCH(Q322,Lists!$K$51:$K$85,0))))</f>
        <v>4</v>
      </c>
      <c r="FT322" s="58">
        <f t="shared" si="425"/>
        <v>0</v>
      </c>
      <c r="FW322" s="58">
        <f>IF(i_baseline_risk_from=2,'Effectiveness settings'!EW322,'Effectiveness settings'!FI322)</f>
        <v>0</v>
      </c>
      <c r="FX322" s="58">
        <f t="shared" si="426"/>
        <v>0</v>
      </c>
      <c r="FY322" s="58">
        <f t="shared" si="427"/>
        <v>0</v>
      </c>
      <c r="FZ322" s="58">
        <f t="shared" si="428"/>
        <v>0</v>
      </c>
      <c r="GA322" s="58">
        <f t="shared" si="429"/>
        <v>0</v>
      </c>
      <c r="GB322" s="58">
        <f t="shared" si="430"/>
        <v>0</v>
      </c>
      <c r="GC322" s="58">
        <f t="shared" si="431"/>
        <v>0</v>
      </c>
      <c r="GD322" s="58">
        <f t="shared" si="432"/>
        <v>0</v>
      </c>
      <c r="GE322" s="58">
        <f>IF(AND(dd_CheckMate214_TTD="Yes",'Effectiveness settings'!BU322=2,'Effectiveness settings'!BX322=2),"Apply HR to",GD322)</f>
        <v>0</v>
      </c>
      <c r="GF322" s="58">
        <f t="shared" si="433"/>
        <v>0</v>
      </c>
      <c r="GG322" s="58">
        <f t="shared" si="434"/>
        <v>0</v>
      </c>
      <c r="GH322" s="58">
        <f t="shared" si="435"/>
        <v>0</v>
      </c>
      <c r="GI322" s="58">
        <f t="shared" si="415"/>
        <v>0</v>
      </c>
      <c r="GK322" s="58">
        <f>IF(i_baseline_risk_from=2,'Effectiveness settings'!FA322,'Effectiveness settings'!FM322)</f>
        <v>1</v>
      </c>
      <c r="GL322" s="58">
        <f>IF(i_baseline_risk_from=2,'Effectiveness settings'!FB322,'Effectiveness settings'!FN322)</f>
        <v>999</v>
      </c>
      <c r="GM322" s="58">
        <f>IF(i_baseline_risk_from=2,'Effectiveness settings'!FC322,'Effectiveness settings'!FO322)</f>
        <v>2</v>
      </c>
      <c r="GN322" s="58">
        <f>IF(i_baseline_risk_from=2,'Effectiveness settings'!FD322,'Effectiveness settings'!FP322)</f>
        <v>4</v>
      </c>
      <c r="GQ322" s="58">
        <f t="shared" si="436"/>
        <v>999</v>
      </c>
      <c r="GR322" s="58">
        <f t="shared" si="437"/>
        <v>999</v>
      </c>
      <c r="GS322" s="58">
        <f t="shared" si="438"/>
        <v>999</v>
      </c>
      <c r="GT322" s="58">
        <f t="shared" si="439"/>
        <v>999</v>
      </c>
      <c r="GU322" s="58">
        <f>IF(AND(dd_CheckMate214_TTD="Yes",'Effectiveness settings'!BU322=2,'Effectiveness settings'!BX322=2),2,GT322)</f>
        <v>999</v>
      </c>
      <c r="GV322" s="58">
        <f t="shared" si="440"/>
        <v>999</v>
      </c>
      <c r="GW322" s="58">
        <f t="shared" si="441"/>
        <v>999</v>
      </c>
      <c r="GY322" s="58">
        <f>IF(AND(dd_CheckMate214_TTD="Yes",'Effectiveness settings'!BU322=2,'Effectiveness settings'!BX322=2),1,GN322)</f>
        <v>4</v>
      </c>
      <c r="GZ322" s="58">
        <f t="shared" si="442"/>
        <v>4</v>
      </c>
      <c r="HB322" s="58">
        <f t="shared" si="443"/>
        <v>0</v>
      </c>
      <c r="HD322" s="58">
        <f t="shared" ref="HD322:HD385" si="566">HB322</f>
        <v>0</v>
      </c>
      <c r="HE322" s="58">
        <f t="shared" ref="HE322:HE385" si="567">GK322</f>
        <v>1</v>
      </c>
      <c r="HF322" s="58">
        <f t="shared" ref="HF322:HF385" si="568">GW322</f>
        <v>999</v>
      </c>
      <c r="HG322" s="58">
        <f t="shared" ref="HG322:HG385" si="569">GM322</f>
        <v>2</v>
      </c>
      <c r="HH322" s="58">
        <f t="shared" ref="HH322:HH385" si="570">GZ322</f>
        <v>4</v>
      </c>
    </row>
    <row r="323" spans="1:216" ht="15.75" x14ac:dyDescent="0.25">
      <c r="C323" s="740">
        <f t="shared" si="565"/>
        <v>4</v>
      </c>
      <c r="D323" s="58" t="str">
        <v>avelumab_plus_axitinib</v>
      </c>
      <c r="I323" s="64" t="s">
        <v>58</v>
      </c>
      <c r="J323" s="519" t="s">
        <v>557</v>
      </c>
      <c r="K323" s="524"/>
      <c r="L323" s="519"/>
      <c r="M323" s="516" t="s">
        <v>31</v>
      </c>
      <c r="N323" s="64" t="s">
        <v>546</v>
      </c>
      <c r="O323" s="64" t="s">
        <v>566</v>
      </c>
      <c r="P323" s="64" t="s">
        <v>547</v>
      </c>
      <c r="Q323" s="519" t="s">
        <v>557</v>
      </c>
      <c r="R323" s="516" t="s">
        <v>548</v>
      </c>
      <c r="S323" s="497"/>
      <c r="T323" s="497"/>
      <c r="U323" s="497"/>
      <c r="W323" s="58" t="str">
        <v>avelumab_plus_axitinib</v>
      </c>
      <c r="X323" s="64" t="s">
        <v>58</v>
      </c>
      <c r="Y323" s="519" t="s">
        <v>557</v>
      </c>
      <c r="Z323" s="524"/>
      <c r="AA323" s="519"/>
      <c r="AB323" s="516" t="s">
        <v>31</v>
      </c>
      <c r="AC323" s="64" t="s">
        <v>576</v>
      </c>
      <c r="AD323" s="64" t="s">
        <v>566</v>
      </c>
      <c r="AE323" s="64" t="s">
        <v>547</v>
      </c>
      <c r="AF323" s="519" t="s">
        <v>557</v>
      </c>
      <c r="AG323" s="516" t="s">
        <v>548</v>
      </c>
      <c r="AH323" s="497"/>
      <c r="AI323" s="497"/>
      <c r="AJ323" s="497"/>
      <c r="AL323" s="64" t="s">
        <v>58</v>
      </c>
      <c r="AM323" s="519" t="s">
        <v>557</v>
      </c>
      <c r="AN323" s="524"/>
      <c r="AO323" s="519"/>
      <c r="AP323" s="516" t="s">
        <v>31</v>
      </c>
      <c r="AQ323" s="64" t="s">
        <v>577</v>
      </c>
      <c r="AR323" s="64" t="s">
        <v>566</v>
      </c>
      <c r="AS323" s="64" t="s">
        <v>547</v>
      </c>
      <c r="AT323" s="519" t="s">
        <v>557</v>
      </c>
      <c r="AU323" s="516" t="s">
        <v>548</v>
      </c>
      <c r="AV323" s="497"/>
      <c r="AW323" s="497"/>
      <c r="AX323" s="497"/>
      <c r="AZ323" s="64" t="s">
        <v>58</v>
      </c>
      <c r="BA323" s="519" t="s">
        <v>557</v>
      </c>
      <c r="BB323" s="524"/>
      <c r="BC323" s="519"/>
      <c r="BD323" s="516" t="s">
        <v>31</v>
      </c>
      <c r="BE323" s="64" t="s">
        <v>565</v>
      </c>
      <c r="BF323" s="64" t="s">
        <v>566</v>
      </c>
      <c r="BG323" s="64" t="s">
        <v>547</v>
      </c>
      <c r="BH323" s="519" t="s">
        <v>557</v>
      </c>
      <c r="BI323" s="516" t="s">
        <v>548</v>
      </c>
      <c r="BJ323" s="497"/>
      <c r="BK323" s="497"/>
      <c r="BL323" s="497"/>
      <c r="BQ323" s="58">
        <f t="shared" si="423"/>
        <v>201</v>
      </c>
      <c r="BR323" s="61">
        <v>0</v>
      </c>
      <c r="BS323" s="61" t="s">
        <v>31</v>
      </c>
      <c r="BT323" s="17">
        <v>1</v>
      </c>
      <c r="BU323" s="17">
        <v>4</v>
      </c>
      <c r="BV323" s="17" t="str">
        <f t="shared" si="540"/>
        <v>avelumab_plus_axitinib</v>
      </c>
      <c r="BW323" s="1006" t="str" cm="1">
        <f t="array" ref="BW323">IF(I323="No",I323,INDEX(List_incl_anal_1L_all,IF(BU323=999,35,BU323+1)))</f>
        <v>No</v>
      </c>
      <c r="BX323" s="61">
        <f t="shared" si="541"/>
        <v>4</v>
      </c>
      <c r="BY323" s="531" t="str">
        <f>J323</f>
        <v>Post progression survival</v>
      </c>
      <c r="BZ323" s="530">
        <f t="shared" si="542"/>
        <v>0</v>
      </c>
      <c r="CA323" s="531">
        <f t="shared" si="564"/>
        <v>0</v>
      </c>
      <c r="CB323" s="530">
        <f t="shared" si="543"/>
        <v>0</v>
      </c>
      <c r="CC323" s="530">
        <f t="shared" si="544"/>
        <v>1</v>
      </c>
      <c r="CD323" s="530">
        <f t="shared" si="545"/>
        <v>999</v>
      </c>
      <c r="CE323" s="1295">
        <f t="shared" si="546"/>
        <v>2</v>
      </c>
      <c r="CF323" s="1301">
        <f t="shared" si="547"/>
        <v>4</v>
      </c>
      <c r="CG323" s="530" t="str">
        <f t="shared" si="548"/>
        <v/>
      </c>
      <c r="CH323" s="61">
        <f t="shared" si="549"/>
        <v>0</v>
      </c>
      <c r="CI323" s="61">
        <f t="shared" si="550"/>
        <v>0</v>
      </c>
      <c r="CJ323" s="61">
        <f t="shared" si="551"/>
        <v>0</v>
      </c>
      <c r="DK323" s="58" t="str" cm="1">
        <f t="array" ref="DK323">IF(AND($BT323=4,$BX323=4,$BU323=999),$DB$36,_xlfn.IFNA(INDEX(DB$13:DB$70,MATCH(1,($BR323=$CV$13:$CV$70)*($BT323=$CX$13:$CX$70)*($CE323=$CY$13:$CY$70)*($BY323=$DA$13:$DA$70)*($CD323=$DH$13:$DH$70),0)),""))</f>
        <v/>
      </c>
      <c r="DL323" s="58" t="str" cm="1">
        <f t="array" ref="DL323">IF(AND($BT323=4,$BX323=4,$BU323=999),$DC$36,_xlfn.IFNA(INDEX(CHOOSE(DP323,DB$13:DB$70,DC$13:DC$70,DD$13:DD$70,DE$13:DE$70),MATCH(1,($BR323=$CV$13:$CV$70)*($BT323=$CX$13:$CX$70)*($CE323=$CY$13:$CY$70)*($BY323=$DA$13:$DA$70)*($CD323=$DH$13:$DH$70),0)),""))</f>
        <v/>
      </c>
      <c r="DM323" s="740" t="str" cm="1">
        <f t="array" ref="DM323">IF(AND($BT323=4,$BX323=4,$BU323=999),$DD$36,_xlfn.IFNA(INDEX(DD$13:DD$68,MATCH(1,($BR323=$CV$13:$CV$68)*($BT323=$CX$13:$CX$68)*($CE323=$CY$13:$CY$68)*($BY323=$DA$13:$DA$68)*($CD323=$DH$13:$DH$68),0)),""))</f>
        <v/>
      </c>
      <c r="DN323" s="740" t="str" cm="1">
        <f t="array" ref="DN323">IF(AND($BT323=4,$BX323=4,$BU323=999),$DD$36,_xlfn.IFNA(INDEX(DE$13:DE$68,MATCH(1,($BR323=$CV$13:$CV$68)*($BT323=$CX$13:$CX$68)*($CE323=$CY$13:$CY$68)*($BY323=$DA$13:$DA$68)*($CD323=$DH$13:$DH$68),0)),""))</f>
        <v/>
      </c>
      <c r="DO323" s="58" t="str" cm="1">
        <f t="array" ref="DO323">IF(AND($BT323=4,$BX323=4,$BU323=999),$DF$36,_xlfn.IFNA(INDEX(DF$13:DF$70,MATCH(1,($BR323=$CV$13:$CV$70)*($BT323=$CX$13:$CX$70)*($CE323=$CY$13:$CY$70)*($BY323=$DA$13:$DA$70)*($CD323=$DH$13:$DH$70),0)),""))</f>
        <v/>
      </c>
      <c r="DP323" s="58" t="e">
        <f t="shared" si="424"/>
        <v>#N/A</v>
      </c>
      <c r="DW323" s="58" t="s">
        <v>58</v>
      </c>
      <c r="DX323" s="58" t="s">
        <v>557</v>
      </c>
      <c r="DY323" s="58">
        <v>0</v>
      </c>
      <c r="DZ323" s="58">
        <v>0</v>
      </c>
      <c r="EB323" s="58">
        <v>0</v>
      </c>
      <c r="EC323" s="58">
        <v>1</v>
      </c>
      <c r="ED323" s="58">
        <v>999</v>
      </c>
      <c r="EE323" s="58">
        <v>2</v>
      </c>
      <c r="EF323" s="58">
        <v>4</v>
      </c>
      <c r="EI323" s="58" t="s">
        <v>58</v>
      </c>
      <c r="EJ323" s="58" t="s">
        <v>557</v>
      </c>
      <c r="EK323" s="58">
        <v>0</v>
      </c>
      <c r="EL323" s="58">
        <v>0</v>
      </c>
      <c r="EN323" s="58">
        <v>0</v>
      </c>
      <c r="EO323" s="58">
        <v>1</v>
      </c>
      <c r="EP323" s="58">
        <v>999</v>
      </c>
      <c r="EQ323" s="58">
        <v>2</v>
      </c>
      <c r="ER323" s="58">
        <v>4</v>
      </c>
      <c r="EU323" s="58" t="str">
        <f t="shared" si="552"/>
        <v>No</v>
      </c>
      <c r="EV323" s="58" t="str">
        <f t="shared" si="553"/>
        <v>Post progression survival</v>
      </c>
      <c r="EW323" s="58">
        <f t="shared" si="554"/>
        <v>0</v>
      </c>
      <c r="EX323" s="58">
        <f t="shared" si="555"/>
        <v>0</v>
      </c>
      <c r="EZ323" s="58">
        <f t="shared" si="556"/>
        <v>0</v>
      </c>
      <c r="FA323" s="58">
        <f t="shared" si="557"/>
        <v>1</v>
      </c>
      <c r="FB323" s="58">
        <f>IF(i_eff_inputs_based_on_num=2,ED323,(INDEX(Lists!$L$51:$L$85,MATCH(O323,Lists!$K$51:$K$85,0))))</f>
        <v>999</v>
      </c>
      <c r="FC323" s="58">
        <f>IF(i_eff_inputs_based_on_num=2,EE323,(INDEX(Lists!$L$51:$L$85,MATCH(P323,Lists!$K$51:$K$85,0))))</f>
        <v>2</v>
      </c>
      <c r="FD323" s="58">
        <f>IF(i_eff_inputs_based_on_num=2,EF323,(INDEX(Lists!$L$51:$L$85,MATCH(Q323,Lists!$K$51:$K$85,0))))</f>
        <v>4</v>
      </c>
      <c r="FG323" s="58" t="str">
        <f t="shared" si="558"/>
        <v>No</v>
      </c>
      <c r="FH323" s="58" t="str">
        <f t="shared" si="559"/>
        <v>Post progression survival</v>
      </c>
      <c r="FI323" s="58">
        <f t="shared" si="560"/>
        <v>0</v>
      </c>
      <c r="FJ323" s="58">
        <f t="shared" si="561"/>
        <v>0</v>
      </c>
      <c r="FL323" s="58">
        <f t="shared" si="562"/>
        <v>0</v>
      </c>
      <c r="FM323" s="58">
        <f t="shared" si="563"/>
        <v>1</v>
      </c>
      <c r="FN323" s="58">
        <f>IF(i_eff_inputs_based_on_num=2,EP323,(INDEX(Lists!$L$51:$L$85,MATCH(O323,Lists!$K$51:$K$85,0))))</f>
        <v>999</v>
      </c>
      <c r="FO323" s="58">
        <f>IF(i_eff_inputs_based_on_num=2,EQ323,(INDEX(Lists!$L$51:$L$85,MATCH(P323,Lists!$K$51:$K$85,0))))</f>
        <v>2</v>
      </c>
      <c r="FP323" s="58">
        <f>IF(i_eff_inputs_based_on_num=2,ER323,(INDEX(Lists!$L$51:$L$85,MATCH(Q323,Lists!$K$51:$K$85,0))))</f>
        <v>4</v>
      </c>
      <c r="FT323" s="58">
        <f t="shared" si="425"/>
        <v>0</v>
      </c>
      <c r="FW323" s="58">
        <f>IF(i_baseline_risk_from=2,'Effectiveness settings'!EW323,'Effectiveness settings'!FI323)</f>
        <v>0</v>
      </c>
      <c r="FX323" s="58">
        <f t="shared" si="426"/>
        <v>0</v>
      </c>
      <c r="FY323" s="58">
        <f t="shared" si="427"/>
        <v>0</v>
      </c>
      <c r="FZ323" s="58">
        <f t="shared" si="428"/>
        <v>0</v>
      </c>
      <c r="GA323" s="58">
        <f t="shared" si="429"/>
        <v>0</v>
      </c>
      <c r="GB323" s="58">
        <f t="shared" si="430"/>
        <v>0</v>
      </c>
      <c r="GC323" s="58">
        <f t="shared" si="431"/>
        <v>0</v>
      </c>
      <c r="GD323" s="58">
        <f t="shared" si="432"/>
        <v>0</v>
      </c>
      <c r="GE323" s="58">
        <f>IF(AND(dd_CheckMate214_TTD="Yes",'Effectiveness settings'!BU323=2,'Effectiveness settings'!BX323=2),"Apply HR to",GD323)</f>
        <v>0</v>
      </c>
      <c r="GF323" s="58">
        <f t="shared" si="433"/>
        <v>0</v>
      </c>
      <c r="GG323" s="58">
        <f t="shared" si="434"/>
        <v>0</v>
      </c>
      <c r="GH323" s="58">
        <f t="shared" si="435"/>
        <v>0</v>
      </c>
      <c r="GI323" s="58">
        <f t="shared" ref="GI323:GI386" si="571">GH323</f>
        <v>0</v>
      </c>
      <c r="GK323" s="58">
        <f>IF(i_baseline_risk_from=2,'Effectiveness settings'!FA323,'Effectiveness settings'!FM323)</f>
        <v>1</v>
      </c>
      <c r="GL323" s="58">
        <f>IF(i_baseline_risk_from=2,'Effectiveness settings'!FB323,'Effectiveness settings'!FN323)</f>
        <v>999</v>
      </c>
      <c r="GM323" s="58">
        <f>IF(i_baseline_risk_from=2,'Effectiveness settings'!FC323,'Effectiveness settings'!FO323)</f>
        <v>2</v>
      </c>
      <c r="GN323" s="58">
        <f>IF(i_baseline_risk_from=2,'Effectiveness settings'!FD323,'Effectiveness settings'!FP323)</f>
        <v>4</v>
      </c>
      <c r="GQ323" s="58">
        <f t="shared" si="436"/>
        <v>999</v>
      </c>
      <c r="GR323" s="58">
        <f t="shared" si="437"/>
        <v>999</v>
      </c>
      <c r="GS323" s="58">
        <f t="shared" si="438"/>
        <v>999</v>
      </c>
      <c r="GT323" s="58">
        <f t="shared" si="439"/>
        <v>999</v>
      </c>
      <c r="GU323" s="58">
        <f>IF(AND(dd_CheckMate214_TTD="Yes",'Effectiveness settings'!BU323=2,'Effectiveness settings'!BX323=2),2,GT323)</f>
        <v>999</v>
      </c>
      <c r="GV323" s="58">
        <f t="shared" si="440"/>
        <v>999</v>
      </c>
      <c r="GW323" s="58">
        <f t="shared" si="441"/>
        <v>999</v>
      </c>
      <c r="GY323" s="58">
        <f>IF(AND(dd_CheckMate214_TTD="Yes",'Effectiveness settings'!BU323=2,'Effectiveness settings'!BX323=2),1,GN323)</f>
        <v>4</v>
      </c>
      <c r="GZ323" s="58">
        <f t="shared" si="442"/>
        <v>4</v>
      </c>
      <c r="HB323" s="58">
        <f t="shared" si="443"/>
        <v>0</v>
      </c>
      <c r="HD323" s="58">
        <f t="shared" si="566"/>
        <v>0</v>
      </c>
      <c r="HE323" s="58">
        <f t="shared" si="567"/>
        <v>1</v>
      </c>
      <c r="HF323" s="58">
        <f t="shared" si="568"/>
        <v>999</v>
      </c>
      <c r="HG323" s="58">
        <f t="shared" si="569"/>
        <v>2</v>
      </c>
      <c r="HH323" s="58">
        <f t="shared" si="570"/>
        <v>4</v>
      </c>
    </row>
    <row r="324" spans="1:216" ht="15.75" x14ac:dyDescent="0.25">
      <c r="C324" s="740">
        <f t="shared" si="565"/>
        <v>5</v>
      </c>
      <c r="D324" s="58" t="str">
        <v>pazopanib</v>
      </c>
      <c r="I324" s="64" t="s">
        <v>58</v>
      </c>
      <c r="J324" s="519" t="s">
        <v>557</v>
      </c>
      <c r="K324" s="524"/>
      <c r="L324" s="519"/>
      <c r="M324" s="516" t="s">
        <v>31</v>
      </c>
      <c r="N324" s="64" t="s">
        <v>546</v>
      </c>
      <c r="O324" s="64" t="s">
        <v>566</v>
      </c>
      <c r="P324" s="64" t="s">
        <v>547</v>
      </c>
      <c r="Q324" s="519" t="s">
        <v>557</v>
      </c>
      <c r="R324" s="516" t="s">
        <v>548</v>
      </c>
      <c r="S324" s="497"/>
      <c r="T324" s="497"/>
      <c r="U324" s="497"/>
      <c r="W324" s="58" t="str">
        <v>pazopanib</v>
      </c>
      <c r="X324" s="64" t="s">
        <v>58</v>
      </c>
      <c r="Y324" s="519" t="s">
        <v>557</v>
      </c>
      <c r="Z324" s="524"/>
      <c r="AA324" s="519"/>
      <c r="AB324" s="516" t="s">
        <v>31</v>
      </c>
      <c r="AC324" s="64" t="s">
        <v>576</v>
      </c>
      <c r="AD324" s="64" t="s">
        <v>566</v>
      </c>
      <c r="AE324" s="64" t="s">
        <v>547</v>
      </c>
      <c r="AF324" s="519" t="s">
        <v>557</v>
      </c>
      <c r="AG324" s="516" t="s">
        <v>548</v>
      </c>
      <c r="AH324" s="497"/>
      <c r="AI324" s="497"/>
      <c r="AJ324" s="497"/>
      <c r="AL324" s="64" t="s">
        <v>58</v>
      </c>
      <c r="AM324" s="519" t="s">
        <v>557</v>
      </c>
      <c r="AN324" s="524"/>
      <c r="AO324" s="519"/>
      <c r="AP324" s="516" t="s">
        <v>31</v>
      </c>
      <c r="AQ324" s="64" t="s">
        <v>577</v>
      </c>
      <c r="AR324" s="64" t="s">
        <v>566</v>
      </c>
      <c r="AS324" s="64" t="s">
        <v>547</v>
      </c>
      <c r="AT324" s="519" t="s">
        <v>557</v>
      </c>
      <c r="AU324" s="516" t="s">
        <v>548</v>
      </c>
      <c r="AV324" s="497"/>
      <c r="AW324" s="497"/>
      <c r="AX324" s="497"/>
      <c r="AZ324" s="64" t="s">
        <v>58</v>
      </c>
      <c r="BA324" s="519" t="s">
        <v>557</v>
      </c>
      <c r="BB324" s="524"/>
      <c r="BC324" s="519"/>
      <c r="BD324" s="516" t="s">
        <v>31</v>
      </c>
      <c r="BE324" s="64" t="s">
        <v>565</v>
      </c>
      <c r="BF324" s="64" t="s">
        <v>566</v>
      </c>
      <c r="BG324" s="64" t="s">
        <v>547</v>
      </c>
      <c r="BH324" s="519" t="s">
        <v>557</v>
      </c>
      <c r="BI324" s="516" t="s">
        <v>548</v>
      </c>
      <c r="BJ324" s="497"/>
      <c r="BK324" s="497"/>
      <c r="BL324" s="497"/>
      <c r="BQ324" s="58">
        <f t="shared" si="423"/>
        <v>202</v>
      </c>
      <c r="BR324" s="61">
        <v>0</v>
      </c>
      <c r="BS324" s="61" t="s">
        <v>31</v>
      </c>
      <c r="BT324" s="17">
        <v>1</v>
      </c>
      <c r="BU324" s="17">
        <v>5</v>
      </c>
      <c r="BV324" s="17" t="str">
        <f t="shared" si="540"/>
        <v>pazopanib</v>
      </c>
      <c r="BW324" s="1006" t="str" cm="1">
        <f t="array" ref="BW324">IF(I324="No",I324,INDEX(List_incl_anal_1L_all,IF(BU324=999,35,BU324+1)))</f>
        <v>No</v>
      </c>
      <c r="BX324" s="61">
        <f t="shared" si="541"/>
        <v>4</v>
      </c>
      <c r="BY324" s="531" t="str">
        <f t="shared" ref="BY324:BY332" si="572">J324</f>
        <v>Post progression survival</v>
      </c>
      <c r="BZ324" s="530">
        <f t="shared" si="542"/>
        <v>0</v>
      </c>
      <c r="CA324" s="531">
        <f t="shared" si="564"/>
        <v>0</v>
      </c>
      <c r="CB324" s="530">
        <f t="shared" si="543"/>
        <v>0</v>
      </c>
      <c r="CC324" s="530">
        <f t="shared" si="544"/>
        <v>1</v>
      </c>
      <c r="CD324" s="530">
        <f t="shared" si="545"/>
        <v>999</v>
      </c>
      <c r="CE324" s="1295">
        <f t="shared" si="546"/>
        <v>2</v>
      </c>
      <c r="CF324" s="1301">
        <f t="shared" si="547"/>
        <v>4</v>
      </c>
      <c r="CG324" s="530" t="str">
        <f t="shared" si="548"/>
        <v/>
      </c>
      <c r="CH324" s="61">
        <f t="shared" si="549"/>
        <v>0</v>
      </c>
      <c r="CI324" s="61">
        <f t="shared" si="550"/>
        <v>0</v>
      </c>
      <c r="CJ324" s="61">
        <f t="shared" si="551"/>
        <v>0</v>
      </c>
      <c r="DK324" s="58" t="str" cm="1">
        <f t="array" ref="DK324">IF(AND($BT324=4,$BX324=4,$BU324=999),$DB$36,_xlfn.IFNA(INDEX(DB$13:DB$70,MATCH(1,($BR324=$CV$13:$CV$70)*($BT324=$CX$13:$CX$70)*($CE324=$CY$13:$CY$70)*($BY324=$DA$13:$DA$70)*($CD324=$DH$13:$DH$70),0)),""))</f>
        <v/>
      </c>
      <c r="DL324" s="58" t="str" cm="1">
        <f t="array" ref="DL324">IF(AND($BT324=4,$BX324=4,$BU324=999),$DC$36,_xlfn.IFNA(INDEX(CHOOSE(DP324,DB$13:DB$70,DC$13:DC$70,DD$13:DD$70,DE$13:DE$70),MATCH(1,($BR324=$CV$13:$CV$70)*($BT324=$CX$13:$CX$70)*($CE324=$CY$13:$CY$70)*($BY324=$DA$13:$DA$70)*($CD324=$DH$13:$DH$70),0)),""))</f>
        <v/>
      </c>
      <c r="DM324" s="740" t="str" cm="1">
        <f t="array" ref="DM324">IF(AND($BT324=4,$BX324=4,$BU324=999),$DD$36,_xlfn.IFNA(INDEX(DD$13:DD$68,MATCH(1,($BR324=$CV$13:$CV$68)*($BT324=$CX$13:$CX$68)*($CE324=$CY$13:$CY$68)*($BY324=$DA$13:$DA$68)*($CD324=$DH$13:$DH$68),0)),""))</f>
        <v/>
      </c>
      <c r="DN324" s="740" t="str" cm="1">
        <f t="array" ref="DN324">IF(AND($BT324=4,$BX324=4,$BU324=999),$DD$36,_xlfn.IFNA(INDEX(DE$13:DE$68,MATCH(1,($BR324=$CV$13:$CV$68)*($BT324=$CX$13:$CX$68)*($CE324=$CY$13:$CY$68)*($BY324=$DA$13:$DA$68)*($CD324=$DH$13:$DH$68),0)),""))</f>
        <v/>
      </c>
      <c r="DO324" s="58" t="str" cm="1">
        <f t="array" ref="DO324">IF(AND($BT324=4,$BX324=4,$BU324=999),$DF$36,_xlfn.IFNA(INDEX(DF$13:DF$70,MATCH(1,($BR324=$CV$13:$CV$70)*($BT324=$CX$13:$CX$70)*($CE324=$CY$13:$CY$70)*($BY324=$DA$13:$DA$70)*($CD324=$DH$13:$DH$70),0)),""))</f>
        <v/>
      </c>
      <c r="DP324" s="58" t="e">
        <f t="shared" si="424"/>
        <v>#N/A</v>
      </c>
      <c r="DW324" s="58" t="s">
        <v>58</v>
      </c>
      <c r="DX324" s="58" t="s">
        <v>557</v>
      </c>
      <c r="DY324" s="58">
        <v>0</v>
      </c>
      <c r="DZ324" s="58">
        <v>0</v>
      </c>
      <c r="EB324" s="58">
        <v>0</v>
      </c>
      <c r="EC324" s="58">
        <v>1</v>
      </c>
      <c r="ED324" s="58">
        <v>999</v>
      </c>
      <c r="EE324" s="58">
        <v>2</v>
      </c>
      <c r="EF324" s="58">
        <v>4</v>
      </c>
      <c r="EI324" s="58" t="s">
        <v>58</v>
      </c>
      <c r="EJ324" s="58" t="s">
        <v>557</v>
      </c>
      <c r="EK324" s="58">
        <v>0</v>
      </c>
      <c r="EL324" s="58">
        <v>0</v>
      </c>
      <c r="EN324" s="58">
        <v>0</v>
      </c>
      <c r="EO324" s="58">
        <v>1</v>
      </c>
      <c r="EP324" s="58">
        <v>999</v>
      </c>
      <c r="EQ324" s="58">
        <v>2</v>
      </c>
      <c r="ER324" s="58">
        <v>4</v>
      </c>
      <c r="EU324" s="58" t="str">
        <f t="shared" si="552"/>
        <v>No</v>
      </c>
      <c r="EV324" s="58" t="str">
        <f t="shared" si="553"/>
        <v>Post progression survival</v>
      </c>
      <c r="EW324" s="58">
        <f t="shared" si="554"/>
        <v>0</v>
      </c>
      <c r="EX324" s="58">
        <f t="shared" si="555"/>
        <v>0</v>
      </c>
      <c r="EZ324" s="58">
        <f t="shared" si="556"/>
        <v>0</v>
      </c>
      <c r="FA324" s="58">
        <f t="shared" si="557"/>
        <v>1</v>
      </c>
      <c r="FB324" s="58">
        <f>IF(i_eff_inputs_based_on_num=2,ED324,(INDEX(Lists!$L$51:$L$85,MATCH(O324,Lists!$K$51:$K$85,0))))</f>
        <v>999</v>
      </c>
      <c r="FC324" s="58">
        <f>IF(i_eff_inputs_based_on_num=2,EE324,(INDEX(Lists!$L$51:$L$85,MATCH(P324,Lists!$K$51:$K$85,0))))</f>
        <v>2</v>
      </c>
      <c r="FD324" s="58">
        <f>IF(i_eff_inputs_based_on_num=2,EF324,(INDEX(Lists!$L$51:$L$85,MATCH(Q324,Lists!$K$51:$K$85,0))))</f>
        <v>4</v>
      </c>
      <c r="FG324" s="58" t="str">
        <f t="shared" si="558"/>
        <v>No</v>
      </c>
      <c r="FH324" s="58" t="str">
        <f t="shared" si="559"/>
        <v>Post progression survival</v>
      </c>
      <c r="FI324" s="58">
        <f t="shared" si="560"/>
        <v>0</v>
      </c>
      <c r="FJ324" s="58">
        <f t="shared" si="561"/>
        <v>0</v>
      </c>
      <c r="FL324" s="58">
        <f t="shared" si="562"/>
        <v>0</v>
      </c>
      <c r="FM324" s="58">
        <f t="shared" si="563"/>
        <v>1</v>
      </c>
      <c r="FN324" s="58">
        <f>IF(i_eff_inputs_based_on_num=2,EP324,(INDEX(Lists!$L$51:$L$85,MATCH(O324,Lists!$K$51:$K$85,0))))</f>
        <v>999</v>
      </c>
      <c r="FO324" s="58">
        <f>IF(i_eff_inputs_based_on_num=2,EQ324,(INDEX(Lists!$L$51:$L$85,MATCH(P324,Lists!$K$51:$K$85,0))))</f>
        <v>2</v>
      </c>
      <c r="FP324" s="58">
        <f>IF(i_eff_inputs_based_on_num=2,ER324,(INDEX(Lists!$L$51:$L$85,MATCH(Q324,Lists!$K$51:$K$85,0))))</f>
        <v>4</v>
      </c>
      <c r="FT324" s="58">
        <f t="shared" si="425"/>
        <v>0</v>
      </c>
      <c r="FW324" s="58">
        <f>IF(i_baseline_risk_from=2,'Effectiveness settings'!EW324,'Effectiveness settings'!FI324)</f>
        <v>0</v>
      </c>
      <c r="FX324" s="58">
        <f t="shared" si="426"/>
        <v>0</v>
      </c>
      <c r="FY324" s="58">
        <f t="shared" si="427"/>
        <v>0</v>
      </c>
      <c r="FZ324" s="58">
        <f t="shared" si="428"/>
        <v>0</v>
      </c>
      <c r="GA324" s="58">
        <f t="shared" si="429"/>
        <v>0</v>
      </c>
      <c r="GB324" s="58">
        <f t="shared" si="430"/>
        <v>0</v>
      </c>
      <c r="GC324" s="58">
        <f t="shared" si="431"/>
        <v>0</v>
      </c>
      <c r="GD324" s="58">
        <f t="shared" si="432"/>
        <v>0</v>
      </c>
      <c r="GE324" s="58">
        <f>IF(AND(dd_CheckMate214_TTD="Yes",'Effectiveness settings'!BU324=2,'Effectiveness settings'!BX324=2),"Apply HR to",GD324)</f>
        <v>0</v>
      </c>
      <c r="GF324" s="58">
        <f t="shared" si="433"/>
        <v>0</v>
      </c>
      <c r="GG324" s="58">
        <f t="shared" si="434"/>
        <v>0</v>
      </c>
      <c r="GH324" s="58">
        <f t="shared" si="435"/>
        <v>0</v>
      </c>
      <c r="GI324" s="58">
        <f t="shared" si="571"/>
        <v>0</v>
      </c>
      <c r="GK324" s="58">
        <f>IF(i_baseline_risk_from=2,'Effectiveness settings'!FA324,'Effectiveness settings'!FM324)</f>
        <v>1</v>
      </c>
      <c r="GL324" s="58">
        <f>IF(i_baseline_risk_from=2,'Effectiveness settings'!FB324,'Effectiveness settings'!FN324)</f>
        <v>999</v>
      </c>
      <c r="GM324" s="58">
        <f>IF(i_baseline_risk_from=2,'Effectiveness settings'!FC324,'Effectiveness settings'!FO324)</f>
        <v>2</v>
      </c>
      <c r="GN324" s="58">
        <f>IF(i_baseline_risk_from=2,'Effectiveness settings'!FD324,'Effectiveness settings'!FP324)</f>
        <v>4</v>
      </c>
      <c r="GQ324" s="58">
        <f t="shared" si="436"/>
        <v>999</v>
      </c>
      <c r="GR324" s="58">
        <f t="shared" si="437"/>
        <v>999</v>
      </c>
      <c r="GS324" s="58">
        <f t="shared" si="438"/>
        <v>999</v>
      </c>
      <c r="GT324" s="58">
        <f t="shared" si="439"/>
        <v>999</v>
      </c>
      <c r="GU324" s="58">
        <f>IF(AND(dd_CheckMate214_TTD="Yes",'Effectiveness settings'!BU324=2,'Effectiveness settings'!BX324=2),2,GT324)</f>
        <v>999</v>
      </c>
      <c r="GV324" s="58">
        <f t="shared" si="440"/>
        <v>999</v>
      </c>
      <c r="GW324" s="58">
        <f t="shared" si="441"/>
        <v>999</v>
      </c>
      <c r="GY324" s="58">
        <f>IF(AND(dd_CheckMate214_TTD="Yes",'Effectiveness settings'!BU324=2,'Effectiveness settings'!BX324=2),1,GN324)</f>
        <v>4</v>
      </c>
      <c r="GZ324" s="58">
        <f t="shared" si="442"/>
        <v>4</v>
      </c>
      <c r="HB324" s="58">
        <f t="shared" si="443"/>
        <v>0</v>
      </c>
      <c r="HD324" s="58">
        <f t="shared" si="566"/>
        <v>0</v>
      </c>
      <c r="HE324" s="58">
        <f t="shared" si="567"/>
        <v>1</v>
      </c>
      <c r="HF324" s="58">
        <f t="shared" si="568"/>
        <v>999</v>
      </c>
      <c r="HG324" s="58">
        <f t="shared" si="569"/>
        <v>2</v>
      </c>
      <c r="HH324" s="58">
        <f t="shared" si="570"/>
        <v>4</v>
      </c>
    </row>
    <row r="325" spans="1:216" ht="15.75" x14ac:dyDescent="0.25">
      <c r="C325" s="740">
        <f t="shared" si="565"/>
        <v>6</v>
      </c>
      <c r="D325" s="58" t="str">
        <v>tivozanib</v>
      </c>
      <c r="I325" s="64" t="s">
        <v>58</v>
      </c>
      <c r="J325" s="519" t="s">
        <v>557</v>
      </c>
      <c r="K325" s="524"/>
      <c r="L325" s="519"/>
      <c r="M325" s="516" t="s">
        <v>31</v>
      </c>
      <c r="N325" s="64" t="s">
        <v>546</v>
      </c>
      <c r="O325" s="64" t="s">
        <v>566</v>
      </c>
      <c r="P325" s="64" t="s">
        <v>547</v>
      </c>
      <c r="Q325" s="519" t="s">
        <v>557</v>
      </c>
      <c r="R325" s="516" t="s">
        <v>548</v>
      </c>
      <c r="S325" s="497"/>
      <c r="T325" s="497"/>
      <c r="U325" s="497"/>
      <c r="W325" s="58" t="str">
        <v>tivozanib</v>
      </c>
      <c r="X325" s="64" t="s">
        <v>58</v>
      </c>
      <c r="Y325" s="519" t="s">
        <v>557</v>
      </c>
      <c r="Z325" s="524"/>
      <c r="AA325" s="519"/>
      <c r="AB325" s="516" t="s">
        <v>31</v>
      </c>
      <c r="AC325" s="64" t="s">
        <v>576</v>
      </c>
      <c r="AD325" s="64" t="s">
        <v>566</v>
      </c>
      <c r="AE325" s="64" t="s">
        <v>547</v>
      </c>
      <c r="AF325" s="519" t="s">
        <v>557</v>
      </c>
      <c r="AG325" s="516" t="s">
        <v>548</v>
      </c>
      <c r="AH325" s="497"/>
      <c r="AI325" s="497"/>
      <c r="AJ325" s="497"/>
      <c r="AL325" s="64" t="s">
        <v>58</v>
      </c>
      <c r="AM325" s="519" t="s">
        <v>557</v>
      </c>
      <c r="AN325" s="524"/>
      <c r="AO325" s="519"/>
      <c r="AP325" s="516" t="s">
        <v>31</v>
      </c>
      <c r="AQ325" s="64" t="s">
        <v>577</v>
      </c>
      <c r="AR325" s="64" t="s">
        <v>566</v>
      </c>
      <c r="AS325" s="64" t="s">
        <v>547</v>
      </c>
      <c r="AT325" s="519" t="s">
        <v>557</v>
      </c>
      <c r="AU325" s="516" t="s">
        <v>548</v>
      </c>
      <c r="AV325" s="497"/>
      <c r="AW325" s="497"/>
      <c r="AX325" s="497"/>
      <c r="AZ325" s="64" t="s">
        <v>58</v>
      </c>
      <c r="BA325" s="519" t="s">
        <v>557</v>
      </c>
      <c r="BB325" s="524"/>
      <c r="BC325" s="519"/>
      <c r="BD325" s="516" t="s">
        <v>31</v>
      </c>
      <c r="BE325" s="64" t="s">
        <v>565</v>
      </c>
      <c r="BF325" s="64" t="s">
        <v>566</v>
      </c>
      <c r="BG325" s="64" t="s">
        <v>547</v>
      </c>
      <c r="BH325" s="519" t="s">
        <v>557</v>
      </c>
      <c r="BI325" s="516" t="s">
        <v>548</v>
      </c>
      <c r="BJ325" s="497"/>
      <c r="BK325" s="497"/>
      <c r="BL325" s="497"/>
      <c r="BQ325" s="58">
        <f t="shared" si="423"/>
        <v>203</v>
      </c>
      <c r="BR325" s="61">
        <v>0</v>
      </c>
      <c r="BS325" s="61" t="s">
        <v>31</v>
      </c>
      <c r="BT325" s="17">
        <v>1</v>
      </c>
      <c r="BU325" s="17">
        <v>6</v>
      </c>
      <c r="BV325" s="17" t="str">
        <f t="shared" si="540"/>
        <v>tivozanib</v>
      </c>
      <c r="BW325" s="1006" t="str" cm="1">
        <f t="array" ref="BW325">IF(I325="No",I325,INDEX(List_incl_anal_1L_all,IF(BU325=999,35,BU325+1)))</f>
        <v>No</v>
      </c>
      <c r="BX325" s="61">
        <f t="shared" si="541"/>
        <v>4</v>
      </c>
      <c r="BY325" s="531" t="str">
        <f t="shared" si="572"/>
        <v>Post progression survival</v>
      </c>
      <c r="BZ325" s="530">
        <f t="shared" si="542"/>
        <v>0</v>
      </c>
      <c r="CA325" s="531">
        <f t="shared" si="564"/>
        <v>0</v>
      </c>
      <c r="CB325" s="530">
        <f t="shared" si="543"/>
        <v>0</v>
      </c>
      <c r="CC325" s="530">
        <f t="shared" si="544"/>
        <v>1</v>
      </c>
      <c r="CD325" s="530">
        <f t="shared" si="545"/>
        <v>999</v>
      </c>
      <c r="CE325" s="1295">
        <f t="shared" si="546"/>
        <v>2</v>
      </c>
      <c r="CF325" s="1301">
        <f t="shared" si="547"/>
        <v>4</v>
      </c>
      <c r="CG325" s="530" t="str">
        <f t="shared" si="548"/>
        <v/>
      </c>
      <c r="CH325" s="61">
        <f t="shared" si="549"/>
        <v>0</v>
      </c>
      <c r="CI325" s="61">
        <f t="shared" si="550"/>
        <v>0</v>
      </c>
      <c r="CJ325" s="61">
        <f t="shared" si="551"/>
        <v>0</v>
      </c>
      <c r="DK325" s="58" t="str" cm="1">
        <f t="array" ref="DK325">IF(AND($BT325=4,$BX325=4,$BU325=999),$DB$36,_xlfn.IFNA(INDEX(DB$13:DB$70,MATCH(1,($BR325=$CV$13:$CV$70)*($BT325=$CX$13:$CX$70)*($CE325=$CY$13:$CY$70)*($BY325=$DA$13:$DA$70)*($CD325=$DH$13:$DH$70),0)),""))</f>
        <v/>
      </c>
      <c r="DL325" s="58" t="str" cm="1">
        <f t="array" ref="DL325">IF(AND($BT325=4,$BX325=4,$BU325=999),$DC$36,_xlfn.IFNA(INDEX(CHOOSE(DP325,DB$13:DB$70,DC$13:DC$70,DD$13:DD$70,DE$13:DE$70),MATCH(1,($BR325=$CV$13:$CV$70)*($BT325=$CX$13:$CX$70)*($CE325=$CY$13:$CY$70)*($BY325=$DA$13:$DA$70)*($CD325=$DH$13:$DH$70),0)),""))</f>
        <v/>
      </c>
      <c r="DM325" s="740" t="str" cm="1">
        <f t="array" ref="DM325">IF(AND($BT325=4,$BX325=4,$BU325=999),$DD$36,_xlfn.IFNA(INDEX(DD$13:DD$68,MATCH(1,($BR325=$CV$13:$CV$68)*($BT325=$CX$13:$CX$68)*($CE325=$CY$13:$CY$68)*($BY325=$DA$13:$DA$68)*($CD325=$DH$13:$DH$68),0)),""))</f>
        <v/>
      </c>
      <c r="DN325" s="740" t="str" cm="1">
        <f t="array" ref="DN325">IF(AND($BT325=4,$BX325=4,$BU325=999),$DD$36,_xlfn.IFNA(INDEX(DE$13:DE$68,MATCH(1,($BR325=$CV$13:$CV$68)*($BT325=$CX$13:$CX$68)*($CE325=$CY$13:$CY$68)*($BY325=$DA$13:$DA$68)*($CD325=$DH$13:$DH$68),0)),""))</f>
        <v/>
      </c>
      <c r="DO325" s="58" t="str" cm="1">
        <f t="array" ref="DO325">IF(AND($BT325=4,$BX325=4,$BU325=999),$DF$36,_xlfn.IFNA(INDEX(DF$13:DF$70,MATCH(1,($BR325=$CV$13:$CV$70)*($BT325=$CX$13:$CX$70)*($CE325=$CY$13:$CY$70)*($BY325=$DA$13:$DA$70)*($CD325=$DH$13:$DH$70),0)),""))</f>
        <v/>
      </c>
      <c r="DP325" s="58" t="e">
        <f t="shared" si="424"/>
        <v>#N/A</v>
      </c>
      <c r="DW325" s="58" t="s">
        <v>58</v>
      </c>
      <c r="DX325" s="58" t="s">
        <v>557</v>
      </c>
      <c r="DY325" s="58">
        <v>0</v>
      </c>
      <c r="DZ325" s="58">
        <v>0</v>
      </c>
      <c r="EB325" s="58">
        <v>0</v>
      </c>
      <c r="EC325" s="58">
        <v>1</v>
      </c>
      <c r="ED325" s="58">
        <v>999</v>
      </c>
      <c r="EE325" s="58">
        <v>2</v>
      </c>
      <c r="EF325" s="58">
        <v>4</v>
      </c>
      <c r="EI325" s="58" t="s">
        <v>58</v>
      </c>
      <c r="EJ325" s="58" t="s">
        <v>557</v>
      </c>
      <c r="EK325" s="58">
        <v>0</v>
      </c>
      <c r="EL325" s="58">
        <v>0</v>
      </c>
      <c r="EN325" s="58">
        <v>0</v>
      </c>
      <c r="EO325" s="58">
        <v>1</v>
      </c>
      <c r="EP325" s="58">
        <v>999</v>
      </c>
      <c r="EQ325" s="58">
        <v>2</v>
      </c>
      <c r="ER325" s="58">
        <v>4</v>
      </c>
      <c r="EU325" s="58" t="str">
        <f t="shared" si="552"/>
        <v>No</v>
      </c>
      <c r="EV325" s="58" t="str">
        <f t="shared" si="553"/>
        <v>Post progression survival</v>
      </c>
      <c r="EW325" s="58">
        <f t="shared" si="554"/>
        <v>0</v>
      </c>
      <c r="EX325" s="58">
        <f t="shared" si="555"/>
        <v>0</v>
      </c>
      <c r="EZ325" s="58">
        <f t="shared" si="556"/>
        <v>0</v>
      </c>
      <c r="FA325" s="58">
        <f t="shared" si="557"/>
        <v>1</v>
      </c>
      <c r="FB325" s="58">
        <f>IF(i_eff_inputs_based_on_num=2,ED325,(INDEX(Lists!$L$51:$L$85,MATCH(O325,Lists!$K$51:$K$85,0))))</f>
        <v>999</v>
      </c>
      <c r="FC325" s="58">
        <f>IF(i_eff_inputs_based_on_num=2,EE325,(INDEX(Lists!$L$51:$L$85,MATCH(P325,Lists!$K$51:$K$85,0))))</f>
        <v>2</v>
      </c>
      <c r="FD325" s="58">
        <f>IF(i_eff_inputs_based_on_num=2,EF325,(INDEX(Lists!$L$51:$L$85,MATCH(Q325,Lists!$K$51:$K$85,0))))</f>
        <v>4</v>
      </c>
      <c r="FG325" s="58" t="str">
        <f t="shared" si="558"/>
        <v>No</v>
      </c>
      <c r="FH325" s="58" t="str">
        <f t="shared" si="559"/>
        <v>Post progression survival</v>
      </c>
      <c r="FI325" s="58">
        <f t="shared" si="560"/>
        <v>0</v>
      </c>
      <c r="FJ325" s="58">
        <f t="shared" si="561"/>
        <v>0</v>
      </c>
      <c r="FL325" s="58">
        <f t="shared" si="562"/>
        <v>0</v>
      </c>
      <c r="FM325" s="58">
        <f t="shared" si="563"/>
        <v>1</v>
      </c>
      <c r="FN325" s="58">
        <f>IF(i_eff_inputs_based_on_num=2,EP325,(INDEX(Lists!$L$51:$L$85,MATCH(O325,Lists!$K$51:$K$85,0))))</f>
        <v>999</v>
      </c>
      <c r="FO325" s="58">
        <f>IF(i_eff_inputs_based_on_num=2,EQ325,(INDEX(Lists!$L$51:$L$85,MATCH(P325,Lists!$K$51:$K$85,0))))</f>
        <v>2</v>
      </c>
      <c r="FP325" s="58">
        <f>IF(i_eff_inputs_based_on_num=2,ER325,(INDEX(Lists!$L$51:$L$85,MATCH(Q325,Lists!$K$51:$K$85,0))))</f>
        <v>4</v>
      </c>
      <c r="FT325" s="58">
        <f t="shared" si="425"/>
        <v>0</v>
      </c>
      <c r="FW325" s="58">
        <f>IF(i_baseline_risk_from=2,'Effectiveness settings'!EW325,'Effectiveness settings'!FI325)</f>
        <v>0</v>
      </c>
      <c r="FX325" s="58">
        <f t="shared" si="426"/>
        <v>0</v>
      </c>
      <c r="FY325" s="58">
        <f t="shared" si="427"/>
        <v>0</v>
      </c>
      <c r="FZ325" s="58">
        <f t="shared" si="428"/>
        <v>0</v>
      </c>
      <c r="GA325" s="58">
        <f t="shared" si="429"/>
        <v>0</v>
      </c>
      <c r="GB325" s="58">
        <f t="shared" si="430"/>
        <v>0</v>
      </c>
      <c r="GC325" s="58">
        <f t="shared" si="431"/>
        <v>0</v>
      </c>
      <c r="GD325" s="58">
        <f t="shared" si="432"/>
        <v>0</v>
      </c>
      <c r="GE325" s="58">
        <f>IF(AND(dd_CheckMate214_TTD="Yes",'Effectiveness settings'!BU325=2,'Effectiveness settings'!BX325=2),"Apply HR to",GD325)</f>
        <v>0</v>
      </c>
      <c r="GF325" s="58">
        <f t="shared" si="433"/>
        <v>0</v>
      </c>
      <c r="GG325" s="58">
        <f t="shared" si="434"/>
        <v>0</v>
      </c>
      <c r="GH325" s="58">
        <f t="shared" si="435"/>
        <v>0</v>
      </c>
      <c r="GI325" s="58">
        <f t="shared" si="571"/>
        <v>0</v>
      </c>
      <c r="GK325" s="58">
        <f>IF(i_baseline_risk_from=2,'Effectiveness settings'!FA325,'Effectiveness settings'!FM325)</f>
        <v>1</v>
      </c>
      <c r="GL325" s="58">
        <f>IF(i_baseline_risk_from=2,'Effectiveness settings'!FB325,'Effectiveness settings'!FN325)</f>
        <v>999</v>
      </c>
      <c r="GM325" s="58">
        <f>IF(i_baseline_risk_from=2,'Effectiveness settings'!FC325,'Effectiveness settings'!FO325)</f>
        <v>2</v>
      </c>
      <c r="GN325" s="58">
        <f>IF(i_baseline_risk_from=2,'Effectiveness settings'!FD325,'Effectiveness settings'!FP325)</f>
        <v>4</v>
      </c>
      <c r="GQ325" s="58">
        <f t="shared" si="436"/>
        <v>999</v>
      </c>
      <c r="GR325" s="58">
        <f t="shared" si="437"/>
        <v>999</v>
      </c>
      <c r="GS325" s="58">
        <f t="shared" si="438"/>
        <v>999</v>
      </c>
      <c r="GT325" s="58">
        <f t="shared" si="439"/>
        <v>999</v>
      </c>
      <c r="GU325" s="58">
        <f>IF(AND(dd_CheckMate214_TTD="Yes",'Effectiveness settings'!BU325=2,'Effectiveness settings'!BX325=2),2,GT325)</f>
        <v>999</v>
      </c>
      <c r="GV325" s="58">
        <f t="shared" si="440"/>
        <v>999</v>
      </c>
      <c r="GW325" s="58">
        <f t="shared" si="441"/>
        <v>999</v>
      </c>
      <c r="GY325" s="58">
        <f>IF(AND(dd_CheckMate214_TTD="Yes",'Effectiveness settings'!BU325=2,'Effectiveness settings'!BX325=2),1,GN325)</f>
        <v>4</v>
      </c>
      <c r="GZ325" s="58">
        <f t="shared" si="442"/>
        <v>4</v>
      </c>
      <c r="HB325" s="58">
        <f t="shared" si="443"/>
        <v>0</v>
      </c>
      <c r="HD325" s="58">
        <f t="shared" si="566"/>
        <v>0</v>
      </c>
      <c r="HE325" s="58">
        <f t="shared" si="567"/>
        <v>1</v>
      </c>
      <c r="HF325" s="58">
        <f t="shared" si="568"/>
        <v>999</v>
      </c>
      <c r="HG325" s="58">
        <f t="shared" si="569"/>
        <v>2</v>
      </c>
      <c r="HH325" s="58">
        <f t="shared" si="570"/>
        <v>4</v>
      </c>
    </row>
    <row r="326" spans="1:216" ht="15.75" x14ac:dyDescent="0.25">
      <c r="A326" s="58" t="s">
        <v>569</v>
      </c>
      <c r="C326" s="740">
        <f t="shared" si="565"/>
        <v>7</v>
      </c>
      <c r="D326" s="58" t="str">
        <v>sunitinib</v>
      </c>
      <c r="I326" s="64" t="s">
        <v>58</v>
      </c>
      <c r="J326" s="519" t="s">
        <v>557</v>
      </c>
      <c r="K326" s="524"/>
      <c r="L326" s="519"/>
      <c r="M326" s="516" t="s">
        <v>31</v>
      </c>
      <c r="N326" s="64" t="s">
        <v>546</v>
      </c>
      <c r="O326" s="64" t="s">
        <v>566</v>
      </c>
      <c r="P326" s="64" t="s">
        <v>547</v>
      </c>
      <c r="Q326" s="519" t="s">
        <v>557</v>
      </c>
      <c r="R326" s="516" t="s">
        <v>548</v>
      </c>
      <c r="S326" s="497"/>
      <c r="T326" s="497"/>
      <c r="U326" s="497"/>
      <c r="W326" s="58" t="str">
        <v>sunitinib</v>
      </c>
      <c r="X326" s="64" t="s">
        <v>58</v>
      </c>
      <c r="Y326" s="519" t="s">
        <v>557</v>
      </c>
      <c r="Z326" s="524"/>
      <c r="AA326" s="519"/>
      <c r="AB326" s="516" t="s">
        <v>31</v>
      </c>
      <c r="AC326" s="64" t="s">
        <v>576</v>
      </c>
      <c r="AD326" s="64" t="s">
        <v>566</v>
      </c>
      <c r="AE326" s="64" t="s">
        <v>547</v>
      </c>
      <c r="AF326" s="519" t="s">
        <v>557</v>
      </c>
      <c r="AG326" s="516" t="s">
        <v>548</v>
      </c>
      <c r="AH326" s="497"/>
      <c r="AI326" s="497"/>
      <c r="AJ326" s="497"/>
      <c r="AL326" s="64" t="s">
        <v>58</v>
      </c>
      <c r="AM326" s="519" t="s">
        <v>557</v>
      </c>
      <c r="AN326" s="524"/>
      <c r="AO326" s="519"/>
      <c r="AP326" s="516" t="s">
        <v>31</v>
      </c>
      <c r="AQ326" s="64" t="s">
        <v>577</v>
      </c>
      <c r="AR326" s="64" t="s">
        <v>566</v>
      </c>
      <c r="AS326" s="64" t="s">
        <v>547</v>
      </c>
      <c r="AT326" s="519" t="s">
        <v>557</v>
      </c>
      <c r="AU326" s="516" t="s">
        <v>548</v>
      </c>
      <c r="AV326" s="497"/>
      <c r="AW326" s="497"/>
      <c r="AX326" s="497"/>
      <c r="AZ326" s="64" t="s">
        <v>58</v>
      </c>
      <c r="BA326" s="519" t="s">
        <v>557</v>
      </c>
      <c r="BB326" s="524"/>
      <c r="BC326" s="519"/>
      <c r="BD326" s="516" t="s">
        <v>31</v>
      </c>
      <c r="BE326" s="64" t="s">
        <v>565</v>
      </c>
      <c r="BF326" s="64" t="s">
        <v>566</v>
      </c>
      <c r="BG326" s="64" t="s">
        <v>547</v>
      </c>
      <c r="BH326" s="519" t="s">
        <v>557</v>
      </c>
      <c r="BI326" s="516" t="s">
        <v>548</v>
      </c>
      <c r="BJ326" s="497"/>
      <c r="BK326" s="497"/>
      <c r="BL326" s="497"/>
      <c r="BQ326" s="58">
        <f t="shared" si="423"/>
        <v>204</v>
      </c>
      <c r="BR326" s="61">
        <v>0</v>
      </c>
      <c r="BS326" s="61" t="s">
        <v>31</v>
      </c>
      <c r="BT326" s="17">
        <v>1</v>
      </c>
      <c r="BU326" s="17">
        <v>7</v>
      </c>
      <c r="BV326" s="17" t="str">
        <f t="shared" si="540"/>
        <v>sunitinib</v>
      </c>
      <c r="BW326" s="1006" t="str" cm="1">
        <f t="array" ref="BW326">IF(I326="No",I326,INDEX(List_incl_anal_1L_all,IF(BU326=999,35,BU326+1)))</f>
        <v>No</v>
      </c>
      <c r="BX326" s="61">
        <f t="shared" si="541"/>
        <v>4</v>
      </c>
      <c r="BY326" s="531" t="str">
        <f t="shared" si="572"/>
        <v>Post progression survival</v>
      </c>
      <c r="BZ326" s="530">
        <f t="shared" si="542"/>
        <v>0</v>
      </c>
      <c r="CA326" s="531">
        <f t="shared" si="564"/>
        <v>0</v>
      </c>
      <c r="CB326" s="530">
        <f t="shared" si="543"/>
        <v>0</v>
      </c>
      <c r="CC326" s="530">
        <f t="shared" si="544"/>
        <v>1</v>
      </c>
      <c r="CD326" s="530">
        <f t="shared" si="545"/>
        <v>999</v>
      </c>
      <c r="CE326" s="1295">
        <f t="shared" si="546"/>
        <v>2</v>
      </c>
      <c r="CF326" s="1301">
        <f t="shared" si="547"/>
        <v>4</v>
      </c>
      <c r="CG326" s="530" t="str">
        <f t="shared" si="548"/>
        <v/>
      </c>
      <c r="CH326" s="61">
        <f t="shared" si="549"/>
        <v>0</v>
      </c>
      <c r="CI326" s="61">
        <f t="shared" si="550"/>
        <v>0</v>
      </c>
      <c r="CJ326" s="61">
        <f t="shared" si="551"/>
        <v>0</v>
      </c>
      <c r="DK326" s="58" t="str" cm="1">
        <f t="array" ref="DK326">IF(AND($BT326=4,$BX326=4,$BU326=999),$DB$36,_xlfn.IFNA(INDEX(DB$13:DB$70,MATCH(1,($BR326=$CV$13:$CV$70)*($BT326=$CX$13:$CX$70)*($CE326=$CY$13:$CY$70)*($BY326=$DA$13:$DA$70)*($CD326=$DH$13:$DH$70),0)),""))</f>
        <v/>
      </c>
      <c r="DL326" s="58" t="str" cm="1">
        <f t="array" ref="DL326">IF(AND($BT326=4,$BX326=4,$BU326=999),$DC$36,_xlfn.IFNA(INDEX(CHOOSE(DP326,DB$13:DB$70,DC$13:DC$70,DD$13:DD$70,DE$13:DE$70),MATCH(1,($BR326=$CV$13:$CV$70)*($BT326=$CX$13:$CX$70)*($CE326=$CY$13:$CY$70)*($BY326=$DA$13:$DA$70)*($CD326=$DH$13:$DH$70),0)),""))</f>
        <v/>
      </c>
      <c r="DM326" s="740" t="str" cm="1">
        <f t="array" ref="DM326">IF(AND($BT326=4,$BX326=4,$BU326=999),$DD$36,_xlfn.IFNA(INDEX(DD$13:DD$68,MATCH(1,($BR326=$CV$13:$CV$68)*($BT326=$CX$13:$CX$68)*($CE326=$CY$13:$CY$68)*($BY326=$DA$13:$DA$68)*($CD326=$DH$13:$DH$68),0)),""))</f>
        <v/>
      </c>
      <c r="DN326" s="740" t="str" cm="1">
        <f t="array" ref="DN326">IF(AND($BT326=4,$BX326=4,$BU326=999),$DD$36,_xlfn.IFNA(INDEX(DE$13:DE$68,MATCH(1,($BR326=$CV$13:$CV$68)*($BT326=$CX$13:$CX$68)*($CE326=$CY$13:$CY$68)*($BY326=$DA$13:$DA$68)*($CD326=$DH$13:$DH$68),0)),""))</f>
        <v/>
      </c>
      <c r="DO326" s="58" t="str" cm="1">
        <f t="array" ref="DO326">IF(AND($BT326=4,$BX326=4,$BU326=999),$DF$36,_xlfn.IFNA(INDEX(DF$13:DF$70,MATCH(1,($BR326=$CV$13:$CV$70)*($BT326=$CX$13:$CX$70)*($CE326=$CY$13:$CY$70)*($BY326=$DA$13:$DA$70)*($CD326=$DH$13:$DH$70),0)),""))</f>
        <v/>
      </c>
      <c r="DP326" s="58" t="e">
        <f t="shared" si="424"/>
        <v>#N/A</v>
      </c>
      <c r="DW326" s="58" t="s">
        <v>58</v>
      </c>
      <c r="DX326" s="58" t="s">
        <v>557</v>
      </c>
      <c r="DY326" s="58">
        <v>0</v>
      </c>
      <c r="DZ326" s="58">
        <v>0</v>
      </c>
      <c r="EB326" s="58">
        <v>0</v>
      </c>
      <c r="EC326" s="58">
        <v>1</v>
      </c>
      <c r="ED326" s="58">
        <v>999</v>
      </c>
      <c r="EE326" s="58">
        <v>2</v>
      </c>
      <c r="EF326" s="58">
        <v>4</v>
      </c>
      <c r="EI326" s="58" t="s">
        <v>58</v>
      </c>
      <c r="EJ326" s="58" t="s">
        <v>557</v>
      </c>
      <c r="EK326" s="58">
        <v>0</v>
      </c>
      <c r="EL326" s="58">
        <v>0</v>
      </c>
      <c r="EN326" s="58">
        <v>0</v>
      </c>
      <c r="EO326" s="58">
        <v>1</v>
      </c>
      <c r="EP326" s="58">
        <v>999</v>
      </c>
      <c r="EQ326" s="58">
        <v>2</v>
      </c>
      <c r="ER326" s="58">
        <v>4</v>
      </c>
      <c r="EU326" s="58" t="str">
        <f t="shared" si="552"/>
        <v>No</v>
      </c>
      <c r="EV326" s="58" t="str">
        <f t="shared" si="553"/>
        <v>Post progression survival</v>
      </c>
      <c r="EW326" s="58">
        <f t="shared" si="554"/>
        <v>0</v>
      </c>
      <c r="EX326" s="58">
        <f t="shared" si="555"/>
        <v>0</v>
      </c>
      <c r="EZ326" s="58">
        <f t="shared" si="556"/>
        <v>0</v>
      </c>
      <c r="FA326" s="58">
        <f t="shared" si="557"/>
        <v>1</v>
      </c>
      <c r="FB326" s="58">
        <f>IF(i_eff_inputs_based_on_num=2,ED326,(INDEX(Lists!$L$51:$L$85,MATCH(O326,Lists!$K$51:$K$85,0))))</f>
        <v>999</v>
      </c>
      <c r="FC326" s="58">
        <f>IF(i_eff_inputs_based_on_num=2,EE326,(INDEX(Lists!$L$51:$L$85,MATCH(P326,Lists!$K$51:$K$85,0))))</f>
        <v>2</v>
      </c>
      <c r="FD326" s="58">
        <f>IF(i_eff_inputs_based_on_num=2,EF326,(INDEX(Lists!$L$51:$L$85,MATCH(Q326,Lists!$K$51:$K$85,0))))</f>
        <v>4</v>
      </c>
      <c r="FG326" s="58" t="str">
        <f t="shared" si="558"/>
        <v>No</v>
      </c>
      <c r="FH326" s="58" t="str">
        <f t="shared" si="559"/>
        <v>Post progression survival</v>
      </c>
      <c r="FI326" s="58">
        <f t="shared" si="560"/>
        <v>0</v>
      </c>
      <c r="FJ326" s="58">
        <f t="shared" si="561"/>
        <v>0</v>
      </c>
      <c r="FL326" s="58">
        <f t="shared" si="562"/>
        <v>0</v>
      </c>
      <c r="FM326" s="58">
        <f t="shared" si="563"/>
        <v>1</v>
      </c>
      <c r="FN326" s="58">
        <f>IF(i_eff_inputs_based_on_num=2,EP326,(INDEX(Lists!$L$51:$L$85,MATCH(O326,Lists!$K$51:$K$85,0))))</f>
        <v>999</v>
      </c>
      <c r="FO326" s="58">
        <f>IF(i_eff_inputs_based_on_num=2,EQ326,(INDEX(Lists!$L$51:$L$85,MATCH(P326,Lists!$K$51:$K$85,0))))</f>
        <v>2</v>
      </c>
      <c r="FP326" s="58">
        <f>IF(i_eff_inputs_based_on_num=2,ER326,(INDEX(Lists!$L$51:$L$85,MATCH(Q326,Lists!$K$51:$K$85,0))))</f>
        <v>4</v>
      </c>
      <c r="FT326" s="58">
        <f t="shared" si="425"/>
        <v>0</v>
      </c>
      <c r="FW326" s="58">
        <f>IF(i_baseline_risk_from=2,'Effectiveness settings'!EW326,'Effectiveness settings'!FI326)</f>
        <v>0</v>
      </c>
      <c r="FX326" s="58">
        <f t="shared" si="426"/>
        <v>0</v>
      </c>
      <c r="FY326" s="58">
        <f t="shared" si="427"/>
        <v>0</v>
      </c>
      <c r="FZ326" s="58">
        <f t="shared" si="428"/>
        <v>0</v>
      </c>
      <c r="GA326" s="58">
        <f t="shared" si="429"/>
        <v>0</v>
      </c>
      <c r="GB326" s="58">
        <f t="shared" si="430"/>
        <v>0</v>
      </c>
      <c r="GC326" s="58">
        <f t="shared" si="431"/>
        <v>0</v>
      </c>
      <c r="GD326" s="58">
        <f t="shared" si="432"/>
        <v>0</v>
      </c>
      <c r="GE326" s="58">
        <f>IF(AND(dd_CheckMate214_TTD="Yes",'Effectiveness settings'!BU326=2,'Effectiveness settings'!BX326=2),"Apply HR to",GD326)</f>
        <v>0</v>
      </c>
      <c r="GF326" s="58">
        <f t="shared" si="433"/>
        <v>0</v>
      </c>
      <c r="GG326" s="58">
        <f t="shared" si="434"/>
        <v>0</v>
      </c>
      <c r="GH326" s="58">
        <f t="shared" si="435"/>
        <v>0</v>
      </c>
      <c r="GI326" s="58">
        <f t="shared" si="571"/>
        <v>0</v>
      </c>
      <c r="GK326" s="58">
        <f>IF(i_baseline_risk_from=2,'Effectiveness settings'!FA326,'Effectiveness settings'!FM326)</f>
        <v>1</v>
      </c>
      <c r="GL326" s="58">
        <f>IF(i_baseline_risk_from=2,'Effectiveness settings'!FB326,'Effectiveness settings'!FN326)</f>
        <v>999</v>
      </c>
      <c r="GM326" s="58">
        <f>IF(i_baseline_risk_from=2,'Effectiveness settings'!FC326,'Effectiveness settings'!FO326)</f>
        <v>2</v>
      </c>
      <c r="GN326" s="58">
        <f>IF(i_baseline_risk_from=2,'Effectiveness settings'!FD326,'Effectiveness settings'!FP326)</f>
        <v>4</v>
      </c>
      <c r="GQ326" s="58">
        <f t="shared" si="436"/>
        <v>999</v>
      </c>
      <c r="GR326" s="58">
        <f t="shared" si="437"/>
        <v>999</v>
      </c>
      <c r="GS326" s="58">
        <f t="shared" si="438"/>
        <v>999</v>
      </c>
      <c r="GT326" s="58">
        <f t="shared" si="439"/>
        <v>999</v>
      </c>
      <c r="GU326" s="58">
        <f>IF(AND(dd_CheckMate214_TTD="Yes",'Effectiveness settings'!BU326=2,'Effectiveness settings'!BX326=2),2,GT326)</f>
        <v>999</v>
      </c>
      <c r="GV326" s="58">
        <f t="shared" si="440"/>
        <v>999</v>
      </c>
      <c r="GW326" s="58">
        <f t="shared" si="441"/>
        <v>999</v>
      </c>
      <c r="GY326" s="58">
        <f>IF(AND(dd_CheckMate214_TTD="Yes",'Effectiveness settings'!BU326=2,'Effectiveness settings'!BX326=2),1,GN326)</f>
        <v>4</v>
      </c>
      <c r="GZ326" s="58">
        <f t="shared" si="442"/>
        <v>4</v>
      </c>
      <c r="HB326" s="58">
        <f t="shared" si="443"/>
        <v>0</v>
      </c>
      <c r="HD326" s="58">
        <f t="shared" si="566"/>
        <v>0</v>
      </c>
      <c r="HE326" s="58">
        <f t="shared" si="567"/>
        <v>1</v>
      </c>
      <c r="HF326" s="58">
        <f t="shared" si="568"/>
        <v>999</v>
      </c>
      <c r="HG326" s="58">
        <f t="shared" si="569"/>
        <v>2</v>
      </c>
      <c r="HH326" s="58">
        <f t="shared" si="570"/>
        <v>4</v>
      </c>
    </row>
    <row r="327" spans="1:216" ht="15.75" x14ac:dyDescent="0.25">
      <c r="B327" s="58" t="s">
        <v>597</v>
      </c>
      <c r="C327" s="740">
        <f t="shared" si="565"/>
        <v>8</v>
      </c>
      <c r="D327" s="58" t="str">
        <v>cabozantinib</v>
      </c>
      <c r="I327" s="64" t="s">
        <v>58</v>
      </c>
      <c r="J327" s="519" t="s">
        <v>557</v>
      </c>
      <c r="K327" s="524"/>
      <c r="L327" s="519"/>
      <c r="M327" s="516" t="s">
        <v>31</v>
      </c>
      <c r="N327" s="64" t="s">
        <v>546</v>
      </c>
      <c r="O327" s="64" t="s">
        <v>566</v>
      </c>
      <c r="P327" s="64" t="s">
        <v>547</v>
      </c>
      <c r="Q327" s="519" t="s">
        <v>557</v>
      </c>
      <c r="R327" s="516" t="s">
        <v>548</v>
      </c>
      <c r="S327" s="497"/>
      <c r="T327" s="497"/>
      <c r="U327" s="497"/>
      <c r="W327" s="58" t="str">
        <v>cabozantinib</v>
      </c>
      <c r="X327" s="64" t="s">
        <v>58</v>
      </c>
      <c r="Y327" s="519" t="s">
        <v>557</v>
      </c>
      <c r="Z327" s="524"/>
      <c r="AA327" s="519"/>
      <c r="AB327" s="516" t="s">
        <v>31</v>
      </c>
      <c r="AC327" s="64" t="s">
        <v>576</v>
      </c>
      <c r="AD327" s="64" t="s">
        <v>566</v>
      </c>
      <c r="AE327" s="64" t="s">
        <v>547</v>
      </c>
      <c r="AF327" s="519" t="s">
        <v>557</v>
      </c>
      <c r="AG327" s="516" t="s">
        <v>548</v>
      </c>
      <c r="AH327" s="497"/>
      <c r="AI327" s="497"/>
      <c r="AJ327" s="497"/>
      <c r="AL327" s="64" t="s">
        <v>58</v>
      </c>
      <c r="AM327" s="519" t="s">
        <v>557</v>
      </c>
      <c r="AN327" s="524"/>
      <c r="AO327" s="519"/>
      <c r="AP327" s="516" t="s">
        <v>31</v>
      </c>
      <c r="AQ327" s="64" t="s">
        <v>577</v>
      </c>
      <c r="AR327" s="64" t="s">
        <v>566</v>
      </c>
      <c r="AS327" s="64" t="s">
        <v>547</v>
      </c>
      <c r="AT327" s="519" t="s">
        <v>557</v>
      </c>
      <c r="AU327" s="516" t="s">
        <v>548</v>
      </c>
      <c r="AV327" s="497"/>
      <c r="AW327" s="497"/>
      <c r="AX327" s="497"/>
      <c r="AZ327" s="64" t="s">
        <v>58</v>
      </c>
      <c r="BA327" s="519" t="s">
        <v>557</v>
      </c>
      <c r="BB327" s="524"/>
      <c r="BC327" s="519"/>
      <c r="BD327" s="516" t="s">
        <v>31</v>
      </c>
      <c r="BE327" s="64" t="s">
        <v>565</v>
      </c>
      <c r="BF327" s="64" t="s">
        <v>566</v>
      </c>
      <c r="BG327" s="64" t="s">
        <v>547</v>
      </c>
      <c r="BH327" s="519" t="s">
        <v>557</v>
      </c>
      <c r="BI327" s="516" t="s">
        <v>548</v>
      </c>
      <c r="BJ327" s="497"/>
      <c r="BK327" s="497"/>
      <c r="BL327" s="497"/>
      <c r="BQ327" s="58">
        <f t="shared" si="423"/>
        <v>205</v>
      </c>
      <c r="BR327" s="61">
        <v>0</v>
      </c>
      <c r="BS327" s="61" t="s">
        <v>31</v>
      </c>
      <c r="BT327" s="17">
        <v>1</v>
      </c>
      <c r="BU327" s="17">
        <v>8</v>
      </c>
      <c r="BV327" s="17" t="str">
        <f t="shared" si="540"/>
        <v>cabozantinib</v>
      </c>
      <c r="BW327" s="1006" t="str" cm="1">
        <f t="array" ref="BW327">IF(I327="No",I327,INDEX(List_incl_anal_1L_all,IF(BU327=999,35,BU327+1)))</f>
        <v>No</v>
      </c>
      <c r="BX327" s="61">
        <f t="shared" si="541"/>
        <v>4</v>
      </c>
      <c r="BY327" s="531" t="str">
        <f t="shared" si="572"/>
        <v>Post progression survival</v>
      </c>
      <c r="BZ327" s="530">
        <f t="shared" si="542"/>
        <v>0</v>
      </c>
      <c r="CA327" s="531">
        <f t="shared" si="564"/>
        <v>0</v>
      </c>
      <c r="CB327" s="530">
        <f t="shared" si="543"/>
        <v>0</v>
      </c>
      <c r="CC327" s="530">
        <f t="shared" si="544"/>
        <v>1</v>
      </c>
      <c r="CD327" s="530">
        <f t="shared" si="545"/>
        <v>999</v>
      </c>
      <c r="CE327" s="1295">
        <f t="shared" si="546"/>
        <v>2</v>
      </c>
      <c r="CF327" s="1301">
        <f t="shared" si="547"/>
        <v>4</v>
      </c>
      <c r="CG327" s="530" t="str">
        <f t="shared" si="548"/>
        <v/>
      </c>
      <c r="CH327" s="61">
        <f t="shared" si="549"/>
        <v>0</v>
      </c>
      <c r="CI327" s="61">
        <f t="shared" si="550"/>
        <v>0</v>
      </c>
      <c r="CJ327" s="61">
        <f t="shared" si="551"/>
        <v>0</v>
      </c>
      <c r="DK327" s="58" t="str" cm="1">
        <f t="array" ref="DK327">IF(AND($BT327=4,$BX327=4,$BU327=999),$DB$36,_xlfn.IFNA(INDEX(DB$13:DB$70,MATCH(1,($BR327=$CV$13:$CV$70)*($BT327=$CX$13:$CX$70)*($CE327=$CY$13:$CY$70)*($BY327=$DA$13:$DA$70)*($CD327=$DH$13:$DH$70),0)),""))</f>
        <v/>
      </c>
      <c r="DL327" s="58" t="str" cm="1">
        <f t="array" ref="DL327">IF(AND($BT327=4,$BX327=4,$BU327=999),$DC$36,_xlfn.IFNA(INDEX(CHOOSE(DP327,DB$13:DB$70,DC$13:DC$70,DD$13:DD$70,DE$13:DE$70),MATCH(1,($BR327=$CV$13:$CV$70)*($BT327=$CX$13:$CX$70)*($CE327=$CY$13:$CY$70)*($BY327=$DA$13:$DA$70)*($CD327=$DH$13:$DH$70),0)),""))</f>
        <v/>
      </c>
      <c r="DM327" s="740" t="str" cm="1">
        <f t="array" ref="DM327">IF(AND($BT327=4,$BX327=4,$BU327=999),$DD$36,_xlfn.IFNA(INDEX(DD$13:DD$68,MATCH(1,($BR327=$CV$13:$CV$68)*($BT327=$CX$13:$CX$68)*($CE327=$CY$13:$CY$68)*($BY327=$DA$13:$DA$68)*($CD327=$DH$13:$DH$68),0)),""))</f>
        <v/>
      </c>
      <c r="DN327" s="740" t="str" cm="1">
        <f t="array" ref="DN327">IF(AND($BT327=4,$BX327=4,$BU327=999),$DD$36,_xlfn.IFNA(INDEX(DE$13:DE$68,MATCH(1,($BR327=$CV$13:$CV$68)*($BT327=$CX$13:$CX$68)*($CE327=$CY$13:$CY$68)*($BY327=$DA$13:$DA$68)*($CD327=$DH$13:$DH$68),0)),""))</f>
        <v/>
      </c>
      <c r="DO327" s="58" t="str" cm="1">
        <f t="array" ref="DO327">IF(AND($BT327=4,$BX327=4,$BU327=999),$DF$36,_xlfn.IFNA(INDEX(DF$13:DF$70,MATCH(1,($BR327=$CV$13:$CV$70)*($BT327=$CX$13:$CX$70)*($CE327=$CY$13:$CY$70)*($BY327=$DA$13:$DA$70)*($CD327=$DH$13:$DH$70),0)),""))</f>
        <v/>
      </c>
      <c r="DP327" s="58" t="e">
        <f t="shared" si="424"/>
        <v>#N/A</v>
      </c>
      <c r="DW327" s="58" t="s">
        <v>58</v>
      </c>
      <c r="DX327" s="58" t="s">
        <v>557</v>
      </c>
      <c r="DY327" s="58">
        <v>0</v>
      </c>
      <c r="DZ327" s="58">
        <v>0</v>
      </c>
      <c r="EB327" s="58">
        <v>0</v>
      </c>
      <c r="EC327" s="58">
        <v>1</v>
      </c>
      <c r="ED327" s="58">
        <v>999</v>
      </c>
      <c r="EE327" s="58">
        <v>2</v>
      </c>
      <c r="EF327" s="58">
        <v>4</v>
      </c>
      <c r="EI327" s="58" t="s">
        <v>58</v>
      </c>
      <c r="EJ327" s="58" t="s">
        <v>557</v>
      </c>
      <c r="EK327" s="58">
        <v>0</v>
      </c>
      <c r="EL327" s="58">
        <v>0</v>
      </c>
      <c r="EN327" s="58">
        <v>0</v>
      </c>
      <c r="EO327" s="58">
        <v>1</v>
      </c>
      <c r="EP327" s="58">
        <v>999</v>
      </c>
      <c r="EQ327" s="58">
        <v>2</v>
      </c>
      <c r="ER327" s="58">
        <v>4</v>
      </c>
      <c r="EU327" s="58" t="str">
        <f t="shared" si="552"/>
        <v>No</v>
      </c>
      <c r="EV327" s="58" t="str">
        <f t="shared" si="553"/>
        <v>Post progression survival</v>
      </c>
      <c r="EW327" s="58">
        <f t="shared" si="554"/>
        <v>0</v>
      </c>
      <c r="EX327" s="58">
        <f t="shared" si="555"/>
        <v>0</v>
      </c>
      <c r="EZ327" s="58">
        <f t="shared" si="556"/>
        <v>0</v>
      </c>
      <c r="FA327" s="58">
        <f t="shared" si="557"/>
        <v>1</v>
      </c>
      <c r="FB327" s="58">
        <f>IF(i_eff_inputs_based_on_num=2,ED327,(INDEX(Lists!$L$51:$L$85,MATCH(O327,Lists!$K$51:$K$85,0))))</f>
        <v>999</v>
      </c>
      <c r="FC327" s="58">
        <f>IF(i_eff_inputs_based_on_num=2,EE327,(INDEX(Lists!$L$51:$L$85,MATCH(P327,Lists!$K$51:$K$85,0))))</f>
        <v>2</v>
      </c>
      <c r="FD327" s="58">
        <f>IF(i_eff_inputs_based_on_num=2,EF327,(INDEX(Lists!$L$51:$L$85,MATCH(Q327,Lists!$K$51:$K$85,0))))</f>
        <v>4</v>
      </c>
      <c r="FG327" s="58" t="str">
        <f t="shared" si="558"/>
        <v>No</v>
      </c>
      <c r="FH327" s="58" t="str">
        <f t="shared" si="559"/>
        <v>Post progression survival</v>
      </c>
      <c r="FI327" s="58">
        <f t="shared" si="560"/>
        <v>0</v>
      </c>
      <c r="FJ327" s="58">
        <f t="shared" si="561"/>
        <v>0</v>
      </c>
      <c r="FL327" s="58">
        <f t="shared" si="562"/>
        <v>0</v>
      </c>
      <c r="FM327" s="58">
        <f t="shared" si="563"/>
        <v>1</v>
      </c>
      <c r="FN327" s="58">
        <f>IF(i_eff_inputs_based_on_num=2,EP327,(INDEX(Lists!$L$51:$L$85,MATCH(O327,Lists!$K$51:$K$85,0))))</f>
        <v>999</v>
      </c>
      <c r="FO327" s="58">
        <f>IF(i_eff_inputs_based_on_num=2,EQ327,(INDEX(Lists!$L$51:$L$85,MATCH(P327,Lists!$K$51:$K$85,0))))</f>
        <v>2</v>
      </c>
      <c r="FP327" s="58">
        <f>IF(i_eff_inputs_based_on_num=2,ER327,(INDEX(Lists!$L$51:$L$85,MATCH(Q327,Lists!$K$51:$K$85,0))))</f>
        <v>4</v>
      </c>
      <c r="FT327" s="58">
        <f t="shared" si="425"/>
        <v>0</v>
      </c>
      <c r="FW327" s="58">
        <f>IF(i_baseline_risk_from=2,'Effectiveness settings'!EW327,'Effectiveness settings'!FI327)</f>
        <v>0</v>
      </c>
      <c r="FX327" s="58">
        <f t="shared" si="426"/>
        <v>0</v>
      </c>
      <c r="FY327" s="58">
        <f t="shared" si="427"/>
        <v>0</v>
      </c>
      <c r="FZ327" s="58">
        <f t="shared" si="428"/>
        <v>0</v>
      </c>
      <c r="GA327" s="58">
        <f t="shared" si="429"/>
        <v>0</v>
      </c>
      <c r="GB327" s="58">
        <f t="shared" si="430"/>
        <v>0</v>
      </c>
      <c r="GC327" s="58">
        <f t="shared" si="431"/>
        <v>0</v>
      </c>
      <c r="GD327" s="58">
        <f t="shared" si="432"/>
        <v>0</v>
      </c>
      <c r="GE327" s="58">
        <f>IF(AND(dd_CheckMate214_TTD="Yes",'Effectiveness settings'!BU327=2,'Effectiveness settings'!BX327=2),"Apply HR to",GD327)</f>
        <v>0</v>
      </c>
      <c r="GF327" s="58">
        <f t="shared" si="433"/>
        <v>0</v>
      </c>
      <c r="GG327" s="58">
        <f t="shared" si="434"/>
        <v>0</v>
      </c>
      <c r="GH327" s="58">
        <f t="shared" si="435"/>
        <v>0</v>
      </c>
      <c r="GI327" s="58">
        <f t="shared" si="571"/>
        <v>0</v>
      </c>
      <c r="GK327" s="58">
        <f>IF(i_baseline_risk_from=2,'Effectiveness settings'!FA327,'Effectiveness settings'!FM327)</f>
        <v>1</v>
      </c>
      <c r="GL327" s="58">
        <f>IF(i_baseline_risk_from=2,'Effectiveness settings'!FB327,'Effectiveness settings'!FN327)</f>
        <v>999</v>
      </c>
      <c r="GM327" s="58">
        <f>IF(i_baseline_risk_from=2,'Effectiveness settings'!FC327,'Effectiveness settings'!FO327)</f>
        <v>2</v>
      </c>
      <c r="GN327" s="58">
        <f>IF(i_baseline_risk_from=2,'Effectiveness settings'!FD327,'Effectiveness settings'!FP327)</f>
        <v>4</v>
      </c>
      <c r="GQ327" s="58">
        <f t="shared" si="436"/>
        <v>999</v>
      </c>
      <c r="GR327" s="58">
        <f t="shared" si="437"/>
        <v>999</v>
      </c>
      <c r="GS327" s="58">
        <f t="shared" si="438"/>
        <v>999</v>
      </c>
      <c r="GT327" s="58">
        <f t="shared" si="439"/>
        <v>999</v>
      </c>
      <c r="GU327" s="58">
        <f>IF(AND(dd_CheckMate214_TTD="Yes",'Effectiveness settings'!BU327=2,'Effectiveness settings'!BX327=2),2,GT327)</f>
        <v>999</v>
      </c>
      <c r="GV327" s="58">
        <f t="shared" si="440"/>
        <v>999</v>
      </c>
      <c r="GW327" s="58">
        <f t="shared" si="441"/>
        <v>999</v>
      </c>
      <c r="GY327" s="58">
        <f>IF(AND(dd_CheckMate214_TTD="Yes",'Effectiveness settings'!BU327=2,'Effectiveness settings'!BX327=2),1,GN327)</f>
        <v>4</v>
      </c>
      <c r="GZ327" s="58">
        <f t="shared" si="442"/>
        <v>4</v>
      </c>
      <c r="HB327" s="58">
        <f t="shared" si="443"/>
        <v>0</v>
      </c>
      <c r="HD327" s="58">
        <f t="shared" si="566"/>
        <v>0</v>
      </c>
      <c r="HE327" s="58">
        <f t="shared" si="567"/>
        <v>1</v>
      </c>
      <c r="HF327" s="58">
        <f t="shared" si="568"/>
        <v>999</v>
      </c>
      <c r="HG327" s="58">
        <f t="shared" si="569"/>
        <v>2</v>
      </c>
      <c r="HH327" s="58">
        <f t="shared" si="570"/>
        <v>4</v>
      </c>
    </row>
    <row r="328" spans="1:216" ht="15.75" x14ac:dyDescent="0.25">
      <c r="C328" s="740">
        <f t="shared" si="565"/>
        <v>9</v>
      </c>
      <c r="D328" s="58" t="str">
        <v>lenvatinib_plus_everolimus</v>
      </c>
      <c r="I328" s="64" t="s">
        <v>58</v>
      </c>
      <c r="J328" s="519" t="s">
        <v>557</v>
      </c>
      <c r="K328" s="524"/>
      <c r="L328" s="519"/>
      <c r="M328" s="516" t="s">
        <v>31</v>
      </c>
      <c r="N328" s="64" t="s">
        <v>546</v>
      </c>
      <c r="O328" s="64" t="s">
        <v>566</v>
      </c>
      <c r="P328" s="64" t="s">
        <v>547</v>
      </c>
      <c r="Q328" s="519" t="s">
        <v>557</v>
      </c>
      <c r="R328" s="516" t="s">
        <v>548</v>
      </c>
      <c r="S328" s="497"/>
      <c r="T328" s="497"/>
      <c r="U328" s="497"/>
      <c r="W328" s="58" t="str">
        <v>lenvatinib_plus_everolimus</v>
      </c>
      <c r="X328" s="64" t="s">
        <v>58</v>
      </c>
      <c r="Y328" s="519" t="s">
        <v>557</v>
      </c>
      <c r="Z328" s="524"/>
      <c r="AA328" s="519"/>
      <c r="AB328" s="516" t="s">
        <v>31</v>
      </c>
      <c r="AC328" s="64" t="s">
        <v>576</v>
      </c>
      <c r="AD328" s="64" t="s">
        <v>566</v>
      </c>
      <c r="AE328" s="64" t="s">
        <v>547</v>
      </c>
      <c r="AF328" s="519" t="s">
        <v>557</v>
      </c>
      <c r="AG328" s="516" t="s">
        <v>548</v>
      </c>
      <c r="AH328" s="497"/>
      <c r="AI328" s="497"/>
      <c r="AJ328" s="497"/>
      <c r="AL328" s="64" t="s">
        <v>58</v>
      </c>
      <c r="AM328" s="519" t="s">
        <v>557</v>
      </c>
      <c r="AN328" s="524"/>
      <c r="AO328" s="519"/>
      <c r="AP328" s="516" t="s">
        <v>31</v>
      </c>
      <c r="AQ328" s="64" t="s">
        <v>577</v>
      </c>
      <c r="AR328" s="64" t="s">
        <v>566</v>
      </c>
      <c r="AS328" s="64" t="s">
        <v>547</v>
      </c>
      <c r="AT328" s="519" t="s">
        <v>557</v>
      </c>
      <c r="AU328" s="516" t="s">
        <v>548</v>
      </c>
      <c r="AV328" s="497"/>
      <c r="AW328" s="497"/>
      <c r="AX328" s="497"/>
      <c r="AZ328" s="64" t="s">
        <v>58</v>
      </c>
      <c r="BA328" s="519" t="s">
        <v>557</v>
      </c>
      <c r="BB328" s="524"/>
      <c r="BC328" s="519"/>
      <c r="BD328" s="516" t="s">
        <v>31</v>
      </c>
      <c r="BE328" s="64" t="s">
        <v>565</v>
      </c>
      <c r="BF328" s="64" t="s">
        <v>566</v>
      </c>
      <c r="BG328" s="64" t="s">
        <v>547</v>
      </c>
      <c r="BH328" s="519" t="s">
        <v>557</v>
      </c>
      <c r="BI328" s="516" t="s">
        <v>548</v>
      </c>
      <c r="BJ328" s="497"/>
      <c r="BK328" s="497"/>
      <c r="BL328" s="497"/>
      <c r="BQ328" s="58">
        <f t="shared" si="423"/>
        <v>206</v>
      </c>
      <c r="BR328" s="61">
        <v>0</v>
      </c>
      <c r="BS328" s="61" t="s">
        <v>31</v>
      </c>
      <c r="BT328" s="17">
        <v>1</v>
      </c>
      <c r="BU328" s="17">
        <v>9</v>
      </c>
      <c r="BV328" s="17" t="str">
        <f t="shared" si="540"/>
        <v>lenvatinib_plus_everolimus</v>
      </c>
      <c r="BW328" s="1006" t="str" cm="1">
        <f t="array" ref="BW328">IF(I328="No",I328,INDEX(List_incl_anal_1L_all,IF(BU328=999,35,BU328+1)))</f>
        <v>No</v>
      </c>
      <c r="BX328" s="61">
        <f t="shared" si="541"/>
        <v>4</v>
      </c>
      <c r="BY328" s="531" t="str">
        <f t="shared" si="572"/>
        <v>Post progression survival</v>
      </c>
      <c r="BZ328" s="530">
        <f t="shared" si="542"/>
        <v>0</v>
      </c>
      <c r="CA328" s="531">
        <f t="shared" si="564"/>
        <v>0</v>
      </c>
      <c r="CB328" s="530">
        <f t="shared" si="543"/>
        <v>0</v>
      </c>
      <c r="CC328" s="530">
        <f t="shared" si="544"/>
        <v>1</v>
      </c>
      <c r="CD328" s="530">
        <f t="shared" si="545"/>
        <v>999</v>
      </c>
      <c r="CE328" s="1295">
        <f t="shared" si="546"/>
        <v>2</v>
      </c>
      <c r="CF328" s="1301">
        <f t="shared" si="547"/>
        <v>4</v>
      </c>
      <c r="CG328" s="530" t="str">
        <f t="shared" si="548"/>
        <v/>
      </c>
      <c r="CH328" s="61">
        <f t="shared" si="549"/>
        <v>0</v>
      </c>
      <c r="CI328" s="61">
        <f t="shared" si="550"/>
        <v>0</v>
      </c>
      <c r="CJ328" s="61">
        <f t="shared" si="551"/>
        <v>0</v>
      </c>
      <c r="DK328" s="58" t="str" cm="1">
        <f t="array" ref="DK328">IF(AND($BT328=4,$BX328=4,$BU328=999),$DB$36,_xlfn.IFNA(INDEX(DB$13:DB$70,MATCH(1,($BR328=$CV$13:$CV$70)*($BT328=$CX$13:$CX$70)*($CE328=$CY$13:$CY$70)*($BY328=$DA$13:$DA$70)*($CD328=$DH$13:$DH$70),0)),""))</f>
        <v/>
      </c>
      <c r="DL328" s="58" t="str" cm="1">
        <f t="array" ref="DL328">IF(AND($BT328=4,$BX328=4,$BU328=999),$DC$36,_xlfn.IFNA(INDEX(CHOOSE(DP328,DB$13:DB$70,DC$13:DC$70,DD$13:DD$70,DE$13:DE$70),MATCH(1,($BR328=$CV$13:$CV$70)*($BT328=$CX$13:$CX$70)*($CE328=$CY$13:$CY$70)*($BY328=$DA$13:$DA$70)*($CD328=$DH$13:$DH$70),0)),""))</f>
        <v/>
      </c>
      <c r="DM328" s="740" t="str" cm="1">
        <f t="array" ref="DM328">IF(AND($BT328=4,$BX328=4,$BU328=999),$DD$36,_xlfn.IFNA(INDEX(DD$13:DD$68,MATCH(1,($BR328=$CV$13:$CV$68)*($BT328=$CX$13:$CX$68)*($CE328=$CY$13:$CY$68)*($BY328=$DA$13:$DA$68)*($CD328=$DH$13:$DH$68),0)),""))</f>
        <v/>
      </c>
      <c r="DN328" s="740" t="str" cm="1">
        <f t="array" ref="DN328">IF(AND($BT328=4,$BX328=4,$BU328=999),$DD$36,_xlfn.IFNA(INDEX(DE$13:DE$68,MATCH(1,($BR328=$CV$13:$CV$68)*($BT328=$CX$13:$CX$68)*($CE328=$CY$13:$CY$68)*($BY328=$DA$13:$DA$68)*($CD328=$DH$13:$DH$68),0)),""))</f>
        <v/>
      </c>
      <c r="DO328" s="58" t="str" cm="1">
        <f t="array" ref="DO328">IF(AND($BT328=4,$BX328=4,$BU328=999),$DF$36,_xlfn.IFNA(INDEX(DF$13:DF$70,MATCH(1,($BR328=$CV$13:$CV$70)*($BT328=$CX$13:$CX$70)*($CE328=$CY$13:$CY$70)*($BY328=$DA$13:$DA$70)*($CD328=$DH$13:$DH$70),0)),""))</f>
        <v/>
      </c>
      <c r="DP328" s="58" t="e">
        <f t="shared" si="424"/>
        <v>#N/A</v>
      </c>
      <c r="DW328" s="58" t="s">
        <v>58</v>
      </c>
      <c r="DX328" s="58" t="s">
        <v>557</v>
      </c>
      <c r="DY328" s="58">
        <v>0</v>
      </c>
      <c r="DZ328" s="58">
        <v>0</v>
      </c>
      <c r="EB328" s="58">
        <v>0</v>
      </c>
      <c r="EC328" s="58">
        <v>1</v>
      </c>
      <c r="ED328" s="58">
        <v>999</v>
      </c>
      <c r="EE328" s="58">
        <v>2</v>
      </c>
      <c r="EF328" s="58">
        <v>4</v>
      </c>
      <c r="EI328" s="58" t="s">
        <v>58</v>
      </c>
      <c r="EJ328" s="58" t="s">
        <v>557</v>
      </c>
      <c r="EK328" s="58">
        <v>0</v>
      </c>
      <c r="EL328" s="58">
        <v>0</v>
      </c>
      <c r="EN328" s="58">
        <v>0</v>
      </c>
      <c r="EO328" s="58">
        <v>1</v>
      </c>
      <c r="EP328" s="58">
        <v>999</v>
      </c>
      <c r="EQ328" s="58">
        <v>2</v>
      </c>
      <c r="ER328" s="58">
        <v>4</v>
      </c>
      <c r="EU328" s="58" t="str">
        <f t="shared" si="552"/>
        <v>No</v>
      </c>
      <c r="EV328" s="58" t="str">
        <f t="shared" si="553"/>
        <v>Post progression survival</v>
      </c>
      <c r="EW328" s="58">
        <f t="shared" si="554"/>
        <v>0</v>
      </c>
      <c r="EX328" s="58">
        <f t="shared" si="555"/>
        <v>0</v>
      </c>
      <c r="EZ328" s="58">
        <f t="shared" si="556"/>
        <v>0</v>
      </c>
      <c r="FA328" s="58">
        <f t="shared" si="557"/>
        <v>1</v>
      </c>
      <c r="FB328" s="58">
        <f>IF(i_eff_inputs_based_on_num=2,ED328,(INDEX(Lists!$L$51:$L$85,MATCH(O328,Lists!$K$51:$K$85,0))))</f>
        <v>999</v>
      </c>
      <c r="FC328" s="58">
        <f>IF(i_eff_inputs_based_on_num=2,EE328,(INDEX(Lists!$L$51:$L$85,MATCH(P328,Lists!$K$51:$K$85,0))))</f>
        <v>2</v>
      </c>
      <c r="FD328" s="58">
        <f>IF(i_eff_inputs_based_on_num=2,EF328,(INDEX(Lists!$L$51:$L$85,MATCH(Q328,Lists!$K$51:$K$85,0))))</f>
        <v>4</v>
      </c>
      <c r="FG328" s="58" t="str">
        <f t="shared" si="558"/>
        <v>No</v>
      </c>
      <c r="FH328" s="58" t="str">
        <f t="shared" si="559"/>
        <v>Post progression survival</v>
      </c>
      <c r="FI328" s="58">
        <f t="shared" si="560"/>
        <v>0</v>
      </c>
      <c r="FJ328" s="58">
        <f t="shared" si="561"/>
        <v>0</v>
      </c>
      <c r="FL328" s="58">
        <f t="shared" si="562"/>
        <v>0</v>
      </c>
      <c r="FM328" s="58">
        <f t="shared" si="563"/>
        <v>1</v>
      </c>
      <c r="FN328" s="58">
        <f>IF(i_eff_inputs_based_on_num=2,EP328,(INDEX(Lists!$L$51:$L$85,MATCH(O328,Lists!$K$51:$K$85,0))))</f>
        <v>999</v>
      </c>
      <c r="FO328" s="58">
        <f>IF(i_eff_inputs_based_on_num=2,EQ328,(INDEX(Lists!$L$51:$L$85,MATCH(P328,Lists!$K$51:$K$85,0))))</f>
        <v>2</v>
      </c>
      <c r="FP328" s="58">
        <f>IF(i_eff_inputs_based_on_num=2,ER328,(INDEX(Lists!$L$51:$L$85,MATCH(Q328,Lists!$K$51:$K$85,0))))</f>
        <v>4</v>
      </c>
      <c r="FT328" s="58">
        <f t="shared" si="425"/>
        <v>0</v>
      </c>
      <c r="FW328" s="58">
        <f>IF(i_baseline_risk_from=2,'Effectiveness settings'!EW328,'Effectiveness settings'!FI328)</f>
        <v>0</v>
      </c>
      <c r="FX328" s="58">
        <f t="shared" si="426"/>
        <v>0</v>
      </c>
      <c r="FY328" s="58">
        <f t="shared" si="427"/>
        <v>0</v>
      </c>
      <c r="FZ328" s="58">
        <f t="shared" si="428"/>
        <v>0</v>
      </c>
      <c r="GA328" s="58">
        <f t="shared" si="429"/>
        <v>0</v>
      </c>
      <c r="GB328" s="58">
        <f t="shared" si="430"/>
        <v>0</v>
      </c>
      <c r="GC328" s="58">
        <f t="shared" si="431"/>
        <v>0</v>
      </c>
      <c r="GD328" s="58">
        <f t="shared" si="432"/>
        <v>0</v>
      </c>
      <c r="GE328" s="58">
        <f>IF(AND(dd_CheckMate214_TTD="Yes",'Effectiveness settings'!BU328=2,'Effectiveness settings'!BX328=2),"Apply HR to",GD328)</f>
        <v>0</v>
      </c>
      <c r="GF328" s="58">
        <f t="shared" si="433"/>
        <v>0</v>
      </c>
      <c r="GG328" s="58">
        <f t="shared" si="434"/>
        <v>0</v>
      </c>
      <c r="GH328" s="58">
        <f t="shared" si="435"/>
        <v>0</v>
      </c>
      <c r="GI328" s="58">
        <f t="shared" si="571"/>
        <v>0</v>
      </c>
      <c r="GK328" s="58">
        <f>IF(i_baseline_risk_from=2,'Effectiveness settings'!FA328,'Effectiveness settings'!FM328)</f>
        <v>1</v>
      </c>
      <c r="GL328" s="58">
        <f>IF(i_baseline_risk_from=2,'Effectiveness settings'!FB328,'Effectiveness settings'!FN328)</f>
        <v>999</v>
      </c>
      <c r="GM328" s="58">
        <f>IF(i_baseline_risk_from=2,'Effectiveness settings'!FC328,'Effectiveness settings'!FO328)</f>
        <v>2</v>
      </c>
      <c r="GN328" s="58">
        <f>IF(i_baseline_risk_from=2,'Effectiveness settings'!FD328,'Effectiveness settings'!FP328)</f>
        <v>4</v>
      </c>
      <c r="GQ328" s="58">
        <f t="shared" si="436"/>
        <v>999</v>
      </c>
      <c r="GR328" s="58">
        <f t="shared" si="437"/>
        <v>999</v>
      </c>
      <c r="GS328" s="58">
        <f t="shared" si="438"/>
        <v>999</v>
      </c>
      <c r="GT328" s="58">
        <f t="shared" si="439"/>
        <v>999</v>
      </c>
      <c r="GU328" s="58">
        <f>IF(AND(dd_CheckMate214_TTD="Yes",'Effectiveness settings'!BU328=2,'Effectiveness settings'!BX328=2),2,GT328)</f>
        <v>999</v>
      </c>
      <c r="GV328" s="58">
        <f t="shared" si="440"/>
        <v>999</v>
      </c>
      <c r="GW328" s="58">
        <f t="shared" si="441"/>
        <v>999</v>
      </c>
      <c r="GY328" s="58">
        <f>IF(AND(dd_CheckMate214_TTD="Yes",'Effectiveness settings'!BU328=2,'Effectiveness settings'!BX328=2),1,GN328)</f>
        <v>4</v>
      </c>
      <c r="GZ328" s="58">
        <f t="shared" si="442"/>
        <v>4</v>
      </c>
      <c r="HB328" s="58">
        <f t="shared" si="443"/>
        <v>0</v>
      </c>
      <c r="HD328" s="58">
        <f t="shared" si="566"/>
        <v>0</v>
      </c>
      <c r="HE328" s="58">
        <f t="shared" si="567"/>
        <v>1</v>
      </c>
      <c r="HF328" s="58">
        <f t="shared" si="568"/>
        <v>999</v>
      </c>
      <c r="HG328" s="58">
        <f t="shared" si="569"/>
        <v>2</v>
      </c>
      <c r="HH328" s="58">
        <f t="shared" si="570"/>
        <v>4</v>
      </c>
    </row>
    <row r="329" spans="1:216" ht="15.75" x14ac:dyDescent="0.25">
      <c r="B329" s="58" t="s">
        <v>598</v>
      </c>
      <c r="C329" s="740">
        <f t="shared" si="565"/>
        <v>10</v>
      </c>
      <c r="D329" s="58" t="str">
        <v>everolimus</v>
      </c>
      <c r="I329" s="64" t="s">
        <v>58</v>
      </c>
      <c r="J329" s="519" t="s">
        <v>557</v>
      </c>
      <c r="K329" s="524"/>
      <c r="L329" s="519"/>
      <c r="M329" s="516" t="s">
        <v>31</v>
      </c>
      <c r="N329" s="64" t="s">
        <v>546</v>
      </c>
      <c r="O329" s="64" t="s">
        <v>566</v>
      </c>
      <c r="P329" s="64" t="s">
        <v>547</v>
      </c>
      <c r="Q329" s="519" t="s">
        <v>557</v>
      </c>
      <c r="R329" s="516" t="s">
        <v>548</v>
      </c>
      <c r="S329" s="497"/>
      <c r="T329" s="497"/>
      <c r="U329" s="497"/>
      <c r="W329" s="58" t="str">
        <v>everolimus</v>
      </c>
      <c r="X329" s="64" t="s">
        <v>58</v>
      </c>
      <c r="Y329" s="519" t="s">
        <v>557</v>
      </c>
      <c r="Z329" s="524"/>
      <c r="AA329" s="519"/>
      <c r="AB329" s="516" t="s">
        <v>31</v>
      </c>
      <c r="AC329" s="64" t="s">
        <v>576</v>
      </c>
      <c r="AD329" s="64" t="s">
        <v>566</v>
      </c>
      <c r="AE329" s="64" t="s">
        <v>547</v>
      </c>
      <c r="AF329" s="519" t="s">
        <v>557</v>
      </c>
      <c r="AG329" s="516" t="s">
        <v>548</v>
      </c>
      <c r="AH329" s="497"/>
      <c r="AI329" s="497"/>
      <c r="AJ329" s="497"/>
      <c r="AL329" s="64" t="s">
        <v>58</v>
      </c>
      <c r="AM329" s="519" t="s">
        <v>557</v>
      </c>
      <c r="AN329" s="524"/>
      <c r="AO329" s="519"/>
      <c r="AP329" s="516" t="s">
        <v>31</v>
      </c>
      <c r="AQ329" s="64" t="s">
        <v>577</v>
      </c>
      <c r="AR329" s="64" t="s">
        <v>566</v>
      </c>
      <c r="AS329" s="64" t="s">
        <v>547</v>
      </c>
      <c r="AT329" s="519" t="s">
        <v>557</v>
      </c>
      <c r="AU329" s="516" t="s">
        <v>548</v>
      </c>
      <c r="AV329" s="497"/>
      <c r="AW329" s="497"/>
      <c r="AX329" s="497"/>
      <c r="AZ329" s="64" t="s">
        <v>58</v>
      </c>
      <c r="BA329" s="519" t="s">
        <v>557</v>
      </c>
      <c r="BB329" s="524"/>
      <c r="BC329" s="519"/>
      <c r="BD329" s="516" t="s">
        <v>31</v>
      </c>
      <c r="BE329" s="64" t="s">
        <v>565</v>
      </c>
      <c r="BF329" s="64" t="s">
        <v>566</v>
      </c>
      <c r="BG329" s="64" t="s">
        <v>547</v>
      </c>
      <c r="BH329" s="519" t="s">
        <v>557</v>
      </c>
      <c r="BI329" s="516" t="s">
        <v>548</v>
      </c>
      <c r="BJ329" s="497"/>
      <c r="BK329" s="497"/>
      <c r="BL329" s="497"/>
      <c r="BQ329" s="58">
        <f t="shared" si="423"/>
        <v>207</v>
      </c>
      <c r="BR329" s="61">
        <v>0</v>
      </c>
      <c r="BS329" s="61" t="s">
        <v>31</v>
      </c>
      <c r="BT329" s="17">
        <v>1</v>
      </c>
      <c r="BU329" s="17">
        <v>10</v>
      </c>
      <c r="BV329" s="17" t="str">
        <f t="shared" si="540"/>
        <v>everolimus</v>
      </c>
      <c r="BW329" s="1006" t="str" cm="1">
        <f t="array" ref="BW329">IF(I329="No",I329,INDEX(List_incl_anal_1L_all,IF(BU329=999,35,BU329+1)))</f>
        <v>No</v>
      </c>
      <c r="BX329" s="61">
        <f t="shared" si="541"/>
        <v>4</v>
      </c>
      <c r="BY329" s="531" t="str">
        <f t="shared" si="572"/>
        <v>Post progression survival</v>
      </c>
      <c r="BZ329" s="530">
        <f t="shared" si="542"/>
        <v>0</v>
      </c>
      <c r="CA329" s="531">
        <f t="shared" si="564"/>
        <v>0</v>
      </c>
      <c r="CB329" s="530">
        <f t="shared" si="543"/>
        <v>0</v>
      </c>
      <c r="CC329" s="530">
        <f t="shared" si="544"/>
        <v>1</v>
      </c>
      <c r="CD329" s="530">
        <f t="shared" si="545"/>
        <v>999</v>
      </c>
      <c r="CE329" s="1295">
        <f t="shared" si="546"/>
        <v>2</v>
      </c>
      <c r="CF329" s="1301">
        <f t="shared" si="547"/>
        <v>4</v>
      </c>
      <c r="CG329" s="530" t="str">
        <f t="shared" si="548"/>
        <v/>
      </c>
      <c r="CH329" s="61">
        <f t="shared" si="549"/>
        <v>0</v>
      </c>
      <c r="CI329" s="61">
        <f t="shared" si="550"/>
        <v>0</v>
      </c>
      <c r="CJ329" s="61">
        <f t="shared" si="551"/>
        <v>0</v>
      </c>
      <c r="DK329" s="58" t="str" cm="1">
        <f t="array" ref="DK329">IF(AND($BT329=4,$BX329=4,$BU329=999),$DB$36,_xlfn.IFNA(INDEX(DB$13:DB$70,MATCH(1,($BR329=$CV$13:$CV$70)*($BT329=$CX$13:$CX$70)*($CE329=$CY$13:$CY$70)*($BY329=$DA$13:$DA$70)*($CD329=$DH$13:$DH$70),0)),""))</f>
        <v/>
      </c>
      <c r="DL329" s="58" t="str" cm="1">
        <f t="array" ref="DL329">IF(AND($BT329=4,$BX329=4,$BU329=999),$DC$36,_xlfn.IFNA(INDEX(CHOOSE(DP329,DB$13:DB$70,DC$13:DC$70,DD$13:DD$70,DE$13:DE$70),MATCH(1,($BR329=$CV$13:$CV$70)*($BT329=$CX$13:$CX$70)*($CE329=$CY$13:$CY$70)*($BY329=$DA$13:$DA$70)*($CD329=$DH$13:$DH$70),0)),""))</f>
        <v/>
      </c>
      <c r="DM329" s="740" t="str" cm="1">
        <f t="array" ref="DM329">IF(AND($BT329=4,$BX329=4,$BU329=999),$DD$36,_xlfn.IFNA(INDEX(DD$13:DD$68,MATCH(1,($BR329=$CV$13:$CV$68)*($BT329=$CX$13:$CX$68)*($CE329=$CY$13:$CY$68)*($BY329=$DA$13:$DA$68)*($CD329=$DH$13:$DH$68),0)),""))</f>
        <v/>
      </c>
      <c r="DN329" s="740" t="str" cm="1">
        <f t="array" ref="DN329">IF(AND($BT329=4,$BX329=4,$BU329=999),$DD$36,_xlfn.IFNA(INDEX(DE$13:DE$68,MATCH(1,($BR329=$CV$13:$CV$68)*($BT329=$CX$13:$CX$68)*($CE329=$CY$13:$CY$68)*($BY329=$DA$13:$DA$68)*($CD329=$DH$13:$DH$68),0)),""))</f>
        <v/>
      </c>
      <c r="DO329" s="58" t="str" cm="1">
        <f t="array" ref="DO329">IF(AND($BT329=4,$BX329=4,$BU329=999),$DF$36,_xlfn.IFNA(INDEX(DF$13:DF$70,MATCH(1,($BR329=$CV$13:$CV$70)*($BT329=$CX$13:$CX$70)*($CE329=$CY$13:$CY$70)*($BY329=$DA$13:$DA$70)*($CD329=$DH$13:$DH$70),0)),""))</f>
        <v/>
      </c>
      <c r="DP329" s="58" t="e">
        <f t="shared" si="424"/>
        <v>#N/A</v>
      </c>
      <c r="DW329" s="58" t="s">
        <v>58</v>
      </c>
      <c r="DX329" s="58" t="s">
        <v>557</v>
      </c>
      <c r="DY329" s="58">
        <v>0</v>
      </c>
      <c r="DZ329" s="58">
        <v>0</v>
      </c>
      <c r="EB329" s="58">
        <v>0</v>
      </c>
      <c r="EC329" s="58">
        <v>1</v>
      </c>
      <c r="ED329" s="58">
        <v>999</v>
      </c>
      <c r="EE329" s="58">
        <v>2</v>
      </c>
      <c r="EF329" s="58">
        <v>4</v>
      </c>
      <c r="EI329" s="58" t="s">
        <v>58</v>
      </c>
      <c r="EJ329" s="58" t="s">
        <v>557</v>
      </c>
      <c r="EK329" s="58">
        <v>0</v>
      </c>
      <c r="EL329" s="58">
        <v>0</v>
      </c>
      <c r="EN329" s="58">
        <v>0</v>
      </c>
      <c r="EO329" s="58">
        <v>1</v>
      </c>
      <c r="EP329" s="58">
        <v>999</v>
      </c>
      <c r="EQ329" s="58">
        <v>2</v>
      </c>
      <c r="ER329" s="58">
        <v>4</v>
      </c>
      <c r="EU329" s="58" t="str">
        <f t="shared" si="552"/>
        <v>No</v>
      </c>
      <c r="EV329" s="58" t="str">
        <f t="shared" si="553"/>
        <v>Post progression survival</v>
      </c>
      <c r="EW329" s="58">
        <f t="shared" si="554"/>
        <v>0</v>
      </c>
      <c r="EX329" s="58">
        <f t="shared" si="555"/>
        <v>0</v>
      </c>
      <c r="EZ329" s="58">
        <f t="shared" si="556"/>
        <v>0</v>
      </c>
      <c r="FA329" s="58">
        <f t="shared" si="557"/>
        <v>1</v>
      </c>
      <c r="FB329" s="58">
        <f>IF(i_eff_inputs_based_on_num=2,ED329,(INDEX(Lists!$L$51:$L$85,MATCH(O329,Lists!$K$51:$K$85,0))))</f>
        <v>999</v>
      </c>
      <c r="FC329" s="58">
        <f>IF(i_eff_inputs_based_on_num=2,EE329,(INDEX(Lists!$L$51:$L$85,MATCH(P329,Lists!$K$51:$K$85,0))))</f>
        <v>2</v>
      </c>
      <c r="FD329" s="58">
        <f>IF(i_eff_inputs_based_on_num=2,EF329,(INDEX(Lists!$L$51:$L$85,MATCH(Q329,Lists!$K$51:$K$85,0))))</f>
        <v>4</v>
      </c>
      <c r="FG329" s="58" t="str">
        <f t="shared" si="558"/>
        <v>No</v>
      </c>
      <c r="FH329" s="58" t="str">
        <f t="shared" si="559"/>
        <v>Post progression survival</v>
      </c>
      <c r="FI329" s="58">
        <f t="shared" si="560"/>
        <v>0</v>
      </c>
      <c r="FJ329" s="58">
        <f t="shared" si="561"/>
        <v>0</v>
      </c>
      <c r="FL329" s="58">
        <f t="shared" si="562"/>
        <v>0</v>
      </c>
      <c r="FM329" s="58">
        <f t="shared" si="563"/>
        <v>1</v>
      </c>
      <c r="FN329" s="58">
        <f>IF(i_eff_inputs_based_on_num=2,EP329,(INDEX(Lists!$L$51:$L$85,MATCH(O329,Lists!$K$51:$K$85,0))))</f>
        <v>999</v>
      </c>
      <c r="FO329" s="58">
        <f>IF(i_eff_inputs_based_on_num=2,EQ329,(INDEX(Lists!$L$51:$L$85,MATCH(P329,Lists!$K$51:$K$85,0))))</f>
        <v>2</v>
      </c>
      <c r="FP329" s="58">
        <f>IF(i_eff_inputs_based_on_num=2,ER329,(INDEX(Lists!$L$51:$L$85,MATCH(Q329,Lists!$K$51:$K$85,0))))</f>
        <v>4</v>
      </c>
      <c r="FT329" s="58">
        <f t="shared" si="425"/>
        <v>0</v>
      </c>
      <c r="FW329" s="58">
        <f>IF(i_baseline_risk_from=2,'Effectiveness settings'!EW329,'Effectiveness settings'!FI329)</f>
        <v>0</v>
      </c>
      <c r="FX329" s="58">
        <f t="shared" si="426"/>
        <v>0</v>
      </c>
      <c r="FY329" s="58">
        <f t="shared" si="427"/>
        <v>0</v>
      </c>
      <c r="FZ329" s="58">
        <f t="shared" si="428"/>
        <v>0</v>
      </c>
      <c r="GA329" s="58">
        <f t="shared" si="429"/>
        <v>0</v>
      </c>
      <c r="GB329" s="58">
        <f t="shared" si="430"/>
        <v>0</v>
      </c>
      <c r="GC329" s="58">
        <f t="shared" si="431"/>
        <v>0</v>
      </c>
      <c r="GD329" s="58">
        <f t="shared" si="432"/>
        <v>0</v>
      </c>
      <c r="GE329" s="58">
        <f>IF(AND(dd_CheckMate214_TTD="Yes",'Effectiveness settings'!BU329=2,'Effectiveness settings'!BX329=2),"Apply HR to",GD329)</f>
        <v>0</v>
      </c>
      <c r="GF329" s="58">
        <f t="shared" si="433"/>
        <v>0</v>
      </c>
      <c r="GG329" s="58">
        <f t="shared" si="434"/>
        <v>0</v>
      </c>
      <c r="GH329" s="58">
        <f t="shared" si="435"/>
        <v>0</v>
      </c>
      <c r="GI329" s="58">
        <f t="shared" si="571"/>
        <v>0</v>
      </c>
      <c r="GK329" s="58">
        <f>IF(i_baseline_risk_from=2,'Effectiveness settings'!FA329,'Effectiveness settings'!FM329)</f>
        <v>1</v>
      </c>
      <c r="GL329" s="58">
        <f>IF(i_baseline_risk_from=2,'Effectiveness settings'!FB329,'Effectiveness settings'!FN329)</f>
        <v>999</v>
      </c>
      <c r="GM329" s="58">
        <f>IF(i_baseline_risk_from=2,'Effectiveness settings'!FC329,'Effectiveness settings'!FO329)</f>
        <v>2</v>
      </c>
      <c r="GN329" s="58">
        <f>IF(i_baseline_risk_from=2,'Effectiveness settings'!FD329,'Effectiveness settings'!FP329)</f>
        <v>4</v>
      </c>
      <c r="GQ329" s="58">
        <f t="shared" si="436"/>
        <v>999</v>
      </c>
      <c r="GR329" s="58">
        <f t="shared" si="437"/>
        <v>999</v>
      </c>
      <c r="GS329" s="58">
        <f t="shared" si="438"/>
        <v>999</v>
      </c>
      <c r="GT329" s="58">
        <f t="shared" si="439"/>
        <v>999</v>
      </c>
      <c r="GU329" s="58">
        <f>IF(AND(dd_CheckMate214_TTD="Yes",'Effectiveness settings'!BU329=2,'Effectiveness settings'!BX329=2),2,GT329)</f>
        <v>999</v>
      </c>
      <c r="GV329" s="58">
        <f t="shared" si="440"/>
        <v>999</v>
      </c>
      <c r="GW329" s="58">
        <f t="shared" si="441"/>
        <v>999</v>
      </c>
      <c r="GY329" s="58">
        <f>IF(AND(dd_CheckMate214_TTD="Yes",'Effectiveness settings'!BU329=2,'Effectiveness settings'!BX329=2),1,GN329)</f>
        <v>4</v>
      </c>
      <c r="GZ329" s="58">
        <f t="shared" si="442"/>
        <v>4</v>
      </c>
      <c r="HB329" s="58">
        <f t="shared" si="443"/>
        <v>0</v>
      </c>
      <c r="HD329" s="58">
        <f t="shared" si="566"/>
        <v>0</v>
      </c>
      <c r="HE329" s="58">
        <f t="shared" si="567"/>
        <v>1</v>
      </c>
      <c r="HF329" s="58">
        <f t="shared" si="568"/>
        <v>999</v>
      </c>
      <c r="HG329" s="58">
        <f t="shared" si="569"/>
        <v>2</v>
      </c>
      <c r="HH329" s="58">
        <f t="shared" si="570"/>
        <v>4</v>
      </c>
    </row>
    <row r="330" spans="1:216" ht="15.75" x14ac:dyDescent="0.25">
      <c r="B330" s="58" t="s">
        <v>327</v>
      </c>
      <c r="C330" s="740">
        <f t="shared" si="565"/>
        <v>11</v>
      </c>
      <c r="D330" s="58" t="str">
        <v>axitinib</v>
      </c>
      <c r="I330" s="64" t="s">
        <v>58</v>
      </c>
      <c r="J330" s="519" t="s">
        <v>557</v>
      </c>
      <c r="K330" s="524"/>
      <c r="L330" s="519"/>
      <c r="M330" s="516" t="s">
        <v>31</v>
      </c>
      <c r="N330" s="64" t="s">
        <v>546</v>
      </c>
      <c r="O330" s="64" t="s">
        <v>566</v>
      </c>
      <c r="P330" s="64" t="s">
        <v>547</v>
      </c>
      <c r="Q330" s="519" t="s">
        <v>557</v>
      </c>
      <c r="R330" s="516" t="s">
        <v>548</v>
      </c>
      <c r="S330" s="497"/>
      <c r="T330" s="497"/>
      <c r="U330" s="497"/>
      <c r="W330" s="58" t="str">
        <v>axitinib</v>
      </c>
      <c r="X330" s="64" t="s">
        <v>58</v>
      </c>
      <c r="Y330" s="519" t="s">
        <v>557</v>
      </c>
      <c r="Z330" s="524"/>
      <c r="AA330" s="519"/>
      <c r="AB330" s="516" t="s">
        <v>31</v>
      </c>
      <c r="AC330" s="64" t="s">
        <v>576</v>
      </c>
      <c r="AD330" s="64" t="s">
        <v>566</v>
      </c>
      <c r="AE330" s="64" t="s">
        <v>547</v>
      </c>
      <c r="AF330" s="519" t="s">
        <v>557</v>
      </c>
      <c r="AG330" s="516" t="s">
        <v>548</v>
      </c>
      <c r="AH330" s="497"/>
      <c r="AI330" s="497"/>
      <c r="AJ330" s="497"/>
      <c r="AL330" s="64" t="s">
        <v>58</v>
      </c>
      <c r="AM330" s="519" t="s">
        <v>557</v>
      </c>
      <c r="AN330" s="524"/>
      <c r="AO330" s="519"/>
      <c r="AP330" s="516" t="s">
        <v>31</v>
      </c>
      <c r="AQ330" s="64" t="s">
        <v>577</v>
      </c>
      <c r="AR330" s="64" t="s">
        <v>566</v>
      </c>
      <c r="AS330" s="64" t="s">
        <v>547</v>
      </c>
      <c r="AT330" s="519" t="s">
        <v>557</v>
      </c>
      <c r="AU330" s="516" t="s">
        <v>548</v>
      </c>
      <c r="AV330" s="497"/>
      <c r="AW330" s="497"/>
      <c r="AX330" s="497"/>
      <c r="AZ330" s="64" t="s">
        <v>58</v>
      </c>
      <c r="BA330" s="519" t="s">
        <v>557</v>
      </c>
      <c r="BB330" s="524"/>
      <c r="BC330" s="519"/>
      <c r="BD330" s="516" t="s">
        <v>31</v>
      </c>
      <c r="BE330" s="64" t="s">
        <v>565</v>
      </c>
      <c r="BF330" s="64" t="s">
        <v>566</v>
      </c>
      <c r="BG330" s="64" t="s">
        <v>547</v>
      </c>
      <c r="BH330" s="519" t="s">
        <v>557</v>
      </c>
      <c r="BI330" s="516" t="s">
        <v>548</v>
      </c>
      <c r="BJ330" s="497"/>
      <c r="BK330" s="497"/>
      <c r="BL330" s="497"/>
      <c r="BQ330" s="58">
        <f t="shared" si="423"/>
        <v>208</v>
      </c>
      <c r="BR330" s="61">
        <v>0</v>
      </c>
      <c r="BS330" s="61" t="s">
        <v>31</v>
      </c>
      <c r="BT330" s="17">
        <v>1</v>
      </c>
      <c r="BU330" s="17">
        <v>11</v>
      </c>
      <c r="BV330" s="17" t="str">
        <f t="shared" si="540"/>
        <v>axitinib</v>
      </c>
      <c r="BW330" s="1006" t="str" cm="1">
        <f t="array" ref="BW330">IF(I330="No",I330,INDEX(List_incl_anal_1L_all,IF(BU330=999,35,BU330+1)))</f>
        <v>No</v>
      </c>
      <c r="BX330" s="61">
        <f t="shared" si="541"/>
        <v>4</v>
      </c>
      <c r="BY330" s="531" t="str">
        <f t="shared" si="572"/>
        <v>Post progression survival</v>
      </c>
      <c r="BZ330" s="530">
        <f t="shared" si="542"/>
        <v>0</v>
      </c>
      <c r="CA330" s="531">
        <f t="shared" si="564"/>
        <v>0</v>
      </c>
      <c r="CB330" s="530">
        <f t="shared" si="543"/>
        <v>0</v>
      </c>
      <c r="CC330" s="530">
        <f t="shared" si="544"/>
        <v>1</v>
      </c>
      <c r="CD330" s="530">
        <f t="shared" si="545"/>
        <v>999</v>
      </c>
      <c r="CE330" s="1295">
        <f t="shared" si="546"/>
        <v>2</v>
      </c>
      <c r="CF330" s="1301">
        <f t="shared" si="547"/>
        <v>4</v>
      </c>
      <c r="CG330" s="530" t="str">
        <f t="shared" si="548"/>
        <v/>
      </c>
      <c r="CH330" s="61">
        <f t="shared" si="549"/>
        <v>0</v>
      </c>
      <c r="CI330" s="61">
        <f t="shared" si="550"/>
        <v>0</v>
      </c>
      <c r="CJ330" s="61">
        <f t="shared" si="551"/>
        <v>0</v>
      </c>
      <c r="DK330" s="58" t="str" cm="1">
        <f t="array" ref="DK330">IF(AND($BT330=4,$BX330=4,$BU330=999),$DB$36,_xlfn.IFNA(INDEX(DB$13:DB$70,MATCH(1,($BR330=$CV$13:$CV$70)*($BT330=$CX$13:$CX$70)*($CE330=$CY$13:$CY$70)*($BY330=$DA$13:$DA$70)*($CD330=$DH$13:$DH$70),0)),""))</f>
        <v/>
      </c>
      <c r="DL330" s="58" t="str" cm="1">
        <f t="array" ref="DL330">IF(AND($BT330=4,$BX330=4,$BU330=999),$DC$36,_xlfn.IFNA(INDEX(CHOOSE(DP330,DB$13:DB$70,DC$13:DC$70,DD$13:DD$70,DE$13:DE$70),MATCH(1,($BR330=$CV$13:$CV$70)*($BT330=$CX$13:$CX$70)*($CE330=$CY$13:$CY$70)*($BY330=$DA$13:$DA$70)*($CD330=$DH$13:$DH$70),0)),""))</f>
        <v/>
      </c>
      <c r="DM330" s="740" t="str" cm="1">
        <f t="array" ref="DM330">IF(AND($BT330=4,$BX330=4,$BU330=999),$DD$36,_xlfn.IFNA(INDEX(DD$13:DD$68,MATCH(1,($BR330=$CV$13:$CV$68)*($BT330=$CX$13:$CX$68)*($CE330=$CY$13:$CY$68)*($BY330=$DA$13:$DA$68)*($CD330=$DH$13:$DH$68),0)),""))</f>
        <v/>
      </c>
      <c r="DN330" s="740" t="str" cm="1">
        <f t="array" ref="DN330">IF(AND($BT330=4,$BX330=4,$BU330=999),$DD$36,_xlfn.IFNA(INDEX(DE$13:DE$68,MATCH(1,($BR330=$CV$13:$CV$68)*($BT330=$CX$13:$CX$68)*($CE330=$CY$13:$CY$68)*($BY330=$DA$13:$DA$68)*($CD330=$DH$13:$DH$68),0)),""))</f>
        <v/>
      </c>
      <c r="DO330" s="58" t="str" cm="1">
        <f t="array" ref="DO330">IF(AND($BT330=4,$BX330=4,$BU330=999),$DF$36,_xlfn.IFNA(INDEX(DF$13:DF$70,MATCH(1,($BR330=$CV$13:$CV$70)*($BT330=$CX$13:$CX$70)*($CE330=$CY$13:$CY$70)*($BY330=$DA$13:$DA$70)*($CD330=$DH$13:$DH$70),0)),""))</f>
        <v/>
      </c>
      <c r="DP330" s="58" t="e">
        <f t="shared" si="424"/>
        <v>#N/A</v>
      </c>
      <c r="DW330" s="58" t="s">
        <v>58</v>
      </c>
      <c r="DX330" s="58" t="s">
        <v>557</v>
      </c>
      <c r="DY330" s="58">
        <v>0</v>
      </c>
      <c r="DZ330" s="58">
        <v>0</v>
      </c>
      <c r="EB330" s="58">
        <v>0</v>
      </c>
      <c r="EC330" s="58">
        <v>1</v>
      </c>
      <c r="ED330" s="58">
        <v>999</v>
      </c>
      <c r="EE330" s="58">
        <v>2</v>
      </c>
      <c r="EF330" s="58">
        <v>4</v>
      </c>
      <c r="EI330" s="58" t="s">
        <v>58</v>
      </c>
      <c r="EJ330" s="58" t="s">
        <v>557</v>
      </c>
      <c r="EK330" s="58">
        <v>0</v>
      </c>
      <c r="EL330" s="58">
        <v>0</v>
      </c>
      <c r="EN330" s="58">
        <v>0</v>
      </c>
      <c r="EO330" s="58">
        <v>1</v>
      </c>
      <c r="EP330" s="58">
        <v>999</v>
      </c>
      <c r="EQ330" s="58">
        <v>2</v>
      </c>
      <c r="ER330" s="58">
        <v>4</v>
      </c>
      <c r="EU330" s="58" t="str">
        <f t="shared" si="552"/>
        <v>No</v>
      </c>
      <c r="EV330" s="58" t="str">
        <f t="shared" si="553"/>
        <v>Post progression survival</v>
      </c>
      <c r="EW330" s="58">
        <f t="shared" si="554"/>
        <v>0</v>
      </c>
      <c r="EX330" s="58">
        <f t="shared" si="555"/>
        <v>0</v>
      </c>
      <c r="EZ330" s="58">
        <f t="shared" si="556"/>
        <v>0</v>
      </c>
      <c r="FA330" s="58">
        <f t="shared" si="557"/>
        <v>1</v>
      </c>
      <c r="FB330" s="58">
        <f>IF(i_eff_inputs_based_on_num=2,ED330,(INDEX(Lists!$L$51:$L$85,MATCH(O330,Lists!$K$51:$K$85,0))))</f>
        <v>999</v>
      </c>
      <c r="FC330" s="58">
        <f>IF(i_eff_inputs_based_on_num=2,EE330,(INDEX(Lists!$L$51:$L$85,MATCH(P330,Lists!$K$51:$K$85,0))))</f>
        <v>2</v>
      </c>
      <c r="FD330" s="58">
        <f>IF(i_eff_inputs_based_on_num=2,EF330,(INDEX(Lists!$L$51:$L$85,MATCH(Q330,Lists!$K$51:$K$85,0))))</f>
        <v>4</v>
      </c>
      <c r="FG330" s="58" t="str">
        <f t="shared" si="558"/>
        <v>No</v>
      </c>
      <c r="FH330" s="58" t="str">
        <f t="shared" si="559"/>
        <v>Post progression survival</v>
      </c>
      <c r="FI330" s="58">
        <f t="shared" si="560"/>
        <v>0</v>
      </c>
      <c r="FJ330" s="58">
        <f t="shared" si="561"/>
        <v>0</v>
      </c>
      <c r="FL330" s="58">
        <f t="shared" si="562"/>
        <v>0</v>
      </c>
      <c r="FM330" s="58">
        <f t="shared" si="563"/>
        <v>1</v>
      </c>
      <c r="FN330" s="58">
        <f>IF(i_eff_inputs_based_on_num=2,EP330,(INDEX(Lists!$L$51:$L$85,MATCH(O330,Lists!$K$51:$K$85,0))))</f>
        <v>999</v>
      </c>
      <c r="FO330" s="58">
        <f>IF(i_eff_inputs_based_on_num=2,EQ330,(INDEX(Lists!$L$51:$L$85,MATCH(P330,Lists!$K$51:$K$85,0))))</f>
        <v>2</v>
      </c>
      <c r="FP330" s="58">
        <f>IF(i_eff_inputs_based_on_num=2,ER330,(INDEX(Lists!$L$51:$L$85,MATCH(Q330,Lists!$K$51:$K$85,0))))</f>
        <v>4</v>
      </c>
      <c r="FT330" s="58">
        <f t="shared" si="425"/>
        <v>0</v>
      </c>
      <c r="FW330" s="58">
        <f>IF(i_baseline_risk_from=2,'Effectiveness settings'!EW330,'Effectiveness settings'!FI330)</f>
        <v>0</v>
      </c>
      <c r="FX330" s="58">
        <f t="shared" si="426"/>
        <v>0</v>
      </c>
      <c r="FY330" s="58">
        <f t="shared" si="427"/>
        <v>0</v>
      </c>
      <c r="FZ330" s="58">
        <f t="shared" si="428"/>
        <v>0</v>
      </c>
      <c r="GA330" s="58">
        <f t="shared" si="429"/>
        <v>0</v>
      </c>
      <c r="GB330" s="58">
        <f t="shared" si="430"/>
        <v>0</v>
      </c>
      <c r="GC330" s="58">
        <f t="shared" si="431"/>
        <v>0</v>
      </c>
      <c r="GD330" s="58">
        <f t="shared" si="432"/>
        <v>0</v>
      </c>
      <c r="GE330" s="58">
        <f>IF(AND(dd_CheckMate214_TTD="Yes",'Effectiveness settings'!BU330=2,'Effectiveness settings'!BX330=2),"Apply HR to",GD330)</f>
        <v>0</v>
      </c>
      <c r="GF330" s="58">
        <f t="shared" si="433"/>
        <v>0</v>
      </c>
      <c r="GG330" s="58">
        <f t="shared" si="434"/>
        <v>0</v>
      </c>
      <c r="GH330" s="58">
        <f t="shared" si="435"/>
        <v>0</v>
      </c>
      <c r="GI330" s="58">
        <f t="shared" si="571"/>
        <v>0</v>
      </c>
      <c r="GK330" s="58">
        <f>IF(i_baseline_risk_from=2,'Effectiveness settings'!FA330,'Effectiveness settings'!FM330)</f>
        <v>1</v>
      </c>
      <c r="GL330" s="58">
        <f>IF(i_baseline_risk_from=2,'Effectiveness settings'!FB330,'Effectiveness settings'!FN330)</f>
        <v>999</v>
      </c>
      <c r="GM330" s="58">
        <f>IF(i_baseline_risk_from=2,'Effectiveness settings'!FC330,'Effectiveness settings'!FO330)</f>
        <v>2</v>
      </c>
      <c r="GN330" s="58">
        <f>IF(i_baseline_risk_from=2,'Effectiveness settings'!FD330,'Effectiveness settings'!FP330)</f>
        <v>4</v>
      </c>
      <c r="GQ330" s="58">
        <f t="shared" si="436"/>
        <v>999</v>
      </c>
      <c r="GR330" s="58">
        <f t="shared" si="437"/>
        <v>999</v>
      </c>
      <c r="GS330" s="58">
        <f t="shared" si="438"/>
        <v>999</v>
      </c>
      <c r="GT330" s="58">
        <f t="shared" si="439"/>
        <v>999</v>
      </c>
      <c r="GU330" s="58">
        <f>IF(AND(dd_CheckMate214_TTD="Yes",'Effectiveness settings'!BU330=2,'Effectiveness settings'!BX330=2),2,GT330)</f>
        <v>999</v>
      </c>
      <c r="GV330" s="58">
        <f t="shared" si="440"/>
        <v>999</v>
      </c>
      <c r="GW330" s="58">
        <f t="shared" si="441"/>
        <v>999</v>
      </c>
      <c r="GY330" s="58">
        <f>IF(AND(dd_CheckMate214_TTD="Yes",'Effectiveness settings'!BU330=2,'Effectiveness settings'!BX330=2),1,GN330)</f>
        <v>4</v>
      </c>
      <c r="GZ330" s="58">
        <f t="shared" si="442"/>
        <v>4</v>
      </c>
      <c r="HB330" s="58">
        <f t="shared" si="443"/>
        <v>0</v>
      </c>
      <c r="HD330" s="58">
        <f t="shared" si="566"/>
        <v>0</v>
      </c>
      <c r="HE330" s="58">
        <f t="shared" si="567"/>
        <v>1</v>
      </c>
      <c r="HF330" s="58">
        <f t="shared" si="568"/>
        <v>999</v>
      </c>
      <c r="HG330" s="58">
        <f t="shared" si="569"/>
        <v>2</v>
      </c>
      <c r="HH330" s="58">
        <f t="shared" si="570"/>
        <v>4</v>
      </c>
    </row>
    <row r="331" spans="1:216" ht="15.75" x14ac:dyDescent="0.25">
      <c r="C331" s="740">
        <f t="shared" si="565"/>
        <v>12</v>
      </c>
      <c r="D331" s="58" t="str">
        <v>sorafenib</v>
      </c>
      <c r="I331" s="64" t="s">
        <v>58</v>
      </c>
      <c r="J331" s="519" t="s">
        <v>557</v>
      </c>
      <c r="K331" s="524"/>
      <c r="L331" s="519"/>
      <c r="M331" s="516" t="s">
        <v>31</v>
      </c>
      <c r="N331" s="64" t="s">
        <v>546</v>
      </c>
      <c r="O331" s="64" t="s">
        <v>566</v>
      </c>
      <c r="P331" s="64" t="s">
        <v>547</v>
      </c>
      <c r="Q331" s="519" t="s">
        <v>557</v>
      </c>
      <c r="R331" s="516" t="s">
        <v>548</v>
      </c>
      <c r="S331" s="497"/>
      <c r="T331" s="497"/>
      <c r="U331" s="497"/>
      <c r="W331" s="58" t="str">
        <v>sorafenib</v>
      </c>
      <c r="X331" s="64" t="s">
        <v>58</v>
      </c>
      <c r="Y331" s="519" t="s">
        <v>557</v>
      </c>
      <c r="Z331" s="524"/>
      <c r="AA331" s="519"/>
      <c r="AB331" s="516" t="s">
        <v>31</v>
      </c>
      <c r="AC331" s="64" t="s">
        <v>576</v>
      </c>
      <c r="AD331" s="64" t="s">
        <v>566</v>
      </c>
      <c r="AE331" s="64" t="s">
        <v>547</v>
      </c>
      <c r="AF331" s="519" t="s">
        <v>557</v>
      </c>
      <c r="AG331" s="516" t="s">
        <v>548</v>
      </c>
      <c r="AH331" s="497"/>
      <c r="AI331" s="497"/>
      <c r="AJ331" s="497"/>
      <c r="AL331" s="64" t="s">
        <v>58</v>
      </c>
      <c r="AM331" s="519" t="s">
        <v>557</v>
      </c>
      <c r="AN331" s="524"/>
      <c r="AO331" s="519"/>
      <c r="AP331" s="516" t="s">
        <v>31</v>
      </c>
      <c r="AQ331" s="64" t="s">
        <v>577</v>
      </c>
      <c r="AR331" s="64" t="s">
        <v>566</v>
      </c>
      <c r="AS331" s="64" t="s">
        <v>547</v>
      </c>
      <c r="AT331" s="519" t="s">
        <v>557</v>
      </c>
      <c r="AU331" s="516" t="s">
        <v>548</v>
      </c>
      <c r="AV331" s="497"/>
      <c r="AW331" s="497"/>
      <c r="AX331" s="497"/>
      <c r="AZ331" s="64" t="s">
        <v>58</v>
      </c>
      <c r="BA331" s="519" t="s">
        <v>557</v>
      </c>
      <c r="BB331" s="524"/>
      <c r="BC331" s="519"/>
      <c r="BD331" s="516" t="s">
        <v>31</v>
      </c>
      <c r="BE331" s="64" t="s">
        <v>565</v>
      </c>
      <c r="BF331" s="64" t="s">
        <v>566</v>
      </c>
      <c r="BG331" s="64" t="s">
        <v>547</v>
      </c>
      <c r="BH331" s="519" t="s">
        <v>557</v>
      </c>
      <c r="BI331" s="516" t="s">
        <v>548</v>
      </c>
      <c r="BJ331" s="497"/>
      <c r="BK331" s="497"/>
      <c r="BL331" s="497"/>
      <c r="BQ331" s="58">
        <f t="shared" si="423"/>
        <v>209</v>
      </c>
      <c r="BR331" s="61">
        <v>0</v>
      </c>
      <c r="BS331" s="61" t="s">
        <v>31</v>
      </c>
      <c r="BT331" s="17">
        <v>1</v>
      </c>
      <c r="BU331" s="17">
        <v>12</v>
      </c>
      <c r="BV331" s="17" t="str">
        <f t="shared" si="540"/>
        <v>sorafenib</v>
      </c>
      <c r="BW331" s="1006" t="str" cm="1">
        <f t="array" ref="BW331">IF(I331="No",I331,INDEX(List_incl_anal_1L_all,IF(BU331=999,35,BU331+1)))</f>
        <v>No</v>
      </c>
      <c r="BX331" s="61">
        <f t="shared" si="541"/>
        <v>4</v>
      </c>
      <c r="BY331" s="531" t="str">
        <f t="shared" si="572"/>
        <v>Post progression survival</v>
      </c>
      <c r="BZ331" s="530">
        <f t="shared" si="542"/>
        <v>0</v>
      </c>
      <c r="CA331" s="531">
        <f t="shared" si="564"/>
        <v>0</v>
      </c>
      <c r="CB331" s="530">
        <f t="shared" si="543"/>
        <v>0</v>
      </c>
      <c r="CC331" s="530">
        <f t="shared" si="544"/>
        <v>1</v>
      </c>
      <c r="CD331" s="530">
        <f t="shared" si="545"/>
        <v>999</v>
      </c>
      <c r="CE331" s="1295">
        <f t="shared" si="546"/>
        <v>2</v>
      </c>
      <c r="CF331" s="1301">
        <f t="shared" si="547"/>
        <v>4</v>
      </c>
      <c r="CG331" s="530" t="str">
        <f t="shared" si="548"/>
        <v/>
      </c>
      <c r="CH331" s="61">
        <f t="shared" si="549"/>
        <v>0</v>
      </c>
      <c r="CI331" s="61">
        <f t="shared" si="550"/>
        <v>0</v>
      </c>
      <c r="CJ331" s="61">
        <f t="shared" si="551"/>
        <v>0</v>
      </c>
      <c r="DK331" s="58" t="str" cm="1">
        <f t="array" ref="DK331">IF(AND($BT331=4,$BX331=4,$BU331=999),$DB$36,_xlfn.IFNA(INDEX(DB$13:DB$70,MATCH(1,($BR331=$CV$13:$CV$70)*($BT331=$CX$13:$CX$70)*($CE331=$CY$13:$CY$70)*($BY331=$DA$13:$DA$70)*($CD331=$DH$13:$DH$70),0)),""))</f>
        <v/>
      </c>
      <c r="DL331" s="58" t="str" cm="1">
        <f t="array" ref="DL331">IF(AND($BT331=4,$BX331=4,$BU331=999),$DC$36,_xlfn.IFNA(INDEX(CHOOSE(DP331,DB$13:DB$70,DC$13:DC$70,DD$13:DD$70,DE$13:DE$70),MATCH(1,($BR331=$CV$13:$CV$70)*($BT331=$CX$13:$CX$70)*($CE331=$CY$13:$CY$70)*($BY331=$DA$13:$DA$70)*($CD331=$DH$13:$DH$70),0)),""))</f>
        <v/>
      </c>
      <c r="DM331" s="740" t="str" cm="1">
        <f t="array" ref="DM331">IF(AND($BT331=4,$BX331=4,$BU331=999),$DD$36,_xlfn.IFNA(INDEX(DD$13:DD$68,MATCH(1,($BR331=$CV$13:$CV$68)*($BT331=$CX$13:$CX$68)*($CE331=$CY$13:$CY$68)*($BY331=$DA$13:$DA$68)*($CD331=$DH$13:$DH$68),0)),""))</f>
        <v/>
      </c>
      <c r="DN331" s="740" t="str" cm="1">
        <f t="array" ref="DN331">IF(AND($BT331=4,$BX331=4,$BU331=999),$DD$36,_xlfn.IFNA(INDEX(DE$13:DE$68,MATCH(1,($BR331=$CV$13:$CV$68)*($BT331=$CX$13:$CX$68)*($CE331=$CY$13:$CY$68)*($BY331=$DA$13:$DA$68)*($CD331=$DH$13:$DH$68),0)),""))</f>
        <v/>
      </c>
      <c r="DO331" s="58" t="str" cm="1">
        <f t="array" ref="DO331">IF(AND($BT331=4,$BX331=4,$BU331=999),$DF$36,_xlfn.IFNA(INDEX(DF$13:DF$70,MATCH(1,($BR331=$CV$13:$CV$70)*($BT331=$CX$13:$CX$70)*($CE331=$CY$13:$CY$70)*($BY331=$DA$13:$DA$70)*($CD331=$DH$13:$DH$70),0)),""))</f>
        <v/>
      </c>
      <c r="DP331" s="58" t="e">
        <f t="shared" si="424"/>
        <v>#N/A</v>
      </c>
      <c r="DW331" s="58" t="s">
        <v>58</v>
      </c>
      <c r="DX331" s="58" t="s">
        <v>557</v>
      </c>
      <c r="DY331" s="58">
        <v>0</v>
      </c>
      <c r="DZ331" s="58">
        <v>0</v>
      </c>
      <c r="EB331" s="58">
        <v>0</v>
      </c>
      <c r="EC331" s="58">
        <v>1</v>
      </c>
      <c r="ED331" s="58">
        <v>999</v>
      </c>
      <c r="EE331" s="58">
        <v>2</v>
      </c>
      <c r="EF331" s="58">
        <v>4</v>
      </c>
      <c r="EI331" s="58" t="s">
        <v>58</v>
      </c>
      <c r="EJ331" s="58" t="s">
        <v>557</v>
      </c>
      <c r="EK331" s="58">
        <v>0</v>
      </c>
      <c r="EL331" s="58">
        <v>0</v>
      </c>
      <c r="EN331" s="58">
        <v>0</v>
      </c>
      <c r="EO331" s="58">
        <v>1</v>
      </c>
      <c r="EP331" s="58">
        <v>999</v>
      </c>
      <c r="EQ331" s="58">
        <v>2</v>
      </c>
      <c r="ER331" s="58">
        <v>4</v>
      </c>
      <c r="EU331" s="58" t="str">
        <f t="shared" si="552"/>
        <v>No</v>
      </c>
      <c r="EV331" s="58" t="str">
        <f t="shared" si="553"/>
        <v>Post progression survival</v>
      </c>
      <c r="EW331" s="58">
        <f t="shared" si="554"/>
        <v>0</v>
      </c>
      <c r="EX331" s="58">
        <f t="shared" si="555"/>
        <v>0</v>
      </c>
      <c r="EZ331" s="58">
        <f t="shared" si="556"/>
        <v>0</v>
      </c>
      <c r="FA331" s="58">
        <f t="shared" si="557"/>
        <v>1</v>
      </c>
      <c r="FB331" s="58">
        <f>IF(i_eff_inputs_based_on_num=2,ED331,(INDEX(Lists!$L$51:$L$85,MATCH(O331,Lists!$K$51:$K$85,0))))</f>
        <v>999</v>
      </c>
      <c r="FC331" s="58">
        <f>IF(i_eff_inputs_based_on_num=2,EE331,(INDEX(Lists!$L$51:$L$85,MATCH(P331,Lists!$K$51:$K$85,0))))</f>
        <v>2</v>
      </c>
      <c r="FD331" s="58">
        <f>IF(i_eff_inputs_based_on_num=2,EF331,(INDEX(Lists!$L$51:$L$85,MATCH(Q331,Lists!$K$51:$K$85,0))))</f>
        <v>4</v>
      </c>
      <c r="FG331" s="58" t="str">
        <f t="shared" si="558"/>
        <v>No</v>
      </c>
      <c r="FH331" s="58" t="str">
        <f t="shared" si="559"/>
        <v>Post progression survival</v>
      </c>
      <c r="FI331" s="58">
        <f t="shared" si="560"/>
        <v>0</v>
      </c>
      <c r="FJ331" s="58">
        <f t="shared" si="561"/>
        <v>0</v>
      </c>
      <c r="FL331" s="58">
        <f t="shared" si="562"/>
        <v>0</v>
      </c>
      <c r="FM331" s="58">
        <f t="shared" si="563"/>
        <v>1</v>
      </c>
      <c r="FN331" s="58">
        <f>IF(i_eff_inputs_based_on_num=2,EP331,(INDEX(Lists!$L$51:$L$85,MATCH(O331,Lists!$K$51:$K$85,0))))</f>
        <v>999</v>
      </c>
      <c r="FO331" s="58">
        <f>IF(i_eff_inputs_based_on_num=2,EQ331,(INDEX(Lists!$L$51:$L$85,MATCH(P331,Lists!$K$51:$K$85,0))))</f>
        <v>2</v>
      </c>
      <c r="FP331" s="58">
        <f>IF(i_eff_inputs_based_on_num=2,ER331,(INDEX(Lists!$L$51:$L$85,MATCH(Q331,Lists!$K$51:$K$85,0))))</f>
        <v>4</v>
      </c>
      <c r="FT331" s="58">
        <f t="shared" si="425"/>
        <v>0</v>
      </c>
      <c r="FW331" s="58">
        <f>IF(i_baseline_risk_from=2,'Effectiveness settings'!EW331,'Effectiveness settings'!FI331)</f>
        <v>0</v>
      </c>
      <c r="FX331" s="58">
        <f t="shared" si="426"/>
        <v>0</v>
      </c>
      <c r="FY331" s="58">
        <f t="shared" si="427"/>
        <v>0</v>
      </c>
      <c r="FZ331" s="58">
        <f t="shared" si="428"/>
        <v>0</v>
      </c>
      <c r="GA331" s="58">
        <f t="shared" si="429"/>
        <v>0</v>
      </c>
      <c r="GB331" s="58">
        <f t="shared" si="430"/>
        <v>0</v>
      </c>
      <c r="GC331" s="58">
        <f t="shared" si="431"/>
        <v>0</v>
      </c>
      <c r="GD331" s="58">
        <f t="shared" si="432"/>
        <v>0</v>
      </c>
      <c r="GE331" s="58">
        <f>IF(AND(dd_CheckMate214_TTD="Yes",'Effectiveness settings'!BU331=2,'Effectiveness settings'!BX331=2),"Apply HR to",GD331)</f>
        <v>0</v>
      </c>
      <c r="GF331" s="58">
        <f t="shared" si="433"/>
        <v>0</v>
      </c>
      <c r="GG331" s="58">
        <f t="shared" si="434"/>
        <v>0</v>
      </c>
      <c r="GH331" s="58">
        <f t="shared" si="435"/>
        <v>0</v>
      </c>
      <c r="GI331" s="58">
        <f t="shared" si="571"/>
        <v>0</v>
      </c>
      <c r="GK331" s="58">
        <f>IF(i_baseline_risk_from=2,'Effectiveness settings'!FA331,'Effectiveness settings'!FM331)</f>
        <v>1</v>
      </c>
      <c r="GL331" s="58">
        <f>IF(i_baseline_risk_from=2,'Effectiveness settings'!FB331,'Effectiveness settings'!FN331)</f>
        <v>999</v>
      </c>
      <c r="GM331" s="58">
        <f>IF(i_baseline_risk_from=2,'Effectiveness settings'!FC331,'Effectiveness settings'!FO331)</f>
        <v>2</v>
      </c>
      <c r="GN331" s="58">
        <f>IF(i_baseline_risk_from=2,'Effectiveness settings'!FD331,'Effectiveness settings'!FP331)</f>
        <v>4</v>
      </c>
      <c r="GQ331" s="58">
        <f t="shared" si="436"/>
        <v>999</v>
      </c>
      <c r="GR331" s="58">
        <f t="shared" si="437"/>
        <v>999</v>
      </c>
      <c r="GS331" s="58">
        <f t="shared" si="438"/>
        <v>999</v>
      </c>
      <c r="GT331" s="58">
        <f t="shared" si="439"/>
        <v>999</v>
      </c>
      <c r="GU331" s="58">
        <f>IF(AND(dd_CheckMate214_TTD="Yes",'Effectiveness settings'!BU331=2,'Effectiveness settings'!BX331=2),2,GT331)</f>
        <v>999</v>
      </c>
      <c r="GV331" s="58">
        <f t="shared" si="440"/>
        <v>999</v>
      </c>
      <c r="GW331" s="58">
        <f t="shared" si="441"/>
        <v>999</v>
      </c>
      <c r="GY331" s="58">
        <f>IF(AND(dd_CheckMate214_TTD="Yes",'Effectiveness settings'!BU331=2,'Effectiveness settings'!BX331=2),1,GN331)</f>
        <v>4</v>
      </c>
      <c r="GZ331" s="58">
        <f t="shared" si="442"/>
        <v>4</v>
      </c>
      <c r="HB331" s="58">
        <f t="shared" si="443"/>
        <v>0</v>
      </c>
      <c r="HD331" s="58">
        <f t="shared" si="566"/>
        <v>0</v>
      </c>
      <c r="HE331" s="58">
        <f t="shared" si="567"/>
        <v>1</v>
      </c>
      <c r="HF331" s="58">
        <f t="shared" si="568"/>
        <v>999</v>
      </c>
      <c r="HG331" s="58">
        <f t="shared" si="569"/>
        <v>2</v>
      </c>
      <c r="HH331" s="58">
        <f t="shared" si="570"/>
        <v>4</v>
      </c>
    </row>
    <row r="332" spans="1:216" ht="15.75" x14ac:dyDescent="0.25">
      <c r="C332" s="740">
        <f t="shared" si="565"/>
        <v>13</v>
      </c>
      <c r="D332" s="58" t="str">
        <v>placebo_BSC</v>
      </c>
      <c r="I332" s="64" t="s">
        <v>58</v>
      </c>
      <c r="J332" s="519" t="s">
        <v>557</v>
      </c>
      <c r="K332" s="524"/>
      <c r="L332" s="519"/>
      <c r="M332" s="516" t="s">
        <v>31</v>
      </c>
      <c r="N332" s="64" t="s">
        <v>546</v>
      </c>
      <c r="O332" s="64" t="s">
        <v>566</v>
      </c>
      <c r="P332" s="64" t="s">
        <v>547</v>
      </c>
      <c r="Q332" s="519" t="s">
        <v>557</v>
      </c>
      <c r="R332" s="516" t="s">
        <v>548</v>
      </c>
      <c r="S332" s="497"/>
      <c r="T332" s="497"/>
      <c r="U332" s="497"/>
      <c r="W332" s="58" t="str">
        <v>placebo_BSC</v>
      </c>
      <c r="X332" s="64" t="s">
        <v>58</v>
      </c>
      <c r="Y332" s="519" t="s">
        <v>557</v>
      </c>
      <c r="Z332" s="524"/>
      <c r="AA332" s="519"/>
      <c r="AB332" s="516" t="s">
        <v>31</v>
      </c>
      <c r="AC332" s="64" t="s">
        <v>576</v>
      </c>
      <c r="AD332" s="64" t="s">
        <v>566</v>
      </c>
      <c r="AE332" s="64" t="s">
        <v>547</v>
      </c>
      <c r="AF332" s="519" t="s">
        <v>557</v>
      </c>
      <c r="AG332" s="516" t="s">
        <v>548</v>
      </c>
      <c r="AH332" s="497"/>
      <c r="AI332" s="497"/>
      <c r="AJ332" s="497"/>
      <c r="AL332" s="64" t="s">
        <v>58</v>
      </c>
      <c r="AM332" s="519" t="s">
        <v>557</v>
      </c>
      <c r="AN332" s="524"/>
      <c r="AO332" s="519"/>
      <c r="AP332" s="516" t="s">
        <v>31</v>
      </c>
      <c r="AQ332" s="64" t="s">
        <v>577</v>
      </c>
      <c r="AR332" s="64" t="s">
        <v>566</v>
      </c>
      <c r="AS332" s="64" t="s">
        <v>547</v>
      </c>
      <c r="AT332" s="519" t="s">
        <v>557</v>
      </c>
      <c r="AU332" s="516" t="s">
        <v>548</v>
      </c>
      <c r="AV332" s="497"/>
      <c r="AW332" s="497"/>
      <c r="AX332" s="497"/>
      <c r="AZ332" s="64" t="s">
        <v>74</v>
      </c>
      <c r="BA332" s="519" t="s">
        <v>557</v>
      </c>
      <c r="BB332" s="524" t="s">
        <v>562</v>
      </c>
      <c r="BC332" s="519" t="s">
        <v>547</v>
      </c>
      <c r="BD332" s="516" t="s">
        <v>31</v>
      </c>
      <c r="BE332" s="64" t="s">
        <v>565</v>
      </c>
      <c r="BF332" s="64" t="s">
        <v>566</v>
      </c>
      <c r="BG332" s="64" t="s">
        <v>547</v>
      </c>
      <c r="BH332" s="519" t="s">
        <v>557</v>
      </c>
      <c r="BI332" s="516" t="s">
        <v>548</v>
      </c>
      <c r="BJ332" s="497"/>
      <c r="BK332" s="497"/>
      <c r="BL332" s="497"/>
      <c r="BQ332" s="58">
        <f t="shared" si="423"/>
        <v>210</v>
      </c>
      <c r="BR332" s="61">
        <v>0</v>
      </c>
      <c r="BS332" s="61" t="s">
        <v>31</v>
      </c>
      <c r="BT332" s="17">
        <v>1</v>
      </c>
      <c r="BU332" s="17">
        <v>999</v>
      </c>
      <c r="BV332" s="17" t="str">
        <f t="shared" si="540"/>
        <v>placebo_BSC</v>
      </c>
      <c r="BW332" s="1006" t="str" cm="1">
        <f t="array" ref="BW332">IF(I332="No",I332,INDEX(List_incl_anal_1L_all,IF(BU332=999,35,BU332+1)))</f>
        <v>No</v>
      </c>
      <c r="BX332" s="61">
        <f t="shared" si="541"/>
        <v>4</v>
      </c>
      <c r="BY332" s="531" t="str">
        <f t="shared" si="572"/>
        <v>Post progression survival</v>
      </c>
      <c r="BZ332" s="530">
        <f t="shared" si="542"/>
        <v>0</v>
      </c>
      <c r="CA332" s="531">
        <f t="shared" si="564"/>
        <v>0</v>
      </c>
      <c r="CB332" s="530">
        <f t="shared" si="543"/>
        <v>0</v>
      </c>
      <c r="CC332" s="530">
        <f t="shared" si="544"/>
        <v>4</v>
      </c>
      <c r="CD332" s="530">
        <f t="shared" si="545"/>
        <v>999</v>
      </c>
      <c r="CE332" s="1295">
        <f t="shared" si="546"/>
        <v>2</v>
      </c>
      <c r="CF332" s="1301">
        <f t="shared" si="547"/>
        <v>4</v>
      </c>
      <c r="CG332" s="530" t="str">
        <f t="shared" si="548"/>
        <v/>
      </c>
      <c r="CH332" s="61">
        <f t="shared" si="549"/>
        <v>0</v>
      </c>
      <c r="CI332" s="61">
        <f t="shared" si="550"/>
        <v>0</v>
      </c>
      <c r="CJ332" s="61">
        <f t="shared" si="551"/>
        <v>0</v>
      </c>
      <c r="DK332" s="58" t="str" cm="1">
        <f t="array" ref="DK332">IF(AND($BT332=4,$BX332=4,$BU332=999),$DB$36,_xlfn.IFNA(INDEX(DB$13:DB$70,MATCH(1,($BR332=$CV$13:$CV$70)*($BT332=$CX$13:$CX$70)*($CE332=$CY$13:$CY$70)*($BY332=$DA$13:$DA$70)*($CD332=$DH$13:$DH$70),0)),""))</f>
        <v/>
      </c>
      <c r="DL332" s="58" t="str" cm="1">
        <f t="array" ref="DL332">IF(AND($BT332=4,$BX332=4,$BU332=999),$DC$36,_xlfn.IFNA(INDEX(CHOOSE(DP332,DB$13:DB$70,DC$13:DC$70,DD$13:DD$70,DE$13:DE$70),MATCH(1,($BR332=$CV$13:$CV$70)*($BT332=$CX$13:$CX$70)*($CE332=$CY$13:$CY$70)*($BY332=$DA$13:$DA$70)*($CD332=$DH$13:$DH$70),0)),""))</f>
        <v/>
      </c>
      <c r="DM332" s="740" t="str" cm="1">
        <f t="array" ref="DM332">IF(AND($BT332=4,$BX332=4,$BU332=999),$DD$36,_xlfn.IFNA(INDEX(DD$13:DD$68,MATCH(1,($BR332=$CV$13:$CV$68)*($BT332=$CX$13:$CX$68)*($CE332=$CY$13:$CY$68)*($BY332=$DA$13:$DA$68)*($CD332=$DH$13:$DH$68),0)),""))</f>
        <v/>
      </c>
      <c r="DN332" s="740" t="str" cm="1">
        <f t="array" ref="DN332">IF(AND($BT332=4,$BX332=4,$BU332=999),$DD$36,_xlfn.IFNA(INDEX(DE$13:DE$68,MATCH(1,($BR332=$CV$13:$CV$68)*($BT332=$CX$13:$CX$68)*($CE332=$CY$13:$CY$68)*($BY332=$DA$13:$DA$68)*($CD332=$DH$13:$DH$68),0)),""))</f>
        <v/>
      </c>
      <c r="DO332" s="58" t="str" cm="1">
        <f t="array" ref="DO332">IF(AND($BT332=4,$BX332=4,$BU332=999),$DF$36,_xlfn.IFNA(INDEX(DF$13:DF$70,MATCH(1,($BR332=$CV$13:$CV$70)*($BT332=$CX$13:$CX$70)*($CE332=$CY$13:$CY$70)*($BY332=$DA$13:$DA$70)*($CD332=$DH$13:$DH$70),0)),""))</f>
        <v/>
      </c>
      <c r="DP332" s="58" t="e">
        <f t="shared" si="424"/>
        <v>#N/A</v>
      </c>
      <c r="DW332" s="58" t="s">
        <v>58</v>
      </c>
      <c r="DX332" s="58" t="s">
        <v>557</v>
      </c>
      <c r="DY332" s="58">
        <v>0</v>
      </c>
      <c r="DZ332" s="58">
        <v>0</v>
      </c>
      <c r="EB332" s="58">
        <v>0</v>
      </c>
      <c r="EC332" s="58">
        <v>4</v>
      </c>
      <c r="ED332" s="58">
        <v>999</v>
      </c>
      <c r="EE332" s="58">
        <v>2</v>
      </c>
      <c r="EF332" s="58">
        <v>4</v>
      </c>
      <c r="EI332" s="58" t="s">
        <v>58</v>
      </c>
      <c r="EJ332" s="58" t="s">
        <v>557</v>
      </c>
      <c r="EK332" s="58">
        <v>0</v>
      </c>
      <c r="EL332" s="58">
        <v>0</v>
      </c>
      <c r="EN332" s="58">
        <v>0</v>
      </c>
      <c r="EO332" s="58">
        <v>4</v>
      </c>
      <c r="EP332" s="58">
        <v>999</v>
      </c>
      <c r="EQ332" s="58">
        <v>2</v>
      </c>
      <c r="ER332" s="58">
        <v>4</v>
      </c>
      <c r="EU332" s="58" t="str">
        <f t="shared" si="552"/>
        <v>No</v>
      </c>
      <c r="EV332" s="58" t="str">
        <f t="shared" si="553"/>
        <v>Post progression survival</v>
      </c>
      <c r="EW332" s="58">
        <f t="shared" si="554"/>
        <v>0</v>
      </c>
      <c r="EX332" s="58">
        <f t="shared" si="555"/>
        <v>0</v>
      </c>
      <c r="EZ332" s="58">
        <f t="shared" si="556"/>
        <v>0</v>
      </c>
      <c r="FA332" s="58">
        <f t="shared" si="557"/>
        <v>4</v>
      </c>
      <c r="FB332" s="58">
        <f>IF(i_eff_inputs_based_on_num=2,ED332,(INDEX(Lists!$L$51:$L$85,MATCH(O332,Lists!$K$51:$K$85,0))))</f>
        <v>999</v>
      </c>
      <c r="FC332" s="58">
        <f>IF(i_eff_inputs_based_on_num=2,EE332,(INDEX(Lists!$L$51:$L$85,MATCH(P332,Lists!$K$51:$K$85,0))))</f>
        <v>2</v>
      </c>
      <c r="FD332" s="58">
        <f>IF(i_eff_inputs_based_on_num=2,EF332,(INDEX(Lists!$L$51:$L$85,MATCH(Q332,Lists!$K$51:$K$85,0))))</f>
        <v>4</v>
      </c>
      <c r="FG332" s="58" t="str">
        <f t="shared" si="558"/>
        <v>No</v>
      </c>
      <c r="FH332" s="58" t="str">
        <f t="shared" si="559"/>
        <v>Post progression survival</v>
      </c>
      <c r="FI332" s="58">
        <f t="shared" si="560"/>
        <v>0</v>
      </c>
      <c r="FJ332" s="58">
        <f t="shared" si="561"/>
        <v>0</v>
      </c>
      <c r="FL332" s="58">
        <f t="shared" si="562"/>
        <v>0</v>
      </c>
      <c r="FM332" s="58">
        <f t="shared" si="563"/>
        <v>4</v>
      </c>
      <c r="FN332" s="58">
        <f>IF(i_eff_inputs_based_on_num=2,EP332,(INDEX(Lists!$L$51:$L$85,MATCH(O332,Lists!$K$51:$K$85,0))))</f>
        <v>999</v>
      </c>
      <c r="FO332" s="58">
        <f>IF(i_eff_inputs_based_on_num=2,EQ332,(INDEX(Lists!$L$51:$L$85,MATCH(P332,Lists!$K$51:$K$85,0))))</f>
        <v>2</v>
      </c>
      <c r="FP332" s="58">
        <f>IF(i_eff_inputs_based_on_num=2,ER332,(INDEX(Lists!$L$51:$L$85,MATCH(Q332,Lists!$K$51:$K$85,0))))</f>
        <v>4</v>
      </c>
      <c r="FT332" s="58">
        <f t="shared" si="425"/>
        <v>0</v>
      </c>
      <c r="FW332" s="58">
        <f>IF(i_baseline_risk_from=2,'Effectiveness settings'!EW332,'Effectiveness settings'!FI332)</f>
        <v>0</v>
      </c>
      <c r="FX332" s="58">
        <f t="shared" si="426"/>
        <v>0</v>
      </c>
      <c r="FY332" s="58">
        <f t="shared" si="427"/>
        <v>0</v>
      </c>
      <c r="FZ332" s="58">
        <f t="shared" si="428"/>
        <v>0</v>
      </c>
      <c r="GA332" s="58">
        <f t="shared" si="429"/>
        <v>0</v>
      </c>
      <c r="GB332" s="58">
        <f t="shared" si="430"/>
        <v>0</v>
      </c>
      <c r="GC332" s="58">
        <f t="shared" si="431"/>
        <v>0</v>
      </c>
      <c r="GD332" s="58">
        <f t="shared" si="432"/>
        <v>0</v>
      </c>
      <c r="GE332" s="58">
        <f>IF(AND(dd_CheckMate214_TTD="Yes",'Effectiveness settings'!BU332=2,'Effectiveness settings'!BX332=2),"Apply HR to",GD332)</f>
        <v>0</v>
      </c>
      <c r="GF332" s="58">
        <f t="shared" si="433"/>
        <v>0</v>
      </c>
      <c r="GG332" s="58">
        <f t="shared" si="434"/>
        <v>0</v>
      </c>
      <c r="GH332" s="58">
        <f t="shared" si="435"/>
        <v>0</v>
      </c>
      <c r="GI332" s="58">
        <f t="shared" si="571"/>
        <v>0</v>
      </c>
      <c r="GK332" s="58">
        <f>IF(i_baseline_risk_from=2,'Effectiveness settings'!FA332,'Effectiveness settings'!FM332)</f>
        <v>4</v>
      </c>
      <c r="GL332" s="58">
        <f>IF(i_baseline_risk_from=2,'Effectiveness settings'!FB332,'Effectiveness settings'!FN332)</f>
        <v>999</v>
      </c>
      <c r="GM332" s="58">
        <f>IF(i_baseline_risk_from=2,'Effectiveness settings'!FC332,'Effectiveness settings'!FO332)</f>
        <v>2</v>
      </c>
      <c r="GN332" s="58">
        <f>IF(i_baseline_risk_from=2,'Effectiveness settings'!FD332,'Effectiveness settings'!FP332)</f>
        <v>4</v>
      </c>
      <c r="GQ332" s="58">
        <f t="shared" si="436"/>
        <v>999</v>
      </c>
      <c r="GR332" s="58">
        <f t="shared" si="437"/>
        <v>999</v>
      </c>
      <c r="GS332" s="58">
        <f t="shared" si="438"/>
        <v>999</v>
      </c>
      <c r="GT332" s="58">
        <f t="shared" si="439"/>
        <v>999</v>
      </c>
      <c r="GU332" s="58">
        <f>IF(AND(dd_CheckMate214_TTD="Yes",'Effectiveness settings'!BU332=2,'Effectiveness settings'!BX332=2),2,GT332)</f>
        <v>999</v>
      </c>
      <c r="GV332" s="58">
        <f t="shared" si="440"/>
        <v>999</v>
      </c>
      <c r="GW332" s="58">
        <f t="shared" si="441"/>
        <v>999</v>
      </c>
      <c r="GY332" s="58">
        <f>IF(AND(dd_CheckMate214_TTD="Yes",'Effectiveness settings'!BU332=2,'Effectiveness settings'!BX332=2),1,GN332)</f>
        <v>4</v>
      </c>
      <c r="GZ332" s="58">
        <f t="shared" si="442"/>
        <v>4</v>
      </c>
      <c r="HB332" s="58">
        <f t="shared" si="443"/>
        <v>0</v>
      </c>
      <c r="HD332" s="58">
        <f t="shared" si="566"/>
        <v>0</v>
      </c>
      <c r="HE332" s="58">
        <f t="shared" si="567"/>
        <v>4</v>
      </c>
      <c r="HF332" s="58">
        <f t="shared" si="568"/>
        <v>999</v>
      </c>
      <c r="HG332" s="58">
        <f t="shared" si="569"/>
        <v>2</v>
      </c>
      <c r="HH332" s="58">
        <f t="shared" si="570"/>
        <v>4</v>
      </c>
    </row>
    <row r="333" spans="1:216" ht="15.75" hidden="1" x14ac:dyDescent="0.25">
      <c r="C333" s="740"/>
      <c r="I333" s="67"/>
      <c r="J333" s="520"/>
      <c r="K333" s="525"/>
      <c r="L333" s="517"/>
      <c r="Q333" s="519" t="s">
        <v>557</v>
      </c>
      <c r="X333" s="67"/>
      <c r="Y333" s="520"/>
      <c r="Z333" s="67"/>
      <c r="AA333" s="517"/>
      <c r="AF333" s="517"/>
      <c r="AL333" s="67"/>
      <c r="AM333" s="520"/>
      <c r="AN333" s="67"/>
      <c r="AO333" s="517"/>
      <c r="AT333" s="517"/>
      <c r="AZ333" s="67"/>
      <c r="BA333" s="520"/>
      <c r="BB333" s="67"/>
      <c r="BC333" s="517"/>
      <c r="BH333" s="517"/>
      <c r="BQ333" s="58">
        <f t="shared" ref="BQ333:BQ396" si="573">BQ332+IF(ISBLANK(BR333),0,1)</f>
        <v>210</v>
      </c>
      <c r="BR333" s="61"/>
      <c r="BS333" s="61"/>
      <c r="BT333" s="17"/>
      <c r="BU333" s="61"/>
      <c r="BV333" s="17"/>
      <c r="BW333" s="17"/>
      <c r="BX333" s="61"/>
      <c r="BY333" s="531"/>
      <c r="CA333" s="517"/>
      <c r="CB333" s="530"/>
      <c r="CC333" s="1292"/>
      <c r="CD333" s="1292"/>
      <c r="CE333" s="1297"/>
      <c r="CF333" s="1301"/>
      <c r="CG333" s="530"/>
      <c r="CH333" s="61"/>
      <c r="CI333" s="61"/>
      <c r="CJ333" s="61"/>
      <c r="DK333" s="58" t="str" cm="1">
        <f t="array" ref="DK333">IF(AND($BT333=4,$BX333=4,$BU333=999),$DB$36,_xlfn.IFNA(INDEX(DB$13:DB$70,MATCH(1,($BR333=$CV$13:$CV$70)*($BT333=$CX$13:$CX$70)*($CE333=$CY$13:$CY$70)*($BY333=$DA$13:$DA$70)*($CD333=$DH$13:$DH$70),0)),""))</f>
        <v/>
      </c>
      <c r="DL333" s="58" t="str" cm="1">
        <f t="array" ref="DL333">IF(AND($BT333=4,$BX333=4,$BU333=999),$DC$36,_xlfn.IFNA(INDEX(CHOOSE(DP333,DB$13:DB$70,DC$13:DC$70,DD$13:DD$70,DE$13:DE$70),MATCH(1,($BR333=$CV$13:$CV$70)*($BT333=$CX$13:$CX$70)*($CE333=$CY$13:$CY$70)*($BY333=$DA$13:$DA$70)*($CD333=$DH$13:$DH$70),0)),""))</f>
        <v/>
      </c>
      <c r="DM333" s="740" t="str" cm="1">
        <f t="array" ref="DM333">IF(AND($BT333=4,$BX333=4,$BU333=999),$DD$36,_xlfn.IFNA(INDEX(DD$13:DD$68,MATCH(1,($BR333=$CV$13:$CV$68)*($BT333=$CX$13:$CX$68)*($CE333=$CY$13:$CY$68)*($BY333=$DA$13:$DA$68)*($CD333=$DH$13:$DH$68),0)),""))</f>
        <v/>
      </c>
      <c r="DN333" s="740" t="str" cm="1">
        <f t="array" ref="DN333">IF(AND($BT333=4,$BX333=4,$BU333=999),$DD$36,_xlfn.IFNA(INDEX(DE$13:DE$68,MATCH(1,($BR333=$CV$13:$CV$68)*($BT333=$CX$13:$CX$68)*($CE333=$CY$13:$CY$68)*($BY333=$DA$13:$DA$68)*($CD333=$DH$13:$DH$68),0)),""))</f>
        <v/>
      </c>
      <c r="DO333" s="58" t="str" cm="1">
        <f t="array" ref="DO333">IF(AND($BT333=4,$BX333=4,$BU333=999),$DF$36,_xlfn.IFNA(INDEX(DF$13:DF$70,MATCH(1,($BR333=$CV$13:$CV$70)*($BT333=$CX$13:$CX$70)*($CE333=$CY$13:$CY$70)*($BY333=$DA$13:$DA$70)*($CD333=$DH$13:$DH$70),0)),""))</f>
        <v/>
      </c>
      <c r="DP333" s="58" t="e">
        <f t="shared" ref="DP333:DP396" si="574">MATCH(DO333,List_surv_cur_ext,0)</f>
        <v>#N/A</v>
      </c>
      <c r="EU333" s="58">
        <f t="shared" si="552"/>
        <v>0</v>
      </c>
      <c r="EV333" s="58">
        <f t="shared" si="553"/>
        <v>0</v>
      </c>
      <c r="EW333" s="58">
        <f t="shared" si="554"/>
        <v>0</v>
      </c>
      <c r="EX333" s="58">
        <f t="shared" si="555"/>
        <v>0</v>
      </c>
      <c r="EZ333" s="58">
        <f t="shared" si="556"/>
        <v>0</v>
      </c>
      <c r="FA333" s="58">
        <f t="shared" si="557"/>
        <v>0</v>
      </c>
      <c r="FB333" s="58">
        <f>IF(i_eff_inputs_based_on_num=2,ED333,(INDEX(Lists!$L$51:$L$85,MATCH(O333,Lists!$K$51:$K$85,0))))</f>
        <v>0</v>
      </c>
      <c r="FC333" s="58">
        <f>IF(i_eff_inputs_based_on_num=2,EE333,(INDEX(Lists!$L$51:$L$85,MATCH(P333,Lists!$K$51:$K$85,0))))</f>
        <v>0</v>
      </c>
      <c r="FD333" s="58">
        <f>IF(i_eff_inputs_based_on_num=2,EF333,(INDEX(Lists!$L$51:$L$85,MATCH(Q333,Lists!$K$51:$K$85,0))))</f>
        <v>0</v>
      </c>
      <c r="FG333" s="58">
        <f t="shared" ref="FG333:FG377" si="575">IF(i_eff_inputs_based_on_num=2,EI333,U333)</f>
        <v>0</v>
      </c>
      <c r="FH333" s="58">
        <f t="shared" ref="FH333:FH377" si="576">IF(i_eff_inputs_based_on_num=2,EJ333,V333)</f>
        <v>0</v>
      </c>
      <c r="FI333" s="58">
        <f t="shared" ref="FI333:FI377" si="577">IF(i_eff_inputs_based_on_num=2,EK333,W333)</f>
        <v>0</v>
      </c>
      <c r="FJ333" s="58">
        <f t="shared" ref="FJ333:FJ377" si="578">IF(i_eff_inputs_based_on_num=2,EL333,X333)</f>
        <v>0</v>
      </c>
      <c r="FL333" s="58">
        <f t="shared" ref="FL333:FL377" si="579">IF(i_eff_inputs_based_on_num=2,EN333,VLOOKUP(Y333,r_pld_lookup_line,3,FALSE))</f>
        <v>0</v>
      </c>
      <c r="FM333" s="58">
        <f t="shared" ref="FM333:FM377" si="580">IF(i_eff_inputs_based_on_num=2,EO333,VLOOKUP(Z333,r_pld_lookup_line,3,FALSE))</f>
        <v>0</v>
      </c>
      <c r="FN333" s="58">
        <f>IF(i_eff_inputs_based_on_num=2,EP333,(INDEX(Lists!$L$51:$L$85,MATCH(AA333,Lists!$K$51:$K$85,0))))</f>
        <v>0</v>
      </c>
      <c r="FO333" s="58">
        <f>IF(i_eff_inputs_based_on_num=2,EQ333,(INDEX(Lists!$L$51:$L$85,MATCH(AB333,Lists!$K$51:$K$85,0))))</f>
        <v>0</v>
      </c>
      <c r="FP333" s="58">
        <f>IF(i_eff_inputs_based_on_num=2,ER333,(INDEX(Lists!$L$51:$L$85,MATCH(AC333,Lists!$K$51:$K$85,0))))</f>
        <v>0</v>
      </c>
      <c r="FT333" s="58">
        <f t="shared" ref="FT333:FT396" si="581">IF(AND(BZ333="Trial survival analysis",CE333=0),INDEX(List_trials,1),IF(AND(BZ333="Trial survival analysis",CE333=1),INDEX(List_trials,2),IF(AND(BZ333="Trial survival analysis",OR(CE333=2,CC333=4)),INDEX(List_trials,3),0)))</f>
        <v>0</v>
      </c>
      <c r="FW333" s="58">
        <f>IF(i_baseline_risk_from=2,'Effectiveness settings'!EW333,'Effectiveness settings'!FI333)</f>
        <v>0</v>
      </c>
      <c r="FX333" s="58">
        <f t="shared" ref="FX333:FX396" si="582">IF(AND(BT333&gt;1,FW333="FP_NMA",dd_2ndline_NMA="PH_NMA"),"PH_NMA",FW333)</f>
        <v>0</v>
      </c>
      <c r="FY333" s="58">
        <f t="shared" ref="FY333:FY396" si="583">IF(AND(BU333=1,OR(FX333="PH_NMA",FX333="FP_NMA",FX333="Trial survival analysis")),IF(dd_cabo_nivo_outcome_from="FP_NMA",FX333,dd_cabo_nivo_outcome_from),FX333)</f>
        <v>0</v>
      </c>
      <c r="FZ333" s="58">
        <f t="shared" ref="FZ333:FZ396" si="584">IF(AND(dd_eq_eff_pazo_suni="Yes",BX333&lt;4,$BU333=5,BT333&lt;4,FY333&lt;&gt;"Apply HR to"),"Assume equal to",FY333)</f>
        <v>0</v>
      </c>
      <c r="GA333" s="58">
        <f t="shared" ref="GA333:GA396" si="585">IF(AND(dd_eq_eff_tivo_suni="Yes",BX333&lt;4,$BU333=6,BT333=1,FZ333&lt;&gt;"Apply HR to"),"Assume equal to",FZ333)</f>
        <v>0</v>
      </c>
      <c r="GB333" s="58">
        <f t="shared" ref="GB333:GB396" si="586">IF(AND(dd_eq_eff_evero_axi="Yes",BX333&lt;4,$BU333=11,BT333&lt;4,GA333&lt;&gt;"Apply HR to"),"Assume equal to",GA333)</f>
        <v>0</v>
      </c>
      <c r="GC333" s="58">
        <f t="shared" ref="GC333:GC396" si="587">IF(AND(BX333=4,BR333=1),GB333,(IF(AND(OR(GB333="PH_NMA",GB333="FP_NMA"),BU333=3,BR333&lt;&gt;2),dd_pemlen_NMA,GB333)))</f>
        <v>0</v>
      </c>
      <c r="GD333" s="58">
        <f t="shared" ref="GD333:GD396" si="588">IF(AND(BU333=3,dd_pemlen_equal = "Yes"),"Assume equal to",GC333)</f>
        <v>0</v>
      </c>
      <c r="GE333" s="58">
        <f>IF(AND(dd_CheckMate214_TTD="Yes",'Effectiveness settings'!BU333=2,'Effectiveness settings'!BX333=2),"Apply HR to",GD333)</f>
        <v>0</v>
      </c>
      <c r="GF333" s="58">
        <f t="shared" ref="GF333:GF396" si="589">IF(AND(dd_TTD_same_as_PFS="Yes",BX333=2),"Assume equal to", GE333)</f>
        <v>0</v>
      </c>
      <c r="GG333" s="58">
        <f t="shared" ref="GG333:GG396" si="590">IF(AND(dd_nivoipiPFS="TTNT",BR333=1,BT333=1,BU333=2,BX333=1,dd_use_PHnma_for_FPnma="Yes"),"Apply HR to",GF333)</f>
        <v>0</v>
      </c>
      <c r="GH333" s="58">
        <f t="shared" ref="GH333:GH396" si="591">IF(AND(dd_eq_eff_cabo_suni="Yes",$BX333&lt;4,$BU333=8,$BT333=1,$BR333=1,$GG333&lt;&gt;"Apply HR to"),"Assume equal to",GG333)</f>
        <v>0</v>
      </c>
      <c r="GI333" s="58">
        <f t="shared" si="571"/>
        <v>0</v>
      </c>
      <c r="GK333" s="58">
        <f>IF(i_baseline_risk_from=2,'Effectiveness settings'!FA333,'Effectiveness settings'!FM333)</f>
        <v>0</v>
      </c>
      <c r="GL333" s="58">
        <f>IF(i_baseline_risk_from=2,'Effectiveness settings'!FB333,'Effectiveness settings'!FN333)</f>
        <v>0</v>
      </c>
      <c r="GM333" s="58">
        <f>IF(i_baseline_risk_from=2,'Effectiveness settings'!FC333,'Effectiveness settings'!FO333)</f>
        <v>0</v>
      </c>
      <c r="GN333" s="58">
        <f>IF(i_baseline_risk_from=2,'Effectiveness settings'!FD333,'Effectiveness settings'!FP333)</f>
        <v>0</v>
      </c>
      <c r="GQ333" s="58">
        <f t="shared" ref="GQ333:GQ396" si="592">IF(AND(dd_eq_eff_pazo_suni="Yes",BX333&lt;4,$BU333=5,BT333&lt;4,FY333&lt;&gt;"Apply HR to"),7,GL333)</f>
        <v>0</v>
      </c>
      <c r="GR333" s="58">
        <f t="shared" ref="GR333:GR396" si="593">IF(AND(dd_eq_eff_tivo_suni="Yes",BX333&lt;4,$BU333=6,BT333=1,FY333&lt;&gt;"Apply HR to"),7,IF(AND(BX333&lt;4,$BU333=7,BT333&gt;1,FY333&lt;&gt;"Apply HR to"),6,GQ333))</f>
        <v>0</v>
      </c>
      <c r="GS333" s="58">
        <f t="shared" ref="GS333:GS396" si="594">IF(AND(dd_eq_eff_evero_axi="Yes",BX333&lt;4,$BU333=11,BT333&lt;4,FY333&lt;&gt;"Apply HR to"),10,GR333)</f>
        <v>0</v>
      </c>
      <c r="GT333" s="58">
        <f t="shared" ref="GT333:GT396" si="595">IF(AND(BU333=3,dd_pemlen_equal = "Yes"),1,GS333)</f>
        <v>0</v>
      </c>
      <c r="GU333" s="58">
        <f>IF(AND(dd_CheckMate214_TTD="Yes",'Effectiveness settings'!BU333=2,'Effectiveness settings'!BX333=2),2,GT333)</f>
        <v>0</v>
      </c>
      <c r="GV333" s="58">
        <f t="shared" ref="GV333:GV396" si="596">IF(AND(BY333="Time to treatment discontinuation",dd_TTD_same_as_PFS="Yes"),BU333,GU333)</f>
        <v>0</v>
      </c>
      <c r="GW333" s="58">
        <f t="shared" ref="GW333:GW396" si="597">IF(AND(dd_eq_eff_cabo_suni="Yes",$BX333&lt;4,$BU333=8,$BT333=1,$BR333=1,$GG333&lt;&gt;"Apply HR to"),7,GV333)</f>
        <v>0</v>
      </c>
      <c r="GY333" s="58">
        <f>IF(AND(dd_CheckMate214_TTD="Yes",'Effectiveness settings'!BU333=2,'Effectiveness settings'!BX333=2),1,GN333)</f>
        <v>0</v>
      </c>
      <c r="GZ333" s="58">
        <f t="shared" ref="GZ333:GZ396" si="598">IF(AND(dd_TTD_same_as_PFS="Yes",BX333=2),1, GY333)</f>
        <v>0</v>
      </c>
      <c r="HB333" s="58">
        <f t="shared" ref="HB333:HB396" si="599">IF(i_baseline_risk_from=2,EZ333,FL333)</f>
        <v>0</v>
      </c>
      <c r="HD333" s="58">
        <f t="shared" si="566"/>
        <v>0</v>
      </c>
      <c r="HE333" s="58">
        <f t="shared" si="567"/>
        <v>0</v>
      </c>
      <c r="HF333" s="58">
        <f t="shared" si="568"/>
        <v>0</v>
      </c>
      <c r="HG333" s="58">
        <f t="shared" si="569"/>
        <v>0</v>
      </c>
      <c r="HH333" s="58">
        <f t="shared" si="570"/>
        <v>0</v>
      </c>
    </row>
    <row r="334" spans="1:216" ht="15.75" hidden="1" x14ac:dyDescent="0.25">
      <c r="C334" s="740"/>
      <c r="I334" s="64"/>
      <c r="J334" s="519"/>
      <c r="K334" s="524"/>
      <c r="L334" s="519"/>
      <c r="M334" s="516"/>
      <c r="N334" s="64"/>
      <c r="O334" s="64"/>
      <c r="P334" s="64"/>
      <c r="Q334" s="519" t="s">
        <v>557</v>
      </c>
      <c r="R334" s="516"/>
      <c r="S334" s="497"/>
      <c r="T334" s="497"/>
      <c r="U334" s="497"/>
      <c r="X334" s="64"/>
      <c r="Y334" s="519"/>
      <c r="Z334" s="516"/>
      <c r="AA334" s="519"/>
      <c r="AB334" s="619"/>
      <c r="AC334" s="64"/>
      <c r="AD334" s="618"/>
      <c r="AE334" s="618"/>
      <c r="AF334" s="620"/>
      <c r="AG334" s="516"/>
      <c r="AH334" s="497"/>
      <c r="AI334" s="497"/>
      <c r="AJ334" s="497"/>
      <c r="AL334" s="64"/>
      <c r="AM334" s="519"/>
      <c r="AN334" s="516"/>
      <c r="AO334" s="620"/>
      <c r="AP334" s="619"/>
      <c r="AQ334" s="64"/>
      <c r="AR334" s="618"/>
      <c r="AS334" s="618"/>
      <c r="AT334" s="627"/>
      <c r="AU334" s="516"/>
      <c r="AV334" s="65"/>
      <c r="AW334" s="65"/>
      <c r="AX334" s="65"/>
      <c r="AZ334" s="64"/>
      <c r="BA334" s="519"/>
      <c r="BB334" s="516"/>
      <c r="BC334" s="620"/>
      <c r="BD334" s="619"/>
      <c r="BE334" s="64"/>
      <c r="BF334" s="618"/>
      <c r="BG334" s="618"/>
      <c r="BH334" s="627"/>
      <c r="BI334" s="516"/>
      <c r="BJ334" s="65"/>
      <c r="BK334" s="65"/>
      <c r="BL334" s="65"/>
      <c r="BQ334" s="58">
        <f t="shared" si="573"/>
        <v>210</v>
      </c>
      <c r="BR334" s="61"/>
      <c r="BS334" s="61"/>
      <c r="BT334" s="17"/>
      <c r="BU334" s="17"/>
      <c r="BV334" s="17"/>
      <c r="BW334" s="17"/>
      <c r="BX334" s="61"/>
      <c r="BY334" s="531"/>
      <c r="BZ334" s="530"/>
      <c r="CA334" s="531"/>
      <c r="CB334" s="530"/>
      <c r="CC334" s="530"/>
      <c r="CD334" s="530"/>
      <c r="CE334" s="1295"/>
      <c r="CF334" s="1301"/>
      <c r="CG334" s="530"/>
      <c r="CH334" s="61"/>
      <c r="CI334" s="61"/>
      <c r="CJ334" s="61"/>
      <c r="DK334" s="58" t="str" cm="1">
        <f t="array" ref="DK334">IF(AND($BT334=4,$BX334=4,$BU334=999),$DB$36,_xlfn.IFNA(INDEX(DB$13:DB$70,MATCH(1,($BR334=$CV$13:$CV$70)*($BT334=$CX$13:$CX$70)*($CE334=$CY$13:$CY$70)*($BY334=$DA$13:$DA$70)*($CD334=$DH$13:$DH$70),0)),""))</f>
        <v/>
      </c>
      <c r="DL334" s="58" t="str" cm="1">
        <f t="array" ref="DL334">IF(AND($BT334=4,$BX334=4,$BU334=999),$DC$36,_xlfn.IFNA(INDEX(CHOOSE(DP334,DB$13:DB$70,DC$13:DC$70,DD$13:DD$70,DE$13:DE$70),MATCH(1,($BR334=$CV$13:$CV$70)*($BT334=$CX$13:$CX$70)*($CE334=$CY$13:$CY$70)*($BY334=$DA$13:$DA$70)*($CD334=$DH$13:$DH$70),0)),""))</f>
        <v/>
      </c>
      <c r="DM334" s="740" t="str" cm="1">
        <f t="array" ref="DM334">IF(AND($BT334=4,$BX334=4,$BU334=999),$DD$36,_xlfn.IFNA(INDEX(DD$13:DD$68,MATCH(1,($BR334=$CV$13:$CV$68)*($BT334=$CX$13:$CX$68)*($CE334=$CY$13:$CY$68)*($BY334=$DA$13:$DA$68)*($CD334=$DH$13:$DH$68),0)),""))</f>
        <v/>
      </c>
      <c r="DN334" s="740" t="str" cm="1">
        <f t="array" ref="DN334">IF(AND($BT334=4,$BX334=4,$BU334=999),$DD$36,_xlfn.IFNA(INDEX(DE$13:DE$68,MATCH(1,($BR334=$CV$13:$CV$68)*($BT334=$CX$13:$CX$68)*($CE334=$CY$13:$CY$68)*($BY334=$DA$13:$DA$68)*($CD334=$DH$13:$DH$68),0)),""))</f>
        <v/>
      </c>
      <c r="DO334" s="58" t="str" cm="1">
        <f t="array" ref="DO334">IF(AND($BT334=4,$BX334=4,$BU334=999),$DF$36,_xlfn.IFNA(INDEX(DF$13:DF$70,MATCH(1,($BR334=$CV$13:$CV$70)*($BT334=$CX$13:$CX$70)*($CE334=$CY$13:$CY$70)*($BY334=$DA$13:$DA$70)*($CD334=$DH$13:$DH$70),0)),""))</f>
        <v/>
      </c>
      <c r="DP334" s="58" t="e">
        <f t="shared" si="574"/>
        <v>#N/A</v>
      </c>
      <c r="EU334" s="58">
        <f t="shared" si="552"/>
        <v>0</v>
      </c>
      <c r="EV334" s="58">
        <f t="shared" si="553"/>
        <v>0</v>
      </c>
      <c r="EW334" s="58">
        <f t="shared" si="554"/>
        <v>0</v>
      </c>
      <c r="EX334" s="58">
        <f t="shared" si="555"/>
        <v>0</v>
      </c>
      <c r="EZ334" s="58">
        <f t="shared" si="556"/>
        <v>0</v>
      </c>
      <c r="FA334" s="58">
        <f t="shared" si="557"/>
        <v>0</v>
      </c>
      <c r="FB334" s="58">
        <f>IF(i_eff_inputs_based_on_num=2,ED334,(INDEX(Lists!$L$51:$L$85,MATCH(O334,Lists!$K$51:$K$85,0))))</f>
        <v>0</v>
      </c>
      <c r="FC334" s="58">
        <f>IF(i_eff_inputs_based_on_num=2,EE334,(INDEX(Lists!$L$51:$L$85,MATCH(P334,Lists!$K$51:$K$85,0))))</f>
        <v>0</v>
      </c>
      <c r="FD334" s="58">
        <f>IF(i_eff_inputs_based_on_num=2,EF334,(INDEX(Lists!$L$51:$L$85,MATCH(Q334,Lists!$K$51:$K$85,0))))</f>
        <v>0</v>
      </c>
      <c r="FG334" s="58">
        <f t="shared" si="575"/>
        <v>0</v>
      </c>
      <c r="FH334" s="58">
        <f t="shared" si="576"/>
        <v>0</v>
      </c>
      <c r="FI334" s="58">
        <f t="shared" si="577"/>
        <v>0</v>
      </c>
      <c r="FJ334" s="58">
        <f t="shared" si="578"/>
        <v>0</v>
      </c>
      <c r="FL334" s="58">
        <f t="shared" si="579"/>
        <v>0</v>
      </c>
      <c r="FM334" s="58">
        <f t="shared" si="580"/>
        <v>0</v>
      </c>
      <c r="FN334" s="58">
        <f>IF(i_eff_inputs_based_on_num=2,EP334,(INDEX(Lists!$L$51:$L$85,MATCH(AA334,Lists!$K$51:$K$85,0))))</f>
        <v>0</v>
      </c>
      <c r="FO334" s="58">
        <f>IF(i_eff_inputs_based_on_num=2,EQ334,(INDEX(Lists!$L$51:$L$85,MATCH(AB334,Lists!$K$51:$K$85,0))))</f>
        <v>0</v>
      </c>
      <c r="FP334" s="58">
        <f>IF(i_eff_inputs_based_on_num=2,ER334,(INDEX(Lists!$L$51:$L$85,MATCH(AC334,Lists!$K$51:$K$85,0))))</f>
        <v>0</v>
      </c>
      <c r="FT334" s="58">
        <f t="shared" si="581"/>
        <v>0</v>
      </c>
      <c r="FW334" s="58">
        <f>IF(i_baseline_risk_from=2,'Effectiveness settings'!EW334,'Effectiveness settings'!FI334)</f>
        <v>0</v>
      </c>
      <c r="FX334" s="58">
        <f t="shared" si="582"/>
        <v>0</v>
      </c>
      <c r="FY334" s="58">
        <f t="shared" si="583"/>
        <v>0</v>
      </c>
      <c r="FZ334" s="58">
        <f t="shared" si="584"/>
        <v>0</v>
      </c>
      <c r="GA334" s="58">
        <f t="shared" si="585"/>
        <v>0</v>
      </c>
      <c r="GB334" s="58">
        <f t="shared" si="586"/>
        <v>0</v>
      </c>
      <c r="GC334" s="58">
        <f t="shared" si="587"/>
        <v>0</v>
      </c>
      <c r="GD334" s="58">
        <f t="shared" si="588"/>
        <v>0</v>
      </c>
      <c r="GE334" s="58">
        <f>IF(AND(dd_CheckMate214_TTD="Yes",'Effectiveness settings'!BU334=2,'Effectiveness settings'!BX334=2),"Apply HR to",GD334)</f>
        <v>0</v>
      </c>
      <c r="GF334" s="58">
        <f t="shared" si="589"/>
        <v>0</v>
      </c>
      <c r="GG334" s="58">
        <f t="shared" si="590"/>
        <v>0</v>
      </c>
      <c r="GH334" s="58">
        <f t="shared" si="591"/>
        <v>0</v>
      </c>
      <c r="GI334" s="58">
        <f t="shared" si="571"/>
        <v>0</v>
      </c>
      <c r="GK334" s="58">
        <f>IF(i_baseline_risk_from=2,'Effectiveness settings'!FA334,'Effectiveness settings'!FM334)</f>
        <v>0</v>
      </c>
      <c r="GL334" s="58">
        <f>IF(i_baseline_risk_from=2,'Effectiveness settings'!FB334,'Effectiveness settings'!FN334)</f>
        <v>0</v>
      </c>
      <c r="GM334" s="58">
        <f>IF(i_baseline_risk_from=2,'Effectiveness settings'!FC334,'Effectiveness settings'!FO334)</f>
        <v>0</v>
      </c>
      <c r="GN334" s="58">
        <f>IF(i_baseline_risk_from=2,'Effectiveness settings'!FD334,'Effectiveness settings'!FP334)</f>
        <v>0</v>
      </c>
      <c r="GQ334" s="58">
        <f t="shared" si="592"/>
        <v>0</v>
      </c>
      <c r="GR334" s="58">
        <f t="shared" si="593"/>
        <v>0</v>
      </c>
      <c r="GS334" s="58">
        <f t="shared" si="594"/>
        <v>0</v>
      </c>
      <c r="GT334" s="58">
        <f t="shared" si="595"/>
        <v>0</v>
      </c>
      <c r="GU334" s="58">
        <f>IF(AND(dd_CheckMate214_TTD="Yes",'Effectiveness settings'!BU334=2,'Effectiveness settings'!BX334=2),2,GT334)</f>
        <v>0</v>
      </c>
      <c r="GV334" s="58">
        <f t="shared" si="596"/>
        <v>0</v>
      </c>
      <c r="GW334" s="58">
        <f t="shared" si="597"/>
        <v>0</v>
      </c>
      <c r="GY334" s="58">
        <f>IF(AND(dd_CheckMate214_TTD="Yes",'Effectiveness settings'!BU334=2,'Effectiveness settings'!BX334=2),1,GN334)</f>
        <v>0</v>
      </c>
      <c r="GZ334" s="58">
        <f t="shared" si="598"/>
        <v>0</v>
      </c>
      <c r="HB334" s="58">
        <f t="shared" si="599"/>
        <v>0</v>
      </c>
      <c r="HD334" s="58">
        <f t="shared" si="566"/>
        <v>0</v>
      </c>
      <c r="HE334" s="58">
        <f t="shared" si="567"/>
        <v>0</v>
      </c>
      <c r="HF334" s="58">
        <f t="shared" si="568"/>
        <v>0</v>
      </c>
      <c r="HG334" s="58">
        <f t="shared" si="569"/>
        <v>0</v>
      </c>
      <c r="HH334" s="58">
        <f t="shared" si="570"/>
        <v>0</v>
      </c>
    </row>
    <row r="335" spans="1:216" ht="15.75" hidden="1" x14ac:dyDescent="0.25">
      <c r="C335" s="740"/>
      <c r="I335" s="64"/>
      <c r="J335" s="519"/>
      <c r="K335" s="524"/>
      <c r="L335" s="519"/>
      <c r="M335" s="516"/>
      <c r="N335" s="64"/>
      <c r="O335" s="64"/>
      <c r="P335" s="64"/>
      <c r="Q335" s="519" t="s">
        <v>557</v>
      </c>
      <c r="R335" s="516"/>
      <c r="S335" s="497"/>
      <c r="T335" s="497"/>
      <c r="U335" s="497"/>
      <c r="X335" s="64"/>
      <c r="Y335" s="519"/>
      <c r="Z335" s="516"/>
      <c r="AA335" s="519"/>
      <c r="AB335" s="619"/>
      <c r="AC335" s="64"/>
      <c r="AD335" s="618"/>
      <c r="AE335" s="618"/>
      <c r="AF335" s="620"/>
      <c r="AG335" s="516"/>
      <c r="AH335" s="497"/>
      <c r="AI335" s="497"/>
      <c r="AJ335" s="497"/>
      <c r="AL335" s="64"/>
      <c r="AM335" s="519"/>
      <c r="AN335" s="516"/>
      <c r="AO335" s="620"/>
      <c r="AP335" s="619"/>
      <c r="AQ335" s="64"/>
      <c r="AR335" s="618"/>
      <c r="AS335" s="618"/>
      <c r="AT335" s="627"/>
      <c r="AU335" s="516"/>
      <c r="AV335" s="65"/>
      <c r="AW335" s="65"/>
      <c r="AX335" s="65"/>
      <c r="AZ335" s="64"/>
      <c r="BA335" s="519"/>
      <c r="BB335" s="516"/>
      <c r="BC335" s="620"/>
      <c r="BD335" s="619"/>
      <c r="BE335" s="64"/>
      <c r="BF335" s="618"/>
      <c r="BG335" s="618"/>
      <c r="BH335" s="627"/>
      <c r="BI335" s="516"/>
      <c r="BJ335" s="65"/>
      <c r="BK335" s="65"/>
      <c r="BL335" s="65"/>
      <c r="BQ335" s="58">
        <f t="shared" si="573"/>
        <v>210</v>
      </c>
      <c r="BR335" s="61"/>
      <c r="BS335" s="61"/>
      <c r="BT335" s="17"/>
      <c r="BU335" s="17"/>
      <c r="BV335" s="17"/>
      <c r="BW335" s="17"/>
      <c r="BX335" s="61"/>
      <c r="BY335" s="531"/>
      <c r="BZ335" s="530"/>
      <c r="CA335" s="531"/>
      <c r="CB335" s="530"/>
      <c r="CC335" s="530"/>
      <c r="CD335" s="530"/>
      <c r="CE335" s="1295"/>
      <c r="CF335" s="1301"/>
      <c r="CG335" s="530"/>
      <c r="CH335" s="61"/>
      <c r="CI335" s="61"/>
      <c r="CJ335" s="61"/>
      <c r="DK335" s="58" t="str" cm="1">
        <f t="array" ref="DK335">IF(AND($BT335=4,$BX335=4,$BU335=999),$DB$36,_xlfn.IFNA(INDEX(DB$13:DB$70,MATCH(1,($BR335=$CV$13:$CV$70)*($BT335=$CX$13:$CX$70)*($CE335=$CY$13:$CY$70)*($BY335=$DA$13:$DA$70)*($CD335=$DH$13:$DH$70),0)),""))</f>
        <v/>
      </c>
      <c r="DL335" s="58" t="str" cm="1">
        <f t="array" ref="DL335">IF(AND($BT335=4,$BX335=4,$BU335=999),$DC$36,_xlfn.IFNA(INDEX(CHOOSE(DP335,DB$13:DB$70,DC$13:DC$70,DD$13:DD$70,DE$13:DE$70),MATCH(1,($BR335=$CV$13:$CV$70)*($BT335=$CX$13:$CX$70)*($CE335=$CY$13:$CY$70)*($BY335=$DA$13:$DA$70)*($CD335=$DH$13:$DH$70),0)),""))</f>
        <v/>
      </c>
      <c r="DM335" s="740" t="str" cm="1">
        <f t="array" ref="DM335">IF(AND($BT335=4,$BX335=4,$BU335=999),$DD$36,_xlfn.IFNA(INDEX(DD$13:DD$68,MATCH(1,($BR335=$CV$13:$CV$68)*($BT335=$CX$13:$CX$68)*($CE335=$CY$13:$CY$68)*($BY335=$DA$13:$DA$68)*($CD335=$DH$13:$DH$68),0)),""))</f>
        <v/>
      </c>
      <c r="DN335" s="740" t="str" cm="1">
        <f t="array" ref="DN335">IF(AND($BT335=4,$BX335=4,$BU335=999),$DD$36,_xlfn.IFNA(INDEX(DE$13:DE$68,MATCH(1,($BR335=$CV$13:$CV$68)*($BT335=$CX$13:$CX$68)*($CE335=$CY$13:$CY$68)*($BY335=$DA$13:$DA$68)*($CD335=$DH$13:$DH$68),0)),""))</f>
        <v/>
      </c>
      <c r="DO335" s="58" t="str" cm="1">
        <f t="array" ref="DO335">IF(AND($BT335=4,$BX335=4,$BU335=999),$DF$36,_xlfn.IFNA(INDEX(DF$13:DF$70,MATCH(1,($BR335=$CV$13:$CV$70)*($BT335=$CX$13:$CX$70)*($CE335=$CY$13:$CY$70)*($BY335=$DA$13:$DA$70)*($CD335=$DH$13:$DH$70),0)),""))</f>
        <v/>
      </c>
      <c r="DP335" s="58" t="e">
        <f t="shared" si="574"/>
        <v>#N/A</v>
      </c>
      <c r="EU335" s="58">
        <f t="shared" si="552"/>
        <v>0</v>
      </c>
      <c r="EV335" s="58">
        <f t="shared" si="553"/>
        <v>0</v>
      </c>
      <c r="EW335" s="58">
        <f t="shared" si="554"/>
        <v>0</v>
      </c>
      <c r="EX335" s="58">
        <f t="shared" si="555"/>
        <v>0</v>
      </c>
      <c r="EZ335" s="58">
        <f t="shared" si="556"/>
        <v>0</v>
      </c>
      <c r="FA335" s="58">
        <f t="shared" si="557"/>
        <v>0</v>
      </c>
      <c r="FB335" s="58">
        <f>IF(i_eff_inputs_based_on_num=2,ED335,(INDEX(Lists!$L$51:$L$85,MATCH(O335,Lists!$K$51:$K$85,0))))</f>
        <v>0</v>
      </c>
      <c r="FC335" s="58">
        <f>IF(i_eff_inputs_based_on_num=2,EE335,(INDEX(Lists!$L$51:$L$85,MATCH(P335,Lists!$K$51:$K$85,0))))</f>
        <v>0</v>
      </c>
      <c r="FD335" s="58">
        <f>IF(i_eff_inputs_based_on_num=2,EF335,(INDEX(Lists!$L$51:$L$85,MATCH(Q335,Lists!$K$51:$K$85,0))))</f>
        <v>0</v>
      </c>
      <c r="FG335" s="58">
        <f t="shared" si="575"/>
        <v>0</v>
      </c>
      <c r="FH335" s="58">
        <f t="shared" si="576"/>
        <v>0</v>
      </c>
      <c r="FI335" s="58">
        <f t="shared" si="577"/>
        <v>0</v>
      </c>
      <c r="FJ335" s="58">
        <f t="shared" si="578"/>
        <v>0</v>
      </c>
      <c r="FL335" s="58">
        <f t="shared" si="579"/>
        <v>0</v>
      </c>
      <c r="FM335" s="58">
        <f t="shared" si="580"/>
        <v>0</v>
      </c>
      <c r="FN335" s="58">
        <f>IF(i_eff_inputs_based_on_num=2,EP335,(INDEX(Lists!$L$51:$L$85,MATCH(AA335,Lists!$K$51:$K$85,0))))</f>
        <v>0</v>
      </c>
      <c r="FO335" s="58">
        <f>IF(i_eff_inputs_based_on_num=2,EQ335,(INDEX(Lists!$L$51:$L$85,MATCH(AB335,Lists!$K$51:$K$85,0))))</f>
        <v>0</v>
      </c>
      <c r="FP335" s="58">
        <f>IF(i_eff_inputs_based_on_num=2,ER335,(INDEX(Lists!$L$51:$L$85,MATCH(AC335,Lists!$K$51:$K$85,0))))</f>
        <v>0</v>
      </c>
      <c r="FT335" s="58">
        <f t="shared" si="581"/>
        <v>0</v>
      </c>
      <c r="FW335" s="58">
        <f>IF(i_baseline_risk_from=2,'Effectiveness settings'!EW335,'Effectiveness settings'!FI335)</f>
        <v>0</v>
      </c>
      <c r="FX335" s="58">
        <f t="shared" si="582"/>
        <v>0</v>
      </c>
      <c r="FY335" s="58">
        <f t="shared" si="583"/>
        <v>0</v>
      </c>
      <c r="FZ335" s="58">
        <f t="shared" si="584"/>
        <v>0</v>
      </c>
      <c r="GA335" s="58">
        <f t="shared" si="585"/>
        <v>0</v>
      </c>
      <c r="GB335" s="58">
        <f t="shared" si="586"/>
        <v>0</v>
      </c>
      <c r="GC335" s="58">
        <f t="shared" si="587"/>
        <v>0</v>
      </c>
      <c r="GD335" s="58">
        <f t="shared" si="588"/>
        <v>0</v>
      </c>
      <c r="GE335" s="58">
        <f>IF(AND(dd_CheckMate214_TTD="Yes",'Effectiveness settings'!BU335=2,'Effectiveness settings'!BX335=2),"Apply HR to",GD335)</f>
        <v>0</v>
      </c>
      <c r="GF335" s="58">
        <f t="shared" si="589"/>
        <v>0</v>
      </c>
      <c r="GG335" s="58">
        <f t="shared" si="590"/>
        <v>0</v>
      </c>
      <c r="GH335" s="58">
        <f t="shared" si="591"/>
        <v>0</v>
      </c>
      <c r="GI335" s="58">
        <f t="shared" si="571"/>
        <v>0</v>
      </c>
      <c r="GK335" s="58">
        <f>IF(i_baseline_risk_from=2,'Effectiveness settings'!FA335,'Effectiveness settings'!FM335)</f>
        <v>0</v>
      </c>
      <c r="GL335" s="58">
        <f>IF(i_baseline_risk_from=2,'Effectiveness settings'!FB335,'Effectiveness settings'!FN335)</f>
        <v>0</v>
      </c>
      <c r="GM335" s="58">
        <f>IF(i_baseline_risk_from=2,'Effectiveness settings'!FC335,'Effectiveness settings'!FO335)</f>
        <v>0</v>
      </c>
      <c r="GN335" s="58">
        <f>IF(i_baseline_risk_from=2,'Effectiveness settings'!FD335,'Effectiveness settings'!FP335)</f>
        <v>0</v>
      </c>
      <c r="GQ335" s="58">
        <f t="shared" si="592"/>
        <v>0</v>
      </c>
      <c r="GR335" s="58">
        <f t="shared" si="593"/>
        <v>0</v>
      </c>
      <c r="GS335" s="58">
        <f t="shared" si="594"/>
        <v>0</v>
      </c>
      <c r="GT335" s="58">
        <f t="shared" si="595"/>
        <v>0</v>
      </c>
      <c r="GU335" s="58">
        <f>IF(AND(dd_CheckMate214_TTD="Yes",'Effectiveness settings'!BU335=2,'Effectiveness settings'!BX335=2),2,GT335)</f>
        <v>0</v>
      </c>
      <c r="GV335" s="58">
        <f t="shared" si="596"/>
        <v>0</v>
      </c>
      <c r="GW335" s="58">
        <f t="shared" si="597"/>
        <v>0</v>
      </c>
      <c r="GY335" s="58">
        <f>IF(AND(dd_CheckMate214_TTD="Yes",'Effectiveness settings'!BU335=2,'Effectiveness settings'!BX335=2),1,GN335)</f>
        <v>0</v>
      </c>
      <c r="GZ335" s="58">
        <f t="shared" si="598"/>
        <v>0</v>
      </c>
      <c r="HB335" s="58">
        <f t="shared" si="599"/>
        <v>0</v>
      </c>
      <c r="HD335" s="58">
        <f t="shared" si="566"/>
        <v>0</v>
      </c>
      <c r="HE335" s="58">
        <f t="shared" si="567"/>
        <v>0</v>
      </c>
      <c r="HF335" s="58">
        <f t="shared" si="568"/>
        <v>0</v>
      </c>
      <c r="HG335" s="58">
        <f t="shared" si="569"/>
        <v>0</v>
      </c>
      <c r="HH335" s="58">
        <f t="shared" si="570"/>
        <v>0</v>
      </c>
    </row>
    <row r="336" spans="1:216" ht="15.75" hidden="1" x14ac:dyDescent="0.25">
      <c r="C336" s="740"/>
      <c r="I336" s="64"/>
      <c r="J336" s="519"/>
      <c r="K336" s="524"/>
      <c r="L336" s="519"/>
      <c r="M336" s="516"/>
      <c r="N336" s="64"/>
      <c r="O336" s="64"/>
      <c r="P336" s="64"/>
      <c r="Q336" s="519" t="s">
        <v>557</v>
      </c>
      <c r="R336" s="516"/>
      <c r="S336" s="497"/>
      <c r="T336" s="497"/>
      <c r="U336" s="497"/>
      <c r="X336" s="64"/>
      <c r="Y336" s="519"/>
      <c r="Z336" s="516"/>
      <c r="AA336" s="519"/>
      <c r="AB336" s="619"/>
      <c r="AC336" s="64"/>
      <c r="AD336" s="618"/>
      <c r="AE336" s="618"/>
      <c r="AF336" s="620"/>
      <c r="AG336" s="516"/>
      <c r="AH336" s="497"/>
      <c r="AI336" s="497"/>
      <c r="AJ336" s="497"/>
      <c r="AL336" s="64"/>
      <c r="AM336" s="519"/>
      <c r="AN336" s="516"/>
      <c r="AO336" s="620"/>
      <c r="AP336" s="619"/>
      <c r="AQ336" s="64"/>
      <c r="AR336" s="618"/>
      <c r="AS336" s="618"/>
      <c r="AT336" s="627"/>
      <c r="AU336" s="516"/>
      <c r="AV336" s="65"/>
      <c r="AW336" s="65"/>
      <c r="AX336" s="65"/>
      <c r="AZ336" s="64"/>
      <c r="BA336" s="519"/>
      <c r="BB336" s="516"/>
      <c r="BC336" s="620"/>
      <c r="BD336" s="619"/>
      <c r="BE336" s="64"/>
      <c r="BF336" s="618"/>
      <c r="BG336" s="618"/>
      <c r="BH336" s="627"/>
      <c r="BI336" s="516"/>
      <c r="BJ336" s="65"/>
      <c r="BK336" s="65"/>
      <c r="BL336" s="65"/>
      <c r="BQ336" s="58">
        <f t="shared" si="573"/>
        <v>210</v>
      </c>
      <c r="BR336" s="61"/>
      <c r="BS336" s="61"/>
      <c r="BT336" s="17"/>
      <c r="BU336" s="17"/>
      <c r="BV336" s="17"/>
      <c r="BW336" s="17"/>
      <c r="BX336" s="61"/>
      <c r="BY336" s="531"/>
      <c r="BZ336" s="530"/>
      <c r="CA336" s="531"/>
      <c r="CB336" s="530"/>
      <c r="CC336" s="530"/>
      <c r="CD336" s="530"/>
      <c r="CE336" s="1295"/>
      <c r="CF336" s="1301"/>
      <c r="CG336" s="530"/>
      <c r="CH336" s="61"/>
      <c r="CI336" s="61"/>
      <c r="CJ336" s="61"/>
      <c r="DK336" s="58" t="str" cm="1">
        <f t="array" ref="DK336">IF(AND($BT336=4,$BX336=4,$BU336=999),$DB$36,_xlfn.IFNA(INDEX(DB$13:DB$70,MATCH(1,($BR336=$CV$13:$CV$70)*($BT336=$CX$13:$CX$70)*($CE336=$CY$13:$CY$70)*($BY336=$DA$13:$DA$70)*($CD336=$DH$13:$DH$70),0)),""))</f>
        <v/>
      </c>
      <c r="DL336" s="58" t="str" cm="1">
        <f t="array" ref="DL336">IF(AND($BT336=4,$BX336=4,$BU336=999),$DC$36,_xlfn.IFNA(INDEX(CHOOSE(DP336,DB$13:DB$70,DC$13:DC$70,DD$13:DD$70,DE$13:DE$70),MATCH(1,($BR336=$CV$13:$CV$70)*($BT336=$CX$13:$CX$70)*($CE336=$CY$13:$CY$70)*($BY336=$DA$13:$DA$70)*($CD336=$DH$13:$DH$70),0)),""))</f>
        <v/>
      </c>
      <c r="DM336" s="740" t="str" cm="1">
        <f t="array" ref="DM336">IF(AND($BT336=4,$BX336=4,$BU336=999),$DD$36,_xlfn.IFNA(INDEX(DD$13:DD$68,MATCH(1,($BR336=$CV$13:$CV$68)*($BT336=$CX$13:$CX$68)*($CE336=$CY$13:$CY$68)*($BY336=$DA$13:$DA$68)*($CD336=$DH$13:$DH$68),0)),""))</f>
        <v/>
      </c>
      <c r="DN336" s="740" t="str" cm="1">
        <f t="array" ref="DN336">IF(AND($BT336=4,$BX336=4,$BU336=999),$DD$36,_xlfn.IFNA(INDEX(DE$13:DE$68,MATCH(1,($BR336=$CV$13:$CV$68)*($BT336=$CX$13:$CX$68)*($CE336=$CY$13:$CY$68)*($BY336=$DA$13:$DA$68)*($CD336=$DH$13:$DH$68),0)),""))</f>
        <v/>
      </c>
      <c r="DO336" s="58" t="str" cm="1">
        <f t="array" ref="DO336">IF(AND($BT336=4,$BX336=4,$BU336=999),$DF$36,_xlfn.IFNA(INDEX(DF$13:DF$70,MATCH(1,($BR336=$CV$13:$CV$70)*($BT336=$CX$13:$CX$70)*($CE336=$CY$13:$CY$70)*($BY336=$DA$13:$DA$70)*($CD336=$DH$13:$DH$70),0)),""))</f>
        <v/>
      </c>
      <c r="DP336" s="58" t="e">
        <f t="shared" si="574"/>
        <v>#N/A</v>
      </c>
      <c r="EU336" s="58">
        <f t="shared" si="552"/>
        <v>0</v>
      </c>
      <c r="EV336" s="58">
        <f t="shared" si="553"/>
        <v>0</v>
      </c>
      <c r="EW336" s="58">
        <f t="shared" si="554"/>
        <v>0</v>
      </c>
      <c r="EX336" s="58">
        <f t="shared" si="555"/>
        <v>0</v>
      </c>
      <c r="EZ336" s="58">
        <f t="shared" si="556"/>
        <v>0</v>
      </c>
      <c r="FA336" s="58">
        <f t="shared" si="557"/>
        <v>0</v>
      </c>
      <c r="FB336" s="58">
        <f>IF(i_eff_inputs_based_on_num=2,ED336,(INDEX(Lists!$L$51:$L$85,MATCH(O336,Lists!$K$51:$K$85,0))))</f>
        <v>0</v>
      </c>
      <c r="FC336" s="58">
        <f>IF(i_eff_inputs_based_on_num=2,EE336,(INDEX(Lists!$L$51:$L$85,MATCH(P336,Lists!$K$51:$K$85,0))))</f>
        <v>0</v>
      </c>
      <c r="FD336" s="58">
        <f>IF(i_eff_inputs_based_on_num=2,EF336,(INDEX(Lists!$L$51:$L$85,MATCH(Q336,Lists!$K$51:$K$85,0))))</f>
        <v>0</v>
      </c>
      <c r="FG336" s="58">
        <f t="shared" si="575"/>
        <v>0</v>
      </c>
      <c r="FH336" s="58">
        <f t="shared" si="576"/>
        <v>0</v>
      </c>
      <c r="FI336" s="58">
        <f t="shared" si="577"/>
        <v>0</v>
      </c>
      <c r="FJ336" s="58">
        <f t="shared" si="578"/>
        <v>0</v>
      </c>
      <c r="FL336" s="58">
        <f t="shared" si="579"/>
        <v>0</v>
      </c>
      <c r="FM336" s="58">
        <f t="shared" si="580"/>
        <v>0</v>
      </c>
      <c r="FN336" s="58">
        <f>IF(i_eff_inputs_based_on_num=2,EP336,(INDEX(Lists!$L$51:$L$85,MATCH(AA336,Lists!$K$51:$K$85,0))))</f>
        <v>0</v>
      </c>
      <c r="FO336" s="58">
        <f>IF(i_eff_inputs_based_on_num=2,EQ336,(INDEX(Lists!$L$51:$L$85,MATCH(AB336,Lists!$K$51:$K$85,0))))</f>
        <v>0</v>
      </c>
      <c r="FP336" s="58">
        <f>IF(i_eff_inputs_based_on_num=2,ER336,(INDEX(Lists!$L$51:$L$85,MATCH(AC336,Lists!$K$51:$K$85,0))))</f>
        <v>0</v>
      </c>
      <c r="FT336" s="58">
        <f t="shared" si="581"/>
        <v>0</v>
      </c>
      <c r="FW336" s="58">
        <f>IF(i_baseline_risk_from=2,'Effectiveness settings'!EW336,'Effectiveness settings'!FI336)</f>
        <v>0</v>
      </c>
      <c r="FX336" s="58">
        <f t="shared" si="582"/>
        <v>0</v>
      </c>
      <c r="FY336" s="58">
        <f t="shared" si="583"/>
        <v>0</v>
      </c>
      <c r="FZ336" s="58">
        <f t="shared" si="584"/>
        <v>0</v>
      </c>
      <c r="GA336" s="58">
        <f t="shared" si="585"/>
        <v>0</v>
      </c>
      <c r="GB336" s="58">
        <f t="shared" si="586"/>
        <v>0</v>
      </c>
      <c r="GC336" s="58">
        <f t="shared" si="587"/>
        <v>0</v>
      </c>
      <c r="GD336" s="58">
        <f t="shared" si="588"/>
        <v>0</v>
      </c>
      <c r="GE336" s="58">
        <f>IF(AND(dd_CheckMate214_TTD="Yes",'Effectiveness settings'!BU336=2,'Effectiveness settings'!BX336=2),"Apply HR to",GD336)</f>
        <v>0</v>
      </c>
      <c r="GF336" s="58">
        <f t="shared" si="589"/>
        <v>0</v>
      </c>
      <c r="GG336" s="58">
        <f t="shared" si="590"/>
        <v>0</v>
      </c>
      <c r="GH336" s="58">
        <f t="shared" si="591"/>
        <v>0</v>
      </c>
      <c r="GI336" s="58">
        <f t="shared" si="571"/>
        <v>0</v>
      </c>
      <c r="GK336" s="58">
        <f>IF(i_baseline_risk_from=2,'Effectiveness settings'!FA336,'Effectiveness settings'!FM336)</f>
        <v>0</v>
      </c>
      <c r="GL336" s="58">
        <f>IF(i_baseline_risk_from=2,'Effectiveness settings'!FB336,'Effectiveness settings'!FN336)</f>
        <v>0</v>
      </c>
      <c r="GM336" s="58">
        <f>IF(i_baseline_risk_from=2,'Effectiveness settings'!FC336,'Effectiveness settings'!FO336)</f>
        <v>0</v>
      </c>
      <c r="GN336" s="58">
        <f>IF(i_baseline_risk_from=2,'Effectiveness settings'!FD336,'Effectiveness settings'!FP336)</f>
        <v>0</v>
      </c>
      <c r="GQ336" s="58">
        <f t="shared" si="592"/>
        <v>0</v>
      </c>
      <c r="GR336" s="58">
        <f t="shared" si="593"/>
        <v>0</v>
      </c>
      <c r="GS336" s="58">
        <f t="shared" si="594"/>
        <v>0</v>
      </c>
      <c r="GT336" s="58">
        <f t="shared" si="595"/>
        <v>0</v>
      </c>
      <c r="GU336" s="58">
        <f>IF(AND(dd_CheckMate214_TTD="Yes",'Effectiveness settings'!BU336=2,'Effectiveness settings'!BX336=2),2,GT336)</f>
        <v>0</v>
      </c>
      <c r="GV336" s="58">
        <f t="shared" si="596"/>
        <v>0</v>
      </c>
      <c r="GW336" s="58">
        <f t="shared" si="597"/>
        <v>0</v>
      </c>
      <c r="GY336" s="58">
        <f>IF(AND(dd_CheckMate214_TTD="Yes",'Effectiveness settings'!BU336=2,'Effectiveness settings'!BX336=2),1,GN336)</f>
        <v>0</v>
      </c>
      <c r="GZ336" s="58">
        <f t="shared" si="598"/>
        <v>0</v>
      </c>
      <c r="HB336" s="58">
        <f t="shared" si="599"/>
        <v>0</v>
      </c>
      <c r="HD336" s="58">
        <f t="shared" si="566"/>
        <v>0</v>
      </c>
      <c r="HE336" s="58">
        <f t="shared" si="567"/>
        <v>0</v>
      </c>
      <c r="HF336" s="58">
        <f t="shared" si="568"/>
        <v>0</v>
      </c>
      <c r="HG336" s="58">
        <f t="shared" si="569"/>
        <v>0</v>
      </c>
      <c r="HH336" s="58">
        <f t="shared" si="570"/>
        <v>0</v>
      </c>
    </row>
    <row r="337" spans="3:216" ht="15.75" hidden="1" x14ac:dyDescent="0.25">
      <c r="C337" s="740"/>
      <c r="I337" s="64"/>
      <c r="J337" s="519"/>
      <c r="K337" s="524"/>
      <c r="L337" s="519"/>
      <c r="M337" s="516"/>
      <c r="N337" s="64"/>
      <c r="O337" s="64"/>
      <c r="P337" s="64"/>
      <c r="Q337" s="519" t="s">
        <v>557</v>
      </c>
      <c r="R337" s="516"/>
      <c r="S337" s="497"/>
      <c r="T337" s="497"/>
      <c r="U337" s="497"/>
      <c r="X337" s="64"/>
      <c r="Y337" s="519"/>
      <c r="Z337" s="516"/>
      <c r="AA337" s="519"/>
      <c r="AB337" s="619"/>
      <c r="AC337" s="64"/>
      <c r="AD337" s="618"/>
      <c r="AE337" s="618"/>
      <c r="AF337" s="620"/>
      <c r="AG337" s="516"/>
      <c r="AH337" s="497"/>
      <c r="AI337" s="497"/>
      <c r="AJ337" s="497"/>
      <c r="AL337" s="64"/>
      <c r="AM337" s="519"/>
      <c r="AN337" s="516"/>
      <c r="AO337" s="620"/>
      <c r="AP337" s="619"/>
      <c r="AQ337" s="64"/>
      <c r="AR337" s="618"/>
      <c r="AS337" s="618"/>
      <c r="AT337" s="627"/>
      <c r="AU337" s="516"/>
      <c r="AV337" s="65"/>
      <c r="AW337" s="65"/>
      <c r="AX337" s="65"/>
      <c r="AZ337" s="64"/>
      <c r="BA337" s="519"/>
      <c r="BB337" s="516"/>
      <c r="BC337" s="620"/>
      <c r="BD337" s="619"/>
      <c r="BE337" s="64"/>
      <c r="BF337" s="618"/>
      <c r="BG337" s="618"/>
      <c r="BH337" s="627"/>
      <c r="BI337" s="516"/>
      <c r="BJ337" s="65"/>
      <c r="BK337" s="65"/>
      <c r="BL337" s="65"/>
      <c r="BQ337" s="58">
        <f t="shared" si="573"/>
        <v>210</v>
      </c>
      <c r="BR337" s="61"/>
      <c r="BS337" s="61"/>
      <c r="BT337" s="17"/>
      <c r="BU337" s="17"/>
      <c r="BV337" s="17"/>
      <c r="BW337" s="17"/>
      <c r="BX337" s="61"/>
      <c r="BY337" s="531"/>
      <c r="BZ337" s="530"/>
      <c r="CA337" s="531"/>
      <c r="CB337" s="530"/>
      <c r="CC337" s="530"/>
      <c r="CD337" s="530"/>
      <c r="CE337" s="1295"/>
      <c r="CF337" s="1301"/>
      <c r="CG337" s="530"/>
      <c r="CH337" s="61"/>
      <c r="CI337" s="61"/>
      <c r="CJ337" s="61"/>
      <c r="DK337" s="58" t="str" cm="1">
        <f t="array" ref="DK337">IF(AND($BT337=4,$BX337=4,$BU337=999),$DB$36,_xlfn.IFNA(INDEX(DB$13:DB$70,MATCH(1,($BR337=$CV$13:$CV$70)*($BT337=$CX$13:$CX$70)*($CE337=$CY$13:$CY$70)*($BY337=$DA$13:$DA$70)*($CD337=$DH$13:$DH$70),0)),""))</f>
        <v/>
      </c>
      <c r="DL337" s="58" t="str" cm="1">
        <f t="array" ref="DL337">IF(AND($BT337=4,$BX337=4,$BU337=999),$DC$36,_xlfn.IFNA(INDEX(CHOOSE(DP337,DB$13:DB$70,DC$13:DC$70,DD$13:DD$70,DE$13:DE$70),MATCH(1,($BR337=$CV$13:$CV$70)*($BT337=$CX$13:$CX$70)*($CE337=$CY$13:$CY$70)*($BY337=$DA$13:$DA$70)*($CD337=$DH$13:$DH$70),0)),""))</f>
        <v/>
      </c>
      <c r="DM337" s="740" t="str" cm="1">
        <f t="array" ref="DM337">IF(AND($BT337=4,$BX337=4,$BU337=999),$DD$36,_xlfn.IFNA(INDEX(DD$13:DD$68,MATCH(1,($BR337=$CV$13:$CV$68)*($BT337=$CX$13:$CX$68)*($CE337=$CY$13:$CY$68)*($BY337=$DA$13:$DA$68)*($CD337=$DH$13:$DH$68),0)),""))</f>
        <v/>
      </c>
      <c r="DN337" s="740" t="str" cm="1">
        <f t="array" ref="DN337">IF(AND($BT337=4,$BX337=4,$BU337=999),$DD$36,_xlfn.IFNA(INDEX(DE$13:DE$68,MATCH(1,($BR337=$CV$13:$CV$68)*($BT337=$CX$13:$CX$68)*($CE337=$CY$13:$CY$68)*($BY337=$DA$13:$DA$68)*($CD337=$DH$13:$DH$68),0)),""))</f>
        <v/>
      </c>
      <c r="DO337" s="58" t="str" cm="1">
        <f t="array" ref="DO337">IF(AND($BT337=4,$BX337=4,$BU337=999),$DF$36,_xlfn.IFNA(INDEX(DF$13:DF$70,MATCH(1,($BR337=$CV$13:$CV$70)*($BT337=$CX$13:$CX$70)*($CE337=$CY$13:$CY$70)*($BY337=$DA$13:$DA$70)*($CD337=$DH$13:$DH$70),0)),""))</f>
        <v/>
      </c>
      <c r="DP337" s="58" t="e">
        <f t="shared" si="574"/>
        <v>#N/A</v>
      </c>
      <c r="EU337" s="58">
        <f t="shared" si="552"/>
        <v>0</v>
      </c>
      <c r="EV337" s="58">
        <f t="shared" si="553"/>
        <v>0</v>
      </c>
      <c r="EW337" s="58">
        <f t="shared" si="554"/>
        <v>0</v>
      </c>
      <c r="EX337" s="58">
        <f t="shared" si="555"/>
        <v>0</v>
      </c>
      <c r="EZ337" s="58">
        <f t="shared" si="556"/>
        <v>0</v>
      </c>
      <c r="FA337" s="58">
        <f t="shared" si="557"/>
        <v>0</v>
      </c>
      <c r="FB337" s="58">
        <f>IF(i_eff_inputs_based_on_num=2,ED337,(INDEX(Lists!$L$51:$L$85,MATCH(O337,Lists!$K$51:$K$85,0))))</f>
        <v>0</v>
      </c>
      <c r="FC337" s="58">
        <f>IF(i_eff_inputs_based_on_num=2,EE337,(INDEX(Lists!$L$51:$L$85,MATCH(P337,Lists!$K$51:$K$85,0))))</f>
        <v>0</v>
      </c>
      <c r="FD337" s="58">
        <f>IF(i_eff_inputs_based_on_num=2,EF337,(INDEX(Lists!$L$51:$L$85,MATCH(Q337,Lists!$K$51:$K$85,0))))</f>
        <v>0</v>
      </c>
      <c r="FG337" s="58">
        <f t="shared" si="575"/>
        <v>0</v>
      </c>
      <c r="FH337" s="58">
        <f t="shared" si="576"/>
        <v>0</v>
      </c>
      <c r="FI337" s="58">
        <f t="shared" si="577"/>
        <v>0</v>
      </c>
      <c r="FJ337" s="58">
        <f t="shared" si="578"/>
        <v>0</v>
      </c>
      <c r="FL337" s="58">
        <f t="shared" si="579"/>
        <v>0</v>
      </c>
      <c r="FM337" s="58">
        <f t="shared" si="580"/>
        <v>0</v>
      </c>
      <c r="FN337" s="58">
        <f>IF(i_eff_inputs_based_on_num=2,EP337,(INDEX(Lists!$L$51:$L$85,MATCH(AA337,Lists!$K$51:$K$85,0))))</f>
        <v>0</v>
      </c>
      <c r="FO337" s="58">
        <f>IF(i_eff_inputs_based_on_num=2,EQ337,(INDEX(Lists!$L$51:$L$85,MATCH(AB337,Lists!$K$51:$K$85,0))))</f>
        <v>0</v>
      </c>
      <c r="FP337" s="58">
        <f>IF(i_eff_inputs_based_on_num=2,ER337,(INDEX(Lists!$L$51:$L$85,MATCH(AC337,Lists!$K$51:$K$85,0))))</f>
        <v>0</v>
      </c>
      <c r="FT337" s="58">
        <f t="shared" si="581"/>
        <v>0</v>
      </c>
      <c r="FW337" s="58">
        <f>IF(i_baseline_risk_from=2,'Effectiveness settings'!EW337,'Effectiveness settings'!FI337)</f>
        <v>0</v>
      </c>
      <c r="FX337" s="58">
        <f t="shared" si="582"/>
        <v>0</v>
      </c>
      <c r="FY337" s="58">
        <f t="shared" si="583"/>
        <v>0</v>
      </c>
      <c r="FZ337" s="58">
        <f t="shared" si="584"/>
        <v>0</v>
      </c>
      <c r="GA337" s="58">
        <f t="shared" si="585"/>
        <v>0</v>
      </c>
      <c r="GB337" s="58">
        <f t="shared" si="586"/>
        <v>0</v>
      </c>
      <c r="GC337" s="58">
        <f t="shared" si="587"/>
        <v>0</v>
      </c>
      <c r="GD337" s="58">
        <f t="shared" si="588"/>
        <v>0</v>
      </c>
      <c r="GE337" s="58">
        <f>IF(AND(dd_CheckMate214_TTD="Yes",'Effectiveness settings'!BU337=2,'Effectiveness settings'!BX337=2),"Apply HR to",GD337)</f>
        <v>0</v>
      </c>
      <c r="GF337" s="58">
        <f t="shared" si="589"/>
        <v>0</v>
      </c>
      <c r="GG337" s="58">
        <f t="shared" si="590"/>
        <v>0</v>
      </c>
      <c r="GH337" s="58">
        <f t="shared" si="591"/>
        <v>0</v>
      </c>
      <c r="GI337" s="58">
        <f t="shared" si="571"/>
        <v>0</v>
      </c>
      <c r="GK337" s="58">
        <f>IF(i_baseline_risk_from=2,'Effectiveness settings'!FA337,'Effectiveness settings'!FM337)</f>
        <v>0</v>
      </c>
      <c r="GL337" s="58">
        <f>IF(i_baseline_risk_from=2,'Effectiveness settings'!FB337,'Effectiveness settings'!FN337)</f>
        <v>0</v>
      </c>
      <c r="GM337" s="58">
        <f>IF(i_baseline_risk_from=2,'Effectiveness settings'!FC337,'Effectiveness settings'!FO337)</f>
        <v>0</v>
      </c>
      <c r="GN337" s="58">
        <f>IF(i_baseline_risk_from=2,'Effectiveness settings'!FD337,'Effectiveness settings'!FP337)</f>
        <v>0</v>
      </c>
      <c r="GQ337" s="58">
        <f t="shared" si="592"/>
        <v>0</v>
      </c>
      <c r="GR337" s="58">
        <f t="shared" si="593"/>
        <v>0</v>
      </c>
      <c r="GS337" s="58">
        <f t="shared" si="594"/>
        <v>0</v>
      </c>
      <c r="GT337" s="58">
        <f t="shared" si="595"/>
        <v>0</v>
      </c>
      <c r="GU337" s="58">
        <f>IF(AND(dd_CheckMate214_TTD="Yes",'Effectiveness settings'!BU337=2,'Effectiveness settings'!BX337=2),2,GT337)</f>
        <v>0</v>
      </c>
      <c r="GV337" s="58">
        <f t="shared" si="596"/>
        <v>0</v>
      </c>
      <c r="GW337" s="58">
        <f t="shared" si="597"/>
        <v>0</v>
      </c>
      <c r="GY337" s="58">
        <f>IF(AND(dd_CheckMate214_TTD="Yes",'Effectiveness settings'!BU337=2,'Effectiveness settings'!BX337=2),1,GN337)</f>
        <v>0</v>
      </c>
      <c r="GZ337" s="58">
        <f t="shared" si="598"/>
        <v>0</v>
      </c>
      <c r="HB337" s="58">
        <f t="shared" si="599"/>
        <v>0</v>
      </c>
      <c r="HD337" s="58">
        <f t="shared" si="566"/>
        <v>0</v>
      </c>
      <c r="HE337" s="58">
        <f t="shared" si="567"/>
        <v>0</v>
      </c>
      <c r="HF337" s="58">
        <f t="shared" si="568"/>
        <v>0</v>
      </c>
      <c r="HG337" s="58">
        <f t="shared" si="569"/>
        <v>0</v>
      </c>
      <c r="HH337" s="58">
        <f t="shared" si="570"/>
        <v>0</v>
      </c>
    </row>
    <row r="338" spans="3:216" ht="15.75" hidden="1" x14ac:dyDescent="0.25">
      <c r="C338" s="740"/>
      <c r="I338" s="64"/>
      <c r="J338" s="519"/>
      <c r="K338" s="524"/>
      <c r="L338" s="519"/>
      <c r="M338" s="516"/>
      <c r="N338" s="64"/>
      <c r="O338" s="64"/>
      <c r="P338" s="64"/>
      <c r="Q338" s="519" t="s">
        <v>557</v>
      </c>
      <c r="R338" s="516"/>
      <c r="S338" s="497"/>
      <c r="T338" s="497"/>
      <c r="U338" s="497"/>
      <c r="X338" s="64"/>
      <c r="Y338" s="519"/>
      <c r="Z338" s="516"/>
      <c r="AA338" s="519"/>
      <c r="AB338" s="619"/>
      <c r="AC338" s="64"/>
      <c r="AD338" s="618"/>
      <c r="AE338" s="618"/>
      <c r="AF338" s="620"/>
      <c r="AG338" s="516"/>
      <c r="AH338" s="497"/>
      <c r="AI338" s="497"/>
      <c r="AJ338" s="497"/>
      <c r="AL338" s="64"/>
      <c r="AM338" s="519"/>
      <c r="AN338" s="516"/>
      <c r="AO338" s="620"/>
      <c r="AP338" s="619"/>
      <c r="AQ338" s="64"/>
      <c r="AR338" s="618"/>
      <c r="AS338" s="618"/>
      <c r="AT338" s="627"/>
      <c r="AU338" s="516"/>
      <c r="AV338" s="65"/>
      <c r="AW338" s="65"/>
      <c r="AX338" s="65"/>
      <c r="AZ338" s="64"/>
      <c r="BA338" s="519"/>
      <c r="BB338" s="516"/>
      <c r="BC338" s="620"/>
      <c r="BD338" s="619"/>
      <c r="BE338" s="64"/>
      <c r="BF338" s="618"/>
      <c r="BG338" s="618"/>
      <c r="BH338" s="627"/>
      <c r="BI338" s="516"/>
      <c r="BJ338" s="65"/>
      <c r="BK338" s="65"/>
      <c r="BL338" s="65"/>
      <c r="BQ338" s="58">
        <f t="shared" si="573"/>
        <v>210</v>
      </c>
      <c r="BR338" s="61"/>
      <c r="BS338" s="61"/>
      <c r="BT338" s="17"/>
      <c r="BU338" s="17"/>
      <c r="BV338" s="17"/>
      <c r="BW338" s="17"/>
      <c r="BX338" s="61"/>
      <c r="BY338" s="531"/>
      <c r="BZ338" s="530"/>
      <c r="CA338" s="531"/>
      <c r="CB338" s="530"/>
      <c r="CC338" s="530"/>
      <c r="CD338" s="530"/>
      <c r="CE338" s="1295"/>
      <c r="CF338" s="1301"/>
      <c r="CG338" s="530"/>
      <c r="CH338" s="61"/>
      <c r="CI338" s="61"/>
      <c r="CJ338" s="61"/>
      <c r="DK338" s="58" t="str" cm="1">
        <f t="array" ref="DK338">IF(AND($BT338=4,$BX338=4,$BU338=999),$DB$36,_xlfn.IFNA(INDEX(DB$13:DB$70,MATCH(1,($BR338=$CV$13:$CV$70)*($BT338=$CX$13:$CX$70)*($CE338=$CY$13:$CY$70)*($BY338=$DA$13:$DA$70)*($CD338=$DH$13:$DH$70),0)),""))</f>
        <v/>
      </c>
      <c r="DL338" s="58" t="str" cm="1">
        <f t="array" ref="DL338">IF(AND($BT338=4,$BX338=4,$BU338=999),$DC$36,_xlfn.IFNA(INDEX(CHOOSE(DP338,DB$13:DB$70,DC$13:DC$70,DD$13:DD$70,DE$13:DE$70),MATCH(1,($BR338=$CV$13:$CV$70)*($BT338=$CX$13:$CX$70)*($CE338=$CY$13:$CY$70)*($BY338=$DA$13:$DA$70)*($CD338=$DH$13:$DH$70),0)),""))</f>
        <v/>
      </c>
      <c r="DM338" s="740" t="str" cm="1">
        <f t="array" ref="DM338">IF(AND($BT338=4,$BX338=4,$BU338=999),$DD$36,_xlfn.IFNA(INDEX(DD$13:DD$68,MATCH(1,($BR338=$CV$13:$CV$68)*($BT338=$CX$13:$CX$68)*($CE338=$CY$13:$CY$68)*($BY338=$DA$13:$DA$68)*($CD338=$DH$13:$DH$68),0)),""))</f>
        <v/>
      </c>
      <c r="DN338" s="740" t="str" cm="1">
        <f t="array" ref="DN338">IF(AND($BT338=4,$BX338=4,$BU338=999),$DD$36,_xlfn.IFNA(INDEX(DE$13:DE$68,MATCH(1,($BR338=$CV$13:$CV$68)*($BT338=$CX$13:$CX$68)*($CE338=$CY$13:$CY$68)*($BY338=$DA$13:$DA$68)*($CD338=$DH$13:$DH$68),0)),""))</f>
        <v/>
      </c>
      <c r="DO338" s="58" t="str" cm="1">
        <f t="array" ref="DO338">IF(AND($BT338=4,$BX338=4,$BU338=999),$DF$36,_xlfn.IFNA(INDEX(DF$13:DF$70,MATCH(1,($BR338=$CV$13:$CV$70)*($BT338=$CX$13:$CX$70)*($CE338=$CY$13:$CY$70)*($BY338=$DA$13:$DA$70)*($CD338=$DH$13:$DH$70),0)),""))</f>
        <v/>
      </c>
      <c r="DP338" s="58" t="e">
        <f t="shared" si="574"/>
        <v>#N/A</v>
      </c>
      <c r="EU338" s="58">
        <f t="shared" si="552"/>
        <v>0</v>
      </c>
      <c r="EV338" s="58">
        <f t="shared" si="553"/>
        <v>0</v>
      </c>
      <c r="EW338" s="58">
        <f t="shared" si="554"/>
        <v>0</v>
      </c>
      <c r="EX338" s="58">
        <f t="shared" si="555"/>
        <v>0</v>
      </c>
      <c r="EZ338" s="58">
        <f t="shared" si="556"/>
        <v>0</v>
      </c>
      <c r="FA338" s="58">
        <f t="shared" si="557"/>
        <v>0</v>
      </c>
      <c r="FB338" s="58">
        <f>IF(i_eff_inputs_based_on_num=2,ED338,(INDEX(Lists!$L$51:$L$85,MATCH(O338,Lists!$K$51:$K$85,0))))</f>
        <v>0</v>
      </c>
      <c r="FC338" s="58">
        <f>IF(i_eff_inputs_based_on_num=2,EE338,(INDEX(Lists!$L$51:$L$85,MATCH(P338,Lists!$K$51:$K$85,0))))</f>
        <v>0</v>
      </c>
      <c r="FD338" s="58">
        <f>IF(i_eff_inputs_based_on_num=2,EF338,(INDEX(Lists!$L$51:$L$85,MATCH(Q338,Lists!$K$51:$K$85,0))))</f>
        <v>0</v>
      </c>
      <c r="FG338" s="58">
        <f t="shared" si="575"/>
        <v>0</v>
      </c>
      <c r="FH338" s="58">
        <f t="shared" si="576"/>
        <v>0</v>
      </c>
      <c r="FI338" s="58">
        <f t="shared" si="577"/>
        <v>0</v>
      </c>
      <c r="FJ338" s="58">
        <f t="shared" si="578"/>
        <v>0</v>
      </c>
      <c r="FL338" s="58">
        <f t="shared" si="579"/>
        <v>0</v>
      </c>
      <c r="FM338" s="58">
        <f t="shared" si="580"/>
        <v>0</v>
      </c>
      <c r="FN338" s="58">
        <f>IF(i_eff_inputs_based_on_num=2,EP338,(INDEX(Lists!$L$51:$L$85,MATCH(AA338,Lists!$K$51:$K$85,0))))</f>
        <v>0</v>
      </c>
      <c r="FO338" s="58">
        <f>IF(i_eff_inputs_based_on_num=2,EQ338,(INDEX(Lists!$L$51:$L$85,MATCH(AB338,Lists!$K$51:$K$85,0))))</f>
        <v>0</v>
      </c>
      <c r="FP338" s="58">
        <f>IF(i_eff_inputs_based_on_num=2,ER338,(INDEX(Lists!$L$51:$L$85,MATCH(AC338,Lists!$K$51:$K$85,0))))</f>
        <v>0</v>
      </c>
      <c r="FT338" s="58">
        <f t="shared" si="581"/>
        <v>0</v>
      </c>
      <c r="FW338" s="58">
        <f>IF(i_baseline_risk_from=2,'Effectiveness settings'!EW338,'Effectiveness settings'!FI338)</f>
        <v>0</v>
      </c>
      <c r="FX338" s="58">
        <f t="shared" si="582"/>
        <v>0</v>
      </c>
      <c r="FY338" s="58">
        <f t="shared" si="583"/>
        <v>0</v>
      </c>
      <c r="FZ338" s="58">
        <f t="shared" si="584"/>
        <v>0</v>
      </c>
      <c r="GA338" s="58">
        <f t="shared" si="585"/>
        <v>0</v>
      </c>
      <c r="GB338" s="58">
        <f t="shared" si="586"/>
        <v>0</v>
      </c>
      <c r="GC338" s="58">
        <f t="shared" si="587"/>
        <v>0</v>
      </c>
      <c r="GD338" s="58">
        <f t="shared" si="588"/>
        <v>0</v>
      </c>
      <c r="GE338" s="58">
        <f>IF(AND(dd_CheckMate214_TTD="Yes",'Effectiveness settings'!BU338=2,'Effectiveness settings'!BX338=2),"Apply HR to",GD338)</f>
        <v>0</v>
      </c>
      <c r="GF338" s="58">
        <f t="shared" si="589"/>
        <v>0</v>
      </c>
      <c r="GG338" s="58">
        <f t="shared" si="590"/>
        <v>0</v>
      </c>
      <c r="GH338" s="58">
        <f t="shared" si="591"/>
        <v>0</v>
      </c>
      <c r="GI338" s="58">
        <f t="shared" si="571"/>
        <v>0</v>
      </c>
      <c r="GK338" s="58">
        <f>IF(i_baseline_risk_from=2,'Effectiveness settings'!FA338,'Effectiveness settings'!FM338)</f>
        <v>0</v>
      </c>
      <c r="GL338" s="58">
        <f>IF(i_baseline_risk_from=2,'Effectiveness settings'!FB338,'Effectiveness settings'!FN338)</f>
        <v>0</v>
      </c>
      <c r="GM338" s="58">
        <f>IF(i_baseline_risk_from=2,'Effectiveness settings'!FC338,'Effectiveness settings'!FO338)</f>
        <v>0</v>
      </c>
      <c r="GN338" s="58">
        <f>IF(i_baseline_risk_from=2,'Effectiveness settings'!FD338,'Effectiveness settings'!FP338)</f>
        <v>0</v>
      </c>
      <c r="GQ338" s="58">
        <f t="shared" si="592"/>
        <v>0</v>
      </c>
      <c r="GR338" s="58">
        <f t="shared" si="593"/>
        <v>0</v>
      </c>
      <c r="GS338" s="58">
        <f t="shared" si="594"/>
        <v>0</v>
      </c>
      <c r="GT338" s="58">
        <f t="shared" si="595"/>
        <v>0</v>
      </c>
      <c r="GU338" s="58">
        <f>IF(AND(dd_CheckMate214_TTD="Yes",'Effectiveness settings'!BU338=2,'Effectiveness settings'!BX338=2),2,GT338)</f>
        <v>0</v>
      </c>
      <c r="GV338" s="58">
        <f t="shared" si="596"/>
        <v>0</v>
      </c>
      <c r="GW338" s="58">
        <f t="shared" si="597"/>
        <v>0</v>
      </c>
      <c r="GY338" s="58">
        <f>IF(AND(dd_CheckMate214_TTD="Yes",'Effectiveness settings'!BU338=2,'Effectiveness settings'!BX338=2),1,GN338)</f>
        <v>0</v>
      </c>
      <c r="GZ338" s="58">
        <f t="shared" si="598"/>
        <v>0</v>
      </c>
      <c r="HB338" s="58">
        <f t="shared" si="599"/>
        <v>0</v>
      </c>
      <c r="HD338" s="58">
        <f t="shared" si="566"/>
        <v>0</v>
      </c>
      <c r="HE338" s="58">
        <f t="shared" si="567"/>
        <v>0</v>
      </c>
      <c r="HF338" s="58">
        <f t="shared" si="568"/>
        <v>0</v>
      </c>
      <c r="HG338" s="58">
        <f t="shared" si="569"/>
        <v>0</v>
      </c>
      <c r="HH338" s="58">
        <f t="shared" si="570"/>
        <v>0</v>
      </c>
    </row>
    <row r="339" spans="3:216" ht="15.75" hidden="1" x14ac:dyDescent="0.25">
      <c r="I339" s="64"/>
      <c r="J339" s="519"/>
      <c r="K339" s="524"/>
      <c r="L339" s="519"/>
      <c r="M339" s="516"/>
      <c r="N339" s="64"/>
      <c r="O339" s="64"/>
      <c r="P339" s="64"/>
      <c r="Q339" s="519" t="s">
        <v>557</v>
      </c>
      <c r="R339" s="516"/>
      <c r="S339" s="497"/>
      <c r="T339" s="497"/>
      <c r="U339" s="497"/>
      <c r="X339" s="64"/>
      <c r="Y339" s="519"/>
      <c r="Z339" s="516"/>
      <c r="AA339" s="519"/>
      <c r="AB339" s="619"/>
      <c r="AC339" s="64"/>
      <c r="AD339" s="618"/>
      <c r="AE339" s="618"/>
      <c r="AF339" s="620"/>
      <c r="AG339" s="516"/>
      <c r="AH339" s="497"/>
      <c r="AI339" s="497"/>
      <c r="AJ339" s="497"/>
      <c r="AL339" s="64"/>
      <c r="AM339" s="519"/>
      <c r="AN339" s="516"/>
      <c r="AO339" s="620"/>
      <c r="AP339" s="619"/>
      <c r="AQ339" s="64"/>
      <c r="AR339" s="618"/>
      <c r="AS339" s="618"/>
      <c r="AT339" s="627"/>
      <c r="AU339" s="516"/>
      <c r="AV339" s="65"/>
      <c r="AW339" s="65"/>
      <c r="AX339" s="65"/>
      <c r="AZ339" s="64"/>
      <c r="BA339" s="519"/>
      <c r="BB339" s="516"/>
      <c r="BC339" s="620"/>
      <c r="BD339" s="619"/>
      <c r="BE339" s="64"/>
      <c r="BF339" s="618"/>
      <c r="BG339" s="618"/>
      <c r="BH339" s="627"/>
      <c r="BI339" s="516"/>
      <c r="BJ339" s="65"/>
      <c r="BK339" s="65"/>
      <c r="BL339" s="65"/>
      <c r="BQ339" s="58">
        <f t="shared" si="573"/>
        <v>210</v>
      </c>
      <c r="BR339" s="61"/>
      <c r="BS339" s="61"/>
      <c r="BT339" s="17"/>
      <c r="BU339" s="17"/>
      <c r="BV339" s="17"/>
      <c r="BW339" s="17"/>
      <c r="BX339" s="61"/>
      <c r="BY339" s="531"/>
      <c r="BZ339" s="530"/>
      <c r="CA339" s="531"/>
      <c r="CB339" s="530"/>
      <c r="CC339" s="530"/>
      <c r="CD339" s="530"/>
      <c r="CE339" s="1295"/>
      <c r="CF339" s="1301"/>
      <c r="CG339" s="530"/>
      <c r="CH339" s="61"/>
      <c r="CI339" s="61"/>
      <c r="CJ339" s="61"/>
      <c r="DK339" s="58" t="str" cm="1">
        <f t="array" ref="DK339">IF(AND($BT339=4,$BX339=4,$BU339=999),$DB$36,_xlfn.IFNA(INDEX(DB$13:DB$70,MATCH(1,($BR339=$CV$13:$CV$70)*($BT339=$CX$13:$CX$70)*($CE339=$CY$13:$CY$70)*($BY339=$DA$13:$DA$70)*($CD339=$DH$13:$DH$70),0)),""))</f>
        <v/>
      </c>
      <c r="DL339" s="58" t="str" cm="1">
        <f t="array" ref="DL339">IF(AND($BT339=4,$BX339=4,$BU339=999),$DC$36,_xlfn.IFNA(INDEX(CHOOSE(DP339,DB$13:DB$70,DC$13:DC$70,DD$13:DD$70,DE$13:DE$70),MATCH(1,($BR339=$CV$13:$CV$70)*($BT339=$CX$13:$CX$70)*($CE339=$CY$13:$CY$70)*($BY339=$DA$13:$DA$70)*($CD339=$DH$13:$DH$70),0)),""))</f>
        <v/>
      </c>
      <c r="DM339" s="740" t="str" cm="1">
        <f t="array" ref="DM339">IF(AND($BT339=4,$BX339=4,$BU339=999),$DD$36,_xlfn.IFNA(INDEX(DD$13:DD$68,MATCH(1,($BR339=$CV$13:$CV$68)*($BT339=$CX$13:$CX$68)*($CE339=$CY$13:$CY$68)*($BY339=$DA$13:$DA$68)*($CD339=$DH$13:$DH$68),0)),""))</f>
        <v/>
      </c>
      <c r="DN339" s="740" t="str" cm="1">
        <f t="array" ref="DN339">IF(AND($BT339=4,$BX339=4,$BU339=999),$DD$36,_xlfn.IFNA(INDEX(DE$13:DE$68,MATCH(1,($BR339=$CV$13:$CV$68)*($BT339=$CX$13:$CX$68)*($CE339=$CY$13:$CY$68)*($BY339=$DA$13:$DA$68)*($CD339=$DH$13:$DH$68),0)),""))</f>
        <v/>
      </c>
      <c r="DO339" s="58" t="str" cm="1">
        <f t="array" ref="DO339">IF(AND($BT339=4,$BX339=4,$BU339=999),$DF$36,_xlfn.IFNA(INDEX(DF$13:DF$70,MATCH(1,($BR339=$CV$13:$CV$70)*($BT339=$CX$13:$CX$70)*($CE339=$CY$13:$CY$70)*($BY339=$DA$13:$DA$70)*($CD339=$DH$13:$DH$70),0)),""))</f>
        <v/>
      </c>
      <c r="DP339" s="58" t="e">
        <f t="shared" si="574"/>
        <v>#N/A</v>
      </c>
      <c r="EU339" s="58">
        <f t="shared" si="552"/>
        <v>0</v>
      </c>
      <c r="EV339" s="58">
        <f t="shared" si="553"/>
        <v>0</v>
      </c>
      <c r="EW339" s="58">
        <f t="shared" si="554"/>
        <v>0</v>
      </c>
      <c r="EX339" s="58">
        <f t="shared" si="555"/>
        <v>0</v>
      </c>
      <c r="EZ339" s="58">
        <f t="shared" si="556"/>
        <v>0</v>
      </c>
      <c r="FA339" s="58">
        <f t="shared" si="557"/>
        <v>0</v>
      </c>
      <c r="FB339" s="58">
        <f>IF(i_eff_inputs_based_on_num=2,ED339,(INDEX(Lists!$L$51:$L$85,MATCH(O339,Lists!$K$51:$K$85,0))))</f>
        <v>0</v>
      </c>
      <c r="FC339" s="58">
        <f>IF(i_eff_inputs_based_on_num=2,EE339,(INDEX(Lists!$L$51:$L$85,MATCH(P339,Lists!$K$51:$K$85,0))))</f>
        <v>0</v>
      </c>
      <c r="FD339" s="58">
        <f>IF(i_eff_inputs_based_on_num=2,EF339,(INDEX(Lists!$L$51:$L$85,MATCH(Q339,Lists!$K$51:$K$85,0))))</f>
        <v>0</v>
      </c>
      <c r="FG339" s="58">
        <f t="shared" si="575"/>
        <v>0</v>
      </c>
      <c r="FH339" s="58">
        <f t="shared" si="576"/>
        <v>0</v>
      </c>
      <c r="FI339" s="58">
        <f t="shared" si="577"/>
        <v>0</v>
      </c>
      <c r="FJ339" s="58">
        <f t="shared" si="578"/>
        <v>0</v>
      </c>
      <c r="FL339" s="58">
        <f t="shared" si="579"/>
        <v>0</v>
      </c>
      <c r="FM339" s="58">
        <f t="shared" si="580"/>
        <v>0</v>
      </c>
      <c r="FN339" s="58">
        <f>IF(i_eff_inputs_based_on_num=2,EP339,(INDEX(Lists!$L$51:$L$85,MATCH(AA339,Lists!$K$51:$K$85,0))))</f>
        <v>0</v>
      </c>
      <c r="FO339" s="58">
        <f>IF(i_eff_inputs_based_on_num=2,EQ339,(INDEX(Lists!$L$51:$L$85,MATCH(AB339,Lists!$K$51:$K$85,0))))</f>
        <v>0</v>
      </c>
      <c r="FP339" s="58">
        <f>IF(i_eff_inputs_based_on_num=2,ER339,(INDEX(Lists!$L$51:$L$85,MATCH(AC339,Lists!$K$51:$K$85,0))))</f>
        <v>0</v>
      </c>
      <c r="FT339" s="58">
        <f t="shared" si="581"/>
        <v>0</v>
      </c>
      <c r="FW339" s="58">
        <f>IF(i_baseline_risk_from=2,'Effectiveness settings'!EW339,'Effectiveness settings'!FI339)</f>
        <v>0</v>
      </c>
      <c r="FX339" s="58">
        <f t="shared" si="582"/>
        <v>0</v>
      </c>
      <c r="FY339" s="58">
        <f t="shared" si="583"/>
        <v>0</v>
      </c>
      <c r="FZ339" s="58">
        <f t="shared" si="584"/>
        <v>0</v>
      </c>
      <c r="GA339" s="58">
        <f t="shared" si="585"/>
        <v>0</v>
      </c>
      <c r="GB339" s="58">
        <f t="shared" si="586"/>
        <v>0</v>
      </c>
      <c r="GC339" s="58">
        <f t="shared" si="587"/>
        <v>0</v>
      </c>
      <c r="GD339" s="58">
        <f t="shared" si="588"/>
        <v>0</v>
      </c>
      <c r="GE339" s="58">
        <f>IF(AND(dd_CheckMate214_TTD="Yes",'Effectiveness settings'!BU339=2,'Effectiveness settings'!BX339=2),"Apply HR to",GD339)</f>
        <v>0</v>
      </c>
      <c r="GF339" s="58">
        <f t="shared" si="589"/>
        <v>0</v>
      </c>
      <c r="GG339" s="58">
        <f t="shared" si="590"/>
        <v>0</v>
      </c>
      <c r="GH339" s="58">
        <f t="shared" si="591"/>
        <v>0</v>
      </c>
      <c r="GI339" s="58">
        <f t="shared" si="571"/>
        <v>0</v>
      </c>
      <c r="GK339" s="58">
        <f>IF(i_baseline_risk_from=2,'Effectiveness settings'!FA339,'Effectiveness settings'!FM339)</f>
        <v>0</v>
      </c>
      <c r="GL339" s="58">
        <f>IF(i_baseline_risk_from=2,'Effectiveness settings'!FB339,'Effectiveness settings'!FN339)</f>
        <v>0</v>
      </c>
      <c r="GM339" s="58">
        <f>IF(i_baseline_risk_from=2,'Effectiveness settings'!FC339,'Effectiveness settings'!FO339)</f>
        <v>0</v>
      </c>
      <c r="GN339" s="58">
        <f>IF(i_baseline_risk_from=2,'Effectiveness settings'!FD339,'Effectiveness settings'!FP339)</f>
        <v>0</v>
      </c>
      <c r="GQ339" s="58">
        <f t="shared" si="592"/>
        <v>0</v>
      </c>
      <c r="GR339" s="58">
        <f t="shared" si="593"/>
        <v>0</v>
      </c>
      <c r="GS339" s="58">
        <f t="shared" si="594"/>
        <v>0</v>
      </c>
      <c r="GT339" s="58">
        <f t="shared" si="595"/>
        <v>0</v>
      </c>
      <c r="GU339" s="58">
        <f>IF(AND(dd_CheckMate214_TTD="Yes",'Effectiveness settings'!BU339=2,'Effectiveness settings'!BX339=2),2,GT339)</f>
        <v>0</v>
      </c>
      <c r="GV339" s="58">
        <f t="shared" si="596"/>
        <v>0</v>
      </c>
      <c r="GW339" s="58">
        <f t="shared" si="597"/>
        <v>0</v>
      </c>
      <c r="GY339" s="58">
        <f>IF(AND(dd_CheckMate214_TTD="Yes",'Effectiveness settings'!BU339=2,'Effectiveness settings'!BX339=2),1,GN339)</f>
        <v>0</v>
      </c>
      <c r="GZ339" s="58">
        <f t="shared" si="598"/>
        <v>0</v>
      </c>
      <c r="HB339" s="58">
        <f t="shared" si="599"/>
        <v>0</v>
      </c>
      <c r="HD339" s="58">
        <f t="shared" si="566"/>
        <v>0</v>
      </c>
      <c r="HE339" s="58">
        <f t="shared" si="567"/>
        <v>0</v>
      </c>
      <c r="HF339" s="58">
        <f t="shared" si="568"/>
        <v>0</v>
      </c>
      <c r="HG339" s="58">
        <f t="shared" si="569"/>
        <v>0</v>
      </c>
      <c r="HH339" s="58">
        <f t="shared" si="570"/>
        <v>0</v>
      </c>
    </row>
    <row r="340" spans="3:216" ht="15.75" hidden="1" x14ac:dyDescent="0.25">
      <c r="I340" s="64"/>
      <c r="J340" s="519"/>
      <c r="K340" s="524"/>
      <c r="L340" s="519"/>
      <c r="M340" s="516"/>
      <c r="N340" s="64"/>
      <c r="O340" s="64"/>
      <c r="P340" s="64"/>
      <c r="Q340" s="519" t="s">
        <v>557</v>
      </c>
      <c r="R340" s="516"/>
      <c r="S340" s="497"/>
      <c r="T340" s="497"/>
      <c r="U340" s="497"/>
      <c r="X340" s="64"/>
      <c r="Y340" s="519"/>
      <c r="Z340" s="516"/>
      <c r="AA340" s="519"/>
      <c r="AB340" s="619"/>
      <c r="AC340" s="64"/>
      <c r="AD340" s="618"/>
      <c r="AE340" s="618"/>
      <c r="AF340" s="620"/>
      <c r="AG340" s="516"/>
      <c r="AH340" s="497"/>
      <c r="AI340" s="497"/>
      <c r="AJ340" s="497"/>
      <c r="AL340" s="64"/>
      <c r="AM340" s="519"/>
      <c r="AN340" s="516"/>
      <c r="AO340" s="620"/>
      <c r="AP340" s="619"/>
      <c r="AQ340" s="64"/>
      <c r="AR340" s="618"/>
      <c r="AS340" s="618"/>
      <c r="AT340" s="627"/>
      <c r="AU340" s="516"/>
      <c r="AV340" s="65"/>
      <c r="AW340" s="65"/>
      <c r="AX340" s="65"/>
      <c r="AZ340" s="64"/>
      <c r="BA340" s="519"/>
      <c r="BB340" s="516"/>
      <c r="BC340" s="620"/>
      <c r="BD340" s="619"/>
      <c r="BE340" s="64"/>
      <c r="BF340" s="618"/>
      <c r="BG340" s="618"/>
      <c r="BH340" s="627"/>
      <c r="BI340" s="516"/>
      <c r="BJ340" s="65"/>
      <c r="BK340" s="65"/>
      <c r="BL340" s="65"/>
      <c r="BQ340" s="58">
        <f t="shared" si="573"/>
        <v>210</v>
      </c>
      <c r="BR340" s="61"/>
      <c r="BS340" s="61"/>
      <c r="BT340" s="17"/>
      <c r="BU340" s="17"/>
      <c r="BV340" s="17"/>
      <c r="BW340" s="17"/>
      <c r="BX340" s="61"/>
      <c r="BY340" s="531"/>
      <c r="BZ340" s="530"/>
      <c r="CA340" s="531"/>
      <c r="CB340" s="530"/>
      <c r="CC340" s="530"/>
      <c r="CD340" s="530"/>
      <c r="CE340" s="1295"/>
      <c r="CF340" s="1301"/>
      <c r="CG340" s="530"/>
      <c r="CH340" s="61"/>
      <c r="CI340" s="61"/>
      <c r="CJ340" s="61"/>
      <c r="DK340" s="58" t="str" cm="1">
        <f t="array" ref="DK340">IF(AND($BT340=4,$BX340=4,$BU340=999),$DB$36,_xlfn.IFNA(INDEX(DB$13:DB$70,MATCH(1,($BR340=$CV$13:$CV$70)*($BT340=$CX$13:$CX$70)*($CE340=$CY$13:$CY$70)*($BY340=$DA$13:$DA$70)*($CD340=$DH$13:$DH$70),0)),""))</f>
        <v/>
      </c>
      <c r="DL340" s="58" t="str" cm="1">
        <f t="array" ref="DL340">IF(AND($BT340=4,$BX340=4,$BU340=999),$DC$36,_xlfn.IFNA(INDEX(CHOOSE(DP340,DB$13:DB$70,DC$13:DC$70,DD$13:DD$70,DE$13:DE$70),MATCH(1,($BR340=$CV$13:$CV$70)*($BT340=$CX$13:$CX$70)*($CE340=$CY$13:$CY$70)*($BY340=$DA$13:$DA$70)*($CD340=$DH$13:$DH$70),0)),""))</f>
        <v/>
      </c>
      <c r="DM340" s="740" t="str" cm="1">
        <f t="array" ref="DM340">IF(AND($BT340=4,$BX340=4,$BU340=999),$DD$36,_xlfn.IFNA(INDEX(DD$13:DD$68,MATCH(1,($BR340=$CV$13:$CV$68)*($BT340=$CX$13:$CX$68)*($CE340=$CY$13:$CY$68)*($BY340=$DA$13:$DA$68)*($CD340=$DH$13:$DH$68),0)),""))</f>
        <v/>
      </c>
      <c r="DN340" s="740" t="str" cm="1">
        <f t="array" ref="DN340">IF(AND($BT340=4,$BX340=4,$BU340=999),$DD$36,_xlfn.IFNA(INDEX(DE$13:DE$68,MATCH(1,($BR340=$CV$13:$CV$68)*($BT340=$CX$13:$CX$68)*($CE340=$CY$13:$CY$68)*($BY340=$DA$13:$DA$68)*($CD340=$DH$13:$DH$68),0)),""))</f>
        <v/>
      </c>
      <c r="DO340" s="58" t="str" cm="1">
        <f t="array" ref="DO340">IF(AND($BT340=4,$BX340=4,$BU340=999),$DF$36,_xlfn.IFNA(INDEX(DF$13:DF$70,MATCH(1,($BR340=$CV$13:$CV$70)*($BT340=$CX$13:$CX$70)*($CE340=$CY$13:$CY$70)*($BY340=$DA$13:$DA$70)*($CD340=$DH$13:$DH$70),0)),""))</f>
        <v/>
      </c>
      <c r="DP340" s="58" t="e">
        <f t="shared" si="574"/>
        <v>#N/A</v>
      </c>
      <c r="EU340" s="58">
        <f t="shared" si="552"/>
        <v>0</v>
      </c>
      <c r="EV340" s="58">
        <f t="shared" si="553"/>
        <v>0</v>
      </c>
      <c r="EW340" s="58">
        <f t="shared" si="554"/>
        <v>0</v>
      </c>
      <c r="EX340" s="58">
        <f t="shared" si="555"/>
        <v>0</v>
      </c>
      <c r="EZ340" s="58">
        <f t="shared" si="556"/>
        <v>0</v>
      </c>
      <c r="FA340" s="58">
        <f t="shared" si="557"/>
        <v>0</v>
      </c>
      <c r="FB340" s="58">
        <f>IF(i_eff_inputs_based_on_num=2,ED340,(INDEX(Lists!$L$51:$L$85,MATCH(O340,Lists!$K$51:$K$85,0))))</f>
        <v>0</v>
      </c>
      <c r="FC340" s="58">
        <f>IF(i_eff_inputs_based_on_num=2,EE340,(INDEX(Lists!$L$51:$L$85,MATCH(P340,Lists!$K$51:$K$85,0))))</f>
        <v>0</v>
      </c>
      <c r="FD340" s="58">
        <f>IF(i_eff_inputs_based_on_num=2,EF340,(INDEX(Lists!$L$51:$L$85,MATCH(Q340,Lists!$K$51:$K$85,0))))</f>
        <v>0</v>
      </c>
      <c r="FG340" s="58">
        <f t="shared" si="575"/>
        <v>0</v>
      </c>
      <c r="FH340" s="58">
        <f t="shared" si="576"/>
        <v>0</v>
      </c>
      <c r="FI340" s="58">
        <f t="shared" si="577"/>
        <v>0</v>
      </c>
      <c r="FJ340" s="58">
        <f t="shared" si="578"/>
        <v>0</v>
      </c>
      <c r="FL340" s="58">
        <f t="shared" si="579"/>
        <v>0</v>
      </c>
      <c r="FM340" s="58">
        <f t="shared" si="580"/>
        <v>0</v>
      </c>
      <c r="FN340" s="58">
        <f>IF(i_eff_inputs_based_on_num=2,EP340,(INDEX(Lists!$L$51:$L$85,MATCH(AA340,Lists!$K$51:$K$85,0))))</f>
        <v>0</v>
      </c>
      <c r="FO340" s="58">
        <f>IF(i_eff_inputs_based_on_num=2,EQ340,(INDEX(Lists!$L$51:$L$85,MATCH(AB340,Lists!$K$51:$K$85,0))))</f>
        <v>0</v>
      </c>
      <c r="FP340" s="58">
        <f>IF(i_eff_inputs_based_on_num=2,ER340,(INDEX(Lists!$L$51:$L$85,MATCH(AC340,Lists!$K$51:$K$85,0))))</f>
        <v>0</v>
      </c>
      <c r="FT340" s="58">
        <f t="shared" si="581"/>
        <v>0</v>
      </c>
      <c r="FW340" s="58">
        <f>IF(i_baseline_risk_from=2,'Effectiveness settings'!EW340,'Effectiveness settings'!FI340)</f>
        <v>0</v>
      </c>
      <c r="FX340" s="58">
        <f t="shared" si="582"/>
        <v>0</v>
      </c>
      <c r="FY340" s="58">
        <f t="shared" si="583"/>
        <v>0</v>
      </c>
      <c r="FZ340" s="58">
        <f t="shared" si="584"/>
        <v>0</v>
      </c>
      <c r="GA340" s="58">
        <f t="shared" si="585"/>
        <v>0</v>
      </c>
      <c r="GB340" s="58">
        <f t="shared" si="586"/>
        <v>0</v>
      </c>
      <c r="GC340" s="58">
        <f t="shared" si="587"/>
        <v>0</v>
      </c>
      <c r="GD340" s="58">
        <f t="shared" si="588"/>
        <v>0</v>
      </c>
      <c r="GE340" s="58">
        <f>IF(AND(dd_CheckMate214_TTD="Yes",'Effectiveness settings'!BU340=2,'Effectiveness settings'!BX340=2),"Apply HR to",GD340)</f>
        <v>0</v>
      </c>
      <c r="GF340" s="58">
        <f t="shared" si="589"/>
        <v>0</v>
      </c>
      <c r="GG340" s="58">
        <f t="shared" si="590"/>
        <v>0</v>
      </c>
      <c r="GH340" s="58">
        <f t="shared" si="591"/>
        <v>0</v>
      </c>
      <c r="GI340" s="58">
        <f t="shared" si="571"/>
        <v>0</v>
      </c>
      <c r="GK340" s="58">
        <f>IF(i_baseline_risk_from=2,'Effectiveness settings'!FA340,'Effectiveness settings'!FM340)</f>
        <v>0</v>
      </c>
      <c r="GL340" s="58">
        <f>IF(i_baseline_risk_from=2,'Effectiveness settings'!FB340,'Effectiveness settings'!FN340)</f>
        <v>0</v>
      </c>
      <c r="GM340" s="58">
        <f>IF(i_baseline_risk_from=2,'Effectiveness settings'!FC340,'Effectiveness settings'!FO340)</f>
        <v>0</v>
      </c>
      <c r="GN340" s="58">
        <f>IF(i_baseline_risk_from=2,'Effectiveness settings'!FD340,'Effectiveness settings'!FP340)</f>
        <v>0</v>
      </c>
      <c r="GQ340" s="58">
        <f t="shared" si="592"/>
        <v>0</v>
      </c>
      <c r="GR340" s="58">
        <f t="shared" si="593"/>
        <v>0</v>
      </c>
      <c r="GS340" s="58">
        <f t="shared" si="594"/>
        <v>0</v>
      </c>
      <c r="GT340" s="58">
        <f t="shared" si="595"/>
        <v>0</v>
      </c>
      <c r="GU340" s="58">
        <f>IF(AND(dd_CheckMate214_TTD="Yes",'Effectiveness settings'!BU340=2,'Effectiveness settings'!BX340=2),2,GT340)</f>
        <v>0</v>
      </c>
      <c r="GV340" s="58">
        <f t="shared" si="596"/>
        <v>0</v>
      </c>
      <c r="GW340" s="58">
        <f t="shared" si="597"/>
        <v>0</v>
      </c>
      <c r="GY340" s="58">
        <f>IF(AND(dd_CheckMate214_TTD="Yes",'Effectiveness settings'!BU340=2,'Effectiveness settings'!BX340=2),1,GN340)</f>
        <v>0</v>
      </c>
      <c r="GZ340" s="58">
        <f t="shared" si="598"/>
        <v>0</v>
      </c>
      <c r="HB340" s="58">
        <f t="shared" si="599"/>
        <v>0</v>
      </c>
      <c r="HD340" s="58">
        <f t="shared" si="566"/>
        <v>0</v>
      </c>
      <c r="HE340" s="58">
        <f t="shared" si="567"/>
        <v>0</v>
      </c>
      <c r="HF340" s="58">
        <f t="shared" si="568"/>
        <v>0</v>
      </c>
      <c r="HG340" s="58">
        <f t="shared" si="569"/>
        <v>0</v>
      </c>
      <c r="HH340" s="58">
        <f t="shared" si="570"/>
        <v>0</v>
      </c>
    </row>
    <row r="341" spans="3:216" ht="15.75" hidden="1" x14ac:dyDescent="0.25">
      <c r="I341" s="64"/>
      <c r="J341" s="519"/>
      <c r="K341" s="524"/>
      <c r="L341" s="519"/>
      <c r="M341" s="516"/>
      <c r="N341" s="64"/>
      <c r="O341" s="64"/>
      <c r="P341" s="64"/>
      <c r="Q341" s="519" t="s">
        <v>557</v>
      </c>
      <c r="R341" s="516"/>
      <c r="S341" s="497"/>
      <c r="T341" s="497"/>
      <c r="U341" s="497"/>
      <c r="X341" s="64"/>
      <c r="Y341" s="519"/>
      <c r="Z341" s="516"/>
      <c r="AA341" s="519"/>
      <c r="AB341" s="619"/>
      <c r="AC341" s="64"/>
      <c r="AD341" s="618"/>
      <c r="AE341" s="618"/>
      <c r="AF341" s="620"/>
      <c r="AG341" s="516"/>
      <c r="AH341" s="497"/>
      <c r="AI341" s="497"/>
      <c r="AJ341" s="497"/>
      <c r="AL341" s="64"/>
      <c r="AM341" s="519"/>
      <c r="AN341" s="516"/>
      <c r="AO341" s="620"/>
      <c r="AP341" s="619"/>
      <c r="AQ341" s="64"/>
      <c r="AR341" s="618"/>
      <c r="AS341" s="618"/>
      <c r="AT341" s="627"/>
      <c r="AU341" s="516"/>
      <c r="AV341" s="65"/>
      <c r="AW341" s="65"/>
      <c r="AX341" s="65"/>
      <c r="AZ341" s="64"/>
      <c r="BA341" s="519"/>
      <c r="BB341" s="516"/>
      <c r="BC341" s="620"/>
      <c r="BD341" s="619"/>
      <c r="BE341" s="64"/>
      <c r="BF341" s="618"/>
      <c r="BG341" s="618"/>
      <c r="BH341" s="627"/>
      <c r="BI341" s="516"/>
      <c r="BJ341" s="65"/>
      <c r="BK341" s="65"/>
      <c r="BL341" s="65"/>
      <c r="BQ341" s="58">
        <f t="shared" si="573"/>
        <v>210</v>
      </c>
      <c r="BR341" s="61"/>
      <c r="BS341" s="61"/>
      <c r="BT341" s="17"/>
      <c r="BU341" s="17"/>
      <c r="BV341" s="17"/>
      <c r="BW341" s="17"/>
      <c r="BX341" s="61"/>
      <c r="BY341" s="531"/>
      <c r="BZ341" s="530"/>
      <c r="CA341" s="531"/>
      <c r="CB341" s="530"/>
      <c r="CC341" s="530"/>
      <c r="CD341" s="530"/>
      <c r="CE341" s="1295"/>
      <c r="CF341" s="1301"/>
      <c r="CG341" s="530"/>
      <c r="CH341" s="61"/>
      <c r="CI341" s="61"/>
      <c r="CJ341" s="61"/>
      <c r="DK341" s="58" t="str" cm="1">
        <f t="array" ref="DK341">IF(AND($BT341=4,$BX341=4,$BU341=999),$DB$36,_xlfn.IFNA(INDEX(DB$13:DB$70,MATCH(1,($BR341=$CV$13:$CV$70)*($BT341=$CX$13:$CX$70)*($CE341=$CY$13:$CY$70)*($BY341=$DA$13:$DA$70)*($CD341=$DH$13:$DH$70),0)),""))</f>
        <v/>
      </c>
      <c r="DL341" s="58" t="str" cm="1">
        <f t="array" ref="DL341">IF(AND($BT341=4,$BX341=4,$BU341=999),$DC$36,_xlfn.IFNA(INDEX(CHOOSE(DP341,DB$13:DB$70,DC$13:DC$70,DD$13:DD$70,DE$13:DE$70),MATCH(1,($BR341=$CV$13:$CV$70)*($BT341=$CX$13:$CX$70)*($CE341=$CY$13:$CY$70)*($BY341=$DA$13:$DA$70)*($CD341=$DH$13:$DH$70),0)),""))</f>
        <v/>
      </c>
      <c r="DM341" s="740" t="str" cm="1">
        <f t="array" ref="DM341">IF(AND($BT341=4,$BX341=4,$BU341=999),$DD$36,_xlfn.IFNA(INDEX(DD$13:DD$68,MATCH(1,($BR341=$CV$13:$CV$68)*($BT341=$CX$13:$CX$68)*($CE341=$CY$13:$CY$68)*($BY341=$DA$13:$DA$68)*($CD341=$DH$13:$DH$68),0)),""))</f>
        <v/>
      </c>
      <c r="DN341" s="740" t="str" cm="1">
        <f t="array" ref="DN341">IF(AND($BT341=4,$BX341=4,$BU341=999),$DD$36,_xlfn.IFNA(INDEX(DE$13:DE$68,MATCH(1,($BR341=$CV$13:$CV$68)*($BT341=$CX$13:$CX$68)*($CE341=$CY$13:$CY$68)*($BY341=$DA$13:$DA$68)*($CD341=$DH$13:$DH$68),0)),""))</f>
        <v/>
      </c>
      <c r="DO341" s="58" t="str" cm="1">
        <f t="array" ref="DO341">IF(AND($BT341=4,$BX341=4,$BU341=999),$DF$36,_xlfn.IFNA(INDEX(DF$13:DF$70,MATCH(1,($BR341=$CV$13:$CV$70)*($BT341=$CX$13:$CX$70)*($CE341=$CY$13:$CY$70)*($BY341=$DA$13:$DA$70)*($CD341=$DH$13:$DH$70),0)),""))</f>
        <v/>
      </c>
      <c r="DP341" s="58" t="e">
        <f t="shared" si="574"/>
        <v>#N/A</v>
      </c>
      <c r="EU341" s="58">
        <f t="shared" si="552"/>
        <v>0</v>
      </c>
      <c r="EV341" s="58">
        <f t="shared" si="553"/>
        <v>0</v>
      </c>
      <c r="EW341" s="58">
        <f t="shared" si="554"/>
        <v>0</v>
      </c>
      <c r="EX341" s="58">
        <f t="shared" si="555"/>
        <v>0</v>
      </c>
      <c r="EZ341" s="58">
        <f t="shared" si="556"/>
        <v>0</v>
      </c>
      <c r="FA341" s="58">
        <f t="shared" si="557"/>
        <v>0</v>
      </c>
      <c r="FB341" s="58">
        <f>IF(i_eff_inputs_based_on_num=2,ED341,(INDEX(Lists!$L$51:$L$85,MATCH(O341,Lists!$K$51:$K$85,0))))</f>
        <v>0</v>
      </c>
      <c r="FC341" s="58">
        <f>IF(i_eff_inputs_based_on_num=2,EE341,(INDEX(Lists!$L$51:$L$85,MATCH(P341,Lists!$K$51:$K$85,0))))</f>
        <v>0</v>
      </c>
      <c r="FD341" s="58">
        <f>IF(i_eff_inputs_based_on_num=2,EF341,(INDEX(Lists!$L$51:$L$85,MATCH(Q341,Lists!$K$51:$K$85,0))))</f>
        <v>0</v>
      </c>
      <c r="FG341" s="58">
        <f t="shared" si="575"/>
        <v>0</v>
      </c>
      <c r="FH341" s="58">
        <f t="shared" si="576"/>
        <v>0</v>
      </c>
      <c r="FI341" s="58">
        <f t="shared" si="577"/>
        <v>0</v>
      </c>
      <c r="FJ341" s="58">
        <f t="shared" si="578"/>
        <v>0</v>
      </c>
      <c r="FL341" s="58">
        <f t="shared" si="579"/>
        <v>0</v>
      </c>
      <c r="FM341" s="58">
        <f t="shared" si="580"/>
        <v>0</v>
      </c>
      <c r="FN341" s="58">
        <f>IF(i_eff_inputs_based_on_num=2,EP341,(INDEX(Lists!$L$51:$L$85,MATCH(AA341,Lists!$K$51:$K$85,0))))</f>
        <v>0</v>
      </c>
      <c r="FO341" s="58">
        <f>IF(i_eff_inputs_based_on_num=2,EQ341,(INDEX(Lists!$L$51:$L$85,MATCH(AB341,Lists!$K$51:$K$85,0))))</f>
        <v>0</v>
      </c>
      <c r="FP341" s="58">
        <f>IF(i_eff_inputs_based_on_num=2,ER341,(INDEX(Lists!$L$51:$L$85,MATCH(AC341,Lists!$K$51:$K$85,0))))</f>
        <v>0</v>
      </c>
      <c r="FT341" s="58">
        <f t="shared" si="581"/>
        <v>0</v>
      </c>
      <c r="FW341" s="58">
        <f>IF(i_baseline_risk_from=2,'Effectiveness settings'!EW341,'Effectiveness settings'!FI341)</f>
        <v>0</v>
      </c>
      <c r="FX341" s="58">
        <f t="shared" si="582"/>
        <v>0</v>
      </c>
      <c r="FY341" s="58">
        <f t="shared" si="583"/>
        <v>0</v>
      </c>
      <c r="FZ341" s="58">
        <f t="shared" si="584"/>
        <v>0</v>
      </c>
      <c r="GA341" s="58">
        <f t="shared" si="585"/>
        <v>0</v>
      </c>
      <c r="GB341" s="58">
        <f t="shared" si="586"/>
        <v>0</v>
      </c>
      <c r="GC341" s="58">
        <f t="shared" si="587"/>
        <v>0</v>
      </c>
      <c r="GD341" s="58">
        <f t="shared" si="588"/>
        <v>0</v>
      </c>
      <c r="GE341" s="58">
        <f>IF(AND(dd_CheckMate214_TTD="Yes",'Effectiveness settings'!BU341=2,'Effectiveness settings'!BX341=2),"Apply HR to",GD341)</f>
        <v>0</v>
      </c>
      <c r="GF341" s="58">
        <f t="shared" si="589"/>
        <v>0</v>
      </c>
      <c r="GG341" s="58">
        <f t="shared" si="590"/>
        <v>0</v>
      </c>
      <c r="GH341" s="58">
        <f t="shared" si="591"/>
        <v>0</v>
      </c>
      <c r="GI341" s="58">
        <f t="shared" si="571"/>
        <v>0</v>
      </c>
      <c r="GK341" s="58">
        <f>IF(i_baseline_risk_from=2,'Effectiveness settings'!FA341,'Effectiveness settings'!FM341)</f>
        <v>0</v>
      </c>
      <c r="GL341" s="58">
        <f>IF(i_baseline_risk_from=2,'Effectiveness settings'!FB341,'Effectiveness settings'!FN341)</f>
        <v>0</v>
      </c>
      <c r="GM341" s="58">
        <f>IF(i_baseline_risk_from=2,'Effectiveness settings'!FC341,'Effectiveness settings'!FO341)</f>
        <v>0</v>
      </c>
      <c r="GN341" s="58">
        <f>IF(i_baseline_risk_from=2,'Effectiveness settings'!FD341,'Effectiveness settings'!FP341)</f>
        <v>0</v>
      </c>
      <c r="GQ341" s="58">
        <f t="shared" si="592"/>
        <v>0</v>
      </c>
      <c r="GR341" s="58">
        <f t="shared" si="593"/>
        <v>0</v>
      </c>
      <c r="GS341" s="58">
        <f t="shared" si="594"/>
        <v>0</v>
      </c>
      <c r="GT341" s="58">
        <f t="shared" si="595"/>
        <v>0</v>
      </c>
      <c r="GU341" s="58">
        <f>IF(AND(dd_CheckMate214_TTD="Yes",'Effectiveness settings'!BU341=2,'Effectiveness settings'!BX341=2),2,GT341)</f>
        <v>0</v>
      </c>
      <c r="GV341" s="58">
        <f t="shared" si="596"/>
        <v>0</v>
      </c>
      <c r="GW341" s="58">
        <f t="shared" si="597"/>
        <v>0</v>
      </c>
      <c r="GY341" s="58">
        <f>IF(AND(dd_CheckMate214_TTD="Yes",'Effectiveness settings'!BU341=2,'Effectiveness settings'!BX341=2),1,GN341)</f>
        <v>0</v>
      </c>
      <c r="GZ341" s="58">
        <f t="shared" si="598"/>
        <v>0</v>
      </c>
      <c r="HB341" s="58">
        <f t="shared" si="599"/>
        <v>0</v>
      </c>
      <c r="HD341" s="58">
        <f t="shared" si="566"/>
        <v>0</v>
      </c>
      <c r="HE341" s="58">
        <f t="shared" si="567"/>
        <v>0</v>
      </c>
      <c r="HF341" s="58">
        <f t="shared" si="568"/>
        <v>0</v>
      </c>
      <c r="HG341" s="58">
        <f t="shared" si="569"/>
        <v>0</v>
      </c>
      <c r="HH341" s="58">
        <f t="shared" si="570"/>
        <v>0</v>
      </c>
    </row>
    <row r="342" spans="3:216" ht="15.75" hidden="1" x14ac:dyDescent="0.25">
      <c r="I342" s="64"/>
      <c r="J342" s="519"/>
      <c r="K342" s="524"/>
      <c r="L342" s="519"/>
      <c r="M342" s="516"/>
      <c r="N342" s="64"/>
      <c r="O342" s="64"/>
      <c r="P342" s="64"/>
      <c r="Q342" s="519" t="s">
        <v>557</v>
      </c>
      <c r="R342" s="516"/>
      <c r="S342" s="497"/>
      <c r="T342" s="497"/>
      <c r="U342" s="497"/>
      <c r="X342" s="64"/>
      <c r="Y342" s="519"/>
      <c r="Z342" s="516"/>
      <c r="AA342" s="519"/>
      <c r="AB342" s="619"/>
      <c r="AC342" s="64"/>
      <c r="AD342" s="618"/>
      <c r="AE342" s="618"/>
      <c r="AF342" s="620"/>
      <c r="AG342" s="516"/>
      <c r="AH342" s="497"/>
      <c r="AI342" s="497"/>
      <c r="AJ342" s="497"/>
      <c r="AL342" s="64"/>
      <c r="AM342" s="519"/>
      <c r="AN342" s="516"/>
      <c r="AO342" s="620"/>
      <c r="AP342" s="619"/>
      <c r="AQ342" s="64"/>
      <c r="AR342" s="618"/>
      <c r="AS342" s="618"/>
      <c r="AT342" s="627"/>
      <c r="AU342" s="516"/>
      <c r="AV342" s="65"/>
      <c r="AW342" s="65"/>
      <c r="AX342" s="65"/>
      <c r="AZ342" s="64"/>
      <c r="BA342" s="519"/>
      <c r="BB342" s="516"/>
      <c r="BC342" s="620"/>
      <c r="BD342" s="619"/>
      <c r="BE342" s="64"/>
      <c r="BF342" s="618"/>
      <c r="BG342" s="618"/>
      <c r="BH342" s="627"/>
      <c r="BI342" s="516"/>
      <c r="BJ342" s="65"/>
      <c r="BK342" s="65"/>
      <c r="BL342" s="65"/>
      <c r="BQ342" s="58">
        <f t="shared" si="573"/>
        <v>210</v>
      </c>
      <c r="BR342" s="61"/>
      <c r="BS342" s="61"/>
      <c r="BT342" s="17"/>
      <c r="BU342" s="17"/>
      <c r="BV342" s="17"/>
      <c r="BW342" s="17"/>
      <c r="BX342" s="61"/>
      <c r="BY342" s="531"/>
      <c r="BZ342" s="530"/>
      <c r="CA342" s="531"/>
      <c r="CB342" s="530"/>
      <c r="CC342" s="530"/>
      <c r="CD342" s="530"/>
      <c r="CE342" s="1295"/>
      <c r="CF342" s="1301"/>
      <c r="CG342" s="530"/>
      <c r="CH342" s="61"/>
      <c r="CI342" s="61"/>
      <c r="CJ342" s="61"/>
      <c r="DK342" s="58" t="str" cm="1">
        <f t="array" ref="DK342">IF(AND($BT342=4,$BX342=4,$BU342=999),$DB$36,_xlfn.IFNA(INDEX(DB$13:DB$70,MATCH(1,($BR342=$CV$13:$CV$70)*($BT342=$CX$13:$CX$70)*($CE342=$CY$13:$CY$70)*($BY342=$DA$13:$DA$70)*($CD342=$DH$13:$DH$70),0)),""))</f>
        <v/>
      </c>
      <c r="DL342" s="58" t="str" cm="1">
        <f t="array" ref="DL342">IF(AND($BT342=4,$BX342=4,$BU342=999),$DC$36,_xlfn.IFNA(INDEX(CHOOSE(DP342,DB$13:DB$70,DC$13:DC$70,DD$13:DD$70,DE$13:DE$70),MATCH(1,($BR342=$CV$13:$CV$70)*($BT342=$CX$13:$CX$70)*($CE342=$CY$13:$CY$70)*($BY342=$DA$13:$DA$70)*($CD342=$DH$13:$DH$70),0)),""))</f>
        <v/>
      </c>
      <c r="DM342" s="740" t="str" cm="1">
        <f t="array" ref="DM342">IF(AND($BT342=4,$BX342=4,$BU342=999),$DD$36,_xlfn.IFNA(INDEX(DD$13:DD$68,MATCH(1,($BR342=$CV$13:$CV$68)*($BT342=$CX$13:$CX$68)*($CE342=$CY$13:$CY$68)*($BY342=$DA$13:$DA$68)*($CD342=$DH$13:$DH$68),0)),""))</f>
        <v/>
      </c>
      <c r="DN342" s="740" t="str" cm="1">
        <f t="array" ref="DN342">IF(AND($BT342=4,$BX342=4,$BU342=999),$DD$36,_xlfn.IFNA(INDEX(DE$13:DE$68,MATCH(1,($BR342=$CV$13:$CV$68)*($BT342=$CX$13:$CX$68)*($CE342=$CY$13:$CY$68)*($BY342=$DA$13:$DA$68)*($CD342=$DH$13:$DH$68),0)),""))</f>
        <v/>
      </c>
      <c r="DO342" s="58" t="str" cm="1">
        <f t="array" ref="DO342">IF(AND($BT342=4,$BX342=4,$BU342=999),$DF$36,_xlfn.IFNA(INDEX(DF$13:DF$70,MATCH(1,($BR342=$CV$13:$CV$70)*($BT342=$CX$13:$CX$70)*($CE342=$CY$13:$CY$70)*($BY342=$DA$13:$DA$70)*($CD342=$DH$13:$DH$70),0)),""))</f>
        <v/>
      </c>
      <c r="DP342" s="58" t="e">
        <f t="shared" si="574"/>
        <v>#N/A</v>
      </c>
      <c r="EU342" s="58">
        <f t="shared" si="552"/>
        <v>0</v>
      </c>
      <c r="EV342" s="58">
        <f t="shared" si="553"/>
        <v>0</v>
      </c>
      <c r="EW342" s="58">
        <f t="shared" si="554"/>
        <v>0</v>
      </c>
      <c r="EX342" s="58">
        <f t="shared" si="555"/>
        <v>0</v>
      </c>
      <c r="EZ342" s="58">
        <f t="shared" si="556"/>
        <v>0</v>
      </c>
      <c r="FA342" s="58">
        <f t="shared" si="557"/>
        <v>0</v>
      </c>
      <c r="FB342" s="58">
        <f>IF(i_eff_inputs_based_on_num=2,ED342,(INDEX(Lists!$L$51:$L$85,MATCH(O342,Lists!$K$51:$K$85,0))))</f>
        <v>0</v>
      </c>
      <c r="FC342" s="58">
        <f>IF(i_eff_inputs_based_on_num=2,EE342,(INDEX(Lists!$L$51:$L$85,MATCH(P342,Lists!$K$51:$K$85,0))))</f>
        <v>0</v>
      </c>
      <c r="FD342" s="58">
        <f>IF(i_eff_inputs_based_on_num=2,EF342,(INDEX(Lists!$L$51:$L$85,MATCH(Q342,Lists!$K$51:$K$85,0))))</f>
        <v>0</v>
      </c>
      <c r="FG342" s="58">
        <f t="shared" si="575"/>
        <v>0</v>
      </c>
      <c r="FH342" s="58">
        <f t="shared" si="576"/>
        <v>0</v>
      </c>
      <c r="FI342" s="58">
        <f t="shared" si="577"/>
        <v>0</v>
      </c>
      <c r="FJ342" s="58">
        <f t="shared" si="578"/>
        <v>0</v>
      </c>
      <c r="FL342" s="58">
        <f t="shared" si="579"/>
        <v>0</v>
      </c>
      <c r="FM342" s="58">
        <f t="shared" si="580"/>
        <v>0</v>
      </c>
      <c r="FN342" s="58">
        <f>IF(i_eff_inputs_based_on_num=2,EP342,(INDEX(Lists!$L$51:$L$85,MATCH(AA342,Lists!$K$51:$K$85,0))))</f>
        <v>0</v>
      </c>
      <c r="FO342" s="58">
        <f>IF(i_eff_inputs_based_on_num=2,EQ342,(INDEX(Lists!$L$51:$L$85,MATCH(AB342,Lists!$K$51:$K$85,0))))</f>
        <v>0</v>
      </c>
      <c r="FP342" s="58">
        <f>IF(i_eff_inputs_based_on_num=2,ER342,(INDEX(Lists!$L$51:$L$85,MATCH(AC342,Lists!$K$51:$K$85,0))))</f>
        <v>0</v>
      </c>
      <c r="FT342" s="58">
        <f t="shared" si="581"/>
        <v>0</v>
      </c>
      <c r="FW342" s="58">
        <f>IF(i_baseline_risk_from=2,'Effectiveness settings'!EW342,'Effectiveness settings'!FI342)</f>
        <v>0</v>
      </c>
      <c r="FX342" s="58">
        <f t="shared" si="582"/>
        <v>0</v>
      </c>
      <c r="FY342" s="58">
        <f t="shared" si="583"/>
        <v>0</v>
      </c>
      <c r="FZ342" s="58">
        <f t="shared" si="584"/>
        <v>0</v>
      </c>
      <c r="GA342" s="58">
        <f t="shared" si="585"/>
        <v>0</v>
      </c>
      <c r="GB342" s="58">
        <f t="shared" si="586"/>
        <v>0</v>
      </c>
      <c r="GC342" s="58">
        <f t="shared" si="587"/>
        <v>0</v>
      </c>
      <c r="GD342" s="58">
        <f t="shared" si="588"/>
        <v>0</v>
      </c>
      <c r="GE342" s="58">
        <f>IF(AND(dd_CheckMate214_TTD="Yes",'Effectiveness settings'!BU342=2,'Effectiveness settings'!BX342=2),"Apply HR to",GD342)</f>
        <v>0</v>
      </c>
      <c r="GF342" s="58">
        <f t="shared" si="589"/>
        <v>0</v>
      </c>
      <c r="GG342" s="58">
        <f t="shared" si="590"/>
        <v>0</v>
      </c>
      <c r="GH342" s="58">
        <f t="shared" si="591"/>
        <v>0</v>
      </c>
      <c r="GI342" s="58">
        <f t="shared" si="571"/>
        <v>0</v>
      </c>
      <c r="GK342" s="58">
        <f>IF(i_baseline_risk_from=2,'Effectiveness settings'!FA342,'Effectiveness settings'!FM342)</f>
        <v>0</v>
      </c>
      <c r="GL342" s="58">
        <f>IF(i_baseline_risk_from=2,'Effectiveness settings'!FB342,'Effectiveness settings'!FN342)</f>
        <v>0</v>
      </c>
      <c r="GM342" s="58">
        <f>IF(i_baseline_risk_from=2,'Effectiveness settings'!FC342,'Effectiveness settings'!FO342)</f>
        <v>0</v>
      </c>
      <c r="GN342" s="58">
        <f>IF(i_baseline_risk_from=2,'Effectiveness settings'!FD342,'Effectiveness settings'!FP342)</f>
        <v>0</v>
      </c>
      <c r="GQ342" s="58">
        <f t="shared" si="592"/>
        <v>0</v>
      </c>
      <c r="GR342" s="58">
        <f t="shared" si="593"/>
        <v>0</v>
      </c>
      <c r="GS342" s="58">
        <f t="shared" si="594"/>
        <v>0</v>
      </c>
      <c r="GT342" s="58">
        <f t="shared" si="595"/>
        <v>0</v>
      </c>
      <c r="GU342" s="58">
        <f>IF(AND(dd_CheckMate214_TTD="Yes",'Effectiveness settings'!BU342=2,'Effectiveness settings'!BX342=2),2,GT342)</f>
        <v>0</v>
      </c>
      <c r="GV342" s="58">
        <f t="shared" si="596"/>
        <v>0</v>
      </c>
      <c r="GW342" s="58">
        <f t="shared" si="597"/>
        <v>0</v>
      </c>
      <c r="GY342" s="58">
        <f>IF(AND(dd_CheckMate214_TTD="Yes",'Effectiveness settings'!BU342=2,'Effectiveness settings'!BX342=2),1,GN342)</f>
        <v>0</v>
      </c>
      <c r="GZ342" s="58">
        <f t="shared" si="598"/>
        <v>0</v>
      </c>
      <c r="HB342" s="58">
        <f t="shared" si="599"/>
        <v>0</v>
      </c>
      <c r="HD342" s="58">
        <f t="shared" si="566"/>
        <v>0</v>
      </c>
      <c r="HE342" s="58">
        <f t="shared" si="567"/>
        <v>0</v>
      </c>
      <c r="HF342" s="58">
        <f t="shared" si="568"/>
        <v>0</v>
      </c>
      <c r="HG342" s="58">
        <f t="shared" si="569"/>
        <v>0</v>
      </c>
      <c r="HH342" s="58">
        <f t="shared" si="570"/>
        <v>0</v>
      </c>
    </row>
    <row r="343" spans="3:216" ht="15.75" hidden="1" x14ac:dyDescent="0.25">
      <c r="I343" s="64"/>
      <c r="J343" s="519"/>
      <c r="K343" s="524"/>
      <c r="L343" s="519"/>
      <c r="M343" s="516"/>
      <c r="N343" s="64"/>
      <c r="O343" s="64"/>
      <c r="P343" s="64"/>
      <c r="Q343" s="519" t="s">
        <v>557</v>
      </c>
      <c r="R343" s="516"/>
      <c r="S343" s="497"/>
      <c r="T343" s="497"/>
      <c r="U343" s="497"/>
      <c r="X343" s="64"/>
      <c r="Y343" s="519"/>
      <c r="Z343" s="516"/>
      <c r="AA343" s="519"/>
      <c r="AB343" s="619"/>
      <c r="AC343" s="64"/>
      <c r="AD343" s="618"/>
      <c r="AE343" s="618"/>
      <c r="AF343" s="620"/>
      <c r="AG343" s="516"/>
      <c r="AH343" s="497"/>
      <c r="AI343" s="497"/>
      <c r="AJ343" s="497"/>
      <c r="AL343" s="64"/>
      <c r="AM343" s="519"/>
      <c r="AN343" s="516"/>
      <c r="AO343" s="620"/>
      <c r="AP343" s="619"/>
      <c r="AQ343" s="64"/>
      <c r="AR343" s="618"/>
      <c r="AS343" s="618"/>
      <c r="AT343" s="627"/>
      <c r="AU343" s="516"/>
      <c r="AV343" s="65"/>
      <c r="AW343" s="65"/>
      <c r="AX343" s="65"/>
      <c r="AZ343" s="64"/>
      <c r="BA343" s="519"/>
      <c r="BB343" s="516"/>
      <c r="BC343" s="620"/>
      <c r="BD343" s="619"/>
      <c r="BE343" s="64"/>
      <c r="BF343" s="618"/>
      <c r="BG343" s="618"/>
      <c r="BH343" s="627"/>
      <c r="BI343" s="516"/>
      <c r="BJ343" s="65"/>
      <c r="BK343" s="65"/>
      <c r="BL343" s="65"/>
      <c r="BQ343" s="58">
        <f t="shared" si="573"/>
        <v>210</v>
      </c>
      <c r="BR343" s="61"/>
      <c r="BS343" s="61"/>
      <c r="BT343" s="17"/>
      <c r="BU343" s="17"/>
      <c r="BV343" s="17"/>
      <c r="BW343" s="17"/>
      <c r="BX343" s="61"/>
      <c r="BY343" s="531"/>
      <c r="BZ343" s="530"/>
      <c r="CA343" s="531"/>
      <c r="CB343" s="530"/>
      <c r="CC343" s="530"/>
      <c r="CD343" s="530"/>
      <c r="CE343" s="1295"/>
      <c r="CF343" s="1301"/>
      <c r="CG343" s="530"/>
      <c r="CH343" s="61"/>
      <c r="CI343" s="61"/>
      <c r="CJ343" s="61"/>
      <c r="DK343" s="58" t="str" cm="1">
        <f t="array" ref="DK343">IF(AND($BT343=4,$BX343=4,$BU343=999),$DB$36,_xlfn.IFNA(INDEX(DB$13:DB$70,MATCH(1,($BR343=$CV$13:$CV$70)*($BT343=$CX$13:$CX$70)*($CE343=$CY$13:$CY$70)*($BY343=$DA$13:$DA$70)*($CD343=$DH$13:$DH$70),0)),""))</f>
        <v/>
      </c>
      <c r="DL343" s="58" t="str" cm="1">
        <f t="array" ref="DL343">IF(AND($BT343=4,$BX343=4,$BU343=999),$DC$36,_xlfn.IFNA(INDEX(CHOOSE(DP343,DB$13:DB$70,DC$13:DC$70,DD$13:DD$70,DE$13:DE$70),MATCH(1,($BR343=$CV$13:$CV$70)*($BT343=$CX$13:$CX$70)*($CE343=$CY$13:$CY$70)*($BY343=$DA$13:$DA$70)*($CD343=$DH$13:$DH$70),0)),""))</f>
        <v/>
      </c>
      <c r="DM343" s="740" t="str" cm="1">
        <f t="array" ref="DM343">IF(AND($BT343=4,$BX343=4,$BU343=999),$DD$36,_xlfn.IFNA(INDEX(DD$13:DD$68,MATCH(1,($BR343=$CV$13:$CV$68)*($BT343=$CX$13:$CX$68)*($CE343=$CY$13:$CY$68)*($BY343=$DA$13:$DA$68)*($CD343=$DH$13:$DH$68),0)),""))</f>
        <v/>
      </c>
      <c r="DN343" s="740" t="str" cm="1">
        <f t="array" ref="DN343">IF(AND($BT343=4,$BX343=4,$BU343=999),$DD$36,_xlfn.IFNA(INDEX(DE$13:DE$68,MATCH(1,($BR343=$CV$13:$CV$68)*($BT343=$CX$13:$CX$68)*($CE343=$CY$13:$CY$68)*($BY343=$DA$13:$DA$68)*($CD343=$DH$13:$DH$68),0)),""))</f>
        <v/>
      </c>
      <c r="DO343" s="58" t="str" cm="1">
        <f t="array" ref="DO343">IF(AND($BT343=4,$BX343=4,$BU343=999),$DF$36,_xlfn.IFNA(INDEX(DF$13:DF$70,MATCH(1,($BR343=$CV$13:$CV$70)*($BT343=$CX$13:$CX$70)*($CE343=$CY$13:$CY$70)*($BY343=$DA$13:$DA$70)*($CD343=$DH$13:$DH$70),0)),""))</f>
        <v/>
      </c>
      <c r="DP343" s="58" t="e">
        <f t="shared" si="574"/>
        <v>#N/A</v>
      </c>
      <c r="EU343" s="58">
        <f t="shared" si="552"/>
        <v>0</v>
      </c>
      <c r="EV343" s="58">
        <f t="shared" si="553"/>
        <v>0</v>
      </c>
      <c r="EW343" s="58">
        <f t="shared" si="554"/>
        <v>0</v>
      </c>
      <c r="EX343" s="58">
        <f t="shared" si="555"/>
        <v>0</v>
      </c>
      <c r="EZ343" s="58">
        <f t="shared" si="556"/>
        <v>0</v>
      </c>
      <c r="FA343" s="58">
        <f t="shared" si="557"/>
        <v>0</v>
      </c>
      <c r="FB343" s="58">
        <f>IF(i_eff_inputs_based_on_num=2,ED343,(INDEX(Lists!$L$51:$L$85,MATCH(O343,Lists!$K$51:$K$85,0))))</f>
        <v>0</v>
      </c>
      <c r="FC343" s="58">
        <f>IF(i_eff_inputs_based_on_num=2,EE343,(INDEX(Lists!$L$51:$L$85,MATCH(P343,Lists!$K$51:$K$85,0))))</f>
        <v>0</v>
      </c>
      <c r="FD343" s="58">
        <f>IF(i_eff_inputs_based_on_num=2,EF343,(INDEX(Lists!$L$51:$L$85,MATCH(Q343,Lists!$K$51:$K$85,0))))</f>
        <v>0</v>
      </c>
      <c r="FG343" s="58">
        <f t="shared" si="575"/>
        <v>0</v>
      </c>
      <c r="FH343" s="58">
        <f t="shared" si="576"/>
        <v>0</v>
      </c>
      <c r="FI343" s="58">
        <f t="shared" si="577"/>
        <v>0</v>
      </c>
      <c r="FJ343" s="58">
        <f t="shared" si="578"/>
        <v>0</v>
      </c>
      <c r="FL343" s="58">
        <f t="shared" si="579"/>
        <v>0</v>
      </c>
      <c r="FM343" s="58">
        <f t="shared" si="580"/>
        <v>0</v>
      </c>
      <c r="FN343" s="58">
        <f>IF(i_eff_inputs_based_on_num=2,EP343,(INDEX(Lists!$L$51:$L$85,MATCH(AA343,Lists!$K$51:$K$85,0))))</f>
        <v>0</v>
      </c>
      <c r="FO343" s="58">
        <f>IF(i_eff_inputs_based_on_num=2,EQ343,(INDEX(Lists!$L$51:$L$85,MATCH(AB343,Lists!$K$51:$K$85,0))))</f>
        <v>0</v>
      </c>
      <c r="FP343" s="58">
        <f>IF(i_eff_inputs_based_on_num=2,ER343,(INDEX(Lists!$L$51:$L$85,MATCH(AC343,Lists!$K$51:$K$85,0))))</f>
        <v>0</v>
      </c>
      <c r="FT343" s="58">
        <f t="shared" si="581"/>
        <v>0</v>
      </c>
      <c r="FW343" s="58">
        <f>IF(i_baseline_risk_from=2,'Effectiveness settings'!EW343,'Effectiveness settings'!FI343)</f>
        <v>0</v>
      </c>
      <c r="FX343" s="58">
        <f t="shared" si="582"/>
        <v>0</v>
      </c>
      <c r="FY343" s="58">
        <f t="shared" si="583"/>
        <v>0</v>
      </c>
      <c r="FZ343" s="58">
        <f t="shared" si="584"/>
        <v>0</v>
      </c>
      <c r="GA343" s="58">
        <f t="shared" si="585"/>
        <v>0</v>
      </c>
      <c r="GB343" s="58">
        <f t="shared" si="586"/>
        <v>0</v>
      </c>
      <c r="GC343" s="58">
        <f t="shared" si="587"/>
        <v>0</v>
      </c>
      <c r="GD343" s="58">
        <f t="shared" si="588"/>
        <v>0</v>
      </c>
      <c r="GE343" s="58">
        <f>IF(AND(dd_CheckMate214_TTD="Yes",'Effectiveness settings'!BU343=2,'Effectiveness settings'!BX343=2),"Apply HR to",GD343)</f>
        <v>0</v>
      </c>
      <c r="GF343" s="58">
        <f t="shared" si="589"/>
        <v>0</v>
      </c>
      <c r="GG343" s="58">
        <f t="shared" si="590"/>
        <v>0</v>
      </c>
      <c r="GH343" s="58">
        <f t="shared" si="591"/>
        <v>0</v>
      </c>
      <c r="GI343" s="58">
        <f t="shared" si="571"/>
        <v>0</v>
      </c>
      <c r="GK343" s="58">
        <f>IF(i_baseline_risk_from=2,'Effectiveness settings'!FA343,'Effectiveness settings'!FM343)</f>
        <v>0</v>
      </c>
      <c r="GL343" s="58">
        <f>IF(i_baseline_risk_from=2,'Effectiveness settings'!FB343,'Effectiveness settings'!FN343)</f>
        <v>0</v>
      </c>
      <c r="GM343" s="58">
        <f>IF(i_baseline_risk_from=2,'Effectiveness settings'!FC343,'Effectiveness settings'!FO343)</f>
        <v>0</v>
      </c>
      <c r="GN343" s="58">
        <f>IF(i_baseline_risk_from=2,'Effectiveness settings'!FD343,'Effectiveness settings'!FP343)</f>
        <v>0</v>
      </c>
      <c r="GQ343" s="58">
        <f t="shared" si="592"/>
        <v>0</v>
      </c>
      <c r="GR343" s="58">
        <f t="shared" si="593"/>
        <v>0</v>
      </c>
      <c r="GS343" s="58">
        <f t="shared" si="594"/>
        <v>0</v>
      </c>
      <c r="GT343" s="58">
        <f t="shared" si="595"/>
        <v>0</v>
      </c>
      <c r="GU343" s="58">
        <f>IF(AND(dd_CheckMate214_TTD="Yes",'Effectiveness settings'!BU343=2,'Effectiveness settings'!BX343=2),2,GT343)</f>
        <v>0</v>
      </c>
      <c r="GV343" s="58">
        <f t="shared" si="596"/>
        <v>0</v>
      </c>
      <c r="GW343" s="58">
        <f t="shared" si="597"/>
        <v>0</v>
      </c>
      <c r="GY343" s="58">
        <f>IF(AND(dd_CheckMate214_TTD="Yes",'Effectiveness settings'!BU343=2,'Effectiveness settings'!BX343=2),1,GN343)</f>
        <v>0</v>
      </c>
      <c r="GZ343" s="58">
        <f t="shared" si="598"/>
        <v>0</v>
      </c>
      <c r="HB343" s="58">
        <f t="shared" si="599"/>
        <v>0</v>
      </c>
      <c r="HD343" s="58">
        <f t="shared" si="566"/>
        <v>0</v>
      </c>
      <c r="HE343" s="58">
        <f t="shared" si="567"/>
        <v>0</v>
      </c>
      <c r="HF343" s="58">
        <f t="shared" si="568"/>
        <v>0</v>
      </c>
      <c r="HG343" s="58">
        <f t="shared" si="569"/>
        <v>0</v>
      </c>
      <c r="HH343" s="58">
        <f t="shared" si="570"/>
        <v>0</v>
      </c>
    </row>
    <row r="344" spans="3:216" ht="15.75" hidden="1" x14ac:dyDescent="0.25">
      <c r="I344" s="64"/>
      <c r="J344" s="519"/>
      <c r="K344" s="524"/>
      <c r="L344" s="519"/>
      <c r="M344" s="516"/>
      <c r="N344" s="64"/>
      <c r="O344" s="64"/>
      <c r="P344" s="64"/>
      <c r="Q344" s="519" t="s">
        <v>557</v>
      </c>
      <c r="R344" s="516"/>
      <c r="S344" s="497"/>
      <c r="T344" s="497"/>
      <c r="U344" s="497"/>
      <c r="X344" s="64"/>
      <c r="Y344" s="519"/>
      <c r="Z344" s="516"/>
      <c r="AA344" s="519"/>
      <c r="AB344" s="619"/>
      <c r="AC344" s="64"/>
      <c r="AD344" s="618"/>
      <c r="AE344" s="618"/>
      <c r="AF344" s="620"/>
      <c r="AG344" s="516"/>
      <c r="AH344" s="497"/>
      <c r="AI344" s="497"/>
      <c r="AJ344" s="497"/>
      <c r="AL344" s="64"/>
      <c r="AM344" s="519"/>
      <c r="AN344" s="516"/>
      <c r="AO344" s="620"/>
      <c r="AP344" s="619"/>
      <c r="AQ344" s="64"/>
      <c r="AR344" s="618"/>
      <c r="AS344" s="618"/>
      <c r="AT344" s="627"/>
      <c r="AU344" s="516"/>
      <c r="AV344" s="65"/>
      <c r="AW344" s="65"/>
      <c r="AX344" s="65"/>
      <c r="AZ344" s="64"/>
      <c r="BA344" s="519"/>
      <c r="BB344" s="516"/>
      <c r="BC344" s="620"/>
      <c r="BD344" s="619"/>
      <c r="BE344" s="64"/>
      <c r="BF344" s="618"/>
      <c r="BG344" s="618"/>
      <c r="BH344" s="627"/>
      <c r="BI344" s="516"/>
      <c r="BJ344" s="65"/>
      <c r="BK344" s="65"/>
      <c r="BL344" s="65"/>
      <c r="BQ344" s="58">
        <f t="shared" si="573"/>
        <v>210</v>
      </c>
      <c r="BR344" s="61"/>
      <c r="BS344" s="61"/>
      <c r="BT344" s="17"/>
      <c r="BU344" s="17"/>
      <c r="BV344" s="17"/>
      <c r="BW344" s="17"/>
      <c r="BX344" s="61"/>
      <c r="BY344" s="531"/>
      <c r="BZ344" s="530"/>
      <c r="CA344" s="531"/>
      <c r="CB344" s="530"/>
      <c r="CC344" s="530"/>
      <c r="CD344" s="530"/>
      <c r="CE344" s="1295"/>
      <c r="CF344" s="1301"/>
      <c r="CG344" s="530"/>
      <c r="CH344" s="61"/>
      <c r="CI344" s="61"/>
      <c r="CJ344" s="61"/>
      <c r="DK344" s="58" t="str" cm="1">
        <f t="array" ref="DK344">IF(AND($BT344=4,$BX344=4,$BU344=999),$DB$36,_xlfn.IFNA(INDEX(DB$13:DB$70,MATCH(1,($BR344=$CV$13:$CV$70)*($BT344=$CX$13:$CX$70)*($CE344=$CY$13:$CY$70)*($BY344=$DA$13:$DA$70)*($CD344=$DH$13:$DH$70),0)),""))</f>
        <v/>
      </c>
      <c r="DL344" s="58" t="str" cm="1">
        <f t="array" ref="DL344">IF(AND($BT344=4,$BX344=4,$BU344=999),$DC$36,_xlfn.IFNA(INDEX(CHOOSE(DP344,DB$13:DB$70,DC$13:DC$70,DD$13:DD$70,DE$13:DE$70),MATCH(1,($BR344=$CV$13:$CV$70)*($BT344=$CX$13:$CX$70)*($CE344=$CY$13:$CY$70)*($BY344=$DA$13:$DA$70)*($CD344=$DH$13:$DH$70),0)),""))</f>
        <v/>
      </c>
      <c r="DM344" s="740" t="str" cm="1">
        <f t="array" ref="DM344">IF(AND($BT344=4,$BX344=4,$BU344=999),$DD$36,_xlfn.IFNA(INDEX(DD$13:DD$68,MATCH(1,($BR344=$CV$13:$CV$68)*($BT344=$CX$13:$CX$68)*($CE344=$CY$13:$CY$68)*($BY344=$DA$13:$DA$68)*($CD344=$DH$13:$DH$68),0)),""))</f>
        <v/>
      </c>
      <c r="DN344" s="740" t="str" cm="1">
        <f t="array" ref="DN344">IF(AND($BT344=4,$BX344=4,$BU344=999),$DD$36,_xlfn.IFNA(INDEX(DE$13:DE$68,MATCH(1,($BR344=$CV$13:$CV$68)*($BT344=$CX$13:$CX$68)*($CE344=$CY$13:$CY$68)*($BY344=$DA$13:$DA$68)*($CD344=$DH$13:$DH$68),0)),""))</f>
        <v/>
      </c>
      <c r="DO344" s="58" t="str" cm="1">
        <f t="array" ref="DO344">IF(AND($BT344=4,$BX344=4,$BU344=999),$DF$36,_xlfn.IFNA(INDEX(DF$13:DF$70,MATCH(1,($BR344=$CV$13:$CV$70)*($BT344=$CX$13:$CX$70)*($CE344=$CY$13:$CY$70)*($BY344=$DA$13:$DA$70)*($CD344=$DH$13:$DH$70),0)),""))</f>
        <v/>
      </c>
      <c r="DP344" s="58" t="e">
        <f t="shared" si="574"/>
        <v>#N/A</v>
      </c>
      <c r="EU344" s="58">
        <f t="shared" si="552"/>
        <v>0</v>
      </c>
      <c r="EV344" s="58">
        <f t="shared" si="553"/>
        <v>0</v>
      </c>
      <c r="EW344" s="58">
        <f t="shared" si="554"/>
        <v>0</v>
      </c>
      <c r="EX344" s="58">
        <f t="shared" si="555"/>
        <v>0</v>
      </c>
      <c r="EZ344" s="58">
        <f t="shared" si="556"/>
        <v>0</v>
      </c>
      <c r="FA344" s="58">
        <f t="shared" si="557"/>
        <v>0</v>
      </c>
      <c r="FB344" s="58">
        <f>IF(i_eff_inputs_based_on_num=2,ED344,(INDEX(Lists!$L$51:$L$85,MATCH(O344,Lists!$K$51:$K$85,0))))</f>
        <v>0</v>
      </c>
      <c r="FC344" s="58">
        <f>IF(i_eff_inputs_based_on_num=2,EE344,(INDEX(Lists!$L$51:$L$85,MATCH(P344,Lists!$K$51:$K$85,0))))</f>
        <v>0</v>
      </c>
      <c r="FD344" s="58">
        <f>IF(i_eff_inputs_based_on_num=2,EF344,(INDEX(Lists!$L$51:$L$85,MATCH(Q344,Lists!$K$51:$K$85,0))))</f>
        <v>0</v>
      </c>
      <c r="FG344" s="58">
        <f t="shared" si="575"/>
        <v>0</v>
      </c>
      <c r="FH344" s="58">
        <f t="shared" si="576"/>
        <v>0</v>
      </c>
      <c r="FI344" s="58">
        <f t="shared" si="577"/>
        <v>0</v>
      </c>
      <c r="FJ344" s="58">
        <f t="shared" si="578"/>
        <v>0</v>
      </c>
      <c r="FL344" s="58">
        <f t="shared" si="579"/>
        <v>0</v>
      </c>
      <c r="FM344" s="58">
        <f t="shared" si="580"/>
        <v>0</v>
      </c>
      <c r="FN344" s="58">
        <f>IF(i_eff_inputs_based_on_num=2,EP344,(INDEX(Lists!$L$51:$L$85,MATCH(AA344,Lists!$K$51:$K$85,0))))</f>
        <v>0</v>
      </c>
      <c r="FO344" s="58">
        <f>IF(i_eff_inputs_based_on_num=2,EQ344,(INDEX(Lists!$L$51:$L$85,MATCH(AB344,Lists!$K$51:$K$85,0))))</f>
        <v>0</v>
      </c>
      <c r="FP344" s="58">
        <f>IF(i_eff_inputs_based_on_num=2,ER344,(INDEX(Lists!$L$51:$L$85,MATCH(AC344,Lists!$K$51:$K$85,0))))</f>
        <v>0</v>
      </c>
      <c r="FT344" s="58">
        <f t="shared" si="581"/>
        <v>0</v>
      </c>
      <c r="FW344" s="58">
        <f>IF(i_baseline_risk_from=2,'Effectiveness settings'!EW344,'Effectiveness settings'!FI344)</f>
        <v>0</v>
      </c>
      <c r="FX344" s="58">
        <f t="shared" si="582"/>
        <v>0</v>
      </c>
      <c r="FY344" s="58">
        <f t="shared" si="583"/>
        <v>0</v>
      </c>
      <c r="FZ344" s="58">
        <f t="shared" si="584"/>
        <v>0</v>
      </c>
      <c r="GA344" s="58">
        <f t="shared" si="585"/>
        <v>0</v>
      </c>
      <c r="GB344" s="58">
        <f t="shared" si="586"/>
        <v>0</v>
      </c>
      <c r="GC344" s="58">
        <f t="shared" si="587"/>
        <v>0</v>
      </c>
      <c r="GD344" s="58">
        <f t="shared" si="588"/>
        <v>0</v>
      </c>
      <c r="GE344" s="58">
        <f>IF(AND(dd_CheckMate214_TTD="Yes",'Effectiveness settings'!BU344=2,'Effectiveness settings'!BX344=2),"Apply HR to",GD344)</f>
        <v>0</v>
      </c>
      <c r="GF344" s="58">
        <f t="shared" si="589"/>
        <v>0</v>
      </c>
      <c r="GG344" s="58">
        <f t="shared" si="590"/>
        <v>0</v>
      </c>
      <c r="GH344" s="58">
        <f t="shared" si="591"/>
        <v>0</v>
      </c>
      <c r="GI344" s="58">
        <f t="shared" si="571"/>
        <v>0</v>
      </c>
      <c r="GK344" s="58">
        <f>IF(i_baseline_risk_from=2,'Effectiveness settings'!FA344,'Effectiveness settings'!FM344)</f>
        <v>0</v>
      </c>
      <c r="GL344" s="58">
        <f>IF(i_baseline_risk_from=2,'Effectiveness settings'!FB344,'Effectiveness settings'!FN344)</f>
        <v>0</v>
      </c>
      <c r="GM344" s="58">
        <f>IF(i_baseline_risk_from=2,'Effectiveness settings'!FC344,'Effectiveness settings'!FO344)</f>
        <v>0</v>
      </c>
      <c r="GN344" s="58">
        <f>IF(i_baseline_risk_from=2,'Effectiveness settings'!FD344,'Effectiveness settings'!FP344)</f>
        <v>0</v>
      </c>
      <c r="GQ344" s="58">
        <f t="shared" si="592"/>
        <v>0</v>
      </c>
      <c r="GR344" s="58">
        <f t="shared" si="593"/>
        <v>0</v>
      </c>
      <c r="GS344" s="58">
        <f t="shared" si="594"/>
        <v>0</v>
      </c>
      <c r="GT344" s="58">
        <f t="shared" si="595"/>
        <v>0</v>
      </c>
      <c r="GU344" s="58">
        <f>IF(AND(dd_CheckMate214_TTD="Yes",'Effectiveness settings'!BU344=2,'Effectiveness settings'!BX344=2),2,GT344)</f>
        <v>0</v>
      </c>
      <c r="GV344" s="58">
        <f t="shared" si="596"/>
        <v>0</v>
      </c>
      <c r="GW344" s="58">
        <f t="shared" si="597"/>
        <v>0</v>
      </c>
      <c r="GY344" s="58">
        <f>IF(AND(dd_CheckMate214_TTD="Yes",'Effectiveness settings'!BU344=2,'Effectiveness settings'!BX344=2),1,GN344)</f>
        <v>0</v>
      </c>
      <c r="GZ344" s="58">
        <f t="shared" si="598"/>
        <v>0</v>
      </c>
      <c r="HB344" s="58">
        <f t="shared" si="599"/>
        <v>0</v>
      </c>
      <c r="HD344" s="58">
        <f t="shared" si="566"/>
        <v>0</v>
      </c>
      <c r="HE344" s="58">
        <f t="shared" si="567"/>
        <v>0</v>
      </c>
      <c r="HF344" s="58">
        <f t="shared" si="568"/>
        <v>0</v>
      </c>
      <c r="HG344" s="58">
        <f t="shared" si="569"/>
        <v>0</v>
      </c>
      <c r="HH344" s="58">
        <f t="shared" si="570"/>
        <v>0</v>
      </c>
    </row>
    <row r="345" spans="3:216" ht="15.75" hidden="1" x14ac:dyDescent="0.25">
      <c r="I345" s="64"/>
      <c r="J345" s="519"/>
      <c r="K345" s="524"/>
      <c r="L345" s="519"/>
      <c r="M345" s="516"/>
      <c r="N345" s="64"/>
      <c r="O345" s="64"/>
      <c r="P345" s="64"/>
      <c r="Q345" s="519" t="s">
        <v>557</v>
      </c>
      <c r="R345" s="516"/>
      <c r="S345" s="497"/>
      <c r="T345" s="497"/>
      <c r="U345" s="497"/>
      <c r="X345" s="64"/>
      <c r="Y345" s="519"/>
      <c r="Z345" s="516"/>
      <c r="AA345" s="519"/>
      <c r="AB345" s="619"/>
      <c r="AC345" s="64"/>
      <c r="AD345" s="618"/>
      <c r="AE345" s="618"/>
      <c r="AF345" s="620"/>
      <c r="AG345" s="516"/>
      <c r="AH345" s="497"/>
      <c r="AI345" s="497"/>
      <c r="AJ345" s="497"/>
      <c r="AL345" s="64"/>
      <c r="AM345" s="519"/>
      <c r="AN345" s="516"/>
      <c r="AO345" s="620"/>
      <c r="AP345" s="619"/>
      <c r="AQ345" s="64"/>
      <c r="AR345" s="618"/>
      <c r="AS345" s="618"/>
      <c r="AT345" s="627"/>
      <c r="AU345" s="516"/>
      <c r="AV345" s="65"/>
      <c r="AW345" s="65"/>
      <c r="AX345" s="65"/>
      <c r="AZ345" s="64"/>
      <c r="BA345" s="519"/>
      <c r="BB345" s="516"/>
      <c r="BC345" s="620"/>
      <c r="BD345" s="619"/>
      <c r="BE345" s="64"/>
      <c r="BF345" s="618"/>
      <c r="BG345" s="618"/>
      <c r="BH345" s="627"/>
      <c r="BI345" s="516"/>
      <c r="BJ345" s="65"/>
      <c r="BK345" s="65"/>
      <c r="BL345" s="65"/>
      <c r="BQ345" s="58">
        <f t="shared" si="573"/>
        <v>210</v>
      </c>
      <c r="BR345" s="61"/>
      <c r="BS345" s="61"/>
      <c r="BT345" s="17"/>
      <c r="BU345" s="17"/>
      <c r="BV345" s="17"/>
      <c r="BW345" s="17"/>
      <c r="BX345" s="61"/>
      <c r="BY345" s="531"/>
      <c r="BZ345" s="530"/>
      <c r="CA345" s="531"/>
      <c r="CB345" s="530"/>
      <c r="CC345" s="530"/>
      <c r="CD345" s="530"/>
      <c r="CE345" s="1295"/>
      <c r="CF345" s="1301"/>
      <c r="CG345" s="530"/>
      <c r="CH345" s="61"/>
      <c r="CI345" s="61"/>
      <c r="CJ345" s="61"/>
      <c r="DK345" s="58" t="str" cm="1">
        <f t="array" ref="DK345">IF(AND($BT345=4,$BX345=4,$BU345=999),$DB$36,_xlfn.IFNA(INDEX(DB$13:DB$70,MATCH(1,($BR345=$CV$13:$CV$70)*($BT345=$CX$13:$CX$70)*($CE345=$CY$13:$CY$70)*($BY345=$DA$13:$DA$70)*($CD345=$DH$13:$DH$70),0)),""))</f>
        <v/>
      </c>
      <c r="DL345" s="58" t="str" cm="1">
        <f t="array" ref="DL345">IF(AND($BT345=4,$BX345=4,$BU345=999),$DC$36,_xlfn.IFNA(INDEX(CHOOSE(DP345,DB$13:DB$70,DC$13:DC$70,DD$13:DD$70,DE$13:DE$70),MATCH(1,($BR345=$CV$13:$CV$70)*($BT345=$CX$13:$CX$70)*($CE345=$CY$13:$CY$70)*($BY345=$DA$13:$DA$70)*($CD345=$DH$13:$DH$70),0)),""))</f>
        <v/>
      </c>
      <c r="DM345" s="740" t="str" cm="1">
        <f t="array" ref="DM345">IF(AND($BT345=4,$BX345=4,$BU345=999),$DD$36,_xlfn.IFNA(INDEX(DD$13:DD$68,MATCH(1,($BR345=$CV$13:$CV$68)*($BT345=$CX$13:$CX$68)*($CE345=$CY$13:$CY$68)*($BY345=$DA$13:$DA$68)*($CD345=$DH$13:$DH$68),0)),""))</f>
        <v/>
      </c>
      <c r="DN345" s="740" t="str" cm="1">
        <f t="array" ref="DN345">IF(AND($BT345=4,$BX345=4,$BU345=999),$DD$36,_xlfn.IFNA(INDEX(DE$13:DE$68,MATCH(1,($BR345=$CV$13:$CV$68)*($BT345=$CX$13:$CX$68)*($CE345=$CY$13:$CY$68)*($BY345=$DA$13:$DA$68)*($CD345=$DH$13:$DH$68),0)),""))</f>
        <v/>
      </c>
      <c r="DO345" s="58" t="str" cm="1">
        <f t="array" ref="DO345">IF(AND($BT345=4,$BX345=4,$BU345=999),$DF$36,_xlfn.IFNA(INDEX(DF$13:DF$70,MATCH(1,($BR345=$CV$13:$CV$70)*($BT345=$CX$13:$CX$70)*($CE345=$CY$13:$CY$70)*($BY345=$DA$13:$DA$70)*($CD345=$DH$13:$DH$70),0)),""))</f>
        <v/>
      </c>
      <c r="DP345" s="58" t="e">
        <f t="shared" si="574"/>
        <v>#N/A</v>
      </c>
      <c r="EU345" s="58">
        <f t="shared" si="552"/>
        <v>0</v>
      </c>
      <c r="EV345" s="58">
        <f t="shared" si="553"/>
        <v>0</v>
      </c>
      <c r="EW345" s="58">
        <f t="shared" si="554"/>
        <v>0</v>
      </c>
      <c r="EX345" s="58">
        <f t="shared" si="555"/>
        <v>0</v>
      </c>
      <c r="EZ345" s="58">
        <f t="shared" si="556"/>
        <v>0</v>
      </c>
      <c r="FA345" s="58">
        <f t="shared" si="557"/>
        <v>0</v>
      </c>
      <c r="FB345" s="58">
        <f>IF(i_eff_inputs_based_on_num=2,ED345,(INDEX(Lists!$L$51:$L$85,MATCH(O345,Lists!$K$51:$K$85,0))))</f>
        <v>0</v>
      </c>
      <c r="FC345" s="58">
        <f>IF(i_eff_inputs_based_on_num=2,EE345,(INDEX(Lists!$L$51:$L$85,MATCH(P345,Lists!$K$51:$K$85,0))))</f>
        <v>0</v>
      </c>
      <c r="FD345" s="58">
        <f>IF(i_eff_inputs_based_on_num=2,EF345,(INDEX(Lists!$L$51:$L$85,MATCH(Q345,Lists!$K$51:$K$85,0))))</f>
        <v>0</v>
      </c>
      <c r="FG345" s="58">
        <f t="shared" si="575"/>
        <v>0</v>
      </c>
      <c r="FH345" s="58">
        <f t="shared" si="576"/>
        <v>0</v>
      </c>
      <c r="FI345" s="58">
        <f t="shared" si="577"/>
        <v>0</v>
      </c>
      <c r="FJ345" s="58">
        <f t="shared" si="578"/>
        <v>0</v>
      </c>
      <c r="FL345" s="58">
        <f t="shared" si="579"/>
        <v>0</v>
      </c>
      <c r="FM345" s="58">
        <f t="shared" si="580"/>
        <v>0</v>
      </c>
      <c r="FN345" s="58">
        <f>IF(i_eff_inputs_based_on_num=2,EP345,(INDEX(Lists!$L$51:$L$85,MATCH(AA345,Lists!$K$51:$K$85,0))))</f>
        <v>0</v>
      </c>
      <c r="FO345" s="58">
        <f>IF(i_eff_inputs_based_on_num=2,EQ345,(INDEX(Lists!$L$51:$L$85,MATCH(AB345,Lists!$K$51:$K$85,0))))</f>
        <v>0</v>
      </c>
      <c r="FP345" s="58">
        <f>IF(i_eff_inputs_based_on_num=2,ER345,(INDEX(Lists!$L$51:$L$85,MATCH(AC345,Lists!$K$51:$K$85,0))))</f>
        <v>0</v>
      </c>
      <c r="FT345" s="58">
        <f t="shared" si="581"/>
        <v>0</v>
      </c>
      <c r="FW345" s="58">
        <f>IF(i_baseline_risk_from=2,'Effectiveness settings'!EW345,'Effectiveness settings'!FI345)</f>
        <v>0</v>
      </c>
      <c r="FX345" s="58">
        <f t="shared" si="582"/>
        <v>0</v>
      </c>
      <c r="FY345" s="58">
        <f t="shared" si="583"/>
        <v>0</v>
      </c>
      <c r="FZ345" s="58">
        <f t="shared" si="584"/>
        <v>0</v>
      </c>
      <c r="GA345" s="58">
        <f t="shared" si="585"/>
        <v>0</v>
      </c>
      <c r="GB345" s="58">
        <f t="shared" si="586"/>
        <v>0</v>
      </c>
      <c r="GC345" s="58">
        <f t="shared" si="587"/>
        <v>0</v>
      </c>
      <c r="GD345" s="58">
        <f t="shared" si="588"/>
        <v>0</v>
      </c>
      <c r="GE345" s="58">
        <f>IF(AND(dd_CheckMate214_TTD="Yes",'Effectiveness settings'!BU345=2,'Effectiveness settings'!BX345=2),"Apply HR to",GD345)</f>
        <v>0</v>
      </c>
      <c r="GF345" s="58">
        <f t="shared" si="589"/>
        <v>0</v>
      </c>
      <c r="GG345" s="58">
        <f t="shared" si="590"/>
        <v>0</v>
      </c>
      <c r="GH345" s="58">
        <f t="shared" si="591"/>
        <v>0</v>
      </c>
      <c r="GI345" s="58">
        <f t="shared" si="571"/>
        <v>0</v>
      </c>
      <c r="GK345" s="58">
        <f>IF(i_baseline_risk_from=2,'Effectiveness settings'!FA345,'Effectiveness settings'!FM345)</f>
        <v>0</v>
      </c>
      <c r="GL345" s="58">
        <f>IF(i_baseline_risk_from=2,'Effectiveness settings'!FB345,'Effectiveness settings'!FN345)</f>
        <v>0</v>
      </c>
      <c r="GM345" s="58">
        <f>IF(i_baseline_risk_from=2,'Effectiveness settings'!FC345,'Effectiveness settings'!FO345)</f>
        <v>0</v>
      </c>
      <c r="GN345" s="58">
        <f>IF(i_baseline_risk_from=2,'Effectiveness settings'!FD345,'Effectiveness settings'!FP345)</f>
        <v>0</v>
      </c>
      <c r="GQ345" s="58">
        <f t="shared" si="592"/>
        <v>0</v>
      </c>
      <c r="GR345" s="58">
        <f t="shared" si="593"/>
        <v>0</v>
      </c>
      <c r="GS345" s="58">
        <f t="shared" si="594"/>
        <v>0</v>
      </c>
      <c r="GT345" s="58">
        <f t="shared" si="595"/>
        <v>0</v>
      </c>
      <c r="GU345" s="58">
        <f>IF(AND(dd_CheckMate214_TTD="Yes",'Effectiveness settings'!BU345=2,'Effectiveness settings'!BX345=2),2,GT345)</f>
        <v>0</v>
      </c>
      <c r="GV345" s="58">
        <f t="shared" si="596"/>
        <v>0</v>
      </c>
      <c r="GW345" s="58">
        <f t="shared" si="597"/>
        <v>0</v>
      </c>
      <c r="GY345" s="58">
        <f>IF(AND(dd_CheckMate214_TTD="Yes",'Effectiveness settings'!BU345=2,'Effectiveness settings'!BX345=2),1,GN345)</f>
        <v>0</v>
      </c>
      <c r="GZ345" s="58">
        <f t="shared" si="598"/>
        <v>0</v>
      </c>
      <c r="HB345" s="58">
        <f t="shared" si="599"/>
        <v>0</v>
      </c>
      <c r="HD345" s="58">
        <f t="shared" si="566"/>
        <v>0</v>
      </c>
      <c r="HE345" s="58">
        <f t="shared" si="567"/>
        <v>0</v>
      </c>
      <c r="HF345" s="58">
        <f t="shared" si="568"/>
        <v>0</v>
      </c>
      <c r="HG345" s="58">
        <f t="shared" si="569"/>
        <v>0</v>
      </c>
      <c r="HH345" s="58">
        <f t="shared" si="570"/>
        <v>0</v>
      </c>
    </row>
    <row r="346" spans="3:216" ht="15.75" hidden="1" x14ac:dyDescent="0.25">
      <c r="I346" s="64"/>
      <c r="J346" s="519"/>
      <c r="K346" s="524"/>
      <c r="L346" s="519"/>
      <c r="M346" s="516"/>
      <c r="N346" s="64"/>
      <c r="O346" s="64"/>
      <c r="P346" s="64"/>
      <c r="Q346" s="519" t="s">
        <v>557</v>
      </c>
      <c r="R346" s="516"/>
      <c r="S346" s="497"/>
      <c r="T346" s="497"/>
      <c r="U346" s="497"/>
      <c r="X346" s="64"/>
      <c r="Y346" s="519"/>
      <c r="Z346" s="516"/>
      <c r="AA346" s="519"/>
      <c r="AB346" s="619"/>
      <c r="AC346" s="64"/>
      <c r="AD346" s="618"/>
      <c r="AE346" s="618"/>
      <c r="AF346" s="620"/>
      <c r="AG346" s="516"/>
      <c r="AH346" s="497"/>
      <c r="AI346" s="497"/>
      <c r="AJ346" s="497"/>
      <c r="AL346" s="64"/>
      <c r="AM346" s="519"/>
      <c r="AN346" s="516"/>
      <c r="AO346" s="620"/>
      <c r="AP346" s="619"/>
      <c r="AQ346" s="64"/>
      <c r="AR346" s="618"/>
      <c r="AS346" s="618"/>
      <c r="AT346" s="627"/>
      <c r="AU346" s="516"/>
      <c r="AV346" s="65"/>
      <c r="AW346" s="65"/>
      <c r="AX346" s="65"/>
      <c r="AZ346" s="64"/>
      <c r="BA346" s="519"/>
      <c r="BB346" s="516"/>
      <c r="BC346" s="620"/>
      <c r="BD346" s="619"/>
      <c r="BE346" s="64"/>
      <c r="BF346" s="618"/>
      <c r="BG346" s="618"/>
      <c r="BH346" s="627"/>
      <c r="BI346" s="516"/>
      <c r="BJ346" s="65"/>
      <c r="BK346" s="65"/>
      <c r="BL346" s="65"/>
      <c r="BQ346" s="58">
        <f t="shared" si="573"/>
        <v>210</v>
      </c>
      <c r="BR346" s="61"/>
      <c r="BS346" s="61"/>
      <c r="BT346" s="17"/>
      <c r="BU346" s="17"/>
      <c r="BV346" s="17"/>
      <c r="BW346" s="17"/>
      <c r="BX346" s="61"/>
      <c r="BY346" s="531"/>
      <c r="BZ346" s="530"/>
      <c r="CA346" s="531"/>
      <c r="CB346" s="530"/>
      <c r="CC346" s="530"/>
      <c r="CD346" s="530"/>
      <c r="CE346" s="1295"/>
      <c r="CF346" s="1301"/>
      <c r="CG346" s="530"/>
      <c r="CH346" s="61"/>
      <c r="CI346" s="61"/>
      <c r="CJ346" s="61"/>
      <c r="DK346" s="58" t="str" cm="1">
        <f t="array" ref="DK346">IF(AND($BT346=4,$BX346=4,$BU346=999),$DB$36,_xlfn.IFNA(INDEX(DB$13:DB$70,MATCH(1,($BR346=$CV$13:$CV$70)*($BT346=$CX$13:$CX$70)*($CE346=$CY$13:$CY$70)*($BY346=$DA$13:$DA$70)*($CD346=$DH$13:$DH$70),0)),""))</f>
        <v/>
      </c>
      <c r="DL346" s="58" t="str" cm="1">
        <f t="array" ref="DL346">IF(AND($BT346=4,$BX346=4,$BU346=999),$DC$36,_xlfn.IFNA(INDEX(CHOOSE(DP346,DB$13:DB$70,DC$13:DC$70,DD$13:DD$70,DE$13:DE$70),MATCH(1,($BR346=$CV$13:$CV$70)*($BT346=$CX$13:$CX$70)*($CE346=$CY$13:$CY$70)*($BY346=$DA$13:$DA$70)*($CD346=$DH$13:$DH$70),0)),""))</f>
        <v/>
      </c>
      <c r="DM346" s="740" t="str" cm="1">
        <f t="array" ref="DM346">IF(AND($BT346=4,$BX346=4,$BU346=999),$DD$36,_xlfn.IFNA(INDEX(DD$13:DD$68,MATCH(1,($BR346=$CV$13:$CV$68)*($BT346=$CX$13:$CX$68)*($CE346=$CY$13:$CY$68)*($BY346=$DA$13:$DA$68)*($CD346=$DH$13:$DH$68),0)),""))</f>
        <v/>
      </c>
      <c r="DN346" s="740" t="str" cm="1">
        <f t="array" ref="DN346">IF(AND($BT346=4,$BX346=4,$BU346=999),$DD$36,_xlfn.IFNA(INDEX(DE$13:DE$68,MATCH(1,($BR346=$CV$13:$CV$68)*($BT346=$CX$13:$CX$68)*($CE346=$CY$13:$CY$68)*($BY346=$DA$13:$DA$68)*($CD346=$DH$13:$DH$68),0)),""))</f>
        <v/>
      </c>
      <c r="DO346" s="58" t="str" cm="1">
        <f t="array" ref="DO346">IF(AND($BT346=4,$BX346=4,$BU346=999),$DF$36,_xlfn.IFNA(INDEX(DF$13:DF$70,MATCH(1,($BR346=$CV$13:$CV$70)*($BT346=$CX$13:$CX$70)*($CE346=$CY$13:$CY$70)*($BY346=$DA$13:$DA$70)*($CD346=$DH$13:$DH$70),0)),""))</f>
        <v/>
      </c>
      <c r="DP346" s="58" t="e">
        <f t="shared" si="574"/>
        <v>#N/A</v>
      </c>
      <c r="EU346" s="58">
        <f t="shared" si="552"/>
        <v>0</v>
      </c>
      <c r="EV346" s="58">
        <f t="shared" si="553"/>
        <v>0</v>
      </c>
      <c r="EW346" s="58">
        <f t="shared" si="554"/>
        <v>0</v>
      </c>
      <c r="EX346" s="58">
        <f t="shared" si="555"/>
        <v>0</v>
      </c>
      <c r="EZ346" s="58">
        <f t="shared" si="556"/>
        <v>0</v>
      </c>
      <c r="FA346" s="58">
        <f t="shared" si="557"/>
        <v>0</v>
      </c>
      <c r="FB346" s="58">
        <f>IF(i_eff_inputs_based_on_num=2,ED346,(INDEX(Lists!$L$51:$L$85,MATCH(O346,Lists!$K$51:$K$85,0))))</f>
        <v>0</v>
      </c>
      <c r="FC346" s="58">
        <f>IF(i_eff_inputs_based_on_num=2,EE346,(INDEX(Lists!$L$51:$L$85,MATCH(P346,Lists!$K$51:$K$85,0))))</f>
        <v>0</v>
      </c>
      <c r="FD346" s="58">
        <f>IF(i_eff_inputs_based_on_num=2,EF346,(INDEX(Lists!$L$51:$L$85,MATCH(Q346,Lists!$K$51:$K$85,0))))</f>
        <v>0</v>
      </c>
      <c r="FG346" s="58">
        <f t="shared" si="575"/>
        <v>0</v>
      </c>
      <c r="FH346" s="58">
        <f t="shared" si="576"/>
        <v>0</v>
      </c>
      <c r="FI346" s="58">
        <f t="shared" si="577"/>
        <v>0</v>
      </c>
      <c r="FJ346" s="58">
        <f t="shared" si="578"/>
        <v>0</v>
      </c>
      <c r="FL346" s="58">
        <f t="shared" si="579"/>
        <v>0</v>
      </c>
      <c r="FM346" s="58">
        <f t="shared" si="580"/>
        <v>0</v>
      </c>
      <c r="FN346" s="58">
        <f>IF(i_eff_inputs_based_on_num=2,EP346,(INDEX(Lists!$L$51:$L$85,MATCH(AA346,Lists!$K$51:$K$85,0))))</f>
        <v>0</v>
      </c>
      <c r="FO346" s="58">
        <f>IF(i_eff_inputs_based_on_num=2,EQ346,(INDEX(Lists!$L$51:$L$85,MATCH(AB346,Lists!$K$51:$K$85,0))))</f>
        <v>0</v>
      </c>
      <c r="FP346" s="58">
        <f>IF(i_eff_inputs_based_on_num=2,ER346,(INDEX(Lists!$L$51:$L$85,MATCH(AC346,Lists!$K$51:$K$85,0))))</f>
        <v>0</v>
      </c>
      <c r="FT346" s="58">
        <f t="shared" si="581"/>
        <v>0</v>
      </c>
      <c r="FW346" s="58">
        <f>IF(i_baseline_risk_from=2,'Effectiveness settings'!EW346,'Effectiveness settings'!FI346)</f>
        <v>0</v>
      </c>
      <c r="FX346" s="58">
        <f t="shared" si="582"/>
        <v>0</v>
      </c>
      <c r="FY346" s="58">
        <f t="shared" si="583"/>
        <v>0</v>
      </c>
      <c r="FZ346" s="58">
        <f t="shared" si="584"/>
        <v>0</v>
      </c>
      <c r="GA346" s="58">
        <f t="shared" si="585"/>
        <v>0</v>
      </c>
      <c r="GB346" s="58">
        <f t="shared" si="586"/>
        <v>0</v>
      </c>
      <c r="GC346" s="58">
        <f t="shared" si="587"/>
        <v>0</v>
      </c>
      <c r="GD346" s="58">
        <f t="shared" si="588"/>
        <v>0</v>
      </c>
      <c r="GE346" s="58">
        <f>IF(AND(dd_CheckMate214_TTD="Yes",'Effectiveness settings'!BU346=2,'Effectiveness settings'!BX346=2),"Apply HR to",GD346)</f>
        <v>0</v>
      </c>
      <c r="GF346" s="58">
        <f t="shared" si="589"/>
        <v>0</v>
      </c>
      <c r="GG346" s="58">
        <f t="shared" si="590"/>
        <v>0</v>
      </c>
      <c r="GH346" s="58">
        <f t="shared" si="591"/>
        <v>0</v>
      </c>
      <c r="GI346" s="58">
        <f t="shared" si="571"/>
        <v>0</v>
      </c>
      <c r="GK346" s="58">
        <f>IF(i_baseline_risk_from=2,'Effectiveness settings'!FA346,'Effectiveness settings'!FM346)</f>
        <v>0</v>
      </c>
      <c r="GL346" s="58">
        <f>IF(i_baseline_risk_from=2,'Effectiveness settings'!FB346,'Effectiveness settings'!FN346)</f>
        <v>0</v>
      </c>
      <c r="GM346" s="58">
        <f>IF(i_baseline_risk_from=2,'Effectiveness settings'!FC346,'Effectiveness settings'!FO346)</f>
        <v>0</v>
      </c>
      <c r="GN346" s="58">
        <f>IF(i_baseline_risk_from=2,'Effectiveness settings'!FD346,'Effectiveness settings'!FP346)</f>
        <v>0</v>
      </c>
      <c r="GQ346" s="58">
        <f t="shared" si="592"/>
        <v>0</v>
      </c>
      <c r="GR346" s="58">
        <f t="shared" si="593"/>
        <v>0</v>
      </c>
      <c r="GS346" s="58">
        <f t="shared" si="594"/>
        <v>0</v>
      </c>
      <c r="GT346" s="58">
        <f t="shared" si="595"/>
        <v>0</v>
      </c>
      <c r="GU346" s="58">
        <f>IF(AND(dd_CheckMate214_TTD="Yes",'Effectiveness settings'!BU346=2,'Effectiveness settings'!BX346=2),2,GT346)</f>
        <v>0</v>
      </c>
      <c r="GV346" s="58">
        <f t="shared" si="596"/>
        <v>0</v>
      </c>
      <c r="GW346" s="58">
        <f t="shared" si="597"/>
        <v>0</v>
      </c>
      <c r="GY346" s="58">
        <f>IF(AND(dd_CheckMate214_TTD="Yes",'Effectiveness settings'!BU346=2,'Effectiveness settings'!BX346=2),1,GN346)</f>
        <v>0</v>
      </c>
      <c r="GZ346" s="58">
        <f t="shared" si="598"/>
        <v>0</v>
      </c>
      <c r="HB346" s="58">
        <f t="shared" si="599"/>
        <v>0</v>
      </c>
      <c r="HD346" s="58">
        <f t="shared" si="566"/>
        <v>0</v>
      </c>
      <c r="HE346" s="58">
        <f t="shared" si="567"/>
        <v>0</v>
      </c>
      <c r="HF346" s="58">
        <f t="shared" si="568"/>
        <v>0</v>
      </c>
      <c r="HG346" s="58">
        <f t="shared" si="569"/>
        <v>0</v>
      </c>
      <c r="HH346" s="58">
        <f t="shared" si="570"/>
        <v>0</v>
      </c>
    </row>
    <row r="347" spans="3:216" ht="15.75" hidden="1" x14ac:dyDescent="0.25">
      <c r="I347" s="64"/>
      <c r="J347" s="519"/>
      <c r="K347" s="524"/>
      <c r="L347" s="519"/>
      <c r="M347" s="516"/>
      <c r="N347" s="64"/>
      <c r="O347" s="64"/>
      <c r="P347" s="64"/>
      <c r="Q347" s="519" t="s">
        <v>557</v>
      </c>
      <c r="R347" s="516"/>
      <c r="S347" s="497"/>
      <c r="T347" s="497"/>
      <c r="U347" s="497"/>
      <c r="X347" s="64"/>
      <c r="Y347" s="519"/>
      <c r="Z347" s="516"/>
      <c r="AA347" s="519"/>
      <c r="AB347" s="619"/>
      <c r="AC347" s="64"/>
      <c r="AD347" s="618"/>
      <c r="AE347" s="618"/>
      <c r="AF347" s="620"/>
      <c r="AG347" s="516"/>
      <c r="AH347" s="497"/>
      <c r="AI347" s="497"/>
      <c r="AJ347" s="497"/>
      <c r="AL347" s="64"/>
      <c r="AM347" s="519"/>
      <c r="AN347" s="516"/>
      <c r="AO347" s="620"/>
      <c r="AP347" s="619"/>
      <c r="AQ347" s="64"/>
      <c r="AR347" s="618"/>
      <c r="AS347" s="618"/>
      <c r="AT347" s="627"/>
      <c r="AU347" s="516"/>
      <c r="AV347" s="65"/>
      <c r="AW347" s="65"/>
      <c r="AX347" s="65"/>
      <c r="AZ347" s="64"/>
      <c r="BA347" s="519"/>
      <c r="BB347" s="516"/>
      <c r="BC347" s="620"/>
      <c r="BD347" s="619"/>
      <c r="BE347" s="64"/>
      <c r="BF347" s="618"/>
      <c r="BG347" s="618"/>
      <c r="BH347" s="627"/>
      <c r="BI347" s="516"/>
      <c r="BJ347" s="65"/>
      <c r="BK347" s="65"/>
      <c r="BL347" s="65"/>
      <c r="BQ347" s="58">
        <f t="shared" si="573"/>
        <v>210</v>
      </c>
      <c r="BR347" s="61"/>
      <c r="BS347" s="61"/>
      <c r="BT347" s="17"/>
      <c r="BU347" s="17"/>
      <c r="BV347" s="17"/>
      <c r="BW347" s="17"/>
      <c r="BX347" s="61"/>
      <c r="BY347" s="531"/>
      <c r="BZ347" s="530"/>
      <c r="CA347" s="531"/>
      <c r="CB347" s="530"/>
      <c r="CC347" s="530"/>
      <c r="CD347" s="530"/>
      <c r="CE347" s="1295"/>
      <c r="CF347" s="1301"/>
      <c r="CG347" s="530"/>
      <c r="CH347" s="61"/>
      <c r="CI347" s="61"/>
      <c r="CJ347" s="61"/>
      <c r="DK347" s="58" t="str" cm="1">
        <f t="array" ref="DK347">IF(AND($BT347=4,$BX347=4,$BU347=999),$DB$36,_xlfn.IFNA(INDEX(DB$13:DB$70,MATCH(1,($BR347=$CV$13:$CV$70)*($BT347=$CX$13:$CX$70)*($CE347=$CY$13:$CY$70)*($BY347=$DA$13:$DA$70)*($CD347=$DH$13:$DH$70),0)),""))</f>
        <v/>
      </c>
      <c r="DL347" s="58" t="str" cm="1">
        <f t="array" ref="DL347">IF(AND($BT347=4,$BX347=4,$BU347=999),$DC$36,_xlfn.IFNA(INDEX(CHOOSE(DP347,DB$13:DB$70,DC$13:DC$70,DD$13:DD$70,DE$13:DE$70),MATCH(1,($BR347=$CV$13:$CV$70)*($BT347=$CX$13:$CX$70)*($CE347=$CY$13:$CY$70)*($BY347=$DA$13:$DA$70)*($CD347=$DH$13:$DH$70),0)),""))</f>
        <v/>
      </c>
      <c r="DM347" s="740" t="str" cm="1">
        <f t="array" ref="DM347">IF(AND($BT347=4,$BX347=4,$BU347=999),$DD$36,_xlfn.IFNA(INDEX(DD$13:DD$68,MATCH(1,($BR347=$CV$13:$CV$68)*($BT347=$CX$13:$CX$68)*($CE347=$CY$13:$CY$68)*($BY347=$DA$13:$DA$68)*($CD347=$DH$13:$DH$68),0)),""))</f>
        <v/>
      </c>
      <c r="DN347" s="740" t="str" cm="1">
        <f t="array" ref="DN347">IF(AND($BT347=4,$BX347=4,$BU347=999),$DD$36,_xlfn.IFNA(INDEX(DE$13:DE$68,MATCH(1,($BR347=$CV$13:$CV$68)*($BT347=$CX$13:$CX$68)*($CE347=$CY$13:$CY$68)*($BY347=$DA$13:$DA$68)*($CD347=$DH$13:$DH$68),0)),""))</f>
        <v/>
      </c>
      <c r="DO347" s="58" t="str" cm="1">
        <f t="array" ref="DO347">IF(AND($BT347=4,$BX347=4,$BU347=999),$DF$36,_xlfn.IFNA(INDEX(DF$13:DF$70,MATCH(1,($BR347=$CV$13:$CV$70)*($BT347=$CX$13:$CX$70)*($CE347=$CY$13:$CY$70)*($BY347=$DA$13:$DA$70)*($CD347=$DH$13:$DH$70),0)),""))</f>
        <v/>
      </c>
      <c r="DP347" s="58" t="e">
        <f t="shared" si="574"/>
        <v>#N/A</v>
      </c>
      <c r="EU347" s="58">
        <f t="shared" si="552"/>
        <v>0</v>
      </c>
      <c r="EV347" s="58">
        <f t="shared" si="553"/>
        <v>0</v>
      </c>
      <c r="EW347" s="58">
        <f t="shared" si="554"/>
        <v>0</v>
      </c>
      <c r="EX347" s="58">
        <f t="shared" si="555"/>
        <v>0</v>
      </c>
      <c r="EZ347" s="58">
        <f t="shared" si="556"/>
        <v>0</v>
      </c>
      <c r="FA347" s="58">
        <f t="shared" si="557"/>
        <v>0</v>
      </c>
      <c r="FB347" s="58">
        <f>IF(i_eff_inputs_based_on_num=2,ED347,(INDEX(Lists!$L$51:$L$85,MATCH(O347,Lists!$K$51:$K$85,0))))</f>
        <v>0</v>
      </c>
      <c r="FC347" s="58">
        <f>IF(i_eff_inputs_based_on_num=2,EE347,(INDEX(Lists!$L$51:$L$85,MATCH(P347,Lists!$K$51:$K$85,0))))</f>
        <v>0</v>
      </c>
      <c r="FD347" s="58">
        <f>IF(i_eff_inputs_based_on_num=2,EF347,(INDEX(Lists!$L$51:$L$85,MATCH(Q347,Lists!$K$51:$K$85,0))))</f>
        <v>0</v>
      </c>
      <c r="FG347" s="58">
        <f t="shared" si="575"/>
        <v>0</v>
      </c>
      <c r="FH347" s="58">
        <f t="shared" si="576"/>
        <v>0</v>
      </c>
      <c r="FI347" s="58">
        <f t="shared" si="577"/>
        <v>0</v>
      </c>
      <c r="FJ347" s="58">
        <f t="shared" si="578"/>
        <v>0</v>
      </c>
      <c r="FL347" s="58">
        <f t="shared" si="579"/>
        <v>0</v>
      </c>
      <c r="FM347" s="58">
        <f t="shared" si="580"/>
        <v>0</v>
      </c>
      <c r="FN347" s="58">
        <f>IF(i_eff_inputs_based_on_num=2,EP347,(INDEX(Lists!$L$51:$L$85,MATCH(AA347,Lists!$K$51:$K$85,0))))</f>
        <v>0</v>
      </c>
      <c r="FO347" s="58">
        <f>IF(i_eff_inputs_based_on_num=2,EQ347,(INDEX(Lists!$L$51:$L$85,MATCH(AB347,Lists!$K$51:$K$85,0))))</f>
        <v>0</v>
      </c>
      <c r="FP347" s="58">
        <f>IF(i_eff_inputs_based_on_num=2,ER347,(INDEX(Lists!$L$51:$L$85,MATCH(AC347,Lists!$K$51:$K$85,0))))</f>
        <v>0</v>
      </c>
      <c r="FT347" s="58">
        <f t="shared" si="581"/>
        <v>0</v>
      </c>
      <c r="FW347" s="58">
        <f>IF(i_baseline_risk_from=2,'Effectiveness settings'!EW347,'Effectiveness settings'!FI347)</f>
        <v>0</v>
      </c>
      <c r="FX347" s="58">
        <f t="shared" si="582"/>
        <v>0</v>
      </c>
      <c r="FY347" s="58">
        <f t="shared" si="583"/>
        <v>0</v>
      </c>
      <c r="FZ347" s="58">
        <f t="shared" si="584"/>
        <v>0</v>
      </c>
      <c r="GA347" s="58">
        <f t="shared" si="585"/>
        <v>0</v>
      </c>
      <c r="GB347" s="58">
        <f t="shared" si="586"/>
        <v>0</v>
      </c>
      <c r="GC347" s="58">
        <f t="shared" si="587"/>
        <v>0</v>
      </c>
      <c r="GD347" s="58">
        <f t="shared" si="588"/>
        <v>0</v>
      </c>
      <c r="GE347" s="58">
        <f>IF(AND(dd_CheckMate214_TTD="Yes",'Effectiveness settings'!BU347=2,'Effectiveness settings'!BX347=2),"Apply HR to",GD347)</f>
        <v>0</v>
      </c>
      <c r="GF347" s="58">
        <f t="shared" si="589"/>
        <v>0</v>
      </c>
      <c r="GG347" s="58">
        <f t="shared" si="590"/>
        <v>0</v>
      </c>
      <c r="GH347" s="58">
        <f t="shared" si="591"/>
        <v>0</v>
      </c>
      <c r="GI347" s="58">
        <f t="shared" si="571"/>
        <v>0</v>
      </c>
      <c r="GK347" s="58">
        <f>IF(i_baseline_risk_from=2,'Effectiveness settings'!FA347,'Effectiveness settings'!FM347)</f>
        <v>0</v>
      </c>
      <c r="GL347" s="58">
        <f>IF(i_baseline_risk_from=2,'Effectiveness settings'!FB347,'Effectiveness settings'!FN347)</f>
        <v>0</v>
      </c>
      <c r="GM347" s="58">
        <f>IF(i_baseline_risk_from=2,'Effectiveness settings'!FC347,'Effectiveness settings'!FO347)</f>
        <v>0</v>
      </c>
      <c r="GN347" s="58">
        <f>IF(i_baseline_risk_from=2,'Effectiveness settings'!FD347,'Effectiveness settings'!FP347)</f>
        <v>0</v>
      </c>
      <c r="GQ347" s="58">
        <f t="shared" si="592"/>
        <v>0</v>
      </c>
      <c r="GR347" s="58">
        <f t="shared" si="593"/>
        <v>0</v>
      </c>
      <c r="GS347" s="58">
        <f t="shared" si="594"/>
        <v>0</v>
      </c>
      <c r="GT347" s="58">
        <f t="shared" si="595"/>
        <v>0</v>
      </c>
      <c r="GU347" s="58">
        <f>IF(AND(dd_CheckMate214_TTD="Yes",'Effectiveness settings'!BU347=2,'Effectiveness settings'!BX347=2),2,GT347)</f>
        <v>0</v>
      </c>
      <c r="GV347" s="58">
        <f t="shared" si="596"/>
        <v>0</v>
      </c>
      <c r="GW347" s="58">
        <f t="shared" si="597"/>
        <v>0</v>
      </c>
      <c r="GY347" s="58">
        <f>IF(AND(dd_CheckMate214_TTD="Yes",'Effectiveness settings'!BU347=2,'Effectiveness settings'!BX347=2),1,GN347)</f>
        <v>0</v>
      </c>
      <c r="GZ347" s="58">
        <f t="shared" si="598"/>
        <v>0</v>
      </c>
      <c r="HB347" s="58">
        <f t="shared" si="599"/>
        <v>0</v>
      </c>
      <c r="HD347" s="58">
        <f t="shared" si="566"/>
        <v>0</v>
      </c>
      <c r="HE347" s="58">
        <f t="shared" si="567"/>
        <v>0</v>
      </c>
      <c r="HF347" s="58">
        <f t="shared" si="568"/>
        <v>0</v>
      </c>
      <c r="HG347" s="58">
        <f t="shared" si="569"/>
        <v>0</v>
      </c>
      <c r="HH347" s="58">
        <f t="shared" si="570"/>
        <v>0</v>
      </c>
    </row>
    <row r="348" spans="3:216" ht="15.75" hidden="1" x14ac:dyDescent="0.25">
      <c r="I348" s="67"/>
      <c r="J348" s="520"/>
      <c r="K348" s="525"/>
      <c r="L348" s="517"/>
      <c r="Q348" s="519" t="s">
        <v>557</v>
      </c>
      <c r="X348" s="67"/>
      <c r="Y348" s="520"/>
      <c r="Z348" s="67"/>
      <c r="AA348" s="517"/>
      <c r="AF348" s="517"/>
      <c r="AL348" s="67"/>
      <c r="AM348" s="520"/>
      <c r="AN348" s="67"/>
      <c r="AO348" s="517"/>
      <c r="AT348" s="517"/>
      <c r="AZ348" s="67"/>
      <c r="BA348" s="520"/>
      <c r="BB348" s="67"/>
      <c r="BC348" s="517"/>
      <c r="BH348" s="517"/>
      <c r="BQ348" s="58">
        <f t="shared" si="573"/>
        <v>210</v>
      </c>
      <c r="BR348" s="61"/>
      <c r="BS348" s="61"/>
      <c r="BT348" s="17"/>
      <c r="BU348" s="61"/>
      <c r="BV348" s="17"/>
      <c r="BW348" s="17"/>
      <c r="BX348" s="61"/>
      <c r="BY348" s="531"/>
      <c r="CA348" s="517"/>
      <c r="CB348" s="530"/>
      <c r="CC348" s="1292"/>
      <c r="CD348" s="1292"/>
      <c r="CE348" s="1297"/>
      <c r="CF348" s="1301"/>
      <c r="CG348" s="530"/>
      <c r="CH348" s="61"/>
      <c r="CI348" s="61"/>
      <c r="CJ348" s="61"/>
      <c r="DK348" s="58" t="str" cm="1">
        <f t="array" ref="DK348">IF(AND($BT348=4,$BX348=4,$BU348=999),$DB$36,_xlfn.IFNA(INDEX(DB$13:DB$70,MATCH(1,($BR348=$CV$13:$CV$70)*($BT348=$CX$13:$CX$70)*($CE348=$CY$13:$CY$70)*($BY348=$DA$13:$DA$70)*($CD348=$DH$13:$DH$70),0)),""))</f>
        <v/>
      </c>
      <c r="DL348" s="58" t="str" cm="1">
        <f t="array" ref="DL348">IF(AND($BT348=4,$BX348=4,$BU348=999),$DC$36,_xlfn.IFNA(INDEX(CHOOSE(DP348,DB$13:DB$70,DC$13:DC$70,DD$13:DD$70,DE$13:DE$70),MATCH(1,($BR348=$CV$13:$CV$70)*($BT348=$CX$13:$CX$70)*($CE348=$CY$13:$CY$70)*($BY348=$DA$13:$DA$70)*($CD348=$DH$13:$DH$70),0)),""))</f>
        <v/>
      </c>
      <c r="DM348" s="740" t="str" cm="1">
        <f t="array" ref="DM348">IF(AND($BT348=4,$BX348=4,$BU348=999),$DD$36,_xlfn.IFNA(INDEX(DD$13:DD$68,MATCH(1,($BR348=$CV$13:$CV$68)*($BT348=$CX$13:$CX$68)*($CE348=$CY$13:$CY$68)*($BY348=$DA$13:$DA$68)*($CD348=$DH$13:$DH$68),0)),""))</f>
        <v/>
      </c>
      <c r="DN348" s="740" t="str" cm="1">
        <f t="array" ref="DN348">IF(AND($BT348=4,$BX348=4,$BU348=999),$DD$36,_xlfn.IFNA(INDEX(DE$13:DE$68,MATCH(1,($BR348=$CV$13:$CV$68)*($BT348=$CX$13:$CX$68)*($CE348=$CY$13:$CY$68)*($BY348=$DA$13:$DA$68)*($CD348=$DH$13:$DH$68),0)),""))</f>
        <v/>
      </c>
      <c r="DO348" s="58" t="str" cm="1">
        <f t="array" ref="DO348">IF(AND($BT348=4,$BX348=4,$BU348=999),$DF$36,_xlfn.IFNA(INDEX(DF$13:DF$70,MATCH(1,($BR348=$CV$13:$CV$70)*($BT348=$CX$13:$CX$70)*($CE348=$CY$13:$CY$70)*($BY348=$DA$13:$DA$70)*($CD348=$DH$13:$DH$70),0)),""))</f>
        <v/>
      </c>
      <c r="DP348" s="58" t="e">
        <f t="shared" si="574"/>
        <v>#N/A</v>
      </c>
      <c r="EU348" s="58">
        <f t="shared" si="552"/>
        <v>0</v>
      </c>
      <c r="EV348" s="58">
        <f t="shared" si="553"/>
        <v>0</v>
      </c>
      <c r="EW348" s="58">
        <f t="shared" si="554"/>
        <v>0</v>
      </c>
      <c r="EX348" s="58">
        <f t="shared" si="555"/>
        <v>0</v>
      </c>
      <c r="EZ348" s="58">
        <f t="shared" si="556"/>
        <v>0</v>
      </c>
      <c r="FA348" s="58">
        <f t="shared" si="557"/>
        <v>0</v>
      </c>
      <c r="FB348" s="58">
        <f>IF(i_eff_inputs_based_on_num=2,ED348,(INDEX(Lists!$L$51:$L$85,MATCH(O348,Lists!$K$51:$K$85,0))))</f>
        <v>0</v>
      </c>
      <c r="FC348" s="58">
        <f>IF(i_eff_inputs_based_on_num=2,EE348,(INDEX(Lists!$L$51:$L$85,MATCH(P348,Lists!$K$51:$K$85,0))))</f>
        <v>0</v>
      </c>
      <c r="FD348" s="58">
        <f>IF(i_eff_inputs_based_on_num=2,EF348,(INDEX(Lists!$L$51:$L$85,MATCH(Q348,Lists!$K$51:$K$85,0))))</f>
        <v>0</v>
      </c>
      <c r="FG348" s="58">
        <f t="shared" si="575"/>
        <v>0</v>
      </c>
      <c r="FH348" s="58">
        <f t="shared" si="576"/>
        <v>0</v>
      </c>
      <c r="FI348" s="58">
        <f t="shared" si="577"/>
        <v>0</v>
      </c>
      <c r="FJ348" s="58">
        <f t="shared" si="578"/>
        <v>0</v>
      </c>
      <c r="FL348" s="58">
        <f t="shared" si="579"/>
        <v>0</v>
      </c>
      <c r="FM348" s="58">
        <f t="shared" si="580"/>
        <v>0</v>
      </c>
      <c r="FN348" s="58">
        <f>IF(i_eff_inputs_based_on_num=2,EP348,(INDEX(Lists!$L$51:$L$85,MATCH(AA348,Lists!$K$51:$K$85,0))))</f>
        <v>0</v>
      </c>
      <c r="FO348" s="58">
        <f>IF(i_eff_inputs_based_on_num=2,EQ348,(INDEX(Lists!$L$51:$L$85,MATCH(AB348,Lists!$K$51:$K$85,0))))</f>
        <v>0</v>
      </c>
      <c r="FP348" s="58">
        <f>IF(i_eff_inputs_based_on_num=2,ER348,(INDEX(Lists!$L$51:$L$85,MATCH(AC348,Lists!$K$51:$K$85,0))))</f>
        <v>0</v>
      </c>
      <c r="FT348" s="58">
        <f t="shared" si="581"/>
        <v>0</v>
      </c>
      <c r="FW348" s="58">
        <f>IF(i_baseline_risk_from=2,'Effectiveness settings'!EW348,'Effectiveness settings'!FI348)</f>
        <v>0</v>
      </c>
      <c r="FX348" s="58">
        <f t="shared" si="582"/>
        <v>0</v>
      </c>
      <c r="FY348" s="58">
        <f t="shared" si="583"/>
        <v>0</v>
      </c>
      <c r="FZ348" s="58">
        <f t="shared" si="584"/>
        <v>0</v>
      </c>
      <c r="GA348" s="58">
        <f t="shared" si="585"/>
        <v>0</v>
      </c>
      <c r="GB348" s="58">
        <f t="shared" si="586"/>
        <v>0</v>
      </c>
      <c r="GC348" s="58">
        <f t="shared" si="587"/>
        <v>0</v>
      </c>
      <c r="GD348" s="58">
        <f t="shared" si="588"/>
        <v>0</v>
      </c>
      <c r="GE348" s="58">
        <f>IF(AND(dd_CheckMate214_TTD="Yes",'Effectiveness settings'!BU348=2,'Effectiveness settings'!BX348=2),"Apply HR to",GD348)</f>
        <v>0</v>
      </c>
      <c r="GF348" s="58">
        <f t="shared" si="589"/>
        <v>0</v>
      </c>
      <c r="GG348" s="58">
        <f t="shared" si="590"/>
        <v>0</v>
      </c>
      <c r="GH348" s="58">
        <f t="shared" si="591"/>
        <v>0</v>
      </c>
      <c r="GI348" s="58">
        <f t="shared" si="571"/>
        <v>0</v>
      </c>
      <c r="GK348" s="58">
        <f>IF(i_baseline_risk_from=2,'Effectiveness settings'!FA348,'Effectiveness settings'!FM348)</f>
        <v>0</v>
      </c>
      <c r="GL348" s="58">
        <f>IF(i_baseline_risk_from=2,'Effectiveness settings'!FB348,'Effectiveness settings'!FN348)</f>
        <v>0</v>
      </c>
      <c r="GM348" s="58">
        <f>IF(i_baseline_risk_from=2,'Effectiveness settings'!FC348,'Effectiveness settings'!FO348)</f>
        <v>0</v>
      </c>
      <c r="GN348" s="58">
        <f>IF(i_baseline_risk_from=2,'Effectiveness settings'!FD348,'Effectiveness settings'!FP348)</f>
        <v>0</v>
      </c>
      <c r="GQ348" s="58">
        <f t="shared" si="592"/>
        <v>0</v>
      </c>
      <c r="GR348" s="58">
        <f t="shared" si="593"/>
        <v>0</v>
      </c>
      <c r="GS348" s="58">
        <f t="shared" si="594"/>
        <v>0</v>
      </c>
      <c r="GT348" s="58">
        <f t="shared" si="595"/>
        <v>0</v>
      </c>
      <c r="GU348" s="58">
        <f>IF(AND(dd_CheckMate214_TTD="Yes",'Effectiveness settings'!BU348=2,'Effectiveness settings'!BX348=2),2,GT348)</f>
        <v>0</v>
      </c>
      <c r="GV348" s="58">
        <f t="shared" si="596"/>
        <v>0</v>
      </c>
      <c r="GW348" s="58">
        <f t="shared" si="597"/>
        <v>0</v>
      </c>
      <c r="GY348" s="58">
        <f>IF(AND(dd_CheckMate214_TTD="Yes",'Effectiveness settings'!BU348=2,'Effectiveness settings'!BX348=2),1,GN348)</f>
        <v>0</v>
      </c>
      <c r="GZ348" s="58">
        <f t="shared" si="598"/>
        <v>0</v>
      </c>
      <c r="HB348" s="58">
        <f t="shared" si="599"/>
        <v>0</v>
      </c>
      <c r="HD348" s="58">
        <f t="shared" si="566"/>
        <v>0</v>
      </c>
      <c r="HE348" s="58">
        <f t="shared" si="567"/>
        <v>0</v>
      </c>
      <c r="HF348" s="58">
        <f t="shared" si="568"/>
        <v>0</v>
      </c>
      <c r="HG348" s="58">
        <f t="shared" si="569"/>
        <v>0</v>
      </c>
      <c r="HH348" s="58">
        <f t="shared" si="570"/>
        <v>0</v>
      </c>
    </row>
    <row r="349" spans="3:216" ht="15.75" hidden="1" x14ac:dyDescent="0.25">
      <c r="I349" s="64"/>
      <c r="J349" s="519"/>
      <c r="K349" s="524"/>
      <c r="L349" s="519"/>
      <c r="M349" s="516"/>
      <c r="N349" s="64"/>
      <c r="O349" s="64"/>
      <c r="P349" s="64"/>
      <c r="Q349" s="519" t="s">
        <v>557</v>
      </c>
      <c r="R349" s="516"/>
      <c r="S349" s="497"/>
      <c r="T349" s="497"/>
      <c r="U349" s="497"/>
      <c r="X349" s="64"/>
      <c r="Y349" s="519"/>
      <c r="Z349" s="516"/>
      <c r="AA349" s="519"/>
      <c r="AB349" s="619"/>
      <c r="AC349" s="64"/>
      <c r="AD349" s="618"/>
      <c r="AE349" s="618"/>
      <c r="AF349" s="620"/>
      <c r="AG349" s="516"/>
      <c r="AH349" s="497"/>
      <c r="AI349" s="497"/>
      <c r="AJ349" s="497"/>
      <c r="AL349" s="64"/>
      <c r="AM349" s="519"/>
      <c r="AN349" s="516"/>
      <c r="AO349" s="620"/>
      <c r="AP349" s="619"/>
      <c r="AQ349" s="64"/>
      <c r="AR349" s="618"/>
      <c r="AS349" s="618"/>
      <c r="AT349" s="627"/>
      <c r="AU349" s="516"/>
      <c r="AV349" s="65"/>
      <c r="AW349" s="65"/>
      <c r="AX349" s="65"/>
      <c r="AZ349" s="64"/>
      <c r="BA349" s="519"/>
      <c r="BB349" s="516"/>
      <c r="BC349" s="620"/>
      <c r="BD349" s="619"/>
      <c r="BE349" s="64"/>
      <c r="BF349" s="618"/>
      <c r="BG349" s="618"/>
      <c r="BH349" s="627"/>
      <c r="BI349" s="516"/>
      <c r="BJ349" s="65"/>
      <c r="BK349" s="65"/>
      <c r="BL349" s="65"/>
      <c r="BQ349" s="58">
        <f t="shared" si="573"/>
        <v>210</v>
      </c>
      <c r="BR349" s="61"/>
      <c r="BS349" s="61"/>
      <c r="BT349" s="17"/>
      <c r="BU349" s="17"/>
      <c r="BV349" s="17"/>
      <c r="BW349" s="17"/>
      <c r="BX349" s="61"/>
      <c r="BY349" s="531"/>
      <c r="BZ349" s="530"/>
      <c r="CA349" s="531"/>
      <c r="CB349" s="530"/>
      <c r="CC349" s="530"/>
      <c r="CD349" s="530"/>
      <c r="CE349" s="1295"/>
      <c r="CF349" s="1301"/>
      <c r="CG349" s="530"/>
      <c r="CH349" s="61"/>
      <c r="CI349" s="61"/>
      <c r="CJ349" s="61"/>
      <c r="DK349" s="58" t="str" cm="1">
        <f t="array" ref="DK349">IF(AND($BT349=4,$BX349=4,$BU349=999),$DB$36,_xlfn.IFNA(INDEX(DB$13:DB$70,MATCH(1,($BR349=$CV$13:$CV$70)*($BT349=$CX$13:$CX$70)*($CE349=$CY$13:$CY$70)*($BY349=$DA$13:$DA$70)*($CD349=$DH$13:$DH$70),0)),""))</f>
        <v/>
      </c>
      <c r="DL349" s="58" t="str" cm="1">
        <f t="array" ref="DL349">IF(AND($BT349=4,$BX349=4,$BU349=999),$DC$36,_xlfn.IFNA(INDEX(CHOOSE(DP349,DB$13:DB$70,DC$13:DC$70,DD$13:DD$70,DE$13:DE$70),MATCH(1,($BR349=$CV$13:$CV$70)*($BT349=$CX$13:$CX$70)*($CE349=$CY$13:$CY$70)*($BY349=$DA$13:$DA$70)*($CD349=$DH$13:$DH$70),0)),""))</f>
        <v/>
      </c>
      <c r="DM349" s="740" t="str" cm="1">
        <f t="array" ref="DM349">IF(AND($BT349=4,$BX349=4,$BU349=999),$DD$36,_xlfn.IFNA(INDEX(DD$13:DD$68,MATCH(1,($BR349=$CV$13:$CV$68)*($BT349=$CX$13:$CX$68)*($CE349=$CY$13:$CY$68)*($BY349=$DA$13:$DA$68)*($CD349=$DH$13:$DH$68),0)),""))</f>
        <v/>
      </c>
      <c r="DN349" s="740" t="str" cm="1">
        <f t="array" ref="DN349">IF(AND($BT349=4,$BX349=4,$BU349=999),$DD$36,_xlfn.IFNA(INDEX(DE$13:DE$68,MATCH(1,($BR349=$CV$13:$CV$68)*($BT349=$CX$13:$CX$68)*($CE349=$CY$13:$CY$68)*($BY349=$DA$13:$DA$68)*($CD349=$DH$13:$DH$68),0)),""))</f>
        <v/>
      </c>
      <c r="DO349" s="58" t="str" cm="1">
        <f t="array" ref="DO349">IF(AND($BT349=4,$BX349=4,$BU349=999),$DF$36,_xlfn.IFNA(INDEX(DF$13:DF$70,MATCH(1,($BR349=$CV$13:$CV$70)*($BT349=$CX$13:$CX$70)*($CE349=$CY$13:$CY$70)*($BY349=$DA$13:$DA$70)*($CD349=$DH$13:$DH$70),0)),""))</f>
        <v/>
      </c>
      <c r="DP349" s="58" t="e">
        <f t="shared" si="574"/>
        <v>#N/A</v>
      </c>
      <c r="EU349" s="58">
        <f t="shared" si="552"/>
        <v>0</v>
      </c>
      <c r="EV349" s="58">
        <f t="shared" si="553"/>
        <v>0</v>
      </c>
      <c r="EW349" s="58">
        <f t="shared" si="554"/>
        <v>0</v>
      </c>
      <c r="EX349" s="58">
        <f t="shared" si="555"/>
        <v>0</v>
      </c>
      <c r="EZ349" s="58">
        <f t="shared" si="556"/>
        <v>0</v>
      </c>
      <c r="FA349" s="58">
        <f t="shared" si="557"/>
        <v>0</v>
      </c>
      <c r="FB349" s="58">
        <f>IF(i_eff_inputs_based_on_num=2,ED349,(INDEX(Lists!$L$51:$L$85,MATCH(O349,Lists!$K$51:$K$85,0))))</f>
        <v>0</v>
      </c>
      <c r="FC349" s="58">
        <f>IF(i_eff_inputs_based_on_num=2,EE349,(INDEX(Lists!$L$51:$L$85,MATCH(P349,Lists!$K$51:$K$85,0))))</f>
        <v>0</v>
      </c>
      <c r="FD349" s="58">
        <f>IF(i_eff_inputs_based_on_num=2,EF349,(INDEX(Lists!$L$51:$L$85,MATCH(Q349,Lists!$K$51:$K$85,0))))</f>
        <v>0</v>
      </c>
      <c r="FG349" s="58">
        <f t="shared" si="575"/>
        <v>0</v>
      </c>
      <c r="FH349" s="58">
        <f t="shared" si="576"/>
        <v>0</v>
      </c>
      <c r="FI349" s="58">
        <f t="shared" si="577"/>
        <v>0</v>
      </c>
      <c r="FJ349" s="58">
        <f t="shared" si="578"/>
        <v>0</v>
      </c>
      <c r="FL349" s="58">
        <f t="shared" si="579"/>
        <v>0</v>
      </c>
      <c r="FM349" s="58">
        <f t="shared" si="580"/>
        <v>0</v>
      </c>
      <c r="FN349" s="58">
        <f>IF(i_eff_inputs_based_on_num=2,EP349,(INDEX(Lists!$L$51:$L$85,MATCH(AA349,Lists!$K$51:$K$85,0))))</f>
        <v>0</v>
      </c>
      <c r="FO349" s="58">
        <f>IF(i_eff_inputs_based_on_num=2,EQ349,(INDEX(Lists!$L$51:$L$85,MATCH(AB349,Lists!$K$51:$K$85,0))))</f>
        <v>0</v>
      </c>
      <c r="FP349" s="58">
        <f>IF(i_eff_inputs_based_on_num=2,ER349,(INDEX(Lists!$L$51:$L$85,MATCH(AC349,Lists!$K$51:$K$85,0))))</f>
        <v>0</v>
      </c>
      <c r="FT349" s="58">
        <f t="shared" si="581"/>
        <v>0</v>
      </c>
      <c r="FW349" s="58">
        <f>IF(i_baseline_risk_from=2,'Effectiveness settings'!EW349,'Effectiveness settings'!FI349)</f>
        <v>0</v>
      </c>
      <c r="FX349" s="58">
        <f t="shared" si="582"/>
        <v>0</v>
      </c>
      <c r="FY349" s="58">
        <f t="shared" si="583"/>
        <v>0</v>
      </c>
      <c r="FZ349" s="58">
        <f t="shared" si="584"/>
        <v>0</v>
      </c>
      <c r="GA349" s="58">
        <f t="shared" si="585"/>
        <v>0</v>
      </c>
      <c r="GB349" s="58">
        <f t="shared" si="586"/>
        <v>0</v>
      </c>
      <c r="GC349" s="58">
        <f t="shared" si="587"/>
        <v>0</v>
      </c>
      <c r="GD349" s="58">
        <f t="shared" si="588"/>
        <v>0</v>
      </c>
      <c r="GE349" s="58">
        <f>IF(AND(dd_CheckMate214_TTD="Yes",'Effectiveness settings'!BU349=2,'Effectiveness settings'!BX349=2),"Apply HR to",GD349)</f>
        <v>0</v>
      </c>
      <c r="GF349" s="58">
        <f t="shared" si="589"/>
        <v>0</v>
      </c>
      <c r="GG349" s="58">
        <f t="shared" si="590"/>
        <v>0</v>
      </c>
      <c r="GH349" s="58">
        <f t="shared" si="591"/>
        <v>0</v>
      </c>
      <c r="GI349" s="58">
        <f t="shared" si="571"/>
        <v>0</v>
      </c>
      <c r="GK349" s="58">
        <f>IF(i_baseline_risk_from=2,'Effectiveness settings'!FA349,'Effectiveness settings'!FM349)</f>
        <v>0</v>
      </c>
      <c r="GL349" s="58">
        <f>IF(i_baseline_risk_from=2,'Effectiveness settings'!FB349,'Effectiveness settings'!FN349)</f>
        <v>0</v>
      </c>
      <c r="GM349" s="58">
        <f>IF(i_baseline_risk_from=2,'Effectiveness settings'!FC349,'Effectiveness settings'!FO349)</f>
        <v>0</v>
      </c>
      <c r="GN349" s="58">
        <f>IF(i_baseline_risk_from=2,'Effectiveness settings'!FD349,'Effectiveness settings'!FP349)</f>
        <v>0</v>
      </c>
      <c r="GQ349" s="58">
        <f t="shared" si="592"/>
        <v>0</v>
      </c>
      <c r="GR349" s="58">
        <f t="shared" si="593"/>
        <v>0</v>
      </c>
      <c r="GS349" s="58">
        <f t="shared" si="594"/>
        <v>0</v>
      </c>
      <c r="GT349" s="58">
        <f t="shared" si="595"/>
        <v>0</v>
      </c>
      <c r="GU349" s="58">
        <f>IF(AND(dd_CheckMate214_TTD="Yes",'Effectiveness settings'!BU349=2,'Effectiveness settings'!BX349=2),2,GT349)</f>
        <v>0</v>
      </c>
      <c r="GV349" s="58">
        <f t="shared" si="596"/>
        <v>0</v>
      </c>
      <c r="GW349" s="58">
        <f t="shared" si="597"/>
        <v>0</v>
      </c>
      <c r="GY349" s="58">
        <f>IF(AND(dd_CheckMate214_TTD="Yes",'Effectiveness settings'!BU349=2,'Effectiveness settings'!BX349=2),1,GN349)</f>
        <v>0</v>
      </c>
      <c r="GZ349" s="58">
        <f t="shared" si="598"/>
        <v>0</v>
      </c>
      <c r="HB349" s="58">
        <f t="shared" si="599"/>
        <v>0</v>
      </c>
      <c r="HD349" s="58">
        <f t="shared" si="566"/>
        <v>0</v>
      </c>
      <c r="HE349" s="58">
        <f t="shared" si="567"/>
        <v>0</v>
      </c>
      <c r="HF349" s="58">
        <f t="shared" si="568"/>
        <v>0</v>
      </c>
      <c r="HG349" s="58">
        <f t="shared" si="569"/>
        <v>0</v>
      </c>
      <c r="HH349" s="58">
        <f t="shared" si="570"/>
        <v>0</v>
      </c>
    </row>
    <row r="350" spans="3:216" ht="15.75" hidden="1" x14ac:dyDescent="0.25">
      <c r="I350" s="64"/>
      <c r="J350" s="519"/>
      <c r="K350" s="524"/>
      <c r="L350" s="519"/>
      <c r="M350" s="516"/>
      <c r="N350" s="64"/>
      <c r="O350" s="64"/>
      <c r="P350" s="64"/>
      <c r="Q350" s="519" t="s">
        <v>557</v>
      </c>
      <c r="R350" s="516"/>
      <c r="S350" s="497"/>
      <c r="T350" s="497"/>
      <c r="U350" s="497"/>
      <c r="X350" s="64"/>
      <c r="Y350" s="519"/>
      <c r="Z350" s="516"/>
      <c r="AA350" s="519"/>
      <c r="AB350" s="619"/>
      <c r="AC350" s="64"/>
      <c r="AD350" s="618"/>
      <c r="AE350" s="618"/>
      <c r="AF350" s="620"/>
      <c r="AG350" s="516"/>
      <c r="AH350" s="497"/>
      <c r="AI350" s="497"/>
      <c r="AJ350" s="497"/>
      <c r="AL350" s="64"/>
      <c r="AM350" s="519"/>
      <c r="AN350" s="516"/>
      <c r="AO350" s="620"/>
      <c r="AP350" s="619"/>
      <c r="AQ350" s="64"/>
      <c r="AR350" s="618"/>
      <c r="AS350" s="618"/>
      <c r="AT350" s="627"/>
      <c r="AU350" s="516"/>
      <c r="AV350" s="65"/>
      <c r="AW350" s="65"/>
      <c r="AX350" s="65"/>
      <c r="AZ350" s="64"/>
      <c r="BA350" s="519"/>
      <c r="BB350" s="516"/>
      <c r="BC350" s="620"/>
      <c r="BD350" s="619"/>
      <c r="BE350" s="64"/>
      <c r="BF350" s="618"/>
      <c r="BG350" s="618"/>
      <c r="BH350" s="627"/>
      <c r="BI350" s="516"/>
      <c r="BJ350" s="65"/>
      <c r="BK350" s="65"/>
      <c r="BL350" s="65"/>
      <c r="BQ350" s="58">
        <f t="shared" si="573"/>
        <v>210</v>
      </c>
      <c r="BR350" s="61"/>
      <c r="BS350" s="61"/>
      <c r="BT350" s="17"/>
      <c r="BU350" s="17"/>
      <c r="BV350" s="17"/>
      <c r="BW350" s="17"/>
      <c r="BX350" s="61"/>
      <c r="BY350" s="531"/>
      <c r="BZ350" s="530"/>
      <c r="CA350" s="531"/>
      <c r="CB350" s="530"/>
      <c r="CC350" s="530"/>
      <c r="CD350" s="530"/>
      <c r="CE350" s="1295"/>
      <c r="CF350" s="1301"/>
      <c r="CG350" s="530"/>
      <c r="CH350" s="61"/>
      <c r="CI350" s="61"/>
      <c r="CJ350" s="61"/>
      <c r="DK350" s="58" t="str" cm="1">
        <f t="array" ref="DK350">IF(AND($BT350=4,$BX350=4,$BU350=999),$DB$36,_xlfn.IFNA(INDEX(DB$13:DB$70,MATCH(1,($BR350=$CV$13:$CV$70)*($BT350=$CX$13:$CX$70)*($CE350=$CY$13:$CY$70)*($BY350=$DA$13:$DA$70)*($CD350=$DH$13:$DH$70),0)),""))</f>
        <v/>
      </c>
      <c r="DL350" s="58" t="str" cm="1">
        <f t="array" ref="DL350">IF(AND($BT350=4,$BX350=4,$BU350=999),$DC$36,_xlfn.IFNA(INDEX(CHOOSE(DP350,DB$13:DB$70,DC$13:DC$70,DD$13:DD$70,DE$13:DE$70),MATCH(1,($BR350=$CV$13:$CV$70)*($BT350=$CX$13:$CX$70)*($CE350=$CY$13:$CY$70)*($BY350=$DA$13:$DA$70)*($CD350=$DH$13:$DH$70),0)),""))</f>
        <v/>
      </c>
      <c r="DM350" s="740" t="str" cm="1">
        <f t="array" ref="DM350">IF(AND($BT350=4,$BX350=4,$BU350=999),$DD$36,_xlfn.IFNA(INDEX(DD$13:DD$68,MATCH(1,($BR350=$CV$13:$CV$68)*($BT350=$CX$13:$CX$68)*($CE350=$CY$13:$CY$68)*($BY350=$DA$13:$DA$68)*($CD350=$DH$13:$DH$68),0)),""))</f>
        <v/>
      </c>
      <c r="DN350" s="740" t="str" cm="1">
        <f t="array" ref="DN350">IF(AND($BT350=4,$BX350=4,$BU350=999),$DD$36,_xlfn.IFNA(INDEX(DE$13:DE$68,MATCH(1,($BR350=$CV$13:$CV$68)*($BT350=$CX$13:$CX$68)*($CE350=$CY$13:$CY$68)*($BY350=$DA$13:$DA$68)*($CD350=$DH$13:$DH$68),0)),""))</f>
        <v/>
      </c>
      <c r="DO350" s="58" t="str" cm="1">
        <f t="array" ref="DO350">IF(AND($BT350=4,$BX350=4,$BU350=999),$DF$36,_xlfn.IFNA(INDEX(DF$13:DF$70,MATCH(1,($BR350=$CV$13:$CV$70)*($BT350=$CX$13:$CX$70)*($CE350=$CY$13:$CY$70)*($BY350=$DA$13:$DA$70)*($CD350=$DH$13:$DH$70),0)),""))</f>
        <v/>
      </c>
      <c r="DP350" s="58" t="e">
        <f t="shared" si="574"/>
        <v>#N/A</v>
      </c>
      <c r="EU350" s="58">
        <f t="shared" si="552"/>
        <v>0</v>
      </c>
      <c r="EV350" s="58">
        <f t="shared" si="553"/>
        <v>0</v>
      </c>
      <c r="EW350" s="58">
        <f t="shared" si="554"/>
        <v>0</v>
      </c>
      <c r="EX350" s="58">
        <f t="shared" si="555"/>
        <v>0</v>
      </c>
      <c r="EZ350" s="58">
        <f t="shared" si="556"/>
        <v>0</v>
      </c>
      <c r="FA350" s="58">
        <f t="shared" si="557"/>
        <v>0</v>
      </c>
      <c r="FB350" s="58">
        <f>IF(i_eff_inputs_based_on_num=2,ED350,(INDEX(Lists!$L$51:$L$85,MATCH(O350,Lists!$K$51:$K$85,0))))</f>
        <v>0</v>
      </c>
      <c r="FC350" s="58">
        <f>IF(i_eff_inputs_based_on_num=2,EE350,(INDEX(Lists!$L$51:$L$85,MATCH(P350,Lists!$K$51:$K$85,0))))</f>
        <v>0</v>
      </c>
      <c r="FD350" s="58">
        <f>IF(i_eff_inputs_based_on_num=2,EF350,(INDEX(Lists!$L$51:$L$85,MATCH(Q350,Lists!$K$51:$K$85,0))))</f>
        <v>0</v>
      </c>
      <c r="FG350" s="58">
        <f t="shared" si="575"/>
        <v>0</v>
      </c>
      <c r="FH350" s="58">
        <f t="shared" si="576"/>
        <v>0</v>
      </c>
      <c r="FI350" s="58">
        <f t="shared" si="577"/>
        <v>0</v>
      </c>
      <c r="FJ350" s="58">
        <f t="shared" si="578"/>
        <v>0</v>
      </c>
      <c r="FL350" s="58">
        <f t="shared" si="579"/>
        <v>0</v>
      </c>
      <c r="FM350" s="58">
        <f t="shared" si="580"/>
        <v>0</v>
      </c>
      <c r="FN350" s="58">
        <f>IF(i_eff_inputs_based_on_num=2,EP350,(INDEX(Lists!$L$51:$L$85,MATCH(AA350,Lists!$K$51:$K$85,0))))</f>
        <v>0</v>
      </c>
      <c r="FO350" s="58">
        <f>IF(i_eff_inputs_based_on_num=2,EQ350,(INDEX(Lists!$L$51:$L$85,MATCH(AB350,Lists!$K$51:$K$85,0))))</f>
        <v>0</v>
      </c>
      <c r="FP350" s="58">
        <f>IF(i_eff_inputs_based_on_num=2,ER350,(INDEX(Lists!$L$51:$L$85,MATCH(AC350,Lists!$K$51:$K$85,0))))</f>
        <v>0</v>
      </c>
      <c r="FT350" s="58">
        <f t="shared" si="581"/>
        <v>0</v>
      </c>
      <c r="FW350" s="58">
        <f>IF(i_baseline_risk_from=2,'Effectiveness settings'!EW350,'Effectiveness settings'!FI350)</f>
        <v>0</v>
      </c>
      <c r="FX350" s="58">
        <f t="shared" si="582"/>
        <v>0</v>
      </c>
      <c r="FY350" s="58">
        <f t="shared" si="583"/>
        <v>0</v>
      </c>
      <c r="FZ350" s="58">
        <f t="shared" si="584"/>
        <v>0</v>
      </c>
      <c r="GA350" s="58">
        <f t="shared" si="585"/>
        <v>0</v>
      </c>
      <c r="GB350" s="58">
        <f t="shared" si="586"/>
        <v>0</v>
      </c>
      <c r="GC350" s="58">
        <f t="shared" si="587"/>
        <v>0</v>
      </c>
      <c r="GD350" s="58">
        <f t="shared" si="588"/>
        <v>0</v>
      </c>
      <c r="GE350" s="58">
        <f>IF(AND(dd_CheckMate214_TTD="Yes",'Effectiveness settings'!BU350=2,'Effectiveness settings'!BX350=2),"Apply HR to",GD350)</f>
        <v>0</v>
      </c>
      <c r="GF350" s="58">
        <f t="shared" si="589"/>
        <v>0</v>
      </c>
      <c r="GG350" s="58">
        <f t="shared" si="590"/>
        <v>0</v>
      </c>
      <c r="GH350" s="58">
        <f t="shared" si="591"/>
        <v>0</v>
      </c>
      <c r="GI350" s="58">
        <f t="shared" si="571"/>
        <v>0</v>
      </c>
      <c r="GK350" s="58">
        <f>IF(i_baseline_risk_from=2,'Effectiveness settings'!FA350,'Effectiveness settings'!FM350)</f>
        <v>0</v>
      </c>
      <c r="GL350" s="58">
        <f>IF(i_baseline_risk_from=2,'Effectiveness settings'!FB350,'Effectiveness settings'!FN350)</f>
        <v>0</v>
      </c>
      <c r="GM350" s="58">
        <f>IF(i_baseline_risk_from=2,'Effectiveness settings'!FC350,'Effectiveness settings'!FO350)</f>
        <v>0</v>
      </c>
      <c r="GN350" s="58">
        <f>IF(i_baseline_risk_from=2,'Effectiveness settings'!FD350,'Effectiveness settings'!FP350)</f>
        <v>0</v>
      </c>
      <c r="GQ350" s="58">
        <f t="shared" si="592"/>
        <v>0</v>
      </c>
      <c r="GR350" s="58">
        <f t="shared" si="593"/>
        <v>0</v>
      </c>
      <c r="GS350" s="58">
        <f t="shared" si="594"/>
        <v>0</v>
      </c>
      <c r="GT350" s="58">
        <f t="shared" si="595"/>
        <v>0</v>
      </c>
      <c r="GU350" s="58">
        <f>IF(AND(dd_CheckMate214_TTD="Yes",'Effectiveness settings'!BU350=2,'Effectiveness settings'!BX350=2),2,GT350)</f>
        <v>0</v>
      </c>
      <c r="GV350" s="58">
        <f t="shared" si="596"/>
        <v>0</v>
      </c>
      <c r="GW350" s="58">
        <f t="shared" si="597"/>
        <v>0</v>
      </c>
      <c r="GY350" s="58">
        <f>IF(AND(dd_CheckMate214_TTD="Yes",'Effectiveness settings'!BU350=2,'Effectiveness settings'!BX350=2),1,GN350)</f>
        <v>0</v>
      </c>
      <c r="GZ350" s="58">
        <f t="shared" si="598"/>
        <v>0</v>
      </c>
      <c r="HB350" s="58">
        <f t="shared" si="599"/>
        <v>0</v>
      </c>
      <c r="HD350" s="58">
        <f t="shared" si="566"/>
        <v>0</v>
      </c>
      <c r="HE350" s="58">
        <f t="shared" si="567"/>
        <v>0</v>
      </c>
      <c r="HF350" s="58">
        <f t="shared" si="568"/>
        <v>0</v>
      </c>
      <c r="HG350" s="58">
        <f t="shared" si="569"/>
        <v>0</v>
      </c>
      <c r="HH350" s="58">
        <f t="shared" si="570"/>
        <v>0</v>
      </c>
    </row>
    <row r="351" spans="3:216" ht="15.75" hidden="1" x14ac:dyDescent="0.25">
      <c r="I351" s="64"/>
      <c r="J351" s="519"/>
      <c r="K351" s="524"/>
      <c r="L351" s="519"/>
      <c r="M351" s="516"/>
      <c r="N351" s="64"/>
      <c r="O351" s="64"/>
      <c r="P351" s="64"/>
      <c r="Q351" s="519" t="s">
        <v>557</v>
      </c>
      <c r="R351" s="516"/>
      <c r="S351" s="497"/>
      <c r="T351" s="497"/>
      <c r="U351" s="497"/>
      <c r="X351" s="64"/>
      <c r="Y351" s="519"/>
      <c r="Z351" s="516"/>
      <c r="AA351" s="519"/>
      <c r="AB351" s="619"/>
      <c r="AC351" s="64"/>
      <c r="AD351" s="618"/>
      <c r="AE351" s="618"/>
      <c r="AF351" s="620"/>
      <c r="AG351" s="516"/>
      <c r="AH351" s="497"/>
      <c r="AI351" s="497"/>
      <c r="AJ351" s="497"/>
      <c r="AL351" s="64"/>
      <c r="AM351" s="519"/>
      <c r="AN351" s="516"/>
      <c r="AO351" s="620"/>
      <c r="AP351" s="619"/>
      <c r="AQ351" s="64"/>
      <c r="AR351" s="618"/>
      <c r="AS351" s="618"/>
      <c r="AT351" s="627"/>
      <c r="AU351" s="516"/>
      <c r="AV351" s="65"/>
      <c r="AW351" s="65"/>
      <c r="AX351" s="65"/>
      <c r="AZ351" s="64"/>
      <c r="BA351" s="519"/>
      <c r="BB351" s="516"/>
      <c r="BC351" s="620"/>
      <c r="BD351" s="619"/>
      <c r="BE351" s="64"/>
      <c r="BF351" s="618"/>
      <c r="BG351" s="618"/>
      <c r="BH351" s="627"/>
      <c r="BI351" s="516"/>
      <c r="BJ351" s="65"/>
      <c r="BK351" s="65"/>
      <c r="BL351" s="65"/>
      <c r="BQ351" s="58">
        <f t="shared" si="573"/>
        <v>210</v>
      </c>
      <c r="BR351" s="61"/>
      <c r="BS351" s="61"/>
      <c r="BT351" s="17"/>
      <c r="BU351" s="17"/>
      <c r="BV351" s="17"/>
      <c r="BW351" s="17"/>
      <c r="BX351" s="61"/>
      <c r="BY351" s="531"/>
      <c r="BZ351" s="530"/>
      <c r="CA351" s="531"/>
      <c r="CB351" s="530"/>
      <c r="CC351" s="530"/>
      <c r="CD351" s="530"/>
      <c r="CE351" s="1295"/>
      <c r="CF351" s="1301"/>
      <c r="CG351" s="530"/>
      <c r="CH351" s="61"/>
      <c r="CI351" s="61"/>
      <c r="CJ351" s="61"/>
      <c r="DK351" s="58" t="str" cm="1">
        <f t="array" ref="DK351">IF(AND($BT351=4,$BX351=4,$BU351=999),$DB$36,_xlfn.IFNA(INDEX(DB$13:DB$70,MATCH(1,($BR351=$CV$13:$CV$70)*($BT351=$CX$13:$CX$70)*($CE351=$CY$13:$CY$70)*($BY351=$DA$13:$DA$70)*($CD351=$DH$13:$DH$70),0)),""))</f>
        <v/>
      </c>
      <c r="DL351" s="58" t="str" cm="1">
        <f t="array" ref="DL351">IF(AND($BT351=4,$BX351=4,$BU351=999),$DC$36,_xlfn.IFNA(INDEX(CHOOSE(DP351,DB$13:DB$70,DC$13:DC$70,DD$13:DD$70,DE$13:DE$70),MATCH(1,($BR351=$CV$13:$CV$70)*($BT351=$CX$13:$CX$70)*($CE351=$CY$13:$CY$70)*($BY351=$DA$13:$DA$70)*($CD351=$DH$13:$DH$70),0)),""))</f>
        <v/>
      </c>
      <c r="DM351" s="740" t="str" cm="1">
        <f t="array" ref="DM351">IF(AND($BT351=4,$BX351=4,$BU351=999),$DD$36,_xlfn.IFNA(INDEX(DD$13:DD$68,MATCH(1,($BR351=$CV$13:$CV$68)*($BT351=$CX$13:$CX$68)*($CE351=$CY$13:$CY$68)*($BY351=$DA$13:$DA$68)*($CD351=$DH$13:$DH$68),0)),""))</f>
        <v/>
      </c>
      <c r="DN351" s="740" t="str" cm="1">
        <f t="array" ref="DN351">IF(AND($BT351=4,$BX351=4,$BU351=999),$DD$36,_xlfn.IFNA(INDEX(DE$13:DE$68,MATCH(1,($BR351=$CV$13:$CV$68)*($BT351=$CX$13:$CX$68)*($CE351=$CY$13:$CY$68)*($BY351=$DA$13:$DA$68)*($CD351=$DH$13:$DH$68),0)),""))</f>
        <v/>
      </c>
      <c r="DO351" s="58" t="str" cm="1">
        <f t="array" ref="DO351">IF(AND($BT351=4,$BX351=4,$BU351=999),$DF$36,_xlfn.IFNA(INDEX(DF$13:DF$70,MATCH(1,($BR351=$CV$13:$CV$70)*($BT351=$CX$13:$CX$70)*($CE351=$CY$13:$CY$70)*($BY351=$DA$13:$DA$70)*($CD351=$DH$13:$DH$70),0)),""))</f>
        <v/>
      </c>
      <c r="DP351" s="58" t="e">
        <f t="shared" si="574"/>
        <v>#N/A</v>
      </c>
      <c r="EU351" s="58">
        <f t="shared" ref="EU351:EU377" si="600">IF(i_eff_inputs_based_on_num=2,DW351,I351)</f>
        <v>0</v>
      </c>
      <c r="EV351" s="58">
        <f t="shared" ref="EV351:EV377" si="601">IF(i_eff_inputs_based_on_num=2,DX351,J351)</f>
        <v>0</v>
      </c>
      <c r="EW351" s="58">
        <f t="shared" ref="EW351:EW377" si="602">IF(i_eff_inputs_based_on_num=2,DY351,K351)</f>
        <v>0</v>
      </c>
      <c r="EX351" s="58">
        <f t="shared" ref="EX351:EX377" si="603">IF(i_eff_inputs_based_on_num=2,DZ351,L351)</f>
        <v>0</v>
      </c>
      <c r="EZ351" s="58">
        <f t="shared" ref="EZ351:EZ377" si="604">IF(i_eff_inputs_based_on_num=2,EB351,VLOOKUP(M351,r_pld_lookup_line,3,FALSE))</f>
        <v>0</v>
      </c>
      <c r="FA351" s="58">
        <f t="shared" ref="FA351:FA377" si="605">IF(i_eff_inputs_based_on_num=2,EC351,VLOOKUP(N351,r_pld_lookup_line,3,FALSE))</f>
        <v>0</v>
      </c>
      <c r="FB351" s="58">
        <f>IF(i_eff_inputs_based_on_num=2,ED351,(INDEX(Lists!$L$51:$L$85,MATCH(O351,Lists!$K$51:$K$85,0))))</f>
        <v>0</v>
      </c>
      <c r="FC351" s="58">
        <f>IF(i_eff_inputs_based_on_num=2,EE351,(INDEX(Lists!$L$51:$L$85,MATCH(P351,Lists!$K$51:$K$85,0))))</f>
        <v>0</v>
      </c>
      <c r="FD351" s="58">
        <f>IF(i_eff_inputs_based_on_num=2,EF351,(INDEX(Lists!$L$51:$L$85,MATCH(Q351,Lists!$K$51:$K$85,0))))</f>
        <v>0</v>
      </c>
      <c r="FG351" s="58">
        <f t="shared" si="575"/>
        <v>0</v>
      </c>
      <c r="FH351" s="58">
        <f t="shared" si="576"/>
        <v>0</v>
      </c>
      <c r="FI351" s="58">
        <f t="shared" si="577"/>
        <v>0</v>
      </c>
      <c r="FJ351" s="58">
        <f t="shared" si="578"/>
        <v>0</v>
      </c>
      <c r="FL351" s="58">
        <f t="shared" si="579"/>
        <v>0</v>
      </c>
      <c r="FM351" s="58">
        <f t="shared" si="580"/>
        <v>0</v>
      </c>
      <c r="FN351" s="58">
        <f>IF(i_eff_inputs_based_on_num=2,EP351,(INDEX(Lists!$L$51:$L$85,MATCH(AA351,Lists!$K$51:$K$85,0))))</f>
        <v>0</v>
      </c>
      <c r="FO351" s="58">
        <f>IF(i_eff_inputs_based_on_num=2,EQ351,(INDEX(Lists!$L$51:$L$85,MATCH(AB351,Lists!$K$51:$K$85,0))))</f>
        <v>0</v>
      </c>
      <c r="FP351" s="58">
        <f>IF(i_eff_inputs_based_on_num=2,ER351,(INDEX(Lists!$L$51:$L$85,MATCH(AC351,Lists!$K$51:$K$85,0))))</f>
        <v>0</v>
      </c>
      <c r="FT351" s="58">
        <f t="shared" si="581"/>
        <v>0</v>
      </c>
      <c r="FW351" s="58">
        <f>IF(i_baseline_risk_from=2,'Effectiveness settings'!EW351,'Effectiveness settings'!FI351)</f>
        <v>0</v>
      </c>
      <c r="FX351" s="58">
        <f t="shared" si="582"/>
        <v>0</v>
      </c>
      <c r="FY351" s="58">
        <f t="shared" si="583"/>
        <v>0</v>
      </c>
      <c r="FZ351" s="58">
        <f t="shared" si="584"/>
        <v>0</v>
      </c>
      <c r="GA351" s="58">
        <f t="shared" si="585"/>
        <v>0</v>
      </c>
      <c r="GB351" s="58">
        <f t="shared" si="586"/>
        <v>0</v>
      </c>
      <c r="GC351" s="58">
        <f t="shared" si="587"/>
        <v>0</v>
      </c>
      <c r="GD351" s="58">
        <f t="shared" si="588"/>
        <v>0</v>
      </c>
      <c r="GE351" s="58">
        <f>IF(AND(dd_CheckMate214_TTD="Yes",'Effectiveness settings'!BU351=2,'Effectiveness settings'!BX351=2),"Apply HR to",GD351)</f>
        <v>0</v>
      </c>
      <c r="GF351" s="58">
        <f t="shared" si="589"/>
        <v>0</v>
      </c>
      <c r="GG351" s="58">
        <f t="shared" si="590"/>
        <v>0</v>
      </c>
      <c r="GH351" s="58">
        <f t="shared" si="591"/>
        <v>0</v>
      </c>
      <c r="GI351" s="58">
        <f t="shared" si="571"/>
        <v>0</v>
      </c>
      <c r="GK351" s="58">
        <f>IF(i_baseline_risk_from=2,'Effectiveness settings'!FA351,'Effectiveness settings'!FM351)</f>
        <v>0</v>
      </c>
      <c r="GL351" s="58">
        <f>IF(i_baseline_risk_from=2,'Effectiveness settings'!FB351,'Effectiveness settings'!FN351)</f>
        <v>0</v>
      </c>
      <c r="GM351" s="58">
        <f>IF(i_baseline_risk_from=2,'Effectiveness settings'!FC351,'Effectiveness settings'!FO351)</f>
        <v>0</v>
      </c>
      <c r="GN351" s="58">
        <f>IF(i_baseline_risk_from=2,'Effectiveness settings'!FD351,'Effectiveness settings'!FP351)</f>
        <v>0</v>
      </c>
      <c r="GQ351" s="58">
        <f t="shared" si="592"/>
        <v>0</v>
      </c>
      <c r="GR351" s="58">
        <f t="shared" si="593"/>
        <v>0</v>
      </c>
      <c r="GS351" s="58">
        <f t="shared" si="594"/>
        <v>0</v>
      </c>
      <c r="GT351" s="58">
        <f t="shared" si="595"/>
        <v>0</v>
      </c>
      <c r="GU351" s="58">
        <f>IF(AND(dd_CheckMate214_TTD="Yes",'Effectiveness settings'!BU351=2,'Effectiveness settings'!BX351=2),2,GT351)</f>
        <v>0</v>
      </c>
      <c r="GV351" s="58">
        <f t="shared" si="596"/>
        <v>0</v>
      </c>
      <c r="GW351" s="58">
        <f t="shared" si="597"/>
        <v>0</v>
      </c>
      <c r="GY351" s="58">
        <f>IF(AND(dd_CheckMate214_TTD="Yes",'Effectiveness settings'!BU351=2,'Effectiveness settings'!BX351=2),1,GN351)</f>
        <v>0</v>
      </c>
      <c r="GZ351" s="58">
        <f t="shared" si="598"/>
        <v>0</v>
      </c>
      <c r="HB351" s="58">
        <f t="shared" si="599"/>
        <v>0</v>
      </c>
      <c r="HD351" s="58">
        <f t="shared" si="566"/>
        <v>0</v>
      </c>
      <c r="HE351" s="58">
        <f t="shared" si="567"/>
        <v>0</v>
      </c>
      <c r="HF351" s="58">
        <f t="shared" si="568"/>
        <v>0</v>
      </c>
      <c r="HG351" s="58">
        <f t="shared" si="569"/>
        <v>0</v>
      </c>
      <c r="HH351" s="58">
        <f t="shared" si="570"/>
        <v>0</v>
      </c>
    </row>
    <row r="352" spans="3:216" ht="15.75" hidden="1" x14ac:dyDescent="0.25">
      <c r="I352" s="64"/>
      <c r="J352" s="519"/>
      <c r="K352" s="524"/>
      <c r="L352" s="519"/>
      <c r="M352" s="516"/>
      <c r="N352" s="64"/>
      <c r="O352" s="64"/>
      <c r="P352" s="64"/>
      <c r="Q352" s="519" t="s">
        <v>557</v>
      </c>
      <c r="R352" s="516"/>
      <c r="S352" s="497"/>
      <c r="T352" s="497"/>
      <c r="U352" s="497"/>
      <c r="X352" s="64"/>
      <c r="Y352" s="519"/>
      <c r="Z352" s="516"/>
      <c r="AA352" s="519"/>
      <c r="AB352" s="619"/>
      <c r="AC352" s="64"/>
      <c r="AD352" s="618"/>
      <c r="AE352" s="618"/>
      <c r="AF352" s="620"/>
      <c r="AG352" s="516"/>
      <c r="AH352" s="497"/>
      <c r="AI352" s="497"/>
      <c r="AJ352" s="497"/>
      <c r="AL352" s="64"/>
      <c r="AM352" s="519"/>
      <c r="AN352" s="516"/>
      <c r="AO352" s="620"/>
      <c r="AP352" s="619"/>
      <c r="AQ352" s="64"/>
      <c r="AR352" s="618"/>
      <c r="AS352" s="618"/>
      <c r="AT352" s="627"/>
      <c r="AU352" s="516"/>
      <c r="AV352" s="65"/>
      <c r="AW352" s="65"/>
      <c r="AX352" s="65"/>
      <c r="AZ352" s="64"/>
      <c r="BA352" s="519"/>
      <c r="BB352" s="516"/>
      <c r="BC352" s="620"/>
      <c r="BD352" s="619"/>
      <c r="BE352" s="64"/>
      <c r="BF352" s="618"/>
      <c r="BG352" s="618"/>
      <c r="BH352" s="627"/>
      <c r="BI352" s="516"/>
      <c r="BJ352" s="65"/>
      <c r="BK352" s="65"/>
      <c r="BL352" s="65"/>
      <c r="BQ352" s="58">
        <f t="shared" si="573"/>
        <v>210</v>
      </c>
      <c r="BR352" s="61"/>
      <c r="BS352" s="61"/>
      <c r="BT352" s="17"/>
      <c r="BU352" s="17"/>
      <c r="BV352" s="17"/>
      <c r="BW352" s="17"/>
      <c r="BX352" s="61"/>
      <c r="BY352" s="531"/>
      <c r="BZ352" s="530"/>
      <c r="CA352" s="531"/>
      <c r="CB352" s="530"/>
      <c r="CC352" s="530"/>
      <c r="CD352" s="530"/>
      <c r="CE352" s="1295"/>
      <c r="CF352" s="1301"/>
      <c r="CG352" s="530"/>
      <c r="CH352" s="61"/>
      <c r="CI352" s="61"/>
      <c r="CJ352" s="61"/>
      <c r="DK352" s="58" t="str" cm="1">
        <f t="array" ref="DK352">IF(AND($BT352=4,$BX352=4,$BU352=999),$DB$36,_xlfn.IFNA(INDEX(DB$13:DB$70,MATCH(1,($BR352=$CV$13:$CV$70)*($BT352=$CX$13:$CX$70)*($CE352=$CY$13:$CY$70)*($BY352=$DA$13:$DA$70)*($CD352=$DH$13:$DH$70),0)),""))</f>
        <v/>
      </c>
      <c r="DL352" s="58" t="str" cm="1">
        <f t="array" ref="DL352">IF(AND($BT352=4,$BX352=4,$BU352=999),$DC$36,_xlfn.IFNA(INDEX(CHOOSE(DP352,DB$13:DB$70,DC$13:DC$70,DD$13:DD$70,DE$13:DE$70),MATCH(1,($BR352=$CV$13:$CV$70)*($BT352=$CX$13:$CX$70)*($CE352=$CY$13:$CY$70)*($BY352=$DA$13:$DA$70)*($CD352=$DH$13:$DH$70),0)),""))</f>
        <v/>
      </c>
      <c r="DM352" s="740" t="str" cm="1">
        <f t="array" ref="DM352">IF(AND($BT352=4,$BX352=4,$BU352=999),$DD$36,_xlfn.IFNA(INDEX(DD$13:DD$68,MATCH(1,($BR352=$CV$13:$CV$68)*($BT352=$CX$13:$CX$68)*($CE352=$CY$13:$CY$68)*($BY352=$DA$13:$DA$68)*($CD352=$DH$13:$DH$68),0)),""))</f>
        <v/>
      </c>
      <c r="DN352" s="740" t="str" cm="1">
        <f t="array" ref="DN352">IF(AND($BT352=4,$BX352=4,$BU352=999),$DD$36,_xlfn.IFNA(INDEX(DE$13:DE$68,MATCH(1,($BR352=$CV$13:$CV$68)*($BT352=$CX$13:$CX$68)*($CE352=$CY$13:$CY$68)*($BY352=$DA$13:$DA$68)*($CD352=$DH$13:$DH$68),0)),""))</f>
        <v/>
      </c>
      <c r="DO352" s="58" t="str" cm="1">
        <f t="array" ref="DO352">IF(AND($BT352=4,$BX352=4,$BU352=999),$DF$36,_xlfn.IFNA(INDEX(DF$13:DF$70,MATCH(1,($BR352=$CV$13:$CV$70)*($BT352=$CX$13:$CX$70)*($CE352=$CY$13:$CY$70)*($BY352=$DA$13:$DA$70)*($CD352=$DH$13:$DH$70),0)),""))</f>
        <v/>
      </c>
      <c r="DP352" s="58" t="e">
        <f t="shared" si="574"/>
        <v>#N/A</v>
      </c>
      <c r="EU352" s="58">
        <f t="shared" si="600"/>
        <v>0</v>
      </c>
      <c r="EV352" s="58">
        <f t="shared" si="601"/>
        <v>0</v>
      </c>
      <c r="EW352" s="58">
        <f t="shared" si="602"/>
        <v>0</v>
      </c>
      <c r="EX352" s="58">
        <f t="shared" si="603"/>
        <v>0</v>
      </c>
      <c r="EZ352" s="58">
        <f t="shared" si="604"/>
        <v>0</v>
      </c>
      <c r="FA352" s="58">
        <f t="shared" si="605"/>
        <v>0</v>
      </c>
      <c r="FB352" s="58">
        <f>IF(i_eff_inputs_based_on_num=2,ED352,(INDEX(Lists!$L$51:$L$85,MATCH(O352,Lists!$K$51:$K$85,0))))</f>
        <v>0</v>
      </c>
      <c r="FC352" s="58">
        <f>IF(i_eff_inputs_based_on_num=2,EE352,(INDEX(Lists!$L$51:$L$85,MATCH(P352,Lists!$K$51:$K$85,0))))</f>
        <v>0</v>
      </c>
      <c r="FD352" s="58">
        <f>IF(i_eff_inputs_based_on_num=2,EF352,(INDEX(Lists!$L$51:$L$85,MATCH(Q352,Lists!$K$51:$K$85,0))))</f>
        <v>0</v>
      </c>
      <c r="FG352" s="58">
        <f t="shared" si="575"/>
        <v>0</v>
      </c>
      <c r="FH352" s="58">
        <f t="shared" si="576"/>
        <v>0</v>
      </c>
      <c r="FI352" s="58">
        <f t="shared" si="577"/>
        <v>0</v>
      </c>
      <c r="FJ352" s="58">
        <f t="shared" si="578"/>
        <v>0</v>
      </c>
      <c r="FL352" s="58">
        <f t="shared" si="579"/>
        <v>0</v>
      </c>
      <c r="FM352" s="58">
        <f t="shared" si="580"/>
        <v>0</v>
      </c>
      <c r="FN352" s="58">
        <f>IF(i_eff_inputs_based_on_num=2,EP352,(INDEX(Lists!$L$51:$L$85,MATCH(AA352,Lists!$K$51:$K$85,0))))</f>
        <v>0</v>
      </c>
      <c r="FO352" s="58">
        <f>IF(i_eff_inputs_based_on_num=2,EQ352,(INDEX(Lists!$L$51:$L$85,MATCH(AB352,Lists!$K$51:$K$85,0))))</f>
        <v>0</v>
      </c>
      <c r="FP352" s="58">
        <f>IF(i_eff_inputs_based_on_num=2,ER352,(INDEX(Lists!$L$51:$L$85,MATCH(AC352,Lists!$K$51:$K$85,0))))</f>
        <v>0</v>
      </c>
      <c r="FT352" s="58">
        <f t="shared" si="581"/>
        <v>0</v>
      </c>
      <c r="FW352" s="58">
        <f>IF(i_baseline_risk_from=2,'Effectiveness settings'!EW352,'Effectiveness settings'!FI352)</f>
        <v>0</v>
      </c>
      <c r="FX352" s="58">
        <f t="shared" si="582"/>
        <v>0</v>
      </c>
      <c r="FY352" s="58">
        <f t="shared" si="583"/>
        <v>0</v>
      </c>
      <c r="FZ352" s="58">
        <f t="shared" si="584"/>
        <v>0</v>
      </c>
      <c r="GA352" s="58">
        <f t="shared" si="585"/>
        <v>0</v>
      </c>
      <c r="GB352" s="58">
        <f t="shared" si="586"/>
        <v>0</v>
      </c>
      <c r="GC352" s="58">
        <f t="shared" si="587"/>
        <v>0</v>
      </c>
      <c r="GD352" s="58">
        <f t="shared" si="588"/>
        <v>0</v>
      </c>
      <c r="GE352" s="58">
        <f>IF(AND(dd_CheckMate214_TTD="Yes",'Effectiveness settings'!BU352=2,'Effectiveness settings'!BX352=2),"Apply HR to",GD352)</f>
        <v>0</v>
      </c>
      <c r="GF352" s="58">
        <f t="shared" si="589"/>
        <v>0</v>
      </c>
      <c r="GG352" s="58">
        <f t="shared" si="590"/>
        <v>0</v>
      </c>
      <c r="GH352" s="58">
        <f t="shared" si="591"/>
        <v>0</v>
      </c>
      <c r="GI352" s="58">
        <f t="shared" si="571"/>
        <v>0</v>
      </c>
      <c r="GK352" s="58">
        <f>IF(i_baseline_risk_from=2,'Effectiveness settings'!FA352,'Effectiveness settings'!FM352)</f>
        <v>0</v>
      </c>
      <c r="GL352" s="58">
        <f>IF(i_baseline_risk_from=2,'Effectiveness settings'!FB352,'Effectiveness settings'!FN352)</f>
        <v>0</v>
      </c>
      <c r="GM352" s="58">
        <f>IF(i_baseline_risk_from=2,'Effectiveness settings'!FC352,'Effectiveness settings'!FO352)</f>
        <v>0</v>
      </c>
      <c r="GN352" s="58">
        <f>IF(i_baseline_risk_from=2,'Effectiveness settings'!FD352,'Effectiveness settings'!FP352)</f>
        <v>0</v>
      </c>
      <c r="GQ352" s="58">
        <f t="shared" si="592"/>
        <v>0</v>
      </c>
      <c r="GR352" s="58">
        <f t="shared" si="593"/>
        <v>0</v>
      </c>
      <c r="GS352" s="58">
        <f t="shared" si="594"/>
        <v>0</v>
      </c>
      <c r="GT352" s="58">
        <f t="shared" si="595"/>
        <v>0</v>
      </c>
      <c r="GU352" s="58">
        <f>IF(AND(dd_CheckMate214_TTD="Yes",'Effectiveness settings'!BU352=2,'Effectiveness settings'!BX352=2),2,GT352)</f>
        <v>0</v>
      </c>
      <c r="GV352" s="58">
        <f t="shared" si="596"/>
        <v>0</v>
      </c>
      <c r="GW352" s="58">
        <f t="shared" si="597"/>
        <v>0</v>
      </c>
      <c r="GY352" s="58">
        <f>IF(AND(dd_CheckMate214_TTD="Yes",'Effectiveness settings'!BU352=2,'Effectiveness settings'!BX352=2),1,GN352)</f>
        <v>0</v>
      </c>
      <c r="GZ352" s="58">
        <f t="shared" si="598"/>
        <v>0</v>
      </c>
      <c r="HB352" s="58">
        <f t="shared" si="599"/>
        <v>0</v>
      </c>
      <c r="HD352" s="58">
        <f t="shared" si="566"/>
        <v>0</v>
      </c>
      <c r="HE352" s="58">
        <f t="shared" si="567"/>
        <v>0</v>
      </c>
      <c r="HF352" s="58">
        <f t="shared" si="568"/>
        <v>0</v>
      </c>
      <c r="HG352" s="58">
        <f t="shared" si="569"/>
        <v>0</v>
      </c>
      <c r="HH352" s="58">
        <f t="shared" si="570"/>
        <v>0</v>
      </c>
    </row>
    <row r="353" spans="9:216" ht="15.75" hidden="1" x14ac:dyDescent="0.25">
      <c r="I353" s="64"/>
      <c r="J353" s="519"/>
      <c r="K353" s="524"/>
      <c r="L353" s="519"/>
      <c r="M353" s="516"/>
      <c r="N353" s="64"/>
      <c r="O353" s="64"/>
      <c r="P353" s="64"/>
      <c r="Q353" s="519" t="s">
        <v>557</v>
      </c>
      <c r="R353" s="516"/>
      <c r="S353" s="497"/>
      <c r="T353" s="497"/>
      <c r="U353" s="497"/>
      <c r="X353" s="64"/>
      <c r="Y353" s="519"/>
      <c r="Z353" s="516"/>
      <c r="AA353" s="519"/>
      <c r="AB353" s="619"/>
      <c r="AC353" s="64"/>
      <c r="AD353" s="618"/>
      <c r="AE353" s="618"/>
      <c r="AF353" s="620"/>
      <c r="AG353" s="516"/>
      <c r="AH353" s="497"/>
      <c r="AI353" s="497"/>
      <c r="AJ353" s="497"/>
      <c r="AL353" s="64"/>
      <c r="AM353" s="519"/>
      <c r="AN353" s="516"/>
      <c r="AO353" s="620"/>
      <c r="AP353" s="619"/>
      <c r="AQ353" s="64"/>
      <c r="AR353" s="618"/>
      <c r="AS353" s="618"/>
      <c r="AT353" s="627"/>
      <c r="AU353" s="516"/>
      <c r="AV353" s="65"/>
      <c r="AW353" s="65"/>
      <c r="AX353" s="65"/>
      <c r="AZ353" s="64"/>
      <c r="BA353" s="519"/>
      <c r="BB353" s="516"/>
      <c r="BC353" s="620"/>
      <c r="BD353" s="619"/>
      <c r="BE353" s="64"/>
      <c r="BF353" s="618"/>
      <c r="BG353" s="618"/>
      <c r="BH353" s="627"/>
      <c r="BI353" s="516"/>
      <c r="BJ353" s="65"/>
      <c r="BK353" s="65"/>
      <c r="BL353" s="65"/>
      <c r="BQ353" s="58">
        <f t="shared" si="573"/>
        <v>210</v>
      </c>
      <c r="BR353" s="61"/>
      <c r="BS353" s="61"/>
      <c r="BT353" s="17"/>
      <c r="BU353" s="17"/>
      <c r="BV353" s="17"/>
      <c r="BW353" s="17"/>
      <c r="BX353" s="61"/>
      <c r="BY353" s="531"/>
      <c r="BZ353" s="530"/>
      <c r="CA353" s="531"/>
      <c r="CB353" s="530"/>
      <c r="CC353" s="530"/>
      <c r="CD353" s="530"/>
      <c r="CE353" s="1295"/>
      <c r="CF353" s="1301"/>
      <c r="CG353" s="530"/>
      <c r="CH353" s="61"/>
      <c r="CI353" s="61"/>
      <c r="CJ353" s="61"/>
      <c r="DK353" s="58" t="str" cm="1">
        <f t="array" ref="DK353">IF(AND($BT353=4,$BX353=4,$BU353=999),$DB$36,_xlfn.IFNA(INDEX(DB$13:DB$70,MATCH(1,($BR353=$CV$13:$CV$70)*($BT353=$CX$13:$CX$70)*($CE353=$CY$13:$CY$70)*($BY353=$DA$13:$DA$70)*($CD353=$DH$13:$DH$70),0)),""))</f>
        <v/>
      </c>
      <c r="DL353" s="58" t="str" cm="1">
        <f t="array" ref="DL353">IF(AND($BT353=4,$BX353=4,$BU353=999),$DC$36,_xlfn.IFNA(INDEX(CHOOSE(DP353,DB$13:DB$70,DC$13:DC$70,DD$13:DD$70,DE$13:DE$70),MATCH(1,($BR353=$CV$13:$CV$70)*($BT353=$CX$13:$CX$70)*($CE353=$CY$13:$CY$70)*($BY353=$DA$13:$DA$70)*($CD353=$DH$13:$DH$70),0)),""))</f>
        <v/>
      </c>
      <c r="DM353" s="740" t="str" cm="1">
        <f t="array" ref="DM353">IF(AND($BT353=4,$BX353=4,$BU353=999),$DD$36,_xlfn.IFNA(INDEX(DD$13:DD$68,MATCH(1,($BR353=$CV$13:$CV$68)*($BT353=$CX$13:$CX$68)*($CE353=$CY$13:$CY$68)*($BY353=$DA$13:$DA$68)*($CD353=$DH$13:$DH$68),0)),""))</f>
        <v/>
      </c>
      <c r="DN353" s="740" t="str" cm="1">
        <f t="array" ref="DN353">IF(AND($BT353=4,$BX353=4,$BU353=999),$DD$36,_xlfn.IFNA(INDEX(DE$13:DE$68,MATCH(1,($BR353=$CV$13:$CV$68)*($BT353=$CX$13:$CX$68)*($CE353=$CY$13:$CY$68)*($BY353=$DA$13:$DA$68)*($CD353=$DH$13:$DH$68),0)),""))</f>
        <v/>
      </c>
      <c r="DO353" s="58" t="str" cm="1">
        <f t="array" ref="DO353">IF(AND($BT353=4,$BX353=4,$BU353=999),$DF$36,_xlfn.IFNA(INDEX(DF$13:DF$70,MATCH(1,($BR353=$CV$13:$CV$70)*($BT353=$CX$13:$CX$70)*($CE353=$CY$13:$CY$70)*($BY353=$DA$13:$DA$70)*($CD353=$DH$13:$DH$70),0)),""))</f>
        <v/>
      </c>
      <c r="DP353" s="58" t="e">
        <f t="shared" si="574"/>
        <v>#N/A</v>
      </c>
      <c r="EU353" s="58">
        <f t="shared" si="600"/>
        <v>0</v>
      </c>
      <c r="EV353" s="58">
        <f t="shared" si="601"/>
        <v>0</v>
      </c>
      <c r="EW353" s="58">
        <f t="shared" si="602"/>
        <v>0</v>
      </c>
      <c r="EX353" s="58">
        <f t="shared" si="603"/>
        <v>0</v>
      </c>
      <c r="EZ353" s="58">
        <f t="shared" si="604"/>
        <v>0</v>
      </c>
      <c r="FA353" s="58">
        <f t="shared" si="605"/>
        <v>0</v>
      </c>
      <c r="FB353" s="58">
        <f>IF(i_eff_inputs_based_on_num=2,ED353,(INDEX(Lists!$L$51:$L$85,MATCH(O353,Lists!$K$51:$K$85,0))))</f>
        <v>0</v>
      </c>
      <c r="FC353" s="58">
        <f>IF(i_eff_inputs_based_on_num=2,EE353,(INDEX(Lists!$L$51:$L$85,MATCH(P353,Lists!$K$51:$K$85,0))))</f>
        <v>0</v>
      </c>
      <c r="FD353" s="58">
        <f>IF(i_eff_inputs_based_on_num=2,EF353,(INDEX(Lists!$L$51:$L$85,MATCH(Q353,Lists!$K$51:$K$85,0))))</f>
        <v>0</v>
      </c>
      <c r="FG353" s="58">
        <f t="shared" si="575"/>
        <v>0</v>
      </c>
      <c r="FH353" s="58">
        <f t="shared" si="576"/>
        <v>0</v>
      </c>
      <c r="FI353" s="58">
        <f t="shared" si="577"/>
        <v>0</v>
      </c>
      <c r="FJ353" s="58">
        <f t="shared" si="578"/>
        <v>0</v>
      </c>
      <c r="FL353" s="58">
        <f t="shared" si="579"/>
        <v>0</v>
      </c>
      <c r="FM353" s="58">
        <f t="shared" si="580"/>
        <v>0</v>
      </c>
      <c r="FN353" s="58">
        <f>IF(i_eff_inputs_based_on_num=2,EP353,(INDEX(Lists!$L$51:$L$85,MATCH(AA353,Lists!$K$51:$K$85,0))))</f>
        <v>0</v>
      </c>
      <c r="FO353" s="58">
        <f>IF(i_eff_inputs_based_on_num=2,EQ353,(INDEX(Lists!$L$51:$L$85,MATCH(AB353,Lists!$K$51:$K$85,0))))</f>
        <v>0</v>
      </c>
      <c r="FP353" s="58">
        <f>IF(i_eff_inputs_based_on_num=2,ER353,(INDEX(Lists!$L$51:$L$85,MATCH(AC353,Lists!$K$51:$K$85,0))))</f>
        <v>0</v>
      </c>
      <c r="FT353" s="58">
        <f t="shared" si="581"/>
        <v>0</v>
      </c>
      <c r="FW353" s="58">
        <f>IF(i_baseline_risk_from=2,'Effectiveness settings'!EW353,'Effectiveness settings'!FI353)</f>
        <v>0</v>
      </c>
      <c r="FX353" s="58">
        <f t="shared" si="582"/>
        <v>0</v>
      </c>
      <c r="FY353" s="58">
        <f t="shared" si="583"/>
        <v>0</v>
      </c>
      <c r="FZ353" s="58">
        <f t="shared" si="584"/>
        <v>0</v>
      </c>
      <c r="GA353" s="58">
        <f t="shared" si="585"/>
        <v>0</v>
      </c>
      <c r="GB353" s="58">
        <f t="shared" si="586"/>
        <v>0</v>
      </c>
      <c r="GC353" s="58">
        <f t="shared" si="587"/>
        <v>0</v>
      </c>
      <c r="GD353" s="58">
        <f t="shared" si="588"/>
        <v>0</v>
      </c>
      <c r="GE353" s="58">
        <f>IF(AND(dd_CheckMate214_TTD="Yes",'Effectiveness settings'!BU353=2,'Effectiveness settings'!BX353=2),"Apply HR to",GD353)</f>
        <v>0</v>
      </c>
      <c r="GF353" s="58">
        <f t="shared" si="589"/>
        <v>0</v>
      </c>
      <c r="GG353" s="58">
        <f t="shared" si="590"/>
        <v>0</v>
      </c>
      <c r="GH353" s="58">
        <f t="shared" si="591"/>
        <v>0</v>
      </c>
      <c r="GI353" s="58">
        <f t="shared" si="571"/>
        <v>0</v>
      </c>
      <c r="GK353" s="58">
        <f>IF(i_baseline_risk_from=2,'Effectiveness settings'!FA353,'Effectiveness settings'!FM353)</f>
        <v>0</v>
      </c>
      <c r="GL353" s="58">
        <f>IF(i_baseline_risk_from=2,'Effectiveness settings'!FB353,'Effectiveness settings'!FN353)</f>
        <v>0</v>
      </c>
      <c r="GM353" s="58">
        <f>IF(i_baseline_risk_from=2,'Effectiveness settings'!FC353,'Effectiveness settings'!FO353)</f>
        <v>0</v>
      </c>
      <c r="GN353" s="58">
        <f>IF(i_baseline_risk_from=2,'Effectiveness settings'!FD353,'Effectiveness settings'!FP353)</f>
        <v>0</v>
      </c>
      <c r="GQ353" s="58">
        <f t="shared" si="592"/>
        <v>0</v>
      </c>
      <c r="GR353" s="58">
        <f t="shared" si="593"/>
        <v>0</v>
      </c>
      <c r="GS353" s="58">
        <f t="shared" si="594"/>
        <v>0</v>
      </c>
      <c r="GT353" s="58">
        <f t="shared" si="595"/>
        <v>0</v>
      </c>
      <c r="GU353" s="58">
        <f>IF(AND(dd_CheckMate214_TTD="Yes",'Effectiveness settings'!BU353=2,'Effectiveness settings'!BX353=2),2,GT353)</f>
        <v>0</v>
      </c>
      <c r="GV353" s="58">
        <f t="shared" si="596"/>
        <v>0</v>
      </c>
      <c r="GW353" s="58">
        <f t="shared" si="597"/>
        <v>0</v>
      </c>
      <c r="GY353" s="58">
        <f>IF(AND(dd_CheckMate214_TTD="Yes",'Effectiveness settings'!BU353=2,'Effectiveness settings'!BX353=2),1,GN353)</f>
        <v>0</v>
      </c>
      <c r="GZ353" s="58">
        <f t="shared" si="598"/>
        <v>0</v>
      </c>
      <c r="HB353" s="58">
        <f t="shared" si="599"/>
        <v>0</v>
      </c>
      <c r="HD353" s="58">
        <f t="shared" si="566"/>
        <v>0</v>
      </c>
      <c r="HE353" s="58">
        <f t="shared" si="567"/>
        <v>0</v>
      </c>
      <c r="HF353" s="58">
        <f t="shared" si="568"/>
        <v>0</v>
      </c>
      <c r="HG353" s="58">
        <f t="shared" si="569"/>
        <v>0</v>
      </c>
      <c r="HH353" s="58">
        <f t="shared" si="570"/>
        <v>0</v>
      </c>
    </row>
    <row r="354" spans="9:216" ht="15.75" hidden="1" x14ac:dyDescent="0.25">
      <c r="I354" s="64"/>
      <c r="J354" s="519"/>
      <c r="K354" s="524"/>
      <c r="L354" s="519"/>
      <c r="M354" s="516"/>
      <c r="N354" s="64"/>
      <c r="O354" s="64"/>
      <c r="P354" s="64"/>
      <c r="Q354" s="519" t="s">
        <v>557</v>
      </c>
      <c r="R354" s="516"/>
      <c r="S354" s="497"/>
      <c r="T354" s="497"/>
      <c r="U354" s="497"/>
      <c r="X354" s="64"/>
      <c r="Y354" s="519"/>
      <c r="Z354" s="516"/>
      <c r="AA354" s="519"/>
      <c r="AB354" s="619"/>
      <c r="AC354" s="64"/>
      <c r="AD354" s="618"/>
      <c r="AE354" s="618"/>
      <c r="AF354" s="620"/>
      <c r="AG354" s="516"/>
      <c r="AH354" s="497"/>
      <c r="AI354" s="497"/>
      <c r="AJ354" s="497"/>
      <c r="AL354" s="64"/>
      <c r="AM354" s="519"/>
      <c r="AN354" s="516"/>
      <c r="AO354" s="620"/>
      <c r="AP354" s="619"/>
      <c r="AQ354" s="64"/>
      <c r="AR354" s="618"/>
      <c r="AS354" s="618"/>
      <c r="AT354" s="627"/>
      <c r="AU354" s="516"/>
      <c r="AV354" s="65"/>
      <c r="AW354" s="65"/>
      <c r="AX354" s="65"/>
      <c r="AZ354" s="64"/>
      <c r="BA354" s="519"/>
      <c r="BB354" s="516"/>
      <c r="BC354" s="620"/>
      <c r="BD354" s="619"/>
      <c r="BE354" s="64"/>
      <c r="BF354" s="618"/>
      <c r="BG354" s="618"/>
      <c r="BH354" s="627"/>
      <c r="BI354" s="516"/>
      <c r="BJ354" s="65"/>
      <c r="BK354" s="65"/>
      <c r="BL354" s="65"/>
      <c r="BQ354" s="58">
        <f t="shared" si="573"/>
        <v>210</v>
      </c>
      <c r="BR354" s="61"/>
      <c r="BS354" s="61"/>
      <c r="BT354" s="17"/>
      <c r="BU354" s="17"/>
      <c r="BV354" s="17"/>
      <c r="BW354" s="17"/>
      <c r="BX354" s="61"/>
      <c r="BY354" s="531"/>
      <c r="BZ354" s="530"/>
      <c r="CA354" s="531"/>
      <c r="CB354" s="530"/>
      <c r="CC354" s="530"/>
      <c r="CD354" s="530"/>
      <c r="CE354" s="1295"/>
      <c r="CF354" s="1301"/>
      <c r="CG354" s="530"/>
      <c r="CH354" s="61"/>
      <c r="CI354" s="61"/>
      <c r="CJ354" s="61"/>
      <c r="DK354" s="58" t="str" cm="1">
        <f t="array" ref="DK354">IF(AND($BT354=4,$BX354=4,$BU354=999),$DB$36,_xlfn.IFNA(INDEX(DB$13:DB$70,MATCH(1,($BR354=$CV$13:$CV$70)*($BT354=$CX$13:$CX$70)*($CE354=$CY$13:$CY$70)*($BY354=$DA$13:$DA$70)*($CD354=$DH$13:$DH$70),0)),""))</f>
        <v/>
      </c>
      <c r="DL354" s="58" t="str" cm="1">
        <f t="array" ref="DL354">IF(AND($BT354=4,$BX354=4,$BU354=999),$DC$36,_xlfn.IFNA(INDEX(CHOOSE(DP354,DB$13:DB$70,DC$13:DC$70,DD$13:DD$70,DE$13:DE$70),MATCH(1,($BR354=$CV$13:$CV$70)*($BT354=$CX$13:$CX$70)*($CE354=$CY$13:$CY$70)*($BY354=$DA$13:$DA$70)*($CD354=$DH$13:$DH$70),0)),""))</f>
        <v/>
      </c>
      <c r="DM354" s="740" t="str" cm="1">
        <f t="array" ref="DM354">IF(AND($BT354=4,$BX354=4,$BU354=999),$DD$36,_xlfn.IFNA(INDEX(DD$13:DD$68,MATCH(1,($BR354=$CV$13:$CV$68)*($BT354=$CX$13:$CX$68)*($CE354=$CY$13:$CY$68)*($BY354=$DA$13:$DA$68)*($CD354=$DH$13:$DH$68),0)),""))</f>
        <v/>
      </c>
      <c r="DN354" s="740" t="str" cm="1">
        <f t="array" ref="DN354">IF(AND($BT354=4,$BX354=4,$BU354=999),$DD$36,_xlfn.IFNA(INDEX(DE$13:DE$68,MATCH(1,($BR354=$CV$13:$CV$68)*($BT354=$CX$13:$CX$68)*($CE354=$CY$13:$CY$68)*($BY354=$DA$13:$DA$68)*($CD354=$DH$13:$DH$68),0)),""))</f>
        <v/>
      </c>
      <c r="DO354" s="58" t="str" cm="1">
        <f t="array" ref="DO354">IF(AND($BT354=4,$BX354=4,$BU354=999),$DF$36,_xlfn.IFNA(INDEX(DF$13:DF$70,MATCH(1,($BR354=$CV$13:$CV$70)*($BT354=$CX$13:$CX$70)*($CE354=$CY$13:$CY$70)*($BY354=$DA$13:$DA$70)*($CD354=$DH$13:$DH$70),0)),""))</f>
        <v/>
      </c>
      <c r="DP354" s="58" t="e">
        <f t="shared" si="574"/>
        <v>#N/A</v>
      </c>
      <c r="EU354" s="58">
        <f t="shared" si="600"/>
        <v>0</v>
      </c>
      <c r="EV354" s="58">
        <f t="shared" si="601"/>
        <v>0</v>
      </c>
      <c r="EW354" s="58">
        <f t="shared" si="602"/>
        <v>0</v>
      </c>
      <c r="EX354" s="58">
        <f t="shared" si="603"/>
        <v>0</v>
      </c>
      <c r="EZ354" s="58">
        <f t="shared" si="604"/>
        <v>0</v>
      </c>
      <c r="FA354" s="58">
        <f t="shared" si="605"/>
        <v>0</v>
      </c>
      <c r="FB354" s="58">
        <f>IF(i_eff_inputs_based_on_num=2,ED354,(INDEX(Lists!$L$51:$L$85,MATCH(O354,Lists!$K$51:$K$85,0))))</f>
        <v>0</v>
      </c>
      <c r="FC354" s="58">
        <f>IF(i_eff_inputs_based_on_num=2,EE354,(INDEX(Lists!$L$51:$L$85,MATCH(P354,Lists!$K$51:$K$85,0))))</f>
        <v>0</v>
      </c>
      <c r="FD354" s="58">
        <f>IF(i_eff_inputs_based_on_num=2,EF354,(INDEX(Lists!$L$51:$L$85,MATCH(Q354,Lists!$K$51:$K$85,0))))</f>
        <v>0</v>
      </c>
      <c r="FG354" s="58">
        <f t="shared" si="575"/>
        <v>0</v>
      </c>
      <c r="FH354" s="58">
        <f t="shared" si="576"/>
        <v>0</v>
      </c>
      <c r="FI354" s="58">
        <f t="shared" si="577"/>
        <v>0</v>
      </c>
      <c r="FJ354" s="58">
        <f t="shared" si="578"/>
        <v>0</v>
      </c>
      <c r="FL354" s="58">
        <f t="shared" si="579"/>
        <v>0</v>
      </c>
      <c r="FM354" s="58">
        <f t="shared" si="580"/>
        <v>0</v>
      </c>
      <c r="FN354" s="58">
        <f>IF(i_eff_inputs_based_on_num=2,EP354,(INDEX(Lists!$L$51:$L$85,MATCH(AA354,Lists!$K$51:$K$85,0))))</f>
        <v>0</v>
      </c>
      <c r="FO354" s="58">
        <f>IF(i_eff_inputs_based_on_num=2,EQ354,(INDEX(Lists!$L$51:$L$85,MATCH(AB354,Lists!$K$51:$K$85,0))))</f>
        <v>0</v>
      </c>
      <c r="FP354" s="58">
        <f>IF(i_eff_inputs_based_on_num=2,ER354,(INDEX(Lists!$L$51:$L$85,MATCH(AC354,Lists!$K$51:$K$85,0))))</f>
        <v>0</v>
      </c>
      <c r="FT354" s="58">
        <f t="shared" si="581"/>
        <v>0</v>
      </c>
      <c r="FW354" s="58">
        <f>IF(i_baseline_risk_from=2,'Effectiveness settings'!EW354,'Effectiveness settings'!FI354)</f>
        <v>0</v>
      </c>
      <c r="FX354" s="58">
        <f t="shared" si="582"/>
        <v>0</v>
      </c>
      <c r="FY354" s="58">
        <f t="shared" si="583"/>
        <v>0</v>
      </c>
      <c r="FZ354" s="58">
        <f t="shared" si="584"/>
        <v>0</v>
      </c>
      <c r="GA354" s="58">
        <f t="shared" si="585"/>
        <v>0</v>
      </c>
      <c r="GB354" s="58">
        <f t="shared" si="586"/>
        <v>0</v>
      </c>
      <c r="GC354" s="58">
        <f t="shared" si="587"/>
        <v>0</v>
      </c>
      <c r="GD354" s="58">
        <f t="shared" si="588"/>
        <v>0</v>
      </c>
      <c r="GE354" s="58">
        <f>IF(AND(dd_CheckMate214_TTD="Yes",'Effectiveness settings'!BU354=2,'Effectiveness settings'!BX354=2),"Apply HR to",GD354)</f>
        <v>0</v>
      </c>
      <c r="GF354" s="58">
        <f t="shared" si="589"/>
        <v>0</v>
      </c>
      <c r="GG354" s="58">
        <f t="shared" si="590"/>
        <v>0</v>
      </c>
      <c r="GH354" s="58">
        <f t="shared" si="591"/>
        <v>0</v>
      </c>
      <c r="GI354" s="58">
        <f t="shared" si="571"/>
        <v>0</v>
      </c>
      <c r="GK354" s="58">
        <f>IF(i_baseline_risk_from=2,'Effectiveness settings'!FA354,'Effectiveness settings'!FM354)</f>
        <v>0</v>
      </c>
      <c r="GL354" s="58">
        <f>IF(i_baseline_risk_from=2,'Effectiveness settings'!FB354,'Effectiveness settings'!FN354)</f>
        <v>0</v>
      </c>
      <c r="GM354" s="58">
        <f>IF(i_baseline_risk_from=2,'Effectiveness settings'!FC354,'Effectiveness settings'!FO354)</f>
        <v>0</v>
      </c>
      <c r="GN354" s="58">
        <f>IF(i_baseline_risk_from=2,'Effectiveness settings'!FD354,'Effectiveness settings'!FP354)</f>
        <v>0</v>
      </c>
      <c r="GQ354" s="58">
        <f t="shared" si="592"/>
        <v>0</v>
      </c>
      <c r="GR354" s="58">
        <f t="shared" si="593"/>
        <v>0</v>
      </c>
      <c r="GS354" s="58">
        <f t="shared" si="594"/>
        <v>0</v>
      </c>
      <c r="GT354" s="58">
        <f t="shared" si="595"/>
        <v>0</v>
      </c>
      <c r="GU354" s="58">
        <f>IF(AND(dd_CheckMate214_TTD="Yes",'Effectiveness settings'!BU354=2,'Effectiveness settings'!BX354=2),2,GT354)</f>
        <v>0</v>
      </c>
      <c r="GV354" s="58">
        <f t="shared" si="596"/>
        <v>0</v>
      </c>
      <c r="GW354" s="58">
        <f t="shared" si="597"/>
        <v>0</v>
      </c>
      <c r="GY354" s="58">
        <f>IF(AND(dd_CheckMate214_TTD="Yes",'Effectiveness settings'!BU354=2,'Effectiveness settings'!BX354=2),1,GN354)</f>
        <v>0</v>
      </c>
      <c r="GZ354" s="58">
        <f t="shared" si="598"/>
        <v>0</v>
      </c>
      <c r="HB354" s="58">
        <f t="shared" si="599"/>
        <v>0</v>
      </c>
      <c r="HD354" s="58">
        <f t="shared" si="566"/>
        <v>0</v>
      </c>
      <c r="HE354" s="58">
        <f t="shared" si="567"/>
        <v>0</v>
      </c>
      <c r="HF354" s="58">
        <f t="shared" si="568"/>
        <v>0</v>
      </c>
      <c r="HG354" s="58">
        <f t="shared" si="569"/>
        <v>0</v>
      </c>
      <c r="HH354" s="58">
        <f t="shared" si="570"/>
        <v>0</v>
      </c>
    </row>
    <row r="355" spans="9:216" ht="15.75" hidden="1" x14ac:dyDescent="0.25">
      <c r="I355" s="64"/>
      <c r="J355" s="519"/>
      <c r="K355" s="524"/>
      <c r="L355" s="519"/>
      <c r="M355" s="516"/>
      <c r="N355" s="64"/>
      <c r="O355" s="64"/>
      <c r="P355" s="64"/>
      <c r="Q355" s="519" t="s">
        <v>557</v>
      </c>
      <c r="R355" s="516"/>
      <c r="S355" s="497"/>
      <c r="T355" s="497"/>
      <c r="U355" s="497"/>
      <c r="X355" s="64"/>
      <c r="Y355" s="519"/>
      <c r="Z355" s="516"/>
      <c r="AA355" s="519"/>
      <c r="AB355" s="619"/>
      <c r="AC355" s="64"/>
      <c r="AD355" s="618"/>
      <c r="AE355" s="618"/>
      <c r="AF355" s="620"/>
      <c r="AG355" s="516"/>
      <c r="AH355" s="497"/>
      <c r="AI355" s="497"/>
      <c r="AJ355" s="497"/>
      <c r="AL355" s="64"/>
      <c r="AM355" s="519"/>
      <c r="AN355" s="516"/>
      <c r="AO355" s="620"/>
      <c r="AP355" s="619"/>
      <c r="AQ355" s="64"/>
      <c r="AR355" s="618"/>
      <c r="AS355" s="618"/>
      <c r="AT355" s="627"/>
      <c r="AU355" s="516"/>
      <c r="AV355" s="65"/>
      <c r="AW355" s="65"/>
      <c r="AX355" s="65"/>
      <c r="AZ355" s="64"/>
      <c r="BA355" s="519"/>
      <c r="BB355" s="516"/>
      <c r="BC355" s="620"/>
      <c r="BD355" s="619"/>
      <c r="BE355" s="64"/>
      <c r="BF355" s="618"/>
      <c r="BG355" s="618"/>
      <c r="BH355" s="627"/>
      <c r="BI355" s="516"/>
      <c r="BJ355" s="65"/>
      <c r="BK355" s="65"/>
      <c r="BL355" s="65"/>
      <c r="BQ355" s="58">
        <f t="shared" si="573"/>
        <v>210</v>
      </c>
      <c r="BR355" s="61"/>
      <c r="BS355" s="61"/>
      <c r="BT355" s="17"/>
      <c r="BU355" s="17"/>
      <c r="BV355" s="17"/>
      <c r="BW355" s="17"/>
      <c r="BX355" s="61"/>
      <c r="BY355" s="531"/>
      <c r="BZ355" s="530"/>
      <c r="CA355" s="531"/>
      <c r="CB355" s="530"/>
      <c r="CC355" s="530"/>
      <c r="CD355" s="530"/>
      <c r="CE355" s="1295"/>
      <c r="CF355" s="1301"/>
      <c r="CG355" s="530"/>
      <c r="CH355" s="61"/>
      <c r="CI355" s="61"/>
      <c r="CJ355" s="61"/>
      <c r="DK355" s="58" t="str" cm="1">
        <f t="array" ref="DK355">IF(AND($BT355=4,$BX355=4,$BU355=999),$DB$36,_xlfn.IFNA(INDEX(DB$13:DB$70,MATCH(1,($BR355=$CV$13:$CV$70)*($BT355=$CX$13:$CX$70)*($CE355=$CY$13:$CY$70)*($BY355=$DA$13:$DA$70)*($CD355=$DH$13:$DH$70),0)),""))</f>
        <v/>
      </c>
      <c r="DL355" s="58" t="str" cm="1">
        <f t="array" ref="DL355">IF(AND($BT355=4,$BX355=4,$BU355=999),$DC$36,_xlfn.IFNA(INDEX(CHOOSE(DP355,DB$13:DB$70,DC$13:DC$70,DD$13:DD$70,DE$13:DE$70),MATCH(1,($BR355=$CV$13:$CV$70)*($BT355=$CX$13:$CX$70)*($CE355=$CY$13:$CY$70)*($BY355=$DA$13:$DA$70)*($CD355=$DH$13:$DH$70),0)),""))</f>
        <v/>
      </c>
      <c r="DM355" s="740" t="str" cm="1">
        <f t="array" ref="DM355">IF(AND($BT355=4,$BX355=4,$BU355=999),$DD$36,_xlfn.IFNA(INDEX(DD$13:DD$68,MATCH(1,($BR355=$CV$13:$CV$68)*($BT355=$CX$13:$CX$68)*($CE355=$CY$13:$CY$68)*($BY355=$DA$13:$DA$68)*($CD355=$DH$13:$DH$68),0)),""))</f>
        <v/>
      </c>
      <c r="DN355" s="740" t="str" cm="1">
        <f t="array" ref="DN355">IF(AND($BT355=4,$BX355=4,$BU355=999),$DD$36,_xlfn.IFNA(INDEX(DE$13:DE$68,MATCH(1,($BR355=$CV$13:$CV$68)*($BT355=$CX$13:$CX$68)*($CE355=$CY$13:$CY$68)*($BY355=$DA$13:$DA$68)*($CD355=$DH$13:$DH$68),0)),""))</f>
        <v/>
      </c>
      <c r="DO355" s="58" t="str" cm="1">
        <f t="array" ref="DO355">IF(AND($BT355=4,$BX355=4,$BU355=999),$DF$36,_xlfn.IFNA(INDEX(DF$13:DF$70,MATCH(1,($BR355=$CV$13:$CV$70)*($BT355=$CX$13:$CX$70)*($CE355=$CY$13:$CY$70)*($BY355=$DA$13:$DA$70)*($CD355=$DH$13:$DH$70),0)),""))</f>
        <v/>
      </c>
      <c r="DP355" s="58" t="e">
        <f t="shared" si="574"/>
        <v>#N/A</v>
      </c>
      <c r="EU355" s="58">
        <f t="shared" si="600"/>
        <v>0</v>
      </c>
      <c r="EV355" s="58">
        <f t="shared" si="601"/>
        <v>0</v>
      </c>
      <c r="EW355" s="58">
        <f t="shared" si="602"/>
        <v>0</v>
      </c>
      <c r="EX355" s="58">
        <f t="shared" si="603"/>
        <v>0</v>
      </c>
      <c r="EZ355" s="58">
        <f t="shared" si="604"/>
        <v>0</v>
      </c>
      <c r="FA355" s="58">
        <f t="shared" si="605"/>
        <v>0</v>
      </c>
      <c r="FB355" s="58">
        <f>IF(i_eff_inputs_based_on_num=2,ED355,(INDEX(Lists!$L$51:$L$85,MATCH(O355,Lists!$K$51:$K$85,0))))</f>
        <v>0</v>
      </c>
      <c r="FC355" s="58">
        <f>IF(i_eff_inputs_based_on_num=2,EE355,(INDEX(Lists!$L$51:$L$85,MATCH(P355,Lists!$K$51:$K$85,0))))</f>
        <v>0</v>
      </c>
      <c r="FD355" s="58">
        <f>IF(i_eff_inputs_based_on_num=2,EF355,(INDEX(Lists!$L$51:$L$85,MATCH(Q355,Lists!$K$51:$K$85,0))))</f>
        <v>0</v>
      </c>
      <c r="FG355" s="58">
        <f t="shared" si="575"/>
        <v>0</v>
      </c>
      <c r="FH355" s="58">
        <f t="shared" si="576"/>
        <v>0</v>
      </c>
      <c r="FI355" s="58">
        <f t="shared" si="577"/>
        <v>0</v>
      </c>
      <c r="FJ355" s="58">
        <f t="shared" si="578"/>
        <v>0</v>
      </c>
      <c r="FL355" s="58">
        <f t="shared" si="579"/>
        <v>0</v>
      </c>
      <c r="FM355" s="58">
        <f t="shared" si="580"/>
        <v>0</v>
      </c>
      <c r="FN355" s="58">
        <f>IF(i_eff_inputs_based_on_num=2,EP355,(INDEX(Lists!$L$51:$L$85,MATCH(AA355,Lists!$K$51:$K$85,0))))</f>
        <v>0</v>
      </c>
      <c r="FO355" s="58">
        <f>IF(i_eff_inputs_based_on_num=2,EQ355,(INDEX(Lists!$L$51:$L$85,MATCH(AB355,Lists!$K$51:$K$85,0))))</f>
        <v>0</v>
      </c>
      <c r="FP355" s="58">
        <f>IF(i_eff_inputs_based_on_num=2,ER355,(INDEX(Lists!$L$51:$L$85,MATCH(AC355,Lists!$K$51:$K$85,0))))</f>
        <v>0</v>
      </c>
      <c r="FT355" s="58">
        <f t="shared" si="581"/>
        <v>0</v>
      </c>
      <c r="FW355" s="58">
        <f>IF(i_baseline_risk_from=2,'Effectiveness settings'!EW355,'Effectiveness settings'!FI355)</f>
        <v>0</v>
      </c>
      <c r="FX355" s="58">
        <f t="shared" si="582"/>
        <v>0</v>
      </c>
      <c r="FY355" s="58">
        <f t="shared" si="583"/>
        <v>0</v>
      </c>
      <c r="FZ355" s="58">
        <f t="shared" si="584"/>
        <v>0</v>
      </c>
      <c r="GA355" s="58">
        <f t="shared" si="585"/>
        <v>0</v>
      </c>
      <c r="GB355" s="58">
        <f t="shared" si="586"/>
        <v>0</v>
      </c>
      <c r="GC355" s="58">
        <f t="shared" si="587"/>
        <v>0</v>
      </c>
      <c r="GD355" s="58">
        <f t="shared" si="588"/>
        <v>0</v>
      </c>
      <c r="GE355" s="58">
        <f>IF(AND(dd_CheckMate214_TTD="Yes",'Effectiveness settings'!BU355=2,'Effectiveness settings'!BX355=2),"Apply HR to",GD355)</f>
        <v>0</v>
      </c>
      <c r="GF355" s="58">
        <f t="shared" si="589"/>
        <v>0</v>
      </c>
      <c r="GG355" s="58">
        <f t="shared" si="590"/>
        <v>0</v>
      </c>
      <c r="GH355" s="58">
        <f t="shared" si="591"/>
        <v>0</v>
      </c>
      <c r="GI355" s="58">
        <f t="shared" si="571"/>
        <v>0</v>
      </c>
      <c r="GK355" s="58">
        <f>IF(i_baseline_risk_from=2,'Effectiveness settings'!FA355,'Effectiveness settings'!FM355)</f>
        <v>0</v>
      </c>
      <c r="GL355" s="58">
        <f>IF(i_baseline_risk_from=2,'Effectiveness settings'!FB355,'Effectiveness settings'!FN355)</f>
        <v>0</v>
      </c>
      <c r="GM355" s="58">
        <f>IF(i_baseline_risk_from=2,'Effectiveness settings'!FC355,'Effectiveness settings'!FO355)</f>
        <v>0</v>
      </c>
      <c r="GN355" s="58">
        <f>IF(i_baseline_risk_from=2,'Effectiveness settings'!FD355,'Effectiveness settings'!FP355)</f>
        <v>0</v>
      </c>
      <c r="GQ355" s="58">
        <f t="shared" si="592"/>
        <v>0</v>
      </c>
      <c r="GR355" s="58">
        <f t="shared" si="593"/>
        <v>0</v>
      </c>
      <c r="GS355" s="58">
        <f t="shared" si="594"/>
        <v>0</v>
      </c>
      <c r="GT355" s="58">
        <f t="shared" si="595"/>
        <v>0</v>
      </c>
      <c r="GU355" s="58">
        <f>IF(AND(dd_CheckMate214_TTD="Yes",'Effectiveness settings'!BU355=2,'Effectiveness settings'!BX355=2),2,GT355)</f>
        <v>0</v>
      </c>
      <c r="GV355" s="58">
        <f t="shared" si="596"/>
        <v>0</v>
      </c>
      <c r="GW355" s="58">
        <f t="shared" si="597"/>
        <v>0</v>
      </c>
      <c r="GY355" s="58">
        <f>IF(AND(dd_CheckMate214_TTD="Yes",'Effectiveness settings'!BU355=2,'Effectiveness settings'!BX355=2),1,GN355)</f>
        <v>0</v>
      </c>
      <c r="GZ355" s="58">
        <f t="shared" si="598"/>
        <v>0</v>
      </c>
      <c r="HB355" s="58">
        <f t="shared" si="599"/>
        <v>0</v>
      </c>
      <c r="HD355" s="58">
        <f t="shared" si="566"/>
        <v>0</v>
      </c>
      <c r="HE355" s="58">
        <f t="shared" si="567"/>
        <v>0</v>
      </c>
      <c r="HF355" s="58">
        <f t="shared" si="568"/>
        <v>0</v>
      </c>
      <c r="HG355" s="58">
        <f t="shared" si="569"/>
        <v>0</v>
      </c>
      <c r="HH355" s="58">
        <f t="shared" si="570"/>
        <v>0</v>
      </c>
    </row>
    <row r="356" spans="9:216" ht="15.75" hidden="1" x14ac:dyDescent="0.25">
      <c r="I356" s="64"/>
      <c r="J356" s="519"/>
      <c r="K356" s="524"/>
      <c r="L356" s="519"/>
      <c r="M356" s="516"/>
      <c r="N356" s="64"/>
      <c r="O356" s="64"/>
      <c r="P356" s="64"/>
      <c r="Q356" s="519" t="s">
        <v>557</v>
      </c>
      <c r="R356" s="516"/>
      <c r="S356" s="497"/>
      <c r="T356" s="497"/>
      <c r="U356" s="497"/>
      <c r="X356" s="64"/>
      <c r="Y356" s="519"/>
      <c r="Z356" s="516"/>
      <c r="AA356" s="519"/>
      <c r="AB356" s="619"/>
      <c r="AC356" s="64"/>
      <c r="AD356" s="618"/>
      <c r="AE356" s="618"/>
      <c r="AF356" s="620"/>
      <c r="AG356" s="516"/>
      <c r="AH356" s="497"/>
      <c r="AI356" s="497"/>
      <c r="AJ356" s="497"/>
      <c r="AL356" s="64"/>
      <c r="AM356" s="519"/>
      <c r="AN356" s="516"/>
      <c r="AO356" s="620"/>
      <c r="AP356" s="619"/>
      <c r="AQ356" s="64"/>
      <c r="AR356" s="618"/>
      <c r="AS356" s="618"/>
      <c r="AT356" s="627"/>
      <c r="AU356" s="516"/>
      <c r="AV356" s="65"/>
      <c r="AW356" s="65"/>
      <c r="AX356" s="65"/>
      <c r="AZ356" s="64"/>
      <c r="BA356" s="519"/>
      <c r="BB356" s="516"/>
      <c r="BC356" s="620"/>
      <c r="BD356" s="619"/>
      <c r="BE356" s="64"/>
      <c r="BF356" s="618"/>
      <c r="BG356" s="618"/>
      <c r="BH356" s="627"/>
      <c r="BI356" s="516"/>
      <c r="BJ356" s="65"/>
      <c r="BK356" s="65"/>
      <c r="BL356" s="65"/>
      <c r="BQ356" s="58">
        <f t="shared" si="573"/>
        <v>210</v>
      </c>
      <c r="BR356" s="61"/>
      <c r="BS356" s="61"/>
      <c r="BT356" s="17"/>
      <c r="BU356" s="17"/>
      <c r="BV356" s="17"/>
      <c r="BW356" s="17"/>
      <c r="BX356" s="61"/>
      <c r="BY356" s="531"/>
      <c r="BZ356" s="530"/>
      <c r="CA356" s="531"/>
      <c r="CB356" s="530"/>
      <c r="CC356" s="530"/>
      <c r="CD356" s="530"/>
      <c r="CE356" s="1295"/>
      <c r="CF356" s="1301"/>
      <c r="CG356" s="530"/>
      <c r="CH356" s="61"/>
      <c r="CI356" s="61"/>
      <c r="CJ356" s="61"/>
      <c r="DK356" s="58" t="str" cm="1">
        <f t="array" ref="DK356">IF(AND($BT356=4,$BX356=4,$BU356=999),$DB$36,_xlfn.IFNA(INDEX(DB$13:DB$70,MATCH(1,($BR356=$CV$13:$CV$70)*($BT356=$CX$13:$CX$70)*($CE356=$CY$13:$CY$70)*($BY356=$DA$13:$DA$70)*($CD356=$DH$13:$DH$70),0)),""))</f>
        <v/>
      </c>
      <c r="DL356" s="58" t="str" cm="1">
        <f t="array" ref="DL356">IF(AND($BT356=4,$BX356=4,$BU356=999),$DC$36,_xlfn.IFNA(INDEX(CHOOSE(DP356,DB$13:DB$70,DC$13:DC$70,DD$13:DD$70,DE$13:DE$70),MATCH(1,($BR356=$CV$13:$CV$70)*($BT356=$CX$13:$CX$70)*($CE356=$CY$13:$CY$70)*($BY356=$DA$13:$DA$70)*($CD356=$DH$13:$DH$70),0)),""))</f>
        <v/>
      </c>
      <c r="DM356" s="740" t="str" cm="1">
        <f t="array" ref="DM356">IF(AND($BT356=4,$BX356=4,$BU356=999),$DD$36,_xlfn.IFNA(INDEX(DD$13:DD$68,MATCH(1,($BR356=$CV$13:$CV$68)*($BT356=$CX$13:$CX$68)*($CE356=$CY$13:$CY$68)*($BY356=$DA$13:$DA$68)*($CD356=$DH$13:$DH$68),0)),""))</f>
        <v/>
      </c>
      <c r="DN356" s="740" t="str" cm="1">
        <f t="array" ref="DN356">IF(AND($BT356=4,$BX356=4,$BU356=999),$DD$36,_xlfn.IFNA(INDEX(DE$13:DE$68,MATCH(1,($BR356=$CV$13:$CV$68)*($BT356=$CX$13:$CX$68)*($CE356=$CY$13:$CY$68)*($BY356=$DA$13:$DA$68)*($CD356=$DH$13:$DH$68),0)),""))</f>
        <v/>
      </c>
      <c r="DO356" s="58" t="str" cm="1">
        <f t="array" ref="DO356">IF(AND($BT356=4,$BX356=4,$BU356=999),$DF$36,_xlfn.IFNA(INDEX(DF$13:DF$70,MATCH(1,($BR356=$CV$13:$CV$70)*($BT356=$CX$13:$CX$70)*($CE356=$CY$13:$CY$70)*($BY356=$DA$13:$DA$70)*($CD356=$DH$13:$DH$70),0)),""))</f>
        <v/>
      </c>
      <c r="DP356" s="58" t="e">
        <f t="shared" si="574"/>
        <v>#N/A</v>
      </c>
      <c r="EU356" s="58">
        <f t="shared" si="600"/>
        <v>0</v>
      </c>
      <c r="EV356" s="58">
        <f t="shared" si="601"/>
        <v>0</v>
      </c>
      <c r="EW356" s="58">
        <f t="shared" si="602"/>
        <v>0</v>
      </c>
      <c r="EX356" s="58">
        <f t="shared" si="603"/>
        <v>0</v>
      </c>
      <c r="EZ356" s="58">
        <f t="shared" si="604"/>
        <v>0</v>
      </c>
      <c r="FA356" s="58">
        <f t="shared" si="605"/>
        <v>0</v>
      </c>
      <c r="FB356" s="58">
        <f>IF(i_eff_inputs_based_on_num=2,ED356,(INDEX(Lists!$L$51:$L$85,MATCH(O356,Lists!$K$51:$K$85,0))))</f>
        <v>0</v>
      </c>
      <c r="FC356" s="58">
        <f>IF(i_eff_inputs_based_on_num=2,EE356,(INDEX(Lists!$L$51:$L$85,MATCH(P356,Lists!$K$51:$K$85,0))))</f>
        <v>0</v>
      </c>
      <c r="FD356" s="58">
        <f>IF(i_eff_inputs_based_on_num=2,EF356,(INDEX(Lists!$L$51:$L$85,MATCH(Q356,Lists!$K$51:$K$85,0))))</f>
        <v>0</v>
      </c>
      <c r="FG356" s="58">
        <f t="shared" si="575"/>
        <v>0</v>
      </c>
      <c r="FH356" s="58">
        <f t="shared" si="576"/>
        <v>0</v>
      </c>
      <c r="FI356" s="58">
        <f t="shared" si="577"/>
        <v>0</v>
      </c>
      <c r="FJ356" s="58">
        <f t="shared" si="578"/>
        <v>0</v>
      </c>
      <c r="FL356" s="58">
        <f t="shared" si="579"/>
        <v>0</v>
      </c>
      <c r="FM356" s="58">
        <f t="shared" si="580"/>
        <v>0</v>
      </c>
      <c r="FN356" s="58">
        <f>IF(i_eff_inputs_based_on_num=2,EP356,(INDEX(Lists!$L$51:$L$85,MATCH(AA356,Lists!$K$51:$K$85,0))))</f>
        <v>0</v>
      </c>
      <c r="FO356" s="58">
        <f>IF(i_eff_inputs_based_on_num=2,EQ356,(INDEX(Lists!$L$51:$L$85,MATCH(AB356,Lists!$K$51:$K$85,0))))</f>
        <v>0</v>
      </c>
      <c r="FP356" s="58">
        <f>IF(i_eff_inputs_based_on_num=2,ER356,(INDEX(Lists!$L$51:$L$85,MATCH(AC356,Lists!$K$51:$K$85,0))))</f>
        <v>0</v>
      </c>
      <c r="FT356" s="58">
        <f t="shared" si="581"/>
        <v>0</v>
      </c>
      <c r="FW356" s="58">
        <f>IF(i_baseline_risk_from=2,'Effectiveness settings'!EW356,'Effectiveness settings'!FI356)</f>
        <v>0</v>
      </c>
      <c r="FX356" s="58">
        <f t="shared" si="582"/>
        <v>0</v>
      </c>
      <c r="FY356" s="58">
        <f t="shared" si="583"/>
        <v>0</v>
      </c>
      <c r="FZ356" s="58">
        <f t="shared" si="584"/>
        <v>0</v>
      </c>
      <c r="GA356" s="58">
        <f t="shared" si="585"/>
        <v>0</v>
      </c>
      <c r="GB356" s="58">
        <f t="shared" si="586"/>
        <v>0</v>
      </c>
      <c r="GC356" s="58">
        <f t="shared" si="587"/>
        <v>0</v>
      </c>
      <c r="GD356" s="58">
        <f t="shared" si="588"/>
        <v>0</v>
      </c>
      <c r="GE356" s="58">
        <f>IF(AND(dd_CheckMate214_TTD="Yes",'Effectiveness settings'!BU356=2,'Effectiveness settings'!BX356=2),"Apply HR to",GD356)</f>
        <v>0</v>
      </c>
      <c r="GF356" s="58">
        <f t="shared" si="589"/>
        <v>0</v>
      </c>
      <c r="GG356" s="58">
        <f t="shared" si="590"/>
        <v>0</v>
      </c>
      <c r="GH356" s="58">
        <f t="shared" si="591"/>
        <v>0</v>
      </c>
      <c r="GI356" s="58">
        <f t="shared" si="571"/>
        <v>0</v>
      </c>
      <c r="GK356" s="58">
        <f>IF(i_baseline_risk_from=2,'Effectiveness settings'!FA356,'Effectiveness settings'!FM356)</f>
        <v>0</v>
      </c>
      <c r="GL356" s="58">
        <f>IF(i_baseline_risk_from=2,'Effectiveness settings'!FB356,'Effectiveness settings'!FN356)</f>
        <v>0</v>
      </c>
      <c r="GM356" s="58">
        <f>IF(i_baseline_risk_from=2,'Effectiveness settings'!FC356,'Effectiveness settings'!FO356)</f>
        <v>0</v>
      </c>
      <c r="GN356" s="58">
        <f>IF(i_baseline_risk_from=2,'Effectiveness settings'!FD356,'Effectiveness settings'!FP356)</f>
        <v>0</v>
      </c>
      <c r="GQ356" s="58">
        <f t="shared" si="592"/>
        <v>0</v>
      </c>
      <c r="GR356" s="58">
        <f t="shared" si="593"/>
        <v>0</v>
      </c>
      <c r="GS356" s="58">
        <f t="shared" si="594"/>
        <v>0</v>
      </c>
      <c r="GT356" s="58">
        <f t="shared" si="595"/>
        <v>0</v>
      </c>
      <c r="GU356" s="58">
        <f>IF(AND(dd_CheckMate214_TTD="Yes",'Effectiveness settings'!BU356=2,'Effectiveness settings'!BX356=2),2,GT356)</f>
        <v>0</v>
      </c>
      <c r="GV356" s="58">
        <f t="shared" si="596"/>
        <v>0</v>
      </c>
      <c r="GW356" s="58">
        <f t="shared" si="597"/>
        <v>0</v>
      </c>
      <c r="GY356" s="58">
        <f>IF(AND(dd_CheckMate214_TTD="Yes",'Effectiveness settings'!BU356=2,'Effectiveness settings'!BX356=2),1,GN356)</f>
        <v>0</v>
      </c>
      <c r="GZ356" s="58">
        <f t="shared" si="598"/>
        <v>0</v>
      </c>
      <c r="HB356" s="58">
        <f t="shared" si="599"/>
        <v>0</v>
      </c>
      <c r="HD356" s="58">
        <f t="shared" si="566"/>
        <v>0</v>
      </c>
      <c r="HE356" s="58">
        <f t="shared" si="567"/>
        <v>0</v>
      </c>
      <c r="HF356" s="58">
        <f t="shared" si="568"/>
        <v>0</v>
      </c>
      <c r="HG356" s="58">
        <f t="shared" si="569"/>
        <v>0</v>
      </c>
      <c r="HH356" s="58">
        <f t="shared" si="570"/>
        <v>0</v>
      </c>
    </row>
    <row r="357" spans="9:216" ht="15.75" hidden="1" x14ac:dyDescent="0.25">
      <c r="I357" s="64"/>
      <c r="J357" s="519"/>
      <c r="K357" s="524"/>
      <c r="L357" s="519"/>
      <c r="M357" s="516"/>
      <c r="N357" s="64"/>
      <c r="O357" s="64"/>
      <c r="P357" s="64"/>
      <c r="Q357" s="519" t="s">
        <v>557</v>
      </c>
      <c r="R357" s="516"/>
      <c r="S357" s="497"/>
      <c r="T357" s="497"/>
      <c r="U357" s="497"/>
      <c r="X357" s="64"/>
      <c r="Y357" s="519"/>
      <c r="Z357" s="516"/>
      <c r="AA357" s="519"/>
      <c r="AB357" s="619"/>
      <c r="AC357" s="64"/>
      <c r="AD357" s="618"/>
      <c r="AE357" s="618"/>
      <c r="AF357" s="620"/>
      <c r="AG357" s="516"/>
      <c r="AH357" s="497"/>
      <c r="AI357" s="497"/>
      <c r="AJ357" s="497"/>
      <c r="AL357" s="64"/>
      <c r="AM357" s="519"/>
      <c r="AN357" s="516"/>
      <c r="AO357" s="620"/>
      <c r="AP357" s="619"/>
      <c r="AQ357" s="64"/>
      <c r="AR357" s="618"/>
      <c r="AS357" s="618"/>
      <c r="AT357" s="627"/>
      <c r="AU357" s="516"/>
      <c r="AV357" s="65"/>
      <c r="AW357" s="65"/>
      <c r="AX357" s="65"/>
      <c r="AZ357" s="64"/>
      <c r="BA357" s="519"/>
      <c r="BB357" s="516"/>
      <c r="BC357" s="620"/>
      <c r="BD357" s="619"/>
      <c r="BE357" s="64"/>
      <c r="BF357" s="618"/>
      <c r="BG357" s="618"/>
      <c r="BH357" s="627"/>
      <c r="BI357" s="516"/>
      <c r="BJ357" s="65"/>
      <c r="BK357" s="65"/>
      <c r="BL357" s="65"/>
      <c r="BQ357" s="58">
        <f t="shared" si="573"/>
        <v>210</v>
      </c>
      <c r="BR357" s="61"/>
      <c r="BS357" s="61"/>
      <c r="BT357" s="17"/>
      <c r="BU357" s="17"/>
      <c r="BV357" s="17"/>
      <c r="BW357" s="17"/>
      <c r="BX357" s="61"/>
      <c r="BY357" s="531"/>
      <c r="BZ357" s="530"/>
      <c r="CA357" s="531"/>
      <c r="CB357" s="530"/>
      <c r="CC357" s="530"/>
      <c r="CD357" s="530"/>
      <c r="CE357" s="1295"/>
      <c r="CF357" s="1301"/>
      <c r="CG357" s="530"/>
      <c r="CH357" s="61"/>
      <c r="CI357" s="61"/>
      <c r="CJ357" s="61"/>
      <c r="DK357" s="58" t="str" cm="1">
        <f t="array" ref="DK357">IF(AND($BT357=4,$BX357=4,$BU357=999),$DB$36,_xlfn.IFNA(INDEX(DB$13:DB$70,MATCH(1,($BR357=$CV$13:$CV$70)*($BT357=$CX$13:$CX$70)*($CE357=$CY$13:$CY$70)*($BY357=$DA$13:$DA$70)*($CD357=$DH$13:$DH$70),0)),""))</f>
        <v/>
      </c>
      <c r="DL357" s="58" t="str" cm="1">
        <f t="array" ref="DL357">IF(AND($BT357=4,$BX357=4,$BU357=999),$DC$36,_xlfn.IFNA(INDEX(CHOOSE(DP357,DB$13:DB$70,DC$13:DC$70,DD$13:DD$70,DE$13:DE$70),MATCH(1,($BR357=$CV$13:$CV$70)*($BT357=$CX$13:$CX$70)*($CE357=$CY$13:$CY$70)*($BY357=$DA$13:$DA$70)*($CD357=$DH$13:$DH$70),0)),""))</f>
        <v/>
      </c>
      <c r="DM357" s="740" t="str" cm="1">
        <f t="array" ref="DM357">IF(AND($BT357=4,$BX357=4,$BU357=999),$DD$36,_xlfn.IFNA(INDEX(DD$13:DD$68,MATCH(1,($BR357=$CV$13:$CV$68)*($BT357=$CX$13:$CX$68)*($CE357=$CY$13:$CY$68)*($BY357=$DA$13:$DA$68)*($CD357=$DH$13:$DH$68),0)),""))</f>
        <v/>
      </c>
      <c r="DN357" s="740" t="str" cm="1">
        <f t="array" ref="DN357">IF(AND($BT357=4,$BX357=4,$BU357=999),$DD$36,_xlfn.IFNA(INDEX(DE$13:DE$68,MATCH(1,($BR357=$CV$13:$CV$68)*($BT357=$CX$13:$CX$68)*($CE357=$CY$13:$CY$68)*($BY357=$DA$13:$DA$68)*($CD357=$DH$13:$DH$68),0)),""))</f>
        <v/>
      </c>
      <c r="DO357" s="58" t="str" cm="1">
        <f t="array" ref="DO357">IF(AND($BT357=4,$BX357=4,$BU357=999),$DF$36,_xlfn.IFNA(INDEX(DF$13:DF$70,MATCH(1,($BR357=$CV$13:$CV$70)*($BT357=$CX$13:$CX$70)*($CE357=$CY$13:$CY$70)*($BY357=$DA$13:$DA$70)*($CD357=$DH$13:$DH$70),0)),""))</f>
        <v/>
      </c>
      <c r="DP357" s="58" t="e">
        <f t="shared" si="574"/>
        <v>#N/A</v>
      </c>
      <c r="EU357" s="58">
        <f t="shared" si="600"/>
        <v>0</v>
      </c>
      <c r="EV357" s="58">
        <f t="shared" si="601"/>
        <v>0</v>
      </c>
      <c r="EW357" s="58">
        <f t="shared" si="602"/>
        <v>0</v>
      </c>
      <c r="EX357" s="58">
        <f t="shared" si="603"/>
        <v>0</v>
      </c>
      <c r="EZ357" s="58">
        <f t="shared" si="604"/>
        <v>0</v>
      </c>
      <c r="FA357" s="58">
        <f t="shared" si="605"/>
        <v>0</v>
      </c>
      <c r="FB357" s="58">
        <f>IF(i_eff_inputs_based_on_num=2,ED357,(INDEX(Lists!$L$51:$L$85,MATCH(O357,Lists!$K$51:$K$85,0))))</f>
        <v>0</v>
      </c>
      <c r="FC357" s="58">
        <f>IF(i_eff_inputs_based_on_num=2,EE357,(INDEX(Lists!$L$51:$L$85,MATCH(P357,Lists!$K$51:$K$85,0))))</f>
        <v>0</v>
      </c>
      <c r="FD357" s="58">
        <f>IF(i_eff_inputs_based_on_num=2,EF357,(INDEX(Lists!$L$51:$L$85,MATCH(Q357,Lists!$K$51:$K$85,0))))</f>
        <v>0</v>
      </c>
      <c r="FG357" s="58">
        <f t="shared" si="575"/>
        <v>0</v>
      </c>
      <c r="FH357" s="58">
        <f t="shared" si="576"/>
        <v>0</v>
      </c>
      <c r="FI357" s="58">
        <f t="shared" si="577"/>
        <v>0</v>
      </c>
      <c r="FJ357" s="58">
        <f t="shared" si="578"/>
        <v>0</v>
      </c>
      <c r="FL357" s="58">
        <f t="shared" si="579"/>
        <v>0</v>
      </c>
      <c r="FM357" s="58">
        <f t="shared" si="580"/>
        <v>0</v>
      </c>
      <c r="FN357" s="58">
        <f>IF(i_eff_inputs_based_on_num=2,EP357,(INDEX(Lists!$L$51:$L$85,MATCH(AA357,Lists!$K$51:$K$85,0))))</f>
        <v>0</v>
      </c>
      <c r="FO357" s="58">
        <f>IF(i_eff_inputs_based_on_num=2,EQ357,(INDEX(Lists!$L$51:$L$85,MATCH(AB357,Lists!$K$51:$K$85,0))))</f>
        <v>0</v>
      </c>
      <c r="FP357" s="58">
        <f>IF(i_eff_inputs_based_on_num=2,ER357,(INDEX(Lists!$L$51:$L$85,MATCH(AC357,Lists!$K$51:$K$85,0))))</f>
        <v>0</v>
      </c>
      <c r="FT357" s="58">
        <f t="shared" si="581"/>
        <v>0</v>
      </c>
      <c r="FW357" s="58">
        <f>IF(i_baseline_risk_from=2,'Effectiveness settings'!EW357,'Effectiveness settings'!FI357)</f>
        <v>0</v>
      </c>
      <c r="FX357" s="58">
        <f t="shared" si="582"/>
        <v>0</v>
      </c>
      <c r="FY357" s="58">
        <f t="shared" si="583"/>
        <v>0</v>
      </c>
      <c r="FZ357" s="58">
        <f t="shared" si="584"/>
        <v>0</v>
      </c>
      <c r="GA357" s="58">
        <f t="shared" si="585"/>
        <v>0</v>
      </c>
      <c r="GB357" s="58">
        <f t="shared" si="586"/>
        <v>0</v>
      </c>
      <c r="GC357" s="58">
        <f t="shared" si="587"/>
        <v>0</v>
      </c>
      <c r="GD357" s="58">
        <f t="shared" si="588"/>
        <v>0</v>
      </c>
      <c r="GE357" s="58">
        <f>IF(AND(dd_CheckMate214_TTD="Yes",'Effectiveness settings'!BU357=2,'Effectiveness settings'!BX357=2),"Apply HR to",GD357)</f>
        <v>0</v>
      </c>
      <c r="GF357" s="58">
        <f t="shared" si="589"/>
        <v>0</v>
      </c>
      <c r="GG357" s="58">
        <f t="shared" si="590"/>
        <v>0</v>
      </c>
      <c r="GH357" s="58">
        <f t="shared" si="591"/>
        <v>0</v>
      </c>
      <c r="GI357" s="58">
        <f t="shared" si="571"/>
        <v>0</v>
      </c>
      <c r="GK357" s="58">
        <f>IF(i_baseline_risk_from=2,'Effectiveness settings'!FA357,'Effectiveness settings'!FM357)</f>
        <v>0</v>
      </c>
      <c r="GL357" s="58">
        <f>IF(i_baseline_risk_from=2,'Effectiveness settings'!FB357,'Effectiveness settings'!FN357)</f>
        <v>0</v>
      </c>
      <c r="GM357" s="58">
        <f>IF(i_baseline_risk_from=2,'Effectiveness settings'!FC357,'Effectiveness settings'!FO357)</f>
        <v>0</v>
      </c>
      <c r="GN357" s="58">
        <f>IF(i_baseline_risk_from=2,'Effectiveness settings'!FD357,'Effectiveness settings'!FP357)</f>
        <v>0</v>
      </c>
      <c r="GQ357" s="58">
        <f t="shared" si="592"/>
        <v>0</v>
      </c>
      <c r="GR357" s="58">
        <f t="shared" si="593"/>
        <v>0</v>
      </c>
      <c r="GS357" s="58">
        <f t="shared" si="594"/>
        <v>0</v>
      </c>
      <c r="GT357" s="58">
        <f t="shared" si="595"/>
        <v>0</v>
      </c>
      <c r="GU357" s="58">
        <f>IF(AND(dd_CheckMate214_TTD="Yes",'Effectiveness settings'!BU357=2,'Effectiveness settings'!BX357=2),2,GT357)</f>
        <v>0</v>
      </c>
      <c r="GV357" s="58">
        <f t="shared" si="596"/>
        <v>0</v>
      </c>
      <c r="GW357" s="58">
        <f t="shared" si="597"/>
        <v>0</v>
      </c>
      <c r="GY357" s="58">
        <f>IF(AND(dd_CheckMate214_TTD="Yes",'Effectiveness settings'!BU357=2,'Effectiveness settings'!BX357=2),1,GN357)</f>
        <v>0</v>
      </c>
      <c r="GZ357" s="58">
        <f t="shared" si="598"/>
        <v>0</v>
      </c>
      <c r="HB357" s="58">
        <f t="shared" si="599"/>
        <v>0</v>
      </c>
      <c r="HD357" s="58">
        <f t="shared" si="566"/>
        <v>0</v>
      </c>
      <c r="HE357" s="58">
        <f t="shared" si="567"/>
        <v>0</v>
      </c>
      <c r="HF357" s="58">
        <f t="shared" si="568"/>
        <v>0</v>
      </c>
      <c r="HG357" s="58">
        <f t="shared" si="569"/>
        <v>0</v>
      </c>
      <c r="HH357" s="58">
        <f t="shared" si="570"/>
        <v>0</v>
      </c>
    </row>
    <row r="358" spans="9:216" ht="15.75" hidden="1" x14ac:dyDescent="0.25">
      <c r="I358" s="64"/>
      <c r="J358" s="519"/>
      <c r="K358" s="524"/>
      <c r="L358" s="519"/>
      <c r="M358" s="516"/>
      <c r="N358" s="64"/>
      <c r="O358" s="64"/>
      <c r="P358" s="64"/>
      <c r="Q358" s="519" t="s">
        <v>557</v>
      </c>
      <c r="R358" s="516"/>
      <c r="S358" s="497"/>
      <c r="T358" s="497"/>
      <c r="U358" s="497"/>
      <c r="X358" s="64"/>
      <c r="Y358" s="519"/>
      <c r="Z358" s="516"/>
      <c r="AA358" s="519"/>
      <c r="AB358" s="619"/>
      <c r="AC358" s="64"/>
      <c r="AD358" s="618"/>
      <c r="AE358" s="618"/>
      <c r="AF358" s="620"/>
      <c r="AG358" s="516"/>
      <c r="AH358" s="497"/>
      <c r="AI358" s="497"/>
      <c r="AJ358" s="497"/>
      <c r="AL358" s="64"/>
      <c r="AM358" s="519"/>
      <c r="AN358" s="516"/>
      <c r="AO358" s="620"/>
      <c r="AP358" s="619"/>
      <c r="AQ358" s="64"/>
      <c r="AR358" s="618"/>
      <c r="AS358" s="618"/>
      <c r="AT358" s="627"/>
      <c r="AU358" s="516"/>
      <c r="AV358" s="65"/>
      <c r="AW358" s="65"/>
      <c r="AX358" s="65"/>
      <c r="AZ358" s="64"/>
      <c r="BA358" s="519"/>
      <c r="BB358" s="516"/>
      <c r="BC358" s="620"/>
      <c r="BD358" s="619"/>
      <c r="BE358" s="64"/>
      <c r="BF358" s="618"/>
      <c r="BG358" s="618"/>
      <c r="BH358" s="627"/>
      <c r="BI358" s="516"/>
      <c r="BJ358" s="65"/>
      <c r="BK358" s="65"/>
      <c r="BL358" s="65"/>
      <c r="BQ358" s="58">
        <f t="shared" si="573"/>
        <v>210</v>
      </c>
      <c r="BR358" s="61"/>
      <c r="BS358" s="61"/>
      <c r="BT358" s="17"/>
      <c r="BU358" s="17"/>
      <c r="BV358" s="17"/>
      <c r="BW358" s="17"/>
      <c r="BX358" s="61"/>
      <c r="BY358" s="531"/>
      <c r="BZ358" s="530"/>
      <c r="CA358" s="531"/>
      <c r="CB358" s="530"/>
      <c r="CC358" s="530"/>
      <c r="CD358" s="530"/>
      <c r="CE358" s="1295"/>
      <c r="CF358" s="1301"/>
      <c r="CG358" s="530"/>
      <c r="CH358" s="61"/>
      <c r="CI358" s="61"/>
      <c r="CJ358" s="61"/>
      <c r="DK358" s="58" t="str" cm="1">
        <f t="array" ref="DK358">IF(AND($BT358=4,$BX358=4,$BU358=999),$DB$36,_xlfn.IFNA(INDEX(DB$13:DB$70,MATCH(1,($BR358=$CV$13:$CV$70)*($BT358=$CX$13:$CX$70)*($CE358=$CY$13:$CY$70)*($BY358=$DA$13:$DA$70)*($CD358=$DH$13:$DH$70),0)),""))</f>
        <v/>
      </c>
      <c r="DL358" s="58" t="str" cm="1">
        <f t="array" ref="DL358">IF(AND($BT358=4,$BX358=4,$BU358=999),$DC$36,_xlfn.IFNA(INDEX(CHOOSE(DP358,DB$13:DB$70,DC$13:DC$70,DD$13:DD$70,DE$13:DE$70),MATCH(1,($BR358=$CV$13:$CV$70)*($BT358=$CX$13:$CX$70)*($CE358=$CY$13:$CY$70)*($BY358=$DA$13:$DA$70)*($CD358=$DH$13:$DH$70),0)),""))</f>
        <v/>
      </c>
      <c r="DM358" s="740" t="str" cm="1">
        <f t="array" ref="DM358">IF(AND($BT358=4,$BX358=4,$BU358=999),$DD$36,_xlfn.IFNA(INDEX(DD$13:DD$68,MATCH(1,($BR358=$CV$13:$CV$68)*($BT358=$CX$13:$CX$68)*($CE358=$CY$13:$CY$68)*($BY358=$DA$13:$DA$68)*($CD358=$DH$13:$DH$68),0)),""))</f>
        <v/>
      </c>
      <c r="DN358" s="740" t="str" cm="1">
        <f t="array" ref="DN358">IF(AND($BT358=4,$BX358=4,$BU358=999),$DD$36,_xlfn.IFNA(INDEX(DE$13:DE$68,MATCH(1,($BR358=$CV$13:$CV$68)*($BT358=$CX$13:$CX$68)*($CE358=$CY$13:$CY$68)*($BY358=$DA$13:$DA$68)*($CD358=$DH$13:$DH$68),0)),""))</f>
        <v/>
      </c>
      <c r="DO358" s="58" t="str" cm="1">
        <f t="array" ref="DO358">IF(AND($BT358=4,$BX358=4,$BU358=999),$DF$36,_xlfn.IFNA(INDEX(DF$13:DF$70,MATCH(1,($BR358=$CV$13:$CV$70)*($BT358=$CX$13:$CX$70)*($CE358=$CY$13:$CY$70)*($BY358=$DA$13:$DA$70)*($CD358=$DH$13:$DH$70),0)),""))</f>
        <v/>
      </c>
      <c r="DP358" s="58" t="e">
        <f t="shared" si="574"/>
        <v>#N/A</v>
      </c>
      <c r="EU358" s="58">
        <f t="shared" si="600"/>
        <v>0</v>
      </c>
      <c r="EV358" s="58">
        <f t="shared" si="601"/>
        <v>0</v>
      </c>
      <c r="EW358" s="58">
        <f t="shared" si="602"/>
        <v>0</v>
      </c>
      <c r="EX358" s="58">
        <f t="shared" si="603"/>
        <v>0</v>
      </c>
      <c r="EZ358" s="58">
        <f t="shared" si="604"/>
        <v>0</v>
      </c>
      <c r="FA358" s="58">
        <f t="shared" si="605"/>
        <v>0</v>
      </c>
      <c r="FB358" s="58">
        <f>IF(i_eff_inputs_based_on_num=2,ED358,(INDEX(Lists!$L$51:$L$85,MATCH(O358,Lists!$K$51:$K$85,0))))</f>
        <v>0</v>
      </c>
      <c r="FC358" s="58">
        <f>IF(i_eff_inputs_based_on_num=2,EE358,(INDEX(Lists!$L$51:$L$85,MATCH(P358,Lists!$K$51:$K$85,0))))</f>
        <v>0</v>
      </c>
      <c r="FD358" s="58">
        <f>IF(i_eff_inputs_based_on_num=2,EF358,(INDEX(Lists!$L$51:$L$85,MATCH(Q358,Lists!$K$51:$K$85,0))))</f>
        <v>0</v>
      </c>
      <c r="FG358" s="58">
        <f t="shared" si="575"/>
        <v>0</v>
      </c>
      <c r="FH358" s="58">
        <f t="shared" si="576"/>
        <v>0</v>
      </c>
      <c r="FI358" s="58">
        <f t="shared" si="577"/>
        <v>0</v>
      </c>
      <c r="FJ358" s="58">
        <f t="shared" si="578"/>
        <v>0</v>
      </c>
      <c r="FL358" s="58">
        <f t="shared" si="579"/>
        <v>0</v>
      </c>
      <c r="FM358" s="58">
        <f t="shared" si="580"/>
        <v>0</v>
      </c>
      <c r="FN358" s="58">
        <f>IF(i_eff_inputs_based_on_num=2,EP358,(INDEX(Lists!$L$51:$L$85,MATCH(AA358,Lists!$K$51:$K$85,0))))</f>
        <v>0</v>
      </c>
      <c r="FO358" s="58">
        <f>IF(i_eff_inputs_based_on_num=2,EQ358,(INDEX(Lists!$L$51:$L$85,MATCH(AB358,Lists!$K$51:$K$85,0))))</f>
        <v>0</v>
      </c>
      <c r="FP358" s="58">
        <f>IF(i_eff_inputs_based_on_num=2,ER358,(INDEX(Lists!$L$51:$L$85,MATCH(AC358,Lists!$K$51:$K$85,0))))</f>
        <v>0</v>
      </c>
      <c r="FT358" s="58">
        <f t="shared" si="581"/>
        <v>0</v>
      </c>
      <c r="FW358" s="58">
        <f>IF(i_baseline_risk_from=2,'Effectiveness settings'!EW358,'Effectiveness settings'!FI358)</f>
        <v>0</v>
      </c>
      <c r="FX358" s="58">
        <f t="shared" si="582"/>
        <v>0</v>
      </c>
      <c r="FY358" s="58">
        <f t="shared" si="583"/>
        <v>0</v>
      </c>
      <c r="FZ358" s="58">
        <f t="shared" si="584"/>
        <v>0</v>
      </c>
      <c r="GA358" s="58">
        <f t="shared" si="585"/>
        <v>0</v>
      </c>
      <c r="GB358" s="58">
        <f t="shared" si="586"/>
        <v>0</v>
      </c>
      <c r="GC358" s="58">
        <f t="shared" si="587"/>
        <v>0</v>
      </c>
      <c r="GD358" s="58">
        <f t="shared" si="588"/>
        <v>0</v>
      </c>
      <c r="GE358" s="58">
        <f>IF(AND(dd_CheckMate214_TTD="Yes",'Effectiveness settings'!BU358=2,'Effectiveness settings'!BX358=2),"Apply HR to",GD358)</f>
        <v>0</v>
      </c>
      <c r="GF358" s="58">
        <f t="shared" si="589"/>
        <v>0</v>
      </c>
      <c r="GG358" s="58">
        <f t="shared" si="590"/>
        <v>0</v>
      </c>
      <c r="GH358" s="58">
        <f t="shared" si="591"/>
        <v>0</v>
      </c>
      <c r="GI358" s="58">
        <f t="shared" si="571"/>
        <v>0</v>
      </c>
      <c r="GK358" s="58">
        <f>IF(i_baseline_risk_from=2,'Effectiveness settings'!FA358,'Effectiveness settings'!FM358)</f>
        <v>0</v>
      </c>
      <c r="GL358" s="58">
        <f>IF(i_baseline_risk_from=2,'Effectiveness settings'!FB358,'Effectiveness settings'!FN358)</f>
        <v>0</v>
      </c>
      <c r="GM358" s="58">
        <f>IF(i_baseline_risk_from=2,'Effectiveness settings'!FC358,'Effectiveness settings'!FO358)</f>
        <v>0</v>
      </c>
      <c r="GN358" s="58">
        <f>IF(i_baseline_risk_from=2,'Effectiveness settings'!FD358,'Effectiveness settings'!FP358)</f>
        <v>0</v>
      </c>
      <c r="GQ358" s="58">
        <f t="shared" si="592"/>
        <v>0</v>
      </c>
      <c r="GR358" s="58">
        <f t="shared" si="593"/>
        <v>0</v>
      </c>
      <c r="GS358" s="58">
        <f t="shared" si="594"/>
        <v>0</v>
      </c>
      <c r="GT358" s="58">
        <f t="shared" si="595"/>
        <v>0</v>
      </c>
      <c r="GU358" s="58">
        <f>IF(AND(dd_CheckMate214_TTD="Yes",'Effectiveness settings'!BU358=2,'Effectiveness settings'!BX358=2),2,GT358)</f>
        <v>0</v>
      </c>
      <c r="GV358" s="58">
        <f t="shared" si="596"/>
        <v>0</v>
      </c>
      <c r="GW358" s="58">
        <f t="shared" si="597"/>
        <v>0</v>
      </c>
      <c r="GY358" s="58">
        <f>IF(AND(dd_CheckMate214_TTD="Yes",'Effectiveness settings'!BU358=2,'Effectiveness settings'!BX358=2),1,GN358)</f>
        <v>0</v>
      </c>
      <c r="GZ358" s="58">
        <f t="shared" si="598"/>
        <v>0</v>
      </c>
      <c r="HB358" s="58">
        <f t="shared" si="599"/>
        <v>0</v>
      </c>
      <c r="HD358" s="58">
        <f t="shared" si="566"/>
        <v>0</v>
      </c>
      <c r="HE358" s="58">
        <f t="shared" si="567"/>
        <v>0</v>
      </c>
      <c r="HF358" s="58">
        <f t="shared" si="568"/>
        <v>0</v>
      </c>
      <c r="HG358" s="58">
        <f t="shared" si="569"/>
        <v>0</v>
      </c>
      <c r="HH358" s="58">
        <f t="shared" si="570"/>
        <v>0</v>
      </c>
    </row>
    <row r="359" spans="9:216" ht="15.75" hidden="1" x14ac:dyDescent="0.25">
      <c r="I359" s="64"/>
      <c r="J359" s="519"/>
      <c r="K359" s="524"/>
      <c r="L359" s="519"/>
      <c r="M359" s="516"/>
      <c r="N359" s="64"/>
      <c r="O359" s="64"/>
      <c r="P359" s="64"/>
      <c r="Q359" s="519" t="s">
        <v>557</v>
      </c>
      <c r="R359" s="516"/>
      <c r="S359" s="497"/>
      <c r="T359" s="497"/>
      <c r="U359" s="497"/>
      <c r="X359" s="64"/>
      <c r="Y359" s="519"/>
      <c r="Z359" s="516"/>
      <c r="AA359" s="519"/>
      <c r="AB359" s="619"/>
      <c r="AC359" s="64"/>
      <c r="AD359" s="618"/>
      <c r="AE359" s="618"/>
      <c r="AF359" s="620"/>
      <c r="AG359" s="516"/>
      <c r="AH359" s="497"/>
      <c r="AI359" s="497"/>
      <c r="AJ359" s="497"/>
      <c r="AL359" s="64"/>
      <c r="AM359" s="519"/>
      <c r="AN359" s="516"/>
      <c r="AO359" s="620"/>
      <c r="AP359" s="619"/>
      <c r="AQ359" s="64"/>
      <c r="AR359" s="618"/>
      <c r="AS359" s="618"/>
      <c r="AT359" s="627"/>
      <c r="AU359" s="516"/>
      <c r="AV359" s="65"/>
      <c r="AW359" s="65"/>
      <c r="AX359" s="65"/>
      <c r="AZ359" s="64"/>
      <c r="BA359" s="519"/>
      <c r="BB359" s="516"/>
      <c r="BC359" s="620"/>
      <c r="BD359" s="619"/>
      <c r="BE359" s="64"/>
      <c r="BF359" s="618"/>
      <c r="BG359" s="618"/>
      <c r="BH359" s="627"/>
      <c r="BI359" s="516"/>
      <c r="BJ359" s="65"/>
      <c r="BK359" s="65"/>
      <c r="BL359" s="65"/>
      <c r="BQ359" s="58">
        <f t="shared" si="573"/>
        <v>210</v>
      </c>
      <c r="BR359" s="61"/>
      <c r="BS359" s="61"/>
      <c r="BT359" s="17"/>
      <c r="BU359" s="17"/>
      <c r="BV359" s="17"/>
      <c r="BW359" s="17"/>
      <c r="BX359" s="61"/>
      <c r="BY359" s="531"/>
      <c r="BZ359" s="530"/>
      <c r="CA359" s="531"/>
      <c r="CB359" s="530"/>
      <c r="CC359" s="530"/>
      <c r="CD359" s="530"/>
      <c r="CE359" s="1295"/>
      <c r="CF359" s="1301"/>
      <c r="CG359" s="530"/>
      <c r="CH359" s="61"/>
      <c r="CI359" s="61"/>
      <c r="CJ359" s="61"/>
      <c r="DK359" s="58" t="str" cm="1">
        <f t="array" ref="DK359">IF(AND($BT359=4,$BX359=4,$BU359=999),$DB$36,_xlfn.IFNA(INDEX(DB$13:DB$70,MATCH(1,($BR359=$CV$13:$CV$70)*($BT359=$CX$13:$CX$70)*($CE359=$CY$13:$CY$70)*($BY359=$DA$13:$DA$70)*($CD359=$DH$13:$DH$70),0)),""))</f>
        <v/>
      </c>
      <c r="DL359" s="58" t="str" cm="1">
        <f t="array" ref="DL359">IF(AND($BT359=4,$BX359=4,$BU359=999),$DC$36,_xlfn.IFNA(INDEX(CHOOSE(DP359,DB$13:DB$70,DC$13:DC$70,DD$13:DD$70,DE$13:DE$70),MATCH(1,($BR359=$CV$13:$CV$70)*($BT359=$CX$13:$CX$70)*($CE359=$CY$13:$CY$70)*($BY359=$DA$13:$DA$70)*($CD359=$DH$13:$DH$70),0)),""))</f>
        <v/>
      </c>
      <c r="DM359" s="740" t="str" cm="1">
        <f t="array" ref="DM359">IF(AND($BT359=4,$BX359=4,$BU359=999),$DD$36,_xlfn.IFNA(INDEX(DD$13:DD$68,MATCH(1,($BR359=$CV$13:$CV$68)*($BT359=$CX$13:$CX$68)*($CE359=$CY$13:$CY$68)*($BY359=$DA$13:$DA$68)*($CD359=$DH$13:$DH$68),0)),""))</f>
        <v/>
      </c>
      <c r="DN359" s="740" t="str" cm="1">
        <f t="array" ref="DN359">IF(AND($BT359=4,$BX359=4,$BU359=999),$DD$36,_xlfn.IFNA(INDEX(DE$13:DE$68,MATCH(1,($BR359=$CV$13:$CV$68)*($BT359=$CX$13:$CX$68)*($CE359=$CY$13:$CY$68)*($BY359=$DA$13:$DA$68)*($CD359=$DH$13:$DH$68),0)),""))</f>
        <v/>
      </c>
      <c r="DO359" s="58" t="str" cm="1">
        <f t="array" ref="DO359">IF(AND($BT359=4,$BX359=4,$BU359=999),$DF$36,_xlfn.IFNA(INDEX(DF$13:DF$70,MATCH(1,($BR359=$CV$13:$CV$70)*($BT359=$CX$13:$CX$70)*($CE359=$CY$13:$CY$70)*($BY359=$DA$13:$DA$70)*($CD359=$DH$13:$DH$70),0)),""))</f>
        <v/>
      </c>
      <c r="DP359" s="58" t="e">
        <f t="shared" si="574"/>
        <v>#N/A</v>
      </c>
      <c r="EU359" s="58">
        <f t="shared" si="600"/>
        <v>0</v>
      </c>
      <c r="EV359" s="58">
        <f t="shared" si="601"/>
        <v>0</v>
      </c>
      <c r="EW359" s="58">
        <f t="shared" si="602"/>
        <v>0</v>
      </c>
      <c r="EX359" s="58">
        <f t="shared" si="603"/>
        <v>0</v>
      </c>
      <c r="EZ359" s="58">
        <f t="shared" si="604"/>
        <v>0</v>
      </c>
      <c r="FA359" s="58">
        <f t="shared" si="605"/>
        <v>0</v>
      </c>
      <c r="FB359" s="58">
        <f>IF(i_eff_inputs_based_on_num=2,ED359,(INDEX(Lists!$L$51:$L$85,MATCH(O359,Lists!$K$51:$K$85,0))))</f>
        <v>0</v>
      </c>
      <c r="FC359" s="58">
        <f>IF(i_eff_inputs_based_on_num=2,EE359,(INDEX(Lists!$L$51:$L$85,MATCH(P359,Lists!$K$51:$K$85,0))))</f>
        <v>0</v>
      </c>
      <c r="FD359" s="58">
        <f>IF(i_eff_inputs_based_on_num=2,EF359,(INDEX(Lists!$L$51:$L$85,MATCH(Q359,Lists!$K$51:$K$85,0))))</f>
        <v>0</v>
      </c>
      <c r="FG359" s="58">
        <f t="shared" si="575"/>
        <v>0</v>
      </c>
      <c r="FH359" s="58">
        <f t="shared" si="576"/>
        <v>0</v>
      </c>
      <c r="FI359" s="58">
        <f t="shared" si="577"/>
        <v>0</v>
      </c>
      <c r="FJ359" s="58">
        <f t="shared" si="578"/>
        <v>0</v>
      </c>
      <c r="FL359" s="58">
        <f t="shared" si="579"/>
        <v>0</v>
      </c>
      <c r="FM359" s="58">
        <f t="shared" si="580"/>
        <v>0</v>
      </c>
      <c r="FN359" s="58">
        <f>IF(i_eff_inputs_based_on_num=2,EP359,(INDEX(Lists!$L$51:$L$85,MATCH(AA359,Lists!$K$51:$K$85,0))))</f>
        <v>0</v>
      </c>
      <c r="FO359" s="58">
        <f>IF(i_eff_inputs_based_on_num=2,EQ359,(INDEX(Lists!$L$51:$L$85,MATCH(AB359,Lists!$K$51:$K$85,0))))</f>
        <v>0</v>
      </c>
      <c r="FP359" s="58">
        <f>IF(i_eff_inputs_based_on_num=2,ER359,(INDEX(Lists!$L$51:$L$85,MATCH(AC359,Lists!$K$51:$K$85,0))))</f>
        <v>0</v>
      </c>
      <c r="FT359" s="58">
        <f t="shared" si="581"/>
        <v>0</v>
      </c>
      <c r="FW359" s="58">
        <f>IF(i_baseline_risk_from=2,'Effectiveness settings'!EW359,'Effectiveness settings'!FI359)</f>
        <v>0</v>
      </c>
      <c r="FX359" s="58">
        <f t="shared" si="582"/>
        <v>0</v>
      </c>
      <c r="FY359" s="58">
        <f t="shared" si="583"/>
        <v>0</v>
      </c>
      <c r="FZ359" s="58">
        <f t="shared" si="584"/>
        <v>0</v>
      </c>
      <c r="GA359" s="58">
        <f t="shared" si="585"/>
        <v>0</v>
      </c>
      <c r="GB359" s="58">
        <f t="shared" si="586"/>
        <v>0</v>
      </c>
      <c r="GC359" s="58">
        <f t="shared" si="587"/>
        <v>0</v>
      </c>
      <c r="GD359" s="58">
        <f t="shared" si="588"/>
        <v>0</v>
      </c>
      <c r="GE359" s="58">
        <f>IF(AND(dd_CheckMate214_TTD="Yes",'Effectiveness settings'!BU359=2,'Effectiveness settings'!BX359=2),"Apply HR to",GD359)</f>
        <v>0</v>
      </c>
      <c r="GF359" s="58">
        <f t="shared" si="589"/>
        <v>0</v>
      </c>
      <c r="GG359" s="58">
        <f t="shared" si="590"/>
        <v>0</v>
      </c>
      <c r="GH359" s="58">
        <f t="shared" si="591"/>
        <v>0</v>
      </c>
      <c r="GI359" s="58">
        <f t="shared" si="571"/>
        <v>0</v>
      </c>
      <c r="GK359" s="58">
        <f>IF(i_baseline_risk_from=2,'Effectiveness settings'!FA359,'Effectiveness settings'!FM359)</f>
        <v>0</v>
      </c>
      <c r="GL359" s="58">
        <f>IF(i_baseline_risk_from=2,'Effectiveness settings'!FB359,'Effectiveness settings'!FN359)</f>
        <v>0</v>
      </c>
      <c r="GM359" s="58">
        <f>IF(i_baseline_risk_from=2,'Effectiveness settings'!FC359,'Effectiveness settings'!FO359)</f>
        <v>0</v>
      </c>
      <c r="GN359" s="58">
        <f>IF(i_baseline_risk_from=2,'Effectiveness settings'!FD359,'Effectiveness settings'!FP359)</f>
        <v>0</v>
      </c>
      <c r="GQ359" s="58">
        <f t="shared" si="592"/>
        <v>0</v>
      </c>
      <c r="GR359" s="58">
        <f t="shared" si="593"/>
        <v>0</v>
      </c>
      <c r="GS359" s="58">
        <f t="shared" si="594"/>
        <v>0</v>
      </c>
      <c r="GT359" s="58">
        <f t="shared" si="595"/>
        <v>0</v>
      </c>
      <c r="GU359" s="58">
        <f>IF(AND(dd_CheckMate214_TTD="Yes",'Effectiveness settings'!BU359=2,'Effectiveness settings'!BX359=2),2,GT359)</f>
        <v>0</v>
      </c>
      <c r="GV359" s="58">
        <f t="shared" si="596"/>
        <v>0</v>
      </c>
      <c r="GW359" s="58">
        <f t="shared" si="597"/>
        <v>0</v>
      </c>
      <c r="GY359" s="58">
        <f>IF(AND(dd_CheckMate214_TTD="Yes",'Effectiveness settings'!BU359=2,'Effectiveness settings'!BX359=2),1,GN359)</f>
        <v>0</v>
      </c>
      <c r="GZ359" s="58">
        <f t="shared" si="598"/>
        <v>0</v>
      </c>
      <c r="HB359" s="58">
        <f t="shared" si="599"/>
        <v>0</v>
      </c>
      <c r="HD359" s="58">
        <f t="shared" si="566"/>
        <v>0</v>
      </c>
      <c r="HE359" s="58">
        <f t="shared" si="567"/>
        <v>0</v>
      </c>
      <c r="HF359" s="58">
        <f t="shared" si="568"/>
        <v>0</v>
      </c>
      <c r="HG359" s="58">
        <f t="shared" si="569"/>
        <v>0</v>
      </c>
      <c r="HH359" s="58">
        <f t="shared" si="570"/>
        <v>0</v>
      </c>
    </row>
    <row r="360" spans="9:216" ht="15.75" hidden="1" x14ac:dyDescent="0.25">
      <c r="I360" s="64"/>
      <c r="J360" s="519"/>
      <c r="K360" s="524"/>
      <c r="L360" s="519"/>
      <c r="M360" s="516"/>
      <c r="N360" s="64"/>
      <c r="O360" s="64"/>
      <c r="P360" s="64"/>
      <c r="Q360" s="519" t="s">
        <v>557</v>
      </c>
      <c r="R360" s="516"/>
      <c r="S360" s="497"/>
      <c r="T360" s="497"/>
      <c r="U360" s="497"/>
      <c r="X360" s="64"/>
      <c r="Y360" s="519"/>
      <c r="Z360" s="516"/>
      <c r="AA360" s="519"/>
      <c r="AB360" s="619"/>
      <c r="AC360" s="64"/>
      <c r="AD360" s="618"/>
      <c r="AE360" s="618"/>
      <c r="AF360" s="620"/>
      <c r="AG360" s="516"/>
      <c r="AH360" s="497"/>
      <c r="AI360" s="497"/>
      <c r="AJ360" s="497"/>
      <c r="AL360" s="64"/>
      <c r="AM360" s="519"/>
      <c r="AN360" s="516"/>
      <c r="AO360" s="620"/>
      <c r="AP360" s="619"/>
      <c r="AQ360" s="64"/>
      <c r="AR360" s="618"/>
      <c r="AS360" s="618"/>
      <c r="AT360" s="627"/>
      <c r="AU360" s="516"/>
      <c r="AV360" s="65"/>
      <c r="AW360" s="65"/>
      <c r="AX360" s="65"/>
      <c r="AZ360" s="64"/>
      <c r="BA360" s="519"/>
      <c r="BB360" s="516"/>
      <c r="BC360" s="620"/>
      <c r="BD360" s="619"/>
      <c r="BE360" s="64"/>
      <c r="BF360" s="618"/>
      <c r="BG360" s="618"/>
      <c r="BH360" s="627"/>
      <c r="BI360" s="516"/>
      <c r="BJ360" s="65"/>
      <c r="BK360" s="65"/>
      <c r="BL360" s="65"/>
      <c r="BQ360" s="58">
        <f t="shared" si="573"/>
        <v>210</v>
      </c>
      <c r="BR360" s="61"/>
      <c r="BS360" s="61"/>
      <c r="BT360" s="17"/>
      <c r="BU360" s="17"/>
      <c r="BV360" s="17"/>
      <c r="BW360" s="17"/>
      <c r="BX360" s="61"/>
      <c r="BY360" s="531"/>
      <c r="BZ360" s="530"/>
      <c r="CA360" s="531"/>
      <c r="CB360" s="530"/>
      <c r="CC360" s="530"/>
      <c r="CD360" s="530"/>
      <c r="CE360" s="1295"/>
      <c r="CF360" s="1301"/>
      <c r="CG360" s="530"/>
      <c r="CH360" s="61"/>
      <c r="CI360" s="61"/>
      <c r="CJ360" s="61"/>
      <c r="DK360" s="58" t="str" cm="1">
        <f t="array" ref="DK360">IF(AND($BT360=4,$BX360=4,$BU360=999),$DB$36,_xlfn.IFNA(INDEX(DB$13:DB$70,MATCH(1,($BR360=$CV$13:$CV$70)*($BT360=$CX$13:$CX$70)*($CE360=$CY$13:$CY$70)*($BY360=$DA$13:$DA$70)*($CD360=$DH$13:$DH$70),0)),""))</f>
        <v/>
      </c>
      <c r="DL360" s="58" t="str" cm="1">
        <f t="array" ref="DL360">IF(AND($BT360=4,$BX360=4,$BU360=999),$DC$36,_xlfn.IFNA(INDEX(CHOOSE(DP360,DB$13:DB$70,DC$13:DC$70,DD$13:DD$70,DE$13:DE$70),MATCH(1,($BR360=$CV$13:$CV$70)*($BT360=$CX$13:$CX$70)*($CE360=$CY$13:$CY$70)*($BY360=$DA$13:$DA$70)*($CD360=$DH$13:$DH$70),0)),""))</f>
        <v/>
      </c>
      <c r="DM360" s="740" t="str" cm="1">
        <f t="array" ref="DM360">IF(AND($BT360=4,$BX360=4,$BU360=999),$DD$36,_xlfn.IFNA(INDEX(DD$13:DD$68,MATCH(1,($BR360=$CV$13:$CV$68)*($BT360=$CX$13:$CX$68)*($CE360=$CY$13:$CY$68)*($BY360=$DA$13:$DA$68)*($CD360=$DH$13:$DH$68),0)),""))</f>
        <v/>
      </c>
      <c r="DN360" s="740" t="str" cm="1">
        <f t="array" ref="DN360">IF(AND($BT360=4,$BX360=4,$BU360=999),$DD$36,_xlfn.IFNA(INDEX(DE$13:DE$68,MATCH(1,($BR360=$CV$13:$CV$68)*($BT360=$CX$13:$CX$68)*($CE360=$CY$13:$CY$68)*($BY360=$DA$13:$DA$68)*($CD360=$DH$13:$DH$68),0)),""))</f>
        <v/>
      </c>
      <c r="DO360" s="58" t="str" cm="1">
        <f t="array" ref="DO360">IF(AND($BT360=4,$BX360=4,$BU360=999),$DF$36,_xlfn.IFNA(INDEX(DF$13:DF$70,MATCH(1,($BR360=$CV$13:$CV$70)*($BT360=$CX$13:$CX$70)*($CE360=$CY$13:$CY$70)*($BY360=$DA$13:$DA$70)*($CD360=$DH$13:$DH$70),0)),""))</f>
        <v/>
      </c>
      <c r="DP360" s="58" t="e">
        <f t="shared" si="574"/>
        <v>#N/A</v>
      </c>
      <c r="EU360" s="58">
        <f t="shared" si="600"/>
        <v>0</v>
      </c>
      <c r="EV360" s="58">
        <f t="shared" si="601"/>
        <v>0</v>
      </c>
      <c r="EW360" s="58">
        <f t="shared" si="602"/>
        <v>0</v>
      </c>
      <c r="EX360" s="58">
        <f t="shared" si="603"/>
        <v>0</v>
      </c>
      <c r="EZ360" s="58">
        <f t="shared" si="604"/>
        <v>0</v>
      </c>
      <c r="FA360" s="58">
        <f t="shared" si="605"/>
        <v>0</v>
      </c>
      <c r="FB360" s="58">
        <f>IF(i_eff_inputs_based_on_num=2,ED360,(INDEX(Lists!$L$51:$L$85,MATCH(O360,Lists!$K$51:$K$85,0))))</f>
        <v>0</v>
      </c>
      <c r="FC360" s="58">
        <f>IF(i_eff_inputs_based_on_num=2,EE360,(INDEX(Lists!$L$51:$L$85,MATCH(P360,Lists!$K$51:$K$85,0))))</f>
        <v>0</v>
      </c>
      <c r="FD360" s="58">
        <f>IF(i_eff_inputs_based_on_num=2,EF360,(INDEX(Lists!$L$51:$L$85,MATCH(Q360,Lists!$K$51:$K$85,0))))</f>
        <v>0</v>
      </c>
      <c r="FG360" s="58">
        <f t="shared" si="575"/>
        <v>0</v>
      </c>
      <c r="FH360" s="58">
        <f t="shared" si="576"/>
        <v>0</v>
      </c>
      <c r="FI360" s="58">
        <f t="shared" si="577"/>
        <v>0</v>
      </c>
      <c r="FJ360" s="58">
        <f t="shared" si="578"/>
        <v>0</v>
      </c>
      <c r="FL360" s="58">
        <f t="shared" si="579"/>
        <v>0</v>
      </c>
      <c r="FM360" s="58">
        <f t="shared" si="580"/>
        <v>0</v>
      </c>
      <c r="FN360" s="58">
        <f>IF(i_eff_inputs_based_on_num=2,EP360,(INDEX(Lists!$L$51:$L$85,MATCH(AA360,Lists!$K$51:$K$85,0))))</f>
        <v>0</v>
      </c>
      <c r="FO360" s="58">
        <f>IF(i_eff_inputs_based_on_num=2,EQ360,(INDEX(Lists!$L$51:$L$85,MATCH(AB360,Lists!$K$51:$K$85,0))))</f>
        <v>0</v>
      </c>
      <c r="FP360" s="58">
        <f>IF(i_eff_inputs_based_on_num=2,ER360,(INDEX(Lists!$L$51:$L$85,MATCH(AC360,Lists!$K$51:$K$85,0))))</f>
        <v>0</v>
      </c>
      <c r="FT360" s="58">
        <f t="shared" si="581"/>
        <v>0</v>
      </c>
      <c r="FW360" s="58">
        <f>IF(i_baseline_risk_from=2,'Effectiveness settings'!EW360,'Effectiveness settings'!FI360)</f>
        <v>0</v>
      </c>
      <c r="FX360" s="58">
        <f t="shared" si="582"/>
        <v>0</v>
      </c>
      <c r="FY360" s="58">
        <f t="shared" si="583"/>
        <v>0</v>
      </c>
      <c r="FZ360" s="58">
        <f t="shared" si="584"/>
        <v>0</v>
      </c>
      <c r="GA360" s="58">
        <f t="shared" si="585"/>
        <v>0</v>
      </c>
      <c r="GB360" s="58">
        <f t="shared" si="586"/>
        <v>0</v>
      </c>
      <c r="GC360" s="58">
        <f t="shared" si="587"/>
        <v>0</v>
      </c>
      <c r="GD360" s="58">
        <f t="shared" si="588"/>
        <v>0</v>
      </c>
      <c r="GE360" s="58">
        <f>IF(AND(dd_CheckMate214_TTD="Yes",'Effectiveness settings'!BU360=2,'Effectiveness settings'!BX360=2),"Apply HR to",GD360)</f>
        <v>0</v>
      </c>
      <c r="GF360" s="58">
        <f t="shared" si="589"/>
        <v>0</v>
      </c>
      <c r="GG360" s="58">
        <f t="shared" si="590"/>
        <v>0</v>
      </c>
      <c r="GH360" s="58">
        <f t="shared" si="591"/>
        <v>0</v>
      </c>
      <c r="GI360" s="58">
        <f t="shared" si="571"/>
        <v>0</v>
      </c>
      <c r="GK360" s="58">
        <f>IF(i_baseline_risk_from=2,'Effectiveness settings'!FA360,'Effectiveness settings'!FM360)</f>
        <v>0</v>
      </c>
      <c r="GL360" s="58">
        <f>IF(i_baseline_risk_from=2,'Effectiveness settings'!FB360,'Effectiveness settings'!FN360)</f>
        <v>0</v>
      </c>
      <c r="GM360" s="58">
        <f>IF(i_baseline_risk_from=2,'Effectiveness settings'!FC360,'Effectiveness settings'!FO360)</f>
        <v>0</v>
      </c>
      <c r="GN360" s="58">
        <f>IF(i_baseline_risk_from=2,'Effectiveness settings'!FD360,'Effectiveness settings'!FP360)</f>
        <v>0</v>
      </c>
      <c r="GQ360" s="58">
        <f t="shared" si="592"/>
        <v>0</v>
      </c>
      <c r="GR360" s="58">
        <f t="shared" si="593"/>
        <v>0</v>
      </c>
      <c r="GS360" s="58">
        <f t="shared" si="594"/>
        <v>0</v>
      </c>
      <c r="GT360" s="58">
        <f t="shared" si="595"/>
        <v>0</v>
      </c>
      <c r="GU360" s="58">
        <f>IF(AND(dd_CheckMate214_TTD="Yes",'Effectiveness settings'!BU360=2,'Effectiveness settings'!BX360=2),2,GT360)</f>
        <v>0</v>
      </c>
      <c r="GV360" s="58">
        <f t="shared" si="596"/>
        <v>0</v>
      </c>
      <c r="GW360" s="58">
        <f t="shared" si="597"/>
        <v>0</v>
      </c>
      <c r="GY360" s="58">
        <f>IF(AND(dd_CheckMate214_TTD="Yes",'Effectiveness settings'!BU360=2,'Effectiveness settings'!BX360=2),1,GN360)</f>
        <v>0</v>
      </c>
      <c r="GZ360" s="58">
        <f t="shared" si="598"/>
        <v>0</v>
      </c>
      <c r="HB360" s="58">
        <f t="shared" si="599"/>
        <v>0</v>
      </c>
      <c r="HD360" s="58">
        <f t="shared" si="566"/>
        <v>0</v>
      </c>
      <c r="HE360" s="58">
        <f t="shared" si="567"/>
        <v>0</v>
      </c>
      <c r="HF360" s="58">
        <f t="shared" si="568"/>
        <v>0</v>
      </c>
      <c r="HG360" s="58">
        <f t="shared" si="569"/>
        <v>0</v>
      </c>
      <c r="HH360" s="58">
        <f t="shared" si="570"/>
        <v>0</v>
      </c>
    </row>
    <row r="361" spans="9:216" ht="15.75" hidden="1" x14ac:dyDescent="0.25">
      <c r="I361" s="64"/>
      <c r="J361" s="519"/>
      <c r="K361" s="524"/>
      <c r="L361" s="519"/>
      <c r="M361" s="516"/>
      <c r="N361" s="64"/>
      <c r="O361" s="64"/>
      <c r="P361" s="64"/>
      <c r="Q361" s="519" t="s">
        <v>557</v>
      </c>
      <c r="R361" s="516"/>
      <c r="S361" s="497"/>
      <c r="T361" s="497"/>
      <c r="U361" s="497"/>
      <c r="X361" s="64"/>
      <c r="Y361" s="519"/>
      <c r="Z361" s="516"/>
      <c r="AA361" s="519"/>
      <c r="AB361" s="619"/>
      <c r="AC361" s="64"/>
      <c r="AD361" s="618"/>
      <c r="AE361" s="618"/>
      <c r="AF361" s="620"/>
      <c r="AG361" s="516"/>
      <c r="AH361" s="497"/>
      <c r="AI361" s="497"/>
      <c r="AJ361" s="497"/>
      <c r="AL361" s="64"/>
      <c r="AM361" s="519"/>
      <c r="AN361" s="516"/>
      <c r="AO361" s="620"/>
      <c r="AP361" s="619"/>
      <c r="AQ361" s="64"/>
      <c r="AR361" s="618"/>
      <c r="AS361" s="618"/>
      <c r="AT361" s="627"/>
      <c r="AU361" s="516"/>
      <c r="AV361" s="65"/>
      <c r="AW361" s="65"/>
      <c r="AX361" s="65"/>
      <c r="AZ361" s="64"/>
      <c r="BA361" s="519"/>
      <c r="BB361" s="516"/>
      <c r="BC361" s="620"/>
      <c r="BD361" s="619"/>
      <c r="BE361" s="64"/>
      <c r="BF361" s="618"/>
      <c r="BG361" s="618"/>
      <c r="BH361" s="627"/>
      <c r="BI361" s="516"/>
      <c r="BJ361" s="65"/>
      <c r="BK361" s="65"/>
      <c r="BL361" s="65"/>
      <c r="BQ361" s="58">
        <f t="shared" si="573"/>
        <v>210</v>
      </c>
      <c r="BR361" s="61"/>
      <c r="BS361" s="61"/>
      <c r="BT361" s="17"/>
      <c r="BU361" s="17"/>
      <c r="BV361" s="17"/>
      <c r="BW361" s="17"/>
      <c r="BX361" s="61"/>
      <c r="BY361" s="531"/>
      <c r="BZ361" s="530"/>
      <c r="CA361" s="531"/>
      <c r="CB361" s="530"/>
      <c r="CC361" s="530"/>
      <c r="CD361" s="530"/>
      <c r="CE361" s="1295"/>
      <c r="CF361" s="1301"/>
      <c r="CG361" s="530"/>
      <c r="CH361" s="61"/>
      <c r="CI361" s="61"/>
      <c r="CJ361" s="61"/>
      <c r="DK361" s="58" t="str" cm="1">
        <f t="array" ref="DK361">IF(AND($BT361=4,$BX361=4,$BU361=999),$DB$36,_xlfn.IFNA(INDEX(DB$13:DB$70,MATCH(1,($BR361=$CV$13:$CV$70)*($BT361=$CX$13:$CX$70)*($CE361=$CY$13:$CY$70)*($BY361=$DA$13:$DA$70)*($CD361=$DH$13:$DH$70),0)),""))</f>
        <v/>
      </c>
      <c r="DL361" s="58" t="str" cm="1">
        <f t="array" ref="DL361">IF(AND($BT361=4,$BX361=4,$BU361=999),$DC$36,_xlfn.IFNA(INDEX(CHOOSE(DP361,DB$13:DB$70,DC$13:DC$70,DD$13:DD$70,DE$13:DE$70),MATCH(1,($BR361=$CV$13:$CV$70)*($BT361=$CX$13:$CX$70)*($CE361=$CY$13:$CY$70)*($BY361=$DA$13:$DA$70)*($CD361=$DH$13:$DH$70),0)),""))</f>
        <v/>
      </c>
      <c r="DM361" s="740" t="str" cm="1">
        <f t="array" ref="DM361">IF(AND($BT361=4,$BX361=4,$BU361=999),$DD$36,_xlfn.IFNA(INDEX(DD$13:DD$68,MATCH(1,($BR361=$CV$13:$CV$68)*($BT361=$CX$13:$CX$68)*($CE361=$CY$13:$CY$68)*($BY361=$DA$13:$DA$68)*($CD361=$DH$13:$DH$68),0)),""))</f>
        <v/>
      </c>
      <c r="DN361" s="740" t="str" cm="1">
        <f t="array" ref="DN361">IF(AND($BT361=4,$BX361=4,$BU361=999),$DD$36,_xlfn.IFNA(INDEX(DE$13:DE$68,MATCH(1,($BR361=$CV$13:$CV$68)*($BT361=$CX$13:$CX$68)*($CE361=$CY$13:$CY$68)*($BY361=$DA$13:$DA$68)*($CD361=$DH$13:$DH$68),0)),""))</f>
        <v/>
      </c>
      <c r="DO361" s="58" t="str" cm="1">
        <f t="array" ref="DO361">IF(AND($BT361=4,$BX361=4,$BU361=999),$DF$36,_xlfn.IFNA(INDEX(DF$13:DF$70,MATCH(1,($BR361=$CV$13:$CV$70)*($BT361=$CX$13:$CX$70)*($CE361=$CY$13:$CY$70)*($BY361=$DA$13:$DA$70)*($CD361=$DH$13:$DH$70),0)),""))</f>
        <v/>
      </c>
      <c r="DP361" s="58" t="e">
        <f t="shared" si="574"/>
        <v>#N/A</v>
      </c>
      <c r="EU361" s="58">
        <f t="shared" si="600"/>
        <v>0</v>
      </c>
      <c r="EV361" s="58">
        <f t="shared" si="601"/>
        <v>0</v>
      </c>
      <c r="EW361" s="58">
        <f t="shared" si="602"/>
        <v>0</v>
      </c>
      <c r="EX361" s="58">
        <f t="shared" si="603"/>
        <v>0</v>
      </c>
      <c r="EZ361" s="58">
        <f t="shared" si="604"/>
        <v>0</v>
      </c>
      <c r="FA361" s="58">
        <f t="shared" si="605"/>
        <v>0</v>
      </c>
      <c r="FB361" s="58">
        <f>IF(i_eff_inputs_based_on_num=2,ED361,(INDEX(Lists!$L$51:$L$85,MATCH(O361,Lists!$K$51:$K$85,0))))</f>
        <v>0</v>
      </c>
      <c r="FC361" s="58">
        <f>IF(i_eff_inputs_based_on_num=2,EE361,(INDEX(Lists!$L$51:$L$85,MATCH(P361,Lists!$K$51:$K$85,0))))</f>
        <v>0</v>
      </c>
      <c r="FD361" s="58">
        <f>IF(i_eff_inputs_based_on_num=2,EF361,(INDEX(Lists!$L$51:$L$85,MATCH(Q361,Lists!$K$51:$K$85,0))))</f>
        <v>0</v>
      </c>
      <c r="FG361" s="58">
        <f t="shared" si="575"/>
        <v>0</v>
      </c>
      <c r="FH361" s="58">
        <f t="shared" si="576"/>
        <v>0</v>
      </c>
      <c r="FI361" s="58">
        <f t="shared" si="577"/>
        <v>0</v>
      </c>
      <c r="FJ361" s="58">
        <f t="shared" si="578"/>
        <v>0</v>
      </c>
      <c r="FL361" s="58">
        <f t="shared" si="579"/>
        <v>0</v>
      </c>
      <c r="FM361" s="58">
        <f t="shared" si="580"/>
        <v>0</v>
      </c>
      <c r="FN361" s="58">
        <f>IF(i_eff_inputs_based_on_num=2,EP361,(INDEX(Lists!$L$51:$L$85,MATCH(AA361,Lists!$K$51:$K$85,0))))</f>
        <v>0</v>
      </c>
      <c r="FO361" s="58">
        <f>IF(i_eff_inputs_based_on_num=2,EQ361,(INDEX(Lists!$L$51:$L$85,MATCH(AB361,Lists!$K$51:$K$85,0))))</f>
        <v>0</v>
      </c>
      <c r="FP361" s="58">
        <f>IF(i_eff_inputs_based_on_num=2,ER361,(INDEX(Lists!$L$51:$L$85,MATCH(AC361,Lists!$K$51:$K$85,0))))</f>
        <v>0</v>
      </c>
      <c r="FT361" s="58">
        <f t="shared" si="581"/>
        <v>0</v>
      </c>
      <c r="FW361" s="58">
        <f>IF(i_baseline_risk_from=2,'Effectiveness settings'!EW361,'Effectiveness settings'!FI361)</f>
        <v>0</v>
      </c>
      <c r="FX361" s="58">
        <f t="shared" si="582"/>
        <v>0</v>
      </c>
      <c r="FY361" s="58">
        <f t="shared" si="583"/>
        <v>0</v>
      </c>
      <c r="FZ361" s="58">
        <f t="shared" si="584"/>
        <v>0</v>
      </c>
      <c r="GA361" s="58">
        <f t="shared" si="585"/>
        <v>0</v>
      </c>
      <c r="GB361" s="58">
        <f t="shared" si="586"/>
        <v>0</v>
      </c>
      <c r="GC361" s="58">
        <f t="shared" si="587"/>
        <v>0</v>
      </c>
      <c r="GD361" s="58">
        <f t="shared" si="588"/>
        <v>0</v>
      </c>
      <c r="GE361" s="58">
        <f>IF(AND(dd_CheckMate214_TTD="Yes",'Effectiveness settings'!BU361=2,'Effectiveness settings'!BX361=2),"Apply HR to",GD361)</f>
        <v>0</v>
      </c>
      <c r="GF361" s="58">
        <f t="shared" si="589"/>
        <v>0</v>
      </c>
      <c r="GG361" s="58">
        <f t="shared" si="590"/>
        <v>0</v>
      </c>
      <c r="GH361" s="58">
        <f t="shared" si="591"/>
        <v>0</v>
      </c>
      <c r="GI361" s="58">
        <f t="shared" si="571"/>
        <v>0</v>
      </c>
      <c r="GK361" s="58">
        <f>IF(i_baseline_risk_from=2,'Effectiveness settings'!FA361,'Effectiveness settings'!FM361)</f>
        <v>0</v>
      </c>
      <c r="GL361" s="58">
        <f>IF(i_baseline_risk_from=2,'Effectiveness settings'!FB361,'Effectiveness settings'!FN361)</f>
        <v>0</v>
      </c>
      <c r="GM361" s="58">
        <f>IF(i_baseline_risk_from=2,'Effectiveness settings'!FC361,'Effectiveness settings'!FO361)</f>
        <v>0</v>
      </c>
      <c r="GN361" s="58">
        <f>IF(i_baseline_risk_from=2,'Effectiveness settings'!FD361,'Effectiveness settings'!FP361)</f>
        <v>0</v>
      </c>
      <c r="GQ361" s="58">
        <f t="shared" si="592"/>
        <v>0</v>
      </c>
      <c r="GR361" s="58">
        <f t="shared" si="593"/>
        <v>0</v>
      </c>
      <c r="GS361" s="58">
        <f t="shared" si="594"/>
        <v>0</v>
      </c>
      <c r="GT361" s="58">
        <f t="shared" si="595"/>
        <v>0</v>
      </c>
      <c r="GU361" s="58">
        <f>IF(AND(dd_CheckMate214_TTD="Yes",'Effectiveness settings'!BU361=2,'Effectiveness settings'!BX361=2),2,GT361)</f>
        <v>0</v>
      </c>
      <c r="GV361" s="58">
        <f t="shared" si="596"/>
        <v>0</v>
      </c>
      <c r="GW361" s="58">
        <f t="shared" si="597"/>
        <v>0</v>
      </c>
      <c r="GY361" s="58">
        <f>IF(AND(dd_CheckMate214_TTD="Yes",'Effectiveness settings'!BU361=2,'Effectiveness settings'!BX361=2),1,GN361)</f>
        <v>0</v>
      </c>
      <c r="GZ361" s="58">
        <f t="shared" si="598"/>
        <v>0</v>
      </c>
      <c r="HB361" s="58">
        <f t="shared" si="599"/>
        <v>0</v>
      </c>
      <c r="HD361" s="58">
        <f t="shared" si="566"/>
        <v>0</v>
      </c>
      <c r="HE361" s="58">
        <f t="shared" si="567"/>
        <v>0</v>
      </c>
      <c r="HF361" s="58">
        <f t="shared" si="568"/>
        <v>0</v>
      </c>
      <c r="HG361" s="58">
        <f t="shared" si="569"/>
        <v>0</v>
      </c>
      <c r="HH361" s="58">
        <f t="shared" si="570"/>
        <v>0</v>
      </c>
    </row>
    <row r="362" spans="9:216" ht="15.75" hidden="1" x14ac:dyDescent="0.25">
      <c r="I362" s="64"/>
      <c r="J362" s="519"/>
      <c r="K362" s="524"/>
      <c r="L362" s="519"/>
      <c r="M362" s="516"/>
      <c r="N362" s="64"/>
      <c r="O362" s="64"/>
      <c r="P362" s="64"/>
      <c r="Q362" s="519" t="s">
        <v>557</v>
      </c>
      <c r="R362" s="516"/>
      <c r="S362" s="497"/>
      <c r="T362" s="497"/>
      <c r="U362" s="497"/>
      <c r="X362" s="64"/>
      <c r="Y362" s="519"/>
      <c r="Z362" s="516"/>
      <c r="AA362" s="519"/>
      <c r="AB362" s="619"/>
      <c r="AC362" s="64"/>
      <c r="AD362" s="618"/>
      <c r="AE362" s="618"/>
      <c r="AF362" s="620"/>
      <c r="AG362" s="516"/>
      <c r="AH362" s="497"/>
      <c r="AI362" s="497"/>
      <c r="AJ362" s="497"/>
      <c r="AL362" s="64"/>
      <c r="AM362" s="519"/>
      <c r="AN362" s="516"/>
      <c r="AO362" s="620"/>
      <c r="AP362" s="619"/>
      <c r="AQ362" s="64"/>
      <c r="AR362" s="618"/>
      <c r="AS362" s="618"/>
      <c r="AT362" s="627"/>
      <c r="AU362" s="516"/>
      <c r="AV362" s="65"/>
      <c r="AW362" s="65"/>
      <c r="AX362" s="65"/>
      <c r="AZ362" s="64"/>
      <c r="BA362" s="519"/>
      <c r="BB362" s="516"/>
      <c r="BC362" s="620"/>
      <c r="BD362" s="619"/>
      <c r="BE362" s="64"/>
      <c r="BF362" s="618"/>
      <c r="BG362" s="618"/>
      <c r="BH362" s="627"/>
      <c r="BI362" s="516"/>
      <c r="BJ362" s="65"/>
      <c r="BK362" s="65"/>
      <c r="BL362" s="65"/>
      <c r="BQ362" s="58">
        <f t="shared" si="573"/>
        <v>210</v>
      </c>
      <c r="BR362" s="61"/>
      <c r="BS362" s="61"/>
      <c r="BT362" s="17"/>
      <c r="BU362" s="17"/>
      <c r="BV362" s="17"/>
      <c r="BW362" s="17"/>
      <c r="BX362" s="61"/>
      <c r="BY362" s="531"/>
      <c r="BZ362" s="530"/>
      <c r="CA362" s="531"/>
      <c r="CB362" s="530"/>
      <c r="CC362" s="530"/>
      <c r="CD362" s="530"/>
      <c r="CE362" s="1295"/>
      <c r="CF362" s="1301"/>
      <c r="CG362" s="530"/>
      <c r="CH362" s="61"/>
      <c r="CI362" s="61"/>
      <c r="CJ362" s="61"/>
      <c r="DK362" s="58" t="str" cm="1">
        <f t="array" ref="DK362">IF(AND($BT362=4,$BX362=4,$BU362=999),$DB$36,_xlfn.IFNA(INDEX(DB$13:DB$70,MATCH(1,($BR362=$CV$13:$CV$70)*($BT362=$CX$13:$CX$70)*($CE362=$CY$13:$CY$70)*($BY362=$DA$13:$DA$70)*($CD362=$DH$13:$DH$70),0)),""))</f>
        <v/>
      </c>
      <c r="DL362" s="58" t="str" cm="1">
        <f t="array" ref="DL362">IF(AND($BT362=4,$BX362=4,$BU362=999),$DC$36,_xlfn.IFNA(INDEX(CHOOSE(DP362,DB$13:DB$70,DC$13:DC$70,DD$13:DD$70,DE$13:DE$70),MATCH(1,($BR362=$CV$13:$CV$70)*($BT362=$CX$13:$CX$70)*($CE362=$CY$13:$CY$70)*($BY362=$DA$13:$DA$70)*($CD362=$DH$13:$DH$70),0)),""))</f>
        <v/>
      </c>
      <c r="DM362" s="740" t="str" cm="1">
        <f t="array" ref="DM362">IF(AND($BT362=4,$BX362=4,$BU362=999),$DD$36,_xlfn.IFNA(INDEX(DD$13:DD$68,MATCH(1,($BR362=$CV$13:$CV$68)*($BT362=$CX$13:$CX$68)*($CE362=$CY$13:$CY$68)*($BY362=$DA$13:$DA$68)*($CD362=$DH$13:$DH$68),0)),""))</f>
        <v/>
      </c>
      <c r="DN362" s="740" t="str" cm="1">
        <f t="array" ref="DN362">IF(AND($BT362=4,$BX362=4,$BU362=999),$DD$36,_xlfn.IFNA(INDEX(DE$13:DE$68,MATCH(1,($BR362=$CV$13:$CV$68)*($BT362=$CX$13:$CX$68)*($CE362=$CY$13:$CY$68)*($BY362=$DA$13:$DA$68)*($CD362=$DH$13:$DH$68),0)),""))</f>
        <v/>
      </c>
      <c r="DO362" s="58" t="str" cm="1">
        <f t="array" ref="DO362">IF(AND($BT362=4,$BX362=4,$BU362=999),$DF$36,_xlfn.IFNA(INDEX(DF$13:DF$70,MATCH(1,($BR362=$CV$13:$CV$70)*($BT362=$CX$13:$CX$70)*($CE362=$CY$13:$CY$70)*($BY362=$DA$13:$DA$70)*($CD362=$DH$13:$DH$70),0)),""))</f>
        <v/>
      </c>
      <c r="DP362" s="58" t="e">
        <f t="shared" si="574"/>
        <v>#N/A</v>
      </c>
      <c r="EU362" s="58">
        <f t="shared" si="600"/>
        <v>0</v>
      </c>
      <c r="EV362" s="58">
        <f t="shared" si="601"/>
        <v>0</v>
      </c>
      <c r="EW362" s="58">
        <f t="shared" si="602"/>
        <v>0</v>
      </c>
      <c r="EX362" s="58">
        <f t="shared" si="603"/>
        <v>0</v>
      </c>
      <c r="EZ362" s="58">
        <f t="shared" si="604"/>
        <v>0</v>
      </c>
      <c r="FA362" s="58">
        <f t="shared" si="605"/>
        <v>0</v>
      </c>
      <c r="FB362" s="58">
        <f>IF(i_eff_inputs_based_on_num=2,ED362,(INDEX(Lists!$L$51:$L$85,MATCH(O362,Lists!$K$51:$K$85,0))))</f>
        <v>0</v>
      </c>
      <c r="FC362" s="58">
        <f>IF(i_eff_inputs_based_on_num=2,EE362,(INDEX(Lists!$L$51:$L$85,MATCH(P362,Lists!$K$51:$K$85,0))))</f>
        <v>0</v>
      </c>
      <c r="FD362" s="58">
        <f>IF(i_eff_inputs_based_on_num=2,EF362,(INDEX(Lists!$L$51:$L$85,MATCH(Q362,Lists!$K$51:$K$85,0))))</f>
        <v>0</v>
      </c>
      <c r="FG362" s="58">
        <f t="shared" si="575"/>
        <v>0</v>
      </c>
      <c r="FH362" s="58">
        <f t="shared" si="576"/>
        <v>0</v>
      </c>
      <c r="FI362" s="58">
        <f t="shared" si="577"/>
        <v>0</v>
      </c>
      <c r="FJ362" s="58">
        <f t="shared" si="578"/>
        <v>0</v>
      </c>
      <c r="FL362" s="58">
        <f t="shared" si="579"/>
        <v>0</v>
      </c>
      <c r="FM362" s="58">
        <f t="shared" si="580"/>
        <v>0</v>
      </c>
      <c r="FN362" s="58">
        <f>IF(i_eff_inputs_based_on_num=2,EP362,(INDEX(Lists!$L$51:$L$85,MATCH(AA362,Lists!$K$51:$K$85,0))))</f>
        <v>0</v>
      </c>
      <c r="FO362" s="58">
        <f>IF(i_eff_inputs_based_on_num=2,EQ362,(INDEX(Lists!$L$51:$L$85,MATCH(AB362,Lists!$K$51:$K$85,0))))</f>
        <v>0</v>
      </c>
      <c r="FP362" s="58">
        <f>IF(i_eff_inputs_based_on_num=2,ER362,(INDEX(Lists!$L$51:$L$85,MATCH(AC362,Lists!$K$51:$K$85,0))))</f>
        <v>0</v>
      </c>
      <c r="FT362" s="58">
        <f t="shared" si="581"/>
        <v>0</v>
      </c>
      <c r="FW362" s="58">
        <f>IF(i_baseline_risk_from=2,'Effectiveness settings'!EW362,'Effectiveness settings'!FI362)</f>
        <v>0</v>
      </c>
      <c r="FX362" s="58">
        <f t="shared" si="582"/>
        <v>0</v>
      </c>
      <c r="FY362" s="58">
        <f t="shared" si="583"/>
        <v>0</v>
      </c>
      <c r="FZ362" s="58">
        <f t="shared" si="584"/>
        <v>0</v>
      </c>
      <c r="GA362" s="58">
        <f t="shared" si="585"/>
        <v>0</v>
      </c>
      <c r="GB362" s="58">
        <f t="shared" si="586"/>
        <v>0</v>
      </c>
      <c r="GC362" s="58">
        <f t="shared" si="587"/>
        <v>0</v>
      </c>
      <c r="GD362" s="58">
        <f t="shared" si="588"/>
        <v>0</v>
      </c>
      <c r="GE362" s="58">
        <f>IF(AND(dd_CheckMate214_TTD="Yes",'Effectiveness settings'!BU362=2,'Effectiveness settings'!BX362=2),"Apply HR to",GD362)</f>
        <v>0</v>
      </c>
      <c r="GF362" s="58">
        <f t="shared" si="589"/>
        <v>0</v>
      </c>
      <c r="GG362" s="58">
        <f t="shared" si="590"/>
        <v>0</v>
      </c>
      <c r="GH362" s="58">
        <f t="shared" si="591"/>
        <v>0</v>
      </c>
      <c r="GI362" s="58">
        <f t="shared" si="571"/>
        <v>0</v>
      </c>
      <c r="GK362" s="58">
        <f>IF(i_baseline_risk_from=2,'Effectiveness settings'!FA362,'Effectiveness settings'!FM362)</f>
        <v>0</v>
      </c>
      <c r="GL362" s="58">
        <f>IF(i_baseline_risk_from=2,'Effectiveness settings'!FB362,'Effectiveness settings'!FN362)</f>
        <v>0</v>
      </c>
      <c r="GM362" s="58">
        <f>IF(i_baseline_risk_from=2,'Effectiveness settings'!FC362,'Effectiveness settings'!FO362)</f>
        <v>0</v>
      </c>
      <c r="GN362" s="58">
        <f>IF(i_baseline_risk_from=2,'Effectiveness settings'!FD362,'Effectiveness settings'!FP362)</f>
        <v>0</v>
      </c>
      <c r="GQ362" s="58">
        <f t="shared" si="592"/>
        <v>0</v>
      </c>
      <c r="GR362" s="58">
        <f t="shared" si="593"/>
        <v>0</v>
      </c>
      <c r="GS362" s="58">
        <f t="shared" si="594"/>
        <v>0</v>
      </c>
      <c r="GT362" s="58">
        <f t="shared" si="595"/>
        <v>0</v>
      </c>
      <c r="GU362" s="58">
        <f>IF(AND(dd_CheckMate214_TTD="Yes",'Effectiveness settings'!BU362=2,'Effectiveness settings'!BX362=2),2,GT362)</f>
        <v>0</v>
      </c>
      <c r="GV362" s="58">
        <f t="shared" si="596"/>
        <v>0</v>
      </c>
      <c r="GW362" s="58">
        <f t="shared" si="597"/>
        <v>0</v>
      </c>
      <c r="GY362" s="58">
        <f>IF(AND(dd_CheckMate214_TTD="Yes",'Effectiveness settings'!BU362=2,'Effectiveness settings'!BX362=2),1,GN362)</f>
        <v>0</v>
      </c>
      <c r="GZ362" s="58">
        <f t="shared" si="598"/>
        <v>0</v>
      </c>
      <c r="HB362" s="58">
        <f t="shared" si="599"/>
        <v>0</v>
      </c>
      <c r="HD362" s="58">
        <f t="shared" si="566"/>
        <v>0</v>
      </c>
      <c r="HE362" s="58">
        <f t="shared" si="567"/>
        <v>0</v>
      </c>
      <c r="HF362" s="58">
        <f t="shared" si="568"/>
        <v>0</v>
      </c>
      <c r="HG362" s="58">
        <f t="shared" si="569"/>
        <v>0</v>
      </c>
      <c r="HH362" s="58">
        <f t="shared" si="570"/>
        <v>0</v>
      </c>
    </row>
    <row r="363" spans="9:216" ht="15.75" hidden="1" x14ac:dyDescent="0.25">
      <c r="I363" s="67"/>
      <c r="J363" s="520"/>
      <c r="K363" s="525"/>
      <c r="L363" s="517"/>
      <c r="Q363" s="519" t="s">
        <v>557</v>
      </c>
      <c r="X363" s="67"/>
      <c r="Y363" s="520"/>
      <c r="Z363" s="67"/>
      <c r="AA363" s="517"/>
      <c r="AF363" s="517"/>
      <c r="AL363" s="67"/>
      <c r="AM363" s="520"/>
      <c r="AN363" s="67"/>
      <c r="AO363" s="517"/>
      <c r="AT363" s="517"/>
      <c r="AZ363" s="67"/>
      <c r="BA363" s="520"/>
      <c r="BB363" s="67"/>
      <c r="BC363" s="517"/>
      <c r="BH363" s="517"/>
      <c r="BQ363" s="58">
        <f t="shared" si="573"/>
        <v>210</v>
      </c>
      <c r="BR363" s="61"/>
      <c r="BS363" s="61"/>
      <c r="BT363" s="17"/>
      <c r="BU363" s="61"/>
      <c r="BV363" s="17"/>
      <c r="BW363" s="17"/>
      <c r="BX363" s="61"/>
      <c r="BY363" s="531"/>
      <c r="CA363" s="517"/>
      <c r="CB363" s="530"/>
      <c r="CC363" s="1292"/>
      <c r="CD363" s="1292"/>
      <c r="CE363" s="1297"/>
      <c r="CF363" s="1301"/>
      <c r="CG363" s="530"/>
      <c r="CH363" s="61"/>
      <c r="CI363" s="61"/>
      <c r="CJ363" s="61"/>
      <c r="DK363" s="58" t="str" cm="1">
        <f t="array" ref="DK363">IF(AND($BT363=4,$BX363=4,$BU363=999),$DB$36,_xlfn.IFNA(INDEX(DB$13:DB$70,MATCH(1,($BR363=$CV$13:$CV$70)*($BT363=$CX$13:$CX$70)*($CE363=$CY$13:$CY$70)*($BY363=$DA$13:$DA$70)*($CD363=$DH$13:$DH$70),0)),""))</f>
        <v/>
      </c>
      <c r="DL363" s="58" t="str" cm="1">
        <f t="array" ref="DL363">IF(AND($BT363=4,$BX363=4,$BU363=999),$DC$36,_xlfn.IFNA(INDEX(CHOOSE(DP363,DB$13:DB$70,DC$13:DC$70,DD$13:DD$70,DE$13:DE$70),MATCH(1,($BR363=$CV$13:$CV$70)*($BT363=$CX$13:$CX$70)*($CE363=$CY$13:$CY$70)*($BY363=$DA$13:$DA$70)*($CD363=$DH$13:$DH$70),0)),""))</f>
        <v/>
      </c>
      <c r="DM363" s="740" t="str" cm="1">
        <f t="array" ref="DM363">IF(AND($BT363=4,$BX363=4,$BU363=999),$DD$36,_xlfn.IFNA(INDEX(DD$13:DD$68,MATCH(1,($BR363=$CV$13:$CV$68)*($BT363=$CX$13:$CX$68)*($CE363=$CY$13:$CY$68)*($BY363=$DA$13:$DA$68)*($CD363=$DH$13:$DH$68),0)),""))</f>
        <v/>
      </c>
      <c r="DN363" s="740" t="str" cm="1">
        <f t="array" ref="DN363">IF(AND($BT363=4,$BX363=4,$BU363=999),$DD$36,_xlfn.IFNA(INDEX(DE$13:DE$68,MATCH(1,($BR363=$CV$13:$CV$68)*($BT363=$CX$13:$CX$68)*($CE363=$CY$13:$CY$68)*($BY363=$DA$13:$DA$68)*($CD363=$DH$13:$DH$68),0)),""))</f>
        <v/>
      </c>
      <c r="DO363" s="58" t="str" cm="1">
        <f t="array" ref="DO363">IF(AND($BT363=4,$BX363=4,$BU363=999),$DF$36,_xlfn.IFNA(INDEX(DF$13:DF$70,MATCH(1,($BR363=$CV$13:$CV$70)*($BT363=$CX$13:$CX$70)*($CE363=$CY$13:$CY$70)*($BY363=$DA$13:$DA$70)*($CD363=$DH$13:$DH$70),0)),""))</f>
        <v/>
      </c>
      <c r="DP363" s="58" t="e">
        <f t="shared" si="574"/>
        <v>#N/A</v>
      </c>
      <c r="EU363" s="58">
        <f t="shared" si="600"/>
        <v>0</v>
      </c>
      <c r="EV363" s="58">
        <f t="shared" si="601"/>
        <v>0</v>
      </c>
      <c r="EW363" s="58">
        <f t="shared" si="602"/>
        <v>0</v>
      </c>
      <c r="EX363" s="58">
        <f t="shared" si="603"/>
        <v>0</v>
      </c>
      <c r="EZ363" s="58">
        <f t="shared" si="604"/>
        <v>0</v>
      </c>
      <c r="FA363" s="58">
        <f t="shared" si="605"/>
        <v>0</v>
      </c>
      <c r="FB363" s="58">
        <f>IF(i_eff_inputs_based_on_num=2,ED363,(INDEX(Lists!$L$51:$L$85,MATCH(O363,Lists!$K$51:$K$85,0))))</f>
        <v>0</v>
      </c>
      <c r="FC363" s="58">
        <f>IF(i_eff_inputs_based_on_num=2,EE363,(INDEX(Lists!$L$51:$L$85,MATCH(P363,Lists!$K$51:$K$85,0))))</f>
        <v>0</v>
      </c>
      <c r="FD363" s="58">
        <f>IF(i_eff_inputs_based_on_num=2,EF363,(INDEX(Lists!$L$51:$L$85,MATCH(Q363,Lists!$K$51:$K$85,0))))</f>
        <v>0</v>
      </c>
      <c r="FG363" s="58">
        <f t="shared" si="575"/>
        <v>0</v>
      </c>
      <c r="FH363" s="58">
        <f t="shared" si="576"/>
        <v>0</v>
      </c>
      <c r="FI363" s="58">
        <f t="shared" si="577"/>
        <v>0</v>
      </c>
      <c r="FJ363" s="58">
        <f t="shared" si="578"/>
        <v>0</v>
      </c>
      <c r="FL363" s="58">
        <f t="shared" si="579"/>
        <v>0</v>
      </c>
      <c r="FM363" s="58">
        <f t="shared" si="580"/>
        <v>0</v>
      </c>
      <c r="FN363" s="58">
        <f>IF(i_eff_inputs_based_on_num=2,EP363,(INDEX(Lists!$L$51:$L$85,MATCH(AA363,Lists!$K$51:$K$85,0))))</f>
        <v>0</v>
      </c>
      <c r="FO363" s="58">
        <f>IF(i_eff_inputs_based_on_num=2,EQ363,(INDEX(Lists!$L$51:$L$85,MATCH(AB363,Lists!$K$51:$K$85,0))))</f>
        <v>0</v>
      </c>
      <c r="FP363" s="58">
        <f>IF(i_eff_inputs_based_on_num=2,ER363,(INDEX(Lists!$L$51:$L$85,MATCH(AC363,Lists!$K$51:$K$85,0))))</f>
        <v>0</v>
      </c>
      <c r="FT363" s="58">
        <f t="shared" si="581"/>
        <v>0</v>
      </c>
      <c r="FW363" s="58">
        <f>IF(i_baseline_risk_from=2,'Effectiveness settings'!EW363,'Effectiveness settings'!FI363)</f>
        <v>0</v>
      </c>
      <c r="FX363" s="58">
        <f t="shared" si="582"/>
        <v>0</v>
      </c>
      <c r="FY363" s="58">
        <f t="shared" si="583"/>
        <v>0</v>
      </c>
      <c r="FZ363" s="58">
        <f t="shared" si="584"/>
        <v>0</v>
      </c>
      <c r="GA363" s="58">
        <f t="shared" si="585"/>
        <v>0</v>
      </c>
      <c r="GB363" s="58">
        <f t="shared" si="586"/>
        <v>0</v>
      </c>
      <c r="GC363" s="58">
        <f t="shared" si="587"/>
        <v>0</v>
      </c>
      <c r="GD363" s="58">
        <f t="shared" si="588"/>
        <v>0</v>
      </c>
      <c r="GE363" s="58">
        <f>IF(AND(dd_CheckMate214_TTD="Yes",'Effectiveness settings'!BU363=2,'Effectiveness settings'!BX363=2),"Apply HR to",GD363)</f>
        <v>0</v>
      </c>
      <c r="GF363" s="58">
        <f t="shared" si="589"/>
        <v>0</v>
      </c>
      <c r="GG363" s="58">
        <f t="shared" si="590"/>
        <v>0</v>
      </c>
      <c r="GH363" s="58">
        <f t="shared" si="591"/>
        <v>0</v>
      </c>
      <c r="GI363" s="58">
        <f t="shared" si="571"/>
        <v>0</v>
      </c>
      <c r="GK363" s="58">
        <f>IF(i_baseline_risk_from=2,'Effectiveness settings'!FA363,'Effectiveness settings'!FM363)</f>
        <v>0</v>
      </c>
      <c r="GL363" s="58">
        <f>IF(i_baseline_risk_from=2,'Effectiveness settings'!FB363,'Effectiveness settings'!FN363)</f>
        <v>0</v>
      </c>
      <c r="GM363" s="58">
        <f>IF(i_baseline_risk_from=2,'Effectiveness settings'!FC363,'Effectiveness settings'!FO363)</f>
        <v>0</v>
      </c>
      <c r="GN363" s="58">
        <f>IF(i_baseline_risk_from=2,'Effectiveness settings'!FD363,'Effectiveness settings'!FP363)</f>
        <v>0</v>
      </c>
      <c r="GQ363" s="58">
        <f t="shared" si="592"/>
        <v>0</v>
      </c>
      <c r="GR363" s="58">
        <f t="shared" si="593"/>
        <v>0</v>
      </c>
      <c r="GS363" s="58">
        <f t="shared" si="594"/>
        <v>0</v>
      </c>
      <c r="GT363" s="58">
        <f t="shared" si="595"/>
        <v>0</v>
      </c>
      <c r="GU363" s="58">
        <f>IF(AND(dd_CheckMate214_TTD="Yes",'Effectiveness settings'!BU363=2,'Effectiveness settings'!BX363=2),2,GT363)</f>
        <v>0</v>
      </c>
      <c r="GV363" s="58">
        <f t="shared" si="596"/>
        <v>0</v>
      </c>
      <c r="GW363" s="58">
        <f t="shared" si="597"/>
        <v>0</v>
      </c>
      <c r="GY363" s="58">
        <f>IF(AND(dd_CheckMate214_TTD="Yes",'Effectiveness settings'!BU363=2,'Effectiveness settings'!BX363=2),1,GN363)</f>
        <v>0</v>
      </c>
      <c r="GZ363" s="58">
        <f t="shared" si="598"/>
        <v>0</v>
      </c>
      <c r="HB363" s="58">
        <f t="shared" si="599"/>
        <v>0</v>
      </c>
      <c r="HD363" s="58">
        <f t="shared" si="566"/>
        <v>0</v>
      </c>
      <c r="HE363" s="58">
        <f t="shared" si="567"/>
        <v>0</v>
      </c>
      <c r="HF363" s="58">
        <f t="shared" si="568"/>
        <v>0</v>
      </c>
      <c r="HG363" s="58">
        <f t="shared" si="569"/>
        <v>0</v>
      </c>
      <c r="HH363" s="58">
        <f t="shared" si="570"/>
        <v>0</v>
      </c>
    </row>
    <row r="364" spans="9:216" ht="15.75" hidden="1" x14ac:dyDescent="0.25">
      <c r="I364" s="64"/>
      <c r="J364" s="519"/>
      <c r="K364" s="524"/>
      <c r="L364" s="519"/>
      <c r="M364" s="516"/>
      <c r="N364" s="64"/>
      <c r="O364" s="64"/>
      <c r="P364" s="64"/>
      <c r="Q364" s="519" t="s">
        <v>557</v>
      </c>
      <c r="R364" s="516"/>
      <c r="S364" s="497"/>
      <c r="T364" s="497"/>
      <c r="U364" s="497"/>
      <c r="X364" s="64"/>
      <c r="Y364" s="519"/>
      <c r="Z364" s="516"/>
      <c r="AA364" s="519"/>
      <c r="AB364" s="619"/>
      <c r="AC364" s="64"/>
      <c r="AD364" s="618"/>
      <c r="AE364" s="618"/>
      <c r="AF364" s="620"/>
      <c r="AG364" s="516"/>
      <c r="AH364" s="497"/>
      <c r="AI364" s="497"/>
      <c r="AJ364" s="497"/>
      <c r="AL364" s="64"/>
      <c r="AM364" s="519"/>
      <c r="AN364" s="516"/>
      <c r="AO364" s="620"/>
      <c r="AP364" s="619"/>
      <c r="AQ364" s="64"/>
      <c r="AR364" s="618"/>
      <c r="AS364" s="618"/>
      <c r="AT364" s="627"/>
      <c r="AU364" s="516"/>
      <c r="AV364" s="65"/>
      <c r="AW364" s="65"/>
      <c r="AX364" s="65"/>
      <c r="AZ364" s="64"/>
      <c r="BA364" s="519"/>
      <c r="BB364" s="516"/>
      <c r="BC364" s="620"/>
      <c r="BD364" s="619"/>
      <c r="BE364" s="64"/>
      <c r="BF364" s="618"/>
      <c r="BG364" s="618"/>
      <c r="BH364" s="627"/>
      <c r="BI364" s="516"/>
      <c r="BJ364" s="65"/>
      <c r="BK364" s="65"/>
      <c r="BL364" s="65"/>
      <c r="BQ364" s="58">
        <f t="shared" si="573"/>
        <v>210</v>
      </c>
      <c r="BR364" s="61"/>
      <c r="BS364" s="61"/>
      <c r="BT364" s="17"/>
      <c r="BU364" s="17"/>
      <c r="BV364" s="17"/>
      <c r="BW364" s="17"/>
      <c r="BX364" s="61"/>
      <c r="BY364" s="531"/>
      <c r="BZ364" s="530"/>
      <c r="CA364" s="531"/>
      <c r="CB364" s="530"/>
      <c r="CC364" s="530"/>
      <c r="CD364" s="530"/>
      <c r="CE364" s="1295"/>
      <c r="CF364" s="1301"/>
      <c r="CG364" s="530"/>
      <c r="CH364" s="61"/>
      <c r="CI364" s="61"/>
      <c r="CJ364" s="61"/>
      <c r="DK364" s="58" t="str" cm="1">
        <f t="array" ref="DK364">IF(AND($BT364=4,$BX364=4,$BU364=999),$DB$36,_xlfn.IFNA(INDEX(DB$13:DB$70,MATCH(1,($BR364=$CV$13:$CV$70)*($BT364=$CX$13:$CX$70)*($CE364=$CY$13:$CY$70)*($BY364=$DA$13:$DA$70)*($CD364=$DH$13:$DH$70),0)),""))</f>
        <v/>
      </c>
      <c r="DL364" s="58" t="str" cm="1">
        <f t="array" ref="DL364">IF(AND($BT364=4,$BX364=4,$BU364=999),$DC$36,_xlfn.IFNA(INDEX(CHOOSE(DP364,DB$13:DB$70,DC$13:DC$70,DD$13:DD$70,DE$13:DE$70),MATCH(1,($BR364=$CV$13:$CV$70)*($BT364=$CX$13:$CX$70)*($CE364=$CY$13:$CY$70)*($BY364=$DA$13:$DA$70)*($CD364=$DH$13:$DH$70),0)),""))</f>
        <v/>
      </c>
      <c r="DM364" s="740" t="str" cm="1">
        <f t="array" ref="DM364">IF(AND($BT364=4,$BX364=4,$BU364=999),$DD$36,_xlfn.IFNA(INDEX(DD$13:DD$68,MATCH(1,($BR364=$CV$13:$CV$68)*($BT364=$CX$13:$CX$68)*($CE364=$CY$13:$CY$68)*($BY364=$DA$13:$DA$68)*($CD364=$DH$13:$DH$68),0)),""))</f>
        <v/>
      </c>
      <c r="DN364" s="740" t="str" cm="1">
        <f t="array" ref="DN364">IF(AND($BT364=4,$BX364=4,$BU364=999),$DD$36,_xlfn.IFNA(INDEX(DE$13:DE$68,MATCH(1,($BR364=$CV$13:$CV$68)*($BT364=$CX$13:$CX$68)*($CE364=$CY$13:$CY$68)*($BY364=$DA$13:$DA$68)*($CD364=$DH$13:$DH$68),0)),""))</f>
        <v/>
      </c>
      <c r="DO364" s="58" t="str" cm="1">
        <f t="array" ref="DO364">IF(AND($BT364=4,$BX364=4,$BU364=999),$DF$36,_xlfn.IFNA(INDEX(DF$13:DF$70,MATCH(1,($BR364=$CV$13:$CV$70)*($BT364=$CX$13:$CX$70)*($CE364=$CY$13:$CY$70)*($BY364=$DA$13:$DA$70)*($CD364=$DH$13:$DH$70),0)),""))</f>
        <v/>
      </c>
      <c r="DP364" s="58" t="e">
        <f t="shared" si="574"/>
        <v>#N/A</v>
      </c>
      <c r="EU364" s="58">
        <f t="shared" si="600"/>
        <v>0</v>
      </c>
      <c r="EV364" s="58">
        <f t="shared" si="601"/>
        <v>0</v>
      </c>
      <c r="EW364" s="58">
        <f t="shared" si="602"/>
        <v>0</v>
      </c>
      <c r="EX364" s="58">
        <f t="shared" si="603"/>
        <v>0</v>
      </c>
      <c r="EZ364" s="58">
        <f t="shared" si="604"/>
        <v>0</v>
      </c>
      <c r="FA364" s="58">
        <f t="shared" si="605"/>
        <v>0</v>
      </c>
      <c r="FB364" s="58">
        <f>IF(i_eff_inputs_based_on_num=2,ED364,(INDEX(Lists!$L$51:$L$85,MATCH(O364,Lists!$K$51:$K$85,0))))</f>
        <v>0</v>
      </c>
      <c r="FC364" s="58">
        <f>IF(i_eff_inputs_based_on_num=2,EE364,(INDEX(Lists!$L$51:$L$85,MATCH(P364,Lists!$K$51:$K$85,0))))</f>
        <v>0</v>
      </c>
      <c r="FD364" s="58">
        <f>IF(i_eff_inputs_based_on_num=2,EF364,(INDEX(Lists!$L$51:$L$85,MATCH(Q364,Lists!$K$51:$K$85,0))))</f>
        <v>0</v>
      </c>
      <c r="FG364" s="58">
        <f t="shared" si="575"/>
        <v>0</v>
      </c>
      <c r="FH364" s="58">
        <f t="shared" si="576"/>
        <v>0</v>
      </c>
      <c r="FI364" s="58">
        <f t="shared" si="577"/>
        <v>0</v>
      </c>
      <c r="FJ364" s="58">
        <f t="shared" si="578"/>
        <v>0</v>
      </c>
      <c r="FL364" s="58">
        <f t="shared" si="579"/>
        <v>0</v>
      </c>
      <c r="FM364" s="58">
        <f t="shared" si="580"/>
        <v>0</v>
      </c>
      <c r="FN364" s="58">
        <f>IF(i_eff_inputs_based_on_num=2,EP364,(INDEX(Lists!$L$51:$L$85,MATCH(AA364,Lists!$K$51:$K$85,0))))</f>
        <v>0</v>
      </c>
      <c r="FO364" s="58">
        <f>IF(i_eff_inputs_based_on_num=2,EQ364,(INDEX(Lists!$L$51:$L$85,MATCH(AB364,Lists!$K$51:$K$85,0))))</f>
        <v>0</v>
      </c>
      <c r="FP364" s="58">
        <f>IF(i_eff_inputs_based_on_num=2,ER364,(INDEX(Lists!$L$51:$L$85,MATCH(AC364,Lists!$K$51:$K$85,0))))</f>
        <v>0</v>
      </c>
      <c r="FT364" s="58">
        <f t="shared" si="581"/>
        <v>0</v>
      </c>
      <c r="FW364" s="58">
        <f>IF(i_baseline_risk_from=2,'Effectiveness settings'!EW364,'Effectiveness settings'!FI364)</f>
        <v>0</v>
      </c>
      <c r="FX364" s="58">
        <f t="shared" si="582"/>
        <v>0</v>
      </c>
      <c r="FY364" s="58">
        <f t="shared" si="583"/>
        <v>0</v>
      </c>
      <c r="FZ364" s="58">
        <f t="shared" si="584"/>
        <v>0</v>
      </c>
      <c r="GA364" s="58">
        <f t="shared" si="585"/>
        <v>0</v>
      </c>
      <c r="GB364" s="58">
        <f t="shared" si="586"/>
        <v>0</v>
      </c>
      <c r="GC364" s="58">
        <f t="shared" si="587"/>
        <v>0</v>
      </c>
      <c r="GD364" s="58">
        <f t="shared" si="588"/>
        <v>0</v>
      </c>
      <c r="GE364" s="58">
        <f>IF(AND(dd_CheckMate214_TTD="Yes",'Effectiveness settings'!BU364=2,'Effectiveness settings'!BX364=2),"Apply HR to",GD364)</f>
        <v>0</v>
      </c>
      <c r="GF364" s="58">
        <f t="shared" si="589"/>
        <v>0</v>
      </c>
      <c r="GG364" s="58">
        <f t="shared" si="590"/>
        <v>0</v>
      </c>
      <c r="GH364" s="58">
        <f t="shared" si="591"/>
        <v>0</v>
      </c>
      <c r="GI364" s="58">
        <f t="shared" si="571"/>
        <v>0</v>
      </c>
      <c r="GK364" s="58">
        <f>IF(i_baseline_risk_from=2,'Effectiveness settings'!FA364,'Effectiveness settings'!FM364)</f>
        <v>0</v>
      </c>
      <c r="GL364" s="58">
        <f>IF(i_baseline_risk_from=2,'Effectiveness settings'!FB364,'Effectiveness settings'!FN364)</f>
        <v>0</v>
      </c>
      <c r="GM364" s="58">
        <f>IF(i_baseline_risk_from=2,'Effectiveness settings'!FC364,'Effectiveness settings'!FO364)</f>
        <v>0</v>
      </c>
      <c r="GN364" s="58">
        <f>IF(i_baseline_risk_from=2,'Effectiveness settings'!FD364,'Effectiveness settings'!FP364)</f>
        <v>0</v>
      </c>
      <c r="GQ364" s="58">
        <f t="shared" si="592"/>
        <v>0</v>
      </c>
      <c r="GR364" s="58">
        <f t="shared" si="593"/>
        <v>0</v>
      </c>
      <c r="GS364" s="58">
        <f t="shared" si="594"/>
        <v>0</v>
      </c>
      <c r="GT364" s="58">
        <f t="shared" si="595"/>
        <v>0</v>
      </c>
      <c r="GU364" s="58">
        <f>IF(AND(dd_CheckMate214_TTD="Yes",'Effectiveness settings'!BU364=2,'Effectiveness settings'!BX364=2),2,GT364)</f>
        <v>0</v>
      </c>
      <c r="GV364" s="58">
        <f t="shared" si="596"/>
        <v>0</v>
      </c>
      <c r="GW364" s="58">
        <f t="shared" si="597"/>
        <v>0</v>
      </c>
      <c r="GY364" s="58">
        <f>IF(AND(dd_CheckMate214_TTD="Yes",'Effectiveness settings'!BU364=2,'Effectiveness settings'!BX364=2),1,GN364)</f>
        <v>0</v>
      </c>
      <c r="GZ364" s="58">
        <f t="shared" si="598"/>
        <v>0</v>
      </c>
      <c r="HB364" s="58">
        <f t="shared" si="599"/>
        <v>0</v>
      </c>
      <c r="HD364" s="58">
        <f t="shared" si="566"/>
        <v>0</v>
      </c>
      <c r="HE364" s="58">
        <f t="shared" si="567"/>
        <v>0</v>
      </c>
      <c r="HF364" s="58">
        <f t="shared" si="568"/>
        <v>0</v>
      </c>
      <c r="HG364" s="58">
        <f t="shared" si="569"/>
        <v>0</v>
      </c>
      <c r="HH364" s="58">
        <f t="shared" si="570"/>
        <v>0</v>
      </c>
    </row>
    <row r="365" spans="9:216" ht="15.75" hidden="1" x14ac:dyDescent="0.25">
      <c r="I365" s="64"/>
      <c r="J365" s="519"/>
      <c r="K365" s="524"/>
      <c r="L365" s="519"/>
      <c r="M365" s="516"/>
      <c r="N365" s="64"/>
      <c r="O365" s="64"/>
      <c r="P365" s="64"/>
      <c r="Q365" s="519" t="s">
        <v>557</v>
      </c>
      <c r="R365" s="516"/>
      <c r="S365" s="497"/>
      <c r="T365" s="497"/>
      <c r="U365" s="497"/>
      <c r="X365" s="64"/>
      <c r="Y365" s="519"/>
      <c r="Z365" s="516"/>
      <c r="AA365" s="519"/>
      <c r="AB365" s="619"/>
      <c r="AC365" s="64"/>
      <c r="AD365" s="618"/>
      <c r="AE365" s="618"/>
      <c r="AF365" s="620"/>
      <c r="AG365" s="516"/>
      <c r="AH365" s="497"/>
      <c r="AI365" s="497"/>
      <c r="AJ365" s="497"/>
      <c r="AL365" s="64"/>
      <c r="AM365" s="519"/>
      <c r="AN365" s="516"/>
      <c r="AO365" s="620"/>
      <c r="AP365" s="619"/>
      <c r="AQ365" s="64"/>
      <c r="AR365" s="618"/>
      <c r="AS365" s="618"/>
      <c r="AT365" s="627"/>
      <c r="AU365" s="516"/>
      <c r="AV365" s="65"/>
      <c r="AW365" s="65"/>
      <c r="AX365" s="65"/>
      <c r="AZ365" s="64"/>
      <c r="BA365" s="519"/>
      <c r="BB365" s="516"/>
      <c r="BC365" s="620"/>
      <c r="BD365" s="619"/>
      <c r="BE365" s="64"/>
      <c r="BF365" s="618"/>
      <c r="BG365" s="618"/>
      <c r="BH365" s="627"/>
      <c r="BI365" s="516"/>
      <c r="BJ365" s="65"/>
      <c r="BK365" s="65"/>
      <c r="BL365" s="65"/>
      <c r="BQ365" s="58">
        <f t="shared" si="573"/>
        <v>210</v>
      </c>
      <c r="BR365" s="61"/>
      <c r="BS365" s="61"/>
      <c r="BT365" s="17"/>
      <c r="BU365" s="17"/>
      <c r="BV365" s="17"/>
      <c r="BW365" s="17"/>
      <c r="BX365" s="61"/>
      <c r="BY365" s="531"/>
      <c r="BZ365" s="530"/>
      <c r="CA365" s="531"/>
      <c r="CB365" s="530"/>
      <c r="CC365" s="530"/>
      <c r="CD365" s="530"/>
      <c r="CE365" s="1295"/>
      <c r="CF365" s="1301"/>
      <c r="CG365" s="530"/>
      <c r="CH365" s="61"/>
      <c r="CI365" s="61"/>
      <c r="CJ365" s="61"/>
      <c r="DK365" s="58" t="str" cm="1">
        <f t="array" ref="DK365">IF(AND($BT365=4,$BX365=4,$BU365=999),$DB$36,_xlfn.IFNA(INDEX(DB$13:DB$70,MATCH(1,($BR365=$CV$13:$CV$70)*($BT365=$CX$13:$CX$70)*($CE365=$CY$13:$CY$70)*($BY365=$DA$13:$DA$70)*($CD365=$DH$13:$DH$70),0)),""))</f>
        <v/>
      </c>
      <c r="DL365" s="58" t="str" cm="1">
        <f t="array" ref="DL365">IF(AND($BT365=4,$BX365=4,$BU365=999),$DC$36,_xlfn.IFNA(INDEX(CHOOSE(DP365,DB$13:DB$70,DC$13:DC$70,DD$13:DD$70,DE$13:DE$70),MATCH(1,($BR365=$CV$13:$CV$70)*($BT365=$CX$13:$CX$70)*($CE365=$CY$13:$CY$70)*($BY365=$DA$13:$DA$70)*($CD365=$DH$13:$DH$70),0)),""))</f>
        <v/>
      </c>
      <c r="DM365" s="740" t="str" cm="1">
        <f t="array" ref="DM365">IF(AND($BT365=4,$BX365=4,$BU365=999),$DD$36,_xlfn.IFNA(INDEX(DD$13:DD$68,MATCH(1,($BR365=$CV$13:$CV$68)*($BT365=$CX$13:$CX$68)*($CE365=$CY$13:$CY$68)*($BY365=$DA$13:$DA$68)*($CD365=$DH$13:$DH$68),0)),""))</f>
        <v/>
      </c>
      <c r="DN365" s="740" t="str" cm="1">
        <f t="array" ref="DN365">IF(AND($BT365=4,$BX365=4,$BU365=999),$DD$36,_xlfn.IFNA(INDEX(DE$13:DE$68,MATCH(1,($BR365=$CV$13:$CV$68)*($BT365=$CX$13:$CX$68)*($CE365=$CY$13:$CY$68)*($BY365=$DA$13:$DA$68)*($CD365=$DH$13:$DH$68),0)),""))</f>
        <v/>
      </c>
      <c r="DO365" s="58" t="str" cm="1">
        <f t="array" ref="DO365">IF(AND($BT365=4,$BX365=4,$BU365=999),$DF$36,_xlfn.IFNA(INDEX(DF$13:DF$70,MATCH(1,($BR365=$CV$13:$CV$70)*($BT365=$CX$13:$CX$70)*($CE365=$CY$13:$CY$70)*($BY365=$DA$13:$DA$70)*($CD365=$DH$13:$DH$70),0)),""))</f>
        <v/>
      </c>
      <c r="DP365" s="58" t="e">
        <f t="shared" si="574"/>
        <v>#N/A</v>
      </c>
      <c r="EU365" s="58">
        <f t="shared" si="600"/>
        <v>0</v>
      </c>
      <c r="EV365" s="58">
        <f t="shared" si="601"/>
        <v>0</v>
      </c>
      <c r="EW365" s="58">
        <f t="shared" si="602"/>
        <v>0</v>
      </c>
      <c r="EX365" s="58">
        <f t="shared" si="603"/>
        <v>0</v>
      </c>
      <c r="EZ365" s="58">
        <f t="shared" si="604"/>
        <v>0</v>
      </c>
      <c r="FA365" s="58">
        <f t="shared" si="605"/>
        <v>0</v>
      </c>
      <c r="FB365" s="58">
        <f>IF(i_eff_inputs_based_on_num=2,ED365,(INDEX(Lists!$L$51:$L$85,MATCH(O365,Lists!$K$51:$K$85,0))))</f>
        <v>0</v>
      </c>
      <c r="FC365" s="58">
        <f>IF(i_eff_inputs_based_on_num=2,EE365,(INDEX(Lists!$L$51:$L$85,MATCH(P365,Lists!$K$51:$K$85,0))))</f>
        <v>0</v>
      </c>
      <c r="FD365" s="58">
        <f>IF(i_eff_inputs_based_on_num=2,EF365,(INDEX(Lists!$L$51:$L$85,MATCH(Q365,Lists!$K$51:$K$85,0))))</f>
        <v>0</v>
      </c>
      <c r="FG365" s="58">
        <f t="shared" si="575"/>
        <v>0</v>
      </c>
      <c r="FH365" s="58">
        <f t="shared" si="576"/>
        <v>0</v>
      </c>
      <c r="FI365" s="58">
        <f t="shared" si="577"/>
        <v>0</v>
      </c>
      <c r="FJ365" s="58">
        <f t="shared" si="578"/>
        <v>0</v>
      </c>
      <c r="FL365" s="58">
        <f t="shared" si="579"/>
        <v>0</v>
      </c>
      <c r="FM365" s="58">
        <f t="shared" si="580"/>
        <v>0</v>
      </c>
      <c r="FN365" s="58">
        <f>IF(i_eff_inputs_based_on_num=2,EP365,(INDEX(Lists!$L$51:$L$85,MATCH(AA365,Lists!$K$51:$K$85,0))))</f>
        <v>0</v>
      </c>
      <c r="FO365" s="58">
        <f>IF(i_eff_inputs_based_on_num=2,EQ365,(INDEX(Lists!$L$51:$L$85,MATCH(AB365,Lists!$K$51:$K$85,0))))</f>
        <v>0</v>
      </c>
      <c r="FP365" s="58">
        <f>IF(i_eff_inputs_based_on_num=2,ER365,(INDEX(Lists!$L$51:$L$85,MATCH(AC365,Lists!$K$51:$K$85,0))))</f>
        <v>0</v>
      </c>
      <c r="FT365" s="58">
        <f t="shared" si="581"/>
        <v>0</v>
      </c>
      <c r="FW365" s="58">
        <f>IF(i_baseline_risk_from=2,'Effectiveness settings'!EW365,'Effectiveness settings'!FI365)</f>
        <v>0</v>
      </c>
      <c r="FX365" s="58">
        <f t="shared" si="582"/>
        <v>0</v>
      </c>
      <c r="FY365" s="58">
        <f t="shared" si="583"/>
        <v>0</v>
      </c>
      <c r="FZ365" s="58">
        <f t="shared" si="584"/>
        <v>0</v>
      </c>
      <c r="GA365" s="58">
        <f t="shared" si="585"/>
        <v>0</v>
      </c>
      <c r="GB365" s="58">
        <f t="shared" si="586"/>
        <v>0</v>
      </c>
      <c r="GC365" s="58">
        <f t="shared" si="587"/>
        <v>0</v>
      </c>
      <c r="GD365" s="58">
        <f t="shared" si="588"/>
        <v>0</v>
      </c>
      <c r="GE365" s="58">
        <f>IF(AND(dd_CheckMate214_TTD="Yes",'Effectiveness settings'!BU365=2,'Effectiveness settings'!BX365=2),"Apply HR to",GD365)</f>
        <v>0</v>
      </c>
      <c r="GF365" s="58">
        <f t="shared" si="589"/>
        <v>0</v>
      </c>
      <c r="GG365" s="58">
        <f t="shared" si="590"/>
        <v>0</v>
      </c>
      <c r="GH365" s="58">
        <f t="shared" si="591"/>
        <v>0</v>
      </c>
      <c r="GI365" s="58">
        <f t="shared" si="571"/>
        <v>0</v>
      </c>
      <c r="GK365" s="58">
        <f>IF(i_baseline_risk_from=2,'Effectiveness settings'!FA365,'Effectiveness settings'!FM365)</f>
        <v>0</v>
      </c>
      <c r="GL365" s="58">
        <f>IF(i_baseline_risk_from=2,'Effectiveness settings'!FB365,'Effectiveness settings'!FN365)</f>
        <v>0</v>
      </c>
      <c r="GM365" s="58">
        <f>IF(i_baseline_risk_from=2,'Effectiveness settings'!FC365,'Effectiveness settings'!FO365)</f>
        <v>0</v>
      </c>
      <c r="GN365" s="58">
        <f>IF(i_baseline_risk_from=2,'Effectiveness settings'!FD365,'Effectiveness settings'!FP365)</f>
        <v>0</v>
      </c>
      <c r="GQ365" s="58">
        <f t="shared" si="592"/>
        <v>0</v>
      </c>
      <c r="GR365" s="58">
        <f t="shared" si="593"/>
        <v>0</v>
      </c>
      <c r="GS365" s="58">
        <f t="shared" si="594"/>
        <v>0</v>
      </c>
      <c r="GT365" s="58">
        <f t="shared" si="595"/>
        <v>0</v>
      </c>
      <c r="GU365" s="58">
        <f>IF(AND(dd_CheckMate214_TTD="Yes",'Effectiveness settings'!BU365=2,'Effectiveness settings'!BX365=2),2,GT365)</f>
        <v>0</v>
      </c>
      <c r="GV365" s="58">
        <f t="shared" si="596"/>
        <v>0</v>
      </c>
      <c r="GW365" s="58">
        <f t="shared" si="597"/>
        <v>0</v>
      </c>
      <c r="GY365" s="58">
        <f>IF(AND(dd_CheckMate214_TTD="Yes",'Effectiveness settings'!BU365=2,'Effectiveness settings'!BX365=2),1,GN365)</f>
        <v>0</v>
      </c>
      <c r="GZ365" s="58">
        <f t="shared" si="598"/>
        <v>0</v>
      </c>
      <c r="HB365" s="58">
        <f t="shared" si="599"/>
        <v>0</v>
      </c>
      <c r="HD365" s="58">
        <f t="shared" si="566"/>
        <v>0</v>
      </c>
      <c r="HE365" s="58">
        <f t="shared" si="567"/>
        <v>0</v>
      </c>
      <c r="HF365" s="58">
        <f t="shared" si="568"/>
        <v>0</v>
      </c>
      <c r="HG365" s="58">
        <f t="shared" si="569"/>
        <v>0</v>
      </c>
      <c r="HH365" s="58">
        <f t="shared" si="570"/>
        <v>0</v>
      </c>
    </row>
    <row r="366" spans="9:216" ht="15.75" hidden="1" x14ac:dyDescent="0.25">
      <c r="I366" s="64"/>
      <c r="J366" s="519"/>
      <c r="K366" s="524"/>
      <c r="L366" s="519"/>
      <c r="M366" s="516"/>
      <c r="N366" s="64"/>
      <c r="O366" s="64"/>
      <c r="P366" s="64"/>
      <c r="Q366" s="519" t="s">
        <v>557</v>
      </c>
      <c r="R366" s="516"/>
      <c r="S366" s="497"/>
      <c r="T366" s="497"/>
      <c r="U366" s="497"/>
      <c r="X366" s="64"/>
      <c r="Y366" s="519"/>
      <c r="Z366" s="516"/>
      <c r="AA366" s="519"/>
      <c r="AB366" s="619"/>
      <c r="AC366" s="64"/>
      <c r="AD366" s="618"/>
      <c r="AE366" s="618"/>
      <c r="AF366" s="620"/>
      <c r="AG366" s="516"/>
      <c r="AH366" s="497"/>
      <c r="AI366" s="497"/>
      <c r="AJ366" s="497"/>
      <c r="AL366" s="64"/>
      <c r="AM366" s="519"/>
      <c r="AN366" s="516"/>
      <c r="AO366" s="620"/>
      <c r="AP366" s="619"/>
      <c r="AQ366" s="64"/>
      <c r="AR366" s="618"/>
      <c r="AS366" s="618"/>
      <c r="AT366" s="627"/>
      <c r="AU366" s="516"/>
      <c r="AV366" s="65"/>
      <c r="AW366" s="65"/>
      <c r="AX366" s="65"/>
      <c r="AZ366" s="64"/>
      <c r="BA366" s="519"/>
      <c r="BB366" s="516"/>
      <c r="BC366" s="620"/>
      <c r="BD366" s="619"/>
      <c r="BE366" s="64"/>
      <c r="BF366" s="618"/>
      <c r="BG366" s="618"/>
      <c r="BH366" s="627"/>
      <c r="BI366" s="516"/>
      <c r="BJ366" s="65"/>
      <c r="BK366" s="65"/>
      <c r="BL366" s="65"/>
      <c r="BQ366" s="58">
        <f t="shared" si="573"/>
        <v>210</v>
      </c>
      <c r="BR366" s="61"/>
      <c r="BS366" s="61"/>
      <c r="BT366" s="17"/>
      <c r="BU366" s="17"/>
      <c r="BV366" s="17"/>
      <c r="BW366" s="17"/>
      <c r="BX366" s="61"/>
      <c r="BY366" s="531"/>
      <c r="BZ366" s="530"/>
      <c r="CA366" s="531"/>
      <c r="CB366" s="530"/>
      <c r="CC366" s="530"/>
      <c r="CD366" s="530"/>
      <c r="CE366" s="1295"/>
      <c r="CF366" s="1301"/>
      <c r="CG366" s="530"/>
      <c r="CH366" s="61"/>
      <c r="CI366" s="61"/>
      <c r="CJ366" s="61"/>
      <c r="DK366" s="58" t="str" cm="1">
        <f t="array" ref="DK366">IF(AND($BT366=4,$BX366=4,$BU366=999),$DB$36,_xlfn.IFNA(INDEX(DB$13:DB$70,MATCH(1,($BR366=$CV$13:$CV$70)*($BT366=$CX$13:$CX$70)*($CE366=$CY$13:$CY$70)*($BY366=$DA$13:$DA$70)*($CD366=$DH$13:$DH$70),0)),""))</f>
        <v/>
      </c>
      <c r="DL366" s="58" t="str" cm="1">
        <f t="array" ref="DL366">IF(AND($BT366=4,$BX366=4,$BU366=999),$DC$36,_xlfn.IFNA(INDEX(CHOOSE(DP366,DB$13:DB$70,DC$13:DC$70,DD$13:DD$70,DE$13:DE$70),MATCH(1,($BR366=$CV$13:$CV$70)*($BT366=$CX$13:$CX$70)*($CE366=$CY$13:$CY$70)*($BY366=$DA$13:$DA$70)*($CD366=$DH$13:$DH$70),0)),""))</f>
        <v/>
      </c>
      <c r="DM366" s="740" t="str" cm="1">
        <f t="array" ref="DM366">IF(AND($BT366=4,$BX366=4,$BU366=999),$DD$36,_xlfn.IFNA(INDEX(DD$13:DD$68,MATCH(1,($BR366=$CV$13:$CV$68)*($BT366=$CX$13:$CX$68)*($CE366=$CY$13:$CY$68)*($BY366=$DA$13:$DA$68)*($CD366=$DH$13:$DH$68),0)),""))</f>
        <v/>
      </c>
      <c r="DN366" s="740" t="str" cm="1">
        <f t="array" ref="DN366">IF(AND($BT366=4,$BX366=4,$BU366=999),$DD$36,_xlfn.IFNA(INDEX(DE$13:DE$68,MATCH(1,($BR366=$CV$13:$CV$68)*($BT366=$CX$13:$CX$68)*($CE366=$CY$13:$CY$68)*($BY366=$DA$13:$DA$68)*($CD366=$DH$13:$DH$68),0)),""))</f>
        <v/>
      </c>
      <c r="DO366" s="58" t="str" cm="1">
        <f t="array" ref="DO366">IF(AND($BT366=4,$BX366=4,$BU366=999),$DF$36,_xlfn.IFNA(INDEX(DF$13:DF$70,MATCH(1,($BR366=$CV$13:$CV$70)*($BT366=$CX$13:$CX$70)*($CE366=$CY$13:$CY$70)*($BY366=$DA$13:$DA$70)*($CD366=$DH$13:$DH$70),0)),""))</f>
        <v/>
      </c>
      <c r="DP366" s="58" t="e">
        <f t="shared" si="574"/>
        <v>#N/A</v>
      </c>
      <c r="EU366" s="58">
        <f t="shared" si="600"/>
        <v>0</v>
      </c>
      <c r="EV366" s="58">
        <f t="shared" si="601"/>
        <v>0</v>
      </c>
      <c r="EW366" s="58">
        <f t="shared" si="602"/>
        <v>0</v>
      </c>
      <c r="EX366" s="58">
        <f t="shared" si="603"/>
        <v>0</v>
      </c>
      <c r="EZ366" s="58">
        <f t="shared" si="604"/>
        <v>0</v>
      </c>
      <c r="FA366" s="58">
        <f t="shared" si="605"/>
        <v>0</v>
      </c>
      <c r="FB366" s="58">
        <f>IF(i_eff_inputs_based_on_num=2,ED366,(INDEX(Lists!$L$51:$L$85,MATCH(O366,Lists!$K$51:$K$85,0))))</f>
        <v>0</v>
      </c>
      <c r="FC366" s="58">
        <f>IF(i_eff_inputs_based_on_num=2,EE366,(INDEX(Lists!$L$51:$L$85,MATCH(P366,Lists!$K$51:$K$85,0))))</f>
        <v>0</v>
      </c>
      <c r="FD366" s="58">
        <f>IF(i_eff_inputs_based_on_num=2,EF366,(INDEX(Lists!$L$51:$L$85,MATCH(Q366,Lists!$K$51:$K$85,0))))</f>
        <v>0</v>
      </c>
      <c r="FG366" s="58">
        <f t="shared" si="575"/>
        <v>0</v>
      </c>
      <c r="FH366" s="58">
        <f t="shared" si="576"/>
        <v>0</v>
      </c>
      <c r="FI366" s="58">
        <f t="shared" si="577"/>
        <v>0</v>
      </c>
      <c r="FJ366" s="58">
        <f t="shared" si="578"/>
        <v>0</v>
      </c>
      <c r="FL366" s="58">
        <f t="shared" si="579"/>
        <v>0</v>
      </c>
      <c r="FM366" s="58">
        <f t="shared" si="580"/>
        <v>0</v>
      </c>
      <c r="FN366" s="58">
        <f>IF(i_eff_inputs_based_on_num=2,EP366,(INDEX(Lists!$L$51:$L$85,MATCH(AA366,Lists!$K$51:$K$85,0))))</f>
        <v>0</v>
      </c>
      <c r="FO366" s="58">
        <f>IF(i_eff_inputs_based_on_num=2,EQ366,(INDEX(Lists!$L$51:$L$85,MATCH(AB366,Lists!$K$51:$K$85,0))))</f>
        <v>0</v>
      </c>
      <c r="FP366" s="58">
        <f>IF(i_eff_inputs_based_on_num=2,ER366,(INDEX(Lists!$L$51:$L$85,MATCH(AC366,Lists!$K$51:$K$85,0))))</f>
        <v>0</v>
      </c>
      <c r="FT366" s="58">
        <f t="shared" si="581"/>
        <v>0</v>
      </c>
      <c r="FW366" s="58">
        <f>IF(i_baseline_risk_from=2,'Effectiveness settings'!EW366,'Effectiveness settings'!FI366)</f>
        <v>0</v>
      </c>
      <c r="FX366" s="58">
        <f t="shared" si="582"/>
        <v>0</v>
      </c>
      <c r="FY366" s="58">
        <f t="shared" si="583"/>
        <v>0</v>
      </c>
      <c r="FZ366" s="58">
        <f t="shared" si="584"/>
        <v>0</v>
      </c>
      <c r="GA366" s="58">
        <f t="shared" si="585"/>
        <v>0</v>
      </c>
      <c r="GB366" s="58">
        <f t="shared" si="586"/>
        <v>0</v>
      </c>
      <c r="GC366" s="58">
        <f t="shared" si="587"/>
        <v>0</v>
      </c>
      <c r="GD366" s="58">
        <f t="shared" si="588"/>
        <v>0</v>
      </c>
      <c r="GE366" s="58">
        <f>IF(AND(dd_CheckMate214_TTD="Yes",'Effectiveness settings'!BU366=2,'Effectiveness settings'!BX366=2),"Apply HR to",GD366)</f>
        <v>0</v>
      </c>
      <c r="GF366" s="58">
        <f t="shared" si="589"/>
        <v>0</v>
      </c>
      <c r="GG366" s="58">
        <f t="shared" si="590"/>
        <v>0</v>
      </c>
      <c r="GH366" s="58">
        <f t="shared" si="591"/>
        <v>0</v>
      </c>
      <c r="GI366" s="58">
        <f t="shared" si="571"/>
        <v>0</v>
      </c>
      <c r="GK366" s="58">
        <f>IF(i_baseline_risk_from=2,'Effectiveness settings'!FA366,'Effectiveness settings'!FM366)</f>
        <v>0</v>
      </c>
      <c r="GL366" s="58">
        <f>IF(i_baseline_risk_from=2,'Effectiveness settings'!FB366,'Effectiveness settings'!FN366)</f>
        <v>0</v>
      </c>
      <c r="GM366" s="58">
        <f>IF(i_baseline_risk_from=2,'Effectiveness settings'!FC366,'Effectiveness settings'!FO366)</f>
        <v>0</v>
      </c>
      <c r="GN366" s="58">
        <f>IF(i_baseline_risk_from=2,'Effectiveness settings'!FD366,'Effectiveness settings'!FP366)</f>
        <v>0</v>
      </c>
      <c r="GQ366" s="58">
        <f t="shared" si="592"/>
        <v>0</v>
      </c>
      <c r="GR366" s="58">
        <f t="shared" si="593"/>
        <v>0</v>
      </c>
      <c r="GS366" s="58">
        <f t="shared" si="594"/>
        <v>0</v>
      </c>
      <c r="GT366" s="58">
        <f t="shared" si="595"/>
        <v>0</v>
      </c>
      <c r="GU366" s="58">
        <f>IF(AND(dd_CheckMate214_TTD="Yes",'Effectiveness settings'!BU366=2,'Effectiveness settings'!BX366=2),2,GT366)</f>
        <v>0</v>
      </c>
      <c r="GV366" s="58">
        <f t="shared" si="596"/>
        <v>0</v>
      </c>
      <c r="GW366" s="58">
        <f t="shared" si="597"/>
        <v>0</v>
      </c>
      <c r="GY366" s="58">
        <f>IF(AND(dd_CheckMate214_TTD="Yes",'Effectiveness settings'!BU366=2,'Effectiveness settings'!BX366=2),1,GN366)</f>
        <v>0</v>
      </c>
      <c r="GZ366" s="58">
        <f t="shared" si="598"/>
        <v>0</v>
      </c>
      <c r="HB366" s="58">
        <f t="shared" si="599"/>
        <v>0</v>
      </c>
      <c r="HD366" s="58">
        <f t="shared" si="566"/>
        <v>0</v>
      </c>
      <c r="HE366" s="58">
        <f t="shared" si="567"/>
        <v>0</v>
      </c>
      <c r="HF366" s="58">
        <f t="shared" si="568"/>
        <v>0</v>
      </c>
      <c r="HG366" s="58">
        <f t="shared" si="569"/>
        <v>0</v>
      </c>
      <c r="HH366" s="58">
        <f t="shared" si="570"/>
        <v>0</v>
      </c>
    </row>
    <row r="367" spans="9:216" ht="15.75" hidden="1" x14ac:dyDescent="0.25">
      <c r="I367" s="64"/>
      <c r="J367" s="519"/>
      <c r="K367" s="524"/>
      <c r="L367" s="519"/>
      <c r="M367" s="516"/>
      <c r="N367" s="64"/>
      <c r="O367" s="64"/>
      <c r="P367" s="64"/>
      <c r="Q367" s="519" t="s">
        <v>557</v>
      </c>
      <c r="R367" s="516"/>
      <c r="S367" s="497"/>
      <c r="T367" s="497"/>
      <c r="U367" s="497"/>
      <c r="X367" s="64"/>
      <c r="Y367" s="519"/>
      <c r="Z367" s="516"/>
      <c r="AA367" s="519"/>
      <c r="AB367" s="619"/>
      <c r="AC367" s="64"/>
      <c r="AD367" s="618"/>
      <c r="AE367" s="618"/>
      <c r="AF367" s="620"/>
      <c r="AG367" s="516"/>
      <c r="AH367" s="497"/>
      <c r="AI367" s="497"/>
      <c r="AJ367" s="497"/>
      <c r="AL367" s="64"/>
      <c r="AM367" s="519"/>
      <c r="AN367" s="516"/>
      <c r="AO367" s="620"/>
      <c r="AP367" s="619"/>
      <c r="AQ367" s="64"/>
      <c r="AR367" s="618"/>
      <c r="AS367" s="618"/>
      <c r="AT367" s="627"/>
      <c r="AU367" s="516"/>
      <c r="AV367" s="65"/>
      <c r="AW367" s="65"/>
      <c r="AX367" s="65"/>
      <c r="AZ367" s="64"/>
      <c r="BA367" s="519"/>
      <c r="BB367" s="516"/>
      <c r="BC367" s="620"/>
      <c r="BD367" s="619"/>
      <c r="BE367" s="64"/>
      <c r="BF367" s="618"/>
      <c r="BG367" s="618"/>
      <c r="BH367" s="627"/>
      <c r="BI367" s="516"/>
      <c r="BJ367" s="65"/>
      <c r="BK367" s="65"/>
      <c r="BL367" s="65"/>
      <c r="BQ367" s="58">
        <f t="shared" si="573"/>
        <v>210</v>
      </c>
      <c r="BR367" s="61"/>
      <c r="BS367" s="61"/>
      <c r="BT367" s="17"/>
      <c r="BU367" s="17"/>
      <c r="BV367" s="17"/>
      <c r="BW367" s="17"/>
      <c r="BX367" s="61"/>
      <c r="BY367" s="531"/>
      <c r="BZ367" s="530"/>
      <c r="CA367" s="531"/>
      <c r="CB367" s="530"/>
      <c r="CC367" s="530"/>
      <c r="CD367" s="530"/>
      <c r="CE367" s="1295"/>
      <c r="CF367" s="1301"/>
      <c r="CG367" s="530"/>
      <c r="CH367" s="61"/>
      <c r="CI367" s="61"/>
      <c r="CJ367" s="61"/>
      <c r="DK367" s="58" t="str" cm="1">
        <f t="array" ref="DK367">IF(AND($BT367=4,$BX367=4,$BU367=999),$DB$36,_xlfn.IFNA(INDEX(DB$13:DB$70,MATCH(1,($BR367=$CV$13:$CV$70)*($BT367=$CX$13:$CX$70)*($CE367=$CY$13:$CY$70)*($BY367=$DA$13:$DA$70)*($CD367=$DH$13:$DH$70),0)),""))</f>
        <v/>
      </c>
      <c r="DL367" s="58" t="str" cm="1">
        <f t="array" ref="DL367">IF(AND($BT367=4,$BX367=4,$BU367=999),$DC$36,_xlfn.IFNA(INDEX(CHOOSE(DP367,DB$13:DB$70,DC$13:DC$70,DD$13:DD$70,DE$13:DE$70),MATCH(1,($BR367=$CV$13:$CV$70)*($BT367=$CX$13:$CX$70)*($CE367=$CY$13:$CY$70)*($BY367=$DA$13:$DA$70)*($CD367=$DH$13:$DH$70),0)),""))</f>
        <v/>
      </c>
      <c r="DM367" s="740" t="str" cm="1">
        <f t="array" ref="DM367">IF(AND($BT367=4,$BX367=4,$BU367=999),$DD$36,_xlfn.IFNA(INDEX(DD$13:DD$68,MATCH(1,($BR367=$CV$13:$CV$68)*($BT367=$CX$13:$CX$68)*($CE367=$CY$13:$CY$68)*($BY367=$DA$13:$DA$68)*($CD367=$DH$13:$DH$68),0)),""))</f>
        <v/>
      </c>
      <c r="DN367" s="740" t="str" cm="1">
        <f t="array" ref="DN367">IF(AND($BT367=4,$BX367=4,$BU367=999),$DD$36,_xlfn.IFNA(INDEX(DE$13:DE$68,MATCH(1,($BR367=$CV$13:$CV$68)*($BT367=$CX$13:$CX$68)*($CE367=$CY$13:$CY$68)*($BY367=$DA$13:$DA$68)*($CD367=$DH$13:$DH$68),0)),""))</f>
        <v/>
      </c>
      <c r="DO367" s="58" t="str" cm="1">
        <f t="array" ref="DO367">IF(AND($BT367=4,$BX367=4,$BU367=999),$DF$36,_xlfn.IFNA(INDEX(DF$13:DF$70,MATCH(1,($BR367=$CV$13:$CV$70)*($BT367=$CX$13:$CX$70)*($CE367=$CY$13:$CY$70)*($BY367=$DA$13:$DA$70)*($CD367=$DH$13:$DH$70),0)),""))</f>
        <v/>
      </c>
      <c r="DP367" s="58" t="e">
        <f t="shared" si="574"/>
        <v>#N/A</v>
      </c>
      <c r="EU367" s="58">
        <f t="shared" si="600"/>
        <v>0</v>
      </c>
      <c r="EV367" s="58">
        <f t="shared" si="601"/>
        <v>0</v>
      </c>
      <c r="EW367" s="58">
        <f t="shared" si="602"/>
        <v>0</v>
      </c>
      <c r="EX367" s="58">
        <f t="shared" si="603"/>
        <v>0</v>
      </c>
      <c r="EZ367" s="58">
        <f t="shared" si="604"/>
        <v>0</v>
      </c>
      <c r="FA367" s="58">
        <f t="shared" si="605"/>
        <v>0</v>
      </c>
      <c r="FB367" s="58">
        <f>IF(i_eff_inputs_based_on_num=2,ED367,(INDEX(Lists!$L$51:$L$85,MATCH(O367,Lists!$K$51:$K$85,0))))</f>
        <v>0</v>
      </c>
      <c r="FC367" s="58">
        <f>IF(i_eff_inputs_based_on_num=2,EE367,(INDEX(Lists!$L$51:$L$85,MATCH(P367,Lists!$K$51:$K$85,0))))</f>
        <v>0</v>
      </c>
      <c r="FD367" s="58">
        <f>IF(i_eff_inputs_based_on_num=2,EF367,(INDEX(Lists!$L$51:$L$85,MATCH(Q367,Lists!$K$51:$K$85,0))))</f>
        <v>0</v>
      </c>
      <c r="FG367" s="58">
        <f t="shared" si="575"/>
        <v>0</v>
      </c>
      <c r="FH367" s="58">
        <f t="shared" si="576"/>
        <v>0</v>
      </c>
      <c r="FI367" s="58">
        <f t="shared" si="577"/>
        <v>0</v>
      </c>
      <c r="FJ367" s="58">
        <f t="shared" si="578"/>
        <v>0</v>
      </c>
      <c r="FL367" s="58">
        <f t="shared" si="579"/>
        <v>0</v>
      </c>
      <c r="FM367" s="58">
        <f t="shared" si="580"/>
        <v>0</v>
      </c>
      <c r="FN367" s="58">
        <f>IF(i_eff_inputs_based_on_num=2,EP367,(INDEX(Lists!$L$51:$L$85,MATCH(AA367,Lists!$K$51:$K$85,0))))</f>
        <v>0</v>
      </c>
      <c r="FO367" s="58">
        <f>IF(i_eff_inputs_based_on_num=2,EQ367,(INDEX(Lists!$L$51:$L$85,MATCH(AB367,Lists!$K$51:$K$85,0))))</f>
        <v>0</v>
      </c>
      <c r="FP367" s="58">
        <f>IF(i_eff_inputs_based_on_num=2,ER367,(INDEX(Lists!$L$51:$L$85,MATCH(AC367,Lists!$K$51:$K$85,0))))</f>
        <v>0</v>
      </c>
      <c r="FT367" s="58">
        <f t="shared" si="581"/>
        <v>0</v>
      </c>
      <c r="FW367" s="58">
        <f>IF(i_baseline_risk_from=2,'Effectiveness settings'!EW367,'Effectiveness settings'!FI367)</f>
        <v>0</v>
      </c>
      <c r="FX367" s="58">
        <f t="shared" si="582"/>
        <v>0</v>
      </c>
      <c r="FY367" s="58">
        <f t="shared" si="583"/>
        <v>0</v>
      </c>
      <c r="FZ367" s="58">
        <f t="shared" si="584"/>
        <v>0</v>
      </c>
      <c r="GA367" s="58">
        <f t="shared" si="585"/>
        <v>0</v>
      </c>
      <c r="GB367" s="58">
        <f t="shared" si="586"/>
        <v>0</v>
      </c>
      <c r="GC367" s="58">
        <f t="shared" si="587"/>
        <v>0</v>
      </c>
      <c r="GD367" s="58">
        <f t="shared" si="588"/>
        <v>0</v>
      </c>
      <c r="GE367" s="58">
        <f>IF(AND(dd_CheckMate214_TTD="Yes",'Effectiveness settings'!BU367=2,'Effectiveness settings'!BX367=2),"Apply HR to",GD367)</f>
        <v>0</v>
      </c>
      <c r="GF367" s="58">
        <f t="shared" si="589"/>
        <v>0</v>
      </c>
      <c r="GG367" s="58">
        <f t="shared" si="590"/>
        <v>0</v>
      </c>
      <c r="GH367" s="58">
        <f t="shared" si="591"/>
        <v>0</v>
      </c>
      <c r="GI367" s="58">
        <f t="shared" si="571"/>
        <v>0</v>
      </c>
      <c r="GK367" s="58">
        <f>IF(i_baseline_risk_from=2,'Effectiveness settings'!FA367,'Effectiveness settings'!FM367)</f>
        <v>0</v>
      </c>
      <c r="GL367" s="58">
        <f>IF(i_baseline_risk_from=2,'Effectiveness settings'!FB367,'Effectiveness settings'!FN367)</f>
        <v>0</v>
      </c>
      <c r="GM367" s="58">
        <f>IF(i_baseline_risk_from=2,'Effectiveness settings'!FC367,'Effectiveness settings'!FO367)</f>
        <v>0</v>
      </c>
      <c r="GN367" s="58">
        <f>IF(i_baseline_risk_from=2,'Effectiveness settings'!FD367,'Effectiveness settings'!FP367)</f>
        <v>0</v>
      </c>
      <c r="GQ367" s="58">
        <f t="shared" si="592"/>
        <v>0</v>
      </c>
      <c r="GR367" s="58">
        <f t="shared" si="593"/>
        <v>0</v>
      </c>
      <c r="GS367" s="58">
        <f t="shared" si="594"/>
        <v>0</v>
      </c>
      <c r="GT367" s="58">
        <f t="shared" si="595"/>
        <v>0</v>
      </c>
      <c r="GU367" s="58">
        <f>IF(AND(dd_CheckMate214_TTD="Yes",'Effectiveness settings'!BU367=2,'Effectiveness settings'!BX367=2),2,GT367)</f>
        <v>0</v>
      </c>
      <c r="GV367" s="58">
        <f t="shared" si="596"/>
        <v>0</v>
      </c>
      <c r="GW367" s="58">
        <f t="shared" si="597"/>
        <v>0</v>
      </c>
      <c r="GY367" s="58">
        <f>IF(AND(dd_CheckMate214_TTD="Yes",'Effectiveness settings'!BU367=2,'Effectiveness settings'!BX367=2),1,GN367)</f>
        <v>0</v>
      </c>
      <c r="GZ367" s="58">
        <f t="shared" si="598"/>
        <v>0</v>
      </c>
      <c r="HB367" s="58">
        <f t="shared" si="599"/>
        <v>0</v>
      </c>
      <c r="HD367" s="58">
        <f t="shared" si="566"/>
        <v>0</v>
      </c>
      <c r="HE367" s="58">
        <f t="shared" si="567"/>
        <v>0</v>
      </c>
      <c r="HF367" s="58">
        <f t="shared" si="568"/>
        <v>0</v>
      </c>
      <c r="HG367" s="58">
        <f t="shared" si="569"/>
        <v>0</v>
      </c>
      <c r="HH367" s="58">
        <f t="shared" si="570"/>
        <v>0</v>
      </c>
    </row>
    <row r="368" spans="9:216" ht="15.75" hidden="1" x14ac:dyDescent="0.25">
      <c r="I368" s="64"/>
      <c r="J368" s="519"/>
      <c r="K368" s="524"/>
      <c r="L368" s="519"/>
      <c r="M368" s="516"/>
      <c r="N368" s="64"/>
      <c r="O368" s="64"/>
      <c r="P368" s="64"/>
      <c r="Q368" s="519" t="s">
        <v>557</v>
      </c>
      <c r="R368" s="516"/>
      <c r="S368" s="497"/>
      <c r="T368" s="497"/>
      <c r="U368" s="497"/>
      <c r="X368" s="64"/>
      <c r="Y368" s="519"/>
      <c r="Z368" s="516"/>
      <c r="AA368" s="519"/>
      <c r="AB368" s="619"/>
      <c r="AC368" s="64"/>
      <c r="AD368" s="618"/>
      <c r="AE368" s="618"/>
      <c r="AF368" s="620"/>
      <c r="AG368" s="516"/>
      <c r="AH368" s="497"/>
      <c r="AI368" s="497"/>
      <c r="AJ368" s="497"/>
      <c r="AL368" s="64"/>
      <c r="AM368" s="519"/>
      <c r="AN368" s="516"/>
      <c r="AO368" s="620"/>
      <c r="AP368" s="619"/>
      <c r="AQ368" s="64"/>
      <c r="AR368" s="618"/>
      <c r="AS368" s="618"/>
      <c r="AT368" s="627"/>
      <c r="AU368" s="516"/>
      <c r="AV368" s="65"/>
      <c r="AW368" s="65"/>
      <c r="AX368" s="65"/>
      <c r="AZ368" s="64"/>
      <c r="BA368" s="519"/>
      <c r="BB368" s="516"/>
      <c r="BC368" s="620"/>
      <c r="BD368" s="619"/>
      <c r="BE368" s="64"/>
      <c r="BF368" s="618"/>
      <c r="BG368" s="618"/>
      <c r="BH368" s="627"/>
      <c r="BI368" s="516"/>
      <c r="BJ368" s="65"/>
      <c r="BK368" s="65"/>
      <c r="BL368" s="65"/>
      <c r="BQ368" s="58">
        <f t="shared" si="573"/>
        <v>210</v>
      </c>
      <c r="BR368" s="61"/>
      <c r="BS368" s="61"/>
      <c r="BT368" s="17"/>
      <c r="BU368" s="17"/>
      <c r="BV368" s="17"/>
      <c r="BW368" s="17"/>
      <c r="BX368" s="61"/>
      <c r="BY368" s="531"/>
      <c r="BZ368" s="530"/>
      <c r="CA368" s="531"/>
      <c r="CB368" s="530"/>
      <c r="CC368" s="530"/>
      <c r="CD368" s="530"/>
      <c r="CE368" s="1295"/>
      <c r="CF368" s="1301"/>
      <c r="CG368" s="530"/>
      <c r="CH368" s="61"/>
      <c r="CI368" s="61"/>
      <c r="CJ368" s="61"/>
      <c r="DK368" s="58" t="str" cm="1">
        <f t="array" ref="DK368">IF(AND($BT368=4,$BX368=4,$BU368=999),$DB$36,_xlfn.IFNA(INDEX(DB$13:DB$70,MATCH(1,($BR368=$CV$13:$CV$70)*($BT368=$CX$13:$CX$70)*($CE368=$CY$13:$CY$70)*($BY368=$DA$13:$DA$70)*($CD368=$DH$13:$DH$70),0)),""))</f>
        <v/>
      </c>
      <c r="DL368" s="58" t="str" cm="1">
        <f t="array" ref="DL368">IF(AND($BT368=4,$BX368=4,$BU368=999),$DC$36,_xlfn.IFNA(INDEX(CHOOSE(DP368,DB$13:DB$70,DC$13:DC$70,DD$13:DD$70,DE$13:DE$70),MATCH(1,($BR368=$CV$13:$CV$70)*($BT368=$CX$13:$CX$70)*($CE368=$CY$13:$CY$70)*($BY368=$DA$13:$DA$70)*($CD368=$DH$13:$DH$70),0)),""))</f>
        <v/>
      </c>
      <c r="DM368" s="740" t="str" cm="1">
        <f t="array" ref="DM368">IF(AND($BT368=4,$BX368=4,$BU368=999),$DD$36,_xlfn.IFNA(INDEX(DD$13:DD$68,MATCH(1,($BR368=$CV$13:$CV$68)*($BT368=$CX$13:$CX$68)*($CE368=$CY$13:$CY$68)*($BY368=$DA$13:$DA$68)*($CD368=$DH$13:$DH$68),0)),""))</f>
        <v/>
      </c>
      <c r="DN368" s="740" t="str" cm="1">
        <f t="array" ref="DN368">IF(AND($BT368=4,$BX368=4,$BU368=999),$DD$36,_xlfn.IFNA(INDEX(DE$13:DE$68,MATCH(1,($BR368=$CV$13:$CV$68)*($BT368=$CX$13:$CX$68)*($CE368=$CY$13:$CY$68)*($BY368=$DA$13:$DA$68)*($CD368=$DH$13:$DH$68),0)),""))</f>
        <v/>
      </c>
      <c r="DO368" s="58" t="str" cm="1">
        <f t="array" ref="DO368">IF(AND($BT368=4,$BX368=4,$BU368=999),$DF$36,_xlfn.IFNA(INDEX(DF$13:DF$70,MATCH(1,($BR368=$CV$13:$CV$70)*($BT368=$CX$13:$CX$70)*($CE368=$CY$13:$CY$70)*($BY368=$DA$13:$DA$70)*($CD368=$DH$13:$DH$70),0)),""))</f>
        <v/>
      </c>
      <c r="DP368" s="58" t="e">
        <f t="shared" si="574"/>
        <v>#N/A</v>
      </c>
      <c r="EU368" s="58">
        <f t="shared" si="600"/>
        <v>0</v>
      </c>
      <c r="EV368" s="58">
        <f t="shared" si="601"/>
        <v>0</v>
      </c>
      <c r="EW368" s="58">
        <f t="shared" si="602"/>
        <v>0</v>
      </c>
      <c r="EX368" s="58">
        <f t="shared" si="603"/>
        <v>0</v>
      </c>
      <c r="EZ368" s="58">
        <f t="shared" si="604"/>
        <v>0</v>
      </c>
      <c r="FA368" s="58">
        <f t="shared" si="605"/>
        <v>0</v>
      </c>
      <c r="FB368" s="58">
        <f>IF(i_eff_inputs_based_on_num=2,ED368,(INDEX(Lists!$L$51:$L$85,MATCH(O368,Lists!$K$51:$K$85,0))))</f>
        <v>0</v>
      </c>
      <c r="FC368" s="58">
        <f>IF(i_eff_inputs_based_on_num=2,EE368,(INDEX(Lists!$L$51:$L$85,MATCH(P368,Lists!$K$51:$K$85,0))))</f>
        <v>0</v>
      </c>
      <c r="FD368" s="58">
        <f>IF(i_eff_inputs_based_on_num=2,EF368,(INDEX(Lists!$L$51:$L$85,MATCH(Q368,Lists!$K$51:$K$85,0))))</f>
        <v>0</v>
      </c>
      <c r="FG368" s="58">
        <f t="shared" si="575"/>
        <v>0</v>
      </c>
      <c r="FH368" s="58">
        <f t="shared" si="576"/>
        <v>0</v>
      </c>
      <c r="FI368" s="58">
        <f t="shared" si="577"/>
        <v>0</v>
      </c>
      <c r="FJ368" s="58">
        <f t="shared" si="578"/>
        <v>0</v>
      </c>
      <c r="FL368" s="58">
        <f t="shared" si="579"/>
        <v>0</v>
      </c>
      <c r="FM368" s="58">
        <f t="shared" si="580"/>
        <v>0</v>
      </c>
      <c r="FN368" s="58">
        <f>IF(i_eff_inputs_based_on_num=2,EP368,(INDEX(Lists!$L$51:$L$85,MATCH(AA368,Lists!$K$51:$K$85,0))))</f>
        <v>0</v>
      </c>
      <c r="FO368" s="58">
        <f>IF(i_eff_inputs_based_on_num=2,EQ368,(INDEX(Lists!$L$51:$L$85,MATCH(AB368,Lists!$K$51:$K$85,0))))</f>
        <v>0</v>
      </c>
      <c r="FP368" s="58">
        <f>IF(i_eff_inputs_based_on_num=2,ER368,(INDEX(Lists!$L$51:$L$85,MATCH(AC368,Lists!$K$51:$K$85,0))))</f>
        <v>0</v>
      </c>
      <c r="FT368" s="58">
        <f t="shared" si="581"/>
        <v>0</v>
      </c>
      <c r="FW368" s="58">
        <f>IF(i_baseline_risk_from=2,'Effectiveness settings'!EW368,'Effectiveness settings'!FI368)</f>
        <v>0</v>
      </c>
      <c r="FX368" s="58">
        <f t="shared" si="582"/>
        <v>0</v>
      </c>
      <c r="FY368" s="58">
        <f t="shared" si="583"/>
        <v>0</v>
      </c>
      <c r="FZ368" s="58">
        <f t="shared" si="584"/>
        <v>0</v>
      </c>
      <c r="GA368" s="58">
        <f t="shared" si="585"/>
        <v>0</v>
      </c>
      <c r="GB368" s="58">
        <f t="shared" si="586"/>
        <v>0</v>
      </c>
      <c r="GC368" s="58">
        <f t="shared" si="587"/>
        <v>0</v>
      </c>
      <c r="GD368" s="58">
        <f t="shared" si="588"/>
        <v>0</v>
      </c>
      <c r="GE368" s="58">
        <f>IF(AND(dd_CheckMate214_TTD="Yes",'Effectiveness settings'!BU368=2,'Effectiveness settings'!BX368=2),"Apply HR to",GD368)</f>
        <v>0</v>
      </c>
      <c r="GF368" s="58">
        <f t="shared" si="589"/>
        <v>0</v>
      </c>
      <c r="GG368" s="58">
        <f t="shared" si="590"/>
        <v>0</v>
      </c>
      <c r="GH368" s="58">
        <f t="shared" si="591"/>
        <v>0</v>
      </c>
      <c r="GI368" s="58">
        <f t="shared" si="571"/>
        <v>0</v>
      </c>
      <c r="GK368" s="58">
        <f>IF(i_baseline_risk_from=2,'Effectiveness settings'!FA368,'Effectiveness settings'!FM368)</f>
        <v>0</v>
      </c>
      <c r="GL368" s="58">
        <f>IF(i_baseline_risk_from=2,'Effectiveness settings'!FB368,'Effectiveness settings'!FN368)</f>
        <v>0</v>
      </c>
      <c r="GM368" s="58">
        <f>IF(i_baseline_risk_from=2,'Effectiveness settings'!FC368,'Effectiveness settings'!FO368)</f>
        <v>0</v>
      </c>
      <c r="GN368" s="58">
        <f>IF(i_baseline_risk_from=2,'Effectiveness settings'!FD368,'Effectiveness settings'!FP368)</f>
        <v>0</v>
      </c>
      <c r="GQ368" s="58">
        <f t="shared" si="592"/>
        <v>0</v>
      </c>
      <c r="GR368" s="58">
        <f t="shared" si="593"/>
        <v>0</v>
      </c>
      <c r="GS368" s="58">
        <f t="shared" si="594"/>
        <v>0</v>
      </c>
      <c r="GT368" s="58">
        <f t="shared" si="595"/>
        <v>0</v>
      </c>
      <c r="GU368" s="58">
        <f>IF(AND(dd_CheckMate214_TTD="Yes",'Effectiveness settings'!BU368=2,'Effectiveness settings'!BX368=2),2,GT368)</f>
        <v>0</v>
      </c>
      <c r="GV368" s="58">
        <f t="shared" si="596"/>
        <v>0</v>
      </c>
      <c r="GW368" s="58">
        <f t="shared" si="597"/>
        <v>0</v>
      </c>
      <c r="GY368" s="58">
        <f>IF(AND(dd_CheckMate214_TTD="Yes",'Effectiveness settings'!BU368=2,'Effectiveness settings'!BX368=2),1,GN368)</f>
        <v>0</v>
      </c>
      <c r="GZ368" s="58">
        <f t="shared" si="598"/>
        <v>0</v>
      </c>
      <c r="HB368" s="58">
        <f t="shared" si="599"/>
        <v>0</v>
      </c>
      <c r="HD368" s="58">
        <f t="shared" si="566"/>
        <v>0</v>
      </c>
      <c r="HE368" s="58">
        <f t="shared" si="567"/>
        <v>0</v>
      </c>
      <c r="HF368" s="58">
        <f t="shared" si="568"/>
        <v>0</v>
      </c>
      <c r="HG368" s="58">
        <f t="shared" si="569"/>
        <v>0</v>
      </c>
      <c r="HH368" s="58">
        <f t="shared" si="570"/>
        <v>0</v>
      </c>
    </row>
    <row r="369" spans="1:220" ht="15.75" hidden="1" x14ac:dyDescent="0.25">
      <c r="I369" s="64"/>
      <c r="J369" s="519"/>
      <c r="K369" s="524"/>
      <c r="L369" s="519"/>
      <c r="M369" s="516"/>
      <c r="N369" s="64"/>
      <c r="O369" s="64"/>
      <c r="P369" s="64"/>
      <c r="Q369" s="519" t="s">
        <v>557</v>
      </c>
      <c r="R369" s="516"/>
      <c r="S369" s="497"/>
      <c r="T369" s="497"/>
      <c r="U369" s="497"/>
      <c r="X369" s="64"/>
      <c r="Y369" s="519"/>
      <c r="Z369" s="516"/>
      <c r="AA369" s="519"/>
      <c r="AB369" s="619"/>
      <c r="AC369" s="64"/>
      <c r="AD369" s="618"/>
      <c r="AE369" s="618"/>
      <c r="AF369" s="620"/>
      <c r="AG369" s="516"/>
      <c r="AH369" s="497"/>
      <c r="AI369" s="497"/>
      <c r="AJ369" s="497"/>
      <c r="AL369" s="64"/>
      <c r="AM369" s="519"/>
      <c r="AN369" s="516"/>
      <c r="AO369" s="620"/>
      <c r="AP369" s="619"/>
      <c r="AQ369" s="64"/>
      <c r="AR369" s="618"/>
      <c r="AS369" s="618"/>
      <c r="AT369" s="627"/>
      <c r="AU369" s="516"/>
      <c r="AV369" s="65"/>
      <c r="AW369" s="65"/>
      <c r="AX369" s="65"/>
      <c r="AZ369" s="64"/>
      <c r="BA369" s="519"/>
      <c r="BB369" s="516"/>
      <c r="BC369" s="620"/>
      <c r="BD369" s="619"/>
      <c r="BE369" s="64"/>
      <c r="BF369" s="618"/>
      <c r="BG369" s="618"/>
      <c r="BH369" s="627"/>
      <c r="BI369" s="516"/>
      <c r="BJ369" s="65"/>
      <c r="BK369" s="65"/>
      <c r="BL369" s="65"/>
      <c r="BQ369" s="58">
        <f t="shared" si="573"/>
        <v>210</v>
      </c>
      <c r="BR369" s="61"/>
      <c r="BS369" s="61"/>
      <c r="BT369" s="17"/>
      <c r="BU369" s="17"/>
      <c r="BV369" s="17"/>
      <c r="BW369" s="17"/>
      <c r="BX369" s="61"/>
      <c r="BY369" s="531"/>
      <c r="BZ369" s="530"/>
      <c r="CA369" s="531"/>
      <c r="CB369" s="530"/>
      <c r="CC369" s="530"/>
      <c r="CD369" s="530"/>
      <c r="CE369" s="1295"/>
      <c r="CF369" s="1301"/>
      <c r="CG369" s="530"/>
      <c r="CH369" s="61"/>
      <c r="CI369" s="61"/>
      <c r="CJ369" s="61"/>
      <c r="DK369" s="58" t="str" cm="1">
        <f t="array" ref="DK369">IF(AND($BT369=4,$BX369=4,$BU369=999),$DB$36,_xlfn.IFNA(INDEX(DB$13:DB$70,MATCH(1,($BR369=$CV$13:$CV$70)*($BT369=$CX$13:$CX$70)*($CE369=$CY$13:$CY$70)*($BY369=$DA$13:$DA$70)*($CD369=$DH$13:$DH$70),0)),""))</f>
        <v/>
      </c>
      <c r="DL369" s="58" t="str" cm="1">
        <f t="array" ref="DL369">IF(AND($BT369=4,$BX369=4,$BU369=999),$DC$36,_xlfn.IFNA(INDEX(CHOOSE(DP369,DB$13:DB$70,DC$13:DC$70,DD$13:DD$70,DE$13:DE$70),MATCH(1,($BR369=$CV$13:$CV$70)*($BT369=$CX$13:$CX$70)*($CE369=$CY$13:$CY$70)*($BY369=$DA$13:$DA$70)*($CD369=$DH$13:$DH$70),0)),""))</f>
        <v/>
      </c>
      <c r="DM369" s="740" t="str" cm="1">
        <f t="array" ref="DM369">IF(AND($BT369=4,$BX369=4,$BU369=999),$DD$36,_xlfn.IFNA(INDEX(DD$13:DD$68,MATCH(1,($BR369=$CV$13:$CV$68)*($BT369=$CX$13:$CX$68)*($CE369=$CY$13:$CY$68)*($BY369=$DA$13:$DA$68)*($CD369=$DH$13:$DH$68),0)),""))</f>
        <v/>
      </c>
      <c r="DN369" s="740" t="str" cm="1">
        <f t="array" ref="DN369">IF(AND($BT369=4,$BX369=4,$BU369=999),$DD$36,_xlfn.IFNA(INDEX(DE$13:DE$68,MATCH(1,($BR369=$CV$13:$CV$68)*($BT369=$CX$13:$CX$68)*($CE369=$CY$13:$CY$68)*($BY369=$DA$13:$DA$68)*($CD369=$DH$13:$DH$68),0)),""))</f>
        <v/>
      </c>
      <c r="DO369" s="58" t="str" cm="1">
        <f t="array" ref="DO369">IF(AND($BT369=4,$BX369=4,$BU369=999),$DF$36,_xlfn.IFNA(INDEX(DF$13:DF$70,MATCH(1,($BR369=$CV$13:$CV$70)*($BT369=$CX$13:$CX$70)*($CE369=$CY$13:$CY$70)*($BY369=$DA$13:$DA$70)*($CD369=$DH$13:$DH$70),0)),""))</f>
        <v/>
      </c>
      <c r="DP369" s="58" t="e">
        <f t="shared" si="574"/>
        <v>#N/A</v>
      </c>
      <c r="EU369" s="58">
        <f t="shared" si="600"/>
        <v>0</v>
      </c>
      <c r="EV369" s="58">
        <f t="shared" si="601"/>
        <v>0</v>
      </c>
      <c r="EW369" s="58">
        <f t="shared" si="602"/>
        <v>0</v>
      </c>
      <c r="EX369" s="58">
        <f t="shared" si="603"/>
        <v>0</v>
      </c>
      <c r="EZ369" s="58">
        <f t="shared" si="604"/>
        <v>0</v>
      </c>
      <c r="FA369" s="58">
        <f t="shared" si="605"/>
        <v>0</v>
      </c>
      <c r="FB369" s="58">
        <f>IF(i_eff_inputs_based_on_num=2,ED369,(INDEX(Lists!$L$51:$L$85,MATCH(O369,Lists!$K$51:$K$85,0))))</f>
        <v>0</v>
      </c>
      <c r="FC369" s="58">
        <f>IF(i_eff_inputs_based_on_num=2,EE369,(INDEX(Lists!$L$51:$L$85,MATCH(P369,Lists!$K$51:$K$85,0))))</f>
        <v>0</v>
      </c>
      <c r="FD369" s="58">
        <f>IF(i_eff_inputs_based_on_num=2,EF369,(INDEX(Lists!$L$51:$L$85,MATCH(Q369,Lists!$K$51:$K$85,0))))</f>
        <v>0</v>
      </c>
      <c r="FG369" s="58">
        <f t="shared" si="575"/>
        <v>0</v>
      </c>
      <c r="FH369" s="58">
        <f t="shared" si="576"/>
        <v>0</v>
      </c>
      <c r="FI369" s="58">
        <f t="shared" si="577"/>
        <v>0</v>
      </c>
      <c r="FJ369" s="58">
        <f t="shared" si="578"/>
        <v>0</v>
      </c>
      <c r="FL369" s="58">
        <f t="shared" si="579"/>
        <v>0</v>
      </c>
      <c r="FM369" s="58">
        <f t="shared" si="580"/>
        <v>0</v>
      </c>
      <c r="FN369" s="58">
        <f>IF(i_eff_inputs_based_on_num=2,EP369,(INDEX(Lists!$L$51:$L$85,MATCH(AA369,Lists!$K$51:$K$85,0))))</f>
        <v>0</v>
      </c>
      <c r="FO369" s="58">
        <f>IF(i_eff_inputs_based_on_num=2,EQ369,(INDEX(Lists!$L$51:$L$85,MATCH(AB369,Lists!$K$51:$K$85,0))))</f>
        <v>0</v>
      </c>
      <c r="FP369" s="58">
        <f>IF(i_eff_inputs_based_on_num=2,ER369,(INDEX(Lists!$L$51:$L$85,MATCH(AC369,Lists!$K$51:$K$85,0))))</f>
        <v>0</v>
      </c>
      <c r="FT369" s="58">
        <f t="shared" si="581"/>
        <v>0</v>
      </c>
      <c r="FW369" s="58">
        <f>IF(i_baseline_risk_from=2,'Effectiveness settings'!EW369,'Effectiveness settings'!FI369)</f>
        <v>0</v>
      </c>
      <c r="FX369" s="58">
        <f t="shared" si="582"/>
        <v>0</v>
      </c>
      <c r="FY369" s="58">
        <f t="shared" si="583"/>
        <v>0</v>
      </c>
      <c r="FZ369" s="58">
        <f t="shared" si="584"/>
        <v>0</v>
      </c>
      <c r="GA369" s="58">
        <f t="shared" si="585"/>
        <v>0</v>
      </c>
      <c r="GB369" s="58">
        <f t="shared" si="586"/>
        <v>0</v>
      </c>
      <c r="GC369" s="58">
        <f t="shared" si="587"/>
        <v>0</v>
      </c>
      <c r="GD369" s="58">
        <f t="shared" si="588"/>
        <v>0</v>
      </c>
      <c r="GE369" s="58">
        <f>IF(AND(dd_CheckMate214_TTD="Yes",'Effectiveness settings'!BU369=2,'Effectiveness settings'!BX369=2),"Apply HR to",GD369)</f>
        <v>0</v>
      </c>
      <c r="GF369" s="58">
        <f t="shared" si="589"/>
        <v>0</v>
      </c>
      <c r="GG369" s="58">
        <f t="shared" si="590"/>
        <v>0</v>
      </c>
      <c r="GH369" s="58">
        <f t="shared" si="591"/>
        <v>0</v>
      </c>
      <c r="GI369" s="58">
        <f t="shared" si="571"/>
        <v>0</v>
      </c>
      <c r="GK369" s="58">
        <f>IF(i_baseline_risk_from=2,'Effectiveness settings'!FA369,'Effectiveness settings'!FM369)</f>
        <v>0</v>
      </c>
      <c r="GL369" s="58">
        <f>IF(i_baseline_risk_from=2,'Effectiveness settings'!FB369,'Effectiveness settings'!FN369)</f>
        <v>0</v>
      </c>
      <c r="GM369" s="58">
        <f>IF(i_baseline_risk_from=2,'Effectiveness settings'!FC369,'Effectiveness settings'!FO369)</f>
        <v>0</v>
      </c>
      <c r="GN369" s="58">
        <f>IF(i_baseline_risk_from=2,'Effectiveness settings'!FD369,'Effectiveness settings'!FP369)</f>
        <v>0</v>
      </c>
      <c r="GQ369" s="58">
        <f t="shared" si="592"/>
        <v>0</v>
      </c>
      <c r="GR369" s="58">
        <f t="shared" si="593"/>
        <v>0</v>
      </c>
      <c r="GS369" s="58">
        <f t="shared" si="594"/>
        <v>0</v>
      </c>
      <c r="GT369" s="58">
        <f t="shared" si="595"/>
        <v>0</v>
      </c>
      <c r="GU369" s="58">
        <f>IF(AND(dd_CheckMate214_TTD="Yes",'Effectiveness settings'!BU369=2,'Effectiveness settings'!BX369=2),2,GT369)</f>
        <v>0</v>
      </c>
      <c r="GV369" s="58">
        <f t="shared" si="596"/>
        <v>0</v>
      </c>
      <c r="GW369" s="58">
        <f t="shared" si="597"/>
        <v>0</v>
      </c>
      <c r="GY369" s="58">
        <f>IF(AND(dd_CheckMate214_TTD="Yes",'Effectiveness settings'!BU369=2,'Effectiveness settings'!BX369=2),1,GN369)</f>
        <v>0</v>
      </c>
      <c r="GZ369" s="58">
        <f t="shared" si="598"/>
        <v>0</v>
      </c>
      <c r="HB369" s="58">
        <f t="shared" si="599"/>
        <v>0</v>
      </c>
      <c r="HD369" s="58">
        <f t="shared" si="566"/>
        <v>0</v>
      </c>
      <c r="HE369" s="58">
        <f t="shared" si="567"/>
        <v>0</v>
      </c>
      <c r="HF369" s="58">
        <f t="shared" si="568"/>
        <v>0</v>
      </c>
      <c r="HG369" s="58">
        <f t="shared" si="569"/>
        <v>0</v>
      </c>
      <c r="HH369" s="58">
        <f t="shared" si="570"/>
        <v>0</v>
      </c>
    </row>
    <row r="370" spans="1:220" ht="15.75" hidden="1" x14ac:dyDescent="0.25">
      <c r="I370" s="64"/>
      <c r="J370" s="519"/>
      <c r="K370" s="524"/>
      <c r="L370" s="519"/>
      <c r="M370" s="516"/>
      <c r="N370" s="64"/>
      <c r="O370" s="64"/>
      <c r="P370" s="64"/>
      <c r="Q370" s="519" t="s">
        <v>557</v>
      </c>
      <c r="R370" s="516"/>
      <c r="S370" s="497"/>
      <c r="T370" s="497"/>
      <c r="U370" s="497"/>
      <c r="X370" s="64"/>
      <c r="Y370" s="519"/>
      <c r="Z370" s="516"/>
      <c r="AA370" s="519"/>
      <c r="AB370" s="619"/>
      <c r="AC370" s="64"/>
      <c r="AD370" s="618"/>
      <c r="AE370" s="618"/>
      <c r="AF370" s="620"/>
      <c r="AG370" s="516"/>
      <c r="AH370" s="497"/>
      <c r="AI370" s="497"/>
      <c r="AJ370" s="497"/>
      <c r="AL370" s="64"/>
      <c r="AM370" s="519"/>
      <c r="AN370" s="516"/>
      <c r="AO370" s="620"/>
      <c r="AP370" s="619"/>
      <c r="AQ370" s="64"/>
      <c r="AR370" s="618"/>
      <c r="AS370" s="618"/>
      <c r="AT370" s="627"/>
      <c r="AU370" s="516"/>
      <c r="AV370" s="65"/>
      <c r="AW370" s="65"/>
      <c r="AX370" s="65"/>
      <c r="AZ370" s="64"/>
      <c r="BA370" s="519"/>
      <c r="BB370" s="516"/>
      <c r="BC370" s="620"/>
      <c r="BD370" s="619"/>
      <c r="BE370" s="64"/>
      <c r="BF370" s="618"/>
      <c r="BG370" s="618"/>
      <c r="BH370" s="627"/>
      <c r="BI370" s="516"/>
      <c r="BJ370" s="65"/>
      <c r="BK370" s="65"/>
      <c r="BL370" s="65"/>
      <c r="BQ370" s="58">
        <f t="shared" si="573"/>
        <v>210</v>
      </c>
      <c r="BR370" s="61"/>
      <c r="BS370" s="61"/>
      <c r="BT370" s="17"/>
      <c r="BU370" s="17"/>
      <c r="BV370" s="17"/>
      <c r="BW370" s="17"/>
      <c r="BX370" s="61"/>
      <c r="BY370" s="531"/>
      <c r="BZ370" s="530"/>
      <c r="CA370" s="531"/>
      <c r="CB370" s="530"/>
      <c r="CC370" s="530"/>
      <c r="CD370" s="530"/>
      <c r="CE370" s="1295"/>
      <c r="CF370" s="1301"/>
      <c r="CG370" s="530"/>
      <c r="CH370" s="61"/>
      <c r="CI370" s="61"/>
      <c r="CJ370" s="61"/>
      <c r="DK370" s="58" t="str" cm="1">
        <f t="array" ref="DK370">IF(AND($BT370=4,$BX370=4,$BU370=999),$DB$36,_xlfn.IFNA(INDEX(DB$13:DB$70,MATCH(1,($BR370=$CV$13:$CV$70)*($BT370=$CX$13:$CX$70)*($CE370=$CY$13:$CY$70)*($BY370=$DA$13:$DA$70)*($CD370=$DH$13:$DH$70),0)),""))</f>
        <v/>
      </c>
      <c r="DL370" s="58" t="str" cm="1">
        <f t="array" ref="DL370">IF(AND($BT370=4,$BX370=4,$BU370=999),$DC$36,_xlfn.IFNA(INDEX(CHOOSE(DP370,DB$13:DB$70,DC$13:DC$70,DD$13:DD$70,DE$13:DE$70),MATCH(1,($BR370=$CV$13:$CV$70)*($BT370=$CX$13:$CX$70)*($CE370=$CY$13:$CY$70)*($BY370=$DA$13:$DA$70)*($CD370=$DH$13:$DH$70),0)),""))</f>
        <v/>
      </c>
      <c r="DM370" s="740" t="str" cm="1">
        <f t="array" ref="DM370">IF(AND($BT370=4,$BX370=4,$BU370=999),$DD$36,_xlfn.IFNA(INDEX(DD$13:DD$68,MATCH(1,($BR370=$CV$13:$CV$68)*($BT370=$CX$13:$CX$68)*($CE370=$CY$13:$CY$68)*($BY370=$DA$13:$DA$68)*($CD370=$DH$13:$DH$68),0)),""))</f>
        <v/>
      </c>
      <c r="DN370" s="740" t="str" cm="1">
        <f t="array" ref="DN370">IF(AND($BT370=4,$BX370=4,$BU370=999),$DD$36,_xlfn.IFNA(INDEX(DE$13:DE$68,MATCH(1,($BR370=$CV$13:$CV$68)*($BT370=$CX$13:$CX$68)*($CE370=$CY$13:$CY$68)*($BY370=$DA$13:$DA$68)*($CD370=$DH$13:$DH$68),0)),""))</f>
        <v/>
      </c>
      <c r="DO370" s="58" t="str" cm="1">
        <f t="array" ref="DO370">IF(AND($BT370=4,$BX370=4,$BU370=999),$DF$36,_xlfn.IFNA(INDEX(DF$13:DF$70,MATCH(1,($BR370=$CV$13:$CV$70)*($BT370=$CX$13:$CX$70)*($CE370=$CY$13:$CY$70)*($BY370=$DA$13:$DA$70)*($CD370=$DH$13:$DH$70),0)),""))</f>
        <v/>
      </c>
      <c r="DP370" s="58" t="e">
        <f t="shared" si="574"/>
        <v>#N/A</v>
      </c>
      <c r="EU370" s="58">
        <f t="shared" si="600"/>
        <v>0</v>
      </c>
      <c r="EV370" s="58">
        <f t="shared" si="601"/>
        <v>0</v>
      </c>
      <c r="EW370" s="58">
        <f t="shared" si="602"/>
        <v>0</v>
      </c>
      <c r="EX370" s="58">
        <f t="shared" si="603"/>
        <v>0</v>
      </c>
      <c r="EZ370" s="58">
        <f t="shared" si="604"/>
        <v>0</v>
      </c>
      <c r="FA370" s="58">
        <f t="shared" si="605"/>
        <v>0</v>
      </c>
      <c r="FB370" s="58">
        <f>IF(i_eff_inputs_based_on_num=2,ED370,(INDEX(Lists!$L$51:$L$85,MATCH(O370,Lists!$K$51:$K$85,0))))</f>
        <v>0</v>
      </c>
      <c r="FC370" s="58">
        <f>IF(i_eff_inputs_based_on_num=2,EE370,(INDEX(Lists!$L$51:$L$85,MATCH(P370,Lists!$K$51:$K$85,0))))</f>
        <v>0</v>
      </c>
      <c r="FD370" s="58">
        <f>IF(i_eff_inputs_based_on_num=2,EF370,(INDEX(Lists!$L$51:$L$85,MATCH(Q370,Lists!$K$51:$K$85,0))))</f>
        <v>0</v>
      </c>
      <c r="FG370" s="58">
        <f t="shared" si="575"/>
        <v>0</v>
      </c>
      <c r="FH370" s="58">
        <f t="shared" si="576"/>
        <v>0</v>
      </c>
      <c r="FI370" s="58">
        <f t="shared" si="577"/>
        <v>0</v>
      </c>
      <c r="FJ370" s="58">
        <f t="shared" si="578"/>
        <v>0</v>
      </c>
      <c r="FL370" s="58">
        <f t="shared" si="579"/>
        <v>0</v>
      </c>
      <c r="FM370" s="58">
        <f t="shared" si="580"/>
        <v>0</v>
      </c>
      <c r="FN370" s="58">
        <f>IF(i_eff_inputs_based_on_num=2,EP370,(INDEX(Lists!$L$51:$L$85,MATCH(AA370,Lists!$K$51:$K$85,0))))</f>
        <v>0</v>
      </c>
      <c r="FO370" s="58">
        <f>IF(i_eff_inputs_based_on_num=2,EQ370,(INDEX(Lists!$L$51:$L$85,MATCH(AB370,Lists!$K$51:$K$85,0))))</f>
        <v>0</v>
      </c>
      <c r="FP370" s="58">
        <f>IF(i_eff_inputs_based_on_num=2,ER370,(INDEX(Lists!$L$51:$L$85,MATCH(AC370,Lists!$K$51:$K$85,0))))</f>
        <v>0</v>
      </c>
      <c r="FT370" s="58">
        <f t="shared" si="581"/>
        <v>0</v>
      </c>
      <c r="FW370" s="58">
        <f>IF(i_baseline_risk_from=2,'Effectiveness settings'!EW370,'Effectiveness settings'!FI370)</f>
        <v>0</v>
      </c>
      <c r="FX370" s="58">
        <f t="shared" si="582"/>
        <v>0</v>
      </c>
      <c r="FY370" s="58">
        <f t="shared" si="583"/>
        <v>0</v>
      </c>
      <c r="FZ370" s="58">
        <f t="shared" si="584"/>
        <v>0</v>
      </c>
      <c r="GA370" s="58">
        <f t="shared" si="585"/>
        <v>0</v>
      </c>
      <c r="GB370" s="58">
        <f t="shared" si="586"/>
        <v>0</v>
      </c>
      <c r="GC370" s="58">
        <f t="shared" si="587"/>
        <v>0</v>
      </c>
      <c r="GD370" s="58">
        <f t="shared" si="588"/>
        <v>0</v>
      </c>
      <c r="GE370" s="58">
        <f>IF(AND(dd_CheckMate214_TTD="Yes",'Effectiveness settings'!BU370=2,'Effectiveness settings'!BX370=2),"Apply HR to",GD370)</f>
        <v>0</v>
      </c>
      <c r="GF370" s="58">
        <f t="shared" si="589"/>
        <v>0</v>
      </c>
      <c r="GG370" s="58">
        <f t="shared" si="590"/>
        <v>0</v>
      </c>
      <c r="GH370" s="58">
        <f t="shared" si="591"/>
        <v>0</v>
      </c>
      <c r="GI370" s="58">
        <f t="shared" si="571"/>
        <v>0</v>
      </c>
      <c r="GK370" s="58">
        <f>IF(i_baseline_risk_from=2,'Effectiveness settings'!FA370,'Effectiveness settings'!FM370)</f>
        <v>0</v>
      </c>
      <c r="GL370" s="58">
        <f>IF(i_baseline_risk_from=2,'Effectiveness settings'!FB370,'Effectiveness settings'!FN370)</f>
        <v>0</v>
      </c>
      <c r="GM370" s="58">
        <f>IF(i_baseline_risk_from=2,'Effectiveness settings'!FC370,'Effectiveness settings'!FO370)</f>
        <v>0</v>
      </c>
      <c r="GN370" s="58">
        <f>IF(i_baseline_risk_from=2,'Effectiveness settings'!FD370,'Effectiveness settings'!FP370)</f>
        <v>0</v>
      </c>
      <c r="GQ370" s="58">
        <f t="shared" si="592"/>
        <v>0</v>
      </c>
      <c r="GR370" s="58">
        <f t="shared" si="593"/>
        <v>0</v>
      </c>
      <c r="GS370" s="58">
        <f t="shared" si="594"/>
        <v>0</v>
      </c>
      <c r="GT370" s="58">
        <f t="shared" si="595"/>
        <v>0</v>
      </c>
      <c r="GU370" s="58">
        <f>IF(AND(dd_CheckMate214_TTD="Yes",'Effectiveness settings'!BU370=2,'Effectiveness settings'!BX370=2),2,GT370)</f>
        <v>0</v>
      </c>
      <c r="GV370" s="58">
        <f t="shared" si="596"/>
        <v>0</v>
      </c>
      <c r="GW370" s="58">
        <f t="shared" si="597"/>
        <v>0</v>
      </c>
      <c r="GY370" s="58">
        <f>IF(AND(dd_CheckMate214_TTD="Yes",'Effectiveness settings'!BU370=2,'Effectiveness settings'!BX370=2),1,GN370)</f>
        <v>0</v>
      </c>
      <c r="GZ370" s="58">
        <f t="shared" si="598"/>
        <v>0</v>
      </c>
      <c r="HB370" s="58">
        <f t="shared" si="599"/>
        <v>0</v>
      </c>
      <c r="HD370" s="58">
        <f t="shared" si="566"/>
        <v>0</v>
      </c>
      <c r="HE370" s="58">
        <f t="shared" si="567"/>
        <v>0</v>
      </c>
      <c r="HF370" s="58">
        <f t="shared" si="568"/>
        <v>0</v>
      </c>
      <c r="HG370" s="58">
        <f t="shared" si="569"/>
        <v>0</v>
      </c>
      <c r="HH370" s="58">
        <f t="shared" si="570"/>
        <v>0</v>
      </c>
    </row>
    <row r="371" spans="1:220" ht="15.75" hidden="1" x14ac:dyDescent="0.25">
      <c r="I371" s="64"/>
      <c r="J371" s="519"/>
      <c r="K371" s="524"/>
      <c r="L371" s="519"/>
      <c r="M371" s="516"/>
      <c r="N371" s="64"/>
      <c r="O371" s="64"/>
      <c r="P371" s="64"/>
      <c r="Q371" s="519" t="s">
        <v>557</v>
      </c>
      <c r="R371" s="516"/>
      <c r="S371" s="497"/>
      <c r="T371" s="497"/>
      <c r="U371" s="497"/>
      <c r="X371" s="64"/>
      <c r="Y371" s="519"/>
      <c r="Z371" s="516"/>
      <c r="AA371" s="519"/>
      <c r="AB371" s="619"/>
      <c r="AC371" s="64"/>
      <c r="AD371" s="618"/>
      <c r="AE371" s="618"/>
      <c r="AF371" s="620"/>
      <c r="AG371" s="516"/>
      <c r="AH371" s="497"/>
      <c r="AI371" s="497"/>
      <c r="AJ371" s="497"/>
      <c r="AL371" s="64"/>
      <c r="AM371" s="519"/>
      <c r="AN371" s="516"/>
      <c r="AO371" s="620"/>
      <c r="AP371" s="619"/>
      <c r="AQ371" s="64"/>
      <c r="AR371" s="618"/>
      <c r="AS371" s="618"/>
      <c r="AT371" s="627"/>
      <c r="AU371" s="516"/>
      <c r="AV371" s="65"/>
      <c r="AW371" s="65"/>
      <c r="AX371" s="65"/>
      <c r="AZ371" s="64"/>
      <c r="BA371" s="519"/>
      <c r="BB371" s="516"/>
      <c r="BC371" s="620"/>
      <c r="BD371" s="619"/>
      <c r="BE371" s="64"/>
      <c r="BF371" s="618"/>
      <c r="BG371" s="618"/>
      <c r="BH371" s="627"/>
      <c r="BI371" s="516"/>
      <c r="BJ371" s="65"/>
      <c r="BK371" s="65"/>
      <c r="BL371" s="65"/>
      <c r="BQ371" s="58">
        <f t="shared" si="573"/>
        <v>210</v>
      </c>
      <c r="BR371" s="61"/>
      <c r="BS371" s="61"/>
      <c r="BT371" s="17"/>
      <c r="BU371" s="17"/>
      <c r="BV371" s="17"/>
      <c r="BW371" s="17"/>
      <c r="BX371" s="61"/>
      <c r="BY371" s="531"/>
      <c r="BZ371" s="530"/>
      <c r="CA371" s="531"/>
      <c r="CB371" s="530"/>
      <c r="CC371" s="530"/>
      <c r="CD371" s="530"/>
      <c r="CE371" s="1295"/>
      <c r="CF371" s="1301"/>
      <c r="CG371" s="530"/>
      <c r="CH371" s="61"/>
      <c r="CI371" s="61"/>
      <c r="CJ371" s="61"/>
      <c r="DK371" s="58" t="str" cm="1">
        <f t="array" ref="DK371">IF(AND($BT371=4,$BX371=4,$BU371=999),$DB$36,_xlfn.IFNA(INDEX(DB$13:DB$70,MATCH(1,($BR371=$CV$13:$CV$70)*($BT371=$CX$13:$CX$70)*($CE371=$CY$13:$CY$70)*($BY371=$DA$13:$DA$70)*($CD371=$DH$13:$DH$70),0)),""))</f>
        <v/>
      </c>
      <c r="DL371" s="58" t="str" cm="1">
        <f t="array" ref="DL371">IF(AND($BT371=4,$BX371=4,$BU371=999),$DC$36,_xlfn.IFNA(INDEX(CHOOSE(DP371,DB$13:DB$70,DC$13:DC$70,DD$13:DD$70,DE$13:DE$70),MATCH(1,($BR371=$CV$13:$CV$70)*($BT371=$CX$13:$CX$70)*($CE371=$CY$13:$CY$70)*($BY371=$DA$13:$DA$70)*($CD371=$DH$13:$DH$70),0)),""))</f>
        <v/>
      </c>
      <c r="DM371" s="740" t="str" cm="1">
        <f t="array" ref="DM371">IF(AND($BT371=4,$BX371=4,$BU371=999),$DD$36,_xlfn.IFNA(INDEX(DD$13:DD$68,MATCH(1,($BR371=$CV$13:$CV$68)*($BT371=$CX$13:$CX$68)*($CE371=$CY$13:$CY$68)*($BY371=$DA$13:$DA$68)*($CD371=$DH$13:$DH$68),0)),""))</f>
        <v/>
      </c>
      <c r="DN371" s="740" t="str" cm="1">
        <f t="array" ref="DN371">IF(AND($BT371=4,$BX371=4,$BU371=999),$DD$36,_xlfn.IFNA(INDEX(DE$13:DE$68,MATCH(1,($BR371=$CV$13:$CV$68)*($BT371=$CX$13:$CX$68)*($CE371=$CY$13:$CY$68)*($BY371=$DA$13:$DA$68)*($CD371=$DH$13:$DH$68),0)),""))</f>
        <v/>
      </c>
      <c r="DO371" s="58" t="str" cm="1">
        <f t="array" ref="DO371">IF(AND($BT371=4,$BX371=4,$BU371=999),$DF$36,_xlfn.IFNA(INDEX(DF$13:DF$70,MATCH(1,($BR371=$CV$13:$CV$70)*($BT371=$CX$13:$CX$70)*($CE371=$CY$13:$CY$70)*($BY371=$DA$13:$DA$70)*($CD371=$DH$13:$DH$70),0)),""))</f>
        <v/>
      </c>
      <c r="DP371" s="58" t="e">
        <f t="shared" si="574"/>
        <v>#N/A</v>
      </c>
      <c r="EU371" s="58">
        <f t="shared" si="600"/>
        <v>0</v>
      </c>
      <c r="EV371" s="58">
        <f t="shared" si="601"/>
        <v>0</v>
      </c>
      <c r="EW371" s="58">
        <f t="shared" si="602"/>
        <v>0</v>
      </c>
      <c r="EX371" s="58">
        <f t="shared" si="603"/>
        <v>0</v>
      </c>
      <c r="EZ371" s="58">
        <f t="shared" si="604"/>
        <v>0</v>
      </c>
      <c r="FA371" s="58">
        <f t="shared" si="605"/>
        <v>0</v>
      </c>
      <c r="FB371" s="58">
        <f>IF(i_eff_inputs_based_on_num=2,ED371,(INDEX(Lists!$L$51:$L$85,MATCH(O371,Lists!$K$51:$K$85,0))))</f>
        <v>0</v>
      </c>
      <c r="FC371" s="58">
        <f>IF(i_eff_inputs_based_on_num=2,EE371,(INDEX(Lists!$L$51:$L$85,MATCH(P371,Lists!$K$51:$K$85,0))))</f>
        <v>0</v>
      </c>
      <c r="FD371" s="58">
        <f>IF(i_eff_inputs_based_on_num=2,EF371,(INDEX(Lists!$L$51:$L$85,MATCH(Q371,Lists!$K$51:$K$85,0))))</f>
        <v>0</v>
      </c>
      <c r="FG371" s="58">
        <f t="shared" si="575"/>
        <v>0</v>
      </c>
      <c r="FH371" s="58">
        <f t="shared" si="576"/>
        <v>0</v>
      </c>
      <c r="FI371" s="58">
        <f t="shared" si="577"/>
        <v>0</v>
      </c>
      <c r="FJ371" s="58">
        <f t="shared" si="578"/>
        <v>0</v>
      </c>
      <c r="FL371" s="58">
        <f t="shared" si="579"/>
        <v>0</v>
      </c>
      <c r="FM371" s="58">
        <f t="shared" si="580"/>
        <v>0</v>
      </c>
      <c r="FN371" s="58">
        <f>IF(i_eff_inputs_based_on_num=2,EP371,(INDEX(Lists!$L$51:$L$85,MATCH(AA371,Lists!$K$51:$K$85,0))))</f>
        <v>0</v>
      </c>
      <c r="FO371" s="58">
        <f>IF(i_eff_inputs_based_on_num=2,EQ371,(INDEX(Lists!$L$51:$L$85,MATCH(AB371,Lists!$K$51:$K$85,0))))</f>
        <v>0</v>
      </c>
      <c r="FP371" s="58">
        <f>IF(i_eff_inputs_based_on_num=2,ER371,(INDEX(Lists!$L$51:$L$85,MATCH(AC371,Lists!$K$51:$K$85,0))))</f>
        <v>0</v>
      </c>
      <c r="FT371" s="58">
        <f t="shared" si="581"/>
        <v>0</v>
      </c>
      <c r="FW371" s="58">
        <f>IF(i_baseline_risk_from=2,'Effectiveness settings'!EW371,'Effectiveness settings'!FI371)</f>
        <v>0</v>
      </c>
      <c r="FX371" s="58">
        <f t="shared" si="582"/>
        <v>0</v>
      </c>
      <c r="FY371" s="58">
        <f t="shared" si="583"/>
        <v>0</v>
      </c>
      <c r="FZ371" s="58">
        <f t="shared" si="584"/>
        <v>0</v>
      </c>
      <c r="GA371" s="58">
        <f t="shared" si="585"/>
        <v>0</v>
      </c>
      <c r="GB371" s="58">
        <f t="shared" si="586"/>
        <v>0</v>
      </c>
      <c r="GC371" s="58">
        <f t="shared" si="587"/>
        <v>0</v>
      </c>
      <c r="GD371" s="58">
        <f t="shared" si="588"/>
        <v>0</v>
      </c>
      <c r="GE371" s="58">
        <f>IF(AND(dd_CheckMate214_TTD="Yes",'Effectiveness settings'!BU371=2,'Effectiveness settings'!BX371=2),"Apply HR to",GD371)</f>
        <v>0</v>
      </c>
      <c r="GF371" s="58">
        <f t="shared" si="589"/>
        <v>0</v>
      </c>
      <c r="GG371" s="58">
        <f t="shared" si="590"/>
        <v>0</v>
      </c>
      <c r="GH371" s="58">
        <f t="shared" si="591"/>
        <v>0</v>
      </c>
      <c r="GI371" s="58">
        <f t="shared" si="571"/>
        <v>0</v>
      </c>
      <c r="GK371" s="58">
        <f>IF(i_baseline_risk_from=2,'Effectiveness settings'!FA371,'Effectiveness settings'!FM371)</f>
        <v>0</v>
      </c>
      <c r="GL371" s="58">
        <f>IF(i_baseline_risk_from=2,'Effectiveness settings'!FB371,'Effectiveness settings'!FN371)</f>
        <v>0</v>
      </c>
      <c r="GM371" s="58">
        <f>IF(i_baseline_risk_from=2,'Effectiveness settings'!FC371,'Effectiveness settings'!FO371)</f>
        <v>0</v>
      </c>
      <c r="GN371" s="58">
        <f>IF(i_baseline_risk_from=2,'Effectiveness settings'!FD371,'Effectiveness settings'!FP371)</f>
        <v>0</v>
      </c>
      <c r="GQ371" s="58">
        <f t="shared" si="592"/>
        <v>0</v>
      </c>
      <c r="GR371" s="58">
        <f t="shared" si="593"/>
        <v>0</v>
      </c>
      <c r="GS371" s="58">
        <f t="shared" si="594"/>
        <v>0</v>
      </c>
      <c r="GT371" s="58">
        <f t="shared" si="595"/>
        <v>0</v>
      </c>
      <c r="GU371" s="58">
        <f>IF(AND(dd_CheckMate214_TTD="Yes",'Effectiveness settings'!BU371=2,'Effectiveness settings'!BX371=2),2,GT371)</f>
        <v>0</v>
      </c>
      <c r="GV371" s="58">
        <f t="shared" si="596"/>
        <v>0</v>
      </c>
      <c r="GW371" s="58">
        <f t="shared" si="597"/>
        <v>0</v>
      </c>
      <c r="GY371" s="58">
        <f>IF(AND(dd_CheckMate214_TTD="Yes",'Effectiveness settings'!BU371=2,'Effectiveness settings'!BX371=2),1,GN371)</f>
        <v>0</v>
      </c>
      <c r="GZ371" s="58">
        <f t="shared" si="598"/>
        <v>0</v>
      </c>
      <c r="HB371" s="58">
        <f t="shared" si="599"/>
        <v>0</v>
      </c>
      <c r="HD371" s="58">
        <f t="shared" si="566"/>
        <v>0</v>
      </c>
      <c r="HE371" s="58">
        <f t="shared" si="567"/>
        <v>0</v>
      </c>
      <c r="HF371" s="58">
        <f t="shared" si="568"/>
        <v>0</v>
      </c>
      <c r="HG371" s="58">
        <f t="shared" si="569"/>
        <v>0</v>
      </c>
      <c r="HH371" s="58">
        <f t="shared" si="570"/>
        <v>0</v>
      </c>
    </row>
    <row r="372" spans="1:220" ht="15.75" hidden="1" x14ac:dyDescent="0.25">
      <c r="I372" s="64"/>
      <c r="J372" s="519"/>
      <c r="K372" s="524"/>
      <c r="L372" s="519"/>
      <c r="M372" s="516"/>
      <c r="N372" s="64"/>
      <c r="O372" s="64"/>
      <c r="P372" s="64"/>
      <c r="Q372" s="519" t="s">
        <v>557</v>
      </c>
      <c r="R372" s="516"/>
      <c r="S372" s="497"/>
      <c r="T372" s="497"/>
      <c r="U372" s="497"/>
      <c r="X372" s="64"/>
      <c r="Y372" s="519"/>
      <c r="Z372" s="516"/>
      <c r="AA372" s="519"/>
      <c r="AB372" s="619"/>
      <c r="AC372" s="64"/>
      <c r="AD372" s="618"/>
      <c r="AE372" s="618"/>
      <c r="AF372" s="620"/>
      <c r="AG372" s="516"/>
      <c r="AH372" s="497"/>
      <c r="AI372" s="497"/>
      <c r="AJ372" s="497"/>
      <c r="AL372" s="64"/>
      <c r="AM372" s="519"/>
      <c r="AN372" s="516"/>
      <c r="AO372" s="620"/>
      <c r="AP372" s="619"/>
      <c r="AQ372" s="64"/>
      <c r="AR372" s="618"/>
      <c r="AS372" s="618"/>
      <c r="AT372" s="627"/>
      <c r="AU372" s="516"/>
      <c r="AV372" s="65"/>
      <c r="AW372" s="65"/>
      <c r="AX372" s="65"/>
      <c r="AZ372" s="64"/>
      <c r="BA372" s="519"/>
      <c r="BB372" s="516"/>
      <c r="BC372" s="620"/>
      <c r="BD372" s="619"/>
      <c r="BE372" s="64"/>
      <c r="BF372" s="618"/>
      <c r="BG372" s="618"/>
      <c r="BH372" s="627"/>
      <c r="BI372" s="516"/>
      <c r="BJ372" s="65"/>
      <c r="BK372" s="65"/>
      <c r="BL372" s="65"/>
      <c r="BQ372" s="58">
        <f t="shared" si="573"/>
        <v>210</v>
      </c>
      <c r="BR372" s="61"/>
      <c r="BS372" s="61"/>
      <c r="BT372" s="17"/>
      <c r="BU372" s="17"/>
      <c r="BV372" s="17"/>
      <c r="BW372" s="17"/>
      <c r="BX372" s="61"/>
      <c r="BY372" s="531"/>
      <c r="BZ372" s="530"/>
      <c r="CA372" s="531"/>
      <c r="CB372" s="530"/>
      <c r="CC372" s="530"/>
      <c r="CD372" s="530"/>
      <c r="CE372" s="1295"/>
      <c r="CF372" s="1301"/>
      <c r="CG372" s="530"/>
      <c r="CH372" s="61"/>
      <c r="CI372" s="61"/>
      <c r="CJ372" s="61"/>
      <c r="DK372" s="58" t="str" cm="1">
        <f t="array" ref="DK372">IF(AND($BT372=4,$BX372=4,$BU372=999),$DB$36,_xlfn.IFNA(INDEX(DB$13:DB$70,MATCH(1,($BR372=$CV$13:$CV$70)*($BT372=$CX$13:$CX$70)*($CE372=$CY$13:$CY$70)*($BY372=$DA$13:$DA$70)*($CD372=$DH$13:$DH$70),0)),""))</f>
        <v/>
      </c>
      <c r="DL372" s="58" t="str" cm="1">
        <f t="array" ref="DL372">IF(AND($BT372=4,$BX372=4,$BU372=999),$DC$36,_xlfn.IFNA(INDEX(CHOOSE(DP372,DB$13:DB$70,DC$13:DC$70,DD$13:DD$70,DE$13:DE$70),MATCH(1,($BR372=$CV$13:$CV$70)*($BT372=$CX$13:$CX$70)*($CE372=$CY$13:$CY$70)*($BY372=$DA$13:$DA$70)*($CD372=$DH$13:$DH$70),0)),""))</f>
        <v/>
      </c>
      <c r="DM372" s="740" t="str" cm="1">
        <f t="array" ref="DM372">IF(AND($BT372=4,$BX372=4,$BU372=999),$DD$36,_xlfn.IFNA(INDEX(DD$13:DD$68,MATCH(1,($BR372=$CV$13:$CV$68)*($BT372=$CX$13:$CX$68)*($CE372=$CY$13:$CY$68)*($BY372=$DA$13:$DA$68)*($CD372=$DH$13:$DH$68),0)),""))</f>
        <v/>
      </c>
      <c r="DN372" s="740" t="str" cm="1">
        <f t="array" ref="DN372">IF(AND($BT372=4,$BX372=4,$BU372=999),$DD$36,_xlfn.IFNA(INDEX(DE$13:DE$68,MATCH(1,($BR372=$CV$13:$CV$68)*($BT372=$CX$13:$CX$68)*($CE372=$CY$13:$CY$68)*($BY372=$DA$13:$DA$68)*($CD372=$DH$13:$DH$68),0)),""))</f>
        <v/>
      </c>
      <c r="DO372" s="58" t="str" cm="1">
        <f t="array" ref="DO372">IF(AND($BT372=4,$BX372=4,$BU372=999),$DF$36,_xlfn.IFNA(INDEX(DF$13:DF$70,MATCH(1,($BR372=$CV$13:$CV$70)*($BT372=$CX$13:$CX$70)*($CE372=$CY$13:$CY$70)*($BY372=$DA$13:$DA$70)*($CD372=$DH$13:$DH$70),0)),""))</f>
        <v/>
      </c>
      <c r="DP372" s="58" t="e">
        <f t="shared" si="574"/>
        <v>#N/A</v>
      </c>
      <c r="EU372" s="58">
        <f t="shared" si="600"/>
        <v>0</v>
      </c>
      <c r="EV372" s="58">
        <f t="shared" si="601"/>
        <v>0</v>
      </c>
      <c r="EW372" s="58">
        <f t="shared" si="602"/>
        <v>0</v>
      </c>
      <c r="EX372" s="58">
        <f t="shared" si="603"/>
        <v>0</v>
      </c>
      <c r="EZ372" s="58">
        <f t="shared" si="604"/>
        <v>0</v>
      </c>
      <c r="FA372" s="58">
        <f t="shared" si="605"/>
        <v>0</v>
      </c>
      <c r="FB372" s="58">
        <f>IF(i_eff_inputs_based_on_num=2,ED372,(INDEX(Lists!$L$51:$L$85,MATCH(O372,Lists!$K$51:$K$85,0))))</f>
        <v>0</v>
      </c>
      <c r="FC372" s="58">
        <f>IF(i_eff_inputs_based_on_num=2,EE372,(INDEX(Lists!$L$51:$L$85,MATCH(P372,Lists!$K$51:$K$85,0))))</f>
        <v>0</v>
      </c>
      <c r="FD372" s="58">
        <f>IF(i_eff_inputs_based_on_num=2,EF372,(INDEX(Lists!$L$51:$L$85,MATCH(Q372,Lists!$K$51:$K$85,0))))</f>
        <v>0</v>
      </c>
      <c r="FG372" s="58">
        <f t="shared" si="575"/>
        <v>0</v>
      </c>
      <c r="FH372" s="58">
        <f t="shared" si="576"/>
        <v>0</v>
      </c>
      <c r="FI372" s="58">
        <f t="shared" si="577"/>
        <v>0</v>
      </c>
      <c r="FJ372" s="58">
        <f t="shared" si="578"/>
        <v>0</v>
      </c>
      <c r="FL372" s="58">
        <f t="shared" si="579"/>
        <v>0</v>
      </c>
      <c r="FM372" s="58">
        <f t="shared" si="580"/>
        <v>0</v>
      </c>
      <c r="FN372" s="58">
        <f>IF(i_eff_inputs_based_on_num=2,EP372,(INDEX(Lists!$L$51:$L$85,MATCH(AA372,Lists!$K$51:$K$85,0))))</f>
        <v>0</v>
      </c>
      <c r="FO372" s="58">
        <f>IF(i_eff_inputs_based_on_num=2,EQ372,(INDEX(Lists!$L$51:$L$85,MATCH(AB372,Lists!$K$51:$K$85,0))))</f>
        <v>0</v>
      </c>
      <c r="FP372" s="58">
        <f>IF(i_eff_inputs_based_on_num=2,ER372,(INDEX(Lists!$L$51:$L$85,MATCH(AC372,Lists!$K$51:$K$85,0))))</f>
        <v>0</v>
      </c>
      <c r="FT372" s="58">
        <f t="shared" si="581"/>
        <v>0</v>
      </c>
      <c r="FW372" s="58">
        <f>IF(i_baseline_risk_from=2,'Effectiveness settings'!EW372,'Effectiveness settings'!FI372)</f>
        <v>0</v>
      </c>
      <c r="FX372" s="58">
        <f t="shared" si="582"/>
        <v>0</v>
      </c>
      <c r="FY372" s="58">
        <f t="shared" si="583"/>
        <v>0</v>
      </c>
      <c r="FZ372" s="58">
        <f t="shared" si="584"/>
        <v>0</v>
      </c>
      <c r="GA372" s="58">
        <f t="shared" si="585"/>
        <v>0</v>
      </c>
      <c r="GB372" s="58">
        <f t="shared" si="586"/>
        <v>0</v>
      </c>
      <c r="GC372" s="58">
        <f t="shared" si="587"/>
        <v>0</v>
      </c>
      <c r="GD372" s="58">
        <f t="shared" si="588"/>
        <v>0</v>
      </c>
      <c r="GE372" s="58">
        <f>IF(AND(dd_CheckMate214_TTD="Yes",'Effectiveness settings'!BU372=2,'Effectiveness settings'!BX372=2),"Apply HR to",GD372)</f>
        <v>0</v>
      </c>
      <c r="GF372" s="58">
        <f t="shared" si="589"/>
        <v>0</v>
      </c>
      <c r="GG372" s="58">
        <f t="shared" si="590"/>
        <v>0</v>
      </c>
      <c r="GH372" s="58">
        <f t="shared" si="591"/>
        <v>0</v>
      </c>
      <c r="GI372" s="58">
        <f t="shared" si="571"/>
        <v>0</v>
      </c>
      <c r="GK372" s="58">
        <f>IF(i_baseline_risk_from=2,'Effectiveness settings'!FA372,'Effectiveness settings'!FM372)</f>
        <v>0</v>
      </c>
      <c r="GL372" s="58">
        <f>IF(i_baseline_risk_from=2,'Effectiveness settings'!FB372,'Effectiveness settings'!FN372)</f>
        <v>0</v>
      </c>
      <c r="GM372" s="58">
        <f>IF(i_baseline_risk_from=2,'Effectiveness settings'!FC372,'Effectiveness settings'!FO372)</f>
        <v>0</v>
      </c>
      <c r="GN372" s="58">
        <f>IF(i_baseline_risk_from=2,'Effectiveness settings'!FD372,'Effectiveness settings'!FP372)</f>
        <v>0</v>
      </c>
      <c r="GQ372" s="58">
        <f t="shared" si="592"/>
        <v>0</v>
      </c>
      <c r="GR372" s="58">
        <f t="shared" si="593"/>
        <v>0</v>
      </c>
      <c r="GS372" s="58">
        <f t="shared" si="594"/>
        <v>0</v>
      </c>
      <c r="GT372" s="58">
        <f t="shared" si="595"/>
        <v>0</v>
      </c>
      <c r="GU372" s="58">
        <f>IF(AND(dd_CheckMate214_TTD="Yes",'Effectiveness settings'!BU372=2,'Effectiveness settings'!BX372=2),2,GT372)</f>
        <v>0</v>
      </c>
      <c r="GV372" s="58">
        <f t="shared" si="596"/>
        <v>0</v>
      </c>
      <c r="GW372" s="58">
        <f t="shared" si="597"/>
        <v>0</v>
      </c>
      <c r="GY372" s="58">
        <f>IF(AND(dd_CheckMate214_TTD="Yes",'Effectiveness settings'!BU372=2,'Effectiveness settings'!BX372=2),1,GN372)</f>
        <v>0</v>
      </c>
      <c r="GZ372" s="58">
        <f t="shared" si="598"/>
        <v>0</v>
      </c>
      <c r="HB372" s="58">
        <f t="shared" si="599"/>
        <v>0</v>
      </c>
      <c r="HD372" s="58">
        <f t="shared" si="566"/>
        <v>0</v>
      </c>
      <c r="HE372" s="58">
        <f t="shared" si="567"/>
        <v>0</v>
      </c>
      <c r="HF372" s="58">
        <f t="shared" si="568"/>
        <v>0</v>
      </c>
      <c r="HG372" s="58">
        <f t="shared" si="569"/>
        <v>0</v>
      </c>
      <c r="HH372" s="58">
        <f t="shared" si="570"/>
        <v>0</v>
      </c>
    </row>
    <row r="373" spans="1:220" ht="15.75" hidden="1" x14ac:dyDescent="0.25">
      <c r="I373" s="64"/>
      <c r="J373" s="519"/>
      <c r="K373" s="524"/>
      <c r="L373" s="519"/>
      <c r="M373" s="516"/>
      <c r="N373" s="64"/>
      <c r="O373" s="64"/>
      <c r="P373" s="64"/>
      <c r="Q373" s="519" t="s">
        <v>557</v>
      </c>
      <c r="R373" s="516"/>
      <c r="S373" s="497"/>
      <c r="T373" s="497"/>
      <c r="U373" s="497"/>
      <c r="X373" s="64"/>
      <c r="Y373" s="519"/>
      <c r="Z373" s="516"/>
      <c r="AA373" s="519"/>
      <c r="AB373" s="619"/>
      <c r="AC373" s="64"/>
      <c r="AD373" s="618"/>
      <c r="AE373" s="618"/>
      <c r="AF373" s="620"/>
      <c r="AG373" s="516"/>
      <c r="AH373" s="497"/>
      <c r="AI373" s="497"/>
      <c r="AJ373" s="497"/>
      <c r="AL373" s="64"/>
      <c r="AM373" s="519"/>
      <c r="AN373" s="516"/>
      <c r="AO373" s="620"/>
      <c r="AP373" s="619"/>
      <c r="AQ373" s="64"/>
      <c r="AR373" s="618"/>
      <c r="AS373" s="618"/>
      <c r="AT373" s="627"/>
      <c r="AU373" s="516"/>
      <c r="AV373" s="65"/>
      <c r="AW373" s="65"/>
      <c r="AX373" s="65"/>
      <c r="AZ373" s="64"/>
      <c r="BA373" s="519"/>
      <c r="BB373" s="516"/>
      <c r="BC373" s="620"/>
      <c r="BD373" s="619"/>
      <c r="BE373" s="64"/>
      <c r="BF373" s="618"/>
      <c r="BG373" s="618"/>
      <c r="BH373" s="627"/>
      <c r="BI373" s="516"/>
      <c r="BJ373" s="65"/>
      <c r="BK373" s="65"/>
      <c r="BL373" s="65"/>
      <c r="BQ373" s="58">
        <f t="shared" si="573"/>
        <v>210</v>
      </c>
      <c r="BR373" s="61"/>
      <c r="BS373" s="61"/>
      <c r="BT373" s="17"/>
      <c r="BU373" s="17"/>
      <c r="BV373" s="17"/>
      <c r="BW373" s="17"/>
      <c r="BX373" s="61"/>
      <c r="BY373" s="531"/>
      <c r="BZ373" s="530"/>
      <c r="CA373" s="531"/>
      <c r="CB373" s="530"/>
      <c r="CC373" s="530"/>
      <c r="CD373" s="530"/>
      <c r="CE373" s="1295"/>
      <c r="CF373" s="1301"/>
      <c r="CG373" s="530"/>
      <c r="CH373" s="61"/>
      <c r="CI373" s="61"/>
      <c r="CJ373" s="61"/>
      <c r="DK373" s="58" t="str" cm="1">
        <f t="array" ref="DK373">IF(AND($BT373=4,$BX373=4,$BU373=999),$DB$36,_xlfn.IFNA(INDEX(DB$13:DB$70,MATCH(1,($BR373=$CV$13:$CV$70)*($BT373=$CX$13:$CX$70)*($CE373=$CY$13:$CY$70)*($BY373=$DA$13:$DA$70)*($CD373=$DH$13:$DH$70),0)),""))</f>
        <v/>
      </c>
      <c r="DL373" s="58" t="str" cm="1">
        <f t="array" ref="DL373">IF(AND($BT373=4,$BX373=4,$BU373=999),$DC$36,_xlfn.IFNA(INDEX(CHOOSE(DP373,DB$13:DB$70,DC$13:DC$70,DD$13:DD$70,DE$13:DE$70),MATCH(1,($BR373=$CV$13:$CV$70)*($BT373=$CX$13:$CX$70)*($CE373=$CY$13:$CY$70)*($BY373=$DA$13:$DA$70)*($CD373=$DH$13:$DH$70),0)),""))</f>
        <v/>
      </c>
      <c r="DM373" s="740" t="str" cm="1">
        <f t="array" ref="DM373">IF(AND($BT373=4,$BX373=4,$BU373=999),$DD$36,_xlfn.IFNA(INDEX(DD$13:DD$68,MATCH(1,($BR373=$CV$13:$CV$68)*($BT373=$CX$13:$CX$68)*($CE373=$CY$13:$CY$68)*($BY373=$DA$13:$DA$68)*($CD373=$DH$13:$DH$68),0)),""))</f>
        <v/>
      </c>
      <c r="DN373" s="740" t="str" cm="1">
        <f t="array" ref="DN373">IF(AND($BT373=4,$BX373=4,$BU373=999),$DD$36,_xlfn.IFNA(INDEX(DE$13:DE$68,MATCH(1,($BR373=$CV$13:$CV$68)*($BT373=$CX$13:$CX$68)*($CE373=$CY$13:$CY$68)*($BY373=$DA$13:$DA$68)*($CD373=$DH$13:$DH$68),0)),""))</f>
        <v/>
      </c>
      <c r="DO373" s="58" t="str" cm="1">
        <f t="array" ref="DO373">IF(AND($BT373=4,$BX373=4,$BU373=999),$DF$36,_xlfn.IFNA(INDEX(DF$13:DF$70,MATCH(1,($BR373=$CV$13:$CV$70)*($BT373=$CX$13:$CX$70)*($CE373=$CY$13:$CY$70)*($BY373=$DA$13:$DA$70)*($CD373=$DH$13:$DH$70),0)),""))</f>
        <v/>
      </c>
      <c r="DP373" s="58" t="e">
        <f t="shared" si="574"/>
        <v>#N/A</v>
      </c>
      <c r="EU373" s="58">
        <f t="shared" si="600"/>
        <v>0</v>
      </c>
      <c r="EV373" s="58">
        <f t="shared" si="601"/>
        <v>0</v>
      </c>
      <c r="EW373" s="58">
        <f t="shared" si="602"/>
        <v>0</v>
      </c>
      <c r="EX373" s="58">
        <f t="shared" si="603"/>
        <v>0</v>
      </c>
      <c r="EZ373" s="58">
        <f t="shared" si="604"/>
        <v>0</v>
      </c>
      <c r="FA373" s="58">
        <f t="shared" si="605"/>
        <v>0</v>
      </c>
      <c r="FB373" s="58">
        <f>IF(i_eff_inputs_based_on_num=2,ED373,(INDEX(Lists!$L$51:$L$85,MATCH(O373,Lists!$K$51:$K$85,0))))</f>
        <v>0</v>
      </c>
      <c r="FC373" s="58">
        <f>IF(i_eff_inputs_based_on_num=2,EE373,(INDEX(Lists!$L$51:$L$85,MATCH(P373,Lists!$K$51:$K$85,0))))</f>
        <v>0</v>
      </c>
      <c r="FD373" s="58">
        <f>IF(i_eff_inputs_based_on_num=2,EF373,(INDEX(Lists!$L$51:$L$85,MATCH(Q373,Lists!$K$51:$K$85,0))))</f>
        <v>0</v>
      </c>
      <c r="FG373" s="58">
        <f t="shared" si="575"/>
        <v>0</v>
      </c>
      <c r="FH373" s="58">
        <f t="shared" si="576"/>
        <v>0</v>
      </c>
      <c r="FI373" s="58">
        <f t="shared" si="577"/>
        <v>0</v>
      </c>
      <c r="FJ373" s="58">
        <f t="shared" si="578"/>
        <v>0</v>
      </c>
      <c r="FL373" s="58">
        <f t="shared" si="579"/>
        <v>0</v>
      </c>
      <c r="FM373" s="58">
        <f t="shared" si="580"/>
        <v>0</v>
      </c>
      <c r="FN373" s="58">
        <f>IF(i_eff_inputs_based_on_num=2,EP373,(INDEX(Lists!$L$51:$L$85,MATCH(AA373,Lists!$K$51:$K$85,0))))</f>
        <v>0</v>
      </c>
      <c r="FO373" s="58">
        <f>IF(i_eff_inputs_based_on_num=2,EQ373,(INDEX(Lists!$L$51:$L$85,MATCH(AB373,Lists!$K$51:$K$85,0))))</f>
        <v>0</v>
      </c>
      <c r="FP373" s="58">
        <f>IF(i_eff_inputs_based_on_num=2,ER373,(INDEX(Lists!$L$51:$L$85,MATCH(AC373,Lists!$K$51:$K$85,0))))</f>
        <v>0</v>
      </c>
      <c r="FT373" s="58">
        <f t="shared" si="581"/>
        <v>0</v>
      </c>
      <c r="FW373" s="58">
        <f>IF(i_baseline_risk_from=2,'Effectiveness settings'!EW373,'Effectiveness settings'!FI373)</f>
        <v>0</v>
      </c>
      <c r="FX373" s="58">
        <f t="shared" si="582"/>
        <v>0</v>
      </c>
      <c r="FY373" s="58">
        <f t="shared" si="583"/>
        <v>0</v>
      </c>
      <c r="FZ373" s="58">
        <f t="shared" si="584"/>
        <v>0</v>
      </c>
      <c r="GA373" s="58">
        <f t="shared" si="585"/>
        <v>0</v>
      </c>
      <c r="GB373" s="58">
        <f t="shared" si="586"/>
        <v>0</v>
      </c>
      <c r="GC373" s="58">
        <f t="shared" si="587"/>
        <v>0</v>
      </c>
      <c r="GD373" s="58">
        <f t="shared" si="588"/>
        <v>0</v>
      </c>
      <c r="GE373" s="58">
        <f>IF(AND(dd_CheckMate214_TTD="Yes",'Effectiveness settings'!BU373=2,'Effectiveness settings'!BX373=2),"Apply HR to",GD373)</f>
        <v>0</v>
      </c>
      <c r="GF373" s="58">
        <f t="shared" si="589"/>
        <v>0</v>
      </c>
      <c r="GG373" s="58">
        <f t="shared" si="590"/>
        <v>0</v>
      </c>
      <c r="GH373" s="58">
        <f t="shared" si="591"/>
        <v>0</v>
      </c>
      <c r="GI373" s="58">
        <f t="shared" si="571"/>
        <v>0</v>
      </c>
      <c r="GK373" s="58">
        <f>IF(i_baseline_risk_from=2,'Effectiveness settings'!FA373,'Effectiveness settings'!FM373)</f>
        <v>0</v>
      </c>
      <c r="GL373" s="58">
        <f>IF(i_baseline_risk_from=2,'Effectiveness settings'!FB373,'Effectiveness settings'!FN373)</f>
        <v>0</v>
      </c>
      <c r="GM373" s="58">
        <f>IF(i_baseline_risk_from=2,'Effectiveness settings'!FC373,'Effectiveness settings'!FO373)</f>
        <v>0</v>
      </c>
      <c r="GN373" s="58">
        <f>IF(i_baseline_risk_from=2,'Effectiveness settings'!FD373,'Effectiveness settings'!FP373)</f>
        <v>0</v>
      </c>
      <c r="GQ373" s="58">
        <f t="shared" si="592"/>
        <v>0</v>
      </c>
      <c r="GR373" s="58">
        <f t="shared" si="593"/>
        <v>0</v>
      </c>
      <c r="GS373" s="58">
        <f t="shared" si="594"/>
        <v>0</v>
      </c>
      <c r="GT373" s="58">
        <f t="shared" si="595"/>
        <v>0</v>
      </c>
      <c r="GU373" s="58">
        <f>IF(AND(dd_CheckMate214_TTD="Yes",'Effectiveness settings'!BU373=2,'Effectiveness settings'!BX373=2),2,GT373)</f>
        <v>0</v>
      </c>
      <c r="GV373" s="58">
        <f t="shared" si="596"/>
        <v>0</v>
      </c>
      <c r="GW373" s="58">
        <f t="shared" si="597"/>
        <v>0</v>
      </c>
      <c r="GY373" s="58">
        <f>IF(AND(dd_CheckMate214_TTD="Yes",'Effectiveness settings'!BU373=2,'Effectiveness settings'!BX373=2),1,GN373)</f>
        <v>0</v>
      </c>
      <c r="GZ373" s="58">
        <f t="shared" si="598"/>
        <v>0</v>
      </c>
      <c r="HB373" s="58">
        <f t="shared" si="599"/>
        <v>0</v>
      </c>
      <c r="HD373" s="58">
        <f t="shared" si="566"/>
        <v>0</v>
      </c>
      <c r="HE373" s="58">
        <f t="shared" si="567"/>
        <v>0</v>
      </c>
      <c r="HF373" s="58">
        <f t="shared" si="568"/>
        <v>0</v>
      </c>
      <c r="HG373" s="58">
        <f t="shared" si="569"/>
        <v>0</v>
      </c>
      <c r="HH373" s="58">
        <f t="shared" si="570"/>
        <v>0</v>
      </c>
    </row>
    <row r="374" spans="1:220" ht="15.75" hidden="1" x14ac:dyDescent="0.25">
      <c r="I374" s="64"/>
      <c r="J374" s="519"/>
      <c r="K374" s="524"/>
      <c r="L374" s="519"/>
      <c r="M374" s="516"/>
      <c r="N374" s="64"/>
      <c r="O374" s="64"/>
      <c r="P374" s="64"/>
      <c r="Q374" s="519" t="s">
        <v>557</v>
      </c>
      <c r="R374" s="516"/>
      <c r="S374" s="497"/>
      <c r="T374" s="497"/>
      <c r="U374" s="497"/>
      <c r="X374" s="64"/>
      <c r="Y374" s="519"/>
      <c r="Z374" s="516"/>
      <c r="AA374" s="519"/>
      <c r="AB374" s="619"/>
      <c r="AC374" s="64"/>
      <c r="AD374" s="618"/>
      <c r="AE374" s="618"/>
      <c r="AF374" s="620"/>
      <c r="AG374" s="516"/>
      <c r="AH374" s="497"/>
      <c r="AI374" s="497"/>
      <c r="AJ374" s="497"/>
      <c r="AL374" s="64"/>
      <c r="AM374" s="519"/>
      <c r="AN374" s="516"/>
      <c r="AO374" s="620"/>
      <c r="AP374" s="619"/>
      <c r="AQ374" s="64"/>
      <c r="AR374" s="618"/>
      <c r="AS374" s="618"/>
      <c r="AT374" s="627"/>
      <c r="AU374" s="516"/>
      <c r="AV374" s="65"/>
      <c r="AW374" s="65"/>
      <c r="AX374" s="65"/>
      <c r="AZ374" s="64"/>
      <c r="BA374" s="519"/>
      <c r="BB374" s="516"/>
      <c r="BC374" s="620"/>
      <c r="BD374" s="619"/>
      <c r="BE374" s="64"/>
      <c r="BF374" s="618"/>
      <c r="BG374" s="618"/>
      <c r="BH374" s="627"/>
      <c r="BI374" s="516"/>
      <c r="BJ374" s="65"/>
      <c r="BK374" s="65"/>
      <c r="BL374" s="65"/>
      <c r="BQ374" s="58">
        <f t="shared" si="573"/>
        <v>210</v>
      </c>
      <c r="BR374" s="61"/>
      <c r="BS374" s="61"/>
      <c r="BT374" s="17"/>
      <c r="BU374" s="17"/>
      <c r="BV374" s="17"/>
      <c r="BW374" s="17"/>
      <c r="BX374" s="61"/>
      <c r="BY374" s="531"/>
      <c r="BZ374" s="530"/>
      <c r="CA374" s="531"/>
      <c r="CB374" s="530"/>
      <c r="CC374" s="530"/>
      <c r="CD374" s="530"/>
      <c r="CE374" s="1295"/>
      <c r="CF374" s="1301"/>
      <c r="CG374" s="530"/>
      <c r="CH374" s="61"/>
      <c r="CI374" s="61"/>
      <c r="CJ374" s="61"/>
      <c r="DK374" s="58" t="str" cm="1">
        <f t="array" ref="DK374">IF(AND($BT374=4,$BX374=4,$BU374=999),$DB$36,_xlfn.IFNA(INDEX(DB$13:DB$70,MATCH(1,($BR374=$CV$13:$CV$70)*($BT374=$CX$13:$CX$70)*($CE374=$CY$13:$CY$70)*($BY374=$DA$13:$DA$70)*($CD374=$DH$13:$DH$70),0)),""))</f>
        <v/>
      </c>
      <c r="DL374" s="58" t="str" cm="1">
        <f t="array" ref="DL374">IF(AND($BT374=4,$BX374=4,$BU374=999),$DC$36,_xlfn.IFNA(INDEX(CHOOSE(DP374,DB$13:DB$70,DC$13:DC$70,DD$13:DD$70,DE$13:DE$70),MATCH(1,($BR374=$CV$13:$CV$70)*($BT374=$CX$13:$CX$70)*($CE374=$CY$13:$CY$70)*($BY374=$DA$13:$DA$70)*($CD374=$DH$13:$DH$70),0)),""))</f>
        <v/>
      </c>
      <c r="DM374" s="740" t="str" cm="1">
        <f t="array" ref="DM374">IF(AND($BT374=4,$BX374=4,$BU374=999),$DD$36,_xlfn.IFNA(INDEX(DD$13:DD$68,MATCH(1,($BR374=$CV$13:$CV$68)*($BT374=$CX$13:$CX$68)*($CE374=$CY$13:$CY$68)*($BY374=$DA$13:$DA$68)*($CD374=$DH$13:$DH$68),0)),""))</f>
        <v/>
      </c>
      <c r="DN374" s="740" t="str" cm="1">
        <f t="array" ref="DN374">IF(AND($BT374=4,$BX374=4,$BU374=999),$DD$36,_xlfn.IFNA(INDEX(DE$13:DE$68,MATCH(1,($BR374=$CV$13:$CV$68)*($BT374=$CX$13:$CX$68)*($CE374=$CY$13:$CY$68)*($BY374=$DA$13:$DA$68)*($CD374=$DH$13:$DH$68),0)),""))</f>
        <v/>
      </c>
      <c r="DO374" s="58" t="str" cm="1">
        <f t="array" ref="DO374">IF(AND($BT374=4,$BX374=4,$BU374=999),$DF$36,_xlfn.IFNA(INDEX(DF$13:DF$70,MATCH(1,($BR374=$CV$13:$CV$70)*($BT374=$CX$13:$CX$70)*($CE374=$CY$13:$CY$70)*($BY374=$DA$13:$DA$70)*($CD374=$DH$13:$DH$70),0)),""))</f>
        <v/>
      </c>
      <c r="DP374" s="58" t="e">
        <f t="shared" si="574"/>
        <v>#N/A</v>
      </c>
      <c r="EU374" s="58">
        <f t="shared" si="600"/>
        <v>0</v>
      </c>
      <c r="EV374" s="58">
        <f t="shared" si="601"/>
        <v>0</v>
      </c>
      <c r="EW374" s="58">
        <f t="shared" si="602"/>
        <v>0</v>
      </c>
      <c r="EX374" s="58">
        <f t="shared" si="603"/>
        <v>0</v>
      </c>
      <c r="EZ374" s="58">
        <f t="shared" si="604"/>
        <v>0</v>
      </c>
      <c r="FA374" s="58">
        <f t="shared" si="605"/>
        <v>0</v>
      </c>
      <c r="FB374" s="58">
        <f>IF(i_eff_inputs_based_on_num=2,ED374,(INDEX(Lists!$L$51:$L$85,MATCH(O374,Lists!$K$51:$K$85,0))))</f>
        <v>0</v>
      </c>
      <c r="FC374" s="58">
        <f>IF(i_eff_inputs_based_on_num=2,EE374,(INDEX(Lists!$L$51:$L$85,MATCH(P374,Lists!$K$51:$K$85,0))))</f>
        <v>0</v>
      </c>
      <c r="FD374" s="58">
        <f>IF(i_eff_inputs_based_on_num=2,EF374,(INDEX(Lists!$L$51:$L$85,MATCH(Q374,Lists!$K$51:$K$85,0))))</f>
        <v>0</v>
      </c>
      <c r="FG374" s="58">
        <f t="shared" si="575"/>
        <v>0</v>
      </c>
      <c r="FH374" s="58">
        <f t="shared" si="576"/>
        <v>0</v>
      </c>
      <c r="FI374" s="58">
        <f t="shared" si="577"/>
        <v>0</v>
      </c>
      <c r="FJ374" s="58">
        <f t="shared" si="578"/>
        <v>0</v>
      </c>
      <c r="FL374" s="58">
        <f t="shared" si="579"/>
        <v>0</v>
      </c>
      <c r="FM374" s="58">
        <f t="shared" si="580"/>
        <v>0</v>
      </c>
      <c r="FN374" s="58">
        <f>IF(i_eff_inputs_based_on_num=2,EP374,(INDEX(Lists!$L$51:$L$85,MATCH(AA374,Lists!$K$51:$K$85,0))))</f>
        <v>0</v>
      </c>
      <c r="FO374" s="58">
        <f>IF(i_eff_inputs_based_on_num=2,EQ374,(INDEX(Lists!$L$51:$L$85,MATCH(AB374,Lists!$K$51:$K$85,0))))</f>
        <v>0</v>
      </c>
      <c r="FP374" s="58">
        <f>IF(i_eff_inputs_based_on_num=2,ER374,(INDEX(Lists!$L$51:$L$85,MATCH(AC374,Lists!$K$51:$K$85,0))))</f>
        <v>0</v>
      </c>
      <c r="FT374" s="58">
        <f t="shared" si="581"/>
        <v>0</v>
      </c>
      <c r="FW374" s="58">
        <f>IF(i_baseline_risk_from=2,'Effectiveness settings'!EW374,'Effectiveness settings'!FI374)</f>
        <v>0</v>
      </c>
      <c r="FX374" s="58">
        <f t="shared" si="582"/>
        <v>0</v>
      </c>
      <c r="FY374" s="58">
        <f t="shared" si="583"/>
        <v>0</v>
      </c>
      <c r="FZ374" s="58">
        <f t="shared" si="584"/>
        <v>0</v>
      </c>
      <c r="GA374" s="58">
        <f t="shared" si="585"/>
        <v>0</v>
      </c>
      <c r="GB374" s="58">
        <f t="shared" si="586"/>
        <v>0</v>
      </c>
      <c r="GC374" s="58">
        <f t="shared" si="587"/>
        <v>0</v>
      </c>
      <c r="GD374" s="58">
        <f t="shared" si="588"/>
        <v>0</v>
      </c>
      <c r="GE374" s="58">
        <f>IF(AND(dd_CheckMate214_TTD="Yes",'Effectiveness settings'!BU374=2,'Effectiveness settings'!BX374=2),"Apply HR to",GD374)</f>
        <v>0</v>
      </c>
      <c r="GF374" s="58">
        <f t="shared" si="589"/>
        <v>0</v>
      </c>
      <c r="GG374" s="58">
        <f t="shared" si="590"/>
        <v>0</v>
      </c>
      <c r="GH374" s="58">
        <f t="shared" si="591"/>
        <v>0</v>
      </c>
      <c r="GI374" s="58">
        <f t="shared" si="571"/>
        <v>0</v>
      </c>
      <c r="GK374" s="58">
        <f>IF(i_baseline_risk_from=2,'Effectiveness settings'!FA374,'Effectiveness settings'!FM374)</f>
        <v>0</v>
      </c>
      <c r="GL374" s="58">
        <f>IF(i_baseline_risk_from=2,'Effectiveness settings'!FB374,'Effectiveness settings'!FN374)</f>
        <v>0</v>
      </c>
      <c r="GM374" s="58">
        <f>IF(i_baseline_risk_from=2,'Effectiveness settings'!FC374,'Effectiveness settings'!FO374)</f>
        <v>0</v>
      </c>
      <c r="GN374" s="58">
        <f>IF(i_baseline_risk_from=2,'Effectiveness settings'!FD374,'Effectiveness settings'!FP374)</f>
        <v>0</v>
      </c>
      <c r="GQ374" s="58">
        <f t="shared" si="592"/>
        <v>0</v>
      </c>
      <c r="GR374" s="58">
        <f t="shared" si="593"/>
        <v>0</v>
      </c>
      <c r="GS374" s="58">
        <f t="shared" si="594"/>
        <v>0</v>
      </c>
      <c r="GT374" s="58">
        <f t="shared" si="595"/>
        <v>0</v>
      </c>
      <c r="GU374" s="58">
        <f>IF(AND(dd_CheckMate214_TTD="Yes",'Effectiveness settings'!BU374=2,'Effectiveness settings'!BX374=2),2,GT374)</f>
        <v>0</v>
      </c>
      <c r="GV374" s="58">
        <f t="shared" si="596"/>
        <v>0</v>
      </c>
      <c r="GW374" s="58">
        <f t="shared" si="597"/>
        <v>0</v>
      </c>
      <c r="GY374" s="58">
        <f>IF(AND(dd_CheckMate214_TTD="Yes",'Effectiveness settings'!BU374=2,'Effectiveness settings'!BX374=2),1,GN374)</f>
        <v>0</v>
      </c>
      <c r="GZ374" s="58">
        <f t="shared" si="598"/>
        <v>0</v>
      </c>
      <c r="HB374" s="58">
        <f t="shared" si="599"/>
        <v>0</v>
      </c>
      <c r="HD374" s="58">
        <f t="shared" si="566"/>
        <v>0</v>
      </c>
      <c r="HE374" s="58">
        <f t="shared" si="567"/>
        <v>0</v>
      </c>
      <c r="HF374" s="58">
        <f t="shared" si="568"/>
        <v>0</v>
      </c>
      <c r="HG374" s="58">
        <f t="shared" si="569"/>
        <v>0</v>
      </c>
      <c r="HH374" s="58">
        <f t="shared" si="570"/>
        <v>0</v>
      </c>
    </row>
    <row r="375" spans="1:220" ht="15.75" hidden="1" x14ac:dyDescent="0.25">
      <c r="I375" s="64"/>
      <c r="J375" s="519"/>
      <c r="K375" s="524"/>
      <c r="L375" s="519"/>
      <c r="M375" s="516"/>
      <c r="N375" s="64"/>
      <c r="O375" s="64"/>
      <c r="P375" s="64"/>
      <c r="Q375" s="519" t="s">
        <v>557</v>
      </c>
      <c r="R375" s="516"/>
      <c r="S375" s="497"/>
      <c r="T375" s="497"/>
      <c r="U375" s="497"/>
      <c r="X375" s="64"/>
      <c r="Y375" s="519"/>
      <c r="Z375" s="516"/>
      <c r="AA375" s="519"/>
      <c r="AB375" s="619"/>
      <c r="AC375" s="64"/>
      <c r="AD375" s="618"/>
      <c r="AE375" s="618"/>
      <c r="AF375" s="620"/>
      <c r="AG375" s="516"/>
      <c r="AH375" s="497"/>
      <c r="AI375" s="497"/>
      <c r="AJ375" s="497"/>
      <c r="AL375" s="64"/>
      <c r="AM375" s="519"/>
      <c r="AN375" s="516"/>
      <c r="AO375" s="620"/>
      <c r="AP375" s="619"/>
      <c r="AQ375" s="64"/>
      <c r="AR375" s="618"/>
      <c r="AS375" s="618"/>
      <c r="AT375" s="627"/>
      <c r="AU375" s="516"/>
      <c r="AV375" s="65"/>
      <c r="AW375" s="65"/>
      <c r="AX375" s="65"/>
      <c r="AZ375" s="64"/>
      <c r="BA375" s="519"/>
      <c r="BB375" s="516"/>
      <c r="BC375" s="620"/>
      <c r="BD375" s="619"/>
      <c r="BE375" s="64"/>
      <c r="BF375" s="618"/>
      <c r="BG375" s="618"/>
      <c r="BH375" s="627"/>
      <c r="BI375" s="516"/>
      <c r="BJ375" s="65"/>
      <c r="BK375" s="65"/>
      <c r="BL375" s="65"/>
      <c r="BQ375" s="58">
        <f t="shared" si="573"/>
        <v>210</v>
      </c>
      <c r="BR375" s="61"/>
      <c r="BS375" s="61"/>
      <c r="BT375" s="17"/>
      <c r="BU375" s="17"/>
      <c r="BV375" s="17"/>
      <c r="BW375" s="17"/>
      <c r="BX375" s="61"/>
      <c r="BY375" s="531"/>
      <c r="BZ375" s="530"/>
      <c r="CA375" s="531"/>
      <c r="CB375" s="530"/>
      <c r="CC375" s="530"/>
      <c r="CD375" s="530"/>
      <c r="CE375" s="1295"/>
      <c r="CF375" s="1301"/>
      <c r="CG375" s="530"/>
      <c r="CH375" s="61"/>
      <c r="CI375" s="61"/>
      <c r="CJ375" s="61"/>
      <c r="DK375" s="58" t="str" cm="1">
        <f t="array" ref="DK375">IF(AND($BT375=4,$BX375=4,$BU375=999),$DB$36,_xlfn.IFNA(INDEX(DB$13:DB$70,MATCH(1,($BR375=$CV$13:$CV$70)*($BT375=$CX$13:$CX$70)*($CE375=$CY$13:$CY$70)*($BY375=$DA$13:$DA$70)*($CD375=$DH$13:$DH$70),0)),""))</f>
        <v/>
      </c>
      <c r="DL375" s="58" t="str" cm="1">
        <f t="array" ref="DL375">IF(AND($BT375=4,$BX375=4,$BU375=999),$DC$36,_xlfn.IFNA(INDEX(CHOOSE(DP375,DB$13:DB$70,DC$13:DC$70,DD$13:DD$70,DE$13:DE$70),MATCH(1,($BR375=$CV$13:$CV$70)*($BT375=$CX$13:$CX$70)*($CE375=$CY$13:$CY$70)*($BY375=$DA$13:$DA$70)*($CD375=$DH$13:$DH$70),0)),""))</f>
        <v/>
      </c>
      <c r="DM375" s="740" t="str" cm="1">
        <f t="array" ref="DM375">IF(AND($BT375=4,$BX375=4,$BU375=999),$DD$36,_xlfn.IFNA(INDEX(DD$13:DD$68,MATCH(1,($BR375=$CV$13:$CV$68)*($BT375=$CX$13:$CX$68)*($CE375=$CY$13:$CY$68)*($BY375=$DA$13:$DA$68)*($CD375=$DH$13:$DH$68),0)),""))</f>
        <v/>
      </c>
      <c r="DN375" s="740" t="str" cm="1">
        <f t="array" ref="DN375">IF(AND($BT375=4,$BX375=4,$BU375=999),$DD$36,_xlfn.IFNA(INDEX(DE$13:DE$68,MATCH(1,($BR375=$CV$13:$CV$68)*($BT375=$CX$13:$CX$68)*($CE375=$CY$13:$CY$68)*($BY375=$DA$13:$DA$68)*($CD375=$DH$13:$DH$68),0)),""))</f>
        <v/>
      </c>
      <c r="DO375" s="58" t="str" cm="1">
        <f t="array" ref="DO375">IF(AND($BT375=4,$BX375=4,$BU375=999),$DF$36,_xlfn.IFNA(INDEX(DF$13:DF$70,MATCH(1,($BR375=$CV$13:$CV$70)*($BT375=$CX$13:$CX$70)*($CE375=$CY$13:$CY$70)*($BY375=$DA$13:$DA$70)*($CD375=$DH$13:$DH$70),0)),""))</f>
        <v/>
      </c>
      <c r="DP375" s="58" t="e">
        <f t="shared" si="574"/>
        <v>#N/A</v>
      </c>
      <c r="EU375" s="58">
        <f t="shared" si="600"/>
        <v>0</v>
      </c>
      <c r="EV375" s="58">
        <f t="shared" si="601"/>
        <v>0</v>
      </c>
      <c r="EW375" s="58">
        <f t="shared" si="602"/>
        <v>0</v>
      </c>
      <c r="EX375" s="58">
        <f t="shared" si="603"/>
        <v>0</v>
      </c>
      <c r="EZ375" s="58">
        <f t="shared" si="604"/>
        <v>0</v>
      </c>
      <c r="FA375" s="58">
        <f t="shared" si="605"/>
        <v>0</v>
      </c>
      <c r="FB375" s="58">
        <f>IF(i_eff_inputs_based_on_num=2,ED375,(INDEX(Lists!$L$51:$L$85,MATCH(O375,Lists!$K$51:$K$85,0))))</f>
        <v>0</v>
      </c>
      <c r="FC375" s="58">
        <f>IF(i_eff_inputs_based_on_num=2,EE375,(INDEX(Lists!$L$51:$L$85,MATCH(P375,Lists!$K$51:$K$85,0))))</f>
        <v>0</v>
      </c>
      <c r="FD375" s="58">
        <f>IF(i_eff_inputs_based_on_num=2,EF375,(INDEX(Lists!$L$51:$L$85,MATCH(Q375,Lists!$K$51:$K$85,0))))</f>
        <v>0</v>
      </c>
      <c r="FG375" s="58">
        <f t="shared" si="575"/>
        <v>0</v>
      </c>
      <c r="FH375" s="58">
        <f t="shared" si="576"/>
        <v>0</v>
      </c>
      <c r="FI375" s="58">
        <f t="shared" si="577"/>
        <v>0</v>
      </c>
      <c r="FJ375" s="58">
        <f t="shared" si="578"/>
        <v>0</v>
      </c>
      <c r="FL375" s="58">
        <f t="shared" si="579"/>
        <v>0</v>
      </c>
      <c r="FM375" s="58">
        <f t="shared" si="580"/>
        <v>0</v>
      </c>
      <c r="FN375" s="58">
        <f>IF(i_eff_inputs_based_on_num=2,EP375,(INDEX(Lists!$L$51:$L$85,MATCH(AA375,Lists!$K$51:$K$85,0))))</f>
        <v>0</v>
      </c>
      <c r="FO375" s="58">
        <f>IF(i_eff_inputs_based_on_num=2,EQ375,(INDEX(Lists!$L$51:$L$85,MATCH(AB375,Lists!$K$51:$K$85,0))))</f>
        <v>0</v>
      </c>
      <c r="FP375" s="58">
        <f>IF(i_eff_inputs_based_on_num=2,ER375,(INDEX(Lists!$L$51:$L$85,MATCH(AC375,Lists!$K$51:$K$85,0))))</f>
        <v>0</v>
      </c>
      <c r="FT375" s="58">
        <f t="shared" si="581"/>
        <v>0</v>
      </c>
      <c r="FW375" s="58">
        <f>IF(i_baseline_risk_from=2,'Effectiveness settings'!EW375,'Effectiveness settings'!FI375)</f>
        <v>0</v>
      </c>
      <c r="FX375" s="58">
        <f t="shared" si="582"/>
        <v>0</v>
      </c>
      <c r="FY375" s="58">
        <f t="shared" si="583"/>
        <v>0</v>
      </c>
      <c r="FZ375" s="58">
        <f t="shared" si="584"/>
        <v>0</v>
      </c>
      <c r="GA375" s="58">
        <f t="shared" si="585"/>
        <v>0</v>
      </c>
      <c r="GB375" s="58">
        <f t="shared" si="586"/>
        <v>0</v>
      </c>
      <c r="GC375" s="58">
        <f t="shared" si="587"/>
        <v>0</v>
      </c>
      <c r="GD375" s="58">
        <f t="shared" si="588"/>
        <v>0</v>
      </c>
      <c r="GE375" s="58">
        <f>IF(AND(dd_CheckMate214_TTD="Yes",'Effectiveness settings'!BU375=2,'Effectiveness settings'!BX375=2),"Apply HR to",GD375)</f>
        <v>0</v>
      </c>
      <c r="GF375" s="58">
        <f t="shared" si="589"/>
        <v>0</v>
      </c>
      <c r="GG375" s="58">
        <f t="shared" si="590"/>
        <v>0</v>
      </c>
      <c r="GH375" s="58">
        <f t="shared" si="591"/>
        <v>0</v>
      </c>
      <c r="GI375" s="58">
        <f t="shared" si="571"/>
        <v>0</v>
      </c>
      <c r="GK375" s="58">
        <f>IF(i_baseline_risk_from=2,'Effectiveness settings'!FA375,'Effectiveness settings'!FM375)</f>
        <v>0</v>
      </c>
      <c r="GL375" s="58">
        <f>IF(i_baseline_risk_from=2,'Effectiveness settings'!FB375,'Effectiveness settings'!FN375)</f>
        <v>0</v>
      </c>
      <c r="GM375" s="58">
        <f>IF(i_baseline_risk_from=2,'Effectiveness settings'!FC375,'Effectiveness settings'!FO375)</f>
        <v>0</v>
      </c>
      <c r="GN375" s="58">
        <f>IF(i_baseline_risk_from=2,'Effectiveness settings'!FD375,'Effectiveness settings'!FP375)</f>
        <v>0</v>
      </c>
      <c r="GQ375" s="58">
        <f t="shared" si="592"/>
        <v>0</v>
      </c>
      <c r="GR375" s="58">
        <f t="shared" si="593"/>
        <v>0</v>
      </c>
      <c r="GS375" s="58">
        <f t="shared" si="594"/>
        <v>0</v>
      </c>
      <c r="GT375" s="58">
        <f t="shared" si="595"/>
        <v>0</v>
      </c>
      <c r="GU375" s="58">
        <f>IF(AND(dd_CheckMate214_TTD="Yes",'Effectiveness settings'!BU375=2,'Effectiveness settings'!BX375=2),2,GT375)</f>
        <v>0</v>
      </c>
      <c r="GV375" s="58">
        <f t="shared" si="596"/>
        <v>0</v>
      </c>
      <c r="GW375" s="58">
        <f t="shared" si="597"/>
        <v>0</v>
      </c>
      <c r="GY375" s="58">
        <f>IF(AND(dd_CheckMate214_TTD="Yes",'Effectiveness settings'!BU375=2,'Effectiveness settings'!BX375=2),1,GN375)</f>
        <v>0</v>
      </c>
      <c r="GZ375" s="58">
        <f t="shared" si="598"/>
        <v>0</v>
      </c>
      <c r="HB375" s="58">
        <f t="shared" si="599"/>
        <v>0</v>
      </c>
      <c r="HD375" s="58">
        <f t="shared" si="566"/>
        <v>0</v>
      </c>
      <c r="HE375" s="58">
        <f t="shared" si="567"/>
        <v>0</v>
      </c>
      <c r="HF375" s="58">
        <f t="shared" si="568"/>
        <v>0</v>
      </c>
      <c r="HG375" s="58">
        <f t="shared" si="569"/>
        <v>0</v>
      </c>
      <c r="HH375" s="58">
        <f t="shared" si="570"/>
        <v>0</v>
      </c>
    </row>
    <row r="376" spans="1:220" ht="15.75" hidden="1" x14ac:dyDescent="0.25">
      <c r="I376" s="64"/>
      <c r="J376" s="519"/>
      <c r="K376" s="524"/>
      <c r="L376" s="519"/>
      <c r="M376" s="516"/>
      <c r="N376" s="64"/>
      <c r="O376" s="64"/>
      <c r="P376" s="64"/>
      <c r="Q376" s="519" t="s">
        <v>557</v>
      </c>
      <c r="R376" s="516"/>
      <c r="S376" s="497"/>
      <c r="T376" s="497"/>
      <c r="U376" s="497"/>
      <c r="X376" s="64"/>
      <c r="Y376" s="519"/>
      <c r="Z376" s="516"/>
      <c r="AA376" s="519"/>
      <c r="AB376" s="619"/>
      <c r="AC376" s="64"/>
      <c r="AD376" s="618"/>
      <c r="AE376" s="618"/>
      <c r="AF376" s="620"/>
      <c r="AG376" s="516"/>
      <c r="AH376" s="497"/>
      <c r="AI376" s="497"/>
      <c r="AJ376" s="497"/>
      <c r="AL376" s="64"/>
      <c r="AM376" s="519"/>
      <c r="AN376" s="516"/>
      <c r="AO376" s="620"/>
      <c r="AP376" s="619"/>
      <c r="AQ376" s="64"/>
      <c r="AR376" s="618"/>
      <c r="AS376" s="618"/>
      <c r="AT376" s="627"/>
      <c r="AU376" s="516"/>
      <c r="AV376" s="65"/>
      <c r="AW376" s="65"/>
      <c r="AX376" s="65"/>
      <c r="AZ376" s="64"/>
      <c r="BA376" s="519"/>
      <c r="BB376" s="516"/>
      <c r="BC376" s="620"/>
      <c r="BD376" s="619"/>
      <c r="BE376" s="64"/>
      <c r="BF376" s="618"/>
      <c r="BG376" s="618"/>
      <c r="BH376" s="627"/>
      <c r="BI376" s="516"/>
      <c r="BJ376" s="65"/>
      <c r="BK376" s="65"/>
      <c r="BL376" s="65"/>
      <c r="BQ376" s="58">
        <f t="shared" si="573"/>
        <v>210</v>
      </c>
      <c r="BR376" s="61"/>
      <c r="BS376" s="61"/>
      <c r="BT376" s="17"/>
      <c r="BU376" s="17"/>
      <c r="BV376" s="17"/>
      <c r="BW376" s="17"/>
      <c r="BX376" s="61"/>
      <c r="BY376" s="531"/>
      <c r="BZ376" s="530"/>
      <c r="CA376" s="531"/>
      <c r="CB376" s="530"/>
      <c r="CC376" s="530"/>
      <c r="CD376" s="530"/>
      <c r="CE376" s="1295"/>
      <c r="CF376" s="1301"/>
      <c r="CG376" s="530"/>
      <c r="CH376" s="61"/>
      <c r="CI376" s="61"/>
      <c r="CJ376" s="61"/>
      <c r="DK376" s="58" t="str" cm="1">
        <f t="array" ref="DK376">IF(AND($BT376=4,$BX376=4,$BU376=999),$DB$36,_xlfn.IFNA(INDEX(DB$13:DB$70,MATCH(1,($BR376=$CV$13:$CV$70)*($BT376=$CX$13:$CX$70)*($CE376=$CY$13:$CY$70)*($BY376=$DA$13:$DA$70)*($CD376=$DH$13:$DH$70),0)),""))</f>
        <v/>
      </c>
      <c r="DL376" s="58" t="str" cm="1">
        <f t="array" ref="DL376">IF(AND($BT376=4,$BX376=4,$BU376=999),$DC$36,_xlfn.IFNA(INDEX(CHOOSE(DP376,DB$13:DB$70,DC$13:DC$70,DD$13:DD$70,DE$13:DE$70),MATCH(1,($BR376=$CV$13:$CV$70)*($BT376=$CX$13:$CX$70)*($CE376=$CY$13:$CY$70)*($BY376=$DA$13:$DA$70)*($CD376=$DH$13:$DH$70),0)),""))</f>
        <v/>
      </c>
      <c r="DM376" s="740" t="str" cm="1">
        <f t="array" ref="DM376">IF(AND($BT376=4,$BX376=4,$BU376=999),$DD$36,_xlfn.IFNA(INDEX(DD$13:DD$68,MATCH(1,($BR376=$CV$13:$CV$68)*($BT376=$CX$13:$CX$68)*($CE376=$CY$13:$CY$68)*($BY376=$DA$13:$DA$68)*($CD376=$DH$13:$DH$68),0)),""))</f>
        <v/>
      </c>
      <c r="DN376" s="740" t="str" cm="1">
        <f t="array" ref="DN376">IF(AND($BT376=4,$BX376=4,$BU376=999),$DD$36,_xlfn.IFNA(INDEX(DE$13:DE$68,MATCH(1,($BR376=$CV$13:$CV$68)*($BT376=$CX$13:$CX$68)*($CE376=$CY$13:$CY$68)*($BY376=$DA$13:$DA$68)*($CD376=$DH$13:$DH$68),0)),""))</f>
        <v/>
      </c>
      <c r="DO376" s="58" t="str" cm="1">
        <f t="array" ref="DO376">IF(AND($BT376=4,$BX376=4,$BU376=999),$DF$36,_xlfn.IFNA(INDEX(DF$13:DF$70,MATCH(1,($BR376=$CV$13:$CV$70)*($BT376=$CX$13:$CX$70)*($CE376=$CY$13:$CY$70)*($BY376=$DA$13:$DA$70)*($CD376=$DH$13:$DH$70),0)),""))</f>
        <v/>
      </c>
      <c r="DP376" s="58" t="e">
        <f t="shared" si="574"/>
        <v>#N/A</v>
      </c>
      <c r="EU376" s="58">
        <f t="shared" si="600"/>
        <v>0</v>
      </c>
      <c r="EV376" s="58">
        <f t="shared" si="601"/>
        <v>0</v>
      </c>
      <c r="EW376" s="58">
        <f t="shared" si="602"/>
        <v>0</v>
      </c>
      <c r="EX376" s="58">
        <f t="shared" si="603"/>
        <v>0</v>
      </c>
      <c r="EZ376" s="58">
        <f t="shared" si="604"/>
        <v>0</v>
      </c>
      <c r="FA376" s="58">
        <f t="shared" si="605"/>
        <v>0</v>
      </c>
      <c r="FB376" s="58">
        <f>IF(i_eff_inputs_based_on_num=2,ED376,(INDEX(Lists!$L$51:$L$85,MATCH(O376,Lists!$K$51:$K$85,0))))</f>
        <v>0</v>
      </c>
      <c r="FC376" s="58">
        <f>IF(i_eff_inputs_based_on_num=2,EE376,(INDEX(Lists!$L$51:$L$85,MATCH(P376,Lists!$K$51:$K$85,0))))</f>
        <v>0</v>
      </c>
      <c r="FD376" s="58">
        <f>IF(i_eff_inputs_based_on_num=2,EF376,(INDEX(Lists!$L$51:$L$85,MATCH(Q376,Lists!$K$51:$K$85,0))))</f>
        <v>0</v>
      </c>
      <c r="FG376" s="58">
        <f t="shared" si="575"/>
        <v>0</v>
      </c>
      <c r="FH376" s="58">
        <f t="shared" si="576"/>
        <v>0</v>
      </c>
      <c r="FI376" s="58">
        <f t="shared" si="577"/>
        <v>0</v>
      </c>
      <c r="FJ376" s="58">
        <f t="shared" si="578"/>
        <v>0</v>
      </c>
      <c r="FL376" s="58">
        <f t="shared" si="579"/>
        <v>0</v>
      </c>
      <c r="FM376" s="58">
        <f t="shared" si="580"/>
        <v>0</v>
      </c>
      <c r="FN376" s="58">
        <f>IF(i_eff_inputs_based_on_num=2,EP376,(INDEX(Lists!$L$51:$L$85,MATCH(AA376,Lists!$K$51:$K$85,0))))</f>
        <v>0</v>
      </c>
      <c r="FO376" s="58">
        <f>IF(i_eff_inputs_based_on_num=2,EQ376,(INDEX(Lists!$L$51:$L$85,MATCH(AB376,Lists!$K$51:$K$85,0))))</f>
        <v>0</v>
      </c>
      <c r="FP376" s="58">
        <f>IF(i_eff_inputs_based_on_num=2,ER376,(INDEX(Lists!$L$51:$L$85,MATCH(AC376,Lists!$K$51:$K$85,0))))</f>
        <v>0</v>
      </c>
      <c r="FT376" s="58">
        <f t="shared" si="581"/>
        <v>0</v>
      </c>
      <c r="FW376" s="58">
        <f>IF(i_baseline_risk_from=2,'Effectiveness settings'!EW376,'Effectiveness settings'!FI376)</f>
        <v>0</v>
      </c>
      <c r="FX376" s="58">
        <f t="shared" si="582"/>
        <v>0</v>
      </c>
      <c r="FY376" s="58">
        <f t="shared" si="583"/>
        <v>0</v>
      </c>
      <c r="FZ376" s="58">
        <f t="shared" si="584"/>
        <v>0</v>
      </c>
      <c r="GA376" s="58">
        <f t="shared" si="585"/>
        <v>0</v>
      </c>
      <c r="GB376" s="58">
        <f t="shared" si="586"/>
        <v>0</v>
      </c>
      <c r="GC376" s="58">
        <f t="shared" si="587"/>
        <v>0</v>
      </c>
      <c r="GD376" s="58">
        <f t="shared" si="588"/>
        <v>0</v>
      </c>
      <c r="GE376" s="58">
        <f>IF(AND(dd_CheckMate214_TTD="Yes",'Effectiveness settings'!BU376=2,'Effectiveness settings'!BX376=2),"Apply HR to",GD376)</f>
        <v>0</v>
      </c>
      <c r="GF376" s="58">
        <f t="shared" si="589"/>
        <v>0</v>
      </c>
      <c r="GG376" s="58">
        <f t="shared" si="590"/>
        <v>0</v>
      </c>
      <c r="GH376" s="58">
        <f t="shared" si="591"/>
        <v>0</v>
      </c>
      <c r="GI376" s="58">
        <f t="shared" si="571"/>
        <v>0</v>
      </c>
      <c r="GK376" s="58">
        <f>IF(i_baseline_risk_from=2,'Effectiveness settings'!FA376,'Effectiveness settings'!FM376)</f>
        <v>0</v>
      </c>
      <c r="GL376" s="58">
        <f>IF(i_baseline_risk_from=2,'Effectiveness settings'!FB376,'Effectiveness settings'!FN376)</f>
        <v>0</v>
      </c>
      <c r="GM376" s="58">
        <f>IF(i_baseline_risk_from=2,'Effectiveness settings'!FC376,'Effectiveness settings'!FO376)</f>
        <v>0</v>
      </c>
      <c r="GN376" s="58">
        <f>IF(i_baseline_risk_from=2,'Effectiveness settings'!FD376,'Effectiveness settings'!FP376)</f>
        <v>0</v>
      </c>
      <c r="GQ376" s="58">
        <f t="shared" si="592"/>
        <v>0</v>
      </c>
      <c r="GR376" s="58">
        <f t="shared" si="593"/>
        <v>0</v>
      </c>
      <c r="GS376" s="58">
        <f t="shared" si="594"/>
        <v>0</v>
      </c>
      <c r="GT376" s="58">
        <f t="shared" si="595"/>
        <v>0</v>
      </c>
      <c r="GU376" s="58">
        <f>IF(AND(dd_CheckMate214_TTD="Yes",'Effectiveness settings'!BU376=2,'Effectiveness settings'!BX376=2),2,GT376)</f>
        <v>0</v>
      </c>
      <c r="GV376" s="58">
        <f t="shared" si="596"/>
        <v>0</v>
      </c>
      <c r="GW376" s="58">
        <f t="shared" si="597"/>
        <v>0</v>
      </c>
      <c r="GY376" s="58">
        <f>IF(AND(dd_CheckMate214_TTD="Yes",'Effectiveness settings'!BU376=2,'Effectiveness settings'!BX376=2),1,GN376)</f>
        <v>0</v>
      </c>
      <c r="GZ376" s="58">
        <f t="shared" si="598"/>
        <v>0</v>
      </c>
      <c r="HB376" s="58">
        <f t="shared" si="599"/>
        <v>0</v>
      </c>
      <c r="HD376" s="58">
        <f t="shared" si="566"/>
        <v>0</v>
      </c>
      <c r="HE376" s="58">
        <f t="shared" si="567"/>
        <v>0</v>
      </c>
      <c r="HF376" s="58">
        <f t="shared" si="568"/>
        <v>0</v>
      </c>
      <c r="HG376" s="58">
        <f t="shared" si="569"/>
        <v>0</v>
      </c>
      <c r="HH376" s="58">
        <f t="shared" si="570"/>
        <v>0</v>
      </c>
    </row>
    <row r="377" spans="1:220" ht="16.5" hidden="1" thickBot="1" x14ac:dyDescent="0.3">
      <c r="I377" s="64"/>
      <c r="J377" s="519"/>
      <c r="K377" s="524"/>
      <c r="L377" s="519"/>
      <c r="M377" s="516"/>
      <c r="N377" s="64"/>
      <c r="O377" s="64"/>
      <c r="P377" s="64"/>
      <c r="Q377" s="519" t="s">
        <v>557</v>
      </c>
      <c r="R377" s="516"/>
      <c r="S377" s="497"/>
      <c r="T377" s="497"/>
      <c r="U377" s="497"/>
      <c r="X377" s="64"/>
      <c r="Y377" s="519"/>
      <c r="Z377" s="516"/>
      <c r="AA377" s="519"/>
      <c r="AB377" s="619"/>
      <c r="AC377" s="64"/>
      <c r="AD377" s="618"/>
      <c r="AE377" s="618"/>
      <c r="AF377" s="620"/>
      <c r="AG377" s="516"/>
      <c r="AH377" s="497"/>
      <c r="AI377" s="497"/>
      <c r="AJ377" s="497"/>
      <c r="AL377" s="64"/>
      <c r="AM377" s="519"/>
      <c r="AN377" s="516"/>
      <c r="AO377" s="620"/>
      <c r="AP377" s="619"/>
      <c r="AQ377" s="64"/>
      <c r="AR377" s="618"/>
      <c r="AS377" s="618"/>
      <c r="AT377" s="627"/>
      <c r="AU377" s="516"/>
      <c r="AV377" s="65"/>
      <c r="AW377" s="65"/>
      <c r="AX377" s="65"/>
      <c r="AZ377" s="64"/>
      <c r="BA377" s="519"/>
      <c r="BB377" s="516"/>
      <c r="BC377" s="620"/>
      <c r="BD377" s="619"/>
      <c r="BE377" s="64"/>
      <c r="BF377" s="618"/>
      <c r="BG377" s="618"/>
      <c r="BH377" s="627"/>
      <c r="BI377" s="516"/>
      <c r="BJ377" s="65"/>
      <c r="BK377" s="65"/>
      <c r="BL377" s="65"/>
      <c r="BQ377" s="58">
        <f t="shared" si="573"/>
        <v>210</v>
      </c>
      <c r="BR377" s="621"/>
      <c r="BS377" s="621"/>
      <c r="BT377" s="622"/>
      <c r="BU377" s="622"/>
      <c r="BV377" s="622"/>
      <c r="BW377" s="622"/>
      <c r="BX377" s="621"/>
      <c r="BY377" s="623"/>
      <c r="BZ377" s="628"/>
      <c r="CA377" s="629"/>
      <c r="CB377" s="630"/>
      <c r="CC377" s="1294"/>
      <c r="CD377" s="1294"/>
      <c r="CE377" s="1298"/>
      <c r="CF377" s="1302"/>
      <c r="CG377" s="530"/>
      <c r="CH377" s="506"/>
      <c r="CI377" s="506"/>
      <c r="CJ377" s="506"/>
      <c r="DK377" s="58" t="str" cm="1">
        <f t="array" ref="DK377">IF(AND($BT377=4,$BX377=4,$BU377=999),$DB$36,_xlfn.IFNA(INDEX(DB$13:DB$70,MATCH(1,($BR377=$CV$13:$CV$70)*($BT377=$CX$13:$CX$70)*($CE377=$CY$13:$CY$70)*($BY377=$DA$13:$DA$70)*($CD377=$DH$13:$DH$70),0)),""))</f>
        <v/>
      </c>
      <c r="DL377" s="58" t="str" cm="1">
        <f t="array" ref="DL377">IF(AND($BT377=4,$BX377=4,$BU377=999),$DC$36,_xlfn.IFNA(INDEX(CHOOSE(DP377,DB$13:DB$70,DC$13:DC$70,DD$13:DD$70,DE$13:DE$70),MATCH(1,($BR377=$CV$13:$CV$70)*($BT377=$CX$13:$CX$70)*($CE377=$CY$13:$CY$70)*($BY377=$DA$13:$DA$70)*($CD377=$DH$13:$DH$70),0)),""))</f>
        <v/>
      </c>
      <c r="DM377" s="740" t="str" cm="1">
        <f t="array" ref="DM377">IF(AND($BT377=4,$BX377=4,$BU377=999),$DD$36,_xlfn.IFNA(INDEX(DD$13:DD$68,MATCH(1,($BR377=$CV$13:$CV$68)*($BT377=$CX$13:$CX$68)*($CE377=$CY$13:$CY$68)*($BY377=$DA$13:$DA$68)*($CD377=$DH$13:$DH$68),0)),""))</f>
        <v/>
      </c>
      <c r="DN377" s="740" t="str" cm="1">
        <f t="array" ref="DN377">IF(AND($BT377=4,$BX377=4,$BU377=999),$DD$36,_xlfn.IFNA(INDEX(DE$13:DE$68,MATCH(1,($BR377=$CV$13:$CV$68)*($BT377=$CX$13:$CX$68)*($CE377=$CY$13:$CY$68)*($BY377=$DA$13:$DA$68)*($CD377=$DH$13:$DH$68),0)),""))</f>
        <v/>
      </c>
      <c r="DO377" s="58" t="str" cm="1">
        <f t="array" ref="DO377">IF(AND($BT377=4,$BX377=4,$BU377=999),$DF$36,_xlfn.IFNA(INDEX(DF$13:DF$70,MATCH(1,($BR377=$CV$13:$CV$70)*($BT377=$CX$13:$CX$70)*($CE377=$CY$13:$CY$70)*($BY377=$DA$13:$DA$70)*($CD377=$DH$13:$DH$70),0)),""))</f>
        <v/>
      </c>
      <c r="DP377" s="58" t="e">
        <f t="shared" si="574"/>
        <v>#N/A</v>
      </c>
      <c r="EU377" s="58">
        <f t="shared" si="600"/>
        <v>0</v>
      </c>
      <c r="EV377" s="58">
        <f t="shared" si="601"/>
        <v>0</v>
      </c>
      <c r="EW377" s="58">
        <f t="shared" si="602"/>
        <v>0</v>
      </c>
      <c r="EX377" s="58">
        <f t="shared" si="603"/>
        <v>0</v>
      </c>
      <c r="EZ377" s="58">
        <f t="shared" si="604"/>
        <v>0</v>
      </c>
      <c r="FA377" s="58">
        <f t="shared" si="605"/>
        <v>0</v>
      </c>
      <c r="FB377" s="58">
        <f>IF(i_eff_inputs_based_on_num=2,ED377,(INDEX(Lists!$L$51:$L$85,MATCH(O377,Lists!$K$51:$K$85,0))))</f>
        <v>0</v>
      </c>
      <c r="FC377" s="58">
        <f>IF(i_eff_inputs_based_on_num=2,EE377,(INDEX(Lists!$L$51:$L$85,MATCH(P377,Lists!$K$51:$K$85,0))))</f>
        <v>0</v>
      </c>
      <c r="FD377" s="58">
        <f>IF(i_eff_inputs_based_on_num=2,EF377,(INDEX(Lists!$L$51:$L$85,MATCH(Q377,Lists!$K$51:$K$85,0))))</f>
        <v>0</v>
      </c>
      <c r="FG377" s="58">
        <f t="shared" si="575"/>
        <v>0</v>
      </c>
      <c r="FH377" s="58">
        <f t="shared" si="576"/>
        <v>0</v>
      </c>
      <c r="FI377" s="58">
        <f t="shared" si="577"/>
        <v>0</v>
      </c>
      <c r="FJ377" s="58">
        <f t="shared" si="578"/>
        <v>0</v>
      </c>
      <c r="FL377" s="58">
        <f t="shared" si="579"/>
        <v>0</v>
      </c>
      <c r="FM377" s="58">
        <f t="shared" si="580"/>
        <v>0</v>
      </c>
      <c r="FN377" s="58">
        <f>IF(i_eff_inputs_based_on_num=2,EP377,(INDEX(Lists!$L$51:$L$85,MATCH(AA377,Lists!$K$51:$K$85,0))))</f>
        <v>0</v>
      </c>
      <c r="FO377" s="58">
        <f>IF(i_eff_inputs_based_on_num=2,EQ377,(INDEX(Lists!$L$51:$L$85,MATCH(AB377,Lists!$K$51:$K$85,0))))</f>
        <v>0</v>
      </c>
      <c r="FP377" s="58">
        <f>IF(i_eff_inputs_based_on_num=2,ER377,(INDEX(Lists!$L$51:$L$85,MATCH(AC377,Lists!$K$51:$K$85,0))))</f>
        <v>0</v>
      </c>
      <c r="FT377" s="58">
        <f t="shared" si="581"/>
        <v>0</v>
      </c>
      <c r="FW377" s="58">
        <f>IF(i_baseline_risk_from=2,'Effectiveness settings'!EW377,'Effectiveness settings'!FI377)</f>
        <v>0</v>
      </c>
      <c r="FX377" s="58">
        <f t="shared" si="582"/>
        <v>0</v>
      </c>
      <c r="FY377" s="58">
        <f t="shared" si="583"/>
        <v>0</v>
      </c>
      <c r="FZ377" s="58">
        <f t="shared" si="584"/>
        <v>0</v>
      </c>
      <c r="GA377" s="58">
        <f t="shared" si="585"/>
        <v>0</v>
      </c>
      <c r="GB377" s="58">
        <f t="shared" si="586"/>
        <v>0</v>
      </c>
      <c r="GC377" s="58">
        <f t="shared" si="587"/>
        <v>0</v>
      </c>
      <c r="GD377" s="58">
        <f t="shared" si="588"/>
        <v>0</v>
      </c>
      <c r="GE377" s="58">
        <f>IF(AND(dd_CheckMate214_TTD="Yes",'Effectiveness settings'!BU377=2,'Effectiveness settings'!BX377=2),"Apply HR to",GD377)</f>
        <v>0</v>
      </c>
      <c r="GF377" s="58">
        <f t="shared" si="589"/>
        <v>0</v>
      </c>
      <c r="GG377" s="58">
        <f t="shared" si="590"/>
        <v>0</v>
      </c>
      <c r="GH377" s="58">
        <f t="shared" si="591"/>
        <v>0</v>
      </c>
      <c r="GI377" s="58">
        <f t="shared" si="571"/>
        <v>0</v>
      </c>
      <c r="GK377" s="58">
        <f>IF(i_baseline_risk_from=2,'Effectiveness settings'!FA377,'Effectiveness settings'!FM377)</f>
        <v>0</v>
      </c>
      <c r="GL377" s="58">
        <f>IF(i_baseline_risk_from=2,'Effectiveness settings'!FB377,'Effectiveness settings'!FN377)</f>
        <v>0</v>
      </c>
      <c r="GM377" s="58">
        <f>IF(i_baseline_risk_from=2,'Effectiveness settings'!FC377,'Effectiveness settings'!FO377)</f>
        <v>0</v>
      </c>
      <c r="GN377" s="58">
        <f>IF(i_baseline_risk_from=2,'Effectiveness settings'!FD377,'Effectiveness settings'!FP377)</f>
        <v>0</v>
      </c>
      <c r="GQ377" s="58">
        <f t="shared" si="592"/>
        <v>0</v>
      </c>
      <c r="GR377" s="58">
        <f t="shared" si="593"/>
        <v>0</v>
      </c>
      <c r="GS377" s="58">
        <f t="shared" si="594"/>
        <v>0</v>
      </c>
      <c r="GT377" s="58">
        <f t="shared" si="595"/>
        <v>0</v>
      </c>
      <c r="GU377" s="58">
        <f>IF(AND(dd_CheckMate214_TTD="Yes",'Effectiveness settings'!BU377=2,'Effectiveness settings'!BX377=2),2,GT377)</f>
        <v>0</v>
      </c>
      <c r="GV377" s="58">
        <f t="shared" si="596"/>
        <v>0</v>
      </c>
      <c r="GW377" s="58">
        <f t="shared" si="597"/>
        <v>0</v>
      </c>
      <c r="GY377" s="58">
        <f>IF(AND(dd_CheckMate214_TTD="Yes",'Effectiveness settings'!BU377=2,'Effectiveness settings'!BX377=2),1,GN377)</f>
        <v>0</v>
      </c>
      <c r="GZ377" s="58">
        <f t="shared" si="598"/>
        <v>0</v>
      </c>
      <c r="HB377" s="58">
        <f t="shared" si="599"/>
        <v>0</v>
      </c>
      <c r="HD377" s="58">
        <f t="shared" si="566"/>
        <v>0</v>
      </c>
      <c r="HE377" s="58">
        <f t="shared" si="567"/>
        <v>0</v>
      </c>
      <c r="HF377" s="58">
        <f t="shared" si="568"/>
        <v>0</v>
      </c>
      <c r="HG377" s="58">
        <f t="shared" si="569"/>
        <v>0</v>
      </c>
      <c r="HH377" s="58">
        <f t="shared" si="570"/>
        <v>0</v>
      </c>
    </row>
    <row r="378" spans="1:220" ht="15.75" x14ac:dyDescent="0.25">
      <c r="A378" s="58" t="s">
        <v>599</v>
      </c>
      <c r="K378" s="525"/>
      <c r="L378" s="517"/>
      <c r="BQ378" s="58">
        <f t="shared" si="573"/>
        <v>211</v>
      </c>
      <c r="BR378" s="61">
        <v>0</v>
      </c>
      <c r="BS378" s="61" t="s">
        <v>31</v>
      </c>
      <c r="BT378" s="17">
        <v>2</v>
      </c>
      <c r="BU378" s="17">
        <v>0</v>
      </c>
      <c r="BV378" s="17" t="str">
        <f t="shared" ref="BV378:BV391" si="606">D259</f>
        <v>nivolumab_monotherapy</v>
      </c>
      <c r="BW378" s="1006" t="str" cm="1">
        <f t="array" ref="BW378">IF(X259="No",X259,INDEX(List_incl_anal_2L_all,IF(BU378=999,35,BU378+1)))</f>
        <v>Yes</v>
      </c>
      <c r="BX378" s="61">
        <f t="shared" ref="BX378:BX391" si="607">MATCH(BY378,List_eff_endpoints,0)-1</f>
        <v>0</v>
      </c>
      <c r="BY378" s="531" t="str">
        <f t="shared" ref="BY378:BY391" si="608">Y259</f>
        <v>Overall survival</v>
      </c>
      <c r="BZ378" s="530" t="str">
        <f t="shared" ref="BZ378:BZ391" si="609">GI378</f>
        <v>PH_NMA</v>
      </c>
      <c r="CA378" s="531">
        <f>FT378</f>
        <v>0</v>
      </c>
      <c r="CB378" s="530">
        <f t="shared" ref="CB378:CB391" si="610">HD378</f>
        <v>0</v>
      </c>
      <c r="CC378" s="530">
        <f t="shared" ref="CC378:CC391" si="611">HE378</f>
        <v>2</v>
      </c>
      <c r="CD378" s="530">
        <f t="shared" ref="CD378:CD391" si="612">HF378</f>
        <v>8</v>
      </c>
      <c r="CE378" s="1295">
        <f t="shared" ref="CE378:CE391" si="613">HG378</f>
        <v>2</v>
      </c>
      <c r="CF378" s="1301">
        <f t="shared" ref="CF378:CF391" si="614">HH378</f>
        <v>0</v>
      </c>
      <c r="CG378" s="530" t="str">
        <f t="shared" ref="CG378:CG391" si="615">IF(i_surv_cur=1,DK378,DL378)</f>
        <v>Log-logistic</v>
      </c>
      <c r="CH378" s="505">
        <f t="shared" ref="CH378:CH391" si="616">AH259</f>
        <v>0</v>
      </c>
      <c r="CI378" s="505">
        <f t="shared" ref="CI378:CI391" si="617">AI259</f>
        <v>0</v>
      </c>
      <c r="CJ378" s="505">
        <f t="shared" ref="CJ378:CJ391" si="618">AJ259</f>
        <v>0</v>
      </c>
      <c r="DK378" s="58" t="str" cm="1">
        <f t="array" ref="DK378">IF(AND($BT378=4,$BX378=4,$BU378=999),$DB$36,_xlfn.IFNA(INDEX(DB$13:DB$70,MATCH(1,($BR378=$CV$13:$CV$70)*($BT378=$CX$13:$CX$70)*($CE378=$CY$13:$CY$70)*($BY378=$DA$13:$DA$70)*($CD378=$DH$13:$DH$70),0)),""))</f>
        <v>Log-logistic</v>
      </c>
      <c r="DL378" s="58" t="str" cm="1">
        <f t="array" ref="DL378">IF(AND($BT378=4,$BX378=4,$BU378=999),$DC$36,_xlfn.IFNA(INDEX(CHOOSE(DP378,DB$13:DB$70,DC$13:DC$70,DD$13:DD$70,DE$13:DE$70),MATCH(1,($BR378=$CV$13:$CV$70)*($BT378=$CX$13:$CX$70)*($CE378=$CY$13:$CY$70)*($BY378=$DA$13:$DA$70)*($CD378=$DH$13:$DH$70),0)),""))</f>
        <v>Log-logistic</v>
      </c>
      <c r="DM378" s="740" cm="1">
        <f t="array" ref="DM378">IF(AND($BT378=4,$BX378=4,$BU378=999),$DD$36,_xlfn.IFNA(INDEX(DD$13:DD$68,MATCH(1,($BR378=$CV$13:$CV$68)*($BT378=$CX$13:$CX$68)*($CE378=$CY$13:$CY$68)*($BY378=$DA$13:$DA$68)*($CD378=$DH$13:$DH$68),0)),""))</f>
        <v>0</v>
      </c>
      <c r="DN378" s="740" cm="1">
        <f t="array" ref="DN378">IF(AND($BT378=4,$BX378=4,$BU378=999),$DD$36,_xlfn.IFNA(INDEX(DE$13:DE$68,MATCH(1,($BR378=$CV$13:$CV$68)*($BT378=$CX$13:$CX$68)*($CE378=$CY$13:$CY$68)*($BY378=$DA$13:$DA$68)*($CD378=$DH$13:$DH$68),0)),""))</f>
        <v>0</v>
      </c>
      <c r="DO378" s="58" t="str" cm="1">
        <f t="array" ref="DO378">IF(AND($BT378=4,$BX378=4,$BU378=999),$DF$36,_xlfn.IFNA(INDEX(DF$13:DF$70,MATCH(1,($BR378=$CV$13:$CV$70)*($BT378=$CX$13:$CX$70)*($CE378=$CY$13:$CY$70)*($BY378=$DA$13:$DA$70)*($CD378=$DH$13:$DH$70),0)),""))</f>
        <v>Base case</v>
      </c>
      <c r="DP378" s="58">
        <f t="shared" si="574"/>
        <v>1</v>
      </c>
      <c r="DW378" s="58" t="s">
        <v>74</v>
      </c>
      <c r="DX378" s="58" t="s">
        <v>544</v>
      </c>
      <c r="DY378" s="58" t="s">
        <v>63</v>
      </c>
      <c r="DZ378" s="58">
        <v>0</v>
      </c>
      <c r="EB378" s="58">
        <v>0</v>
      </c>
      <c r="EC378" s="58">
        <v>2</v>
      </c>
      <c r="ED378" s="58">
        <v>8</v>
      </c>
      <c r="EE378" s="58">
        <v>2</v>
      </c>
      <c r="EF378" s="58">
        <v>0</v>
      </c>
      <c r="EI378" s="58" t="s">
        <v>74</v>
      </c>
      <c r="EJ378" s="58" t="s">
        <v>544</v>
      </c>
      <c r="EK378" s="58" t="s">
        <v>63</v>
      </c>
      <c r="EL378" s="58">
        <v>0</v>
      </c>
      <c r="EN378" s="58">
        <v>0</v>
      </c>
      <c r="EO378" s="58">
        <v>2</v>
      </c>
      <c r="EP378" s="58">
        <v>10</v>
      </c>
      <c r="EQ378" s="58">
        <v>1</v>
      </c>
      <c r="ER378" s="58">
        <v>0</v>
      </c>
      <c r="EU378" s="58" t="str">
        <f t="shared" ref="EU378:EU391" si="619">IF(i_eff_inputs_based_on_num=2,DW378,X259)</f>
        <v>Yes</v>
      </c>
      <c r="EV378" s="58" t="str">
        <f t="shared" ref="EV378:EV391" si="620">IF(i_eff_inputs_based_on_num=2,DX378,Y259)</f>
        <v>Overall survival</v>
      </c>
      <c r="EW378" s="58" t="str">
        <f t="shared" ref="EW378:EW391" si="621">IF(i_eff_inputs_based_on_num=2,DY378,Z259)</f>
        <v>FP_NMA</v>
      </c>
      <c r="EX378" s="58">
        <f t="shared" ref="EX378:EX391" si="622">IF(i_eff_inputs_based_on_num=2,DZ378,AA259)</f>
        <v>0</v>
      </c>
      <c r="EZ378" s="58">
        <f t="shared" ref="EZ378:EZ391" si="623">IF(i_eff_inputs_based_on_num=2,EB378,VLOOKUP(AB259,r_pld_lookup_line,3,FALSE))</f>
        <v>0</v>
      </c>
      <c r="FA378" s="58">
        <f t="shared" ref="FA378:FA391" si="624">IF(i_eff_inputs_based_on_num=2,EC378,VLOOKUP(AC259,r_pld_lookup_line,3,FALSE))</f>
        <v>2</v>
      </c>
      <c r="FB378" s="58">
        <f>IF(i_eff_inputs_based_on_num=2,ED378,(INDEX(Lists!$L$51:$L$85,MATCH(AD259,Lists!$K$51:$K$85,0))))</f>
        <v>8</v>
      </c>
      <c r="FC378" s="58">
        <f>IF(i_eff_inputs_based_on_num=2,EE378,(INDEX(Lists!$L$51:$L$85,MATCH(AE259,Lists!$K$51:$K$85,0))))</f>
        <v>2</v>
      </c>
      <c r="FD378" s="58">
        <f>IF(i_eff_inputs_based_on_num=2,EF378,(INDEX(Lists!$L$51:$L$85,MATCH(AF259,Lists!$K$51:$K$85,0))))</f>
        <v>0</v>
      </c>
      <c r="FG378" s="58" t="str">
        <f t="shared" ref="FG378:FG391" si="625">IF(i_eff_inputs_based_on_num=2,EI378,X259)</f>
        <v>Yes</v>
      </c>
      <c r="FH378" s="58" t="str">
        <f t="shared" ref="FH378:FH391" si="626">IF(i_eff_inputs_based_on_num=2,EJ378,Y259)</f>
        <v>Overall survival</v>
      </c>
      <c r="FI378" s="58" t="str">
        <f t="shared" ref="FI378:FI391" si="627">IF(i_eff_inputs_based_on_num=2,EK378,Z259)</f>
        <v>FP_NMA</v>
      </c>
      <c r="FJ378" s="58">
        <f t="shared" ref="FJ378:FJ391" si="628">IF(i_eff_inputs_based_on_num=2,EL378,AA259)</f>
        <v>0</v>
      </c>
      <c r="FL378" s="58">
        <f t="shared" ref="FL378:FL391" si="629">IF(i_eff_inputs_based_on_num=2,EN378,VLOOKUP(AB259,r_pld_lookup_line,3,FALSE))</f>
        <v>0</v>
      </c>
      <c r="FM378" s="58">
        <f t="shared" ref="FM378:FM391" si="630">IF(i_eff_inputs_based_on_num=2,EO378,VLOOKUP(AC259,r_pld_lookup_line,3,FALSE))</f>
        <v>2</v>
      </c>
      <c r="FN378" s="58">
        <f>IF(i_eff_inputs_based_on_num=2,EP378,(INDEX(Lists!$L$51:$L$85,MATCH(AD259,Lists!$K$51:$K$85,0))))</f>
        <v>10</v>
      </c>
      <c r="FO378" s="58">
        <f>IF(i_eff_inputs_based_on_num=2,EQ378,(INDEX(Lists!$L$51:$L$85,MATCH(AE259,Lists!$K$51:$K$85,0))))</f>
        <v>1</v>
      </c>
      <c r="FP378" s="58">
        <f>IF(i_eff_inputs_based_on_num=2,ER378,(INDEX(Lists!$L$51:$L$85,MATCH(AF259,Lists!$K$51:$K$85,0))))</f>
        <v>0</v>
      </c>
      <c r="FT378" s="58">
        <f t="shared" si="581"/>
        <v>0</v>
      </c>
      <c r="FW378" s="58" t="str">
        <f>IF(i_baseline_risk_from=2,'Effectiveness settings'!EW378,'Effectiveness settings'!FI378)</f>
        <v>FP_NMA</v>
      </c>
      <c r="FX378" s="58" t="str">
        <f t="shared" si="582"/>
        <v>PH_NMA</v>
      </c>
      <c r="FY378" s="58" t="str">
        <f t="shared" si="583"/>
        <v>PH_NMA</v>
      </c>
      <c r="FZ378" s="58" t="str">
        <f t="shared" si="584"/>
        <v>PH_NMA</v>
      </c>
      <c r="GA378" s="58" t="str">
        <f t="shared" si="585"/>
        <v>PH_NMA</v>
      </c>
      <c r="GB378" s="58" t="str">
        <f t="shared" si="586"/>
        <v>PH_NMA</v>
      </c>
      <c r="GC378" s="58" t="str">
        <f t="shared" si="587"/>
        <v>PH_NMA</v>
      </c>
      <c r="GD378" s="58" t="str">
        <f t="shared" si="588"/>
        <v>PH_NMA</v>
      </c>
      <c r="GE378" s="58" t="str">
        <f>IF(AND(dd_CheckMate214_TTD="Yes",'Effectiveness settings'!BU378=2,'Effectiveness settings'!BX378=2),"Apply HR to",GD378)</f>
        <v>PH_NMA</v>
      </c>
      <c r="GF378" s="58" t="str">
        <f t="shared" si="589"/>
        <v>PH_NMA</v>
      </c>
      <c r="GG378" s="58" t="str">
        <f t="shared" si="590"/>
        <v>PH_NMA</v>
      </c>
      <c r="GH378" s="58" t="str">
        <f t="shared" si="591"/>
        <v>PH_NMA</v>
      </c>
      <c r="GI378" s="58" t="str">
        <f t="shared" si="571"/>
        <v>PH_NMA</v>
      </c>
      <c r="GK378" s="58">
        <f>IF(i_baseline_risk_from=2,'Effectiveness settings'!FA378,'Effectiveness settings'!FM378)</f>
        <v>2</v>
      </c>
      <c r="GL378" s="58">
        <f>IF(i_baseline_risk_from=2,'Effectiveness settings'!FB378,'Effectiveness settings'!FN378)</f>
        <v>8</v>
      </c>
      <c r="GM378" s="58">
        <f>IF(i_baseline_risk_from=2,'Effectiveness settings'!FC378,'Effectiveness settings'!FO378)</f>
        <v>2</v>
      </c>
      <c r="GN378" s="58">
        <f>IF(i_baseline_risk_from=2,'Effectiveness settings'!FD378,'Effectiveness settings'!FP378)</f>
        <v>0</v>
      </c>
      <c r="GQ378" s="58">
        <f t="shared" si="592"/>
        <v>8</v>
      </c>
      <c r="GR378" s="58">
        <f t="shared" si="593"/>
        <v>8</v>
      </c>
      <c r="GS378" s="58">
        <f t="shared" si="594"/>
        <v>8</v>
      </c>
      <c r="GT378" s="58">
        <f t="shared" si="595"/>
        <v>8</v>
      </c>
      <c r="GU378" s="58">
        <f>IF(AND(dd_CheckMate214_TTD="Yes",'Effectiveness settings'!BU378=2,'Effectiveness settings'!BX378=2),2,GT378)</f>
        <v>8</v>
      </c>
      <c r="GV378" s="58">
        <f t="shared" si="596"/>
        <v>8</v>
      </c>
      <c r="GW378" s="58">
        <f t="shared" si="597"/>
        <v>8</v>
      </c>
      <c r="GY378" s="58">
        <f>IF(AND(dd_CheckMate214_TTD="Yes",'Effectiveness settings'!BU378=2,'Effectiveness settings'!BX378=2),1,GN378)</f>
        <v>0</v>
      </c>
      <c r="GZ378" s="58">
        <f t="shared" si="598"/>
        <v>0</v>
      </c>
      <c r="HB378" s="58">
        <f t="shared" si="599"/>
        <v>0</v>
      </c>
      <c r="HD378" s="58">
        <f t="shared" si="566"/>
        <v>0</v>
      </c>
      <c r="HE378" s="58">
        <f t="shared" si="567"/>
        <v>2</v>
      </c>
      <c r="HF378" s="58">
        <f t="shared" si="568"/>
        <v>8</v>
      </c>
      <c r="HG378" s="58">
        <f t="shared" si="569"/>
        <v>2</v>
      </c>
      <c r="HH378" s="58">
        <f t="shared" si="570"/>
        <v>0</v>
      </c>
    </row>
    <row r="379" spans="1:220" ht="15.75" x14ac:dyDescent="0.25">
      <c r="K379" s="521"/>
      <c r="L379" s="517"/>
      <c r="BQ379" s="58">
        <f t="shared" si="573"/>
        <v>212</v>
      </c>
      <c r="BR379" s="61">
        <v>0</v>
      </c>
      <c r="BS379" s="61" t="s">
        <v>31</v>
      </c>
      <c r="BT379" s="17">
        <v>2</v>
      </c>
      <c r="BU379" s="17">
        <v>1</v>
      </c>
      <c r="BV379" s="17" t="str">
        <f t="shared" si="606"/>
        <v>cabozantinib_plus_nivolumab</v>
      </c>
      <c r="BW379" s="1006" t="str" cm="1">
        <f t="array" ref="BW379">IF(X260="No",X260,INDEX(List_incl_anal_2L_all,IF(BU379=999,35,BU379+1)))</f>
        <v>No</v>
      </c>
      <c r="BX379" s="61">
        <f t="shared" si="607"/>
        <v>0</v>
      </c>
      <c r="BY379" s="531" t="str">
        <f t="shared" si="608"/>
        <v>Overall survival</v>
      </c>
      <c r="BZ379" s="530">
        <f t="shared" si="609"/>
        <v>0</v>
      </c>
      <c r="CA379" s="531">
        <f t="shared" ref="CA379:CA391" si="631">FT379</f>
        <v>0</v>
      </c>
      <c r="CB379" s="530">
        <f t="shared" si="610"/>
        <v>0</v>
      </c>
      <c r="CC379" s="530">
        <f t="shared" si="611"/>
        <v>2</v>
      </c>
      <c r="CD379" s="530">
        <f t="shared" si="612"/>
        <v>8</v>
      </c>
      <c r="CE379" s="1295">
        <f t="shared" si="613"/>
        <v>2</v>
      </c>
      <c r="CF379" s="1301">
        <f t="shared" si="614"/>
        <v>0</v>
      </c>
      <c r="CG379" s="530" t="str">
        <f t="shared" si="615"/>
        <v>Log-logistic</v>
      </c>
      <c r="CH379" s="61">
        <f t="shared" si="616"/>
        <v>0</v>
      </c>
      <c r="CI379" s="61">
        <f t="shared" si="617"/>
        <v>0</v>
      </c>
      <c r="CJ379" s="61">
        <f t="shared" si="618"/>
        <v>0</v>
      </c>
      <c r="DK379" s="58" t="str" cm="1">
        <f t="array" ref="DK379">IF(AND($BT379=4,$BX379=4,$BU379=999),$DB$36,_xlfn.IFNA(INDEX(DB$13:DB$70,MATCH(1,($BR379=$CV$13:$CV$70)*($BT379=$CX$13:$CX$70)*($CE379=$CY$13:$CY$70)*($BY379=$DA$13:$DA$70)*($CD379=$DH$13:$DH$70),0)),""))</f>
        <v>Log-logistic</v>
      </c>
      <c r="DL379" s="58" t="str" cm="1">
        <f t="array" ref="DL379">IF(AND($BT379=4,$BX379=4,$BU379=999),$DC$36,_xlfn.IFNA(INDEX(CHOOSE(DP379,DB$13:DB$70,DC$13:DC$70,DD$13:DD$70,DE$13:DE$70),MATCH(1,($BR379=$CV$13:$CV$70)*($BT379=$CX$13:$CX$70)*($CE379=$CY$13:$CY$70)*($BY379=$DA$13:$DA$70)*($CD379=$DH$13:$DH$70),0)),""))</f>
        <v>Log-logistic</v>
      </c>
      <c r="DM379" s="740" cm="1">
        <f t="array" ref="DM379">IF(AND($BT379=4,$BX379=4,$BU379=999),$DD$36,_xlfn.IFNA(INDEX(DD$13:DD$68,MATCH(1,($BR379=$CV$13:$CV$68)*($BT379=$CX$13:$CX$68)*($CE379=$CY$13:$CY$68)*($BY379=$DA$13:$DA$68)*($CD379=$DH$13:$DH$68),0)),""))</f>
        <v>0</v>
      </c>
      <c r="DN379" s="740" cm="1">
        <f t="array" ref="DN379">IF(AND($BT379=4,$BX379=4,$BU379=999),$DD$36,_xlfn.IFNA(INDEX(DE$13:DE$68,MATCH(1,($BR379=$CV$13:$CV$68)*($BT379=$CX$13:$CX$68)*($CE379=$CY$13:$CY$68)*($BY379=$DA$13:$DA$68)*($CD379=$DH$13:$DH$68),0)),""))</f>
        <v>0</v>
      </c>
      <c r="DO379" s="58" t="str" cm="1">
        <f t="array" ref="DO379">IF(AND($BT379=4,$BX379=4,$BU379=999),$DF$36,_xlfn.IFNA(INDEX(DF$13:DF$70,MATCH(1,($BR379=$CV$13:$CV$70)*($BT379=$CX$13:$CX$70)*($CE379=$CY$13:$CY$70)*($BY379=$DA$13:$DA$70)*($CD379=$DH$13:$DH$70),0)),""))</f>
        <v>Base case</v>
      </c>
      <c r="DP379" s="58">
        <f t="shared" si="574"/>
        <v>1</v>
      </c>
      <c r="DW379" s="58" t="s">
        <v>58</v>
      </c>
      <c r="DX379" s="58" t="s">
        <v>544</v>
      </c>
      <c r="DY379" s="58">
        <v>0</v>
      </c>
      <c r="DZ379" s="58">
        <v>0</v>
      </c>
      <c r="EB379" s="58">
        <v>0</v>
      </c>
      <c r="EC379" s="58">
        <v>2</v>
      </c>
      <c r="ED379" s="58">
        <v>8</v>
      </c>
      <c r="EE379" s="58">
        <v>2</v>
      </c>
      <c r="EF379" s="58">
        <v>0</v>
      </c>
      <c r="EI379" s="58" t="s">
        <v>58</v>
      </c>
      <c r="EJ379" s="58" t="s">
        <v>544</v>
      </c>
      <c r="EK379" s="58">
        <v>0</v>
      </c>
      <c r="EL379" s="58">
        <v>0</v>
      </c>
      <c r="EN379" s="58">
        <v>0</v>
      </c>
      <c r="EO379" s="58">
        <v>2</v>
      </c>
      <c r="EP379" s="58">
        <v>10</v>
      </c>
      <c r="EQ379" s="58">
        <v>1</v>
      </c>
      <c r="ER379" s="58">
        <v>0</v>
      </c>
      <c r="EU379" s="58" t="str">
        <f t="shared" si="619"/>
        <v>No</v>
      </c>
      <c r="EV379" s="58" t="str">
        <f t="shared" si="620"/>
        <v>Overall survival</v>
      </c>
      <c r="EW379" s="58">
        <f t="shared" si="621"/>
        <v>0</v>
      </c>
      <c r="EX379" s="58">
        <f t="shared" si="622"/>
        <v>0</v>
      </c>
      <c r="EZ379" s="58">
        <f t="shared" si="623"/>
        <v>0</v>
      </c>
      <c r="FA379" s="58">
        <f t="shared" si="624"/>
        <v>2</v>
      </c>
      <c r="FB379" s="58">
        <f>IF(i_eff_inputs_based_on_num=2,ED379,(INDEX(Lists!$L$51:$L$85,MATCH(AD260,Lists!$K$51:$K$85,0))))</f>
        <v>8</v>
      </c>
      <c r="FC379" s="58">
        <f>IF(i_eff_inputs_based_on_num=2,EE379,(INDEX(Lists!$L$51:$L$85,MATCH(AE260,Lists!$K$51:$K$85,0))))</f>
        <v>2</v>
      </c>
      <c r="FD379" s="58">
        <f>IF(i_eff_inputs_based_on_num=2,EF379,(INDEX(Lists!$L$51:$L$85,MATCH(AF260,Lists!$K$51:$K$85,0))))</f>
        <v>0</v>
      </c>
      <c r="FG379" s="58" t="str">
        <f t="shared" si="625"/>
        <v>No</v>
      </c>
      <c r="FH379" s="58" t="str">
        <f t="shared" si="626"/>
        <v>Overall survival</v>
      </c>
      <c r="FI379" s="58">
        <f t="shared" si="627"/>
        <v>0</v>
      </c>
      <c r="FJ379" s="58">
        <f t="shared" si="628"/>
        <v>0</v>
      </c>
      <c r="FL379" s="58">
        <f t="shared" si="629"/>
        <v>0</v>
      </c>
      <c r="FM379" s="58">
        <f t="shared" si="630"/>
        <v>2</v>
      </c>
      <c r="FN379" s="58">
        <f>IF(i_eff_inputs_based_on_num=2,EP379,(INDEX(Lists!$L$51:$L$85,MATCH(AD260,Lists!$K$51:$K$85,0))))</f>
        <v>10</v>
      </c>
      <c r="FO379" s="58">
        <f>IF(i_eff_inputs_based_on_num=2,EQ379,(INDEX(Lists!$L$51:$L$85,MATCH(AE260,Lists!$K$51:$K$85,0))))</f>
        <v>1</v>
      </c>
      <c r="FP379" s="58">
        <f>IF(i_eff_inputs_based_on_num=2,ER379,(INDEX(Lists!$L$51:$L$85,MATCH(AF260,Lists!$K$51:$K$85,0))))</f>
        <v>0</v>
      </c>
      <c r="FT379" s="58">
        <f t="shared" si="581"/>
        <v>0</v>
      </c>
      <c r="FW379" s="58">
        <f>IF(i_baseline_risk_from=2,'Effectiveness settings'!EW379,'Effectiveness settings'!FI379)</f>
        <v>0</v>
      </c>
      <c r="FX379" s="58">
        <f t="shared" si="582"/>
        <v>0</v>
      </c>
      <c r="FY379" s="58">
        <f t="shared" si="583"/>
        <v>0</v>
      </c>
      <c r="FZ379" s="58">
        <f t="shared" si="584"/>
        <v>0</v>
      </c>
      <c r="GA379" s="58">
        <f t="shared" si="585"/>
        <v>0</v>
      </c>
      <c r="GB379" s="58">
        <f t="shared" si="586"/>
        <v>0</v>
      </c>
      <c r="GC379" s="58">
        <f t="shared" si="587"/>
        <v>0</v>
      </c>
      <c r="GD379" s="58">
        <f t="shared" si="588"/>
        <v>0</v>
      </c>
      <c r="GE379" s="58">
        <f>IF(AND(dd_CheckMate214_TTD="Yes",'Effectiveness settings'!BU379=2,'Effectiveness settings'!BX379=2),"Apply HR to",GD379)</f>
        <v>0</v>
      </c>
      <c r="GF379" s="58">
        <f t="shared" si="589"/>
        <v>0</v>
      </c>
      <c r="GG379" s="58">
        <f t="shared" si="590"/>
        <v>0</v>
      </c>
      <c r="GH379" s="58">
        <f t="shared" si="591"/>
        <v>0</v>
      </c>
      <c r="GI379" s="58">
        <f t="shared" si="571"/>
        <v>0</v>
      </c>
      <c r="GK379" s="58">
        <f>IF(i_baseline_risk_from=2,'Effectiveness settings'!FA379,'Effectiveness settings'!FM379)</f>
        <v>2</v>
      </c>
      <c r="GL379" s="58">
        <f>IF(i_baseline_risk_from=2,'Effectiveness settings'!FB379,'Effectiveness settings'!FN379)</f>
        <v>8</v>
      </c>
      <c r="GM379" s="58">
        <f>IF(i_baseline_risk_from=2,'Effectiveness settings'!FC379,'Effectiveness settings'!FO379)</f>
        <v>2</v>
      </c>
      <c r="GN379" s="58">
        <f>IF(i_baseline_risk_from=2,'Effectiveness settings'!FD379,'Effectiveness settings'!FP379)</f>
        <v>0</v>
      </c>
      <c r="GQ379" s="58">
        <f t="shared" si="592"/>
        <v>8</v>
      </c>
      <c r="GR379" s="58">
        <f t="shared" si="593"/>
        <v>8</v>
      </c>
      <c r="GS379" s="58">
        <f t="shared" si="594"/>
        <v>8</v>
      </c>
      <c r="GT379" s="58">
        <f t="shared" si="595"/>
        <v>8</v>
      </c>
      <c r="GU379" s="58">
        <f>IF(AND(dd_CheckMate214_TTD="Yes",'Effectiveness settings'!BU379=2,'Effectiveness settings'!BX379=2),2,GT379)</f>
        <v>8</v>
      </c>
      <c r="GV379" s="58">
        <f t="shared" si="596"/>
        <v>8</v>
      </c>
      <c r="GW379" s="58">
        <f t="shared" si="597"/>
        <v>8</v>
      </c>
      <c r="GY379" s="58">
        <f>IF(AND(dd_CheckMate214_TTD="Yes",'Effectiveness settings'!BU379=2,'Effectiveness settings'!BX379=2),1,GN379)</f>
        <v>0</v>
      </c>
      <c r="GZ379" s="58">
        <f t="shared" si="598"/>
        <v>0</v>
      </c>
      <c r="HB379" s="58">
        <f t="shared" si="599"/>
        <v>0</v>
      </c>
      <c r="HD379" s="58">
        <f t="shared" si="566"/>
        <v>0</v>
      </c>
      <c r="HE379" s="58">
        <f t="shared" si="567"/>
        <v>2</v>
      </c>
      <c r="HF379" s="58">
        <f t="shared" si="568"/>
        <v>8</v>
      </c>
      <c r="HG379" s="58">
        <f t="shared" si="569"/>
        <v>2</v>
      </c>
      <c r="HH379" s="58">
        <f t="shared" si="570"/>
        <v>0</v>
      </c>
    </row>
    <row r="380" spans="1:220" ht="15.75" x14ac:dyDescent="0.25">
      <c r="J380" s="480"/>
      <c r="BQ380" s="58">
        <f t="shared" si="573"/>
        <v>213</v>
      </c>
      <c r="BR380" s="61">
        <v>0</v>
      </c>
      <c r="BS380" s="61" t="s">
        <v>31</v>
      </c>
      <c r="BT380" s="17">
        <v>2</v>
      </c>
      <c r="BU380" s="17">
        <v>2</v>
      </c>
      <c r="BV380" s="17" t="str">
        <f t="shared" si="606"/>
        <v>nivolumab_plus_ipilimumab</v>
      </c>
      <c r="BW380" s="1006" t="str" cm="1">
        <f t="array" ref="BW380">IF(X261="No",X261,INDEX(List_incl_anal_2L_all,IF(BU380=999,35,BU380+1)))</f>
        <v>No</v>
      </c>
      <c r="BX380" s="61">
        <f t="shared" si="607"/>
        <v>0</v>
      </c>
      <c r="BY380" s="531" t="str">
        <f t="shared" si="608"/>
        <v>Overall survival</v>
      </c>
      <c r="BZ380" s="530">
        <f t="shared" si="609"/>
        <v>0</v>
      </c>
      <c r="CA380" s="531">
        <f t="shared" si="631"/>
        <v>0</v>
      </c>
      <c r="CB380" s="530">
        <f t="shared" si="610"/>
        <v>0</v>
      </c>
      <c r="CC380" s="530">
        <f t="shared" si="611"/>
        <v>2</v>
      </c>
      <c r="CD380" s="530">
        <f t="shared" si="612"/>
        <v>8</v>
      </c>
      <c r="CE380" s="1295">
        <f t="shared" si="613"/>
        <v>2</v>
      </c>
      <c r="CF380" s="1301">
        <f t="shared" si="614"/>
        <v>0</v>
      </c>
      <c r="CG380" s="530" t="str">
        <f t="shared" si="615"/>
        <v>Log-logistic</v>
      </c>
      <c r="CH380" s="61">
        <f t="shared" si="616"/>
        <v>0</v>
      </c>
      <c r="CI380" s="61">
        <f t="shared" si="617"/>
        <v>0</v>
      </c>
      <c r="CJ380" s="61">
        <f t="shared" si="618"/>
        <v>0</v>
      </c>
      <c r="DK380" s="58" t="str" cm="1">
        <f t="array" ref="DK380">IF(AND($BT380=4,$BX380=4,$BU380=999),$DB$36,_xlfn.IFNA(INDEX(DB$13:DB$70,MATCH(1,($BR380=$CV$13:$CV$70)*($BT380=$CX$13:$CX$70)*($CE380=$CY$13:$CY$70)*($BY380=$DA$13:$DA$70)*($CD380=$DH$13:$DH$70),0)),""))</f>
        <v>Log-logistic</v>
      </c>
      <c r="DL380" s="58" t="str" cm="1">
        <f t="array" ref="DL380">IF(AND($BT380=4,$BX380=4,$BU380=999),$DC$36,_xlfn.IFNA(INDEX(CHOOSE(DP380,DB$13:DB$70,DC$13:DC$70,DD$13:DD$70,DE$13:DE$70),MATCH(1,($BR380=$CV$13:$CV$70)*($BT380=$CX$13:$CX$70)*($CE380=$CY$13:$CY$70)*($BY380=$DA$13:$DA$70)*($CD380=$DH$13:$DH$70),0)),""))</f>
        <v>Log-logistic</v>
      </c>
      <c r="DM380" s="740" cm="1">
        <f t="array" ref="DM380">IF(AND($BT380=4,$BX380=4,$BU380=999),$DD$36,_xlfn.IFNA(INDEX(DD$13:DD$68,MATCH(1,($BR380=$CV$13:$CV$68)*($BT380=$CX$13:$CX$68)*($CE380=$CY$13:$CY$68)*($BY380=$DA$13:$DA$68)*($CD380=$DH$13:$DH$68),0)),""))</f>
        <v>0</v>
      </c>
      <c r="DN380" s="740" cm="1">
        <f t="array" ref="DN380">IF(AND($BT380=4,$BX380=4,$BU380=999),$DD$36,_xlfn.IFNA(INDEX(DE$13:DE$68,MATCH(1,($BR380=$CV$13:$CV$68)*($BT380=$CX$13:$CX$68)*($CE380=$CY$13:$CY$68)*($BY380=$DA$13:$DA$68)*($CD380=$DH$13:$DH$68),0)),""))</f>
        <v>0</v>
      </c>
      <c r="DO380" s="58" t="str" cm="1">
        <f t="array" ref="DO380">IF(AND($BT380=4,$BX380=4,$BU380=999),$DF$36,_xlfn.IFNA(INDEX(DF$13:DF$70,MATCH(1,($BR380=$CV$13:$CV$70)*($BT380=$CX$13:$CX$70)*($CE380=$CY$13:$CY$70)*($BY380=$DA$13:$DA$70)*($CD380=$DH$13:$DH$70),0)),""))</f>
        <v>Base case</v>
      </c>
      <c r="DP380" s="58">
        <f t="shared" si="574"/>
        <v>1</v>
      </c>
      <c r="DW380" s="58" t="s">
        <v>58</v>
      </c>
      <c r="DX380" s="58" t="s">
        <v>544</v>
      </c>
      <c r="DY380" s="58">
        <v>0</v>
      </c>
      <c r="DZ380" s="58">
        <v>0</v>
      </c>
      <c r="EB380" s="58">
        <v>0</v>
      </c>
      <c r="EC380" s="58">
        <v>2</v>
      </c>
      <c r="ED380" s="58">
        <v>8</v>
      </c>
      <c r="EE380" s="58">
        <v>2</v>
      </c>
      <c r="EF380" s="58">
        <v>0</v>
      </c>
      <c r="EI380" s="58" t="s">
        <v>58</v>
      </c>
      <c r="EJ380" s="58" t="s">
        <v>544</v>
      </c>
      <c r="EK380" s="58">
        <v>0</v>
      </c>
      <c r="EL380" s="58">
        <v>0</v>
      </c>
      <c r="EN380" s="58">
        <v>0</v>
      </c>
      <c r="EO380" s="58">
        <v>2</v>
      </c>
      <c r="EP380" s="58">
        <v>10</v>
      </c>
      <c r="EQ380" s="58">
        <v>1</v>
      </c>
      <c r="ER380" s="58">
        <v>0</v>
      </c>
      <c r="EU380" s="58" t="str">
        <f t="shared" si="619"/>
        <v>No</v>
      </c>
      <c r="EV380" s="58" t="str">
        <f t="shared" si="620"/>
        <v>Overall survival</v>
      </c>
      <c r="EW380" s="58">
        <f t="shared" si="621"/>
        <v>0</v>
      </c>
      <c r="EX380" s="58">
        <f t="shared" si="622"/>
        <v>0</v>
      </c>
      <c r="EZ380" s="58">
        <f t="shared" si="623"/>
        <v>0</v>
      </c>
      <c r="FA380" s="58">
        <f t="shared" si="624"/>
        <v>2</v>
      </c>
      <c r="FB380" s="58">
        <f>IF(i_eff_inputs_based_on_num=2,ED380,(INDEX(Lists!$L$51:$L$85,MATCH(AD261,Lists!$K$51:$K$85,0))))</f>
        <v>8</v>
      </c>
      <c r="FC380" s="58">
        <f>IF(i_eff_inputs_based_on_num=2,EE380,(INDEX(Lists!$L$51:$L$85,MATCH(AE261,Lists!$K$51:$K$85,0))))</f>
        <v>2</v>
      </c>
      <c r="FD380" s="58">
        <f>IF(i_eff_inputs_based_on_num=2,EF380,(INDEX(Lists!$L$51:$L$85,MATCH(AF261,Lists!$K$51:$K$85,0))))</f>
        <v>0</v>
      </c>
      <c r="FG380" s="58" t="str">
        <f t="shared" si="625"/>
        <v>No</v>
      </c>
      <c r="FH380" s="58" t="str">
        <f t="shared" si="626"/>
        <v>Overall survival</v>
      </c>
      <c r="FI380" s="58">
        <f t="shared" si="627"/>
        <v>0</v>
      </c>
      <c r="FJ380" s="58">
        <f t="shared" si="628"/>
        <v>0</v>
      </c>
      <c r="FL380" s="58">
        <f t="shared" si="629"/>
        <v>0</v>
      </c>
      <c r="FM380" s="58">
        <f t="shared" si="630"/>
        <v>2</v>
      </c>
      <c r="FN380" s="58">
        <f>IF(i_eff_inputs_based_on_num=2,EP380,(INDEX(Lists!$L$51:$L$85,MATCH(AD261,Lists!$K$51:$K$85,0))))</f>
        <v>10</v>
      </c>
      <c r="FO380" s="58">
        <f>IF(i_eff_inputs_based_on_num=2,EQ380,(INDEX(Lists!$L$51:$L$85,MATCH(AE261,Lists!$K$51:$K$85,0))))</f>
        <v>1</v>
      </c>
      <c r="FP380" s="58">
        <f>IF(i_eff_inputs_based_on_num=2,ER380,(INDEX(Lists!$L$51:$L$85,MATCH(AF261,Lists!$K$51:$K$85,0))))</f>
        <v>0</v>
      </c>
      <c r="FT380" s="58">
        <f t="shared" si="581"/>
        <v>0</v>
      </c>
      <c r="FW380" s="58">
        <f>IF(i_baseline_risk_from=2,'Effectiveness settings'!EW380,'Effectiveness settings'!FI380)</f>
        <v>0</v>
      </c>
      <c r="FX380" s="58">
        <f t="shared" si="582"/>
        <v>0</v>
      </c>
      <c r="FY380" s="58">
        <f t="shared" si="583"/>
        <v>0</v>
      </c>
      <c r="FZ380" s="58">
        <f t="shared" si="584"/>
        <v>0</v>
      </c>
      <c r="GA380" s="58">
        <f t="shared" si="585"/>
        <v>0</v>
      </c>
      <c r="GB380" s="58">
        <f t="shared" si="586"/>
        <v>0</v>
      </c>
      <c r="GC380" s="58">
        <f t="shared" si="587"/>
        <v>0</v>
      </c>
      <c r="GD380" s="58">
        <f t="shared" si="588"/>
        <v>0</v>
      </c>
      <c r="GE380" s="58">
        <f>IF(AND(dd_CheckMate214_TTD="Yes",'Effectiveness settings'!BU380=2,'Effectiveness settings'!BX380=2),"Apply HR to",GD380)</f>
        <v>0</v>
      </c>
      <c r="GF380" s="58">
        <f t="shared" si="589"/>
        <v>0</v>
      </c>
      <c r="GG380" s="58">
        <f t="shared" si="590"/>
        <v>0</v>
      </c>
      <c r="GH380" s="58">
        <f t="shared" si="591"/>
        <v>0</v>
      </c>
      <c r="GI380" s="58">
        <f t="shared" si="571"/>
        <v>0</v>
      </c>
      <c r="GK380" s="58">
        <f>IF(i_baseline_risk_from=2,'Effectiveness settings'!FA380,'Effectiveness settings'!FM380)</f>
        <v>2</v>
      </c>
      <c r="GL380" s="58">
        <f>IF(i_baseline_risk_from=2,'Effectiveness settings'!FB380,'Effectiveness settings'!FN380)</f>
        <v>8</v>
      </c>
      <c r="GM380" s="58">
        <f>IF(i_baseline_risk_from=2,'Effectiveness settings'!FC380,'Effectiveness settings'!FO380)</f>
        <v>2</v>
      </c>
      <c r="GN380" s="58">
        <f>IF(i_baseline_risk_from=2,'Effectiveness settings'!FD380,'Effectiveness settings'!FP380)</f>
        <v>0</v>
      </c>
      <c r="GQ380" s="58">
        <f t="shared" si="592"/>
        <v>8</v>
      </c>
      <c r="GR380" s="58">
        <f t="shared" si="593"/>
        <v>8</v>
      </c>
      <c r="GS380" s="58">
        <f t="shared" si="594"/>
        <v>8</v>
      </c>
      <c r="GT380" s="58">
        <f t="shared" si="595"/>
        <v>8</v>
      </c>
      <c r="GU380" s="58">
        <f>IF(AND(dd_CheckMate214_TTD="Yes",'Effectiveness settings'!BU380=2,'Effectiveness settings'!BX380=2),2,GT380)</f>
        <v>8</v>
      </c>
      <c r="GV380" s="58">
        <f t="shared" si="596"/>
        <v>8</v>
      </c>
      <c r="GW380" s="58">
        <f t="shared" si="597"/>
        <v>8</v>
      </c>
      <c r="GY380" s="58">
        <f>IF(AND(dd_CheckMate214_TTD="Yes",'Effectiveness settings'!BU380=2,'Effectiveness settings'!BX380=2),1,GN380)</f>
        <v>0</v>
      </c>
      <c r="GZ380" s="58">
        <f t="shared" si="598"/>
        <v>0</v>
      </c>
      <c r="HB380" s="58">
        <f t="shared" si="599"/>
        <v>0</v>
      </c>
      <c r="HD380" s="58">
        <f t="shared" si="566"/>
        <v>0</v>
      </c>
      <c r="HE380" s="58">
        <f t="shared" si="567"/>
        <v>2</v>
      </c>
      <c r="HF380" s="58">
        <f t="shared" si="568"/>
        <v>8</v>
      </c>
      <c r="HG380" s="58">
        <f t="shared" si="569"/>
        <v>2</v>
      </c>
      <c r="HH380" s="58">
        <f t="shared" si="570"/>
        <v>0</v>
      </c>
    </row>
    <row r="381" spans="1:220" ht="15.75" x14ac:dyDescent="0.25">
      <c r="BQ381" s="58">
        <f t="shared" si="573"/>
        <v>214</v>
      </c>
      <c r="BR381" s="61">
        <v>0</v>
      </c>
      <c r="BS381" s="61" t="s">
        <v>31</v>
      </c>
      <c r="BT381" s="17">
        <v>2</v>
      </c>
      <c r="BU381" s="17">
        <v>3</v>
      </c>
      <c r="BV381" s="17" t="str">
        <f t="shared" si="606"/>
        <v>lenvatinib_plus_pembrolizumab</v>
      </c>
      <c r="BW381" s="1006" t="str" cm="1">
        <f t="array" ref="BW381">IF(X262="No",X262,INDEX(List_incl_anal_2L_all,IF(BU381=999,35,BU381+1)))</f>
        <v>No</v>
      </c>
      <c r="BX381" s="61">
        <f t="shared" si="607"/>
        <v>0</v>
      </c>
      <c r="BY381" s="531" t="str">
        <f t="shared" si="608"/>
        <v>Overall survival</v>
      </c>
      <c r="BZ381" s="530">
        <f t="shared" si="609"/>
        <v>0</v>
      </c>
      <c r="CA381" s="531">
        <f t="shared" si="631"/>
        <v>0</v>
      </c>
      <c r="CB381" s="530">
        <f t="shared" si="610"/>
        <v>0</v>
      </c>
      <c r="CC381" s="530">
        <f t="shared" si="611"/>
        <v>2</v>
      </c>
      <c r="CD381" s="530">
        <f t="shared" si="612"/>
        <v>8</v>
      </c>
      <c r="CE381" s="1295">
        <f t="shared" si="613"/>
        <v>2</v>
      </c>
      <c r="CF381" s="1301">
        <f t="shared" si="614"/>
        <v>0</v>
      </c>
      <c r="CG381" s="530" t="str">
        <f t="shared" si="615"/>
        <v>Log-logistic</v>
      </c>
      <c r="CH381" s="61">
        <f t="shared" si="616"/>
        <v>0</v>
      </c>
      <c r="CI381" s="61">
        <f t="shared" si="617"/>
        <v>0</v>
      </c>
      <c r="CJ381" s="61">
        <f t="shared" si="618"/>
        <v>0</v>
      </c>
      <c r="DK381" s="58" t="str" cm="1">
        <f t="array" ref="DK381">IF(AND($BT381=4,$BX381=4,$BU381=999),$DB$36,_xlfn.IFNA(INDEX(DB$13:DB$70,MATCH(1,($BR381=$CV$13:$CV$70)*($BT381=$CX$13:$CX$70)*($CE381=$CY$13:$CY$70)*($BY381=$DA$13:$DA$70)*($CD381=$DH$13:$DH$70),0)),""))</f>
        <v>Log-logistic</v>
      </c>
      <c r="DL381" s="58" t="str" cm="1">
        <f t="array" ref="DL381">IF(AND($BT381=4,$BX381=4,$BU381=999),$DC$36,_xlfn.IFNA(INDEX(CHOOSE(DP381,DB$13:DB$70,DC$13:DC$70,DD$13:DD$70,DE$13:DE$70),MATCH(1,($BR381=$CV$13:$CV$70)*($BT381=$CX$13:$CX$70)*($CE381=$CY$13:$CY$70)*($BY381=$DA$13:$DA$70)*($CD381=$DH$13:$DH$70),0)),""))</f>
        <v>Log-logistic</v>
      </c>
      <c r="DM381" s="740" cm="1">
        <f t="array" ref="DM381">IF(AND($BT381=4,$BX381=4,$BU381=999),$DD$36,_xlfn.IFNA(INDEX(DD$13:DD$68,MATCH(1,($BR381=$CV$13:$CV$68)*($BT381=$CX$13:$CX$68)*($CE381=$CY$13:$CY$68)*($BY381=$DA$13:$DA$68)*($CD381=$DH$13:$DH$68),0)),""))</f>
        <v>0</v>
      </c>
      <c r="DN381" s="740" cm="1">
        <f t="array" ref="DN381">IF(AND($BT381=4,$BX381=4,$BU381=999),$DD$36,_xlfn.IFNA(INDEX(DE$13:DE$68,MATCH(1,($BR381=$CV$13:$CV$68)*($BT381=$CX$13:$CX$68)*($CE381=$CY$13:$CY$68)*($BY381=$DA$13:$DA$68)*($CD381=$DH$13:$DH$68),0)),""))</f>
        <v>0</v>
      </c>
      <c r="DO381" s="58" t="str" cm="1">
        <f t="array" ref="DO381">IF(AND($BT381=4,$BX381=4,$BU381=999),$DF$36,_xlfn.IFNA(INDEX(DF$13:DF$70,MATCH(1,($BR381=$CV$13:$CV$70)*($BT381=$CX$13:$CX$70)*($CE381=$CY$13:$CY$70)*($BY381=$DA$13:$DA$70)*($CD381=$DH$13:$DH$70),0)),""))</f>
        <v>Base case</v>
      </c>
      <c r="DP381" s="58">
        <f t="shared" si="574"/>
        <v>1</v>
      </c>
      <c r="DW381" s="58" t="s">
        <v>58</v>
      </c>
      <c r="DX381" s="58" t="s">
        <v>544</v>
      </c>
      <c r="DY381" s="58">
        <v>0</v>
      </c>
      <c r="DZ381" s="58">
        <v>0</v>
      </c>
      <c r="EB381" s="58">
        <v>0</v>
      </c>
      <c r="EC381" s="58">
        <v>2</v>
      </c>
      <c r="ED381" s="58">
        <v>8</v>
      </c>
      <c r="EE381" s="58">
        <v>2</v>
      </c>
      <c r="EF381" s="58">
        <v>0</v>
      </c>
      <c r="EI381" s="58" t="s">
        <v>58</v>
      </c>
      <c r="EJ381" s="58" t="s">
        <v>544</v>
      </c>
      <c r="EK381" s="58">
        <v>0</v>
      </c>
      <c r="EL381" s="58">
        <v>0</v>
      </c>
      <c r="EN381" s="58">
        <v>0</v>
      </c>
      <c r="EO381" s="58">
        <v>2</v>
      </c>
      <c r="EP381" s="58">
        <v>10</v>
      </c>
      <c r="EQ381" s="58">
        <v>1</v>
      </c>
      <c r="ER381" s="58">
        <v>0</v>
      </c>
      <c r="EU381" s="58" t="str">
        <f t="shared" si="619"/>
        <v>No</v>
      </c>
      <c r="EV381" s="58" t="str">
        <f t="shared" si="620"/>
        <v>Overall survival</v>
      </c>
      <c r="EW381" s="58">
        <f t="shared" si="621"/>
        <v>0</v>
      </c>
      <c r="EX381" s="58">
        <f t="shared" si="622"/>
        <v>0</v>
      </c>
      <c r="EZ381" s="58">
        <f t="shared" si="623"/>
        <v>0</v>
      </c>
      <c r="FA381" s="58">
        <f t="shared" si="624"/>
        <v>2</v>
      </c>
      <c r="FB381" s="58">
        <f>IF(i_eff_inputs_based_on_num=2,ED381,(INDEX(Lists!$L$51:$L$85,MATCH(AD262,Lists!$K$51:$K$85,0))))</f>
        <v>8</v>
      </c>
      <c r="FC381" s="58">
        <f>IF(i_eff_inputs_based_on_num=2,EE381,(INDEX(Lists!$L$51:$L$85,MATCH(AE262,Lists!$K$51:$K$85,0))))</f>
        <v>2</v>
      </c>
      <c r="FD381" s="58">
        <f>IF(i_eff_inputs_based_on_num=2,EF381,(INDEX(Lists!$L$51:$L$85,MATCH(AF262,Lists!$K$51:$K$85,0))))</f>
        <v>0</v>
      </c>
      <c r="FG381" s="58" t="str">
        <f t="shared" si="625"/>
        <v>No</v>
      </c>
      <c r="FH381" s="58" t="str">
        <f t="shared" si="626"/>
        <v>Overall survival</v>
      </c>
      <c r="FI381" s="58">
        <f t="shared" si="627"/>
        <v>0</v>
      </c>
      <c r="FJ381" s="58">
        <f t="shared" si="628"/>
        <v>0</v>
      </c>
      <c r="FL381" s="58">
        <f t="shared" si="629"/>
        <v>0</v>
      </c>
      <c r="FM381" s="58">
        <f t="shared" si="630"/>
        <v>2</v>
      </c>
      <c r="FN381" s="58">
        <f>IF(i_eff_inputs_based_on_num=2,EP381,(INDEX(Lists!$L$51:$L$85,MATCH(AD262,Lists!$K$51:$K$85,0))))</f>
        <v>10</v>
      </c>
      <c r="FO381" s="58">
        <f>IF(i_eff_inputs_based_on_num=2,EQ381,(INDEX(Lists!$L$51:$L$85,MATCH(AE262,Lists!$K$51:$K$85,0))))</f>
        <v>1</v>
      </c>
      <c r="FP381" s="58">
        <f>IF(i_eff_inputs_based_on_num=2,ER381,(INDEX(Lists!$L$51:$L$85,MATCH(AF262,Lists!$K$51:$K$85,0))))</f>
        <v>0</v>
      </c>
      <c r="FT381" s="58">
        <f t="shared" si="581"/>
        <v>0</v>
      </c>
      <c r="FW381" s="58">
        <f>IF(i_baseline_risk_from=2,'Effectiveness settings'!EW381,'Effectiveness settings'!FI381)</f>
        <v>0</v>
      </c>
      <c r="FX381" s="58">
        <f t="shared" si="582"/>
        <v>0</v>
      </c>
      <c r="FY381" s="58">
        <f t="shared" si="583"/>
        <v>0</v>
      </c>
      <c r="FZ381" s="58">
        <f t="shared" si="584"/>
        <v>0</v>
      </c>
      <c r="GA381" s="58">
        <f t="shared" si="585"/>
        <v>0</v>
      </c>
      <c r="GB381" s="58">
        <f t="shared" si="586"/>
        <v>0</v>
      </c>
      <c r="GC381" s="58">
        <f t="shared" si="587"/>
        <v>0</v>
      </c>
      <c r="GD381" s="58">
        <f t="shared" si="588"/>
        <v>0</v>
      </c>
      <c r="GE381" s="58">
        <f>IF(AND(dd_CheckMate214_TTD="Yes",'Effectiveness settings'!BU381=2,'Effectiveness settings'!BX381=2),"Apply HR to",GD381)</f>
        <v>0</v>
      </c>
      <c r="GF381" s="58">
        <f t="shared" si="589"/>
        <v>0</v>
      </c>
      <c r="GG381" s="58">
        <f t="shared" si="590"/>
        <v>0</v>
      </c>
      <c r="GH381" s="58">
        <f t="shared" si="591"/>
        <v>0</v>
      </c>
      <c r="GI381" s="58">
        <f t="shared" si="571"/>
        <v>0</v>
      </c>
      <c r="GK381" s="58">
        <f>IF(i_baseline_risk_from=2,'Effectiveness settings'!FA381,'Effectiveness settings'!FM381)</f>
        <v>2</v>
      </c>
      <c r="GL381" s="58">
        <f>IF(i_baseline_risk_from=2,'Effectiveness settings'!FB381,'Effectiveness settings'!FN381)</f>
        <v>8</v>
      </c>
      <c r="GM381" s="58">
        <f>IF(i_baseline_risk_from=2,'Effectiveness settings'!FC381,'Effectiveness settings'!FO381)</f>
        <v>2</v>
      </c>
      <c r="GN381" s="58">
        <f>IF(i_baseline_risk_from=2,'Effectiveness settings'!FD381,'Effectiveness settings'!FP381)</f>
        <v>0</v>
      </c>
      <c r="GQ381" s="58">
        <f t="shared" si="592"/>
        <v>8</v>
      </c>
      <c r="GR381" s="58">
        <f t="shared" si="593"/>
        <v>8</v>
      </c>
      <c r="GS381" s="58">
        <f t="shared" si="594"/>
        <v>8</v>
      </c>
      <c r="GT381" s="58">
        <f t="shared" si="595"/>
        <v>8</v>
      </c>
      <c r="GU381" s="58">
        <f>IF(AND(dd_CheckMate214_TTD="Yes",'Effectiveness settings'!BU381=2,'Effectiveness settings'!BX381=2),2,GT381)</f>
        <v>8</v>
      </c>
      <c r="GV381" s="58">
        <f t="shared" si="596"/>
        <v>8</v>
      </c>
      <c r="GW381" s="58">
        <f t="shared" si="597"/>
        <v>8</v>
      </c>
      <c r="GY381" s="58">
        <f>IF(AND(dd_CheckMate214_TTD="Yes",'Effectiveness settings'!BU381=2,'Effectiveness settings'!BX381=2),1,GN381)</f>
        <v>0</v>
      </c>
      <c r="GZ381" s="58">
        <f t="shared" si="598"/>
        <v>0</v>
      </c>
      <c r="HB381" s="58">
        <f t="shared" si="599"/>
        <v>0</v>
      </c>
      <c r="HD381" s="58">
        <f t="shared" si="566"/>
        <v>0</v>
      </c>
      <c r="HE381" s="58">
        <f t="shared" si="567"/>
        <v>2</v>
      </c>
      <c r="HF381" s="58">
        <f t="shared" si="568"/>
        <v>8</v>
      </c>
      <c r="HG381" s="58">
        <f t="shared" si="569"/>
        <v>2</v>
      </c>
      <c r="HH381" s="58">
        <f t="shared" si="570"/>
        <v>0</v>
      </c>
    </row>
    <row r="382" spans="1:220" ht="16.5" thickBot="1" x14ac:dyDescent="0.3">
      <c r="I382" s="1703" t="s">
        <v>600</v>
      </c>
      <c r="J382" s="1703"/>
      <c r="BQ382" s="58">
        <f t="shared" si="573"/>
        <v>215</v>
      </c>
      <c r="BR382" s="61">
        <v>0</v>
      </c>
      <c r="BS382" s="61" t="s">
        <v>31</v>
      </c>
      <c r="BT382" s="17">
        <v>2</v>
      </c>
      <c r="BU382" s="17">
        <v>4</v>
      </c>
      <c r="BV382" s="17" t="str">
        <f t="shared" si="606"/>
        <v>avelumab_plus_axitinib</v>
      </c>
      <c r="BW382" s="1006" t="str" cm="1">
        <f t="array" ref="BW382">IF(X263="No",X263,INDEX(List_incl_anal_2L_all,IF(BU382=999,35,BU382+1)))</f>
        <v>No</v>
      </c>
      <c r="BX382" s="61">
        <f t="shared" si="607"/>
        <v>0</v>
      </c>
      <c r="BY382" s="531" t="str">
        <f t="shared" si="608"/>
        <v>Overall survival</v>
      </c>
      <c r="BZ382" s="530">
        <f t="shared" si="609"/>
        <v>0</v>
      </c>
      <c r="CA382" s="531">
        <f t="shared" si="631"/>
        <v>0</v>
      </c>
      <c r="CB382" s="530">
        <f t="shared" si="610"/>
        <v>0</v>
      </c>
      <c r="CC382" s="530">
        <f t="shared" si="611"/>
        <v>2</v>
      </c>
      <c r="CD382" s="530">
        <f t="shared" si="612"/>
        <v>8</v>
      </c>
      <c r="CE382" s="1295">
        <f t="shared" si="613"/>
        <v>2</v>
      </c>
      <c r="CF382" s="1301">
        <f t="shared" si="614"/>
        <v>0</v>
      </c>
      <c r="CG382" s="530" t="str">
        <f t="shared" si="615"/>
        <v>Log-logistic</v>
      </c>
      <c r="CH382" s="61">
        <f t="shared" si="616"/>
        <v>0</v>
      </c>
      <c r="CI382" s="61">
        <f t="shared" si="617"/>
        <v>0</v>
      </c>
      <c r="CJ382" s="61">
        <f t="shared" si="618"/>
        <v>0</v>
      </c>
      <c r="DK382" s="58" t="str" cm="1">
        <f t="array" ref="DK382">IF(AND($BT382=4,$BX382=4,$BU382=999),$DB$36,_xlfn.IFNA(INDEX(DB$13:DB$70,MATCH(1,($BR382=$CV$13:$CV$70)*($BT382=$CX$13:$CX$70)*($CE382=$CY$13:$CY$70)*($BY382=$DA$13:$DA$70)*($CD382=$DH$13:$DH$70),0)),""))</f>
        <v>Log-logistic</v>
      </c>
      <c r="DL382" s="58" t="str" cm="1">
        <f t="array" ref="DL382">IF(AND($BT382=4,$BX382=4,$BU382=999),$DC$36,_xlfn.IFNA(INDEX(CHOOSE(DP382,DB$13:DB$70,DC$13:DC$70,DD$13:DD$70,DE$13:DE$70),MATCH(1,($BR382=$CV$13:$CV$70)*($BT382=$CX$13:$CX$70)*($CE382=$CY$13:$CY$70)*($BY382=$DA$13:$DA$70)*($CD382=$DH$13:$DH$70),0)),""))</f>
        <v>Log-logistic</v>
      </c>
      <c r="DM382" s="740" cm="1">
        <f t="array" ref="DM382">IF(AND($BT382=4,$BX382=4,$BU382=999),$DD$36,_xlfn.IFNA(INDEX(DD$13:DD$68,MATCH(1,($BR382=$CV$13:$CV$68)*($BT382=$CX$13:$CX$68)*($CE382=$CY$13:$CY$68)*($BY382=$DA$13:$DA$68)*($CD382=$DH$13:$DH$68),0)),""))</f>
        <v>0</v>
      </c>
      <c r="DN382" s="740" cm="1">
        <f t="array" ref="DN382">IF(AND($BT382=4,$BX382=4,$BU382=999),$DD$36,_xlfn.IFNA(INDEX(DE$13:DE$68,MATCH(1,($BR382=$CV$13:$CV$68)*($BT382=$CX$13:$CX$68)*($CE382=$CY$13:$CY$68)*($BY382=$DA$13:$DA$68)*($CD382=$DH$13:$DH$68),0)),""))</f>
        <v>0</v>
      </c>
      <c r="DO382" s="58" t="str" cm="1">
        <f t="array" ref="DO382">IF(AND($BT382=4,$BX382=4,$BU382=999),$DF$36,_xlfn.IFNA(INDEX(DF$13:DF$70,MATCH(1,($BR382=$CV$13:$CV$70)*($BT382=$CX$13:$CX$70)*($CE382=$CY$13:$CY$70)*($BY382=$DA$13:$DA$70)*($CD382=$DH$13:$DH$70),0)),""))</f>
        <v>Base case</v>
      </c>
      <c r="DP382" s="58">
        <f t="shared" si="574"/>
        <v>1</v>
      </c>
      <c r="DW382" s="58" t="s">
        <v>58</v>
      </c>
      <c r="DX382" s="58" t="s">
        <v>544</v>
      </c>
      <c r="DY382" s="58">
        <v>0</v>
      </c>
      <c r="DZ382" s="58">
        <v>0</v>
      </c>
      <c r="EB382" s="58">
        <v>0</v>
      </c>
      <c r="EC382" s="58">
        <v>2</v>
      </c>
      <c r="ED382" s="58">
        <v>8</v>
      </c>
      <c r="EE382" s="58">
        <v>2</v>
      </c>
      <c r="EF382" s="58">
        <v>0</v>
      </c>
      <c r="EI382" s="58" t="s">
        <v>58</v>
      </c>
      <c r="EJ382" s="58" t="s">
        <v>544</v>
      </c>
      <c r="EK382" s="58">
        <v>0</v>
      </c>
      <c r="EL382" s="58">
        <v>0</v>
      </c>
      <c r="EN382" s="58">
        <v>0</v>
      </c>
      <c r="EO382" s="58">
        <v>2</v>
      </c>
      <c r="EP382" s="58">
        <v>10</v>
      </c>
      <c r="EQ382" s="58">
        <v>1</v>
      </c>
      <c r="ER382" s="58">
        <v>0</v>
      </c>
      <c r="EU382" s="58" t="str">
        <f t="shared" si="619"/>
        <v>No</v>
      </c>
      <c r="EV382" s="58" t="str">
        <f t="shared" si="620"/>
        <v>Overall survival</v>
      </c>
      <c r="EW382" s="58">
        <f t="shared" si="621"/>
        <v>0</v>
      </c>
      <c r="EX382" s="58">
        <f t="shared" si="622"/>
        <v>0</v>
      </c>
      <c r="EZ382" s="58">
        <f t="shared" si="623"/>
        <v>0</v>
      </c>
      <c r="FA382" s="58">
        <f t="shared" si="624"/>
        <v>2</v>
      </c>
      <c r="FB382" s="58">
        <f>IF(i_eff_inputs_based_on_num=2,ED382,(INDEX(Lists!$L$51:$L$85,MATCH(AD263,Lists!$K$51:$K$85,0))))</f>
        <v>8</v>
      </c>
      <c r="FC382" s="58">
        <f>IF(i_eff_inputs_based_on_num=2,EE382,(INDEX(Lists!$L$51:$L$85,MATCH(AE263,Lists!$K$51:$K$85,0))))</f>
        <v>2</v>
      </c>
      <c r="FD382" s="58">
        <f>IF(i_eff_inputs_based_on_num=2,EF382,(INDEX(Lists!$L$51:$L$85,MATCH(AF263,Lists!$K$51:$K$85,0))))</f>
        <v>0</v>
      </c>
      <c r="FG382" s="58" t="str">
        <f t="shared" si="625"/>
        <v>No</v>
      </c>
      <c r="FH382" s="58" t="str">
        <f t="shared" si="626"/>
        <v>Overall survival</v>
      </c>
      <c r="FI382" s="58">
        <f t="shared" si="627"/>
        <v>0</v>
      </c>
      <c r="FJ382" s="58">
        <f t="shared" si="628"/>
        <v>0</v>
      </c>
      <c r="FL382" s="58">
        <f t="shared" si="629"/>
        <v>0</v>
      </c>
      <c r="FM382" s="58">
        <f t="shared" si="630"/>
        <v>2</v>
      </c>
      <c r="FN382" s="58">
        <f>IF(i_eff_inputs_based_on_num=2,EP382,(INDEX(Lists!$L$51:$L$85,MATCH(AD263,Lists!$K$51:$K$85,0))))</f>
        <v>10</v>
      </c>
      <c r="FO382" s="58">
        <f>IF(i_eff_inputs_based_on_num=2,EQ382,(INDEX(Lists!$L$51:$L$85,MATCH(AE263,Lists!$K$51:$K$85,0))))</f>
        <v>1</v>
      </c>
      <c r="FP382" s="58">
        <f>IF(i_eff_inputs_based_on_num=2,ER382,(INDEX(Lists!$L$51:$L$85,MATCH(AF263,Lists!$K$51:$K$85,0))))</f>
        <v>0</v>
      </c>
      <c r="FT382" s="58">
        <f t="shared" si="581"/>
        <v>0</v>
      </c>
      <c r="FW382" s="58">
        <f>IF(i_baseline_risk_from=2,'Effectiveness settings'!EW382,'Effectiveness settings'!FI382)</f>
        <v>0</v>
      </c>
      <c r="FX382" s="58">
        <f t="shared" si="582"/>
        <v>0</v>
      </c>
      <c r="FY382" s="58">
        <f t="shared" si="583"/>
        <v>0</v>
      </c>
      <c r="FZ382" s="58">
        <f t="shared" si="584"/>
        <v>0</v>
      </c>
      <c r="GA382" s="58">
        <f t="shared" si="585"/>
        <v>0</v>
      </c>
      <c r="GB382" s="58">
        <f t="shared" si="586"/>
        <v>0</v>
      </c>
      <c r="GC382" s="58">
        <f t="shared" si="587"/>
        <v>0</v>
      </c>
      <c r="GD382" s="58">
        <f t="shared" si="588"/>
        <v>0</v>
      </c>
      <c r="GE382" s="58">
        <f>IF(AND(dd_CheckMate214_TTD="Yes",'Effectiveness settings'!BU382=2,'Effectiveness settings'!BX382=2),"Apply HR to",GD382)</f>
        <v>0</v>
      </c>
      <c r="GF382" s="58">
        <f t="shared" si="589"/>
        <v>0</v>
      </c>
      <c r="GG382" s="58">
        <f t="shared" si="590"/>
        <v>0</v>
      </c>
      <c r="GH382" s="58">
        <f t="shared" si="591"/>
        <v>0</v>
      </c>
      <c r="GI382" s="58">
        <f t="shared" si="571"/>
        <v>0</v>
      </c>
      <c r="GK382" s="58">
        <f>IF(i_baseline_risk_from=2,'Effectiveness settings'!FA382,'Effectiveness settings'!FM382)</f>
        <v>2</v>
      </c>
      <c r="GL382" s="58">
        <f>IF(i_baseline_risk_from=2,'Effectiveness settings'!FB382,'Effectiveness settings'!FN382)</f>
        <v>8</v>
      </c>
      <c r="GM382" s="58">
        <f>IF(i_baseline_risk_from=2,'Effectiveness settings'!FC382,'Effectiveness settings'!FO382)</f>
        <v>2</v>
      </c>
      <c r="GN382" s="58">
        <f>IF(i_baseline_risk_from=2,'Effectiveness settings'!FD382,'Effectiveness settings'!FP382)</f>
        <v>0</v>
      </c>
      <c r="GQ382" s="58">
        <f t="shared" si="592"/>
        <v>8</v>
      </c>
      <c r="GR382" s="58">
        <f t="shared" si="593"/>
        <v>8</v>
      </c>
      <c r="GS382" s="58">
        <f t="shared" si="594"/>
        <v>8</v>
      </c>
      <c r="GT382" s="58">
        <f t="shared" si="595"/>
        <v>8</v>
      </c>
      <c r="GU382" s="58">
        <f>IF(AND(dd_CheckMate214_TTD="Yes",'Effectiveness settings'!BU382=2,'Effectiveness settings'!BX382=2),2,GT382)</f>
        <v>8</v>
      </c>
      <c r="GV382" s="58">
        <f t="shared" si="596"/>
        <v>8</v>
      </c>
      <c r="GW382" s="58">
        <f t="shared" si="597"/>
        <v>8</v>
      </c>
      <c r="GY382" s="58">
        <f>IF(AND(dd_CheckMate214_TTD="Yes",'Effectiveness settings'!BU382=2,'Effectiveness settings'!BX382=2),1,GN382)</f>
        <v>0</v>
      </c>
      <c r="GZ382" s="58">
        <f t="shared" si="598"/>
        <v>0</v>
      </c>
      <c r="HB382" s="58">
        <f t="shared" si="599"/>
        <v>0</v>
      </c>
      <c r="HD382" s="58">
        <f t="shared" si="566"/>
        <v>0</v>
      </c>
      <c r="HE382" s="58">
        <f t="shared" si="567"/>
        <v>2</v>
      </c>
      <c r="HF382" s="58">
        <f t="shared" si="568"/>
        <v>8</v>
      </c>
      <c r="HG382" s="58">
        <f t="shared" si="569"/>
        <v>2</v>
      </c>
      <c r="HH382" s="58">
        <f t="shared" si="570"/>
        <v>0</v>
      </c>
    </row>
    <row r="383" spans="1:220" ht="15.75" x14ac:dyDescent="0.25">
      <c r="A383" s="876" t="s">
        <v>601</v>
      </c>
      <c r="I383" s="511" t="s">
        <v>158</v>
      </c>
      <c r="J383" s="511" t="s">
        <v>159</v>
      </c>
      <c r="BQ383" s="58">
        <f t="shared" si="573"/>
        <v>216</v>
      </c>
      <c r="BR383" s="61">
        <v>0</v>
      </c>
      <c r="BS383" s="61" t="s">
        <v>31</v>
      </c>
      <c r="BT383" s="17">
        <v>2</v>
      </c>
      <c r="BU383" s="17">
        <v>5</v>
      </c>
      <c r="BV383" s="17" t="str">
        <f t="shared" si="606"/>
        <v>pazopanib</v>
      </c>
      <c r="BW383" s="1006" t="str" cm="1">
        <f t="array" ref="BW383">IF(X264="No",X264,INDEX(List_incl_anal_2L_all,IF(BU383=999,35,BU383+1)))</f>
        <v>Yes</v>
      </c>
      <c r="BX383" s="61">
        <f t="shared" si="607"/>
        <v>0</v>
      </c>
      <c r="BY383" s="531" t="str">
        <f t="shared" si="608"/>
        <v>Overall survival</v>
      </c>
      <c r="BZ383" s="530" t="str">
        <f t="shared" si="609"/>
        <v>Assume equal to</v>
      </c>
      <c r="CA383" s="531">
        <f t="shared" si="631"/>
        <v>0</v>
      </c>
      <c r="CB383" s="530">
        <f t="shared" si="610"/>
        <v>0</v>
      </c>
      <c r="CC383" s="530">
        <f t="shared" si="611"/>
        <v>2</v>
      </c>
      <c r="CD383" s="530">
        <f t="shared" si="612"/>
        <v>7</v>
      </c>
      <c r="CE383" s="1295">
        <f t="shared" si="613"/>
        <v>2</v>
      </c>
      <c r="CF383" s="1301">
        <f t="shared" si="614"/>
        <v>0</v>
      </c>
      <c r="CG383" s="530" t="str">
        <f t="shared" si="615"/>
        <v/>
      </c>
      <c r="CH383" s="61">
        <f t="shared" si="616"/>
        <v>1</v>
      </c>
      <c r="CI383" s="61">
        <f t="shared" si="617"/>
        <v>1</v>
      </c>
      <c r="CJ383" s="61">
        <f t="shared" si="618"/>
        <v>1</v>
      </c>
      <c r="DK383" s="58" t="str" cm="1">
        <f t="array" ref="DK383">IF(AND($BT383=4,$BX383=4,$BU383=999),$DB$36,_xlfn.IFNA(INDEX(DB$13:DB$70,MATCH(1,($BR383=$CV$13:$CV$70)*($BT383=$CX$13:$CX$70)*($CE383=$CY$13:$CY$70)*($BY383=$DA$13:$DA$70)*($CD383=$DH$13:$DH$70),0)),""))</f>
        <v/>
      </c>
      <c r="DL383" s="58" t="str" cm="1">
        <f t="array" ref="DL383">IF(AND($BT383=4,$BX383=4,$BU383=999),$DC$36,_xlfn.IFNA(INDEX(CHOOSE(DP383,DB$13:DB$70,DC$13:DC$70,DD$13:DD$70,DE$13:DE$70),MATCH(1,($BR383=$CV$13:$CV$70)*($BT383=$CX$13:$CX$70)*($CE383=$CY$13:$CY$70)*($BY383=$DA$13:$DA$70)*($CD383=$DH$13:$DH$70),0)),""))</f>
        <v/>
      </c>
      <c r="DM383" s="740" t="str" cm="1">
        <f t="array" ref="DM383">IF(AND($BT383=4,$BX383=4,$BU383=999),$DD$36,_xlfn.IFNA(INDEX(DD$13:DD$68,MATCH(1,($BR383=$CV$13:$CV$68)*($BT383=$CX$13:$CX$68)*($CE383=$CY$13:$CY$68)*($BY383=$DA$13:$DA$68)*($CD383=$DH$13:$DH$68),0)),""))</f>
        <v/>
      </c>
      <c r="DN383" s="740" t="str" cm="1">
        <f t="array" ref="DN383">IF(AND($BT383=4,$BX383=4,$BU383=999),$DD$36,_xlfn.IFNA(INDEX(DE$13:DE$68,MATCH(1,($BR383=$CV$13:$CV$68)*($BT383=$CX$13:$CX$68)*($CE383=$CY$13:$CY$68)*($BY383=$DA$13:$DA$68)*($CD383=$DH$13:$DH$68),0)),""))</f>
        <v/>
      </c>
      <c r="DO383" s="58" t="str" cm="1">
        <f t="array" ref="DO383">IF(AND($BT383=4,$BX383=4,$BU383=999),$DF$36,_xlfn.IFNA(INDEX(DF$13:DF$70,MATCH(1,($BR383=$CV$13:$CV$70)*($BT383=$CX$13:$CX$70)*($CE383=$CY$13:$CY$70)*($BY383=$DA$13:$DA$70)*($CD383=$DH$13:$DH$70),0)),""))</f>
        <v/>
      </c>
      <c r="DP383" s="58" t="e">
        <f t="shared" si="574"/>
        <v>#N/A</v>
      </c>
      <c r="DW383" s="58" t="s">
        <v>74</v>
      </c>
      <c r="DX383" s="58" t="s">
        <v>544</v>
      </c>
      <c r="DY383" s="58" t="s">
        <v>561</v>
      </c>
      <c r="DZ383" s="58">
        <v>0</v>
      </c>
      <c r="EB383" s="58">
        <v>0</v>
      </c>
      <c r="EC383" s="58">
        <v>2</v>
      </c>
      <c r="ED383" s="58">
        <v>6</v>
      </c>
      <c r="EE383" s="58">
        <v>2</v>
      </c>
      <c r="EF383" s="58">
        <v>0</v>
      </c>
      <c r="EI383" s="58" t="s">
        <v>74</v>
      </c>
      <c r="EJ383" s="58" t="s">
        <v>544</v>
      </c>
      <c r="EK383" s="58" t="s">
        <v>561</v>
      </c>
      <c r="EL383" s="58">
        <v>0</v>
      </c>
      <c r="EN383" s="58">
        <v>0</v>
      </c>
      <c r="EO383" s="58">
        <v>2</v>
      </c>
      <c r="EP383" s="58">
        <v>6</v>
      </c>
      <c r="EQ383" s="58">
        <v>1</v>
      </c>
      <c r="ER383" s="58">
        <v>0</v>
      </c>
      <c r="EU383" s="58" t="str">
        <f t="shared" si="619"/>
        <v>Yes</v>
      </c>
      <c r="EV383" s="58" t="str">
        <f t="shared" si="620"/>
        <v>Overall survival</v>
      </c>
      <c r="EW383" s="58" t="str">
        <f t="shared" si="621"/>
        <v>Assume equal to</v>
      </c>
      <c r="EX383" s="58">
        <f t="shared" si="622"/>
        <v>0</v>
      </c>
      <c r="EZ383" s="58">
        <f t="shared" si="623"/>
        <v>0</v>
      </c>
      <c r="FA383" s="58">
        <f t="shared" si="624"/>
        <v>2</v>
      </c>
      <c r="FB383" s="58">
        <f>IF(i_eff_inputs_based_on_num=2,ED383,(INDEX(Lists!$L$51:$L$85,MATCH(AD264,Lists!$K$51:$K$85,0))))</f>
        <v>6</v>
      </c>
      <c r="FC383" s="58">
        <f>IF(i_eff_inputs_based_on_num=2,EE383,(INDEX(Lists!$L$51:$L$85,MATCH(AE264,Lists!$K$51:$K$85,0))))</f>
        <v>2</v>
      </c>
      <c r="FD383" s="58">
        <f>IF(i_eff_inputs_based_on_num=2,EF383,(INDEX(Lists!$L$51:$L$85,MATCH(AF264,Lists!$K$51:$K$85,0))))</f>
        <v>0</v>
      </c>
      <c r="FG383" s="58" t="str">
        <f t="shared" si="625"/>
        <v>Yes</v>
      </c>
      <c r="FH383" s="58" t="str">
        <f t="shared" si="626"/>
        <v>Overall survival</v>
      </c>
      <c r="FI383" s="58" t="str">
        <f t="shared" si="627"/>
        <v>Assume equal to</v>
      </c>
      <c r="FJ383" s="58">
        <f t="shared" si="628"/>
        <v>0</v>
      </c>
      <c r="FL383" s="58">
        <f t="shared" si="629"/>
        <v>0</v>
      </c>
      <c r="FM383" s="58">
        <f t="shared" si="630"/>
        <v>2</v>
      </c>
      <c r="FN383" s="58">
        <f>IF(i_eff_inputs_based_on_num=2,EP383,(INDEX(Lists!$L$51:$L$85,MATCH(AD264,Lists!$K$51:$K$85,0))))</f>
        <v>6</v>
      </c>
      <c r="FO383" s="58">
        <f>IF(i_eff_inputs_based_on_num=2,EQ383,(INDEX(Lists!$L$51:$L$85,MATCH(AE264,Lists!$K$51:$K$85,0))))</f>
        <v>1</v>
      </c>
      <c r="FP383" s="58">
        <f>IF(i_eff_inputs_based_on_num=2,ER383,(INDEX(Lists!$L$51:$L$85,MATCH(AF264,Lists!$K$51:$K$85,0))))</f>
        <v>0</v>
      </c>
      <c r="FT383" s="58">
        <f t="shared" si="581"/>
        <v>0</v>
      </c>
      <c r="FW383" s="58" t="str">
        <f>IF(i_baseline_risk_from=2,'Effectiveness settings'!EW383,'Effectiveness settings'!FI383)</f>
        <v>Assume equal to</v>
      </c>
      <c r="FX383" s="58" t="str">
        <f t="shared" si="582"/>
        <v>Assume equal to</v>
      </c>
      <c r="FY383" s="58" t="str">
        <f t="shared" si="583"/>
        <v>Assume equal to</v>
      </c>
      <c r="FZ383" s="58" t="str">
        <f t="shared" si="584"/>
        <v>Assume equal to</v>
      </c>
      <c r="GA383" s="58" t="str">
        <f t="shared" si="585"/>
        <v>Assume equal to</v>
      </c>
      <c r="GB383" s="58" t="str">
        <f t="shared" si="586"/>
        <v>Assume equal to</v>
      </c>
      <c r="GC383" s="58" t="str">
        <f t="shared" si="587"/>
        <v>Assume equal to</v>
      </c>
      <c r="GD383" s="58" t="str">
        <f t="shared" si="588"/>
        <v>Assume equal to</v>
      </c>
      <c r="GE383" s="58" t="str">
        <f>IF(AND(dd_CheckMate214_TTD="Yes",'Effectiveness settings'!BU383=2,'Effectiveness settings'!BX383=2),"Apply HR to",GD383)</f>
        <v>Assume equal to</v>
      </c>
      <c r="GF383" s="58" t="str">
        <f t="shared" si="589"/>
        <v>Assume equal to</v>
      </c>
      <c r="GG383" s="58" t="str">
        <f t="shared" si="590"/>
        <v>Assume equal to</v>
      </c>
      <c r="GH383" s="58" t="str">
        <f t="shared" si="591"/>
        <v>Assume equal to</v>
      </c>
      <c r="GI383" s="58" t="str">
        <f t="shared" si="571"/>
        <v>Assume equal to</v>
      </c>
      <c r="GK383" s="58">
        <f>IF(i_baseline_risk_from=2,'Effectiveness settings'!FA383,'Effectiveness settings'!FM383)</f>
        <v>2</v>
      </c>
      <c r="GL383" s="58">
        <f>IF(i_baseline_risk_from=2,'Effectiveness settings'!FB383,'Effectiveness settings'!FN383)</f>
        <v>6</v>
      </c>
      <c r="GM383" s="58">
        <f>IF(i_baseline_risk_from=2,'Effectiveness settings'!FC383,'Effectiveness settings'!FO383)</f>
        <v>2</v>
      </c>
      <c r="GN383" s="58">
        <f>IF(i_baseline_risk_from=2,'Effectiveness settings'!FD383,'Effectiveness settings'!FP383)</f>
        <v>0</v>
      </c>
      <c r="GQ383" s="58">
        <f t="shared" si="592"/>
        <v>7</v>
      </c>
      <c r="GR383" s="58">
        <f t="shared" si="593"/>
        <v>7</v>
      </c>
      <c r="GS383" s="58">
        <f t="shared" si="594"/>
        <v>7</v>
      </c>
      <c r="GT383" s="58">
        <f t="shared" si="595"/>
        <v>7</v>
      </c>
      <c r="GU383" s="58">
        <f>IF(AND(dd_CheckMate214_TTD="Yes",'Effectiveness settings'!BU383=2,'Effectiveness settings'!BX383=2),2,GT383)</f>
        <v>7</v>
      </c>
      <c r="GV383" s="58">
        <f t="shared" si="596"/>
        <v>7</v>
      </c>
      <c r="GW383" s="58">
        <f t="shared" si="597"/>
        <v>7</v>
      </c>
      <c r="GY383" s="58">
        <f>IF(AND(dd_CheckMate214_TTD="Yes",'Effectiveness settings'!BU383=2,'Effectiveness settings'!BX383=2),1,GN383)</f>
        <v>0</v>
      </c>
      <c r="GZ383" s="58">
        <f t="shared" si="598"/>
        <v>0</v>
      </c>
      <c r="HB383" s="58">
        <f t="shared" si="599"/>
        <v>0</v>
      </c>
      <c r="HD383" s="58">
        <f t="shared" si="566"/>
        <v>0</v>
      </c>
      <c r="HE383" s="58">
        <f t="shared" si="567"/>
        <v>2</v>
      </c>
      <c r="HF383" s="58">
        <f t="shared" si="568"/>
        <v>7</v>
      </c>
      <c r="HG383" s="58">
        <f t="shared" si="569"/>
        <v>2</v>
      </c>
      <c r="HH383" s="58">
        <f t="shared" si="570"/>
        <v>0</v>
      </c>
      <c r="HJ383" s="61" t="s">
        <v>602</v>
      </c>
      <c r="HK383" s="61" t="s">
        <v>603</v>
      </c>
      <c r="HL383" s="61" t="s">
        <v>604</v>
      </c>
    </row>
    <row r="384" spans="1:220" ht="15.75" x14ac:dyDescent="0.25">
      <c r="D384" s="58" t="str" cm="1">
        <f t="array" ref="D384:D397">List_comparators</f>
        <v>nivolumab_monotherapy</v>
      </c>
      <c r="I384" s="1060">
        <v>1</v>
      </c>
      <c r="J384" s="65"/>
      <c r="BQ384" s="58">
        <f t="shared" si="573"/>
        <v>217</v>
      </c>
      <c r="BR384" s="61">
        <v>0</v>
      </c>
      <c r="BS384" s="61" t="s">
        <v>31</v>
      </c>
      <c r="BT384" s="17">
        <v>2</v>
      </c>
      <c r="BU384" s="17">
        <v>6</v>
      </c>
      <c r="BV384" s="17" t="str">
        <f t="shared" si="606"/>
        <v>tivozanib</v>
      </c>
      <c r="BW384" s="1006" t="str" cm="1">
        <f t="array" ref="BW384">IF(X265="No",X265,INDEX(List_incl_anal_2L_all,IF(BU384=999,35,BU384+1)))</f>
        <v>Yes</v>
      </c>
      <c r="BX384" s="61">
        <f t="shared" si="607"/>
        <v>0</v>
      </c>
      <c r="BY384" s="531" t="str">
        <f t="shared" si="608"/>
        <v>Overall survival</v>
      </c>
      <c r="BZ384" s="530" t="str">
        <f t="shared" si="609"/>
        <v>PH_NMA</v>
      </c>
      <c r="CA384" s="531">
        <f t="shared" si="631"/>
        <v>0</v>
      </c>
      <c r="CB384" s="530">
        <f t="shared" si="610"/>
        <v>0</v>
      </c>
      <c r="CC384" s="530">
        <f t="shared" si="611"/>
        <v>2</v>
      </c>
      <c r="CD384" s="530">
        <f t="shared" si="612"/>
        <v>8</v>
      </c>
      <c r="CE384" s="1295">
        <f t="shared" si="613"/>
        <v>2</v>
      </c>
      <c r="CF384" s="1301">
        <f t="shared" si="614"/>
        <v>0</v>
      </c>
      <c r="CG384" s="530" t="str">
        <f t="shared" si="615"/>
        <v>Log-logistic</v>
      </c>
      <c r="CH384" s="61">
        <f t="shared" si="616"/>
        <v>0</v>
      </c>
      <c r="CI384" s="61">
        <f t="shared" si="617"/>
        <v>0</v>
      </c>
      <c r="CJ384" s="61">
        <f t="shared" si="618"/>
        <v>0</v>
      </c>
      <c r="DK384" s="58" t="str" cm="1">
        <f t="array" ref="DK384">IF(AND($BT384=4,$BX384=4,$BU384=999),$DB$36,_xlfn.IFNA(INDEX(DB$13:DB$70,MATCH(1,($BR384=$CV$13:$CV$70)*($BT384=$CX$13:$CX$70)*($CE384=$CY$13:$CY$70)*($BY384=$DA$13:$DA$70)*($CD384=$DH$13:$DH$70),0)),""))</f>
        <v>Log-logistic</v>
      </c>
      <c r="DL384" s="58" t="str" cm="1">
        <f t="array" ref="DL384">IF(AND($BT384=4,$BX384=4,$BU384=999),$DC$36,_xlfn.IFNA(INDEX(CHOOSE(DP384,DB$13:DB$70,DC$13:DC$70,DD$13:DD$70,DE$13:DE$70),MATCH(1,($BR384=$CV$13:$CV$70)*($BT384=$CX$13:$CX$70)*($CE384=$CY$13:$CY$70)*($BY384=$DA$13:$DA$70)*($CD384=$DH$13:$DH$70),0)),""))</f>
        <v>Log-logistic</v>
      </c>
      <c r="DM384" s="740" cm="1">
        <f t="array" ref="DM384">IF(AND($BT384=4,$BX384=4,$BU384=999),$DD$36,_xlfn.IFNA(INDEX(DD$13:DD$68,MATCH(1,($BR384=$CV$13:$CV$68)*($BT384=$CX$13:$CX$68)*($CE384=$CY$13:$CY$68)*($BY384=$DA$13:$DA$68)*($CD384=$DH$13:$DH$68),0)),""))</f>
        <v>0</v>
      </c>
      <c r="DN384" s="740" cm="1">
        <f t="array" ref="DN384">IF(AND($BT384=4,$BX384=4,$BU384=999),$DD$36,_xlfn.IFNA(INDEX(DE$13:DE$68,MATCH(1,($BR384=$CV$13:$CV$68)*($BT384=$CX$13:$CX$68)*($CE384=$CY$13:$CY$68)*($BY384=$DA$13:$DA$68)*($CD384=$DH$13:$DH$68),0)),""))</f>
        <v>0</v>
      </c>
      <c r="DO384" s="58" t="str" cm="1">
        <f t="array" ref="DO384">IF(AND($BT384=4,$BX384=4,$BU384=999),$DF$36,_xlfn.IFNA(INDEX(DF$13:DF$70,MATCH(1,($BR384=$CV$13:$CV$70)*($BT384=$CX$13:$CX$70)*($CE384=$CY$13:$CY$70)*($BY384=$DA$13:$DA$70)*($CD384=$DH$13:$DH$70),0)),""))</f>
        <v>Base case</v>
      </c>
      <c r="DP384" s="58">
        <f t="shared" si="574"/>
        <v>1</v>
      </c>
      <c r="DW384" s="58" t="s">
        <v>74</v>
      </c>
      <c r="DX384" s="58" t="s">
        <v>544</v>
      </c>
      <c r="DY384" s="58" t="s">
        <v>67</v>
      </c>
      <c r="DZ384" s="58">
        <v>0</v>
      </c>
      <c r="EB384" s="58">
        <v>0</v>
      </c>
      <c r="EC384" s="58">
        <v>2</v>
      </c>
      <c r="ED384" s="58">
        <v>8</v>
      </c>
      <c r="EE384" s="58">
        <v>2</v>
      </c>
      <c r="EF384" s="58">
        <v>0</v>
      </c>
      <c r="EI384" s="58" t="s">
        <v>74</v>
      </c>
      <c r="EJ384" s="58" t="s">
        <v>544</v>
      </c>
      <c r="EK384" s="58" t="s">
        <v>67</v>
      </c>
      <c r="EL384" s="58">
        <v>0</v>
      </c>
      <c r="EN384" s="58">
        <v>0</v>
      </c>
      <c r="EO384" s="58">
        <v>2</v>
      </c>
      <c r="EP384" s="58">
        <v>10</v>
      </c>
      <c r="EQ384" s="58">
        <v>1</v>
      </c>
      <c r="ER384" s="58">
        <v>0</v>
      </c>
      <c r="EU384" s="58" t="str">
        <f t="shared" si="619"/>
        <v>Yes</v>
      </c>
      <c r="EV384" s="58" t="str">
        <f t="shared" si="620"/>
        <v>Overall survival</v>
      </c>
      <c r="EW384" s="58" t="str">
        <f t="shared" si="621"/>
        <v>PH_NMA</v>
      </c>
      <c r="EX384" s="58">
        <f t="shared" si="622"/>
        <v>0</v>
      </c>
      <c r="EZ384" s="58">
        <f t="shared" si="623"/>
        <v>0</v>
      </c>
      <c r="FA384" s="58">
        <f t="shared" si="624"/>
        <v>2</v>
      </c>
      <c r="FB384" s="58">
        <f>IF(i_eff_inputs_based_on_num=2,ED384,(INDEX(Lists!$L$51:$L$85,MATCH(AD265,Lists!$K$51:$K$85,0))))</f>
        <v>8</v>
      </c>
      <c r="FC384" s="58">
        <f>IF(i_eff_inputs_based_on_num=2,EE384,(INDEX(Lists!$L$51:$L$85,MATCH(AE265,Lists!$K$51:$K$85,0))))</f>
        <v>2</v>
      </c>
      <c r="FD384" s="58">
        <f>IF(i_eff_inputs_based_on_num=2,EF384,(INDEX(Lists!$L$51:$L$85,MATCH(AF265,Lists!$K$51:$K$85,0))))</f>
        <v>0</v>
      </c>
      <c r="FG384" s="58" t="str">
        <f t="shared" si="625"/>
        <v>Yes</v>
      </c>
      <c r="FH384" s="58" t="str">
        <f t="shared" si="626"/>
        <v>Overall survival</v>
      </c>
      <c r="FI384" s="58" t="str">
        <f t="shared" si="627"/>
        <v>PH_NMA</v>
      </c>
      <c r="FJ384" s="58">
        <f t="shared" si="628"/>
        <v>0</v>
      </c>
      <c r="FL384" s="58">
        <f t="shared" si="629"/>
        <v>0</v>
      </c>
      <c r="FM384" s="58">
        <f t="shared" si="630"/>
        <v>2</v>
      </c>
      <c r="FN384" s="58">
        <f>IF(i_eff_inputs_based_on_num=2,EP384,(INDEX(Lists!$L$51:$L$85,MATCH(AD265,Lists!$K$51:$K$85,0))))</f>
        <v>10</v>
      </c>
      <c r="FO384" s="58">
        <f>IF(i_eff_inputs_based_on_num=2,EQ384,(INDEX(Lists!$L$51:$L$85,MATCH(AE265,Lists!$K$51:$K$85,0))))</f>
        <v>1</v>
      </c>
      <c r="FP384" s="58">
        <f>IF(i_eff_inputs_based_on_num=2,ER384,(INDEX(Lists!$L$51:$L$85,MATCH(AF265,Lists!$K$51:$K$85,0))))</f>
        <v>0</v>
      </c>
      <c r="FT384" s="58">
        <f t="shared" si="581"/>
        <v>0</v>
      </c>
      <c r="FW384" s="58" t="str">
        <f>IF(i_baseline_risk_from=2,'Effectiveness settings'!EW384,'Effectiveness settings'!FI384)</f>
        <v>PH_NMA</v>
      </c>
      <c r="FX384" s="58" t="str">
        <f t="shared" si="582"/>
        <v>PH_NMA</v>
      </c>
      <c r="FY384" s="58" t="str">
        <f t="shared" si="583"/>
        <v>PH_NMA</v>
      </c>
      <c r="FZ384" s="58" t="str">
        <f t="shared" si="584"/>
        <v>PH_NMA</v>
      </c>
      <c r="GA384" s="58" t="str">
        <f t="shared" si="585"/>
        <v>PH_NMA</v>
      </c>
      <c r="GB384" s="58" t="str">
        <f t="shared" si="586"/>
        <v>PH_NMA</v>
      </c>
      <c r="GC384" s="58" t="str">
        <f t="shared" si="587"/>
        <v>PH_NMA</v>
      </c>
      <c r="GD384" s="58" t="str">
        <f t="shared" si="588"/>
        <v>PH_NMA</v>
      </c>
      <c r="GE384" s="58" t="str">
        <f>IF(AND(dd_CheckMate214_TTD="Yes",'Effectiveness settings'!BU384=2,'Effectiveness settings'!BX384=2),"Apply HR to",GD384)</f>
        <v>PH_NMA</v>
      </c>
      <c r="GF384" s="58" t="str">
        <f t="shared" si="589"/>
        <v>PH_NMA</v>
      </c>
      <c r="GG384" s="58" t="str">
        <f t="shared" si="590"/>
        <v>PH_NMA</v>
      </c>
      <c r="GH384" s="58" t="str">
        <f t="shared" si="591"/>
        <v>PH_NMA</v>
      </c>
      <c r="GI384" s="58" t="str">
        <f t="shared" si="571"/>
        <v>PH_NMA</v>
      </c>
      <c r="GK384" s="58">
        <f>IF(i_baseline_risk_from=2,'Effectiveness settings'!FA384,'Effectiveness settings'!FM384)</f>
        <v>2</v>
      </c>
      <c r="GL384" s="58">
        <f>IF(i_baseline_risk_from=2,'Effectiveness settings'!FB384,'Effectiveness settings'!FN384)</f>
        <v>8</v>
      </c>
      <c r="GM384" s="58">
        <f>IF(i_baseline_risk_from=2,'Effectiveness settings'!FC384,'Effectiveness settings'!FO384)</f>
        <v>2</v>
      </c>
      <c r="GN384" s="58">
        <f>IF(i_baseline_risk_from=2,'Effectiveness settings'!FD384,'Effectiveness settings'!FP384)</f>
        <v>0</v>
      </c>
      <c r="GQ384" s="58">
        <f t="shared" si="592"/>
        <v>8</v>
      </c>
      <c r="GR384" s="58">
        <f t="shared" si="593"/>
        <v>8</v>
      </c>
      <c r="GS384" s="58">
        <f t="shared" si="594"/>
        <v>8</v>
      </c>
      <c r="GT384" s="58">
        <f t="shared" si="595"/>
        <v>8</v>
      </c>
      <c r="GU384" s="58">
        <f>IF(AND(dd_CheckMate214_TTD="Yes",'Effectiveness settings'!BU384=2,'Effectiveness settings'!BX384=2),2,GT384)</f>
        <v>8</v>
      </c>
      <c r="GV384" s="58">
        <f t="shared" si="596"/>
        <v>8</v>
      </c>
      <c r="GW384" s="58">
        <f t="shared" si="597"/>
        <v>8</v>
      </c>
      <c r="GY384" s="58">
        <f>IF(AND(dd_CheckMate214_TTD="Yes",'Effectiveness settings'!BU384=2,'Effectiveness settings'!BX384=2),1,GN384)</f>
        <v>0</v>
      </c>
      <c r="GZ384" s="58">
        <f t="shared" si="598"/>
        <v>0</v>
      </c>
      <c r="HB384" s="58">
        <f t="shared" si="599"/>
        <v>0</v>
      </c>
      <c r="HD384" s="58">
        <f t="shared" si="566"/>
        <v>0</v>
      </c>
      <c r="HE384" s="58">
        <f t="shared" si="567"/>
        <v>2</v>
      </c>
      <c r="HF384" s="58">
        <f t="shared" si="568"/>
        <v>8</v>
      </c>
      <c r="HG384" s="58">
        <f t="shared" si="569"/>
        <v>2</v>
      </c>
      <c r="HH384" s="58">
        <f t="shared" si="570"/>
        <v>0</v>
      </c>
      <c r="HJ384" s="61" t="str" cm="1">
        <f t="array" ref="HJ384:HJ397">List_comparators</f>
        <v>nivolumab_monotherapy</v>
      </c>
      <c r="HK384" s="61">
        <f t="shared" ref="HK384:HK397" si="632">I384</f>
        <v>1</v>
      </c>
      <c r="HL384" s="61">
        <f t="shared" ref="HL384:HL397" si="633">J384</f>
        <v>0</v>
      </c>
    </row>
    <row r="385" spans="1:222" ht="15.75" x14ac:dyDescent="0.25">
      <c r="D385" s="58" t="str">
        <v>cabozantinib_plus_nivolumab</v>
      </c>
      <c r="I385" s="1066">
        <f>1/0.86</f>
        <v>1.1627906976744187</v>
      </c>
      <c r="J385" s="999">
        <f>((1.58-0.46)/2)</f>
        <v>0.56000000000000005</v>
      </c>
      <c r="BQ385" s="58">
        <f t="shared" si="573"/>
        <v>218</v>
      </c>
      <c r="BR385" s="61">
        <v>0</v>
      </c>
      <c r="BS385" s="61" t="s">
        <v>31</v>
      </c>
      <c r="BT385" s="17">
        <v>2</v>
      </c>
      <c r="BU385" s="17">
        <v>7</v>
      </c>
      <c r="BV385" s="17" t="str">
        <f t="shared" si="606"/>
        <v>sunitinib</v>
      </c>
      <c r="BW385" s="1006" t="str" cm="1">
        <f t="array" ref="BW385">IF(X266="No",X266,INDEX(List_incl_anal_2L_all,IF(BU385=999,35,BU385+1)))</f>
        <v>Yes</v>
      </c>
      <c r="BX385" s="61">
        <f t="shared" si="607"/>
        <v>0</v>
      </c>
      <c r="BY385" s="531" t="str">
        <f t="shared" si="608"/>
        <v>Overall survival</v>
      </c>
      <c r="BZ385" s="530" t="str">
        <f t="shared" si="609"/>
        <v>Assume equal to</v>
      </c>
      <c r="CA385" s="531">
        <f t="shared" si="631"/>
        <v>0</v>
      </c>
      <c r="CB385" s="530">
        <f t="shared" si="610"/>
        <v>0</v>
      </c>
      <c r="CC385" s="530">
        <f t="shared" si="611"/>
        <v>2</v>
      </c>
      <c r="CD385" s="530">
        <f t="shared" si="612"/>
        <v>6</v>
      </c>
      <c r="CE385" s="1295">
        <f t="shared" si="613"/>
        <v>2</v>
      </c>
      <c r="CF385" s="1301">
        <f t="shared" si="614"/>
        <v>0</v>
      </c>
      <c r="CG385" s="530" t="str">
        <f t="shared" si="615"/>
        <v/>
      </c>
      <c r="CH385" s="61">
        <f t="shared" si="616"/>
        <v>0</v>
      </c>
      <c r="CI385" s="61">
        <f t="shared" si="617"/>
        <v>0</v>
      </c>
      <c r="CJ385" s="61">
        <f t="shared" si="618"/>
        <v>0</v>
      </c>
      <c r="DK385" s="58" t="str" cm="1">
        <f t="array" ref="DK385">IF(AND($BT385=4,$BX385=4,$BU385=999),$DB$36,_xlfn.IFNA(INDEX(DB$13:DB$70,MATCH(1,($BR385=$CV$13:$CV$70)*($BT385=$CX$13:$CX$70)*($CE385=$CY$13:$CY$70)*($BY385=$DA$13:$DA$70)*($CD385=$DH$13:$DH$70),0)),""))</f>
        <v/>
      </c>
      <c r="DL385" s="58" t="str" cm="1">
        <f t="array" ref="DL385">IF(AND($BT385=4,$BX385=4,$BU385=999),$DC$36,_xlfn.IFNA(INDEX(CHOOSE(DP385,DB$13:DB$70,DC$13:DC$70,DD$13:DD$70,DE$13:DE$70),MATCH(1,($BR385=$CV$13:$CV$70)*($BT385=$CX$13:$CX$70)*($CE385=$CY$13:$CY$70)*($BY385=$DA$13:$DA$70)*($CD385=$DH$13:$DH$70),0)),""))</f>
        <v/>
      </c>
      <c r="DM385" s="740" t="str" cm="1">
        <f t="array" ref="DM385">IF(AND($BT385=4,$BX385=4,$BU385=999),$DD$36,_xlfn.IFNA(INDEX(DD$13:DD$68,MATCH(1,($BR385=$CV$13:$CV$68)*($BT385=$CX$13:$CX$68)*($CE385=$CY$13:$CY$68)*($BY385=$DA$13:$DA$68)*($CD385=$DH$13:$DH$68),0)),""))</f>
        <v/>
      </c>
      <c r="DN385" s="740" t="str" cm="1">
        <f t="array" ref="DN385">IF(AND($BT385=4,$BX385=4,$BU385=999),$DD$36,_xlfn.IFNA(INDEX(DE$13:DE$68,MATCH(1,($BR385=$CV$13:$CV$68)*($BT385=$CX$13:$CX$68)*($CE385=$CY$13:$CY$68)*($BY385=$DA$13:$DA$68)*($CD385=$DH$13:$DH$68),0)),""))</f>
        <v/>
      </c>
      <c r="DO385" s="58" t="str" cm="1">
        <f t="array" ref="DO385">IF(AND($BT385=4,$BX385=4,$BU385=999),$DF$36,_xlfn.IFNA(INDEX(DF$13:DF$70,MATCH(1,($BR385=$CV$13:$CV$70)*($BT385=$CX$13:$CX$70)*($CE385=$CY$13:$CY$70)*($BY385=$DA$13:$DA$70)*($CD385=$DH$13:$DH$70),0)),""))</f>
        <v/>
      </c>
      <c r="DP385" s="58" t="e">
        <f t="shared" si="574"/>
        <v>#N/A</v>
      </c>
      <c r="DW385" s="58" t="s">
        <v>74</v>
      </c>
      <c r="DX385" s="58" t="s">
        <v>544</v>
      </c>
      <c r="DY385" s="58" t="s">
        <v>561</v>
      </c>
      <c r="DZ385" s="58">
        <v>0</v>
      </c>
      <c r="EB385" s="58">
        <v>0</v>
      </c>
      <c r="EC385" s="58">
        <v>2</v>
      </c>
      <c r="ED385" s="58">
        <v>6</v>
      </c>
      <c r="EE385" s="58">
        <v>2</v>
      </c>
      <c r="EF385" s="58">
        <v>0</v>
      </c>
      <c r="EI385" s="58" t="s">
        <v>74</v>
      </c>
      <c r="EJ385" s="58" t="s">
        <v>544</v>
      </c>
      <c r="EK385" s="58" t="s">
        <v>561</v>
      </c>
      <c r="EL385" s="58">
        <v>0</v>
      </c>
      <c r="EN385" s="58">
        <v>0</v>
      </c>
      <c r="EO385" s="58">
        <v>2</v>
      </c>
      <c r="EP385" s="58">
        <v>6</v>
      </c>
      <c r="EQ385" s="58">
        <v>1</v>
      </c>
      <c r="ER385" s="58">
        <v>0</v>
      </c>
      <c r="EU385" s="58" t="str">
        <f t="shared" si="619"/>
        <v>Yes</v>
      </c>
      <c r="EV385" s="58" t="str">
        <f t="shared" si="620"/>
        <v>Overall survival</v>
      </c>
      <c r="EW385" s="58" t="str">
        <f t="shared" si="621"/>
        <v>Assume equal to</v>
      </c>
      <c r="EX385" s="58">
        <f t="shared" si="622"/>
        <v>0</v>
      </c>
      <c r="EZ385" s="58">
        <f t="shared" si="623"/>
        <v>0</v>
      </c>
      <c r="FA385" s="58">
        <f t="shared" si="624"/>
        <v>2</v>
      </c>
      <c r="FB385" s="58">
        <f>IF(i_eff_inputs_based_on_num=2,ED385,(INDEX(Lists!$L$51:$L$85,MATCH(AD266,Lists!$K$51:$K$85,0))))</f>
        <v>6</v>
      </c>
      <c r="FC385" s="58">
        <f>IF(i_eff_inputs_based_on_num=2,EE385,(INDEX(Lists!$L$51:$L$85,MATCH(AE266,Lists!$K$51:$K$85,0))))</f>
        <v>2</v>
      </c>
      <c r="FD385" s="58">
        <f>IF(i_eff_inputs_based_on_num=2,EF385,(INDEX(Lists!$L$51:$L$85,MATCH(AF266,Lists!$K$51:$K$85,0))))</f>
        <v>0</v>
      </c>
      <c r="FG385" s="58" t="str">
        <f t="shared" si="625"/>
        <v>Yes</v>
      </c>
      <c r="FH385" s="58" t="str">
        <f t="shared" si="626"/>
        <v>Overall survival</v>
      </c>
      <c r="FI385" s="58" t="str">
        <f t="shared" si="627"/>
        <v>Assume equal to</v>
      </c>
      <c r="FJ385" s="58">
        <f t="shared" si="628"/>
        <v>0</v>
      </c>
      <c r="FL385" s="58">
        <f t="shared" si="629"/>
        <v>0</v>
      </c>
      <c r="FM385" s="58">
        <f t="shared" si="630"/>
        <v>2</v>
      </c>
      <c r="FN385" s="58">
        <f>IF(i_eff_inputs_based_on_num=2,EP385,(INDEX(Lists!$L$51:$L$85,MATCH(AD266,Lists!$K$51:$K$85,0))))</f>
        <v>6</v>
      </c>
      <c r="FO385" s="58">
        <f>IF(i_eff_inputs_based_on_num=2,EQ385,(INDEX(Lists!$L$51:$L$85,MATCH(AE266,Lists!$K$51:$K$85,0))))</f>
        <v>1</v>
      </c>
      <c r="FP385" s="58">
        <f>IF(i_eff_inputs_based_on_num=2,ER385,(INDEX(Lists!$L$51:$L$85,MATCH(AF266,Lists!$K$51:$K$85,0))))</f>
        <v>0</v>
      </c>
      <c r="FT385" s="58">
        <f t="shared" si="581"/>
        <v>0</v>
      </c>
      <c r="FW385" s="58" t="str">
        <f>IF(i_baseline_risk_from=2,'Effectiveness settings'!EW385,'Effectiveness settings'!FI385)</f>
        <v>Assume equal to</v>
      </c>
      <c r="FX385" s="58" t="str">
        <f t="shared" si="582"/>
        <v>Assume equal to</v>
      </c>
      <c r="FY385" s="58" t="str">
        <f t="shared" si="583"/>
        <v>Assume equal to</v>
      </c>
      <c r="FZ385" s="58" t="str">
        <f t="shared" si="584"/>
        <v>Assume equal to</v>
      </c>
      <c r="GA385" s="58" t="str">
        <f t="shared" si="585"/>
        <v>Assume equal to</v>
      </c>
      <c r="GB385" s="58" t="str">
        <f t="shared" si="586"/>
        <v>Assume equal to</v>
      </c>
      <c r="GC385" s="58" t="str">
        <f t="shared" si="587"/>
        <v>Assume equal to</v>
      </c>
      <c r="GD385" s="58" t="str">
        <f t="shared" si="588"/>
        <v>Assume equal to</v>
      </c>
      <c r="GE385" s="58" t="str">
        <f>IF(AND(dd_CheckMate214_TTD="Yes",'Effectiveness settings'!BU385=2,'Effectiveness settings'!BX385=2),"Apply HR to",GD385)</f>
        <v>Assume equal to</v>
      </c>
      <c r="GF385" s="58" t="str">
        <f t="shared" si="589"/>
        <v>Assume equal to</v>
      </c>
      <c r="GG385" s="58" t="str">
        <f t="shared" si="590"/>
        <v>Assume equal to</v>
      </c>
      <c r="GH385" s="58" t="str">
        <f t="shared" si="591"/>
        <v>Assume equal to</v>
      </c>
      <c r="GI385" s="58" t="str">
        <f t="shared" si="571"/>
        <v>Assume equal to</v>
      </c>
      <c r="GK385" s="58">
        <f>IF(i_baseline_risk_from=2,'Effectiveness settings'!FA385,'Effectiveness settings'!FM385)</f>
        <v>2</v>
      </c>
      <c r="GL385" s="58">
        <f>IF(i_baseline_risk_from=2,'Effectiveness settings'!FB385,'Effectiveness settings'!FN385)</f>
        <v>6</v>
      </c>
      <c r="GM385" s="58">
        <f>IF(i_baseline_risk_from=2,'Effectiveness settings'!FC385,'Effectiveness settings'!FO385)</f>
        <v>2</v>
      </c>
      <c r="GN385" s="58">
        <f>IF(i_baseline_risk_from=2,'Effectiveness settings'!FD385,'Effectiveness settings'!FP385)</f>
        <v>0</v>
      </c>
      <c r="GQ385" s="58">
        <f t="shared" si="592"/>
        <v>6</v>
      </c>
      <c r="GR385" s="58">
        <f t="shared" si="593"/>
        <v>6</v>
      </c>
      <c r="GS385" s="58">
        <f t="shared" si="594"/>
        <v>6</v>
      </c>
      <c r="GT385" s="58">
        <f t="shared" si="595"/>
        <v>6</v>
      </c>
      <c r="GU385" s="58">
        <f>IF(AND(dd_CheckMate214_TTD="Yes",'Effectiveness settings'!BU385=2,'Effectiveness settings'!BX385=2),2,GT385)</f>
        <v>6</v>
      </c>
      <c r="GV385" s="58">
        <f t="shared" si="596"/>
        <v>6</v>
      </c>
      <c r="GW385" s="58">
        <f t="shared" si="597"/>
        <v>6</v>
      </c>
      <c r="GY385" s="58">
        <f>IF(AND(dd_CheckMate214_TTD="Yes",'Effectiveness settings'!BU385=2,'Effectiveness settings'!BX385=2),1,GN385)</f>
        <v>0</v>
      </c>
      <c r="GZ385" s="58">
        <f t="shared" si="598"/>
        <v>0</v>
      </c>
      <c r="HB385" s="58">
        <f t="shared" si="599"/>
        <v>0</v>
      </c>
      <c r="HD385" s="58">
        <f t="shared" si="566"/>
        <v>0</v>
      </c>
      <c r="HE385" s="58">
        <f t="shared" si="567"/>
        <v>2</v>
      </c>
      <c r="HF385" s="58">
        <f t="shared" si="568"/>
        <v>6</v>
      </c>
      <c r="HG385" s="58">
        <f t="shared" si="569"/>
        <v>2</v>
      </c>
      <c r="HH385" s="58">
        <f t="shared" si="570"/>
        <v>0</v>
      </c>
      <c r="HJ385" s="61" t="str">
        <v>cabozantinib_plus_nivolumab</v>
      </c>
      <c r="HK385" s="61">
        <f t="shared" si="632"/>
        <v>1.1627906976744187</v>
      </c>
      <c r="HL385" s="61">
        <f t="shared" si="633"/>
        <v>0.56000000000000005</v>
      </c>
    </row>
    <row r="386" spans="1:222" ht="15.75" x14ac:dyDescent="0.25">
      <c r="D386" s="58" t="str">
        <v>nivolumab_plus_ipilimumab</v>
      </c>
      <c r="I386" s="998">
        <f t="shared" ref="I386:J388" si="634">I385</f>
        <v>1.1627906976744187</v>
      </c>
      <c r="J386" s="999">
        <f t="shared" si="634"/>
        <v>0.56000000000000005</v>
      </c>
      <c r="K386" s="58" t="s">
        <v>605</v>
      </c>
      <c r="BQ386" s="58">
        <f t="shared" si="573"/>
        <v>219</v>
      </c>
      <c r="BR386" s="61">
        <v>0</v>
      </c>
      <c r="BS386" s="61" t="s">
        <v>31</v>
      </c>
      <c r="BT386" s="17">
        <v>2</v>
      </c>
      <c r="BU386" s="17">
        <v>8</v>
      </c>
      <c r="BV386" s="17" t="str">
        <f t="shared" si="606"/>
        <v>cabozantinib</v>
      </c>
      <c r="BW386" s="1006" t="str" cm="1">
        <f t="array" ref="BW386">IF(X267="No",X267,INDEX(List_incl_anal_2L_all,IF(BU386=999,35,BU386+1)))</f>
        <v>Yes</v>
      </c>
      <c r="BX386" s="61">
        <f t="shared" si="607"/>
        <v>0</v>
      </c>
      <c r="BY386" s="531" t="str">
        <f t="shared" si="608"/>
        <v>Overall survival</v>
      </c>
      <c r="BZ386" s="530" t="str">
        <f t="shared" si="609"/>
        <v>Trial survival analysis</v>
      </c>
      <c r="CA386" s="531" t="str">
        <f t="shared" si="631"/>
        <v>Real world evidence</v>
      </c>
      <c r="CB386" s="530">
        <f t="shared" si="610"/>
        <v>0</v>
      </c>
      <c r="CC386" s="530">
        <f t="shared" si="611"/>
        <v>2</v>
      </c>
      <c r="CD386" s="530">
        <f t="shared" si="612"/>
        <v>8</v>
      </c>
      <c r="CE386" s="1295">
        <f t="shared" si="613"/>
        <v>2</v>
      </c>
      <c r="CF386" s="1301">
        <f t="shared" si="614"/>
        <v>0</v>
      </c>
      <c r="CG386" s="530" t="str">
        <f t="shared" si="615"/>
        <v>Log-logistic</v>
      </c>
      <c r="CH386" s="61">
        <f t="shared" si="616"/>
        <v>0</v>
      </c>
      <c r="CI386" s="61">
        <f t="shared" si="617"/>
        <v>0</v>
      </c>
      <c r="CJ386" s="61">
        <f t="shared" si="618"/>
        <v>0</v>
      </c>
      <c r="DK386" s="58" t="str" cm="1">
        <f t="array" ref="DK386">IF(AND($BT386=4,$BX386=4,$BU386=999),$DB$36,_xlfn.IFNA(INDEX(DB$13:DB$70,MATCH(1,($BR386=$CV$13:$CV$70)*($BT386=$CX$13:$CX$70)*($CE386=$CY$13:$CY$70)*($BY386=$DA$13:$DA$70)*($CD386=$DH$13:$DH$70),0)),""))</f>
        <v>Log-logistic</v>
      </c>
      <c r="DL386" s="58" t="str" cm="1">
        <f t="array" ref="DL386">IF(AND($BT386=4,$BX386=4,$BU386=999),$DC$36,_xlfn.IFNA(INDEX(CHOOSE(DP386,DB$13:DB$70,DC$13:DC$70,DD$13:DD$70,DE$13:DE$70),MATCH(1,($BR386=$CV$13:$CV$70)*($BT386=$CX$13:$CX$70)*($CE386=$CY$13:$CY$70)*($BY386=$DA$13:$DA$70)*($CD386=$DH$13:$DH$70),0)),""))</f>
        <v>Log-logistic</v>
      </c>
      <c r="DM386" s="740" cm="1">
        <f t="array" ref="DM386">IF(AND($BT386=4,$BX386=4,$BU386=999),$DD$36,_xlfn.IFNA(INDEX(DD$13:DD$68,MATCH(1,($BR386=$CV$13:$CV$68)*($BT386=$CX$13:$CX$68)*($CE386=$CY$13:$CY$68)*($BY386=$DA$13:$DA$68)*($CD386=$DH$13:$DH$68),0)),""))</f>
        <v>0</v>
      </c>
      <c r="DN386" s="740" cm="1">
        <f t="array" ref="DN386">IF(AND($BT386=4,$BX386=4,$BU386=999),$DD$36,_xlfn.IFNA(INDEX(DE$13:DE$68,MATCH(1,($BR386=$CV$13:$CV$68)*($BT386=$CX$13:$CX$68)*($CE386=$CY$13:$CY$68)*($BY386=$DA$13:$DA$68)*($CD386=$DH$13:$DH$68),0)),""))</f>
        <v>0</v>
      </c>
      <c r="DO386" s="58" t="str" cm="1">
        <f t="array" ref="DO386">IF(AND($BT386=4,$BX386=4,$BU386=999),$DF$36,_xlfn.IFNA(INDEX(DF$13:DF$70,MATCH(1,($BR386=$CV$13:$CV$70)*($BT386=$CX$13:$CX$70)*($CE386=$CY$13:$CY$70)*($BY386=$DA$13:$DA$70)*($CD386=$DH$13:$DH$70),0)),""))</f>
        <v>Base case</v>
      </c>
      <c r="DP386" s="58">
        <f t="shared" si="574"/>
        <v>1</v>
      </c>
      <c r="DW386" s="58" t="s">
        <v>74</v>
      </c>
      <c r="DX386" s="58" t="s">
        <v>544</v>
      </c>
      <c r="DY386" s="58" t="s">
        <v>562</v>
      </c>
      <c r="DZ386" s="58" t="s">
        <v>547</v>
      </c>
      <c r="EB386" s="58">
        <v>0</v>
      </c>
      <c r="EC386" s="58">
        <v>2</v>
      </c>
      <c r="ED386" s="58">
        <v>8</v>
      </c>
      <c r="EE386" s="58">
        <v>2</v>
      </c>
      <c r="EF386" s="58">
        <v>0</v>
      </c>
      <c r="EI386" s="58" t="s">
        <v>74</v>
      </c>
      <c r="EJ386" s="58" t="s">
        <v>544</v>
      </c>
      <c r="EK386" s="58" t="s">
        <v>63</v>
      </c>
      <c r="EL386" s="58">
        <v>0</v>
      </c>
      <c r="EN386" s="58">
        <v>0</v>
      </c>
      <c r="EO386" s="58">
        <v>2</v>
      </c>
      <c r="EP386" s="58">
        <v>10</v>
      </c>
      <c r="EQ386" s="58">
        <v>1</v>
      </c>
      <c r="ER386" s="58">
        <v>0</v>
      </c>
      <c r="EU386" s="58" t="str">
        <f t="shared" si="619"/>
        <v>Yes</v>
      </c>
      <c r="EV386" s="58" t="str">
        <f t="shared" si="620"/>
        <v>Overall survival</v>
      </c>
      <c r="EW386" s="58" t="str">
        <f t="shared" si="621"/>
        <v>Trial survival analysis</v>
      </c>
      <c r="EX386" s="58" t="str">
        <f t="shared" si="622"/>
        <v>Real world evidence</v>
      </c>
      <c r="EZ386" s="58">
        <f t="shared" si="623"/>
        <v>0</v>
      </c>
      <c r="FA386" s="58">
        <f t="shared" si="624"/>
        <v>2</v>
      </c>
      <c r="FB386" s="58">
        <f>IF(i_eff_inputs_based_on_num=2,ED386,(INDEX(Lists!$L$51:$L$85,MATCH(AD267,Lists!$K$51:$K$85,0))))</f>
        <v>8</v>
      </c>
      <c r="FC386" s="58">
        <f>IF(i_eff_inputs_based_on_num=2,EE386,(INDEX(Lists!$L$51:$L$85,MATCH(AE267,Lists!$K$51:$K$85,0))))</f>
        <v>2</v>
      </c>
      <c r="FD386" s="58">
        <f>IF(i_eff_inputs_based_on_num=2,EF386,(INDEX(Lists!$L$51:$L$85,MATCH(AF267,Lists!$K$51:$K$85,0))))</f>
        <v>0</v>
      </c>
      <c r="FG386" s="58" t="str">
        <f t="shared" si="625"/>
        <v>Yes</v>
      </c>
      <c r="FH386" s="58" t="str">
        <f t="shared" si="626"/>
        <v>Overall survival</v>
      </c>
      <c r="FI386" s="58" t="str">
        <f t="shared" si="627"/>
        <v>FP_NMA</v>
      </c>
      <c r="FJ386" s="58">
        <f t="shared" si="628"/>
        <v>0</v>
      </c>
      <c r="FL386" s="58">
        <f t="shared" si="629"/>
        <v>0</v>
      </c>
      <c r="FM386" s="58">
        <f t="shared" si="630"/>
        <v>2</v>
      </c>
      <c r="FN386" s="58">
        <f>IF(i_eff_inputs_based_on_num=2,EP386,(INDEX(Lists!$L$51:$L$85,MATCH(AD267,Lists!$K$51:$K$85,0))))</f>
        <v>10</v>
      </c>
      <c r="FO386" s="58">
        <f>IF(i_eff_inputs_based_on_num=2,EQ386,(INDEX(Lists!$L$51:$L$85,MATCH(AE267,Lists!$K$51:$K$85,0))))</f>
        <v>1</v>
      </c>
      <c r="FP386" s="58">
        <f>IF(i_eff_inputs_based_on_num=2,ER386,(INDEX(Lists!$L$51:$L$85,MATCH(AF267,Lists!$K$51:$K$85,0))))</f>
        <v>0</v>
      </c>
      <c r="FT386" s="58" t="str">
        <f t="shared" si="581"/>
        <v>Real world evidence</v>
      </c>
      <c r="FW386" s="58" t="str">
        <f>IF(i_baseline_risk_from=2,'Effectiveness settings'!EW386,'Effectiveness settings'!FI386)</f>
        <v>Trial survival analysis</v>
      </c>
      <c r="FX386" s="58" t="str">
        <f t="shared" si="582"/>
        <v>Trial survival analysis</v>
      </c>
      <c r="FY386" s="58" t="str">
        <f t="shared" si="583"/>
        <v>Trial survival analysis</v>
      </c>
      <c r="FZ386" s="58" t="str">
        <f t="shared" si="584"/>
        <v>Trial survival analysis</v>
      </c>
      <c r="GA386" s="58" t="str">
        <f t="shared" si="585"/>
        <v>Trial survival analysis</v>
      </c>
      <c r="GB386" s="58" t="str">
        <f t="shared" si="586"/>
        <v>Trial survival analysis</v>
      </c>
      <c r="GC386" s="58" t="str">
        <f t="shared" si="587"/>
        <v>Trial survival analysis</v>
      </c>
      <c r="GD386" s="58" t="str">
        <f t="shared" si="588"/>
        <v>Trial survival analysis</v>
      </c>
      <c r="GE386" s="58" t="str">
        <f>IF(AND(dd_CheckMate214_TTD="Yes",'Effectiveness settings'!BU386=2,'Effectiveness settings'!BX386=2),"Apply HR to",GD386)</f>
        <v>Trial survival analysis</v>
      </c>
      <c r="GF386" s="58" t="str">
        <f t="shared" si="589"/>
        <v>Trial survival analysis</v>
      </c>
      <c r="GG386" s="58" t="str">
        <f t="shared" si="590"/>
        <v>Trial survival analysis</v>
      </c>
      <c r="GH386" s="58" t="str">
        <f t="shared" si="591"/>
        <v>Trial survival analysis</v>
      </c>
      <c r="GI386" s="58" t="str">
        <f t="shared" si="571"/>
        <v>Trial survival analysis</v>
      </c>
      <c r="GK386" s="58">
        <f>IF(i_baseline_risk_from=2,'Effectiveness settings'!FA386,'Effectiveness settings'!FM386)</f>
        <v>2</v>
      </c>
      <c r="GL386" s="58">
        <f>IF(i_baseline_risk_from=2,'Effectiveness settings'!FB386,'Effectiveness settings'!FN386)</f>
        <v>8</v>
      </c>
      <c r="GM386" s="58">
        <f>IF(i_baseline_risk_from=2,'Effectiveness settings'!FC386,'Effectiveness settings'!FO386)</f>
        <v>2</v>
      </c>
      <c r="GN386" s="58">
        <f>IF(i_baseline_risk_from=2,'Effectiveness settings'!FD386,'Effectiveness settings'!FP386)</f>
        <v>0</v>
      </c>
      <c r="GQ386" s="58">
        <f t="shared" si="592"/>
        <v>8</v>
      </c>
      <c r="GR386" s="58">
        <f t="shared" si="593"/>
        <v>8</v>
      </c>
      <c r="GS386" s="58">
        <f t="shared" si="594"/>
        <v>8</v>
      </c>
      <c r="GT386" s="58">
        <f t="shared" si="595"/>
        <v>8</v>
      </c>
      <c r="GU386" s="58">
        <f>IF(AND(dd_CheckMate214_TTD="Yes",'Effectiveness settings'!BU386=2,'Effectiveness settings'!BX386=2),2,GT386)</f>
        <v>8</v>
      </c>
      <c r="GV386" s="58">
        <f t="shared" si="596"/>
        <v>8</v>
      </c>
      <c r="GW386" s="58">
        <f t="shared" si="597"/>
        <v>8</v>
      </c>
      <c r="GY386" s="58">
        <f>IF(AND(dd_CheckMate214_TTD="Yes",'Effectiveness settings'!BU386=2,'Effectiveness settings'!BX386=2),1,GN386)</f>
        <v>0</v>
      </c>
      <c r="GZ386" s="58">
        <f t="shared" si="598"/>
        <v>0</v>
      </c>
      <c r="HB386" s="58">
        <f t="shared" si="599"/>
        <v>0</v>
      </c>
      <c r="HD386" s="58">
        <f t="shared" ref="HD386:HD449" si="635">HB386</f>
        <v>0</v>
      </c>
      <c r="HE386" s="58">
        <f t="shared" ref="HE386:HE449" si="636">GK386</f>
        <v>2</v>
      </c>
      <c r="HF386" s="58">
        <f t="shared" ref="HF386:HF449" si="637">GW386</f>
        <v>8</v>
      </c>
      <c r="HG386" s="58">
        <f t="shared" ref="HG386:HG449" si="638">GM386</f>
        <v>2</v>
      </c>
      <c r="HH386" s="58">
        <f t="shared" ref="HH386:HH449" si="639">GZ386</f>
        <v>0</v>
      </c>
      <c r="HJ386" s="61" t="str">
        <v>nivolumab_plus_ipilimumab</v>
      </c>
      <c r="HK386" s="61">
        <f t="shared" si="632"/>
        <v>1.1627906976744187</v>
      </c>
      <c r="HL386" s="61">
        <f t="shared" si="633"/>
        <v>0.56000000000000005</v>
      </c>
    </row>
    <row r="387" spans="1:222" ht="15.75" x14ac:dyDescent="0.25">
      <c r="D387" s="58" t="str">
        <v>lenvatinib_plus_pembrolizumab</v>
      </c>
      <c r="I387" s="998">
        <f t="shared" si="634"/>
        <v>1.1627906976744187</v>
      </c>
      <c r="J387" s="999">
        <f t="shared" si="634"/>
        <v>0.56000000000000005</v>
      </c>
      <c r="K387" s="58" t="s">
        <v>605</v>
      </c>
      <c r="BQ387" s="58">
        <f t="shared" si="573"/>
        <v>220</v>
      </c>
      <c r="BR387" s="61">
        <v>0</v>
      </c>
      <c r="BS387" s="61" t="s">
        <v>31</v>
      </c>
      <c r="BT387" s="17">
        <v>2</v>
      </c>
      <c r="BU387" s="17">
        <v>9</v>
      </c>
      <c r="BV387" s="17" t="str">
        <f t="shared" si="606"/>
        <v>lenvatinib_plus_everolimus</v>
      </c>
      <c r="BW387" s="1006" t="str" cm="1">
        <f t="array" ref="BW387">IF(X268="No",X268,INDEX(List_incl_anal_2L_all,IF(BU387=999,35,BU387+1)))</f>
        <v>Yes</v>
      </c>
      <c r="BX387" s="61">
        <f t="shared" si="607"/>
        <v>0</v>
      </c>
      <c r="BY387" s="531" t="str">
        <f t="shared" si="608"/>
        <v>Overall survival</v>
      </c>
      <c r="BZ387" s="530" t="str">
        <f t="shared" si="609"/>
        <v>PH_NMA</v>
      </c>
      <c r="CA387" s="531">
        <f t="shared" si="631"/>
        <v>0</v>
      </c>
      <c r="CB387" s="530">
        <f t="shared" si="610"/>
        <v>0</v>
      </c>
      <c r="CC387" s="530">
        <f t="shared" si="611"/>
        <v>2</v>
      </c>
      <c r="CD387" s="530">
        <f t="shared" si="612"/>
        <v>8</v>
      </c>
      <c r="CE387" s="1295">
        <f t="shared" si="613"/>
        <v>2</v>
      </c>
      <c r="CF387" s="1301">
        <f t="shared" si="614"/>
        <v>0</v>
      </c>
      <c r="CG387" s="530" t="str">
        <f t="shared" si="615"/>
        <v>Log-logistic</v>
      </c>
      <c r="CH387" s="61">
        <f t="shared" si="616"/>
        <v>0</v>
      </c>
      <c r="CI387" s="61">
        <f t="shared" si="617"/>
        <v>0</v>
      </c>
      <c r="CJ387" s="61">
        <f t="shared" si="618"/>
        <v>0</v>
      </c>
      <c r="DK387" s="58" t="str" cm="1">
        <f t="array" ref="DK387">IF(AND($BT387=4,$BX387=4,$BU387=999),$DB$36,_xlfn.IFNA(INDEX(DB$13:DB$70,MATCH(1,($BR387=$CV$13:$CV$70)*($BT387=$CX$13:$CX$70)*($CE387=$CY$13:$CY$70)*($BY387=$DA$13:$DA$70)*($CD387=$DH$13:$DH$70),0)),""))</f>
        <v>Log-logistic</v>
      </c>
      <c r="DL387" s="58" t="str" cm="1">
        <f t="array" ref="DL387">IF(AND($BT387=4,$BX387=4,$BU387=999),$DC$36,_xlfn.IFNA(INDEX(CHOOSE(DP387,DB$13:DB$70,DC$13:DC$70,DD$13:DD$70,DE$13:DE$70),MATCH(1,($BR387=$CV$13:$CV$70)*($BT387=$CX$13:$CX$70)*($CE387=$CY$13:$CY$70)*($BY387=$DA$13:$DA$70)*($CD387=$DH$13:$DH$70),0)),""))</f>
        <v>Log-logistic</v>
      </c>
      <c r="DM387" s="740" cm="1">
        <f t="array" ref="DM387">IF(AND($BT387=4,$BX387=4,$BU387=999),$DD$36,_xlfn.IFNA(INDEX(DD$13:DD$68,MATCH(1,($BR387=$CV$13:$CV$68)*($BT387=$CX$13:$CX$68)*($CE387=$CY$13:$CY$68)*($BY387=$DA$13:$DA$68)*($CD387=$DH$13:$DH$68),0)),""))</f>
        <v>0</v>
      </c>
      <c r="DN387" s="740" cm="1">
        <f t="array" ref="DN387">IF(AND($BT387=4,$BX387=4,$BU387=999),$DD$36,_xlfn.IFNA(INDEX(DE$13:DE$68,MATCH(1,($BR387=$CV$13:$CV$68)*($BT387=$CX$13:$CX$68)*($CE387=$CY$13:$CY$68)*($BY387=$DA$13:$DA$68)*($CD387=$DH$13:$DH$68),0)),""))</f>
        <v>0</v>
      </c>
      <c r="DO387" s="58" t="str" cm="1">
        <f t="array" ref="DO387">IF(AND($BT387=4,$BX387=4,$BU387=999),$DF$36,_xlfn.IFNA(INDEX(DF$13:DF$70,MATCH(1,($BR387=$CV$13:$CV$70)*($BT387=$CX$13:$CX$70)*($CE387=$CY$13:$CY$70)*($BY387=$DA$13:$DA$70)*($CD387=$DH$13:$DH$70),0)),""))</f>
        <v>Base case</v>
      </c>
      <c r="DP387" s="58">
        <f t="shared" si="574"/>
        <v>1</v>
      </c>
      <c r="DW387" s="58" t="s">
        <v>74</v>
      </c>
      <c r="DX387" s="58" t="s">
        <v>544</v>
      </c>
      <c r="DY387" s="58" t="s">
        <v>63</v>
      </c>
      <c r="DZ387" s="58">
        <v>0</v>
      </c>
      <c r="EB387" s="58">
        <v>0</v>
      </c>
      <c r="EC387" s="58">
        <v>2</v>
      </c>
      <c r="ED387" s="58">
        <v>8</v>
      </c>
      <c r="EE387" s="58">
        <v>2</v>
      </c>
      <c r="EF387" s="58">
        <v>0</v>
      </c>
      <c r="EI387" s="58" t="s">
        <v>74</v>
      </c>
      <c r="EJ387" s="58" t="s">
        <v>544</v>
      </c>
      <c r="EK387" s="58" t="s">
        <v>63</v>
      </c>
      <c r="EL387" s="58">
        <v>0</v>
      </c>
      <c r="EN387" s="58">
        <v>0</v>
      </c>
      <c r="EO387" s="58">
        <v>2</v>
      </c>
      <c r="EP387" s="58">
        <v>10</v>
      </c>
      <c r="EQ387" s="58">
        <v>1</v>
      </c>
      <c r="ER387" s="58">
        <v>0</v>
      </c>
      <c r="EU387" s="58" t="str">
        <f t="shared" si="619"/>
        <v>Yes</v>
      </c>
      <c r="EV387" s="58" t="str">
        <f t="shared" si="620"/>
        <v>Overall survival</v>
      </c>
      <c r="EW387" s="58" t="str">
        <f t="shared" si="621"/>
        <v>FP_NMA</v>
      </c>
      <c r="EX387" s="58">
        <f t="shared" si="622"/>
        <v>0</v>
      </c>
      <c r="EZ387" s="58">
        <f t="shared" si="623"/>
        <v>0</v>
      </c>
      <c r="FA387" s="58">
        <f t="shared" si="624"/>
        <v>2</v>
      </c>
      <c r="FB387" s="58">
        <f>IF(i_eff_inputs_based_on_num=2,ED387,(INDEX(Lists!$L$51:$L$85,MATCH(AD268,Lists!$K$51:$K$85,0))))</f>
        <v>8</v>
      </c>
      <c r="FC387" s="58">
        <f>IF(i_eff_inputs_based_on_num=2,EE387,(INDEX(Lists!$L$51:$L$85,MATCH(AE268,Lists!$K$51:$K$85,0))))</f>
        <v>2</v>
      </c>
      <c r="FD387" s="58">
        <f>IF(i_eff_inputs_based_on_num=2,EF387,(INDEX(Lists!$L$51:$L$85,MATCH(AF268,Lists!$K$51:$K$85,0))))</f>
        <v>0</v>
      </c>
      <c r="FG387" s="58" t="str">
        <f t="shared" si="625"/>
        <v>Yes</v>
      </c>
      <c r="FH387" s="58" t="str">
        <f t="shared" si="626"/>
        <v>Overall survival</v>
      </c>
      <c r="FI387" s="58" t="str">
        <f t="shared" si="627"/>
        <v>FP_NMA</v>
      </c>
      <c r="FJ387" s="58">
        <f t="shared" si="628"/>
        <v>0</v>
      </c>
      <c r="FL387" s="58">
        <f t="shared" si="629"/>
        <v>0</v>
      </c>
      <c r="FM387" s="58">
        <f t="shared" si="630"/>
        <v>2</v>
      </c>
      <c r="FN387" s="58">
        <f>IF(i_eff_inputs_based_on_num=2,EP387,(INDEX(Lists!$L$51:$L$85,MATCH(AD268,Lists!$K$51:$K$85,0))))</f>
        <v>10</v>
      </c>
      <c r="FO387" s="58">
        <f>IF(i_eff_inputs_based_on_num=2,EQ387,(INDEX(Lists!$L$51:$L$85,MATCH(AE268,Lists!$K$51:$K$85,0))))</f>
        <v>1</v>
      </c>
      <c r="FP387" s="58">
        <f>IF(i_eff_inputs_based_on_num=2,ER387,(INDEX(Lists!$L$51:$L$85,MATCH(AF268,Lists!$K$51:$K$85,0))))</f>
        <v>0</v>
      </c>
      <c r="FT387" s="58">
        <f t="shared" si="581"/>
        <v>0</v>
      </c>
      <c r="FW387" s="58" t="str">
        <f>IF(i_baseline_risk_from=2,'Effectiveness settings'!EW387,'Effectiveness settings'!FI387)</f>
        <v>FP_NMA</v>
      </c>
      <c r="FX387" s="58" t="str">
        <f t="shared" si="582"/>
        <v>PH_NMA</v>
      </c>
      <c r="FY387" s="58" t="str">
        <f t="shared" si="583"/>
        <v>PH_NMA</v>
      </c>
      <c r="FZ387" s="58" t="str">
        <f t="shared" si="584"/>
        <v>PH_NMA</v>
      </c>
      <c r="GA387" s="58" t="str">
        <f t="shared" si="585"/>
        <v>PH_NMA</v>
      </c>
      <c r="GB387" s="58" t="str">
        <f t="shared" si="586"/>
        <v>PH_NMA</v>
      </c>
      <c r="GC387" s="58" t="str">
        <f t="shared" si="587"/>
        <v>PH_NMA</v>
      </c>
      <c r="GD387" s="58" t="str">
        <f t="shared" si="588"/>
        <v>PH_NMA</v>
      </c>
      <c r="GE387" s="58" t="str">
        <f>IF(AND(dd_CheckMate214_TTD="Yes",'Effectiveness settings'!BU387=2,'Effectiveness settings'!BX387=2),"Apply HR to",GD387)</f>
        <v>PH_NMA</v>
      </c>
      <c r="GF387" s="58" t="str">
        <f t="shared" si="589"/>
        <v>PH_NMA</v>
      </c>
      <c r="GG387" s="58" t="str">
        <f t="shared" si="590"/>
        <v>PH_NMA</v>
      </c>
      <c r="GH387" s="58" t="str">
        <f t="shared" si="591"/>
        <v>PH_NMA</v>
      </c>
      <c r="GI387" s="58" t="str">
        <f t="shared" ref="GI387:GI450" si="640">GH387</f>
        <v>PH_NMA</v>
      </c>
      <c r="GK387" s="58">
        <f>IF(i_baseline_risk_from=2,'Effectiveness settings'!FA387,'Effectiveness settings'!FM387)</f>
        <v>2</v>
      </c>
      <c r="GL387" s="58">
        <f>IF(i_baseline_risk_from=2,'Effectiveness settings'!FB387,'Effectiveness settings'!FN387)</f>
        <v>8</v>
      </c>
      <c r="GM387" s="58">
        <f>IF(i_baseline_risk_from=2,'Effectiveness settings'!FC387,'Effectiveness settings'!FO387)</f>
        <v>2</v>
      </c>
      <c r="GN387" s="58">
        <f>IF(i_baseline_risk_from=2,'Effectiveness settings'!FD387,'Effectiveness settings'!FP387)</f>
        <v>0</v>
      </c>
      <c r="GQ387" s="58">
        <f t="shared" si="592"/>
        <v>8</v>
      </c>
      <c r="GR387" s="58">
        <f t="shared" si="593"/>
        <v>8</v>
      </c>
      <c r="GS387" s="58">
        <f t="shared" si="594"/>
        <v>8</v>
      </c>
      <c r="GT387" s="58">
        <f t="shared" si="595"/>
        <v>8</v>
      </c>
      <c r="GU387" s="58">
        <f>IF(AND(dd_CheckMate214_TTD="Yes",'Effectiveness settings'!BU387=2,'Effectiveness settings'!BX387=2),2,GT387)</f>
        <v>8</v>
      </c>
      <c r="GV387" s="58">
        <f t="shared" si="596"/>
        <v>8</v>
      </c>
      <c r="GW387" s="58">
        <f t="shared" si="597"/>
        <v>8</v>
      </c>
      <c r="GY387" s="58">
        <f>IF(AND(dd_CheckMate214_TTD="Yes",'Effectiveness settings'!BU387=2,'Effectiveness settings'!BX387=2),1,GN387)</f>
        <v>0</v>
      </c>
      <c r="GZ387" s="58">
        <f t="shared" si="598"/>
        <v>0</v>
      </c>
      <c r="HB387" s="58">
        <f t="shared" si="599"/>
        <v>0</v>
      </c>
      <c r="HD387" s="58">
        <f t="shared" si="635"/>
        <v>0</v>
      </c>
      <c r="HE387" s="58">
        <f t="shared" si="636"/>
        <v>2</v>
      </c>
      <c r="HF387" s="58">
        <f t="shared" si="637"/>
        <v>8</v>
      </c>
      <c r="HG387" s="58">
        <f t="shared" si="638"/>
        <v>2</v>
      </c>
      <c r="HH387" s="58">
        <f t="shared" si="639"/>
        <v>0</v>
      </c>
      <c r="HJ387" s="61" t="str">
        <v>lenvatinib_plus_pembrolizumab</v>
      </c>
      <c r="HK387" s="61">
        <f t="shared" si="632"/>
        <v>1.1627906976744187</v>
      </c>
      <c r="HL387" s="61">
        <f t="shared" si="633"/>
        <v>0.56000000000000005</v>
      </c>
    </row>
    <row r="388" spans="1:222" ht="15.75" x14ac:dyDescent="0.25">
      <c r="D388" s="58" t="str">
        <v>avelumab_plus_axitinib</v>
      </c>
      <c r="I388" s="998">
        <f t="shared" si="634"/>
        <v>1.1627906976744187</v>
      </c>
      <c r="J388" s="999">
        <f t="shared" si="634"/>
        <v>0.56000000000000005</v>
      </c>
      <c r="K388" s="58" t="s">
        <v>605</v>
      </c>
      <c r="BQ388" s="58">
        <f t="shared" si="573"/>
        <v>221</v>
      </c>
      <c r="BR388" s="61">
        <v>0</v>
      </c>
      <c r="BS388" s="61" t="s">
        <v>31</v>
      </c>
      <c r="BT388" s="17">
        <v>2</v>
      </c>
      <c r="BU388" s="17">
        <v>10</v>
      </c>
      <c r="BV388" s="17" t="str">
        <f t="shared" si="606"/>
        <v>everolimus</v>
      </c>
      <c r="BW388" s="1006" t="str" cm="1">
        <f t="array" ref="BW388">IF(X269="No",X269,INDEX(List_incl_anal_2L_all,IF(BU388=999,35,BU388+1)))</f>
        <v>Yes</v>
      </c>
      <c r="BX388" s="61">
        <f t="shared" si="607"/>
        <v>0</v>
      </c>
      <c r="BY388" s="531" t="str">
        <f t="shared" si="608"/>
        <v>Overall survival</v>
      </c>
      <c r="BZ388" s="530" t="str">
        <f t="shared" si="609"/>
        <v>PH_NMA</v>
      </c>
      <c r="CA388" s="531">
        <f t="shared" si="631"/>
        <v>0</v>
      </c>
      <c r="CB388" s="530">
        <f t="shared" si="610"/>
        <v>0</v>
      </c>
      <c r="CC388" s="530">
        <f t="shared" si="611"/>
        <v>2</v>
      </c>
      <c r="CD388" s="530">
        <f t="shared" si="612"/>
        <v>8</v>
      </c>
      <c r="CE388" s="1295">
        <f t="shared" si="613"/>
        <v>2</v>
      </c>
      <c r="CF388" s="1301">
        <f t="shared" si="614"/>
        <v>0</v>
      </c>
      <c r="CG388" s="530" t="str">
        <f t="shared" si="615"/>
        <v>Log-logistic</v>
      </c>
      <c r="CH388" s="61">
        <f t="shared" si="616"/>
        <v>0</v>
      </c>
      <c r="CI388" s="61">
        <f t="shared" si="617"/>
        <v>0</v>
      </c>
      <c r="CJ388" s="61">
        <f t="shared" si="618"/>
        <v>0</v>
      </c>
      <c r="DK388" s="58" t="str" cm="1">
        <f t="array" ref="DK388">IF(AND($BT388=4,$BX388=4,$BU388=999),$DB$36,_xlfn.IFNA(INDEX(DB$13:DB$70,MATCH(1,($BR388=$CV$13:$CV$70)*($BT388=$CX$13:$CX$70)*($CE388=$CY$13:$CY$70)*($BY388=$DA$13:$DA$70)*($CD388=$DH$13:$DH$70),0)),""))</f>
        <v>Log-logistic</v>
      </c>
      <c r="DL388" s="58" t="str" cm="1">
        <f t="array" ref="DL388">IF(AND($BT388=4,$BX388=4,$BU388=999),$DC$36,_xlfn.IFNA(INDEX(CHOOSE(DP388,DB$13:DB$70,DC$13:DC$70,DD$13:DD$70,DE$13:DE$70),MATCH(1,($BR388=$CV$13:$CV$70)*($BT388=$CX$13:$CX$70)*($CE388=$CY$13:$CY$70)*($BY388=$DA$13:$DA$70)*($CD388=$DH$13:$DH$70),0)),""))</f>
        <v>Log-logistic</v>
      </c>
      <c r="DM388" s="740" cm="1">
        <f t="array" ref="DM388">IF(AND($BT388=4,$BX388=4,$BU388=999),$DD$36,_xlfn.IFNA(INDEX(DD$13:DD$68,MATCH(1,($BR388=$CV$13:$CV$68)*($BT388=$CX$13:$CX$68)*($CE388=$CY$13:$CY$68)*($BY388=$DA$13:$DA$68)*($CD388=$DH$13:$DH$68),0)),""))</f>
        <v>0</v>
      </c>
      <c r="DN388" s="740" cm="1">
        <f t="array" ref="DN388">IF(AND($BT388=4,$BX388=4,$BU388=999),$DD$36,_xlfn.IFNA(INDEX(DE$13:DE$68,MATCH(1,($BR388=$CV$13:$CV$68)*($BT388=$CX$13:$CX$68)*($CE388=$CY$13:$CY$68)*($BY388=$DA$13:$DA$68)*($CD388=$DH$13:$DH$68),0)),""))</f>
        <v>0</v>
      </c>
      <c r="DO388" s="58" t="str" cm="1">
        <f t="array" ref="DO388">IF(AND($BT388=4,$BX388=4,$BU388=999),$DF$36,_xlfn.IFNA(INDEX(DF$13:DF$70,MATCH(1,($BR388=$CV$13:$CV$70)*($BT388=$CX$13:$CX$70)*($CE388=$CY$13:$CY$70)*($BY388=$DA$13:$DA$70)*($CD388=$DH$13:$DH$70),0)),""))</f>
        <v>Base case</v>
      </c>
      <c r="DP388" s="58">
        <f t="shared" si="574"/>
        <v>1</v>
      </c>
      <c r="DW388" s="58" t="s">
        <v>74</v>
      </c>
      <c r="DX388" s="58" t="s">
        <v>544</v>
      </c>
      <c r="DY388" s="58" t="s">
        <v>63</v>
      </c>
      <c r="DZ388" s="58">
        <v>0</v>
      </c>
      <c r="EB388" s="58">
        <v>0</v>
      </c>
      <c r="EC388" s="58">
        <v>2</v>
      </c>
      <c r="ED388" s="58">
        <v>8</v>
      </c>
      <c r="EE388" s="58">
        <v>2</v>
      </c>
      <c r="EF388" s="58">
        <v>0</v>
      </c>
      <c r="EI388" s="58" t="s">
        <v>74</v>
      </c>
      <c r="EJ388" s="58" t="s">
        <v>544</v>
      </c>
      <c r="EK388" s="58" t="s">
        <v>562</v>
      </c>
      <c r="EL388" s="58" t="s">
        <v>606</v>
      </c>
      <c r="EN388" s="58">
        <v>0</v>
      </c>
      <c r="EO388" s="58">
        <v>2</v>
      </c>
      <c r="EP388" s="58">
        <v>10</v>
      </c>
      <c r="EQ388" s="58">
        <v>1</v>
      </c>
      <c r="ER388" s="58">
        <v>0</v>
      </c>
      <c r="EU388" s="58" t="str">
        <f t="shared" si="619"/>
        <v>Yes</v>
      </c>
      <c r="EV388" s="58" t="str">
        <f t="shared" si="620"/>
        <v>Overall survival</v>
      </c>
      <c r="EW388" s="58" t="str">
        <f t="shared" si="621"/>
        <v>FP_NMA</v>
      </c>
      <c r="EX388" s="58">
        <f t="shared" si="622"/>
        <v>0</v>
      </c>
      <c r="EZ388" s="58">
        <f t="shared" si="623"/>
        <v>0</v>
      </c>
      <c r="FA388" s="58">
        <f t="shared" si="624"/>
        <v>2</v>
      </c>
      <c r="FB388" s="58">
        <f>IF(i_eff_inputs_based_on_num=2,ED388,(INDEX(Lists!$L$51:$L$85,MATCH(AD269,Lists!$K$51:$K$85,0))))</f>
        <v>8</v>
      </c>
      <c r="FC388" s="58">
        <f>IF(i_eff_inputs_based_on_num=2,EE388,(INDEX(Lists!$L$51:$L$85,MATCH(AE269,Lists!$K$51:$K$85,0))))</f>
        <v>2</v>
      </c>
      <c r="FD388" s="58">
        <f>IF(i_eff_inputs_based_on_num=2,EF388,(INDEX(Lists!$L$51:$L$85,MATCH(AF269,Lists!$K$51:$K$85,0))))</f>
        <v>0</v>
      </c>
      <c r="FG388" s="58" t="str">
        <f t="shared" si="625"/>
        <v>Yes</v>
      </c>
      <c r="FH388" s="58" t="str">
        <f t="shared" si="626"/>
        <v>Overall survival</v>
      </c>
      <c r="FI388" s="58" t="str">
        <f t="shared" si="627"/>
        <v>Trial survival analysis</v>
      </c>
      <c r="FJ388" s="58" t="str">
        <f t="shared" si="628"/>
        <v>CheckMate 025</v>
      </c>
      <c r="FL388" s="58">
        <f t="shared" si="629"/>
        <v>0</v>
      </c>
      <c r="FM388" s="58">
        <f t="shared" si="630"/>
        <v>2</v>
      </c>
      <c r="FN388" s="58">
        <f>IF(i_eff_inputs_based_on_num=2,EP388,(INDEX(Lists!$L$51:$L$85,MATCH(AD269,Lists!$K$51:$K$85,0))))</f>
        <v>10</v>
      </c>
      <c r="FO388" s="58">
        <f>IF(i_eff_inputs_based_on_num=2,EQ388,(INDEX(Lists!$L$51:$L$85,MATCH(AE269,Lists!$K$51:$K$85,0))))</f>
        <v>1</v>
      </c>
      <c r="FP388" s="58">
        <f>IF(i_eff_inputs_based_on_num=2,ER388,(INDEX(Lists!$L$51:$L$85,MATCH(AF269,Lists!$K$51:$K$85,0))))</f>
        <v>0</v>
      </c>
      <c r="FT388" s="58">
        <f t="shared" si="581"/>
        <v>0</v>
      </c>
      <c r="FW388" s="58" t="str">
        <f>IF(i_baseline_risk_from=2,'Effectiveness settings'!EW388,'Effectiveness settings'!FI388)</f>
        <v>FP_NMA</v>
      </c>
      <c r="FX388" s="58" t="str">
        <f t="shared" si="582"/>
        <v>PH_NMA</v>
      </c>
      <c r="FY388" s="58" t="str">
        <f t="shared" si="583"/>
        <v>PH_NMA</v>
      </c>
      <c r="FZ388" s="58" t="str">
        <f t="shared" si="584"/>
        <v>PH_NMA</v>
      </c>
      <c r="GA388" s="58" t="str">
        <f t="shared" si="585"/>
        <v>PH_NMA</v>
      </c>
      <c r="GB388" s="58" t="str">
        <f t="shared" si="586"/>
        <v>PH_NMA</v>
      </c>
      <c r="GC388" s="58" t="str">
        <f t="shared" si="587"/>
        <v>PH_NMA</v>
      </c>
      <c r="GD388" s="58" t="str">
        <f t="shared" si="588"/>
        <v>PH_NMA</v>
      </c>
      <c r="GE388" s="58" t="str">
        <f>IF(AND(dd_CheckMate214_TTD="Yes",'Effectiveness settings'!BU388=2,'Effectiveness settings'!BX388=2),"Apply HR to",GD388)</f>
        <v>PH_NMA</v>
      </c>
      <c r="GF388" s="58" t="str">
        <f t="shared" si="589"/>
        <v>PH_NMA</v>
      </c>
      <c r="GG388" s="58" t="str">
        <f t="shared" si="590"/>
        <v>PH_NMA</v>
      </c>
      <c r="GH388" s="58" t="str">
        <f t="shared" si="591"/>
        <v>PH_NMA</v>
      </c>
      <c r="GI388" s="58" t="str">
        <f t="shared" si="640"/>
        <v>PH_NMA</v>
      </c>
      <c r="GK388" s="58">
        <f>IF(i_baseline_risk_from=2,'Effectiveness settings'!FA388,'Effectiveness settings'!FM388)</f>
        <v>2</v>
      </c>
      <c r="GL388" s="58">
        <f>IF(i_baseline_risk_from=2,'Effectiveness settings'!FB388,'Effectiveness settings'!FN388)</f>
        <v>8</v>
      </c>
      <c r="GM388" s="58">
        <f>IF(i_baseline_risk_from=2,'Effectiveness settings'!FC388,'Effectiveness settings'!FO388)</f>
        <v>2</v>
      </c>
      <c r="GN388" s="58">
        <f>IF(i_baseline_risk_from=2,'Effectiveness settings'!FD388,'Effectiveness settings'!FP388)</f>
        <v>0</v>
      </c>
      <c r="GQ388" s="58">
        <f t="shared" si="592"/>
        <v>8</v>
      </c>
      <c r="GR388" s="58">
        <f t="shared" si="593"/>
        <v>8</v>
      </c>
      <c r="GS388" s="58">
        <f t="shared" si="594"/>
        <v>8</v>
      </c>
      <c r="GT388" s="58">
        <f t="shared" si="595"/>
        <v>8</v>
      </c>
      <c r="GU388" s="58">
        <f>IF(AND(dd_CheckMate214_TTD="Yes",'Effectiveness settings'!BU388=2,'Effectiveness settings'!BX388=2),2,GT388)</f>
        <v>8</v>
      </c>
      <c r="GV388" s="58">
        <f t="shared" si="596"/>
        <v>8</v>
      </c>
      <c r="GW388" s="58">
        <f t="shared" si="597"/>
        <v>8</v>
      </c>
      <c r="GY388" s="58">
        <f>IF(AND(dd_CheckMate214_TTD="Yes",'Effectiveness settings'!BU388=2,'Effectiveness settings'!BX388=2),1,GN388)</f>
        <v>0</v>
      </c>
      <c r="GZ388" s="58">
        <f t="shared" si="598"/>
        <v>0</v>
      </c>
      <c r="HB388" s="58">
        <f t="shared" si="599"/>
        <v>0</v>
      </c>
      <c r="HD388" s="58">
        <f t="shared" si="635"/>
        <v>0</v>
      </c>
      <c r="HE388" s="58">
        <f t="shared" si="636"/>
        <v>2</v>
      </c>
      <c r="HF388" s="58">
        <f t="shared" si="637"/>
        <v>8</v>
      </c>
      <c r="HG388" s="58">
        <f t="shared" si="638"/>
        <v>2</v>
      </c>
      <c r="HH388" s="58">
        <f t="shared" si="639"/>
        <v>0</v>
      </c>
      <c r="HJ388" s="61" t="str">
        <v>avelumab_plus_axitinib</v>
      </c>
      <c r="HK388" s="61">
        <f t="shared" si="632"/>
        <v>1.1627906976744187</v>
      </c>
      <c r="HL388" s="61">
        <f t="shared" si="633"/>
        <v>0.56000000000000005</v>
      </c>
    </row>
    <row r="389" spans="1:222" ht="15.75" x14ac:dyDescent="0.25">
      <c r="D389" s="58" t="str">
        <v>pazopanib</v>
      </c>
      <c r="I389" s="998">
        <f>I391</f>
        <v>0.66666666666666663</v>
      </c>
      <c r="J389" s="999">
        <f>J391</f>
        <v>1.125</v>
      </c>
      <c r="K389" s="58" t="s">
        <v>607</v>
      </c>
      <c r="BQ389" s="58">
        <f t="shared" si="573"/>
        <v>222</v>
      </c>
      <c r="BR389" s="61">
        <v>0</v>
      </c>
      <c r="BS389" s="61" t="s">
        <v>31</v>
      </c>
      <c r="BT389" s="17">
        <v>2</v>
      </c>
      <c r="BU389" s="17">
        <v>11</v>
      </c>
      <c r="BV389" s="17" t="str">
        <f t="shared" si="606"/>
        <v>axitinib</v>
      </c>
      <c r="BW389" s="1006" t="str" cm="1">
        <f t="array" ref="BW389">IF(X270="No",X270,INDEX(List_incl_anal_2L_all,IF(BU389=999,35,BU389+1)))</f>
        <v>Yes</v>
      </c>
      <c r="BX389" s="61">
        <f t="shared" si="607"/>
        <v>0</v>
      </c>
      <c r="BY389" s="531" t="str">
        <f t="shared" si="608"/>
        <v>Overall survival</v>
      </c>
      <c r="BZ389" s="530" t="str">
        <f t="shared" si="609"/>
        <v>PH_NMA</v>
      </c>
      <c r="CA389" s="531">
        <f t="shared" si="631"/>
        <v>0</v>
      </c>
      <c r="CB389" s="530">
        <f t="shared" si="610"/>
        <v>0</v>
      </c>
      <c r="CC389" s="530">
        <f t="shared" si="611"/>
        <v>2</v>
      </c>
      <c r="CD389" s="530">
        <f t="shared" si="612"/>
        <v>8</v>
      </c>
      <c r="CE389" s="1295">
        <f t="shared" si="613"/>
        <v>2</v>
      </c>
      <c r="CF389" s="1301">
        <f t="shared" si="614"/>
        <v>0</v>
      </c>
      <c r="CG389" s="530" t="str">
        <f t="shared" si="615"/>
        <v>Log-logistic</v>
      </c>
      <c r="CH389" s="61">
        <f t="shared" si="616"/>
        <v>0</v>
      </c>
      <c r="CI389" s="61">
        <f t="shared" si="617"/>
        <v>0</v>
      </c>
      <c r="CJ389" s="61">
        <f t="shared" si="618"/>
        <v>0</v>
      </c>
      <c r="DK389" s="58" t="str" cm="1">
        <f t="array" ref="DK389">IF(AND($BT389=4,$BX389=4,$BU389=999),$DB$36,_xlfn.IFNA(INDEX(DB$13:DB$70,MATCH(1,($BR389=$CV$13:$CV$70)*($BT389=$CX$13:$CX$70)*($CE389=$CY$13:$CY$70)*($BY389=$DA$13:$DA$70)*($CD389=$DH$13:$DH$70),0)),""))</f>
        <v>Log-logistic</v>
      </c>
      <c r="DL389" s="58" t="str" cm="1">
        <f t="array" ref="DL389">IF(AND($BT389=4,$BX389=4,$BU389=999),$DC$36,_xlfn.IFNA(INDEX(CHOOSE(DP389,DB$13:DB$70,DC$13:DC$70,DD$13:DD$70,DE$13:DE$70),MATCH(1,($BR389=$CV$13:$CV$70)*($BT389=$CX$13:$CX$70)*($CE389=$CY$13:$CY$70)*($BY389=$DA$13:$DA$70)*($CD389=$DH$13:$DH$70),0)),""))</f>
        <v>Log-logistic</v>
      </c>
      <c r="DM389" s="740" cm="1">
        <f t="array" ref="DM389">IF(AND($BT389=4,$BX389=4,$BU389=999),$DD$36,_xlfn.IFNA(INDEX(DD$13:DD$68,MATCH(1,($BR389=$CV$13:$CV$68)*($BT389=$CX$13:$CX$68)*($CE389=$CY$13:$CY$68)*($BY389=$DA$13:$DA$68)*($CD389=$DH$13:$DH$68),0)),""))</f>
        <v>0</v>
      </c>
      <c r="DN389" s="740" cm="1">
        <f t="array" ref="DN389">IF(AND($BT389=4,$BX389=4,$BU389=999),$DD$36,_xlfn.IFNA(INDEX(DE$13:DE$68,MATCH(1,($BR389=$CV$13:$CV$68)*($BT389=$CX$13:$CX$68)*($CE389=$CY$13:$CY$68)*($BY389=$DA$13:$DA$68)*($CD389=$DH$13:$DH$68),0)),""))</f>
        <v>0</v>
      </c>
      <c r="DO389" s="58" t="str" cm="1">
        <f t="array" ref="DO389">IF(AND($BT389=4,$BX389=4,$BU389=999),$DF$36,_xlfn.IFNA(INDEX(DF$13:DF$70,MATCH(1,($BR389=$CV$13:$CV$70)*($BT389=$CX$13:$CX$70)*($CE389=$CY$13:$CY$70)*($BY389=$DA$13:$DA$70)*($CD389=$DH$13:$DH$70),0)),""))</f>
        <v>Base case</v>
      </c>
      <c r="DP389" s="58">
        <f t="shared" si="574"/>
        <v>1</v>
      </c>
      <c r="DW389" s="58" t="s">
        <v>74</v>
      </c>
      <c r="DX389" s="58" t="s">
        <v>544</v>
      </c>
      <c r="DY389" s="58" t="s">
        <v>67</v>
      </c>
      <c r="DZ389" s="58">
        <v>0</v>
      </c>
      <c r="EB389" s="58">
        <v>0</v>
      </c>
      <c r="EC389" s="58">
        <v>2</v>
      </c>
      <c r="ED389" s="58">
        <v>8</v>
      </c>
      <c r="EE389" s="58">
        <v>2</v>
      </c>
      <c r="EF389" s="58">
        <v>0</v>
      </c>
      <c r="EI389" s="58" t="s">
        <v>74</v>
      </c>
      <c r="EJ389" s="58" t="s">
        <v>544</v>
      </c>
      <c r="EK389" s="58" t="s">
        <v>67</v>
      </c>
      <c r="EL389" s="58">
        <v>0</v>
      </c>
      <c r="EN389" s="58">
        <v>0</v>
      </c>
      <c r="EO389" s="58">
        <v>2</v>
      </c>
      <c r="EP389" s="58">
        <v>10</v>
      </c>
      <c r="EQ389" s="58">
        <v>1</v>
      </c>
      <c r="ER389" s="58">
        <v>0</v>
      </c>
      <c r="EU389" s="58" t="str">
        <f t="shared" si="619"/>
        <v>Yes</v>
      </c>
      <c r="EV389" s="58" t="str">
        <f t="shared" si="620"/>
        <v>Overall survival</v>
      </c>
      <c r="EW389" s="58" t="str">
        <f t="shared" si="621"/>
        <v>PH_NMA</v>
      </c>
      <c r="EX389" s="58">
        <f t="shared" si="622"/>
        <v>0</v>
      </c>
      <c r="EZ389" s="58">
        <f t="shared" si="623"/>
        <v>0</v>
      </c>
      <c r="FA389" s="58">
        <f t="shared" si="624"/>
        <v>2</v>
      </c>
      <c r="FB389" s="58">
        <f>IF(i_eff_inputs_based_on_num=2,ED389,(INDEX(Lists!$L$51:$L$85,MATCH(AD270,Lists!$K$51:$K$85,0))))</f>
        <v>8</v>
      </c>
      <c r="FC389" s="58">
        <f>IF(i_eff_inputs_based_on_num=2,EE389,(INDEX(Lists!$L$51:$L$85,MATCH(AE270,Lists!$K$51:$K$85,0))))</f>
        <v>2</v>
      </c>
      <c r="FD389" s="58">
        <f>IF(i_eff_inputs_based_on_num=2,EF389,(INDEX(Lists!$L$51:$L$85,MATCH(AF270,Lists!$K$51:$K$85,0))))</f>
        <v>0</v>
      </c>
      <c r="FG389" s="58" t="str">
        <f t="shared" si="625"/>
        <v>Yes</v>
      </c>
      <c r="FH389" s="58" t="str">
        <f t="shared" si="626"/>
        <v>Overall survival</v>
      </c>
      <c r="FI389" s="58" t="str">
        <f t="shared" si="627"/>
        <v>PH_NMA</v>
      </c>
      <c r="FJ389" s="58">
        <f t="shared" si="628"/>
        <v>0</v>
      </c>
      <c r="FL389" s="58">
        <f t="shared" si="629"/>
        <v>0</v>
      </c>
      <c r="FM389" s="58">
        <f t="shared" si="630"/>
        <v>2</v>
      </c>
      <c r="FN389" s="58">
        <f>IF(i_eff_inputs_based_on_num=2,EP389,(INDEX(Lists!$L$51:$L$85,MATCH(AD270,Lists!$K$51:$K$85,0))))</f>
        <v>10</v>
      </c>
      <c r="FO389" s="58">
        <f>IF(i_eff_inputs_based_on_num=2,EQ389,(INDEX(Lists!$L$51:$L$85,MATCH(AE270,Lists!$K$51:$K$85,0))))</f>
        <v>1</v>
      </c>
      <c r="FP389" s="58">
        <f>IF(i_eff_inputs_based_on_num=2,ER389,(INDEX(Lists!$L$51:$L$85,MATCH(AF270,Lists!$K$51:$K$85,0))))</f>
        <v>0</v>
      </c>
      <c r="FT389" s="58">
        <f t="shared" si="581"/>
        <v>0</v>
      </c>
      <c r="FW389" s="58" t="str">
        <f>IF(i_baseline_risk_from=2,'Effectiveness settings'!EW389,'Effectiveness settings'!FI389)</f>
        <v>PH_NMA</v>
      </c>
      <c r="FX389" s="58" t="str">
        <f t="shared" si="582"/>
        <v>PH_NMA</v>
      </c>
      <c r="FY389" s="58" t="str">
        <f t="shared" si="583"/>
        <v>PH_NMA</v>
      </c>
      <c r="FZ389" s="58" t="str">
        <f t="shared" si="584"/>
        <v>PH_NMA</v>
      </c>
      <c r="GA389" s="58" t="str">
        <f t="shared" si="585"/>
        <v>PH_NMA</v>
      </c>
      <c r="GB389" s="58" t="str">
        <f t="shared" si="586"/>
        <v>PH_NMA</v>
      </c>
      <c r="GC389" s="58" t="str">
        <f t="shared" si="587"/>
        <v>PH_NMA</v>
      </c>
      <c r="GD389" s="58" t="str">
        <f t="shared" si="588"/>
        <v>PH_NMA</v>
      </c>
      <c r="GE389" s="58" t="str">
        <f>IF(AND(dd_CheckMate214_TTD="Yes",'Effectiveness settings'!BU389=2,'Effectiveness settings'!BX389=2),"Apply HR to",GD389)</f>
        <v>PH_NMA</v>
      </c>
      <c r="GF389" s="58" t="str">
        <f t="shared" si="589"/>
        <v>PH_NMA</v>
      </c>
      <c r="GG389" s="58" t="str">
        <f t="shared" si="590"/>
        <v>PH_NMA</v>
      </c>
      <c r="GH389" s="58" t="str">
        <f t="shared" si="591"/>
        <v>PH_NMA</v>
      </c>
      <c r="GI389" s="58" t="str">
        <f t="shared" si="640"/>
        <v>PH_NMA</v>
      </c>
      <c r="GK389" s="58">
        <f>IF(i_baseline_risk_from=2,'Effectiveness settings'!FA389,'Effectiveness settings'!FM389)</f>
        <v>2</v>
      </c>
      <c r="GL389" s="58">
        <f>IF(i_baseline_risk_from=2,'Effectiveness settings'!FB389,'Effectiveness settings'!FN389)</f>
        <v>8</v>
      </c>
      <c r="GM389" s="58">
        <f>IF(i_baseline_risk_from=2,'Effectiveness settings'!FC389,'Effectiveness settings'!FO389)</f>
        <v>2</v>
      </c>
      <c r="GN389" s="58">
        <f>IF(i_baseline_risk_from=2,'Effectiveness settings'!FD389,'Effectiveness settings'!FP389)</f>
        <v>0</v>
      </c>
      <c r="GQ389" s="58">
        <f t="shared" si="592"/>
        <v>8</v>
      </c>
      <c r="GR389" s="58">
        <f t="shared" si="593"/>
        <v>8</v>
      </c>
      <c r="GS389" s="58">
        <f t="shared" si="594"/>
        <v>8</v>
      </c>
      <c r="GT389" s="58">
        <f t="shared" si="595"/>
        <v>8</v>
      </c>
      <c r="GU389" s="58">
        <f>IF(AND(dd_CheckMate214_TTD="Yes",'Effectiveness settings'!BU389=2,'Effectiveness settings'!BX389=2),2,GT389)</f>
        <v>8</v>
      </c>
      <c r="GV389" s="58">
        <f t="shared" si="596"/>
        <v>8</v>
      </c>
      <c r="GW389" s="58">
        <f t="shared" si="597"/>
        <v>8</v>
      </c>
      <c r="GY389" s="58">
        <f>IF(AND(dd_CheckMate214_TTD="Yes",'Effectiveness settings'!BU389=2,'Effectiveness settings'!BX389=2),1,GN389)</f>
        <v>0</v>
      </c>
      <c r="GZ389" s="58">
        <f t="shared" si="598"/>
        <v>0</v>
      </c>
      <c r="HB389" s="58">
        <f t="shared" si="599"/>
        <v>0</v>
      </c>
      <c r="HD389" s="58">
        <f t="shared" si="635"/>
        <v>0</v>
      </c>
      <c r="HE389" s="58">
        <f t="shared" si="636"/>
        <v>2</v>
      </c>
      <c r="HF389" s="58">
        <f t="shared" si="637"/>
        <v>8</v>
      </c>
      <c r="HG389" s="58">
        <f t="shared" si="638"/>
        <v>2</v>
      </c>
      <c r="HH389" s="58">
        <f t="shared" si="639"/>
        <v>0</v>
      </c>
      <c r="HJ389" s="61" t="str">
        <v>pazopanib</v>
      </c>
      <c r="HK389" s="61">
        <f t="shared" si="632"/>
        <v>0.66666666666666663</v>
      </c>
      <c r="HL389" s="61">
        <f t="shared" si="633"/>
        <v>1.125</v>
      </c>
    </row>
    <row r="390" spans="1:222" ht="15.75" x14ac:dyDescent="0.25">
      <c r="D390" s="58" t="str">
        <v>tivozanib</v>
      </c>
      <c r="I390" s="998">
        <f>I391</f>
        <v>0.66666666666666663</v>
      </c>
      <c r="J390" s="999">
        <f>J391</f>
        <v>1.125</v>
      </c>
      <c r="K390" s="58" t="s">
        <v>607</v>
      </c>
      <c r="BQ390" s="58">
        <f t="shared" si="573"/>
        <v>223</v>
      </c>
      <c r="BR390" s="61">
        <v>0</v>
      </c>
      <c r="BS390" s="61" t="s">
        <v>31</v>
      </c>
      <c r="BT390" s="17">
        <v>2</v>
      </c>
      <c r="BU390" s="17">
        <v>12</v>
      </c>
      <c r="BV390" s="17" t="str">
        <f t="shared" si="606"/>
        <v>sorafenib</v>
      </c>
      <c r="BW390" s="1006" t="str" cm="1">
        <f t="array" ref="BW390">IF(X271="No",X271,INDEX(List_incl_anal_2L_all,IF(BU390=999,35,BU390+1)))</f>
        <v>No</v>
      </c>
      <c r="BX390" s="61">
        <f t="shared" si="607"/>
        <v>0</v>
      </c>
      <c r="BY390" s="531" t="str">
        <f t="shared" si="608"/>
        <v>Overall survival</v>
      </c>
      <c r="BZ390" s="530">
        <f t="shared" si="609"/>
        <v>0</v>
      </c>
      <c r="CA390" s="531">
        <f t="shared" si="631"/>
        <v>0</v>
      </c>
      <c r="CB390" s="530">
        <f t="shared" si="610"/>
        <v>0</v>
      </c>
      <c r="CC390" s="530">
        <f t="shared" si="611"/>
        <v>2</v>
      </c>
      <c r="CD390" s="530">
        <f t="shared" si="612"/>
        <v>8</v>
      </c>
      <c r="CE390" s="1295">
        <f t="shared" si="613"/>
        <v>2</v>
      </c>
      <c r="CF390" s="1301">
        <f t="shared" si="614"/>
        <v>0</v>
      </c>
      <c r="CG390" s="530" t="str">
        <f t="shared" si="615"/>
        <v>Log-logistic</v>
      </c>
      <c r="CH390" s="61">
        <f t="shared" si="616"/>
        <v>0</v>
      </c>
      <c r="CI390" s="61">
        <f t="shared" si="617"/>
        <v>0</v>
      </c>
      <c r="CJ390" s="61">
        <f t="shared" si="618"/>
        <v>0</v>
      </c>
      <c r="DK390" s="58" t="str" cm="1">
        <f t="array" ref="DK390">IF(AND($BT390=4,$BX390=4,$BU390=999),$DB$36,_xlfn.IFNA(INDEX(DB$13:DB$70,MATCH(1,($BR390=$CV$13:$CV$70)*($BT390=$CX$13:$CX$70)*($CE390=$CY$13:$CY$70)*($BY390=$DA$13:$DA$70)*($CD390=$DH$13:$DH$70),0)),""))</f>
        <v>Log-logistic</v>
      </c>
      <c r="DL390" s="58" t="str" cm="1">
        <f t="array" ref="DL390">IF(AND($BT390=4,$BX390=4,$BU390=999),$DC$36,_xlfn.IFNA(INDEX(CHOOSE(DP390,DB$13:DB$70,DC$13:DC$70,DD$13:DD$70,DE$13:DE$70),MATCH(1,($BR390=$CV$13:$CV$70)*($BT390=$CX$13:$CX$70)*($CE390=$CY$13:$CY$70)*($BY390=$DA$13:$DA$70)*($CD390=$DH$13:$DH$70),0)),""))</f>
        <v>Log-logistic</v>
      </c>
      <c r="DM390" s="740" cm="1">
        <f t="array" ref="DM390">IF(AND($BT390=4,$BX390=4,$BU390=999),$DD$36,_xlfn.IFNA(INDEX(DD$13:DD$68,MATCH(1,($BR390=$CV$13:$CV$68)*($BT390=$CX$13:$CX$68)*($CE390=$CY$13:$CY$68)*($BY390=$DA$13:$DA$68)*($CD390=$DH$13:$DH$68),0)),""))</f>
        <v>0</v>
      </c>
      <c r="DN390" s="740" cm="1">
        <f t="array" ref="DN390">IF(AND($BT390=4,$BX390=4,$BU390=999),$DD$36,_xlfn.IFNA(INDEX(DE$13:DE$68,MATCH(1,($BR390=$CV$13:$CV$68)*($BT390=$CX$13:$CX$68)*($CE390=$CY$13:$CY$68)*($BY390=$DA$13:$DA$68)*($CD390=$DH$13:$DH$68),0)),""))</f>
        <v>0</v>
      </c>
      <c r="DO390" s="58" t="str" cm="1">
        <f t="array" ref="DO390">IF(AND($BT390=4,$BX390=4,$BU390=999),$DF$36,_xlfn.IFNA(INDEX(DF$13:DF$70,MATCH(1,($BR390=$CV$13:$CV$70)*($BT390=$CX$13:$CX$70)*($CE390=$CY$13:$CY$70)*($BY390=$DA$13:$DA$70)*($CD390=$DH$13:$DH$70),0)),""))</f>
        <v>Base case</v>
      </c>
      <c r="DP390" s="58">
        <f t="shared" si="574"/>
        <v>1</v>
      </c>
      <c r="DW390" s="58" t="s">
        <v>58</v>
      </c>
      <c r="DX390" s="58" t="s">
        <v>544</v>
      </c>
      <c r="DY390" s="58">
        <v>0</v>
      </c>
      <c r="DZ390" s="58">
        <v>0</v>
      </c>
      <c r="EB390" s="58">
        <v>0</v>
      </c>
      <c r="EC390" s="58">
        <v>2</v>
      </c>
      <c r="ED390" s="58">
        <v>8</v>
      </c>
      <c r="EE390" s="58">
        <v>2</v>
      </c>
      <c r="EF390" s="58">
        <v>0</v>
      </c>
      <c r="EI390" s="58" t="s">
        <v>58</v>
      </c>
      <c r="EJ390" s="58" t="s">
        <v>544</v>
      </c>
      <c r="EK390" s="58">
        <v>0</v>
      </c>
      <c r="EL390" s="58">
        <v>0</v>
      </c>
      <c r="EN390" s="58">
        <v>0</v>
      </c>
      <c r="EO390" s="58">
        <v>2</v>
      </c>
      <c r="EP390" s="58">
        <v>10</v>
      </c>
      <c r="EQ390" s="58">
        <v>1</v>
      </c>
      <c r="ER390" s="58">
        <v>0</v>
      </c>
      <c r="EU390" s="58" t="str">
        <f t="shared" si="619"/>
        <v>No</v>
      </c>
      <c r="EV390" s="58" t="str">
        <f t="shared" si="620"/>
        <v>Overall survival</v>
      </c>
      <c r="EW390" s="58">
        <f t="shared" si="621"/>
        <v>0</v>
      </c>
      <c r="EX390" s="58">
        <f t="shared" si="622"/>
        <v>0</v>
      </c>
      <c r="EZ390" s="58">
        <f t="shared" si="623"/>
        <v>0</v>
      </c>
      <c r="FA390" s="58">
        <f t="shared" si="624"/>
        <v>2</v>
      </c>
      <c r="FB390" s="58">
        <f>IF(i_eff_inputs_based_on_num=2,ED390,(INDEX(Lists!$L$51:$L$85,MATCH(AD271,Lists!$K$51:$K$85,0))))</f>
        <v>8</v>
      </c>
      <c r="FC390" s="58">
        <f>IF(i_eff_inputs_based_on_num=2,EE390,(INDEX(Lists!$L$51:$L$85,MATCH(AE271,Lists!$K$51:$K$85,0))))</f>
        <v>2</v>
      </c>
      <c r="FD390" s="58">
        <f>IF(i_eff_inputs_based_on_num=2,EF390,(INDEX(Lists!$L$51:$L$85,MATCH(AF271,Lists!$K$51:$K$85,0))))</f>
        <v>0</v>
      </c>
      <c r="FG390" s="58" t="str">
        <f t="shared" si="625"/>
        <v>No</v>
      </c>
      <c r="FH390" s="58" t="str">
        <f t="shared" si="626"/>
        <v>Overall survival</v>
      </c>
      <c r="FI390" s="58">
        <f t="shared" si="627"/>
        <v>0</v>
      </c>
      <c r="FJ390" s="58">
        <f t="shared" si="628"/>
        <v>0</v>
      </c>
      <c r="FL390" s="58">
        <f t="shared" si="629"/>
        <v>0</v>
      </c>
      <c r="FM390" s="58">
        <f t="shared" si="630"/>
        <v>2</v>
      </c>
      <c r="FN390" s="58">
        <f>IF(i_eff_inputs_based_on_num=2,EP390,(INDEX(Lists!$L$51:$L$85,MATCH(AD271,Lists!$K$51:$K$85,0))))</f>
        <v>10</v>
      </c>
      <c r="FO390" s="58">
        <f>IF(i_eff_inputs_based_on_num=2,EQ390,(INDEX(Lists!$L$51:$L$85,MATCH(AE271,Lists!$K$51:$K$85,0))))</f>
        <v>1</v>
      </c>
      <c r="FP390" s="58">
        <f>IF(i_eff_inputs_based_on_num=2,ER390,(INDEX(Lists!$L$51:$L$85,MATCH(AF271,Lists!$K$51:$K$85,0))))</f>
        <v>0</v>
      </c>
      <c r="FT390" s="58">
        <f t="shared" si="581"/>
        <v>0</v>
      </c>
      <c r="FW390" s="58">
        <f>IF(i_baseline_risk_from=2,'Effectiveness settings'!EW390,'Effectiveness settings'!FI390)</f>
        <v>0</v>
      </c>
      <c r="FX390" s="58">
        <f t="shared" si="582"/>
        <v>0</v>
      </c>
      <c r="FY390" s="58">
        <f t="shared" si="583"/>
        <v>0</v>
      </c>
      <c r="FZ390" s="58">
        <f t="shared" si="584"/>
        <v>0</v>
      </c>
      <c r="GA390" s="58">
        <f t="shared" si="585"/>
        <v>0</v>
      </c>
      <c r="GB390" s="58">
        <f t="shared" si="586"/>
        <v>0</v>
      </c>
      <c r="GC390" s="58">
        <f t="shared" si="587"/>
        <v>0</v>
      </c>
      <c r="GD390" s="58">
        <f t="shared" si="588"/>
        <v>0</v>
      </c>
      <c r="GE390" s="58">
        <f>IF(AND(dd_CheckMate214_TTD="Yes",'Effectiveness settings'!BU390=2,'Effectiveness settings'!BX390=2),"Apply HR to",GD390)</f>
        <v>0</v>
      </c>
      <c r="GF390" s="58">
        <f t="shared" si="589"/>
        <v>0</v>
      </c>
      <c r="GG390" s="58">
        <f t="shared" si="590"/>
        <v>0</v>
      </c>
      <c r="GH390" s="58">
        <f t="shared" si="591"/>
        <v>0</v>
      </c>
      <c r="GI390" s="58">
        <f t="shared" si="640"/>
        <v>0</v>
      </c>
      <c r="GK390" s="58">
        <f>IF(i_baseline_risk_from=2,'Effectiveness settings'!FA390,'Effectiveness settings'!FM390)</f>
        <v>2</v>
      </c>
      <c r="GL390" s="58">
        <f>IF(i_baseline_risk_from=2,'Effectiveness settings'!FB390,'Effectiveness settings'!FN390)</f>
        <v>8</v>
      </c>
      <c r="GM390" s="58">
        <f>IF(i_baseline_risk_from=2,'Effectiveness settings'!FC390,'Effectiveness settings'!FO390)</f>
        <v>2</v>
      </c>
      <c r="GN390" s="58">
        <f>IF(i_baseline_risk_from=2,'Effectiveness settings'!FD390,'Effectiveness settings'!FP390)</f>
        <v>0</v>
      </c>
      <c r="GQ390" s="58">
        <f t="shared" si="592"/>
        <v>8</v>
      </c>
      <c r="GR390" s="58">
        <f t="shared" si="593"/>
        <v>8</v>
      </c>
      <c r="GS390" s="58">
        <f t="shared" si="594"/>
        <v>8</v>
      </c>
      <c r="GT390" s="58">
        <f t="shared" si="595"/>
        <v>8</v>
      </c>
      <c r="GU390" s="58">
        <f>IF(AND(dd_CheckMate214_TTD="Yes",'Effectiveness settings'!BU390=2,'Effectiveness settings'!BX390=2),2,GT390)</f>
        <v>8</v>
      </c>
      <c r="GV390" s="58">
        <f t="shared" si="596"/>
        <v>8</v>
      </c>
      <c r="GW390" s="58">
        <f t="shared" si="597"/>
        <v>8</v>
      </c>
      <c r="GY390" s="58">
        <f>IF(AND(dd_CheckMate214_TTD="Yes",'Effectiveness settings'!BU390=2,'Effectiveness settings'!BX390=2),1,GN390)</f>
        <v>0</v>
      </c>
      <c r="GZ390" s="58">
        <f t="shared" si="598"/>
        <v>0</v>
      </c>
      <c r="HB390" s="58">
        <f t="shared" si="599"/>
        <v>0</v>
      </c>
      <c r="HD390" s="58">
        <f t="shared" si="635"/>
        <v>0</v>
      </c>
      <c r="HE390" s="58">
        <f t="shared" si="636"/>
        <v>2</v>
      </c>
      <c r="HF390" s="58">
        <f t="shared" si="637"/>
        <v>8</v>
      </c>
      <c r="HG390" s="58">
        <f t="shared" si="638"/>
        <v>2</v>
      </c>
      <c r="HH390" s="58">
        <f t="shared" si="639"/>
        <v>0</v>
      </c>
      <c r="HJ390" s="61" t="str">
        <v>tivozanib</v>
      </c>
      <c r="HK390" s="61">
        <f t="shared" si="632"/>
        <v>0.66666666666666663</v>
      </c>
      <c r="HL390" s="61">
        <f t="shared" si="633"/>
        <v>1.125</v>
      </c>
    </row>
    <row r="391" spans="1:222" ht="15.75" x14ac:dyDescent="0.25">
      <c r="D391" s="58" t="str">
        <v>sunitinib</v>
      </c>
      <c r="I391" s="998">
        <f>1/1.5</f>
        <v>0.66666666666666663</v>
      </c>
      <c r="J391" s="999">
        <f>((3-0.75)/2)</f>
        <v>1.125</v>
      </c>
      <c r="BQ391" s="58">
        <f t="shared" si="573"/>
        <v>224</v>
      </c>
      <c r="BR391" s="61">
        <v>0</v>
      </c>
      <c r="BS391" s="61" t="s">
        <v>31</v>
      </c>
      <c r="BT391" s="17">
        <v>2</v>
      </c>
      <c r="BU391" s="17">
        <v>999</v>
      </c>
      <c r="BV391" s="17" t="str">
        <f t="shared" si="606"/>
        <v>placebo_BSC</v>
      </c>
      <c r="BW391" s="1006" t="str" cm="1">
        <f t="array" ref="BW391">IF(X272="No",X272,INDEX(List_incl_anal_2L_all,IF(BU391=999,35,BU391+1)))</f>
        <v>Yes</v>
      </c>
      <c r="BX391" s="61">
        <f t="shared" si="607"/>
        <v>0</v>
      </c>
      <c r="BY391" s="531" t="str">
        <f t="shared" si="608"/>
        <v>Overall survival</v>
      </c>
      <c r="BZ391" s="530" t="str">
        <f t="shared" si="609"/>
        <v>Assume equal to</v>
      </c>
      <c r="CA391" s="531">
        <f t="shared" si="631"/>
        <v>0</v>
      </c>
      <c r="CB391" s="530">
        <f t="shared" si="610"/>
        <v>0</v>
      </c>
      <c r="CC391" s="530">
        <f t="shared" si="611"/>
        <v>4</v>
      </c>
      <c r="CD391" s="530">
        <f t="shared" si="612"/>
        <v>999</v>
      </c>
      <c r="CE391" s="1295">
        <f t="shared" si="613"/>
        <v>2</v>
      </c>
      <c r="CF391" s="1301">
        <f t="shared" si="614"/>
        <v>4</v>
      </c>
      <c r="CG391" s="530" t="str">
        <f t="shared" si="615"/>
        <v/>
      </c>
      <c r="CH391" s="61">
        <f t="shared" si="616"/>
        <v>0</v>
      </c>
      <c r="CI391" s="61">
        <f t="shared" si="617"/>
        <v>0</v>
      </c>
      <c r="CJ391" s="61">
        <f t="shared" si="618"/>
        <v>0</v>
      </c>
      <c r="DK391" s="58" t="str" cm="1">
        <f t="array" ref="DK391">IF(AND($BT391=4,$BX391=4,$BU391=999),$DB$36,_xlfn.IFNA(INDEX(DB$13:DB$70,MATCH(1,($BR391=$CV$13:$CV$70)*($BT391=$CX$13:$CX$70)*($CE391=$CY$13:$CY$70)*($BY391=$DA$13:$DA$70)*($CD391=$DH$13:$DH$70),0)),""))</f>
        <v/>
      </c>
      <c r="DL391" s="58" t="str" cm="1">
        <f t="array" ref="DL391">IF(AND($BT391=4,$BX391=4,$BU391=999),$DC$36,_xlfn.IFNA(INDEX(CHOOSE(DP391,DB$13:DB$70,DC$13:DC$70,DD$13:DD$70,DE$13:DE$70),MATCH(1,($BR391=$CV$13:$CV$70)*($BT391=$CX$13:$CX$70)*($CE391=$CY$13:$CY$70)*($BY391=$DA$13:$DA$70)*($CD391=$DH$13:$DH$70),0)),""))</f>
        <v/>
      </c>
      <c r="DM391" s="740" t="str" cm="1">
        <f t="array" ref="DM391">IF(AND($BT391=4,$BX391=4,$BU391=999),$DD$36,_xlfn.IFNA(INDEX(DD$13:DD$68,MATCH(1,($BR391=$CV$13:$CV$68)*($BT391=$CX$13:$CX$68)*($CE391=$CY$13:$CY$68)*($BY391=$DA$13:$DA$68)*($CD391=$DH$13:$DH$68),0)),""))</f>
        <v/>
      </c>
      <c r="DN391" s="740" t="str" cm="1">
        <f t="array" ref="DN391">IF(AND($BT391=4,$BX391=4,$BU391=999),$DD$36,_xlfn.IFNA(INDEX(DE$13:DE$68,MATCH(1,($BR391=$CV$13:$CV$68)*($BT391=$CX$13:$CX$68)*($CE391=$CY$13:$CY$68)*($BY391=$DA$13:$DA$68)*($CD391=$DH$13:$DH$68),0)),""))</f>
        <v/>
      </c>
      <c r="DO391" s="58" t="str" cm="1">
        <f t="array" ref="DO391">IF(AND($BT391=4,$BX391=4,$BU391=999),$DF$36,_xlfn.IFNA(INDEX(DF$13:DF$70,MATCH(1,($BR391=$CV$13:$CV$70)*($BT391=$CX$13:$CX$70)*($CE391=$CY$13:$CY$70)*($BY391=$DA$13:$DA$70)*($CD391=$DH$13:$DH$70),0)),""))</f>
        <v/>
      </c>
      <c r="DP391" s="58" t="e">
        <f t="shared" si="574"/>
        <v>#N/A</v>
      </c>
      <c r="DW391" s="58" t="s">
        <v>74</v>
      </c>
      <c r="DX391" s="58" t="s">
        <v>544</v>
      </c>
      <c r="DY391" s="58" t="s">
        <v>561</v>
      </c>
      <c r="DZ391" s="58">
        <v>0</v>
      </c>
      <c r="EB391" s="58">
        <v>0</v>
      </c>
      <c r="EC391" s="58">
        <v>4</v>
      </c>
      <c r="ED391" s="58">
        <v>999</v>
      </c>
      <c r="EE391" s="58">
        <v>2</v>
      </c>
      <c r="EF391" s="58">
        <v>4</v>
      </c>
      <c r="EI391" s="58" t="s">
        <v>74</v>
      </c>
      <c r="EJ391" s="58" t="s">
        <v>544</v>
      </c>
      <c r="EK391" s="58" t="s">
        <v>561</v>
      </c>
      <c r="EL391" s="58">
        <v>0</v>
      </c>
      <c r="EN391" s="58">
        <v>0</v>
      </c>
      <c r="EO391" s="58">
        <v>4</v>
      </c>
      <c r="EP391" s="58">
        <v>999</v>
      </c>
      <c r="EQ391" s="58">
        <v>2</v>
      </c>
      <c r="ER391" s="58">
        <v>4</v>
      </c>
      <c r="EU391" s="58" t="str">
        <f t="shared" si="619"/>
        <v>Yes</v>
      </c>
      <c r="EV391" s="58" t="str">
        <f t="shared" si="620"/>
        <v>Overall survival</v>
      </c>
      <c r="EW391" s="58" t="str">
        <f t="shared" si="621"/>
        <v>Assume equal to</v>
      </c>
      <c r="EX391" s="58">
        <f t="shared" si="622"/>
        <v>0</v>
      </c>
      <c r="EZ391" s="58">
        <f t="shared" si="623"/>
        <v>0</v>
      </c>
      <c r="FA391" s="58">
        <f t="shared" si="624"/>
        <v>4</v>
      </c>
      <c r="FB391" s="58">
        <f>IF(i_eff_inputs_based_on_num=2,ED391,(INDEX(Lists!$L$51:$L$85,MATCH(AD272,Lists!$K$51:$K$85,0))))</f>
        <v>999</v>
      </c>
      <c r="FC391" s="58">
        <f>IF(i_eff_inputs_based_on_num=2,EE391,(INDEX(Lists!$L$51:$L$85,MATCH(AE272,Lists!$K$51:$K$85,0))))</f>
        <v>2</v>
      </c>
      <c r="FD391" s="58">
        <f>IF(i_eff_inputs_based_on_num=2,EF391,(INDEX(Lists!$L$51:$L$85,MATCH(AF272,Lists!$K$51:$K$85,0))))</f>
        <v>4</v>
      </c>
      <c r="FG391" s="58" t="str">
        <f t="shared" si="625"/>
        <v>Yes</v>
      </c>
      <c r="FH391" s="58" t="str">
        <f t="shared" si="626"/>
        <v>Overall survival</v>
      </c>
      <c r="FI391" s="58" t="str">
        <f t="shared" si="627"/>
        <v>Assume equal to</v>
      </c>
      <c r="FJ391" s="58">
        <f t="shared" si="628"/>
        <v>0</v>
      </c>
      <c r="FL391" s="58">
        <f t="shared" si="629"/>
        <v>0</v>
      </c>
      <c r="FM391" s="58">
        <f t="shared" si="630"/>
        <v>4</v>
      </c>
      <c r="FN391" s="58">
        <f>IF(i_eff_inputs_based_on_num=2,EP391,(INDEX(Lists!$L$51:$L$85,MATCH(AD272,Lists!$K$51:$K$85,0))))</f>
        <v>999</v>
      </c>
      <c r="FO391" s="58">
        <f>IF(i_eff_inputs_based_on_num=2,EQ391,(INDEX(Lists!$L$51:$L$85,MATCH(AE272,Lists!$K$51:$K$85,0))))</f>
        <v>2</v>
      </c>
      <c r="FP391" s="58">
        <f>IF(i_eff_inputs_based_on_num=2,ER391,(INDEX(Lists!$L$51:$L$85,MATCH(AF272,Lists!$K$51:$K$85,0))))</f>
        <v>4</v>
      </c>
      <c r="FT391" s="58">
        <f t="shared" si="581"/>
        <v>0</v>
      </c>
      <c r="FW391" s="58" t="str">
        <f>IF(i_baseline_risk_from=2,'Effectiveness settings'!EW391,'Effectiveness settings'!FI391)</f>
        <v>Assume equal to</v>
      </c>
      <c r="FX391" s="58" t="str">
        <f t="shared" si="582"/>
        <v>Assume equal to</v>
      </c>
      <c r="FY391" s="58" t="str">
        <f t="shared" si="583"/>
        <v>Assume equal to</v>
      </c>
      <c r="FZ391" s="58" t="str">
        <f t="shared" si="584"/>
        <v>Assume equal to</v>
      </c>
      <c r="GA391" s="58" t="str">
        <f t="shared" si="585"/>
        <v>Assume equal to</v>
      </c>
      <c r="GB391" s="58" t="str">
        <f t="shared" si="586"/>
        <v>Assume equal to</v>
      </c>
      <c r="GC391" s="58" t="str">
        <f t="shared" si="587"/>
        <v>Assume equal to</v>
      </c>
      <c r="GD391" s="58" t="str">
        <f t="shared" si="588"/>
        <v>Assume equal to</v>
      </c>
      <c r="GE391" s="58" t="str">
        <f>IF(AND(dd_CheckMate214_TTD="Yes",'Effectiveness settings'!BU391=2,'Effectiveness settings'!BX391=2),"Apply HR to",GD391)</f>
        <v>Assume equal to</v>
      </c>
      <c r="GF391" s="58" t="str">
        <f t="shared" si="589"/>
        <v>Assume equal to</v>
      </c>
      <c r="GG391" s="58" t="str">
        <f t="shared" si="590"/>
        <v>Assume equal to</v>
      </c>
      <c r="GH391" s="58" t="str">
        <f t="shared" si="591"/>
        <v>Assume equal to</v>
      </c>
      <c r="GI391" s="58" t="str">
        <f t="shared" si="640"/>
        <v>Assume equal to</v>
      </c>
      <c r="GK391" s="58">
        <f>IF(i_baseline_risk_from=2,'Effectiveness settings'!FA391,'Effectiveness settings'!FM391)</f>
        <v>4</v>
      </c>
      <c r="GL391" s="58">
        <f>IF(i_baseline_risk_from=2,'Effectiveness settings'!FB391,'Effectiveness settings'!FN391)</f>
        <v>999</v>
      </c>
      <c r="GM391" s="58">
        <f>IF(i_baseline_risk_from=2,'Effectiveness settings'!FC391,'Effectiveness settings'!FO391)</f>
        <v>2</v>
      </c>
      <c r="GN391" s="58">
        <f>IF(i_baseline_risk_from=2,'Effectiveness settings'!FD391,'Effectiveness settings'!FP391)</f>
        <v>4</v>
      </c>
      <c r="GQ391" s="58">
        <f t="shared" si="592"/>
        <v>999</v>
      </c>
      <c r="GR391" s="58">
        <f t="shared" si="593"/>
        <v>999</v>
      </c>
      <c r="GS391" s="58">
        <f t="shared" si="594"/>
        <v>999</v>
      </c>
      <c r="GT391" s="58">
        <f t="shared" si="595"/>
        <v>999</v>
      </c>
      <c r="GU391" s="58">
        <f>IF(AND(dd_CheckMate214_TTD="Yes",'Effectiveness settings'!BU391=2,'Effectiveness settings'!BX391=2),2,GT391)</f>
        <v>999</v>
      </c>
      <c r="GV391" s="58">
        <f t="shared" si="596"/>
        <v>999</v>
      </c>
      <c r="GW391" s="58">
        <f t="shared" si="597"/>
        <v>999</v>
      </c>
      <c r="GY391" s="58">
        <f>IF(AND(dd_CheckMate214_TTD="Yes",'Effectiveness settings'!BU391=2,'Effectiveness settings'!BX391=2),1,GN391)</f>
        <v>4</v>
      </c>
      <c r="GZ391" s="58">
        <f t="shared" si="598"/>
        <v>4</v>
      </c>
      <c r="HB391" s="58">
        <f t="shared" si="599"/>
        <v>0</v>
      </c>
      <c r="HD391" s="58">
        <f t="shared" si="635"/>
        <v>0</v>
      </c>
      <c r="HE391" s="58">
        <f t="shared" si="636"/>
        <v>4</v>
      </c>
      <c r="HF391" s="58">
        <f t="shared" si="637"/>
        <v>999</v>
      </c>
      <c r="HG391" s="58">
        <f t="shared" si="638"/>
        <v>2</v>
      </c>
      <c r="HH391" s="58">
        <f t="shared" si="639"/>
        <v>4</v>
      </c>
      <c r="HJ391" s="61" t="str">
        <v>sunitinib</v>
      </c>
      <c r="HK391" s="61">
        <f t="shared" si="632"/>
        <v>0.66666666666666663</v>
      </c>
      <c r="HL391" s="61">
        <f t="shared" si="633"/>
        <v>1.125</v>
      </c>
    </row>
    <row r="392" spans="1:222" ht="15.75" x14ac:dyDescent="0.25">
      <c r="D392" s="58" t="str">
        <v>cabozantinib</v>
      </c>
      <c r="I392" s="998">
        <f>I391</f>
        <v>0.66666666666666663</v>
      </c>
      <c r="J392" s="999">
        <f>J391</f>
        <v>1.125</v>
      </c>
      <c r="K392" s="58" t="s">
        <v>607</v>
      </c>
      <c r="BQ392" s="58">
        <f t="shared" si="573"/>
        <v>224</v>
      </c>
      <c r="BR392" s="61"/>
      <c r="BS392" s="61"/>
      <c r="BT392" s="17"/>
      <c r="BU392" s="61"/>
      <c r="BV392" s="17"/>
      <c r="BW392" s="17"/>
      <c r="BX392" s="505"/>
      <c r="BY392" s="531"/>
      <c r="BZ392" s="530"/>
      <c r="CA392" s="531"/>
      <c r="CB392" s="530"/>
      <c r="CC392" s="530"/>
      <c r="CD392" s="530"/>
      <c r="CE392" s="1295"/>
      <c r="CF392" s="1301"/>
      <c r="CG392" s="530"/>
      <c r="CH392" s="61"/>
      <c r="CI392" s="61"/>
      <c r="CJ392" s="61"/>
      <c r="DK392" s="58" t="str" cm="1">
        <f t="array" ref="DK392">IF(AND($BT392=4,$BX392=4,$BU392=999),$DB$36,_xlfn.IFNA(INDEX(DB$13:DB$70,MATCH(1,($BR392=$CV$13:$CV$70)*($BT392=$CX$13:$CX$70)*($CE392=$CY$13:$CY$70)*($BY392=$DA$13:$DA$70)*($CD392=$DH$13:$DH$70),0)),""))</f>
        <v/>
      </c>
      <c r="DL392" s="58" t="str" cm="1">
        <f t="array" ref="DL392">IF(AND($BT392=4,$BX392=4,$BU392=999),$DC$36,_xlfn.IFNA(INDEX(CHOOSE(DP392,DB$13:DB$70,DC$13:DC$70,DD$13:DD$70,DE$13:DE$70),MATCH(1,($BR392=$CV$13:$CV$70)*($BT392=$CX$13:$CX$70)*($CE392=$CY$13:$CY$70)*($BY392=$DA$13:$DA$70)*($CD392=$DH$13:$DH$70),0)),""))</f>
        <v/>
      </c>
      <c r="DM392" s="740" t="str" cm="1">
        <f t="array" ref="DM392">IF(AND($BT392=4,$BX392=4,$BU392=999),$DD$36,_xlfn.IFNA(INDEX(DD$13:DD$68,MATCH(1,($BR392=$CV$13:$CV$68)*($BT392=$CX$13:$CX$68)*($CE392=$CY$13:$CY$68)*($BY392=$DA$13:$DA$68)*($CD392=$DH$13:$DH$68),0)),""))</f>
        <v/>
      </c>
      <c r="DN392" s="740" t="str" cm="1">
        <f t="array" ref="DN392">IF(AND($BT392=4,$BX392=4,$BU392=999),$DD$36,_xlfn.IFNA(INDEX(DE$13:DE$68,MATCH(1,($BR392=$CV$13:$CV$68)*($BT392=$CX$13:$CX$68)*($CE392=$CY$13:$CY$68)*($BY392=$DA$13:$DA$68)*($CD392=$DH$13:$DH$68),0)),""))</f>
        <v/>
      </c>
      <c r="DO392" s="58" t="str" cm="1">
        <f t="array" ref="DO392">IF(AND($BT392=4,$BX392=4,$BU392=999),$DF$36,_xlfn.IFNA(INDEX(DF$13:DF$70,MATCH(1,($BR392=$CV$13:$CV$70)*($BT392=$CX$13:$CX$70)*($CE392=$CY$13:$CY$70)*($BY392=$DA$13:$DA$70)*($CD392=$DH$13:$DH$70),0)),""))</f>
        <v/>
      </c>
      <c r="DP392" s="58" t="e">
        <f t="shared" si="574"/>
        <v>#N/A</v>
      </c>
      <c r="FT392" s="58">
        <f t="shared" si="581"/>
        <v>0</v>
      </c>
      <c r="FW392" s="58">
        <f>IF(i_baseline_risk_from=2,'Effectiveness settings'!EW392,'Effectiveness settings'!FI392)</f>
        <v>0</v>
      </c>
      <c r="FX392" s="58">
        <f t="shared" si="582"/>
        <v>0</v>
      </c>
      <c r="FY392" s="58">
        <f t="shared" si="583"/>
        <v>0</v>
      </c>
      <c r="FZ392" s="58">
        <f t="shared" si="584"/>
        <v>0</v>
      </c>
      <c r="GA392" s="58">
        <f t="shared" si="585"/>
        <v>0</v>
      </c>
      <c r="GB392" s="58">
        <f t="shared" si="586"/>
        <v>0</v>
      </c>
      <c r="GC392" s="58">
        <f t="shared" si="587"/>
        <v>0</v>
      </c>
      <c r="GD392" s="58">
        <f t="shared" si="588"/>
        <v>0</v>
      </c>
      <c r="GE392" s="58">
        <f>IF(AND(dd_CheckMate214_TTD="Yes",'Effectiveness settings'!BU392=2,'Effectiveness settings'!BX392=2),"Apply HR to",GD392)</f>
        <v>0</v>
      </c>
      <c r="GF392" s="58">
        <f t="shared" si="589"/>
        <v>0</v>
      </c>
      <c r="GG392" s="58">
        <f t="shared" si="590"/>
        <v>0</v>
      </c>
      <c r="GH392" s="58">
        <f t="shared" si="591"/>
        <v>0</v>
      </c>
      <c r="GI392" s="58">
        <f t="shared" si="640"/>
        <v>0</v>
      </c>
      <c r="GK392" s="58">
        <f>IF(i_baseline_risk_from=2,'Effectiveness settings'!FA392,'Effectiveness settings'!FM392)</f>
        <v>0</v>
      </c>
      <c r="GL392" s="58">
        <f>IF(i_baseline_risk_from=2,'Effectiveness settings'!FB392,'Effectiveness settings'!FN392)</f>
        <v>0</v>
      </c>
      <c r="GM392" s="58">
        <f>IF(i_baseline_risk_from=2,'Effectiveness settings'!FC392,'Effectiveness settings'!FO392)</f>
        <v>0</v>
      </c>
      <c r="GN392" s="58">
        <f>IF(i_baseline_risk_from=2,'Effectiveness settings'!FD392,'Effectiveness settings'!FP392)</f>
        <v>0</v>
      </c>
      <c r="GQ392" s="58">
        <f t="shared" si="592"/>
        <v>0</v>
      </c>
      <c r="GR392" s="58">
        <f t="shared" si="593"/>
        <v>0</v>
      </c>
      <c r="GS392" s="58">
        <f t="shared" si="594"/>
        <v>0</v>
      </c>
      <c r="GT392" s="58">
        <f t="shared" si="595"/>
        <v>0</v>
      </c>
      <c r="GU392" s="58">
        <f>IF(AND(dd_CheckMate214_TTD="Yes",'Effectiveness settings'!BU392=2,'Effectiveness settings'!BX392=2),2,GT392)</f>
        <v>0</v>
      </c>
      <c r="GV392" s="58">
        <f t="shared" si="596"/>
        <v>0</v>
      </c>
      <c r="GW392" s="58">
        <f t="shared" si="597"/>
        <v>0</v>
      </c>
      <c r="GY392" s="58">
        <f>IF(AND(dd_CheckMate214_TTD="Yes",'Effectiveness settings'!BU392=2,'Effectiveness settings'!BX392=2),1,GN392)</f>
        <v>0</v>
      </c>
      <c r="GZ392" s="58">
        <f t="shared" si="598"/>
        <v>0</v>
      </c>
      <c r="HB392" s="58">
        <f t="shared" si="599"/>
        <v>0</v>
      </c>
      <c r="HD392" s="58">
        <f t="shared" si="635"/>
        <v>0</v>
      </c>
      <c r="HE392" s="58">
        <f t="shared" si="636"/>
        <v>0</v>
      </c>
      <c r="HF392" s="58">
        <f t="shared" si="637"/>
        <v>0</v>
      </c>
      <c r="HG392" s="58">
        <f t="shared" si="638"/>
        <v>0</v>
      </c>
      <c r="HH392" s="58">
        <f t="shared" si="639"/>
        <v>0</v>
      </c>
      <c r="HJ392" s="61" t="str">
        <v>cabozantinib</v>
      </c>
      <c r="HK392" s="61">
        <f t="shared" si="632"/>
        <v>0.66666666666666663</v>
      </c>
      <c r="HL392" s="61">
        <f t="shared" si="633"/>
        <v>1.125</v>
      </c>
    </row>
    <row r="393" spans="1:222" ht="15.75" x14ac:dyDescent="0.25">
      <c r="D393" s="58" t="str">
        <v>lenvatinib_plus_everolimus</v>
      </c>
      <c r="I393" s="1060">
        <v>1</v>
      </c>
      <c r="J393" s="65"/>
      <c r="BQ393" s="58">
        <f t="shared" si="573"/>
        <v>225</v>
      </c>
      <c r="BR393" s="61">
        <v>0</v>
      </c>
      <c r="BS393" s="61" t="s">
        <v>31</v>
      </c>
      <c r="BT393" s="17">
        <v>2</v>
      </c>
      <c r="BU393" s="17">
        <v>0</v>
      </c>
      <c r="BV393" s="17" t="str">
        <f t="shared" ref="BV393:BV406" si="641">D274</f>
        <v>nivolumab_monotherapy</v>
      </c>
      <c r="BW393" s="1006" t="str" cm="1">
        <f t="array" ref="BW393">IF(X274="No",X274,INDEX(List_incl_anal_2L_all,IF(BU393=999,35,BU393+1)))</f>
        <v>Yes</v>
      </c>
      <c r="BX393" s="61">
        <f t="shared" ref="BX393:BX406" si="642">MATCH(BY393,List_eff_endpoints,0)-1</f>
        <v>1</v>
      </c>
      <c r="BY393" s="531" t="str">
        <f t="shared" ref="BY393:BY406" si="643">Y274</f>
        <v>Progression free survival</v>
      </c>
      <c r="BZ393" s="530" t="str">
        <f t="shared" ref="BZ393:BZ406" si="644">GI393</f>
        <v>PH_NMA</v>
      </c>
      <c r="CA393" s="531">
        <f>FT393</f>
        <v>0</v>
      </c>
      <c r="CB393" s="530">
        <f t="shared" ref="CB393:CB406" si="645">HD393</f>
        <v>0</v>
      </c>
      <c r="CC393" s="530">
        <f t="shared" ref="CC393:CC406" si="646">HE393</f>
        <v>3</v>
      </c>
      <c r="CD393" s="530">
        <f t="shared" ref="CD393:CD406" si="647">HF393</f>
        <v>8</v>
      </c>
      <c r="CE393" s="1295">
        <f t="shared" ref="CE393:CE406" si="648">HG393</f>
        <v>2</v>
      </c>
      <c r="CF393" s="1301">
        <f t="shared" ref="CF393:CF406" si="649">HH393</f>
        <v>1</v>
      </c>
      <c r="CG393" s="530" t="str">
        <f t="shared" ref="CG393:CG406" si="650">IF(i_surv_cur=1,DK393,DL393)</f>
        <v>Log-logistic</v>
      </c>
      <c r="CH393" s="61">
        <f t="shared" ref="CH393:CH406" si="651">AH274</f>
        <v>0</v>
      </c>
      <c r="CI393" s="61">
        <f t="shared" ref="CI393:CI406" si="652">AI274</f>
        <v>0</v>
      </c>
      <c r="CJ393" s="61">
        <f t="shared" ref="CJ393:CJ406" si="653">AJ274</f>
        <v>0</v>
      </c>
      <c r="DK393" s="58" t="str" cm="1">
        <f t="array" ref="DK393">IF(AND($BT393=4,$BX393=4,$BU393=999),$DB$36,_xlfn.IFNA(INDEX(DB$13:DB$70,MATCH(1,($BR393=$CV$13:$CV$70)*($BT393=$CX$13:$CX$70)*($CE393=$CY$13:$CY$70)*($BY393=$DA$13:$DA$70)*($CD393=$DH$13:$DH$70),0)),""))</f>
        <v>Log-logistic</v>
      </c>
      <c r="DL393" s="58" t="str" cm="1">
        <f t="array" ref="DL393">IF(AND($BT393=4,$BX393=4,$BU393=999),$DC$36,_xlfn.IFNA(INDEX(CHOOSE(DP393,DB$13:DB$70,DC$13:DC$70,DD$13:DD$70,DE$13:DE$70),MATCH(1,($BR393=$CV$13:$CV$70)*($BT393=$CX$13:$CX$70)*($CE393=$CY$13:$CY$70)*($BY393=$DA$13:$DA$70)*($CD393=$DH$13:$DH$70),0)),""))</f>
        <v>Log-logistic</v>
      </c>
      <c r="DM393" s="740" t="str" cm="1">
        <f t="array" ref="DM393">IF(AND($BT393=4,$BX393=4,$BU393=999),$DD$36,_xlfn.IFNA(INDEX(DD$13:DD$68,MATCH(1,($BR393=$CV$13:$CV$68)*($BT393=$CX$13:$CX$68)*($CE393=$CY$13:$CY$68)*($BY393=$DA$13:$DA$68)*($CD393=$DH$13:$DH$68),0)),""))</f>
        <v>Weibull</v>
      </c>
      <c r="DN393" s="740" cm="1">
        <f t="array" ref="DN393">IF(AND($BT393=4,$BX393=4,$BU393=999),$DD$36,_xlfn.IFNA(INDEX(DE$13:DE$68,MATCH(1,($BR393=$CV$13:$CV$68)*($BT393=$CX$13:$CX$68)*($CE393=$CY$13:$CY$68)*($BY393=$DA$13:$DA$68)*($CD393=$DH$13:$DH$68),0)),""))</f>
        <v>0</v>
      </c>
      <c r="DO393" s="58" t="str" cm="1">
        <f t="array" ref="DO393">IF(AND($BT393=4,$BX393=4,$BU393=999),$DF$36,_xlfn.IFNA(INDEX(DF$13:DF$70,MATCH(1,($BR393=$CV$13:$CV$70)*($BT393=$CX$13:$CX$70)*($CE393=$CY$13:$CY$70)*($BY393=$DA$13:$DA$70)*($CD393=$DH$13:$DH$70),0)),""))</f>
        <v>Base case</v>
      </c>
      <c r="DP393" s="58">
        <f t="shared" si="574"/>
        <v>1</v>
      </c>
      <c r="DW393" s="58" t="s">
        <v>74</v>
      </c>
      <c r="DX393" s="58" t="s">
        <v>552</v>
      </c>
      <c r="DY393" s="58" t="s">
        <v>63</v>
      </c>
      <c r="DZ393" s="58">
        <v>0</v>
      </c>
      <c r="EB393" s="58">
        <v>0</v>
      </c>
      <c r="EC393" s="58">
        <v>3</v>
      </c>
      <c r="ED393" s="58">
        <v>8</v>
      </c>
      <c r="EE393" s="58">
        <v>2</v>
      </c>
      <c r="EF393" s="58">
        <v>1</v>
      </c>
      <c r="EI393" s="58" t="s">
        <v>74</v>
      </c>
      <c r="EJ393" s="58" t="s">
        <v>552</v>
      </c>
      <c r="EK393" s="58" t="s">
        <v>63</v>
      </c>
      <c r="EL393" s="58">
        <v>0</v>
      </c>
      <c r="EN393" s="58">
        <v>0</v>
      </c>
      <c r="EO393" s="58">
        <v>2</v>
      </c>
      <c r="EP393" s="58">
        <v>10</v>
      </c>
      <c r="EQ393" s="58">
        <v>1</v>
      </c>
      <c r="ER393" s="58">
        <v>1</v>
      </c>
      <c r="EU393" s="58" t="str">
        <f t="shared" ref="EU393:EU406" si="654">IF(i_eff_inputs_based_on_num=2,DW393,X274)</f>
        <v>Yes</v>
      </c>
      <c r="EV393" s="58" t="str">
        <f t="shared" ref="EV393:EV406" si="655">IF(i_eff_inputs_based_on_num=2,DX393,Y274)</f>
        <v>Progression free survival</v>
      </c>
      <c r="EW393" s="58" t="str">
        <f t="shared" ref="EW393:EW406" si="656">IF(i_eff_inputs_based_on_num=2,DY393,Z274)</f>
        <v>FP_NMA</v>
      </c>
      <c r="EX393" s="58">
        <f t="shared" ref="EX393:EX406" si="657">IF(i_eff_inputs_based_on_num=2,DZ393,AA274)</f>
        <v>0</v>
      </c>
      <c r="EZ393" s="58">
        <f t="shared" ref="EZ393:EZ406" si="658">IF(i_eff_inputs_based_on_num=2,EB393,VLOOKUP(AB274,r_pld_lookup_line,3,FALSE))</f>
        <v>0</v>
      </c>
      <c r="FA393" s="58">
        <f t="shared" ref="FA393:FA406" si="659">IF(i_eff_inputs_based_on_num=2,EC393,VLOOKUP(AC274,r_pld_lookup_line,3,FALSE))</f>
        <v>3</v>
      </c>
      <c r="FB393" s="58">
        <f>IF(i_eff_inputs_based_on_num=2,ED393,(INDEX(Lists!$L$51:$L$85,MATCH(AD274,Lists!$K$51:$K$85,0))))</f>
        <v>8</v>
      </c>
      <c r="FC393" s="58">
        <f>IF(i_eff_inputs_based_on_num=2,EE393,(INDEX(Lists!$L$51:$L$85,MATCH(AE274,Lists!$K$51:$K$85,0))))</f>
        <v>2</v>
      </c>
      <c r="FD393" s="58">
        <f>IF(i_eff_inputs_based_on_num=2,EF393,(INDEX(Lists!$L$51:$L$85,MATCH(AF274,Lists!$K$51:$K$85,0))))</f>
        <v>1</v>
      </c>
      <c r="FG393" s="58" t="str">
        <f t="shared" ref="FG393:FG406" si="660">IF(i_eff_inputs_based_on_num=2,EI393,X274)</f>
        <v>Yes</v>
      </c>
      <c r="FH393" s="58" t="str">
        <f t="shared" ref="FH393:FH406" si="661">IF(i_eff_inputs_based_on_num=2,EJ393,Y274)</f>
        <v>Progression free survival</v>
      </c>
      <c r="FI393" s="58" t="str">
        <f t="shared" ref="FI393:FI406" si="662">IF(i_eff_inputs_based_on_num=2,EK393,Z274)</f>
        <v>FP_NMA</v>
      </c>
      <c r="FJ393" s="58">
        <f t="shared" ref="FJ393:FJ406" si="663">IF(i_eff_inputs_based_on_num=2,EL393,AA274)</f>
        <v>0</v>
      </c>
      <c r="FL393" s="58">
        <f t="shared" ref="FL393:FL406" si="664">IF(i_eff_inputs_based_on_num=2,EN393,VLOOKUP(AB274,r_pld_lookup_line,3,FALSE))</f>
        <v>0</v>
      </c>
      <c r="FM393" s="58">
        <f t="shared" ref="FM393:FM406" si="665">IF(i_eff_inputs_based_on_num=2,EO393,VLOOKUP(AC274,r_pld_lookup_line,3,FALSE))</f>
        <v>2</v>
      </c>
      <c r="FN393" s="58">
        <f>IF(i_eff_inputs_based_on_num=2,EP393,(INDEX(Lists!$L$51:$L$85,MATCH(AD274,Lists!$K$51:$K$85,0))))</f>
        <v>10</v>
      </c>
      <c r="FO393" s="58">
        <f>IF(i_eff_inputs_based_on_num=2,EQ393,(INDEX(Lists!$L$51:$L$85,MATCH(AE274,Lists!$K$51:$K$85,0))))</f>
        <v>1</v>
      </c>
      <c r="FP393" s="58">
        <f>IF(i_eff_inputs_based_on_num=2,ER393,(INDEX(Lists!$L$51:$L$85,MATCH(AF274,Lists!$K$51:$K$85,0))))</f>
        <v>1</v>
      </c>
      <c r="FT393" s="58">
        <f t="shared" si="581"/>
        <v>0</v>
      </c>
      <c r="FW393" s="58" t="str">
        <f>IF(i_baseline_risk_from=2,'Effectiveness settings'!EW393,'Effectiveness settings'!FI393)</f>
        <v>FP_NMA</v>
      </c>
      <c r="FX393" s="58" t="str">
        <f t="shared" si="582"/>
        <v>PH_NMA</v>
      </c>
      <c r="FY393" s="58" t="str">
        <f t="shared" si="583"/>
        <v>PH_NMA</v>
      </c>
      <c r="FZ393" s="58" t="str">
        <f t="shared" si="584"/>
        <v>PH_NMA</v>
      </c>
      <c r="GA393" s="58" t="str">
        <f t="shared" si="585"/>
        <v>PH_NMA</v>
      </c>
      <c r="GB393" s="58" t="str">
        <f t="shared" si="586"/>
        <v>PH_NMA</v>
      </c>
      <c r="GC393" s="58" t="str">
        <f t="shared" si="587"/>
        <v>PH_NMA</v>
      </c>
      <c r="GD393" s="58" t="str">
        <f t="shared" si="588"/>
        <v>PH_NMA</v>
      </c>
      <c r="GE393" s="58" t="str">
        <f>IF(AND(dd_CheckMate214_TTD="Yes",'Effectiveness settings'!BU393=2,'Effectiveness settings'!BX393=2),"Apply HR to",GD393)</f>
        <v>PH_NMA</v>
      </c>
      <c r="GF393" s="58" t="str">
        <f t="shared" si="589"/>
        <v>PH_NMA</v>
      </c>
      <c r="GG393" s="58" t="str">
        <f t="shared" si="590"/>
        <v>PH_NMA</v>
      </c>
      <c r="GH393" s="58" t="str">
        <f t="shared" si="591"/>
        <v>PH_NMA</v>
      </c>
      <c r="GI393" s="58" t="str">
        <f t="shared" si="640"/>
        <v>PH_NMA</v>
      </c>
      <c r="GK393" s="58">
        <f>IF(i_baseline_risk_from=2,'Effectiveness settings'!FA393,'Effectiveness settings'!FM393)</f>
        <v>3</v>
      </c>
      <c r="GL393" s="58">
        <f>IF(i_baseline_risk_from=2,'Effectiveness settings'!FB393,'Effectiveness settings'!FN393)</f>
        <v>8</v>
      </c>
      <c r="GM393" s="58">
        <f>IF(i_baseline_risk_from=2,'Effectiveness settings'!FC393,'Effectiveness settings'!FO393)</f>
        <v>2</v>
      </c>
      <c r="GN393" s="58">
        <f>IF(i_baseline_risk_from=2,'Effectiveness settings'!FD393,'Effectiveness settings'!FP393)</f>
        <v>1</v>
      </c>
      <c r="GQ393" s="58">
        <f t="shared" si="592"/>
        <v>8</v>
      </c>
      <c r="GR393" s="58">
        <f t="shared" si="593"/>
        <v>8</v>
      </c>
      <c r="GS393" s="58">
        <f t="shared" si="594"/>
        <v>8</v>
      </c>
      <c r="GT393" s="58">
        <f t="shared" si="595"/>
        <v>8</v>
      </c>
      <c r="GU393" s="58">
        <f>IF(AND(dd_CheckMate214_TTD="Yes",'Effectiveness settings'!BU393=2,'Effectiveness settings'!BX393=2),2,GT393)</f>
        <v>8</v>
      </c>
      <c r="GV393" s="58">
        <f t="shared" si="596"/>
        <v>8</v>
      </c>
      <c r="GW393" s="58">
        <f t="shared" si="597"/>
        <v>8</v>
      </c>
      <c r="GY393" s="58">
        <f>IF(AND(dd_CheckMate214_TTD="Yes",'Effectiveness settings'!BU393=2,'Effectiveness settings'!BX393=2),1,GN393)</f>
        <v>1</v>
      </c>
      <c r="GZ393" s="58">
        <f t="shared" si="598"/>
        <v>1</v>
      </c>
      <c r="HB393" s="58">
        <f t="shared" si="599"/>
        <v>0</v>
      </c>
      <c r="HD393" s="58">
        <f t="shared" si="635"/>
        <v>0</v>
      </c>
      <c r="HE393" s="58">
        <f t="shared" si="636"/>
        <v>3</v>
      </c>
      <c r="HF393" s="58">
        <f t="shared" si="637"/>
        <v>8</v>
      </c>
      <c r="HG393" s="58">
        <f t="shared" si="638"/>
        <v>2</v>
      </c>
      <c r="HH393" s="58">
        <f t="shared" si="639"/>
        <v>1</v>
      </c>
      <c r="HJ393" s="61" t="str">
        <v>lenvatinib_plus_everolimus</v>
      </c>
      <c r="HK393" s="61">
        <f t="shared" si="632"/>
        <v>1</v>
      </c>
      <c r="HL393" s="61">
        <f t="shared" si="633"/>
        <v>0</v>
      </c>
    </row>
    <row r="394" spans="1:222" ht="15.75" x14ac:dyDescent="0.25">
      <c r="D394" s="58" t="str">
        <v>everolimus</v>
      </c>
      <c r="I394" s="1060">
        <v>1</v>
      </c>
      <c r="J394" s="65"/>
      <c r="BQ394" s="58">
        <f t="shared" si="573"/>
        <v>226</v>
      </c>
      <c r="BR394" s="61">
        <v>0</v>
      </c>
      <c r="BS394" s="61" t="s">
        <v>31</v>
      </c>
      <c r="BT394" s="17">
        <v>2</v>
      </c>
      <c r="BU394" s="17">
        <v>1</v>
      </c>
      <c r="BV394" s="17" t="str">
        <f t="shared" si="641"/>
        <v>cabozantinib_plus_nivolumab</v>
      </c>
      <c r="BW394" s="1006" t="str" cm="1">
        <f t="array" ref="BW394">IF(X275="No",X275,INDEX(List_incl_anal_2L_all,IF(BU394=999,35,BU394+1)))</f>
        <v>No</v>
      </c>
      <c r="BX394" s="61">
        <f t="shared" si="642"/>
        <v>1</v>
      </c>
      <c r="BY394" s="531" t="str">
        <f t="shared" si="643"/>
        <v>Progression free survival</v>
      </c>
      <c r="BZ394" s="530">
        <f t="shared" si="644"/>
        <v>0</v>
      </c>
      <c r="CA394" s="531">
        <f t="shared" ref="CA394:CA406" si="666">FT394</f>
        <v>0</v>
      </c>
      <c r="CB394" s="530">
        <f t="shared" si="645"/>
        <v>0</v>
      </c>
      <c r="CC394" s="530">
        <f t="shared" si="646"/>
        <v>3</v>
      </c>
      <c r="CD394" s="530">
        <f t="shared" si="647"/>
        <v>8</v>
      </c>
      <c r="CE394" s="1295">
        <f t="shared" si="648"/>
        <v>2</v>
      </c>
      <c r="CF394" s="1301">
        <f t="shared" si="649"/>
        <v>1</v>
      </c>
      <c r="CG394" s="530" t="str">
        <f t="shared" si="650"/>
        <v>Log-logistic</v>
      </c>
      <c r="CH394" s="61">
        <f t="shared" si="651"/>
        <v>0</v>
      </c>
      <c r="CI394" s="61">
        <f t="shared" si="652"/>
        <v>0</v>
      </c>
      <c r="CJ394" s="61">
        <f t="shared" si="653"/>
        <v>0</v>
      </c>
      <c r="DK394" s="58" t="str" cm="1">
        <f t="array" ref="DK394">IF(AND($BT394=4,$BX394=4,$BU394=999),$DB$36,_xlfn.IFNA(INDEX(DB$13:DB$70,MATCH(1,($BR394=$CV$13:$CV$70)*($BT394=$CX$13:$CX$70)*($CE394=$CY$13:$CY$70)*($BY394=$DA$13:$DA$70)*($CD394=$DH$13:$DH$70),0)),""))</f>
        <v>Log-logistic</v>
      </c>
      <c r="DL394" s="58" t="str" cm="1">
        <f t="array" ref="DL394">IF(AND($BT394=4,$BX394=4,$BU394=999),$DC$36,_xlfn.IFNA(INDEX(CHOOSE(DP394,DB$13:DB$70,DC$13:DC$70,DD$13:DD$70,DE$13:DE$70),MATCH(1,($BR394=$CV$13:$CV$70)*($BT394=$CX$13:$CX$70)*($CE394=$CY$13:$CY$70)*($BY394=$DA$13:$DA$70)*($CD394=$DH$13:$DH$70),0)),""))</f>
        <v>Log-logistic</v>
      </c>
      <c r="DM394" s="740" t="str" cm="1">
        <f t="array" ref="DM394">IF(AND($BT394=4,$BX394=4,$BU394=999),$DD$36,_xlfn.IFNA(INDEX(DD$13:DD$68,MATCH(1,($BR394=$CV$13:$CV$68)*($BT394=$CX$13:$CX$68)*($CE394=$CY$13:$CY$68)*($BY394=$DA$13:$DA$68)*($CD394=$DH$13:$DH$68),0)),""))</f>
        <v>Weibull</v>
      </c>
      <c r="DN394" s="740" cm="1">
        <f t="array" ref="DN394">IF(AND($BT394=4,$BX394=4,$BU394=999),$DD$36,_xlfn.IFNA(INDEX(DE$13:DE$68,MATCH(1,($BR394=$CV$13:$CV$68)*($BT394=$CX$13:$CX$68)*($CE394=$CY$13:$CY$68)*($BY394=$DA$13:$DA$68)*($CD394=$DH$13:$DH$68),0)),""))</f>
        <v>0</v>
      </c>
      <c r="DO394" s="58" t="str" cm="1">
        <f t="array" ref="DO394">IF(AND($BT394=4,$BX394=4,$BU394=999),$DF$36,_xlfn.IFNA(INDEX(DF$13:DF$70,MATCH(1,($BR394=$CV$13:$CV$70)*($BT394=$CX$13:$CX$70)*($CE394=$CY$13:$CY$70)*($BY394=$DA$13:$DA$70)*($CD394=$DH$13:$DH$70),0)),""))</f>
        <v>Base case</v>
      </c>
      <c r="DP394" s="58">
        <f t="shared" si="574"/>
        <v>1</v>
      </c>
      <c r="DW394" s="58" t="s">
        <v>58</v>
      </c>
      <c r="DX394" s="58" t="s">
        <v>552</v>
      </c>
      <c r="DY394" s="58">
        <v>0</v>
      </c>
      <c r="DZ394" s="58">
        <v>0</v>
      </c>
      <c r="EB394" s="58">
        <v>0</v>
      </c>
      <c r="EC394" s="58">
        <v>3</v>
      </c>
      <c r="ED394" s="58">
        <v>8</v>
      </c>
      <c r="EE394" s="58">
        <v>2</v>
      </c>
      <c r="EF394" s="58">
        <v>1</v>
      </c>
      <c r="EI394" s="58" t="s">
        <v>58</v>
      </c>
      <c r="EJ394" s="58" t="s">
        <v>552</v>
      </c>
      <c r="EK394" s="58">
        <v>0</v>
      </c>
      <c r="EL394" s="58">
        <v>0</v>
      </c>
      <c r="EN394" s="58">
        <v>0</v>
      </c>
      <c r="EO394" s="58">
        <v>2</v>
      </c>
      <c r="EP394" s="58">
        <v>10</v>
      </c>
      <c r="EQ394" s="58">
        <v>1</v>
      </c>
      <c r="ER394" s="58">
        <v>1</v>
      </c>
      <c r="EU394" s="58" t="str">
        <f t="shared" si="654"/>
        <v>No</v>
      </c>
      <c r="EV394" s="58" t="str">
        <f t="shared" si="655"/>
        <v>Progression free survival</v>
      </c>
      <c r="EW394" s="58">
        <f t="shared" si="656"/>
        <v>0</v>
      </c>
      <c r="EX394" s="58">
        <f t="shared" si="657"/>
        <v>0</v>
      </c>
      <c r="EZ394" s="58">
        <f t="shared" si="658"/>
        <v>0</v>
      </c>
      <c r="FA394" s="58">
        <f t="shared" si="659"/>
        <v>3</v>
      </c>
      <c r="FB394" s="58">
        <f>IF(i_eff_inputs_based_on_num=2,ED394,(INDEX(Lists!$L$51:$L$85,MATCH(AD275,Lists!$K$51:$K$85,0))))</f>
        <v>8</v>
      </c>
      <c r="FC394" s="58">
        <f>IF(i_eff_inputs_based_on_num=2,EE394,(INDEX(Lists!$L$51:$L$85,MATCH(AE275,Lists!$K$51:$K$85,0))))</f>
        <v>2</v>
      </c>
      <c r="FD394" s="58">
        <f>IF(i_eff_inputs_based_on_num=2,EF394,(INDEX(Lists!$L$51:$L$85,MATCH(AF275,Lists!$K$51:$K$85,0))))</f>
        <v>1</v>
      </c>
      <c r="FG394" s="58" t="str">
        <f t="shared" si="660"/>
        <v>No</v>
      </c>
      <c r="FH394" s="58" t="str">
        <f t="shared" si="661"/>
        <v>Progression free survival</v>
      </c>
      <c r="FI394" s="58">
        <f t="shared" si="662"/>
        <v>0</v>
      </c>
      <c r="FJ394" s="58">
        <f t="shared" si="663"/>
        <v>0</v>
      </c>
      <c r="FL394" s="58">
        <f t="shared" si="664"/>
        <v>0</v>
      </c>
      <c r="FM394" s="58">
        <f t="shared" si="665"/>
        <v>2</v>
      </c>
      <c r="FN394" s="58">
        <f>IF(i_eff_inputs_based_on_num=2,EP394,(INDEX(Lists!$L$51:$L$85,MATCH(AD275,Lists!$K$51:$K$85,0))))</f>
        <v>10</v>
      </c>
      <c r="FO394" s="58">
        <f>IF(i_eff_inputs_based_on_num=2,EQ394,(INDEX(Lists!$L$51:$L$85,MATCH(AE275,Lists!$K$51:$K$85,0))))</f>
        <v>1</v>
      </c>
      <c r="FP394" s="58">
        <f>IF(i_eff_inputs_based_on_num=2,ER394,(INDEX(Lists!$L$51:$L$85,MATCH(AF275,Lists!$K$51:$K$85,0))))</f>
        <v>1</v>
      </c>
      <c r="FT394" s="58">
        <f t="shared" si="581"/>
        <v>0</v>
      </c>
      <c r="FW394" s="58">
        <f>IF(i_baseline_risk_from=2,'Effectiveness settings'!EW394,'Effectiveness settings'!FI394)</f>
        <v>0</v>
      </c>
      <c r="FX394" s="58">
        <f t="shared" si="582"/>
        <v>0</v>
      </c>
      <c r="FY394" s="58">
        <f t="shared" si="583"/>
        <v>0</v>
      </c>
      <c r="FZ394" s="58">
        <f t="shared" si="584"/>
        <v>0</v>
      </c>
      <c r="GA394" s="58">
        <f t="shared" si="585"/>
        <v>0</v>
      </c>
      <c r="GB394" s="58">
        <f t="shared" si="586"/>
        <v>0</v>
      </c>
      <c r="GC394" s="58">
        <f t="shared" si="587"/>
        <v>0</v>
      </c>
      <c r="GD394" s="58">
        <f t="shared" si="588"/>
        <v>0</v>
      </c>
      <c r="GE394" s="58">
        <f>IF(AND(dd_CheckMate214_TTD="Yes",'Effectiveness settings'!BU394=2,'Effectiveness settings'!BX394=2),"Apply HR to",GD394)</f>
        <v>0</v>
      </c>
      <c r="GF394" s="58">
        <f t="shared" si="589"/>
        <v>0</v>
      </c>
      <c r="GG394" s="58">
        <f t="shared" si="590"/>
        <v>0</v>
      </c>
      <c r="GH394" s="58">
        <f t="shared" si="591"/>
        <v>0</v>
      </c>
      <c r="GI394" s="58">
        <f t="shared" si="640"/>
        <v>0</v>
      </c>
      <c r="GK394" s="58">
        <f>IF(i_baseline_risk_from=2,'Effectiveness settings'!FA394,'Effectiveness settings'!FM394)</f>
        <v>3</v>
      </c>
      <c r="GL394" s="58">
        <f>IF(i_baseline_risk_from=2,'Effectiveness settings'!FB394,'Effectiveness settings'!FN394)</f>
        <v>8</v>
      </c>
      <c r="GM394" s="58">
        <f>IF(i_baseline_risk_from=2,'Effectiveness settings'!FC394,'Effectiveness settings'!FO394)</f>
        <v>2</v>
      </c>
      <c r="GN394" s="58">
        <f>IF(i_baseline_risk_from=2,'Effectiveness settings'!FD394,'Effectiveness settings'!FP394)</f>
        <v>1</v>
      </c>
      <c r="GQ394" s="58">
        <f t="shared" si="592"/>
        <v>8</v>
      </c>
      <c r="GR394" s="58">
        <f t="shared" si="593"/>
        <v>8</v>
      </c>
      <c r="GS394" s="58">
        <f t="shared" si="594"/>
        <v>8</v>
      </c>
      <c r="GT394" s="58">
        <f t="shared" si="595"/>
        <v>8</v>
      </c>
      <c r="GU394" s="58">
        <f>IF(AND(dd_CheckMate214_TTD="Yes",'Effectiveness settings'!BU394=2,'Effectiveness settings'!BX394=2),2,GT394)</f>
        <v>8</v>
      </c>
      <c r="GV394" s="58">
        <f t="shared" si="596"/>
        <v>8</v>
      </c>
      <c r="GW394" s="58">
        <f t="shared" si="597"/>
        <v>8</v>
      </c>
      <c r="GY394" s="58">
        <f>IF(AND(dd_CheckMate214_TTD="Yes",'Effectiveness settings'!BU394=2,'Effectiveness settings'!BX394=2),1,GN394)</f>
        <v>1</v>
      </c>
      <c r="GZ394" s="58">
        <f t="shared" si="598"/>
        <v>1</v>
      </c>
      <c r="HB394" s="58">
        <f t="shared" si="599"/>
        <v>0</v>
      </c>
      <c r="HD394" s="58">
        <f t="shared" si="635"/>
        <v>0</v>
      </c>
      <c r="HE394" s="58">
        <f t="shared" si="636"/>
        <v>3</v>
      </c>
      <c r="HF394" s="58">
        <f t="shared" si="637"/>
        <v>8</v>
      </c>
      <c r="HG394" s="58">
        <f t="shared" si="638"/>
        <v>2</v>
      </c>
      <c r="HH394" s="58">
        <f t="shared" si="639"/>
        <v>1</v>
      </c>
      <c r="HJ394" s="61" t="str">
        <v>everolimus</v>
      </c>
      <c r="HK394" s="61">
        <f t="shared" si="632"/>
        <v>1</v>
      </c>
      <c r="HL394" s="61">
        <f t="shared" si="633"/>
        <v>0</v>
      </c>
    </row>
    <row r="395" spans="1:222" ht="15.75" x14ac:dyDescent="0.25">
      <c r="D395" s="58" t="str">
        <v>axitinib</v>
      </c>
      <c r="I395" s="1060">
        <v>1</v>
      </c>
      <c r="J395" s="65"/>
      <c r="BQ395" s="58">
        <f t="shared" si="573"/>
        <v>227</v>
      </c>
      <c r="BR395" s="61">
        <v>0</v>
      </c>
      <c r="BS395" s="61" t="s">
        <v>31</v>
      </c>
      <c r="BT395" s="17">
        <v>2</v>
      </c>
      <c r="BU395" s="17">
        <v>2</v>
      </c>
      <c r="BV395" s="17" t="str">
        <f t="shared" si="641"/>
        <v>nivolumab_plus_ipilimumab</v>
      </c>
      <c r="BW395" s="1006" t="str" cm="1">
        <f t="array" ref="BW395">IF(X276="No",X276,INDEX(List_incl_anal_2L_all,IF(BU395=999,35,BU395+1)))</f>
        <v>No</v>
      </c>
      <c r="BX395" s="61">
        <f t="shared" si="642"/>
        <v>1</v>
      </c>
      <c r="BY395" s="531" t="str">
        <f t="shared" si="643"/>
        <v>Progression free survival</v>
      </c>
      <c r="BZ395" s="530">
        <f t="shared" si="644"/>
        <v>0</v>
      </c>
      <c r="CA395" s="531">
        <f t="shared" si="666"/>
        <v>0</v>
      </c>
      <c r="CB395" s="530">
        <f t="shared" si="645"/>
        <v>0</v>
      </c>
      <c r="CC395" s="530">
        <f t="shared" si="646"/>
        <v>3</v>
      </c>
      <c r="CD395" s="530">
        <f t="shared" si="647"/>
        <v>8</v>
      </c>
      <c r="CE395" s="1295">
        <f t="shared" si="648"/>
        <v>2</v>
      </c>
      <c r="CF395" s="1301">
        <f t="shared" si="649"/>
        <v>1</v>
      </c>
      <c r="CG395" s="530" t="str">
        <f t="shared" si="650"/>
        <v>Log-logistic</v>
      </c>
      <c r="CH395" s="61">
        <f t="shared" si="651"/>
        <v>0</v>
      </c>
      <c r="CI395" s="61">
        <f t="shared" si="652"/>
        <v>0</v>
      </c>
      <c r="CJ395" s="61">
        <f t="shared" si="653"/>
        <v>0</v>
      </c>
      <c r="DK395" s="58" t="str" cm="1">
        <f t="array" ref="DK395">IF(AND($BT395=4,$BX395=4,$BU395=999),$DB$36,_xlfn.IFNA(INDEX(DB$13:DB$70,MATCH(1,($BR395=$CV$13:$CV$70)*($BT395=$CX$13:$CX$70)*($CE395=$CY$13:$CY$70)*($BY395=$DA$13:$DA$70)*($CD395=$DH$13:$DH$70),0)),""))</f>
        <v>Log-logistic</v>
      </c>
      <c r="DL395" s="58" t="str" cm="1">
        <f t="array" ref="DL395">IF(AND($BT395=4,$BX395=4,$BU395=999),$DC$36,_xlfn.IFNA(INDEX(CHOOSE(DP395,DB$13:DB$70,DC$13:DC$70,DD$13:DD$70,DE$13:DE$70),MATCH(1,($BR395=$CV$13:$CV$70)*($BT395=$CX$13:$CX$70)*($CE395=$CY$13:$CY$70)*($BY395=$DA$13:$DA$70)*($CD395=$DH$13:$DH$70),0)),""))</f>
        <v>Log-logistic</v>
      </c>
      <c r="DM395" s="740" t="str" cm="1">
        <f t="array" ref="DM395">IF(AND($BT395=4,$BX395=4,$BU395=999),$DD$36,_xlfn.IFNA(INDEX(DD$13:DD$68,MATCH(1,($BR395=$CV$13:$CV$68)*($BT395=$CX$13:$CX$68)*($CE395=$CY$13:$CY$68)*($BY395=$DA$13:$DA$68)*($CD395=$DH$13:$DH$68),0)),""))</f>
        <v>Weibull</v>
      </c>
      <c r="DN395" s="740" cm="1">
        <f t="array" ref="DN395">IF(AND($BT395=4,$BX395=4,$BU395=999),$DD$36,_xlfn.IFNA(INDEX(DE$13:DE$68,MATCH(1,($BR395=$CV$13:$CV$68)*($BT395=$CX$13:$CX$68)*($CE395=$CY$13:$CY$68)*($BY395=$DA$13:$DA$68)*($CD395=$DH$13:$DH$68),0)),""))</f>
        <v>0</v>
      </c>
      <c r="DO395" s="58" t="str" cm="1">
        <f t="array" ref="DO395">IF(AND($BT395=4,$BX395=4,$BU395=999),$DF$36,_xlfn.IFNA(INDEX(DF$13:DF$70,MATCH(1,($BR395=$CV$13:$CV$70)*($BT395=$CX$13:$CX$70)*($CE395=$CY$13:$CY$70)*($BY395=$DA$13:$DA$70)*($CD395=$DH$13:$DH$70),0)),""))</f>
        <v>Base case</v>
      </c>
      <c r="DP395" s="58">
        <f t="shared" si="574"/>
        <v>1</v>
      </c>
      <c r="DW395" s="58" t="s">
        <v>58</v>
      </c>
      <c r="DX395" s="58" t="s">
        <v>552</v>
      </c>
      <c r="DY395" s="58">
        <v>0</v>
      </c>
      <c r="DZ395" s="58">
        <v>0</v>
      </c>
      <c r="EB395" s="58">
        <v>0</v>
      </c>
      <c r="EC395" s="58">
        <v>3</v>
      </c>
      <c r="ED395" s="58">
        <v>8</v>
      </c>
      <c r="EE395" s="58">
        <v>2</v>
      </c>
      <c r="EF395" s="58">
        <v>1</v>
      </c>
      <c r="EI395" s="58" t="s">
        <v>58</v>
      </c>
      <c r="EJ395" s="58" t="s">
        <v>552</v>
      </c>
      <c r="EK395" s="58">
        <v>0</v>
      </c>
      <c r="EL395" s="58">
        <v>0</v>
      </c>
      <c r="EN395" s="58">
        <v>0</v>
      </c>
      <c r="EO395" s="58">
        <v>2</v>
      </c>
      <c r="EP395" s="58">
        <v>10</v>
      </c>
      <c r="EQ395" s="58">
        <v>1</v>
      </c>
      <c r="ER395" s="58">
        <v>1</v>
      </c>
      <c r="EU395" s="58" t="str">
        <f t="shared" si="654"/>
        <v>No</v>
      </c>
      <c r="EV395" s="58" t="str">
        <f t="shared" si="655"/>
        <v>Progression free survival</v>
      </c>
      <c r="EW395" s="58">
        <f t="shared" si="656"/>
        <v>0</v>
      </c>
      <c r="EX395" s="58">
        <f t="shared" si="657"/>
        <v>0</v>
      </c>
      <c r="EZ395" s="58">
        <f t="shared" si="658"/>
        <v>0</v>
      </c>
      <c r="FA395" s="58">
        <f t="shared" si="659"/>
        <v>3</v>
      </c>
      <c r="FB395" s="58">
        <f>IF(i_eff_inputs_based_on_num=2,ED395,(INDEX(Lists!$L$51:$L$85,MATCH(AD276,Lists!$K$51:$K$85,0))))</f>
        <v>8</v>
      </c>
      <c r="FC395" s="58">
        <f>IF(i_eff_inputs_based_on_num=2,EE395,(INDEX(Lists!$L$51:$L$85,MATCH(AE276,Lists!$K$51:$K$85,0))))</f>
        <v>2</v>
      </c>
      <c r="FD395" s="58">
        <f>IF(i_eff_inputs_based_on_num=2,EF395,(INDEX(Lists!$L$51:$L$85,MATCH(AF276,Lists!$K$51:$K$85,0))))</f>
        <v>1</v>
      </c>
      <c r="FG395" s="58" t="str">
        <f t="shared" si="660"/>
        <v>No</v>
      </c>
      <c r="FH395" s="58" t="str">
        <f t="shared" si="661"/>
        <v>Progression free survival</v>
      </c>
      <c r="FI395" s="58">
        <f t="shared" si="662"/>
        <v>0</v>
      </c>
      <c r="FJ395" s="58">
        <f t="shared" si="663"/>
        <v>0</v>
      </c>
      <c r="FL395" s="58">
        <f t="shared" si="664"/>
        <v>0</v>
      </c>
      <c r="FM395" s="58">
        <f t="shared" si="665"/>
        <v>2</v>
      </c>
      <c r="FN395" s="58">
        <f>IF(i_eff_inputs_based_on_num=2,EP395,(INDEX(Lists!$L$51:$L$85,MATCH(AD276,Lists!$K$51:$K$85,0))))</f>
        <v>10</v>
      </c>
      <c r="FO395" s="58">
        <f>IF(i_eff_inputs_based_on_num=2,EQ395,(INDEX(Lists!$L$51:$L$85,MATCH(AE276,Lists!$K$51:$K$85,0))))</f>
        <v>1</v>
      </c>
      <c r="FP395" s="58">
        <f>IF(i_eff_inputs_based_on_num=2,ER395,(INDEX(Lists!$L$51:$L$85,MATCH(AF276,Lists!$K$51:$K$85,0))))</f>
        <v>1</v>
      </c>
      <c r="FT395" s="58">
        <f t="shared" si="581"/>
        <v>0</v>
      </c>
      <c r="FW395" s="58">
        <f>IF(i_baseline_risk_from=2,'Effectiveness settings'!EW395,'Effectiveness settings'!FI395)</f>
        <v>0</v>
      </c>
      <c r="FX395" s="58">
        <f t="shared" si="582"/>
        <v>0</v>
      </c>
      <c r="FY395" s="58">
        <f t="shared" si="583"/>
        <v>0</v>
      </c>
      <c r="FZ395" s="58">
        <f t="shared" si="584"/>
        <v>0</v>
      </c>
      <c r="GA395" s="58">
        <f t="shared" si="585"/>
        <v>0</v>
      </c>
      <c r="GB395" s="58">
        <f t="shared" si="586"/>
        <v>0</v>
      </c>
      <c r="GC395" s="58">
        <f t="shared" si="587"/>
        <v>0</v>
      </c>
      <c r="GD395" s="58">
        <f t="shared" si="588"/>
        <v>0</v>
      </c>
      <c r="GE395" s="58">
        <f>IF(AND(dd_CheckMate214_TTD="Yes",'Effectiveness settings'!BU395=2,'Effectiveness settings'!BX395=2),"Apply HR to",GD395)</f>
        <v>0</v>
      </c>
      <c r="GF395" s="58">
        <f t="shared" si="589"/>
        <v>0</v>
      </c>
      <c r="GG395" s="58">
        <f t="shared" si="590"/>
        <v>0</v>
      </c>
      <c r="GH395" s="58">
        <f t="shared" si="591"/>
        <v>0</v>
      </c>
      <c r="GI395" s="58">
        <f t="shared" si="640"/>
        <v>0</v>
      </c>
      <c r="GK395" s="58">
        <f>IF(i_baseline_risk_from=2,'Effectiveness settings'!FA395,'Effectiveness settings'!FM395)</f>
        <v>3</v>
      </c>
      <c r="GL395" s="58">
        <f>IF(i_baseline_risk_from=2,'Effectiveness settings'!FB395,'Effectiveness settings'!FN395)</f>
        <v>8</v>
      </c>
      <c r="GM395" s="58">
        <f>IF(i_baseline_risk_from=2,'Effectiveness settings'!FC395,'Effectiveness settings'!FO395)</f>
        <v>2</v>
      </c>
      <c r="GN395" s="58">
        <f>IF(i_baseline_risk_from=2,'Effectiveness settings'!FD395,'Effectiveness settings'!FP395)</f>
        <v>1</v>
      </c>
      <c r="GQ395" s="58">
        <f t="shared" si="592"/>
        <v>8</v>
      </c>
      <c r="GR395" s="58">
        <f t="shared" si="593"/>
        <v>8</v>
      </c>
      <c r="GS395" s="58">
        <f t="shared" si="594"/>
        <v>8</v>
      </c>
      <c r="GT395" s="58">
        <f t="shared" si="595"/>
        <v>8</v>
      </c>
      <c r="GU395" s="58">
        <f>IF(AND(dd_CheckMate214_TTD="Yes",'Effectiveness settings'!BU395=2,'Effectiveness settings'!BX395=2),2,GT395)</f>
        <v>8</v>
      </c>
      <c r="GV395" s="58">
        <f t="shared" si="596"/>
        <v>8</v>
      </c>
      <c r="GW395" s="58">
        <f t="shared" si="597"/>
        <v>8</v>
      </c>
      <c r="GY395" s="58">
        <f>IF(AND(dd_CheckMate214_TTD="Yes",'Effectiveness settings'!BU395=2,'Effectiveness settings'!BX395=2),1,GN395)</f>
        <v>1</v>
      </c>
      <c r="GZ395" s="58">
        <f t="shared" si="598"/>
        <v>1</v>
      </c>
      <c r="HB395" s="58">
        <f t="shared" si="599"/>
        <v>0</v>
      </c>
      <c r="HD395" s="58">
        <f t="shared" si="635"/>
        <v>0</v>
      </c>
      <c r="HE395" s="58">
        <f t="shared" si="636"/>
        <v>3</v>
      </c>
      <c r="HF395" s="58">
        <f t="shared" si="637"/>
        <v>8</v>
      </c>
      <c r="HG395" s="58">
        <f t="shared" si="638"/>
        <v>2</v>
      </c>
      <c r="HH395" s="58">
        <f t="shared" si="639"/>
        <v>1</v>
      </c>
      <c r="HJ395" s="61" t="str">
        <v>axitinib</v>
      </c>
      <c r="HK395" s="61">
        <f t="shared" si="632"/>
        <v>1</v>
      </c>
      <c r="HL395" s="61">
        <f t="shared" si="633"/>
        <v>0</v>
      </c>
    </row>
    <row r="396" spans="1:222" ht="15.75" x14ac:dyDescent="0.25">
      <c r="D396" s="58" t="str">
        <v>sorafenib</v>
      </c>
      <c r="I396" s="1060">
        <v>1</v>
      </c>
      <c r="J396" s="65"/>
      <c r="BQ396" s="58">
        <f t="shared" si="573"/>
        <v>228</v>
      </c>
      <c r="BR396" s="61">
        <v>0</v>
      </c>
      <c r="BS396" s="61" t="s">
        <v>31</v>
      </c>
      <c r="BT396" s="17">
        <v>2</v>
      </c>
      <c r="BU396" s="17">
        <v>3</v>
      </c>
      <c r="BV396" s="17" t="str">
        <f t="shared" si="641"/>
        <v>lenvatinib_plus_pembrolizumab</v>
      </c>
      <c r="BW396" s="1006" t="str" cm="1">
        <f t="array" ref="BW396">IF(X277="No",X277,INDEX(List_incl_anal_2L_all,IF(BU396=999,35,BU396+1)))</f>
        <v>No</v>
      </c>
      <c r="BX396" s="61">
        <f t="shared" si="642"/>
        <v>1</v>
      </c>
      <c r="BY396" s="531" t="str">
        <f t="shared" si="643"/>
        <v>Progression free survival</v>
      </c>
      <c r="BZ396" s="530">
        <f t="shared" si="644"/>
        <v>0</v>
      </c>
      <c r="CA396" s="531">
        <f t="shared" si="666"/>
        <v>0</v>
      </c>
      <c r="CB396" s="530">
        <f t="shared" si="645"/>
        <v>0</v>
      </c>
      <c r="CC396" s="530">
        <f t="shared" si="646"/>
        <v>3</v>
      </c>
      <c r="CD396" s="530">
        <f t="shared" si="647"/>
        <v>8</v>
      </c>
      <c r="CE396" s="1295">
        <f t="shared" si="648"/>
        <v>2</v>
      </c>
      <c r="CF396" s="1301">
        <f t="shared" si="649"/>
        <v>1</v>
      </c>
      <c r="CG396" s="530" t="str">
        <f t="shared" si="650"/>
        <v>Log-logistic</v>
      </c>
      <c r="CH396" s="61">
        <f t="shared" si="651"/>
        <v>0</v>
      </c>
      <c r="CI396" s="61">
        <f t="shared" si="652"/>
        <v>0</v>
      </c>
      <c r="CJ396" s="61">
        <f t="shared" si="653"/>
        <v>0</v>
      </c>
      <c r="DK396" s="58" t="str" cm="1">
        <f t="array" ref="DK396">IF(AND($BT396=4,$BX396=4,$BU396=999),$DB$36,_xlfn.IFNA(INDEX(DB$13:DB$70,MATCH(1,($BR396=$CV$13:$CV$70)*($BT396=$CX$13:$CX$70)*($CE396=$CY$13:$CY$70)*($BY396=$DA$13:$DA$70)*($CD396=$DH$13:$DH$70),0)),""))</f>
        <v>Log-logistic</v>
      </c>
      <c r="DL396" s="58" t="str" cm="1">
        <f t="array" ref="DL396">IF(AND($BT396=4,$BX396=4,$BU396=999),$DC$36,_xlfn.IFNA(INDEX(CHOOSE(DP396,DB$13:DB$70,DC$13:DC$70,DD$13:DD$70,DE$13:DE$70),MATCH(1,($BR396=$CV$13:$CV$70)*($BT396=$CX$13:$CX$70)*($CE396=$CY$13:$CY$70)*($BY396=$DA$13:$DA$70)*($CD396=$DH$13:$DH$70),0)),""))</f>
        <v>Log-logistic</v>
      </c>
      <c r="DM396" s="740" t="str" cm="1">
        <f t="array" ref="DM396">IF(AND($BT396=4,$BX396=4,$BU396=999),$DD$36,_xlfn.IFNA(INDEX(DD$13:DD$68,MATCH(1,($BR396=$CV$13:$CV$68)*($BT396=$CX$13:$CX$68)*($CE396=$CY$13:$CY$68)*($BY396=$DA$13:$DA$68)*($CD396=$DH$13:$DH$68),0)),""))</f>
        <v>Weibull</v>
      </c>
      <c r="DN396" s="740" cm="1">
        <f t="array" ref="DN396">IF(AND($BT396=4,$BX396=4,$BU396=999),$DD$36,_xlfn.IFNA(INDEX(DE$13:DE$68,MATCH(1,($BR396=$CV$13:$CV$68)*($BT396=$CX$13:$CX$68)*($CE396=$CY$13:$CY$68)*($BY396=$DA$13:$DA$68)*($CD396=$DH$13:$DH$68),0)),""))</f>
        <v>0</v>
      </c>
      <c r="DO396" s="58" t="str" cm="1">
        <f t="array" ref="DO396">IF(AND($BT396=4,$BX396=4,$BU396=999),$DF$36,_xlfn.IFNA(INDEX(DF$13:DF$70,MATCH(1,($BR396=$CV$13:$CV$70)*($BT396=$CX$13:$CX$70)*($CE396=$CY$13:$CY$70)*($BY396=$DA$13:$DA$70)*($CD396=$DH$13:$DH$70),0)),""))</f>
        <v>Base case</v>
      </c>
      <c r="DP396" s="58">
        <f t="shared" si="574"/>
        <v>1</v>
      </c>
      <c r="DW396" s="58" t="s">
        <v>58</v>
      </c>
      <c r="DX396" s="58" t="s">
        <v>552</v>
      </c>
      <c r="DY396" s="58">
        <v>0</v>
      </c>
      <c r="DZ396" s="58">
        <v>0</v>
      </c>
      <c r="EB396" s="58">
        <v>0</v>
      </c>
      <c r="EC396" s="58">
        <v>3</v>
      </c>
      <c r="ED396" s="58">
        <v>8</v>
      </c>
      <c r="EE396" s="58">
        <v>2</v>
      </c>
      <c r="EF396" s="58">
        <v>1</v>
      </c>
      <c r="EI396" s="58" t="s">
        <v>58</v>
      </c>
      <c r="EJ396" s="58" t="s">
        <v>552</v>
      </c>
      <c r="EK396" s="58">
        <v>0</v>
      </c>
      <c r="EL396" s="58">
        <v>0</v>
      </c>
      <c r="EN396" s="58">
        <v>0</v>
      </c>
      <c r="EO396" s="58">
        <v>2</v>
      </c>
      <c r="EP396" s="58">
        <v>10</v>
      </c>
      <c r="EQ396" s="58">
        <v>1</v>
      </c>
      <c r="ER396" s="58">
        <v>1</v>
      </c>
      <c r="EU396" s="58" t="str">
        <f t="shared" si="654"/>
        <v>No</v>
      </c>
      <c r="EV396" s="58" t="str">
        <f t="shared" si="655"/>
        <v>Progression free survival</v>
      </c>
      <c r="EW396" s="58">
        <f t="shared" si="656"/>
        <v>0</v>
      </c>
      <c r="EX396" s="58">
        <f t="shared" si="657"/>
        <v>0</v>
      </c>
      <c r="EZ396" s="58">
        <f t="shared" si="658"/>
        <v>0</v>
      </c>
      <c r="FA396" s="58">
        <f t="shared" si="659"/>
        <v>3</v>
      </c>
      <c r="FB396" s="58">
        <f>IF(i_eff_inputs_based_on_num=2,ED396,(INDEX(Lists!$L$51:$L$85,MATCH(AD277,Lists!$K$51:$K$85,0))))</f>
        <v>8</v>
      </c>
      <c r="FC396" s="58">
        <f>IF(i_eff_inputs_based_on_num=2,EE396,(INDEX(Lists!$L$51:$L$85,MATCH(AE277,Lists!$K$51:$K$85,0))))</f>
        <v>2</v>
      </c>
      <c r="FD396" s="58">
        <f>IF(i_eff_inputs_based_on_num=2,EF396,(INDEX(Lists!$L$51:$L$85,MATCH(AF277,Lists!$K$51:$K$85,0))))</f>
        <v>1</v>
      </c>
      <c r="FG396" s="58" t="str">
        <f t="shared" si="660"/>
        <v>No</v>
      </c>
      <c r="FH396" s="58" t="str">
        <f t="shared" si="661"/>
        <v>Progression free survival</v>
      </c>
      <c r="FI396" s="58">
        <f t="shared" si="662"/>
        <v>0</v>
      </c>
      <c r="FJ396" s="58">
        <f t="shared" si="663"/>
        <v>0</v>
      </c>
      <c r="FL396" s="58">
        <f t="shared" si="664"/>
        <v>0</v>
      </c>
      <c r="FM396" s="58">
        <f t="shared" si="665"/>
        <v>2</v>
      </c>
      <c r="FN396" s="58">
        <f>IF(i_eff_inputs_based_on_num=2,EP396,(INDEX(Lists!$L$51:$L$85,MATCH(AD277,Lists!$K$51:$K$85,0))))</f>
        <v>10</v>
      </c>
      <c r="FO396" s="58">
        <f>IF(i_eff_inputs_based_on_num=2,EQ396,(INDEX(Lists!$L$51:$L$85,MATCH(AE277,Lists!$K$51:$K$85,0))))</f>
        <v>1</v>
      </c>
      <c r="FP396" s="58">
        <f>IF(i_eff_inputs_based_on_num=2,ER396,(INDEX(Lists!$L$51:$L$85,MATCH(AF277,Lists!$K$51:$K$85,0))))</f>
        <v>1</v>
      </c>
      <c r="FT396" s="58">
        <f t="shared" si="581"/>
        <v>0</v>
      </c>
      <c r="FW396" s="58">
        <f>IF(i_baseline_risk_from=2,'Effectiveness settings'!EW396,'Effectiveness settings'!FI396)</f>
        <v>0</v>
      </c>
      <c r="FX396" s="58">
        <f t="shared" si="582"/>
        <v>0</v>
      </c>
      <c r="FY396" s="58">
        <f t="shared" si="583"/>
        <v>0</v>
      </c>
      <c r="FZ396" s="58">
        <f t="shared" si="584"/>
        <v>0</v>
      </c>
      <c r="GA396" s="58">
        <f t="shared" si="585"/>
        <v>0</v>
      </c>
      <c r="GB396" s="58">
        <f t="shared" si="586"/>
        <v>0</v>
      </c>
      <c r="GC396" s="58">
        <f t="shared" si="587"/>
        <v>0</v>
      </c>
      <c r="GD396" s="58">
        <f t="shared" si="588"/>
        <v>0</v>
      </c>
      <c r="GE396" s="58">
        <f>IF(AND(dd_CheckMate214_TTD="Yes",'Effectiveness settings'!BU396=2,'Effectiveness settings'!BX396=2),"Apply HR to",GD396)</f>
        <v>0</v>
      </c>
      <c r="GF396" s="58">
        <f t="shared" si="589"/>
        <v>0</v>
      </c>
      <c r="GG396" s="58">
        <f t="shared" si="590"/>
        <v>0</v>
      </c>
      <c r="GH396" s="58">
        <f t="shared" si="591"/>
        <v>0</v>
      </c>
      <c r="GI396" s="58">
        <f t="shared" si="640"/>
        <v>0</v>
      </c>
      <c r="GK396" s="58">
        <f>IF(i_baseline_risk_from=2,'Effectiveness settings'!FA396,'Effectiveness settings'!FM396)</f>
        <v>3</v>
      </c>
      <c r="GL396" s="58">
        <f>IF(i_baseline_risk_from=2,'Effectiveness settings'!FB396,'Effectiveness settings'!FN396)</f>
        <v>8</v>
      </c>
      <c r="GM396" s="58">
        <f>IF(i_baseline_risk_from=2,'Effectiveness settings'!FC396,'Effectiveness settings'!FO396)</f>
        <v>2</v>
      </c>
      <c r="GN396" s="58">
        <f>IF(i_baseline_risk_from=2,'Effectiveness settings'!FD396,'Effectiveness settings'!FP396)</f>
        <v>1</v>
      </c>
      <c r="GQ396" s="58">
        <f t="shared" si="592"/>
        <v>8</v>
      </c>
      <c r="GR396" s="58">
        <f t="shared" si="593"/>
        <v>8</v>
      </c>
      <c r="GS396" s="58">
        <f t="shared" si="594"/>
        <v>8</v>
      </c>
      <c r="GT396" s="58">
        <f t="shared" si="595"/>
        <v>8</v>
      </c>
      <c r="GU396" s="58">
        <f>IF(AND(dd_CheckMate214_TTD="Yes",'Effectiveness settings'!BU396=2,'Effectiveness settings'!BX396=2),2,GT396)</f>
        <v>8</v>
      </c>
      <c r="GV396" s="58">
        <f t="shared" si="596"/>
        <v>8</v>
      </c>
      <c r="GW396" s="58">
        <f t="shared" si="597"/>
        <v>8</v>
      </c>
      <c r="GY396" s="58">
        <f>IF(AND(dd_CheckMate214_TTD="Yes",'Effectiveness settings'!BU396=2,'Effectiveness settings'!BX396=2),1,GN396)</f>
        <v>1</v>
      </c>
      <c r="GZ396" s="58">
        <f t="shared" si="598"/>
        <v>1</v>
      </c>
      <c r="HB396" s="58">
        <f t="shared" si="599"/>
        <v>0</v>
      </c>
      <c r="HD396" s="58">
        <f t="shared" si="635"/>
        <v>0</v>
      </c>
      <c r="HE396" s="58">
        <f t="shared" si="636"/>
        <v>3</v>
      </c>
      <c r="HF396" s="58">
        <f t="shared" si="637"/>
        <v>8</v>
      </c>
      <c r="HG396" s="58">
        <f t="shared" si="638"/>
        <v>2</v>
      </c>
      <c r="HH396" s="58">
        <f t="shared" si="639"/>
        <v>1</v>
      </c>
      <c r="HJ396" s="61" t="str">
        <v>sorafenib</v>
      </c>
      <c r="HK396" s="61">
        <f t="shared" si="632"/>
        <v>1</v>
      </c>
      <c r="HL396" s="61">
        <f t="shared" si="633"/>
        <v>0</v>
      </c>
    </row>
    <row r="397" spans="1:222" ht="15.75" x14ac:dyDescent="0.25">
      <c r="D397" s="58" t="str">
        <v>placebo_BSC</v>
      </c>
      <c r="I397" s="1060">
        <v>1</v>
      </c>
      <c r="J397" s="65"/>
      <c r="BQ397" s="58">
        <f t="shared" ref="BQ397:BQ460" si="667">BQ396+IF(ISBLANK(BR397),0,1)</f>
        <v>229</v>
      </c>
      <c r="BR397" s="61">
        <v>0</v>
      </c>
      <c r="BS397" s="61" t="s">
        <v>31</v>
      </c>
      <c r="BT397" s="17">
        <v>2</v>
      </c>
      <c r="BU397" s="17">
        <v>4</v>
      </c>
      <c r="BV397" s="17" t="str">
        <f t="shared" si="641"/>
        <v>avelumab_plus_axitinib</v>
      </c>
      <c r="BW397" s="1006" t="str" cm="1">
        <f t="array" ref="BW397">IF(X278="No",X278,INDEX(List_incl_anal_2L_all,IF(BU397=999,35,BU397+1)))</f>
        <v>No</v>
      </c>
      <c r="BX397" s="61">
        <f t="shared" si="642"/>
        <v>1</v>
      </c>
      <c r="BY397" s="531" t="str">
        <f t="shared" si="643"/>
        <v>Progression free survival</v>
      </c>
      <c r="BZ397" s="530">
        <f t="shared" si="644"/>
        <v>0</v>
      </c>
      <c r="CA397" s="531">
        <f t="shared" si="666"/>
        <v>0</v>
      </c>
      <c r="CB397" s="530">
        <f t="shared" si="645"/>
        <v>0</v>
      </c>
      <c r="CC397" s="530">
        <f t="shared" si="646"/>
        <v>3</v>
      </c>
      <c r="CD397" s="530">
        <f t="shared" si="647"/>
        <v>8</v>
      </c>
      <c r="CE397" s="1295">
        <f t="shared" si="648"/>
        <v>2</v>
      </c>
      <c r="CF397" s="1301">
        <f t="shared" si="649"/>
        <v>1</v>
      </c>
      <c r="CG397" s="530" t="str">
        <f t="shared" si="650"/>
        <v>Log-logistic</v>
      </c>
      <c r="CH397" s="61">
        <f t="shared" si="651"/>
        <v>0</v>
      </c>
      <c r="CI397" s="61">
        <f t="shared" si="652"/>
        <v>0</v>
      </c>
      <c r="CJ397" s="61">
        <f t="shared" si="653"/>
        <v>0</v>
      </c>
      <c r="DK397" s="58" t="str" cm="1">
        <f t="array" ref="DK397">IF(AND($BT397=4,$BX397=4,$BU397=999),$DB$36,_xlfn.IFNA(INDEX(DB$13:DB$70,MATCH(1,($BR397=$CV$13:$CV$70)*($BT397=$CX$13:$CX$70)*($CE397=$CY$13:$CY$70)*($BY397=$DA$13:$DA$70)*($CD397=$DH$13:$DH$70),0)),""))</f>
        <v>Log-logistic</v>
      </c>
      <c r="DL397" s="58" t="str" cm="1">
        <f t="array" ref="DL397">IF(AND($BT397=4,$BX397=4,$BU397=999),$DC$36,_xlfn.IFNA(INDEX(CHOOSE(DP397,DB$13:DB$70,DC$13:DC$70,DD$13:DD$70,DE$13:DE$70),MATCH(1,($BR397=$CV$13:$CV$70)*($BT397=$CX$13:$CX$70)*($CE397=$CY$13:$CY$70)*($BY397=$DA$13:$DA$70)*($CD397=$DH$13:$DH$70),0)),""))</f>
        <v>Log-logistic</v>
      </c>
      <c r="DM397" s="740" t="str" cm="1">
        <f t="array" ref="DM397">IF(AND($BT397=4,$BX397=4,$BU397=999),$DD$36,_xlfn.IFNA(INDEX(DD$13:DD$68,MATCH(1,($BR397=$CV$13:$CV$68)*($BT397=$CX$13:$CX$68)*($CE397=$CY$13:$CY$68)*($BY397=$DA$13:$DA$68)*($CD397=$DH$13:$DH$68),0)),""))</f>
        <v>Weibull</v>
      </c>
      <c r="DN397" s="740" cm="1">
        <f t="array" ref="DN397">IF(AND($BT397=4,$BX397=4,$BU397=999),$DD$36,_xlfn.IFNA(INDEX(DE$13:DE$68,MATCH(1,($BR397=$CV$13:$CV$68)*($BT397=$CX$13:$CX$68)*($CE397=$CY$13:$CY$68)*($BY397=$DA$13:$DA$68)*($CD397=$DH$13:$DH$68),0)),""))</f>
        <v>0</v>
      </c>
      <c r="DO397" s="58" t="str" cm="1">
        <f t="array" ref="DO397">IF(AND($BT397=4,$BX397=4,$BU397=999),$DF$36,_xlfn.IFNA(INDEX(DF$13:DF$70,MATCH(1,($BR397=$CV$13:$CV$70)*($BT397=$CX$13:$CX$70)*($CE397=$CY$13:$CY$70)*($BY397=$DA$13:$DA$70)*($CD397=$DH$13:$DH$70),0)),""))</f>
        <v>Base case</v>
      </c>
      <c r="DP397" s="58">
        <f t="shared" ref="DP397:DP460" si="668">MATCH(DO397,List_surv_cur_ext,0)</f>
        <v>1</v>
      </c>
      <c r="DW397" s="58" t="s">
        <v>58</v>
      </c>
      <c r="DX397" s="58" t="s">
        <v>552</v>
      </c>
      <c r="DY397" s="58">
        <v>0</v>
      </c>
      <c r="DZ397" s="58">
        <v>0</v>
      </c>
      <c r="EB397" s="58">
        <v>0</v>
      </c>
      <c r="EC397" s="58">
        <v>3</v>
      </c>
      <c r="ED397" s="58">
        <v>8</v>
      </c>
      <c r="EE397" s="58">
        <v>2</v>
      </c>
      <c r="EF397" s="58">
        <v>1</v>
      </c>
      <c r="EI397" s="58" t="s">
        <v>58</v>
      </c>
      <c r="EJ397" s="58" t="s">
        <v>552</v>
      </c>
      <c r="EK397" s="58">
        <v>0</v>
      </c>
      <c r="EL397" s="58">
        <v>0</v>
      </c>
      <c r="EN397" s="58">
        <v>0</v>
      </c>
      <c r="EO397" s="58">
        <v>2</v>
      </c>
      <c r="EP397" s="58">
        <v>10</v>
      </c>
      <c r="EQ397" s="58">
        <v>1</v>
      </c>
      <c r="ER397" s="58">
        <v>1</v>
      </c>
      <c r="EU397" s="58" t="str">
        <f t="shared" si="654"/>
        <v>No</v>
      </c>
      <c r="EV397" s="58" t="str">
        <f t="shared" si="655"/>
        <v>Progression free survival</v>
      </c>
      <c r="EW397" s="58">
        <f t="shared" si="656"/>
        <v>0</v>
      </c>
      <c r="EX397" s="58">
        <f t="shared" si="657"/>
        <v>0</v>
      </c>
      <c r="EZ397" s="58">
        <f t="shared" si="658"/>
        <v>0</v>
      </c>
      <c r="FA397" s="58">
        <f t="shared" si="659"/>
        <v>3</v>
      </c>
      <c r="FB397" s="58">
        <f>IF(i_eff_inputs_based_on_num=2,ED397,(INDEX(Lists!$L$51:$L$85,MATCH(AD278,Lists!$K$51:$K$85,0))))</f>
        <v>8</v>
      </c>
      <c r="FC397" s="58">
        <f>IF(i_eff_inputs_based_on_num=2,EE397,(INDEX(Lists!$L$51:$L$85,MATCH(AE278,Lists!$K$51:$K$85,0))))</f>
        <v>2</v>
      </c>
      <c r="FD397" s="58">
        <f>IF(i_eff_inputs_based_on_num=2,EF397,(INDEX(Lists!$L$51:$L$85,MATCH(AF278,Lists!$K$51:$K$85,0))))</f>
        <v>1</v>
      </c>
      <c r="FG397" s="58" t="str">
        <f t="shared" si="660"/>
        <v>No</v>
      </c>
      <c r="FH397" s="58" t="str">
        <f t="shared" si="661"/>
        <v>Progression free survival</v>
      </c>
      <c r="FI397" s="58">
        <f t="shared" si="662"/>
        <v>0</v>
      </c>
      <c r="FJ397" s="58">
        <f t="shared" si="663"/>
        <v>0</v>
      </c>
      <c r="FL397" s="58">
        <f t="shared" si="664"/>
        <v>0</v>
      </c>
      <c r="FM397" s="58">
        <f t="shared" si="665"/>
        <v>2</v>
      </c>
      <c r="FN397" s="58">
        <f>IF(i_eff_inputs_based_on_num=2,EP397,(INDEX(Lists!$L$51:$L$85,MATCH(AD278,Lists!$K$51:$K$85,0))))</f>
        <v>10</v>
      </c>
      <c r="FO397" s="58">
        <f>IF(i_eff_inputs_based_on_num=2,EQ397,(INDEX(Lists!$L$51:$L$85,MATCH(AE278,Lists!$K$51:$K$85,0))))</f>
        <v>1</v>
      </c>
      <c r="FP397" s="58">
        <f>IF(i_eff_inputs_based_on_num=2,ER397,(INDEX(Lists!$L$51:$L$85,MATCH(AF278,Lists!$K$51:$K$85,0))))</f>
        <v>1</v>
      </c>
      <c r="FT397" s="58">
        <f t="shared" ref="FT397:FT460" si="669">IF(AND(BZ397="Trial survival analysis",CE397=0),INDEX(List_trials,1),IF(AND(BZ397="Trial survival analysis",CE397=1),INDEX(List_trials,2),IF(AND(BZ397="Trial survival analysis",OR(CE397=2,CC397=4)),INDEX(List_trials,3),0)))</f>
        <v>0</v>
      </c>
      <c r="FW397" s="58">
        <f>IF(i_baseline_risk_from=2,'Effectiveness settings'!EW397,'Effectiveness settings'!FI397)</f>
        <v>0</v>
      </c>
      <c r="FX397" s="58">
        <f t="shared" ref="FX397:FX460" si="670">IF(AND(BT397&gt;1,FW397="FP_NMA",dd_2ndline_NMA="PH_NMA"),"PH_NMA",FW397)</f>
        <v>0</v>
      </c>
      <c r="FY397" s="58">
        <f t="shared" ref="FY397:FY460" si="671">IF(AND(BU397=1,OR(FX397="PH_NMA",FX397="FP_NMA",FX397="Trial survival analysis")),IF(dd_cabo_nivo_outcome_from="FP_NMA",FX397,dd_cabo_nivo_outcome_from),FX397)</f>
        <v>0</v>
      </c>
      <c r="FZ397" s="58">
        <f t="shared" ref="FZ397:FZ460" si="672">IF(AND(dd_eq_eff_pazo_suni="Yes",BX397&lt;4,$BU397=5,BT397&lt;4,FY397&lt;&gt;"Apply HR to"),"Assume equal to",FY397)</f>
        <v>0</v>
      </c>
      <c r="GA397" s="58">
        <f t="shared" ref="GA397:GA460" si="673">IF(AND(dd_eq_eff_tivo_suni="Yes",BX397&lt;4,$BU397=6,BT397=1,FZ397&lt;&gt;"Apply HR to"),"Assume equal to",FZ397)</f>
        <v>0</v>
      </c>
      <c r="GB397" s="58">
        <f t="shared" ref="GB397:GB460" si="674">IF(AND(dd_eq_eff_evero_axi="Yes",BX397&lt;4,$BU397=11,BT397&lt;4,GA397&lt;&gt;"Apply HR to"),"Assume equal to",GA397)</f>
        <v>0</v>
      </c>
      <c r="GC397" s="58">
        <f t="shared" ref="GC397:GC460" si="675">IF(AND(BX397=4,BR397=1),GB397,(IF(AND(OR(GB397="PH_NMA",GB397="FP_NMA"),BU397=3,BR397&lt;&gt;2),dd_pemlen_NMA,GB397)))</f>
        <v>0</v>
      </c>
      <c r="GD397" s="58">
        <f t="shared" ref="GD397:GD460" si="676">IF(AND(BU397=3,dd_pemlen_equal = "Yes"),"Assume equal to",GC397)</f>
        <v>0</v>
      </c>
      <c r="GE397" s="58">
        <f>IF(AND(dd_CheckMate214_TTD="Yes",'Effectiveness settings'!BU397=2,'Effectiveness settings'!BX397=2),"Apply HR to",GD397)</f>
        <v>0</v>
      </c>
      <c r="GF397" s="58">
        <f t="shared" ref="GF397:GF460" si="677">IF(AND(dd_TTD_same_as_PFS="Yes",BX397=2),"Assume equal to", GE397)</f>
        <v>0</v>
      </c>
      <c r="GG397" s="58">
        <f t="shared" ref="GG397:GG460" si="678">IF(AND(dd_nivoipiPFS="TTNT",BR397=1,BT397=1,BU397=2,BX397=1,dd_use_PHnma_for_FPnma="Yes"),"Apply HR to",GF397)</f>
        <v>0</v>
      </c>
      <c r="GH397" s="58">
        <f t="shared" ref="GH397:GH460" si="679">IF(AND(dd_eq_eff_cabo_suni="Yes",$BX397&lt;4,$BU397=8,$BT397=1,$BR397=1,$GG397&lt;&gt;"Apply HR to"),"Assume equal to",GG397)</f>
        <v>0</v>
      </c>
      <c r="GI397" s="58">
        <f t="shared" si="640"/>
        <v>0</v>
      </c>
      <c r="GK397" s="58">
        <f>IF(i_baseline_risk_from=2,'Effectiveness settings'!FA397,'Effectiveness settings'!FM397)</f>
        <v>3</v>
      </c>
      <c r="GL397" s="58">
        <f>IF(i_baseline_risk_from=2,'Effectiveness settings'!FB397,'Effectiveness settings'!FN397)</f>
        <v>8</v>
      </c>
      <c r="GM397" s="58">
        <f>IF(i_baseline_risk_from=2,'Effectiveness settings'!FC397,'Effectiveness settings'!FO397)</f>
        <v>2</v>
      </c>
      <c r="GN397" s="58">
        <f>IF(i_baseline_risk_from=2,'Effectiveness settings'!FD397,'Effectiveness settings'!FP397)</f>
        <v>1</v>
      </c>
      <c r="GQ397" s="58">
        <f t="shared" ref="GQ397:GQ460" si="680">IF(AND(dd_eq_eff_pazo_suni="Yes",BX397&lt;4,$BU397=5,BT397&lt;4,FY397&lt;&gt;"Apply HR to"),7,GL397)</f>
        <v>8</v>
      </c>
      <c r="GR397" s="58">
        <f t="shared" ref="GR397:GR460" si="681">IF(AND(dd_eq_eff_tivo_suni="Yes",BX397&lt;4,$BU397=6,BT397=1,FY397&lt;&gt;"Apply HR to"),7,IF(AND(BX397&lt;4,$BU397=7,BT397&gt;1,FY397&lt;&gt;"Apply HR to"),6,GQ397))</f>
        <v>8</v>
      </c>
      <c r="GS397" s="58">
        <f t="shared" ref="GS397:GS460" si="682">IF(AND(dd_eq_eff_evero_axi="Yes",BX397&lt;4,$BU397=11,BT397&lt;4,FY397&lt;&gt;"Apply HR to"),10,GR397)</f>
        <v>8</v>
      </c>
      <c r="GT397" s="58">
        <f t="shared" ref="GT397:GT460" si="683">IF(AND(BU397=3,dd_pemlen_equal = "Yes"),1,GS397)</f>
        <v>8</v>
      </c>
      <c r="GU397" s="58">
        <f>IF(AND(dd_CheckMate214_TTD="Yes",'Effectiveness settings'!BU397=2,'Effectiveness settings'!BX397=2),2,GT397)</f>
        <v>8</v>
      </c>
      <c r="GV397" s="58">
        <f t="shared" ref="GV397:GV460" si="684">IF(AND(BY397="Time to treatment discontinuation",dd_TTD_same_as_PFS="Yes"),BU397,GU397)</f>
        <v>8</v>
      </c>
      <c r="GW397" s="58">
        <f t="shared" ref="GW397:GW460" si="685">IF(AND(dd_eq_eff_cabo_suni="Yes",$BX397&lt;4,$BU397=8,$BT397=1,$BR397=1,$GG397&lt;&gt;"Apply HR to"),7,GV397)</f>
        <v>8</v>
      </c>
      <c r="GY397" s="58">
        <f>IF(AND(dd_CheckMate214_TTD="Yes",'Effectiveness settings'!BU397=2,'Effectiveness settings'!BX397=2),1,GN397)</f>
        <v>1</v>
      </c>
      <c r="GZ397" s="58">
        <f t="shared" ref="GZ397:GZ460" si="686">IF(AND(dd_TTD_same_as_PFS="Yes",BX397=2),1, GY397)</f>
        <v>1</v>
      </c>
      <c r="HB397" s="58">
        <f t="shared" ref="HB397:HB460" si="687">IF(i_baseline_risk_from=2,EZ397,FL397)</f>
        <v>0</v>
      </c>
      <c r="HD397" s="58">
        <f t="shared" si="635"/>
        <v>0</v>
      </c>
      <c r="HE397" s="58">
        <f t="shared" si="636"/>
        <v>3</v>
      </c>
      <c r="HF397" s="58">
        <f t="shared" si="637"/>
        <v>8</v>
      </c>
      <c r="HG397" s="58">
        <f t="shared" si="638"/>
        <v>2</v>
      </c>
      <c r="HH397" s="58">
        <f t="shared" si="639"/>
        <v>1</v>
      </c>
      <c r="HJ397" s="61" t="str">
        <v>placebo_BSC</v>
      </c>
      <c r="HK397" s="61">
        <f t="shared" si="632"/>
        <v>1</v>
      </c>
      <c r="HL397" s="61">
        <f t="shared" si="633"/>
        <v>0</v>
      </c>
    </row>
    <row r="398" spans="1:222" ht="15.75" x14ac:dyDescent="0.25">
      <c r="BQ398" s="58">
        <f t="shared" si="667"/>
        <v>230</v>
      </c>
      <c r="BR398" s="61">
        <v>0</v>
      </c>
      <c r="BS398" s="61" t="s">
        <v>31</v>
      </c>
      <c r="BT398" s="17">
        <v>2</v>
      </c>
      <c r="BU398" s="17">
        <v>5</v>
      </c>
      <c r="BV398" s="17" t="str">
        <f t="shared" si="641"/>
        <v>pazopanib</v>
      </c>
      <c r="BW398" s="1006" t="str" cm="1">
        <f t="array" ref="BW398">IF(X279="No",X279,INDEX(List_incl_anal_2L_all,IF(BU398=999,35,BU398+1)))</f>
        <v>Yes</v>
      </c>
      <c r="BX398" s="61">
        <f t="shared" si="642"/>
        <v>1</v>
      </c>
      <c r="BY398" s="531" t="str">
        <f t="shared" si="643"/>
        <v>Progression free survival</v>
      </c>
      <c r="BZ398" s="530" t="str">
        <f t="shared" si="644"/>
        <v>Assume equal to</v>
      </c>
      <c r="CA398" s="531">
        <f t="shared" si="666"/>
        <v>0</v>
      </c>
      <c r="CB398" s="530">
        <f t="shared" si="645"/>
        <v>0</v>
      </c>
      <c r="CC398" s="530">
        <f t="shared" si="646"/>
        <v>3</v>
      </c>
      <c r="CD398" s="530">
        <f t="shared" si="647"/>
        <v>7</v>
      </c>
      <c r="CE398" s="1295">
        <f t="shared" si="648"/>
        <v>2</v>
      </c>
      <c r="CF398" s="1301">
        <f t="shared" si="649"/>
        <v>1</v>
      </c>
      <c r="CG398" s="530" t="str">
        <f t="shared" si="650"/>
        <v/>
      </c>
      <c r="CH398" s="61">
        <f t="shared" si="651"/>
        <v>0</v>
      </c>
      <c r="CI398" s="61">
        <f t="shared" si="652"/>
        <v>0</v>
      </c>
      <c r="CJ398" s="61">
        <f t="shared" si="653"/>
        <v>0</v>
      </c>
      <c r="DK398" s="58" t="str" cm="1">
        <f t="array" ref="DK398">IF(AND($BT398=4,$BX398=4,$BU398=999),$DB$36,_xlfn.IFNA(INDEX(DB$13:DB$70,MATCH(1,($BR398=$CV$13:$CV$70)*($BT398=$CX$13:$CX$70)*($CE398=$CY$13:$CY$70)*($BY398=$DA$13:$DA$70)*($CD398=$DH$13:$DH$70),0)),""))</f>
        <v/>
      </c>
      <c r="DL398" s="58" t="str" cm="1">
        <f t="array" ref="DL398">IF(AND($BT398=4,$BX398=4,$BU398=999),$DC$36,_xlfn.IFNA(INDEX(CHOOSE(DP398,DB$13:DB$70,DC$13:DC$70,DD$13:DD$70,DE$13:DE$70),MATCH(1,($BR398=$CV$13:$CV$70)*($BT398=$CX$13:$CX$70)*($CE398=$CY$13:$CY$70)*($BY398=$DA$13:$DA$70)*($CD398=$DH$13:$DH$70),0)),""))</f>
        <v/>
      </c>
      <c r="DM398" s="740" t="str" cm="1">
        <f t="array" ref="DM398">IF(AND($BT398=4,$BX398=4,$BU398=999),$DD$36,_xlfn.IFNA(INDEX(DD$13:DD$68,MATCH(1,($BR398=$CV$13:$CV$68)*($BT398=$CX$13:$CX$68)*($CE398=$CY$13:$CY$68)*($BY398=$DA$13:$DA$68)*($CD398=$DH$13:$DH$68),0)),""))</f>
        <v/>
      </c>
      <c r="DN398" s="740" t="str" cm="1">
        <f t="array" ref="DN398">IF(AND($BT398=4,$BX398=4,$BU398=999),$DD$36,_xlfn.IFNA(INDEX(DE$13:DE$68,MATCH(1,($BR398=$CV$13:$CV$68)*($BT398=$CX$13:$CX$68)*($CE398=$CY$13:$CY$68)*($BY398=$DA$13:$DA$68)*($CD398=$DH$13:$DH$68),0)),""))</f>
        <v/>
      </c>
      <c r="DO398" s="58" t="str" cm="1">
        <f t="array" ref="DO398">IF(AND($BT398=4,$BX398=4,$BU398=999),$DF$36,_xlfn.IFNA(INDEX(DF$13:DF$70,MATCH(1,($BR398=$CV$13:$CV$70)*($BT398=$CX$13:$CX$70)*($CE398=$CY$13:$CY$70)*($BY398=$DA$13:$DA$70)*($CD398=$DH$13:$DH$70),0)),""))</f>
        <v/>
      </c>
      <c r="DP398" s="58" t="e">
        <f t="shared" si="668"/>
        <v>#N/A</v>
      </c>
      <c r="DW398" s="58" t="s">
        <v>74</v>
      </c>
      <c r="DX398" s="58" t="s">
        <v>552</v>
      </c>
      <c r="DY398" s="58" t="s">
        <v>561</v>
      </c>
      <c r="DZ398" s="58">
        <v>0</v>
      </c>
      <c r="EB398" s="58">
        <v>0</v>
      </c>
      <c r="EC398" s="58">
        <v>3</v>
      </c>
      <c r="ED398" s="58">
        <v>6</v>
      </c>
      <c r="EE398" s="58">
        <v>2</v>
      </c>
      <c r="EF398" s="58">
        <v>1</v>
      </c>
      <c r="EI398" s="58" t="s">
        <v>74</v>
      </c>
      <c r="EJ398" s="58" t="s">
        <v>552</v>
      </c>
      <c r="EK398" s="58" t="s">
        <v>561</v>
      </c>
      <c r="EL398" s="58">
        <v>0</v>
      </c>
      <c r="EN398" s="58">
        <v>0</v>
      </c>
      <c r="EO398" s="58">
        <v>2</v>
      </c>
      <c r="EP398" s="58">
        <v>6</v>
      </c>
      <c r="EQ398" s="58">
        <v>1</v>
      </c>
      <c r="ER398" s="58">
        <v>1</v>
      </c>
      <c r="EU398" s="58" t="str">
        <f t="shared" si="654"/>
        <v>Yes</v>
      </c>
      <c r="EV398" s="58" t="str">
        <f t="shared" si="655"/>
        <v>Progression free survival</v>
      </c>
      <c r="EW398" s="58" t="str">
        <f t="shared" si="656"/>
        <v>Assume equal to</v>
      </c>
      <c r="EX398" s="58">
        <f t="shared" si="657"/>
        <v>0</v>
      </c>
      <c r="EZ398" s="58">
        <f t="shared" si="658"/>
        <v>0</v>
      </c>
      <c r="FA398" s="58">
        <f t="shared" si="659"/>
        <v>3</v>
      </c>
      <c r="FB398" s="58">
        <f>IF(i_eff_inputs_based_on_num=2,ED398,(INDEX(Lists!$L$51:$L$85,MATCH(AD279,Lists!$K$51:$K$85,0))))</f>
        <v>6</v>
      </c>
      <c r="FC398" s="58">
        <f>IF(i_eff_inputs_based_on_num=2,EE398,(INDEX(Lists!$L$51:$L$85,MATCH(AE279,Lists!$K$51:$K$85,0))))</f>
        <v>2</v>
      </c>
      <c r="FD398" s="58">
        <f>IF(i_eff_inputs_based_on_num=2,EF398,(INDEX(Lists!$L$51:$L$85,MATCH(AF279,Lists!$K$51:$K$85,0))))</f>
        <v>1</v>
      </c>
      <c r="FG398" s="58" t="str">
        <f t="shared" si="660"/>
        <v>Yes</v>
      </c>
      <c r="FH398" s="58" t="str">
        <f t="shared" si="661"/>
        <v>Progression free survival</v>
      </c>
      <c r="FI398" s="58" t="str">
        <f t="shared" si="662"/>
        <v>Assume equal to</v>
      </c>
      <c r="FJ398" s="58">
        <f t="shared" si="663"/>
        <v>0</v>
      </c>
      <c r="FL398" s="58">
        <f t="shared" si="664"/>
        <v>0</v>
      </c>
      <c r="FM398" s="58">
        <f t="shared" si="665"/>
        <v>2</v>
      </c>
      <c r="FN398" s="58">
        <f>IF(i_eff_inputs_based_on_num=2,EP398,(INDEX(Lists!$L$51:$L$85,MATCH(AD279,Lists!$K$51:$K$85,0))))</f>
        <v>6</v>
      </c>
      <c r="FO398" s="58">
        <f>IF(i_eff_inputs_based_on_num=2,EQ398,(INDEX(Lists!$L$51:$L$85,MATCH(AE279,Lists!$K$51:$K$85,0))))</f>
        <v>1</v>
      </c>
      <c r="FP398" s="58">
        <f>IF(i_eff_inputs_based_on_num=2,ER398,(INDEX(Lists!$L$51:$L$85,MATCH(AF279,Lists!$K$51:$K$85,0))))</f>
        <v>1</v>
      </c>
      <c r="FT398" s="58">
        <f t="shared" si="669"/>
        <v>0</v>
      </c>
      <c r="FW398" s="58" t="str">
        <f>IF(i_baseline_risk_from=2,'Effectiveness settings'!EW398,'Effectiveness settings'!FI398)</f>
        <v>Assume equal to</v>
      </c>
      <c r="FX398" s="58" t="str">
        <f t="shared" si="670"/>
        <v>Assume equal to</v>
      </c>
      <c r="FY398" s="58" t="str">
        <f t="shared" si="671"/>
        <v>Assume equal to</v>
      </c>
      <c r="FZ398" s="58" t="str">
        <f t="shared" si="672"/>
        <v>Assume equal to</v>
      </c>
      <c r="GA398" s="58" t="str">
        <f t="shared" si="673"/>
        <v>Assume equal to</v>
      </c>
      <c r="GB398" s="58" t="str">
        <f t="shared" si="674"/>
        <v>Assume equal to</v>
      </c>
      <c r="GC398" s="58" t="str">
        <f t="shared" si="675"/>
        <v>Assume equal to</v>
      </c>
      <c r="GD398" s="58" t="str">
        <f t="shared" si="676"/>
        <v>Assume equal to</v>
      </c>
      <c r="GE398" s="58" t="str">
        <f>IF(AND(dd_CheckMate214_TTD="Yes",'Effectiveness settings'!BU398=2,'Effectiveness settings'!BX398=2),"Apply HR to",GD398)</f>
        <v>Assume equal to</v>
      </c>
      <c r="GF398" s="58" t="str">
        <f t="shared" si="677"/>
        <v>Assume equal to</v>
      </c>
      <c r="GG398" s="58" t="str">
        <f t="shared" si="678"/>
        <v>Assume equal to</v>
      </c>
      <c r="GH398" s="58" t="str">
        <f t="shared" si="679"/>
        <v>Assume equal to</v>
      </c>
      <c r="GI398" s="58" t="str">
        <f t="shared" si="640"/>
        <v>Assume equal to</v>
      </c>
      <c r="GK398" s="58">
        <f>IF(i_baseline_risk_from=2,'Effectiveness settings'!FA398,'Effectiveness settings'!FM398)</f>
        <v>3</v>
      </c>
      <c r="GL398" s="58">
        <f>IF(i_baseline_risk_from=2,'Effectiveness settings'!FB398,'Effectiveness settings'!FN398)</f>
        <v>6</v>
      </c>
      <c r="GM398" s="58">
        <f>IF(i_baseline_risk_from=2,'Effectiveness settings'!FC398,'Effectiveness settings'!FO398)</f>
        <v>2</v>
      </c>
      <c r="GN398" s="58">
        <f>IF(i_baseline_risk_from=2,'Effectiveness settings'!FD398,'Effectiveness settings'!FP398)</f>
        <v>1</v>
      </c>
      <c r="GQ398" s="58">
        <f t="shared" si="680"/>
        <v>7</v>
      </c>
      <c r="GR398" s="58">
        <f t="shared" si="681"/>
        <v>7</v>
      </c>
      <c r="GS398" s="58">
        <f t="shared" si="682"/>
        <v>7</v>
      </c>
      <c r="GT398" s="58">
        <f t="shared" si="683"/>
        <v>7</v>
      </c>
      <c r="GU398" s="58">
        <f>IF(AND(dd_CheckMate214_TTD="Yes",'Effectiveness settings'!BU398=2,'Effectiveness settings'!BX398=2),2,GT398)</f>
        <v>7</v>
      </c>
      <c r="GV398" s="58">
        <f t="shared" si="684"/>
        <v>7</v>
      </c>
      <c r="GW398" s="58">
        <f t="shared" si="685"/>
        <v>7</v>
      </c>
      <c r="GY398" s="58">
        <f>IF(AND(dd_CheckMate214_TTD="Yes",'Effectiveness settings'!BU398=2,'Effectiveness settings'!BX398=2),1,GN398)</f>
        <v>1</v>
      </c>
      <c r="GZ398" s="58">
        <f t="shared" si="686"/>
        <v>1</v>
      </c>
      <c r="HB398" s="58">
        <f t="shared" si="687"/>
        <v>0</v>
      </c>
      <c r="HD398" s="58">
        <f t="shared" si="635"/>
        <v>0</v>
      </c>
      <c r="HE398" s="58">
        <f t="shared" si="636"/>
        <v>3</v>
      </c>
      <c r="HF398" s="58">
        <f t="shared" si="637"/>
        <v>7</v>
      </c>
      <c r="HG398" s="58">
        <f t="shared" si="638"/>
        <v>2</v>
      </c>
      <c r="HH398" s="58">
        <f t="shared" si="639"/>
        <v>1</v>
      </c>
    </row>
    <row r="399" spans="1:222" ht="15.75" x14ac:dyDescent="0.25">
      <c r="BQ399" s="58">
        <f t="shared" si="667"/>
        <v>231</v>
      </c>
      <c r="BR399" s="61">
        <v>0</v>
      </c>
      <c r="BS399" s="61" t="s">
        <v>31</v>
      </c>
      <c r="BT399" s="17">
        <v>2</v>
      </c>
      <c r="BU399" s="17">
        <v>6</v>
      </c>
      <c r="BV399" s="17" t="str">
        <f t="shared" si="641"/>
        <v>tivozanib</v>
      </c>
      <c r="BW399" s="1006" t="str" cm="1">
        <f t="array" ref="BW399">IF(X280="No",X280,INDEX(List_incl_anal_2L_all,IF(BU399=999,35,BU399+1)))</f>
        <v>Yes</v>
      </c>
      <c r="BX399" s="61">
        <f t="shared" si="642"/>
        <v>1</v>
      </c>
      <c r="BY399" s="531" t="str">
        <f t="shared" si="643"/>
        <v>Progression free survival</v>
      </c>
      <c r="BZ399" s="530" t="str">
        <f t="shared" si="644"/>
        <v>PH_NMA</v>
      </c>
      <c r="CA399" s="531">
        <f t="shared" si="666"/>
        <v>0</v>
      </c>
      <c r="CB399" s="530">
        <f t="shared" si="645"/>
        <v>0</v>
      </c>
      <c r="CC399" s="530">
        <f t="shared" si="646"/>
        <v>3</v>
      </c>
      <c r="CD399" s="530">
        <f t="shared" si="647"/>
        <v>8</v>
      </c>
      <c r="CE399" s="1295">
        <f t="shared" si="648"/>
        <v>2</v>
      </c>
      <c r="CF399" s="1301">
        <f t="shared" si="649"/>
        <v>1</v>
      </c>
      <c r="CG399" s="530" t="str">
        <f t="shared" si="650"/>
        <v>Log-logistic</v>
      </c>
      <c r="CH399" s="61">
        <f t="shared" si="651"/>
        <v>0</v>
      </c>
      <c r="CI399" s="61">
        <f t="shared" si="652"/>
        <v>0</v>
      </c>
      <c r="CJ399" s="61">
        <f t="shared" si="653"/>
        <v>0</v>
      </c>
      <c r="DK399" s="58" t="str" cm="1">
        <f t="array" ref="DK399">IF(AND($BT399=4,$BX399=4,$BU399=999),$DB$36,_xlfn.IFNA(INDEX(DB$13:DB$70,MATCH(1,($BR399=$CV$13:$CV$70)*($BT399=$CX$13:$CX$70)*($CE399=$CY$13:$CY$70)*($BY399=$DA$13:$DA$70)*($CD399=$DH$13:$DH$70),0)),""))</f>
        <v>Log-logistic</v>
      </c>
      <c r="DL399" s="58" t="str" cm="1">
        <f t="array" ref="DL399">IF(AND($BT399=4,$BX399=4,$BU399=999),$DC$36,_xlfn.IFNA(INDEX(CHOOSE(DP399,DB$13:DB$70,DC$13:DC$70,DD$13:DD$70,DE$13:DE$70),MATCH(1,($BR399=$CV$13:$CV$70)*($BT399=$CX$13:$CX$70)*($CE399=$CY$13:$CY$70)*($BY399=$DA$13:$DA$70)*($CD399=$DH$13:$DH$70),0)),""))</f>
        <v>Log-logistic</v>
      </c>
      <c r="DM399" s="740" t="str" cm="1">
        <f t="array" ref="DM399">IF(AND($BT399=4,$BX399=4,$BU399=999),$DD$36,_xlfn.IFNA(INDEX(DD$13:DD$68,MATCH(1,($BR399=$CV$13:$CV$68)*($BT399=$CX$13:$CX$68)*($CE399=$CY$13:$CY$68)*($BY399=$DA$13:$DA$68)*($CD399=$DH$13:$DH$68),0)),""))</f>
        <v>Weibull</v>
      </c>
      <c r="DN399" s="740" cm="1">
        <f t="array" ref="DN399">IF(AND($BT399=4,$BX399=4,$BU399=999),$DD$36,_xlfn.IFNA(INDEX(DE$13:DE$68,MATCH(1,($BR399=$CV$13:$CV$68)*($BT399=$CX$13:$CX$68)*($CE399=$CY$13:$CY$68)*($BY399=$DA$13:$DA$68)*($CD399=$DH$13:$DH$68),0)),""))</f>
        <v>0</v>
      </c>
      <c r="DO399" s="58" t="str" cm="1">
        <f t="array" ref="DO399">IF(AND($BT399=4,$BX399=4,$BU399=999),$DF$36,_xlfn.IFNA(INDEX(DF$13:DF$70,MATCH(1,($BR399=$CV$13:$CV$70)*($BT399=$CX$13:$CX$70)*($CE399=$CY$13:$CY$70)*($BY399=$DA$13:$DA$70)*($CD399=$DH$13:$DH$70),0)),""))</f>
        <v>Base case</v>
      </c>
      <c r="DP399" s="58">
        <f t="shared" si="668"/>
        <v>1</v>
      </c>
      <c r="DW399" s="58" t="s">
        <v>74</v>
      </c>
      <c r="DX399" s="58" t="s">
        <v>552</v>
      </c>
      <c r="DY399" s="58" t="s">
        <v>67</v>
      </c>
      <c r="DZ399" s="58">
        <v>0</v>
      </c>
      <c r="EB399" s="58">
        <v>0</v>
      </c>
      <c r="EC399" s="58">
        <v>3</v>
      </c>
      <c r="ED399" s="58">
        <v>8</v>
      </c>
      <c r="EE399" s="58">
        <v>2</v>
      </c>
      <c r="EF399" s="58">
        <v>1</v>
      </c>
      <c r="EI399" s="58" t="s">
        <v>74</v>
      </c>
      <c r="EJ399" s="58" t="s">
        <v>552</v>
      </c>
      <c r="EK399" s="58" t="s">
        <v>67</v>
      </c>
      <c r="EL399" s="58">
        <v>0</v>
      </c>
      <c r="EN399" s="58">
        <v>0</v>
      </c>
      <c r="EO399" s="58">
        <v>2</v>
      </c>
      <c r="EP399" s="58">
        <v>10</v>
      </c>
      <c r="EQ399" s="58">
        <v>1</v>
      </c>
      <c r="ER399" s="58">
        <v>1</v>
      </c>
      <c r="EU399" s="58" t="str">
        <f t="shared" si="654"/>
        <v>Yes</v>
      </c>
      <c r="EV399" s="58" t="str">
        <f t="shared" si="655"/>
        <v>Progression free survival</v>
      </c>
      <c r="EW399" s="58" t="str">
        <f t="shared" si="656"/>
        <v>PH_NMA</v>
      </c>
      <c r="EX399" s="58">
        <f t="shared" si="657"/>
        <v>0</v>
      </c>
      <c r="EZ399" s="58">
        <f t="shared" si="658"/>
        <v>0</v>
      </c>
      <c r="FA399" s="58">
        <f t="shared" si="659"/>
        <v>3</v>
      </c>
      <c r="FB399" s="58">
        <f>IF(i_eff_inputs_based_on_num=2,ED399,(INDEX(Lists!$L$51:$L$85,MATCH(AD280,Lists!$K$51:$K$85,0))))</f>
        <v>8</v>
      </c>
      <c r="FC399" s="58">
        <f>IF(i_eff_inputs_based_on_num=2,EE399,(INDEX(Lists!$L$51:$L$85,MATCH(AE280,Lists!$K$51:$K$85,0))))</f>
        <v>2</v>
      </c>
      <c r="FD399" s="58">
        <f>IF(i_eff_inputs_based_on_num=2,EF399,(INDEX(Lists!$L$51:$L$85,MATCH(AF280,Lists!$K$51:$K$85,0))))</f>
        <v>1</v>
      </c>
      <c r="FG399" s="58" t="str">
        <f t="shared" si="660"/>
        <v>Yes</v>
      </c>
      <c r="FH399" s="58" t="str">
        <f t="shared" si="661"/>
        <v>Progression free survival</v>
      </c>
      <c r="FI399" s="58" t="str">
        <f t="shared" si="662"/>
        <v>PH_NMA</v>
      </c>
      <c r="FJ399" s="58">
        <f t="shared" si="663"/>
        <v>0</v>
      </c>
      <c r="FL399" s="58">
        <f t="shared" si="664"/>
        <v>0</v>
      </c>
      <c r="FM399" s="58">
        <f t="shared" si="665"/>
        <v>2</v>
      </c>
      <c r="FN399" s="58">
        <f>IF(i_eff_inputs_based_on_num=2,EP399,(INDEX(Lists!$L$51:$L$85,MATCH(AD280,Lists!$K$51:$K$85,0))))</f>
        <v>10</v>
      </c>
      <c r="FO399" s="58">
        <f>IF(i_eff_inputs_based_on_num=2,EQ399,(INDEX(Lists!$L$51:$L$85,MATCH(AE280,Lists!$K$51:$K$85,0))))</f>
        <v>1</v>
      </c>
      <c r="FP399" s="58">
        <f>IF(i_eff_inputs_based_on_num=2,ER399,(INDEX(Lists!$L$51:$L$85,MATCH(AF280,Lists!$K$51:$K$85,0))))</f>
        <v>1</v>
      </c>
      <c r="FT399" s="58">
        <f t="shared" si="669"/>
        <v>0</v>
      </c>
      <c r="FW399" s="58" t="str">
        <f>IF(i_baseline_risk_from=2,'Effectiveness settings'!EW399,'Effectiveness settings'!FI399)</f>
        <v>PH_NMA</v>
      </c>
      <c r="FX399" s="58" t="str">
        <f t="shared" si="670"/>
        <v>PH_NMA</v>
      </c>
      <c r="FY399" s="58" t="str">
        <f t="shared" si="671"/>
        <v>PH_NMA</v>
      </c>
      <c r="FZ399" s="58" t="str">
        <f t="shared" si="672"/>
        <v>PH_NMA</v>
      </c>
      <c r="GA399" s="58" t="str">
        <f t="shared" si="673"/>
        <v>PH_NMA</v>
      </c>
      <c r="GB399" s="58" t="str">
        <f t="shared" si="674"/>
        <v>PH_NMA</v>
      </c>
      <c r="GC399" s="58" t="str">
        <f t="shared" si="675"/>
        <v>PH_NMA</v>
      </c>
      <c r="GD399" s="58" t="str">
        <f t="shared" si="676"/>
        <v>PH_NMA</v>
      </c>
      <c r="GE399" s="58" t="str">
        <f>IF(AND(dd_CheckMate214_TTD="Yes",'Effectiveness settings'!BU399=2,'Effectiveness settings'!BX399=2),"Apply HR to",GD399)</f>
        <v>PH_NMA</v>
      </c>
      <c r="GF399" s="58" t="str">
        <f t="shared" si="677"/>
        <v>PH_NMA</v>
      </c>
      <c r="GG399" s="58" t="str">
        <f t="shared" si="678"/>
        <v>PH_NMA</v>
      </c>
      <c r="GH399" s="58" t="str">
        <f t="shared" si="679"/>
        <v>PH_NMA</v>
      </c>
      <c r="GI399" s="58" t="str">
        <f t="shared" si="640"/>
        <v>PH_NMA</v>
      </c>
      <c r="GK399" s="58">
        <f>IF(i_baseline_risk_from=2,'Effectiveness settings'!FA399,'Effectiveness settings'!FM399)</f>
        <v>3</v>
      </c>
      <c r="GL399" s="58">
        <f>IF(i_baseline_risk_from=2,'Effectiveness settings'!FB399,'Effectiveness settings'!FN399)</f>
        <v>8</v>
      </c>
      <c r="GM399" s="58">
        <f>IF(i_baseline_risk_from=2,'Effectiveness settings'!FC399,'Effectiveness settings'!FO399)</f>
        <v>2</v>
      </c>
      <c r="GN399" s="58">
        <f>IF(i_baseline_risk_from=2,'Effectiveness settings'!FD399,'Effectiveness settings'!FP399)</f>
        <v>1</v>
      </c>
      <c r="GQ399" s="58">
        <f t="shared" si="680"/>
        <v>8</v>
      </c>
      <c r="GR399" s="58">
        <f t="shared" si="681"/>
        <v>8</v>
      </c>
      <c r="GS399" s="58">
        <f t="shared" si="682"/>
        <v>8</v>
      </c>
      <c r="GT399" s="58">
        <f t="shared" si="683"/>
        <v>8</v>
      </c>
      <c r="GU399" s="58">
        <f>IF(AND(dd_CheckMate214_TTD="Yes",'Effectiveness settings'!BU399=2,'Effectiveness settings'!BX399=2),2,GT399)</f>
        <v>8</v>
      </c>
      <c r="GV399" s="58">
        <f t="shared" si="684"/>
        <v>8</v>
      </c>
      <c r="GW399" s="58">
        <f t="shared" si="685"/>
        <v>8</v>
      </c>
      <c r="GY399" s="58">
        <f>IF(AND(dd_CheckMate214_TTD="Yes",'Effectiveness settings'!BU399=2,'Effectiveness settings'!BX399=2),1,GN399)</f>
        <v>1</v>
      </c>
      <c r="GZ399" s="58">
        <f t="shared" si="686"/>
        <v>1</v>
      </c>
      <c r="HB399" s="58">
        <f t="shared" si="687"/>
        <v>0</v>
      </c>
      <c r="HD399" s="58">
        <f t="shared" si="635"/>
        <v>0</v>
      </c>
      <c r="HE399" s="58">
        <f t="shared" si="636"/>
        <v>3</v>
      </c>
      <c r="HF399" s="58">
        <f t="shared" si="637"/>
        <v>8</v>
      </c>
      <c r="HG399" s="58">
        <f t="shared" si="638"/>
        <v>2</v>
      </c>
      <c r="HH399" s="58">
        <f t="shared" si="639"/>
        <v>1</v>
      </c>
    </row>
    <row r="400" spans="1:222" ht="16.5" thickBot="1" x14ac:dyDescent="0.3">
      <c r="A400" s="876" t="s">
        <v>608</v>
      </c>
      <c r="E400" s="945" t="s">
        <v>609</v>
      </c>
      <c r="F400" s="945" t="s">
        <v>115</v>
      </c>
      <c r="G400" s="945" t="s">
        <v>610</v>
      </c>
      <c r="H400" s="945"/>
      <c r="I400" s="1108" t="s">
        <v>611</v>
      </c>
      <c r="J400" s="1108" t="s">
        <v>612</v>
      </c>
      <c r="BQ400" s="58">
        <f t="shared" si="667"/>
        <v>232</v>
      </c>
      <c r="BR400" s="61">
        <v>0</v>
      </c>
      <c r="BS400" s="61" t="s">
        <v>31</v>
      </c>
      <c r="BT400" s="17">
        <v>2</v>
      </c>
      <c r="BU400" s="17">
        <v>7</v>
      </c>
      <c r="BV400" s="17" t="str">
        <f t="shared" si="641"/>
        <v>sunitinib</v>
      </c>
      <c r="BW400" s="1006" t="str" cm="1">
        <f t="array" ref="BW400">IF(X281="No",X281,INDEX(List_incl_anal_2L_all,IF(BU400=999,35,BU400+1)))</f>
        <v>Yes</v>
      </c>
      <c r="BX400" s="61">
        <f t="shared" si="642"/>
        <v>1</v>
      </c>
      <c r="BY400" s="531" t="str">
        <f t="shared" si="643"/>
        <v>Progression free survival</v>
      </c>
      <c r="BZ400" s="530" t="str">
        <f t="shared" si="644"/>
        <v>Assume equal to</v>
      </c>
      <c r="CA400" s="531">
        <f t="shared" si="666"/>
        <v>0</v>
      </c>
      <c r="CB400" s="530">
        <f t="shared" si="645"/>
        <v>0</v>
      </c>
      <c r="CC400" s="530">
        <f t="shared" si="646"/>
        <v>3</v>
      </c>
      <c r="CD400" s="530">
        <f t="shared" si="647"/>
        <v>6</v>
      </c>
      <c r="CE400" s="1295">
        <f t="shared" si="648"/>
        <v>2</v>
      </c>
      <c r="CF400" s="1301">
        <f t="shared" si="649"/>
        <v>1</v>
      </c>
      <c r="CG400" s="530" t="str">
        <f t="shared" si="650"/>
        <v/>
      </c>
      <c r="CH400" s="61">
        <f t="shared" si="651"/>
        <v>0</v>
      </c>
      <c r="CI400" s="61">
        <f t="shared" si="652"/>
        <v>0</v>
      </c>
      <c r="CJ400" s="61">
        <f t="shared" si="653"/>
        <v>0</v>
      </c>
      <c r="DK400" s="58" t="str" cm="1">
        <f t="array" ref="DK400">IF(AND($BT400=4,$BX400=4,$BU400=999),$DB$36,_xlfn.IFNA(INDEX(DB$13:DB$70,MATCH(1,($BR400=$CV$13:$CV$70)*($BT400=$CX$13:$CX$70)*($CE400=$CY$13:$CY$70)*($BY400=$DA$13:$DA$70)*($CD400=$DH$13:$DH$70),0)),""))</f>
        <v/>
      </c>
      <c r="DL400" s="58" t="str" cm="1">
        <f t="array" ref="DL400">IF(AND($BT400=4,$BX400=4,$BU400=999),$DC$36,_xlfn.IFNA(INDEX(CHOOSE(DP400,DB$13:DB$70,DC$13:DC$70,DD$13:DD$70,DE$13:DE$70),MATCH(1,($BR400=$CV$13:$CV$70)*($BT400=$CX$13:$CX$70)*($CE400=$CY$13:$CY$70)*($BY400=$DA$13:$DA$70)*($CD400=$DH$13:$DH$70),0)),""))</f>
        <v/>
      </c>
      <c r="DM400" s="740" t="str" cm="1">
        <f t="array" ref="DM400">IF(AND($BT400=4,$BX400=4,$BU400=999),$DD$36,_xlfn.IFNA(INDEX(DD$13:DD$68,MATCH(1,($BR400=$CV$13:$CV$68)*($BT400=$CX$13:$CX$68)*($CE400=$CY$13:$CY$68)*($BY400=$DA$13:$DA$68)*($CD400=$DH$13:$DH$68),0)),""))</f>
        <v/>
      </c>
      <c r="DN400" s="740" t="str" cm="1">
        <f t="array" ref="DN400">IF(AND($BT400=4,$BX400=4,$BU400=999),$DD$36,_xlfn.IFNA(INDEX(DE$13:DE$68,MATCH(1,($BR400=$CV$13:$CV$68)*($BT400=$CX$13:$CX$68)*($CE400=$CY$13:$CY$68)*($BY400=$DA$13:$DA$68)*($CD400=$DH$13:$DH$68),0)),""))</f>
        <v/>
      </c>
      <c r="DO400" s="58" t="str" cm="1">
        <f t="array" ref="DO400">IF(AND($BT400=4,$BX400=4,$BU400=999),$DF$36,_xlfn.IFNA(INDEX(DF$13:DF$70,MATCH(1,($BR400=$CV$13:$CV$70)*($BT400=$CX$13:$CX$70)*($CE400=$CY$13:$CY$70)*($BY400=$DA$13:$DA$70)*($CD400=$DH$13:$DH$70),0)),""))</f>
        <v/>
      </c>
      <c r="DP400" s="58" t="e">
        <f t="shared" si="668"/>
        <v>#N/A</v>
      </c>
      <c r="DW400" s="58" t="s">
        <v>74</v>
      </c>
      <c r="DX400" s="58" t="s">
        <v>552</v>
      </c>
      <c r="DY400" s="58" t="s">
        <v>561</v>
      </c>
      <c r="DZ400" s="58">
        <v>0</v>
      </c>
      <c r="EB400" s="58">
        <v>0</v>
      </c>
      <c r="EC400" s="58">
        <v>3</v>
      </c>
      <c r="ED400" s="58">
        <v>6</v>
      </c>
      <c r="EE400" s="58">
        <v>2</v>
      </c>
      <c r="EF400" s="58">
        <v>1</v>
      </c>
      <c r="EI400" s="58" t="s">
        <v>74</v>
      </c>
      <c r="EJ400" s="58" t="s">
        <v>552</v>
      </c>
      <c r="EK400" s="58" t="s">
        <v>561</v>
      </c>
      <c r="EL400" s="58">
        <v>0</v>
      </c>
      <c r="EN400" s="58">
        <v>0</v>
      </c>
      <c r="EO400" s="58">
        <v>2</v>
      </c>
      <c r="EP400" s="58">
        <v>6</v>
      </c>
      <c r="EQ400" s="58">
        <v>1</v>
      </c>
      <c r="ER400" s="58">
        <v>1</v>
      </c>
      <c r="EU400" s="58" t="str">
        <f t="shared" si="654"/>
        <v>Yes</v>
      </c>
      <c r="EV400" s="58" t="str">
        <f t="shared" si="655"/>
        <v>Progression free survival</v>
      </c>
      <c r="EW400" s="58" t="str">
        <f t="shared" si="656"/>
        <v>Assume equal to</v>
      </c>
      <c r="EX400" s="58">
        <f t="shared" si="657"/>
        <v>0</v>
      </c>
      <c r="EZ400" s="58">
        <f t="shared" si="658"/>
        <v>0</v>
      </c>
      <c r="FA400" s="58">
        <f t="shared" si="659"/>
        <v>3</v>
      </c>
      <c r="FB400" s="58">
        <f>IF(i_eff_inputs_based_on_num=2,ED400,(INDEX(Lists!$L$51:$L$85,MATCH(AD281,Lists!$K$51:$K$85,0))))</f>
        <v>6</v>
      </c>
      <c r="FC400" s="58">
        <f>IF(i_eff_inputs_based_on_num=2,EE400,(INDEX(Lists!$L$51:$L$85,MATCH(AE281,Lists!$K$51:$K$85,0))))</f>
        <v>2</v>
      </c>
      <c r="FD400" s="58">
        <f>IF(i_eff_inputs_based_on_num=2,EF400,(INDEX(Lists!$L$51:$L$85,MATCH(AF281,Lists!$K$51:$K$85,0))))</f>
        <v>1</v>
      </c>
      <c r="FG400" s="58" t="str">
        <f t="shared" si="660"/>
        <v>Yes</v>
      </c>
      <c r="FH400" s="58" t="str">
        <f t="shared" si="661"/>
        <v>Progression free survival</v>
      </c>
      <c r="FI400" s="58" t="str">
        <f t="shared" si="662"/>
        <v>Assume equal to</v>
      </c>
      <c r="FJ400" s="58">
        <f t="shared" si="663"/>
        <v>0</v>
      </c>
      <c r="FL400" s="58">
        <f t="shared" si="664"/>
        <v>0</v>
      </c>
      <c r="FM400" s="58">
        <f t="shared" si="665"/>
        <v>2</v>
      </c>
      <c r="FN400" s="58">
        <f>IF(i_eff_inputs_based_on_num=2,EP400,(INDEX(Lists!$L$51:$L$85,MATCH(AD281,Lists!$K$51:$K$85,0))))</f>
        <v>6</v>
      </c>
      <c r="FO400" s="58">
        <f>IF(i_eff_inputs_based_on_num=2,EQ400,(INDEX(Lists!$L$51:$L$85,MATCH(AE281,Lists!$K$51:$K$85,0))))</f>
        <v>1</v>
      </c>
      <c r="FP400" s="58">
        <f>IF(i_eff_inputs_based_on_num=2,ER400,(INDEX(Lists!$L$51:$L$85,MATCH(AF281,Lists!$K$51:$K$85,0))))</f>
        <v>1</v>
      </c>
      <c r="FT400" s="58">
        <f t="shared" si="669"/>
        <v>0</v>
      </c>
      <c r="FW400" s="58" t="str">
        <f>IF(i_baseline_risk_from=2,'Effectiveness settings'!EW400,'Effectiveness settings'!FI400)</f>
        <v>Assume equal to</v>
      </c>
      <c r="FX400" s="58" t="str">
        <f t="shared" si="670"/>
        <v>Assume equal to</v>
      </c>
      <c r="FY400" s="58" t="str">
        <f t="shared" si="671"/>
        <v>Assume equal to</v>
      </c>
      <c r="FZ400" s="58" t="str">
        <f t="shared" si="672"/>
        <v>Assume equal to</v>
      </c>
      <c r="GA400" s="58" t="str">
        <f t="shared" si="673"/>
        <v>Assume equal to</v>
      </c>
      <c r="GB400" s="58" t="str">
        <f t="shared" si="674"/>
        <v>Assume equal to</v>
      </c>
      <c r="GC400" s="58" t="str">
        <f t="shared" si="675"/>
        <v>Assume equal to</v>
      </c>
      <c r="GD400" s="58" t="str">
        <f t="shared" si="676"/>
        <v>Assume equal to</v>
      </c>
      <c r="GE400" s="58" t="str">
        <f>IF(AND(dd_CheckMate214_TTD="Yes",'Effectiveness settings'!BU400=2,'Effectiveness settings'!BX400=2),"Apply HR to",GD400)</f>
        <v>Assume equal to</v>
      </c>
      <c r="GF400" s="58" t="str">
        <f t="shared" si="677"/>
        <v>Assume equal to</v>
      </c>
      <c r="GG400" s="58" t="str">
        <f t="shared" si="678"/>
        <v>Assume equal to</v>
      </c>
      <c r="GH400" s="58" t="str">
        <f t="shared" si="679"/>
        <v>Assume equal to</v>
      </c>
      <c r="GI400" s="58" t="str">
        <f t="shared" si="640"/>
        <v>Assume equal to</v>
      </c>
      <c r="GK400" s="58">
        <f>IF(i_baseline_risk_from=2,'Effectiveness settings'!FA400,'Effectiveness settings'!FM400)</f>
        <v>3</v>
      </c>
      <c r="GL400" s="58">
        <f>IF(i_baseline_risk_from=2,'Effectiveness settings'!FB400,'Effectiveness settings'!FN400)</f>
        <v>6</v>
      </c>
      <c r="GM400" s="58">
        <f>IF(i_baseline_risk_from=2,'Effectiveness settings'!FC400,'Effectiveness settings'!FO400)</f>
        <v>2</v>
      </c>
      <c r="GN400" s="58">
        <f>IF(i_baseline_risk_from=2,'Effectiveness settings'!FD400,'Effectiveness settings'!FP400)</f>
        <v>1</v>
      </c>
      <c r="GQ400" s="58">
        <f t="shared" si="680"/>
        <v>6</v>
      </c>
      <c r="GR400" s="58">
        <f t="shared" si="681"/>
        <v>6</v>
      </c>
      <c r="GS400" s="58">
        <f t="shared" si="682"/>
        <v>6</v>
      </c>
      <c r="GT400" s="58">
        <f t="shared" si="683"/>
        <v>6</v>
      </c>
      <c r="GU400" s="58">
        <f>IF(AND(dd_CheckMate214_TTD="Yes",'Effectiveness settings'!BU400=2,'Effectiveness settings'!BX400=2),2,GT400)</f>
        <v>6</v>
      </c>
      <c r="GV400" s="58">
        <f t="shared" si="684"/>
        <v>6</v>
      </c>
      <c r="GW400" s="58">
        <f t="shared" si="685"/>
        <v>6</v>
      </c>
      <c r="GY400" s="58">
        <f>IF(AND(dd_CheckMate214_TTD="Yes",'Effectiveness settings'!BU400=2,'Effectiveness settings'!BX400=2),1,GN400)</f>
        <v>1</v>
      </c>
      <c r="GZ400" s="58">
        <f t="shared" si="686"/>
        <v>1</v>
      </c>
      <c r="HB400" s="58">
        <f t="shared" si="687"/>
        <v>0</v>
      </c>
      <c r="HD400" s="58">
        <f t="shared" si="635"/>
        <v>0</v>
      </c>
      <c r="HE400" s="58">
        <f t="shared" si="636"/>
        <v>3</v>
      </c>
      <c r="HF400" s="58">
        <f t="shared" si="637"/>
        <v>6</v>
      </c>
      <c r="HG400" s="58">
        <f t="shared" si="638"/>
        <v>2</v>
      </c>
      <c r="HH400" s="58">
        <f t="shared" si="639"/>
        <v>1</v>
      </c>
      <c r="HJ400" s="61" t="s">
        <v>609</v>
      </c>
      <c r="HK400" s="61" t="s">
        <v>115</v>
      </c>
      <c r="HL400" s="61" t="s">
        <v>610</v>
      </c>
      <c r="HM400" s="61" t="s">
        <v>611</v>
      </c>
      <c r="HN400" s="61" t="s">
        <v>612</v>
      </c>
    </row>
    <row r="401" spans="5:222" ht="15.75" x14ac:dyDescent="0.25">
      <c r="BQ401" s="58">
        <f t="shared" si="667"/>
        <v>233</v>
      </c>
      <c r="BR401" s="61">
        <v>0</v>
      </c>
      <c r="BS401" s="61" t="s">
        <v>31</v>
      </c>
      <c r="BT401" s="17">
        <v>2</v>
      </c>
      <c r="BU401" s="17">
        <v>8</v>
      </c>
      <c r="BV401" s="17" t="str">
        <f t="shared" si="641"/>
        <v>cabozantinib</v>
      </c>
      <c r="BW401" s="1006" t="str" cm="1">
        <f t="array" ref="BW401">IF(X282="No",X282,INDEX(List_incl_anal_2L_all,IF(BU401=999,35,BU401+1)))</f>
        <v>Yes</v>
      </c>
      <c r="BX401" s="61">
        <f t="shared" si="642"/>
        <v>1</v>
      </c>
      <c r="BY401" s="531" t="str">
        <f t="shared" si="643"/>
        <v>Progression free survival</v>
      </c>
      <c r="BZ401" s="530" t="str">
        <f t="shared" si="644"/>
        <v>Trial survival analysis</v>
      </c>
      <c r="CA401" s="531" t="str">
        <f t="shared" si="666"/>
        <v>Real world evidence</v>
      </c>
      <c r="CB401" s="530">
        <f t="shared" si="645"/>
        <v>0</v>
      </c>
      <c r="CC401" s="530">
        <f t="shared" si="646"/>
        <v>3</v>
      </c>
      <c r="CD401" s="530">
        <f t="shared" si="647"/>
        <v>8</v>
      </c>
      <c r="CE401" s="1295">
        <f t="shared" si="648"/>
        <v>2</v>
      </c>
      <c r="CF401" s="1301">
        <f t="shared" si="649"/>
        <v>1</v>
      </c>
      <c r="CG401" s="530" t="str">
        <f t="shared" si="650"/>
        <v>Log-logistic</v>
      </c>
      <c r="CH401" s="61">
        <f t="shared" si="651"/>
        <v>0</v>
      </c>
      <c r="CI401" s="61">
        <f t="shared" si="652"/>
        <v>0</v>
      </c>
      <c r="CJ401" s="61">
        <f t="shared" si="653"/>
        <v>0</v>
      </c>
      <c r="DK401" s="58" t="str" cm="1">
        <f t="array" ref="DK401">IF(AND($BT401=4,$BX401=4,$BU401=999),$DB$36,_xlfn.IFNA(INDEX(DB$13:DB$70,MATCH(1,($BR401=$CV$13:$CV$70)*($BT401=$CX$13:$CX$70)*($CE401=$CY$13:$CY$70)*($BY401=$DA$13:$DA$70)*($CD401=$DH$13:$DH$70),0)),""))</f>
        <v>Log-logistic</v>
      </c>
      <c r="DL401" s="58" t="str" cm="1">
        <f t="array" ref="DL401">IF(AND($BT401=4,$BX401=4,$BU401=999),$DC$36,_xlfn.IFNA(INDEX(CHOOSE(DP401,DB$13:DB$70,DC$13:DC$70,DD$13:DD$70,DE$13:DE$70),MATCH(1,($BR401=$CV$13:$CV$70)*($BT401=$CX$13:$CX$70)*($CE401=$CY$13:$CY$70)*($BY401=$DA$13:$DA$70)*($CD401=$DH$13:$DH$70),0)),""))</f>
        <v>Log-logistic</v>
      </c>
      <c r="DM401" s="740" t="str" cm="1">
        <f t="array" ref="DM401">IF(AND($BT401=4,$BX401=4,$BU401=999),$DD$36,_xlfn.IFNA(INDEX(DD$13:DD$68,MATCH(1,($BR401=$CV$13:$CV$68)*($BT401=$CX$13:$CX$68)*($CE401=$CY$13:$CY$68)*($BY401=$DA$13:$DA$68)*($CD401=$DH$13:$DH$68),0)),""))</f>
        <v>Weibull</v>
      </c>
      <c r="DN401" s="740" cm="1">
        <f t="array" ref="DN401">IF(AND($BT401=4,$BX401=4,$BU401=999),$DD$36,_xlfn.IFNA(INDEX(DE$13:DE$68,MATCH(1,($BR401=$CV$13:$CV$68)*($BT401=$CX$13:$CX$68)*($CE401=$CY$13:$CY$68)*($BY401=$DA$13:$DA$68)*($CD401=$DH$13:$DH$68),0)),""))</f>
        <v>0</v>
      </c>
      <c r="DO401" s="58" t="str" cm="1">
        <f t="array" ref="DO401">IF(AND($BT401=4,$BX401=4,$BU401=999),$DF$36,_xlfn.IFNA(INDEX(DF$13:DF$70,MATCH(1,($BR401=$CV$13:$CV$70)*($BT401=$CX$13:$CX$70)*($CE401=$CY$13:$CY$70)*($BY401=$DA$13:$DA$70)*($CD401=$DH$13:$DH$70),0)),""))</f>
        <v>Base case</v>
      </c>
      <c r="DP401" s="58">
        <f t="shared" si="668"/>
        <v>1</v>
      </c>
      <c r="DW401" s="58" t="s">
        <v>74</v>
      </c>
      <c r="DX401" s="58" t="s">
        <v>552</v>
      </c>
      <c r="DY401" s="58" t="s">
        <v>562</v>
      </c>
      <c r="DZ401" s="58" t="s">
        <v>547</v>
      </c>
      <c r="EB401" s="58">
        <v>0</v>
      </c>
      <c r="EC401" s="58">
        <v>3</v>
      </c>
      <c r="ED401" s="58">
        <v>8</v>
      </c>
      <c r="EE401" s="58">
        <v>2</v>
      </c>
      <c r="EF401" s="58">
        <v>1</v>
      </c>
      <c r="EI401" s="58" t="s">
        <v>74</v>
      </c>
      <c r="EJ401" s="58" t="s">
        <v>552</v>
      </c>
      <c r="EK401" s="58" t="s">
        <v>63</v>
      </c>
      <c r="EL401" s="58">
        <v>0</v>
      </c>
      <c r="EN401" s="58">
        <v>0</v>
      </c>
      <c r="EO401" s="58">
        <v>2</v>
      </c>
      <c r="EP401" s="58">
        <v>10</v>
      </c>
      <c r="EQ401" s="58">
        <v>1</v>
      </c>
      <c r="ER401" s="58">
        <v>1</v>
      </c>
      <c r="EU401" s="58" t="str">
        <f t="shared" si="654"/>
        <v>Yes</v>
      </c>
      <c r="EV401" s="58" t="str">
        <f t="shared" si="655"/>
        <v>Progression free survival</v>
      </c>
      <c r="EW401" s="58" t="str">
        <f t="shared" si="656"/>
        <v>Trial survival analysis</v>
      </c>
      <c r="EX401" s="58" t="str">
        <f t="shared" si="657"/>
        <v>Real world evidence</v>
      </c>
      <c r="EZ401" s="58">
        <f t="shared" si="658"/>
        <v>0</v>
      </c>
      <c r="FA401" s="58">
        <f t="shared" si="659"/>
        <v>3</v>
      </c>
      <c r="FB401" s="58">
        <f>IF(i_eff_inputs_based_on_num=2,ED401,(INDEX(Lists!$L$51:$L$85,MATCH(AD282,Lists!$K$51:$K$85,0))))</f>
        <v>8</v>
      </c>
      <c r="FC401" s="58">
        <f>IF(i_eff_inputs_based_on_num=2,EE401,(INDEX(Lists!$L$51:$L$85,MATCH(AE282,Lists!$K$51:$K$85,0))))</f>
        <v>2</v>
      </c>
      <c r="FD401" s="58">
        <f>IF(i_eff_inputs_based_on_num=2,EF401,(INDEX(Lists!$L$51:$L$85,MATCH(AF282,Lists!$K$51:$K$85,0))))</f>
        <v>1</v>
      </c>
      <c r="FG401" s="58" t="str">
        <f t="shared" si="660"/>
        <v>Yes</v>
      </c>
      <c r="FH401" s="58" t="str">
        <f t="shared" si="661"/>
        <v>Progression free survival</v>
      </c>
      <c r="FI401" s="58" t="str">
        <f t="shared" si="662"/>
        <v>FP_NMA</v>
      </c>
      <c r="FJ401" s="58">
        <f t="shared" si="663"/>
        <v>0</v>
      </c>
      <c r="FL401" s="58">
        <f t="shared" si="664"/>
        <v>0</v>
      </c>
      <c r="FM401" s="58">
        <f t="shared" si="665"/>
        <v>2</v>
      </c>
      <c r="FN401" s="58">
        <f>IF(i_eff_inputs_based_on_num=2,EP401,(INDEX(Lists!$L$51:$L$85,MATCH(AD282,Lists!$K$51:$K$85,0))))</f>
        <v>10</v>
      </c>
      <c r="FO401" s="58">
        <f>IF(i_eff_inputs_based_on_num=2,EQ401,(INDEX(Lists!$L$51:$L$85,MATCH(AE282,Lists!$K$51:$K$85,0))))</f>
        <v>1</v>
      </c>
      <c r="FP401" s="58">
        <f>IF(i_eff_inputs_based_on_num=2,ER401,(INDEX(Lists!$L$51:$L$85,MATCH(AF282,Lists!$K$51:$K$85,0))))</f>
        <v>1</v>
      </c>
      <c r="FT401" s="58" t="str">
        <f t="shared" si="669"/>
        <v>Real world evidence</v>
      </c>
      <c r="FW401" s="58" t="str">
        <f>IF(i_baseline_risk_from=2,'Effectiveness settings'!EW401,'Effectiveness settings'!FI401)</f>
        <v>Trial survival analysis</v>
      </c>
      <c r="FX401" s="58" t="str">
        <f t="shared" si="670"/>
        <v>Trial survival analysis</v>
      </c>
      <c r="FY401" s="58" t="str">
        <f t="shared" si="671"/>
        <v>Trial survival analysis</v>
      </c>
      <c r="FZ401" s="58" t="str">
        <f t="shared" si="672"/>
        <v>Trial survival analysis</v>
      </c>
      <c r="GA401" s="58" t="str">
        <f t="shared" si="673"/>
        <v>Trial survival analysis</v>
      </c>
      <c r="GB401" s="58" t="str">
        <f t="shared" si="674"/>
        <v>Trial survival analysis</v>
      </c>
      <c r="GC401" s="58" t="str">
        <f t="shared" si="675"/>
        <v>Trial survival analysis</v>
      </c>
      <c r="GD401" s="58" t="str">
        <f t="shared" si="676"/>
        <v>Trial survival analysis</v>
      </c>
      <c r="GE401" s="58" t="str">
        <f>IF(AND(dd_CheckMate214_TTD="Yes",'Effectiveness settings'!BU401=2,'Effectiveness settings'!BX401=2),"Apply HR to",GD401)</f>
        <v>Trial survival analysis</v>
      </c>
      <c r="GF401" s="58" t="str">
        <f t="shared" si="677"/>
        <v>Trial survival analysis</v>
      </c>
      <c r="GG401" s="58" t="str">
        <f t="shared" si="678"/>
        <v>Trial survival analysis</v>
      </c>
      <c r="GH401" s="58" t="str">
        <f t="shared" si="679"/>
        <v>Trial survival analysis</v>
      </c>
      <c r="GI401" s="58" t="str">
        <f t="shared" si="640"/>
        <v>Trial survival analysis</v>
      </c>
      <c r="GK401" s="58">
        <f>IF(i_baseline_risk_from=2,'Effectiveness settings'!FA401,'Effectiveness settings'!FM401)</f>
        <v>3</v>
      </c>
      <c r="GL401" s="58">
        <f>IF(i_baseline_risk_from=2,'Effectiveness settings'!FB401,'Effectiveness settings'!FN401)</f>
        <v>8</v>
      </c>
      <c r="GM401" s="58">
        <f>IF(i_baseline_risk_from=2,'Effectiveness settings'!FC401,'Effectiveness settings'!FO401)</f>
        <v>2</v>
      </c>
      <c r="GN401" s="58">
        <f>IF(i_baseline_risk_from=2,'Effectiveness settings'!FD401,'Effectiveness settings'!FP401)</f>
        <v>1</v>
      </c>
      <c r="GQ401" s="58">
        <f t="shared" si="680"/>
        <v>8</v>
      </c>
      <c r="GR401" s="58">
        <f t="shared" si="681"/>
        <v>8</v>
      </c>
      <c r="GS401" s="58">
        <f t="shared" si="682"/>
        <v>8</v>
      </c>
      <c r="GT401" s="58">
        <f t="shared" si="683"/>
        <v>8</v>
      </c>
      <c r="GU401" s="58">
        <f>IF(AND(dd_CheckMate214_TTD="Yes",'Effectiveness settings'!BU401=2,'Effectiveness settings'!BX401=2),2,GT401)</f>
        <v>8</v>
      </c>
      <c r="GV401" s="58">
        <f t="shared" si="684"/>
        <v>8</v>
      </c>
      <c r="GW401" s="58">
        <f t="shared" si="685"/>
        <v>8</v>
      </c>
      <c r="GY401" s="58">
        <f>IF(AND(dd_CheckMate214_TTD="Yes",'Effectiveness settings'!BU401=2,'Effectiveness settings'!BX401=2),1,GN401)</f>
        <v>1</v>
      </c>
      <c r="GZ401" s="58">
        <f t="shared" si="686"/>
        <v>1</v>
      </c>
      <c r="HB401" s="58">
        <f t="shared" si="687"/>
        <v>0</v>
      </c>
      <c r="HD401" s="58">
        <f t="shared" si="635"/>
        <v>0</v>
      </c>
      <c r="HE401" s="58">
        <f t="shared" si="636"/>
        <v>3</v>
      </c>
      <c r="HF401" s="58">
        <f t="shared" si="637"/>
        <v>8</v>
      </c>
      <c r="HG401" s="58">
        <f t="shared" si="638"/>
        <v>2</v>
      </c>
      <c r="HH401" s="58">
        <f t="shared" si="639"/>
        <v>1</v>
      </c>
      <c r="HJ401" s="61" t="s">
        <v>613</v>
      </c>
      <c r="HK401" s="61" t="s">
        <v>151</v>
      </c>
      <c r="HL401" s="61" t="s">
        <v>31</v>
      </c>
      <c r="HM401" s="910">
        <f>I402</f>
        <v>-0.5</v>
      </c>
      <c r="HN401" s="910">
        <f t="shared" ref="HN401:HN406" si="688">J402</f>
        <v>0</v>
      </c>
    </row>
    <row r="402" spans="5:222" ht="15.75" x14ac:dyDescent="0.25">
      <c r="E402" s="58" t="s">
        <v>613</v>
      </c>
      <c r="F402" s="58" t="s">
        <v>151</v>
      </c>
      <c r="G402" s="58" t="s">
        <v>31</v>
      </c>
      <c r="I402" s="998">
        <v>-0.5</v>
      </c>
      <c r="J402" s="998">
        <v>0</v>
      </c>
      <c r="BQ402" s="58">
        <f t="shared" si="667"/>
        <v>234</v>
      </c>
      <c r="BR402" s="61">
        <v>0</v>
      </c>
      <c r="BS402" s="61" t="s">
        <v>31</v>
      </c>
      <c r="BT402" s="17">
        <v>2</v>
      </c>
      <c r="BU402" s="17">
        <v>9</v>
      </c>
      <c r="BV402" s="17" t="str">
        <f t="shared" si="641"/>
        <v>lenvatinib_plus_everolimus</v>
      </c>
      <c r="BW402" s="1006" t="str" cm="1">
        <f t="array" ref="BW402">IF(X283="No",X283,INDEX(List_incl_anal_2L_all,IF(BU402=999,35,BU402+1)))</f>
        <v>Yes</v>
      </c>
      <c r="BX402" s="61">
        <f t="shared" si="642"/>
        <v>1</v>
      </c>
      <c r="BY402" s="531" t="str">
        <f t="shared" si="643"/>
        <v>Progression free survival</v>
      </c>
      <c r="BZ402" s="530" t="str">
        <f t="shared" si="644"/>
        <v>PH_NMA</v>
      </c>
      <c r="CA402" s="531">
        <f t="shared" si="666"/>
        <v>0</v>
      </c>
      <c r="CB402" s="530">
        <f t="shared" si="645"/>
        <v>0</v>
      </c>
      <c r="CC402" s="530">
        <f t="shared" si="646"/>
        <v>3</v>
      </c>
      <c r="CD402" s="530">
        <f t="shared" si="647"/>
        <v>8</v>
      </c>
      <c r="CE402" s="1295">
        <f t="shared" si="648"/>
        <v>2</v>
      </c>
      <c r="CF402" s="1301">
        <f t="shared" si="649"/>
        <v>1</v>
      </c>
      <c r="CG402" s="530" t="str">
        <f t="shared" si="650"/>
        <v>Log-logistic</v>
      </c>
      <c r="CH402" s="61">
        <f t="shared" si="651"/>
        <v>0</v>
      </c>
      <c r="CI402" s="61">
        <f t="shared" si="652"/>
        <v>0</v>
      </c>
      <c r="CJ402" s="61">
        <f t="shared" si="653"/>
        <v>0</v>
      </c>
      <c r="DK402" s="58" t="str" cm="1">
        <f t="array" ref="DK402">IF(AND($BT402=4,$BX402=4,$BU402=999),$DB$36,_xlfn.IFNA(INDEX(DB$13:DB$70,MATCH(1,($BR402=$CV$13:$CV$70)*($BT402=$CX$13:$CX$70)*($CE402=$CY$13:$CY$70)*($BY402=$DA$13:$DA$70)*($CD402=$DH$13:$DH$70),0)),""))</f>
        <v>Log-logistic</v>
      </c>
      <c r="DL402" s="58" t="str" cm="1">
        <f t="array" ref="DL402">IF(AND($BT402=4,$BX402=4,$BU402=999),$DC$36,_xlfn.IFNA(INDEX(CHOOSE(DP402,DB$13:DB$70,DC$13:DC$70,DD$13:DD$70,DE$13:DE$70),MATCH(1,($BR402=$CV$13:$CV$70)*($BT402=$CX$13:$CX$70)*($CE402=$CY$13:$CY$70)*($BY402=$DA$13:$DA$70)*($CD402=$DH$13:$DH$70),0)),""))</f>
        <v>Log-logistic</v>
      </c>
      <c r="DM402" s="740" t="str" cm="1">
        <f t="array" ref="DM402">IF(AND($BT402=4,$BX402=4,$BU402=999),$DD$36,_xlfn.IFNA(INDEX(DD$13:DD$68,MATCH(1,($BR402=$CV$13:$CV$68)*($BT402=$CX$13:$CX$68)*($CE402=$CY$13:$CY$68)*($BY402=$DA$13:$DA$68)*($CD402=$DH$13:$DH$68),0)),""))</f>
        <v>Weibull</v>
      </c>
      <c r="DN402" s="740" cm="1">
        <f t="array" ref="DN402">IF(AND($BT402=4,$BX402=4,$BU402=999),$DD$36,_xlfn.IFNA(INDEX(DE$13:DE$68,MATCH(1,($BR402=$CV$13:$CV$68)*($BT402=$CX$13:$CX$68)*($CE402=$CY$13:$CY$68)*($BY402=$DA$13:$DA$68)*($CD402=$DH$13:$DH$68),0)),""))</f>
        <v>0</v>
      </c>
      <c r="DO402" s="58" t="str" cm="1">
        <f t="array" ref="DO402">IF(AND($BT402=4,$BX402=4,$BU402=999),$DF$36,_xlfn.IFNA(INDEX(DF$13:DF$70,MATCH(1,($BR402=$CV$13:$CV$70)*($BT402=$CX$13:$CX$70)*($CE402=$CY$13:$CY$70)*($BY402=$DA$13:$DA$70)*($CD402=$DH$13:$DH$70),0)),""))</f>
        <v>Base case</v>
      </c>
      <c r="DP402" s="58">
        <f t="shared" si="668"/>
        <v>1</v>
      </c>
      <c r="DW402" s="58" t="s">
        <v>74</v>
      </c>
      <c r="DX402" s="58" t="s">
        <v>552</v>
      </c>
      <c r="DY402" s="58" t="s">
        <v>63</v>
      </c>
      <c r="DZ402" s="58">
        <v>0</v>
      </c>
      <c r="EB402" s="58">
        <v>0</v>
      </c>
      <c r="EC402" s="58">
        <v>3</v>
      </c>
      <c r="ED402" s="58">
        <v>8</v>
      </c>
      <c r="EE402" s="58">
        <v>2</v>
      </c>
      <c r="EF402" s="58">
        <v>1</v>
      </c>
      <c r="EI402" s="58" t="s">
        <v>74</v>
      </c>
      <c r="EJ402" s="58" t="s">
        <v>552</v>
      </c>
      <c r="EK402" s="58" t="s">
        <v>63</v>
      </c>
      <c r="EL402" s="58">
        <v>0</v>
      </c>
      <c r="EN402" s="58">
        <v>0</v>
      </c>
      <c r="EO402" s="58">
        <v>2</v>
      </c>
      <c r="EP402" s="58">
        <v>10</v>
      </c>
      <c r="EQ402" s="58">
        <v>1</v>
      </c>
      <c r="ER402" s="58">
        <v>1</v>
      </c>
      <c r="EU402" s="58" t="str">
        <f t="shared" si="654"/>
        <v>Yes</v>
      </c>
      <c r="EV402" s="58" t="str">
        <f t="shared" si="655"/>
        <v>Progression free survival</v>
      </c>
      <c r="EW402" s="58" t="str">
        <f t="shared" si="656"/>
        <v>FP_NMA</v>
      </c>
      <c r="EX402" s="58">
        <f t="shared" si="657"/>
        <v>0</v>
      </c>
      <c r="EZ402" s="58">
        <f t="shared" si="658"/>
        <v>0</v>
      </c>
      <c r="FA402" s="58">
        <f t="shared" si="659"/>
        <v>3</v>
      </c>
      <c r="FB402" s="58">
        <f>IF(i_eff_inputs_based_on_num=2,ED402,(INDEX(Lists!$L$51:$L$85,MATCH(AD283,Lists!$K$51:$K$85,0))))</f>
        <v>8</v>
      </c>
      <c r="FC402" s="58">
        <f>IF(i_eff_inputs_based_on_num=2,EE402,(INDEX(Lists!$L$51:$L$85,MATCH(AE283,Lists!$K$51:$K$85,0))))</f>
        <v>2</v>
      </c>
      <c r="FD402" s="58">
        <f>IF(i_eff_inputs_based_on_num=2,EF402,(INDEX(Lists!$L$51:$L$85,MATCH(AF283,Lists!$K$51:$K$85,0))))</f>
        <v>1</v>
      </c>
      <c r="FG402" s="58" t="str">
        <f t="shared" si="660"/>
        <v>Yes</v>
      </c>
      <c r="FH402" s="58" t="str">
        <f t="shared" si="661"/>
        <v>Progression free survival</v>
      </c>
      <c r="FI402" s="58" t="str">
        <f t="shared" si="662"/>
        <v>FP_NMA</v>
      </c>
      <c r="FJ402" s="58">
        <f t="shared" si="663"/>
        <v>0</v>
      </c>
      <c r="FL402" s="58">
        <f t="shared" si="664"/>
        <v>0</v>
      </c>
      <c r="FM402" s="58">
        <f t="shared" si="665"/>
        <v>2</v>
      </c>
      <c r="FN402" s="58">
        <f>IF(i_eff_inputs_based_on_num=2,EP402,(INDEX(Lists!$L$51:$L$85,MATCH(AD283,Lists!$K$51:$K$85,0))))</f>
        <v>10</v>
      </c>
      <c r="FO402" s="58">
        <f>IF(i_eff_inputs_based_on_num=2,EQ402,(INDEX(Lists!$L$51:$L$85,MATCH(AE283,Lists!$K$51:$K$85,0))))</f>
        <v>1</v>
      </c>
      <c r="FP402" s="58">
        <f>IF(i_eff_inputs_based_on_num=2,ER402,(INDEX(Lists!$L$51:$L$85,MATCH(AF283,Lists!$K$51:$K$85,0))))</f>
        <v>1</v>
      </c>
      <c r="FT402" s="58">
        <f t="shared" si="669"/>
        <v>0</v>
      </c>
      <c r="FW402" s="58" t="str">
        <f>IF(i_baseline_risk_from=2,'Effectiveness settings'!EW402,'Effectiveness settings'!FI402)</f>
        <v>FP_NMA</v>
      </c>
      <c r="FX402" s="58" t="str">
        <f t="shared" si="670"/>
        <v>PH_NMA</v>
      </c>
      <c r="FY402" s="58" t="str">
        <f t="shared" si="671"/>
        <v>PH_NMA</v>
      </c>
      <c r="FZ402" s="58" t="str">
        <f t="shared" si="672"/>
        <v>PH_NMA</v>
      </c>
      <c r="GA402" s="58" t="str">
        <f t="shared" si="673"/>
        <v>PH_NMA</v>
      </c>
      <c r="GB402" s="58" t="str">
        <f t="shared" si="674"/>
        <v>PH_NMA</v>
      </c>
      <c r="GC402" s="58" t="str">
        <f t="shared" si="675"/>
        <v>PH_NMA</v>
      </c>
      <c r="GD402" s="58" t="str">
        <f t="shared" si="676"/>
        <v>PH_NMA</v>
      </c>
      <c r="GE402" s="58" t="str">
        <f>IF(AND(dd_CheckMate214_TTD="Yes",'Effectiveness settings'!BU402=2,'Effectiveness settings'!BX402=2),"Apply HR to",GD402)</f>
        <v>PH_NMA</v>
      </c>
      <c r="GF402" s="58" t="str">
        <f t="shared" si="677"/>
        <v>PH_NMA</v>
      </c>
      <c r="GG402" s="58" t="str">
        <f t="shared" si="678"/>
        <v>PH_NMA</v>
      </c>
      <c r="GH402" s="58" t="str">
        <f t="shared" si="679"/>
        <v>PH_NMA</v>
      </c>
      <c r="GI402" s="58" t="str">
        <f t="shared" si="640"/>
        <v>PH_NMA</v>
      </c>
      <c r="GK402" s="58">
        <f>IF(i_baseline_risk_from=2,'Effectiveness settings'!FA402,'Effectiveness settings'!FM402)</f>
        <v>3</v>
      </c>
      <c r="GL402" s="58">
        <f>IF(i_baseline_risk_from=2,'Effectiveness settings'!FB402,'Effectiveness settings'!FN402)</f>
        <v>8</v>
      </c>
      <c r="GM402" s="58">
        <f>IF(i_baseline_risk_from=2,'Effectiveness settings'!FC402,'Effectiveness settings'!FO402)</f>
        <v>2</v>
      </c>
      <c r="GN402" s="58">
        <f>IF(i_baseline_risk_from=2,'Effectiveness settings'!FD402,'Effectiveness settings'!FP402)</f>
        <v>1</v>
      </c>
      <c r="GQ402" s="58">
        <f t="shared" si="680"/>
        <v>8</v>
      </c>
      <c r="GR402" s="58">
        <f t="shared" si="681"/>
        <v>8</v>
      </c>
      <c r="GS402" s="58">
        <f t="shared" si="682"/>
        <v>8</v>
      </c>
      <c r="GT402" s="58">
        <f t="shared" si="683"/>
        <v>8</v>
      </c>
      <c r="GU402" s="58">
        <f>IF(AND(dd_CheckMate214_TTD="Yes",'Effectiveness settings'!BU402=2,'Effectiveness settings'!BX402=2),2,GT402)</f>
        <v>8</v>
      </c>
      <c r="GV402" s="58">
        <f t="shared" si="684"/>
        <v>8</v>
      </c>
      <c r="GW402" s="58">
        <f t="shared" si="685"/>
        <v>8</v>
      </c>
      <c r="GY402" s="58">
        <f>IF(AND(dd_CheckMate214_TTD="Yes",'Effectiveness settings'!BU402=2,'Effectiveness settings'!BX402=2),1,GN402)</f>
        <v>1</v>
      </c>
      <c r="GZ402" s="58">
        <f t="shared" si="686"/>
        <v>1</v>
      </c>
      <c r="HB402" s="58">
        <f t="shared" si="687"/>
        <v>0</v>
      </c>
      <c r="HD402" s="58">
        <f t="shared" si="635"/>
        <v>0</v>
      </c>
      <c r="HE402" s="58">
        <f t="shared" si="636"/>
        <v>3</v>
      </c>
      <c r="HF402" s="58">
        <f t="shared" si="637"/>
        <v>8</v>
      </c>
      <c r="HG402" s="58">
        <f t="shared" si="638"/>
        <v>2</v>
      </c>
      <c r="HH402" s="58">
        <f t="shared" si="639"/>
        <v>1</v>
      </c>
      <c r="HJ402" s="61" t="s">
        <v>613</v>
      </c>
      <c r="HK402" s="61" t="s">
        <v>614</v>
      </c>
      <c r="HL402" s="61" t="s">
        <v>31</v>
      </c>
      <c r="HM402" s="910">
        <f t="shared" ref="HM402:HM406" si="689">I403</f>
        <v>0</v>
      </c>
      <c r="HN402" s="910">
        <f t="shared" si="688"/>
        <v>1</v>
      </c>
    </row>
    <row r="403" spans="5:222" ht="15.75" x14ac:dyDescent="0.25">
      <c r="E403" s="58" t="s">
        <v>613</v>
      </c>
      <c r="F403" s="58" t="s">
        <v>614</v>
      </c>
      <c r="G403" s="58" t="s">
        <v>31</v>
      </c>
      <c r="I403" s="998">
        <v>0</v>
      </c>
      <c r="J403" s="998">
        <v>1</v>
      </c>
      <c r="BQ403" s="58">
        <f t="shared" si="667"/>
        <v>235</v>
      </c>
      <c r="BR403" s="61">
        <v>0</v>
      </c>
      <c r="BS403" s="61" t="s">
        <v>31</v>
      </c>
      <c r="BT403" s="17">
        <v>2</v>
      </c>
      <c r="BU403" s="17">
        <v>10</v>
      </c>
      <c r="BV403" s="17" t="str">
        <f t="shared" si="641"/>
        <v>everolimus</v>
      </c>
      <c r="BW403" s="1006" t="str" cm="1">
        <f t="array" ref="BW403">IF(X284="No",X284,INDEX(List_incl_anal_2L_all,IF(BU403=999,35,BU403+1)))</f>
        <v>Yes</v>
      </c>
      <c r="BX403" s="61">
        <f t="shared" si="642"/>
        <v>1</v>
      </c>
      <c r="BY403" s="531" t="str">
        <f t="shared" si="643"/>
        <v>Progression free survival</v>
      </c>
      <c r="BZ403" s="530" t="str">
        <f t="shared" si="644"/>
        <v>PH_NMA</v>
      </c>
      <c r="CA403" s="531">
        <f t="shared" si="666"/>
        <v>0</v>
      </c>
      <c r="CB403" s="530">
        <f t="shared" si="645"/>
        <v>0</v>
      </c>
      <c r="CC403" s="530">
        <f t="shared" si="646"/>
        <v>3</v>
      </c>
      <c r="CD403" s="530">
        <f t="shared" si="647"/>
        <v>8</v>
      </c>
      <c r="CE403" s="1295">
        <f t="shared" si="648"/>
        <v>2</v>
      </c>
      <c r="CF403" s="1301">
        <f t="shared" si="649"/>
        <v>1</v>
      </c>
      <c r="CG403" s="530" t="str">
        <f t="shared" si="650"/>
        <v>Log-logistic</v>
      </c>
      <c r="CH403" s="61">
        <f t="shared" si="651"/>
        <v>0</v>
      </c>
      <c r="CI403" s="61">
        <f t="shared" si="652"/>
        <v>0</v>
      </c>
      <c r="CJ403" s="61">
        <f t="shared" si="653"/>
        <v>0</v>
      </c>
      <c r="DK403" s="58" t="str" cm="1">
        <f t="array" ref="DK403">IF(AND($BT403=4,$BX403=4,$BU403=999),$DB$36,_xlfn.IFNA(INDEX(DB$13:DB$70,MATCH(1,($BR403=$CV$13:$CV$70)*($BT403=$CX$13:$CX$70)*($CE403=$CY$13:$CY$70)*($BY403=$DA$13:$DA$70)*($CD403=$DH$13:$DH$70),0)),""))</f>
        <v>Log-logistic</v>
      </c>
      <c r="DL403" s="58" t="str" cm="1">
        <f t="array" ref="DL403">IF(AND($BT403=4,$BX403=4,$BU403=999),$DC$36,_xlfn.IFNA(INDEX(CHOOSE(DP403,DB$13:DB$70,DC$13:DC$70,DD$13:DD$70,DE$13:DE$70),MATCH(1,($BR403=$CV$13:$CV$70)*($BT403=$CX$13:$CX$70)*($CE403=$CY$13:$CY$70)*($BY403=$DA$13:$DA$70)*($CD403=$DH$13:$DH$70),0)),""))</f>
        <v>Log-logistic</v>
      </c>
      <c r="DM403" s="740" t="str" cm="1">
        <f t="array" ref="DM403">IF(AND($BT403=4,$BX403=4,$BU403=999),$DD$36,_xlfn.IFNA(INDEX(DD$13:DD$68,MATCH(1,($BR403=$CV$13:$CV$68)*($BT403=$CX$13:$CX$68)*($CE403=$CY$13:$CY$68)*($BY403=$DA$13:$DA$68)*($CD403=$DH$13:$DH$68),0)),""))</f>
        <v>Weibull</v>
      </c>
      <c r="DN403" s="740" cm="1">
        <f t="array" ref="DN403">IF(AND($BT403=4,$BX403=4,$BU403=999),$DD$36,_xlfn.IFNA(INDEX(DE$13:DE$68,MATCH(1,($BR403=$CV$13:$CV$68)*($BT403=$CX$13:$CX$68)*($CE403=$CY$13:$CY$68)*($BY403=$DA$13:$DA$68)*($CD403=$DH$13:$DH$68),0)),""))</f>
        <v>0</v>
      </c>
      <c r="DO403" s="58" t="str" cm="1">
        <f t="array" ref="DO403">IF(AND($BT403=4,$BX403=4,$BU403=999),$DF$36,_xlfn.IFNA(INDEX(DF$13:DF$70,MATCH(1,($BR403=$CV$13:$CV$70)*($BT403=$CX$13:$CX$70)*($CE403=$CY$13:$CY$70)*($BY403=$DA$13:$DA$70)*($CD403=$DH$13:$DH$70),0)),""))</f>
        <v>Base case</v>
      </c>
      <c r="DP403" s="58">
        <f t="shared" si="668"/>
        <v>1</v>
      </c>
      <c r="DW403" s="58" t="s">
        <v>74</v>
      </c>
      <c r="DX403" s="58" t="s">
        <v>552</v>
      </c>
      <c r="DY403" s="58" t="s">
        <v>63</v>
      </c>
      <c r="DZ403" s="58">
        <v>0</v>
      </c>
      <c r="EB403" s="58">
        <v>0</v>
      </c>
      <c r="EC403" s="58">
        <v>3</v>
      </c>
      <c r="ED403" s="58">
        <v>8</v>
      </c>
      <c r="EE403" s="58">
        <v>2</v>
      </c>
      <c r="EF403" s="58">
        <v>1</v>
      </c>
      <c r="EI403" s="58" t="s">
        <v>74</v>
      </c>
      <c r="EJ403" s="58" t="s">
        <v>552</v>
      </c>
      <c r="EK403" s="58" t="s">
        <v>562</v>
      </c>
      <c r="EL403" s="58" t="s">
        <v>606</v>
      </c>
      <c r="EN403" s="58">
        <v>0</v>
      </c>
      <c r="EO403" s="58">
        <v>2</v>
      </c>
      <c r="EP403" s="58">
        <v>10</v>
      </c>
      <c r="EQ403" s="58">
        <v>1</v>
      </c>
      <c r="ER403" s="58">
        <v>1</v>
      </c>
      <c r="EU403" s="58" t="str">
        <f t="shared" si="654"/>
        <v>Yes</v>
      </c>
      <c r="EV403" s="58" t="str">
        <f t="shared" si="655"/>
        <v>Progression free survival</v>
      </c>
      <c r="EW403" s="58" t="str">
        <f t="shared" si="656"/>
        <v>FP_NMA</v>
      </c>
      <c r="EX403" s="58">
        <f t="shared" si="657"/>
        <v>0</v>
      </c>
      <c r="EZ403" s="58">
        <f t="shared" si="658"/>
        <v>0</v>
      </c>
      <c r="FA403" s="58">
        <f t="shared" si="659"/>
        <v>3</v>
      </c>
      <c r="FB403" s="58">
        <f>IF(i_eff_inputs_based_on_num=2,ED403,(INDEX(Lists!$L$51:$L$85,MATCH(AD284,Lists!$K$51:$K$85,0))))</f>
        <v>8</v>
      </c>
      <c r="FC403" s="58">
        <f>IF(i_eff_inputs_based_on_num=2,EE403,(INDEX(Lists!$L$51:$L$85,MATCH(AE284,Lists!$K$51:$K$85,0))))</f>
        <v>2</v>
      </c>
      <c r="FD403" s="58">
        <f>IF(i_eff_inputs_based_on_num=2,EF403,(INDEX(Lists!$L$51:$L$85,MATCH(AF284,Lists!$K$51:$K$85,0))))</f>
        <v>1</v>
      </c>
      <c r="FG403" s="58" t="str">
        <f t="shared" si="660"/>
        <v>Yes</v>
      </c>
      <c r="FH403" s="58" t="str">
        <f t="shared" si="661"/>
        <v>Progression free survival</v>
      </c>
      <c r="FI403" s="58" t="str">
        <f t="shared" si="662"/>
        <v>Trial survival analysis</v>
      </c>
      <c r="FJ403" s="58" t="str">
        <f t="shared" si="663"/>
        <v>CheckMate 025</v>
      </c>
      <c r="FL403" s="58">
        <f t="shared" si="664"/>
        <v>0</v>
      </c>
      <c r="FM403" s="58">
        <f t="shared" si="665"/>
        <v>2</v>
      </c>
      <c r="FN403" s="58">
        <f>IF(i_eff_inputs_based_on_num=2,EP403,(INDEX(Lists!$L$51:$L$85,MATCH(AD284,Lists!$K$51:$K$85,0))))</f>
        <v>10</v>
      </c>
      <c r="FO403" s="58">
        <f>IF(i_eff_inputs_based_on_num=2,EQ403,(INDEX(Lists!$L$51:$L$85,MATCH(AE284,Lists!$K$51:$K$85,0))))</f>
        <v>1</v>
      </c>
      <c r="FP403" s="58">
        <f>IF(i_eff_inputs_based_on_num=2,ER403,(INDEX(Lists!$L$51:$L$85,MATCH(AF284,Lists!$K$51:$K$85,0))))</f>
        <v>1</v>
      </c>
      <c r="FT403" s="58">
        <f t="shared" si="669"/>
        <v>0</v>
      </c>
      <c r="FW403" s="58" t="str">
        <f>IF(i_baseline_risk_from=2,'Effectiveness settings'!EW403,'Effectiveness settings'!FI403)</f>
        <v>FP_NMA</v>
      </c>
      <c r="FX403" s="58" t="str">
        <f t="shared" si="670"/>
        <v>PH_NMA</v>
      </c>
      <c r="FY403" s="58" t="str">
        <f t="shared" si="671"/>
        <v>PH_NMA</v>
      </c>
      <c r="FZ403" s="58" t="str">
        <f t="shared" si="672"/>
        <v>PH_NMA</v>
      </c>
      <c r="GA403" s="58" t="str">
        <f t="shared" si="673"/>
        <v>PH_NMA</v>
      </c>
      <c r="GB403" s="58" t="str">
        <f t="shared" si="674"/>
        <v>PH_NMA</v>
      </c>
      <c r="GC403" s="58" t="str">
        <f t="shared" si="675"/>
        <v>PH_NMA</v>
      </c>
      <c r="GD403" s="58" t="str">
        <f t="shared" si="676"/>
        <v>PH_NMA</v>
      </c>
      <c r="GE403" s="58" t="str">
        <f>IF(AND(dd_CheckMate214_TTD="Yes",'Effectiveness settings'!BU403=2,'Effectiveness settings'!BX403=2),"Apply HR to",GD403)</f>
        <v>PH_NMA</v>
      </c>
      <c r="GF403" s="58" t="str">
        <f t="shared" si="677"/>
        <v>PH_NMA</v>
      </c>
      <c r="GG403" s="58" t="str">
        <f t="shared" si="678"/>
        <v>PH_NMA</v>
      </c>
      <c r="GH403" s="58" t="str">
        <f t="shared" si="679"/>
        <v>PH_NMA</v>
      </c>
      <c r="GI403" s="58" t="str">
        <f t="shared" si="640"/>
        <v>PH_NMA</v>
      </c>
      <c r="GK403" s="58">
        <f>IF(i_baseline_risk_from=2,'Effectiveness settings'!FA403,'Effectiveness settings'!FM403)</f>
        <v>3</v>
      </c>
      <c r="GL403" s="58">
        <f>IF(i_baseline_risk_from=2,'Effectiveness settings'!FB403,'Effectiveness settings'!FN403)</f>
        <v>8</v>
      </c>
      <c r="GM403" s="58">
        <f>IF(i_baseline_risk_from=2,'Effectiveness settings'!FC403,'Effectiveness settings'!FO403)</f>
        <v>2</v>
      </c>
      <c r="GN403" s="58">
        <f>IF(i_baseline_risk_from=2,'Effectiveness settings'!FD403,'Effectiveness settings'!FP403)</f>
        <v>1</v>
      </c>
      <c r="GQ403" s="58">
        <f t="shared" si="680"/>
        <v>8</v>
      </c>
      <c r="GR403" s="58">
        <f t="shared" si="681"/>
        <v>8</v>
      </c>
      <c r="GS403" s="58">
        <f t="shared" si="682"/>
        <v>8</v>
      </c>
      <c r="GT403" s="58">
        <f t="shared" si="683"/>
        <v>8</v>
      </c>
      <c r="GU403" s="58">
        <f>IF(AND(dd_CheckMate214_TTD="Yes",'Effectiveness settings'!BU403=2,'Effectiveness settings'!BX403=2),2,GT403)</f>
        <v>8</v>
      </c>
      <c r="GV403" s="58">
        <f t="shared" si="684"/>
        <v>8</v>
      </c>
      <c r="GW403" s="58">
        <f t="shared" si="685"/>
        <v>8</v>
      </c>
      <c r="GY403" s="58">
        <f>IF(AND(dd_CheckMate214_TTD="Yes",'Effectiveness settings'!BU403=2,'Effectiveness settings'!BX403=2),1,GN403)</f>
        <v>1</v>
      </c>
      <c r="GZ403" s="58">
        <f t="shared" si="686"/>
        <v>1</v>
      </c>
      <c r="HB403" s="58">
        <f t="shared" si="687"/>
        <v>0</v>
      </c>
      <c r="HD403" s="58">
        <f t="shared" si="635"/>
        <v>0</v>
      </c>
      <c r="HE403" s="58">
        <f t="shared" si="636"/>
        <v>3</v>
      </c>
      <c r="HF403" s="58">
        <f t="shared" si="637"/>
        <v>8</v>
      </c>
      <c r="HG403" s="58">
        <f t="shared" si="638"/>
        <v>2</v>
      </c>
      <c r="HH403" s="58">
        <f t="shared" si="639"/>
        <v>1</v>
      </c>
      <c r="HJ403" s="61" t="s">
        <v>613</v>
      </c>
      <c r="HK403" s="61" t="s">
        <v>151</v>
      </c>
      <c r="HL403" s="61" t="s">
        <v>615</v>
      </c>
      <c r="HM403" s="910">
        <f t="shared" si="689"/>
        <v>-0.5</v>
      </c>
      <c r="HN403" s="910">
        <f t="shared" si="688"/>
        <v>0.5</v>
      </c>
    </row>
    <row r="404" spans="5:222" ht="15.75" x14ac:dyDescent="0.25">
      <c r="E404" s="58" t="s">
        <v>613</v>
      </c>
      <c r="F404" s="58" t="s">
        <v>151</v>
      </c>
      <c r="G404" s="58" t="s">
        <v>615</v>
      </c>
      <c r="I404" s="998">
        <v>-0.5</v>
      </c>
      <c r="J404" s="998">
        <v>0.5</v>
      </c>
      <c r="BQ404" s="58">
        <f t="shared" si="667"/>
        <v>236</v>
      </c>
      <c r="BR404" s="61">
        <v>0</v>
      </c>
      <c r="BS404" s="61" t="s">
        <v>31</v>
      </c>
      <c r="BT404" s="17">
        <v>2</v>
      </c>
      <c r="BU404" s="17">
        <v>11</v>
      </c>
      <c r="BV404" s="17" t="str">
        <f t="shared" si="641"/>
        <v>axitinib</v>
      </c>
      <c r="BW404" s="1006" t="str" cm="1">
        <f t="array" ref="BW404">IF(X285="No",X285,INDEX(List_incl_anal_2L_all,IF(BU404=999,35,BU404+1)))</f>
        <v>Yes</v>
      </c>
      <c r="BX404" s="61">
        <f t="shared" si="642"/>
        <v>1</v>
      </c>
      <c r="BY404" s="531" t="str">
        <f t="shared" si="643"/>
        <v>Progression free survival</v>
      </c>
      <c r="BZ404" s="530" t="str">
        <f t="shared" si="644"/>
        <v>PH_NMA</v>
      </c>
      <c r="CA404" s="531">
        <f t="shared" si="666"/>
        <v>0</v>
      </c>
      <c r="CB404" s="530">
        <f t="shared" si="645"/>
        <v>0</v>
      </c>
      <c r="CC404" s="530">
        <f t="shared" si="646"/>
        <v>3</v>
      </c>
      <c r="CD404" s="530">
        <f t="shared" si="647"/>
        <v>8</v>
      </c>
      <c r="CE404" s="1295">
        <f t="shared" si="648"/>
        <v>2</v>
      </c>
      <c r="CF404" s="1301">
        <f t="shared" si="649"/>
        <v>1</v>
      </c>
      <c r="CG404" s="530" t="str">
        <f t="shared" si="650"/>
        <v>Log-logistic</v>
      </c>
      <c r="CH404" s="61">
        <f t="shared" si="651"/>
        <v>0</v>
      </c>
      <c r="CI404" s="61">
        <f t="shared" si="652"/>
        <v>0</v>
      </c>
      <c r="CJ404" s="61">
        <f t="shared" si="653"/>
        <v>0</v>
      </c>
      <c r="DK404" s="58" t="str" cm="1">
        <f t="array" ref="DK404">IF(AND($BT404=4,$BX404=4,$BU404=999),$DB$36,_xlfn.IFNA(INDEX(DB$13:DB$70,MATCH(1,($BR404=$CV$13:$CV$70)*($BT404=$CX$13:$CX$70)*($CE404=$CY$13:$CY$70)*($BY404=$DA$13:$DA$70)*($CD404=$DH$13:$DH$70),0)),""))</f>
        <v>Log-logistic</v>
      </c>
      <c r="DL404" s="58" t="str" cm="1">
        <f t="array" ref="DL404">IF(AND($BT404=4,$BX404=4,$BU404=999),$DC$36,_xlfn.IFNA(INDEX(CHOOSE(DP404,DB$13:DB$70,DC$13:DC$70,DD$13:DD$70,DE$13:DE$70),MATCH(1,($BR404=$CV$13:$CV$70)*($BT404=$CX$13:$CX$70)*($CE404=$CY$13:$CY$70)*($BY404=$DA$13:$DA$70)*($CD404=$DH$13:$DH$70),0)),""))</f>
        <v>Log-logistic</v>
      </c>
      <c r="DM404" s="740" t="str" cm="1">
        <f t="array" ref="DM404">IF(AND($BT404=4,$BX404=4,$BU404=999),$DD$36,_xlfn.IFNA(INDEX(DD$13:DD$68,MATCH(1,($BR404=$CV$13:$CV$68)*($BT404=$CX$13:$CX$68)*($CE404=$CY$13:$CY$68)*($BY404=$DA$13:$DA$68)*($CD404=$DH$13:$DH$68),0)),""))</f>
        <v>Weibull</v>
      </c>
      <c r="DN404" s="740" cm="1">
        <f t="array" ref="DN404">IF(AND($BT404=4,$BX404=4,$BU404=999),$DD$36,_xlfn.IFNA(INDEX(DE$13:DE$68,MATCH(1,($BR404=$CV$13:$CV$68)*($BT404=$CX$13:$CX$68)*($CE404=$CY$13:$CY$68)*($BY404=$DA$13:$DA$68)*($CD404=$DH$13:$DH$68),0)),""))</f>
        <v>0</v>
      </c>
      <c r="DO404" s="58" t="str" cm="1">
        <f t="array" ref="DO404">IF(AND($BT404=4,$BX404=4,$BU404=999),$DF$36,_xlfn.IFNA(INDEX(DF$13:DF$70,MATCH(1,($BR404=$CV$13:$CV$70)*($BT404=$CX$13:$CX$70)*($CE404=$CY$13:$CY$70)*($BY404=$DA$13:$DA$70)*($CD404=$DH$13:$DH$70),0)),""))</f>
        <v>Base case</v>
      </c>
      <c r="DP404" s="58">
        <f t="shared" si="668"/>
        <v>1</v>
      </c>
      <c r="DW404" s="58" t="s">
        <v>74</v>
      </c>
      <c r="DX404" s="58" t="s">
        <v>552</v>
      </c>
      <c r="DY404" s="58" t="s">
        <v>67</v>
      </c>
      <c r="DZ404" s="58">
        <v>0</v>
      </c>
      <c r="EB404" s="58">
        <v>0</v>
      </c>
      <c r="EC404" s="58">
        <v>3</v>
      </c>
      <c r="ED404" s="58">
        <v>8</v>
      </c>
      <c r="EE404" s="58">
        <v>2</v>
      </c>
      <c r="EF404" s="58">
        <v>1</v>
      </c>
      <c r="EI404" s="58" t="s">
        <v>74</v>
      </c>
      <c r="EJ404" s="58" t="s">
        <v>552</v>
      </c>
      <c r="EK404" s="58" t="s">
        <v>67</v>
      </c>
      <c r="EL404" s="58">
        <v>0</v>
      </c>
      <c r="EN404" s="58">
        <v>0</v>
      </c>
      <c r="EO404" s="58">
        <v>2</v>
      </c>
      <c r="EP404" s="58">
        <v>10</v>
      </c>
      <c r="EQ404" s="58">
        <v>1</v>
      </c>
      <c r="ER404" s="58">
        <v>1</v>
      </c>
      <c r="EU404" s="58" t="str">
        <f t="shared" si="654"/>
        <v>Yes</v>
      </c>
      <c r="EV404" s="58" t="str">
        <f t="shared" si="655"/>
        <v>Progression free survival</v>
      </c>
      <c r="EW404" s="58" t="str">
        <f t="shared" si="656"/>
        <v>PH_NMA</v>
      </c>
      <c r="EX404" s="58">
        <f t="shared" si="657"/>
        <v>0</v>
      </c>
      <c r="EZ404" s="58">
        <f t="shared" si="658"/>
        <v>0</v>
      </c>
      <c r="FA404" s="58">
        <f t="shared" si="659"/>
        <v>3</v>
      </c>
      <c r="FB404" s="58">
        <f>IF(i_eff_inputs_based_on_num=2,ED404,(INDEX(Lists!$L$51:$L$85,MATCH(AD285,Lists!$K$51:$K$85,0))))</f>
        <v>8</v>
      </c>
      <c r="FC404" s="58">
        <f>IF(i_eff_inputs_based_on_num=2,EE404,(INDEX(Lists!$L$51:$L$85,MATCH(AE285,Lists!$K$51:$K$85,0))))</f>
        <v>2</v>
      </c>
      <c r="FD404" s="58">
        <f>IF(i_eff_inputs_based_on_num=2,EF404,(INDEX(Lists!$L$51:$L$85,MATCH(AF285,Lists!$K$51:$K$85,0))))</f>
        <v>1</v>
      </c>
      <c r="FG404" s="58" t="str">
        <f t="shared" si="660"/>
        <v>Yes</v>
      </c>
      <c r="FH404" s="58" t="str">
        <f t="shared" si="661"/>
        <v>Progression free survival</v>
      </c>
      <c r="FI404" s="58" t="str">
        <f t="shared" si="662"/>
        <v>PH_NMA</v>
      </c>
      <c r="FJ404" s="58">
        <f t="shared" si="663"/>
        <v>0</v>
      </c>
      <c r="FL404" s="58">
        <f t="shared" si="664"/>
        <v>0</v>
      </c>
      <c r="FM404" s="58">
        <f t="shared" si="665"/>
        <v>2</v>
      </c>
      <c r="FN404" s="58">
        <f>IF(i_eff_inputs_based_on_num=2,EP404,(INDEX(Lists!$L$51:$L$85,MATCH(AD285,Lists!$K$51:$K$85,0))))</f>
        <v>10</v>
      </c>
      <c r="FO404" s="58">
        <f>IF(i_eff_inputs_based_on_num=2,EQ404,(INDEX(Lists!$L$51:$L$85,MATCH(AE285,Lists!$K$51:$K$85,0))))</f>
        <v>1</v>
      </c>
      <c r="FP404" s="58">
        <f>IF(i_eff_inputs_based_on_num=2,ER404,(INDEX(Lists!$L$51:$L$85,MATCH(AF285,Lists!$K$51:$K$85,0))))</f>
        <v>1</v>
      </c>
      <c r="FT404" s="58">
        <f t="shared" si="669"/>
        <v>0</v>
      </c>
      <c r="FW404" s="58" t="str">
        <f>IF(i_baseline_risk_from=2,'Effectiveness settings'!EW404,'Effectiveness settings'!FI404)</f>
        <v>PH_NMA</v>
      </c>
      <c r="FX404" s="58" t="str">
        <f t="shared" si="670"/>
        <v>PH_NMA</v>
      </c>
      <c r="FY404" s="58" t="str">
        <f t="shared" si="671"/>
        <v>PH_NMA</v>
      </c>
      <c r="FZ404" s="58" t="str">
        <f t="shared" si="672"/>
        <v>PH_NMA</v>
      </c>
      <c r="GA404" s="58" t="str">
        <f t="shared" si="673"/>
        <v>PH_NMA</v>
      </c>
      <c r="GB404" s="58" t="str">
        <f t="shared" si="674"/>
        <v>PH_NMA</v>
      </c>
      <c r="GC404" s="58" t="str">
        <f t="shared" si="675"/>
        <v>PH_NMA</v>
      </c>
      <c r="GD404" s="58" t="str">
        <f t="shared" si="676"/>
        <v>PH_NMA</v>
      </c>
      <c r="GE404" s="58" t="str">
        <f>IF(AND(dd_CheckMate214_TTD="Yes",'Effectiveness settings'!BU404=2,'Effectiveness settings'!BX404=2),"Apply HR to",GD404)</f>
        <v>PH_NMA</v>
      </c>
      <c r="GF404" s="58" t="str">
        <f t="shared" si="677"/>
        <v>PH_NMA</v>
      </c>
      <c r="GG404" s="58" t="str">
        <f t="shared" si="678"/>
        <v>PH_NMA</v>
      </c>
      <c r="GH404" s="58" t="str">
        <f t="shared" si="679"/>
        <v>PH_NMA</v>
      </c>
      <c r="GI404" s="58" t="str">
        <f t="shared" si="640"/>
        <v>PH_NMA</v>
      </c>
      <c r="GK404" s="58">
        <f>IF(i_baseline_risk_from=2,'Effectiveness settings'!FA404,'Effectiveness settings'!FM404)</f>
        <v>3</v>
      </c>
      <c r="GL404" s="58">
        <f>IF(i_baseline_risk_from=2,'Effectiveness settings'!FB404,'Effectiveness settings'!FN404)</f>
        <v>8</v>
      </c>
      <c r="GM404" s="58">
        <f>IF(i_baseline_risk_from=2,'Effectiveness settings'!FC404,'Effectiveness settings'!FO404)</f>
        <v>2</v>
      </c>
      <c r="GN404" s="58">
        <f>IF(i_baseline_risk_from=2,'Effectiveness settings'!FD404,'Effectiveness settings'!FP404)</f>
        <v>1</v>
      </c>
      <c r="GQ404" s="58">
        <f t="shared" si="680"/>
        <v>8</v>
      </c>
      <c r="GR404" s="58">
        <f t="shared" si="681"/>
        <v>8</v>
      </c>
      <c r="GS404" s="58">
        <f t="shared" si="682"/>
        <v>8</v>
      </c>
      <c r="GT404" s="58">
        <f t="shared" si="683"/>
        <v>8</v>
      </c>
      <c r="GU404" s="58">
        <f>IF(AND(dd_CheckMate214_TTD="Yes",'Effectiveness settings'!BU404=2,'Effectiveness settings'!BX404=2),2,GT404)</f>
        <v>8</v>
      </c>
      <c r="GV404" s="58">
        <f t="shared" si="684"/>
        <v>8</v>
      </c>
      <c r="GW404" s="58">
        <f t="shared" si="685"/>
        <v>8</v>
      </c>
      <c r="GY404" s="58">
        <f>IF(AND(dd_CheckMate214_TTD="Yes",'Effectiveness settings'!BU404=2,'Effectiveness settings'!BX404=2),1,GN404)</f>
        <v>1</v>
      </c>
      <c r="GZ404" s="58">
        <f t="shared" si="686"/>
        <v>1</v>
      </c>
      <c r="HB404" s="58">
        <f t="shared" si="687"/>
        <v>0</v>
      </c>
      <c r="HD404" s="58">
        <f t="shared" si="635"/>
        <v>0</v>
      </c>
      <c r="HE404" s="58">
        <f t="shared" si="636"/>
        <v>3</v>
      </c>
      <c r="HF404" s="58">
        <f t="shared" si="637"/>
        <v>8</v>
      </c>
      <c r="HG404" s="58">
        <f t="shared" si="638"/>
        <v>2</v>
      </c>
      <c r="HH404" s="58">
        <f t="shared" si="639"/>
        <v>1</v>
      </c>
      <c r="HJ404" s="61" t="s">
        <v>616</v>
      </c>
      <c r="HK404" s="61" t="s">
        <v>151</v>
      </c>
      <c r="HL404" s="61" t="s">
        <v>31</v>
      </c>
      <c r="HM404" s="910">
        <f t="shared" si="689"/>
        <v>-2</v>
      </c>
      <c r="HN404" s="910">
        <f t="shared" si="688"/>
        <v>-0.5</v>
      </c>
    </row>
    <row r="405" spans="5:222" ht="15.75" x14ac:dyDescent="0.25">
      <c r="E405" s="58" t="s">
        <v>616</v>
      </c>
      <c r="F405" s="58" t="s">
        <v>151</v>
      </c>
      <c r="G405" s="58" t="s">
        <v>31</v>
      </c>
      <c r="I405" s="998">
        <v>-2</v>
      </c>
      <c r="J405" s="998">
        <v>-0.5</v>
      </c>
      <c r="BQ405" s="58">
        <f t="shared" si="667"/>
        <v>237</v>
      </c>
      <c r="BR405" s="61">
        <v>0</v>
      </c>
      <c r="BS405" s="61" t="s">
        <v>31</v>
      </c>
      <c r="BT405" s="17">
        <v>2</v>
      </c>
      <c r="BU405" s="17">
        <v>12</v>
      </c>
      <c r="BV405" s="17" t="str">
        <f t="shared" si="641"/>
        <v>sorafenib</v>
      </c>
      <c r="BW405" s="1006" t="str" cm="1">
        <f t="array" ref="BW405">IF(X286="No",X286,INDEX(List_incl_anal_2L_all,IF(BU405=999,35,BU405+1)))</f>
        <v>No</v>
      </c>
      <c r="BX405" s="61">
        <f t="shared" si="642"/>
        <v>1</v>
      </c>
      <c r="BY405" s="531" t="str">
        <f t="shared" si="643"/>
        <v>Progression free survival</v>
      </c>
      <c r="BZ405" s="530">
        <f t="shared" si="644"/>
        <v>0</v>
      </c>
      <c r="CA405" s="531">
        <f t="shared" si="666"/>
        <v>0</v>
      </c>
      <c r="CB405" s="530">
        <f t="shared" si="645"/>
        <v>0</v>
      </c>
      <c r="CC405" s="530">
        <f t="shared" si="646"/>
        <v>3</v>
      </c>
      <c r="CD405" s="530">
        <f t="shared" si="647"/>
        <v>8</v>
      </c>
      <c r="CE405" s="1295">
        <f t="shared" si="648"/>
        <v>2</v>
      </c>
      <c r="CF405" s="1301">
        <f t="shared" si="649"/>
        <v>1</v>
      </c>
      <c r="CG405" s="530" t="str">
        <f t="shared" si="650"/>
        <v>Log-logistic</v>
      </c>
      <c r="CH405" s="61">
        <f t="shared" si="651"/>
        <v>0</v>
      </c>
      <c r="CI405" s="61">
        <f t="shared" si="652"/>
        <v>0</v>
      </c>
      <c r="CJ405" s="61">
        <f t="shared" si="653"/>
        <v>0</v>
      </c>
      <c r="DK405" s="58" t="str" cm="1">
        <f t="array" ref="DK405">IF(AND($BT405=4,$BX405=4,$BU405=999),$DB$36,_xlfn.IFNA(INDEX(DB$13:DB$70,MATCH(1,($BR405=$CV$13:$CV$70)*($BT405=$CX$13:$CX$70)*($CE405=$CY$13:$CY$70)*($BY405=$DA$13:$DA$70)*($CD405=$DH$13:$DH$70),0)),""))</f>
        <v>Log-logistic</v>
      </c>
      <c r="DL405" s="58" t="str" cm="1">
        <f t="array" ref="DL405">IF(AND($BT405=4,$BX405=4,$BU405=999),$DC$36,_xlfn.IFNA(INDEX(CHOOSE(DP405,DB$13:DB$70,DC$13:DC$70,DD$13:DD$70,DE$13:DE$70),MATCH(1,($BR405=$CV$13:$CV$70)*($BT405=$CX$13:$CX$70)*($CE405=$CY$13:$CY$70)*($BY405=$DA$13:$DA$70)*($CD405=$DH$13:$DH$70),0)),""))</f>
        <v>Log-logistic</v>
      </c>
      <c r="DM405" s="740" t="str" cm="1">
        <f t="array" ref="DM405">IF(AND($BT405=4,$BX405=4,$BU405=999),$DD$36,_xlfn.IFNA(INDEX(DD$13:DD$68,MATCH(1,($BR405=$CV$13:$CV$68)*($BT405=$CX$13:$CX$68)*($CE405=$CY$13:$CY$68)*($BY405=$DA$13:$DA$68)*($CD405=$DH$13:$DH$68),0)),""))</f>
        <v>Weibull</v>
      </c>
      <c r="DN405" s="740" cm="1">
        <f t="array" ref="DN405">IF(AND($BT405=4,$BX405=4,$BU405=999),$DD$36,_xlfn.IFNA(INDEX(DE$13:DE$68,MATCH(1,($BR405=$CV$13:$CV$68)*($BT405=$CX$13:$CX$68)*($CE405=$CY$13:$CY$68)*($BY405=$DA$13:$DA$68)*($CD405=$DH$13:$DH$68),0)),""))</f>
        <v>0</v>
      </c>
      <c r="DO405" s="58" t="str" cm="1">
        <f t="array" ref="DO405">IF(AND($BT405=4,$BX405=4,$BU405=999),$DF$36,_xlfn.IFNA(INDEX(DF$13:DF$70,MATCH(1,($BR405=$CV$13:$CV$70)*($BT405=$CX$13:$CX$70)*($CE405=$CY$13:$CY$70)*($BY405=$DA$13:$DA$70)*($CD405=$DH$13:$DH$70),0)),""))</f>
        <v>Base case</v>
      </c>
      <c r="DP405" s="58">
        <f t="shared" si="668"/>
        <v>1</v>
      </c>
      <c r="DW405" s="58" t="s">
        <v>58</v>
      </c>
      <c r="DX405" s="58" t="s">
        <v>552</v>
      </c>
      <c r="DY405" s="58">
        <v>0</v>
      </c>
      <c r="DZ405" s="58">
        <v>0</v>
      </c>
      <c r="EB405" s="58">
        <v>0</v>
      </c>
      <c r="EC405" s="58">
        <v>3</v>
      </c>
      <c r="ED405" s="58">
        <v>8</v>
      </c>
      <c r="EE405" s="58">
        <v>2</v>
      </c>
      <c r="EF405" s="58">
        <v>1</v>
      </c>
      <c r="EI405" s="58" t="s">
        <v>58</v>
      </c>
      <c r="EJ405" s="58" t="s">
        <v>552</v>
      </c>
      <c r="EK405" s="58">
        <v>0</v>
      </c>
      <c r="EL405" s="58">
        <v>0</v>
      </c>
      <c r="EN405" s="58">
        <v>0</v>
      </c>
      <c r="EO405" s="58">
        <v>2</v>
      </c>
      <c r="EP405" s="58">
        <v>10</v>
      </c>
      <c r="EQ405" s="58">
        <v>1</v>
      </c>
      <c r="ER405" s="58">
        <v>1</v>
      </c>
      <c r="EU405" s="58" t="str">
        <f t="shared" si="654"/>
        <v>No</v>
      </c>
      <c r="EV405" s="58" t="str">
        <f t="shared" si="655"/>
        <v>Progression free survival</v>
      </c>
      <c r="EW405" s="58">
        <f t="shared" si="656"/>
        <v>0</v>
      </c>
      <c r="EX405" s="58">
        <f t="shared" si="657"/>
        <v>0</v>
      </c>
      <c r="EZ405" s="58">
        <f t="shared" si="658"/>
        <v>0</v>
      </c>
      <c r="FA405" s="58">
        <f t="shared" si="659"/>
        <v>3</v>
      </c>
      <c r="FB405" s="58">
        <f>IF(i_eff_inputs_based_on_num=2,ED405,(INDEX(Lists!$L$51:$L$85,MATCH(AD286,Lists!$K$51:$K$85,0))))</f>
        <v>8</v>
      </c>
      <c r="FC405" s="58">
        <f>IF(i_eff_inputs_based_on_num=2,EE405,(INDEX(Lists!$L$51:$L$85,MATCH(AE286,Lists!$K$51:$K$85,0))))</f>
        <v>2</v>
      </c>
      <c r="FD405" s="58">
        <f>IF(i_eff_inputs_based_on_num=2,EF405,(INDEX(Lists!$L$51:$L$85,MATCH(AF286,Lists!$K$51:$K$85,0))))</f>
        <v>1</v>
      </c>
      <c r="FG405" s="58" t="str">
        <f t="shared" si="660"/>
        <v>No</v>
      </c>
      <c r="FH405" s="58" t="str">
        <f t="shared" si="661"/>
        <v>Progression free survival</v>
      </c>
      <c r="FI405" s="58">
        <f t="shared" si="662"/>
        <v>0</v>
      </c>
      <c r="FJ405" s="58">
        <f t="shared" si="663"/>
        <v>0</v>
      </c>
      <c r="FL405" s="58">
        <f t="shared" si="664"/>
        <v>0</v>
      </c>
      <c r="FM405" s="58">
        <f t="shared" si="665"/>
        <v>2</v>
      </c>
      <c r="FN405" s="58">
        <f>IF(i_eff_inputs_based_on_num=2,EP405,(INDEX(Lists!$L$51:$L$85,MATCH(AD286,Lists!$K$51:$K$85,0))))</f>
        <v>10</v>
      </c>
      <c r="FO405" s="58">
        <f>IF(i_eff_inputs_based_on_num=2,EQ405,(INDEX(Lists!$L$51:$L$85,MATCH(AE286,Lists!$K$51:$K$85,0))))</f>
        <v>1</v>
      </c>
      <c r="FP405" s="58">
        <f>IF(i_eff_inputs_based_on_num=2,ER405,(INDEX(Lists!$L$51:$L$85,MATCH(AF286,Lists!$K$51:$K$85,0))))</f>
        <v>1</v>
      </c>
      <c r="FT405" s="58">
        <f t="shared" si="669"/>
        <v>0</v>
      </c>
      <c r="FW405" s="58">
        <f>IF(i_baseline_risk_from=2,'Effectiveness settings'!EW405,'Effectiveness settings'!FI405)</f>
        <v>0</v>
      </c>
      <c r="FX405" s="58">
        <f t="shared" si="670"/>
        <v>0</v>
      </c>
      <c r="FY405" s="58">
        <f t="shared" si="671"/>
        <v>0</v>
      </c>
      <c r="FZ405" s="58">
        <f t="shared" si="672"/>
        <v>0</v>
      </c>
      <c r="GA405" s="58">
        <f t="shared" si="673"/>
        <v>0</v>
      </c>
      <c r="GB405" s="58">
        <f t="shared" si="674"/>
        <v>0</v>
      </c>
      <c r="GC405" s="58">
        <f t="shared" si="675"/>
        <v>0</v>
      </c>
      <c r="GD405" s="58">
        <f t="shared" si="676"/>
        <v>0</v>
      </c>
      <c r="GE405" s="58">
        <f>IF(AND(dd_CheckMate214_TTD="Yes",'Effectiveness settings'!BU405=2,'Effectiveness settings'!BX405=2),"Apply HR to",GD405)</f>
        <v>0</v>
      </c>
      <c r="GF405" s="58">
        <f t="shared" si="677"/>
        <v>0</v>
      </c>
      <c r="GG405" s="58">
        <f t="shared" si="678"/>
        <v>0</v>
      </c>
      <c r="GH405" s="58">
        <f t="shared" si="679"/>
        <v>0</v>
      </c>
      <c r="GI405" s="58">
        <f t="shared" si="640"/>
        <v>0</v>
      </c>
      <c r="GK405" s="58">
        <f>IF(i_baseline_risk_from=2,'Effectiveness settings'!FA405,'Effectiveness settings'!FM405)</f>
        <v>3</v>
      </c>
      <c r="GL405" s="58">
        <f>IF(i_baseline_risk_from=2,'Effectiveness settings'!FB405,'Effectiveness settings'!FN405)</f>
        <v>8</v>
      </c>
      <c r="GM405" s="58">
        <f>IF(i_baseline_risk_from=2,'Effectiveness settings'!FC405,'Effectiveness settings'!FO405)</f>
        <v>2</v>
      </c>
      <c r="GN405" s="58">
        <f>IF(i_baseline_risk_from=2,'Effectiveness settings'!FD405,'Effectiveness settings'!FP405)</f>
        <v>1</v>
      </c>
      <c r="GQ405" s="58">
        <f t="shared" si="680"/>
        <v>8</v>
      </c>
      <c r="GR405" s="58">
        <f t="shared" si="681"/>
        <v>8</v>
      </c>
      <c r="GS405" s="58">
        <f t="shared" si="682"/>
        <v>8</v>
      </c>
      <c r="GT405" s="58">
        <f t="shared" si="683"/>
        <v>8</v>
      </c>
      <c r="GU405" s="58">
        <f>IF(AND(dd_CheckMate214_TTD="Yes",'Effectiveness settings'!BU405=2,'Effectiveness settings'!BX405=2),2,GT405)</f>
        <v>8</v>
      </c>
      <c r="GV405" s="58">
        <f t="shared" si="684"/>
        <v>8</v>
      </c>
      <c r="GW405" s="58">
        <f t="shared" si="685"/>
        <v>8</v>
      </c>
      <c r="GY405" s="58">
        <f>IF(AND(dd_CheckMate214_TTD="Yes",'Effectiveness settings'!BU405=2,'Effectiveness settings'!BX405=2),1,GN405)</f>
        <v>1</v>
      </c>
      <c r="GZ405" s="58">
        <f t="shared" si="686"/>
        <v>1</v>
      </c>
      <c r="HB405" s="58">
        <f t="shared" si="687"/>
        <v>0</v>
      </c>
      <c r="HD405" s="58">
        <f t="shared" si="635"/>
        <v>0</v>
      </c>
      <c r="HE405" s="58">
        <f t="shared" si="636"/>
        <v>3</v>
      </c>
      <c r="HF405" s="58">
        <f t="shared" si="637"/>
        <v>8</v>
      </c>
      <c r="HG405" s="58">
        <f t="shared" si="638"/>
        <v>2</v>
      </c>
      <c r="HH405" s="58">
        <f t="shared" si="639"/>
        <v>1</v>
      </c>
      <c r="HJ405" s="61" t="s">
        <v>616</v>
      </c>
      <c r="HK405" s="61" t="s">
        <v>614</v>
      </c>
      <c r="HL405" s="61" t="s">
        <v>31</v>
      </c>
      <c r="HM405" s="910">
        <f t="shared" si="689"/>
        <v>-0.5</v>
      </c>
      <c r="HN405" s="910">
        <f t="shared" si="688"/>
        <v>0.5</v>
      </c>
    </row>
    <row r="406" spans="5:222" ht="15.75" x14ac:dyDescent="0.25">
      <c r="E406" s="58" t="s">
        <v>616</v>
      </c>
      <c r="F406" s="58" t="s">
        <v>614</v>
      </c>
      <c r="G406" s="58" t="s">
        <v>31</v>
      </c>
      <c r="I406" s="998">
        <v>-0.5</v>
      </c>
      <c r="J406" s="998">
        <v>0.5</v>
      </c>
      <c r="BQ406" s="58">
        <f t="shared" si="667"/>
        <v>238</v>
      </c>
      <c r="BR406" s="61">
        <v>0</v>
      </c>
      <c r="BS406" s="61" t="s">
        <v>31</v>
      </c>
      <c r="BT406" s="17">
        <v>2</v>
      </c>
      <c r="BU406" s="17">
        <v>999</v>
      </c>
      <c r="BV406" s="17" t="str">
        <f t="shared" si="641"/>
        <v>placebo_BSC</v>
      </c>
      <c r="BW406" s="1006" t="str" cm="1">
        <f t="array" ref="BW406">IF(X287="No",X287,INDEX(List_incl_anal_2L_all,IF(BU406=999,35,BU406+1)))</f>
        <v>No</v>
      </c>
      <c r="BX406" s="61">
        <f t="shared" si="642"/>
        <v>1</v>
      </c>
      <c r="BY406" s="531" t="str">
        <f t="shared" si="643"/>
        <v>Progression free survival</v>
      </c>
      <c r="BZ406" s="530">
        <f t="shared" si="644"/>
        <v>0</v>
      </c>
      <c r="CA406" s="531">
        <f t="shared" si="666"/>
        <v>0</v>
      </c>
      <c r="CB406" s="530">
        <f t="shared" si="645"/>
        <v>0</v>
      </c>
      <c r="CC406" s="530">
        <f t="shared" si="646"/>
        <v>4</v>
      </c>
      <c r="CD406" s="530">
        <f t="shared" si="647"/>
        <v>999</v>
      </c>
      <c r="CE406" s="1295">
        <f t="shared" si="648"/>
        <v>2</v>
      </c>
      <c r="CF406" s="1301">
        <f t="shared" si="649"/>
        <v>4</v>
      </c>
      <c r="CG406" s="530" t="str">
        <f t="shared" si="650"/>
        <v/>
      </c>
      <c r="CH406" s="61">
        <f t="shared" si="651"/>
        <v>0</v>
      </c>
      <c r="CI406" s="61">
        <f t="shared" si="652"/>
        <v>0</v>
      </c>
      <c r="CJ406" s="61">
        <f t="shared" si="653"/>
        <v>0</v>
      </c>
      <c r="DK406" s="58" t="str" cm="1">
        <f t="array" ref="DK406">IF(AND($BT406=4,$BX406=4,$BU406=999),$DB$36,_xlfn.IFNA(INDEX(DB$13:DB$70,MATCH(1,($BR406=$CV$13:$CV$70)*($BT406=$CX$13:$CX$70)*($CE406=$CY$13:$CY$70)*($BY406=$DA$13:$DA$70)*($CD406=$DH$13:$DH$70),0)),""))</f>
        <v/>
      </c>
      <c r="DL406" s="58" t="str" cm="1">
        <f t="array" ref="DL406">IF(AND($BT406=4,$BX406=4,$BU406=999),$DC$36,_xlfn.IFNA(INDEX(CHOOSE(DP406,DB$13:DB$70,DC$13:DC$70,DD$13:DD$70,DE$13:DE$70),MATCH(1,($BR406=$CV$13:$CV$70)*($BT406=$CX$13:$CX$70)*($CE406=$CY$13:$CY$70)*($BY406=$DA$13:$DA$70)*($CD406=$DH$13:$DH$70),0)),""))</f>
        <v/>
      </c>
      <c r="DM406" s="740" t="str" cm="1">
        <f t="array" ref="DM406">IF(AND($BT406=4,$BX406=4,$BU406=999),$DD$36,_xlfn.IFNA(INDEX(DD$13:DD$68,MATCH(1,($BR406=$CV$13:$CV$68)*($BT406=$CX$13:$CX$68)*($CE406=$CY$13:$CY$68)*($BY406=$DA$13:$DA$68)*($CD406=$DH$13:$DH$68),0)),""))</f>
        <v/>
      </c>
      <c r="DN406" s="740" t="str" cm="1">
        <f t="array" ref="DN406">IF(AND($BT406=4,$BX406=4,$BU406=999),$DD$36,_xlfn.IFNA(INDEX(DE$13:DE$68,MATCH(1,($BR406=$CV$13:$CV$68)*($BT406=$CX$13:$CX$68)*($CE406=$CY$13:$CY$68)*($BY406=$DA$13:$DA$68)*($CD406=$DH$13:$DH$68),0)),""))</f>
        <v/>
      </c>
      <c r="DO406" s="58" t="str" cm="1">
        <f t="array" ref="DO406">IF(AND($BT406=4,$BX406=4,$BU406=999),$DF$36,_xlfn.IFNA(INDEX(DF$13:DF$70,MATCH(1,($BR406=$CV$13:$CV$70)*($BT406=$CX$13:$CX$70)*($CE406=$CY$13:$CY$70)*($BY406=$DA$13:$DA$70)*($CD406=$DH$13:$DH$70),0)),""))</f>
        <v/>
      </c>
      <c r="DP406" s="58" t="e">
        <f t="shared" si="668"/>
        <v>#N/A</v>
      </c>
      <c r="DW406" s="58" t="s">
        <v>58</v>
      </c>
      <c r="DX406" s="58" t="s">
        <v>552</v>
      </c>
      <c r="DY406" s="58">
        <v>0</v>
      </c>
      <c r="DZ406" s="58">
        <v>0</v>
      </c>
      <c r="EB406" s="58">
        <v>0</v>
      </c>
      <c r="EC406" s="58">
        <v>4</v>
      </c>
      <c r="ED406" s="58">
        <v>999</v>
      </c>
      <c r="EE406" s="58">
        <v>2</v>
      </c>
      <c r="EF406" s="58">
        <v>4</v>
      </c>
      <c r="EI406" s="58" t="s">
        <v>58</v>
      </c>
      <c r="EJ406" s="58" t="s">
        <v>552</v>
      </c>
      <c r="EK406" s="58">
        <v>0</v>
      </c>
      <c r="EL406" s="58">
        <v>0</v>
      </c>
      <c r="EN406" s="58">
        <v>0</v>
      </c>
      <c r="EO406" s="58">
        <v>4</v>
      </c>
      <c r="EP406" s="58">
        <v>999</v>
      </c>
      <c r="EQ406" s="58">
        <v>2</v>
      </c>
      <c r="ER406" s="58">
        <v>4</v>
      </c>
      <c r="EU406" s="58" t="str">
        <f t="shared" si="654"/>
        <v>No</v>
      </c>
      <c r="EV406" s="58" t="str">
        <f t="shared" si="655"/>
        <v>Progression free survival</v>
      </c>
      <c r="EW406" s="58">
        <f t="shared" si="656"/>
        <v>0</v>
      </c>
      <c r="EX406" s="58">
        <f t="shared" si="657"/>
        <v>0</v>
      </c>
      <c r="EZ406" s="58">
        <f t="shared" si="658"/>
        <v>0</v>
      </c>
      <c r="FA406" s="58">
        <f t="shared" si="659"/>
        <v>4</v>
      </c>
      <c r="FB406" s="58">
        <f>IF(i_eff_inputs_based_on_num=2,ED406,(INDEX(Lists!$L$51:$L$85,MATCH(AD287,Lists!$K$51:$K$85,0))))</f>
        <v>999</v>
      </c>
      <c r="FC406" s="58">
        <f>IF(i_eff_inputs_based_on_num=2,EE406,(INDEX(Lists!$L$51:$L$85,MATCH(AE287,Lists!$K$51:$K$85,0))))</f>
        <v>2</v>
      </c>
      <c r="FD406" s="58">
        <f>IF(i_eff_inputs_based_on_num=2,EF406,(INDEX(Lists!$L$51:$L$85,MATCH(AF287,Lists!$K$51:$K$85,0))))</f>
        <v>4</v>
      </c>
      <c r="FG406" s="58" t="str">
        <f t="shared" si="660"/>
        <v>No</v>
      </c>
      <c r="FH406" s="58" t="str">
        <f t="shared" si="661"/>
        <v>Progression free survival</v>
      </c>
      <c r="FI406" s="58">
        <f t="shared" si="662"/>
        <v>0</v>
      </c>
      <c r="FJ406" s="58">
        <f t="shared" si="663"/>
        <v>0</v>
      </c>
      <c r="FL406" s="58">
        <f t="shared" si="664"/>
        <v>0</v>
      </c>
      <c r="FM406" s="58">
        <f t="shared" si="665"/>
        <v>4</v>
      </c>
      <c r="FN406" s="58">
        <f>IF(i_eff_inputs_based_on_num=2,EP406,(INDEX(Lists!$L$51:$L$85,MATCH(AD287,Lists!$K$51:$K$85,0))))</f>
        <v>999</v>
      </c>
      <c r="FO406" s="58">
        <f>IF(i_eff_inputs_based_on_num=2,EQ406,(INDEX(Lists!$L$51:$L$85,MATCH(AE287,Lists!$K$51:$K$85,0))))</f>
        <v>2</v>
      </c>
      <c r="FP406" s="58">
        <f>IF(i_eff_inputs_based_on_num=2,ER406,(INDEX(Lists!$L$51:$L$85,MATCH(AF287,Lists!$K$51:$K$85,0))))</f>
        <v>4</v>
      </c>
      <c r="FT406" s="58">
        <f t="shared" si="669"/>
        <v>0</v>
      </c>
      <c r="FW406" s="58">
        <f>IF(i_baseline_risk_from=2,'Effectiveness settings'!EW406,'Effectiveness settings'!FI406)</f>
        <v>0</v>
      </c>
      <c r="FX406" s="58">
        <f t="shared" si="670"/>
        <v>0</v>
      </c>
      <c r="FY406" s="58">
        <f t="shared" si="671"/>
        <v>0</v>
      </c>
      <c r="FZ406" s="58">
        <f t="shared" si="672"/>
        <v>0</v>
      </c>
      <c r="GA406" s="58">
        <f t="shared" si="673"/>
        <v>0</v>
      </c>
      <c r="GB406" s="58">
        <f t="shared" si="674"/>
        <v>0</v>
      </c>
      <c r="GC406" s="58">
        <f t="shared" si="675"/>
        <v>0</v>
      </c>
      <c r="GD406" s="58">
        <f t="shared" si="676"/>
        <v>0</v>
      </c>
      <c r="GE406" s="58">
        <f>IF(AND(dd_CheckMate214_TTD="Yes",'Effectiveness settings'!BU406=2,'Effectiveness settings'!BX406=2),"Apply HR to",GD406)</f>
        <v>0</v>
      </c>
      <c r="GF406" s="58">
        <f t="shared" si="677"/>
        <v>0</v>
      </c>
      <c r="GG406" s="58">
        <f t="shared" si="678"/>
        <v>0</v>
      </c>
      <c r="GH406" s="58">
        <f t="shared" si="679"/>
        <v>0</v>
      </c>
      <c r="GI406" s="58">
        <f t="shared" si="640"/>
        <v>0</v>
      </c>
      <c r="GK406" s="58">
        <f>IF(i_baseline_risk_from=2,'Effectiveness settings'!FA406,'Effectiveness settings'!FM406)</f>
        <v>4</v>
      </c>
      <c r="GL406" s="58">
        <f>IF(i_baseline_risk_from=2,'Effectiveness settings'!FB406,'Effectiveness settings'!FN406)</f>
        <v>999</v>
      </c>
      <c r="GM406" s="58">
        <f>IF(i_baseline_risk_from=2,'Effectiveness settings'!FC406,'Effectiveness settings'!FO406)</f>
        <v>2</v>
      </c>
      <c r="GN406" s="58">
        <f>IF(i_baseline_risk_from=2,'Effectiveness settings'!FD406,'Effectiveness settings'!FP406)</f>
        <v>4</v>
      </c>
      <c r="GQ406" s="58">
        <f t="shared" si="680"/>
        <v>999</v>
      </c>
      <c r="GR406" s="58">
        <f t="shared" si="681"/>
        <v>999</v>
      </c>
      <c r="GS406" s="58">
        <f t="shared" si="682"/>
        <v>999</v>
      </c>
      <c r="GT406" s="58">
        <f t="shared" si="683"/>
        <v>999</v>
      </c>
      <c r="GU406" s="58">
        <f>IF(AND(dd_CheckMate214_TTD="Yes",'Effectiveness settings'!BU406=2,'Effectiveness settings'!BX406=2),2,GT406)</f>
        <v>999</v>
      </c>
      <c r="GV406" s="58">
        <f t="shared" si="684"/>
        <v>999</v>
      </c>
      <c r="GW406" s="58">
        <f t="shared" si="685"/>
        <v>999</v>
      </c>
      <c r="GY406" s="58">
        <f>IF(AND(dd_CheckMate214_TTD="Yes",'Effectiveness settings'!BU406=2,'Effectiveness settings'!BX406=2),1,GN406)</f>
        <v>4</v>
      </c>
      <c r="GZ406" s="58">
        <f t="shared" si="686"/>
        <v>4</v>
      </c>
      <c r="HB406" s="58">
        <f t="shared" si="687"/>
        <v>0</v>
      </c>
      <c r="HD406" s="58">
        <f t="shared" si="635"/>
        <v>0</v>
      </c>
      <c r="HE406" s="58">
        <f t="shared" si="636"/>
        <v>4</v>
      </c>
      <c r="HF406" s="58">
        <f t="shared" si="637"/>
        <v>999</v>
      </c>
      <c r="HG406" s="58">
        <f t="shared" si="638"/>
        <v>2</v>
      </c>
      <c r="HH406" s="58">
        <f t="shared" si="639"/>
        <v>4</v>
      </c>
      <c r="HJ406" s="61" t="s">
        <v>616</v>
      </c>
      <c r="HK406" s="61" t="s">
        <v>151</v>
      </c>
      <c r="HL406" s="61" t="s">
        <v>615</v>
      </c>
      <c r="HM406" s="910">
        <f t="shared" si="689"/>
        <v>-2</v>
      </c>
      <c r="HN406" s="910">
        <f t="shared" si="688"/>
        <v>-0.5</v>
      </c>
    </row>
    <row r="407" spans="5:222" ht="15.75" x14ac:dyDescent="0.25">
      <c r="E407" s="58" t="s">
        <v>616</v>
      </c>
      <c r="F407" s="58" t="s">
        <v>151</v>
      </c>
      <c r="G407" s="58" t="s">
        <v>615</v>
      </c>
      <c r="I407" s="998">
        <v>-2</v>
      </c>
      <c r="J407" s="998">
        <v>-0.5</v>
      </c>
      <c r="BQ407" s="58">
        <f t="shared" si="667"/>
        <v>238</v>
      </c>
      <c r="BR407" s="61"/>
      <c r="BS407" s="61"/>
      <c r="BT407" s="17"/>
      <c r="BU407" s="61"/>
      <c r="BV407" s="17"/>
      <c r="BW407" s="17"/>
      <c r="BX407" s="61"/>
      <c r="BY407" s="531"/>
      <c r="BZ407" s="530"/>
      <c r="CA407" s="531"/>
      <c r="CB407" s="530"/>
      <c r="CC407" s="530"/>
      <c r="CD407" s="530"/>
      <c r="CE407" s="1295"/>
      <c r="CF407" s="1301"/>
      <c r="CG407" s="530"/>
      <c r="CH407" s="61"/>
      <c r="CI407" s="61"/>
      <c r="CJ407" s="61"/>
      <c r="DK407" s="58" t="str" cm="1">
        <f t="array" ref="DK407">IF(AND($BT407=4,$BX407=4,$BU407=999),$DB$36,_xlfn.IFNA(INDEX(DB$13:DB$70,MATCH(1,($BR407=$CV$13:$CV$70)*($BT407=$CX$13:$CX$70)*($CE407=$CY$13:$CY$70)*($BY407=$DA$13:$DA$70)*($CD407=$DH$13:$DH$70),0)),""))</f>
        <v/>
      </c>
      <c r="DL407" s="58" t="str" cm="1">
        <f t="array" ref="DL407">IF(AND($BT407=4,$BX407=4,$BU407=999),$DC$36,_xlfn.IFNA(INDEX(CHOOSE(DP407,DB$13:DB$70,DC$13:DC$70,DD$13:DD$70,DE$13:DE$70),MATCH(1,($BR407=$CV$13:$CV$70)*($BT407=$CX$13:$CX$70)*($CE407=$CY$13:$CY$70)*($BY407=$DA$13:$DA$70)*($CD407=$DH$13:$DH$70),0)),""))</f>
        <v/>
      </c>
      <c r="DM407" s="740" t="str" cm="1">
        <f t="array" ref="DM407">IF(AND($BT407=4,$BX407=4,$BU407=999),$DD$36,_xlfn.IFNA(INDEX(DD$13:DD$68,MATCH(1,($BR407=$CV$13:$CV$68)*($BT407=$CX$13:$CX$68)*($CE407=$CY$13:$CY$68)*($BY407=$DA$13:$DA$68)*($CD407=$DH$13:$DH$68),0)),""))</f>
        <v/>
      </c>
      <c r="DN407" s="740" t="str" cm="1">
        <f t="array" ref="DN407">IF(AND($BT407=4,$BX407=4,$BU407=999),$DD$36,_xlfn.IFNA(INDEX(DE$13:DE$68,MATCH(1,($BR407=$CV$13:$CV$68)*($BT407=$CX$13:$CX$68)*($CE407=$CY$13:$CY$68)*($BY407=$DA$13:$DA$68)*($CD407=$DH$13:$DH$68),0)),""))</f>
        <v/>
      </c>
      <c r="DO407" s="58" t="str" cm="1">
        <f t="array" ref="DO407">IF(AND($BT407=4,$BX407=4,$BU407=999),$DF$36,_xlfn.IFNA(INDEX(DF$13:DF$70,MATCH(1,($BR407=$CV$13:$CV$70)*($BT407=$CX$13:$CX$70)*($CE407=$CY$13:$CY$70)*($BY407=$DA$13:$DA$70)*($CD407=$DH$13:$DH$70),0)),""))</f>
        <v/>
      </c>
      <c r="DP407" s="58" t="e">
        <f t="shared" si="668"/>
        <v>#N/A</v>
      </c>
      <c r="FT407" s="58">
        <f t="shared" si="669"/>
        <v>0</v>
      </c>
      <c r="FW407" s="58">
        <f>IF(i_baseline_risk_from=2,'Effectiveness settings'!EW407,'Effectiveness settings'!FI407)</f>
        <v>0</v>
      </c>
      <c r="FX407" s="58">
        <f t="shared" si="670"/>
        <v>0</v>
      </c>
      <c r="FY407" s="58">
        <f t="shared" si="671"/>
        <v>0</v>
      </c>
      <c r="FZ407" s="58">
        <f t="shared" si="672"/>
        <v>0</v>
      </c>
      <c r="GA407" s="58">
        <f t="shared" si="673"/>
        <v>0</v>
      </c>
      <c r="GB407" s="58">
        <f t="shared" si="674"/>
        <v>0</v>
      </c>
      <c r="GC407" s="58">
        <f t="shared" si="675"/>
        <v>0</v>
      </c>
      <c r="GD407" s="58">
        <f t="shared" si="676"/>
        <v>0</v>
      </c>
      <c r="GE407" s="58">
        <f>IF(AND(dd_CheckMate214_TTD="Yes",'Effectiveness settings'!BU407=2,'Effectiveness settings'!BX407=2),"Apply HR to",GD407)</f>
        <v>0</v>
      </c>
      <c r="GF407" s="58">
        <f t="shared" si="677"/>
        <v>0</v>
      </c>
      <c r="GG407" s="58">
        <f t="shared" si="678"/>
        <v>0</v>
      </c>
      <c r="GH407" s="58">
        <f t="shared" si="679"/>
        <v>0</v>
      </c>
      <c r="GI407" s="58">
        <f t="shared" si="640"/>
        <v>0</v>
      </c>
      <c r="GK407" s="58">
        <f>IF(i_baseline_risk_from=2,'Effectiveness settings'!FA407,'Effectiveness settings'!FM407)</f>
        <v>0</v>
      </c>
      <c r="GL407" s="58">
        <f>IF(i_baseline_risk_from=2,'Effectiveness settings'!FB407,'Effectiveness settings'!FN407)</f>
        <v>0</v>
      </c>
      <c r="GM407" s="58">
        <f>IF(i_baseline_risk_from=2,'Effectiveness settings'!FC407,'Effectiveness settings'!FO407)</f>
        <v>0</v>
      </c>
      <c r="GN407" s="58">
        <f>IF(i_baseline_risk_from=2,'Effectiveness settings'!FD407,'Effectiveness settings'!FP407)</f>
        <v>0</v>
      </c>
      <c r="GQ407" s="58">
        <f t="shared" si="680"/>
        <v>0</v>
      </c>
      <c r="GR407" s="58">
        <f t="shared" si="681"/>
        <v>0</v>
      </c>
      <c r="GS407" s="58">
        <f t="shared" si="682"/>
        <v>0</v>
      </c>
      <c r="GT407" s="58">
        <f t="shared" si="683"/>
        <v>0</v>
      </c>
      <c r="GU407" s="58">
        <f>IF(AND(dd_CheckMate214_TTD="Yes",'Effectiveness settings'!BU407=2,'Effectiveness settings'!BX407=2),2,GT407)</f>
        <v>0</v>
      </c>
      <c r="GV407" s="58">
        <f t="shared" si="684"/>
        <v>0</v>
      </c>
      <c r="GW407" s="58">
        <f t="shared" si="685"/>
        <v>0</v>
      </c>
      <c r="GY407" s="58">
        <f>IF(AND(dd_CheckMate214_TTD="Yes",'Effectiveness settings'!BU407=2,'Effectiveness settings'!BX407=2),1,GN407)</f>
        <v>0</v>
      </c>
      <c r="GZ407" s="58">
        <f t="shared" si="686"/>
        <v>0</v>
      </c>
      <c r="HB407" s="58">
        <f t="shared" si="687"/>
        <v>0</v>
      </c>
      <c r="HD407" s="58">
        <f t="shared" si="635"/>
        <v>0</v>
      </c>
      <c r="HE407" s="58">
        <f t="shared" si="636"/>
        <v>0</v>
      </c>
      <c r="HF407" s="58">
        <f t="shared" si="637"/>
        <v>0</v>
      </c>
      <c r="HG407" s="58">
        <f t="shared" si="638"/>
        <v>0</v>
      </c>
      <c r="HH407" s="58">
        <f t="shared" si="639"/>
        <v>0</v>
      </c>
    </row>
    <row r="408" spans="5:222" ht="15.75" x14ac:dyDescent="0.25">
      <c r="BQ408" s="58">
        <f t="shared" si="667"/>
        <v>239</v>
      </c>
      <c r="BR408" s="61">
        <v>0</v>
      </c>
      <c r="BS408" s="61" t="s">
        <v>31</v>
      </c>
      <c r="BT408" s="17">
        <v>2</v>
      </c>
      <c r="BU408" s="17">
        <v>0</v>
      </c>
      <c r="BV408" s="17" t="str">
        <f t="shared" ref="BV408:BV421" si="690">D289</f>
        <v>nivolumab_monotherapy</v>
      </c>
      <c r="BW408" s="1006" t="str" cm="1">
        <f t="array" ref="BW408">IF(X289="No",X289,INDEX(List_incl_anal_2L_all,IF(BU408=999,35,BU408+1)))</f>
        <v>Yes</v>
      </c>
      <c r="BX408" s="61">
        <f t="shared" ref="BX408:BX421" si="691">MATCH(BY408,List_eff_endpoints,0)-1</f>
        <v>2</v>
      </c>
      <c r="BY408" s="531" t="str">
        <f>Y289</f>
        <v>Time to treatment discontinuation</v>
      </c>
      <c r="BZ408" s="530" t="str">
        <f t="shared" ref="BZ408:BZ421" si="692">GI408</f>
        <v>Apply HR to</v>
      </c>
      <c r="CA408" s="531">
        <f>FT408</f>
        <v>0</v>
      </c>
      <c r="CB408" s="530">
        <f t="shared" ref="CB408:CB421" si="693">HD408</f>
        <v>0</v>
      </c>
      <c r="CC408" s="530">
        <f t="shared" ref="CC408:CC421" si="694">HE408</f>
        <v>2</v>
      </c>
      <c r="CD408" s="530">
        <f t="shared" ref="CD408:CD421" si="695">HF408</f>
        <v>0</v>
      </c>
      <c r="CE408" s="1295">
        <f t="shared" ref="CE408:CE421" si="696">HG408</f>
        <v>2</v>
      </c>
      <c r="CF408" s="1301">
        <f t="shared" ref="CF408:CF421" si="697">HH408</f>
        <v>1</v>
      </c>
      <c r="CG408" s="530" t="str">
        <f t="shared" ref="CG408:CG421" si="698">IF(i_surv_cur=1,DK408,DL408)</f>
        <v/>
      </c>
      <c r="CH408" s="61">
        <f t="shared" ref="CH408:CH421" si="699">AH289</f>
        <v>1.19</v>
      </c>
      <c r="CI408" s="61">
        <f t="shared" ref="CI408:CI421" si="700">AI289</f>
        <v>1.1499999999999999</v>
      </c>
      <c r="CJ408" s="61">
        <f t="shared" ref="CJ408:CJ421" si="701">AJ289</f>
        <v>1.24</v>
      </c>
      <c r="DK408" s="58" t="str" cm="1">
        <f t="array" ref="DK408">IF(AND($BT408=4,$BX408=4,$BU408=999),$DB$36,_xlfn.IFNA(INDEX(DB$13:DB$70,MATCH(1,($BR408=$CV$13:$CV$70)*($BT408=$CX$13:$CX$70)*($CE408=$CY$13:$CY$70)*($BY408=$DA$13:$DA$70)*($CD408=$DH$13:$DH$70),0)),""))</f>
        <v/>
      </c>
      <c r="DL408" s="58" t="str" cm="1">
        <f t="array" ref="DL408">IF(AND($BT408=4,$BX408=4,$BU408=999),$DC$36,_xlfn.IFNA(INDEX(CHOOSE(DP408,DB$13:DB$70,DC$13:DC$70,DD$13:DD$70,DE$13:DE$70),MATCH(1,($BR408=$CV$13:$CV$70)*($BT408=$CX$13:$CX$70)*($CE408=$CY$13:$CY$70)*($BY408=$DA$13:$DA$70)*($CD408=$DH$13:$DH$70),0)),""))</f>
        <v/>
      </c>
      <c r="DM408" s="740" t="str" cm="1">
        <f t="array" ref="DM408">IF(AND($BT408=4,$BX408=4,$BU408=999),$DD$36,_xlfn.IFNA(INDEX(DD$13:DD$68,MATCH(1,($BR408=$CV$13:$CV$68)*($BT408=$CX$13:$CX$68)*($CE408=$CY$13:$CY$68)*($BY408=$DA$13:$DA$68)*($CD408=$DH$13:$DH$68),0)),""))</f>
        <v/>
      </c>
      <c r="DN408" s="740" t="str" cm="1">
        <f t="array" ref="DN408">IF(AND($BT408=4,$BX408=4,$BU408=999),$DD$36,_xlfn.IFNA(INDEX(DE$13:DE$68,MATCH(1,($BR408=$CV$13:$CV$68)*($BT408=$CX$13:$CX$68)*($CE408=$CY$13:$CY$68)*($BY408=$DA$13:$DA$68)*($CD408=$DH$13:$DH$68),0)),""))</f>
        <v/>
      </c>
      <c r="DO408" s="58" t="str" cm="1">
        <f t="array" ref="DO408">IF(AND($BT408=4,$BX408=4,$BU408=999),$DF$36,_xlfn.IFNA(INDEX(DF$13:DF$70,MATCH(1,($BR408=$CV$13:$CV$70)*($BT408=$CX$13:$CX$70)*($CE408=$CY$13:$CY$70)*($BY408=$DA$13:$DA$70)*($CD408=$DH$13:$DH$70),0)),""))</f>
        <v/>
      </c>
      <c r="DP408" s="58" t="e">
        <f t="shared" si="668"/>
        <v>#N/A</v>
      </c>
      <c r="DW408" s="58" t="s">
        <v>74</v>
      </c>
      <c r="DX408" s="58" t="s">
        <v>554</v>
      </c>
      <c r="DY408" s="58" t="s">
        <v>578</v>
      </c>
      <c r="DZ408" s="58">
        <v>0</v>
      </c>
      <c r="EB408" s="58">
        <v>0</v>
      </c>
      <c r="EC408" s="58">
        <v>2</v>
      </c>
      <c r="ED408" s="58">
        <v>0</v>
      </c>
      <c r="EE408" s="58">
        <v>2</v>
      </c>
      <c r="EF408" s="58">
        <v>1</v>
      </c>
      <c r="EI408" s="58" t="s">
        <v>74</v>
      </c>
      <c r="EJ408" s="58" t="s">
        <v>554</v>
      </c>
      <c r="EK408" s="58" t="s">
        <v>578</v>
      </c>
      <c r="EL408" s="58">
        <v>0</v>
      </c>
      <c r="EN408" s="58">
        <v>0</v>
      </c>
      <c r="EO408" s="58">
        <v>2</v>
      </c>
      <c r="EP408" s="58">
        <v>0</v>
      </c>
      <c r="EQ408" s="58">
        <v>1</v>
      </c>
      <c r="ER408" s="58">
        <v>1</v>
      </c>
      <c r="EU408" s="58" t="str">
        <f t="shared" ref="EU408:EU421" si="702">IF(i_eff_inputs_based_on_num=2,DW408,X289)</f>
        <v>Yes</v>
      </c>
      <c r="EV408" s="58" t="str">
        <f t="shared" ref="EV408:EV421" si="703">IF(i_eff_inputs_based_on_num=2,DX408,Y289)</f>
        <v>Time to treatment discontinuation</v>
      </c>
      <c r="EW408" s="58" t="str">
        <f t="shared" ref="EW408:EW421" si="704">IF(i_eff_inputs_based_on_num=2,DY408,Z289)</f>
        <v>Apply HR to</v>
      </c>
      <c r="EX408" s="58">
        <f t="shared" ref="EX408:EX421" si="705">IF(i_eff_inputs_based_on_num=2,DZ408,AA289)</f>
        <v>0</v>
      </c>
      <c r="EZ408" s="58">
        <f t="shared" ref="EZ408:EZ421" si="706">IF(i_eff_inputs_based_on_num=2,EB408,VLOOKUP(AB289,r_pld_lookup_line,3,FALSE))</f>
        <v>0</v>
      </c>
      <c r="FA408" s="58">
        <f t="shared" ref="FA408:FA421" si="707">IF(i_eff_inputs_based_on_num=2,EC408,VLOOKUP(AC289,r_pld_lookup_line,3,FALSE))</f>
        <v>2</v>
      </c>
      <c r="FB408" s="58">
        <f>IF(i_eff_inputs_based_on_num=2,ED408,(INDEX(Lists!$L$51:$L$85,MATCH(AD289,Lists!$K$51:$K$85,0))))</f>
        <v>0</v>
      </c>
      <c r="FC408" s="58">
        <f>IF(i_eff_inputs_based_on_num=2,EE408,(INDEX(Lists!$L$51:$L$85,MATCH(AE289,Lists!$K$51:$K$85,0))))</f>
        <v>2</v>
      </c>
      <c r="FD408" s="58">
        <f>IF(i_eff_inputs_based_on_num=2,EF408,(INDEX(Lists!$L$51:$L$85,MATCH(AF289,Lists!$K$51:$K$85,0))))</f>
        <v>1</v>
      </c>
      <c r="FG408" s="58" t="str">
        <f t="shared" ref="FG408:FG421" si="708">IF(i_eff_inputs_based_on_num=2,EI408,X289)</f>
        <v>Yes</v>
      </c>
      <c r="FH408" s="58" t="str">
        <f t="shared" ref="FH408:FH421" si="709">IF(i_eff_inputs_based_on_num=2,EJ408,Y289)</f>
        <v>Time to treatment discontinuation</v>
      </c>
      <c r="FI408" s="58" t="str">
        <f t="shared" ref="FI408:FI421" si="710">IF(i_eff_inputs_based_on_num=2,EK408,Z289)</f>
        <v>Apply HR to</v>
      </c>
      <c r="FJ408" s="58">
        <f t="shared" ref="FJ408:FJ421" si="711">IF(i_eff_inputs_based_on_num=2,EL408,AA289)</f>
        <v>0</v>
      </c>
      <c r="FL408" s="58">
        <f t="shared" ref="FL408:FL421" si="712">IF(i_eff_inputs_based_on_num=2,EN408,VLOOKUP(AB289,r_pld_lookup_line,3,FALSE))</f>
        <v>0</v>
      </c>
      <c r="FM408" s="58">
        <f t="shared" ref="FM408:FM421" si="713">IF(i_eff_inputs_based_on_num=2,EO408,VLOOKUP(AC289,r_pld_lookup_line,3,FALSE))</f>
        <v>2</v>
      </c>
      <c r="FN408" s="58">
        <f>IF(i_eff_inputs_based_on_num=2,EP408,(INDEX(Lists!$L$51:$L$85,MATCH(AD289,Lists!$K$51:$K$85,0))))</f>
        <v>0</v>
      </c>
      <c r="FO408" s="58">
        <f>IF(i_eff_inputs_based_on_num=2,EQ408,(INDEX(Lists!$L$51:$L$85,MATCH(AE289,Lists!$K$51:$K$85,0))))</f>
        <v>1</v>
      </c>
      <c r="FP408" s="58">
        <f>IF(i_eff_inputs_based_on_num=2,ER408,(INDEX(Lists!$L$51:$L$85,MATCH(AF289,Lists!$K$51:$K$85,0))))</f>
        <v>1</v>
      </c>
      <c r="FT408" s="58">
        <f t="shared" si="669"/>
        <v>0</v>
      </c>
      <c r="FW408" s="58" t="str">
        <f>IF(i_baseline_risk_from=2,'Effectiveness settings'!EW408,'Effectiveness settings'!FI408)</f>
        <v>Apply HR to</v>
      </c>
      <c r="FX408" s="58" t="str">
        <f t="shared" si="670"/>
        <v>Apply HR to</v>
      </c>
      <c r="FY408" s="58" t="str">
        <f t="shared" si="671"/>
        <v>Apply HR to</v>
      </c>
      <c r="FZ408" s="58" t="str">
        <f t="shared" si="672"/>
        <v>Apply HR to</v>
      </c>
      <c r="GA408" s="58" t="str">
        <f t="shared" si="673"/>
        <v>Apply HR to</v>
      </c>
      <c r="GB408" s="58" t="str">
        <f t="shared" si="674"/>
        <v>Apply HR to</v>
      </c>
      <c r="GC408" s="58" t="str">
        <f t="shared" si="675"/>
        <v>Apply HR to</v>
      </c>
      <c r="GD408" s="58" t="str">
        <f t="shared" si="676"/>
        <v>Apply HR to</v>
      </c>
      <c r="GE408" s="58" t="str">
        <f>IF(AND(dd_CheckMate214_TTD="Yes",'Effectiveness settings'!BU408=2,'Effectiveness settings'!BX408=2),"Apply HR to",GD408)</f>
        <v>Apply HR to</v>
      </c>
      <c r="GF408" s="58" t="str">
        <f t="shared" si="677"/>
        <v>Apply HR to</v>
      </c>
      <c r="GG408" s="58" t="str">
        <f t="shared" si="678"/>
        <v>Apply HR to</v>
      </c>
      <c r="GH408" s="58" t="str">
        <f t="shared" si="679"/>
        <v>Apply HR to</v>
      </c>
      <c r="GI408" s="58" t="str">
        <f t="shared" si="640"/>
        <v>Apply HR to</v>
      </c>
      <c r="GK408" s="58">
        <f>IF(i_baseline_risk_from=2,'Effectiveness settings'!FA408,'Effectiveness settings'!FM408)</f>
        <v>2</v>
      </c>
      <c r="GL408" s="58">
        <f>IF(i_baseline_risk_from=2,'Effectiveness settings'!FB408,'Effectiveness settings'!FN408)</f>
        <v>0</v>
      </c>
      <c r="GM408" s="58">
        <f>IF(i_baseline_risk_from=2,'Effectiveness settings'!FC408,'Effectiveness settings'!FO408)</f>
        <v>2</v>
      </c>
      <c r="GN408" s="58">
        <f>IF(i_baseline_risk_from=2,'Effectiveness settings'!FD408,'Effectiveness settings'!FP408)</f>
        <v>1</v>
      </c>
      <c r="GQ408" s="58">
        <f t="shared" si="680"/>
        <v>0</v>
      </c>
      <c r="GR408" s="58">
        <f t="shared" si="681"/>
        <v>0</v>
      </c>
      <c r="GS408" s="58">
        <f t="shared" si="682"/>
        <v>0</v>
      </c>
      <c r="GT408" s="58">
        <f t="shared" si="683"/>
        <v>0</v>
      </c>
      <c r="GU408" s="58">
        <f>IF(AND(dd_CheckMate214_TTD="Yes",'Effectiveness settings'!BU408=2,'Effectiveness settings'!BX408=2),2,GT408)</f>
        <v>0</v>
      </c>
      <c r="GV408" s="58">
        <f t="shared" si="684"/>
        <v>0</v>
      </c>
      <c r="GW408" s="58">
        <f t="shared" si="685"/>
        <v>0</v>
      </c>
      <c r="GY408" s="58">
        <f>IF(AND(dd_CheckMate214_TTD="Yes",'Effectiveness settings'!BU408=2,'Effectiveness settings'!BX408=2),1,GN408)</f>
        <v>1</v>
      </c>
      <c r="GZ408" s="58">
        <f t="shared" si="686"/>
        <v>1</v>
      </c>
      <c r="HB408" s="58">
        <f t="shared" si="687"/>
        <v>0</v>
      </c>
      <c r="HD408" s="58">
        <f t="shared" si="635"/>
        <v>0</v>
      </c>
      <c r="HE408" s="58">
        <f t="shared" si="636"/>
        <v>2</v>
      </c>
      <c r="HF408" s="58">
        <f t="shared" si="637"/>
        <v>0</v>
      </c>
      <c r="HG408" s="58">
        <f t="shared" si="638"/>
        <v>2</v>
      </c>
      <c r="HH408" s="58">
        <f t="shared" si="639"/>
        <v>1</v>
      </c>
    </row>
    <row r="409" spans="5:222" ht="15.75" x14ac:dyDescent="0.25">
      <c r="BQ409" s="58">
        <f t="shared" si="667"/>
        <v>240</v>
      </c>
      <c r="BR409" s="61">
        <v>0</v>
      </c>
      <c r="BS409" s="61" t="s">
        <v>31</v>
      </c>
      <c r="BT409" s="17">
        <v>2</v>
      </c>
      <c r="BU409" s="17">
        <v>1</v>
      </c>
      <c r="BV409" s="17" t="str">
        <f t="shared" si="690"/>
        <v>cabozantinib_plus_nivolumab</v>
      </c>
      <c r="BW409" s="1006" t="str" cm="1">
        <f t="array" ref="BW409">IF(X290="No",X290,INDEX(List_incl_anal_2L_all,IF(BU409=999,35,BU409+1)))</f>
        <v>No</v>
      </c>
      <c r="BX409" s="61">
        <f t="shared" si="691"/>
        <v>2</v>
      </c>
      <c r="BY409" s="531" t="str">
        <f>Y290</f>
        <v>Time to treatment discontinuation</v>
      </c>
      <c r="BZ409" s="530">
        <f t="shared" si="692"/>
        <v>0</v>
      </c>
      <c r="CA409" s="531">
        <f t="shared" ref="CA409:CA421" si="714">FT409</f>
        <v>0</v>
      </c>
      <c r="CB409" s="530">
        <f t="shared" si="693"/>
        <v>0</v>
      </c>
      <c r="CC409" s="530">
        <f t="shared" si="694"/>
        <v>2</v>
      </c>
      <c r="CD409" s="530">
        <f t="shared" si="695"/>
        <v>1</v>
      </c>
      <c r="CE409" s="1295">
        <f t="shared" si="696"/>
        <v>2</v>
      </c>
      <c r="CF409" s="1301">
        <f t="shared" si="697"/>
        <v>1</v>
      </c>
      <c r="CG409" s="530" t="str">
        <f t="shared" si="698"/>
        <v/>
      </c>
      <c r="CH409" s="61">
        <f t="shared" si="699"/>
        <v>0</v>
      </c>
      <c r="CI409" s="61">
        <f t="shared" si="700"/>
        <v>0</v>
      </c>
      <c r="CJ409" s="61">
        <f t="shared" si="701"/>
        <v>0</v>
      </c>
      <c r="DK409" s="58" t="str" cm="1">
        <f t="array" ref="DK409">IF(AND($BT409=4,$BX409=4,$BU409=999),$DB$36,_xlfn.IFNA(INDEX(DB$13:DB$70,MATCH(1,($BR409=$CV$13:$CV$70)*($BT409=$CX$13:$CX$70)*($CE409=$CY$13:$CY$70)*($BY409=$DA$13:$DA$70)*($CD409=$DH$13:$DH$70),0)),""))</f>
        <v/>
      </c>
      <c r="DL409" s="58" t="str" cm="1">
        <f t="array" ref="DL409">IF(AND($BT409=4,$BX409=4,$BU409=999),$DC$36,_xlfn.IFNA(INDEX(CHOOSE(DP409,DB$13:DB$70,DC$13:DC$70,DD$13:DD$70,DE$13:DE$70),MATCH(1,($BR409=$CV$13:$CV$70)*($BT409=$CX$13:$CX$70)*($CE409=$CY$13:$CY$70)*($BY409=$DA$13:$DA$70)*($CD409=$DH$13:$DH$70),0)),""))</f>
        <v/>
      </c>
      <c r="DM409" s="740" t="str" cm="1">
        <f t="array" ref="DM409">IF(AND($BT409=4,$BX409=4,$BU409=999),$DD$36,_xlfn.IFNA(INDEX(DD$13:DD$68,MATCH(1,($BR409=$CV$13:$CV$68)*($BT409=$CX$13:$CX$68)*($CE409=$CY$13:$CY$68)*($BY409=$DA$13:$DA$68)*($CD409=$DH$13:$DH$68),0)),""))</f>
        <v/>
      </c>
      <c r="DN409" s="740" t="str" cm="1">
        <f t="array" ref="DN409">IF(AND($BT409=4,$BX409=4,$BU409=999),$DD$36,_xlfn.IFNA(INDEX(DE$13:DE$68,MATCH(1,($BR409=$CV$13:$CV$68)*($BT409=$CX$13:$CX$68)*($CE409=$CY$13:$CY$68)*($BY409=$DA$13:$DA$68)*($CD409=$DH$13:$DH$68),0)),""))</f>
        <v/>
      </c>
      <c r="DO409" s="58" t="str" cm="1">
        <f t="array" ref="DO409">IF(AND($BT409=4,$BX409=4,$BU409=999),$DF$36,_xlfn.IFNA(INDEX(DF$13:DF$70,MATCH(1,($BR409=$CV$13:$CV$70)*($BT409=$CX$13:$CX$70)*($CE409=$CY$13:$CY$70)*($BY409=$DA$13:$DA$70)*($CD409=$DH$13:$DH$70),0)),""))</f>
        <v/>
      </c>
      <c r="DP409" s="58" t="e">
        <f t="shared" si="668"/>
        <v>#N/A</v>
      </c>
      <c r="DW409" s="58" t="s">
        <v>58</v>
      </c>
      <c r="DX409" s="58" t="s">
        <v>554</v>
      </c>
      <c r="DY409" s="58">
        <v>0</v>
      </c>
      <c r="DZ409" s="58">
        <v>0</v>
      </c>
      <c r="EB409" s="58">
        <v>0</v>
      </c>
      <c r="EC409" s="58">
        <v>2</v>
      </c>
      <c r="ED409" s="58">
        <v>1</v>
      </c>
      <c r="EE409" s="58">
        <v>2</v>
      </c>
      <c r="EF409" s="58">
        <v>1</v>
      </c>
      <c r="EI409" s="58" t="s">
        <v>58</v>
      </c>
      <c r="EJ409" s="58" t="s">
        <v>554</v>
      </c>
      <c r="EK409" s="58">
        <v>0</v>
      </c>
      <c r="EL409" s="58">
        <v>0</v>
      </c>
      <c r="EN409" s="58">
        <v>0</v>
      </c>
      <c r="EO409" s="58">
        <v>2</v>
      </c>
      <c r="EP409" s="58">
        <v>1</v>
      </c>
      <c r="EQ409" s="58">
        <v>1</v>
      </c>
      <c r="ER409" s="58">
        <v>1</v>
      </c>
      <c r="EU409" s="58" t="str">
        <f t="shared" si="702"/>
        <v>No</v>
      </c>
      <c r="EV409" s="58" t="str">
        <f t="shared" si="703"/>
        <v>Time to treatment discontinuation</v>
      </c>
      <c r="EW409" s="58">
        <f t="shared" si="704"/>
        <v>0</v>
      </c>
      <c r="EX409" s="58">
        <f t="shared" si="705"/>
        <v>0</v>
      </c>
      <c r="EZ409" s="58">
        <f t="shared" si="706"/>
        <v>0</v>
      </c>
      <c r="FA409" s="58">
        <f t="shared" si="707"/>
        <v>2</v>
      </c>
      <c r="FB409" s="58">
        <f>IF(i_eff_inputs_based_on_num=2,ED409,(INDEX(Lists!$L$51:$L$85,MATCH(AD290,Lists!$K$51:$K$85,0))))</f>
        <v>1</v>
      </c>
      <c r="FC409" s="58">
        <f>IF(i_eff_inputs_based_on_num=2,EE409,(INDEX(Lists!$L$51:$L$85,MATCH(AE290,Lists!$K$51:$K$85,0))))</f>
        <v>2</v>
      </c>
      <c r="FD409" s="58">
        <f>IF(i_eff_inputs_based_on_num=2,EF409,(INDEX(Lists!$L$51:$L$85,MATCH(AF290,Lists!$K$51:$K$85,0))))</f>
        <v>1</v>
      </c>
      <c r="FG409" s="58" t="str">
        <f t="shared" si="708"/>
        <v>No</v>
      </c>
      <c r="FH409" s="58" t="str">
        <f t="shared" si="709"/>
        <v>Time to treatment discontinuation</v>
      </c>
      <c r="FI409" s="58">
        <f t="shared" si="710"/>
        <v>0</v>
      </c>
      <c r="FJ409" s="58">
        <f t="shared" si="711"/>
        <v>0</v>
      </c>
      <c r="FL409" s="58">
        <f t="shared" si="712"/>
        <v>0</v>
      </c>
      <c r="FM409" s="58">
        <f t="shared" si="713"/>
        <v>2</v>
      </c>
      <c r="FN409" s="58">
        <f>IF(i_eff_inputs_based_on_num=2,EP409,(INDEX(Lists!$L$51:$L$85,MATCH(AD290,Lists!$K$51:$K$85,0))))</f>
        <v>1</v>
      </c>
      <c r="FO409" s="58">
        <f>IF(i_eff_inputs_based_on_num=2,EQ409,(INDEX(Lists!$L$51:$L$85,MATCH(AE290,Lists!$K$51:$K$85,0))))</f>
        <v>1</v>
      </c>
      <c r="FP409" s="58">
        <f>IF(i_eff_inputs_based_on_num=2,ER409,(INDEX(Lists!$L$51:$L$85,MATCH(AF290,Lists!$K$51:$K$85,0))))</f>
        <v>1</v>
      </c>
      <c r="FT409" s="58">
        <f t="shared" si="669"/>
        <v>0</v>
      </c>
      <c r="FW409" s="58">
        <f>IF(i_baseline_risk_from=2,'Effectiveness settings'!EW409,'Effectiveness settings'!FI409)</f>
        <v>0</v>
      </c>
      <c r="FX409" s="58">
        <f t="shared" si="670"/>
        <v>0</v>
      </c>
      <c r="FY409" s="58">
        <f t="shared" si="671"/>
        <v>0</v>
      </c>
      <c r="FZ409" s="58">
        <f t="shared" si="672"/>
        <v>0</v>
      </c>
      <c r="GA409" s="58">
        <f t="shared" si="673"/>
        <v>0</v>
      </c>
      <c r="GB409" s="58">
        <f t="shared" si="674"/>
        <v>0</v>
      </c>
      <c r="GC409" s="58">
        <f t="shared" si="675"/>
        <v>0</v>
      </c>
      <c r="GD409" s="58">
        <f t="shared" si="676"/>
        <v>0</v>
      </c>
      <c r="GE409" s="58">
        <f>IF(AND(dd_CheckMate214_TTD="Yes",'Effectiveness settings'!BU409=2,'Effectiveness settings'!BX409=2),"Apply HR to",GD409)</f>
        <v>0</v>
      </c>
      <c r="GF409" s="58">
        <f t="shared" si="677"/>
        <v>0</v>
      </c>
      <c r="GG409" s="58">
        <f t="shared" si="678"/>
        <v>0</v>
      </c>
      <c r="GH409" s="58">
        <f t="shared" si="679"/>
        <v>0</v>
      </c>
      <c r="GI409" s="58">
        <f t="shared" si="640"/>
        <v>0</v>
      </c>
      <c r="GK409" s="58">
        <f>IF(i_baseline_risk_from=2,'Effectiveness settings'!FA409,'Effectiveness settings'!FM409)</f>
        <v>2</v>
      </c>
      <c r="GL409" s="58">
        <f>IF(i_baseline_risk_from=2,'Effectiveness settings'!FB409,'Effectiveness settings'!FN409)</f>
        <v>1</v>
      </c>
      <c r="GM409" s="58">
        <f>IF(i_baseline_risk_from=2,'Effectiveness settings'!FC409,'Effectiveness settings'!FO409)</f>
        <v>2</v>
      </c>
      <c r="GN409" s="58">
        <f>IF(i_baseline_risk_from=2,'Effectiveness settings'!FD409,'Effectiveness settings'!FP409)</f>
        <v>1</v>
      </c>
      <c r="GQ409" s="58">
        <f t="shared" si="680"/>
        <v>1</v>
      </c>
      <c r="GR409" s="58">
        <f t="shared" si="681"/>
        <v>1</v>
      </c>
      <c r="GS409" s="58">
        <f t="shared" si="682"/>
        <v>1</v>
      </c>
      <c r="GT409" s="58">
        <f t="shared" si="683"/>
        <v>1</v>
      </c>
      <c r="GU409" s="58">
        <f>IF(AND(dd_CheckMate214_TTD="Yes",'Effectiveness settings'!BU409=2,'Effectiveness settings'!BX409=2),2,GT409)</f>
        <v>1</v>
      </c>
      <c r="GV409" s="58">
        <f t="shared" si="684"/>
        <v>1</v>
      </c>
      <c r="GW409" s="58">
        <f t="shared" si="685"/>
        <v>1</v>
      </c>
      <c r="GY409" s="58">
        <f>IF(AND(dd_CheckMate214_TTD="Yes",'Effectiveness settings'!BU409=2,'Effectiveness settings'!BX409=2),1,GN409)</f>
        <v>1</v>
      </c>
      <c r="GZ409" s="58">
        <f t="shared" si="686"/>
        <v>1</v>
      </c>
      <c r="HB409" s="58">
        <f t="shared" si="687"/>
        <v>0</v>
      </c>
      <c r="HD409" s="58">
        <f t="shared" si="635"/>
        <v>0</v>
      </c>
      <c r="HE409" s="58">
        <f t="shared" si="636"/>
        <v>2</v>
      </c>
      <c r="HF409" s="58">
        <f t="shared" si="637"/>
        <v>1</v>
      </c>
      <c r="HG409" s="58">
        <f t="shared" si="638"/>
        <v>2</v>
      </c>
      <c r="HH409" s="58">
        <f t="shared" si="639"/>
        <v>1</v>
      </c>
    </row>
    <row r="410" spans="5:222" ht="15.75" x14ac:dyDescent="0.25">
      <c r="BQ410" s="58">
        <f t="shared" si="667"/>
        <v>241</v>
      </c>
      <c r="BR410" s="61">
        <v>0</v>
      </c>
      <c r="BS410" s="61" t="s">
        <v>31</v>
      </c>
      <c r="BT410" s="17">
        <v>2</v>
      </c>
      <c r="BU410" s="17">
        <v>2</v>
      </c>
      <c r="BV410" s="17" t="str">
        <f t="shared" si="690"/>
        <v>nivolumab_plus_ipilimumab</v>
      </c>
      <c r="BW410" s="1006" t="str" cm="1">
        <f t="array" ref="BW410">IF(X291="No",X291,INDEX(List_incl_anal_2L_all,IF(BU410=999,35,BU410+1)))</f>
        <v>No</v>
      </c>
      <c r="BX410" s="61">
        <f t="shared" si="691"/>
        <v>2</v>
      </c>
      <c r="BY410" s="531" t="str">
        <f>Y291</f>
        <v>Time to treatment discontinuation</v>
      </c>
      <c r="BZ410" s="530">
        <f t="shared" si="692"/>
        <v>0</v>
      </c>
      <c r="CA410" s="531">
        <f t="shared" si="714"/>
        <v>0</v>
      </c>
      <c r="CB410" s="530">
        <f t="shared" si="693"/>
        <v>0</v>
      </c>
      <c r="CC410" s="530">
        <f t="shared" si="694"/>
        <v>2</v>
      </c>
      <c r="CD410" s="530">
        <f t="shared" si="695"/>
        <v>2</v>
      </c>
      <c r="CE410" s="1295">
        <f t="shared" si="696"/>
        <v>2</v>
      </c>
      <c r="CF410" s="1301">
        <f t="shared" si="697"/>
        <v>1</v>
      </c>
      <c r="CG410" s="530" t="str">
        <f t="shared" si="698"/>
        <v/>
      </c>
      <c r="CH410" s="61">
        <f t="shared" si="699"/>
        <v>0</v>
      </c>
      <c r="CI410" s="61">
        <f t="shared" si="700"/>
        <v>0</v>
      </c>
      <c r="CJ410" s="61">
        <f t="shared" si="701"/>
        <v>0</v>
      </c>
      <c r="DK410" s="58" t="str" cm="1">
        <f t="array" ref="DK410">IF(AND($BT410=4,$BX410=4,$BU410=999),$DB$36,_xlfn.IFNA(INDEX(DB$13:DB$70,MATCH(1,($BR410=$CV$13:$CV$70)*($BT410=$CX$13:$CX$70)*($CE410=$CY$13:$CY$70)*($BY410=$DA$13:$DA$70)*($CD410=$DH$13:$DH$70),0)),""))</f>
        <v/>
      </c>
      <c r="DL410" s="58" t="str" cm="1">
        <f t="array" ref="DL410">IF(AND($BT410=4,$BX410=4,$BU410=999),$DC$36,_xlfn.IFNA(INDEX(CHOOSE(DP410,DB$13:DB$70,DC$13:DC$70,DD$13:DD$70,DE$13:DE$70),MATCH(1,($BR410=$CV$13:$CV$70)*($BT410=$CX$13:$CX$70)*($CE410=$CY$13:$CY$70)*($BY410=$DA$13:$DA$70)*($CD410=$DH$13:$DH$70),0)),""))</f>
        <v/>
      </c>
      <c r="DM410" s="740" t="str" cm="1">
        <f t="array" ref="DM410">IF(AND($BT410=4,$BX410=4,$BU410=999),$DD$36,_xlfn.IFNA(INDEX(DD$13:DD$68,MATCH(1,($BR410=$CV$13:$CV$68)*($BT410=$CX$13:$CX$68)*($CE410=$CY$13:$CY$68)*($BY410=$DA$13:$DA$68)*($CD410=$DH$13:$DH$68),0)),""))</f>
        <v/>
      </c>
      <c r="DN410" s="740" t="str" cm="1">
        <f t="array" ref="DN410">IF(AND($BT410=4,$BX410=4,$BU410=999),$DD$36,_xlfn.IFNA(INDEX(DE$13:DE$68,MATCH(1,($BR410=$CV$13:$CV$68)*($BT410=$CX$13:$CX$68)*($CE410=$CY$13:$CY$68)*($BY410=$DA$13:$DA$68)*($CD410=$DH$13:$DH$68),0)),""))</f>
        <v/>
      </c>
      <c r="DO410" s="58" t="str" cm="1">
        <f t="array" ref="DO410">IF(AND($BT410=4,$BX410=4,$BU410=999),$DF$36,_xlfn.IFNA(INDEX(DF$13:DF$70,MATCH(1,($BR410=$CV$13:$CV$70)*($BT410=$CX$13:$CX$70)*($CE410=$CY$13:$CY$70)*($BY410=$DA$13:$DA$70)*($CD410=$DH$13:$DH$70),0)),""))</f>
        <v/>
      </c>
      <c r="DP410" s="58" t="e">
        <f t="shared" si="668"/>
        <v>#N/A</v>
      </c>
      <c r="DW410" s="58" t="s">
        <v>58</v>
      </c>
      <c r="DX410" s="58" t="s">
        <v>554</v>
      </c>
      <c r="DY410" s="58">
        <v>0</v>
      </c>
      <c r="DZ410" s="58">
        <v>0</v>
      </c>
      <c r="EB410" s="58">
        <v>0</v>
      </c>
      <c r="EC410" s="58">
        <v>2</v>
      </c>
      <c r="ED410" s="58">
        <v>2</v>
      </c>
      <c r="EE410" s="58">
        <v>2</v>
      </c>
      <c r="EF410" s="58">
        <v>1</v>
      </c>
      <c r="EI410" s="58" t="s">
        <v>58</v>
      </c>
      <c r="EJ410" s="58" t="s">
        <v>554</v>
      </c>
      <c r="EK410" s="58">
        <v>0</v>
      </c>
      <c r="EL410" s="58">
        <v>0</v>
      </c>
      <c r="EN410" s="58">
        <v>0</v>
      </c>
      <c r="EO410" s="58">
        <v>2</v>
      </c>
      <c r="EP410" s="58">
        <v>2</v>
      </c>
      <c r="EQ410" s="58">
        <v>1</v>
      </c>
      <c r="ER410" s="58">
        <v>1</v>
      </c>
      <c r="EU410" s="58" t="str">
        <f t="shared" si="702"/>
        <v>No</v>
      </c>
      <c r="EV410" s="58" t="str">
        <f t="shared" si="703"/>
        <v>Time to treatment discontinuation</v>
      </c>
      <c r="EW410" s="58">
        <f t="shared" si="704"/>
        <v>0</v>
      </c>
      <c r="EX410" s="58">
        <f t="shared" si="705"/>
        <v>0</v>
      </c>
      <c r="EZ410" s="58">
        <f t="shared" si="706"/>
        <v>0</v>
      </c>
      <c r="FA410" s="58">
        <f t="shared" si="707"/>
        <v>2</v>
      </c>
      <c r="FB410" s="58">
        <f>IF(i_eff_inputs_based_on_num=2,ED410,(INDEX(Lists!$L$51:$L$85,MATCH(AD291,Lists!$K$51:$K$85,0))))</f>
        <v>2</v>
      </c>
      <c r="FC410" s="58">
        <f>IF(i_eff_inputs_based_on_num=2,EE410,(INDEX(Lists!$L$51:$L$85,MATCH(AE291,Lists!$K$51:$K$85,0))))</f>
        <v>2</v>
      </c>
      <c r="FD410" s="58">
        <f>IF(i_eff_inputs_based_on_num=2,EF410,(INDEX(Lists!$L$51:$L$85,MATCH(AF291,Lists!$K$51:$K$85,0))))</f>
        <v>1</v>
      </c>
      <c r="FG410" s="58" t="str">
        <f t="shared" si="708"/>
        <v>No</v>
      </c>
      <c r="FH410" s="58" t="str">
        <f t="shared" si="709"/>
        <v>Time to treatment discontinuation</v>
      </c>
      <c r="FI410" s="58">
        <f t="shared" si="710"/>
        <v>0</v>
      </c>
      <c r="FJ410" s="58">
        <f t="shared" si="711"/>
        <v>0</v>
      </c>
      <c r="FL410" s="58">
        <f t="shared" si="712"/>
        <v>0</v>
      </c>
      <c r="FM410" s="58">
        <f t="shared" si="713"/>
        <v>2</v>
      </c>
      <c r="FN410" s="58">
        <f>IF(i_eff_inputs_based_on_num=2,EP410,(INDEX(Lists!$L$51:$L$85,MATCH(AD291,Lists!$K$51:$K$85,0))))</f>
        <v>2</v>
      </c>
      <c r="FO410" s="58">
        <f>IF(i_eff_inputs_based_on_num=2,EQ410,(INDEX(Lists!$L$51:$L$85,MATCH(AE291,Lists!$K$51:$K$85,0))))</f>
        <v>1</v>
      </c>
      <c r="FP410" s="58">
        <f>IF(i_eff_inputs_based_on_num=2,ER410,(INDEX(Lists!$L$51:$L$85,MATCH(AF291,Lists!$K$51:$K$85,0))))</f>
        <v>1</v>
      </c>
      <c r="FT410" s="58">
        <f t="shared" si="669"/>
        <v>0</v>
      </c>
      <c r="FW410" s="58">
        <f>IF(i_baseline_risk_from=2,'Effectiveness settings'!EW410,'Effectiveness settings'!FI410)</f>
        <v>0</v>
      </c>
      <c r="FX410" s="58">
        <f t="shared" si="670"/>
        <v>0</v>
      </c>
      <c r="FY410" s="58">
        <f t="shared" si="671"/>
        <v>0</v>
      </c>
      <c r="FZ410" s="58">
        <f t="shared" si="672"/>
        <v>0</v>
      </c>
      <c r="GA410" s="58">
        <f t="shared" si="673"/>
        <v>0</v>
      </c>
      <c r="GB410" s="58">
        <f t="shared" si="674"/>
        <v>0</v>
      </c>
      <c r="GC410" s="58">
        <f t="shared" si="675"/>
        <v>0</v>
      </c>
      <c r="GD410" s="58">
        <f t="shared" si="676"/>
        <v>0</v>
      </c>
      <c r="GE410" s="58">
        <f>IF(AND(dd_CheckMate214_TTD="Yes",'Effectiveness settings'!BU410=2,'Effectiveness settings'!BX410=2),"Apply HR to",GD410)</f>
        <v>0</v>
      </c>
      <c r="GF410" s="58">
        <f t="shared" si="677"/>
        <v>0</v>
      </c>
      <c r="GG410" s="58">
        <f t="shared" si="678"/>
        <v>0</v>
      </c>
      <c r="GH410" s="58">
        <f t="shared" si="679"/>
        <v>0</v>
      </c>
      <c r="GI410" s="58">
        <f t="shared" si="640"/>
        <v>0</v>
      </c>
      <c r="GK410" s="58">
        <f>IF(i_baseline_risk_from=2,'Effectiveness settings'!FA410,'Effectiveness settings'!FM410)</f>
        <v>2</v>
      </c>
      <c r="GL410" s="58">
        <f>IF(i_baseline_risk_from=2,'Effectiveness settings'!FB410,'Effectiveness settings'!FN410)</f>
        <v>2</v>
      </c>
      <c r="GM410" s="58">
        <f>IF(i_baseline_risk_from=2,'Effectiveness settings'!FC410,'Effectiveness settings'!FO410)</f>
        <v>2</v>
      </c>
      <c r="GN410" s="58">
        <f>IF(i_baseline_risk_from=2,'Effectiveness settings'!FD410,'Effectiveness settings'!FP410)</f>
        <v>1</v>
      </c>
      <c r="GQ410" s="58">
        <f t="shared" si="680"/>
        <v>2</v>
      </c>
      <c r="GR410" s="58">
        <f t="shared" si="681"/>
        <v>2</v>
      </c>
      <c r="GS410" s="58">
        <f t="shared" si="682"/>
        <v>2</v>
      </c>
      <c r="GT410" s="58">
        <f t="shared" si="683"/>
        <v>2</v>
      </c>
      <c r="GU410" s="58">
        <f>IF(AND(dd_CheckMate214_TTD="Yes",'Effectiveness settings'!BU410=2,'Effectiveness settings'!BX410=2),2,GT410)</f>
        <v>2</v>
      </c>
      <c r="GV410" s="58">
        <f t="shared" si="684"/>
        <v>2</v>
      </c>
      <c r="GW410" s="58">
        <f t="shared" si="685"/>
        <v>2</v>
      </c>
      <c r="GY410" s="58">
        <f>IF(AND(dd_CheckMate214_TTD="Yes",'Effectiveness settings'!BU410=2,'Effectiveness settings'!BX410=2),1,GN410)</f>
        <v>1</v>
      </c>
      <c r="GZ410" s="58">
        <f t="shared" si="686"/>
        <v>1</v>
      </c>
      <c r="HB410" s="58">
        <f t="shared" si="687"/>
        <v>0</v>
      </c>
      <c r="HD410" s="58">
        <f t="shared" si="635"/>
        <v>0</v>
      </c>
      <c r="HE410" s="58">
        <f t="shared" si="636"/>
        <v>2</v>
      </c>
      <c r="HF410" s="58">
        <f t="shared" si="637"/>
        <v>2</v>
      </c>
      <c r="HG410" s="58">
        <f t="shared" si="638"/>
        <v>2</v>
      </c>
      <c r="HH410" s="58">
        <f t="shared" si="639"/>
        <v>1</v>
      </c>
    </row>
    <row r="411" spans="5:222" ht="15.75" x14ac:dyDescent="0.25">
      <c r="BQ411" s="58">
        <f t="shared" si="667"/>
        <v>242</v>
      </c>
      <c r="BR411" s="61">
        <v>0</v>
      </c>
      <c r="BS411" s="61" t="s">
        <v>31</v>
      </c>
      <c r="BT411" s="17">
        <v>2</v>
      </c>
      <c r="BU411" s="17">
        <v>3</v>
      </c>
      <c r="BV411" s="17" t="str">
        <f t="shared" si="690"/>
        <v>lenvatinib_plus_pembrolizumab</v>
      </c>
      <c r="BW411" s="1006" t="str" cm="1">
        <f t="array" ref="BW411">IF(X292="No",X292,INDEX(List_incl_anal_2L_all,IF(BU411=999,35,BU411+1)))</f>
        <v>No</v>
      </c>
      <c r="BX411" s="61">
        <f t="shared" si="691"/>
        <v>2</v>
      </c>
      <c r="BY411" s="531" t="str">
        <f>Y292</f>
        <v>Time to treatment discontinuation</v>
      </c>
      <c r="BZ411" s="530">
        <f t="shared" si="692"/>
        <v>0</v>
      </c>
      <c r="CA411" s="531">
        <f t="shared" si="714"/>
        <v>0</v>
      </c>
      <c r="CB411" s="530">
        <f t="shared" si="693"/>
        <v>0</v>
      </c>
      <c r="CC411" s="530">
        <f t="shared" si="694"/>
        <v>2</v>
      </c>
      <c r="CD411" s="530">
        <f t="shared" si="695"/>
        <v>3</v>
      </c>
      <c r="CE411" s="1295">
        <f t="shared" si="696"/>
        <v>2</v>
      </c>
      <c r="CF411" s="1301">
        <f t="shared" si="697"/>
        <v>1</v>
      </c>
      <c r="CG411" s="530" t="str">
        <f t="shared" si="698"/>
        <v/>
      </c>
      <c r="CH411" s="61">
        <f t="shared" si="699"/>
        <v>0</v>
      </c>
      <c r="CI411" s="61">
        <f t="shared" si="700"/>
        <v>0</v>
      </c>
      <c r="CJ411" s="61">
        <f t="shared" si="701"/>
        <v>0</v>
      </c>
      <c r="DK411" s="58" t="str" cm="1">
        <f t="array" ref="DK411">IF(AND($BT411=4,$BX411=4,$BU411=999),$DB$36,_xlfn.IFNA(INDEX(DB$13:DB$70,MATCH(1,($BR411=$CV$13:$CV$70)*($BT411=$CX$13:$CX$70)*($CE411=$CY$13:$CY$70)*($BY411=$DA$13:$DA$70)*($CD411=$DH$13:$DH$70),0)),""))</f>
        <v/>
      </c>
      <c r="DL411" s="58" t="str" cm="1">
        <f t="array" ref="DL411">IF(AND($BT411=4,$BX411=4,$BU411=999),$DC$36,_xlfn.IFNA(INDEX(CHOOSE(DP411,DB$13:DB$70,DC$13:DC$70,DD$13:DD$70,DE$13:DE$70),MATCH(1,($BR411=$CV$13:$CV$70)*($BT411=$CX$13:$CX$70)*($CE411=$CY$13:$CY$70)*($BY411=$DA$13:$DA$70)*($CD411=$DH$13:$DH$70),0)),""))</f>
        <v/>
      </c>
      <c r="DM411" s="740" t="str" cm="1">
        <f t="array" ref="DM411">IF(AND($BT411=4,$BX411=4,$BU411=999),$DD$36,_xlfn.IFNA(INDEX(DD$13:DD$68,MATCH(1,($BR411=$CV$13:$CV$68)*($BT411=$CX$13:$CX$68)*($CE411=$CY$13:$CY$68)*($BY411=$DA$13:$DA$68)*($CD411=$DH$13:$DH$68),0)),""))</f>
        <v/>
      </c>
      <c r="DN411" s="740" t="str" cm="1">
        <f t="array" ref="DN411">IF(AND($BT411=4,$BX411=4,$BU411=999),$DD$36,_xlfn.IFNA(INDEX(DE$13:DE$68,MATCH(1,($BR411=$CV$13:$CV$68)*($BT411=$CX$13:$CX$68)*($CE411=$CY$13:$CY$68)*($BY411=$DA$13:$DA$68)*($CD411=$DH$13:$DH$68),0)),""))</f>
        <v/>
      </c>
      <c r="DO411" s="58" t="str" cm="1">
        <f t="array" ref="DO411">IF(AND($BT411=4,$BX411=4,$BU411=999),$DF$36,_xlfn.IFNA(INDEX(DF$13:DF$70,MATCH(1,($BR411=$CV$13:$CV$70)*($BT411=$CX$13:$CX$70)*($CE411=$CY$13:$CY$70)*($BY411=$DA$13:$DA$70)*($CD411=$DH$13:$DH$70),0)),""))</f>
        <v/>
      </c>
      <c r="DP411" s="58" t="e">
        <f t="shared" si="668"/>
        <v>#N/A</v>
      </c>
      <c r="DW411" s="58" t="s">
        <v>58</v>
      </c>
      <c r="DX411" s="58" t="s">
        <v>554</v>
      </c>
      <c r="DY411" s="58">
        <v>0</v>
      </c>
      <c r="DZ411" s="58">
        <v>0</v>
      </c>
      <c r="EB411" s="58">
        <v>0</v>
      </c>
      <c r="EC411" s="58">
        <v>2</v>
      </c>
      <c r="ED411" s="58">
        <v>3</v>
      </c>
      <c r="EE411" s="58">
        <v>2</v>
      </c>
      <c r="EF411" s="58">
        <v>1</v>
      </c>
      <c r="EI411" s="58" t="s">
        <v>58</v>
      </c>
      <c r="EJ411" s="58" t="s">
        <v>554</v>
      </c>
      <c r="EK411" s="58">
        <v>0</v>
      </c>
      <c r="EL411" s="58">
        <v>0</v>
      </c>
      <c r="EN411" s="58">
        <v>0</v>
      </c>
      <c r="EO411" s="58">
        <v>2</v>
      </c>
      <c r="EP411" s="58">
        <v>3</v>
      </c>
      <c r="EQ411" s="58">
        <v>1</v>
      </c>
      <c r="ER411" s="58">
        <v>1</v>
      </c>
      <c r="EU411" s="58" t="str">
        <f t="shared" si="702"/>
        <v>No</v>
      </c>
      <c r="EV411" s="58" t="str">
        <f t="shared" si="703"/>
        <v>Time to treatment discontinuation</v>
      </c>
      <c r="EW411" s="58">
        <f t="shared" si="704"/>
        <v>0</v>
      </c>
      <c r="EX411" s="58">
        <f t="shared" si="705"/>
        <v>0</v>
      </c>
      <c r="EZ411" s="58">
        <f t="shared" si="706"/>
        <v>0</v>
      </c>
      <c r="FA411" s="58">
        <f t="shared" si="707"/>
        <v>2</v>
      </c>
      <c r="FB411" s="58">
        <f>IF(i_eff_inputs_based_on_num=2,ED411,(INDEX(Lists!$L$51:$L$85,MATCH(AD292,Lists!$K$51:$K$85,0))))</f>
        <v>3</v>
      </c>
      <c r="FC411" s="58">
        <f>IF(i_eff_inputs_based_on_num=2,EE411,(INDEX(Lists!$L$51:$L$85,MATCH(AE292,Lists!$K$51:$K$85,0))))</f>
        <v>2</v>
      </c>
      <c r="FD411" s="58">
        <f>IF(i_eff_inputs_based_on_num=2,EF411,(INDEX(Lists!$L$51:$L$85,MATCH(AF292,Lists!$K$51:$K$85,0))))</f>
        <v>1</v>
      </c>
      <c r="FG411" s="58" t="str">
        <f t="shared" si="708"/>
        <v>No</v>
      </c>
      <c r="FH411" s="58" t="str">
        <f t="shared" si="709"/>
        <v>Time to treatment discontinuation</v>
      </c>
      <c r="FI411" s="58">
        <f t="shared" si="710"/>
        <v>0</v>
      </c>
      <c r="FJ411" s="58">
        <f t="shared" si="711"/>
        <v>0</v>
      </c>
      <c r="FL411" s="58">
        <f t="shared" si="712"/>
        <v>0</v>
      </c>
      <c r="FM411" s="58">
        <f t="shared" si="713"/>
        <v>2</v>
      </c>
      <c r="FN411" s="58">
        <f>IF(i_eff_inputs_based_on_num=2,EP411,(INDEX(Lists!$L$51:$L$85,MATCH(AD292,Lists!$K$51:$K$85,0))))</f>
        <v>3</v>
      </c>
      <c r="FO411" s="58">
        <f>IF(i_eff_inputs_based_on_num=2,EQ411,(INDEX(Lists!$L$51:$L$85,MATCH(AE292,Lists!$K$51:$K$85,0))))</f>
        <v>1</v>
      </c>
      <c r="FP411" s="58">
        <f>IF(i_eff_inputs_based_on_num=2,ER411,(INDEX(Lists!$L$51:$L$85,MATCH(AF292,Lists!$K$51:$K$85,0))))</f>
        <v>1</v>
      </c>
      <c r="FT411" s="58">
        <f t="shared" si="669"/>
        <v>0</v>
      </c>
      <c r="FW411" s="58">
        <f>IF(i_baseline_risk_from=2,'Effectiveness settings'!EW411,'Effectiveness settings'!FI411)</f>
        <v>0</v>
      </c>
      <c r="FX411" s="58">
        <f t="shared" si="670"/>
        <v>0</v>
      </c>
      <c r="FY411" s="58">
        <f t="shared" si="671"/>
        <v>0</v>
      </c>
      <c r="FZ411" s="58">
        <f t="shared" si="672"/>
        <v>0</v>
      </c>
      <c r="GA411" s="58">
        <f t="shared" si="673"/>
        <v>0</v>
      </c>
      <c r="GB411" s="58">
        <f t="shared" si="674"/>
        <v>0</v>
      </c>
      <c r="GC411" s="58">
        <f t="shared" si="675"/>
        <v>0</v>
      </c>
      <c r="GD411" s="58">
        <f t="shared" si="676"/>
        <v>0</v>
      </c>
      <c r="GE411" s="58">
        <f>IF(AND(dd_CheckMate214_TTD="Yes",'Effectiveness settings'!BU411=2,'Effectiveness settings'!BX411=2),"Apply HR to",GD411)</f>
        <v>0</v>
      </c>
      <c r="GF411" s="58">
        <f t="shared" si="677"/>
        <v>0</v>
      </c>
      <c r="GG411" s="58">
        <f t="shared" si="678"/>
        <v>0</v>
      </c>
      <c r="GH411" s="58">
        <f t="shared" si="679"/>
        <v>0</v>
      </c>
      <c r="GI411" s="58">
        <f t="shared" si="640"/>
        <v>0</v>
      </c>
      <c r="GK411" s="58">
        <f>IF(i_baseline_risk_from=2,'Effectiveness settings'!FA411,'Effectiveness settings'!FM411)</f>
        <v>2</v>
      </c>
      <c r="GL411" s="58">
        <f>IF(i_baseline_risk_from=2,'Effectiveness settings'!FB411,'Effectiveness settings'!FN411)</f>
        <v>3</v>
      </c>
      <c r="GM411" s="58">
        <f>IF(i_baseline_risk_from=2,'Effectiveness settings'!FC411,'Effectiveness settings'!FO411)</f>
        <v>2</v>
      </c>
      <c r="GN411" s="58">
        <f>IF(i_baseline_risk_from=2,'Effectiveness settings'!FD411,'Effectiveness settings'!FP411)</f>
        <v>1</v>
      </c>
      <c r="GQ411" s="58">
        <f t="shared" si="680"/>
        <v>3</v>
      </c>
      <c r="GR411" s="58">
        <f t="shared" si="681"/>
        <v>3</v>
      </c>
      <c r="GS411" s="58">
        <f t="shared" si="682"/>
        <v>3</v>
      </c>
      <c r="GT411" s="58">
        <f t="shared" si="683"/>
        <v>3</v>
      </c>
      <c r="GU411" s="58">
        <f>IF(AND(dd_CheckMate214_TTD="Yes",'Effectiveness settings'!BU411=2,'Effectiveness settings'!BX411=2),2,GT411)</f>
        <v>3</v>
      </c>
      <c r="GV411" s="58">
        <f t="shared" si="684"/>
        <v>3</v>
      </c>
      <c r="GW411" s="58">
        <f t="shared" si="685"/>
        <v>3</v>
      </c>
      <c r="GY411" s="58">
        <f>IF(AND(dd_CheckMate214_TTD="Yes",'Effectiveness settings'!BU411=2,'Effectiveness settings'!BX411=2),1,GN411)</f>
        <v>1</v>
      </c>
      <c r="GZ411" s="58">
        <f t="shared" si="686"/>
        <v>1</v>
      </c>
      <c r="HB411" s="58">
        <f t="shared" si="687"/>
        <v>0</v>
      </c>
      <c r="HD411" s="58">
        <f t="shared" si="635"/>
        <v>0</v>
      </c>
      <c r="HE411" s="58">
        <f t="shared" si="636"/>
        <v>2</v>
      </c>
      <c r="HF411" s="58">
        <f t="shared" si="637"/>
        <v>3</v>
      </c>
      <c r="HG411" s="58">
        <f t="shared" si="638"/>
        <v>2</v>
      </c>
      <c r="HH411" s="58">
        <f t="shared" si="639"/>
        <v>1</v>
      </c>
    </row>
    <row r="412" spans="5:222" ht="15.75" x14ac:dyDescent="0.25">
      <c r="BQ412" s="58">
        <f t="shared" si="667"/>
        <v>243</v>
      </c>
      <c r="BR412" s="61">
        <v>0</v>
      </c>
      <c r="BS412" s="61" t="s">
        <v>31</v>
      </c>
      <c r="BT412" s="17">
        <v>2</v>
      </c>
      <c r="BU412" s="17">
        <v>4</v>
      </c>
      <c r="BV412" s="17" t="str">
        <f t="shared" si="690"/>
        <v>avelumab_plus_axitinib</v>
      </c>
      <c r="BW412" s="1006" t="str" cm="1">
        <f t="array" ref="BW412">IF(X293="No",X293,INDEX(List_incl_anal_2L_all,IF(BU412=999,35,BU412+1)))</f>
        <v>No</v>
      </c>
      <c r="BX412" s="61">
        <f t="shared" si="691"/>
        <v>2</v>
      </c>
      <c r="BY412" s="531" t="str">
        <f>Y293</f>
        <v>Time to treatment discontinuation</v>
      </c>
      <c r="BZ412" s="530">
        <f t="shared" si="692"/>
        <v>0</v>
      </c>
      <c r="CA412" s="531">
        <f t="shared" si="714"/>
        <v>0</v>
      </c>
      <c r="CB412" s="530">
        <f t="shared" si="693"/>
        <v>0</v>
      </c>
      <c r="CC412" s="530">
        <f t="shared" si="694"/>
        <v>2</v>
      </c>
      <c r="CD412" s="530">
        <f t="shared" si="695"/>
        <v>4</v>
      </c>
      <c r="CE412" s="1295">
        <f t="shared" si="696"/>
        <v>2</v>
      </c>
      <c r="CF412" s="1301">
        <f t="shared" si="697"/>
        <v>1</v>
      </c>
      <c r="CG412" s="530" t="str">
        <f t="shared" si="698"/>
        <v/>
      </c>
      <c r="CH412" s="61">
        <f t="shared" si="699"/>
        <v>0</v>
      </c>
      <c r="CI412" s="61">
        <f t="shared" si="700"/>
        <v>0</v>
      </c>
      <c r="CJ412" s="61">
        <f t="shared" si="701"/>
        <v>0</v>
      </c>
      <c r="DK412" s="58" t="str" cm="1">
        <f t="array" ref="DK412">IF(AND($BT412=4,$BX412=4,$BU412=999),$DB$36,_xlfn.IFNA(INDEX(DB$13:DB$70,MATCH(1,($BR412=$CV$13:$CV$70)*($BT412=$CX$13:$CX$70)*($CE412=$CY$13:$CY$70)*($BY412=$DA$13:$DA$70)*($CD412=$DH$13:$DH$70),0)),""))</f>
        <v/>
      </c>
      <c r="DL412" s="58" t="str" cm="1">
        <f t="array" ref="DL412">IF(AND($BT412=4,$BX412=4,$BU412=999),$DC$36,_xlfn.IFNA(INDEX(CHOOSE(DP412,DB$13:DB$70,DC$13:DC$70,DD$13:DD$70,DE$13:DE$70),MATCH(1,($BR412=$CV$13:$CV$70)*($BT412=$CX$13:$CX$70)*($CE412=$CY$13:$CY$70)*($BY412=$DA$13:$DA$70)*($CD412=$DH$13:$DH$70),0)),""))</f>
        <v/>
      </c>
      <c r="DM412" s="740" t="str" cm="1">
        <f t="array" ref="DM412">IF(AND($BT412=4,$BX412=4,$BU412=999),$DD$36,_xlfn.IFNA(INDEX(DD$13:DD$68,MATCH(1,($BR412=$CV$13:$CV$68)*($BT412=$CX$13:$CX$68)*($CE412=$CY$13:$CY$68)*($BY412=$DA$13:$DA$68)*($CD412=$DH$13:$DH$68),0)),""))</f>
        <v/>
      </c>
      <c r="DN412" s="740" t="str" cm="1">
        <f t="array" ref="DN412">IF(AND($BT412=4,$BX412=4,$BU412=999),$DD$36,_xlfn.IFNA(INDEX(DE$13:DE$68,MATCH(1,($BR412=$CV$13:$CV$68)*($BT412=$CX$13:$CX$68)*($CE412=$CY$13:$CY$68)*($BY412=$DA$13:$DA$68)*($CD412=$DH$13:$DH$68),0)),""))</f>
        <v/>
      </c>
      <c r="DO412" s="58" t="str" cm="1">
        <f t="array" ref="DO412">IF(AND($BT412=4,$BX412=4,$BU412=999),$DF$36,_xlfn.IFNA(INDEX(DF$13:DF$70,MATCH(1,($BR412=$CV$13:$CV$70)*($BT412=$CX$13:$CX$70)*($CE412=$CY$13:$CY$70)*($BY412=$DA$13:$DA$70)*($CD412=$DH$13:$DH$70),0)),""))</f>
        <v/>
      </c>
      <c r="DP412" s="58" t="e">
        <f t="shared" si="668"/>
        <v>#N/A</v>
      </c>
      <c r="DW412" s="58" t="s">
        <v>58</v>
      </c>
      <c r="DX412" s="58" t="s">
        <v>554</v>
      </c>
      <c r="DY412" s="58">
        <v>0</v>
      </c>
      <c r="DZ412" s="58">
        <v>0</v>
      </c>
      <c r="EB412" s="58">
        <v>0</v>
      </c>
      <c r="EC412" s="58">
        <v>2</v>
      </c>
      <c r="ED412" s="58">
        <v>4</v>
      </c>
      <c r="EE412" s="58">
        <v>2</v>
      </c>
      <c r="EF412" s="58">
        <v>1</v>
      </c>
      <c r="EI412" s="58" t="s">
        <v>58</v>
      </c>
      <c r="EJ412" s="58" t="s">
        <v>554</v>
      </c>
      <c r="EK412" s="58">
        <v>0</v>
      </c>
      <c r="EL412" s="58">
        <v>0</v>
      </c>
      <c r="EN412" s="58">
        <v>0</v>
      </c>
      <c r="EO412" s="58">
        <v>2</v>
      </c>
      <c r="EP412" s="58">
        <v>4</v>
      </c>
      <c r="EQ412" s="58">
        <v>1</v>
      </c>
      <c r="ER412" s="58">
        <v>1</v>
      </c>
      <c r="EU412" s="58" t="str">
        <f t="shared" si="702"/>
        <v>No</v>
      </c>
      <c r="EV412" s="58" t="str">
        <f t="shared" si="703"/>
        <v>Time to treatment discontinuation</v>
      </c>
      <c r="EW412" s="58">
        <f t="shared" si="704"/>
        <v>0</v>
      </c>
      <c r="EX412" s="58">
        <f t="shared" si="705"/>
        <v>0</v>
      </c>
      <c r="EZ412" s="58">
        <f t="shared" si="706"/>
        <v>0</v>
      </c>
      <c r="FA412" s="58">
        <f t="shared" si="707"/>
        <v>2</v>
      </c>
      <c r="FB412" s="58">
        <f>IF(i_eff_inputs_based_on_num=2,ED412,(INDEX(Lists!$L$51:$L$85,MATCH(AD293,Lists!$K$51:$K$85,0))))</f>
        <v>4</v>
      </c>
      <c r="FC412" s="58">
        <f>IF(i_eff_inputs_based_on_num=2,EE412,(INDEX(Lists!$L$51:$L$85,MATCH(AE293,Lists!$K$51:$K$85,0))))</f>
        <v>2</v>
      </c>
      <c r="FD412" s="58">
        <f>IF(i_eff_inputs_based_on_num=2,EF412,(INDEX(Lists!$L$51:$L$85,MATCH(AF293,Lists!$K$51:$K$85,0))))</f>
        <v>1</v>
      </c>
      <c r="FG412" s="58" t="str">
        <f t="shared" si="708"/>
        <v>No</v>
      </c>
      <c r="FH412" s="58" t="str">
        <f t="shared" si="709"/>
        <v>Time to treatment discontinuation</v>
      </c>
      <c r="FI412" s="58">
        <f t="shared" si="710"/>
        <v>0</v>
      </c>
      <c r="FJ412" s="58">
        <f t="shared" si="711"/>
        <v>0</v>
      </c>
      <c r="FL412" s="58">
        <f t="shared" si="712"/>
        <v>0</v>
      </c>
      <c r="FM412" s="58">
        <f t="shared" si="713"/>
        <v>2</v>
      </c>
      <c r="FN412" s="58">
        <f>IF(i_eff_inputs_based_on_num=2,EP412,(INDEX(Lists!$L$51:$L$85,MATCH(AD293,Lists!$K$51:$K$85,0))))</f>
        <v>4</v>
      </c>
      <c r="FO412" s="58">
        <f>IF(i_eff_inputs_based_on_num=2,EQ412,(INDEX(Lists!$L$51:$L$85,MATCH(AE293,Lists!$K$51:$K$85,0))))</f>
        <v>1</v>
      </c>
      <c r="FP412" s="58">
        <f>IF(i_eff_inputs_based_on_num=2,ER412,(INDEX(Lists!$L$51:$L$85,MATCH(AF293,Lists!$K$51:$K$85,0))))</f>
        <v>1</v>
      </c>
      <c r="FT412" s="58">
        <f t="shared" si="669"/>
        <v>0</v>
      </c>
      <c r="FW412" s="58">
        <f>IF(i_baseline_risk_from=2,'Effectiveness settings'!EW412,'Effectiveness settings'!FI412)</f>
        <v>0</v>
      </c>
      <c r="FX412" s="58">
        <f t="shared" si="670"/>
        <v>0</v>
      </c>
      <c r="FY412" s="58">
        <f t="shared" si="671"/>
        <v>0</v>
      </c>
      <c r="FZ412" s="58">
        <f t="shared" si="672"/>
        <v>0</v>
      </c>
      <c r="GA412" s="58">
        <f t="shared" si="673"/>
        <v>0</v>
      </c>
      <c r="GB412" s="58">
        <f t="shared" si="674"/>
        <v>0</v>
      </c>
      <c r="GC412" s="58">
        <f t="shared" si="675"/>
        <v>0</v>
      </c>
      <c r="GD412" s="58">
        <f t="shared" si="676"/>
        <v>0</v>
      </c>
      <c r="GE412" s="58">
        <f>IF(AND(dd_CheckMate214_TTD="Yes",'Effectiveness settings'!BU412=2,'Effectiveness settings'!BX412=2),"Apply HR to",GD412)</f>
        <v>0</v>
      </c>
      <c r="GF412" s="58">
        <f t="shared" si="677"/>
        <v>0</v>
      </c>
      <c r="GG412" s="58">
        <f t="shared" si="678"/>
        <v>0</v>
      </c>
      <c r="GH412" s="58">
        <f t="shared" si="679"/>
        <v>0</v>
      </c>
      <c r="GI412" s="58">
        <f t="shared" si="640"/>
        <v>0</v>
      </c>
      <c r="GK412" s="58">
        <f>IF(i_baseline_risk_from=2,'Effectiveness settings'!FA412,'Effectiveness settings'!FM412)</f>
        <v>2</v>
      </c>
      <c r="GL412" s="58">
        <f>IF(i_baseline_risk_from=2,'Effectiveness settings'!FB412,'Effectiveness settings'!FN412)</f>
        <v>4</v>
      </c>
      <c r="GM412" s="58">
        <f>IF(i_baseline_risk_from=2,'Effectiveness settings'!FC412,'Effectiveness settings'!FO412)</f>
        <v>2</v>
      </c>
      <c r="GN412" s="58">
        <f>IF(i_baseline_risk_from=2,'Effectiveness settings'!FD412,'Effectiveness settings'!FP412)</f>
        <v>1</v>
      </c>
      <c r="GQ412" s="58">
        <f t="shared" si="680"/>
        <v>4</v>
      </c>
      <c r="GR412" s="58">
        <f t="shared" si="681"/>
        <v>4</v>
      </c>
      <c r="GS412" s="58">
        <f t="shared" si="682"/>
        <v>4</v>
      </c>
      <c r="GT412" s="58">
        <f t="shared" si="683"/>
        <v>4</v>
      </c>
      <c r="GU412" s="58">
        <f>IF(AND(dd_CheckMate214_TTD="Yes",'Effectiveness settings'!BU412=2,'Effectiveness settings'!BX412=2),2,GT412)</f>
        <v>4</v>
      </c>
      <c r="GV412" s="58">
        <f t="shared" si="684"/>
        <v>4</v>
      </c>
      <c r="GW412" s="58">
        <f t="shared" si="685"/>
        <v>4</v>
      </c>
      <c r="GY412" s="58">
        <f>IF(AND(dd_CheckMate214_TTD="Yes",'Effectiveness settings'!BU412=2,'Effectiveness settings'!BX412=2),1,GN412)</f>
        <v>1</v>
      </c>
      <c r="GZ412" s="58">
        <f t="shared" si="686"/>
        <v>1</v>
      </c>
      <c r="HB412" s="58">
        <f t="shared" si="687"/>
        <v>0</v>
      </c>
      <c r="HD412" s="58">
        <f t="shared" si="635"/>
        <v>0</v>
      </c>
      <c r="HE412" s="58">
        <f t="shared" si="636"/>
        <v>2</v>
      </c>
      <c r="HF412" s="58">
        <f t="shared" si="637"/>
        <v>4</v>
      </c>
      <c r="HG412" s="58">
        <f t="shared" si="638"/>
        <v>2</v>
      </c>
      <c r="HH412" s="58">
        <f t="shared" si="639"/>
        <v>1</v>
      </c>
    </row>
    <row r="413" spans="5:222" ht="15.75" x14ac:dyDescent="0.25">
      <c r="BQ413" s="58">
        <f t="shared" si="667"/>
        <v>244</v>
      </c>
      <c r="BR413" s="61">
        <v>0</v>
      </c>
      <c r="BS413" s="61" t="s">
        <v>31</v>
      </c>
      <c r="BT413" s="17">
        <v>2</v>
      </c>
      <c r="BU413" s="17">
        <v>5</v>
      </c>
      <c r="BV413" s="17" t="str">
        <f t="shared" si="690"/>
        <v>pazopanib</v>
      </c>
      <c r="BW413" s="1006" t="str" cm="1">
        <f t="array" ref="BW413">IF(X294="No",X294,INDEX(List_incl_anal_2L_all,IF(BU413=999,35,BU413+1)))</f>
        <v>Yes</v>
      </c>
      <c r="BX413" s="61">
        <f t="shared" si="691"/>
        <v>2</v>
      </c>
      <c r="BY413" s="531" t="str">
        <f t="shared" ref="BY413:BY421" si="715">Y294</f>
        <v>Time to treatment discontinuation</v>
      </c>
      <c r="BZ413" s="530" t="str">
        <f t="shared" si="692"/>
        <v>Apply HR to</v>
      </c>
      <c r="CA413" s="531">
        <f t="shared" si="714"/>
        <v>0</v>
      </c>
      <c r="CB413" s="530">
        <f t="shared" si="693"/>
        <v>0</v>
      </c>
      <c r="CC413" s="530">
        <f t="shared" si="694"/>
        <v>2</v>
      </c>
      <c r="CD413" s="530">
        <f t="shared" si="695"/>
        <v>5</v>
      </c>
      <c r="CE413" s="1295">
        <f t="shared" si="696"/>
        <v>2</v>
      </c>
      <c r="CF413" s="1301">
        <f t="shared" si="697"/>
        <v>1</v>
      </c>
      <c r="CG413" s="530" t="str">
        <f t="shared" si="698"/>
        <v/>
      </c>
      <c r="CH413" s="61">
        <f t="shared" si="699"/>
        <v>1.19</v>
      </c>
      <c r="CI413" s="61">
        <f t="shared" si="700"/>
        <v>1.1499999999999999</v>
      </c>
      <c r="CJ413" s="61">
        <f t="shared" si="701"/>
        <v>1.24</v>
      </c>
      <c r="DK413" s="58" t="str" cm="1">
        <f t="array" ref="DK413">IF(AND($BT413=4,$BX413=4,$BU413=999),$DB$36,_xlfn.IFNA(INDEX(DB$13:DB$70,MATCH(1,($BR413=$CV$13:$CV$70)*($BT413=$CX$13:$CX$70)*($CE413=$CY$13:$CY$70)*($BY413=$DA$13:$DA$70)*($CD413=$DH$13:$DH$70),0)),""))</f>
        <v/>
      </c>
      <c r="DL413" s="58" t="str" cm="1">
        <f t="array" ref="DL413">IF(AND($BT413=4,$BX413=4,$BU413=999),$DC$36,_xlfn.IFNA(INDEX(CHOOSE(DP413,DB$13:DB$70,DC$13:DC$70,DD$13:DD$70,DE$13:DE$70),MATCH(1,($BR413=$CV$13:$CV$70)*($BT413=$CX$13:$CX$70)*($CE413=$CY$13:$CY$70)*($BY413=$DA$13:$DA$70)*($CD413=$DH$13:$DH$70),0)),""))</f>
        <v/>
      </c>
      <c r="DM413" s="740" t="str" cm="1">
        <f t="array" ref="DM413">IF(AND($BT413=4,$BX413=4,$BU413=999),$DD$36,_xlfn.IFNA(INDEX(DD$13:DD$68,MATCH(1,($BR413=$CV$13:$CV$68)*($BT413=$CX$13:$CX$68)*($CE413=$CY$13:$CY$68)*($BY413=$DA$13:$DA$68)*($CD413=$DH$13:$DH$68),0)),""))</f>
        <v/>
      </c>
      <c r="DN413" s="740" t="str" cm="1">
        <f t="array" ref="DN413">IF(AND($BT413=4,$BX413=4,$BU413=999),$DD$36,_xlfn.IFNA(INDEX(DE$13:DE$68,MATCH(1,($BR413=$CV$13:$CV$68)*($BT413=$CX$13:$CX$68)*($CE413=$CY$13:$CY$68)*($BY413=$DA$13:$DA$68)*($CD413=$DH$13:$DH$68),0)),""))</f>
        <v/>
      </c>
      <c r="DO413" s="58" t="str" cm="1">
        <f t="array" ref="DO413">IF(AND($BT413=4,$BX413=4,$BU413=999),$DF$36,_xlfn.IFNA(INDEX(DF$13:DF$70,MATCH(1,($BR413=$CV$13:$CV$70)*($BT413=$CX$13:$CX$70)*($CE413=$CY$13:$CY$70)*($BY413=$DA$13:$DA$70)*($CD413=$DH$13:$DH$70),0)),""))</f>
        <v/>
      </c>
      <c r="DP413" s="58" t="e">
        <f t="shared" si="668"/>
        <v>#N/A</v>
      </c>
      <c r="DW413" s="58" t="s">
        <v>74</v>
      </c>
      <c r="DX413" s="58" t="s">
        <v>554</v>
      </c>
      <c r="DY413" s="58" t="s">
        <v>578</v>
      </c>
      <c r="DZ413" s="58">
        <v>0</v>
      </c>
      <c r="EB413" s="58">
        <v>0</v>
      </c>
      <c r="EC413" s="58">
        <v>2</v>
      </c>
      <c r="ED413" s="58">
        <v>5</v>
      </c>
      <c r="EE413" s="58">
        <v>2</v>
      </c>
      <c r="EF413" s="58">
        <v>1</v>
      </c>
      <c r="EI413" s="58" t="s">
        <v>74</v>
      </c>
      <c r="EJ413" s="58" t="s">
        <v>554</v>
      </c>
      <c r="EK413" s="58" t="s">
        <v>578</v>
      </c>
      <c r="EL413" s="58">
        <v>0</v>
      </c>
      <c r="EN413" s="58">
        <v>0</v>
      </c>
      <c r="EO413" s="58">
        <v>2</v>
      </c>
      <c r="EP413" s="58">
        <v>5</v>
      </c>
      <c r="EQ413" s="58">
        <v>1</v>
      </c>
      <c r="ER413" s="58">
        <v>1</v>
      </c>
      <c r="EU413" s="58" t="str">
        <f t="shared" si="702"/>
        <v>Yes</v>
      </c>
      <c r="EV413" s="58" t="str">
        <f t="shared" si="703"/>
        <v>Time to treatment discontinuation</v>
      </c>
      <c r="EW413" s="58" t="str">
        <f t="shared" si="704"/>
        <v>Apply HR to</v>
      </c>
      <c r="EX413" s="58">
        <f t="shared" si="705"/>
        <v>0</v>
      </c>
      <c r="EZ413" s="58">
        <f t="shared" si="706"/>
        <v>0</v>
      </c>
      <c r="FA413" s="58">
        <f t="shared" si="707"/>
        <v>2</v>
      </c>
      <c r="FB413" s="58">
        <f>IF(i_eff_inputs_based_on_num=2,ED413,(INDEX(Lists!$L$51:$L$85,MATCH(AD294,Lists!$K$51:$K$85,0))))</f>
        <v>5</v>
      </c>
      <c r="FC413" s="58">
        <f>IF(i_eff_inputs_based_on_num=2,EE413,(INDEX(Lists!$L$51:$L$85,MATCH(AE294,Lists!$K$51:$K$85,0))))</f>
        <v>2</v>
      </c>
      <c r="FD413" s="58">
        <f>IF(i_eff_inputs_based_on_num=2,EF413,(INDEX(Lists!$L$51:$L$85,MATCH(AF294,Lists!$K$51:$K$85,0))))</f>
        <v>1</v>
      </c>
      <c r="FG413" s="58" t="str">
        <f t="shared" si="708"/>
        <v>Yes</v>
      </c>
      <c r="FH413" s="58" t="str">
        <f t="shared" si="709"/>
        <v>Time to treatment discontinuation</v>
      </c>
      <c r="FI413" s="58" t="str">
        <f t="shared" si="710"/>
        <v>Apply HR to</v>
      </c>
      <c r="FJ413" s="58">
        <f t="shared" si="711"/>
        <v>0</v>
      </c>
      <c r="FL413" s="58">
        <f t="shared" si="712"/>
        <v>0</v>
      </c>
      <c r="FM413" s="58">
        <f t="shared" si="713"/>
        <v>2</v>
      </c>
      <c r="FN413" s="58">
        <f>IF(i_eff_inputs_based_on_num=2,EP413,(INDEX(Lists!$L$51:$L$85,MATCH(AD294,Lists!$K$51:$K$85,0))))</f>
        <v>5</v>
      </c>
      <c r="FO413" s="58">
        <f>IF(i_eff_inputs_based_on_num=2,EQ413,(INDEX(Lists!$L$51:$L$85,MATCH(AE294,Lists!$K$51:$K$85,0))))</f>
        <v>1</v>
      </c>
      <c r="FP413" s="58">
        <f>IF(i_eff_inputs_based_on_num=2,ER413,(INDEX(Lists!$L$51:$L$85,MATCH(AF294,Lists!$K$51:$K$85,0))))</f>
        <v>1</v>
      </c>
      <c r="FT413" s="58">
        <f t="shared" si="669"/>
        <v>0</v>
      </c>
      <c r="FW413" s="58" t="str">
        <f>IF(i_baseline_risk_from=2,'Effectiveness settings'!EW413,'Effectiveness settings'!FI413)</f>
        <v>Apply HR to</v>
      </c>
      <c r="FX413" s="58" t="str">
        <f t="shared" si="670"/>
        <v>Apply HR to</v>
      </c>
      <c r="FY413" s="58" t="str">
        <f t="shared" si="671"/>
        <v>Apply HR to</v>
      </c>
      <c r="FZ413" s="58" t="str">
        <f t="shared" si="672"/>
        <v>Apply HR to</v>
      </c>
      <c r="GA413" s="58" t="str">
        <f t="shared" si="673"/>
        <v>Apply HR to</v>
      </c>
      <c r="GB413" s="58" t="str">
        <f t="shared" si="674"/>
        <v>Apply HR to</v>
      </c>
      <c r="GC413" s="58" t="str">
        <f t="shared" si="675"/>
        <v>Apply HR to</v>
      </c>
      <c r="GD413" s="58" t="str">
        <f t="shared" si="676"/>
        <v>Apply HR to</v>
      </c>
      <c r="GE413" s="58" t="str">
        <f>IF(AND(dd_CheckMate214_TTD="Yes",'Effectiveness settings'!BU413=2,'Effectiveness settings'!BX413=2),"Apply HR to",GD413)</f>
        <v>Apply HR to</v>
      </c>
      <c r="GF413" s="58" t="str">
        <f t="shared" si="677"/>
        <v>Apply HR to</v>
      </c>
      <c r="GG413" s="58" t="str">
        <f t="shared" si="678"/>
        <v>Apply HR to</v>
      </c>
      <c r="GH413" s="58" t="str">
        <f t="shared" si="679"/>
        <v>Apply HR to</v>
      </c>
      <c r="GI413" s="58" t="str">
        <f t="shared" si="640"/>
        <v>Apply HR to</v>
      </c>
      <c r="GK413" s="58">
        <f>IF(i_baseline_risk_from=2,'Effectiveness settings'!FA413,'Effectiveness settings'!FM413)</f>
        <v>2</v>
      </c>
      <c r="GL413" s="58">
        <f>IF(i_baseline_risk_from=2,'Effectiveness settings'!FB413,'Effectiveness settings'!FN413)</f>
        <v>5</v>
      </c>
      <c r="GM413" s="58">
        <f>IF(i_baseline_risk_from=2,'Effectiveness settings'!FC413,'Effectiveness settings'!FO413)</f>
        <v>2</v>
      </c>
      <c r="GN413" s="58">
        <f>IF(i_baseline_risk_from=2,'Effectiveness settings'!FD413,'Effectiveness settings'!FP413)</f>
        <v>1</v>
      </c>
      <c r="GQ413" s="58">
        <f t="shared" si="680"/>
        <v>5</v>
      </c>
      <c r="GR413" s="58">
        <f t="shared" si="681"/>
        <v>5</v>
      </c>
      <c r="GS413" s="58">
        <f t="shared" si="682"/>
        <v>5</v>
      </c>
      <c r="GT413" s="58">
        <f t="shared" si="683"/>
        <v>5</v>
      </c>
      <c r="GU413" s="58">
        <f>IF(AND(dd_CheckMate214_TTD="Yes",'Effectiveness settings'!BU413=2,'Effectiveness settings'!BX413=2),2,GT413)</f>
        <v>5</v>
      </c>
      <c r="GV413" s="58">
        <f t="shared" si="684"/>
        <v>5</v>
      </c>
      <c r="GW413" s="58">
        <f t="shared" si="685"/>
        <v>5</v>
      </c>
      <c r="GY413" s="58">
        <f>IF(AND(dd_CheckMate214_TTD="Yes",'Effectiveness settings'!BU413=2,'Effectiveness settings'!BX413=2),1,GN413)</f>
        <v>1</v>
      </c>
      <c r="GZ413" s="58">
        <f t="shared" si="686"/>
        <v>1</v>
      </c>
      <c r="HB413" s="58">
        <f t="shared" si="687"/>
        <v>0</v>
      </c>
      <c r="HD413" s="58">
        <f t="shared" si="635"/>
        <v>0</v>
      </c>
      <c r="HE413" s="58">
        <f t="shared" si="636"/>
        <v>2</v>
      </c>
      <c r="HF413" s="58">
        <f t="shared" si="637"/>
        <v>5</v>
      </c>
      <c r="HG413" s="58">
        <f t="shared" si="638"/>
        <v>2</v>
      </c>
      <c r="HH413" s="58">
        <f t="shared" si="639"/>
        <v>1</v>
      </c>
    </row>
    <row r="414" spans="5:222" ht="15.75" x14ac:dyDescent="0.25">
      <c r="BQ414" s="58">
        <f t="shared" si="667"/>
        <v>245</v>
      </c>
      <c r="BR414" s="61">
        <v>0</v>
      </c>
      <c r="BS414" s="61" t="s">
        <v>31</v>
      </c>
      <c r="BT414" s="17">
        <v>2</v>
      </c>
      <c r="BU414" s="17">
        <v>6</v>
      </c>
      <c r="BV414" s="17" t="str">
        <f t="shared" si="690"/>
        <v>tivozanib</v>
      </c>
      <c r="BW414" s="1006" t="str" cm="1">
        <f t="array" ref="BW414">IF(X295="No",X295,INDEX(List_incl_anal_2L_all,IF(BU414=999,35,BU414+1)))</f>
        <v>Yes</v>
      </c>
      <c r="BX414" s="61">
        <f t="shared" si="691"/>
        <v>2</v>
      </c>
      <c r="BY414" s="531" t="str">
        <f t="shared" si="715"/>
        <v>Time to treatment discontinuation</v>
      </c>
      <c r="BZ414" s="530" t="str">
        <f t="shared" si="692"/>
        <v>Apply HR to</v>
      </c>
      <c r="CA414" s="531">
        <f t="shared" si="714"/>
        <v>0</v>
      </c>
      <c r="CB414" s="530">
        <f t="shared" si="693"/>
        <v>0</v>
      </c>
      <c r="CC414" s="530">
        <f t="shared" si="694"/>
        <v>2</v>
      </c>
      <c r="CD414" s="530">
        <f t="shared" si="695"/>
        <v>6</v>
      </c>
      <c r="CE414" s="1295">
        <f t="shared" si="696"/>
        <v>2</v>
      </c>
      <c r="CF414" s="1301">
        <f t="shared" si="697"/>
        <v>1</v>
      </c>
      <c r="CG414" s="530" t="str">
        <f t="shared" si="698"/>
        <v/>
      </c>
      <c r="CH414" s="61">
        <f t="shared" si="699"/>
        <v>1.19</v>
      </c>
      <c r="CI414" s="61">
        <f t="shared" si="700"/>
        <v>1.1499999999999999</v>
      </c>
      <c r="CJ414" s="61">
        <f t="shared" si="701"/>
        <v>1.24</v>
      </c>
      <c r="DK414" s="58" t="str" cm="1">
        <f t="array" ref="DK414">IF(AND($BT414=4,$BX414=4,$BU414=999),$DB$36,_xlfn.IFNA(INDEX(DB$13:DB$70,MATCH(1,($BR414=$CV$13:$CV$70)*($BT414=$CX$13:$CX$70)*($CE414=$CY$13:$CY$70)*($BY414=$DA$13:$DA$70)*($CD414=$DH$13:$DH$70),0)),""))</f>
        <v/>
      </c>
      <c r="DL414" s="58" t="str" cm="1">
        <f t="array" ref="DL414">IF(AND($BT414=4,$BX414=4,$BU414=999),$DC$36,_xlfn.IFNA(INDEX(CHOOSE(DP414,DB$13:DB$70,DC$13:DC$70,DD$13:DD$70,DE$13:DE$70),MATCH(1,($BR414=$CV$13:$CV$70)*($BT414=$CX$13:$CX$70)*($CE414=$CY$13:$CY$70)*($BY414=$DA$13:$DA$70)*($CD414=$DH$13:$DH$70),0)),""))</f>
        <v/>
      </c>
      <c r="DM414" s="740" t="str" cm="1">
        <f t="array" ref="DM414">IF(AND($BT414=4,$BX414=4,$BU414=999),$DD$36,_xlfn.IFNA(INDEX(DD$13:DD$68,MATCH(1,($BR414=$CV$13:$CV$68)*($BT414=$CX$13:$CX$68)*($CE414=$CY$13:$CY$68)*($BY414=$DA$13:$DA$68)*($CD414=$DH$13:$DH$68),0)),""))</f>
        <v/>
      </c>
      <c r="DN414" s="740" t="str" cm="1">
        <f t="array" ref="DN414">IF(AND($BT414=4,$BX414=4,$BU414=999),$DD$36,_xlfn.IFNA(INDEX(DE$13:DE$68,MATCH(1,($BR414=$CV$13:$CV$68)*($BT414=$CX$13:$CX$68)*($CE414=$CY$13:$CY$68)*($BY414=$DA$13:$DA$68)*($CD414=$DH$13:$DH$68),0)),""))</f>
        <v/>
      </c>
      <c r="DO414" s="58" t="str" cm="1">
        <f t="array" ref="DO414">IF(AND($BT414=4,$BX414=4,$BU414=999),$DF$36,_xlfn.IFNA(INDEX(DF$13:DF$70,MATCH(1,($BR414=$CV$13:$CV$70)*($BT414=$CX$13:$CX$70)*($CE414=$CY$13:$CY$70)*($BY414=$DA$13:$DA$70)*($CD414=$DH$13:$DH$70),0)),""))</f>
        <v/>
      </c>
      <c r="DP414" s="58" t="e">
        <f t="shared" si="668"/>
        <v>#N/A</v>
      </c>
      <c r="DW414" s="58" t="s">
        <v>74</v>
      </c>
      <c r="DX414" s="58" t="s">
        <v>554</v>
      </c>
      <c r="DY414" s="58" t="s">
        <v>578</v>
      </c>
      <c r="DZ414" s="58">
        <v>0</v>
      </c>
      <c r="EB414" s="58">
        <v>0</v>
      </c>
      <c r="EC414" s="58">
        <v>2</v>
      </c>
      <c r="ED414" s="58">
        <v>6</v>
      </c>
      <c r="EE414" s="58">
        <v>2</v>
      </c>
      <c r="EF414" s="58">
        <v>1</v>
      </c>
      <c r="EI414" s="58" t="s">
        <v>74</v>
      </c>
      <c r="EJ414" s="58" t="s">
        <v>554</v>
      </c>
      <c r="EK414" s="58" t="s">
        <v>578</v>
      </c>
      <c r="EL414" s="58">
        <v>0</v>
      </c>
      <c r="EN414" s="58">
        <v>0</v>
      </c>
      <c r="EO414" s="58">
        <v>2</v>
      </c>
      <c r="EP414" s="58">
        <v>6</v>
      </c>
      <c r="EQ414" s="58">
        <v>1</v>
      </c>
      <c r="ER414" s="58">
        <v>1</v>
      </c>
      <c r="EU414" s="58" t="str">
        <f t="shared" si="702"/>
        <v>Yes</v>
      </c>
      <c r="EV414" s="58" t="str">
        <f t="shared" si="703"/>
        <v>Time to treatment discontinuation</v>
      </c>
      <c r="EW414" s="58" t="str">
        <f t="shared" si="704"/>
        <v>Apply HR to</v>
      </c>
      <c r="EX414" s="58">
        <f t="shared" si="705"/>
        <v>0</v>
      </c>
      <c r="EZ414" s="58">
        <f t="shared" si="706"/>
        <v>0</v>
      </c>
      <c r="FA414" s="58">
        <f t="shared" si="707"/>
        <v>2</v>
      </c>
      <c r="FB414" s="58">
        <f>IF(i_eff_inputs_based_on_num=2,ED414,(INDEX(Lists!$L$51:$L$85,MATCH(AD295,Lists!$K$51:$K$85,0))))</f>
        <v>6</v>
      </c>
      <c r="FC414" s="58">
        <f>IF(i_eff_inputs_based_on_num=2,EE414,(INDEX(Lists!$L$51:$L$85,MATCH(AE295,Lists!$K$51:$K$85,0))))</f>
        <v>2</v>
      </c>
      <c r="FD414" s="58">
        <f>IF(i_eff_inputs_based_on_num=2,EF414,(INDEX(Lists!$L$51:$L$85,MATCH(AF295,Lists!$K$51:$K$85,0))))</f>
        <v>1</v>
      </c>
      <c r="FG414" s="58" t="str">
        <f t="shared" si="708"/>
        <v>Yes</v>
      </c>
      <c r="FH414" s="58" t="str">
        <f t="shared" si="709"/>
        <v>Time to treatment discontinuation</v>
      </c>
      <c r="FI414" s="58" t="str">
        <f t="shared" si="710"/>
        <v>Apply HR to</v>
      </c>
      <c r="FJ414" s="58">
        <f t="shared" si="711"/>
        <v>0</v>
      </c>
      <c r="FL414" s="58">
        <f t="shared" si="712"/>
        <v>0</v>
      </c>
      <c r="FM414" s="58">
        <f t="shared" si="713"/>
        <v>2</v>
      </c>
      <c r="FN414" s="58">
        <f>IF(i_eff_inputs_based_on_num=2,EP414,(INDEX(Lists!$L$51:$L$85,MATCH(AD295,Lists!$K$51:$K$85,0))))</f>
        <v>6</v>
      </c>
      <c r="FO414" s="58">
        <f>IF(i_eff_inputs_based_on_num=2,EQ414,(INDEX(Lists!$L$51:$L$85,MATCH(AE295,Lists!$K$51:$K$85,0))))</f>
        <v>1</v>
      </c>
      <c r="FP414" s="58">
        <f>IF(i_eff_inputs_based_on_num=2,ER414,(INDEX(Lists!$L$51:$L$85,MATCH(AF295,Lists!$K$51:$K$85,0))))</f>
        <v>1</v>
      </c>
      <c r="FT414" s="58">
        <f t="shared" si="669"/>
        <v>0</v>
      </c>
      <c r="FW414" s="58" t="str">
        <f>IF(i_baseline_risk_from=2,'Effectiveness settings'!EW414,'Effectiveness settings'!FI414)</f>
        <v>Apply HR to</v>
      </c>
      <c r="FX414" s="58" t="str">
        <f t="shared" si="670"/>
        <v>Apply HR to</v>
      </c>
      <c r="FY414" s="58" t="str">
        <f t="shared" si="671"/>
        <v>Apply HR to</v>
      </c>
      <c r="FZ414" s="58" t="str">
        <f t="shared" si="672"/>
        <v>Apply HR to</v>
      </c>
      <c r="GA414" s="58" t="str">
        <f t="shared" si="673"/>
        <v>Apply HR to</v>
      </c>
      <c r="GB414" s="58" t="str">
        <f t="shared" si="674"/>
        <v>Apply HR to</v>
      </c>
      <c r="GC414" s="58" t="str">
        <f t="shared" si="675"/>
        <v>Apply HR to</v>
      </c>
      <c r="GD414" s="58" t="str">
        <f t="shared" si="676"/>
        <v>Apply HR to</v>
      </c>
      <c r="GE414" s="58" t="str">
        <f>IF(AND(dd_CheckMate214_TTD="Yes",'Effectiveness settings'!BU414=2,'Effectiveness settings'!BX414=2),"Apply HR to",GD414)</f>
        <v>Apply HR to</v>
      </c>
      <c r="GF414" s="58" t="str">
        <f t="shared" si="677"/>
        <v>Apply HR to</v>
      </c>
      <c r="GG414" s="58" t="str">
        <f t="shared" si="678"/>
        <v>Apply HR to</v>
      </c>
      <c r="GH414" s="58" t="str">
        <f t="shared" si="679"/>
        <v>Apply HR to</v>
      </c>
      <c r="GI414" s="58" t="str">
        <f t="shared" si="640"/>
        <v>Apply HR to</v>
      </c>
      <c r="GK414" s="58">
        <f>IF(i_baseline_risk_from=2,'Effectiveness settings'!FA414,'Effectiveness settings'!FM414)</f>
        <v>2</v>
      </c>
      <c r="GL414" s="58">
        <f>IF(i_baseline_risk_from=2,'Effectiveness settings'!FB414,'Effectiveness settings'!FN414)</f>
        <v>6</v>
      </c>
      <c r="GM414" s="58">
        <f>IF(i_baseline_risk_from=2,'Effectiveness settings'!FC414,'Effectiveness settings'!FO414)</f>
        <v>2</v>
      </c>
      <c r="GN414" s="58">
        <f>IF(i_baseline_risk_from=2,'Effectiveness settings'!FD414,'Effectiveness settings'!FP414)</f>
        <v>1</v>
      </c>
      <c r="GQ414" s="58">
        <f t="shared" si="680"/>
        <v>6</v>
      </c>
      <c r="GR414" s="58">
        <f t="shared" si="681"/>
        <v>6</v>
      </c>
      <c r="GS414" s="58">
        <f t="shared" si="682"/>
        <v>6</v>
      </c>
      <c r="GT414" s="58">
        <f t="shared" si="683"/>
        <v>6</v>
      </c>
      <c r="GU414" s="58">
        <f>IF(AND(dd_CheckMate214_TTD="Yes",'Effectiveness settings'!BU414=2,'Effectiveness settings'!BX414=2),2,GT414)</f>
        <v>6</v>
      </c>
      <c r="GV414" s="58">
        <f t="shared" si="684"/>
        <v>6</v>
      </c>
      <c r="GW414" s="58">
        <f t="shared" si="685"/>
        <v>6</v>
      </c>
      <c r="GY414" s="58">
        <f>IF(AND(dd_CheckMate214_TTD="Yes",'Effectiveness settings'!BU414=2,'Effectiveness settings'!BX414=2),1,GN414)</f>
        <v>1</v>
      </c>
      <c r="GZ414" s="58">
        <f t="shared" si="686"/>
        <v>1</v>
      </c>
      <c r="HB414" s="58">
        <f t="shared" si="687"/>
        <v>0</v>
      </c>
      <c r="HD414" s="58">
        <f t="shared" si="635"/>
        <v>0</v>
      </c>
      <c r="HE414" s="58">
        <f t="shared" si="636"/>
        <v>2</v>
      </c>
      <c r="HF414" s="58">
        <f t="shared" si="637"/>
        <v>6</v>
      </c>
      <c r="HG414" s="58">
        <f t="shared" si="638"/>
        <v>2</v>
      </c>
      <c r="HH414" s="58">
        <f t="shared" si="639"/>
        <v>1</v>
      </c>
    </row>
    <row r="415" spans="5:222" ht="15.75" x14ac:dyDescent="0.25">
      <c r="BQ415" s="58">
        <f t="shared" si="667"/>
        <v>246</v>
      </c>
      <c r="BR415" s="61">
        <v>0</v>
      </c>
      <c r="BS415" s="61" t="s">
        <v>31</v>
      </c>
      <c r="BT415" s="17">
        <v>2</v>
      </c>
      <c r="BU415" s="17">
        <v>7</v>
      </c>
      <c r="BV415" s="17" t="str">
        <f t="shared" si="690"/>
        <v>sunitinib</v>
      </c>
      <c r="BW415" s="1006" t="str" cm="1">
        <f t="array" ref="BW415">IF(X296="No",X296,INDEX(List_incl_anal_2L_all,IF(BU415=999,35,BU415+1)))</f>
        <v>Yes</v>
      </c>
      <c r="BX415" s="61">
        <f t="shared" si="691"/>
        <v>2</v>
      </c>
      <c r="BY415" s="531" t="str">
        <f t="shared" si="715"/>
        <v>Time to treatment discontinuation</v>
      </c>
      <c r="BZ415" s="530" t="str">
        <f t="shared" si="692"/>
        <v>Apply HR to</v>
      </c>
      <c r="CA415" s="531">
        <f t="shared" si="714"/>
        <v>0</v>
      </c>
      <c r="CB415" s="530">
        <f t="shared" si="693"/>
        <v>0</v>
      </c>
      <c r="CC415" s="530">
        <f t="shared" si="694"/>
        <v>2</v>
      </c>
      <c r="CD415" s="530">
        <f t="shared" si="695"/>
        <v>7</v>
      </c>
      <c r="CE415" s="1295">
        <f t="shared" si="696"/>
        <v>2</v>
      </c>
      <c r="CF415" s="1301">
        <f t="shared" si="697"/>
        <v>1</v>
      </c>
      <c r="CG415" s="530" t="str">
        <f t="shared" si="698"/>
        <v/>
      </c>
      <c r="CH415" s="61">
        <f t="shared" si="699"/>
        <v>1.19</v>
      </c>
      <c r="CI415" s="61">
        <f t="shared" si="700"/>
        <v>1.1499999999999999</v>
      </c>
      <c r="CJ415" s="61">
        <f t="shared" si="701"/>
        <v>1.24</v>
      </c>
      <c r="DK415" s="58" t="str" cm="1">
        <f t="array" ref="DK415">IF(AND($BT415=4,$BX415=4,$BU415=999),$DB$36,_xlfn.IFNA(INDEX(DB$13:DB$70,MATCH(1,($BR415=$CV$13:$CV$70)*($BT415=$CX$13:$CX$70)*($CE415=$CY$13:$CY$70)*($BY415=$DA$13:$DA$70)*($CD415=$DH$13:$DH$70),0)),""))</f>
        <v/>
      </c>
      <c r="DL415" s="58" t="str" cm="1">
        <f t="array" ref="DL415">IF(AND($BT415=4,$BX415=4,$BU415=999),$DC$36,_xlfn.IFNA(INDEX(CHOOSE(DP415,DB$13:DB$70,DC$13:DC$70,DD$13:DD$70,DE$13:DE$70),MATCH(1,($BR415=$CV$13:$CV$70)*($BT415=$CX$13:$CX$70)*($CE415=$CY$13:$CY$70)*($BY415=$DA$13:$DA$70)*($CD415=$DH$13:$DH$70),0)),""))</f>
        <v/>
      </c>
      <c r="DM415" s="740" t="str" cm="1">
        <f t="array" ref="DM415">IF(AND($BT415=4,$BX415=4,$BU415=999),$DD$36,_xlfn.IFNA(INDEX(DD$13:DD$68,MATCH(1,($BR415=$CV$13:$CV$68)*($BT415=$CX$13:$CX$68)*($CE415=$CY$13:$CY$68)*($BY415=$DA$13:$DA$68)*($CD415=$DH$13:$DH$68),0)),""))</f>
        <v/>
      </c>
      <c r="DN415" s="740" t="str" cm="1">
        <f t="array" ref="DN415">IF(AND($BT415=4,$BX415=4,$BU415=999),$DD$36,_xlfn.IFNA(INDEX(DE$13:DE$68,MATCH(1,($BR415=$CV$13:$CV$68)*($BT415=$CX$13:$CX$68)*($CE415=$CY$13:$CY$68)*($BY415=$DA$13:$DA$68)*($CD415=$DH$13:$DH$68),0)),""))</f>
        <v/>
      </c>
      <c r="DO415" s="58" t="str" cm="1">
        <f t="array" ref="DO415">IF(AND($BT415=4,$BX415=4,$BU415=999),$DF$36,_xlfn.IFNA(INDEX(DF$13:DF$70,MATCH(1,($BR415=$CV$13:$CV$70)*($BT415=$CX$13:$CX$70)*($CE415=$CY$13:$CY$70)*($BY415=$DA$13:$DA$70)*($CD415=$DH$13:$DH$70),0)),""))</f>
        <v/>
      </c>
      <c r="DP415" s="58" t="e">
        <f t="shared" si="668"/>
        <v>#N/A</v>
      </c>
      <c r="DW415" s="58" t="s">
        <v>74</v>
      </c>
      <c r="DX415" s="58" t="s">
        <v>554</v>
      </c>
      <c r="DY415" s="58" t="s">
        <v>578</v>
      </c>
      <c r="DZ415" s="58">
        <v>0</v>
      </c>
      <c r="EB415" s="58">
        <v>0</v>
      </c>
      <c r="EC415" s="58">
        <v>2</v>
      </c>
      <c r="ED415" s="58">
        <v>7</v>
      </c>
      <c r="EE415" s="58">
        <v>2</v>
      </c>
      <c r="EF415" s="58">
        <v>1</v>
      </c>
      <c r="EI415" s="58" t="s">
        <v>74</v>
      </c>
      <c r="EJ415" s="58" t="s">
        <v>554</v>
      </c>
      <c r="EK415" s="58" t="s">
        <v>578</v>
      </c>
      <c r="EL415" s="58">
        <v>0</v>
      </c>
      <c r="EN415" s="58">
        <v>0</v>
      </c>
      <c r="EO415" s="58">
        <v>2</v>
      </c>
      <c r="EP415" s="58">
        <v>7</v>
      </c>
      <c r="EQ415" s="58">
        <v>1</v>
      </c>
      <c r="ER415" s="58">
        <v>1</v>
      </c>
      <c r="EU415" s="58" t="str">
        <f t="shared" si="702"/>
        <v>Yes</v>
      </c>
      <c r="EV415" s="58" t="str">
        <f t="shared" si="703"/>
        <v>Time to treatment discontinuation</v>
      </c>
      <c r="EW415" s="58" t="str">
        <f t="shared" si="704"/>
        <v>Apply HR to</v>
      </c>
      <c r="EX415" s="58">
        <f t="shared" si="705"/>
        <v>0</v>
      </c>
      <c r="EZ415" s="58">
        <f t="shared" si="706"/>
        <v>0</v>
      </c>
      <c r="FA415" s="58">
        <f t="shared" si="707"/>
        <v>2</v>
      </c>
      <c r="FB415" s="58">
        <f>IF(i_eff_inputs_based_on_num=2,ED415,(INDEX(Lists!$L$51:$L$85,MATCH(AD296,Lists!$K$51:$K$85,0))))</f>
        <v>7</v>
      </c>
      <c r="FC415" s="58">
        <f>IF(i_eff_inputs_based_on_num=2,EE415,(INDEX(Lists!$L$51:$L$85,MATCH(AE296,Lists!$K$51:$K$85,0))))</f>
        <v>2</v>
      </c>
      <c r="FD415" s="58">
        <f>IF(i_eff_inputs_based_on_num=2,EF415,(INDEX(Lists!$L$51:$L$85,MATCH(AF296,Lists!$K$51:$K$85,0))))</f>
        <v>1</v>
      </c>
      <c r="FG415" s="58" t="str">
        <f t="shared" si="708"/>
        <v>Yes</v>
      </c>
      <c r="FH415" s="58" t="str">
        <f t="shared" si="709"/>
        <v>Time to treatment discontinuation</v>
      </c>
      <c r="FI415" s="58" t="str">
        <f t="shared" si="710"/>
        <v>Apply HR to</v>
      </c>
      <c r="FJ415" s="58">
        <f t="shared" si="711"/>
        <v>0</v>
      </c>
      <c r="FL415" s="58">
        <f t="shared" si="712"/>
        <v>0</v>
      </c>
      <c r="FM415" s="58">
        <f t="shared" si="713"/>
        <v>2</v>
      </c>
      <c r="FN415" s="58">
        <f>IF(i_eff_inputs_based_on_num=2,EP415,(INDEX(Lists!$L$51:$L$85,MATCH(AD296,Lists!$K$51:$K$85,0))))</f>
        <v>7</v>
      </c>
      <c r="FO415" s="58">
        <f>IF(i_eff_inputs_based_on_num=2,EQ415,(INDEX(Lists!$L$51:$L$85,MATCH(AE296,Lists!$K$51:$K$85,0))))</f>
        <v>1</v>
      </c>
      <c r="FP415" s="58">
        <f>IF(i_eff_inputs_based_on_num=2,ER415,(INDEX(Lists!$L$51:$L$85,MATCH(AF296,Lists!$K$51:$K$85,0))))</f>
        <v>1</v>
      </c>
      <c r="FT415" s="58">
        <f t="shared" si="669"/>
        <v>0</v>
      </c>
      <c r="FW415" s="58" t="str">
        <f>IF(i_baseline_risk_from=2,'Effectiveness settings'!EW415,'Effectiveness settings'!FI415)</f>
        <v>Apply HR to</v>
      </c>
      <c r="FX415" s="58" t="str">
        <f t="shared" si="670"/>
        <v>Apply HR to</v>
      </c>
      <c r="FY415" s="58" t="str">
        <f t="shared" si="671"/>
        <v>Apply HR to</v>
      </c>
      <c r="FZ415" s="58" t="str">
        <f t="shared" si="672"/>
        <v>Apply HR to</v>
      </c>
      <c r="GA415" s="58" t="str">
        <f t="shared" si="673"/>
        <v>Apply HR to</v>
      </c>
      <c r="GB415" s="58" t="str">
        <f t="shared" si="674"/>
        <v>Apply HR to</v>
      </c>
      <c r="GC415" s="58" t="str">
        <f t="shared" si="675"/>
        <v>Apply HR to</v>
      </c>
      <c r="GD415" s="58" t="str">
        <f t="shared" si="676"/>
        <v>Apply HR to</v>
      </c>
      <c r="GE415" s="58" t="str">
        <f>IF(AND(dd_CheckMate214_TTD="Yes",'Effectiveness settings'!BU415=2,'Effectiveness settings'!BX415=2),"Apply HR to",GD415)</f>
        <v>Apply HR to</v>
      </c>
      <c r="GF415" s="58" t="str">
        <f t="shared" si="677"/>
        <v>Apply HR to</v>
      </c>
      <c r="GG415" s="58" t="str">
        <f t="shared" si="678"/>
        <v>Apply HR to</v>
      </c>
      <c r="GH415" s="58" t="str">
        <f t="shared" si="679"/>
        <v>Apply HR to</v>
      </c>
      <c r="GI415" s="58" t="str">
        <f t="shared" si="640"/>
        <v>Apply HR to</v>
      </c>
      <c r="GK415" s="58">
        <f>IF(i_baseline_risk_from=2,'Effectiveness settings'!FA415,'Effectiveness settings'!FM415)</f>
        <v>2</v>
      </c>
      <c r="GL415" s="58">
        <f>IF(i_baseline_risk_from=2,'Effectiveness settings'!FB415,'Effectiveness settings'!FN415)</f>
        <v>7</v>
      </c>
      <c r="GM415" s="58">
        <f>IF(i_baseline_risk_from=2,'Effectiveness settings'!FC415,'Effectiveness settings'!FO415)</f>
        <v>2</v>
      </c>
      <c r="GN415" s="58">
        <f>IF(i_baseline_risk_from=2,'Effectiveness settings'!FD415,'Effectiveness settings'!FP415)</f>
        <v>1</v>
      </c>
      <c r="GQ415" s="58">
        <f t="shared" si="680"/>
        <v>7</v>
      </c>
      <c r="GR415" s="58">
        <f t="shared" si="681"/>
        <v>7</v>
      </c>
      <c r="GS415" s="58">
        <f t="shared" si="682"/>
        <v>7</v>
      </c>
      <c r="GT415" s="58">
        <f t="shared" si="683"/>
        <v>7</v>
      </c>
      <c r="GU415" s="58">
        <f>IF(AND(dd_CheckMate214_TTD="Yes",'Effectiveness settings'!BU415=2,'Effectiveness settings'!BX415=2),2,GT415)</f>
        <v>7</v>
      </c>
      <c r="GV415" s="58">
        <f t="shared" si="684"/>
        <v>7</v>
      </c>
      <c r="GW415" s="58">
        <f t="shared" si="685"/>
        <v>7</v>
      </c>
      <c r="GY415" s="58">
        <f>IF(AND(dd_CheckMate214_TTD="Yes",'Effectiveness settings'!BU415=2,'Effectiveness settings'!BX415=2),1,GN415)</f>
        <v>1</v>
      </c>
      <c r="GZ415" s="58">
        <f t="shared" si="686"/>
        <v>1</v>
      </c>
      <c r="HB415" s="58">
        <f t="shared" si="687"/>
        <v>0</v>
      </c>
      <c r="HD415" s="58">
        <f t="shared" si="635"/>
        <v>0</v>
      </c>
      <c r="HE415" s="58">
        <f t="shared" si="636"/>
        <v>2</v>
      </c>
      <c r="HF415" s="58">
        <f t="shared" si="637"/>
        <v>7</v>
      </c>
      <c r="HG415" s="58">
        <f t="shared" si="638"/>
        <v>2</v>
      </c>
      <c r="HH415" s="58">
        <f t="shared" si="639"/>
        <v>1</v>
      </c>
    </row>
    <row r="416" spans="5:222" ht="15.75" x14ac:dyDescent="0.25">
      <c r="BQ416" s="58">
        <f t="shared" si="667"/>
        <v>247</v>
      </c>
      <c r="BR416" s="61">
        <v>0</v>
      </c>
      <c r="BS416" s="61" t="s">
        <v>31</v>
      </c>
      <c r="BT416" s="17">
        <v>2</v>
      </c>
      <c r="BU416" s="17">
        <v>8</v>
      </c>
      <c r="BV416" s="17" t="str">
        <f t="shared" si="690"/>
        <v>cabozantinib</v>
      </c>
      <c r="BW416" s="1006" t="str" cm="1">
        <f t="array" ref="BW416">IF(X297="No",X297,INDEX(List_incl_anal_2L_all,IF(BU416=999,35,BU416+1)))</f>
        <v>Yes</v>
      </c>
      <c r="BX416" s="61">
        <f t="shared" si="691"/>
        <v>2</v>
      </c>
      <c r="BY416" s="531" t="str">
        <f t="shared" si="715"/>
        <v>Time to treatment discontinuation</v>
      </c>
      <c r="BZ416" s="530" t="str">
        <f t="shared" si="692"/>
        <v>Apply HR to</v>
      </c>
      <c r="CA416" s="531">
        <f t="shared" si="714"/>
        <v>0</v>
      </c>
      <c r="CB416" s="530">
        <f t="shared" si="693"/>
        <v>0</v>
      </c>
      <c r="CC416" s="530">
        <f t="shared" si="694"/>
        <v>2</v>
      </c>
      <c r="CD416" s="530">
        <f t="shared" si="695"/>
        <v>8</v>
      </c>
      <c r="CE416" s="1295">
        <f t="shared" si="696"/>
        <v>2</v>
      </c>
      <c r="CF416" s="1301">
        <f t="shared" si="697"/>
        <v>1</v>
      </c>
      <c r="CG416" s="530" t="str">
        <f t="shared" si="698"/>
        <v/>
      </c>
      <c r="CH416" s="910">
        <f>AH297</f>
        <v>1.19</v>
      </c>
      <c r="CI416" s="61">
        <f t="shared" si="700"/>
        <v>1.1499999999999999</v>
      </c>
      <c r="CJ416" s="61">
        <f t="shared" si="701"/>
        <v>1.24</v>
      </c>
      <c r="DK416" s="58" t="str" cm="1">
        <f t="array" ref="DK416">IF(AND($BT416=4,$BX416=4,$BU416=999),$DB$36,_xlfn.IFNA(INDEX(DB$13:DB$70,MATCH(1,($BR416=$CV$13:$CV$70)*($BT416=$CX$13:$CX$70)*($CE416=$CY$13:$CY$70)*($BY416=$DA$13:$DA$70)*($CD416=$DH$13:$DH$70),0)),""))</f>
        <v/>
      </c>
      <c r="DL416" s="58" t="str" cm="1">
        <f t="array" ref="DL416">IF(AND($BT416=4,$BX416=4,$BU416=999),$DC$36,_xlfn.IFNA(INDEX(CHOOSE(DP416,DB$13:DB$70,DC$13:DC$70,DD$13:DD$70,DE$13:DE$70),MATCH(1,($BR416=$CV$13:$CV$70)*($BT416=$CX$13:$CX$70)*($CE416=$CY$13:$CY$70)*($BY416=$DA$13:$DA$70)*($CD416=$DH$13:$DH$70),0)),""))</f>
        <v/>
      </c>
      <c r="DM416" s="740" t="str" cm="1">
        <f t="array" ref="DM416">IF(AND($BT416=4,$BX416=4,$BU416=999),$DD$36,_xlfn.IFNA(INDEX(DD$13:DD$68,MATCH(1,($BR416=$CV$13:$CV$68)*($BT416=$CX$13:$CX$68)*($CE416=$CY$13:$CY$68)*($BY416=$DA$13:$DA$68)*($CD416=$DH$13:$DH$68),0)),""))</f>
        <v/>
      </c>
      <c r="DN416" s="740" t="str" cm="1">
        <f t="array" ref="DN416">IF(AND($BT416=4,$BX416=4,$BU416=999),$DD$36,_xlfn.IFNA(INDEX(DE$13:DE$68,MATCH(1,($BR416=$CV$13:$CV$68)*($BT416=$CX$13:$CX$68)*($CE416=$CY$13:$CY$68)*($BY416=$DA$13:$DA$68)*($CD416=$DH$13:$DH$68),0)),""))</f>
        <v/>
      </c>
      <c r="DO416" s="58" t="str" cm="1">
        <f t="array" ref="DO416">IF(AND($BT416=4,$BX416=4,$BU416=999),$DF$36,_xlfn.IFNA(INDEX(DF$13:DF$70,MATCH(1,($BR416=$CV$13:$CV$70)*($BT416=$CX$13:$CX$70)*($CE416=$CY$13:$CY$70)*($BY416=$DA$13:$DA$70)*($CD416=$DH$13:$DH$70),0)),""))</f>
        <v/>
      </c>
      <c r="DP416" s="58" t="e">
        <f t="shared" si="668"/>
        <v>#N/A</v>
      </c>
      <c r="DW416" s="58" t="s">
        <v>74</v>
      </c>
      <c r="DX416" s="58" t="s">
        <v>554</v>
      </c>
      <c r="DY416" s="58" t="s">
        <v>578</v>
      </c>
      <c r="DZ416" s="58">
        <v>0</v>
      </c>
      <c r="EB416" s="58">
        <v>0</v>
      </c>
      <c r="EC416" s="58">
        <v>2</v>
      </c>
      <c r="ED416" s="58">
        <v>8</v>
      </c>
      <c r="EE416" s="58">
        <v>2</v>
      </c>
      <c r="EF416" s="58">
        <v>1</v>
      </c>
      <c r="EI416" s="58" t="s">
        <v>74</v>
      </c>
      <c r="EJ416" s="58" t="s">
        <v>554</v>
      </c>
      <c r="EK416" s="58" t="s">
        <v>578</v>
      </c>
      <c r="EL416" s="58">
        <v>0</v>
      </c>
      <c r="EN416" s="58">
        <v>0</v>
      </c>
      <c r="EO416" s="58">
        <v>2</v>
      </c>
      <c r="EP416" s="58">
        <v>8</v>
      </c>
      <c r="EQ416" s="58">
        <v>1</v>
      </c>
      <c r="ER416" s="58">
        <v>1</v>
      </c>
      <c r="EU416" s="58" t="str">
        <f t="shared" si="702"/>
        <v>Yes</v>
      </c>
      <c r="EV416" s="58" t="str">
        <f t="shared" si="703"/>
        <v>Time to treatment discontinuation</v>
      </c>
      <c r="EW416" s="58" t="str">
        <f t="shared" si="704"/>
        <v>Apply HR to</v>
      </c>
      <c r="EX416" s="58">
        <f t="shared" si="705"/>
        <v>0</v>
      </c>
      <c r="EZ416" s="58">
        <f t="shared" si="706"/>
        <v>0</v>
      </c>
      <c r="FA416" s="58">
        <f t="shared" si="707"/>
        <v>2</v>
      </c>
      <c r="FB416" s="58">
        <f>IF(i_eff_inputs_based_on_num=2,ED416,(INDEX(Lists!$L$51:$L$85,MATCH(AD297,Lists!$K$51:$K$85,0))))</f>
        <v>8</v>
      </c>
      <c r="FC416" s="58">
        <f>IF(i_eff_inputs_based_on_num=2,EE416,(INDEX(Lists!$L$51:$L$85,MATCH(AE297,Lists!$K$51:$K$85,0))))</f>
        <v>2</v>
      </c>
      <c r="FD416" s="58">
        <f>IF(i_eff_inputs_based_on_num=2,EF416,(INDEX(Lists!$L$51:$L$85,MATCH(AF297,Lists!$K$51:$K$85,0))))</f>
        <v>1</v>
      </c>
      <c r="FG416" s="58" t="str">
        <f t="shared" si="708"/>
        <v>Yes</v>
      </c>
      <c r="FH416" s="58" t="str">
        <f t="shared" si="709"/>
        <v>Time to treatment discontinuation</v>
      </c>
      <c r="FI416" s="58" t="str">
        <f t="shared" si="710"/>
        <v>Apply HR to</v>
      </c>
      <c r="FJ416" s="58">
        <f t="shared" si="711"/>
        <v>0</v>
      </c>
      <c r="FL416" s="58">
        <f t="shared" si="712"/>
        <v>0</v>
      </c>
      <c r="FM416" s="58">
        <f t="shared" si="713"/>
        <v>2</v>
      </c>
      <c r="FN416" s="58">
        <f>IF(i_eff_inputs_based_on_num=2,EP416,(INDEX(Lists!$L$51:$L$85,MATCH(AD297,Lists!$K$51:$K$85,0))))</f>
        <v>8</v>
      </c>
      <c r="FO416" s="58">
        <f>IF(i_eff_inputs_based_on_num=2,EQ416,(INDEX(Lists!$L$51:$L$85,MATCH(AE297,Lists!$K$51:$K$85,0))))</f>
        <v>1</v>
      </c>
      <c r="FP416" s="58">
        <f>IF(i_eff_inputs_based_on_num=2,ER416,(INDEX(Lists!$L$51:$L$85,MATCH(AF297,Lists!$K$51:$K$85,0))))</f>
        <v>1</v>
      </c>
      <c r="FT416" s="58">
        <f t="shared" si="669"/>
        <v>0</v>
      </c>
      <c r="FW416" s="58" t="str">
        <f>IF(i_baseline_risk_from=2,'Effectiveness settings'!EW416,'Effectiveness settings'!FI416)</f>
        <v>Apply HR to</v>
      </c>
      <c r="FX416" s="58" t="str">
        <f t="shared" si="670"/>
        <v>Apply HR to</v>
      </c>
      <c r="FY416" s="58" t="str">
        <f t="shared" si="671"/>
        <v>Apply HR to</v>
      </c>
      <c r="FZ416" s="58" t="str">
        <f t="shared" si="672"/>
        <v>Apply HR to</v>
      </c>
      <c r="GA416" s="58" t="str">
        <f t="shared" si="673"/>
        <v>Apply HR to</v>
      </c>
      <c r="GB416" s="58" t="str">
        <f t="shared" si="674"/>
        <v>Apply HR to</v>
      </c>
      <c r="GC416" s="58" t="str">
        <f t="shared" si="675"/>
        <v>Apply HR to</v>
      </c>
      <c r="GD416" s="58" t="str">
        <f t="shared" si="676"/>
        <v>Apply HR to</v>
      </c>
      <c r="GE416" s="58" t="str">
        <f>IF(AND(dd_CheckMate214_TTD="Yes",'Effectiveness settings'!BU416=2,'Effectiveness settings'!BX416=2),"Apply HR to",GD416)</f>
        <v>Apply HR to</v>
      </c>
      <c r="GF416" s="58" t="str">
        <f t="shared" si="677"/>
        <v>Apply HR to</v>
      </c>
      <c r="GG416" s="58" t="str">
        <f t="shared" si="678"/>
        <v>Apply HR to</v>
      </c>
      <c r="GH416" s="58" t="str">
        <f t="shared" si="679"/>
        <v>Apply HR to</v>
      </c>
      <c r="GI416" s="58" t="str">
        <f t="shared" si="640"/>
        <v>Apply HR to</v>
      </c>
      <c r="GK416" s="58">
        <f>IF(i_baseline_risk_from=2,'Effectiveness settings'!FA416,'Effectiveness settings'!FM416)</f>
        <v>2</v>
      </c>
      <c r="GL416" s="58">
        <f>IF(i_baseline_risk_from=2,'Effectiveness settings'!FB416,'Effectiveness settings'!FN416)</f>
        <v>8</v>
      </c>
      <c r="GM416" s="58">
        <f>IF(i_baseline_risk_from=2,'Effectiveness settings'!FC416,'Effectiveness settings'!FO416)</f>
        <v>2</v>
      </c>
      <c r="GN416" s="58">
        <f>IF(i_baseline_risk_from=2,'Effectiveness settings'!FD416,'Effectiveness settings'!FP416)</f>
        <v>1</v>
      </c>
      <c r="GQ416" s="58">
        <f t="shared" si="680"/>
        <v>8</v>
      </c>
      <c r="GR416" s="58">
        <f t="shared" si="681"/>
        <v>8</v>
      </c>
      <c r="GS416" s="58">
        <f t="shared" si="682"/>
        <v>8</v>
      </c>
      <c r="GT416" s="58">
        <f t="shared" si="683"/>
        <v>8</v>
      </c>
      <c r="GU416" s="58">
        <f>IF(AND(dd_CheckMate214_TTD="Yes",'Effectiveness settings'!BU416=2,'Effectiveness settings'!BX416=2),2,GT416)</f>
        <v>8</v>
      </c>
      <c r="GV416" s="58">
        <f t="shared" si="684"/>
        <v>8</v>
      </c>
      <c r="GW416" s="58">
        <f t="shared" si="685"/>
        <v>8</v>
      </c>
      <c r="GY416" s="58">
        <f>IF(AND(dd_CheckMate214_TTD="Yes",'Effectiveness settings'!BU416=2,'Effectiveness settings'!BX416=2),1,GN416)</f>
        <v>1</v>
      </c>
      <c r="GZ416" s="58">
        <f t="shared" si="686"/>
        <v>1</v>
      </c>
      <c r="HB416" s="58">
        <f t="shared" si="687"/>
        <v>0</v>
      </c>
      <c r="HD416" s="58">
        <f t="shared" si="635"/>
        <v>0</v>
      </c>
      <c r="HE416" s="58">
        <f t="shared" si="636"/>
        <v>2</v>
      </c>
      <c r="HF416" s="58">
        <f t="shared" si="637"/>
        <v>8</v>
      </c>
      <c r="HG416" s="58">
        <f t="shared" si="638"/>
        <v>2</v>
      </c>
      <c r="HH416" s="58">
        <f t="shared" si="639"/>
        <v>1</v>
      </c>
    </row>
    <row r="417" spans="69:216" ht="15.75" x14ac:dyDescent="0.25">
      <c r="BQ417" s="58">
        <f t="shared" si="667"/>
        <v>248</v>
      </c>
      <c r="BR417" s="61">
        <v>0</v>
      </c>
      <c r="BS417" s="61" t="s">
        <v>31</v>
      </c>
      <c r="BT417" s="17">
        <v>2</v>
      </c>
      <c r="BU417" s="17">
        <v>9</v>
      </c>
      <c r="BV417" s="17" t="str">
        <f t="shared" si="690"/>
        <v>lenvatinib_plus_everolimus</v>
      </c>
      <c r="BW417" s="1006" t="str" cm="1">
        <f t="array" ref="BW417">IF(X298="No",X298,INDEX(List_incl_anal_2L_all,IF(BU417=999,35,BU417+1)))</f>
        <v>Yes</v>
      </c>
      <c r="BX417" s="61">
        <f t="shared" si="691"/>
        <v>2</v>
      </c>
      <c r="BY417" s="531" t="str">
        <f t="shared" si="715"/>
        <v>Time to treatment discontinuation</v>
      </c>
      <c r="BZ417" s="530" t="str">
        <f t="shared" si="692"/>
        <v>Apply HR to</v>
      </c>
      <c r="CA417" s="531">
        <f t="shared" si="714"/>
        <v>0</v>
      </c>
      <c r="CB417" s="530">
        <f t="shared" si="693"/>
        <v>0</v>
      </c>
      <c r="CC417" s="530">
        <f t="shared" si="694"/>
        <v>2</v>
      </c>
      <c r="CD417" s="530">
        <f t="shared" si="695"/>
        <v>9</v>
      </c>
      <c r="CE417" s="1295">
        <f t="shared" si="696"/>
        <v>2</v>
      </c>
      <c r="CF417" s="1301">
        <f t="shared" si="697"/>
        <v>1</v>
      </c>
      <c r="CG417" s="530" t="str">
        <f t="shared" si="698"/>
        <v/>
      </c>
      <c r="CH417" s="61">
        <f t="shared" si="699"/>
        <v>1.19</v>
      </c>
      <c r="CI417" s="61">
        <f t="shared" si="700"/>
        <v>1.1499999999999999</v>
      </c>
      <c r="CJ417" s="61">
        <f t="shared" si="701"/>
        <v>1.24</v>
      </c>
      <c r="DK417" s="58" t="str" cm="1">
        <f t="array" ref="DK417">IF(AND($BT417=4,$BX417=4,$BU417=999),$DB$36,_xlfn.IFNA(INDEX(DB$13:DB$70,MATCH(1,($BR417=$CV$13:$CV$70)*($BT417=$CX$13:$CX$70)*($CE417=$CY$13:$CY$70)*($BY417=$DA$13:$DA$70)*($CD417=$DH$13:$DH$70),0)),""))</f>
        <v/>
      </c>
      <c r="DL417" s="58" t="str" cm="1">
        <f t="array" ref="DL417">IF(AND($BT417=4,$BX417=4,$BU417=999),$DC$36,_xlfn.IFNA(INDEX(CHOOSE(DP417,DB$13:DB$70,DC$13:DC$70,DD$13:DD$70,DE$13:DE$70),MATCH(1,($BR417=$CV$13:$CV$70)*($BT417=$CX$13:$CX$70)*($CE417=$CY$13:$CY$70)*($BY417=$DA$13:$DA$70)*($CD417=$DH$13:$DH$70),0)),""))</f>
        <v/>
      </c>
      <c r="DM417" s="740" t="str" cm="1">
        <f t="array" ref="DM417">IF(AND($BT417=4,$BX417=4,$BU417=999),$DD$36,_xlfn.IFNA(INDEX(DD$13:DD$68,MATCH(1,($BR417=$CV$13:$CV$68)*($BT417=$CX$13:$CX$68)*($CE417=$CY$13:$CY$68)*($BY417=$DA$13:$DA$68)*($CD417=$DH$13:$DH$68),0)),""))</f>
        <v/>
      </c>
      <c r="DN417" s="740" t="str" cm="1">
        <f t="array" ref="DN417">IF(AND($BT417=4,$BX417=4,$BU417=999),$DD$36,_xlfn.IFNA(INDEX(DE$13:DE$68,MATCH(1,($BR417=$CV$13:$CV$68)*($BT417=$CX$13:$CX$68)*($CE417=$CY$13:$CY$68)*($BY417=$DA$13:$DA$68)*($CD417=$DH$13:$DH$68),0)),""))</f>
        <v/>
      </c>
      <c r="DO417" s="58" t="str" cm="1">
        <f t="array" ref="DO417">IF(AND($BT417=4,$BX417=4,$BU417=999),$DF$36,_xlfn.IFNA(INDEX(DF$13:DF$70,MATCH(1,($BR417=$CV$13:$CV$70)*($BT417=$CX$13:$CX$70)*($CE417=$CY$13:$CY$70)*($BY417=$DA$13:$DA$70)*($CD417=$DH$13:$DH$70),0)),""))</f>
        <v/>
      </c>
      <c r="DP417" s="58" t="e">
        <f t="shared" si="668"/>
        <v>#N/A</v>
      </c>
      <c r="DW417" s="58" t="s">
        <v>74</v>
      </c>
      <c r="DX417" s="58" t="s">
        <v>554</v>
      </c>
      <c r="DY417" s="58" t="s">
        <v>578</v>
      </c>
      <c r="DZ417" s="58">
        <v>0</v>
      </c>
      <c r="EB417" s="58">
        <v>0</v>
      </c>
      <c r="EC417" s="58">
        <v>2</v>
      </c>
      <c r="ED417" s="58">
        <v>9</v>
      </c>
      <c r="EE417" s="58">
        <v>2</v>
      </c>
      <c r="EF417" s="58">
        <v>1</v>
      </c>
      <c r="EI417" s="58" t="s">
        <v>74</v>
      </c>
      <c r="EJ417" s="58" t="s">
        <v>554</v>
      </c>
      <c r="EK417" s="58" t="s">
        <v>578</v>
      </c>
      <c r="EL417" s="58">
        <v>0</v>
      </c>
      <c r="EN417" s="58">
        <v>0</v>
      </c>
      <c r="EO417" s="58">
        <v>2</v>
      </c>
      <c r="EP417" s="58">
        <v>9</v>
      </c>
      <c r="EQ417" s="58">
        <v>1</v>
      </c>
      <c r="ER417" s="58">
        <v>1</v>
      </c>
      <c r="EU417" s="58" t="str">
        <f t="shared" si="702"/>
        <v>Yes</v>
      </c>
      <c r="EV417" s="58" t="str">
        <f t="shared" si="703"/>
        <v>Time to treatment discontinuation</v>
      </c>
      <c r="EW417" s="58" t="str">
        <f t="shared" si="704"/>
        <v>Apply HR to</v>
      </c>
      <c r="EX417" s="58">
        <f t="shared" si="705"/>
        <v>0</v>
      </c>
      <c r="EZ417" s="58">
        <f t="shared" si="706"/>
        <v>0</v>
      </c>
      <c r="FA417" s="58">
        <f t="shared" si="707"/>
        <v>2</v>
      </c>
      <c r="FB417" s="58">
        <f>IF(i_eff_inputs_based_on_num=2,ED417,(INDEX(Lists!$L$51:$L$85,MATCH(AD298,Lists!$K$51:$K$85,0))))</f>
        <v>9</v>
      </c>
      <c r="FC417" s="58">
        <f>IF(i_eff_inputs_based_on_num=2,EE417,(INDEX(Lists!$L$51:$L$85,MATCH(AE298,Lists!$K$51:$K$85,0))))</f>
        <v>2</v>
      </c>
      <c r="FD417" s="58">
        <f>IF(i_eff_inputs_based_on_num=2,EF417,(INDEX(Lists!$L$51:$L$85,MATCH(AF298,Lists!$K$51:$K$85,0))))</f>
        <v>1</v>
      </c>
      <c r="FG417" s="58" t="str">
        <f t="shared" si="708"/>
        <v>Yes</v>
      </c>
      <c r="FH417" s="58" t="str">
        <f t="shared" si="709"/>
        <v>Time to treatment discontinuation</v>
      </c>
      <c r="FI417" s="58" t="str">
        <f t="shared" si="710"/>
        <v>Apply HR to</v>
      </c>
      <c r="FJ417" s="58">
        <f t="shared" si="711"/>
        <v>0</v>
      </c>
      <c r="FL417" s="58">
        <f t="shared" si="712"/>
        <v>0</v>
      </c>
      <c r="FM417" s="58">
        <f t="shared" si="713"/>
        <v>2</v>
      </c>
      <c r="FN417" s="58">
        <f>IF(i_eff_inputs_based_on_num=2,EP417,(INDEX(Lists!$L$51:$L$85,MATCH(AD298,Lists!$K$51:$K$85,0))))</f>
        <v>9</v>
      </c>
      <c r="FO417" s="58">
        <f>IF(i_eff_inputs_based_on_num=2,EQ417,(INDEX(Lists!$L$51:$L$85,MATCH(AE298,Lists!$K$51:$K$85,0))))</f>
        <v>1</v>
      </c>
      <c r="FP417" s="58">
        <f>IF(i_eff_inputs_based_on_num=2,ER417,(INDEX(Lists!$L$51:$L$85,MATCH(AF298,Lists!$K$51:$K$85,0))))</f>
        <v>1</v>
      </c>
      <c r="FT417" s="58">
        <f t="shared" si="669"/>
        <v>0</v>
      </c>
      <c r="FW417" s="58" t="str">
        <f>IF(i_baseline_risk_from=2,'Effectiveness settings'!EW417,'Effectiveness settings'!FI417)</f>
        <v>Apply HR to</v>
      </c>
      <c r="FX417" s="58" t="str">
        <f t="shared" si="670"/>
        <v>Apply HR to</v>
      </c>
      <c r="FY417" s="58" t="str">
        <f t="shared" si="671"/>
        <v>Apply HR to</v>
      </c>
      <c r="FZ417" s="58" t="str">
        <f t="shared" si="672"/>
        <v>Apply HR to</v>
      </c>
      <c r="GA417" s="58" t="str">
        <f t="shared" si="673"/>
        <v>Apply HR to</v>
      </c>
      <c r="GB417" s="58" t="str">
        <f t="shared" si="674"/>
        <v>Apply HR to</v>
      </c>
      <c r="GC417" s="58" t="str">
        <f t="shared" si="675"/>
        <v>Apply HR to</v>
      </c>
      <c r="GD417" s="58" t="str">
        <f t="shared" si="676"/>
        <v>Apply HR to</v>
      </c>
      <c r="GE417" s="58" t="str">
        <f>IF(AND(dd_CheckMate214_TTD="Yes",'Effectiveness settings'!BU417=2,'Effectiveness settings'!BX417=2),"Apply HR to",GD417)</f>
        <v>Apply HR to</v>
      </c>
      <c r="GF417" s="58" t="str">
        <f t="shared" si="677"/>
        <v>Apply HR to</v>
      </c>
      <c r="GG417" s="58" t="str">
        <f t="shared" si="678"/>
        <v>Apply HR to</v>
      </c>
      <c r="GH417" s="58" t="str">
        <f t="shared" si="679"/>
        <v>Apply HR to</v>
      </c>
      <c r="GI417" s="58" t="str">
        <f t="shared" si="640"/>
        <v>Apply HR to</v>
      </c>
      <c r="GK417" s="58">
        <f>IF(i_baseline_risk_from=2,'Effectiveness settings'!FA417,'Effectiveness settings'!FM417)</f>
        <v>2</v>
      </c>
      <c r="GL417" s="58">
        <f>IF(i_baseline_risk_from=2,'Effectiveness settings'!FB417,'Effectiveness settings'!FN417)</f>
        <v>9</v>
      </c>
      <c r="GM417" s="58">
        <f>IF(i_baseline_risk_from=2,'Effectiveness settings'!FC417,'Effectiveness settings'!FO417)</f>
        <v>2</v>
      </c>
      <c r="GN417" s="58">
        <f>IF(i_baseline_risk_from=2,'Effectiveness settings'!FD417,'Effectiveness settings'!FP417)</f>
        <v>1</v>
      </c>
      <c r="GQ417" s="58">
        <f t="shared" si="680"/>
        <v>9</v>
      </c>
      <c r="GR417" s="58">
        <f t="shared" si="681"/>
        <v>9</v>
      </c>
      <c r="GS417" s="58">
        <f t="shared" si="682"/>
        <v>9</v>
      </c>
      <c r="GT417" s="58">
        <f t="shared" si="683"/>
        <v>9</v>
      </c>
      <c r="GU417" s="58">
        <f>IF(AND(dd_CheckMate214_TTD="Yes",'Effectiveness settings'!BU417=2,'Effectiveness settings'!BX417=2),2,GT417)</f>
        <v>9</v>
      </c>
      <c r="GV417" s="58">
        <f t="shared" si="684"/>
        <v>9</v>
      </c>
      <c r="GW417" s="58">
        <f t="shared" si="685"/>
        <v>9</v>
      </c>
      <c r="GY417" s="58">
        <f>IF(AND(dd_CheckMate214_TTD="Yes",'Effectiveness settings'!BU417=2,'Effectiveness settings'!BX417=2),1,GN417)</f>
        <v>1</v>
      </c>
      <c r="GZ417" s="58">
        <f t="shared" si="686"/>
        <v>1</v>
      </c>
      <c r="HB417" s="58">
        <f t="shared" si="687"/>
        <v>0</v>
      </c>
      <c r="HD417" s="58">
        <f t="shared" si="635"/>
        <v>0</v>
      </c>
      <c r="HE417" s="58">
        <f t="shared" si="636"/>
        <v>2</v>
      </c>
      <c r="HF417" s="58">
        <f t="shared" si="637"/>
        <v>9</v>
      </c>
      <c r="HG417" s="58">
        <f t="shared" si="638"/>
        <v>2</v>
      </c>
      <c r="HH417" s="58">
        <f t="shared" si="639"/>
        <v>1</v>
      </c>
    </row>
    <row r="418" spans="69:216" ht="15.75" x14ac:dyDescent="0.25">
      <c r="BQ418" s="58">
        <f t="shared" si="667"/>
        <v>249</v>
      </c>
      <c r="BR418" s="61">
        <v>0</v>
      </c>
      <c r="BS418" s="61" t="s">
        <v>31</v>
      </c>
      <c r="BT418" s="17">
        <v>2</v>
      </c>
      <c r="BU418" s="17">
        <v>10</v>
      </c>
      <c r="BV418" s="17" t="str">
        <f t="shared" si="690"/>
        <v>everolimus</v>
      </c>
      <c r="BW418" s="1006" t="str" cm="1">
        <f t="array" ref="BW418">IF(X299="No",X299,INDEX(List_incl_anal_2L_all,IF(BU418=999,35,BU418+1)))</f>
        <v>Yes</v>
      </c>
      <c r="BX418" s="61">
        <f t="shared" si="691"/>
        <v>2</v>
      </c>
      <c r="BY418" s="531" t="str">
        <f t="shared" si="715"/>
        <v>Time to treatment discontinuation</v>
      </c>
      <c r="BZ418" s="530" t="str">
        <f t="shared" si="692"/>
        <v>Apply HR to</v>
      </c>
      <c r="CA418" s="531">
        <f t="shared" si="714"/>
        <v>0</v>
      </c>
      <c r="CB418" s="530">
        <f t="shared" si="693"/>
        <v>0</v>
      </c>
      <c r="CC418" s="530">
        <f t="shared" si="694"/>
        <v>2</v>
      </c>
      <c r="CD418" s="530">
        <f t="shared" si="695"/>
        <v>10</v>
      </c>
      <c r="CE418" s="1295">
        <f t="shared" si="696"/>
        <v>2</v>
      </c>
      <c r="CF418" s="1301">
        <f t="shared" si="697"/>
        <v>1</v>
      </c>
      <c r="CG418" s="530" t="str">
        <f t="shared" si="698"/>
        <v/>
      </c>
      <c r="CH418" s="61">
        <f t="shared" si="699"/>
        <v>1.19</v>
      </c>
      <c r="CI418" s="61">
        <f t="shared" si="700"/>
        <v>1.1499999999999999</v>
      </c>
      <c r="CJ418" s="61">
        <f t="shared" si="701"/>
        <v>1.24</v>
      </c>
      <c r="DK418" s="58" t="str" cm="1">
        <f t="array" ref="DK418">IF(AND($BT418=4,$BX418=4,$BU418=999),$DB$36,_xlfn.IFNA(INDEX(DB$13:DB$70,MATCH(1,($BR418=$CV$13:$CV$70)*($BT418=$CX$13:$CX$70)*($CE418=$CY$13:$CY$70)*($BY418=$DA$13:$DA$70)*($CD418=$DH$13:$DH$70),0)),""))</f>
        <v/>
      </c>
      <c r="DL418" s="58" t="str" cm="1">
        <f t="array" ref="DL418">IF(AND($BT418=4,$BX418=4,$BU418=999),$DC$36,_xlfn.IFNA(INDEX(CHOOSE(DP418,DB$13:DB$70,DC$13:DC$70,DD$13:DD$70,DE$13:DE$70),MATCH(1,($BR418=$CV$13:$CV$70)*($BT418=$CX$13:$CX$70)*($CE418=$CY$13:$CY$70)*($BY418=$DA$13:$DA$70)*($CD418=$DH$13:$DH$70),0)),""))</f>
        <v/>
      </c>
      <c r="DM418" s="740" t="str" cm="1">
        <f t="array" ref="DM418">IF(AND($BT418=4,$BX418=4,$BU418=999),$DD$36,_xlfn.IFNA(INDEX(DD$13:DD$68,MATCH(1,($BR418=$CV$13:$CV$68)*($BT418=$CX$13:$CX$68)*($CE418=$CY$13:$CY$68)*($BY418=$DA$13:$DA$68)*($CD418=$DH$13:$DH$68),0)),""))</f>
        <v/>
      </c>
      <c r="DN418" s="740" t="str" cm="1">
        <f t="array" ref="DN418">IF(AND($BT418=4,$BX418=4,$BU418=999),$DD$36,_xlfn.IFNA(INDEX(DE$13:DE$68,MATCH(1,($BR418=$CV$13:$CV$68)*($BT418=$CX$13:$CX$68)*($CE418=$CY$13:$CY$68)*($BY418=$DA$13:$DA$68)*($CD418=$DH$13:$DH$68),0)),""))</f>
        <v/>
      </c>
      <c r="DO418" s="58" t="str" cm="1">
        <f t="array" ref="DO418">IF(AND($BT418=4,$BX418=4,$BU418=999),$DF$36,_xlfn.IFNA(INDEX(DF$13:DF$70,MATCH(1,($BR418=$CV$13:$CV$70)*($BT418=$CX$13:$CX$70)*($CE418=$CY$13:$CY$70)*($BY418=$DA$13:$DA$70)*($CD418=$DH$13:$DH$70),0)),""))</f>
        <v/>
      </c>
      <c r="DP418" s="58" t="e">
        <f t="shared" si="668"/>
        <v>#N/A</v>
      </c>
      <c r="DW418" s="58" t="s">
        <v>74</v>
      </c>
      <c r="DX418" s="58" t="s">
        <v>554</v>
      </c>
      <c r="DY418" s="58" t="s">
        <v>578</v>
      </c>
      <c r="DZ418" s="58">
        <v>0</v>
      </c>
      <c r="EB418" s="58">
        <v>0</v>
      </c>
      <c r="EC418" s="58">
        <v>2</v>
      </c>
      <c r="ED418" s="58">
        <v>10</v>
      </c>
      <c r="EE418" s="58">
        <v>2</v>
      </c>
      <c r="EF418" s="58">
        <v>1</v>
      </c>
      <c r="EI418" s="58" t="s">
        <v>74</v>
      </c>
      <c r="EJ418" s="58" t="s">
        <v>554</v>
      </c>
      <c r="EK418" s="58" t="s">
        <v>578</v>
      </c>
      <c r="EL418" s="58">
        <v>0</v>
      </c>
      <c r="EN418" s="58">
        <v>0</v>
      </c>
      <c r="EO418" s="58">
        <v>2</v>
      </c>
      <c r="EP418" s="58">
        <v>7</v>
      </c>
      <c r="EQ418" s="58">
        <v>1</v>
      </c>
      <c r="ER418" s="58">
        <v>1</v>
      </c>
      <c r="EU418" s="58" t="str">
        <f t="shared" si="702"/>
        <v>Yes</v>
      </c>
      <c r="EV418" s="58" t="str">
        <f t="shared" si="703"/>
        <v>Time to treatment discontinuation</v>
      </c>
      <c r="EW418" s="58" t="str">
        <f t="shared" si="704"/>
        <v>Apply HR to</v>
      </c>
      <c r="EX418" s="58">
        <f t="shared" si="705"/>
        <v>0</v>
      </c>
      <c r="EZ418" s="58">
        <f t="shared" si="706"/>
        <v>0</v>
      </c>
      <c r="FA418" s="58">
        <f t="shared" si="707"/>
        <v>2</v>
      </c>
      <c r="FB418" s="58">
        <f>IF(i_eff_inputs_based_on_num=2,ED418,(INDEX(Lists!$L$51:$L$85,MATCH(AD299,Lists!$K$51:$K$85,0))))</f>
        <v>10</v>
      </c>
      <c r="FC418" s="58">
        <f>IF(i_eff_inputs_based_on_num=2,EE418,(INDEX(Lists!$L$51:$L$85,MATCH(AE299,Lists!$K$51:$K$85,0))))</f>
        <v>2</v>
      </c>
      <c r="FD418" s="58">
        <f>IF(i_eff_inputs_based_on_num=2,EF418,(INDEX(Lists!$L$51:$L$85,MATCH(AF299,Lists!$K$51:$K$85,0))))</f>
        <v>1</v>
      </c>
      <c r="FG418" s="58" t="str">
        <f t="shared" si="708"/>
        <v>Yes</v>
      </c>
      <c r="FH418" s="58" t="str">
        <f t="shared" si="709"/>
        <v>Time to treatment discontinuation</v>
      </c>
      <c r="FI418" s="58" t="str">
        <f t="shared" si="710"/>
        <v>Apply HR to</v>
      </c>
      <c r="FJ418" s="58">
        <f t="shared" si="711"/>
        <v>0</v>
      </c>
      <c r="FL418" s="58">
        <f t="shared" si="712"/>
        <v>0</v>
      </c>
      <c r="FM418" s="58">
        <f t="shared" si="713"/>
        <v>2</v>
      </c>
      <c r="FN418" s="58">
        <f>IF(i_eff_inputs_based_on_num=2,EP418,(INDEX(Lists!$L$51:$L$85,MATCH(AD299,Lists!$K$51:$K$85,0))))</f>
        <v>7</v>
      </c>
      <c r="FO418" s="58">
        <f>IF(i_eff_inputs_based_on_num=2,EQ418,(INDEX(Lists!$L$51:$L$85,MATCH(AE299,Lists!$K$51:$K$85,0))))</f>
        <v>1</v>
      </c>
      <c r="FP418" s="58">
        <f>IF(i_eff_inputs_based_on_num=2,ER418,(INDEX(Lists!$L$51:$L$85,MATCH(AF299,Lists!$K$51:$K$85,0))))</f>
        <v>1</v>
      </c>
      <c r="FT418" s="58">
        <f t="shared" si="669"/>
        <v>0</v>
      </c>
      <c r="FW418" s="58" t="str">
        <f>IF(i_baseline_risk_from=2,'Effectiveness settings'!EW418,'Effectiveness settings'!FI418)</f>
        <v>Apply HR to</v>
      </c>
      <c r="FX418" s="58" t="str">
        <f t="shared" si="670"/>
        <v>Apply HR to</v>
      </c>
      <c r="FY418" s="58" t="str">
        <f t="shared" si="671"/>
        <v>Apply HR to</v>
      </c>
      <c r="FZ418" s="58" t="str">
        <f t="shared" si="672"/>
        <v>Apply HR to</v>
      </c>
      <c r="GA418" s="58" t="str">
        <f t="shared" si="673"/>
        <v>Apply HR to</v>
      </c>
      <c r="GB418" s="58" t="str">
        <f t="shared" si="674"/>
        <v>Apply HR to</v>
      </c>
      <c r="GC418" s="58" t="str">
        <f t="shared" si="675"/>
        <v>Apply HR to</v>
      </c>
      <c r="GD418" s="58" t="str">
        <f t="shared" si="676"/>
        <v>Apply HR to</v>
      </c>
      <c r="GE418" s="58" t="str">
        <f>IF(AND(dd_CheckMate214_TTD="Yes",'Effectiveness settings'!BU418=2,'Effectiveness settings'!BX418=2),"Apply HR to",GD418)</f>
        <v>Apply HR to</v>
      </c>
      <c r="GF418" s="58" t="str">
        <f t="shared" si="677"/>
        <v>Apply HR to</v>
      </c>
      <c r="GG418" s="58" t="str">
        <f t="shared" si="678"/>
        <v>Apply HR to</v>
      </c>
      <c r="GH418" s="58" t="str">
        <f t="shared" si="679"/>
        <v>Apply HR to</v>
      </c>
      <c r="GI418" s="58" t="str">
        <f t="shared" si="640"/>
        <v>Apply HR to</v>
      </c>
      <c r="GK418" s="58">
        <f>IF(i_baseline_risk_from=2,'Effectiveness settings'!FA418,'Effectiveness settings'!FM418)</f>
        <v>2</v>
      </c>
      <c r="GL418" s="58">
        <f>IF(i_baseline_risk_from=2,'Effectiveness settings'!FB418,'Effectiveness settings'!FN418)</f>
        <v>10</v>
      </c>
      <c r="GM418" s="58">
        <f>IF(i_baseline_risk_from=2,'Effectiveness settings'!FC418,'Effectiveness settings'!FO418)</f>
        <v>2</v>
      </c>
      <c r="GN418" s="58">
        <f>IF(i_baseline_risk_from=2,'Effectiveness settings'!FD418,'Effectiveness settings'!FP418)</f>
        <v>1</v>
      </c>
      <c r="GQ418" s="58">
        <f t="shared" si="680"/>
        <v>10</v>
      </c>
      <c r="GR418" s="58">
        <f t="shared" si="681"/>
        <v>10</v>
      </c>
      <c r="GS418" s="58">
        <f t="shared" si="682"/>
        <v>10</v>
      </c>
      <c r="GT418" s="58">
        <f t="shared" si="683"/>
        <v>10</v>
      </c>
      <c r="GU418" s="58">
        <f>IF(AND(dd_CheckMate214_TTD="Yes",'Effectiveness settings'!BU418=2,'Effectiveness settings'!BX418=2),2,GT418)</f>
        <v>10</v>
      </c>
      <c r="GV418" s="58">
        <f t="shared" si="684"/>
        <v>10</v>
      </c>
      <c r="GW418" s="58">
        <f t="shared" si="685"/>
        <v>10</v>
      </c>
      <c r="GY418" s="58">
        <f>IF(AND(dd_CheckMate214_TTD="Yes",'Effectiveness settings'!BU418=2,'Effectiveness settings'!BX418=2),1,GN418)</f>
        <v>1</v>
      </c>
      <c r="GZ418" s="58">
        <f t="shared" si="686"/>
        <v>1</v>
      </c>
      <c r="HB418" s="58">
        <f t="shared" si="687"/>
        <v>0</v>
      </c>
      <c r="HD418" s="58">
        <f t="shared" si="635"/>
        <v>0</v>
      </c>
      <c r="HE418" s="58">
        <f t="shared" si="636"/>
        <v>2</v>
      </c>
      <c r="HF418" s="58">
        <f t="shared" si="637"/>
        <v>10</v>
      </c>
      <c r="HG418" s="58">
        <f t="shared" si="638"/>
        <v>2</v>
      </c>
      <c r="HH418" s="58">
        <f t="shared" si="639"/>
        <v>1</v>
      </c>
    </row>
    <row r="419" spans="69:216" ht="15.75" x14ac:dyDescent="0.25">
      <c r="BQ419" s="58">
        <f t="shared" si="667"/>
        <v>250</v>
      </c>
      <c r="BR419" s="61">
        <v>0</v>
      </c>
      <c r="BS419" s="61" t="s">
        <v>31</v>
      </c>
      <c r="BT419" s="17">
        <v>2</v>
      </c>
      <c r="BU419" s="17">
        <v>11</v>
      </c>
      <c r="BV419" s="17" t="str">
        <f t="shared" si="690"/>
        <v>axitinib</v>
      </c>
      <c r="BW419" s="1006" t="str" cm="1">
        <f t="array" ref="BW419">IF(X300="No",X300,INDEX(List_incl_anal_2L_all,IF(BU419=999,35,BU419+1)))</f>
        <v>Yes</v>
      </c>
      <c r="BX419" s="61">
        <f t="shared" si="691"/>
        <v>2</v>
      </c>
      <c r="BY419" s="531" t="str">
        <f t="shared" si="715"/>
        <v>Time to treatment discontinuation</v>
      </c>
      <c r="BZ419" s="530" t="str">
        <f t="shared" si="692"/>
        <v>Apply HR to</v>
      </c>
      <c r="CA419" s="531">
        <f t="shared" si="714"/>
        <v>0</v>
      </c>
      <c r="CB419" s="530">
        <f t="shared" si="693"/>
        <v>0</v>
      </c>
      <c r="CC419" s="530">
        <f t="shared" si="694"/>
        <v>2</v>
      </c>
      <c r="CD419" s="530">
        <f t="shared" si="695"/>
        <v>11</v>
      </c>
      <c r="CE419" s="1295">
        <f t="shared" si="696"/>
        <v>2</v>
      </c>
      <c r="CF419" s="1301">
        <f t="shared" si="697"/>
        <v>1</v>
      </c>
      <c r="CG419" s="530" t="str">
        <f t="shared" si="698"/>
        <v/>
      </c>
      <c r="CH419" s="61">
        <f t="shared" si="699"/>
        <v>1.19</v>
      </c>
      <c r="CI419" s="61">
        <f t="shared" si="700"/>
        <v>1.1499999999999999</v>
      </c>
      <c r="CJ419" s="61">
        <f t="shared" si="701"/>
        <v>1.24</v>
      </c>
      <c r="DK419" s="58" t="str" cm="1">
        <f t="array" ref="DK419">IF(AND($BT419=4,$BX419=4,$BU419=999),$DB$36,_xlfn.IFNA(INDEX(DB$13:DB$70,MATCH(1,($BR419=$CV$13:$CV$70)*($BT419=$CX$13:$CX$70)*($CE419=$CY$13:$CY$70)*($BY419=$DA$13:$DA$70)*($CD419=$DH$13:$DH$70),0)),""))</f>
        <v/>
      </c>
      <c r="DL419" s="58" t="str" cm="1">
        <f t="array" ref="DL419">IF(AND($BT419=4,$BX419=4,$BU419=999),$DC$36,_xlfn.IFNA(INDEX(CHOOSE(DP419,DB$13:DB$70,DC$13:DC$70,DD$13:DD$70,DE$13:DE$70),MATCH(1,($BR419=$CV$13:$CV$70)*($BT419=$CX$13:$CX$70)*($CE419=$CY$13:$CY$70)*($BY419=$DA$13:$DA$70)*($CD419=$DH$13:$DH$70),0)),""))</f>
        <v/>
      </c>
      <c r="DM419" s="740" t="str" cm="1">
        <f t="array" ref="DM419">IF(AND($BT419=4,$BX419=4,$BU419=999),$DD$36,_xlfn.IFNA(INDEX(DD$13:DD$68,MATCH(1,($BR419=$CV$13:$CV$68)*($BT419=$CX$13:$CX$68)*($CE419=$CY$13:$CY$68)*($BY419=$DA$13:$DA$68)*($CD419=$DH$13:$DH$68),0)),""))</f>
        <v/>
      </c>
      <c r="DN419" s="740" t="str" cm="1">
        <f t="array" ref="DN419">IF(AND($BT419=4,$BX419=4,$BU419=999),$DD$36,_xlfn.IFNA(INDEX(DE$13:DE$68,MATCH(1,($BR419=$CV$13:$CV$68)*($BT419=$CX$13:$CX$68)*($CE419=$CY$13:$CY$68)*($BY419=$DA$13:$DA$68)*($CD419=$DH$13:$DH$68),0)),""))</f>
        <v/>
      </c>
      <c r="DO419" s="58" t="str" cm="1">
        <f t="array" ref="DO419">IF(AND($BT419=4,$BX419=4,$BU419=999),$DF$36,_xlfn.IFNA(INDEX(DF$13:DF$70,MATCH(1,($BR419=$CV$13:$CV$70)*($BT419=$CX$13:$CX$70)*($CE419=$CY$13:$CY$70)*($BY419=$DA$13:$DA$70)*($CD419=$DH$13:$DH$70),0)),""))</f>
        <v/>
      </c>
      <c r="DP419" s="58" t="e">
        <f t="shared" si="668"/>
        <v>#N/A</v>
      </c>
      <c r="DW419" s="58" t="s">
        <v>74</v>
      </c>
      <c r="DX419" s="58" t="s">
        <v>554</v>
      </c>
      <c r="DY419" s="58" t="s">
        <v>578</v>
      </c>
      <c r="DZ419" s="58">
        <v>0</v>
      </c>
      <c r="EB419" s="58">
        <v>0</v>
      </c>
      <c r="EC419" s="58">
        <v>2</v>
      </c>
      <c r="ED419" s="58">
        <v>11</v>
      </c>
      <c r="EE419" s="58">
        <v>2</v>
      </c>
      <c r="EF419" s="58">
        <v>1</v>
      </c>
      <c r="EI419" s="58" t="s">
        <v>74</v>
      </c>
      <c r="EJ419" s="58" t="s">
        <v>554</v>
      </c>
      <c r="EK419" s="58" t="s">
        <v>578</v>
      </c>
      <c r="EL419" s="58">
        <v>0</v>
      </c>
      <c r="EN419" s="58">
        <v>0</v>
      </c>
      <c r="EO419" s="58">
        <v>2</v>
      </c>
      <c r="EP419" s="58">
        <v>11</v>
      </c>
      <c r="EQ419" s="58">
        <v>1</v>
      </c>
      <c r="ER419" s="58">
        <v>1</v>
      </c>
      <c r="EU419" s="58" t="str">
        <f t="shared" si="702"/>
        <v>Yes</v>
      </c>
      <c r="EV419" s="58" t="str">
        <f t="shared" si="703"/>
        <v>Time to treatment discontinuation</v>
      </c>
      <c r="EW419" s="58" t="str">
        <f t="shared" si="704"/>
        <v>Apply HR to</v>
      </c>
      <c r="EX419" s="58">
        <f t="shared" si="705"/>
        <v>0</v>
      </c>
      <c r="EZ419" s="58">
        <f t="shared" si="706"/>
        <v>0</v>
      </c>
      <c r="FA419" s="58">
        <f t="shared" si="707"/>
        <v>2</v>
      </c>
      <c r="FB419" s="58">
        <f>IF(i_eff_inputs_based_on_num=2,ED419,(INDEX(Lists!$L$51:$L$85,MATCH(AD300,Lists!$K$51:$K$85,0))))</f>
        <v>11</v>
      </c>
      <c r="FC419" s="58">
        <f>IF(i_eff_inputs_based_on_num=2,EE419,(INDEX(Lists!$L$51:$L$85,MATCH(AE300,Lists!$K$51:$K$85,0))))</f>
        <v>2</v>
      </c>
      <c r="FD419" s="58">
        <f>IF(i_eff_inputs_based_on_num=2,EF419,(INDEX(Lists!$L$51:$L$85,MATCH(AF300,Lists!$K$51:$K$85,0))))</f>
        <v>1</v>
      </c>
      <c r="FG419" s="58" t="str">
        <f t="shared" si="708"/>
        <v>Yes</v>
      </c>
      <c r="FH419" s="58" t="str">
        <f t="shared" si="709"/>
        <v>Time to treatment discontinuation</v>
      </c>
      <c r="FI419" s="58" t="str">
        <f t="shared" si="710"/>
        <v>Apply HR to</v>
      </c>
      <c r="FJ419" s="58">
        <f t="shared" si="711"/>
        <v>0</v>
      </c>
      <c r="FL419" s="58">
        <f t="shared" si="712"/>
        <v>0</v>
      </c>
      <c r="FM419" s="58">
        <f t="shared" si="713"/>
        <v>2</v>
      </c>
      <c r="FN419" s="58">
        <f>IF(i_eff_inputs_based_on_num=2,EP419,(INDEX(Lists!$L$51:$L$85,MATCH(AD300,Lists!$K$51:$K$85,0))))</f>
        <v>11</v>
      </c>
      <c r="FO419" s="58">
        <f>IF(i_eff_inputs_based_on_num=2,EQ419,(INDEX(Lists!$L$51:$L$85,MATCH(AE300,Lists!$K$51:$K$85,0))))</f>
        <v>1</v>
      </c>
      <c r="FP419" s="58">
        <f>IF(i_eff_inputs_based_on_num=2,ER419,(INDEX(Lists!$L$51:$L$85,MATCH(AF300,Lists!$K$51:$K$85,0))))</f>
        <v>1</v>
      </c>
      <c r="FT419" s="58">
        <f t="shared" si="669"/>
        <v>0</v>
      </c>
      <c r="FW419" s="58" t="str">
        <f>IF(i_baseline_risk_from=2,'Effectiveness settings'!EW419,'Effectiveness settings'!FI419)</f>
        <v>Apply HR to</v>
      </c>
      <c r="FX419" s="58" t="str">
        <f t="shared" si="670"/>
        <v>Apply HR to</v>
      </c>
      <c r="FY419" s="58" t="str">
        <f t="shared" si="671"/>
        <v>Apply HR to</v>
      </c>
      <c r="FZ419" s="58" t="str">
        <f t="shared" si="672"/>
        <v>Apply HR to</v>
      </c>
      <c r="GA419" s="58" t="str">
        <f t="shared" si="673"/>
        <v>Apply HR to</v>
      </c>
      <c r="GB419" s="58" t="str">
        <f t="shared" si="674"/>
        <v>Apply HR to</v>
      </c>
      <c r="GC419" s="58" t="str">
        <f t="shared" si="675"/>
        <v>Apply HR to</v>
      </c>
      <c r="GD419" s="58" t="str">
        <f t="shared" si="676"/>
        <v>Apply HR to</v>
      </c>
      <c r="GE419" s="58" t="str">
        <f>IF(AND(dd_CheckMate214_TTD="Yes",'Effectiveness settings'!BU419=2,'Effectiveness settings'!BX419=2),"Apply HR to",GD419)</f>
        <v>Apply HR to</v>
      </c>
      <c r="GF419" s="58" t="str">
        <f t="shared" si="677"/>
        <v>Apply HR to</v>
      </c>
      <c r="GG419" s="58" t="str">
        <f t="shared" si="678"/>
        <v>Apply HR to</v>
      </c>
      <c r="GH419" s="58" t="str">
        <f t="shared" si="679"/>
        <v>Apply HR to</v>
      </c>
      <c r="GI419" s="58" t="str">
        <f t="shared" si="640"/>
        <v>Apply HR to</v>
      </c>
      <c r="GK419" s="58">
        <f>IF(i_baseline_risk_from=2,'Effectiveness settings'!FA419,'Effectiveness settings'!FM419)</f>
        <v>2</v>
      </c>
      <c r="GL419" s="58">
        <f>IF(i_baseline_risk_from=2,'Effectiveness settings'!FB419,'Effectiveness settings'!FN419)</f>
        <v>11</v>
      </c>
      <c r="GM419" s="58">
        <f>IF(i_baseline_risk_from=2,'Effectiveness settings'!FC419,'Effectiveness settings'!FO419)</f>
        <v>2</v>
      </c>
      <c r="GN419" s="58">
        <f>IF(i_baseline_risk_from=2,'Effectiveness settings'!FD419,'Effectiveness settings'!FP419)</f>
        <v>1</v>
      </c>
      <c r="GQ419" s="58">
        <f t="shared" si="680"/>
        <v>11</v>
      </c>
      <c r="GR419" s="58">
        <f t="shared" si="681"/>
        <v>11</v>
      </c>
      <c r="GS419" s="58">
        <f t="shared" si="682"/>
        <v>11</v>
      </c>
      <c r="GT419" s="58">
        <f t="shared" si="683"/>
        <v>11</v>
      </c>
      <c r="GU419" s="58">
        <f>IF(AND(dd_CheckMate214_TTD="Yes",'Effectiveness settings'!BU419=2,'Effectiveness settings'!BX419=2),2,GT419)</f>
        <v>11</v>
      </c>
      <c r="GV419" s="58">
        <f t="shared" si="684"/>
        <v>11</v>
      </c>
      <c r="GW419" s="58">
        <f t="shared" si="685"/>
        <v>11</v>
      </c>
      <c r="GY419" s="58">
        <f>IF(AND(dd_CheckMate214_TTD="Yes",'Effectiveness settings'!BU419=2,'Effectiveness settings'!BX419=2),1,GN419)</f>
        <v>1</v>
      </c>
      <c r="GZ419" s="58">
        <f t="shared" si="686"/>
        <v>1</v>
      </c>
      <c r="HB419" s="58">
        <f t="shared" si="687"/>
        <v>0</v>
      </c>
      <c r="HD419" s="58">
        <f t="shared" si="635"/>
        <v>0</v>
      </c>
      <c r="HE419" s="58">
        <f t="shared" si="636"/>
        <v>2</v>
      </c>
      <c r="HF419" s="58">
        <f t="shared" si="637"/>
        <v>11</v>
      </c>
      <c r="HG419" s="58">
        <f t="shared" si="638"/>
        <v>2</v>
      </c>
      <c r="HH419" s="58">
        <f t="shared" si="639"/>
        <v>1</v>
      </c>
    </row>
    <row r="420" spans="69:216" ht="15.75" x14ac:dyDescent="0.25">
      <c r="BQ420" s="58">
        <f t="shared" si="667"/>
        <v>251</v>
      </c>
      <c r="BR420" s="61">
        <v>0</v>
      </c>
      <c r="BS420" s="61" t="s">
        <v>31</v>
      </c>
      <c r="BT420" s="17">
        <v>2</v>
      </c>
      <c r="BU420" s="17">
        <v>12</v>
      </c>
      <c r="BV420" s="17" t="str">
        <f t="shared" si="690"/>
        <v>sorafenib</v>
      </c>
      <c r="BW420" s="1006" t="str" cm="1">
        <f t="array" ref="BW420">IF(X301="No",X301,INDEX(List_incl_anal_2L_all,IF(BU420=999,35,BU420+1)))</f>
        <v>No</v>
      </c>
      <c r="BX420" s="61">
        <f t="shared" si="691"/>
        <v>2</v>
      </c>
      <c r="BY420" s="531" t="str">
        <f t="shared" si="715"/>
        <v>Time to treatment discontinuation</v>
      </c>
      <c r="BZ420" s="530">
        <f t="shared" si="692"/>
        <v>0</v>
      </c>
      <c r="CA420" s="531">
        <f t="shared" si="714"/>
        <v>0</v>
      </c>
      <c r="CB420" s="530">
        <f t="shared" si="693"/>
        <v>0</v>
      </c>
      <c r="CC420" s="530">
        <f t="shared" si="694"/>
        <v>2</v>
      </c>
      <c r="CD420" s="530">
        <f t="shared" si="695"/>
        <v>12</v>
      </c>
      <c r="CE420" s="1295">
        <f t="shared" si="696"/>
        <v>2</v>
      </c>
      <c r="CF420" s="1301">
        <f t="shared" si="697"/>
        <v>1</v>
      </c>
      <c r="CG420" s="530" t="str">
        <f t="shared" si="698"/>
        <v/>
      </c>
      <c r="CH420" s="61">
        <f t="shared" si="699"/>
        <v>0</v>
      </c>
      <c r="CI420" s="61">
        <f t="shared" si="700"/>
        <v>0</v>
      </c>
      <c r="CJ420" s="61">
        <f t="shared" si="701"/>
        <v>0</v>
      </c>
      <c r="DK420" s="58" t="str" cm="1">
        <f t="array" ref="DK420">IF(AND($BT420=4,$BX420=4,$BU420=999),$DB$36,_xlfn.IFNA(INDEX(DB$13:DB$70,MATCH(1,($BR420=$CV$13:$CV$70)*($BT420=$CX$13:$CX$70)*($CE420=$CY$13:$CY$70)*($BY420=$DA$13:$DA$70)*($CD420=$DH$13:$DH$70),0)),""))</f>
        <v/>
      </c>
      <c r="DL420" s="58" t="str" cm="1">
        <f t="array" ref="DL420">IF(AND($BT420=4,$BX420=4,$BU420=999),$DC$36,_xlfn.IFNA(INDEX(CHOOSE(DP420,DB$13:DB$70,DC$13:DC$70,DD$13:DD$70,DE$13:DE$70),MATCH(1,($BR420=$CV$13:$CV$70)*($BT420=$CX$13:$CX$70)*($CE420=$CY$13:$CY$70)*($BY420=$DA$13:$DA$70)*($CD420=$DH$13:$DH$70),0)),""))</f>
        <v/>
      </c>
      <c r="DM420" s="740" t="str" cm="1">
        <f t="array" ref="DM420">IF(AND($BT420=4,$BX420=4,$BU420=999),$DD$36,_xlfn.IFNA(INDEX(DD$13:DD$68,MATCH(1,($BR420=$CV$13:$CV$68)*($BT420=$CX$13:$CX$68)*($CE420=$CY$13:$CY$68)*($BY420=$DA$13:$DA$68)*($CD420=$DH$13:$DH$68),0)),""))</f>
        <v/>
      </c>
      <c r="DN420" s="740" t="str" cm="1">
        <f t="array" ref="DN420">IF(AND($BT420=4,$BX420=4,$BU420=999),$DD$36,_xlfn.IFNA(INDEX(DE$13:DE$68,MATCH(1,($BR420=$CV$13:$CV$68)*($BT420=$CX$13:$CX$68)*($CE420=$CY$13:$CY$68)*($BY420=$DA$13:$DA$68)*($CD420=$DH$13:$DH$68),0)),""))</f>
        <v/>
      </c>
      <c r="DO420" s="58" t="str" cm="1">
        <f t="array" ref="DO420">IF(AND($BT420=4,$BX420=4,$BU420=999),$DF$36,_xlfn.IFNA(INDEX(DF$13:DF$70,MATCH(1,($BR420=$CV$13:$CV$70)*($BT420=$CX$13:$CX$70)*($CE420=$CY$13:$CY$70)*($BY420=$DA$13:$DA$70)*($CD420=$DH$13:$DH$70),0)),""))</f>
        <v/>
      </c>
      <c r="DP420" s="58" t="e">
        <f t="shared" si="668"/>
        <v>#N/A</v>
      </c>
      <c r="DW420" s="58" t="s">
        <v>58</v>
      </c>
      <c r="DX420" s="58" t="s">
        <v>554</v>
      </c>
      <c r="DY420" s="58">
        <v>0</v>
      </c>
      <c r="DZ420" s="58">
        <v>0</v>
      </c>
      <c r="EB420" s="58">
        <v>0</v>
      </c>
      <c r="EC420" s="58">
        <v>2</v>
      </c>
      <c r="ED420" s="58">
        <v>12</v>
      </c>
      <c r="EE420" s="58">
        <v>2</v>
      </c>
      <c r="EF420" s="58">
        <v>1</v>
      </c>
      <c r="EI420" s="58" t="s">
        <v>58</v>
      </c>
      <c r="EJ420" s="58" t="s">
        <v>554</v>
      </c>
      <c r="EK420" s="58">
        <v>0</v>
      </c>
      <c r="EL420" s="58">
        <v>0</v>
      </c>
      <c r="EN420" s="58">
        <v>0</v>
      </c>
      <c r="EO420" s="58">
        <v>2</v>
      </c>
      <c r="EP420" s="58">
        <v>12</v>
      </c>
      <c r="EQ420" s="58">
        <v>1</v>
      </c>
      <c r="ER420" s="58">
        <v>1</v>
      </c>
      <c r="EU420" s="58" t="str">
        <f t="shared" si="702"/>
        <v>No</v>
      </c>
      <c r="EV420" s="58" t="str">
        <f t="shared" si="703"/>
        <v>Time to treatment discontinuation</v>
      </c>
      <c r="EW420" s="58">
        <f t="shared" si="704"/>
        <v>0</v>
      </c>
      <c r="EX420" s="58">
        <f t="shared" si="705"/>
        <v>0</v>
      </c>
      <c r="EZ420" s="58">
        <f t="shared" si="706"/>
        <v>0</v>
      </c>
      <c r="FA420" s="58">
        <f t="shared" si="707"/>
        <v>2</v>
      </c>
      <c r="FB420" s="58">
        <f>IF(i_eff_inputs_based_on_num=2,ED420,(INDEX(Lists!$L$51:$L$85,MATCH(AD301,Lists!$K$51:$K$85,0))))</f>
        <v>12</v>
      </c>
      <c r="FC420" s="58">
        <f>IF(i_eff_inputs_based_on_num=2,EE420,(INDEX(Lists!$L$51:$L$85,MATCH(AE301,Lists!$K$51:$K$85,0))))</f>
        <v>2</v>
      </c>
      <c r="FD420" s="58">
        <f>IF(i_eff_inputs_based_on_num=2,EF420,(INDEX(Lists!$L$51:$L$85,MATCH(AF301,Lists!$K$51:$K$85,0))))</f>
        <v>1</v>
      </c>
      <c r="FG420" s="58" t="str">
        <f t="shared" si="708"/>
        <v>No</v>
      </c>
      <c r="FH420" s="58" t="str">
        <f t="shared" si="709"/>
        <v>Time to treatment discontinuation</v>
      </c>
      <c r="FI420" s="58">
        <f t="shared" si="710"/>
        <v>0</v>
      </c>
      <c r="FJ420" s="58">
        <f t="shared" si="711"/>
        <v>0</v>
      </c>
      <c r="FL420" s="58">
        <f t="shared" si="712"/>
        <v>0</v>
      </c>
      <c r="FM420" s="58">
        <f t="shared" si="713"/>
        <v>2</v>
      </c>
      <c r="FN420" s="58">
        <f>IF(i_eff_inputs_based_on_num=2,EP420,(INDEX(Lists!$L$51:$L$85,MATCH(AD301,Lists!$K$51:$K$85,0))))</f>
        <v>12</v>
      </c>
      <c r="FO420" s="58">
        <f>IF(i_eff_inputs_based_on_num=2,EQ420,(INDEX(Lists!$L$51:$L$85,MATCH(AE301,Lists!$K$51:$K$85,0))))</f>
        <v>1</v>
      </c>
      <c r="FP420" s="58">
        <f>IF(i_eff_inputs_based_on_num=2,ER420,(INDEX(Lists!$L$51:$L$85,MATCH(AF301,Lists!$K$51:$K$85,0))))</f>
        <v>1</v>
      </c>
      <c r="FT420" s="58">
        <f t="shared" si="669"/>
        <v>0</v>
      </c>
      <c r="FW420" s="58">
        <f>IF(i_baseline_risk_from=2,'Effectiveness settings'!EW420,'Effectiveness settings'!FI420)</f>
        <v>0</v>
      </c>
      <c r="FX420" s="58">
        <f t="shared" si="670"/>
        <v>0</v>
      </c>
      <c r="FY420" s="58">
        <f t="shared" si="671"/>
        <v>0</v>
      </c>
      <c r="FZ420" s="58">
        <f t="shared" si="672"/>
        <v>0</v>
      </c>
      <c r="GA420" s="58">
        <f t="shared" si="673"/>
        <v>0</v>
      </c>
      <c r="GB420" s="58">
        <f t="shared" si="674"/>
        <v>0</v>
      </c>
      <c r="GC420" s="58">
        <f t="shared" si="675"/>
        <v>0</v>
      </c>
      <c r="GD420" s="58">
        <f t="shared" si="676"/>
        <v>0</v>
      </c>
      <c r="GE420" s="58">
        <f>IF(AND(dd_CheckMate214_TTD="Yes",'Effectiveness settings'!BU420=2,'Effectiveness settings'!BX420=2),"Apply HR to",GD420)</f>
        <v>0</v>
      </c>
      <c r="GF420" s="58">
        <f t="shared" si="677"/>
        <v>0</v>
      </c>
      <c r="GG420" s="58">
        <f t="shared" si="678"/>
        <v>0</v>
      </c>
      <c r="GH420" s="58">
        <f t="shared" si="679"/>
        <v>0</v>
      </c>
      <c r="GI420" s="58">
        <f t="shared" si="640"/>
        <v>0</v>
      </c>
      <c r="GK420" s="58">
        <f>IF(i_baseline_risk_from=2,'Effectiveness settings'!FA420,'Effectiveness settings'!FM420)</f>
        <v>2</v>
      </c>
      <c r="GL420" s="58">
        <f>IF(i_baseline_risk_from=2,'Effectiveness settings'!FB420,'Effectiveness settings'!FN420)</f>
        <v>12</v>
      </c>
      <c r="GM420" s="58">
        <f>IF(i_baseline_risk_from=2,'Effectiveness settings'!FC420,'Effectiveness settings'!FO420)</f>
        <v>2</v>
      </c>
      <c r="GN420" s="58">
        <f>IF(i_baseline_risk_from=2,'Effectiveness settings'!FD420,'Effectiveness settings'!FP420)</f>
        <v>1</v>
      </c>
      <c r="GQ420" s="58">
        <f t="shared" si="680"/>
        <v>12</v>
      </c>
      <c r="GR420" s="58">
        <f t="shared" si="681"/>
        <v>12</v>
      </c>
      <c r="GS420" s="58">
        <f t="shared" si="682"/>
        <v>12</v>
      </c>
      <c r="GT420" s="58">
        <f t="shared" si="683"/>
        <v>12</v>
      </c>
      <c r="GU420" s="58">
        <f>IF(AND(dd_CheckMate214_TTD="Yes",'Effectiveness settings'!BU420=2,'Effectiveness settings'!BX420=2),2,GT420)</f>
        <v>12</v>
      </c>
      <c r="GV420" s="58">
        <f t="shared" si="684"/>
        <v>12</v>
      </c>
      <c r="GW420" s="58">
        <f t="shared" si="685"/>
        <v>12</v>
      </c>
      <c r="GY420" s="58">
        <f>IF(AND(dd_CheckMate214_TTD="Yes",'Effectiveness settings'!BU420=2,'Effectiveness settings'!BX420=2),1,GN420)</f>
        <v>1</v>
      </c>
      <c r="GZ420" s="58">
        <f t="shared" si="686"/>
        <v>1</v>
      </c>
      <c r="HB420" s="58">
        <f t="shared" si="687"/>
        <v>0</v>
      </c>
      <c r="HD420" s="58">
        <f t="shared" si="635"/>
        <v>0</v>
      </c>
      <c r="HE420" s="58">
        <f t="shared" si="636"/>
        <v>2</v>
      </c>
      <c r="HF420" s="58">
        <f t="shared" si="637"/>
        <v>12</v>
      </c>
      <c r="HG420" s="58">
        <f t="shared" si="638"/>
        <v>2</v>
      </c>
      <c r="HH420" s="58">
        <f t="shared" si="639"/>
        <v>1</v>
      </c>
    </row>
    <row r="421" spans="69:216" ht="15.75" x14ac:dyDescent="0.25">
      <c r="BQ421" s="58">
        <f t="shared" si="667"/>
        <v>252</v>
      </c>
      <c r="BR421" s="61">
        <v>0</v>
      </c>
      <c r="BS421" s="61" t="s">
        <v>31</v>
      </c>
      <c r="BT421" s="17">
        <v>2</v>
      </c>
      <c r="BU421" s="17">
        <v>999</v>
      </c>
      <c r="BV421" s="17" t="str">
        <f t="shared" si="690"/>
        <v>placebo_BSC</v>
      </c>
      <c r="BW421" s="1006" t="str" cm="1">
        <f t="array" ref="BW421">IF(X302="No",X302,INDEX(List_incl_anal_2L_all,IF(BU421=999,35,BU421+1)))</f>
        <v>No</v>
      </c>
      <c r="BX421" s="61">
        <f t="shared" si="691"/>
        <v>2</v>
      </c>
      <c r="BY421" s="531" t="str">
        <f t="shared" si="715"/>
        <v>Time to treatment discontinuation</v>
      </c>
      <c r="BZ421" s="530">
        <f t="shared" si="692"/>
        <v>0</v>
      </c>
      <c r="CA421" s="531">
        <f t="shared" si="714"/>
        <v>0</v>
      </c>
      <c r="CB421" s="530">
        <f t="shared" si="693"/>
        <v>0</v>
      </c>
      <c r="CC421" s="530">
        <f t="shared" si="694"/>
        <v>4</v>
      </c>
      <c r="CD421" s="530">
        <f t="shared" si="695"/>
        <v>999</v>
      </c>
      <c r="CE421" s="1295">
        <f t="shared" si="696"/>
        <v>2</v>
      </c>
      <c r="CF421" s="1301">
        <f t="shared" si="697"/>
        <v>4</v>
      </c>
      <c r="CG421" s="530" t="str">
        <f t="shared" si="698"/>
        <v/>
      </c>
      <c r="CH421" s="61">
        <f t="shared" si="699"/>
        <v>0</v>
      </c>
      <c r="CI421" s="61">
        <f t="shared" si="700"/>
        <v>0</v>
      </c>
      <c r="CJ421" s="61">
        <f t="shared" si="701"/>
        <v>0</v>
      </c>
      <c r="DK421" s="58" t="str" cm="1">
        <f t="array" ref="DK421">IF(AND($BT421=4,$BX421=4,$BU421=999),$DB$36,_xlfn.IFNA(INDEX(DB$13:DB$70,MATCH(1,($BR421=$CV$13:$CV$70)*($BT421=$CX$13:$CX$70)*($CE421=$CY$13:$CY$70)*($BY421=$DA$13:$DA$70)*($CD421=$DH$13:$DH$70),0)),""))</f>
        <v/>
      </c>
      <c r="DL421" s="58" t="str" cm="1">
        <f t="array" ref="DL421">IF(AND($BT421=4,$BX421=4,$BU421=999),$DC$36,_xlfn.IFNA(INDEX(CHOOSE(DP421,DB$13:DB$70,DC$13:DC$70,DD$13:DD$70,DE$13:DE$70),MATCH(1,($BR421=$CV$13:$CV$70)*($BT421=$CX$13:$CX$70)*($CE421=$CY$13:$CY$70)*($BY421=$DA$13:$DA$70)*($CD421=$DH$13:$DH$70),0)),""))</f>
        <v/>
      </c>
      <c r="DM421" s="740" t="str" cm="1">
        <f t="array" ref="DM421">IF(AND($BT421=4,$BX421=4,$BU421=999),$DD$36,_xlfn.IFNA(INDEX(DD$13:DD$68,MATCH(1,($BR421=$CV$13:$CV$68)*($BT421=$CX$13:$CX$68)*($CE421=$CY$13:$CY$68)*($BY421=$DA$13:$DA$68)*($CD421=$DH$13:$DH$68),0)),""))</f>
        <v/>
      </c>
      <c r="DN421" s="740" t="str" cm="1">
        <f t="array" ref="DN421">IF(AND($BT421=4,$BX421=4,$BU421=999),$DD$36,_xlfn.IFNA(INDEX(DE$13:DE$68,MATCH(1,($BR421=$CV$13:$CV$68)*($BT421=$CX$13:$CX$68)*($CE421=$CY$13:$CY$68)*($BY421=$DA$13:$DA$68)*($CD421=$DH$13:$DH$68),0)),""))</f>
        <v/>
      </c>
      <c r="DO421" s="58" t="str" cm="1">
        <f t="array" ref="DO421">IF(AND($BT421=4,$BX421=4,$BU421=999),$DF$36,_xlfn.IFNA(INDEX(DF$13:DF$70,MATCH(1,($BR421=$CV$13:$CV$70)*($BT421=$CX$13:$CX$70)*($CE421=$CY$13:$CY$70)*($BY421=$DA$13:$DA$70)*($CD421=$DH$13:$DH$70),0)),""))</f>
        <v/>
      </c>
      <c r="DP421" s="58" t="e">
        <f t="shared" si="668"/>
        <v>#N/A</v>
      </c>
      <c r="DW421" s="58" t="s">
        <v>58</v>
      </c>
      <c r="DX421" s="58" t="s">
        <v>554</v>
      </c>
      <c r="DY421" s="58">
        <v>0</v>
      </c>
      <c r="DZ421" s="58">
        <v>0</v>
      </c>
      <c r="EB421" s="58">
        <v>0</v>
      </c>
      <c r="EC421" s="58">
        <v>4</v>
      </c>
      <c r="ED421" s="58">
        <v>999</v>
      </c>
      <c r="EE421" s="58">
        <v>2</v>
      </c>
      <c r="EF421" s="58">
        <v>4</v>
      </c>
      <c r="EI421" s="58" t="s">
        <v>58</v>
      </c>
      <c r="EJ421" s="58" t="s">
        <v>554</v>
      </c>
      <c r="EK421" s="58">
        <v>0</v>
      </c>
      <c r="EL421" s="58">
        <v>0</v>
      </c>
      <c r="EN421" s="58">
        <v>0</v>
      </c>
      <c r="EO421" s="58">
        <v>4</v>
      </c>
      <c r="EP421" s="58">
        <v>999</v>
      </c>
      <c r="EQ421" s="58">
        <v>2</v>
      </c>
      <c r="ER421" s="58">
        <v>4</v>
      </c>
      <c r="EU421" s="58" t="str">
        <f t="shared" si="702"/>
        <v>No</v>
      </c>
      <c r="EV421" s="58" t="str">
        <f t="shared" si="703"/>
        <v>Time to treatment discontinuation</v>
      </c>
      <c r="EW421" s="58">
        <f t="shared" si="704"/>
        <v>0</v>
      </c>
      <c r="EX421" s="58">
        <f t="shared" si="705"/>
        <v>0</v>
      </c>
      <c r="EZ421" s="58">
        <f t="shared" si="706"/>
        <v>0</v>
      </c>
      <c r="FA421" s="58">
        <f t="shared" si="707"/>
        <v>4</v>
      </c>
      <c r="FB421" s="58">
        <f>IF(i_eff_inputs_based_on_num=2,ED421,(INDEX(Lists!$L$51:$L$85,MATCH(AD302,Lists!$K$51:$K$85,0))))</f>
        <v>999</v>
      </c>
      <c r="FC421" s="58">
        <f>IF(i_eff_inputs_based_on_num=2,EE421,(INDEX(Lists!$L$51:$L$85,MATCH(AE302,Lists!$K$51:$K$85,0))))</f>
        <v>2</v>
      </c>
      <c r="FD421" s="58">
        <f>IF(i_eff_inputs_based_on_num=2,EF421,(INDEX(Lists!$L$51:$L$85,MATCH(AF302,Lists!$K$51:$K$85,0))))</f>
        <v>4</v>
      </c>
      <c r="FG421" s="58" t="str">
        <f t="shared" si="708"/>
        <v>No</v>
      </c>
      <c r="FH421" s="58" t="str">
        <f t="shared" si="709"/>
        <v>Time to treatment discontinuation</v>
      </c>
      <c r="FI421" s="58">
        <f t="shared" si="710"/>
        <v>0</v>
      </c>
      <c r="FJ421" s="58">
        <f t="shared" si="711"/>
        <v>0</v>
      </c>
      <c r="FL421" s="58">
        <f t="shared" si="712"/>
        <v>0</v>
      </c>
      <c r="FM421" s="58">
        <f t="shared" si="713"/>
        <v>4</v>
      </c>
      <c r="FN421" s="58">
        <f>IF(i_eff_inputs_based_on_num=2,EP421,(INDEX(Lists!$L$51:$L$85,MATCH(AD302,Lists!$K$51:$K$85,0))))</f>
        <v>999</v>
      </c>
      <c r="FO421" s="58">
        <f>IF(i_eff_inputs_based_on_num=2,EQ421,(INDEX(Lists!$L$51:$L$85,MATCH(AE302,Lists!$K$51:$K$85,0))))</f>
        <v>2</v>
      </c>
      <c r="FP421" s="58">
        <f>IF(i_eff_inputs_based_on_num=2,ER421,(INDEX(Lists!$L$51:$L$85,MATCH(AF302,Lists!$K$51:$K$85,0))))</f>
        <v>4</v>
      </c>
      <c r="FT421" s="58">
        <f t="shared" si="669"/>
        <v>0</v>
      </c>
      <c r="FW421" s="58">
        <f>IF(i_baseline_risk_from=2,'Effectiveness settings'!EW421,'Effectiveness settings'!FI421)</f>
        <v>0</v>
      </c>
      <c r="FX421" s="58">
        <f t="shared" si="670"/>
        <v>0</v>
      </c>
      <c r="FY421" s="58">
        <f t="shared" si="671"/>
        <v>0</v>
      </c>
      <c r="FZ421" s="58">
        <f t="shared" si="672"/>
        <v>0</v>
      </c>
      <c r="GA421" s="58">
        <f t="shared" si="673"/>
        <v>0</v>
      </c>
      <c r="GB421" s="58">
        <f t="shared" si="674"/>
        <v>0</v>
      </c>
      <c r="GC421" s="58">
        <f t="shared" si="675"/>
        <v>0</v>
      </c>
      <c r="GD421" s="58">
        <f t="shared" si="676"/>
        <v>0</v>
      </c>
      <c r="GE421" s="58">
        <f>IF(AND(dd_CheckMate214_TTD="Yes",'Effectiveness settings'!BU421=2,'Effectiveness settings'!BX421=2),"Apply HR to",GD421)</f>
        <v>0</v>
      </c>
      <c r="GF421" s="58">
        <f t="shared" si="677"/>
        <v>0</v>
      </c>
      <c r="GG421" s="58">
        <f t="shared" si="678"/>
        <v>0</v>
      </c>
      <c r="GH421" s="58">
        <f t="shared" si="679"/>
        <v>0</v>
      </c>
      <c r="GI421" s="58">
        <f t="shared" si="640"/>
        <v>0</v>
      </c>
      <c r="GK421" s="58">
        <f>IF(i_baseline_risk_from=2,'Effectiveness settings'!FA421,'Effectiveness settings'!FM421)</f>
        <v>4</v>
      </c>
      <c r="GL421" s="58">
        <f>IF(i_baseline_risk_from=2,'Effectiveness settings'!FB421,'Effectiveness settings'!FN421)</f>
        <v>999</v>
      </c>
      <c r="GM421" s="58">
        <f>IF(i_baseline_risk_from=2,'Effectiveness settings'!FC421,'Effectiveness settings'!FO421)</f>
        <v>2</v>
      </c>
      <c r="GN421" s="58">
        <f>IF(i_baseline_risk_from=2,'Effectiveness settings'!FD421,'Effectiveness settings'!FP421)</f>
        <v>4</v>
      </c>
      <c r="GQ421" s="58">
        <f t="shared" si="680"/>
        <v>999</v>
      </c>
      <c r="GR421" s="58">
        <f t="shared" si="681"/>
        <v>999</v>
      </c>
      <c r="GS421" s="58">
        <f t="shared" si="682"/>
        <v>999</v>
      </c>
      <c r="GT421" s="58">
        <f t="shared" si="683"/>
        <v>999</v>
      </c>
      <c r="GU421" s="58">
        <f>IF(AND(dd_CheckMate214_TTD="Yes",'Effectiveness settings'!BU421=2,'Effectiveness settings'!BX421=2),2,GT421)</f>
        <v>999</v>
      </c>
      <c r="GV421" s="58">
        <f t="shared" si="684"/>
        <v>999</v>
      </c>
      <c r="GW421" s="58">
        <f t="shared" si="685"/>
        <v>999</v>
      </c>
      <c r="GY421" s="58">
        <f>IF(AND(dd_CheckMate214_TTD="Yes",'Effectiveness settings'!BU421=2,'Effectiveness settings'!BX421=2),1,GN421)</f>
        <v>4</v>
      </c>
      <c r="GZ421" s="58">
        <f t="shared" si="686"/>
        <v>4</v>
      </c>
      <c r="HB421" s="58">
        <f t="shared" si="687"/>
        <v>0</v>
      </c>
      <c r="HD421" s="58">
        <f t="shared" si="635"/>
        <v>0</v>
      </c>
      <c r="HE421" s="58">
        <f t="shared" si="636"/>
        <v>4</v>
      </c>
      <c r="HF421" s="58">
        <f t="shared" si="637"/>
        <v>999</v>
      </c>
      <c r="HG421" s="58">
        <f t="shared" si="638"/>
        <v>2</v>
      </c>
      <c r="HH421" s="58">
        <f t="shared" si="639"/>
        <v>4</v>
      </c>
    </row>
    <row r="422" spans="69:216" ht="15.75" x14ac:dyDescent="0.25">
      <c r="BQ422" s="58">
        <f t="shared" si="667"/>
        <v>252</v>
      </c>
      <c r="BR422" s="61"/>
      <c r="BS422" s="61"/>
      <c r="BT422" s="17"/>
      <c r="BU422" s="61"/>
      <c r="BV422" s="17"/>
      <c r="BW422" s="17"/>
      <c r="BX422" s="61"/>
      <c r="BY422" s="531"/>
      <c r="BZ422" s="530"/>
      <c r="CA422" s="531"/>
      <c r="CB422" s="530"/>
      <c r="CC422" s="530"/>
      <c r="CD422" s="530"/>
      <c r="CE422" s="1295"/>
      <c r="CF422" s="1301"/>
      <c r="CG422" s="530"/>
      <c r="CH422" s="61"/>
      <c r="CI422" s="61"/>
      <c r="CJ422" s="61"/>
      <c r="DK422" s="58" t="str" cm="1">
        <f t="array" ref="DK422">IF(AND($BT422=4,$BX422=4,$BU422=999),$DB$36,_xlfn.IFNA(INDEX(DB$13:DB$70,MATCH(1,($BR422=$CV$13:$CV$70)*($BT422=$CX$13:$CX$70)*($CE422=$CY$13:$CY$70)*($BY422=$DA$13:$DA$70)*($CD422=$DH$13:$DH$70),0)),""))</f>
        <v/>
      </c>
      <c r="DL422" s="58" t="str" cm="1">
        <f t="array" ref="DL422">IF(AND($BT422=4,$BX422=4,$BU422=999),$DC$36,_xlfn.IFNA(INDEX(CHOOSE(DP422,DB$13:DB$70,DC$13:DC$70,DD$13:DD$70,DE$13:DE$70),MATCH(1,($BR422=$CV$13:$CV$70)*($BT422=$CX$13:$CX$70)*($CE422=$CY$13:$CY$70)*($BY422=$DA$13:$DA$70)*($CD422=$DH$13:$DH$70),0)),""))</f>
        <v/>
      </c>
      <c r="DM422" s="740" t="str" cm="1">
        <f t="array" ref="DM422">IF(AND($BT422=4,$BX422=4,$BU422=999),$DD$36,_xlfn.IFNA(INDEX(DD$13:DD$68,MATCH(1,($BR422=$CV$13:$CV$68)*($BT422=$CX$13:$CX$68)*($CE422=$CY$13:$CY$68)*($BY422=$DA$13:$DA$68)*($CD422=$DH$13:$DH$68),0)),""))</f>
        <v/>
      </c>
      <c r="DN422" s="740" t="str" cm="1">
        <f t="array" ref="DN422">IF(AND($BT422=4,$BX422=4,$BU422=999),$DD$36,_xlfn.IFNA(INDEX(DE$13:DE$68,MATCH(1,($BR422=$CV$13:$CV$68)*($BT422=$CX$13:$CX$68)*($CE422=$CY$13:$CY$68)*($BY422=$DA$13:$DA$68)*($CD422=$DH$13:$DH$68),0)),""))</f>
        <v/>
      </c>
      <c r="DO422" s="58" t="str" cm="1">
        <f t="array" ref="DO422">IF(AND($BT422=4,$BX422=4,$BU422=999),$DF$36,_xlfn.IFNA(INDEX(DF$13:DF$70,MATCH(1,($BR422=$CV$13:$CV$70)*($BT422=$CX$13:$CX$70)*($CE422=$CY$13:$CY$70)*($BY422=$DA$13:$DA$70)*($CD422=$DH$13:$DH$70),0)),""))</f>
        <v/>
      </c>
      <c r="DP422" s="58" t="e">
        <f t="shared" si="668"/>
        <v>#N/A</v>
      </c>
      <c r="FT422" s="58">
        <f t="shared" si="669"/>
        <v>0</v>
      </c>
      <c r="FW422" s="58">
        <f>IF(i_baseline_risk_from=2,'Effectiveness settings'!EW422,'Effectiveness settings'!FI422)</f>
        <v>0</v>
      </c>
      <c r="FX422" s="58">
        <f t="shared" si="670"/>
        <v>0</v>
      </c>
      <c r="FY422" s="58">
        <f t="shared" si="671"/>
        <v>0</v>
      </c>
      <c r="FZ422" s="58">
        <f t="shared" si="672"/>
        <v>0</v>
      </c>
      <c r="GA422" s="58">
        <f t="shared" si="673"/>
        <v>0</v>
      </c>
      <c r="GB422" s="58">
        <f t="shared" si="674"/>
        <v>0</v>
      </c>
      <c r="GC422" s="58">
        <f t="shared" si="675"/>
        <v>0</v>
      </c>
      <c r="GD422" s="58">
        <f t="shared" si="676"/>
        <v>0</v>
      </c>
      <c r="GE422" s="58">
        <f>IF(AND(dd_CheckMate214_TTD="Yes",'Effectiveness settings'!BU422=2,'Effectiveness settings'!BX422=2),"Apply HR to",GD422)</f>
        <v>0</v>
      </c>
      <c r="GF422" s="58">
        <f t="shared" si="677"/>
        <v>0</v>
      </c>
      <c r="GG422" s="58">
        <f t="shared" si="678"/>
        <v>0</v>
      </c>
      <c r="GH422" s="58">
        <f t="shared" si="679"/>
        <v>0</v>
      </c>
      <c r="GI422" s="58">
        <f t="shared" si="640"/>
        <v>0</v>
      </c>
      <c r="GK422" s="58">
        <f>IF(i_baseline_risk_from=2,'Effectiveness settings'!FA422,'Effectiveness settings'!FM422)</f>
        <v>0</v>
      </c>
      <c r="GL422" s="58">
        <f>IF(i_baseline_risk_from=2,'Effectiveness settings'!FB422,'Effectiveness settings'!FN422)</f>
        <v>0</v>
      </c>
      <c r="GM422" s="58">
        <f>IF(i_baseline_risk_from=2,'Effectiveness settings'!FC422,'Effectiveness settings'!FO422)</f>
        <v>0</v>
      </c>
      <c r="GN422" s="58">
        <f>IF(i_baseline_risk_from=2,'Effectiveness settings'!FD422,'Effectiveness settings'!FP422)</f>
        <v>0</v>
      </c>
      <c r="GQ422" s="58">
        <f t="shared" si="680"/>
        <v>0</v>
      </c>
      <c r="GR422" s="58">
        <f t="shared" si="681"/>
        <v>0</v>
      </c>
      <c r="GS422" s="58">
        <f t="shared" si="682"/>
        <v>0</v>
      </c>
      <c r="GT422" s="58">
        <f t="shared" si="683"/>
        <v>0</v>
      </c>
      <c r="GU422" s="58">
        <f>IF(AND(dd_CheckMate214_TTD="Yes",'Effectiveness settings'!BU422=2,'Effectiveness settings'!BX422=2),2,GT422)</f>
        <v>0</v>
      </c>
      <c r="GV422" s="58">
        <f t="shared" si="684"/>
        <v>0</v>
      </c>
      <c r="GW422" s="58">
        <f t="shared" si="685"/>
        <v>0</v>
      </c>
      <c r="GY422" s="58">
        <f>IF(AND(dd_CheckMate214_TTD="Yes",'Effectiveness settings'!BU422=2,'Effectiveness settings'!BX422=2),1,GN422)</f>
        <v>0</v>
      </c>
      <c r="GZ422" s="58">
        <f t="shared" si="686"/>
        <v>0</v>
      </c>
      <c r="HB422" s="58">
        <f t="shared" si="687"/>
        <v>0</v>
      </c>
      <c r="HD422" s="58">
        <f t="shared" si="635"/>
        <v>0</v>
      </c>
      <c r="HE422" s="58">
        <f t="shared" si="636"/>
        <v>0</v>
      </c>
      <c r="HF422" s="58">
        <f t="shared" si="637"/>
        <v>0</v>
      </c>
      <c r="HG422" s="58">
        <f t="shared" si="638"/>
        <v>0</v>
      </c>
      <c r="HH422" s="58">
        <f t="shared" si="639"/>
        <v>0</v>
      </c>
    </row>
    <row r="423" spans="69:216" ht="15.75" x14ac:dyDescent="0.25">
      <c r="BQ423" s="58">
        <f t="shared" si="667"/>
        <v>253</v>
      </c>
      <c r="BR423" s="61">
        <v>0</v>
      </c>
      <c r="BS423" s="61" t="s">
        <v>31</v>
      </c>
      <c r="BT423" s="17">
        <v>2</v>
      </c>
      <c r="BU423" s="17">
        <v>0</v>
      </c>
      <c r="BV423" s="17" t="str">
        <f t="shared" ref="BV423:BV436" si="716">D304</f>
        <v>nivolumab_monotherapy</v>
      </c>
      <c r="BW423" s="1006" t="str" cm="1">
        <f t="array" ref="BW423">IF(X304="No",X304,INDEX(List_incl_anal_2L_all,IF(BU423=999,35,BU423+1)))</f>
        <v>Yes</v>
      </c>
      <c r="BX423" s="61">
        <f t="shared" ref="BX423:BX436" si="717">MATCH(BY423,List_eff_endpoints,0)-1</f>
        <v>3</v>
      </c>
      <c r="BY423" s="531" t="str">
        <f>Y304</f>
        <v>Time to progression</v>
      </c>
      <c r="BZ423" s="530" t="str">
        <f t="shared" ref="BZ423:BZ436" si="718">GI423</f>
        <v>PH_NMA</v>
      </c>
      <c r="CA423" s="531">
        <f>FT423</f>
        <v>0</v>
      </c>
      <c r="CB423" s="530">
        <f t="shared" ref="CB423:CB436" si="719">HD423</f>
        <v>0</v>
      </c>
      <c r="CC423" s="530">
        <f t="shared" ref="CC423:CC436" si="720">HE423</f>
        <v>2</v>
      </c>
      <c r="CD423" s="530">
        <f t="shared" ref="CD423:CD436" si="721">HF423</f>
        <v>8</v>
      </c>
      <c r="CE423" s="1295">
        <f t="shared" ref="CE423:CE436" si="722">HG423</f>
        <v>2</v>
      </c>
      <c r="CF423" s="1301">
        <f t="shared" ref="CF423:CF436" si="723">HH423</f>
        <v>1</v>
      </c>
      <c r="CG423" s="530" t="str">
        <f t="shared" ref="CG423:CG436" si="724">IF(i_surv_cur=1,DK423,DL423)</f>
        <v>Log-normal</v>
      </c>
      <c r="CH423" s="61">
        <f t="shared" ref="CH423:CH436" si="725">AH304</f>
        <v>0.82</v>
      </c>
      <c r="CI423" s="61">
        <f t="shared" ref="CI423:CI436" si="726">AI304</f>
        <v>0.8</v>
      </c>
      <c r="CJ423" s="61">
        <f t="shared" ref="CJ423:CJ436" si="727">AJ304</f>
        <v>0.84</v>
      </c>
      <c r="DK423" s="58" t="str" cm="1">
        <f t="array" ref="DK423">IF(AND($BT423=4,$BX423=4,$BU423=999),$DB$36,_xlfn.IFNA(INDEX(DB$13:DB$70,MATCH(1,($BR423=$CV$13:$CV$70)*($BT423=$CX$13:$CX$70)*($CE423=$CY$13:$CY$70)*($BY423=$DA$13:$DA$70)*($CD423=$DH$13:$DH$70),0)),""))</f>
        <v>Log-normal</v>
      </c>
      <c r="DL423" s="58" t="str" cm="1">
        <f t="array" ref="DL423">IF(AND($BT423=4,$BX423=4,$BU423=999),$DC$36,_xlfn.IFNA(INDEX(CHOOSE(DP423,DB$13:DB$70,DC$13:DC$70,DD$13:DD$70,DE$13:DE$70),MATCH(1,($BR423=$CV$13:$CV$70)*($BT423=$CX$13:$CX$70)*($CE423=$CY$13:$CY$70)*($BY423=$DA$13:$DA$70)*($CD423=$DH$13:$DH$70),0)),""))</f>
        <v>Log-normal</v>
      </c>
      <c r="DM423" s="740" cm="1">
        <f t="array" ref="DM423">IF(AND($BT423=4,$BX423=4,$BU423=999),$DD$36,_xlfn.IFNA(INDEX(DD$13:DD$68,MATCH(1,($BR423=$CV$13:$CV$68)*($BT423=$CX$13:$CX$68)*($CE423=$CY$13:$CY$68)*($BY423=$DA$13:$DA$68)*($CD423=$DH$13:$DH$68),0)),""))</f>
        <v>0</v>
      </c>
      <c r="DN423" s="740" cm="1">
        <f t="array" ref="DN423">IF(AND($BT423=4,$BX423=4,$BU423=999),$DD$36,_xlfn.IFNA(INDEX(DE$13:DE$68,MATCH(1,($BR423=$CV$13:$CV$68)*($BT423=$CX$13:$CX$68)*($CE423=$CY$13:$CY$68)*($BY423=$DA$13:$DA$68)*($CD423=$DH$13:$DH$68),0)),""))</f>
        <v>0</v>
      </c>
      <c r="DO423" s="58" t="str" cm="1">
        <f t="array" ref="DO423">IF(AND($BT423=4,$BX423=4,$BU423=999),$DF$36,_xlfn.IFNA(INDEX(DF$13:DF$70,MATCH(1,($BR423=$CV$13:$CV$70)*($BT423=$CX$13:$CX$70)*($CE423=$CY$13:$CY$70)*($BY423=$DA$13:$DA$70)*($CD423=$DH$13:$DH$70),0)),""))</f>
        <v>Base case</v>
      </c>
      <c r="DP423" s="58">
        <f t="shared" si="668"/>
        <v>1</v>
      </c>
      <c r="DW423" s="58" t="s">
        <v>74</v>
      </c>
      <c r="DX423" s="58" t="s">
        <v>555</v>
      </c>
      <c r="DY423" s="58" t="s">
        <v>63</v>
      </c>
      <c r="DZ423" s="58">
        <v>0</v>
      </c>
      <c r="EB423" s="58">
        <v>0</v>
      </c>
      <c r="EC423" s="58">
        <v>2</v>
      </c>
      <c r="ED423" s="58">
        <v>8</v>
      </c>
      <c r="EE423" s="58">
        <v>2</v>
      </c>
      <c r="EF423" s="58">
        <v>1</v>
      </c>
      <c r="EI423" s="58" t="s">
        <v>74</v>
      </c>
      <c r="EJ423" s="58" t="s">
        <v>555</v>
      </c>
      <c r="EK423" s="58" t="s">
        <v>578</v>
      </c>
      <c r="EL423" s="58">
        <v>0</v>
      </c>
      <c r="EN423" s="58">
        <v>0</v>
      </c>
      <c r="EO423" s="58">
        <v>2</v>
      </c>
      <c r="EP423" s="58">
        <v>0</v>
      </c>
      <c r="EQ423" s="58">
        <v>1</v>
      </c>
      <c r="ER423" s="58">
        <v>1</v>
      </c>
      <c r="EU423" s="58" t="str">
        <f t="shared" ref="EU423:EU436" si="728">IF(i_eff_inputs_based_on_num=2,DW423,X304)</f>
        <v>Yes</v>
      </c>
      <c r="EV423" s="58" t="str">
        <f t="shared" ref="EV423:EV436" si="729">IF(i_eff_inputs_based_on_num=2,DX423,Y304)</f>
        <v>Time to progression</v>
      </c>
      <c r="EW423" s="58" t="str">
        <f t="shared" ref="EW423:EW436" si="730">IF(i_eff_inputs_based_on_num=2,DY423,Z304)</f>
        <v>FP_NMA</v>
      </c>
      <c r="EX423" s="58">
        <f t="shared" ref="EX423:EX436" si="731">IF(i_eff_inputs_based_on_num=2,DZ423,AA304)</f>
        <v>0</v>
      </c>
      <c r="EZ423" s="58">
        <f t="shared" ref="EZ423:EZ436" si="732">IF(i_eff_inputs_based_on_num=2,EB423,VLOOKUP(AB304,r_pld_lookup_line,3,FALSE))</f>
        <v>0</v>
      </c>
      <c r="FA423" s="58">
        <f t="shared" ref="FA423:FA436" si="733">IF(i_eff_inputs_based_on_num=2,EC423,VLOOKUP(AC304,r_pld_lookup_line,3,FALSE))</f>
        <v>2</v>
      </c>
      <c r="FB423" s="58">
        <f>IF(i_eff_inputs_based_on_num=2,ED423,(INDEX(Lists!$L$51:$L$85,MATCH(AD304,Lists!$K$51:$K$85,0))))</f>
        <v>8</v>
      </c>
      <c r="FC423" s="58">
        <f>IF(i_eff_inputs_based_on_num=2,EE423,(INDEX(Lists!$L$51:$L$85,MATCH(AE304,Lists!$K$51:$K$85,0))))</f>
        <v>2</v>
      </c>
      <c r="FD423" s="58">
        <f>IF(i_eff_inputs_based_on_num=2,EF423,(INDEX(Lists!$L$51:$L$85,MATCH(AF304,Lists!$K$51:$K$85,0))))</f>
        <v>1</v>
      </c>
      <c r="FG423" s="58" t="str">
        <f t="shared" ref="FG423:FG436" si="734">IF(i_eff_inputs_based_on_num=2,EI423,X304)</f>
        <v>Yes</v>
      </c>
      <c r="FH423" s="58" t="str">
        <f t="shared" ref="FH423:FH436" si="735">IF(i_eff_inputs_based_on_num=2,EJ423,Y304)</f>
        <v>Time to progression</v>
      </c>
      <c r="FI423" s="58" t="str">
        <f t="shared" ref="FI423:FI436" si="736">IF(i_eff_inputs_based_on_num=2,EK423,Z304)</f>
        <v>Apply HR to</v>
      </c>
      <c r="FJ423" s="58">
        <f t="shared" ref="FJ423:FJ436" si="737">IF(i_eff_inputs_based_on_num=2,EL423,AA304)</f>
        <v>0</v>
      </c>
      <c r="FL423" s="58">
        <f t="shared" ref="FL423:FL436" si="738">IF(i_eff_inputs_based_on_num=2,EN423,VLOOKUP(AB304,r_pld_lookup_line,3,FALSE))</f>
        <v>0</v>
      </c>
      <c r="FM423" s="58">
        <f t="shared" ref="FM423:FM436" si="739">IF(i_eff_inputs_based_on_num=2,EO423,VLOOKUP(AC304,r_pld_lookup_line,3,FALSE))</f>
        <v>2</v>
      </c>
      <c r="FN423" s="58">
        <f>IF(i_eff_inputs_based_on_num=2,EP423,(INDEX(Lists!$L$51:$L$85,MATCH(AD304,Lists!$K$51:$K$85,0))))</f>
        <v>0</v>
      </c>
      <c r="FO423" s="58">
        <f>IF(i_eff_inputs_based_on_num=2,EQ423,(INDEX(Lists!$L$51:$L$85,MATCH(AE304,Lists!$K$51:$K$85,0))))</f>
        <v>1</v>
      </c>
      <c r="FP423" s="58">
        <f>IF(i_eff_inputs_based_on_num=2,ER423,(INDEX(Lists!$L$51:$L$85,MATCH(AF304,Lists!$K$51:$K$85,0))))</f>
        <v>1</v>
      </c>
      <c r="FT423" s="58">
        <f t="shared" si="669"/>
        <v>0</v>
      </c>
      <c r="FW423" s="58" t="str">
        <f>IF(i_baseline_risk_from=2,'Effectiveness settings'!EW423,'Effectiveness settings'!FI423)</f>
        <v>FP_NMA</v>
      </c>
      <c r="FX423" s="58" t="str">
        <f t="shared" si="670"/>
        <v>PH_NMA</v>
      </c>
      <c r="FY423" s="58" t="str">
        <f t="shared" si="671"/>
        <v>PH_NMA</v>
      </c>
      <c r="FZ423" s="58" t="str">
        <f t="shared" si="672"/>
        <v>PH_NMA</v>
      </c>
      <c r="GA423" s="58" t="str">
        <f t="shared" si="673"/>
        <v>PH_NMA</v>
      </c>
      <c r="GB423" s="58" t="str">
        <f t="shared" si="674"/>
        <v>PH_NMA</v>
      </c>
      <c r="GC423" s="58" t="str">
        <f t="shared" si="675"/>
        <v>PH_NMA</v>
      </c>
      <c r="GD423" s="58" t="str">
        <f t="shared" si="676"/>
        <v>PH_NMA</v>
      </c>
      <c r="GE423" s="58" t="str">
        <f>IF(AND(dd_CheckMate214_TTD="Yes",'Effectiveness settings'!BU423=2,'Effectiveness settings'!BX423=2),"Apply HR to",GD423)</f>
        <v>PH_NMA</v>
      </c>
      <c r="GF423" s="58" t="str">
        <f t="shared" si="677"/>
        <v>PH_NMA</v>
      </c>
      <c r="GG423" s="58" t="str">
        <f t="shared" si="678"/>
        <v>PH_NMA</v>
      </c>
      <c r="GH423" s="58" t="str">
        <f t="shared" si="679"/>
        <v>PH_NMA</v>
      </c>
      <c r="GI423" s="58" t="str">
        <f t="shared" si="640"/>
        <v>PH_NMA</v>
      </c>
      <c r="GK423" s="58">
        <f>IF(i_baseline_risk_from=2,'Effectiveness settings'!FA423,'Effectiveness settings'!FM423)</f>
        <v>2</v>
      </c>
      <c r="GL423" s="58">
        <f>IF(i_baseline_risk_from=2,'Effectiveness settings'!FB423,'Effectiveness settings'!FN423)</f>
        <v>8</v>
      </c>
      <c r="GM423" s="58">
        <f>IF(i_baseline_risk_from=2,'Effectiveness settings'!FC423,'Effectiveness settings'!FO423)</f>
        <v>2</v>
      </c>
      <c r="GN423" s="58">
        <f>IF(i_baseline_risk_from=2,'Effectiveness settings'!FD423,'Effectiveness settings'!FP423)</f>
        <v>1</v>
      </c>
      <c r="GQ423" s="58">
        <f t="shared" si="680"/>
        <v>8</v>
      </c>
      <c r="GR423" s="58">
        <f t="shared" si="681"/>
        <v>8</v>
      </c>
      <c r="GS423" s="58">
        <f t="shared" si="682"/>
        <v>8</v>
      </c>
      <c r="GT423" s="58">
        <f t="shared" si="683"/>
        <v>8</v>
      </c>
      <c r="GU423" s="58">
        <f>IF(AND(dd_CheckMate214_TTD="Yes",'Effectiveness settings'!BU423=2,'Effectiveness settings'!BX423=2),2,GT423)</f>
        <v>8</v>
      </c>
      <c r="GV423" s="58">
        <f t="shared" si="684"/>
        <v>8</v>
      </c>
      <c r="GW423" s="58">
        <f t="shared" si="685"/>
        <v>8</v>
      </c>
      <c r="GY423" s="58">
        <f>IF(AND(dd_CheckMate214_TTD="Yes",'Effectiveness settings'!BU423=2,'Effectiveness settings'!BX423=2),1,GN423)</f>
        <v>1</v>
      </c>
      <c r="GZ423" s="58">
        <f t="shared" si="686"/>
        <v>1</v>
      </c>
      <c r="HB423" s="58">
        <f t="shared" si="687"/>
        <v>0</v>
      </c>
      <c r="HD423" s="58">
        <f t="shared" si="635"/>
        <v>0</v>
      </c>
      <c r="HE423" s="58">
        <f t="shared" si="636"/>
        <v>2</v>
      </c>
      <c r="HF423" s="58">
        <f t="shared" si="637"/>
        <v>8</v>
      </c>
      <c r="HG423" s="58">
        <f t="shared" si="638"/>
        <v>2</v>
      </c>
      <c r="HH423" s="58">
        <f t="shared" si="639"/>
        <v>1</v>
      </c>
    </row>
    <row r="424" spans="69:216" ht="15.75" x14ac:dyDescent="0.25">
      <c r="BQ424" s="58">
        <f t="shared" si="667"/>
        <v>254</v>
      </c>
      <c r="BR424" s="61">
        <v>0</v>
      </c>
      <c r="BS424" s="61" t="s">
        <v>31</v>
      </c>
      <c r="BT424" s="17">
        <v>2</v>
      </c>
      <c r="BU424" s="17">
        <v>1</v>
      </c>
      <c r="BV424" s="17" t="str">
        <f t="shared" si="716"/>
        <v>cabozantinib_plus_nivolumab</v>
      </c>
      <c r="BW424" s="1006" t="str" cm="1">
        <f t="array" ref="BW424">IF(X305="No",X305,INDEX(List_incl_anal_2L_all,IF(BU424=999,35,BU424+1)))</f>
        <v>No</v>
      </c>
      <c r="BX424" s="61">
        <f t="shared" si="717"/>
        <v>3</v>
      </c>
      <c r="BY424" s="531" t="str">
        <f>Y305</f>
        <v>Time to progression</v>
      </c>
      <c r="BZ424" s="530">
        <f t="shared" si="718"/>
        <v>0</v>
      </c>
      <c r="CA424" s="531">
        <f t="shared" ref="CA424:CA436" si="740">FT424</f>
        <v>0</v>
      </c>
      <c r="CB424" s="530">
        <f t="shared" si="719"/>
        <v>0</v>
      </c>
      <c r="CC424" s="530">
        <f t="shared" si="720"/>
        <v>2</v>
      </c>
      <c r="CD424" s="530">
        <f t="shared" si="721"/>
        <v>8</v>
      </c>
      <c r="CE424" s="1295">
        <f t="shared" si="722"/>
        <v>2</v>
      </c>
      <c r="CF424" s="1301">
        <f t="shared" si="723"/>
        <v>1</v>
      </c>
      <c r="CG424" s="530" t="str">
        <f t="shared" si="724"/>
        <v>Log-normal</v>
      </c>
      <c r="CH424" s="61">
        <f t="shared" si="725"/>
        <v>1</v>
      </c>
      <c r="CI424" s="61">
        <f t="shared" si="726"/>
        <v>0</v>
      </c>
      <c r="CJ424" s="61">
        <f t="shared" si="727"/>
        <v>0</v>
      </c>
      <c r="DK424" s="58" t="str" cm="1">
        <f t="array" ref="DK424">IF(AND($BT424=4,$BX424=4,$BU424=999),$DB$36,_xlfn.IFNA(INDEX(DB$13:DB$70,MATCH(1,($BR424=$CV$13:$CV$70)*($BT424=$CX$13:$CX$70)*($CE424=$CY$13:$CY$70)*($BY424=$DA$13:$DA$70)*($CD424=$DH$13:$DH$70),0)),""))</f>
        <v>Log-normal</v>
      </c>
      <c r="DL424" s="58" t="str" cm="1">
        <f t="array" ref="DL424">IF(AND($BT424=4,$BX424=4,$BU424=999),$DC$36,_xlfn.IFNA(INDEX(CHOOSE(DP424,DB$13:DB$70,DC$13:DC$70,DD$13:DD$70,DE$13:DE$70),MATCH(1,($BR424=$CV$13:$CV$70)*($BT424=$CX$13:$CX$70)*($CE424=$CY$13:$CY$70)*($BY424=$DA$13:$DA$70)*($CD424=$DH$13:$DH$70),0)),""))</f>
        <v>Log-normal</v>
      </c>
      <c r="DM424" s="740" cm="1">
        <f t="array" ref="DM424">IF(AND($BT424=4,$BX424=4,$BU424=999),$DD$36,_xlfn.IFNA(INDEX(DD$13:DD$68,MATCH(1,($BR424=$CV$13:$CV$68)*($BT424=$CX$13:$CX$68)*($CE424=$CY$13:$CY$68)*($BY424=$DA$13:$DA$68)*($CD424=$DH$13:$DH$68),0)),""))</f>
        <v>0</v>
      </c>
      <c r="DN424" s="740" cm="1">
        <f t="array" ref="DN424">IF(AND($BT424=4,$BX424=4,$BU424=999),$DD$36,_xlfn.IFNA(INDEX(DE$13:DE$68,MATCH(1,($BR424=$CV$13:$CV$68)*($BT424=$CX$13:$CX$68)*($CE424=$CY$13:$CY$68)*($BY424=$DA$13:$DA$68)*($CD424=$DH$13:$DH$68),0)),""))</f>
        <v>0</v>
      </c>
      <c r="DO424" s="58" t="str" cm="1">
        <f t="array" ref="DO424">IF(AND($BT424=4,$BX424=4,$BU424=999),$DF$36,_xlfn.IFNA(INDEX(DF$13:DF$70,MATCH(1,($BR424=$CV$13:$CV$70)*($BT424=$CX$13:$CX$70)*($CE424=$CY$13:$CY$70)*($BY424=$DA$13:$DA$70)*($CD424=$DH$13:$DH$70),0)),""))</f>
        <v>Base case</v>
      </c>
      <c r="DP424" s="58">
        <f t="shared" si="668"/>
        <v>1</v>
      </c>
      <c r="DW424" s="58" t="s">
        <v>58</v>
      </c>
      <c r="DX424" s="58" t="s">
        <v>555</v>
      </c>
      <c r="DY424" s="58">
        <v>0</v>
      </c>
      <c r="DZ424" s="58">
        <v>0</v>
      </c>
      <c r="EB424" s="58">
        <v>0</v>
      </c>
      <c r="EC424" s="58">
        <v>2</v>
      </c>
      <c r="ED424" s="58">
        <v>8</v>
      </c>
      <c r="EE424" s="58">
        <v>2</v>
      </c>
      <c r="EF424" s="58">
        <v>1</v>
      </c>
      <c r="EI424" s="58" t="s">
        <v>58</v>
      </c>
      <c r="EJ424" s="58" t="s">
        <v>555</v>
      </c>
      <c r="EK424" s="58">
        <v>0</v>
      </c>
      <c r="EL424" s="58">
        <v>0</v>
      </c>
      <c r="EN424" s="58">
        <v>0</v>
      </c>
      <c r="EO424" s="58">
        <v>2</v>
      </c>
      <c r="EP424" s="58">
        <v>1</v>
      </c>
      <c r="EQ424" s="58">
        <v>1</v>
      </c>
      <c r="ER424" s="58">
        <v>1</v>
      </c>
      <c r="EU424" s="58" t="str">
        <f t="shared" si="728"/>
        <v>No</v>
      </c>
      <c r="EV424" s="58" t="str">
        <f t="shared" si="729"/>
        <v>Time to progression</v>
      </c>
      <c r="EW424" s="58">
        <f t="shared" si="730"/>
        <v>0</v>
      </c>
      <c r="EX424" s="58">
        <f t="shared" si="731"/>
        <v>0</v>
      </c>
      <c r="EZ424" s="58">
        <f t="shared" si="732"/>
        <v>0</v>
      </c>
      <c r="FA424" s="58">
        <f t="shared" si="733"/>
        <v>2</v>
      </c>
      <c r="FB424" s="58">
        <f>IF(i_eff_inputs_based_on_num=2,ED424,(INDEX(Lists!$L$51:$L$85,MATCH(AD305,Lists!$K$51:$K$85,0))))</f>
        <v>8</v>
      </c>
      <c r="FC424" s="58">
        <f>IF(i_eff_inputs_based_on_num=2,EE424,(INDEX(Lists!$L$51:$L$85,MATCH(AE305,Lists!$K$51:$K$85,0))))</f>
        <v>2</v>
      </c>
      <c r="FD424" s="58">
        <f>IF(i_eff_inputs_based_on_num=2,EF424,(INDEX(Lists!$L$51:$L$85,MATCH(AF305,Lists!$K$51:$K$85,0))))</f>
        <v>1</v>
      </c>
      <c r="FG424" s="58" t="str">
        <f t="shared" si="734"/>
        <v>No</v>
      </c>
      <c r="FH424" s="58" t="str">
        <f t="shared" si="735"/>
        <v>Time to progression</v>
      </c>
      <c r="FI424" s="58">
        <f t="shared" si="736"/>
        <v>0</v>
      </c>
      <c r="FJ424" s="58">
        <f t="shared" si="737"/>
        <v>0</v>
      </c>
      <c r="FL424" s="58">
        <f t="shared" si="738"/>
        <v>0</v>
      </c>
      <c r="FM424" s="58">
        <f t="shared" si="739"/>
        <v>2</v>
      </c>
      <c r="FN424" s="58">
        <f>IF(i_eff_inputs_based_on_num=2,EP424,(INDEX(Lists!$L$51:$L$85,MATCH(AD305,Lists!$K$51:$K$85,0))))</f>
        <v>1</v>
      </c>
      <c r="FO424" s="58">
        <f>IF(i_eff_inputs_based_on_num=2,EQ424,(INDEX(Lists!$L$51:$L$85,MATCH(AE305,Lists!$K$51:$K$85,0))))</f>
        <v>1</v>
      </c>
      <c r="FP424" s="58">
        <f>IF(i_eff_inputs_based_on_num=2,ER424,(INDEX(Lists!$L$51:$L$85,MATCH(AF305,Lists!$K$51:$K$85,0))))</f>
        <v>1</v>
      </c>
      <c r="FT424" s="58">
        <f t="shared" si="669"/>
        <v>0</v>
      </c>
      <c r="FW424" s="58">
        <f>IF(i_baseline_risk_from=2,'Effectiveness settings'!EW424,'Effectiveness settings'!FI424)</f>
        <v>0</v>
      </c>
      <c r="FX424" s="58">
        <f t="shared" si="670"/>
        <v>0</v>
      </c>
      <c r="FY424" s="58">
        <f t="shared" si="671"/>
        <v>0</v>
      </c>
      <c r="FZ424" s="58">
        <f t="shared" si="672"/>
        <v>0</v>
      </c>
      <c r="GA424" s="58">
        <f t="shared" si="673"/>
        <v>0</v>
      </c>
      <c r="GB424" s="58">
        <f t="shared" si="674"/>
        <v>0</v>
      </c>
      <c r="GC424" s="58">
        <f t="shared" si="675"/>
        <v>0</v>
      </c>
      <c r="GD424" s="58">
        <f t="shared" si="676"/>
        <v>0</v>
      </c>
      <c r="GE424" s="58">
        <f>IF(AND(dd_CheckMate214_TTD="Yes",'Effectiveness settings'!BU424=2,'Effectiveness settings'!BX424=2),"Apply HR to",GD424)</f>
        <v>0</v>
      </c>
      <c r="GF424" s="58">
        <f t="shared" si="677"/>
        <v>0</v>
      </c>
      <c r="GG424" s="58">
        <f t="shared" si="678"/>
        <v>0</v>
      </c>
      <c r="GH424" s="58">
        <f t="shared" si="679"/>
        <v>0</v>
      </c>
      <c r="GI424" s="58">
        <f t="shared" si="640"/>
        <v>0</v>
      </c>
      <c r="GK424" s="58">
        <f>IF(i_baseline_risk_from=2,'Effectiveness settings'!FA424,'Effectiveness settings'!FM424)</f>
        <v>2</v>
      </c>
      <c r="GL424" s="58">
        <f>IF(i_baseline_risk_from=2,'Effectiveness settings'!FB424,'Effectiveness settings'!FN424)</f>
        <v>8</v>
      </c>
      <c r="GM424" s="58">
        <f>IF(i_baseline_risk_from=2,'Effectiveness settings'!FC424,'Effectiveness settings'!FO424)</f>
        <v>2</v>
      </c>
      <c r="GN424" s="58">
        <f>IF(i_baseline_risk_from=2,'Effectiveness settings'!FD424,'Effectiveness settings'!FP424)</f>
        <v>1</v>
      </c>
      <c r="GQ424" s="58">
        <f t="shared" si="680"/>
        <v>8</v>
      </c>
      <c r="GR424" s="58">
        <f t="shared" si="681"/>
        <v>8</v>
      </c>
      <c r="GS424" s="58">
        <f t="shared" si="682"/>
        <v>8</v>
      </c>
      <c r="GT424" s="58">
        <f t="shared" si="683"/>
        <v>8</v>
      </c>
      <c r="GU424" s="58">
        <f>IF(AND(dd_CheckMate214_TTD="Yes",'Effectiveness settings'!BU424=2,'Effectiveness settings'!BX424=2),2,GT424)</f>
        <v>8</v>
      </c>
      <c r="GV424" s="58">
        <f t="shared" si="684"/>
        <v>8</v>
      </c>
      <c r="GW424" s="58">
        <f t="shared" si="685"/>
        <v>8</v>
      </c>
      <c r="GY424" s="58">
        <f>IF(AND(dd_CheckMate214_TTD="Yes",'Effectiveness settings'!BU424=2,'Effectiveness settings'!BX424=2),1,GN424)</f>
        <v>1</v>
      </c>
      <c r="GZ424" s="58">
        <f t="shared" si="686"/>
        <v>1</v>
      </c>
      <c r="HB424" s="58">
        <f t="shared" si="687"/>
        <v>0</v>
      </c>
      <c r="HD424" s="58">
        <f t="shared" si="635"/>
        <v>0</v>
      </c>
      <c r="HE424" s="58">
        <f t="shared" si="636"/>
        <v>2</v>
      </c>
      <c r="HF424" s="58">
        <f t="shared" si="637"/>
        <v>8</v>
      </c>
      <c r="HG424" s="58">
        <f t="shared" si="638"/>
        <v>2</v>
      </c>
      <c r="HH424" s="58">
        <f t="shared" si="639"/>
        <v>1</v>
      </c>
    </row>
    <row r="425" spans="69:216" ht="15.75" x14ac:dyDescent="0.25">
      <c r="BQ425" s="58">
        <f t="shared" si="667"/>
        <v>255</v>
      </c>
      <c r="BR425" s="61">
        <v>0</v>
      </c>
      <c r="BS425" s="61" t="s">
        <v>31</v>
      </c>
      <c r="BT425" s="17">
        <v>2</v>
      </c>
      <c r="BU425" s="17">
        <v>2</v>
      </c>
      <c r="BV425" s="17" t="str">
        <f t="shared" si="716"/>
        <v>nivolumab_plus_ipilimumab</v>
      </c>
      <c r="BW425" s="1006" t="str" cm="1">
        <f t="array" ref="BW425">IF(X306="No",X306,INDEX(List_incl_anal_2L_all,IF(BU425=999,35,BU425+1)))</f>
        <v>No</v>
      </c>
      <c r="BX425" s="61">
        <f t="shared" si="717"/>
        <v>3</v>
      </c>
      <c r="BY425" s="531" t="str">
        <f>Y306</f>
        <v>Time to progression</v>
      </c>
      <c r="BZ425" s="530">
        <f t="shared" si="718"/>
        <v>0</v>
      </c>
      <c r="CA425" s="531">
        <f t="shared" si="740"/>
        <v>0</v>
      </c>
      <c r="CB425" s="530">
        <f t="shared" si="719"/>
        <v>0</v>
      </c>
      <c r="CC425" s="530">
        <f t="shared" si="720"/>
        <v>2</v>
      </c>
      <c r="CD425" s="530">
        <f t="shared" si="721"/>
        <v>8</v>
      </c>
      <c r="CE425" s="1295">
        <f t="shared" si="722"/>
        <v>2</v>
      </c>
      <c r="CF425" s="1301">
        <f t="shared" si="723"/>
        <v>1</v>
      </c>
      <c r="CG425" s="530" t="str">
        <f t="shared" si="724"/>
        <v>Log-normal</v>
      </c>
      <c r="CH425" s="61">
        <f t="shared" si="725"/>
        <v>1</v>
      </c>
      <c r="CI425" s="61">
        <f t="shared" si="726"/>
        <v>0</v>
      </c>
      <c r="CJ425" s="61">
        <f t="shared" si="727"/>
        <v>0</v>
      </c>
      <c r="DK425" s="58" t="str" cm="1">
        <f t="array" ref="DK425">IF(AND($BT425=4,$BX425=4,$BU425=999),$DB$36,_xlfn.IFNA(INDEX(DB$13:DB$70,MATCH(1,($BR425=$CV$13:$CV$70)*($BT425=$CX$13:$CX$70)*($CE425=$CY$13:$CY$70)*($BY425=$DA$13:$DA$70)*($CD425=$DH$13:$DH$70),0)),""))</f>
        <v>Log-normal</v>
      </c>
      <c r="DL425" s="58" t="str" cm="1">
        <f t="array" ref="DL425">IF(AND($BT425=4,$BX425=4,$BU425=999),$DC$36,_xlfn.IFNA(INDEX(CHOOSE(DP425,DB$13:DB$70,DC$13:DC$70,DD$13:DD$70,DE$13:DE$70),MATCH(1,($BR425=$CV$13:$CV$70)*($BT425=$CX$13:$CX$70)*($CE425=$CY$13:$CY$70)*($BY425=$DA$13:$DA$70)*($CD425=$DH$13:$DH$70),0)),""))</f>
        <v>Log-normal</v>
      </c>
      <c r="DM425" s="740" cm="1">
        <f t="array" ref="DM425">IF(AND($BT425=4,$BX425=4,$BU425=999),$DD$36,_xlfn.IFNA(INDEX(DD$13:DD$68,MATCH(1,($BR425=$CV$13:$CV$68)*($BT425=$CX$13:$CX$68)*($CE425=$CY$13:$CY$68)*($BY425=$DA$13:$DA$68)*($CD425=$DH$13:$DH$68),0)),""))</f>
        <v>0</v>
      </c>
      <c r="DN425" s="740" cm="1">
        <f t="array" ref="DN425">IF(AND($BT425=4,$BX425=4,$BU425=999),$DD$36,_xlfn.IFNA(INDEX(DE$13:DE$68,MATCH(1,($BR425=$CV$13:$CV$68)*($BT425=$CX$13:$CX$68)*($CE425=$CY$13:$CY$68)*($BY425=$DA$13:$DA$68)*($CD425=$DH$13:$DH$68),0)),""))</f>
        <v>0</v>
      </c>
      <c r="DO425" s="58" t="str" cm="1">
        <f t="array" ref="DO425">IF(AND($BT425=4,$BX425=4,$BU425=999),$DF$36,_xlfn.IFNA(INDEX(DF$13:DF$70,MATCH(1,($BR425=$CV$13:$CV$70)*($BT425=$CX$13:$CX$70)*($CE425=$CY$13:$CY$70)*($BY425=$DA$13:$DA$70)*($CD425=$DH$13:$DH$70),0)),""))</f>
        <v>Base case</v>
      </c>
      <c r="DP425" s="58">
        <f t="shared" si="668"/>
        <v>1</v>
      </c>
      <c r="DW425" s="58" t="s">
        <v>58</v>
      </c>
      <c r="DX425" s="58" t="s">
        <v>555</v>
      </c>
      <c r="DY425" s="58">
        <v>0</v>
      </c>
      <c r="DZ425" s="58">
        <v>0</v>
      </c>
      <c r="EB425" s="58">
        <v>0</v>
      </c>
      <c r="EC425" s="58">
        <v>2</v>
      </c>
      <c r="ED425" s="58">
        <v>8</v>
      </c>
      <c r="EE425" s="58">
        <v>2</v>
      </c>
      <c r="EF425" s="58">
        <v>1</v>
      </c>
      <c r="EI425" s="58" t="s">
        <v>58</v>
      </c>
      <c r="EJ425" s="58" t="s">
        <v>555</v>
      </c>
      <c r="EK425" s="58">
        <v>0</v>
      </c>
      <c r="EL425" s="58">
        <v>0</v>
      </c>
      <c r="EN425" s="58">
        <v>0</v>
      </c>
      <c r="EO425" s="58">
        <v>2</v>
      </c>
      <c r="EP425" s="58">
        <v>2</v>
      </c>
      <c r="EQ425" s="58">
        <v>1</v>
      </c>
      <c r="ER425" s="58">
        <v>1</v>
      </c>
      <c r="EU425" s="58" t="str">
        <f t="shared" si="728"/>
        <v>No</v>
      </c>
      <c r="EV425" s="58" t="str">
        <f t="shared" si="729"/>
        <v>Time to progression</v>
      </c>
      <c r="EW425" s="58">
        <f t="shared" si="730"/>
        <v>0</v>
      </c>
      <c r="EX425" s="58">
        <f t="shared" si="731"/>
        <v>0</v>
      </c>
      <c r="EZ425" s="58">
        <f t="shared" si="732"/>
        <v>0</v>
      </c>
      <c r="FA425" s="58">
        <f t="shared" si="733"/>
        <v>2</v>
      </c>
      <c r="FB425" s="58">
        <f>IF(i_eff_inputs_based_on_num=2,ED425,(INDEX(Lists!$L$51:$L$85,MATCH(AD306,Lists!$K$51:$K$85,0))))</f>
        <v>8</v>
      </c>
      <c r="FC425" s="58">
        <f>IF(i_eff_inputs_based_on_num=2,EE425,(INDEX(Lists!$L$51:$L$85,MATCH(AE306,Lists!$K$51:$K$85,0))))</f>
        <v>2</v>
      </c>
      <c r="FD425" s="58">
        <f>IF(i_eff_inputs_based_on_num=2,EF425,(INDEX(Lists!$L$51:$L$85,MATCH(AF306,Lists!$K$51:$K$85,0))))</f>
        <v>1</v>
      </c>
      <c r="FG425" s="58" t="str">
        <f t="shared" si="734"/>
        <v>No</v>
      </c>
      <c r="FH425" s="58" t="str">
        <f t="shared" si="735"/>
        <v>Time to progression</v>
      </c>
      <c r="FI425" s="58">
        <f t="shared" si="736"/>
        <v>0</v>
      </c>
      <c r="FJ425" s="58">
        <f t="shared" si="737"/>
        <v>0</v>
      </c>
      <c r="FL425" s="58">
        <f t="shared" si="738"/>
        <v>0</v>
      </c>
      <c r="FM425" s="58">
        <f t="shared" si="739"/>
        <v>2</v>
      </c>
      <c r="FN425" s="58">
        <f>IF(i_eff_inputs_based_on_num=2,EP425,(INDEX(Lists!$L$51:$L$85,MATCH(AD306,Lists!$K$51:$K$85,0))))</f>
        <v>2</v>
      </c>
      <c r="FO425" s="58">
        <f>IF(i_eff_inputs_based_on_num=2,EQ425,(INDEX(Lists!$L$51:$L$85,MATCH(AE306,Lists!$K$51:$K$85,0))))</f>
        <v>1</v>
      </c>
      <c r="FP425" s="58">
        <f>IF(i_eff_inputs_based_on_num=2,ER425,(INDEX(Lists!$L$51:$L$85,MATCH(AF306,Lists!$K$51:$K$85,0))))</f>
        <v>1</v>
      </c>
      <c r="FT425" s="58">
        <f t="shared" si="669"/>
        <v>0</v>
      </c>
      <c r="FW425" s="58">
        <f>IF(i_baseline_risk_from=2,'Effectiveness settings'!EW425,'Effectiveness settings'!FI425)</f>
        <v>0</v>
      </c>
      <c r="FX425" s="58">
        <f t="shared" si="670"/>
        <v>0</v>
      </c>
      <c r="FY425" s="58">
        <f t="shared" si="671"/>
        <v>0</v>
      </c>
      <c r="FZ425" s="58">
        <f t="shared" si="672"/>
        <v>0</v>
      </c>
      <c r="GA425" s="58">
        <f t="shared" si="673"/>
        <v>0</v>
      </c>
      <c r="GB425" s="58">
        <f t="shared" si="674"/>
        <v>0</v>
      </c>
      <c r="GC425" s="58">
        <f t="shared" si="675"/>
        <v>0</v>
      </c>
      <c r="GD425" s="58">
        <f t="shared" si="676"/>
        <v>0</v>
      </c>
      <c r="GE425" s="58">
        <f>IF(AND(dd_CheckMate214_TTD="Yes",'Effectiveness settings'!BU425=2,'Effectiveness settings'!BX425=2),"Apply HR to",GD425)</f>
        <v>0</v>
      </c>
      <c r="GF425" s="58">
        <f t="shared" si="677"/>
        <v>0</v>
      </c>
      <c r="GG425" s="58">
        <f t="shared" si="678"/>
        <v>0</v>
      </c>
      <c r="GH425" s="58">
        <f t="shared" si="679"/>
        <v>0</v>
      </c>
      <c r="GI425" s="58">
        <f t="shared" si="640"/>
        <v>0</v>
      </c>
      <c r="GK425" s="58">
        <f>IF(i_baseline_risk_from=2,'Effectiveness settings'!FA425,'Effectiveness settings'!FM425)</f>
        <v>2</v>
      </c>
      <c r="GL425" s="58">
        <f>IF(i_baseline_risk_from=2,'Effectiveness settings'!FB425,'Effectiveness settings'!FN425)</f>
        <v>8</v>
      </c>
      <c r="GM425" s="58">
        <f>IF(i_baseline_risk_from=2,'Effectiveness settings'!FC425,'Effectiveness settings'!FO425)</f>
        <v>2</v>
      </c>
      <c r="GN425" s="58">
        <f>IF(i_baseline_risk_from=2,'Effectiveness settings'!FD425,'Effectiveness settings'!FP425)</f>
        <v>1</v>
      </c>
      <c r="GQ425" s="58">
        <f t="shared" si="680"/>
        <v>8</v>
      </c>
      <c r="GR425" s="58">
        <f t="shared" si="681"/>
        <v>8</v>
      </c>
      <c r="GS425" s="58">
        <f t="shared" si="682"/>
        <v>8</v>
      </c>
      <c r="GT425" s="58">
        <f t="shared" si="683"/>
        <v>8</v>
      </c>
      <c r="GU425" s="58">
        <f>IF(AND(dd_CheckMate214_TTD="Yes",'Effectiveness settings'!BU425=2,'Effectiveness settings'!BX425=2),2,GT425)</f>
        <v>8</v>
      </c>
      <c r="GV425" s="58">
        <f t="shared" si="684"/>
        <v>8</v>
      </c>
      <c r="GW425" s="58">
        <f t="shared" si="685"/>
        <v>8</v>
      </c>
      <c r="GY425" s="58">
        <f>IF(AND(dd_CheckMate214_TTD="Yes",'Effectiveness settings'!BU425=2,'Effectiveness settings'!BX425=2),1,GN425)</f>
        <v>1</v>
      </c>
      <c r="GZ425" s="58">
        <f t="shared" si="686"/>
        <v>1</v>
      </c>
      <c r="HB425" s="58">
        <f t="shared" si="687"/>
        <v>0</v>
      </c>
      <c r="HD425" s="58">
        <f t="shared" si="635"/>
        <v>0</v>
      </c>
      <c r="HE425" s="58">
        <f t="shared" si="636"/>
        <v>2</v>
      </c>
      <c r="HF425" s="58">
        <f t="shared" si="637"/>
        <v>8</v>
      </c>
      <c r="HG425" s="58">
        <f t="shared" si="638"/>
        <v>2</v>
      </c>
      <c r="HH425" s="58">
        <f t="shared" si="639"/>
        <v>1</v>
      </c>
    </row>
    <row r="426" spans="69:216" ht="15.75" x14ac:dyDescent="0.25">
      <c r="BQ426" s="58">
        <f t="shared" si="667"/>
        <v>256</v>
      </c>
      <c r="BR426" s="61">
        <v>0</v>
      </c>
      <c r="BS426" s="61" t="s">
        <v>31</v>
      </c>
      <c r="BT426" s="17">
        <v>2</v>
      </c>
      <c r="BU426" s="17">
        <v>3</v>
      </c>
      <c r="BV426" s="17" t="str">
        <f t="shared" si="716"/>
        <v>lenvatinib_plus_pembrolizumab</v>
      </c>
      <c r="BW426" s="1006" t="str" cm="1">
        <f t="array" ref="BW426">IF(X307="No",X307,INDEX(List_incl_anal_2L_all,IF(BU426=999,35,BU426+1)))</f>
        <v>No</v>
      </c>
      <c r="BX426" s="61">
        <f t="shared" si="717"/>
        <v>3</v>
      </c>
      <c r="BY426" s="531" t="str">
        <f>Y307</f>
        <v>Time to progression</v>
      </c>
      <c r="BZ426" s="530">
        <f t="shared" si="718"/>
        <v>0</v>
      </c>
      <c r="CA426" s="531">
        <f t="shared" si="740"/>
        <v>0</v>
      </c>
      <c r="CB426" s="530">
        <f t="shared" si="719"/>
        <v>0</v>
      </c>
      <c r="CC426" s="530">
        <f t="shared" si="720"/>
        <v>2</v>
      </c>
      <c r="CD426" s="530">
        <f t="shared" si="721"/>
        <v>8</v>
      </c>
      <c r="CE426" s="1295">
        <f t="shared" si="722"/>
        <v>2</v>
      </c>
      <c r="CF426" s="1301">
        <f t="shared" si="723"/>
        <v>1</v>
      </c>
      <c r="CG426" s="530" t="str">
        <f t="shared" si="724"/>
        <v>Log-normal</v>
      </c>
      <c r="CH426" s="61">
        <f t="shared" si="725"/>
        <v>1</v>
      </c>
      <c r="CI426" s="61">
        <f t="shared" si="726"/>
        <v>0</v>
      </c>
      <c r="CJ426" s="61">
        <f t="shared" si="727"/>
        <v>0</v>
      </c>
      <c r="DK426" s="58" t="str" cm="1">
        <f t="array" ref="DK426">IF(AND($BT426=4,$BX426=4,$BU426=999),$DB$36,_xlfn.IFNA(INDEX(DB$13:DB$70,MATCH(1,($BR426=$CV$13:$CV$70)*($BT426=$CX$13:$CX$70)*($CE426=$CY$13:$CY$70)*($BY426=$DA$13:$DA$70)*($CD426=$DH$13:$DH$70),0)),""))</f>
        <v>Log-normal</v>
      </c>
      <c r="DL426" s="58" t="str" cm="1">
        <f t="array" ref="DL426">IF(AND($BT426=4,$BX426=4,$BU426=999),$DC$36,_xlfn.IFNA(INDEX(CHOOSE(DP426,DB$13:DB$70,DC$13:DC$70,DD$13:DD$70,DE$13:DE$70),MATCH(1,($BR426=$CV$13:$CV$70)*($BT426=$CX$13:$CX$70)*($CE426=$CY$13:$CY$70)*($BY426=$DA$13:$DA$70)*($CD426=$DH$13:$DH$70),0)),""))</f>
        <v>Log-normal</v>
      </c>
      <c r="DM426" s="740" cm="1">
        <f t="array" ref="DM426">IF(AND($BT426=4,$BX426=4,$BU426=999),$DD$36,_xlfn.IFNA(INDEX(DD$13:DD$68,MATCH(1,($BR426=$CV$13:$CV$68)*($BT426=$CX$13:$CX$68)*($CE426=$CY$13:$CY$68)*($BY426=$DA$13:$DA$68)*($CD426=$DH$13:$DH$68),0)),""))</f>
        <v>0</v>
      </c>
      <c r="DN426" s="740" cm="1">
        <f t="array" ref="DN426">IF(AND($BT426=4,$BX426=4,$BU426=999),$DD$36,_xlfn.IFNA(INDEX(DE$13:DE$68,MATCH(1,($BR426=$CV$13:$CV$68)*($BT426=$CX$13:$CX$68)*($CE426=$CY$13:$CY$68)*($BY426=$DA$13:$DA$68)*($CD426=$DH$13:$DH$68),0)),""))</f>
        <v>0</v>
      </c>
      <c r="DO426" s="58" t="str" cm="1">
        <f t="array" ref="DO426">IF(AND($BT426=4,$BX426=4,$BU426=999),$DF$36,_xlfn.IFNA(INDEX(DF$13:DF$70,MATCH(1,($BR426=$CV$13:$CV$70)*($BT426=$CX$13:$CX$70)*($CE426=$CY$13:$CY$70)*($BY426=$DA$13:$DA$70)*($CD426=$DH$13:$DH$70),0)),""))</f>
        <v>Base case</v>
      </c>
      <c r="DP426" s="58">
        <f t="shared" si="668"/>
        <v>1</v>
      </c>
      <c r="DW426" s="58" t="s">
        <v>58</v>
      </c>
      <c r="DX426" s="58" t="s">
        <v>555</v>
      </c>
      <c r="DY426" s="58">
        <v>0</v>
      </c>
      <c r="DZ426" s="58">
        <v>0</v>
      </c>
      <c r="EB426" s="58">
        <v>0</v>
      </c>
      <c r="EC426" s="58">
        <v>2</v>
      </c>
      <c r="ED426" s="58">
        <v>8</v>
      </c>
      <c r="EE426" s="58">
        <v>2</v>
      </c>
      <c r="EF426" s="58">
        <v>1</v>
      </c>
      <c r="EI426" s="58" t="s">
        <v>58</v>
      </c>
      <c r="EJ426" s="58" t="s">
        <v>555</v>
      </c>
      <c r="EK426" s="58">
        <v>0</v>
      </c>
      <c r="EL426" s="58">
        <v>0</v>
      </c>
      <c r="EN426" s="58">
        <v>0</v>
      </c>
      <c r="EO426" s="58">
        <v>2</v>
      </c>
      <c r="EP426" s="58">
        <v>3</v>
      </c>
      <c r="EQ426" s="58">
        <v>1</v>
      </c>
      <c r="ER426" s="58">
        <v>1</v>
      </c>
      <c r="EU426" s="58" t="str">
        <f t="shared" si="728"/>
        <v>No</v>
      </c>
      <c r="EV426" s="58" t="str">
        <f t="shared" si="729"/>
        <v>Time to progression</v>
      </c>
      <c r="EW426" s="58">
        <f t="shared" si="730"/>
        <v>0</v>
      </c>
      <c r="EX426" s="58">
        <f t="shared" si="731"/>
        <v>0</v>
      </c>
      <c r="EZ426" s="58">
        <f t="shared" si="732"/>
        <v>0</v>
      </c>
      <c r="FA426" s="58">
        <f t="shared" si="733"/>
        <v>2</v>
      </c>
      <c r="FB426" s="58">
        <f>IF(i_eff_inputs_based_on_num=2,ED426,(INDEX(Lists!$L$51:$L$85,MATCH(AD307,Lists!$K$51:$K$85,0))))</f>
        <v>8</v>
      </c>
      <c r="FC426" s="58">
        <f>IF(i_eff_inputs_based_on_num=2,EE426,(INDEX(Lists!$L$51:$L$85,MATCH(AE307,Lists!$K$51:$K$85,0))))</f>
        <v>2</v>
      </c>
      <c r="FD426" s="58">
        <f>IF(i_eff_inputs_based_on_num=2,EF426,(INDEX(Lists!$L$51:$L$85,MATCH(AF307,Lists!$K$51:$K$85,0))))</f>
        <v>1</v>
      </c>
      <c r="FG426" s="58" t="str">
        <f t="shared" si="734"/>
        <v>No</v>
      </c>
      <c r="FH426" s="58" t="str">
        <f t="shared" si="735"/>
        <v>Time to progression</v>
      </c>
      <c r="FI426" s="58">
        <f t="shared" si="736"/>
        <v>0</v>
      </c>
      <c r="FJ426" s="58">
        <f t="shared" si="737"/>
        <v>0</v>
      </c>
      <c r="FL426" s="58">
        <f t="shared" si="738"/>
        <v>0</v>
      </c>
      <c r="FM426" s="58">
        <f t="shared" si="739"/>
        <v>2</v>
      </c>
      <c r="FN426" s="58">
        <f>IF(i_eff_inputs_based_on_num=2,EP426,(INDEX(Lists!$L$51:$L$85,MATCH(AD307,Lists!$K$51:$K$85,0))))</f>
        <v>3</v>
      </c>
      <c r="FO426" s="58">
        <f>IF(i_eff_inputs_based_on_num=2,EQ426,(INDEX(Lists!$L$51:$L$85,MATCH(AE307,Lists!$K$51:$K$85,0))))</f>
        <v>1</v>
      </c>
      <c r="FP426" s="58">
        <f>IF(i_eff_inputs_based_on_num=2,ER426,(INDEX(Lists!$L$51:$L$85,MATCH(AF307,Lists!$K$51:$K$85,0))))</f>
        <v>1</v>
      </c>
      <c r="FT426" s="58">
        <f t="shared" si="669"/>
        <v>0</v>
      </c>
      <c r="FW426" s="58">
        <f>IF(i_baseline_risk_from=2,'Effectiveness settings'!EW426,'Effectiveness settings'!FI426)</f>
        <v>0</v>
      </c>
      <c r="FX426" s="58">
        <f t="shared" si="670"/>
        <v>0</v>
      </c>
      <c r="FY426" s="58">
        <f t="shared" si="671"/>
        <v>0</v>
      </c>
      <c r="FZ426" s="58">
        <f t="shared" si="672"/>
        <v>0</v>
      </c>
      <c r="GA426" s="58">
        <f t="shared" si="673"/>
        <v>0</v>
      </c>
      <c r="GB426" s="58">
        <f t="shared" si="674"/>
        <v>0</v>
      </c>
      <c r="GC426" s="58">
        <f t="shared" si="675"/>
        <v>0</v>
      </c>
      <c r="GD426" s="58">
        <f t="shared" si="676"/>
        <v>0</v>
      </c>
      <c r="GE426" s="58">
        <f>IF(AND(dd_CheckMate214_TTD="Yes",'Effectiveness settings'!BU426=2,'Effectiveness settings'!BX426=2),"Apply HR to",GD426)</f>
        <v>0</v>
      </c>
      <c r="GF426" s="58">
        <f t="shared" si="677"/>
        <v>0</v>
      </c>
      <c r="GG426" s="58">
        <f t="shared" si="678"/>
        <v>0</v>
      </c>
      <c r="GH426" s="58">
        <f t="shared" si="679"/>
        <v>0</v>
      </c>
      <c r="GI426" s="58">
        <f t="shared" si="640"/>
        <v>0</v>
      </c>
      <c r="GK426" s="58">
        <f>IF(i_baseline_risk_from=2,'Effectiveness settings'!FA426,'Effectiveness settings'!FM426)</f>
        <v>2</v>
      </c>
      <c r="GL426" s="58">
        <f>IF(i_baseline_risk_from=2,'Effectiveness settings'!FB426,'Effectiveness settings'!FN426)</f>
        <v>8</v>
      </c>
      <c r="GM426" s="58">
        <f>IF(i_baseline_risk_from=2,'Effectiveness settings'!FC426,'Effectiveness settings'!FO426)</f>
        <v>2</v>
      </c>
      <c r="GN426" s="58">
        <f>IF(i_baseline_risk_from=2,'Effectiveness settings'!FD426,'Effectiveness settings'!FP426)</f>
        <v>1</v>
      </c>
      <c r="GQ426" s="58">
        <f t="shared" si="680"/>
        <v>8</v>
      </c>
      <c r="GR426" s="58">
        <f t="shared" si="681"/>
        <v>8</v>
      </c>
      <c r="GS426" s="58">
        <f t="shared" si="682"/>
        <v>8</v>
      </c>
      <c r="GT426" s="58">
        <f t="shared" si="683"/>
        <v>8</v>
      </c>
      <c r="GU426" s="58">
        <f>IF(AND(dd_CheckMate214_TTD="Yes",'Effectiveness settings'!BU426=2,'Effectiveness settings'!BX426=2),2,GT426)</f>
        <v>8</v>
      </c>
      <c r="GV426" s="58">
        <f t="shared" si="684"/>
        <v>8</v>
      </c>
      <c r="GW426" s="58">
        <f t="shared" si="685"/>
        <v>8</v>
      </c>
      <c r="GY426" s="58">
        <f>IF(AND(dd_CheckMate214_TTD="Yes",'Effectiveness settings'!BU426=2,'Effectiveness settings'!BX426=2),1,GN426)</f>
        <v>1</v>
      </c>
      <c r="GZ426" s="58">
        <f t="shared" si="686"/>
        <v>1</v>
      </c>
      <c r="HB426" s="58">
        <f t="shared" si="687"/>
        <v>0</v>
      </c>
      <c r="HD426" s="58">
        <f t="shared" si="635"/>
        <v>0</v>
      </c>
      <c r="HE426" s="58">
        <f t="shared" si="636"/>
        <v>2</v>
      </c>
      <c r="HF426" s="58">
        <f t="shared" si="637"/>
        <v>8</v>
      </c>
      <c r="HG426" s="58">
        <f t="shared" si="638"/>
        <v>2</v>
      </c>
      <c r="HH426" s="58">
        <f t="shared" si="639"/>
        <v>1</v>
      </c>
    </row>
    <row r="427" spans="69:216" ht="15.75" x14ac:dyDescent="0.25">
      <c r="BQ427" s="58">
        <f t="shared" si="667"/>
        <v>257</v>
      </c>
      <c r="BR427" s="61">
        <v>0</v>
      </c>
      <c r="BS427" s="61" t="s">
        <v>31</v>
      </c>
      <c r="BT427" s="17">
        <v>2</v>
      </c>
      <c r="BU427" s="17">
        <v>4</v>
      </c>
      <c r="BV427" s="17" t="str">
        <f t="shared" si="716"/>
        <v>avelumab_plus_axitinib</v>
      </c>
      <c r="BW427" s="1006" t="str" cm="1">
        <f t="array" ref="BW427">IF(X308="No",X308,INDEX(List_incl_anal_2L_all,IF(BU427=999,35,BU427+1)))</f>
        <v>No</v>
      </c>
      <c r="BX427" s="61">
        <f t="shared" si="717"/>
        <v>3</v>
      </c>
      <c r="BY427" s="531" t="str">
        <f>Y308</f>
        <v>Time to progression</v>
      </c>
      <c r="BZ427" s="530">
        <f t="shared" si="718"/>
        <v>0</v>
      </c>
      <c r="CA427" s="531">
        <f t="shared" si="740"/>
        <v>0</v>
      </c>
      <c r="CB427" s="530">
        <f t="shared" si="719"/>
        <v>0</v>
      </c>
      <c r="CC427" s="530">
        <f t="shared" si="720"/>
        <v>2</v>
      </c>
      <c r="CD427" s="530">
        <f t="shared" si="721"/>
        <v>8</v>
      </c>
      <c r="CE427" s="1295">
        <f t="shared" si="722"/>
        <v>2</v>
      </c>
      <c r="CF427" s="1301">
        <f t="shared" si="723"/>
        <v>1</v>
      </c>
      <c r="CG427" s="530" t="str">
        <f t="shared" si="724"/>
        <v>Log-normal</v>
      </c>
      <c r="CH427" s="61">
        <f t="shared" si="725"/>
        <v>1</v>
      </c>
      <c r="CI427" s="61">
        <f t="shared" si="726"/>
        <v>0</v>
      </c>
      <c r="CJ427" s="61">
        <f t="shared" si="727"/>
        <v>0</v>
      </c>
      <c r="DK427" s="58" t="str" cm="1">
        <f t="array" ref="DK427">IF(AND($BT427=4,$BX427=4,$BU427=999),$DB$36,_xlfn.IFNA(INDEX(DB$13:DB$70,MATCH(1,($BR427=$CV$13:$CV$70)*($BT427=$CX$13:$CX$70)*($CE427=$CY$13:$CY$70)*($BY427=$DA$13:$DA$70)*($CD427=$DH$13:$DH$70),0)),""))</f>
        <v>Log-normal</v>
      </c>
      <c r="DL427" s="58" t="str" cm="1">
        <f t="array" ref="DL427">IF(AND($BT427=4,$BX427=4,$BU427=999),$DC$36,_xlfn.IFNA(INDEX(CHOOSE(DP427,DB$13:DB$70,DC$13:DC$70,DD$13:DD$70,DE$13:DE$70),MATCH(1,($BR427=$CV$13:$CV$70)*($BT427=$CX$13:$CX$70)*($CE427=$CY$13:$CY$70)*($BY427=$DA$13:$DA$70)*($CD427=$DH$13:$DH$70),0)),""))</f>
        <v>Log-normal</v>
      </c>
      <c r="DM427" s="740" cm="1">
        <f t="array" ref="DM427">IF(AND($BT427=4,$BX427=4,$BU427=999),$DD$36,_xlfn.IFNA(INDEX(DD$13:DD$68,MATCH(1,($BR427=$CV$13:$CV$68)*($BT427=$CX$13:$CX$68)*($CE427=$CY$13:$CY$68)*($BY427=$DA$13:$DA$68)*($CD427=$DH$13:$DH$68),0)),""))</f>
        <v>0</v>
      </c>
      <c r="DN427" s="740" cm="1">
        <f t="array" ref="DN427">IF(AND($BT427=4,$BX427=4,$BU427=999),$DD$36,_xlfn.IFNA(INDEX(DE$13:DE$68,MATCH(1,($BR427=$CV$13:$CV$68)*($BT427=$CX$13:$CX$68)*($CE427=$CY$13:$CY$68)*($BY427=$DA$13:$DA$68)*($CD427=$DH$13:$DH$68),0)),""))</f>
        <v>0</v>
      </c>
      <c r="DO427" s="58" t="str" cm="1">
        <f t="array" ref="DO427">IF(AND($BT427=4,$BX427=4,$BU427=999),$DF$36,_xlfn.IFNA(INDEX(DF$13:DF$70,MATCH(1,($BR427=$CV$13:$CV$70)*($BT427=$CX$13:$CX$70)*($CE427=$CY$13:$CY$70)*($BY427=$DA$13:$DA$70)*($CD427=$DH$13:$DH$70),0)),""))</f>
        <v>Base case</v>
      </c>
      <c r="DP427" s="58">
        <f t="shared" si="668"/>
        <v>1</v>
      </c>
      <c r="DW427" s="58" t="s">
        <v>58</v>
      </c>
      <c r="DX427" s="58" t="s">
        <v>555</v>
      </c>
      <c r="DY427" s="58">
        <v>0</v>
      </c>
      <c r="DZ427" s="58">
        <v>0</v>
      </c>
      <c r="EB427" s="58">
        <v>0</v>
      </c>
      <c r="EC427" s="58">
        <v>2</v>
      </c>
      <c r="ED427" s="58">
        <v>8</v>
      </c>
      <c r="EE427" s="58">
        <v>2</v>
      </c>
      <c r="EF427" s="58">
        <v>1</v>
      </c>
      <c r="EI427" s="58" t="s">
        <v>58</v>
      </c>
      <c r="EJ427" s="58" t="s">
        <v>555</v>
      </c>
      <c r="EK427" s="58">
        <v>0</v>
      </c>
      <c r="EL427" s="58">
        <v>0</v>
      </c>
      <c r="EN427" s="58">
        <v>0</v>
      </c>
      <c r="EO427" s="58">
        <v>2</v>
      </c>
      <c r="EP427" s="58">
        <v>4</v>
      </c>
      <c r="EQ427" s="58">
        <v>1</v>
      </c>
      <c r="ER427" s="58">
        <v>1</v>
      </c>
      <c r="EU427" s="58" t="str">
        <f t="shared" si="728"/>
        <v>No</v>
      </c>
      <c r="EV427" s="58" t="str">
        <f t="shared" si="729"/>
        <v>Time to progression</v>
      </c>
      <c r="EW427" s="58">
        <f t="shared" si="730"/>
        <v>0</v>
      </c>
      <c r="EX427" s="58">
        <f t="shared" si="731"/>
        <v>0</v>
      </c>
      <c r="EZ427" s="58">
        <f t="shared" si="732"/>
        <v>0</v>
      </c>
      <c r="FA427" s="58">
        <f t="shared" si="733"/>
        <v>2</v>
      </c>
      <c r="FB427" s="58">
        <f>IF(i_eff_inputs_based_on_num=2,ED427,(INDEX(Lists!$L$51:$L$85,MATCH(AD308,Lists!$K$51:$K$85,0))))</f>
        <v>8</v>
      </c>
      <c r="FC427" s="58">
        <f>IF(i_eff_inputs_based_on_num=2,EE427,(INDEX(Lists!$L$51:$L$85,MATCH(AE308,Lists!$K$51:$K$85,0))))</f>
        <v>2</v>
      </c>
      <c r="FD427" s="58">
        <f>IF(i_eff_inputs_based_on_num=2,EF427,(INDEX(Lists!$L$51:$L$85,MATCH(AF308,Lists!$K$51:$K$85,0))))</f>
        <v>1</v>
      </c>
      <c r="FG427" s="58" t="str">
        <f t="shared" si="734"/>
        <v>No</v>
      </c>
      <c r="FH427" s="58" t="str">
        <f t="shared" si="735"/>
        <v>Time to progression</v>
      </c>
      <c r="FI427" s="58">
        <f t="shared" si="736"/>
        <v>0</v>
      </c>
      <c r="FJ427" s="58">
        <f t="shared" si="737"/>
        <v>0</v>
      </c>
      <c r="FL427" s="58">
        <f t="shared" si="738"/>
        <v>0</v>
      </c>
      <c r="FM427" s="58">
        <f t="shared" si="739"/>
        <v>2</v>
      </c>
      <c r="FN427" s="58">
        <f>IF(i_eff_inputs_based_on_num=2,EP427,(INDEX(Lists!$L$51:$L$85,MATCH(AD308,Lists!$K$51:$K$85,0))))</f>
        <v>4</v>
      </c>
      <c r="FO427" s="58">
        <f>IF(i_eff_inputs_based_on_num=2,EQ427,(INDEX(Lists!$L$51:$L$85,MATCH(AE308,Lists!$K$51:$K$85,0))))</f>
        <v>1</v>
      </c>
      <c r="FP427" s="58">
        <f>IF(i_eff_inputs_based_on_num=2,ER427,(INDEX(Lists!$L$51:$L$85,MATCH(AF308,Lists!$K$51:$K$85,0))))</f>
        <v>1</v>
      </c>
      <c r="FT427" s="58">
        <f t="shared" si="669"/>
        <v>0</v>
      </c>
      <c r="FW427" s="58">
        <f>IF(i_baseline_risk_from=2,'Effectiveness settings'!EW427,'Effectiveness settings'!FI427)</f>
        <v>0</v>
      </c>
      <c r="FX427" s="58">
        <f t="shared" si="670"/>
        <v>0</v>
      </c>
      <c r="FY427" s="58">
        <f t="shared" si="671"/>
        <v>0</v>
      </c>
      <c r="FZ427" s="58">
        <f t="shared" si="672"/>
        <v>0</v>
      </c>
      <c r="GA427" s="58">
        <f t="shared" si="673"/>
        <v>0</v>
      </c>
      <c r="GB427" s="58">
        <f t="shared" si="674"/>
        <v>0</v>
      </c>
      <c r="GC427" s="58">
        <f t="shared" si="675"/>
        <v>0</v>
      </c>
      <c r="GD427" s="58">
        <f t="shared" si="676"/>
        <v>0</v>
      </c>
      <c r="GE427" s="58">
        <f>IF(AND(dd_CheckMate214_TTD="Yes",'Effectiveness settings'!BU427=2,'Effectiveness settings'!BX427=2),"Apply HR to",GD427)</f>
        <v>0</v>
      </c>
      <c r="GF427" s="58">
        <f t="shared" si="677"/>
        <v>0</v>
      </c>
      <c r="GG427" s="58">
        <f t="shared" si="678"/>
        <v>0</v>
      </c>
      <c r="GH427" s="58">
        <f t="shared" si="679"/>
        <v>0</v>
      </c>
      <c r="GI427" s="58">
        <f t="shared" si="640"/>
        <v>0</v>
      </c>
      <c r="GK427" s="58">
        <f>IF(i_baseline_risk_from=2,'Effectiveness settings'!FA427,'Effectiveness settings'!FM427)</f>
        <v>2</v>
      </c>
      <c r="GL427" s="58">
        <f>IF(i_baseline_risk_from=2,'Effectiveness settings'!FB427,'Effectiveness settings'!FN427)</f>
        <v>8</v>
      </c>
      <c r="GM427" s="58">
        <f>IF(i_baseline_risk_from=2,'Effectiveness settings'!FC427,'Effectiveness settings'!FO427)</f>
        <v>2</v>
      </c>
      <c r="GN427" s="58">
        <f>IF(i_baseline_risk_from=2,'Effectiveness settings'!FD427,'Effectiveness settings'!FP427)</f>
        <v>1</v>
      </c>
      <c r="GQ427" s="58">
        <f t="shared" si="680"/>
        <v>8</v>
      </c>
      <c r="GR427" s="58">
        <f t="shared" si="681"/>
        <v>8</v>
      </c>
      <c r="GS427" s="58">
        <f t="shared" si="682"/>
        <v>8</v>
      </c>
      <c r="GT427" s="58">
        <f t="shared" si="683"/>
        <v>8</v>
      </c>
      <c r="GU427" s="58">
        <f>IF(AND(dd_CheckMate214_TTD="Yes",'Effectiveness settings'!BU427=2,'Effectiveness settings'!BX427=2),2,GT427)</f>
        <v>8</v>
      </c>
      <c r="GV427" s="58">
        <f t="shared" si="684"/>
        <v>8</v>
      </c>
      <c r="GW427" s="58">
        <f t="shared" si="685"/>
        <v>8</v>
      </c>
      <c r="GY427" s="58">
        <f>IF(AND(dd_CheckMate214_TTD="Yes",'Effectiveness settings'!BU427=2,'Effectiveness settings'!BX427=2),1,GN427)</f>
        <v>1</v>
      </c>
      <c r="GZ427" s="58">
        <f t="shared" si="686"/>
        <v>1</v>
      </c>
      <c r="HB427" s="58">
        <f t="shared" si="687"/>
        <v>0</v>
      </c>
      <c r="HD427" s="58">
        <f t="shared" si="635"/>
        <v>0</v>
      </c>
      <c r="HE427" s="58">
        <f t="shared" si="636"/>
        <v>2</v>
      </c>
      <c r="HF427" s="58">
        <f t="shared" si="637"/>
        <v>8</v>
      </c>
      <c r="HG427" s="58">
        <f t="shared" si="638"/>
        <v>2</v>
      </c>
      <c r="HH427" s="58">
        <f t="shared" si="639"/>
        <v>1</v>
      </c>
    </row>
    <row r="428" spans="69:216" ht="15.75" x14ac:dyDescent="0.25">
      <c r="BQ428" s="58">
        <f t="shared" si="667"/>
        <v>258</v>
      </c>
      <c r="BR428" s="61">
        <v>0</v>
      </c>
      <c r="BS428" s="61" t="s">
        <v>31</v>
      </c>
      <c r="BT428" s="17">
        <v>2</v>
      </c>
      <c r="BU428" s="17">
        <v>5</v>
      </c>
      <c r="BV428" s="17" t="str">
        <f t="shared" si="716"/>
        <v>pazopanib</v>
      </c>
      <c r="BW428" s="1006" t="str" cm="1">
        <f t="array" ref="BW428">IF(X309="No",X309,INDEX(List_incl_anal_2L_all,IF(BU428=999,35,BU428+1)))</f>
        <v>Yes</v>
      </c>
      <c r="BX428" s="61">
        <f t="shared" si="717"/>
        <v>3</v>
      </c>
      <c r="BY428" s="531" t="str">
        <f t="shared" ref="BY428:BY436" si="741">Y309</f>
        <v>Time to progression</v>
      </c>
      <c r="BZ428" s="530" t="str">
        <f t="shared" si="718"/>
        <v>Assume equal to</v>
      </c>
      <c r="CA428" s="531">
        <f t="shared" si="740"/>
        <v>0</v>
      </c>
      <c r="CB428" s="530">
        <f t="shared" si="719"/>
        <v>0</v>
      </c>
      <c r="CC428" s="530">
        <f t="shared" si="720"/>
        <v>2</v>
      </c>
      <c r="CD428" s="530">
        <f t="shared" si="721"/>
        <v>7</v>
      </c>
      <c r="CE428" s="1295">
        <f t="shared" si="722"/>
        <v>2</v>
      </c>
      <c r="CF428" s="1301">
        <f t="shared" si="723"/>
        <v>1</v>
      </c>
      <c r="CG428" s="530" t="str">
        <f t="shared" si="724"/>
        <v/>
      </c>
      <c r="CH428" s="61">
        <f t="shared" si="725"/>
        <v>0.82</v>
      </c>
      <c r="CI428" s="61">
        <f t="shared" si="726"/>
        <v>0.8</v>
      </c>
      <c r="CJ428" s="61">
        <f t="shared" si="727"/>
        <v>0.84</v>
      </c>
      <c r="DK428" s="58" t="str" cm="1">
        <f t="array" ref="DK428">IF(AND($BT428=4,$BX428=4,$BU428=999),$DB$36,_xlfn.IFNA(INDEX(DB$13:DB$70,MATCH(1,($BR428=$CV$13:$CV$70)*($BT428=$CX$13:$CX$70)*($CE428=$CY$13:$CY$70)*($BY428=$DA$13:$DA$70)*($CD428=$DH$13:$DH$70),0)),""))</f>
        <v/>
      </c>
      <c r="DL428" s="58" t="str" cm="1">
        <f t="array" ref="DL428">IF(AND($BT428=4,$BX428=4,$BU428=999),$DC$36,_xlfn.IFNA(INDEX(CHOOSE(DP428,DB$13:DB$70,DC$13:DC$70,DD$13:DD$70,DE$13:DE$70),MATCH(1,($BR428=$CV$13:$CV$70)*($BT428=$CX$13:$CX$70)*($CE428=$CY$13:$CY$70)*($BY428=$DA$13:$DA$70)*($CD428=$DH$13:$DH$70),0)),""))</f>
        <v/>
      </c>
      <c r="DM428" s="740" t="str" cm="1">
        <f t="array" ref="DM428">IF(AND($BT428=4,$BX428=4,$BU428=999),$DD$36,_xlfn.IFNA(INDEX(DD$13:DD$68,MATCH(1,($BR428=$CV$13:$CV$68)*($BT428=$CX$13:$CX$68)*($CE428=$CY$13:$CY$68)*($BY428=$DA$13:$DA$68)*($CD428=$DH$13:$DH$68),0)),""))</f>
        <v/>
      </c>
      <c r="DN428" s="740" t="str" cm="1">
        <f t="array" ref="DN428">IF(AND($BT428=4,$BX428=4,$BU428=999),$DD$36,_xlfn.IFNA(INDEX(DE$13:DE$68,MATCH(1,($BR428=$CV$13:$CV$68)*($BT428=$CX$13:$CX$68)*($CE428=$CY$13:$CY$68)*($BY428=$DA$13:$DA$68)*($CD428=$DH$13:$DH$68),0)),""))</f>
        <v/>
      </c>
      <c r="DO428" s="58" t="str" cm="1">
        <f t="array" ref="DO428">IF(AND($BT428=4,$BX428=4,$BU428=999),$DF$36,_xlfn.IFNA(INDEX(DF$13:DF$70,MATCH(1,($BR428=$CV$13:$CV$70)*($BT428=$CX$13:$CX$70)*($CE428=$CY$13:$CY$70)*($BY428=$DA$13:$DA$70)*($CD428=$DH$13:$DH$70),0)),""))</f>
        <v/>
      </c>
      <c r="DP428" s="58" t="e">
        <f t="shared" si="668"/>
        <v>#N/A</v>
      </c>
      <c r="DW428" s="58" t="s">
        <v>74</v>
      </c>
      <c r="DX428" s="58" t="s">
        <v>555</v>
      </c>
      <c r="DY428" s="58" t="s">
        <v>561</v>
      </c>
      <c r="DZ428" s="58">
        <v>0</v>
      </c>
      <c r="EB428" s="58">
        <v>0</v>
      </c>
      <c r="EC428" s="58">
        <v>2</v>
      </c>
      <c r="ED428" s="58">
        <v>6</v>
      </c>
      <c r="EE428" s="58">
        <v>2</v>
      </c>
      <c r="EF428" s="58">
        <v>1</v>
      </c>
      <c r="EI428" s="58" t="s">
        <v>74</v>
      </c>
      <c r="EJ428" s="58" t="s">
        <v>555</v>
      </c>
      <c r="EK428" s="58" t="s">
        <v>578</v>
      </c>
      <c r="EL428" s="58">
        <v>0</v>
      </c>
      <c r="EN428" s="58">
        <v>0</v>
      </c>
      <c r="EO428" s="58">
        <v>2</v>
      </c>
      <c r="EP428" s="58">
        <v>5</v>
      </c>
      <c r="EQ428" s="58">
        <v>1</v>
      </c>
      <c r="ER428" s="58">
        <v>1</v>
      </c>
      <c r="EU428" s="58" t="str">
        <f t="shared" si="728"/>
        <v>Yes</v>
      </c>
      <c r="EV428" s="58" t="str">
        <f t="shared" si="729"/>
        <v>Time to progression</v>
      </c>
      <c r="EW428" s="58" t="str">
        <f t="shared" si="730"/>
        <v>Assume equal to</v>
      </c>
      <c r="EX428" s="58">
        <f t="shared" si="731"/>
        <v>0</v>
      </c>
      <c r="EZ428" s="58">
        <f t="shared" si="732"/>
        <v>0</v>
      </c>
      <c r="FA428" s="58">
        <f t="shared" si="733"/>
        <v>2</v>
      </c>
      <c r="FB428" s="58">
        <f>IF(i_eff_inputs_based_on_num=2,ED428,(INDEX(Lists!$L$51:$L$85,MATCH(AD309,Lists!$K$51:$K$85,0))))</f>
        <v>6</v>
      </c>
      <c r="FC428" s="58">
        <f>IF(i_eff_inputs_based_on_num=2,EE428,(INDEX(Lists!$L$51:$L$85,MATCH(AE309,Lists!$K$51:$K$85,0))))</f>
        <v>2</v>
      </c>
      <c r="FD428" s="58">
        <f>IF(i_eff_inputs_based_on_num=2,EF428,(INDEX(Lists!$L$51:$L$85,MATCH(AF309,Lists!$K$51:$K$85,0))))</f>
        <v>1</v>
      </c>
      <c r="FG428" s="58" t="str">
        <f t="shared" si="734"/>
        <v>Yes</v>
      </c>
      <c r="FH428" s="58" t="str">
        <f t="shared" si="735"/>
        <v>Time to progression</v>
      </c>
      <c r="FI428" s="58" t="str">
        <f t="shared" si="736"/>
        <v>Apply HR to</v>
      </c>
      <c r="FJ428" s="58">
        <f t="shared" si="737"/>
        <v>0</v>
      </c>
      <c r="FL428" s="58">
        <f t="shared" si="738"/>
        <v>0</v>
      </c>
      <c r="FM428" s="58">
        <f t="shared" si="739"/>
        <v>2</v>
      </c>
      <c r="FN428" s="58">
        <f>IF(i_eff_inputs_based_on_num=2,EP428,(INDEX(Lists!$L$51:$L$85,MATCH(AD309,Lists!$K$51:$K$85,0))))</f>
        <v>5</v>
      </c>
      <c r="FO428" s="58">
        <f>IF(i_eff_inputs_based_on_num=2,EQ428,(INDEX(Lists!$L$51:$L$85,MATCH(AE309,Lists!$K$51:$K$85,0))))</f>
        <v>1</v>
      </c>
      <c r="FP428" s="58">
        <f>IF(i_eff_inputs_based_on_num=2,ER428,(INDEX(Lists!$L$51:$L$85,MATCH(AF309,Lists!$K$51:$K$85,0))))</f>
        <v>1</v>
      </c>
      <c r="FT428" s="58">
        <f t="shared" si="669"/>
        <v>0</v>
      </c>
      <c r="FW428" s="58" t="str">
        <f>IF(i_baseline_risk_from=2,'Effectiveness settings'!EW428,'Effectiveness settings'!FI428)</f>
        <v>Assume equal to</v>
      </c>
      <c r="FX428" s="58" t="str">
        <f t="shared" si="670"/>
        <v>Assume equal to</v>
      </c>
      <c r="FY428" s="58" t="str">
        <f t="shared" si="671"/>
        <v>Assume equal to</v>
      </c>
      <c r="FZ428" s="58" t="str">
        <f t="shared" si="672"/>
        <v>Assume equal to</v>
      </c>
      <c r="GA428" s="58" t="str">
        <f t="shared" si="673"/>
        <v>Assume equal to</v>
      </c>
      <c r="GB428" s="58" t="str">
        <f t="shared" si="674"/>
        <v>Assume equal to</v>
      </c>
      <c r="GC428" s="58" t="str">
        <f t="shared" si="675"/>
        <v>Assume equal to</v>
      </c>
      <c r="GD428" s="58" t="str">
        <f t="shared" si="676"/>
        <v>Assume equal to</v>
      </c>
      <c r="GE428" s="58" t="str">
        <f>IF(AND(dd_CheckMate214_TTD="Yes",'Effectiveness settings'!BU428=2,'Effectiveness settings'!BX428=2),"Apply HR to",GD428)</f>
        <v>Assume equal to</v>
      </c>
      <c r="GF428" s="58" t="str">
        <f t="shared" si="677"/>
        <v>Assume equal to</v>
      </c>
      <c r="GG428" s="58" t="str">
        <f t="shared" si="678"/>
        <v>Assume equal to</v>
      </c>
      <c r="GH428" s="58" t="str">
        <f t="shared" si="679"/>
        <v>Assume equal to</v>
      </c>
      <c r="GI428" s="58" t="str">
        <f t="shared" si="640"/>
        <v>Assume equal to</v>
      </c>
      <c r="GK428" s="58">
        <f>IF(i_baseline_risk_from=2,'Effectiveness settings'!FA428,'Effectiveness settings'!FM428)</f>
        <v>2</v>
      </c>
      <c r="GL428" s="58">
        <f>IF(i_baseline_risk_from=2,'Effectiveness settings'!FB428,'Effectiveness settings'!FN428)</f>
        <v>6</v>
      </c>
      <c r="GM428" s="58">
        <f>IF(i_baseline_risk_from=2,'Effectiveness settings'!FC428,'Effectiveness settings'!FO428)</f>
        <v>2</v>
      </c>
      <c r="GN428" s="58">
        <f>IF(i_baseline_risk_from=2,'Effectiveness settings'!FD428,'Effectiveness settings'!FP428)</f>
        <v>1</v>
      </c>
      <c r="GQ428" s="58">
        <f t="shared" si="680"/>
        <v>7</v>
      </c>
      <c r="GR428" s="58">
        <f t="shared" si="681"/>
        <v>7</v>
      </c>
      <c r="GS428" s="58">
        <f t="shared" si="682"/>
        <v>7</v>
      </c>
      <c r="GT428" s="58">
        <f t="shared" si="683"/>
        <v>7</v>
      </c>
      <c r="GU428" s="58">
        <f>IF(AND(dd_CheckMate214_TTD="Yes",'Effectiveness settings'!BU428=2,'Effectiveness settings'!BX428=2),2,GT428)</f>
        <v>7</v>
      </c>
      <c r="GV428" s="58">
        <f t="shared" si="684"/>
        <v>7</v>
      </c>
      <c r="GW428" s="58">
        <f t="shared" si="685"/>
        <v>7</v>
      </c>
      <c r="GY428" s="58">
        <f>IF(AND(dd_CheckMate214_TTD="Yes",'Effectiveness settings'!BU428=2,'Effectiveness settings'!BX428=2),1,GN428)</f>
        <v>1</v>
      </c>
      <c r="GZ428" s="58">
        <f t="shared" si="686"/>
        <v>1</v>
      </c>
      <c r="HB428" s="58">
        <f t="shared" si="687"/>
        <v>0</v>
      </c>
      <c r="HD428" s="58">
        <f t="shared" si="635"/>
        <v>0</v>
      </c>
      <c r="HE428" s="58">
        <f t="shared" si="636"/>
        <v>2</v>
      </c>
      <c r="HF428" s="58">
        <f t="shared" si="637"/>
        <v>7</v>
      </c>
      <c r="HG428" s="58">
        <f t="shared" si="638"/>
        <v>2</v>
      </c>
      <c r="HH428" s="58">
        <f t="shared" si="639"/>
        <v>1</v>
      </c>
    </row>
    <row r="429" spans="69:216" ht="15.75" x14ac:dyDescent="0.25">
      <c r="BQ429" s="58">
        <f t="shared" si="667"/>
        <v>259</v>
      </c>
      <c r="BR429" s="61">
        <v>0</v>
      </c>
      <c r="BS429" s="61" t="s">
        <v>31</v>
      </c>
      <c r="BT429" s="17">
        <v>2</v>
      </c>
      <c r="BU429" s="17">
        <v>6</v>
      </c>
      <c r="BV429" s="17" t="str">
        <f t="shared" si="716"/>
        <v>tivozanib</v>
      </c>
      <c r="BW429" s="1006" t="str" cm="1">
        <f t="array" ref="BW429">IF(X310="No",X310,INDEX(List_incl_anal_2L_all,IF(BU429=999,35,BU429+1)))</f>
        <v>Yes</v>
      </c>
      <c r="BX429" s="61">
        <f t="shared" si="717"/>
        <v>3</v>
      </c>
      <c r="BY429" s="531" t="str">
        <f t="shared" si="741"/>
        <v>Time to progression</v>
      </c>
      <c r="BZ429" s="530" t="str">
        <f t="shared" si="718"/>
        <v>PH_NMA</v>
      </c>
      <c r="CA429" s="531">
        <f t="shared" si="740"/>
        <v>0</v>
      </c>
      <c r="CB429" s="530">
        <f t="shared" si="719"/>
        <v>0</v>
      </c>
      <c r="CC429" s="530">
        <f t="shared" si="720"/>
        <v>2</v>
      </c>
      <c r="CD429" s="530">
        <f t="shared" si="721"/>
        <v>8</v>
      </c>
      <c r="CE429" s="1295">
        <f t="shared" si="722"/>
        <v>2</v>
      </c>
      <c r="CF429" s="1301">
        <f t="shared" si="723"/>
        <v>1</v>
      </c>
      <c r="CG429" s="530" t="str">
        <f t="shared" si="724"/>
        <v>Log-normal</v>
      </c>
      <c r="CH429" s="61">
        <f t="shared" si="725"/>
        <v>0.82</v>
      </c>
      <c r="CI429" s="61">
        <f t="shared" si="726"/>
        <v>0.8</v>
      </c>
      <c r="CJ429" s="61">
        <f t="shared" si="727"/>
        <v>0.84</v>
      </c>
      <c r="DK429" s="58" t="str" cm="1">
        <f t="array" ref="DK429">IF(AND($BT429=4,$BX429=4,$BU429=999),$DB$36,_xlfn.IFNA(INDEX(DB$13:DB$70,MATCH(1,($BR429=$CV$13:$CV$70)*($BT429=$CX$13:$CX$70)*($CE429=$CY$13:$CY$70)*($BY429=$DA$13:$DA$70)*($CD429=$DH$13:$DH$70),0)),""))</f>
        <v>Log-normal</v>
      </c>
      <c r="DL429" s="58" t="str" cm="1">
        <f t="array" ref="DL429">IF(AND($BT429=4,$BX429=4,$BU429=999),$DC$36,_xlfn.IFNA(INDEX(CHOOSE(DP429,DB$13:DB$70,DC$13:DC$70,DD$13:DD$70,DE$13:DE$70),MATCH(1,($BR429=$CV$13:$CV$70)*($BT429=$CX$13:$CX$70)*($CE429=$CY$13:$CY$70)*($BY429=$DA$13:$DA$70)*($CD429=$DH$13:$DH$70),0)),""))</f>
        <v>Log-normal</v>
      </c>
      <c r="DM429" s="740" cm="1">
        <f t="array" ref="DM429">IF(AND($BT429=4,$BX429=4,$BU429=999),$DD$36,_xlfn.IFNA(INDEX(DD$13:DD$68,MATCH(1,($BR429=$CV$13:$CV$68)*($BT429=$CX$13:$CX$68)*($CE429=$CY$13:$CY$68)*($BY429=$DA$13:$DA$68)*($CD429=$DH$13:$DH$68),0)),""))</f>
        <v>0</v>
      </c>
      <c r="DN429" s="740" cm="1">
        <f t="array" ref="DN429">IF(AND($BT429=4,$BX429=4,$BU429=999),$DD$36,_xlfn.IFNA(INDEX(DE$13:DE$68,MATCH(1,($BR429=$CV$13:$CV$68)*($BT429=$CX$13:$CX$68)*($CE429=$CY$13:$CY$68)*($BY429=$DA$13:$DA$68)*($CD429=$DH$13:$DH$68),0)),""))</f>
        <v>0</v>
      </c>
      <c r="DO429" s="58" t="str" cm="1">
        <f t="array" ref="DO429">IF(AND($BT429=4,$BX429=4,$BU429=999),$DF$36,_xlfn.IFNA(INDEX(DF$13:DF$70,MATCH(1,($BR429=$CV$13:$CV$70)*($BT429=$CX$13:$CX$70)*($CE429=$CY$13:$CY$70)*($BY429=$DA$13:$DA$70)*($CD429=$DH$13:$DH$70),0)),""))</f>
        <v>Base case</v>
      </c>
      <c r="DP429" s="58">
        <f t="shared" si="668"/>
        <v>1</v>
      </c>
      <c r="DW429" s="58" t="s">
        <v>74</v>
      </c>
      <c r="DX429" s="58" t="s">
        <v>555</v>
      </c>
      <c r="DY429" s="58" t="s">
        <v>67</v>
      </c>
      <c r="DZ429" s="58">
        <v>0</v>
      </c>
      <c r="EB429" s="58">
        <v>0</v>
      </c>
      <c r="EC429" s="58">
        <v>2</v>
      </c>
      <c r="ED429" s="58">
        <v>8</v>
      </c>
      <c r="EE429" s="58">
        <v>2</v>
      </c>
      <c r="EF429" s="58">
        <v>1</v>
      </c>
      <c r="EI429" s="58" t="s">
        <v>74</v>
      </c>
      <c r="EJ429" s="58" t="s">
        <v>555</v>
      </c>
      <c r="EK429" s="58" t="s">
        <v>578</v>
      </c>
      <c r="EL429" s="58">
        <v>0</v>
      </c>
      <c r="EN429" s="58">
        <v>0</v>
      </c>
      <c r="EO429" s="58">
        <v>2</v>
      </c>
      <c r="EP429" s="58">
        <v>6</v>
      </c>
      <c r="EQ429" s="58">
        <v>1</v>
      </c>
      <c r="ER429" s="58">
        <v>1</v>
      </c>
      <c r="EU429" s="58" t="str">
        <f t="shared" si="728"/>
        <v>Yes</v>
      </c>
      <c r="EV429" s="58" t="str">
        <f t="shared" si="729"/>
        <v>Time to progression</v>
      </c>
      <c r="EW429" s="58" t="str">
        <f t="shared" si="730"/>
        <v>PH_NMA</v>
      </c>
      <c r="EX429" s="58">
        <f t="shared" si="731"/>
        <v>0</v>
      </c>
      <c r="EZ429" s="58">
        <f t="shared" si="732"/>
        <v>0</v>
      </c>
      <c r="FA429" s="58">
        <f t="shared" si="733"/>
        <v>2</v>
      </c>
      <c r="FB429" s="58">
        <f>IF(i_eff_inputs_based_on_num=2,ED429,(INDEX(Lists!$L$51:$L$85,MATCH(AD310,Lists!$K$51:$K$85,0))))</f>
        <v>8</v>
      </c>
      <c r="FC429" s="58">
        <f>IF(i_eff_inputs_based_on_num=2,EE429,(INDEX(Lists!$L$51:$L$85,MATCH(AE310,Lists!$K$51:$K$85,0))))</f>
        <v>2</v>
      </c>
      <c r="FD429" s="58">
        <f>IF(i_eff_inputs_based_on_num=2,EF429,(INDEX(Lists!$L$51:$L$85,MATCH(AF310,Lists!$K$51:$K$85,0))))</f>
        <v>1</v>
      </c>
      <c r="FG429" s="58" t="str">
        <f t="shared" si="734"/>
        <v>Yes</v>
      </c>
      <c r="FH429" s="58" t="str">
        <f t="shared" si="735"/>
        <v>Time to progression</v>
      </c>
      <c r="FI429" s="58" t="str">
        <f t="shared" si="736"/>
        <v>Apply HR to</v>
      </c>
      <c r="FJ429" s="58">
        <f t="shared" si="737"/>
        <v>0</v>
      </c>
      <c r="FL429" s="58">
        <f t="shared" si="738"/>
        <v>0</v>
      </c>
      <c r="FM429" s="58">
        <f t="shared" si="739"/>
        <v>2</v>
      </c>
      <c r="FN429" s="58">
        <f>IF(i_eff_inputs_based_on_num=2,EP429,(INDEX(Lists!$L$51:$L$85,MATCH(AD310,Lists!$K$51:$K$85,0))))</f>
        <v>6</v>
      </c>
      <c r="FO429" s="58">
        <f>IF(i_eff_inputs_based_on_num=2,EQ429,(INDEX(Lists!$L$51:$L$85,MATCH(AE310,Lists!$K$51:$K$85,0))))</f>
        <v>1</v>
      </c>
      <c r="FP429" s="58">
        <f>IF(i_eff_inputs_based_on_num=2,ER429,(INDEX(Lists!$L$51:$L$85,MATCH(AF310,Lists!$K$51:$K$85,0))))</f>
        <v>1</v>
      </c>
      <c r="FT429" s="58">
        <f t="shared" si="669"/>
        <v>0</v>
      </c>
      <c r="FW429" s="58" t="str">
        <f>IF(i_baseline_risk_from=2,'Effectiveness settings'!EW429,'Effectiveness settings'!FI429)</f>
        <v>PH_NMA</v>
      </c>
      <c r="FX429" s="58" t="str">
        <f t="shared" si="670"/>
        <v>PH_NMA</v>
      </c>
      <c r="FY429" s="58" t="str">
        <f t="shared" si="671"/>
        <v>PH_NMA</v>
      </c>
      <c r="FZ429" s="58" t="str">
        <f t="shared" si="672"/>
        <v>PH_NMA</v>
      </c>
      <c r="GA429" s="58" t="str">
        <f t="shared" si="673"/>
        <v>PH_NMA</v>
      </c>
      <c r="GB429" s="58" t="str">
        <f t="shared" si="674"/>
        <v>PH_NMA</v>
      </c>
      <c r="GC429" s="58" t="str">
        <f t="shared" si="675"/>
        <v>PH_NMA</v>
      </c>
      <c r="GD429" s="58" t="str">
        <f t="shared" si="676"/>
        <v>PH_NMA</v>
      </c>
      <c r="GE429" s="58" t="str">
        <f>IF(AND(dd_CheckMate214_TTD="Yes",'Effectiveness settings'!BU429=2,'Effectiveness settings'!BX429=2),"Apply HR to",GD429)</f>
        <v>PH_NMA</v>
      </c>
      <c r="GF429" s="58" t="str">
        <f t="shared" si="677"/>
        <v>PH_NMA</v>
      </c>
      <c r="GG429" s="58" t="str">
        <f t="shared" si="678"/>
        <v>PH_NMA</v>
      </c>
      <c r="GH429" s="58" t="str">
        <f t="shared" si="679"/>
        <v>PH_NMA</v>
      </c>
      <c r="GI429" s="58" t="str">
        <f t="shared" si="640"/>
        <v>PH_NMA</v>
      </c>
      <c r="GK429" s="58">
        <f>IF(i_baseline_risk_from=2,'Effectiveness settings'!FA429,'Effectiveness settings'!FM429)</f>
        <v>2</v>
      </c>
      <c r="GL429" s="58">
        <f>IF(i_baseline_risk_from=2,'Effectiveness settings'!FB429,'Effectiveness settings'!FN429)</f>
        <v>8</v>
      </c>
      <c r="GM429" s="58">
        <f>IF(i_baseline_risk_from=2,'Effectiveness settings'!FC429,'Effectiveness settings'!FO429)</f>
        <v>2</v>
      </c>
      <c r="GN429" s="58">
        <f>IF(i_baseline_risk_from=2,'Effectiveness settings'!FD429,'Effectiveness settings'!FP429)</f>
        <v>1</v>
      </c>
      <c r="GQ429" s="58">
        <f t="shared" si="680"/>
        <v>8</v>
      </c>
      <c r="GR429" s="58">
        <f t="shared" si="681"/>
        <v>8</v>
      </c>
      <c r="GS429" s="58">
        <f t="shared" si="682"/>
        <v>8</v>
      </c>
      <c r="GT429" s="58">
        <f t="shared" si="683"/>
        <v>8</v>
      </c>
      <c r="GU429" s="58">
        <f>IF(AND(dd_CheckMate214_TTD="Yes",'Effectiveness settings'!BU429=2,'Effectiveness settings'!BX429=2),2,GT429)</f>
        <v>8</v>
      </c>
      <c r="GV429" s="58">
        <f t="shared" si="684"/>
        <v>8</v>
      </c>
      <c r="GW429" s="58">
        <f t="shared" si="685"/>
        <v>8</v>
      </c>
      <c r="GY429" s="58">
        <f>IF(AND(dd_CheckMate214_TTD="Yes",'Effectiveness settings'!BU429=2,'Effectiveness settings'!BX429=2),1,GN429)</f>
        <v>1</v>
      </c>
      <c r="GZ429" s="58">
        <f t="shared" si="686"/>
        <v>1</v>
      </c>
      <c r="HB429" s="58">
        <f t="shared" si="687"/>
        <v>0</v>
      </c>
      <c r="HD429" s="58">
        <f t="shared" si="635"/>
        <v>0</v>
      </c>
      <c r="HE429" s="58">
        <f t="shared" si="636"/>
        <v>2</v>
      </c>
      <c r="HF429" s="58">
        <f t="shared" si="637"/>
        <v>8</v>
      </c>
      <c r="HG429" s="58">
        <f t="shared" si="638"/>
        <v>2</v>
      </c>
      <c r="HH429" s="58">
        <f t="shared" si="639"/>
        <v>1</v>
      </c>
    </row>
    <row r="430" spans="69:216" ht="15.75" x14ac:dyDescent="0.25">
      <c r="BQ430" s="58">
        <f t="shared" si="667"/>
        <v>260</v>
      </c>
      <c r="BR430" s="61">
        <v>0</v>
      </c>
      <c r="BS430" s="61" t="s">
        <v>31</v>
      </c>
      <c r="BT430" s="17">
        <v>2</v>
      </c>
      <c r="BU430" s="17">
        <v>7</v>
      </c>
      <c r="BV430" s="17" t="str">
        <f t="shared" si="716"/>
        <v>sunitinib</v>
      </c>
      <c r="BW430" s="1006" t="str" cm="1">
        <f t="array" ref="BW430">IF(X311="No",X311,INDEX(List_incl_anal_2L_all,IF(BU430=999,35,BU430+1)))</f>
        <v>Yes</v>
      </c>
      <c r="BX430" s="61">
        <f t="shared" si="717"/>
        <v>3</v>
      </c>
      <c r="BY430" s="531" t="str">
        <f t="shared" si="741"/>
        <v>Time to progression</v>
      </c>
      <c r="BZ430" s="530" t="str">
        <f t="shared" si="718"/>
        <v>Assume equal to</v>
      </c>
      <c r="CA430" s="531">
        <f t="shared" si="740"/>
        <v>0</v>
      </c>
      <c r="CB430" s="530">
        <f t="shared" si="719"/>
        <v>0</v>
      </c>
      <c r="CC430" s="530">
        <f t="shared" si="720"/>
        <v>2</v>
      </c>
      <c r="CD430" s="530">
        <f t="shared" si="721"/>
        <v>6</v>
      </c>
      <c r="CE430" s="1295">
        <f t="shared" si="722"/>
        <v>2</v>
      </c>
      <c r="CF430" s="1301">
        <f t="shared" si="723"/>
        <v>1</v>
      </c>
      <c r="CG430" s="530" t="str">
        <f t="shared" si="724"/>
        <v/>
      </c>
      <c r="CH430" s="61">
        <f t="shared" si="725"/>
        <v>0.82</v>
      </c>
      <c r="CI430" s="61">
        <f t="shared" si="726"/>
        <v>0.8</v>
      </c>
      <c r="CJ430" s="61">
        <f t="shared" si="727"/>
        <v>0.84</v>
      </c>
      <c r="DK430" s="58" t="str" cm="1">
        <f t="array" ref="DK430">IF(AND($BT430=4,$BX430=4,$BU430=999),$DB$36,_xlfn.IFNA(INDEX(DB$13:DB$70,MATCH(1,($BR430=$CV$13:$CV$70)*($BT430=$CX$13:$CX$70)*($CE430=$CY$13:$CY$70)*($BY430=$DA$13:$DA$70)*($CD430=$DH$13:$DH$70),0)),""))</f>
        <v/>
      </c>
      <c r="DL430" s="58" t="str" cm="1">
        <f t="array" ref="DL430">IF(AND($BT430=4,$BX430=4,$BU430=999),$DC$36,_xlfn.IFNA(INDEX(CHOOSE(DP430,DB$13:DB$70,DC$13:DC$70,DD$13:DD$70,DE$13:DE$70),MATCH(1,($BR430=$CV$13:$CV$70)*($BT430=$CX$13:$CX$70)*($CE430=$CY$13:$CY$70)*($BY430=$DA$13:$DA$70)*($CD430=$DH$13:$DH$70),0)),""))</f>
        <v/>
      </c>
      <c r="DM430" s="740" t="str" cm="1">
        <f t="array" ref="DM430">IF(AND($BT430=4,$BX430=4,$BU430=999),$DD$36,_xlfn.IFNA(INDEX(DD$13:DD$68,MATCH(1,($BR430=$CV$13:$CV$68)*($BT430=$CX$13:$CX$68)*($CE430=$CY$13:$CY$68)*($BY430=$DA$13:$DA$68)*($CD430=$DH$13:$DH$68),0)),""))</f>
        <v/>
      </c>
      <c r="DN430" s="740" t="str" cm="1">
        <f t="array" ref="DN430">IF(AND($BT430=4,$BX430=4,$BU430=999),$DD$36,_xlfn.IFNA(INDEX(DE$13:DE$68,MATCH(1,($BR430=$CV$13:$CV$68)*($BT430=$CX$13:$CX$68)*($CE430=$CY$13:$CY$68)*($BY430=$DA$13:$DA$68)*($CD430=$DH$13:$DH$68),0)),""))</f>
        <v/>
      </c>
      <c r="DO430" s="58" t="str" cm="1">
        <f t="array" ref="DO430">IF(AND($BT430=4,$BX430=4,$BU430=999),$DF$36,_xlfn.IFNA(INDEX(DF$13:DF$70,MATCH(1,($BR430=$CV$13:$CV$70)*($BT430=$CX$13:$CX$70)*($CE430=$CY$13:$CY$70)*($BY430=$DA$13:$DA$70)*($CD430=$DH$13:$DH$70),0)),""))</f>
        <v/>
      </c>
      <c r="DP430" s="58" t="e">
        <f t="shared" si="668"/>
        <v>#N/A</v>
      </c>
      <c r="DW430" s="58" t="s">
        <v>74</v>
      </c>
      <c r="DX430" s="58" t="s">
        <v>555</v>
      </c>
      <c r="DY430" s="58" t="s">
        <v>561</v>
      </c>
      <c r="DZ430" s="58">
        <v>0</v>
      </c>
      <c r="EB430" s="58">
        <v>0</v>
      </c>
      <c r="EC430" s="58">
        <v>2</v>
      </c>
      <c r="ED430" s="58">
        <v>6</v>
      </c>
      <c r="EE430" s="58">
        <v>2</v>
      </c>
      <c r="EF430" s="58">
        <v>1</v>
      </c>
      <c r="EI430" s="58" t="s">
        <v>74</v>
      </c>
      <c r="EJ430" s="58" t="s">
        <v>555</v>
      </c>
      <c r="EK430" s="58" t="s">
        <v>578</v>
      </c>
      <c r="EL430" s="58">
        <v>0</v>
      </c>
      <c r="EN430" s="58">
        <v>0</v>
      </c>
      <c r="EO430" s="58">
        <v>2</v>
      </c>
      <c r="EP430" s="58">
        <v>7</v>
      </c>
      <c r="EQ430" s="58">
        <v>1</v>
      </c>
      <c r="ER430" s="58">
        <v>1</v>
      </c>
      <c r="EU430" s="58" t="str">
        <f t="shared" si="728"/>
        <v>Yes</v>
      </c>
      <c r="EV430" s="58" t="str">
        <f t="shared" si="729"/>
        <v>Time to progression</v>
      </c>
      <c r="EW430" s="58" t="str">
        <f t="shared" si="730"/>
        <v>Assume equal to</v>
      </c>
      <c r="EX430" s="58">
        <f t="shared" si="731"/>
        <v>0</v>
      </c>
      <c r="EZ430" s="58">
        <f t="shared" si="732"/>
        <v>0</v>
      </c>
      <c r="FA430" s="58">
        <f t="shared" si="733"/>
        <v>2</v>
      </c>
      <c r="FB430" s="58">
        <f>IF(i_eff_inputs_based_on_num=2,ED430,(INDEX(Lists!$L$51:$L$85,MATCH(AD311,Lists!$K$51:$K$85,0))))</f>
        <v>6</v>
      </c>
      <c r="FC430" s="58">
        <f>IF(i_eff_inputs_based_on_num=2,EE430,(INDEX(Lists!$L$51:$L$85,MATCH(AE311,Lists!$K$51:$K$85,0))))</f>
        <v>2</v>
      </c>
      <c r="FD430" s="58">
        <f>IF(i_eff_inputs_based_on_num=2,EF430,(INDEX(Lists!$L$51:$L$85,MATCH(AF311,Lists!$K$51:$K$85,0))))</f>
        <v>1</v>
      </c>
      <c r="FG430" s="58" t="str">
        <f t="shared" si="734"/>
        <v>Yes</v>
      </c>
      <c r="FH430" s="58" t="str">
        <f t="shared" si="735"/>
        <v>Time to progression</v>
      </c>
      <c r="FI430" s="58" t="str">
        <f t="shared" si="736"/>
        <v>Apply HR to</v>
      </c>
      <c r="FJ430" s="58">
        <f t="shared" si="737"/>
        <v>0</v>
      </c>
      <c r="FL430" s="58">
        <f t="shared" si="738"/>
        <v>0</v>
      </c>
      <c r="FM430" s="58">
        <f t="shared" si="739"/>
        <v>2</v>
      </c>
      <c r="FN430" s="58">
        <f>IF(i_eff_inputs_based_on_num=2,EP430,(INDEX(Lists!$L$51:$L$85,MATCH(AD311,Lists!$K$51:$K$85,0))))</f>
        <v>7</v>
      </c>
      <c r="FO430" s="58">
        <f>IF(i_eff_inputs_based_on_num=2,EQ430,(INDEX(Lists!$L$51:$L$85,MATCH(AE311,Lists!$K$51:$K$85,0))))</f>
        <v>1</v>
      </c>
      <c r="FP430" s="58">
        <f>IF(i_eff_inputs_based_on_num=2,ER430,(INDEX(Lists!$L$51:$L$85,MATCH(AF311,Lists!$K$51:$K$85,0))))</f>
        <v>1</v>
      </c>
      <c r="FT430" s="58">
        <f t="shared" si="669"/>
        <v>0</v>
      </c>
      <c r="FW430" s="58" t="str">
        <f>IF(i_baseline_risk_from=2,'Effectiveness settings'!EW430,'Effectiveness settings'!FI430)</f>
        <v>Assume equal to</v>
      </c>
      <c r="FX430" s="58" t="str">
        <f t="shared" si="670"/>
        <v>Assume equal to</v>
      </c>
      <c r="FY430" s="58" t="str">
        <f t="shared" si="671"/>
        <v>Assume equal to</v>
      </c>
      <c r="FZ430" s="58" t="str">
        <f t="shared" si="672"/>
        <v>Assume equal to</v>
      </c>
      <c r="GA430" s="58" t="str">
        <f t="shared" si="673"/>
        <v>Assume equal to</v>
      </c>
      <c r="GB430" s="58" t="str">
        <f t="shared" si="674"/>
        <v>Assume equal to</v>
      </c>
      <c r="GC430" s="58" t="str">
        <f t="shared" si="675"/>
        <v>Assume equal to</v>
      </c>
      <c r="GD430" s="58" t="str">
        <f t="shared" si="676"/>
        <v>Assume equal to</v>
      </c>
      <c r="GE430" s="58" t="str">
        <f>IF(AND(dd_CheckMate214_TTD="Yes",'Effectiveness settings'!BU430=2,'Effectiveness settings'!BX430=2),"Apply HR to",GD430)</f>
        <v>Assume equal to</v>
      </c>
      <c r="GF430" s="58" t="str">
        <f t="shared" si="677"/>
        <v>Assume equal to</v>
      </c>
      <c r="GG430" s="58" t="str">
        <f t="shared" si="678"/>
        <v>Assume equal to</v>
      </c>
      <c r="GH430" s="58" t="str">
        <f t="shared" si="679"/>
        <v>Assume equal to</v>
      </c>
      <c r="GI430" s="58" t="str">
        <f t="shared" si="640"/>
        <v>Assume equal to</v>
      </c>
      <c r="GK430" s="58">
        <f>IF(i_baseline_risk_from=2,'Effectiveness settings'!FA430,'Effectiveness settings'!FM430)</f>
        <v>2</v>
      </c>
      <c r="GL430" s="58">
        <f>IF(i_baseline_risk_from=2,'Effectiveness settings'!FB430,'Effectiveness settings'!FN430)</f>
        <v>6</v>
      </c>
      <c r="GM430" s="58">
        <f>IF(i_baseline_risk_from=2,'Effectiveness settings'!FC430,'Effectiveness settings'!FO430)</f>
        <v>2</v>
      </c>
      <c r="GN430" s="58">
        <f>IF(i_baseline_risk_from=2,'Effectiveness settings'!FD430,'Effectiveness settings'!FP430)</f>
        <v>1</v>
      </c>
      <c r="GQ430" s="58">
        <f t="shared" si="680"/>
        <v>6</v>
      </c>
      <c r="GR430" s="58">
        <f t="shared" si="681"/>
        <v>6</v>
      </c>
      <c r="GS430" s="58">
        <f t="shared" si="682"/>
        <v>6</v>
      </c>
      <c r="GT430" s="58">
        <f t="shared" si="683"/>
        <v>6</v>
      </c>
      <c r="GU430" s="58">
        <f>IF(AND(dd_CheckMate214_TTD="Yes",'Effectiveness settings'!BU430=2,'Effectiveness settings'!BX430=2),2,GT430)</f>
        <v>6</v>
      </c>
      <c r="GV430" s="58">
        <f t="shared" si="684"/>
        <v>6</v>
      </c>
      <c r="GW430" s="58">
        <f t="shared" si="685"/>
        <v>6</v>
      </c>
      <c r="GY430" s="58">
        <f>IF(AND(dd_CheckMate214_TTD="Yes",'Effectiveness settings'!BU430=2,'Effectiveness settings'!BX430=2),1,GN430)</f>
        <v>1</v>
      </c>
      <c r="GZ430" s="58">
        <f t="shared" si="686"/>
        <v>1</v>
      </c>
      <c r="HB430" s="58">
        <f t="shared" si="687"/>
        <v>0</v>
      </c>
      <c r="HD430" s="58">
        <f t="shared" si="635"/>
        <v>0</v>
      </c>
      <c r="HE430" s="58">
        <f t="shared" si="636"/>
        <v>2</v>
      </c>
      <c r="HF430" s="58">
        <f t="shared" si="637"/>
        <v>6</v>
      </c>
      <c r="HG430" s="58">
        <f t="shared" si="638"/>
        <v>2</v>
      </c>
      <c r="HH430" s="58">
        <f t="shared" si="639"/>
        <v>1</v>
      </c>
    </row>
    <row r="431" spans="69:216" ht="15.75" x14ac:dyDescent="0.25">
      <c r="BQ431" s="58">
        <f t="shared" si="667"/>
        <v>261</v>
      </c>
      <c r="BR431" s="61">
        <v>0</v>
      </c>
      <c r="BS431" s="61" t="s">
        <v>31</v>
      </c>
      <c r="BT431" s="17">
        <v>2</v>
      </c>
      <c r="BU431" s="17">
        <v>8</v>
      </c>
      <c r="BV431" s="17" t="str">
        <f t="shared" si="716"/>
        <v>cabozantinib</v>
      </c>
      <c r="BW431" s="1006" t="str" cm="1">
        <f t="array" ref="BW431">IF(X312="No",X312,INDEX(List_incl_anal_2L_all,IF(BU431=999,35,BU431+1)))</f>
        <v>Yes</v>
      </c>
      <c r="BX431" s="61">
        <f t="shared" si="717"/>
        <v>3</v>
      </c>
      <c r="BY431" s="531" t="str">
        <f t="shared" si="741"/>
        <v>Time to progression</v>
      </c>
      <c r="BZ431" s="530" t="str">
        <f t="shared" si="718"/>
        <v>Trial survival analysis</v>
      </c>
      <c r="CA431" s="531" t="str">
        <f t="shared" si="740"/>
        <v>Real world evidence</v>
      </c>
      <c r="CB431" s="530">
        <f t="shared" si="719"/>
        <v>0</v>
      </c>
      <c r="CC431" s="530">
        <f t="shared" si="720"/>
        <v>2</v>
      </c>
      <c r="CD431" s="530">
        <f t="shared" si="721"/>
        <v>8</v>
      </c>
      <c r="CE431" s="1295">
        <f t="shared" si="722"/>
        <v>2</v>
      </c>
      <c r="CF431" s="1301">
        <f t="shared" si="723"/>
        <v>1</v>
      </c>
      <c r="CG431" s="530" t="str">
        <f t="shared" si="724"/>
        <v>Log-normal</v>
      </c>
      <c r="CH431" s="61">
        <f t="shared" si="725"/>
        <v>0.82</v>
      </c>
      <c r="CI431" s="61">
        <f t="shared" si="726"/>
        <v>0.8</v>
      </c>
      <c r="CJ431" s="61">
        <f t="shared" si="727"/>
        <v>0.84</v>
      </c>
      <c r="DK431" s="58" t="str" cm="1">
        <f t="array" ref="DK431">IF(AND($BT431=4,$BX431=4,$BU431=999),$DB$36,_xlfn.IFNA(INDEX(DB$13:DB$70,MATCH(1,($BR431=$CV$13:$CV$70)*($BT431=$CX$13:$CX$70)*($CE431=$CY$13:$CY$70)*($BY431=$DA$13:$DA$70)*($CD431=$DH$13:$DH$70),0)),""))</f>
        <v>Log-normal</v>
      </c>
      <c r="DL431" s="58" t="str" cm="1">
        <f t="array" ref="DL431">IF(AND($BT431=4,$BX431=4,$BU431=999),$DC$36,_xlfn.IFNA(INDEX(CHOOSE(DP431,DB$13:DB$70,DC$13:DC$70,DD$13:DD$70,DE$13:DE$70),MATCH(1,($BR431=$CV$13:$CV$70)*($BT431=$CX$13:$CX$70)*($CE431=$CY$13:$CY$70)*($BY431=$DA$13:$DA$70)*($CD431=$DH$13:$DH$70),0)),""))</f>
        <v>Log-normal</v>
      </c>
      <c r="DM431" s="740" cm="1">
        <f t="array" ref="DM431">IF(AND($BT431=4,$BX431=4,$BU431=999),$DD$36,_xlfn.IFNA(INDEX(DD$13:DD$68,MATCH(1,($BR431=$CV$13:$CV$68)*($BT431=$CX$13:$CX$68)*($CE431=$CY$13:$CY$68)*($BY431=$DA$13:$DA$68)*($CD431=$DH$13:$DH$68),0)),""))</f>
        <v>0</v>
      </c>
      <c r="DN431" s="740" cm="1">
        <f t="array" ref="DN431">IF(AND($BT431=4,$BX431=4,$BU431=999),$DD$36,_xlfn.IFNA(INDEX(DE$13:DE$68,MATCH(1,($BR431=$CV$13:$CV$68)*($BT431=$CX$13:$CX$68)*($CE431=$CY$13:$CY$68)*($BY431=$DA$13:$DA$68)*($CD431=$DH$13:$DH$68),0)),""))</f>
        <v>0</v>
      </c>
      <c r="DO431" s="58" t="str" cm="1">
        <f t="array" ref="DO431">IF(AND($BT431=4,$BX431=4,$BU431=999),$DF$36,_xlfn.IFNA(INDEX(DF$13:DF$70,MATCH(1,($BR431=$CV$13:$CV$70)*($BT431=$CX$13:$CX$70)*($CE431=$CY$13:$CY$70)*($BY431=$DA$13:$DA$70)*($CD431=$DH$13:$DH$70),0)),""))</f>
        <v>Base case</v>
      </c>
      <c r="DP431" s="58">
        <f t="shared" si="668"/>
        <v>1</v>
      </c>
      <c r="DW431" s="58" t="s">
        <v>74</v>
      </c>
      <c r="DX431" s="58" t="s">
        <v>555</v>
      </c>
      <c r="DY431" s="58" t="s">
        <v>562</v>
      </c>
      <c r="DZ431" s="58" t="s">
        <v>547</v>
      </c>
      <c r="EB431" s="58">
        <v>0</v>
      </c>
      <c r="EC431" s="58">
        <v>2</v>
      </c>
      <c r="ED431" s="58">
        <v>8</v>
      </c>
      <c r="EE431" s="58">
        <v>2</v>
      </c>
      <c r="EF431" s="58">
        <v>1</v>
      </c>
      <c r="EI431" s="58" t="s">
        <v>74</v>
      </c>
      <c r="EJ431" s="58" t="s">
        <v>555</v>
      </c>
      <c r="EK431" s="58" t="s">
        <v>578</v>
      </c>
      <c r="EL431" s="58">
        <v>0</v>
      </c>
      <c r="EN431" s="58">
        <v>0</v>
      </c>
      <c r="EO431" s="58">
        <v>2</v>
      </c>
      <c r="EP431" s="58">
        <v>8</v>
      </c>
      <c r="EQ431" s="58">
        <v>1</v>
      </c>
      <c r="ER431" s="58">
        <v>1</v>
      </c>
      <c r="EU431" s="58" t="str">
        <f t="shared" si="728"/>
        <v>Yes</v>
      </c>
      <c r="EV431" s="58" t="str">
        <f t="shared" si="729"/>
        <v>Time to progression</v>
      </c>
      <c r="EW431" s="58" t="str">
        <f t="shared" si="730"/>
        <v>Trial survival analysis</v>
      </c>
      <c r="EX431" s="58" t="str">
        <f t="shared" si="731"/>
        <v>Real world evidence</v>
      </c>
      <c r="EZ431" s="58">
        <f t="shared" si="732"/>
        <v>0</v>
      </c>
      <c r="FA431" s="58">
        <f t="shared" si="733"/>
        <v>2</v>
      </c>
      <c r="FB431" s="58">
        <f>IF(i_eff_inputs_based_on_num=2,ED431,(INDEX(Lists!$L$51:$L$85,MATCH(AD312,Lists!$K$51:$K$85,0))))</f>
        <v>8</v>
      </c>
      <c r="FC431" s="58">
        <f>IF(i_eff_inputs_based_on_num=2,EE431,(INDEX(Lists!$L$51:$L$85,MATCH(AE312,Lists!$K$51:$K$85,0))))</f>
        <v>2</v>
      </c>
      <c r="FD431" s="58">
        <f>IF(i_eff_inputs_based_on_num=2,EF431,(INDEX(Lists!$L$51:$L$85,MATCH(AF312,Lists!$K$51:$K$85,0))))</f>
        <v>1</v>
      </c>
      <c r="FG431" s="58" t="str">
        <f t="shared" si="734"/>
        <v>Yes</v>
      </c>
      <c r="FH431" s="58" t="str">
        <f t="shared" si="735"/>
        <v>Time to progression</v>
      </c>
      <c r="FI431" s="58" t="str">
        <f t="shared" si="736"/>
        <v>Apply HR to</v>
      </c>
      <c r="FJ431" s="58">
        <f t="shared" si="737"/>
        <v>0</v>
      </c>
      <c r="FL431" s="58">
        <f t="shared" si="738"/>
        <v>0</v>
      </c>
      <c r="FM431" s="58">
        <f t="shared" si="739"/>
        <v>2</v>
      </c>
      <c r="FN431" s="58">
        <f>IF(i_eff_inputs_based_on_num=2,EP431,(INDEX(Lists!$L$51:$L$85,MATCH(AD312,Lists!$K$51:$K$85,0))))</f>
        <v>8</v>
      </c>
      <c r="FO431" s="58">
        <f>IF(i_eff_inputs_based_on_num=2,EQ431,(INDEX(Lists!$L$51:$L$85,MATCH(AE312,Lists!$K$51:$K$85,0))))</f>
        <v>1</v>
      </c>
      <c r="FP431" s="58">
        <f>IF(i_eff_inputs_based_on_num=2,ER431,(INDEX(Lists!$L$51:$L$85,MATCH(AF312,Lists!$K$51:$K$85,0))))</f>
        <v>1</v>
      </c>
      <c r="FT431" s="58" t="str">
        <f t="shared" si="669"/>
        <v>Real world evidence</v>
      </c>
      <c r="FW431" s="58" t="str">
        <f>IF(i_baseline_risk_from=2,'Effectiveness settings'!EW431,'Effectiveness settings'!FI431)</f>
        <v>Trial survival analysis</v>
      </c>
      <c r="FX431" s="58" t="str">
        <f t="shared" si="670"/>
        <v>Trial survival analysis</v>
      </c>
      <c r="FY431" s="58" t="str">
        <f t="shared" si="671"/>
        <v>Trial survival analysis</v>
      </c>
      <c r="FZ431" s="58" t="str">
        <f t="shared" si="672"/>
        <v>Trial survival analysis</v>
      </c>
      <c r="GA431" s="58" t="str">
        <f t="shared" si="673"/>
        <v>Trial survival analysis</v>
      </c>
      <c r="GB431" s="58" t="str">
        <f t="shared" si="674"/>
        <v>Trial survival analysis</v>
      </c>
      <c r="GC431" s="58" t="str">
        <f t="shared" si="675"/>
        <v>Trial survival analysis</v>
      </c>
      <c r="GD431" s="58" t="str">
        <f t="shared" si="676"/>
        <v>Trial survival analysis</v>
      </c>
      <c r="GE431" s="58" t="str">
        <f>IF(AND(dd_CheckMate214_TTD="Yes",'Effectiveness settings'!BU431=2,'Effectiveness settings'!BX431=2),"Apply HR to",GD431)</f>
        <v>Trial survival analysis</v>
      </c>
      <c r="GF431" s="58" t="str">
        <f t="shared" si="677"/>
        <v>Trial survival analysis</v>
      </c>
      <c r="GG431" s="58" t="str">
        <f t="shared" si="678"/>
        <v>Trial survival analysis</v>
      </c>
      <c r="GH431" s="58" t="str">
        <f t="shared" si="679"/>
        <v>Trial survival analysis</v>
      </c>
      <c r="GI431" s="58" t="str">
        <f t="shared" si="640"/>
        <v>Trial survival analysis</v>
      </c>
      <c r="GK431" s="58">
        <f>IF(i_baseline_risk_from=2,'Effectiveness settings'!FA431,'Effectiveness settings'!FM431)</f>
        <v>2</v>
      </c>
      <c r="GL431" s="58">
        <f>IF(i_baseline_risk_from=2,'Effectiveness settings'!FB431,'Effectiveness settings'!FN431)</f>
        <v>8</v>
      </c>
      <c r="GM431" s="58">
        <f>IF(i_baseline_risk_from=2,'Effectiveness settings'!FC431,'Effectiveness settings'!FO431)</f>
        <v>2</v>
      </c>
      <c r="GN431" s="58">
        <f>IF(i_baseline_risk_from=2,'Effectiveness settings'!FD431,'Effectiveness settings'!FP431)</f>
        <v>1</v>
      </c>
      <c r="GQ431" s="58">
        <f t="shared" si="680"/>
        <v>8</v>
      </c>
      <c r="GR431" s="58">
        <f t="shared" si="681"/>
        <v>8</v>
      </c>
      <c r="GS431" s="58">
        <f t="shared" si="682"/>
        <v>8</v>
      </c>
      <c r="GT431" s="58">
        <f t="shared" si="683"/>
        <v>8</v>
      </c>
      <c r="GU431" s="58">
        <f>IF(AND(dd_CheckMate214_TTD="Yes",'Effectiveness settings'!BU431=2,'Effectiveness settings'!BX431=2),2,GT431)</f>
        <v>8</v>
      </c>
      <c r="GV431" s="58">
        <f t="shared" si="684"/>
        <v>8</v>
      </c>
      <c r="GW431" s="58">
        <f t="shared" si="685"/>
        <v>8</v>
      </c>
      <c r="GY431" s="58">
        <f>IF(AND(dd_CheckMate214_TTD="Yes",'Effectiveness settings'!BU431=2,'Effectiveness settings'!BX431=2),1,GN431)</f>
        <v>1</v>
      </c>
      <c r="GZ431" s="58">
        <f t="shared" si="686"/>
        <v>1</v>
      </c>
      <c r="HB431" s="58">
        <f t="shared" si="687"/>
        <v>0</v>
      </c>
      <c r="HD431" s="58">
        <f t="shared" si="635"/>
        <v>0</v>
      </c>
      <c r="HE431" s="58">
        <f t="shared" si="636"/>
        <v>2</v>
      </c>
      <c r="HF431" s="58">
        <f t="shared" si="637"/>
        <v>8</v>
      </c>
      <c r="HG431" s="58">
        <f t="shared" si="638"/>
        <v>2</v>
      </c>
      <c r="HH431" s="58">
        <f t="shared" si="639"/>
        <v>1</v>
      </c>
    </row>
    <row r="432" spans="69:216" ht="15.75" x14ac:dyDescent="0.25">
      <c r="BQ432" s="58">
        <f t="shared" si="667"/>
        <v>262</v>
      </c>
      <c r="BR432" s="61">
        <v>0</v>
      </c>
      <c r="BS432" s="61" t="s">
        <v>31</v>
      </c>
      <c r="BT432" s="17">
        <v>2</v>
      </c>
      <c r="BU432" s="17">
        <v>9</v>
      </c>
      <c r="BV432" s="17" t="str">
        <f t="shared" si="716"/>
        <v>lenvatinib_plus_everolimus</v>
      </c>
      <c r="BW432" s="1006" t="str" cm="1">
        <f t="array" ref="BW432">IF(X313="No",X313,INDEX(List_incl_anal_2L_all,IF(BU432=999,35,BU432+1)))</f>
        <v>Yes</v>
      </c>
      <c r="BX432" s="61">
        <f t="shared" si="717"/>
        <v>3</v>
      </c>
      <c r="BY432" s="531" t="str">
        <f t="shared" si="741"/>
        <v>Time to progression</v>
      </c>
      <c r="BZ432" s="530" t="str">
        <f t="shared" si="718"/>
        <v>PH_NMA</v>
      </c>
      <c r="CA432" s="531">
        <f t="shared" si="740"/>
        <v>0</v>
      </c>
      <c r="CB432" s="530">
        <f t="shared" si="719"/>
        <v>0</v>
      </c>
      <c r="CC432" s="530">
        <f t="shared" si="720"/>
        <v>2</v>
      </c>
      <c r="CD432" s="530">
        <f t="shared" si="721"/>
        <v>8</v>
      </c>
      <c r="CE432" s="1295">
        <f t="shared" si="722"/>
        <v>2</v>
      </c>
      <c r="CF432" s="1301">
        <f t="shared" si="723"/>
        <v>1</v>
      </c>
      <c r="CG432" s="530" t="str">
        <f t="shared" si="724"/>
        <v>Log-normal</v>
      </c>
      <c r="CH432" s="61">
        <f t="shared" si="725"/>
        <v>0.82</v>
      </c>
      <c r="CI432" s="61">
        <f t="shared" si="726"/>
        <v>0.8</v>
      </c>
      <c r="CJ432" s="61">
        <f t="shared" si="727"/>
        <v>0.84</v>
      </c>
      <c r="DK432" s="58" t="str" cm="1">
        <f t="array" ref="DK432">IF(AND($BT432=4,$BX432=4,$BU432=999),$DB$36,_xlfn.IFNA(INDEX(DB$13:DB$70,MATCH(1,($BR432=$CV$13:$CV$70)*($BT432=$CX$13:$CX$70)*($CE432=$CY$13:$CY$70)*($BY432=$DA$13:$DA$70)*($CD432=$DH$13:$DH$70),0)),""))</f>
        <v>Log-normal</v>
      </c>
      <c r="DL432" s="58" t="str" cm="1">
        <f t="array" ref="DL432">IF(AND($BT432=4,$BX432=4,$BU432=999),$DC$36,_xlfn.IFNA(INDEX(CHOOSE(DP432,DB$13:DB$70,DC$13:DC$70,DD$13:DD$70,DE$13:DE$70),MATCH(1,($BR432=$CV$13:$CV$70)*($BT432=$CX$13:$CX$70)*($CE432=$CY$13:$CY$70)*($BY432=$DA$13:$DA$70)*($CD432=$DH$13:$DH$70),0)),""))</f>
        <v>Log-normal</v>
      </c>
      <c r="DM432" s="740" cm="1">
        <f t="array" ref="DM432">IF(AND($BT432=4,$BX432=4,$BU432=999),$DD$36,_xlfn.IFNA(INDEX(DD$13:DD$68,MATCH(1,($BR432=$CV$13:$CV$68)*($BT432=$CX$13:$CX$68)*($CE432=$CY$13:$CY$68)*($BY432=$DA$13:$DA$68)*($CD432=$DH$13:$DH$68),0)),""))</f>
        <v>0</v>
      </c>
      <c r="DN432" s="740" cm="1">
        <f t="array" ref="DN432">IF(AND($BT432=4,$BX432=4,$BU432=999),$DD$36,_xlfn.IFNA(INDEX(DE$13:DE$68,MATCH(1,($BR432=$CV$13:$CV$68)*($BT432=$CX$13:$CX$68)*($CE432=$CY$13:$CY$68)*($BY432=$DA$13:$DA$68)*($CD432=$DH$13:$DH$68),0)),""))</f>
        <v>0</v>
      </c>
      <c r="DO432" s="58" t="str" cm="1">
        <f t="array" ref="DO432">IF(AND($BT432=4,$BX432=4,$BU432=999),$DF$36,_xlfn.IFNA(INDEX(DF$13:DF$70,MATCH(1,($BR432=$CV$13:$CV$70)*($BT432=$CX$13:$CX$70)*($CE432=$CY$13:$CY$70)*($BY432=$DA$13:$DA$70)*($CD432=$DH$13:$DH$70),0)),""))</f>
        <v>Base case</v>
      </c>
      <c r="DP432" s="58">
        <f t="shared" si="668"/>
        <v>1</v>
      </c>
      <c r="DW432" s="58" t="s">
        <v>74</v>
      </c>
      <c r="DX432" s="58" t="s">
        <v>555</v>
      </c>
      <c r="DY432" s="58" t="s">
        <v>63</v>
      </c>
      <c r="DZ432" s="58">
        <v>0</v>
      </c>
      <c r="EB432" s="58">
        <v>0</v>
      </c>
      <c r="EC432" s="58">
        <v>2</v>
      </c>
      <c r="ED432" s="58">
        <v>8</v>
      </c>
      <c r="EE432" s="58">
        <v>2</v>
      </c>
      <c r="EF432" s="58">
        <v>1</v>
      </c>
      <c r="EI432" s="58" t="s">
        <v>74</v>
      </c>
      <c r="EJ432" s="58" t="s">
        <v>555</v>
      </c>
      <c r="EK432" s="58" t="s">
        <v>578</v>
      </c>
      <c r="EL432" s="58">
        <v>0</v>
      </c>
      <c r="EN432" s="58">
        <v>0</v>
      </c>
      <c r="EO432" s="58">
        <v>2</v>
      </c>
      <c r="EP432" s="58">
        <v>9</v>
      </c>
      <c r="EQ432" s="58">
        <v>1</v>
      </c>
      <c r="ER432" s="58">
        <v>1</v>
      </c>
      <c r="EU432" s="58" t="str">
        <f t="shared" si="728"/>
        <v>Yes</v>
      </c>
      <c r="EV432" s="58" t="str">
        <f t="shared" si="729"/>
        <v>Time to progression</v>
      </c>
      <c r="EW432" s="58" t="str">
        <f t="shared" si="730"/>
        <v>FP_NMA</v>
      </c>
      <c r="EX432" s="58">
        <f t="shared" si="731"/>
        <v>0</v>
      </c>
      <c r="EZ432" s="58">
        <f t="shared" si="732"/>
        <v>0</v>
      </c>
      <c r="FA432" s="58">
        <f t="shared" si="733"/>
        <v>2</v>
      </c>
      <c r="FB432" s="58">
        <f>IF(i_eff_inputs_based_on_num=2,ED432,(INDEX(Lists!$L$51:$L$85,MATCH(AD313,Lists!$K$51:$K$85,0))))</f>
        <v>8</v>
      </c>
      <c r="FC432" s="58">
        <f>IF(i_eff_inputs_based_on_num=2,EE432,(INDEX(Lists!$L$51:$L$85,MATCH(AE313,Lists!$K$51:$K$85,0))))</f>
        <v>2</v>
      </c>
      <c r="FD432" s="58">
        <f>IF(i_eff_inputs_based_on_num=2,EF432,(INDEX(Lists!$L$51:$L$85,MATCH(AF313,Lists!$K$51:$K$85,0))))</f>
        <v>1</v>
      </c>
      <c r="FG432" s="58" t="str">
        <f t="shared" si="734"/>
        <v>Yes</v>
      </c>
      <c r="FH432" s="58" t="str">
        <f t="shared" si="735"/>
        <v>Time to progression</v>
      </c>
      <c r="FI432" s="58" t="str">
        <f t="shared" si="736"/>
        <v>Apply HR to</v>
      </c>
      <c r="FJ432" s="58">
        <f t="shared" si="737"/>
        <v>0</v>
      </c>
      <c r="FL432" s="58">
        <f t="shared" si="738"/>
        <v>0</v>
      </c>
      <c r="FM432" s="58">
        <f t="shared" si="739"/>
        <v>2</v>
      </c>
      <c r="FN432" s="58">
        <f>IF(i_eff_inputs_based_on_num=2,EP432,(INDEX(Lists!$L$51:$L$85,MATCH(AD313,Lists!$K$51:$K$85,0))))</f>
        <v>9</v>
      </c>
      <c r="FO432" s="58">
        <f>IF(i_eff_inputs_based_on_num=2,EQ432,(INDEX(Lists!$L$51:$L$85,MATCH(AE313,Lists!$K$51:$K$85,0))))</f>
        <v>1</v>
      </c>
      <c r="FP432" s="58">
        <f>IF(i_eff_inputs_based_on_num=2,ER432,(INDEX(Lists!$L$51:$L$85,MATCH(AF313,Lists!$K$51:$K$85,0))))</f>
        <v>1</v>
      </c>
      <c r="FT432" s="58">
        <f t="shared" si="669"/>
        <v>0</v>
      </c>
      <c r="FW432" s="58" t="str">
        <f>IF(i_baseline_risk_from=2,'Effectiveness settings'!EW432,'Effectiveness settings'!FI432)</f>
        <v>FP_NMA</v>
      </c>
      <c r="FX432" s="58" t="str">
        <f t="shared" si="670"/>
        <v>PH_NMA</v>
      </c>
      <c r="FY432" s="58" t="str">
        <f t="shared" si="671"/>
        <v>PH_NMA</v>
      </c>
      <c r="FZ432" s="58" t="str">
        <f t="shared" si="672"/>
        <v>PH_NMA</v>
      </c>
      <c r="GA432" s="58" t="str">
        <f t="shared" si="673"/>
        <v>PH_NMA</v>
      </c>
      <c r="GB432" s="58" t="str">
        <f t="shared" si="674"/>
        <v>PH_NMA</v>
      </c>
      <c r="GC432" s="58" t="str">
        <f t="shared" si="675"/>
        <v>PH_NMA</v>
      </c>
      <c r="GD432" s="58" t="str">
        <f t="shared" si="676"/>
        <v>PH_NMA</v>
      </c>
      <c r="GE432" s="58" t="str">
        <f>IF(AND(dd_CheckMate214_TTD="Yes",'Effectiveness settings'!BU432=2,'Effectiveness settings'!BX432=2),"Apply HR to",GD432)</f>
        <v>PH_NMA</v>
      </c>
      <c r="GF432" s="58" t="str">
        <f t="shared" si="677"/>
        <v>PH_NMA</v>
      </c>
      <c r="GG432" s="58" t="str">
        <f t="shared" si="678"/>
        <v>PH_NMA</v>
      </c>
      <c r="GH432" s="58" t="str">
        <f t="shared" si="679"/>
        <v>PH_NMA</v>
      </c>
      <c r="GI432" s="58" t="str">
        <f t="shared" si="640"/>
        <v>PH_NMA</v>
      </c>
      <c r="GK432" s="58">
        <f>IF(i_baseline_risk_from=2,'Effectiveness settings'!FA432,'Effectiveness settings'!FM432)</f>
        <v>2</v>
      </c>
      <c r="GL432" s="58">
        <f>IF(i_baseline_risk_from=2,'Effectiveness settings'!FB432,'Effectiveness settings'!FN432)</f>
        <v>8</v>
      </c>
      <c r="GM432" s="58">
        <f>IF(i_baseline_risk_from=2,'Effectiveness settings'!FC432,'Effectiveness settings'!FO432)</f>
        <v>2</v>
      </c>
      <c r="GN432" s="58">
        <f>IF(i_baseline_risk_from=2,'Effectiveness settings'!FD432,'Effectiveness settings'!FP432)</f>
        <v>1</v>
      </c>
      <c r="GQ432" s="58">
        <f t="shared" si="680"/>
        <v>8</v>
      </c>
      <c r="GR432" s="58">
        <f t="shared" si="681"/>
        <v>8</v>
      </c>
      <c r="GS432" s="58">
        <f t="shared" si="682"/>
        <v>8</v>
      </c>
      <c r="GT432" s="58">
        <f t="shared" si="683"/>
        <v>8</v>
      </c>
      <c r="GU432" s="58">
        <f>IF(AND(dd_CheckMate214_TTD="Yes",'Effectiveness settings'!BU432=2,'Effectiveness settings'!BX432=2),2,GT432)</f>
        <v>8</v>
      </c>
      <c r="GV432" s="58">
        <f t="shared" si="684"/>
        <v>8</v>
      </c>
      <c r="GW432" s="58">
        <f t="shared" si="685"/>
        <v>8</v>
      </c>
      <c r="GY432" s="58">
        <f>IF(AND(dd_CheckMate214_TTD="Yes",'Effectiveness settings'!BU432=2,'Effectiveness settings'!BX432=2),1,GN432)</f>
        <v>1</v>
      </c>
      <c r="GZ432" s="58">
        <f t="shared" si="686"/>
        <v>1</v>
      </c>
      <c r="HB432" s="58">
        <f t="shared" si="687"/>
        <v>0</v>
      </c>
      <c r="HD432" s="58">
        <f t="shared" si="635"/>
        <v>0</v>
      </c>
      <c r="HE432" s="58">
        <f t="shared" si="636"/>
        <v>2</v>
      </c>
      <c r="HF432" s="58">
        <f t="shared" si="637"/>
        <v>8</v>
      </c>
      <c r="HG432" s="58">
        <f t="shared" si="638"/>
        <v>2</v>
      </c>
      <c r="HH432" s="58">
        <f t="shared" si="639"/>
        <v>1</v>
      </c>
    </row>
    <row r="433" spans="69:216" ht="15.75" x14ac:dyDescent="0.25">
      <c r="BQ433" s="58">
        <f t="shared" si="667"/>
        <v>263</v>
      </c>
      <c r="BR433" s="61">
        <v>0</v>
      </c>
      <c r="BS433" s="61" t="s">
        <v>31</v>
      </c>
      <c r="BT433" s="17">
        <v>2</v>
      </c>
      <c r="BU433" s="17">
        <v>10</v>
      </c>
      <c r="BV433" s="17" t="str">
        <f t="shared" si="716"/>
        <v>everolimus</v>
      </c>
      <c r="BW433" s="1006" t="str" cm="1">
        <f t="array" ref="BW433">IF(X314="No",X314,INDEX(List_incl_anal_2L_all,IF(BU433=999,35,BU433+1)))</f>
        <v>Yes</v>
      </c>
      <c r="BX433" s="61">
        <f t="shared" si="717"/>
        <v>3</v>
      </c>
      <c r="BY433" s="531" t="str">
        <f t="shared" si="741"/>
        <v>Time to progression</v>
      </c>
      <c r="BZ433" s="530" t="str">
        <f t="shared" si="718"/>
        <v>PH_NMA</v>
      </c>
      <c r="CA433" s="531">
        <f t="shared" si="740"/>
        <v>0</v>
      </c>
      <c r="CB433" s="530">
        <f t="shared" si="719"/>
        <v>0</v>
      </c>
      <c r="CC433" s="530">
        <f t="shared" si="720"/>
        <v>2</v>
      </c>
      <c r="CD433" s="530">
        <f t="shared" si="721"/>
        <v>8</v>
      </c>
      <c r="CE433" s="1295">
        <f t="shared" si="722"/>
        <v>2</v>
      </c>
      <c r="CF433" s="1301">
        <f t="shared" si="723"/>
        <v>1</v>
      </c>
      <c r="CG433" s="530" t="str">
        <f t="shared" si="724"/>
        <v>Log-normal</v>
      </c>
      <c r="CH433" s="61">
        <f t="shared" si="725"/>
        <v>0.82</v>
      </c>
      <c r="CI433" s="61">
        <f t="shared" si="726"/>
        <v>0.8</v>
      </c>
      <c r="CJ433" s="61">
        <f t="shared" si="727"/>
        <v>0.84</v>
      </c>
      <c r="DK433" s="58" t="str" cm="1">
        <f t="array" ref="DK433">IF(AND($BT433=4,$BX433=4,$BU433=999),$DB$36,_xlfn.IFNA(INDEX(DB$13:DB$70,MATCH(1,($BR433=$CV$13:$CV$70)*($BT433=$CX$13:$CX$70)*($CE433=$CY$13:$CY$70)*($BY433=$DA$13:$DA$70)*($CD433=$DH$13:$DH$70),0)),""))</f>
        <v>Log-normal</v>
      </c>
      <c r="DL433" s="58" t="str" cm="1">
        <f t="array" ref="DL433">IF(AND($BT433=4,$BX433=4,$BU433=999),$DC$36,_xlfn.IFNA(INDEX(CHOOSE(DP433,DB$13:DB$70,DC$13:DC$70,DD$13:DD$70,DE$13:DE$70),MATCH(1,($BR433=$CV$13:$CV$70)*($BT433=$CX$13:$CX$70)*($CE433=$CY$13:$CY$70)*($BY433=$DA$13:$DA$70)*($CD433=$DH$13:$DH$70),0)),""))</f>
        <v>Log-normal</v>
      </c>
      <c r="DM433" s="740" cm="1">
        <f t="array" ref="DM433">IF(AND($BT433=4,$BX433=4,$BU433=999),$DD$36,_xlfn.IFNA(INDEX(DD$13:DD$68,MATCH(1,($BR433=$CV$13:$CV$68)*($BT433=$CX$13:$CX$68)*($CE433=$CY$13:$CY$68)*($BY433=$DA$13:$DA$68)*($CD433=$DH$13:$DH$68),0)),""))</f>
        <v>0</v>
      </c>
      <c r="DN433" s="740" cm="1">
        <f t="array" ref="DN433">IF(AND($BT433=4,$BX433=4,$BU433=999),$DD$36,_xlfn.IFNA(INDEX(DE$13:DE$68,MATCH(1,($BR433=$CV$13:$CV$68)*($BT433=$CX$13:$CX$68)*($CE433=$CY$13:$CY$68)*($BY433=$DA$13:$DA$68)*($CD433=$DH$13:$DH$68),0)),""))</f>
        <v>0</v>
      </c>
      <c r="DO433" s="58" t="str" cm="1">
        <f t="array" ref="DO433">IF(AND($BT433=4,$BX433=4,$BU433=999),$DF$36,_xlfn.IFNA(INDEX(DF$13:DF$70,MATCH(1,($BR433=$CV$13:$CV$70)*($BT433=$CX$13:$CX$70)*($CE433=$CY$13:$CY$70)*($BY433=$DA$13:$DA$70)*($CD433=$DH$13:$DH$70),0)),""))</f>
        <v>Base case</v>
      </c>
      <c r="DP433" s="58">
        <f t="shared" si="668"/>
        <v>1</v>
      </c>
      <c r="DW433" s="58" t="s">
        <v>74</v>
      </c>
      <c r="DX433" s="58" t="s">
        <v>555</v>
      </c>
      <c r="DY433" s="58" t="s">
        <v>63</v>
      </c>
      <c r="DZ433" s="58">
        <v>0</v>
      </c>
      <c r="EB433" s="58">
        <v>0</v>
      </c>
      <c r="EC433" s="58">
        <v>2</v>
      </c>
      <c r="ED433" s="58">
        <v>8</v>
      </c>
      <c r="EE433" s="58">
        <v>2</v>
      </c>
      <c r="EF433" s="58">
        <v>1</v>
      </c>
      <c r="EI433" s="58" t="s">
        <v>74</v>
      </c>
      <c r="EJ433" s="58" t="s">
        <v>555</v>
      </c>
      <c r="EK433" s="58" t="s">
        <v>578</v>
      </c>
      <c r="EL433" s="58">
        <v>0</v>
      </c>
      <c r="EN433" s="58">
        <v>0</v>
      </c>
      <c r="EO433" s="58">
        <v>2</v>
      </c>
      <c r="EP433" s="58">
        <v>10</v>
      </c>
      <c r="EQ433" s="58">
        <v>1</v>
      </c>
      <c r="ER433" s="58">
        <v>1</v>
      </c>
      <c r="EU433" s="58" t="str">
        <f t="shared" si="728"/>
        <v>Yes</v>
      </c>
      <c r="EV433" s="58" t="str">
        <f t="shared" si="729"/>
        <v>Time to progression</v>
      </c>
      <c r="EW433" s="58" t="str">
        <f t="shared" si="730"/>
        <v>FP_NMA</v>
      </c>
      <c r="EX433" s="58">
        <f t="shared" si="731"/>
        <v>0</v>
      </c>
      <c r="EZ433" s="58">
        <f t="shared" si="732"/>
        <v>0</v>
      </c>
      <c r="FA433" s="58">
        <f t="shared" si="733"/>
        <v>2</v>
      </c>
      <c r="FB433" s="58">
        <f>IF(i_eff_inputs_based_on_num=2,ED433,(INDEX(Lists!$L$51:$L$85,MATCH(AD314,Lists!$K$51:$K$85,0))))</f>
        <v>8</v>
      </c>
      <c r="FC433" s="58">
        <f>IF(i_eff_inputs_based_on_num=2,EE433,(INDEX(Lists!$L$51:$L$85,MATCH(AE314,Lists!$K$51:$K$85,0))))</f>
        <v>2</v>
      </c>
      <c r="FD433" s="58">
        <f>IF(i_eff_inputs_based_on_num=2,EF433,(INDEX(Lists!$L$51:$L$85,MATCH(AF314,Lists!$K$51:$K$85,0))))</f>
        <v>1</v>
      </c>
      <c r="FG433" s="58" t="str">
        <f t="shared" si="734"/>
        <v>Yes</v>
      </c>
      <c r="FH433" s="58" t="str">
        <f t="shared" si="735"/>
        <v>Time to progression</v>
      </c>
      <c r="FI433" s="58" t="str">
        <f t="shared" si="736"/>
        <v>Apply HR to</v>
      </c>
      <c r="FJ433" s="58">
        <f t="shared" si="737"/>
        <v>0</v>
      </c>
      <c r="FL433" s="58">
        <f t="shared" si="738"/>
        <v>0</v>
      </c>
      <c r="FM433" s="58">
        <f t="shared" si="739"/>
        <v>2</v>
      </c>
      <c r="FN433" s="58">
        <f>IF(i_eff_inputs_based_on_num=2,EP433,(INDEX(Lists!$L$51:$L$85,MATCH(AD314,Lists!$K$51:$K$85,0))))</f>
        <v>10</v>
      </c>
      <c r="FO433" s="58">
        <f>IF(i_eff_inputs_based_on_num=2,EQ433,(INDEX(Lists!$L$51:$L$85,MATCH(AE314,Lists!$K$51:$K$85,0))))</f>
        <v>1</v>
      </c>
      <c r="FP433" s="58">
        <f>IF(i_eff_inputs_based_on_num=2,ER433,(INDEX(Lists!$L$51:$L$85,MATCH(AF314,Lists!$K$51:$K$85,0))))</f>
        <v>1</v>
      </c>
      <c r="FT433" s="58">
        <f t="shared" si="669"/>
        <v>0</v>
      </c>
      <c r="FW433" s="58" t="str">
        <f>IF(i_baseline_risk_from=2,'Effectiveness settings'!EW433,'Effectiveness settings'!FI433)</f>
        <v>FP_NMA</v>
      </c>
      <c r="FX433" s="58" t="str">
        <f t="shared" si="670"/>
        <v>PH_NMA</v>
      </c>
      <c r="FY433" s="58" t="str">
        <f t="shared" si="671"/>
        <v>PH_NMA</v>
      </c>
      <c r="FZ433" s="58" t="str">
        <f t="shared" si="672"/>
        <v>PH_NMA</v>
      </c>
      <c r="GA433" s="58" t="str">
        <f t="shared" si="673"/>
        <v>PH_NMA</v>
      </c>
      <c r="GB433" s="58" t="str">
        <f t="shared" si="674"/>
        <v>PH_NMA</v>
      </c>
      <c r="GC433" s="58" t="str">
        <f t="shared" si="675"/>
        <v>PH_NMA</v>
      </c>
      <c r="GD433" s="58" t="str">
        <f t="shared" si="676"/>
        <v>PH_NMA</v>
      </c>
      <c r="GE433" s="58" t="str">
        <f>IF(AND(dd_CheckMate214_TTD="Yes",'Effectiveness settings'!BU433=2,'Effectiveness settings'!BX433=2),"Apply HR to",GD433)</f>
        <v>PH_NMA</v>
      </c>
      <c r="GF433" s="58" t="str">
        <f t="shared" si="677"/>
        <v>PH_NMA</v>
      </c>
      <c r="GG433" s="58" t="str">
        <f t="shared" si="678"/>
        <v>PH_NMA</v>
      </c>
      <c r="GH433" s="58" t="str">
        <f t="shared" si="679"/>
        <v>PH_NMA</v>
      </c>
      <c r="GI433" s="58" t="str">
        <f t="shared" si="640"/>
        <v>PH_NMA</v>
      </c>
      <c r="GK433" s="58">
        <f>IF(i_baseline_risk_from=2,'Effectiveness settings'!FA433,'Effectiveness settings'!FM433)</f>
        <v>2</v>
      </c>
      <c r="GL433" s="58">
        <f>IF(i_baseline_risk_from=2,'Effectiveness settings'!FB433,'Effectiveness settings'!FN433)</f>
        <v>8</v>
      </c>
      <c r="GM433" s="58">
        <f>IF(i_baseline_risk_from=2,'Effectiveness settings'!FC433,'Effectiveness settings'!FO433)</f>
        <v>2</v>
      </c>
      <c r="GN433" s="58">
        <f>IF(i_baseline_risk_from=2,'Effectiveness settings'!FD433,'Effectiveness settings'!FP433)</f>
        <v>1</v>
      </c>
      <c r="GQ433" s="58">
        <f t="shared" si="680"/>
        <v>8</v>
      </c>
      <c r="GR433" s="58">
        <f t="shared" si="681"/>
        <v>8</v>
      </c>
      <c r="GS433" s="58">
        <f t="shared" si="682"/>
        <v>8</v>
      </c>
      <c r="GT433" s="58">
        <f t="shared" si="683"/>
        <v>8</v>
      </c>
      <c r="GU433" s="58">
        <f>IF(AND(dd_CheckMate214_TTD="Yes",'Effectiveness settings'!BU433=2,'Effectiveness settings'!BX433=2),2,GT433)</f>
        <v>8</v>
      </c>
      <c r="GV433" s="58">
        <f t="shared" si="684"/>
        <v>8</v>
      </c>
      <c r="GW433" s="58">
        <f t="shared" si="685"/>
        <v>8</v>
      </c>
      <c r="GY433" s="58">
        <f>IF(AND(dd_CheckMate214_TTD="Yes",'Effectiveness settings'!BU433=2,'Effectiveness settings'!BX433=2),1,GN433)</f>
        <v>1</v>
      </c>
      <c r="GZ433" s="58">
        <f t="shared" si="686"/>
        <v>1</v>
      </c>
      <c r="HB433" s="58">
        <f t="shared" si="687"/>
        <v>0</v>
      </c>
      <c r="HD433" s="58">
        <f t="shared" si="635"/>
        <v>0</v>
      </c>
      <c r="HE433" s="58">
        <f t="shared" si="636"/>
        <v>2</v>
      </c>
      <c r="HF433" s="58">
        <f t="shared" si="637"/>
        <v>8</v>
      </c>
      <c r="HG433" s="58">
        <f t="shared" si="638"/>
        <v>2</v>
      </c>
      <c r="HH433" s="58">
        <f t="shared" si="639"/>
        <v>1</v>
      </c>
    </row>
    <row r="434" spans="69:216" ht="15.75" x14ac:dyDescent="0.25">
      <c r="BQ434" s="58">
        <f t="shared" si="667"/>
        <v>264</v>
      </c>
      <c r="BR434" s="61">
        <v>0</v>
      </c>
      <c r="BS434" s="61" t="s">
        <v>31</v>
      </c>
      <c r="BT434" s="17">
        <v>2</v>
      </c>
      <c r="BU434" s="17">
        <v>11</v>
      </c>
      <c r="BV434" s="17" t="str">
        <f t="shared" si="716"/>
        <v>axitinib</v>
      </c>
      <c r="BW434" s="1006" t="str" cm="1">
        <f t="array" ref="BW434">IF(X315="No",X315,INDEX(List_incl_anal_2L_all,IF(BU434=999,35,BU434+1)))</f>
        <v>Yes</v>
      </c>
      <c r="BX434" s="61">
        <f t="shared" si="717"/>
        <v>3</v>
      </c>
      <c r="BY434" s="531" t="str">
        <f t="shared" si="741"/>
        <v>Time to progression</v>
      </c>
      <c r="BZ434" s="530" t="str">
        <f t="shared" si="718"/>
        <v>PH_NMA</v>
      </c>
      <c r="CA434" s="531">
        <f t="shared" si="740"/>
        <v>0</v>
      </c>
      <c r="CB434" s="530">
        <f t="shared" si="719"/>
        <v>0</v>
      </c>
      <c r="CC434" s="530">
        <f t="shared" si="720"/>
        <v>2</v>
      </c>
      <c r="CD434" s="530">
        <f t="shared" si="721"/>
        <v>8</v>
      </c>
      <c r="CE434" s="1295">
        <f t="shared" si="722"/>
        <v>2</v>
      </c>
      <c r="CF434" s="1301">
        <f t="shared" si="723"/>
        <v>1</v>
      </c>
      <c r="CG434" s="530" t="str">
        <f t="shared" si="724"/>
        <v>Log-normal</v>
      </c>
      <c r="CH434" s="61">
        <f t="shared" si="725"/>
        <v>0.82</v>
      </c>
      <c r="CI434" s="61">
        <f t="shared" si="726"/>
        <v>0.8</v>
      </c>
      <c r="CJ434" s="61">
        <f t="shared" si="727"/>
        <v>0.84</v>
      </c>
      <c r="DK434" s="58" t="str" cm="1">
        <f t="array" ref="DK434">IF(AND($BT434=4,$BX434=4,$BU434=999),$DB$36,_xlfn.IFNA(INDEX(DB$13:DB$70,MATCH(1,($BR434=$CV$13:$CV$70)*($BT434=$CX$13:$CX$70)*($CE434=$CY$13:$CY$70)*($BY434=$DA$13:$DA$70)*($CD434=$DH$13:$DH$70),0)),""))</f>
        <v>Log-normal</v>
      </c>
      <c r="DL434" s="58" t="str" cm="1">
        <f t="array" ref="DL434">IF(AND($BT434=4,$BX434=4,$BU434=999),$DC$36,_xlfn.IFNA(INDEX(CHOOSE(DP434,DB$13:DB$70,DC$13:DC$70,DD$13:DD$70,DE$13:DE$70),MATCH(1,($BR434=$CV$13:$CV$70)*($BT434=$CX$13:$CX$70)*($CE434=$CY$13:$CY$70)*($BY434=$DA$13:$DA$70)*($CD434=$DH$13:$DH$70),0)),""))</f>
        <v>Log-normal</v>
      </c>
      <c r="DM434" s="740" cm="1">
        <f t="array" ref="DM434">IF(AND($BT434=4,$BX434=4,$BU434=999),$DD$36,_xlfn.IFNA(INDEX(DD$13:DD$68,MATCH(1,($BR434=$CV$13:$CV$68)*($BT434=$CX$13:$CX$68)*($CE434=$CY$13:$CY$68)*($BY434=$DA$13:$DA$68)*($CD434=$DH$13:$DH$68),0)),""))</f>
        <v>0</v>
      </c>
      <c r="DN434" s="740" cm="1">
        <f t="array" ref="DN434">IF(AND($BT434=4,$BX434=4,$BU434=999),$DD$36,_xlfn.IFNA(INDEX(DE$13:DE$68,MATCH(1,($BR434=$CV$13:$CV$68)*($BT434=$CX$13:$CX$68)*($CE434=$CY$13:$CY$68)*($BY434=$DA$13:$DA$68)*($CD434=$DH$13:$DH$68),0)),""))</f>
        <v>0</v>
      </c>
      <c r="DO434" s="58" t="str" cm="1">
        <f t="array" ref="DO434">IF(AND($BT434=4,$BX434=4,$BU434=999),$DF$36,_xlfn.IFNA(INDEX(DF$13:DF$70,MATCH(1,($BR434=$CV$13:$CV$70)*($BT434=$CX$13:$CX$70)*($CE434=$CY$13:$CY$70)*($BY434=$DA$13:$DA$70)*($CD434=$DH$13:$DH$70),0)),""))</f>
        <v>Base case</v>
      </c>
      <c r="DP434" s="58">
        <f t="shared" si="668"/>
        <v>1</v>
      </c>
      <c r="DW434" s="58" t="s">
        <v>74</v>
      </c>
      <c r="DX434" s="58" t="s">
        <v>555</v>
      </c>
      <c r="DY434" s="58" t="s">
        <v>67</v>
      </c>
      <c r="DZ434" s="58">
        <v>0</v>
      </c>
      <c r="EB434" s="58">
        <v>0</v>
      </c>
      <c r="EC434" s="58">
        <v>2</v>
      </c>
      <c r="ED434" s="58">
        <v>8</v>
      </c>
      <c r="EE434" s="58">
        <v>2</v>
      </c>
      <c r="EF434" s="58">
        <v>1</v>
      </c>
      <c r="EI434" s="58" t="s">
        <v>74</v>
      </c>
      <c r="EJ434" s="58" t="s">
        <v>555</v>
      </c>
      <c r="EK434" s="58" t="s">
        <v>578</v>
      </c>
      <c r="EL434" s="58">
        <v>0</v>
      </c>
      <c r="EN434" s="58">
        <v>0</v>
      </c>
      <c r="EO434" s="58">
        <v>2</v>
      </c>
      <c r="EP434" s="58">
        <v>11</v>
      </c>
      <c r="EQ434" s="58">
        <v>1</v>
      </c>
      <c r="ER434" s="58">
        <v>1</v>
      </c>
      <c r="EU434" s="58" t="str">
        <f t="shared" si="728"/>
        <v>Yes</v>
      </c>
      <c r="EV434" s="58" t="str">
        <f t="shared" si="729"/>
        <v>Time to progression</v>
      </c>
      <c r="EW434" s="58" t="str">
        <f t="shared" si="730"/>
        <v>PH_NMA</v>
      </c>
      <c r="EX434" s="58">
        <f t="shared" si="731"/>
        <v>0</v>
      </c>
      <c r="EZ434" s="58">
        <f t="shared" si="732"/>
        <v>0</v>
      </c>
      <c r="FA434" s="58">
        <f t="shared" si="733"/>
        <v>2</v>
      </c>
      <c r="FB434" s="58">
        <f>IF(i_eff_inputs_based_on_num=2,ED434,(INDEX(Lists!$L$51:$L$85,MATCH(AD315,Lists!$K$51:$K$85,0))))</f>
        <v>8</v>
      </c>
      <c r="FC434" s="58">
        <f>IF(i_eff_inputs_based_on_num=2,EE434,(INDEX(Lists!$L$51:$L$85,MATCH(AE315,Lists!$K$51:$K$85,0))))</f>
        <v>2</v>
      </c>
      <c r="FD434" s="58">
        <f>IF(i_eff_inputs_based_on_num=2,EF434,(INDEX(Lists!$L$51:$L$85,MATCH(AF315,Lists!$K$51:$K$85,0))))</f>
        <v>1</v>
      </c>
      <c r="FG434" s="58" t="str">
        <f t="shared" si="734"/>
        <v>Yes</v>
      </c>
      <c r="FH434" s="58" t="str">
        <f t="shared" si="735"/>
        <v>Time to progression</v>
      </c>
      <c r="FI434" s="58" t="str">
        <f t="shared" si="736"/>
        <v>Apply HR to</v>
      </c>
      <c r="FJ434" s="58">
        <f t="shared" si="737"/>
        <v>0</v>
      </c>
      <c r="FL434" s="58">
        <f t="shared" si="738"/>
        <v>0</v>
      </c>
      <c r="FM434" s="58">
        <f t="shared" si="739"/>
        <v>2</v>
      </c>
      <c r="FN434" s="58">
        <f>IF(i_eff_inputs_based_on_num=2,EP434,(INDEX(Lists!$L$51:$L$85,MATCH(AD315,Lists!$K$51:$K$85,0))))</f>
        <v>11</v>
      </c>
      <c r="FO434" s="58">
        <f>IF(i_eff_inputs_based_on_num=2,EQ434,(INDEX(Lists!$L$51:$L$85,MATCH(AE315,Lists!$K$51:$K$85,0))))</f>
        <v>1</v>
      </c>
      <c r="FP434" s="58">
        <f>IF(i_eff_inputs_based_on_num=2,ER434,(INDEX(Lists!$L$51:$L$85,MATCH(AF315,Lists!$K$51:$K$85,0))))</f>
        <v>1</v>
      </c>
      <c r="FT434" s="58">
        <f t="shared" si="669"/>
        <v>0</v>
      </c>
      <c r="FW434" s="58" t="str">
        <f>IF(i_baseline_risk_from=2,'Effectiveness settings'!EW434,'Effectiveness settings'!FI434)</f>
        <v>PH_NMA</v>
      </c>
      <c r="FX434" s="58" t="str">
        <f t="shared" si="670"/>
        <v>PH_NMA</v>
      </c>
      <c r="FY434" s="58" t="str">
        <f t="shared" si="671"/>
        <v>PH_NMA</v>
      </c>
      <c r="FZ434" s="58" t="str">
        <f t="shared" si="672"/>
        <v>PH_NMA</v>
      </c>
      <c r="GA434" s="58" t="str">
        <f t="shared" si="673"/>
        <v>PH_NMA</v>
      </c>
      <c r="GB434" s="58" t="str">
        <f t="shared" si="674"/>
        <v>PH_NMA</v>
      </c>
      <c r="GC434" s="58" t="str">
        <f t="shared" si="675"/>
        <v>PH_NMA</v>
      </c>
      <c r="GD434" s="58" t="str">
        <f t="shared" si="676"/>
        <v>PH_NMA</v>
      </c>
      <c r="GE434" s="58" t="str">
        <f>IF(AND(dd_CheckMate214_TTD="Yes",'Effectiveness settings'!BU434=2,'Effectiveness settings'!BX434=2),"Apply HR to",GD434)</f>
        <v>PH_NMA</v>
      </c>
      <c r="GF434" s="58" t="str">
        <f t="shared" si="677"/>
        <v>PH_NMA</v>
      </c>
      <c r="GG434" s="58" t="str">
        <f t="shared" si="678"/>
        <v>PH_NMA</v>
      </c>
      <c r="GH434" s="58" t="str">
        <f t="shared" si="679"/>
        <v>PH_NMA</v>
      </c>
      <c r="GI434" s="58" t="str">
        <f t="shared" si="640"/>
        <v>PH_NMA</v>
      </c>
      <c r="GK434" s="58">
        <f>IF(i_baseline_risk_from=2,'Effectiveness settings'!FA434,'Effectiveness settings'!FM434)</f>
        <v>2</v>
      </c>
      <c r="GL434" s="58">
        <f>IF(i_baseline_risk_from=2,'Effectiveness settings'!FB434,'Effectiveness settings'!FN434)</f>
        <v>8</v>
      </c>
      <c r="GM434" s="58">
        <f>IF(i_baseline_risk_from=2,'Effectiveness settings'!FC434,'Effectiveness settings'!FO434)</f>
        <v>2</v>
      </c>
      <c r="GN434" s="58">
        <f>IF(i_baseline_risk_from=2,'Effectiveness settings'!FD434,'Effectiveness settings'!FP434)</f>
        <v>1</v>
      </c>
      <c r="GQ434" s="58">
        <f t="shared" si="680"/>
        <v>8</v>
      </c>
      <c r="GR434" s="58">
        <f t="shared" si="681"/>
        <v>8</v>
      </c>
      <c r="GS434" s="58">
        <f t="shared" si="682"/>
        <v>8</v>
      </c>
      <c r="GT434" s="58">
        <f t="shared" si="683"/>
        <v>8</v>
      </c>
      <c r="GU434" s="58">
        <f>IF(AND(dd_CheckMate214_TTD="Yes",'Effectiveness settings'!BU434=2,'Effectiveness settings'!BX434=2),2,GT434)</f>
        <v>8</v>
      </c>
      <c r="GV434" s="58">
        <f t="shared" si="684"/>
        <v>8</v>
      </c>
      <c r="GW434" s="58">
        <f t="shared" si="685"/>
        <v>8</v>
      </c>
      <c r="GY434" s="58">
        <f>IF(AND(dd_CheckMate214_TTD="Yes",'Effectiveness settings'!BU434=2,'Effectiveness settings'!BX434=2),1,GN434)</f>
        <v>1</v>
      </c>
      <c r="GZ434" s="58">
        <f t="shared" si="686"/>
        <v>1</v>
      </c>
      <c r="HB434" s="58">
        <f t="shared" si="687"/>
        <v>0</v>
      </c>
      <c r="HD434" s="58">
        <f t="shared" si="635"/>
        <v>0</v>
      </c>
      <c r="HE434" s="58">
        <f t="shared" si="636"/>
        <v>2</v>
      </c>
      <c r="HF434" s="58">
        <f t="shared" si="637"/>
        <v>8</v>
      </c>
      <c r="HG434" s="58">
        <f t="shared" si="638"/>
        <v>2</v>
      </c>
      <c r="HH434" s="58">
        <f t="shared" si="639"/>
        <v>1</v>
      </c>
    </row>
    <row r="435" spans="69:216" ht="15.75" x14ac:dyDescent="0.25">
      <c r="BQ435" s="58">
        <f t="shared" si="667"/>
        <v>265</v>
      </c>
      <c r="BR435" s="61">
        <v>0</v>
      </c>
      <c r="BS435" s="61" t="s">
        <v>31</v>
      </c>
      <c r="BT435" s="17">
        <v>2</v>
      </c>
      <c r="BU435" s="17">
        <v>12</v>
      </c>
      <c r="BV435" s="17" t="str">
        <f t="shared" si="716"/>
        <v>sorafenib</v>
      </c>
      <c r="BW435" s="1006" t="str" cm="1">
        <f t="array" ref="BW435">IF(X316="No",X316,INDEX(List_incl_anal_2L_all,IF(BU435=999,35,BU435+1)))</f>
        <v>No</v>
      </c>
      <c r="BX435" s="61">
        <f t="shared" si="717"/>
        <v>3</v>
      </c>
      <c r="BY435" s="531" t="str">
        <f t="shared" si="741"/>
        <v>Time to progression</v>
      </c>
      <c r="BZ435" s="530">
        <f t="shared" si="718"/>
        <v>0</v>
      </c>
      <c r="CA435" s="531">
        <f t="shared" si="740"/>
        <v>0</v>
      </c>
      <c r="CB435" s="530">
        <f t="shared" si="719"/>
        <v>0</v>
      </c>
      <c r="CC435" s="530">
        <f t="shared" si="720"/>
        <v>2</v>
      </c>
      <c r="CD435" s="530">
        <f t="shared" si="721"/>
        <v>8</v>
      </c>
      <c r="CE435" s="1295">
        <f t="shared" si="722"/>
        <v>2</v>
      </c>
      <c r="CF435" s="1301">
        <f t="shared" si="723"/>
        <v>1</v>
      </c>
      <c r="CG435" s="530" t="str">
        <f t="shared" si="724"/>
        <v>Log-normal</v>
      </c>
      <c r="CH435" s="61">
        <f t="shared" si="725"/>
        <v>1</v>
      </c>
      <c r="CI435" s="61">
        <f t="shared" si="726"/>
        <v>0</v>
      </c>
      <c r="CJ435" s="61">
        <f t="shared" si="727"/>
        <v>0</v>
      </c>
      <c r="DK435" s="58" t="str" cm="1">
        <f t="array" ref="DK435">IF(AND($BT435=4,$BX435=4,$BU435=999),$DB$36,_xlfn.IFNA(INDEX(DB$13:DB$70,MATCH(1,($BR435=$CV$13:$CV$70)*($BT435=$CX$13:$CX$70)*($CE435=$CY$13:$CY$70)*($BY435=$DA$13:$DA$70)*($CD435=$DH$13:$DH$70),0)),""))</f>
        <v>Log-normal</v>
      </c>
      <c r="DL435" s="58" t="str" cm="1">
        <f t="array" ref="DL435">IF(AND($BT435=4,$BX435=4,$BU435=999),$DC$36,_xlfn.IFNA(INDEX(CHOOSE(DP435,DB$13:DB$70,DC$13:DC$70,DD$13:DD$70,DE$13:DE$70),MATCH(1,($BR435=$CV$13:$CV$70)*($BT435=$CX$13:$CX$70)*($CE435=$CY$13:$CY$70)*($BY435=$DA$13:$DA$70)*($CD435=$DH$13:$DH$70),0)),""))</f>
        <v>Log-normal</v>
      </c>
      <c r="DM435" s="740" cm="1">
        <f t="array" ref="DM435">IF(AND($BT435=4,$BX435=4,$BU435=999),$DD$36,_xlfn.IFNA(INDEX(DD$13:DD$68,MATCH(1,($BR435=$CV$13:$CV$68)*($BT435=$CX$13:$CX$68)*($CE435=$CY$13:$CY$68)*($BY435=$DA$13:$DA$68)*($CD435=$DH$13:$DH$68),0)),""))</f>
        <v>0</v>
      </c>
      <c r="DN435" s="740" cm="1">
        <f t="array" ref="DN435">IF(AND($BT435=4,$BX435=4,$BU435=999),$DD$36,_xlfn.IFNA(INDEX(DE$13:DE$68,MATCH(1,($BR435=$CV$13:$CV$68)*($BT435=$CX$13:$CX$68)*($CE435=$CY$13:$CY$68)*($BY435=$DA$13:$DA$68)*($CD435=$DH$13:$DH$68),0)),""))</f>
        <v>0</v>
      </c>
      <c r="DO435" s="58" t="str" cm="1">
        <f t="array" ref="DO435">IF(AND($BT435=4,$BX435=4,$BU435=999),$DF$36,_xlfn.IFNA(INDEX(DF$13:DF$70,MATCH(1,($BR435=$CV$13:$CV$70)*($BT435=$CX$13:$CX$70)*($CE435=$CY$13:$CY$70)*($BY435=$DA$13:$DA$70)*($CD435=$DH$13:$DH$70),0)),""))</f>
        <v>Base case</v>
      </c>
      <c r="DP435" s="58">
        <f t="shared" si="668"/>
        <v>1</v>
      </c>
      <c r="DW435" s="58" t="s">
        <v>58</v>
      </c>
      <c r="DX435" s="58" t="s">
        <v>555</v>
      </c>
      <c r="DY435" s="58">
        <v>0</v>
      </c>
      <c r="DZ435" s="58">
        <v>0</v>
      </c>
      <c r="EB435" s="58">
        <v>0</v>
      </c>
      <c r="EC435" s="58">
        <v>2</v>
      </c>
      <c r="ED435" s="58">
        <v>8</v>
      </c>
      <c r="EE435" s="58">
        <v>2</v>
      </c>
      <c r="EF435" s="58">
        <v>1</v>
      </c>
      <c r="EI435" s="58" t="s">
        <v>58</v>
      </c>
      <c r="EJ435" s="58" t="s">
        <v>555</v>
      </c>
      <c r="EK435" s="58">
        <v>0</v>
      </c>
      <c r="EL435" s="58">
        <v>0</v>
      </c>
      <c r="EN435" s="58">
        <v>0</v>
      </c>
      <c r="EO435" s="58">
        <v>2</v>
      </c>
      <c r="EP435" s="58">
        <v>12</v>
      </c>
      <c r="EQ435" s="58">
        <v>1</v>
      </c>
      <c r="ER435" s="58">
        <v>1</v>
      </c>
      <c r="EU435" s="58" t="str">
        <f t="shared" si="728"/>
        <v>No</v>
      </c>
      <c r="EV435" s="58" t="str">
        <f t="shared" si="729"/>
        <v>Time to progression</v>
      </c>
      <c r="EW435" s="58">
        <f t="shared" si="730"/>
        <v>0</v>
      </c>
      <c r="EX435" s="58">
        <f t="shared" si="731"/>
        <v>0</v>
      </c>
      <c r="EZ435" s="58">
        <f t="shared" si="732"/>
        <v>0</v>
      </c>
      <c r="FA435" s="58">
        <f t="shared" si="733"/>
        <v>2</v>
      </c>
      <c r="FB435" s="58">
        <f>IF(i_eff_inputs_based_on_num=2,ED435,(INDEX(Lists!$L$51:$L$85,MATCH(AD316,Lists!$K$51:$K$85,0))))</f>
        <v>8</v>
      </c>
      <c r="FC435" s="58">
        <f>IF(i_eff_inputs_based_on_num=2,EE435,(INDEX(Lists!$L$51:$L$85,MATCH(AE316,Lists!$K$51:$K$85,0))))</f>
        <v>2</v>
      </c>
      <c r="FD435" s="58">
        <f>IF(i_eff_inputs_based_on_num=2,EF435,(INDEX(Lists!$L$51:$L$85,MATCH(AF316,Lists!$K$51:$K$85,0))))</f>
        <v>1</v>
      </c>
      <c r="FG435" s="58" t="str">
        <f t="shared" si="734"/>
        <v>No</v>
      </c>
      <c r="FH435" s="58" t="str">
        <f t="shared" si="735"/>
        <v>Time to progression</v>
      </c>
      <c r="FI435" s="58">
        <f t="shared" si="736"/>
        <v>0</v>
      </c>
      <c r="FJ435" s="58">
        <f t="shared" si="737"/>
        <v>0</v>
      </c>
      <c r="FL435" s="58">
        <f t="shared" si="738"/>
        <v>0</v>
      </c>
      <c r="FM435" s="58">
        <f t="shared" si="739"/>
        <v>2</v>
      </c>
      <c r="FN435" s="58">
        <f>IF(i_eff_inputs_based_on_num=2,EP435,(INDEX(Lists!$L$51:$L$85,MATCH(AD316,Lists!$K$51:$K$85,0))))</f>
        <v>12</v>
      </c>
      <c r="FO435" s="58">
        <f>IF(i_eff_inputs_based_on_num=2,EQ435,(INDEX(Lists!$L$51:$L$85,MATCH(AE316,Lists!$K$51:$K$85,0))))</f>
        <v>1</v>
      </c>
      <c r="FP435" s="58">
        <f>IF(i_eff_inputs_based_on_num=2,ER435,(INDEX(Lists!$L$51:$L$85,MATCH(AF316,Lists!$K$51:$K$85,0))))</f>
        <v>1</v>
      </c>
      <c r="FT435" s="58">
        <f t="shared" si="669"/>
        <v>0</v>
      </c>
      <c r="FW435" s="58">
        <f>IF(i_baseline_risk_from=2,'Effectiveness settings'!EW435,'Effectiveness settings'!FI435)</f>
        <v>0</v>
      </c>
      <c r="FX435" s="58">
        <f t="shared" si="670"/>
        <v>0</v>
      </c>
      <c r="FY435" s="58">
        <f t="shared" si="671"/>
        <v>0</v>
      </c>
      <c r="FZ435" s="58">
        <f t="shared" si="672"/>
        <v>0</v>
      </c>
      <c r="GA435" s="58">
        <f t="shared" si="673"/>
        <v>0</v>
      </c>
      <c r="GB435" s="58">
        <f t="shared" si="674"/>
        <v>0</v>
      </c>
      <c r="GC435" s="58">
        <f t="shared" si="675"/>
        <v>0</v>
      </c>
      <c r="GD435" s="58">
        <f t="shared" si="676"/>
        <v>0</v>
      </c>
      <c r="GE435" s="58">
        <f>IF(AND(dd_CheckMate214_TTD="Yes",'Effectiveness settings'!BU435=2,'Effectiveness settings'!BX435=2),"Apply HR to",GD435)</f>
        <v>0</v>
      </c>
      <c r="GF435" s="58">
        <f t="shared" si="677"/>
        <v>0</v>
      </c>
      <c r="GG435" s="58">
        <f t="shared" si="678"/>
        <v>0</v>
      </c>
      <c r="GH435" s="58">
        <f t="shared" si="679"/>
        <v>0</v>
      </c>
      <c r="GI435" s="58">
        <f t="shared" si="640"/>
        <v>0</v>
      </c>
      <c r="GK435" s="58">
        <f>IF(i_baseline_risk_from=2,'Effectiveness settings'!FA435,'Effectiveness settings'!FM435)</f>
        <v>2</v>
      </c>
      <c r="GL435" s="58">
        <f>IF(i_baseline_risk_from=2,'Effectiveness settings'!FB435,'Effectiveness settings'!FN435)</f>
        <v>8</v>
      </c>
      <c r="GM435" s="58">
        <f>IF(i_baseline_risk_from=2,'Effectiveness settings'!FC435,'Effectiveness settings'!FO435)</f>
        <v>2</v>
      </c>
      <c r="GN435" s="58">
        <f>IF(i_baseline_risk_from=2,'Effectiveness settings'!FD435,'Effectiveness settings'!FP435)</f>
        <v>1</v>
      </c>
      <c r="GQ435" s="58">
        <f t="shared" si="680"/>
        <v>8</v>
      </c>
      <c r="GR435" s="58">
        <f t="shared" si="681"/>
        <v>8</v>
      </c>
      <c r="GS435" s="58">
        <f t="shared" si="682"/>
        <v>8</v>
      </c>
      <c r="GT435" s="58">
        <f t="shared" si="683"/>
        <v>8</v>
      </c>
      <c r="GU435" s="58">
        <f>IF(AND(dd_CheckMate214_TTD="Yes",'Effectiveness settings'!BU435=2,'Effectiveness settings'!BX435=2),2,GT435)</f>
        <v>8</v>
      </c>
      <c r="GV435" s="58">
        <f t="shared" si="684"/>
        <v>8</v>
      </c>
      <c r="GW435" s="58">
        <f t="shared" si="685"/>
        <v>8</v>
      </c>
      <c r="GY435" s="58">
        <f>IF(AND(dd_CheckMate214_TTD="Yes",'Effectiveness settings'!BU435=2,'Effectiveness settings'!BX435=2),1,GN435)</f>
        <v>1</v>
      </c>
      <c r="GZ435" s="58">
        <f t="shared" si="686"/>
        <v>1</v>
      </c>
      <c r="HB435" s="58">
        <f t="shared" si="687"/>
        <v>0</v>
      </c>
      <c r="HD435" s="58">
        <f t="shared" si="635"/>
        <v>0</v>
      </c>
      <c r="HE435" s="58">
        <f t="shared" si="636"/>
        <v>2</v>
      </c>
      <c r="HF435" s="58">
        <f t="shared" si="637"/>
        <v>8</v>
      </c>
      <c r="HG435" s="58">
        <f t="shared" si="638"/>
        <v>2</v>
      </c>
      <c r="HH435" s="58">
        <f t="shared" si="639"/>
        <v>1</v>
      </c>
    </row>
    <row r="436" spans="69:216" ht="15.75" x14ac:dyDescent="0.25">
      <c r="BQ436" s="58">
        <f t="shared" si="667"/>
        <v>266</v>
      </c>
      <c r="BR436" s="61">
        <v>0</v>
      </c>
      <c r="BS436" s="61" t="s">
        <v>31</v>
      </c>
      <c r="BT436" s="17">
        <v>2</v>
      </c>
      <c r="BU436" s="17">
        <v>999</v>
      </c>
      <c r="BV436" s="17" t="str">
        <f t="shared" si="716"/>
        <v>placebo_BSC</v>
      </c>
      <c r="BW436" s="1006" t="str" cm="1">
        <f t="array" ref="BW436">IF(X317="No",X317,INDEX(List_incl_anal_2L_all,IF(BU436=999,35,BU436+1)))</f>
        <v>No</v>
      </c>
      <c r="BX436" s="61">
        <f t="shared" si="717"/>
        <v>3</v>
      </c>
      <c r="BY436" s="531" t="str">
        <f t="shared" si="741"/>
        <v>Time to progression</v>
      </c>
      <c r="BZ436" s="530">
        <f t="shared" si="718"/>
        <v>0</v>
      </c>
      <c r="CA436" s="531">
        <f t="shared" si="740"/>
        <v>0</v>
      </c>
      <c r="CB436" s="530">
        <f t="shared" si="719"/>
        <v>0</v>
      </c>
      <c r="CC436" s="530">
        <f t="shared" si="720"/>
        <v>4</v>
      </c>
      <c r="CD436" s="530">
        <f t="shared" si="721"/>
        <v>999</v>
      </c>
      <c r="CE436" s="1295">
        <f t="shared" si="722"/>
        <v>2</v>
      </c>
      <c r="CF436" s="1301">
        <f t="shared" si="723"/>
        <v>4</v>
      </c>
      <c r="CG436" s="530" t="str">
        <f t="shared" si="724"/>
        <v/>
      </c>
      <c r="CH436" s="61">
        <f t="shared" si="725"/>
        <v>1</v>
      </c>
      <c r="CI436" s="61">
        <f t="shared" si="726"/>
        <v>0</v>
      </c>
      <c r="CJ436" s="61">
        <f t="shared" si="727"/>
        <v>0</v>
      </c>
      <c r="DK436" s="58" t="str" cm="1">
        <f t="array" ref="DK436">IF(AND($BT436=4,$BX436=4,$BU436=999),$DB$36,_xlfn.IFNA(INDEX(DB$13:DB$70,MATCH(1,($BR436=$CV$13:$CV$70)*($BT436=$CX$13:$CX$70)*($CE436=$CY$13:$CY$70)*($BY436=$DA$13:$DA$70)*($CD436=$DH$13:$DH$70),0)),""))</f>
        <v/>
      </c>
      <c r="DL436" s="58" t="str" cm="1">
        <f t="array" ref="DL436">IF(AND($BT436=4,$BX436=4,$BU436=999),$DC$36,_xlfn.IFNA(INDEX(CHOOSE(DP436,DB$13:DB$70,DC$13:DC$70,DD$13:DD$70,DE$13:DE$70),MATCH(1,($BR436=$CV$13:$CV$70)*($BT436=$CX$13:$CX$70)*($CE436=$CY$13:$CY$70)*($BY436=$DA$13:$DA$70)*($CD436=$DH$13:$DH$70),0)),""))</f>
        <v/>
      </c>
      <c r="DM436" s="740" t="str" cm="1">
        <f t="array" ref="DM436">IF(AND($BT436=4,$BX436=4,$BU436=999),$DD$36,_xlfn.IFNA(INDEX(DD$13:DD$68,MATCH(1,($BR436=$CV$13:$CV$68)*($BT436=$CX$13:$CX$68)*($CE436=$CY$13:$CY$68)*($BY436=$DA$13:$DA$68)*($CD436=$DH$13:$DH$68),0)),""))</f>
        <v/>
      </c>
      <c r="DN436" s="740" t="str" cm="1">
        <f t="array" ref="DN436">IF(AND($BT436=4,$BX436=4,$BU436=999),$DD$36,_xlfn.IFNA(INDEX(DE$13:DE$68,MATCH(1,($BR436=$CV$13:$CV$68)*($BT436=$CX$13:$CX$68)*($CE436=$CY$13:$CY$68)*($BY436=$DA$13:$DA$68)*($CD436=$DH$13:$DH$68),0)),""))</f>
        <v/>
      </c>
      <c r="DO436" s="58" t="str" cm="1">
        <f t="array" ref="DO436">IF(AND($BT436=4,$BX436=4,$BU436=999),$DF$36,_xlfn.IFNA(INDEX(DF$13:DF$70,MATCH(1,($BR436=$CV$13:$CV$70)*($BT436=$CX$13:$CX$70)*($CE436=$CY$13:$CY$70)*($BY436=$DA$13:$DA$70)*($CD436=$DH$13:$DH$70),0)),""))</f>
        <v/>
      </c>
      <c r="DP436" s="58" t="e">
        <f t="shared" si="668"/>
        <v>#N/A</v>
      </c>
      <c r="DW436" s="58" t="s">
        <v>58</v>
      </c>
      <c r="DX436" s="58" t="s">
        <v>555</v>
      </c>
      <c r="DY436" s="58">
        <v>0</v>
      </c>
      <c r="DZ436" s="58">
        <v>0</v>
      </c>
      <c r="EB436" s="58">
        <v>0</v>
      </c>
      <c r="EC436" s="58">
        <v>4</v>
      </c>
      <c r="ED436" s="58">
        <v>999</v>
      </c>
      <c r="EE436" s="58">
        <v>2</v>
      </c>
      <c r="EF436" s="58">
        <v>4</v>
      </c>
      <c r="EI436" s="58" t="s">
        <v>58</v>
      </c>
      <c r="EJ436" s="58" t="s">
        <v>555</v>
      </c>
      <c r="EK436" s="58" t="s">
        <v>578</v>
      </c>
      <c r="EL436" s="58">
        <v>0</v>
      </c>
      <c r="EN436" s="58">
        <v>0</v>
      </c>
      <c r="EO436" s="58">
        <v>4</v>
      </c>
      <c r="EP436" s="58">
        <v>999</v>
      </c>
      <c r="EQ436" s="58">
        <v>2</v>
      </c>
      <c r="ER436" s="58">
        <v>4</v>
      </c>
      <c r="EU436" s="58" t="str">
        <f t="shared" si="728"/>
        <v>No</v>
      </c>
      <c r="EV436" s="58" t="str">
        <f t="shared" si="729"/>
        <v>Time to progression</v>
      </c>
      <c r="EW436" s="58">
        <f t="shared" si="730"/>
        <v>0</v>
      </c>
      <c r="EX436" s="58">
        <f t="shared" si="731"/>
        <v>0</v>
      </c>
      <c r="EZ436" s="58">
        <f t="shared" si="732"/>
        <v>0</v>
      </c>
      <c r="FA436" s="58">
        <f t="shared" si="733"/>
        <v>4</v>
      </c>
      <c r="FB436" s="58">
        <f>IF(i_eff_inputs_based_on_num=2,ED436,(INDEX(Lists!$L$51:$L$85,MATCH(AD317,Lists!$K$51:$K$85,0))))</f>
        <v>999</v>
      </c>
      <c r="FC436" s="58">
        <f>IF(i_eff_inputs_based_on_num=2,EE436,(INDEX(Lists!$L$51:$L$85,MATCH(AE317,Lists!$K$51:$K$85,0))))</f>
        <v>2</v>
      </c>
      <c r="FD436" s="58">
        <f>IF(i_eff_inputs_based_on_num=2,EF436,(INDEX(Lists!$L$51:$L$85,MATCH(AF317,Lists!$K$51:$K$85,0))))</f>
        <v>4</v>
      </c>
      <c r="FG436" s="58" t="str">
        <f t="shared" si="734"/>
        <v>No</v>
      </c>
      <c r="FH436" s="58" t="str">
        <f t="shared" si="735"/>
        <v>Time to progression</v>
      </c>
      <c r="FI436" s="58" t="str">
        <f t="shared" si="736"/>
        <v>Apply HR to</v>
      </c>
      <c r="FJ436" s="58">
        <f t="shared" si="737"/>
        <v>0</v>
      </c>
      <c r="FL436" s="58">
        <f t="shared" si="738"/>
        <v>0</v>
      </c>
      <c r="FM436" s="58">
        <f t="shared" si="739"/>
        <v>4</v>
      </c>
      <c r="FN436" s="58">
        <f>IF(i_eff_inputs_based_on_num=2,EP436,(INDEX(Lists!$L$51:$L$85,MATCH(AD317,Lists!$K$51:$K$85,0))))</f>
        <v>999</v>
      </c>
      <c r="FO436" s="58">
        <f>IF(i_eff_inputs_based_on_num=2,EQ436,(INDEX(Lists!$L$51:$L$85,MATCH(AE317,Lists!$K$51:$K$85,0))))</f>
        <v>2</v>
      </c>
      <c r="FP436" s="58">
        <f>IF(i_eff_inputs_based_on_num=2,ER436,(INDEX(Lists!$L$51:$L$85,MATCH(AF317,Lists!$K$51:$K$85,0))))</f>
        <v>4</v>
      </c>
      <c r="FT436" s="58">
        <f t="shared" si="669"/>
        <v>0</v>
      </c>
      <c r="FW436" s="58">
        <f>IF(i_baseline_risk_from=2,'Effectiveness settings'!EW436,'Effectiveness settings'!FI436)</f>
        <v>0</v>
      </c>
      <c r="FX436" s="58">
        <f t="shared" si="670"/>
        <v>0</v>
      </c>
      <c r="FY436" s="58">
        <f t="shared" si="671"/>
        <v>0</v>
      </c>
      <c r="FZ436" s="58">
        <f t="shared" si="672"/>
        <v>0</v>
      </c>
      <c r="GA436" s="58">
        <f t="shared" si="673"/>
        <v>0</v>
      </c>
      <c r="GB436" s="58">
        <f t="shared" si="674"/>
        <v>0</v>
      </c>
      <c r="GC436" s="58">
        <f t="shared" si="675"/>
        <v>0</v>
      </c>
      <c r="GD436" s="58">
        <f t="shared" si="676"/>
        <v>0</v>
      </c>
      <c r="GE436" s="58">
        <f>IF(AND(dd_CheckMate214_TTD="Yes",'Effectiveness settings'!BU436=2,'Effectiveness settings'!BX436=2),"Apply HR to",GD436)</f>
        <v>0</v>
      </c>
      <c r="GF436" s="58">
        <f t="shared" si="677"/>
        <v>0</v>
      </c>
      <c r="GG436" s="58">
        <f t="shared" si="678"/>
        <v>0</v>
      </c>
      <c r="GH436" s="58">
        <f t="shared" si="679"/>
        <v>0</v>
      </c>
      <c r="GI436" s="58">
        <f t="shared" si="640"/>
        <v>0</v>
      </c>
      <c r="GK436" s="58">
        <f>IF(i_baseline_risk_from=2,'Effectiveness settings'!FA436,'Effectiveness settings'!FM436)</f>
        <v>4</v>
      </c>
      <c r="GL436" s="58">
        <f>IF(i_baseline_risk_from=2,'Effectiveness settings'!FB436,'Effectiveness settings'!FN436)</f>
        <v>999</v>
      </c>
      <c r="GM436" s="58">
        <f>IF(i_baseline_risk_from=2,'Effectiveness settings'!FC436,'Effectiveness settings'!FO436)</f>
        <v>2</v>
      </c>
      <c r="GN436" s="58">
        <f>IF(i_baseline_risk_from=2,'Effectiveness settings'!FD436,'Effectiveness settings'!FP436)</f>
        <v>4</v>
      </c>
      <c r="GQ436" s="58">
        <f t="shared" si="680"/>
        <v>999</v>
      </c>
      <c r="GR436" s="58">
        <f t="shared" si="681"/>
        <v>999</v>
      </c>
      <c r="GS436" s="58">
        <f t="shared" si="682"/>
        <v>999</v>
      </c>
      <c r="GT436" s="58">
        <f t="shared" si="683"/>
        <v>999</v>
      </c>
      <c r="GU436" s="58">
        <f>IF(AND(dd_CheckMate214_TTD="Yes",'Effectiveness settings'!BU436=2,'Effectiveness settings'!BX436=2),2,GT436)</f>
        <v>999</v>
      </c>
      <c r="GV436" s="58">
        <f t="shared" si="684"/>
        <v>999</v>
      </c>
      <c r="GW436" s="58">
        <f t="shared" si="685"/>
        <v>999</v>
      </c>
      <c r="GY436" s="58">
        <f>IF(AND(dd_CheckMate214_TTD="Yes",'Effectiveness settings'!BU436=2,'Effectiveness settings'!BX436=2),1,GN436)</f>
        <v>4</v>
      </c>
      <c r="GZ436" s="58">
        <f t="shared" si="686"/>
        <v>4</v>
      </c>
      <c r="HB436" s="58">
        <f t="shared" si="687"/>
        <v>0</v>
      </c>
      <c r="HD436" s="58">
        <f t="shared" si="635"/>
        <v>0</v>
      </c>
      <c r="HE436" s="58">
        <f t="shared" si="636"/>
        <v>4</v>
      </c>
      <c r="HF436" s="58">
        <f t="shared" si="637"/>
        <v>999</v>
      </c>
      <c r="HG436" s="58">
        <f t="shared" si="638"/>
        <v>2</v>
      </c>
      <c r="HH436" s="58">
        <f t="shared" si="639"/>
        <v>4</v>
      </c>
    </row>
    <row r="437" spans="69:216" ht="15.75" x14ac:dyDescent="0.25">
      <c r="BQ437" s="58">
        <f t="shared" si="667"/>
        <v>266</v>
      </c>
      <c r="BR437" s="61"/>
      <c r="BS437" s="61"/>
      <c r="BT437" s="17"/>
      <c r="BU437" s="61"/>
      <c r="BV437" s="17"/>
      <c r="BW437" s="17"/>
      <c r="BX437" s="61"/>
      <c r="BY437" s="531"/>
      <c r="BZ437" s="530"/>
      <c r="CA437" s="531"/>
      <c r="CB437" s="530"/>
      <c r="CC437" s="530"/>
      <c r="CD437" s="530"/>
      <c r="CE437" s="1295"/>
      <c r="CF437" s="1301"/>
      <c r="CG437" s="530"/>
      <c r="CH437" s="61"/>
      <c r="CI437" s="61"/>
      <c r="CJ437" s="61"/>
      <c r="DK437" s="58" t="str" cm="1">
        <f t="array" ref="DK437">IF(AND($BT437=4,$BX437=4,$BU437=999),$DB$36,_xlfn.IFNA(INDEX(DB$13:DB$70,MATCH(1,($BR437=$CV$13:$CV$70)*($BT437=$CX$13:$CX$70)*($CE437=$CY$13:$CY$70)*($BY437=$DA$13:$DA$70)*($CD437=$DH$13:$DH$70),0)),""))</f>
        <v/>
      </c>
      <c r="DL437" s="58" t="str" cm="1">
        <f t="array" ref="DL437">IF(AND($BT437=4,$BX437=4,$BU437=999),$DC$36,_xlfn.IFNA(INDEX(CHOOSE(DP437,DB$13:DB$70,DC$13:DC$70,DD$13:DD$70,DE$13:DE$70),MATCH(1,($BR437=$CV$13:$CV$70)*($BT437=$CX$13:$CX$70)*($CE437=$CY$13:$CY$70)*($BY437=$DA$13:$DA$70)*($CD437=$DH$13:$DH$70),0)),""))</f>
        <v/>
      </c>
      <c r="DM437" s="740" t="str" cm="1">
        <f t="array" ref="DM437">IF(AND($BT437=4,$BX437=4,$BU437=999),$DD$36,_xlfn.IFNA(INDEX(DD$13:DD$68,MATCH(1,($BR437=$CV$13:$CV$68)*($BT437=$CX$13:$CX$68)*($CE437=$CY$13:$CY$68)*($BY437=$DA$13:$DA$68)*($CD437=$DH$13:$DH$68),0)),""))</f>
        <v/>
      </c>
      <c r="DN437" s="740" t="str" cm="1">
        <f t="array" ref="DN437">IF(AND($BT437=4,$BX437=4,$BU437=999),$DD$36,_xlfn.IFNA(INDEX(DE$13:DE$68,MATCH(1,($BR437=$CV$13:$CV$68)*($BT437=$CX$13:$CX$68)*($CE437=$CY$13:$CY$68)*($BY437=$DA$13:$DA$68)*($CD437=$DH$13:$DH$68),0)),""))</f>
        <v/>
      </c>
      <c r="DO437" s="58" t="str" cm="1">
        <f t="array" ref="DO437">IF(AND($BT437=4,$BX437=4,$BU437=999),$DF$36,_xlfn.IFNA(INDEX(DF$13:DF$70,MATCH(1,($BR437=$CV$13:$CV$70)*($BT437=$CX$13:$CX$70)*($CE437=$CY$13:$CY$70)*($BY437=$DA$13:$DA$70)*($CD437=$DH$13:$DH$70),0)),""))</f>
        <v/>
      </c>
      <c r="DP437" s="58" t="e">
        <f t="shared" si="668"/>
        <v>#N/A</v>
      </c>
      <c r="FT437" s="58">
        <f t="shared" si="669"/>
        <v>0</v>
      </c>
      <c r="FW437" s="58">
        <f>IF(i_baseline_risk_from=2,'Effectiveness settings'!EW437,'Effectiveness settings'!FI437)</f>
        <v>0</v>
      </c>
      <c r="FX437" s="58">
        <f t="shared" si="670"/>
        <v>0</v>
      </c>
      <c r="FY437" s="58">
        <f t="shared" si="671"/>
        <v>0</v>
      </c>
      <c r="FZ437" s="58">
        <f t="shared" si="672"/>
        <v>0</v>
      </c>
      <c r="GA437" s="58">
        <f t="shared" si="673"/>
        <v>0</v>
      </c>
      <c r="GB437" s="58">
        <f t="shared" si="674"/>
        <v>0</v>
      </c>
      <c r="GC437" s="58">
        <f t="shared" si="675"/>
        <v>0</v>
      </c>
      <c r="GD437" s="58">
        <f t="shared" si="676"/>
        <v>0</v>
      </c>
      <c r="GE437" s="58">
        <f>IF(AND(dd_CheckMate214_TTD="Yes",'Effectiveness settings'!BU437=2,'Effectiveness settings'!BX437=2),"Apply HR to",GD437)</f>
        <v>0</v>
      </c>
      <c r="GF437" s="58">
        <f t="shared" si="677"/>
        <v>0</v>
      </c>
      <c r="GG437" s="58">
        <f t="shared" si="678"/>
        <v>0</v>
      </c>
      <c r="GH437" s="58">
        <f t="shared" si="679"/>
        <v>0</v>
      </c>
      <c r="GI437" s="58">
        <f t="shared" si="640"/>
        <v>0</v>
      </c>
      <c r="GK437" s="58">
        <f>IF(i_baseline_risk_from=2,'Effectiveness settings'!FA437,'Effectiveness settings'!FM437)</f>
        <v>0</v>
      </c>
      <c r="GL437" s="58">
        <f>IF(i_baseline_risk_from=2,'Effectiveness settings'!FB437,'Effectiveness settings'!FN437)</f>
        <v>0</v>
      </c>
      <c r="GM437" s="58">
        <f>IF(i_baseline_risk_from=2,'Effectiveness settings'!FC437,'Effectiveness settings'!FO437)</f>
        <v>0</v>
      </c>
      <c r="GN437" s="58">
        <f>IF(i_baseline_risk_from=2,'Effectiveness settings'!FD437,'Effectiveness settings'!FP437)</f>
        <v>0</v>
      </c>
      <c r="GQ437" s="58">
        <f t="shared" si="680"/>
        <v>0</v>
      </c>
      <c r="GR437" s="58">
        <f t="shared" si="681"/>
        <v>0</v>
      </c>
      <c r="GS437" s="58">
        <f t="shared" si="682"/>
        <v>0</v>
      </c>
      <c r="GT437" s="58">
        <f t="shared" si="683"/>
        <v>0</v>
      </c>
      <c r="GU437" s="58">
        <f>IF(AND(dd_CheckMate214_TTD="Yes",'Effectiveness settings'!BU437=2,'Effectiveness settings'!BX437=2),2,GT437)</f>
        <v>0</v>
      </c>
      <c r="GV437" s="58">
        <f t="shared" si="684"/>
        <v>0</v>
      </c>
      <c r="GW437" s="58">
        <f t="shared" si="685"/>
        <v>0</v>
      </c>
      <c r="GY437" s="58">
        <f>IF(AND(dd_CheckMate214_TTD="Yes",'Effectiveness settings'!BU437=2,'Effectiveness settings'!BX437=2),1,GN437)</f>
        <v>0</v>
      </c>
      <c r="GZ437" s="58">
        <f t="shared" si="686"/>
        <v>0</v>
      </c>
      <c r="HB437" s="58">
        <f t="shared" si="687"/>
        <v>0</v>
      </c>
      <c r="HD437" s="58">
        <f t="shared" si="635"/>
        <v>0</v>
      </c>
      <c r="HE437" s="58">
        <f t="shared" si="636"/>
        <v>0</v>
      </c>
      <c r="HF437" s="58">
        <f t="shared" si="637"/>
        <v>0</v>
      </c>
      <c r="HG437" s="58">
        <f t="shared" si="638"/>
        <v>0</v>
      </c>
      <c r="HH437" s="58">
        <f t="shared" si="639"/>
        <v>0</v>
      </c>
    </row>
    <row r="438" spans="69:216" ht="15.75" x14ac:dyDescent="0.25">
      <c r="BQ438" s="58">
        <f t="shared" si="667"/>
        <v>267</v>
      </c>
      <c r="BR438" s="61">
        <v>0</v>
      </c>
      <c r="BS438" s="61" t="s">
        <v>31</v>
      </c>
      <c r="BT438" s="17">
        <v>2</v>
      </c>
      <c r="BU438" s="17">
        <v>0</v>
      </c>
      <c r="BV438" s="17" t="str">
        <f t="shared" ref="BV438:BV451" si="742">D319</f>
        <v>nivolumab_monotherapy</v>
      </c>
      <c r="BW438" s="1006" t="str" cm="1">
        <f t="array" ref="BW438">IF(X319="No",X319,INDEX(List_incl_anal_2L_all,IF(BU438=999,35,BU438+1)))</f>
        <v>No</v>
      </c>
      <c r="BX438" s="61">
        <f t="shared" ref="BX438:BX451" si="743">MATCH(BY438,List_eff_endpoints,0)-1</f>
        <v>4</v>
      </c>
      <c r="BY438" s="531" t="str">
        <f>Y319</f>
        <v>Post progression survival</v>
      </c>
      <c r="BZ438" s="530">
        <f t="shared" ref="BZ438:BZ451" si="744">GI438</f>
        <v>0</v>
      </c>
      <c r="CA438" s="531">
        <f>FT438</f>
        <v>0</v>
      </c>
      <c r="CB438" s="530">
        <f t="shared" ref="CB438:CB451" si="745">HD438</f>
        <v>0</v>
      </c>
      <c r="CC438" s="530">
        <f t="shared" ref="CC438:CC451" si="746">HE438</f>
        <v>2</v>
      </c>
      <c r="CD438" s="530">
        <f t="shared" ref="CD438:CD451" si="747">HF438</f>
        <v>999</v>
      </c>
      <c r="CE438" s="1295">
        <f t="shared" ref="CE438:CE451" si="748">HG438</f>
        <v>2</v>
      </c>
      <c r="CF438" s="1301">
        <f t="shared" ref="CF438:CF451" si="749">HH438</f>
        <v>4</v>
      </c>
      <c r="CG438" s="530" t="str">
        <f t="shared" ref="CG438:CG451" si="750">IF(i_surv_cur=1,DK438,DL438)</f>
        <v/>
      </c>
      <c r="CH438" s="61">
        <f t="shared" ref="CH438:CH451" si="751">AH319</f>
        <v>0</v>
      </c>
      <c r="CI438" s="61">
        <f t="shared" ref="CI438:CI451" si="752">AI319</f>
        <v>0</v>
      </c>
      <c r="CJ438" s="61">
        <f t="shared" ref="CJ438:CJ451" si="753">AJ319</f>
        <v>0</v>
      </c>
      <c r="DK438" s="58" t="str" cm="1">
        <f t="array" ref="DK438">IF(AND($BT438=4,$BX438=4,$BU438=999),$DB$36,_xlfn.IFNA(INDEX(DB$13:DB$70,MATCH(1,($BR438=$CV$13:$CV$70)*($BT438=$CX$13:$CX$70)*($CE438=$CY$13:$CY$70)*($BY438=$DA$13:$DA$70)*($CD438=$DH$13:$DH$70),0)),""))</f>
        <v/>
      </c>
      <c r="DL438" s="58" t="str" cm="1">
        <f t="array" ref="DL438">IF(AND($BT438=4,$BX438=4,$BU438=999),$DC$36,_xlfn.IFNA(INDEX(CHOOSE(DP438,DB$13:DB$70,DC$13:DC$70,DD$13:DD$70,DE$13:DE$70),MATCH(1,($BR438=$CV$13:$CV$70)*($BT438=$CX$13:$CX$70)*($CE438=$CY$13:$CY$70)*($BY438=$DA$13:$DA$70)*($CD438=$DH$13:$DH$70),0)),""))</f>
        <v/>
      </c>
      <c r="DM438" s="740" t="str" cm="1">
        <f t="array" ref="DM438">IF(AND($BT438=4,$BX438=4,$BU438=999),$DD$36,_xlfn.IFNA(INDEX(DD$13:DD$68,MATCH(1,($BR438=$CV$13:$CV$68)*($BT438=$CX$13:$CX$68)*($CE438=$CY$13:$CY$68)*($BY438=$DA$13:$DA$68)*($CD438=$DH$13:$DH$68),0)),""))</f>
        <v/>
      </c>
      <c r="DN438" s="740" t="str" cm="1">
        <f t="array" ref="DN438">IF(AND($BT438=4,$BX438=4,$BU438=999),$DD$36,_xlfn.IFNA(INDEX(DE$13:DE$68,MATCH(1,($BR438=$CV$13:$CV$68)*($BT438=$CX$13:$CX$68)*($CE438=$CY$13:$CY$68)*($BY438=$DA$13:$DA$68)*($CD438=$DH$13:$DH$68),0)),""))</f>
        <v/>
      </c>
      <c r="DO438" s="58" t="str" cm="1">
        <f t="array" ref="DO438">IF(AND($BT438=4,$BX438=4,$BU438=999),$DF$36,_xlfn.IFNA(INDEX(DF$13:DF$70,MATCH(1,($BR438=$CV$13:$CV$70)*($BT438=$CX$13:$CX$70)*($CE438=$CY$13:$CY$70)*($BY438=$DA$13:$DA$70)*($CD438=$DH$13:$DH$70),0)),""))</f>
        <v/>
      </c>
      <c r="DP438" s="58" t="e">
        <f t="shared" si="668"/>
        <v>#N/A</v>
      </c>
      <c r="DW438" s="58" t="s">
        <v>58</v>
      </c>
      <c r="DX438" s="58" t="s">
        <v>617</v>
      </c>
      <c r="DY438" s="58">
        <v>0</v>
      </c>
      <c r="DZ438" s="58">
        <v>0</v>
      </c>
      <c r="EB438" s="58">
        <v>0</v>
      </c>
      <c r="EC438" s="58">
        <v>2</v>
      </c>
      <c r="ED438" s="58">
        <v>999</v>
      </c>
      <c r="EE438" s="58">
        <v>2</v>
      </c>
      <c r="EF438" s="58">
        <v>4</v>
      </c>
      <c r="EI438" s="58" t="s">
        <v>58</v>
      </c>
      <c r="EJ438" s="58" t="s">
        <v>617</v>
      </c>
      <c r="EK438" s="58">
        <v>0</v>
      </c>
      <c r="EL438" s="58">
        <v>0</v>
      </c>
      <c r="EN438" s="58">
        <v>0</v>
      </c>
      <c r="EO438" s="58">
        <v>2</v>
      </c>
      <c r="EP438" s="58">
        <v>999</v>
      </c>
      <c r="EQ438" s="58">
        <v>2</v>
      </c>
      <c r="ER438" s="58">
        <v>4</v>
      </c>
      <c r="EU438" s="58" t="str">
        <f t="shared" ref="EU438:EU451" si="754">IF(i_eff_inputs_based_on_num=2,DW438,X319)</f>
        <v>No</v>
      </c>
      <c r="EV438" s="58" t="str">
        <f t="shared" ref="EV438:EV451" si="755">IF(i_eff_inputs_based_on_num=2,DX438,Y319)</f>
        <v xml:space="preserve">Post progression survival </v>
      </c>
      <c r="EW438" s="58">
        <f t="shared" ref="EW438:EW451" si="756">IF(i_eff_inputs_based_on_num=2,DY438,Z319)</f>
        <v>0</v>
      </c>
      <c r="EX438" s="58">
        <f t="shared" ref="EX438:EX451" si="757">IF(i_eff_inputs_based_on_num=2,DZ438,AA319)</f>
        <v>0</v>
      </c>
      <c r="EZ438" s="58">
        <f t="shared" ref="EZ438:EZ451" si="758">IF(i_eff_inputs_based_on_num=2,EB438,VLOOKUP(AB319,r_pld_lookup_line,3,FALSE))</f>
        <v>0</v>
      </c>
      <c r="FA438" s="58">
        <f t="shared" ref="FA438:FA451" si="759">IF(i_eff_inputs_based_on_num=2,EC438,VLOOKUP(AC319,r_pld_lookup_line,3,FALSE))</f>
        <v>2</v>
      </c>
      <c r="FB438" s="58">
        <f>IF(i_eff_inputs_based_on_num=2,ED438,(INDEX(Lists!$L$51:$L$85,MATCH(AD319,Lists!$K$51:$K$85,0))))</f>
        <v>999</v>
      </c>
      <c r="FC438" s="58">
        <f>IF(i_eff_inputs_based_on_num=2,EE438,(INDEX(Lists!$L$51:$L$85,MATCH(AE319,Lists!$K$51:$K$85,0))))</f>
        <v>2</v>
      </c>
      <c r="FD438" s="58">
        <f>IF(i_eff_inputs_based_on_num=2,EF438,(INDEX(Lists!$L$51:$L$85,MATCH(AF319,Lists!$K$51:$K$85,0))))</f>
        <v>4</v>
      </c>
      <c r="FG438" s="58" t="str">
        <f t="shared" ref="FG438:FG451" si="760">IF(i_eff_inputs_based_on_num=2,EI438,X319)</f>
        <v>No</v>
      </c>
      <c r="FH438" s="58" t="str">
        <f t="shared" ref="FH438:FH451" si="761">IF(i_eff_inputs_based_on_num=2,EJ438,Y319)</f>
        <v xml:space="preserve">Post progression survival </v>
      </c>
      <c r="FI438" s="58">
        <f t="shared" ref="FI438:FI451" si="762">IF(i_eff_inputs_based_on_num=2,EK438,Z319)</f>
        <v>0</v>
      </c>
      <c r="FJ438" s="58">
        <f t="shared" ref="FJ438:FJ451" si="763">IF(i_eff_inputs_based_on_num=2,EL438,AA319)</f>
        <v>0</v>
      </c>
      <c r="FL438" s="58">
        <f t="shared" ref="FL438:FL451" si="764">IF(i_eff_inputs_based_on_num=2,EN438,VLOOKUP(AB319,r_pld_lookup_line,3,FALSE))</f>
        <v>0</v>
      </c>
      <c r="FM438" s="58">
        <f t="shared" ref="FM438:FM451" si="765">IF(i_eff_inputs_based_on_num=2,EO438,VLOOKUP(AC319,r_pld_lookup_line,3,FALSE))</f>
        <v>2</v>
      </c>
      <c r="FN438" s="58">
        <f>IF(i_eff_inputs_based_on_num=2,EP438,(INDEX(Lists!$L$51:$L$85,MATCH(AD319,Lists!$K$51:$K$85,0))))</f>
        <v>999</v>
      </c>
      <c r="FO438" s="58">
        <f>IF(i_eff_inputs_based_on_num=2,EQ438,(INDEX(Lists!$L$51:$L$85,MATCH(AE319,Lists!$K$51:$K$85,0))))</f>
        <v>2</v>
      </c>
      <c r="FP438" s="58">
        <f>IF(i_eff_inputs_based_on_num=2,ER438,(INDEX(Lists!$L$51:$L$85,MATCH(AF319,Lists!$K$51:$K$85,0))))</f>
        <v>4</v>
      </c>
      <c r="FT438" s="58">
        <f t="shared" si="669"/>
        <v>0</v>
      </c>
      <c r="FW438" s="58">
        <f>IF(i_baseline_risk_from=2,'Effectiveness settings'!EW438,'Effectiveness settings'!FI438)</f>
        <v>0</v>
      </c>
      <c r="FX438" s="58">
        <f t="shared" si="670"/>
        <v>0</v>
      </c>
      <c r="FY438" s="58">
        <f t="shared" si="671"/>
        <v>0</v>
      </c>
      <c r="FZ438" s="58">
        <f t="shared" si="672"/>
        <v>0</v>
      </c>
      <c r="GA438" s="58">
        <f t="shared" si="673"/>
        <v>0</v>
      </c>
      <c r="GB438" s="58">
        <f t="shared" si="674"/>
        <v>0</v>
      </c>
      <c r="GC438" s="58">
        <f t="shared" si="675"/>
        <v>0</v>
      </c>
      <c r="GD438" s="58">
        <f t="shared" si="676"/>
        <v>0</v>
      </c>
      <c r="GE438" s="58">
        <f>IF(AND(dd_CheckMate214_TTD="Yes",'Effectiveness settings'!BU438=2,'Effectiveness settings'!BX438=2),"Apply HR to",GD438)</f>
        <v>0</v>
      </c>
      <c r="GF438" s="58">
        <f t="shared" si="677"/>
        <v>0</v>
      </c>
      <c r="GG438" s="58">
        <f t="shared" si="678"/>
        <v>0</v>
      </c>
      <c r="GH438" s="58">
        <f t="shared" si="679"/>
        <v>0</v>
      </c>
      <c r="GI438" s="58">
        <f t="shared" si="640"/>
        <v>0</v>
      </c>
      <c r="GK438" s="58">
        <f>IF(i_baseline_risk_from=2,'Effectiveness settings'!FA438,'Effectiveness settings'!FM438)</f>
        <v>2</v>
      </c>
      <c r="GL438" s="58">
        <f>IF(i_baseline_risk_from=2,'Effectiveness settings'!FB438,'Effectiveness settings'!FN438)</f>
        <v>999</v>
      </c>
      <c r="GM438" s="58">
        <f>IF(i_baseline_risk_from=2,'Effectiveness settings'!FC438,'Effectiveness settings'!FO438)</f>
        <v>2</v>
      </c>
      <c r="GN438" s="58">
        <f>IF(i_baseline_risk_from=2,'Effectiveness settings'!FD438,'Effectiveness settings'!FP438)</f>
        <v>4</v>
      </c>
      <c r="GQ438" s="58">
        <f t="shared" si="680"/>
        <v>999</v>
      </c>
      <c r="GR438" s="58">
        <f t="shared" si="681"/>
        <v>999</v>
      </c>
      <c r="GS438" s="58">
        <f t="shared" si="682"/>
        <v>999</v>
      </c>
      <c r="GT438" s="58">
        <f t="shared" si="683"/>
        <v>999</v>
      </c>
      <c r="GU438" s="58">
        <f>IF(AND(dd_CheckMate214_TTD="Yes",'Effectiveness settings'!BU438=2,'Effectiveness settings'!BX438=2),2,GT438)</f>
        <v>999</v>
      </c>
      <c r="GV438" s="58">
        <f t="shared" si="684"/>
        <v>999</v>
      </c>
      <c r="GW438" s="58">
        <f t="shared" si="685"/>
        <v>999</v>
      </c>
      <c r="GY438" s="58">
        <f>IF(AND(dd_CheckMate214_TTD="Yes",'Effectiveness settings'!BU438=2,'Effectiveness settings'!BX438=2),1,GN438)</f>
        <v>4</v>
      </c>
      <c r="GZ438" s="58">
        <f t="shared" si="686"/>
        <v>4</v>
      </c>
      <c r="HB438" s="58">
        <f t="shared" si="687"/>
        <v>0</v>
      </c>
      <c r="HD438" s="58">
        <f t="shared" si="635"/>
        <v>0</v>
      </c>
      <c r="HE438" s="58">
        <f t="shared" si="636"/>
        <v>2</v>
      </c>
      <c r="HF438" s="58">
        <f t="shared" si="637"/>
        <v>999</v>
      </c>
      <c r="HG438" s="58">
        <f t="shared" si="638"/>
        <v>2</v>
      </c>
      <c r="HH438" s="58">
        <f t="shared" si="639"/>
        <v>4</v>
      </c>
    </row>
    <row r="439" spans="69:216" ht="15.75" x14ac:dyDescent="0.25">
      <c r="BQ439" s="58">
        <f t="shared" si="667"/>
        <v>268</v>
      </c>
      <c r="BR439" s="61">
        <v>0</v>
      </c>
      <c r="BS439" s="61" t="s">
        <v>31</v>
      </c>
      <c r="BT439" s="17">
        <v>2</v>
      </c>
      <c r="BU439" s="17">
        <v>1</v>
      </c>
      <c r="BV439" s="17" t="str">
        <f t="shared" si="742"/>
        <v>cabozantinib_plus_nivolumab</v>
      </c>
      <c r="BW439" s="1006" t="str" cm="1">
        <f t="array" ref="BW439">IF(X320="No",X320,INDEX(List_incl_anal_2L_all,IF(BU439=999,35,BU439+1)))</f>
        <v>No</v>
      </c>
      <c r="BX439" s="61">
        <f t="shared" si="743"/>
        <v>4</v>
      </c>
      <c r="BY439" s="531" t="str">
        <f>Y320</f>
        <v>Post progression survival</v>
      </c>
      <c r="BZ439" s="530">
        <f t="shared" si="744"/>
        <v>0</v>
      </c>
      <c r="CA439" s="531">
        <f t="shared" ref="CA439:CA451" si="766">FT439</f>
        <v>0</v>
      </c>
      <c r="CB439" s="530">
        <f t="shared" si="745"/>
        <v>0</v>
      </c>
      <c r="CC439" s="530">
        <f t="shared" si="746"/>
        <v>2</v>
      </c>
      <c r="CD439" s="530">
        <f t="shared" si="747"/>
        <v>999</v>
      </c>
      <c r="CE439" s="1295">
        <f t="shared" si="748"/>
        <v>2</v>
      </c>
      <c r="CF439" s="1301">
        <f t="shared" si="749"/>
        <v>4</v>
      </c>
      <c r="CG439" s="530" t="str">
        <f t="shared" si="750"/>
        <v/>
      </c>
      <c r="CH439" s="61">
        <f t="shared" si="751"/>
        <v>0</v>
      </c>
      <c r="CI439" s="61">
        <f t="shared" si="752"/>
        <v>0</v>
      </c>
      <c r="CJ439" s="61">
        <f t="shared" si="753"/>
        <v>0</v>
      </c>
      <c r="DK439" s="58" t="str" cm="1">
        <f t="array" ref="DK439">IF(AND($BT439=4,$BX439=4,$BU439=999),$DB$36,_xlfn.IFNA(INDEX(DB$13:DB$70,MATCH(1,($BR439=$CV$13:$CV$70)*($BT439=$CX$13:$CX$70)*($CE439=$CY$13:$CY$70)*($BY439=$DA$13:$DA$70)*($CD439=$DH$13:$DH$70),0)),""))</f>
        <v/>
      </c>
      <c r="DL439" s="58" t="str" cm="1">
        <f t="array" ref="DL439">IF(AND($BT439=4,$BX439=4,$BU439=999),$DC$36,_xlfn.IFNA(INDEX(CHOOSE(DP439,DB$13:DB$70,DC$13:DC$70,DD$13:DD$70,DE$13:DE$70),MATCH(1,($BR439=$CV$13:$CV$70)*($BT439=$CX$13:$CX$70)*($CE439=$CY$13:$CY$70)*($BY439=$DA$13:$DA$70)*($CD439=$DH$13:$DH$70),0)),""))</f>
        <v/>
      </c>
      <c r="DM439" s="740" t="str" cm="1">
        <f t="array" ref="DM439">IF(AND($BT439=4,$BX439=4,$BU439=999),$DD$36,_xlfn.IFNA(INDEX(DD$13:DD$68,MATCH(1,($BR439=$CV$13:$CV$68)*($BT439=$CX$13:$CX$68)*($CE439=$CY$13:$CY$68)*($BY439=$DA$13:$DA$68)*($CD439=$DH$13:$DH$68),0)),""))</f>
        <v/>
      </c>
      <c r="DN439" s="740" t="str" cm="1">
        <f t="array" ref="DN439">IF(AND($BT439=4,$BX439=4,$BU439=999),$DD$36,_xlfn.IFNA(INDEX(DE$13:DE$68,MATCH(1,($BR439=$CV$13:$CV$68)*($BT439=$CX$13:$CX$68)*($CE439=$CY$13:$CY$68)*($BY439=$DA$13:$DA$68)*($CD439=$DH$13:$DH$68),0)),""))</f>
        <v/>
      </c>
      <c r="DO439" s="58" t="str" cm="1">
        <f t="array" ref="DO439">IF(AND($BT439=4,$BX439=4,$BU439=999),$DF$36,_xlfn.IFNA(INDEX(DF$13:DF$70,MATCH(1,($BR439=$CV$13:$CV$70)*($BT439=$CX$13:$CX$70)*($CE439=$CY$13:$CY$70)*($BY439=$DA$13:$DA$70)*($CD439=$DH$13:$DH$70),0)),""))</f>
        <v/>
      </c>
      <c r="DP439" s="58" t="e">
        <f t="shared" si="668"/>
        <v>#N/A</v>
      </c>
      <c r="DW439" s="58" t="s">
        <v>58</v>
      </c>
      <c r="DX439" s="58" t="s">
        <v>617</v>
      </c>
      <c r="DY439" s="58">
        <v>0</v>
      </c>
      <c r="DZ439" s="58">
        <v>0</v>
      </c>
      <c r="EB439" s="58">
        <v>0</v>
      </c>
      <c r="EC439" s="58">
        <v>2</v>
      </c>
      <c r="ED439" s="58">
        <v>999</v>
      </c>
      <c r="EE439" s="58">
        <v>2</v>
      </c>
      <c r="EF439" s="58">
        <v>4</v>
      </c>
      <c r="EI439" s="58" t="s">
        <v>58</v>
      </c>
      <c r="EJ439" s="58" t="s">
        <v>617</v>
      </c>
      <c r="EK439" s="58">
        <v>0</v>
      </c>
      <c r="EL439" s="58">
        <v>0</v>
      </c>
      <c r="EN439" s="58">
        <v>0</v>
      </c>
      <c r="EO439" s="58">
        <v>2</v>
      </c>
      <c r="EP439" s="58">
        <v>999</v>
      </c>
      <c r="EQ439" s="58">
        <v>2</v>
      </c>
      <c r="ER439" s="58">
        <v>4</v>
      </c>
      <c r="EU439" s="58" t="str">
        <f t="shared" si="754"/>
        <v>No</v>
      </c>
      <c r="EV439" s="58" t="str">
        <f t="shared" si="755"/>
        <v xml:space="preserve">Post progression survival </v>
      </c>
      <c r="EW439" s="58">
        <f t="shared" si="756"/>
        <v>0</v>
      </c>
      <c r="EX439" s="58">
        <f t="shared" si="757"/>
        <v>0</v>
      </c>
      <c r="EZ439" s="58">
        <f t="shared" si="758"/>
        <v>0</v>
      </c>
      <c r="FA439" s="58">
        <f t="shared" si="759"/>
        <v>2</v>
      </c>
      <c r="FB439" s="58">
        <f>IF(i_eff_inputs_based_on_num=2,ED439,(INDEX(Lists!$L$51:$L$85,MATCH(AD320,Lists!$K$51:$K$85,0))))</f>
        <v>999</v>
      </c>
      <c r="FC439" s="58">
        <f>IF(i_eff_inputs_based_on_num=2,EE439,(INDEX(Lists!$L$51:$L$85,MATCH(AE320,Lists!$K$51:$K$85,0))))</f>
        <v>2</v>
      </c>
      <c r="FD439" s="58">
        <f>IF(i_eff_inputs_based_on_num=2,EF439,(INDEX(Lists!$L$51:$L$85,MATCH(AF320,Lists!$K$51:$K$85,0))))</f>
        <v>4</v>
      </c>
      <c r="FG439" s="58" t="str">
        <f t="shared" si="760"/>
        <v>No</v>
      </c>
      <c r="FH439" s="58" t="str">
        <f t="shared" si="761"/>
        <v xml:space="preserve">Post progression survival </v>
      </c>
      <c r="FI439" s="58">
        <f t="shared" si="762"/>
        <v>0</v>
      </c>
      <c r="FJ439" s="58">
        <f t="shared" si="763"/>
        <v>0</v>
      </c>
      <c r="FL439" s="58">
        <f t="shared" si="764"/>
        <v>0</v>
      </c>
      <c r="FM439" s="58">
        <f t="shared" si="765"/>
        <v>2</v>
      </c>
      <c r="FN439" s="58">
        <f>IF(i_eff_inputs_based_on_num=2,EP439,(INDEX(Lists!$L$51:$L$85,MATCH(AD320,Lists!$K$51:$K$85,0))))</f>
        <v>999</v>
      </c>
      <c r="FO439" s="58">
        <f>IF(i_eff_inputs_based_on_num=2,EQ439,(INDEX(Lists!$L$51:$L$85,MATCH(AE320,Lists!$K$51:$K$85,0))))</f>
        <v>2</v>
      </c>
      <c r="FP439" s="58">
        <f>IF(i_eff_inputs_based_on_num=2,ER439,(INDEX(Lists!$L$51:$L$85,MATCH(AF320,Lists!$K$51:$K$85,0))))</f>
        <v>4</v>
      </c>
      <c r="FT439" s="58">
        <f t="shared" si="669"/>
        <v>0</v>
      </c>
      <c r="FW439" s="58">
        <f>IF(i_baseline_risk_from=2,'Effectiveness settings'!EW439,'Effectiveness settings'!FI439)</f>
        <v>0</v>
      </c>
      <c r="FX439" s="58">
        <f t="shared" si="670"/>
        <v>0</v>
      </c>
      <c r="FY439" s="58">
        <f t="shared" si="671"/>
        <v>0</v>
      </c>
      <c r="FZ439" s="58">
        <f t="shared" si="672"/>
        <v>0</v>
      </c>
      <c r="GA439" s="58">
        <f t="shared" si="673"/>
        <v>0</v>
      </c>
      <c r="GB439" s="58">
        <f t="shared" si="674"/>
        <v>0</v>
      </c>
      <c r="GC439" s="58">
        <f t="shared" si="675"/>
        <v>0</v>
      </c>
      <c r="GD439" s="58">
        <f t="shared" si="676"/>
        <v>0</v>
      </c>
      <c r="GE439" s="58">
        <f>IF(AND(dd_CheckMate214_TTD="Yes",'Effectiveness settings'!BU439=2,'Effectiveness settings'!BX439=2),"Apply HR to",GD439)</f>
        <v>0</v>
      </c>
      <c r="GF439" s="58">
        <f t="shared" si="677"/>
        <v>0</v>
      </c>
      <c r="GG439" s="58">
        <f t="shared" si="678"/>
        <v>0</v>
      </c>
      <c r="GH439" s="58">
        <f t="shared" si="679"/>
        <v>0</v>
      </c>
      <c r="GI439" s="58">
        <f t="shared" si="640"/>
        <v>0</v>
      </c>
      <c r="GK439" s="58">
        <f>IF(i_baseline_risk_from=2,'Effectiveness settings'!FA439,'Effectiveness settings'!FM439)</f>
        <v>2</v>
      </c>
      <c r="GL439" s="58">
        <f>IF(i_baseline_risk_from=2,'Effectiveness settings'!FB439,'Effectiveness settings'!FN439)</f>
        <v>999</v>
      </c>
      <c r="GM439" s="58">
        <f>IF(i_baseline_risk_from=2,'Effectiveness settings'!FC439,'Effectiveness settings'!FO439)</f>
        <v>2</v>
      </c>
      <c r="GN439" s="58">
        <f>IF(i_baseline_risk_from=2,'Effectiveness settings'!FD439,'Effectiveness settings'!FP439)</f>
        <v>4</v>
      </c>
      <c r="GQ439" s="58">
        <f t="shared" si="680"/>
        <v>999</v>
      </c>
      <c r="GR439" s="58">
        <f t="shared" si="681"/>
        <v>999</v>
      </c>
      <c r="GS439" s="58">
        <f t="shared" si="682"/>
        <v>999</v>
      </c>
      <c r="GT439" s="58">
        <f t="shared" si="683"/>
        <v>999</v>
      </c>
      <c r="GU439" s="58">
        <f>IF(AND(dd_CheckMate214_TTD="Yes",'Effectiveness settings'!BU439=2,'Effectiveness settings'!BX439=2),2,GT439)</f>
        <v>999</v>
      </c>
      <c r="GV439" s="58">
        <f t="shared" si="684"/>
        <v>999</v>
      </c>
      <c r="GW439" s="58">
        <f t="shared" si="685"/>
        <v>999</v>
      </c>
      <c r="GY439" s="58">
        <f>IF(AND(dd_CheckMate214_TTD="Yes",'Effectiveness settings'!BU439=2,'Effectiveness settings'!BX439=2),1,GN439)</f>
        <v>4</v>
      </c>
      <c r="GZ439" s="58">
        <f t="shared" si="686"/>
        <v>4</v>
      </c>
      <c r="HB439" s="58">
        <f t="shared" si="687"/>
        <v>0</v>
      </c>
      <c r="HD439" s="58">
        <f t="shared" si="635"/>
        <v>0</v>
      </c>
      <c r="HE439" s="58">
        <f t="shared" si="636"/>
        <v>2</v>
      </c>
      <c r="HF439" s="58">
        <f t="shared" si="637"/>
        <v>999</v>
      </c>
      <c r="HG439" s="58">
        <f t="shared" si="638"/>
        <v>2</v>
      </c>
      <c r="HH439" s="58">
        <f t="shared" si="639"/>
        <v>4</v>
      </c>
    </row>
    <row r="440" spans="69:216" ht="15.75" x14ac:dyDescent="0.25">
      <c r="BQ440" s="58">
        <f t="shared" si="667"/>
        <v>269</v>
      </c>
      <c r="BR440" s="61">
        <v>0</v>
      </c>
      <c r="BS440" s="61" t="s">
        <v>31</v>
      </c>
      <c r="BT440" s="17">
        <v>2</v>
      </c>
      <c r="BU440" s="17">
        <v>2</v>
      </c>
      <c r="BV440" s="17" t="str">
        <f t="shared" si="742"/>
        <v>nivolumab_plus_ipilimumab</v>
      </c>
      <c r="BW440" s="1006" t="str" cm="1">
        <f t="array" ref="BW440">IF(X321="No",X321,INDEX(List_incl_anal_2L_all,IF(BU440=999,35,BU440+1)))</f>
        <v>No</v>
      </c>
      <c r="BX440" s="61">
        <f t="shared" si="743"/>
        <v>4</v>
      </c>
      <c r="BY440" s="531" t="str">
        <f>Y321</f>
        <v>Post progression survival</v>
      </c>
      <c r="BZ440" s="530">
        <f t="shared" si="744"/>
        <v>0</v>
      </c>
      <c r="CA440" s="531">
        <f t="shared" si="766"/>
        <v>0</v>
      </c>
      <c r="CB440" s="530">
        <f t="shared" si="745"/>
        <v>0</v>
      </c>
      <c r="CC440" s="530">
        <f t="shared" si="746"/>
        <v>2</v>
      </c>
      <c r="CD440" s="530">
        <f t="shared" si="747"/>
        <v>999</v>
      </c>
      <c r="CE440" s="1295">
        <f t="shared" si="748"/>
        <v>2</v>
      </c>
      <c r="CF440" s="1301">
        <f t="shared" si="749"/>
        <v>4</v>
      </c>
      <c r="CG440" s="530" t="str">
        <f t="shared" si="750"/>
        <v/>
      </c>
      <c r="CH440" s="61">
        <f t="shared" si="751"/>
        <v>0</v>
      </c>
      <c r="CI440" s="61">
        <f t="shared" si="752"/>
        <v>0</v>
      </c>
      <c r="CJ440" s="61">
        <f t="shared" si="753"/>
        <v>0</v>
      </c>
      <c r="DK440" s="58" t="str" cm="1">
        <f t="array" ref="DK440">IF(AND($BT440=4,$BX440=4,$BU440=999),$DB$36,_xlfn.IFNA(INDEX(DB$13:DB$70,MATCH(1,($BR440=$CV$13:$CV$70)*($BT440=$CX$13:$CX$70)*($CE440=$CY$13:$CY$70)*($BY440=$DA$13:$DA$70)*($CD440=$DH$13:$DH$70),0)),""))</f>
        <v/>
      </c>
      <c r="DL440" s="58" t="str" cm="1">
        <f t="array" ref="DL440">IF(AND($BT440=4,$BX440=4,$BU440=999),$DC$36,_xlfn.IFNA(INDEX(CHOOSE(DP440,DB$13:DB$70,DC$13:DC$70,DD$13:DD$70,DE$13:DE$70),MATCH(1,($BR440=$CV$13:$CV$70)*($BT440=$CX$13:$CX$70)*($CE440=$CY$13:$CY$70)*($BY440=$DA$13:$DA$70)*($CD440=$DH$13:$DH$70),0)),""))</f>
        <v/>
      </c>
      <c r="DM440" s="740" t="str" cm="1">
        <f t="array" ref="DM440">IF(AND($BT440=4,$BX440=4,$BU440=999),$DD$36,_xlfn.IFNA(INDEX(DD$13:DD$68,MATCH(1,($BR440=$CV$13:$CV$68)*($BT440=$CX$13:$CX$68)*($CE440=$CY$13:$CY$68)*($BY440=$DA$13:$DA$68)*($CD440=$DH$13:$DH$68),0)),""))</f>
        <v/>
      </c>
      <c r="DN440" s="740" t="str" cm="1">
        <f t="array" ref="DN440">IF(AND($BT440=4,$BX440=4,$BU440=999),$DD$36,_xlfn.IFNA(INDEX(DE$13:DE$68,MATCH(1,($BR440=$CV$13:$CV$68)*($BT440=$CX$13:$CX$68)*($CE440=$CY$13:$CY$68)*($BY440=$DA$13:$DA$68)*($CD440=$DH$13:$DH$68),0)),""))</f>
        <v/>
      </c>
      <c r="DO440" s="58" t="str" cm="1">
        <f t="array" ref="DO440">IF(AND($BT440=4,$BX440=4,$BU440=999),$DF$36,_xlfn.IFNA(INDEX(DF$13:DF$70,MATCH(1,($BR440=$CV$13:$CV$70)*($BT440=$CX$13:$CX$70)*($CE440=$CY$13:$CY$70)*($BY440=$DA$13:$DA$70)*($CD440=$DH$13:$DH$70),0)),""))</f>
        <v/>
      </c>
      <c r="DP440" s="58" t="e">
        <f t="shared" si="668"/>
        <v>#N/A</v>
      </c>
      <c r="DW440" s="58" t="s">
        <v>58</v>
      </c>
      <c r="DX440" s="58" t="s">
        <v>617</v>
      </c>
      <c r="DY440" s="58">
        <v>0</v>
      </c>
      <c r="DZ440" s="58">
        <v>0</v>
      </c>
      <c r="EB440" s="58">
        <v>0</v>
      </c>
      <c r="EC440" s="58">
        <v>2</v>
      </c>
      <c r="ED440" s="58">
        <v>999</v>
      </c>
      <c r="EE440" s="58">
        <v>2</v>
      </c>
      <c r="EF440" s="58">
        <v>4</v>
      </c>
      <c r="EI440" s="58" t="s">
        <v>58</v>
      </c>
      <c r="EJ440" s="58" t="s">
        <v>617</v>
      </c>
      <c r="EK440" s="58">
        <v>0</v>
      </c>
      <c r="EL440" s="58">
        <v>0</v>
      </c>
      <c r="EN440" s="58">
        <v>0</v>
      </c>
      <c r="EO440" s="58">
        <v>2</v>
      </c>
      <c r="EP440" s="58">
        <v>999</v>
      </c>
      <c r="EQ440" s="58">
        <v>2</v>
      </c>
      <c r="ER440" s="58">
        <v>4</v>
      </c>
      <c r="EU440" s="58" t="str">
        <f t="shared" si="754"/>
        <v>No</v>
      </c>
      <c r="EV440" s="58" t="str">
        <f t="shared" si="755"/>
        <v xml:space="preserve">Post progression survival </v>
      </c>
      <c r="EW440" s="58">
        <f t="shared" si="756"/>
        <v>0</v>
      </c>
      <c r="EX440" s="58">
        <f t="shared" si="757"/>
        <v>0</v>
      </c>
      <c r="EZ440" s="58">
        <f t="shared" si="758"/>
        <v>0</v>
      </c>
      <c r="FA440" s="58">
        <f t="shared" si="759"/>
        <v>2</v>
      </c>
      <c r="FB440" s="58">
        <f>IF(i_eff_inputs_based_on_num=2,ED440,(INDEX(Lists!$L$51:$L$85,MATCH(AD321,Lists!$K$51:$K$85,0))))</f>
        <v>999</v>
      </c>
      <c r="FC440" s="58">
        <f>IF(i_eff_inputs_based_on_num=2,EE440,(INDEX(Lists!$L$51:$L$85,MATCH(AE321,Lists!$K$51:$K$85,0))))</f>
        <v>2</v>
      </c>
      <c r="FD440" s="58">
        <f>IF(i_eff_inputs_based_on_num=2,EF440,(INDEX(Lists!$L$51:$L$85,MATCH(AF321,Lists!$K$51:$K$85,0))))</f>
        <v>4</v>
      </c>
      <c r="FG440" s="58" t="str">
        <f t="shared" si="760"/>
        <v>No</v>
      </c>
      <c r="FH440" s="58" t="str">
        <f t="shared" si="761"/>
        <v xml:space="preserve">Post progression survival </v>
      </c>
      <c r="FI440" s="58">
        <f t="shared" si="762"/>
        <v>0</v>
      </c>
      <c r="FJ440" s="58">
        <f t="shared" si="763"/>
        <v>0</v>
      </c>
      <c r="FL440" s="58">
        <f t="shared" si="764"/>
        <v>0</v>
      </c>
      <c r="FM440" s="58">
        <f t="shared" si="765"/>
        <v>2</v>
      </c>
      <c r="FN440" s="58">
        <f>IF(i_eff_inputs_based_on_num=2,EP440,(INDEX(Lists!$L$51:$L$85,MATCH(AD321,Lists!$K$51:$K$85,0))))</f>
        <v>999</v>
      </c>
      <c r="FO440" s="58">
        <f>IF(i_eff_inputs_based_on_num=2,EQ440,(INDEX(Lists!$L$51:$L$85,MATCH(AE321,Lists!$K$51:$K$85,0))))</f>
        <v>2</v>
      </c>
      <c r="FP440" s="58">
        <f>IF(i_eff_inputs_based_on_num=2,ER440,(INDEX(Lists!$L$51:$L$85,MATCH(AF321,Lists!$K$51:$K$85,0))))</f>
        <v>4</v>
      </c>
      <c r="FT440" s="58">
        <f t="shared" si="669"/>
        <v>0</v>
      </c>
      <c r="FW440" s="58">
        <f>IF(i_baseline_risk_from=2,'Effectiveness settings'!EW440,'Effectiveness settings'!FI440)</f>
        <v>0</v>
      </c>
      <c r="FX440" s="58">
        <f t="shared" si="670"/>
        <v>0</v>
      </c>
      <c r="FY440" s="58">
        <f t="shared" si="671"/>
        <v>0</v>
      </c>
      <c r="FZ440" s="58">
        <f t="shared" si="672"/>
        <v>0</v>
      </c>
      <c r="GA440" s="58">
        <f t="shared" si="673"/>
        <v>0</v>
      </c>
      <c r="GB440" s="58">
        <f t="shared" si="674"/>
        <v>0</v>
      </c>
      <c r="GC440" s="58">
        <f t="shared" si="675"/>
        <v>0</v>
      </c>
      <c r="GD440" s="58">
        <f t="shared" si="676"/>
        <v>0</v>
      </c>
      <c r="GE440" s="58">
        <f>IF(AND(dd_CheckMate214_TTD="Yes",'Effectiveness settings'!BU440=2,'Effectiveness settings'!BX440=2),"Apply HR to",GD440)</f>
        <v>0</v>
      </c>
      <c r="GF440" s="58">
        <f t="shared" si="677"/>
        <v>0</v>
      </c>
      <c r="GG440" s="58">
        <f t="shared" si="678"/>
        <v>0</v>
      </c>
      <c r="GH440" s="58">
        <f t="shared" si="679"/>
        <v>0</v>
      </c>
      <c r="GI440" s="58">
        <f t="shared" si="640"/>
        <v>0</v>
      </c>
      <c r="GK440" s="58">
        <f>IF(i_baseline_risk_from=2,'Effectiveness settings'!FA440,'Effectiveness settings'!FM440)</f>
        <v>2</v>
      </c>
      <c r="GL440" s="58">
        <f>IF(i_baseline_risk_from=2,'Effectiveness settings'!FB440,'Effectiveness settings'!FN440)</f>
        <v>999</v>
      </c>
      <c r="GM440" s="58">
        <f>IF(i_baseline_risk_from=2,'Effectiveness settings'!FC440,'Effectiveness settings'!FO440)</f>
        <v>2</v>
      </c>
      <c r="GN440" s="58">
        <f>IF(i_baseline_risk_from=2,'Effectiveness settings'!FD440,'Effectiveness settings'!FP440)</f>
        <v>4</v>
      </c>
      <c r="GQ440" s="58">
        <f t="shared" si="680"/>
        <v>999</v>
      </c>
      <c r="GR440" s="58">
        <f t="shared" si="681"/>
        <v>999</v>
      </c>
      <c r="GS440" s="58">
        <f t="shared" si="682"/>
        <v>999</v>
      </c>
      <c r="GT440" s="58">
        <f t="shared" si="683"/>
        <v>999</v>
      </c>
      <c r="GU440" s="58">
        <f>IF(AND(dd_CheckMate214_TTD="Yes",'Effectiveness settings'!BU440=2,'Effectiveness settings'!BX440=2),2,GT440)</f>
        <v>999</v>
      </c>
      <c r="GV440" s="58">
        <f t="shared" si="684"/>
        <v>999</v>
      </c>
      <c r="GW440" s="58">
        <f t="shared" si="685"/>
        <v>999</v>
      </c>
      <c r="GY440" s="58">
        <f>IF(AND(dd_CheckMate214_TTD="Yes",'Effectiveness settings'!BU440=2,'Effectiveness settings'!BX440=2),1,GN440)</f>
        <v>4</v>
      </c>
      <c r="GZ440" s="58">
        <f t="shared" si="686"/>
        <v>4</v>
      </c>
      <c r="HB440" s="58">
        <f t="shared" si="687"/>
        <v>0</v>
      </c>
      <c r="HD440" s="58">
        <f t="shared" si="635"/>
        <v>0</v>
      </c>
      <c r="HE440" s="58">
        <f t="shared" si="636"/>
        <v>2</v>
      </c>
      <c r="HF440" s="58">
        <f t="shared" si="637"/>
        <v>999</v>
      </c>
      <c r="HG440" s="58">
        <f t="shared" si="638"/>
        <v>2</v>
      </c>
      <c r="HH440" s="58">
        <f t="shared" si="639"/>
        <v>4</v>
      </c>
    </row>
    <row r="441" spans="69:216" ht="15.75" x14ac:dyDescent="0.25">
      <c r="BQ441" s="58">
        <f t="shared" si="667"/>
        <v>270</v>
      </c>
      <c r="BR441" s="61">
        <v>0</v>
      </c>
      <c r="BS441" s="61" t="s">
        <v>31</v>
      </c>
      <c r="BT441" s="17">
        <v>2</v>
      </c>
      <c r="BU441" s="17">
        <v>3</v>
      </c>
      <c r="BV441" s="17" t="str">
        <f t="shared" si="742"/>
        <v>lenvatinib_plus_pembrolizumab</v>
      </c>
      <c r="BW441" s="1006" t="str" cm="1">
        <f t="array" ref="BW441">IF(X322="No",X322,INDEX(List_incl_anal_2L_all,IF(BU441=999,35,BU441+1)))</f>
        <v>No</v>
      </c>
      <c r="BX441" s="61">
        <f t="shared" si="743"/>
        <v>4</v>
      </c>
      <c r="BY441" s="531" t="str">
        <f>Y322</f>
        <v>Post progression survival</v>
      </c>
      <c r="BZ441" s="530">
        <f t="shared" si="744"/>
        <v>0</v>
      </c>
      <c r="CA441" s="531">
        <f t="shared" si="766"/>
        <v>0</v>
      </c>
      <c r="CB441" s="530">
        <f t="shared" si="745"/>
        <v>0</v>
      </c>
      <c r="CC441" s="530">
        <f t="shared" si="746"/>
        <v>2</v>
      </c>
      <c r="CD441" s="530">
        <f t="shared" si="747"/>
        <v>999</v>
      </c>
      <c r="CE441" s="1295">
        <f t="shared" si="748"/>
        <v>2</v>
      </c>
      <c r="CF441" s="1301">
        <f t="shared" si="749"/>
        <v>4</v>
      </c>
      <c r="CG441" s="530" t="str">
        <f t="shared" si="750"/>
        <v/>
      </c>
      <c r="CH441" s="61">
        <f t="shared" si="751"/>
        <v>0</v>
      </c>
      <c r="CI441" s="61">
        <f t="shared" si="752"/>
        <v>0</v>
      </c>
      <c r="CJ441" s="61">
        <f t="shared" si="753"/>
        <v>0</v>
      </c>
      <c r="DK441" s="58" t="str" cm="1">
        <f t="array" ref="DK441">IF(AND($BT441=4,$BX441=4,$BU441=999),$DB$36,_xlfn.IFNA(INDEX(DB$13:DB$70,MATCH(1,($BR441=$CV$13:$CV$70)*($BT441=$CX$13:$CX$70)*($CE441=$CY$13:$CY$70)*($BY441=$DA$13:$DA$70)*($CD441=$DH$13:$DH$70),0)),""))</f>
        <v/>
      </c>
      <c r="DL441" s="58" t="str" cm="1">
        <f t="array" ref="DL441">IF(AND($BT441=4,$BX441=4,$BU441=999),$DC$36,_xlfn.IFNA(INDEX(CHOOSE(DP441,DB$13:DB$70,DC$13:DC$70,DD$13:DD$70,DE$13:DE$70),MATCH(1,($BR441=$CV$13:$CV$70)*($BT441=$CX$13:$CX$70)*($CE441=$CY$13:$CY$70)*($BY441=$DA$13:$DA$70)*($CD441=$DH$13:$DH$70),0)),""))</f>
        <v/>
      </c>
      <c r="DM441" s="740" t="str" cm="1">
        <f t="array" ref="DM441">IF(AND($BT441=4,$BX441=4,$BU441=999),$DD$36,_xlfn.IFNA(INDEX(DD$13:DD$68,MATCH(1,($BR441=$CV$13:$CV$68)*($BT441=$CX$13:$CX$68)*($CE441=$CY$13:$CY$68)*($BY441=$DA$13:$DA$68)*($CD441=$DH$13:$DH$68),0)),""))</f>
        <v/>
      </c>
      <c r="DN441" s="740" t="str" cm="1">
        <f t="array" ref="DN441">IF(AND($BT441=4,$BX441=4,$BU441=999),$DD$36,_xlfn.IFNA(INDEX(DE$13:DE$68,MATCH(1,($BR441=$CV$13:$CV$68)*($BT441=$CX$13:$CX$68)*($CE441=$CY$13:$CY$68)*($BY441=$DA$13:$DA$68)*($CD441=$DH$13:$DH$68),0)),""))</f>
        <v/>
      </c>
      <c r="DO441" s="58" t="str" cm="1">
        <f t="array" ref="DO441">IF(AND($BT441=4,$BX441=4,$BU441=999),$DF$36,_xlfn.IFNA(INDEX(DF$13:DF$70,MATCH(1,($BR441=$CV$13:$CV$70)*($BT441=$CX$13:$CX$70)*($CE441=$CY$13:$CY$70)*($BY441=$DA$13:$DA$70)*($CD441=$DH$13:$DH$70),0)),""))</f>
        <v/>
      </c>
      <c r="DP441" s="58" t="e">
        <f t="shared" si="668"/>
        <v>#N/A</v>
      </c>
      <c r="DW441" s="58" t="s">
        <v>58</v>
      </c>
      <c r="DX441" s="58" t="s">
        <v>617</v>
      </c>
      <c r="DY441" s="58">
        <v>0</v>
      </c>
      <c r="DZ441" s="58">
        <v>0</v>
      </c>
      <c r="EB441" s="58">
        <v>0</v>
      </c>
      <c r="EC441" s="58">
        <v>2</v>
      </c>
      <c r="ED441" s="58">
        <v>999</v>
      </c>
      <c r="EE441" s="58">
        <v>2</v>
      </c>
      <c r="EF441" s="58">
        <v>4</v>
      </c>
      <c r="EI441" s="58" t="s">
        <v>58</v>
      </c>
      <c r="EJ441" s="58" t="s">
        <v>617</v>
      </c>
      <c r="EK441" s="58">
        <v>0</v>
      </c>
      <c r="EL441" s="58">
        <v>0</v>
      </c>
      <c r="EN441" s="58">
        <v>0</v>
      </c>
      <c r="EO441" s="58">
        <v>2</v>
      </c>
      <c r="EP441" s="58">
        <v>999</v>
      </c>
      <c r="EQ441" s="58">
        <v>2</v>
      </c>
      <c r="ER441" s="58">
        <v>4</v>
      </c>
      <c r="EU441" s="58" t="str">
        <f t="shared" si="754"/>
        <v>No</v>
      </c>
      <c r="EV441" s="58" t="str">
        <f t="shared" si="755"/>
        <v xml:space="preserve">Post progression survival </v>
      </c>
      <c r="EW441" s="58">
        <f t="shared" si="756"/>
        <v>0</v>
      </c>
      <c r="EX441" s="58">
        <f t="shared" si="757"/>
        <v>0</v>
      </c>
      <c r="EZ441" s="58">
        <f t="shared" si="758"/>
        <v>0</v>
      </c>
      <c r="FA441" s="58">
        <f t="shared" si="759"/>
        <v>2</v>
      </c>
      <c r="FB441" s="58">
        <f>IF(i_eff_inputs_based_on_num=2,ED441,(INDEX(Lists!$L$51:$L$85,MATCH(AD322,Lists!$K$51:$K$85,0))))</f>
        <v>999</v>
      </c>
      <c r="FC441" s="58">
        <f>IF(i_eff_inputs_based_on_num=2,EE441,(INDEX(Lists!$L$51:$L$85,MATCH(AE322,Lists!$K$51:$K$85,0))))</f>
        <v>2</v>
      </c>
      <c r="FD441" s="58">
        <f>IF(i_eff_inputs_based_on_num=2,EF441,(INDEX(Lists!$L$51:$L$85,MATCH(AF322,Lists!$K$51:$K$85,0))))</f>
        <v>4</v>
      </c>
      <c r="FG441" s="58" t="str">
        <f t="shared" si="760"/>
        <v>No</v>
      </c>
      <c r="FH441" s="58" t="str">
        <f t="shared" si="761"/>
        <v xml:space="preserve">Post progression survival </v>
      </c>
      <c r="FI441" s="58">
        <f t="shared" si="762"/>
        <v>0</v>
      </c>
      <c r="FJ441" s="58">
        <f t="shared" si="763"/>
        <v>0</v>
      </c>
      <c r="FL441" s="58">
        <f t="shared" si="764"/>
        <v>0</v>
      </c>
      <c r="FM441" s="58">
        <f t="shared" si="765"/>
        <v>2</v>
      </c>
      <c r="FN441" s="58">
        <f>IF(i_eff_inputs_based_on_num=2,EP441,(INDEX(Lists!$L$51:$L$85,MATCH(AD322,Lists!$K$51:$K$85,0))))</f>
        <v>999</v>
      </c>
      <c r="FO441" s="58">
        <f>IF(i_eff_inputs_based_on_num=2,EQ441,(INDEX(Lists!$L$51:$L$85,MATCH(AE322,Lists!$K$51:$K$85,0))))</f>
        <v>2</v>
      </c>
      <c r="FP441" s="58">
        <f>IF(i_eff_inputs_based_on_num=2,ER441,(INDEX(Lists!$L$51:$L$85,MATCH(AF322,Lists!$K$51:$K$85,0))))</f>
        <v>4</v>
      </c>
      <c r="FT441" s="58">
        <f t="shared" si="669"/>
        <v>0</v>
      </c>
      <c r="FW441" s="58">
        <f>IF(i_baseline_risk_from=2,'Effectiveness settings'!EW441,'Effectiveness settings'!FI441)</f>
        <v>0</v>
      </c>
      <c r="FX441" s="58">
        <f t="shared" si="670"/>
        <v>0</v>
      </c>
      <c r="FY441" s="58">
        <f t="shared" si="671"/>
        <v>0</v>
      </c>
      <c r="FZ441" s="58">
        <f t="shared" si="672"/>
        <v>0</v>
      </c>
      <c r="GA441" s="58">
        <f t="shared" si="673"/>
        <v>0</v>
      </c>
      <c r="GB441" s="58">
        <f t="shared" si="674"/>
        <v>0</v>
      </c>
      <c r="GC441" s="58">
        <f t="shared" si="675"/>
        <v>0</v>
      </c>
      <c r="GD441" s="58">
        <f t="shared" si="676"/>
        <v>0</v>
      </c>
      <c r="GE441" s="58">
        <f>IF(AND(dd_CheckMate214_TTD="Yes",'Effectiveness settings'!BU441=2,'Effectiveness settings'!BX441=2),"Apply HR to",GD441)</f>
        <v>0</v>
      </c>
      <c r="GF441" s="58">
        <f t="shared" si="677"/>
        <v>0</v>
      </c>
      <c r="GG441" s="58">
        <f t="shared" si="678"/>
        <v>0</v>
      </c>
      <c r="GH441" s="58">
        <f t="shared" si="679"/>
        <v>0</v>
      </c>
      <c r="GI441" s="58">
        <f t="shared" si="640"/>
        <v>0</v>
      </c>
      <c r="GK441" s="58">
        <f>IF(i_baseline_risk_from=2,'Effectiveness settings'!FA441,'Effectiveness settings'!FM441)</f>
        <v>2</v>
      </c>
      <c r="GL441" s="58">
        <f>IF(i_baseline_risk_from=2,'Effectiveness settings'!FB441,'Effectiveness settings'!FN441)</f>
        <v>999</v>
      </c>
      <c r="GM441" s="58">
        <f>IF(i_baseline_risk_from=2,'Effectiveness settings'!FC441,'Effectiveness settings'!FO441)</f>
        <v>2</v>
      </c>
      <c r="GN441" s="58">
        <f>IF(i_baseline_risk_from=2,'Effectiveness settings'!FD441,'Effectiveness settings'!FP441)</f>
        <v>4</v>
      </c>
      <c r="GQ441" s="58">
        <f t="shared" si="680"/>
        <v>999</v>
      </c>
      <c r="GR441" s="58">
        <f t="shared" si="681"/>
        <v>999</v>
      </c>
      <c r="GS441" s="58">
        <f t="shared" si="682"/>
        <v>999</v>
      </c>
      <c r="GT441" s="58">
        <f t="shared" si="683"/>
        <v>999</v>
      </c>
      <c r="GU441" s="58">
        <f>IF(AND(dd_CheckMate214_TTD="Yes",'Effectiveness settings'!BU441=2,'Effectiveness settings'!BX441=2),2,GT441)</f>
        <v>999</v>
      </c>
      <c r="GV441" s="58">
        <f t="shared" si="684"/>
        <v>999</v>
      </c>
      <c r="GW441" s="58">
        <f t="shared" si="685"/>
        <v>999</v>
      </c>
      <c r="GY441" s="58">
        <f>IF(AND(dd_CheckMate214_TTD="Yes",'Effectiveness settings'!BU441=2,'Effectiveness settings'!BX441=2),1,GN441)</f>
        <v>4</v>
      </c>
      <c r="GZ441" s="58">
        <f t="shared" si="686"/>
        <v>4</v>
      </c>
      <c r="HB441" s="58">
        <f t="shared" si="687"/>
        <v>0</v>
      </c>
      <c r="HD441" s="58">
        <f t="shared" si="635"/>
        <v>0</v>
      </c>
      <c r="HE441" s="58">
        <f t="shared" si="636"/>
        <v>2</v>
      </c>
      <c r="HF441" s="58">
        <f t="shared" si="637"/>
        <v>999</v>
      </c>
      <c r="HG441" s="58">
        <f t="shared" si="638"/>
        <v>2</v>
      </c>
      <c r="HH441" s="58">
        <f t="shared" si="639"/>
        <v>4</v>
      </c>
    </row>
    <row r="442" spans="69:216" ht="15.75" x14ac:dyDescent="0.25">
      <c r="BQ442" s="58">
        <f t="shared" si="667"/>
        <v>271</v>
      </c>
      <c r="BR442" s="61">
        <v>0</v>
      </c>
      <c r="BS442" s="61" t="s">
        <v>31</v>
      </c>
      <c r="BT442" s="17">
        <v>2</v>
      </c>
      <c r="BU442" s="17">
        <v>4</v>
      </c>
      <c r="BV442" s="17" t="str">
        <f t="shared" si="742"/>
        <v>avelumab_plus_axitinib</v>
      </c>
      <c r="BW442" s="1006" t="str" cm="1">
        <f t="array" ref="BW442">IF(X323="No",X323,INDEX(List_incl_anal_2L_all,IF(BU442=999,35,BU442+1)))</f>
        <v>No</v>
      </c>
      <c r="BX442" s="61">
        <f t="shared" si="743"/>
        <v>4</v>
      </c>
      <c r="BY442" s="531" t="str">
        <f>Y323</f>
        <v>Post progression survival</v>
      </c>
      <c r="BZ442" s="530">
        <f t="shared" si="744"/>
        <v>0</v>
      </c>
      <c r="CA442" s="531">
        <f t="shared" si="766"/>
        <v>0</v>
      </c>
      <c r="CB442" s="530">
        <f t="shared" si="745"/>
        <v>0</v>
      </c>
      <c r="CC442" s="530">
        <f t="shared" si="746"/>
        <v>2</v>
      </c>
      <c r="CD442" s="530">
        <f t="shared" si="747"/>
        <v>999</v>
      </c>
      <c r="CE442" s="1295">
        <f t="shared" si="748"/>
        <v>2</v>
      </c>
      <c r="CF442" s="1301">
        <f t="shared" si="749"/>
        <v>4</v>
      </c>
      <c r="CG442" s="530" t="str">
        <f t="shared" si="750"/>
        <v/>
      </c>
      <c r="CH442" s="61">
        <f t="shared" si="751"/>
        <v>0</v>
      </c>
      <c r="CI442" s="61">
        <f t="shared" si="752"/>
        <v>0</v>
      </c>
      <c r="CJ442" s="61">
        <f t="shared" si="753"/>
        <v>0</v>
      </c>
      <c r="DK442" s="58" t="str" cm="1">
        <f t="array" ref="DK442">IF(AND($BT442=4,$BX442=4,$BU442=999),$DB$36,_xlfn.IFNA(INDEX(DB$13:DB$70,MATCH(1,($BR442=$CV$13:$CV$70)*($BT442=$CX$13:$CX$70)*($CE442=$CY$13:$CY$70)*($BY442=$DA$13:$DA$70)*($CD442=$DH$13:$DH$70),0)),""))</f>
        <v/>
      </c>
      <c r="DL442" s="58" t="str" cm="1">
        <f t="array" ref="DL442">IF(AND($BT442=4,$BX442=4,$BU442=999),$DC$36,_xlfn.IFNA(INDEX(CHOOSE(DP442,DB$13:DB$70,DC$13:DC$70,DD$13:DD$70,DE$13:DE$70),MATCH(1,($BR442=$CV$13:$CV$70)*($BT442=$CX$13:$CX$70)*($CE442=$CY$13:$CY$70)*($BY442=$DA$13:$DA$70)*($CD442=$DH$13:$DH$70),0)),""))</f>
        <v/>
      </c>
      <c r="DM442" s="740" t="str" cm="1">
        <f t="array" ref="DM442">IF(AND($BT442=4,$BX442=4,$BU442=999),$DD$36,_xlfn.IFNA(INDEX(DD$13:DD$68,MATCH(1,($BR442=$CV$13:$CV$68)*($BT442=$CX$13:$CX$68)*($CE442=$CY$13:$CY$68)*($BY442=$DA$13:$DA$68)*($CD442=$DH$13:$DH$68),0)),""))</f>
        <v/>
      </c>
      <c r="DN442" s="740" t="str" cm="1">
        <f t="array" ref="DN442">IF(AND($BT442=4,$BX442=4,$BU442=999),$DD$36,_xlfn.IFNA(INDEX(DE$13:DE$68,MATCH(1,($BR442=$CV$13:$CV$68)*($BT442=$CX$13:$CX$68)*($CE442=$CY$13:$CY$68)*($BY442=$DA$13:$DA$68)*($CD442=$DH$13:$DH$68),0)),""))</f>
        <v/>
      </c>
      <c r="DO442" s="58" t="str" cm="1">
        <f t="array" ref="DO442">IF(AND($BT442=4,$BX442=4,$BU442=999),$DF$36,_xlfn.IFNA(INDEX(DF$13:DF$70,MATCH(1,($BR442=$CV$13:$CV$70)*($BT442=$CX$13:$CX$70)*($CE442=$CY$13:$CY$70)*($BY442=$DA$13:$DA$70)*($CD442=$DH$13:$DH$70),0)),""))</f>
        <v/>
      </c>
      <c r="DP442" s="58" t="e">
        <f t="shared" si="668"/>
        <v>#N/A</v>
      </c>
      <c r="DW442" s="58" t="s">
        <v>58</v>
      </c>
      <c r="DX442" s="58" t="s">
        <v>617</v>
      </c>
      <c r="DY442" s="58">
        <v>0</v>
      </c>
      <c r="DZ442" s="58">
        <v>0</v>
      </c>
      <c r="EB442" s="58">
        <v>0</v>
      </c>
      <c r="EC442" s="58">
        <v>2</v>
      </c>
      <c r="ED442" s="58">
        <v>999</v>
      </c>
      <c r="EE442" s="58">
        <v>2</v>
      </c>
      <c r="EF442" s="58">
        <v>4</v>
      </c>
      <c r="EI442" s="58" t="s">
        <v>58</v>
      </c>
      <c r="EJ442" s="58" t="s">
        <v>617</v>
      </c>
      <c r="EK442" s="58">
        <v>0</v>
      </c>
      <c r="EL442" s="58">
        <v>0</v>
      </c>
      <c r="EN442" s="58">
        <v>0</v>
      </c>
      <c r="EO442" s="58">
        <v>2</v>
      </c>
      <c r="EP442" s="58">
        <v>999</v>
      </c>
      <c r="EQ442" s="58">
        <v>2</v>
      </c>
      <c r="ER442" s="58">
        <v>4</v>
      </c>
      <c r="EU442" s="58" t="str">
        <f t="shared" si="754"/>
        <v>No</v>
      </c>
      <c r="EV442" s="58" t="str">
        <f t="shared" si="755"/>
        <v xml:space="preserve">Post progression survival </v>
      </c>
      <c r="EW442" s="58">
        <f t="shared" si="756"/>
        <v>0</v>
      </c>
      <c r="EX442" s="58">
        <f t="shared" si="757"/>
        <v>0</v>
      </c>
      <c r="EZ442" s="58">
        <f t="shared" si="758"/>
        <v>0</v>
      </c>
      <c r="FA442" s="58">
        <f t="shared" si="759"/>
        <v>2</v>
      </c>
      <c r="FB442" s="58">
        <f>IF(i_eff_inputs_based_on_num=2,ED442,(INDEX(Lists!$L$51:$L$85,MATCH(AD323,Lists!$K$51:$K$85,0))))</f>
        <v>999</v>
      </c>
      <c r="FC442" s="58">
        <f>IF(i_eff_inputs_based_on_num=2,EE442,(INDEX(Lists!$L$51:$L$85,MATCH(AE323,Lists!$K$51:$K$85,0))))</f>
        <v>2</v>
      </c>
      <c r="FD442" s="58">
        <f>IF(i_eff_inputs_based_on_num=2,EF442,(INDEX(Lists!$L$51:$L$85,MATCH(AF323,Lists!$K$51:$K$85,0))))</f>
        <v>4</v>
      </c>
      <c r="FG442" s="58" t="str">
        <f t="shared" si="760"/>
        <v>No</v>
      </c>
      <c r="FH442" s="58" t="str">
        <f t="shared" si="761"/>
        <v xml:space="preserve">Post progression survival </v>
      </c>
      <c r="FI442" s="58">
        <f t="shared" si="762"/>
        <v>0</v>
      </c>
      <c r="FJ442" s="58">
        <f t="shared" si="763"/>
        <v>0</v>
      </c>
      <c r="FL442" s="58">
        <f t="shared" si="764"/>
        <v>0</v>
      </c>
      <c r="FM442" s="58">
        <f t="shared" si="765"/>
        <v>2</v>
      </c>
      <c r="FN442" s="58">
        <f>IF(i_eff_inputs_based_on_num=2,EP442,(INDEX(Lists!$L$51:$L$85,MATCH(AD323,Lists!$K$51:$K$85,0))))</f>
        <v>999</v>
      </c>
      <c r="FO442" s="58">
        <f>IF(i_eff_inputs_based_on_num=2,EQ442,(INDEX(Lists!$L$51:$L$85,MATCH(AE323,Lists!$K$51:$K$85,0))))</f>
        <v>2</v>
      </c>
      <c r="FP442" s="58">
        <f>IF(i_eff_inputs_based_on_num=2,ER442,(INDEX(Lists!$L$51:$L$85,MATCH(AF323,Lists!$K$51:$K$85,0))))</f>
        <v>4</v>
      </c>
      <c r="FT442" s="58">
        <f t="shared" si="669"/>
        <v>0</v>
      </c>
      <c r="FW442" s="58">
        <f>IF(i_baseline_risk_from=2,'Effectiveness settings'!EW442,'Effectiveness settings'!FI442)</f>
        <v>0</v>
      </c>
      <c r="FX442" s="58">
        <f t="shared" si="670"/>
        <v>0</v>
      </c>
      <c r="FY442" s="58">
        <f t="shared" si="671"/>
        <v>0</v>
      </c>
      <c r="FZ442" s="58">
        <f t="shared" si="672"/>
        <v>0</v>
      </c>
      <c r="GA442" s="58">
        <f t="shared" si="673"/>
        <v>0</v>
      </c>
      <c r="GB442" s="58">
        <f t="shared" si="674"/>
        <v>0</v>
      </c>
      <c r="GC442" s="58">
        <f t="shared" si="675"/>
        <v>0</v>
      </c>
      <c r="GD442" s="58">
        <f t="shared" si="676"/>
        <v>0</v>
      </c>
      <c r="GE442" s="58">
        <f>IF(AND(dd_CheckMate214_TTD="Yes",'Effectiveness settings'!BU442=2,'Effectiveness settings'!BX442=2),"Apply HR to",GD442)</f>
        <v>0</v>
      </c>
      <c r="GF442" s="58">
        <f t="shared" si="677"/>
        <v>0</v>
      </c>
      <c r="GG442" s="58">
        <f t="shared" si="678"/>
        <v>0</v>
      </c>
      <c r="GH442" s="58">
        <f t="shared" si="679"/>
        <v>0</v>
      </c>
      <c r="GI442" s="58">
        <f t="shared" si="640"/>
        <v>0</v>
      </c>
      <c r="GK442" s="58">
        <f>IF(i_baseline_risk_from=2,'Effectiveness settings'!FA442,'Effectiveness settings'!FM442)</f>
        <v>2</v>
      </c>
      <c r="GL442" s="58">
        <f>IF(i_baseline_risk_from=2,'Effectiveness settings'!FB442,'Effectiveness settings'!FN442)</f>
        <v>999</v>
      </c>
      <c r="GM442" s="58">
        <f>IF(i_baseline_risk_from=2,'Effectiveness settings'!FC442,'Effectiveness settings'!FO442)</f>
        <v>2</v>
      </c>
      <c r="GN442" s="58">
        <f>IF(i_baseline_risk_from=2,'Effectiveness settings'!FD442,'Effectiveness settings'!FP442)</f>
        <v>4</v>
      </c>
      <c r="GQ442" s="58">
        <f t="shared" si="680"/>
        <v>999</v>
      </c>
      <c r="GR442" s="58">
        <f t="shared" si="681"/>
        <v>999</v>
      </c>
      <c r="GS442" s="58">
        <f t="shared" si="682"/>
        <v>999</v>
      </c>
      <c r="GT442" s="58">
        <f t="shared" si="683"/>
        <v>999</v>
      </c>
      <c r="GU442" s="58">
        <f>IF(AND(dd_CheckMate214_TTD="Yes",'Effectiveness settings'!BU442=2,'Effectiveness settings'!BX442=2),2,GT442)</f>
        <v>999</v>
      </c>
      <c r="GV442" s="58">
        <f t="shared" si="684"/>
        <v>999</v>
      </c>
      <c r="GW442" s="58">
        <f t="shared" si="685"/>
        <v>999</v>
      </c>
      <c r="GY442" s="58">
        <f>IF(AND(dd_CheckMate214_TTD="Yes",'Effectiveness settings'!BU442=2,'Effectiveness settings'!BX442=2),1,GN442)</f>
        <v>4</v>
      </c>
      <c r="GZ442" s="58">
        <f t="shared" si="686"/>
        <v>4</v>
      </c>
      <c r="HB442" s="58">
        <f t="shared" si="687"/>
        <v>0</v>
      </c>
      <c r="HD442" s="58">
        <f t="shared" si="635"/>
        <v>0</v>
      </c>
      <c r="HE442" s="58">
        <f t="shared" si="636"/>
        <v>2</v>
      </c>
      <c r="HF442" s="58">
        <f t="shared" si="637"/>
        <v>999</v>
      </c>
      <c r="HG442" s="58">
        <f t="shared" si="638"/>
        <v>2</v>
      </c>
      <c r="HH442" s="58">
        <f t="shared" si="639"/>
        <v>4</v>
      </c>
    </row>
    <row r="443" spans="69:216" ht="15.75" x14ac:dyDescent="0.25">
      <c r="BQ443" s="58">
        <f t="shared" si="667"/>
        <v>272</v>
      </c>
      <c r="BR443" s="61">
        <v>0</v>
      </c>
      <c r="BS443" s="61" t="s">
        <v>31</v>
      </c>
      <c r="BT443" s="17">
        <v>2</v>
      </c>
      <c r="BU443" s="17">
        <v>5</v>
      </c>
      <c r="BV443" s="17" t="str">
        <f t="shared" si="742"/>
        <v>pazopanib</v>
      </c>
      <c r="BW443" s="1006" t="str" cm="1">
        <f t="array" ref="BW443">IF(X324="No",X324,INDEX(List_incl_anal_2L_all,IF(BU443=999,35,BU443+1)))</f>
        <v>No</v>
      </c>
      <c r="BX443" s="61">
        <f t="shared" si="743"/>
        <v>4</v>
      </c>
      <c r="BY443" s="531" t="str">
        <f t="shared" ref="BY443:BY451" si="767">Y324</f>
        <v>Post progression survival</v>
      </c>
      <c r="BZ443" s="530">
        <f t="shared" si="744"/>
        <v>0</v>
      </c>
      <c r="CA443" s="531">
        <f t="shared" si="766"/>
        <v>0</v>
      </c>
      <c r="CB443" s="530">
        <f t="shared" si="745"/>
        <v>0</v>
      </c>
      <c r="CC443" s="530">
        <f t="shared" si="746"/>
        <v>2</v>
      </c>
      <c r="CD443" s="530">
        <f t="shared" si="747"/>
        <v>999</v>
      </c>
      <c r="CE443" s="1295">
        <f t="shared" si="748"/>
        <v>2</v>
      </c>
      <c r="CF443" s="1301">
        <f t="shared" si="749"/>
        <v>4</v>
      </c>
      <c r="CG443" s="530" t="str">
        <f t="shared" si="750"/>
        <v/>
      </c>
      <c r="CH443" s="61">
        <f t="shared" si="751"/>
        <v>0</v>
      </c>
      <c r="CI443" s="61">
        <f t="shared" si="752"/>
        <v>0</v>
      </c>
      <c r="CJ443" s="61">
        <f t="shared" si="753"/>
        <v>0</v>
      </c>
      <c r="DK443" s="58" t="str" cm="1">
        <f t="array" ref="DK443">IF(AND($BT443=4,$BX443=4,$BU443=999),$DB$36,_xlfn.IFNA(INDEX(DB$13:DB$70,MATCH(1,($BR443=$CV$13:$CV$70)*($BT443=$CX$13:$CX$70)*($CE443=$CY$13:$CY$70)*($BY443=$DA$13:$DA$70)*($CD443=$DH$13:$DH$70),0)),""))</f>
        <v/>
      </c>
      <c r="DL443" s="58" t="str" cm="1">
        <f t="array" ref="DL443">IF(AND($BT443=4,$BX443=4,$BU443=999),$DC$36,_xlfn.IFNA(INDEX(CHOOSE(DP443,DB$13:DB$70,DC$13:DC$70,DD$13:DD$70,DE$13:DE$70),MATCH(1,($BR443=$CV$13:$CV$70)*($BT443=$CX$13:$CX$70)*($CE443=$CY$13:$CY$70)*($BY443=$DA$13:$DA$70)*($CD443=$DH$13:$DH$70),0)),""))</f>
        <v/>
      </c>
      <c r="DM443" s="740" t="str" cm="1">
        <f t="array" ref="DM443">IF(AND($BT443=4,$BX443=4,$BU443=999),$DD$36,_xlfn.IFNA(INDEX(DD$13:DD$68,MATCH(1,($BR443=$CV$13:$CV$68)*($BT443=$CX$13:$CX$68)*($CE443=$CY$13:$CY$68)*($BY443=$DA$13:$DA$68)*($CD443=$DH$13:$DH$68),0)),""))</f>
        <v/>
      </c>
      <c r="DN443" s="740" t="str" cm="1">
        <f t="array" ref="DN443">IF(AND($BT443=4,$BX443=4,$BU443=999),$DD$36,_xlfn.IFNA(INDEX(DE$13:DE$68,MATCH(1,($BR443=$CV$13:$CV$68)*($BT443=$CX$13:$CX$68)*($CE443=$CY$13:$CY$68)*($BY443=$DA$13:$DA$68)*($CD443=$DH$13:$DH$68),0)),""))</f>
        <v/>
      </c>
      <c r="DO443" s="58" t="str" cm="1">
        <f t="array" ref="DO443">IF(AND($BT443=4,$BX443=4,$BU443=999),$DF$36,_xlfn.IFNA(INDEX(DF$13:DF$70,MATCH(1,($BR443=$CV$13:$CV$70)*($BT443=$CX$13:$CX$70)*($CE443=$CY$13:$CY$70)*($BY443=$DA$13:$DA$70)*($CD443=$DH$13:$DH$70),0)),""))</f>
        <v/>
      </c>
      <c r="DP443" s="58" t="e">
        <f t="shared" si="668"/>
        <v>#N/A</v>
      </c>
      <c r="DW443" s="58" t="s">
        <v>58</v>
      </c>
      <c r="DX443" s="58" t="s">
        <v>617</v>
      </c>
      <c r="DY443" s="58">
        <v>0</v>
      </c>
      <c r="DZ443" s="58">
        <v>0</v>
      </c>
      <c r="EB443" s="58">
        <v>0</v>
      </c>
      <c r="EC443" s="58">
        <v>2</v>
      </c>
      <c r="ED443" s="58">
        <v>999</v>
      </c>
      <c r="EE443" s="58">
        <v>2</v>
      </c>
      <c r="EF443" s="58">
        <v>4</v>
      </c>
      <c r="EI443" s="58" t="s">
        <v>58</v>
      </c>
      <c r="EJ443" s="58" t="s">
        <v>617</v>
      </c>
      <c r="EK443" s="58">
        <v>0</v>
      </c>
      <c r="EL443" s="58">
        <v>0</v>
      </c>
      <c r="EN443" s="58">
        <v>0</v>
      </c>
      <c r="EO443" s="58">
        <v>2</v>
      </c>
      <c r="EP443" s="58">
        <v>999</v>
      </c>
      <c r="EQ443" s="58">
        <v>2</v>
      </c>
      <c r="ER443" s="58">
        <v>4</v>
      </c>
      <c r="EU443" s="58" t="str">
        <f t="shared" si="754"/>
        <v>No</v>
      </c>
      <c r="EV443" s="58" t="str">
        <f t="shared" si="755"/>
        <v xml:space="preserve">Post progression survival </v>
      </c>
      <c r="EW443" s="58">
        <f t="shared" si="756"/>
        <v>0</v>
      </c>
      <c r="EX443" s="58">
        <f t="shared" si="757"/>
        <v>0</v>
      </c>
      <c r="EZ443" s="58">
        <f t="shared" si="758"/>
        <v>0</v>
      </c>
      <c r="FA443" s="58">
        <f t="shared" si="759"/>
        <v>2</v>
      </c>
      <c r="FB443" s="58">
        <f>IF(i_eff_inputs_based_on_num=2,ED443,(INDEX(Lists!$L$51:$L$85,MATCH(AD324,Lists!$K$51:$K$85,0))))</f>
        <v>999</v>
      </c>
      <c r="FC443" s="58">
        <f>IF(i_eff_inputs_based_on_num=2,EE443,(INDEX(Lists!$L$51:$L$85,MATCH(AE324,Lists!$K$51:$K$85,0))))</f>
        <v>2</v>
      </c>
      <c r="FD443" s="58">
        <f>IF(i_eff_inputs_based_on_num=2,EF443,(INDEX(Lists!$L$51:$L$85,MATCH(AF324,Lists!$K$51:$K$85,0))))</f>
        <v>4</v>
      </c>
      <c r="FG443" s="58" t="str">
        <f t="shared" si="760"/>
        <v>No</v>
      </c>
      <c r="FH443" s="58" t="str">
        <f t="shared" si="761"/>
        <v xml:space="preserve">Post progression survival </v>
      </c>
      <c r="FI443" s="58">
        <f t="shared" si="762"/>
        <v>0</v>
      </c>
      <c r="FJ443" s="58">
        <f t="shared" si="763"/>
        <v>0</v>
      </c>
      <c r="FL443" s="58">
        <f t="shared" si="764"/>
        <v>0</v>
      </c>
      <c r="FM443" s="58">
        <f t="shared" si="765"/>
        <v>2</v>
      </c>
      <c r="FN443" s="58">
        <f>IF(i_eff_inputs_based_on_num=2,EP443,(INDEX(Lists!$L$51:$L$85,MATCH(AD324,Lists!$K$51:$K$85,0))))</f>
        <v>999</v>
      </c>
      <c r="FO443" s="58">
        <f>IF(i_eff_inputs_based_on_num=2,EQ443,(INDEX(Lists!$L$51:$L$85,MATCH(AE324,Lists!$K$51:$K$85,0))))</f>
        <v>2</v>
      </c>
      <c r="FP443" s="58">
        <f>IF(i_eff_inputs_based_on_num=2,ER443,(INDEX(Lists!$L$51:$L$85,MATCH(AF324,Lists!$K$51:$K$85,0))))</f>
        <v>4</v>
      </c>
      <c r="FT443" s="58">
        <f t="shared" si="669"/>
        <v>0</v>
      </c>
      <c r="FW443" s="58">
        <f>IF(i_baseline_risk_from=2,'Effectiveness settings'!EW443,'Effectiveness settings'!FI443)</f>
        <v>0</v>
      </c>
      <c r="FX443" s="58">
        <f t="shared" si="670"/>
        <v>0</v>
      </c>
      <c r="FY443" s="58">
        <f t="shared" si="671"/>
        <v>0</v>
      </c>
      <c r="FZ443" s="58">
        <f t="shared" si="672"/>
        <v>0</v>
      </c>
      <c r="GA443" s="58">
        <f t="shared" si="673"/>
        <v>0</v>
      </c>
      <c r="GB443" s="58">
        <f t="shared" si="674"/>
        <v>0</v>
      </c>
      <c r="GC443" s="58">
        <f t="shared" si="675"/>
        <v>0</v>
      </c>
      <c r="GD443" s="58">
        <f t="shared" si="676"/>
        <v>0</v>
      </c>
      <c r="GE443" s="58">
        <f>IF(AND(dd_CheckMate214_TTD="Yes",'Effectiveness settings'!BU443=2,'Effectiveness settings'!BX443=2),"Apply HR to",GD443)</f>
        <v>0</v>
      </c>
      <c r="GF443" s="58">
        <f t="shared" si="677"/>
        <v>0</v>
      </c>
      <c r="GG443" s="58">
        <f t="shared" si="678"/>
        <v>0</v>
      </c>
      <c r="GH443" s="58">
        <f t="shared" si="679"/>
        <v>0</v>
      </c>
      <c r="GI443" s="58">
        <f t="shared" si="640"/>
        <v>0</v>
      </c>
      <c r="GK443" s="58">
        <f>IF(i_baseline_risk_from=2,'Effectiveness settings'!FA443,'Effectiveness settings'!FM443)</f>
        <v>2</v>
      </c>
      <c r="GL443" s="58">
        <f>IF(i_baseline_risk_from=2,'Effectiveness settings'!FB443,'Effectiveness settings'!FN443)</f>
        <v>999</v>
      </c>
      <c r="GM443" s="58">
        <f>IF(i_baseline_risk_from=2,'Effectiveness settings'!FC443,'Effectiveness settings'!FO443)</f>
        <v>2</v>
      </c>
      <c r="GN443" s="58">
        <f>IF(i_baseline_risk_from=2,'Effectiveness settings'!FD443,'Effectiveness settings'!FP443)</f>
        <v>4</v>
      </c>
      <c r="GQ443" s="58">
        <f t="shared" si="680"/>
        <v>999</v>
      </c>
      <c r="GR443" s="58">
        <f t="shared" si="681"/>
        <v>999</v>
      </c>
      <c r="GS443" s="58">
        <f t="shared" si="682"/>
        <v>999</v>
      </c>
      <c r="GT443" s="58">
        <f t="shared" si="683"/>
        <v>999</v>
      </c>
      <c r="GU443" s="58">
        <f>IF(AND(dd_CheckMate214_TTD="Yes",'Effectiveness settings'!BU443=2,'Effectiveness settings'!BX443=2),2,GT443)</f>
        <v>999</v>
      </c>
      <c r="GV443" s="58">
        <f t="shared" si="684"/>
        <v>999</v>
      </c>
      <c r="GW443" s="58">
        <f t="shared" si="685"/>
        <v>999</v>
      </c>
      <c r="GY443" s="58">
        <f>IF(AND(dd_CheckMate214_TTD="Yes",'Effectiveness settings'!BU443=2,'Effectiveness settings'!BX443=2),1,GN443)</f>
        <v>4</v>
      </c>
      <c r="GZ443" s="58">
        <f t="shared" si="686"/>
        <v>4</v>
      </c>
      <c r="HB443" s="58">
        <f t="shared" si="687"/>
        <v>0</v>
      </c>
      <c r="HD443" s="58">
        <f t="shared" si="635"/>
        <v>0</v>
      </c>
      <c r="HE443" s="58">
        <f t="shared" si="636"/>
        <v>2</v>
      </c>
      <c r="HF443" s="58">
        <f t="shared" si="637"/>
        <v>999</v>
      </c>
      <c r="HG443" s="58">
        <f t="shared" si="638"/>
        <v>2</v>
      </c>
      <c r="HH443" s="58">
        <f t="shared" si="639"/>
        <v>4</v>
      </c>
    </row>
    <row r="444" spans="69:216" ht="15.75" x14ac:dyDescent="0.25">
      <c r="BQ444" s="58">
        <f t="shared" si="667"/>
        <v>273</v>
      </c>
      <c r="BR444" s="61">
        <v>0</v>
      </c>
      <c r="BS444" s="61" t="s">
        <v>31</v>
      </c>
      <c r="BT444" s="17">
        <v>2</v>
      </c>
      <c r="BU444" s="17">
        <v>6</v>
      </c>
      <c r="BV444" s="17" t="str">
        <f t="shared" si="742"/>
        <v>tivozanib</v>
      </c>
      <c r="BW444" s="1006" t="str" cm="1">
        <f t="array" ref="BW444">IF(X325="No",X325,INDEX(List_incl_anal_2L_all,IF(BU444=999,35,BU444+1)))</f>
        <v>No</v>
      </c>
      <c r="BX444" s="61">
        <f t="shared" si="743"/>
        <v>4</v>
      </c>
      <c r="BY444" s="531" t="str">
        <f t="shared" si="767"/>
        <v>Post progression survival</v>
      </c>
      <c r="BZ444" s="530">
        <f t="shared" si="744"/>
        <v>0</v>
      </c>
      <c r="CA444" s="531">
        <f t="shared" si="766"/>
        <v>0</v>
      </c>
      <c r="CB444" s="530">
        <f t="shared" si="745"/>
        <v>0</v>
      </c>
      <c r="CC444" s="530">
        <f t="shared" si="746"/>
        <v>2</v>
      </c>
      <c r="CD444" s="530">
        <f t="shared" si="747"/>
        <v>999</v>
      </c>
      <c r="CE444" s="1295">
        <f t="shared" si="748"/>
        <v>2</v>
      </c>
      <c r="CF444" s="1301">
        <f t="shared" si="749"/>
        <v>4</v>
      </c>
      <c r="CG444" s="530" t="str">
        <f t="shared" si="750"/>
        <v/>
      </c>
      <c r="CH444" s="61">
        <f t="shared" si="751"/>
        <v>0</v>
      </c>
      <c r="CI444" s="61">
        <f t="shared" si="752"/>
        <v>0</v>
      </c>
      <c r="CJ444" s="61">
        <f t="shared" si="753"/>
        <v>0</v>
      </c>
      <c r="DK444" s="58" t="str" cm="1">
        <f t="array" ref="DK444">IF(AND($BT444=4,$BX444=4,$BU444=999),$DB$36,_xlfn.IFNA(INDEX(DB$13:DB$70,MATCH(1,($BR444=$CV$13:$CV$70)*($BT444=$CX$13:$CX$70)*($CE444=$CY$13:$CY$70)*($BY444=$DA$13:$DA$70)*($CD444=$DH$13:$DH$70),0)),""))</f>
        <v/>
      </c>
      <c r="DL444" s="58" t="str" cm="1">
        <f t="array" ref="DL444">IF(AND($BT444=4,$BX444=4,$BU444=999),$DC$36,_xlfn.IFNA(INDEX(CHOOSE(DP444,DB$13:DB$70,DC$13:DC$70,DD$13:DD$70,DE$13:DE$70),MATCH(1,($BR444=$CV$13:$CV$70)*($BT444=$CX$13:$CX$70)*($CE444=$CY$13:$CY$70)*($BY444=$DA$13:$DA$70)*($CD444=$DH$13:$DH$70),0)),""))</f>
        <v/>
      </c>
      <c r="DM444" s="740" t="str" cm="1">
        <f t="array" ref="DM444">IF(AND($BT444=4,$BX444=4,$BU444=999),$DD$36,_xlfn.IFNA(INDEX(DD$13:DD$68,MATCH(1,($BR444=$CV$13:$CV$68)*($BT444=$CX$13:$CX$68)*($CE444=$CY$13:$CY$68)*($BY444=$DA$13:$DA$68)*($CD444=$DH$13:$DH$68),0)),""))</f>
        <v/>
      </c>
      <c r="DN444" s="740" t="str" cm="1">
        <f t="array" ref="DN444">IF(AND($BT444=4,$BX444=4,$BU444=999),$DD$36,_xlfn.IFNA(INDEX(DE$13:DE$68,MATCH(1,($BR444=$CV$13:$CV$68)*($BT444=$CX$13:$CX$68)*($CE444=$CY$13:$CY$68)*($BY444=$DA$13:$DA$68)*($CD444=$DH$13:$DH$68),0)),""))</f>
        <v/>
      </c>
      <c r="DO444" s="58" t="str" cm="1">
        <f t="array" ref="DO444">IF(AND($BT444=4,$BX444=4,$BU444=999),$DF$36,_xlfn.IFNA(INDEX(DF$13:DF$70,MATCH(1,($BR444=$CV$13:$CV$70)*($BT444=$CX$13:$CX$70)*($CE444=$CY$13:$CY$70)*($BY444=$DA$13:$DA$70)*($CD444=$DH$13:$DH$70),0)),""))</f>
        <v/>
      </c>
      <c r="DP444" s="58" t="e">
        <f t="shared" si="668"/>
        <v>#N/A</v>
      </c>
      <c r="DW444" s="58" t="s">
        <v>58</v>
      </c>
      <c r="DX444" s="58" t="s">
        <v>617</v>
      </c>
      <c r="DY444" s="58">
        <v>0</v>
      </c>
      <c r="DZ444" s="58">
        <v>0</v>
      </c>
      <c r="EB444" s="58">
        <v>0</v>
      </c>
      <c r="EC444" s="58">
        <v>2</v>
      </c>
      <c r="ED444" s="58">
        <v>999</v>
      </c>
      <c r="EE444" s="58">
        <v>2</v>
      </c>
      <c r="EF444" s="58">
        <v>4</v>
      </c>
      <c r="EI444" s="58" t="s">
        <v>58</v>
      </c>
      <c r="EJ444" s="58" t="s">
        <v>617</v>
      </c>
      <c r="EK444" s="58">
        <v>0</v>
      </c>
      <c r="EL444" s="58">
        <v>0</v>
      </c>
      <c r="EN444" s="58">
        <v>0</v>
      </c>
      <c r="EO444" s="58">
        <v>2</v>
      </c>
      <c r="EP444" s="58">
        <v>999</v>
      </c>
      <c r="EQ444" s="58">
        <v>2</v>
      </c>
      <c r="ER444" s="58">
        <v>4</v>
      </c>
      <c r="EU444" s="58" t="str">
        <f t="shared" si="754"/>
        <v>No</v>
      </c>
      <c r="EV444" s="58" t="str">
        <f t="shared" si="755"/>
        <v xml:space="preserve">Post progression survival </v>
      </c>
      <c r="EW444" s="58">
        <f t="shared" si="756"/>
        <v>0</v>
      </c>
      <c r="EX444" s="58">
        <f t="shared" si="757"/>
        <v>0</v>
      </c>
      <c r="EZ444" s="58">
        <f t="shared" si="758"/>
        <v>0</v>
      </c>
      <c r="FA444" s="58">
        <f t="shared" si="759"/>
        <v>2</v>
      </c>
      <c r="FB444" s="58">
        <f>IF(i_eff_inputs_based_on_num=2,ED444,(INDEX(Lists!$L$51:$L$85,MATCH(AD325,Lists!$K$51:$K$85,0))))</f>
        <v>999</v>
      </c>
      <c r="FC444" s="58">
        <f>IF(i_eff_inputs_based_on_num=2,EE444,(INDEX(Lists!$L$51:$L$85,MATCH(AE325,Lists!$K$51:$K$85,0))))</f>
        <v>2</v>
      </c>
      <c r="FD444" s="58">
        <f>IF(i_eff_inputs_based_on_num=2,EF444,(INDEX(Lists!$L$51:$L$85,MATCH(AF325,Lists!$K$51:$K$85,0))))</f>
        <v>4</v>
      </c>
      <c r="FG444" s="58" t="str">
        <f t="shared" si="760"/>
        <v>No</v>
      </c>
      <c r="FH444" s="58" t="str">
        <f t="shared" si="761"/>
        <v xml:space="preserve">Post progression survival </v>
      </c>
      <c r="FI444" s="58">
        <f t="shared" si="762"/>
        <v>0</v>
      </c>
      <c r="FJ444" s="58">
        <f t="shared" si="763"/>
        <v>0</v>
      </c>
      <c r="FL444" s="58">
        <f t="shared" si="764"/>
        <v>0</v>
      </c>
      <c r="FM444" s="58">
        <f t="shared" si="765"/>
        <v>2</v>
      </c>
      <c r="FN444" s="58">
        <f>IF(i_eff_inputs_based_on_num=2,EP444,(INDEX(Lists!$L$51:$L$85,MATCH(AD325,Lists!$K$51:$K$85,0))))</f>
        <v>999</v>
      </c>
      <c r="FO444" s="58">
        <f>IF(i_eff_inputs_based_on_num=2,EQ444,(INDEX(Lists!$L$51:$L$85,MATCH(AE325,Lists!$K$51:$K$85,0))))</f>
        <v>2</v>
      </c>
      <c r="FP444" s="58">
        <f>IF(i_eff_inputs_based_on_num=2,ER444,(INDEX(Lists!$L$51:$L$85,MATCH(AF325,Lists!$K$51:$K$85,0))))</f>
        <v>4</v>
      </c>
      <c r="FT444" s="58">
        <f t="shared" si="669"/>
        <v>0</v>
      </c>
      <c r="FW444" s="58">
        <f>IF(i_baseline_risk_from=2,'Effectiveness settings'!EW444,'Effectiveness settings'!FI444)</f>
        <v>0</v>
      </c>
      <c r="FX444" s="58">
        <f t="shared" si="670"/>
        <v>0</v>
      </c>
      <c r="FY444" s="58">
        <f t="shared" si="671"/>
        <v>0</v>
      </c>
      <c r="FZ444" s="58">
        <f t="shared" si="672"/>
        <v>0</v>
      </c>
      <c r="GA444" s="58">
        <f t="shared" si="673"/>
        <v>0</v>
      </c>
      <c r="GB444" s="58">
        <f t="shared" si="674"/>
        <v>0</v>
      </c>
      <c r="GC444" s="58">
        <f t="shared" si="675"/>
        <v>0</v>
      </c>
      <c r="GD444" s="58">
        <f t="shared" si="676"/>
        <v>0</v>
      </c>
      <c r="GE444" s="58">
        <f>IF(AND(dd_CheckMate214_TTD="Yes",'Effectiveness settings'!BU444=2,'Effectiveness settings'!BX444=2),"Apply HR to",GD444)</f>
        <v>0</v>
      </c>
      <c r="GF444" s="58">
        <f t="shared" si="677"/>
        <v>0</v>
      </c>
      <c r="GG444" s="58">
        <f t="shared" si="678"/>
        <v>0</v>
      </c>
      <c r="GH444" s="58">
        <f t="shared" si="679"/>
        <v>0</v>
      </c>
      <c r="GI444" s="58">
        <f t="shared" si="640"/>
        <v>0</v>
      </c>
      <c r="GK444" s="58">
        <f>IF(i_baseline_risk_from=2,'Effectiveness settings'!FA444,'Effectiveness settings'!FM444)</f>
        <v>2</v>
      </c>
      <c r="GL444" s="58">
        <f>IF(i_baseline_risk_from=2,'Effectiveness settings'!FB444,'Effectiveness settings'!FN444)</f>
        <v>999</v>
      </c>
      <c r="GM444" s="58">
        <f>IF(i_baseline_risk_from=2,'Effectiveness settings'!FC444,'Effectiveness settings'!FO444)</f>
        <v>2</v>
      </c>
      <c r="GN444" s="58">
        <f>IF(i_baseline_risk_from=2,'Effectiveness settings'!FD444,'Effectiveness settings'!FP444)</f>
        <v>4</v>
      </c>
      <c r="GQ444" s="58">
        <f t="shared" si="680"/>
        <v>999</v>
      </c>
      <c r="GR444" s="58">
        <f t="shared" si="681"/>
        <v>999</v>
      </c>
      <c r="GS444" s="58">
        <f t="shared" si="682"/>
        <v>999</v>
      </c>
      <c r="GT444" s="58">
        <f t="shared" si="683"/>
        <v>999</v>
      </c>
      <c r="GU444" s="58">
        <f>IF(AND(dd_CheckMate214_TTD="Yes",'Effectiveness settings'!BU444=2,'Effectiveness settings'!BX444=2),2,GT444)</f>
        <v>999</v>
      </c>
      <c r="GV444" s="58">
        <f t="shared" si="684"/>
        <v>999</v>
      </c>
      <c r="GW444" s="58">
        <f t="shared" si="685"/>
        <v>999</v>
      </c>
      <c r="GY444" s="58">
        <f>IF(AND(dd_CheckMate214_TTD="Yes",'Effectiveness settings'!BU444=2,'Effectiveness settings'!BX444=2),1,GN444)</f>
        <v>4</v>
      </c>
      <c r="GZ444" s="58">
        <f t="shared" si="686"/>
        <v>4</v>
      </c>
      <c r="HB444" s="58">
        <f t="shared" si="687"/>
        <v>0</v>
      </c>
      <c r="HD444" s="58">
        <f t="shared" si="635"/>
        <v>0</v>
      </c>
      <c r="HE444" s="58">
        <f t="shared" si="636"/>
        <v>2</v>
      </c>
      <c r="HF444" s="58">
        <f t="shared" si="637"/>
        <v>999</v>
      </c>
      <c r="HG444" s="58">
        <f t="shared" si="638"/>
        <v>2</v>
      </c>
      <c r="HH444" s="58">
        <f t="shared" si="639"/>
        <v>4</v>
      </c>
    </row>
    <row r="445" spans="69:216" ht="15.75" x14ac:dyDescent="0.25">
      <c r="BQ445" s="58">
        <f t="shared" si="667"/>
        <v>274</v>
      </c>
      <c r="BR445" s="61">
        <v>0</v>
      </c>
      <c r="BS445" s="61" t="s">
        <v>31</v>
      </c>
      <c r="BT445" s="17">
        <v>2</v>
      </c>
      <c r="BU445" s="17">
        <v>7</v>
      </c>
      <c r="BV445" s="17" t="str">
        <f t="shared" si="742"/>
        <v>sunitinib</v>
      </c>
      <c r="BW445" s="1006" t="str" cm="1">
        <f t="array" ref="BW445">IF(X326="No",X326,INDEX(List_incl_anal_2L_all,IF(BU445=999,35,BU445+1)))</f>
        <v>No</v>
      </c>
      <c r="BX445" s="61">
        <f t="shared" si="743"/>
        <v>4</v>
      </c>
      <c r="BY445" s="531" t="str">
        <f t="shared" si="767"/>
        <v>Post progression survival</v>
      </c>
      <c r="BZ445" s="530">
        <f t="shared" si="744"/>
        <v>0</v>
      </c>
      <c r="CA445" s="531">
        <f t="shared" si="766"/>
        <v>0</v>
      </c>
      <c r="CB445" s="530">
        <f t="shared" si="745"/>
        <v>0</v>
      </c>
      <c r="CC445" s="530">
        <f t="shared" si="746"/>
        <v>2</v>
      </c>
      <c r="CD445" s="530">
        <f t="shared" si="747"/>
        <v>999</v>
      </c>
      <c r="CE445" s="1295">
        <f t="shared" si="748"/>
        <v>2</v>
      </c>
      <c r="CF445" s="1301">
        <f t="shared" si="749"/>
        <v>4</v>
      </c>
      <c r="CG445" s="530" t="str">
        <f t="shared" si="750"/>
        <v/>
      </c>
      <c r="CH445" s="61">
        <f t="shared" si="751"/>
        <v>0</v>
      </c>
      <c r="CI445" s="61">
        <f t="shared" si="752"/>
        <v>0</v>
      </c>
      <c r="CJ445" s="61">
        <f t="shared" si="753"/>
        <v>0</v>
      </c>
      <c r="DK445" s="58" t="str" cm="1">
        <f t="array" ref="DK445">IF(AND($BT445=4,$BX445=4,$BU445=999),$DB$36,_xlfn.IFNA(INDEX(DB$13:DB$70,MATCH(1,($BR445=$CV$13:$CV$70)*($BT445=$CX$13:$CX$70)*($CE445=$CY$13:$CY$70)*($BY445=$DA$13:$DA$70)*($CD445=$DH$13:$DH$70),0)),""))</f>
        <v/>
      </c>
      <c r="DL445" s="58" t="str" cm="1">
        <f t="array" ref="DL445">IF(AND($BT445=4,$BX445=4,$BU445=999),$DC$36,_xlfn.IFNA(INDEX(CHOOSE(DP445,DB$13:DB$70,DC$13:DC$70,DD$13:DD$70,DE$13:DE$70),MATCH(1,($BR445=$CV$13:$CV$70)*($BT445=$CX$13:$CX$70)*($CE445=$CY$13:$CY$70)*($BY445=$DA$13:$DA$70)*($CD445=$DH$13:$DH$70),0)),""))</f>
        <v/>
      </c>
      <c r="DM445" s="740" t="str" cm="1">
        <f t="array" ref="DM445">IF(AND($BT445=4,$BX445=4,$BU445=999),$DD$36,_xlfn.IFNA(INDEX(DD$13:DD$68,MATCH(1,($BR445=$CV$13:$CV$68)*($BT445=$CX$13:$CX$68)*($CE445=$CY$13:$CY$68)*($BY445=$DA$13:$DA$68)*($CD445=$DH$13:$DH$68),0)),""))</f>
        <v/>
      </c>
      <c r="DN445" s="740" t="str" cm="1">
        <f t="array" ref="DN445">IF(AND($BT445=4,$BX445=4,$BU445=999),$DD$36,_xlfn.IFNA(INDEX(DE$13:DE$68,MATCH(1,($BR445=$CV$13:$CV$68)*($BT445=$CX$13:$CX$68)*($CE445=$CY$13:$CY$68)*($BY445=$DA$13:$DA$68)*($CD445=$DH$13:$DH$68),0)),""))</f>
        <v/>
      </c>
      <c r="DO445" s="58" t="str" cm="1">
        <f t="array" ref="DO445">IF(AND($BT445=4,$BX445=4,$BU445=999),$DF$36,_xlfn.IFNA(INDEX(DF$13:DF$70,MATCH(1,($BR445=$CV$13:$CV$70)*($BT445=$CX$13:$CX$70)*($CE445=$CY$13:$CY$70)*($BY445=$DA$13:$DA$70)*($CD445=$DH$13:$DH$70),0)),""))</f>
        <v/>
      </c>
      <c r="DP445" s="58" t="e">
        <f t="shared" si="668"/>
        <v>#N/A</v>
      </c>
      <c r="DW445" s="58" t="s">
        <v>58</v>
      </c>
      <c r="DX445" s="58" t="s">
        <v>617</v>
      </c>
      <c r="DY445" s="58">
        <v>0</v>
      </c>
      <c r="DZ445" s="58">
        <v>0</v>
      </c>
      <c r="EB445" s="58">
        <v>0</v>
      </c>
      <c r="EC445" s="58">
        <v>2</v>
      </c>
      <c r="ED445" s="58">
        <v>999</v>
      </c>
      <c r="EE445" s="58">
        <v>2</v>
      </c>
      <c r="EF445" s="58">
        <v>4</v>
      </c>
      <c r="EI445" s="58" t="s">
        <v>58</v>
      </c>
      <c r="EJ445" s="58" t="s">
        <v>617</v>
      </c>
      <c r="EK445" s="58">
        <v>0</v>
      </c>
      <c r="EL445" s="58">
        <v>0</v>
      </c>
      <c r="EN445" s="58">
        <v>0</v>
      </c>
      <c r="EO445" s="58">
        <v>2</v>
      </c>
      <c r="EP445" s="58">
        <v>999</v>
      </c>
      <c r="EQ445" s="58">
        <v>2</v>
      </c>
      <c r="ER445" s="58">
        <v>4</v>
      </c>
      <c r="EU445" s="58" t="str">
        <f t="shared" si="754"/>
        <v>No</v>
      </c>
      <c r="EV445" s="58" t="str">
        <f t="shared" si="755"/>
        <v xml:space="preserve">Post progression survival </v>
      </c>
      <c r="EW445" s="58">
        <f t="shared" si="756"/>
        <v>0</v>
      </c>
      <c r="EX445" s="58">
        <f t="shared" si="757"/>
        <v>0</v>
      </c>
      <c r="EZ445" s="58">
        <f t="shared" si="758"/>
        <v>0</v>
      </c>
      <c r="FA445" s="58">
        <f t="shared" si="759"/>
        <v>2</v>
      </c>
      <c r="FB445" s="58">
        <f>IF(i_eff_inputs_based_on_num=2,ED445,(INDEX(Lists!$L$51:$L$85,MATCH(AD326,Lists!$K$51:$K$85,0))))</f>
        <v>999</v>
      </c>
      <c r="FC445" s="58">
        <f>IF(i_eff_inputs_based_on_num=2,EE445,(INDEX(Lists!$L$51:$L$85,MATCH(AE326,Lists!$K$51:$K$85,0))))</f>
        <v>2</v>
      </c>
      <c r="FD445" s="58">
        <f>IF(i_eff_inputs_based_on_num=2,EF445,(INDEX(Lists!$L$51:$L$85,MATCH(AF326,Lists!$K$51:$K$85,0))))</f>
        <v>4</v>
      </c>
      <c r="FG445" s="58" t="str">
        <f t="shared" si="760"/>
        <v>No</v>
      </c>
      <c r="FH445" s="58" t="str">
        <f t="shared" si="761"/>
        <v xml:space="preserve">Post progression survival </v>
      </c>
      <c r="FI445" s="58">
        <f t="shared" si="762"/>
        <v>0</v>
      </c>
      <c r="FJ445" s="58">
        <f t="shared" si="763"/>
        <v>0</v>
      </c>
      <c r="FL445" s="58">
        <f t="shared" si="764"/>
        <v>0</v>
      </c>
      <c r="FM445" s="58">
        <f t="shared" si="765"/>
        <v>2</v>
      </c>
      <c r="FN445" s="58">
        <f>IF(i_eff_inputs_based_on_num=2,EP445,(INDEX(Lists!$L$51:$L$85,MATCH(AD326,Lists!$K$51:$K$85,0))))</f>
        <v>999</v>
      </c>
      <c r="FO445" s="58">
        <f>IF(i_eff_inputs_based_on_num=2,EQ445,(INDEX(Lists!$L$51:$L$85,MATCH(AE326,Lists!$K$51:$K$85,0))))</f>
        <v>2</v>
      </c>
      <c r="FP445" s="58">
        <f>IF(i_eff_inputs_based_on_num=2,ER445,(INDEX(Lists!$L$51:$L$85,MATCH(AF326,Lists!$K$51:$K$85,0))))</f>
        <v>4</v>
      </c>
      <c r="FT445" s="58">
        <f t="shared" si="669"/>
        <v>0</v>
      </c>
      <c r="FW445" s="58">
        <f>IF(i_baseline_risk_from=2,'Effectiveness settings'!EW445,'Effectiveness settings'!FI445)</f>
        <v>0</v>
      </c>
      <c r="FX445" s="58">
        <f t="shared" si="670"/>
        <v>0</v>
      </c>
      <c r="FY445" s="58">
        <f t="shared" si="671"/>
        <v>0</v>
      </c>
      <c r="FZ445" s="58">
        <f t="shared" si="672"/>
        <v>0</v>
      </c>
      <c r="GA445" s="58">
        <f t="shared" si="673"/>
        <v>0</v>
      </c>
      <c r="GB445" s="58">
        <f t="shared" si="674"/>
        <v>0</v>
      </c>
      <c r="GC445" s="58">
        <f t="shared" si="675"/>
        <v>0</v>
      </c>
      <c r="GD445" s="58">
        <f t="shared" si="676"/>
        <v>0</v>
      </c>
      <c r="GE445" s="58">
        <f>IF(AND(dd_CheckMate214_TTD="Yes",'Effectiveness settings'!BU445=2,'Effectiveness settings'!BX445=2),"Apply HR to",GD445)</f>
        <v>0</v>
      </c>
      <c r="GF445" s="58">
        <f t="shared" si="677"/>
        <v>0</v>
      </c>
      <c r="GG445" s="58">
        <f t="shared" si="678"/>
        <v>0</v>
      </c>
      <c r="GH445" s="58">
        <f t="shared" si="679"/>
        <v>0</v>
      </c>
      <c r="GI445" s="58">
        <f t="shared" si="640"/>
        <v>0</v>
      </c>
      <c r="GK445" s="58">
        <f>IF(i_baseline_risk_from=2,'Effectiveness settings'!FA445,'Effectiveness settings'!FM445)</f>
        <v>2</v>
      </c>
      <c r="GL445" s="58">
        <f>IF(i_baseline_risk_from=2,'Effectiveness settings'!FB445,'Effectiveness settings'!FN445)</f>
        <v>999</v>
      </c>
      <c r="GM445" s="58">
        <f>IF(i_baseline_risk_from=2,'Effectiveness settings'!FC445,'Effectiveness settings'!FO445)</f>
        <v>2</v>
      </c>
      <c r="GN445" s="58">
        <f>IF(i_baseline_risk_from=2,'Effectiveness settings'!FD445,'Effectiveness settings'!FP445)</f>
        <v>4</v>
      </c>
      <c r="GQ445" s="58">
        <f t="shared" si="680"/>
        <v>999</v>
      </c>
      <c r="GR445" s="58">
        <f t="shared" si="681"/>
        <v>999</v>
      </c>
      <c r="GS445" s="58">
        <f t="shared" si="682"/>
        <v>999</v>
      </c>
      <c r="GT445" s="58">
        <f t="shared" si="683"/>
        <v>999</v>
      </c>
      <c r="GU445" s="58">
        <f>IF(AND(dd_CheckMate214_TTD="Yes",'Effectiveness settings'!BU445=2,'Effectiveness settings'!BX445=2),2,GT445)</f>
        <v>999</v>
      </c>
      <c r="GV445" s="58">
        <f t="shared" si="684"/>
        <v>999</v>
      </c>
      <c r="GW445" s="58">
        <f t="shared" si="685"/>
        <v>999</v>
      </c>
      <c r="GY445" s="58">
        <f>IF(AND(dd_CheckMate214_TTD="Yes",'Effectiveness settings'!BU445=2,'Effectiveness settings'!BX445=2),1,GN445)</f>
        <v>4</v>
      </c>
      <c r="GZ445" s="58">
        <f t="shared" si="686"/>
        <v>4</v>
      </c>
      <c r="HB445" s="58">
        <f t="shared" si="687"/>
        <v>0</v>
      </c>
      <c r="HD445" s="58">
        <f t="shared" si="635"/>
        <v>0</v>
      </c>
      <c r="HE445" s="58">
        <f t="shared" si="636"/>
        <v>2</v>
      </c>
      <c r="HF445" s="58">
        <f t="shared" si="637"/>
        <v>999</v>
      </c>
      <c r="HG445" s="58">
        <f t="shared" si="638"/>
        <v>2</v>
      </c>
      <c r="HH445" s="58">
        <f t="shared" si="639"/>
        <v>4</v>
      </c>
    </row>
    <row r="446" spans="69:216" ht="15.75" x14ac:dyDescent="0.25">
      <c r="BQ446" s="58">
        <f t="shared" si="667"/>
        <v>275</v>
      </c>
      <c r="BR446" s="61">
        <v>0</v>
      </c>
      <c r="BS446" s="61" t="s">
        <v>31</v>
      </c>
      <c r="BT446" s="17">
        <v>2</v>
      </c>
      <c r="BU446" s="17">
        <v>8</v>
      </c>
      <c r="BV446" s="17" t="str">
        <f t="shared" si="742"/>
        <v>cabozantinib</v>
      </c>
      <c r="BW446" s="1006" t="str" cm="1">
        <f t="array" ref="BW446">IF(X327="No",X327,INDEX(List_incl_anal_2L_all,IF(BU446=999,35,BU446+1)))</f>
        <v>No</v>
      </c>
      <c r="BX446" s="61">
        <f t="shared" si="743"/>
        <v>4</v>
      </c>
      <c r="BY446" s="531" t="str">
        <f t="shared" si="767"/>
        <v>Post progression survival</v>
      </c>
      <c r="BZ446" s="530">
        <f t="shared" si="744"/>
        <v>0</v>
      </c>
      <c r="CA446" s="531">
        <f t="shared" si="766"/>
        <v>0</v>
      </c>
      <c r="CB446" s="530">
        <f t="shared" si="745"/>
        <v>0</v>
      </c>
      <c r="CC446" s="530">
        <f t="shared" si="746"/>
        <v>2</v>
      </c>
      <c r="CD446" s="530">
        <f t="shared" si="747"/>
        <v>999</v>
      </c>
      <c r="CE446" s="1295">
        <f t="shared" si="748"/>
        <v>2</v>
      </c>
      <c r="CF446" s="1301">
        <f t="shared" si="749"/>
        <v>4</v>
      </c>
      <c r="CG446" s="530" t="str">
        <f t="shared" si="750"/>
        <v/>
      </c>
      <c r="CH446" s="61">
        <f t="shared" si="751"/>
        <v>0</v>
      </c>
      <c r="CI446" s="61">
        <f t="shared" si="752"/>
        <v>0</v>
      </c>
      <c r="CJ446" s="61">
        <f t="shared" si="753"/>
        <v>0</v>
      </c>
      <c r="DK446" s="58" t="str" cm="1">
        <f t="array" ref="DK446">IF(AND($BT446=4,$BX446=4,$BU446=999),$DB$36,_xlfn.IFNA(INDEX(DB$13:DB$70,MATCH(1,($BR446=$CV$13:$CV$70)*($BT446=$CX$13:$CX$70)*($CE446=$CY$13:$CY$70)*($BY446=$DA$13:$DA$70)*($CD446=$DH$13:$DH$70),0)),""))</f>
        <v/>
      </c>
      <c r="DL446" s="58" t="str" cm="1">
        <f t="array" ref="DL446">IF(AND($BT446=4,$BX446=4,$BU446=999),$DC$36,_xlfn.IFNA(INDEX(CHOOSE(DP446,DB$13:DB$70,DC$13:DC$70,DD$13:DD$70,DE$13:DE$70),MATCH(1,($BR446=$CV$13:$CV$70)*($BT446=$CX$13:$CX$70)*($CE446=$CY$13:$CY$70)*($BY446=$DA$13:$DA$70)*($CD446=$DH$13:$DH$70),0)),""))</f>
        <v/>
      </c>
      <c r="DM446" s="740" t="str" cm="1">
        <f t="array" ref="DM446">IF(AND($BT446=4,$BX446=4,$BU446=999),$DD$36,_xlfn.IFNA(INDEX(DD$13:DD$68,MATCH(1,($BR446=$CV$13:$CV$68)*($BT446=$CX$13:$CX$68)*($CE446=$CY$13:$CY$68)*($BY446=$DA$13:$DA$68)*($CD446=$DH$13:$DH$68),0)),""))</f>
        <v/>
      </c>
      <c r="DN446" s="740" t="str" cm="1">
        <f t="array" ref="DN446">IF(AND($BT446=4,$BX446=4,$BU446=999),$DD$36,_xlfn.IFNA(INDEX(DE$13:DE$68,MATCH(1,($BR446=$CV$13:$CV$68)*($BT446=$CX$13:$CX$68)*($CE446=$CY$13:$CY$68)*($BY446=$DA$13:$DA$68)*($CD446=$DH$13:$DH$68),0)),""))</f>
        <v/>
      </c>
      <c r="DO446" s="58" t="str" cm="1">
        <f t="array" ref="DO446">IF(AND($BT446=4,$BX446=4,$BU446=999),$DF$36,_xlfn.IFNA(INDEX(DF$13:DF$70,MATCH(1,($BR446=$CV$13:$CV$70)*($BT446=$CX$13:$CX$70)*($CE446=$CY$13:$CY$70)*($BY446=$DA$13:$DA$70)*($CD446=$DH$13:$DH$70),0)),""))</f>
        <v/>
      </c>
      <c r="DP446" s="58" t="e">
        <f t="shared" si="668"/>
        <v>#N/A</v>
      </c>
      <c r="DW446" s="58" t="s">
        <v>58</v>
      </c>
      <c r="DX446" s="58" t="s">
        <v>617</v>
      </c>
      <c r="DY446" s="58">
        <v>0</v>
      </c>
      <c r="DZ446" s="58">
        <v>0</v>
      </c>
      <c r="EB446" s="58">
        <v>0</v>
      </c>
      <c r="EC446" s="58">
        <v>2</v>
      </c>
      <c r="ED446" s="58">
        <v>999</v>
      </c>
      <c r="EE446" s="58">
        <v>2</v>
      </c>
      <c r="EF446" s="58">
        <v>4</v>
      </c>
      <c r="EI446" s="58" t="s">
        <v>58</v>
      </c>
      <c r="EJ446" s="58" t="s">
        <v>617</v>
      </c>
      <c r="EK446" s="58">
        <v>0</v>
      </c>
      <c r="EL446" s="58">
        <v>0</v>
      </c>
      <c r="EN446" s="58">
        <v>0</v>
      </c>
      <c r="EO446" s="58">
        <v>2</v>
      </c>
      <c r="EP446" s="58">
        <v>999</v>
      </c>
      <c r="EQ446" s="58">
        <v>2</v>
      </c>
      <c r="ER446" s="58">
        <v>4</v>
      </c>
      <c r="EU446" s="58" t="str">
        <f t="shared" si="754"/>
        <v>No</v>
      </c>
      <c r="EV446" s="58" t="str">
        <f t="shared" si="755"/>
        <v xml:space="preserve">Post progression survival </v>
      </c>
      <c r="EW446" s="58">
        <f t="shared" si="756"/>
        <v>0</v>
      </c>
      <c r="EX446" s="58">
        <f t="shared" si="757"/>
        <v>0</v>
      </c>
      <c r="EZ446" s="58">
        <f t="shared" si="758"/>
        <v>0</v>
      </c>
      <c r="FA446" s="58">
        <f t="shared" si="759"/>
        <v>2</v>
      </c>
      <c r="FB446" s="58">
        <f>IF(i_eff_inputs_based_on_num=2,ED446,(INDEX(Lists!$L$51:$L$85,MATCH(AD327,Lists!$K$51:$K$85,0))))</f>
        <v>999</v>
      </c>
      <c r="FC446" s="58">
        <f>IF(i_eff_inputs_based_on_num=2,EE446,(INDEX(Lists!$L$51:$L$85,MATCH(AE327,Lists!$K$51:$K$85,0))))</f>
        <v>2</v>
      </c>
      <c r="FD446" s="58">
        <f>IF(i_eff_inputs_based_on_num=2,EF446,(INDEX(Lists!$L$51:$L$85,MATCH(AF327,Lists!$K$51:$K$85,0))))</f>
        <v>4</v>
      </c>
      <c r="FG446" s="58" t="str">
        <f t="shared" si="760"/>
        <v>No</v>
      </c>
      <c r="FH446" s="58" t="str">
        <f t="shared" si="761"/>
        <v xml:space="preserve">Post progression survival </v>
      </c>
      <c r="FI446" s="58">
        <f t="shared" si="762"/>
        <v>0</v>
      </c>
      <c r="FJ446" s="58">
        <f t="shared" si="763"/>
        <v>0</v>
      </c>
      <c r="FL446" s="58">
        <f t="shared" si="764"/>
        <v>0</v>
      </c>
      <c r="FM446" s="58">
        <f t="shared" si="765"/>
        <v>2</v>
      </c>
      <c r="FN446" s="58">
        <f>IF(i_eff_inputs_based_on_num=2,EP446,(INDEX(Lists!$L$51:$L$85,MATCH(AD327,Lists!$K$51:$K$85,0))))</f>
        <v>999</v>
      </c>
      <c r="FO446" s="58">
        <f>IF(i_eff_inputs_based_on_num=2,EQ446,(INDEX(Lists!$L$51:$L$85,MATCH(AE327,Lists!$K$51:$K$85,0))))</f>
        <v>2</v>
      </c>
      <c r="FP446" s="58">
        <f>IF(i_eff_inputs_based_on_num=2,ER446,(INDEX(Lists!$L$51:$L$85,MATCH(AF327,Lists!$K$51:$K$85,0))))</f>
        <v>4</v>
      </c>
      <c r="FT446" s="58">
        <f t="shared" si="669"/>
        <v>0</v>
      </c>
      <c r="FW446" s="58">
        <f>IF(i_baseline_risk_from=2,'Effectiveness settings'!EW446,'Effectiveness settings'!FI446)</f>
        <v>0</v>
      </c>
      <c r="FX446" s="58">
        <f t="shared" si="670"/>
        <v>0</v>
      </c>
      <c r="FY446" s="58">
        <f t="shared" si="671"/>
        <v>0</v>
      </c>
      <c r="FZ446" s="58">
        <f t="shared" si="672"/>
        <v>0</v>
      </c>
      <c r="GA446" s="58">
        <f t="shared" si="673"/>
        <v>0</v>
      </c>
      <c r="GB446" s="58">
        <f t="shared" si="674"/>
        <v>0</v>
      </c>
      <c r="GC446" s="58">
        <f t="shared" si="675"/>
        <v>0</v>
      </c>
      <c r="GD446" s="58">
        <f t="shared" si="676"/>
        <v>0</v>
      </c>
      <c r="GE446" s="58">
        <f>IF(AND(dd_CheckMate214_TTD="Yes",'Effectiveness settings'!BU446=2,'Effectiveness settings'!BX446=2),"Apply HR to",GD446)</f>
        <v>0</v>
      </c>
      <c r="GF446" s="58">
        <f t="shared" si="677"/>
        <v>0</v>
      </c>
      <c r="GG446" s="58">
        <f t="shared" si="678"/>
        <v>0</v>
      </c>
      <c r="GH446" s="58">
        <f t="shared" si="679"/>
        <v>0</v>
      </c>
      <c r="GI446" s="58">
        <f t="shared" si="640"/>
        <v>0</v>
      </c>
      <c r="GK446" s="58">
        <f>IF(i_baseline_risk_from=2,'Effectiveness settings'!FA446,'Effectiveness settings'!FM446)</f>
        <v>2</v>
      </c>
      <c r="GL446" s="58">
        <f>IF(i_baseline_risk_from=2,'Effectiveness settings'!FB446,'Effectiveness settings'!FN446)</f>
        <v>999</v>
      </c>
      <c r="GM446" s="58">
        <f>IF(i_baseline_risk_from=2,'Effectiveness settings'!FC446,'Effectiveness settings'!FO446)</f>
        <v>2</v>
      </c>
      <c r="GN446" s="58">
        <f>IF(i_baseline_risk_from=2,'Effectiveness settings'!FD446,'Effectiveness settings'!FP446)</f>
        <v>4</v>
      </c>
      <c r="GQ446" s="58">
        <f t="shared" si="680"/>
        <v>999</v>
      </c>
      <c r="GR446" s="58">
        <f t="shared" si="681"/>
        <v>999</v>
      </c>
      <c r="GS446" s="58">
        <f t="shared" si="682"/>
        <v>999</v>
      </c>
      <c r="GT446" s="58">
        <f t="shared" si="683"/>
        <v>999</v>
      </c>
      <c r="GU446" s="58">
        <f>IF(AND(dd_CheckMate214_TTD="Yes",'Effectiveness settings'!BU446=2,'Effectiveness settings'!BX446=2),2,GT446)</f>
        <v>999</v>
      </c>
      <c r="GV446" s="58">
        <f t="shared" si="684"/>
        <v>999</v>
      </c>
      <c r="GW446" s="58">
        <f t="shared" si="685"/>
        <v>999</v>
      </c>
      <c r="GY446" s="58">
        <f>IF(AND(dd_CheckMate214_TTD="Yes",'Effectiveness settings'!BU446=2,'Effectiveness settings'!BX446=2),1,GN446)</f>
        <v>4</v>
      </c>
      <c r="GZ446" s="58">
        <f t="shared" si="686"/>
        <v>4</v>
      </c>
      <c r="HB446" s="58">
        <f t="shared" si="687"/>
        <v>0</v>
      </c>
      <c r="HD446" s="58">
        <f t="shared" si="635"/>
        <v>0</v>
      </c>
      <c r="HE446" s="58">
        <f t="shared" si="636"/>
        <v>2</v>
      </c>
      <c r="HF446" s="58">
        <f t="shared" si="637"/>
        <v>999</v>
      </c>
      <c r="HG446" s="58">
        <f t="shared" si="638"/>
        <v>2</v>
      </c>
      <c r="HH446" s="58">
        <f t="shared" si="639"/>
        <v>4</v>
      </c>
    </row>
    <row r="447" spans="69:216" ht="15.75" x14ac:dyDescent="0.25">
      <c r="BQ447" s="58">
        <f t="shared" si="667"/>
        <v>276</v>
      </c>
      <c r="BR447" s="61">
        <v>0</v>
      </c>
      <c r="BS447" s="61" t="s">
        <v>31</v>
      </c>
      <c r="BT447" s="17">
        <v>2</v>
      </c>
      <c r="BU447" s="17">
        <v>9</v>
      </c>
      <c r="BV447" s="17" t="str">
        <f t="shared" si="742"/>
        <v>lenvatinib_plus_everolimus</v>
      </c>
      <c r="BW447" s="1006" t="str" cm="1">
        <f t="array" ref="BW447">IF(X328="No",X328,INDEX(List_incl_anal_2L_all,IF(BU447=999,35,BU447+1)))</f>
        <v>No</v>
      </c>
      <c r="BX447" s="61">
        <f t="shared" si="743"/>
        <v>4</v>
      </c>
      <c r="BY447" s="531" t="str">
        <f t="shared" si="767"/>
        <v>Post progression survival</v>
      </c>
      <c r="BZ447" s="530">
        <f t="shared" si="744"/>
        <v>0</v>
      </c>
      <c r="CA447" s="531">
        <f t="shared" si="766"/>
        <v>0</v>
      </c>
      <c r="CB447" s="530">
        <f t="shared" si="745"/>
        <v>0</v>
      </c>
      <c r="CC447" s="530">
        <f t="shared" si="746"/>
        <v>2</v>
      </c>
      <c r="CD447" s="530">
        <f t="shared" si="747"/>
        <v>999</v>
      </c>
      <c r="CE447" s="1295">
        <f t="shared" si="748"/>
        <v>2</v>
      </c>
      <c r="CF447" s="1301">
        <f t="shared" si="749"/>
        <v>4</v>
      </c>
      <c r="CG447" s="530" t="str">
        <f t="shared" si="750"/>
        <v/>
      </c>
      <c r="CH447" s="61">
        <f t="shared" si="751"/>
        <v>0</v>
      </c>
      <c r="CI447" s="61">
        <f t="shared" si="752"/>
        <v>0</v>
      </c>
      <c r="CJ447" s="61">
        <f t="shared" si="753"/>
        <v>0</v>
      </c>
      <c r="DK447" s="58" t="str" cm="1">
        <f t="array" ref="DK447">IF(AND($BT447=4,$BX447=4,$BU447=999),$DB$36,_xlfn.IFNA(INDEX(DB$13:DB$70,MATCH(1,($BR447=$CV$13:$CV$70)*($BT447=$CX$13:$CX$70)*($CE447=$CY$13:$CY$70)*($BY447=$DA$13:$DA$70)*($CD447=$DH$13:$DH$70),0)),""))</f>
        <v/>
      </c>
      <c r="DL447" s="58" t="str" cm="1">
        <f t="array" ref="DL447">IF(AND($BT447=4,$BX447=4,$BU447=999),$DC$36,_xlfn.IFNA(INDEX(CHOOSE(DP447,DB$13:DB$70,DC$13:DC$70,DD$13:DD$70,DE$13:DE$70),MATCH(1,($BR447=$CV$13:$CV$70)*($BT447=$CX$13:$CX$70)*($CE447=$CY$13:$CY$70)*($BY447=$DA$13:$DA$70)*($CD447=$DH$13:$DH$70),0)),""))</f>
        <v/>
      </c>
      <c r="DM447" s="740" t="str" cm="1">
        <f t="array" ref="DM447">IF(AND($BT447=4,$BX447=4,$BU447=999),$DD$36,_xlfn.IFNA(INDEX(DD$13:DD$68,MATCH(1,($BR447=$CV$13:$CV$68)*($BT447=$CX$13:$CX$68)*($CE447=$CY$13:$CY$68)*($BY447=$DA$13:$DA$68)*($CD447=$DH$13:$DH$68),0)),""))</f>
        <v/>
      </c>
      <c r="DN447" s="740" t="str" cm="1">
        <f t="array" ref="DN447">IF(AND($BT447=4,$BX447=4,$BU447=999),$DD$36,_xlfn.IFNA(INDEX(DE$13:DE$68,MATCH(1,($BR447=$CV$13:$CV$68)*($BT447=$CX$13:$CX$68)*($CE447=$CY$13:$CY$68)*($BY447=$DA$13:$DA$68)*($CD447=$DH$13:$DH$68),0)),""))</f>
        <v/>
      </c>
      <c r="DO447" s="58" t="str" cm="1">
        <f t="array" ref="DO447">IF(AND($BT447=4,$BX447=4,$BU447=999),$DF$36,_xlfn.IFNA(INDEX(DF$13:DF$70,MATCH(1,($BR447=$CV$13:$CV$70)*($BT447=$CX$13:$CX$70)*($CE447=$CY$13:$CY$70)*($BY447=$DA$13:$DA$70)*($CD447=$DH$13:$DH$70),0)),""))</f>
        <v/>
      </c>
      <c r="DP447" s="58" t="e">
        <f t="shared" si="668"/>
        <v>#N/A</v>
      </c>
      <c r="DW447" s="58" t="s">
        <v>58</v>
      </c>
      <c r="DX447" s="58" t="s">
        <v>617</v>
      </c>
      <c r="DY447" s="58">
        <v>0</v>
      </c>
      <c r="DZ447" s="58">
        <v>0</v>
      </c>
      <c r="EB447" s="58">
        <v>0</v>
      </c>
      <c r="EC447" s="58">
        <v>2</v>
      </c>
      <c r="ED447" s="58">
        <v>999</v>
      </c>
      <c r="EE447" s="58">
        <v>2</v>
      </c>
      <c r="EF447" s="58">
        <v>4</v>
      </c>
      <c r="EI447" s="58" t="s">
        <v>58</v>
      </c>
      <c r="EJ447" s="58" t="s">
        <v>617</v>
      </c>
      <c r="EK447" s="58">
        <v>0</v>
      </c>
      <c r="EL447" s="58">
        <v>0</v>
      </c>
      <c r="EN447" s="58">
        <v>0</v>
      </c>
      <c r="EO447" s="58">
        <v>2</v>
      </c>
      <c r="EP447" s="58">
        <v>999</v>
      </c>
      <c r="EQ447" s="58">
        <v>2</v>
      </c>
      <c r="ER447" s="58">
        <v>4</v>
      </c>
      <c r="EU447" s="58" t="str">
        <f t="shared" si="754"/>
        <v>No</v>
      </c>
      <c r="EV447" s="58" t="str">
        <f t="shared" si="755"/>
        <v xml:space="preserve">Post progression survival </v>
      </c>
      <c r="EW447" s="58">
        <f t="shared" si="756"/>
        <v>0</v>
      </c>
      <c r="EX447" s="58">
        <f t="shared" si="757"/>
        <v>0</v>
      </c>
      <c r="EZ447" s="58">
        <f t="shared" si="758"/>
        <v>0</v>
      </c>
      <c r="FA447" s="58">
        <f t="shared" si="759"/>
        <v>2</v>
      </c>
      <c r="FB447" s="58">
        <f>IF(i_eff_inputs_based_on_num=2,ED447,(INDEX(Lists!$L$51:$L$85,MATCH(AD328,Lists!$K$51:$K$85,0))))</f>
        <v>999</v>
      </c>
      <c r="FC447" s="58">
        <f>IF(i_eff_inputs_based_on_num=2,EE447,(INDEX(Lists!$L$51:$L$85,MATCH(AE328,Lists!$K$51:$K$85,0))))</f>
        <v>2</v>
      </c>
      <c r="FD447" s="58">
        <f>IF(i_eff_inputs_based_on_num=2,EF447,(INDEX(Lists!$L$51:$L$85,MATCH(AF328,Lists!$K$51:$K$85,0))))</f>
        <v>4</v>
      </c>
      <c r="FG447" s="58" t="str">
        <f t="shared" si="760"/>
        <v>No</v>
      </c>
      <c r="FH447" s="58" t="str">
        <f t="shared" si="761"/>
        <v xml:space="preserve">Post progression survival </v>
      </c>
      <c r="FI447" s="58">
        <f t="shared" si="762"/>
        <v>0</v>
      </c>
      <c r="FJ447" s="58">
        <f t="shared" si="763"/>
        <v>0</v>
      </c>
      <c r="FL447" s="58">
        <f t="shared" si="764"/>
        <v>0</v>
      </c>
      <c r="FM447" s="58">
        <f t="shared" si="765"/>
        <v>2</v>
      </c>
      <c r="FN447" s="58">
        <f>IF(i_eff_inputs_based_on_num=2,EP447,(INDEX(Lists!$L$51:$L$85,MATCH(AD328,Lists!$K$51:$K$85,0))))</f>
        <v>999</v>
      </c>
      <c r="FO447" s="58">
        <f>IF(i_eff_inputs_based_on_num=2,EQ447,(INDEX(Lists!$L$51:$L$85,MATCH(AE328,Lists!$K$51:$K$85,0))))</f>
        <v>2</v>
      </c>
      <c r="FP447" s="58">
        <f>IF(i_eff_inputs_based_on_num=2,ER447,(INDEX(Lists!$L$51:$L$85,MATCH(AF328,Lists!$K$51:$K$85,0))))</f>
        <v>4</v>
      </c>
      <c r="FT447" s="58">
        <f t="shared" si="669"/>
        <v>0</v>
      </c>
      <c r="FW447" s="58">
        <f>IF(i_baseline_risk_from=2,'Effectiveness settings'!EW447,'Effectiveness settings'!FI447)</f>
        <v>0</v>
      </c>
      <c r="FX447" s="58">
        <f t="shared" si="670"/>
        <v>0</v>
      </c>
      <c r="FY447" s="58">
        <f t="shared" si="671"/>
        <v>0</v>
      </c>
      <c r="FZ447" s="58">
        <f t="shared" si="672"/>
        <v>0</v>
      </c>
      <c r="GA447" s="58">
        <f t="shared" si="673"/>
        <v>0</v>
      </c>
      <c r="GB447" s="58">
        <f t="shared" si="674"/>
        <v>0</v>
      </c>
      <c r="GC447" s="58">
        <f t="shared" si="675"/>
        <v>0</v>
      </c>
      <c r="GD447" s="58">
        <f t="shared" si="676"/>
        <v>0</v>
      </c>
      <c r="GE447" s="58">
        <f>IF(AND(dd_CheckMate214_TTD="Yes",'Effectiveness settings'!BU447=2,'Effectiveness settings'!BX447=2),"Apply HR to",GD447)</f>
        <v>0</v>
      </c>
      <c r="GF447" s="58">
        <f t="shared" si="677"/>
        <v>0</v>
      </c>
      <c r="GG447" s="58">
        <f t="shared" si="678"/>
        <v>0</v>
      </c>
      <c r="GH447" s="58">
        <f t="shared" si="679"/>
        <v>0</v>
      </c>
      <c r="GI447" s="58">
        <f t="shared" si="640"/>
        <v>0</v>
      </c>
      <c r="GK447" s="58">
        <f>IF(i_baseline_risk_from=2,'Effectiveness settings'!FA447,'Effectiveness settings'!FM447)</f>
        <v>2</v>
      </c>
      <c r="GL447" s="58">
        <f>IF(i_baseline_risk_from=2,'Effectiveness settings'!FB447,'Effectiveness settings'!FN447)</f>
        <v>999</v>
      </c>
      <c r="GM447" s="58">
        <f>IF(i_baseline_risk_from=2,'Effectiveness settings'!FC447,'Effectiveness settings'!FO447)</f>
        <v>2</v>
      </c>
      <c r="GN447" s="58">
        <f>IF(i_baseline_risk_from=2,'Effectiveness settings'!FD447,'Effectiveness settings'!FP447)</f>
        <v>4</v>
      </c>
      <c r="GQ447" s="58">
        <f t="shared" si="680"/>
        <v>999</v>
      </c>
      <c r="GR447" s="58">
        <f t="shared" si="681"/>
        <v>999</v>
      </c>
      <c r="GS447" s="58">
        <f t="shared" si="682"/>
        <v>999</v>
      </c>
      <c r="GT447" s="58">
        <f t="shared" si="683"/>
        <v>999</v>
      </c>
      <c r="GU447" s="58">
        <f>IF(AND(dd_CheckMate214_TTD="Yes",'Effectiveness settings'!BU447=2,'Effectiveness settings'!BX447=2),2,GT447)</f>
        <v>999</v>
      </c>
      <c r="GV447" s="58">
        <f t="shared" si="684"/>
        <v>999</v>
      </c>
      <c r="GW447" s="58">
        <f t="shared" si="685"/>
        <v>999</v>
      </c>
      <c r="GY447" s="58">
        <f>IF(AND(dd_CheckMate214_TTD="Yes",'Effectiveness settings'!BU447=2,'Effectiveness settings'!BX447=2),1,GN447)</f>
        <v>4</v>
      </c>
      <c r="GZ447" s="58">
        <f t="shared" si="686"/>
        <v>4</v>
      </c>
      <c r="HB447" s="58">
        <f t="shared" si="687"/>
        <v>0</v>
      </c>
      <c r="HD447" s="58">
        <f t="shared" si="635"/>
        <v>0</v>
      </c>
      <c r="HE447" s="58">
        <f t="shared" si="636"/>
        <v>2</v>
      </c>
      <c r="HF447" s="58">
        <f t="shared" si="637"/>
        <v>999</v>
      </c>
      <c r="HG447" s="58">
        <f t="shared" si="638"/>
        <v>2</v>
      </c>
      <c r="HH447" s="58">
        <f t="shared" si="639"/>
        <v>4</v>
      </c>
    </row>
    <row r="448" spans="69:216" ht="15.75" x14ac:dyDescent="0.25">
      <c r="BQ448" s="58">
        <f t="shared" si="667"/>
        <v>277</v>
      </c>
      <c r="BR448" s="61">
        <v>0</v>
      </c>
      <c r="BS448" s="61" t="s">
        <v>31</v>
      </c>
      <c r="BT448" s="17">
        <v>2</v>
      </c>
      <c r="BU448" s="17">
        <v>10</v>
      </c>
      <c r="BV448" s="17" t="str">
        <f t="shared" si="742"/>
        <v>everolimus</v>
      </c>
      <c r="BW448" s="1006" t="str" cm="1">
        <f t="array" ref="BW448">IF(X329="No",X329,INDEX(List_incl_anal_2L_all,IF(BU448=999,35,BU448+1)))</f>
        <v>No</v>
      </c>
      <c r="BX448" s="61">
        <f t="shared" si="743"/>
        <v>4</v>
      </c>
      <c r="BY448" s="531" t="str">
        <f t="shared" si="767"/>
        <v>Post progression survival</v>
      </c>
      <c r="BZ448" s="530">
        <f t="shared" si="744"/>
        <v>0</v>
      </c>
      <c r="CA448" s="531">
        <f t="shared" si="766"/>
        <v>0</v>
      </c>
      <c r="CB448" s="530">
        <f t="shared" si="745"/>
        <v>0</v>
      </c>
      <c r="CC448" s="530">
        <f t="shared" si="746"/>
        <v>2</v>
      </c>
      <c r="CD448" s="530">
        <f t="shared" si="747"/>
        <v>999</v>
      </c>
      <c r="CE448" s="1295">
        <f t="shared" si="748"/>
        <v>2</v>
      </c>
      <c r="CF448" s="1301">
        <f t="shared" si="749"/>
        <v>4</v>
      </c>
      <c r="CG448" s="530" t="str">
        <f t="shared" si="750"/>
        <v/>
      </c>
      <c r="CH448" s="61">
        <f t="shared" si="751"/>
        <v>0</v>
      </c>
      <c r="CI448" s="61">
        <f t="shared" si="752"/>
        <v>0</v>
      </c>
      <c r="CJ448" s="61">
        <f t="shared" si="753"/>
        <v>0</v>
      </c>
      <c r="DK448" s="58" t="str" cm="1">
        <f t="array" ref="DK448">IF(AND($BT448=4,$BX448=4,$BU448=999),$DB$36,_xlfn.IFNA(INDEX(DB$13:DB$70,MATCH(1,($BR448=$CV$13:$CV$70)*($BT448=$CX$13:$CX$70)*($CE448=$CY$13:$CY$70)*($BY448=$DA$13:$DA$70)*($CD448=$DH$13:$DH$70),0)),""))</f>
        <v/>
      </c>
      <c r="DL448" s="58" t="str" cm="1">
        <f t="array" ref="DL448">IF(AND($BT448=4,$BX448=4,$BU448=999),$DC$36,_xlfn.IFNA(INDEX(CHOOSE(DP448,DB$13:DB$70,DC$13:DC$70,DD$13:DD$70,DE$13:DE$70),MATCH(1,($BR448=$CV$13:$CV$70)*($BT448=$CX$13:$CX$70)*($CE448=$CY$13:$CY$70)*($BY448=$DA$13:$DA$70)*($CD448=$DH$13:$DH$70),0)),""))</f>
        <v/>
      </c>
      <c r="DM448" s="740" t="str" cm="1">
        <f t="array" ref="DM448">IF(AND($BT448=4,$BX448=4,$BU448=999),$DD$36,_xlfn.IFNA(INDEX(DD$13:DD$68,MATCH(1,($BR448=$CV$13:$CV$68)*($BT448=$CX$13:$CX$68)*($CE448=$CY$13:$CY$68)*($BY448=$DA$13:$DA$68)*($CD448=$DH$13:$DH$68),0)),""))</f>
        <v/>
      </c>
      <c r="DN448" s="740" t="str" cm="1">
        <f t="array" ref="DN448">IF(AND($BT448=4,$BX448=4,$BU448=999),$DD$36,_xlfn.IFNA(INDEX(DE$13:DE$68,MATCH(1,($BR448=$CV$13:$CV$68)*($BT448=$CX$13:$CX$68)*($CE448=$CY$13:$CY$68)*($BY448=$DA$13:$DA$68)*($CD448=$DH$13:$DH$68),0)),""))</f>
        <v/>
      </c>
      <c r="DO448" s="58" t="str" cm="1">
        <f t="array" ref="DO448">IF(AND($BT448=4,$BX448=4,$BU448=999),$DF$36,_xlfn.IFNA(INDEX(DF$13:DF$70,MATCH(1,($BR448=$CV$13:$CV$70)*($BT448=$CX$13:$CX$70)*($CE448=$CY$13:$CY$70)*($BY448=$DA$13:$DA$70)*($CD448=$DH$13:$DH$70),0)),""))</f>
        <v/>
      </c>
      <c r="DP448" s="58" t="e">
        <f t="shared" si="668"/>
        <v>#N/A</v>
      </c>
      <c r="DW448" s="58" t="s">
        <v>58</v>
      </c>
      <c r="DX448" s="58" t="s">
        <v>617</v>
      </c>
      <c r="DY448" s="58">
        <v>0</v>
      </c>
      <c r="DZ448" s="58">
        <v>0</v>
      </c>
      <c r="EB448" s="58">
        <v>0</v>
      </c>
      <c r="EC448" s="58">
        <v>2</v>
      </c>
      <c r="ED448" s="58">
        <v>999</v>
      </c>
      <c r="EE448" s="58">
        <v>2</v>
      </c>
      <c r="EF448" s="58">
        <v>4</v>
      </c>
      <c r="EI448" s="58" t="s">
        <v>58</v>
      </c>
      <c r="EJ448" s="58" t="s">
        <v>617</v>
      </c>
      <c r="EK448" s="58">
        <v>0</v>
      </c>
      <c r="EL448" s="58">
        <v>0</v>
      </c>
      <c r="EN448" s="58">
        <v>0</v>
      </c>
      <c r="EO448" s="58">
        <v>2</v>
      </c>
      <c r="EP448" s="58">
        <v>999</v>
      </c>
      <c r="EQ448" s="58">
        <v>2</v>
      </c>
      <c r="ER448" s="58">
        <v>4</v>
      </c>
      <c r="EU448" s="58" t="str">
        <f t="shared" si="754"/>
        <v>No</v>
      </c>
      <c r="EV448" s="58" t="str">
        <f t="shared" si="755"/>
        <v xml:space="preserve">Post progression survival </v>
      </c>
      <c r="EW448" s="58">
        <f t="shared" si="756"/>
        <v>0</v>
      </c>
      <c r="EX448" s="58">
        <f t="shared" si="757"/>
        <v>0</v>
      </c>
      <c r="EZ448" s="58">
        <f t="shared" si="758"/>
        <v>0</v>
      </c>
      <c r="FA448" s="58">
        <f t="shared" si="759"/>
        <v>2</v>
      </c>
      <c r="FB448" s="58">
        <f>IF(i_eff_inputs_based_on_num=2,ED448,(INDEX(Lists!$L$51:$L$85,MATCH(AD329,Lists!$K$51:$K$85,0))))</f>
        <v>999</v>
      </c>
      <c r="FC448" s="58">
        <f>IF(i_eff_inputs_based_on_num=2,EE448,(INDEX(Lists!$L$51:$L$85,MATCH(AE329,Lists!$K$51:$K$85,0))))</f>
        <v>2</v>
      </c>
      <c r="FD448" s="58">
        <f>IF(i_eff_inputs_based_on_num=2,EF448,(INDEX(Lists!$L$51:$L$85,MATCH(AF329,Lists!$K$51:$K$85,0))))</f>
        <v>4</v>
      </c>
      <c r="FG448" s="58" t="str">
        <f t="shared" si="760"/>
        <v>No</v>
      </c>
      <c r="FH448" s="58" t="str">
        <f t="shared" si="761"/>
        <v xml:space="preserve">Post progression survival </v>
      </c>
      <c r="FI448" s="58">
        <f t="shared" si="762"/>
        <v>0</v>
      </c>
      <c r="FJ448" s="58">
        <f t="shared" si="763"/>
        <v>0</v>
      </c>
      <c r="FL448" s="58">
        <f t="shared" si="764"/>
        <v>0</v>
      </c>
      <c r="FM448" s="58">
        <f t="shared" si="765"/>
        <v>2</v>
      </c>
      <c r="FN448" s="58">
        <f>IF(i_eff_inputs_based_on_num=2,EP448,(INDEX(Lists!$L$51:$L$85,MATCH(AD329,Lists!$K$51:$K$85,0))))</f>
        <v>999</v>
      </c>
      <c r="FO448" s="58">
        <f>IF(i_eff_inputs_based_on_num=2,EQ448,(INDEX(Lists!$L$51:$L$85,MATCH(AE329,Lists!$K$51:$K$85,0))))</f>
        <v>2</v>
      </c>
      <c r="FP448" s="58">
        <f>IF(i_eff_inputs_based_on_num=2,ER448,(INDEX(Lists!$L$51:$L$85,MATCH(AF329,Lists!$K$51:$K$85,0))))</f>
        <v>4</v>
      </c>
      <c r="FT448" s="58">
        <f t="shared" si="669"/>
        <v>0</v>
      </c>
      <c r="FW448" s="58">
        <f>IF(i_baseline_risk_from=2,'Effectiveness settings'!EW448,'Effectiveness settings'!FI448)</f>
        <v>0</v>
      </c>
      <c r="FX448" s="58">
        <f t="shared" si="670"/>
        <v>0</v>
      </c>
      <c r="FY448" s="58">
        <f t="shared" si="671"/>
        <v>0</v>
      </c>
      <c r="FZ448" s="58">
        <f t="shared" si="672"/>
        <v>0</v>
      </c>
      <c r="GA448" s="58">
        <f t="shared" si="673"/>
        <v>0</v>
      </c>
      <c r="GB448" s="58">
        <f t="shared" si="674"/>
        <v>0</v>
      </c>
      <c r="GC448" s="58">
        <f t="shared" si="675"/>
        <v>0</v>
      </c>
      <c r="GD448" s="58">
        <f t="shared" si="676"/>
        <v>0</v>
      </c>
      <c r="GE448" s="58">
        <f>IF(AND(dd_CheckMate214_TTD="Yes",'Effectiveness settings'!BU448=2,'Effectiveness settings'!BX448=2),"Apply HR to",GD448)</f>
        <v>0</v>
      </c>
      <c r="GF448" s="58">
        <f t="shared" si="677"/>
        <v>0</v>
      </c>
      <c r="GG448" s="58">
        <f t="shared" si="678"/>
        <v>0</v>
      </c>
      <c r="GH448" s="58">
        <f t="shared" si="679"/>
        <v>0</v>
      </c>
      <c r="GI448" s="58">
        <f t="shared" si="640"/>
        <v>0</v>
      </c>
      <c r="GK448" s="58">
        <f>IF(i_baseline_risk_from=2,'Effectiveness settings'!FA448,'Effectiveness settings'!FM448)</f>
        <v>2</v>
      </c>
      <c r="GL448" s="58">
        <f>IF(i_baseline_risk_from=2,'Effectiveness settings'!FB448,'Effectiveness settings'!FN448)</f>
        <v>999</v>
      </c>
      <c r="GM448" s="58">
        <f>IF(i_baseline_risk_from=2,'Effectiveness settings'!FC448,'Effectiveness settings'!FO448)</f>
        <v>2</v>
      </c>
      <c r="GN448" s="58">
        <f>IF(i_baseline_risk_from=2,'Effectiveness settings'!FD448,'Effectiveness settings'!FP448)</f>
        <v>4</v>
      </c>
      <c r="GQ448" s="58">
        <f t="shared" si="680"/>
        <v>999</v>
      </c>
      <c r="GR448" s="58">
        <f t="shared" si="681"/>
        <v>999</v>
      </c>
      <c r="GS448" s="58">
        <f t="shared" si="682"/>
        <v>999</v>
      </c>
      <c r="GT448" s="58">
        <f t="shared" si="683"/>
        <v>999</v>
      </c>
      <c r="GU448" s="58">
        <f>IF(AND(dd_CheckMate214_TTD="Yes",'Effectiveness settings'!BU448=2,'Effectiveness settings'!BX448=2),2,GT448)</f>
        <v>999</v>
      </c>
      <c r="GV448" s="58">
        <f t="shared" si="684"/>
        <v>999</v>
      </c>
      <c r="GW448" s="58">
        <f t="shared" si="685"/>
        <v>999</v>
      </c>
      <c r="GY448" s="58">
        <f>IF(AND(dd_CheckMate214_TTD="Yes",'Effectiveness settings'!BU448=2,'Effectiveness settings'!BX448=2),1,GN448)</f>
        <v>4</v>
      </c>
      <c r="GZ448" s="58">
        <f t="shared" si="686"/>
        <v>4</v>
      </c>
      <c r="HB448" s="58">
        <f t="shared" si="687"/>
        <v>0</v>
      </c>
      <c r="HD448" s="58">
        <f t="shared" si="635"/>
        <v>0</v>
      </c>
      <c r="HE448" s="58">
        <f t="shared" si="636"/>
        <v>2</v>
      </c>
      <c r="HF448" s="58">
        <f t="shared" si="637"/>
        <v>999</v>
      </c>
      <c r="HG448" s="58">
        <f t="shared" si="638"/>
        <v>2</v>
      </c>
      <c r="HH448" s="58">
        <f t="shared" si="639"/>
        <v>4</v>
      </c>
    </row>
    <row r="449" spans="69:216" ht="15.75" x14ac:dyDescent="0.25">
      <c r="BQ449" s="58">
        <f t="shared" si="667"/>
        <v>278</v>
      </c>
      <c r="BR449" s="61">
        <v>0</v>
      </c>
      <c r="BS449" s="61" t="s">
        <v>31</v>
      </c>
      <c r="BT449" s="17">
        <v>2</v>
      </c>
      <c r="BU449" s="17">
        <v>11</v>
      </c>
      <c r="BV449" s="17" t="str">
        <f t="shared" si="742"/>
        <v>axitinib</v>
      </c>
      <c r="BW449" s="1006" t="str" cm="1">
        <f t="array" ref="BW449">IF(X330="No",X330,INDEX(List_incl_anal_2L_all,IF(BU449=999,35,BU449+1)))</f>
        <v>No</v>
      </c>
      <c r="BX449" s="61">
        <f t="shared" si="743"/>
        <v>4</v>
      </c>
      <c r="BY449" s="531" t="str">
        <f t="shared" si="767"/>
        <v>Post progression survival</v>
      </c>
      <c r="BZ449" s="530">
        <f t="shared" si="744"/>
        <v>0</v>
      </c>
      <c r="CA449" s="531">
        <f t="shared" si="766"/>
        <v>0</v>
      </c>
      <c r="CB449" s="530">
        <f t="shared" si="745"/>
        <v>0</v>
      </c>
      <c r="CC449" s="530">
        <f t="shared" si="746"/>
        <v>2</v>
      </c>
      <c r="CD449" s="530">
        <f t="shared" si="747"/>
        <v>999</v>
      </c>
      <c r="CE449" s="1295">
        <f t="shared" si="748"/>
        <v>2</v>
      </c>
      <c r="CF449" s="1301">
        <f t="shared" si="749"/>
        <v>4</v>
      </c>
      <c r="CG449" s="530" t="str">
        <f t="shared" si="750"/>
        <v/>
      </c>
      <c r="CH449" s="61">
        <f t="shared" si="751"/>
        <v>0</v>
      </c>
      <c r="CI449" s="61">
        <f t="shared" si="752"/>
        <v>0</v>
      </c>
      <c r="CJ449" s="61">
        <f t="shared" si="753"/>
        <v>0</v>
      </c>
      <c r="DK449" s="58" t="str" cm="1">
        <f t="array" ref="DK449">IF(AND($BT449=4,$BX449=4,$BU449=999),$DB$36,_xlfn.IFNA(INDEX(DB$13:DB$70,MATCH(1,($BR449=$CV$13:$CV$70)*($BT449=$CX$13:$CX$70)*($CE449=$CY$13:$CY$70)*($BY449=$DA$13:$DA$70)*($CD449=$DH$13:$DH$70),0)),""))</f>
        <v/>
      </c>
      <c r="DL449" s="58" t="str" cm="1">
        <f t="array" ref="DL449">IF(AND($BT449=4,$BX449=4,$BU449=999),$DC$36,_xlfn.IFNA(INDEX(CHOOSE(DP449,DB$13:DB$70,DC$13:DC$70,DD$13:DD$70,DE$13:DE$70),MATCH(1,($BR449=$CV$13:$CV$70)*($BT449=$CX$13:$CX$70)*($CE449=$CY$13:$CY$70)*($BY449=$DA$13:$DA$70)*($CD449=$DH$13:$DH$70),0)),""))</f>
        <v/>
      </c>
      <c r="DM449" s="740" t="str" cm="1">
        <f t="array" ref="DM449">IF(AND($BT449=4,$BX449=4,$BU449=999),$DD$36,_xlfn.IFNA(INDEX(DD$13:DD$68,MATCH(1,($BR449=$CV$13:$CV$68)*($BT449=$CX$13:$CX$68)*($CE449=$CY$13:$CY$68)*($BY449=$DA$13:$DA$68)*($CD449=$DH$13:$DH$68),0)),""))</f>
        <v/>
      </c>
      <c r="DN449" s="740" t="str" cm="1">
        <f t="array" ref="DN449">IF(AND($BT449=4,$BX449=4,$BU449=999),$DD$36,_xlfn.IFNA(INDEX(DE$13:DE$68,MATCH(1,($BR449=$CV$13:$CV$68)*($BT449=$CX$13:$CX$68)*($CE449=$CY$13:$CY$68)*($BY449=$DA$13:$DA$68)*($CD449=$DH$13:$DH$68),0)),""))</f>
        <v/>
      </c>
      <c r="DO449" s="58" t="str" cm="1">
        <f t="array" ref="DO449">IF(AND($BT449=4,$BX449=4,$BU449=999),$DF$36,_xlfn.IFNA(INDEX(DF$13:DF$70,MATCH(1,($BR449=$CV$13:$CV$70)*($BT449=$CX$13:$CX$70)*($CE449=$CY$13:$CY$70)*($BY449=$DA$13:$DA$70)*($CD449=$DH$13:$DH$70),0)),""))</f>
        <v/>
      </c>
      <c r="DP449" s="58" t="e">
        <f t="shared" si="668"/>
        <v>#N/A</v>
      </c>
      <c r="DW449" s="58" t="s">
        <v>58</v>
      </c>
      <c r="DX449" s="58" t="s">
        <v>617</v>
      </c>
      <c r="DY449" s="58">
        <v>0</v>
      </c>
      <c r="DZ449" s="58">
        <v>0</v>
      </c>
      <c r="EB449" s="58">
        <v>0</v>
      </c>
      <c r="EC449" s="58">
        <v>2</v>
      </c>
      <c r="ED449" s="58">
        <v>999</v>
      </c>
      <c r="EE449" s="58">
        <v>2</v>
      </c>
      <c r="EF449" s="58">
        <v>4</v>
      </c>
      <c r="EI449" s="58" t="s">
        <v>58</v>
      </c>
      <c r="EJ449" s="58" t="s">
        <v>617</v>
      </c>
      <c r="EK449" s="58">
        <v>0</v>
      </c>
      <c r="EL449" s="58">
        <v>0</v>
      </c>
      <c r="EN449" s="58">
        <v>0</v>
      </c>
      <c r="EO449" s="58">
        <v>2</v>
      </c>
      <c r="EP449" s="58">
        <v>999</v>
      </c>
      <c r="EQ449" s="58">
        <v>2</v>
      </c>
      <c r="ER449" s="58">
        <v>4</v>
      </c>
      <c r="EU449" s="58" t="str">
        <f t="shared" si="754"/>
        <v>No</v>
      </c>
      <c r="EV449" s="58" t="str">
        <f t="shared" si="755"/>
        <v xml:space="preserve">Post progression survival </v>
      </c>
      <c r="EW449" s="58">
        <f t="shared" si="756"/>
        <v>0</v>
      </c>
      <c r="EX449" s="58">
        <f t="shared" si="757"/>
        <v>0</v>
      </c>
      <c r="EZ449" s="58">
        <f t="shared" si="758"/>
        <v>0</v>
      </c>
      <c r="FA449" s="58">
        <f t="shared" si="759"/>
        <v>2</v>
      </c>
      <c r="FB449" s="58">
        <f>IF(i_eff_inputs_based_on_num=2,ED449,(INDEX(Lists!$L$51:$L$85,MATCH(AD330,Lists!$K$51:$K$85,0))))</f>
        <v>999</v>
      </c>
      <c r="FC449" s="58">
        <f>IF(i_eff_inputs_based_on_num=2,EE449,(INDEX(Lists!$L$51:$L$85,MATCH(AE330,Lists!$K$51:$K$85,0))))</f>
        <v>2</v>
      </c>
      <c r="FD449" s="58">
        <f>IF(i_eff_inputs_based_on_num=2,EF449,(INDEX(Lists!$L$51:$L$85,MATCH(AF330,Lists!$K$51:$K$85,0))))</f>
        <v>4</v>
      </c>
      <c r="FG449" s="58" t="str">
        <f t="shared" si="760"/>
        <v>No</v>
      </c>
      <c r="FH449" s="58" t="str">
        <f t="shared" si="761"/>
        <v xml:space="preserve">Post progression survival </v>
      </c>
      <c r="FI449" s="58">
        <f t="shared" si="762"/>
        <v>0</v>
      </c>
      <c r="FJ449" s="58">
        <f t="shared" si="763"/>
        <v>0</v>
      </c>
      <c r="FL449" s="58">
        <f t="shared" si="764"/>
        <v>0</v>
      </c>
      <c r="FM449" s="58">
        <f t="shared" si="765"/>
        <v>2</v>
      </c>
      <c r="FN449" s="58">
        <f>IF(i_eff_inputs_based_on_num=2,EP449,(INDEX(Lists!$L$51:$L$85,MATCH(AD330,Lists!$K$51:$K$85,0))))</f>
        <v>999</v>
      </c>
      <c r="FO449" s="58">
        <f>IF(i_eff_inputs_based_on_num=2,EQ449,(INDEX(Lists!$L$51:$L$85,MATCH(AE330,Lists!$K$51:$K$85,0))))</f>
        <v>2</v>
      </c>
      <c r="FP449" s="58">
        <f>IF(i_eff_inputs_based_on_num=2,ER449,(INDEX(Lists!$L$51:$L$85,MATCH(AF330,Lists!$K$51:$K$85,0))))</f>
        <v>4</v>
      </c>
      <c r="FT449" s="58">
        <f t="shared" si="669"/>
        <v>0</v>
      </c>
      <c r="FW449" s="58">
        <f>IF(i_baseline_risk_from=2,'Effectiveness settings'!EW449,'Effectiveness settings'!FI449)</f>
        <v>0</v>
      </c>
      <c r="FX449" s="58">
        <f t="shared" si="670"/>
        <v>0</v>
      </c>
      <c r="FY449" s="58">
        <f t="shared" si="671"/>
        <v>0</v>
      </c>
      <c r="FZ449" s="58">
        <f t="shared" si="672"/>
        <v>0</v>
      </c>
      <c r="GA449" s="58">
        <f t="shared" si="673"/>
        <v>0</v>
      </c>
      <c r="GB449" s="58">
        <f t="shared" si="674"/>
        <v>0</v>
      </c>
      <c r="GC449" s="58">
        <f t="shared" si="675"/>
        <v>0</v>
      </c>
      <c r="GD449" s="58">
        <f t="shared" si="676"/>
        <v>0</v>
      </c>
      <c r="GE449" s="58">
        <f>IF(AND(dd_CheckMate214_TTD="Yes",'Effectiveness settings'!BU449=2,'Effectiveness settings'!BX449=2),"Apply HR to",GD449)</f>
        <v>0</v>
      </c>
      <c r="GF449" s="58">
        <f t="shared" si="677"/>
        <v>0</v>
      </c>
      <c r="GG449" s="58">
        <f t="shared" si="678"/>
        <v>0</v>
      </c>
      <c r="GH449" s="58">
        <f t="shared" si="679"/>
        <v>0</v>
      </c>
      <c r="GI449" s="58">
        <f t="shared" si="640"/>
        <v>0</v>
      </c>
      <c r="GK449" s="58">
        <f>IF(i_baseline_risk_from=2,'Effectiveness settings'!FA449,'Effectiveness settings'!FM449)</f>
        <v>2</v>
      </c>
      <c r="GL449" s="58">
        <f>IF(i_baseline_risk_from=2,'Effectiveness settings'!FB449,'Effectiveness settings'!FN449)</f>
        <v>999</v>
      </c>
      <c r="GM449" s="58">
        <f>IF(i_baseline_risk_from=2,'Effectiveness settings'!FC449,'Effectiveness settings'!FO449)</f>
        <v>2</v>
      </c>
      <c r="GN449" s="58">
        <f>IF(i_baseline_risk_from=2,'Effectiveness settings'!FD449,'Effectiveness settings'!FP449)</f>
        <v>4</v>
      </c>
      <c r="GQ449" s="58">
        <f t="shared" si="680"/>
        <v>999</v>
      </c>
      <c r="GR449" s="58">
        <f t="shared" si="681"/>
        <v>999</v>
      </c>
      <c r="GS449" s="58">
        <f t="shared" si="682"/>
        <v>999</v>
      </c>
      <c r="GT449" s="58">
        <f t="shared" si="683"/>
        <v>999</v>
      </c>
      <c r="GU449" s="58">
        <f>IF(AND(dd_CheckMate214_TTD="Yes",'Effectiveness settings'!BU449=2,'Effectiveness settings'!BX449=2),2,GT449)</f>
        <v>999</v>
      </c>
      <c r="GV449" s="58">
        <f t="shared" si="684"/>
        <v>999</v>
      </c>
      <c r="GW449" s="58">
        <f t="shared" si="685"/>
        <v>999</v>
      </c>
      <c r="GY449" s="58">
        <f>IF(AND(dd_CheckMate214_TTD="Yes",'Effectiveness settings'!BU449=2,'Effectiveness settings'!BX449=2),1,GN449)</f>
        <v>4</v>
      </c>
      <c r="GZ449" s="58">
        <f t="shared" si="686"/>
        <v>4</v>
      </c>
      <c r="HB449" s="58">
        <f t="shared" si="687"/>
        <v>0</v>
      </c>
      <c r="HD449" s="58">
        <f t="shared" si="635"/>
        <v>0</v>
      </c>
      <c r="HE449" s="58">
        <f t="shared" si="636"/>
        <v>2</v>
      </c>
      <c r="HF449" s="58">
        <f t="shared" si="637"/>
        <v>999</v>
      </c>
      <c r="HG449" s="58">
        <f t="shared" si="638"/>
        <v>2</v>
      </c>
      <c r="HH449" s="58">
        <f t="shared" si="639"/>
        <v>4</v>
      </c>
    </row>
    <row r="450" spans="69:216" ht="15.75" x14ac:dyDescent="0.25">
      <c r="BQ450" s="58">
        <f t="shared" si="667"/>
        <v>279</v>
      </c>
      <c r="BR450" s="61">
        <v>0</v>
      </c>
      <c r="BS450" s="61" t="s">
        <v>31</v>
      </c>
      <c r="BT450" s="17">
        <v>2</v>
      </c>
      <c r="BU450" s="17">
        <v>12</v>
      </c>
      <c r="BV450" s="17" t="str">
        <f t="shared" si="742"/>
        <v>sorafenib</v>
      </c>
      <c r="BW450" s="1006" t="str" cm="1">
        <f t="array" ref="BW450">IF(X331="No",X331,INDEX(List_incl_anal_2L_all,IF(BU450=999,35,BU450+1)))</f>
        <v>No</v>
      </c>
      <c r="BX450" s="61">
        <f t="shared" si="743"/>
        <v>4</v>
      </c>
      <c r="BY450" s="531" t="str">
        <f t="shared" si="767"/>
        <v>Post progression survival</v>
      </c>
      <c r="BZ450" s="530">
        <f t="shared" si="744"/>
        <v>0</v>
      </c>
      <c r="CA450" s="531">
        <f t="shared" si="766"/>
        <v>0</v>
      </c>
      <c r="CB450" s="530">
        <f t="shared" si="745"/>
        <v>0</v>
      </c>
      <c r="CC450" s="530">
        <f t="shared" si="746"/>
        <v>2</v>
      </c>
      <c r="CD450" s="530">
        <f t="shared" si="747"/>
        <v>999</v>
      </c>
      <c r="CE450" s="1295">
        <f t="shared" si="748"/>
        <v>2</v>
      </c>
      <c r="CF450" s="1301">
        <f t="shared" si="749"/>
        <v>4</v>
      </c>
      <c r="CG450" s="530" t="str">
        <f t="shared" si="750"/>
        <v/>
      </c>
      <c r="CH450" s="61">
        <f t="shared" si="751"/>
        <v>0</v>
      </c>
      <c r="CI450" s="61">
        <f t="shared" si="752"/>
        <v>0</v>
      </c>
      <c r="CJ450" s="61">
        <f t="shared" si="753"/>
        <v>0</v>
      </c>
      <c r="DK450" s="58" t="str" cm="1">
        <f t="array" ref="DK450">IF(AND($BT450=4,$BX450=4,$BU450=999),$DB$36,_xlfn.IFNA(INDEX(DB$13:DB$70,MATCH(1,($BR450=$CV$13:$CV$70)*($BT450=$CX$13:$CX$70)*($CE450=$CY$13:$CY$70)*($BY450=$DA$13:$DA$70)*($CD450=$DH$13:$DH$70),0)),""))</f>
        <v/>
      </c>
      <c r="DL450" s="58" t="str" cm="1">
        <f t="array" ref="DL450">IF(AND($BT450=4,$BX450=4,$BU450=999),$DC$36,_xlfn.IFNA(INDEX(CHOOSE(DP450,DB$13:DB$70,DC$13:DC$70,DD$13:DD$70,DE$13:DE$70),MATCH(1,($BR450=$CV$13:$CV$70)*($BT450=$CX$13:$CX$70)*($CE450=$CY$13:$CY$70)*($BY450=$DA$13:$DA$70)*($CD450=$DH$13:$DH$70),0)),""))</f>
        <v/>
      </c>
      <c r="DM450" s="740" t="str" cm="1">
        <f t="array" ref="DM450">IF(AND($BT450=4,$BX450=4,$BU450=999),$DD$36,_xlfn.IFNA(INDEX(DD$13:DD$68,MATCH(1,($BR450=$CV$13:$CV$68)*($BT450=$CX$13:$CX$68)*($CE450=$CY$13:$CY$68)*($BY450=$DA$13:$DA$68)*($CD450=$DH$13:$DH$68),0)),""))</f>
        <v/>
      </c>
      <c r="DN450" s="740" t="str" cm="1">
        <f t="array" ref="DN450">IF(AND($BT450=4,$BX450=4,$BU450=999),$DD$36,_xlfn.IFNA(INDEX(DE$13:DE$68,MATCH(1,($BR450=$CV$13:$CV$68)*($BT450=$CX$13:$CX$68)*($CE450=$CY$13:$CY$68)*($BY450=$DA$13:$DA$68)*($CD450=$DH$13:$DH$68),0)),""))</f>
        <v/>
      </c>
      <c r="DO450" s="58" t="str" cm="1">
        <f t="array" ref="DO450">IF(AND($BT450=4,$BX450=4,$BU450=999),$DF$36,_xlfn.IFNA(INDEX(DF$13:DF$70,MATCH(1,($BR450=$CV$13:$CV$70)*($BT450=$CX$13:$CX$70)*($CE450=$CY$13:$CY$70)*($BY450=$DA$13:$DA$70)*($CD450=$DH$13:$DH$70),0)),""))</f>
        <v/>
      </c>
      <c r="DP450" s="58" t="e">
        <f t="shared" si="668"/>
        <v>#N/A</v>
      </c>
      <c r="DW450" s="58" t="s">
        <v>58</v>
      </c>
      <c r="DX450" s="58" t="s">
        <v>617</v>
      </c>
      <c r="DY450" s="58">
        <v>0</v>
      </c>
      <c r="DZ450" s="58">
        <v>0</v>
      </c>
      <c r="EB450" s="58">
        <v>0</v>
      </c>
      <c r="EC450" s="58">
        <v>2</v>
      </c>
      <c r="ED450" s="58">
        <v>999</v>
      </c>
      <c r="EE450" s="58">
        <v>2</v>
      </c>
      <c r="EF450" s="58">
        <v>4</v>
      </c>
      <c r="EI450" s="58" t="s">
        <v>58</v>
      </c>
      <c r="EJ450" s="58" t="s">
        <v>617</v>
      </c>
      <c r="EK450" s="58">
        <v>0</v>
      </c>
      <c r="EL450" s="58">
        <v>0</v>
      </c>
      <c r="EN450" s="58">
        <v>0</v>
      </c>
      <c r="EO450" s="58">
        <v>2</v>
      </c>
      <c r="EP450" s="58">
        <v>999</v>
      </c>
      <c r="EQ450" s="58">
        <v>2</v>
      </c>
      <c r="ER450" s="58">
        <v>4</v>
      </c>
      <c r="EU450" s="58" t="str">
        <f t="shared" si="754"/>
        <v>No</v>
      </c>
      <c r="EV450" s="58" t="str">
        <f t="shared" si="755"/>
        <v xml:space="preserve">Post progression survival </v>
      </c>
      <c r="EW450" s="58">
        <f t="shared" si="756"/>
        <v>0</v>
      </c>
      <c r="EX450" s="58">
        <f t="shared" si="757"/>
        <v>0</v>
      </c>
      <c r="EZ450" s="58">
        <f t="shared" si="758"/>
        <v>0</v>
      </c>
      <c r="FA450" s="58">
        <f t="shared" si="759"/>
        <v>2</v>
      </c>
      <c r="FB450" s="58">
        <f>IF(i_eff_inputs_based_on_num=2,ED450,(INDEX(Lists!$L$51:$L$85,MATCH(AD331,Lists!$K$51:$K$85,0))))</f>
        <v>999</v>
      </c>
      <c r="FC450" s="58">
        <f>IF(i_eff_inputs_based_on_num=2,EE450,(INDEX(Lists!$L$51:$L$85,MATCH(AE331,Lists!$K$51:$K$85,0))))</f>
        <v>2</v>
      </c>
      <c r="FD450" s="58">
        <f>IF(i_eff_inputs_based_on_num=2,EF450,(INDEX(Lists!$L$51:$L$85,MATCH(AF331,Lists!$K$51:$K$85,0))))</f>
        <v>4</v>
      </c>
      <c r="FG450" s="58" t="str">
        <f t="shared" si="760"/>
        <v>No</v>
      </c>
      <c r="FH450" s="58" t="str">
        <f t="shared" si="761"/>
        <v xml:space="preserve">Post progression survival </v>
      </c>
      <c r="FI450" s="58">
        <f t="shared" si="762"/>
        <v>0</v>
      </c>
      <c r="FJ450" s="58">
        <f t="shared" si="763"/>
        <v>0</v>
      </c>
      <c r="FL450" s="58">
        <f t="shared" si="764"/>
        <v>0</v>
      </c>
      <c r="FM450" s="58">
        <f t="shared" si="765"/>
        <v>2</v>
      </c>
      <c r="FN450" s="58">
        <f>IF(i_eff_inputs_based_on_num=2,EP450,(INDEX(Lists!$L$51:$L$85,MATCH(AD331,Lists!$K$51:$K$85,0))))</f>
        <v>999</v>
      </c>
      <c r="FO450" s="58">
        <f>IF(i_eff_inputs_based_on_num=2,EQ450,(INDEX(Lists!$L$51:$L$85,MATCH(AE331,Lists!$K$51:$K$85,0))))</f>
        <v>2</v>
      </c>
      <c r="FP450" s="58">
        <f>IF(i_eff_inputs_based_on_num=2,ER450,(INDEX(Lists!$L$51:$L$85,MATCH(AF331,Lists!$K$51:$K$85,0))))</f>
        <v>4</v>
      </c>
      <c r="FT450" s="58">
        <f t="shared" si="669"/>
        <v>0</v>
      </c>
      <c r="FW450" s="58">
        <f>IF(i_baseline_risk_from=2,'Effectiveness settings'!EW450,'Effectiveness settings'!FI450)</f>
        <v>0</v>
      </c>
      <c r="FX450" s="58">
        <f t="shared" si="670"/>
        <v>0</v>
      </c>
      <c r="FY450" s="58">
        <f t="shared" si="671"/>
        <v>0</v>
      </c>
      <c r="FZ450" s="58">
        <f t="shared" si="672"/>
        <v>0</v>
      </c>
      <c r="GA450" s="58">
        <f t="shared" si="673"/>
        <v>0</v>
      </c>
      <c r="GB450" s="58">
        <f t="shared" si="674"/>
        <v>0</v>
      </c>
      <c r="GC450" s="58">
        <f t="shared" si="675"/>
        <v>0</v>
      </c>
      <c r="GD450" s="58">
        <f t="shared" si="676"/>
        <v>0</v>
      </c>
      <c r="GE450" s="58">
        <f>IF(AND(dd_CheckMate214_TTD="Yes",'Effectiveness settings'!BU450=2,'Effectiveness settings'!BX450=2),"Apply HR to",GD450)</f>
        <v>0</v>
      </c>
      <c r="GF450" s="58">
        <f t="shared" si="677"/>
        <v>0</v>
      </c>
      <c r="GG450" s="58">
        <f t="shared" si="678"/>
        <v>0</v>
      </c>
      <c r="GH450" s="58">
        <f t="shared" si="679"/>
        <v>0</v>
      </c>
      <c r="GI450" s="58">
        <f t="shared" si="640"/>
        <v>0</v>
      </c>
      <c r="GK450" s="58">
        <f>IF(i_baseline_risk_from=2,'Effectiveness settings'!FA450,'Effectiveness settings'!FM450)</f>
        <v>2</v>
      </c>
      <c r="GL450" s="58">
        <f>IF(i_baseline_risk_from=2,'Effectiveness settings'!FB450,'Effectiveness settings'!FN450)</f>
        <v>999</v>
      </c>
      <c r="GM450" s="58">
        <f>IF(i_baseline_risk_from=2,'Effectiveness settings'!FC450,'Effectiveness settings'!FO450)</f>
        <v>2</v>
      </c>
      <c r="GN450" s="58">
        <f>IF(i_baseline_risk_from=2,'Effectiveness settings'!FD450,'Effectiveness settings'!FP450)</f>
        <v>4</v>
      </c>
      <c r="GQ450" s="58">
        <f t="shared" si="680"/>
        <v>999</v>
      </c>
      <c r="GR450" s="58">
        <f t="shared" si="681"/>
        <v>999</v>
      </c>
      <c r="GS450" s="58">
        <f t="shared" si="682"/>
        <v>999</v>
      </c>
      <c r="GT450" s="58">
        <f t="shared" si="683"/>
        <v>999</v>
      </c>
      <c r="GU450" s="58">
        <f>IF(AND(dd_CheckMate214_TTD="Yes",'Effectiveness settings'!BU450=2,'Effectiveness settings'!BX450=2),2,GT450)</f>
        <v>999</v>
      </c>
      <c r="GV450" s="58">
        <f t="shared" si="684"/>
        <v>999</v>
      </c>
      <c r="GW450" s="58">
        <f t="shared" si="685"/>
        <v>999</v>
      </c>
      <c r="GY450" s="58">
        <f>IF(AND(dd_CheckMate214_TTD="Yes",'Effectiveness settings'!BU450=2,'Effectiveness settings'!BX450=2),1,GN450)</f>
        <v>4</v>
      </c>
      <c r="GZ450" s="58">
        <f t="shared" si="686"/>
        <v>4</v>
      </c>
      <c r="HB450" s="58">
        <f t="shared" si="687"/>
        <v>0</v>
      </c>
      <c r="HD450" s="58">
        <f t="shared" ref="HD450:HD513" si="768">HB450</f>
        <v>0</v>
      </c>
      <c r="HE450" s="58">
        <f t="shared" ref="HE450:HE513" si="769">GK450</f>
        <v>2</v>
      </c>
      <c r="HF450" s="58">
        <f t="shared" ref="HF450:HF513" si="770">GW450</f>
        <v>999</v>
      </c>
      <c r="HG450" s="58">
        <f t="shared" ref="HG450:HG513" si="771">GM450</f>
        <v>2</v>
      </c>
      <c r="HH450" s="58">
        <f t="shared" ref="HH450:HH513" si="772">GZ450</f>
        <v>4</v>
      </c>
    </row>
    <row r="451" spans="69:216" ht="15.75" x14ac:dyDescent="0.25">
      <c r="BQ451" s="58">
        <f t="shared" si="667"/>
        <v>280</v>
      </c>
      <c r="BR451" s="61">
        <v>0</v>
      </c>
      <c r="BS451" s="61" t="s">
        <v>31</v>
      </c>
      <c r="BT451" s="17">
        <v>2</v>
      </c>
      <c r="BU451" s="17">
        <v>999</v>
      </c>
      <c r="BV451" s="17" t="str">
        <f t="shared" si="742"/>
        <v>placebo_BSC</v>
      </c>
      <c r="BW451" s="1006" t="str" cm="1">
        <f t="array" ref="BW451">IF(X332="No",X332,INDEX(List_incl_anal_2L_all,IF(BU451=999,35,BU451+1)))</f>
        <v>No</v>
      </c>
      <c r="BX451" s="61">
        <f t="shared" si="743"/>
        <v>4</v>
      </c>
      <c r="BY451" s="531" t="str">
        <f t="shared" si="767"/>
        <v>Post progression survival</v>
      </c>
      <c r="BZ451" s="530">
        <f t="shared" si="744"/>
        <v>0</v>
      </c>
      <c r="CA451" s="531">
        <f t="shared" si="766"/>
        <v>0</v>
      </c>
      <c r="CB451" s="530">
        <f t="shared" si="745"/>
        <v>0</v>
      </c>
      <c r="CC451" s="530">
        <f t="shared" si="746"/>
        <v>4</v>
      </c>
      <c r="CD451" s="530">
        <f t="shared" si="747"/>
        <v>999</v>
      </c>
      <c r="CE451" s="1295">
        <f t="shared" si="748"/>
        <v>2</v>
      </c>
      <c r="CF451" s="1301">
        <f t="shared" si="749"/>
        <v>4</v>
      </c>
      <c r="CG451" s="530" t="str">
        <f t="shared" si="750"/>
        <v/>
      </c>
      <c r="CH451" s="61">
        <f t="shared" si="751"/>
        <v>0</v>
      </c>
      <c r="CI451" s="61">
        <f t="shared" si="752"/>
        <v>0</v>
      </c>
      <c r="CJ451" s="61">
        <f t="shared" si="753"/>
        <v>0</v>
      </c>
      <c r="DK451" s="58" t="str" cm="1">
        <f t="array" ref="DK451">IF(AND($BT451=4,$BX451=4,$BU451=999),$DB$36,_xlfn.IFNA(INDEX(DB$13:DB$70,MATCH(1,($BR451=$CV$13:$CV$70)*($BT451=$CX$13:$CX$70)*($CE451=$CY$13:$CY$70)*($BY451=$DA$13:$DA$70)*($CD451=$DH$13:$DH$70),0)),""))</f>
        <v/>
      </c>
      <c r="DL451" s="58" t="str" cm="1">
        <f t="array" ref="DL451">IF(AND($BT451=4,$BX451=4,$BU451=999),$DC$36,_xlfn.IFNA(INDEX(CHOOSE(DP451,DB$13:DB$70,DC$13:DC$70,DD$13:DD$70,DE$13:DE$70),MATCH(1,($BR451=$CV$13:$CV$70)*($BT451=$CX$13:$CX$70)*($CE451=$CY$13:$CY$70)*($BY451=$DA$13:$DA$70)*($CD451=$DH$13:$DH$70),0)),""))</f>
        <v/>
      </c>
      <c r="DM451" s="740" t="str" cm="1">
        <f t="array" ref="DM451">IF(AND($BT451=4,$BX451=4,$BU451=999),$DD$36,_xlfn.IFNA(INDEX(DD$13:DD$68,MATCH(1,($BR451=$CV$13:$CV$68)*($BT451=$CX$13:$CX$68)*($CE451=$CY$13:$CY$68)*($BY451=$DA$13:$DA$68)*($CD451=$DH$13:$DH$68),0)),""))</f>
        <v/>
      </c>
      <c r="DN451" s="740" t="str" cm="1">
        <f t="array" ref="DN451">IF(AND($BT451=4,$BX451=4,$BU451=999),$DD$36,_xlfn.IFNA(INDEX(DE$13:DE$68,MATCH(1,($BR451=$CV$13:$CV$68)*($BT451=$CX$13:$CX$68)*($CE451=$CY$13:$CY$68)*($BY451=$DA$13:$DA$68)*($CD451=$DH$13:$DH$68),0)),""))</f>
        <v/>
      </c>
      <c r="DO451" s="58" t="str" cm="1">
        <f t="array" ref="DO451">IF(AND($BT451=4,$BX451=4,$BU451=999),$DF$36,_xlfn.IFNA(INDEX(DF$13:DF$70,MATCH(1,($BR451=$CV$13:$CV$70)*($BT451=$CX$13:$CX$70)*($CE451=$CY$13:$CY$70)*($BY451=$DA$13:$DA$70)*($CD451=$DH$13:$DH$70),0)),""))</f>
        <v/>
      </c>
      <c r="DP451" s="58" t="e">
        <f t="shared" si="668"/>
        <v>#N/A</v>
      </c>
      <c r="DW451" s="58" t="s">
        <v>58</v>
      </c>
      <c r="DX451" s="58" t="s">
        <v>617</v>
      </c>
      <c r="DY451" s="58">
        <v>0</v>
      </c>
      <c r="DZ451" s="58">
        <v>0</v>
      </c>
      <c r="EB451" s="58">
        <v>0</v>
      </c>
      <c r="EC451" s="58">
        <v>4</v>
      </c>
      <c r="ED451" s="58">
        <v>999</v>
      </c>
      <c r="EE451" s="58">
        <v>2</v>
      </c>
      <c r="EF451" s="58">
        <v>4</v>
      </c>
      <c r="EI451" s="58" t="s">
        <v>58</v>
      </c>
      <c r="EJ451" s="58" t="s">
        <v>617</v>
      </c>
      <c r="EK451" s="58">
        <v>0</v>
      </c>
      <c r="EL451" s="58">
        <v>0</v>
      </c>
      <c r="EN451" s="58">
        <v>0</v>
      </c>
      <c r="EO451" s="58">
        <v>4</v>
      </c>
      <c r="EP451" s="58">
        <v>999</v>
      </c>
      <c r="EQ451" s="58">
        <v>2</v>
      </c>
      <c r="ER451" s="58">
        <v>4</v>
      </c>
      <c r="EU451" s="58" t="str">
        <f t="shared" si="754"/>
        <v>No</v>
      </c>
      <c r="EV451" s="58" t="str">
        <f t="shared" si="755"/>
        <v xml:space="preserve">Post progression survival </v>
      </c>
      <c r="EW451" s="58">
        <f t="shared" si="756"/>
        <v>0</v>
      </c>
      <c r="EX451" s="58">
        <f t="shared" si="757"/>
        <v>0</v>
      </c>
      <c r="EZ451" s="58">
        <f t="shared" si="758"/>
        <v>0</v>
      </c>
      <c r="FA451" s="58">
        <f t="shared" si="759"/>
        <v>4</v>
      </c>
      <c r="FB451" s="58">
        <f>IF(i_eff_inputs_based_on_num=2,ED451,(INDEX(Lists!$L$51:$L$85,MATCH(AD332,Lists!$K$51:$K$85,0))))</f>
        <v>999</v>
      </c>
      <c r="FC451" s="58">
        <f>IF(i_eff_inputs_based_on_num=2,EE451,(INDEX(Lists!$L$51:$L$85,MATCH(AE332,Lists!$K$51:$K$85,0))))</f>
        <v>2</v>
      </c>
      <c r="FD451" s="58">
        <f>IF(i_eff_inputs_based_on_num=2,EF451,(INDEX(Lists!$L$51:$L$85,MATCH(AF332,Lists!$K$51:$K$85,0))))</f>
        <v>4</v>
      </c>
      <c r="FG451" s="58" t="str">
        <f t="shared" si="760"/>
        <v>No</v>
      </c>
      <c r="FH451" s="58" t="str">
        <f t="shared" si="761"/>
        <v xml:space="preserve">Post progression survival </v>
      </c>
      <c r="FI451" s="58">
        <f t="shared" si="762"/>
        <v>0</v>
      </c>
      <c r="FJ451" s="58">
        <f t="shared" si="763"/>
        <v>0</v>
      </c>
      <c r="FL451" s="58">
        <f t="shared" si="764"/>
        <v>0</v>
      </c>
      <c r="FM451" s="58">
        <f t="shared" si="765"/>
        <v>4</v>
      </c>
      <c r="FN451" s="58">
        <f>IF(i_eff_inputs_based_on_num=2,EP451,(INDEX(Lists!$L$51:$L$85,MATCH(AD332,Lists!$K$51:$K$85,0))))</f>
        <v>999</v>
      </c>
      <c r="FO451" s="58">
        <f>IF(i_eff_inputs_based_on_num=2,EQ451,(INDEX(Lists!$L$51:$L$85,MATCH(AE332,Lists!$K$51:$K$85,0))))</f>
        <v>2</v>
      </c>
      <c r="FP451" s="58">
        <f>IF(i_eff_inputs_based_on_num=2,ER451,(INDEX(Lists!$L$51:$L$85,MATCH(AF332,Lists!$K$51:$K$85,0))))</f>
        <v>4</v>
      </c>
      <c r="FT451" s="58">
        <f t="shared" si="669"/>
        <v>0</v>
      </c>
      <c r="FW451" s="58">
        <f>IF(i_baseline_risk_from=2,'Effectiveness settings'!EW451,'Effectiveness settings'!FI451)</f>
        <v>0</v>
      </c>
      <c r="FX451" s="58">
        <f t="shared" si="670"/>
        <v>0</v>
      </c>
      <c r="FY451" s="58">
        <f t="shared" si="671"/>
        <v>0</v>
      </c>
      <c r="FZ451" s="58">
        <f t="shared" si="672"/>
        <v>0</v>
      </c>
      <c r="GA451" s="58">
        <f t="shared" si="673"/>
        <v>0</v>
      </c>
      <c r="GB451" s="58">
        <f t="shared" si="674"/>
        <v>0</v>
      </c>
      <c r="GC451" s="58">
        <f t="shared" si="675"/>
        <v>0</v>
      </c>
      <c r="GD451" s="58">
        <f t="shared" si="676"/>
        <v>0</v>
      </c>
      <c r="GE451" s="58">
        <f>IF(AND(dd_CheckMate214_TTD="Yes",'Effectiveness settings'!BU451=2,'Effectiveness settings'!BX451=2),"Apply HR to",GD451)</f>
        <v>0</v>
      </c>
      <c r="GF451" s="58">
        <f t="shared" si="677"/>
        <v>0</v>
      </c>
      <c r="GG451" s="58">
        <f t="shared" si="678"/>
        <v>0</v>
      </c>
      <c r="GH451" s="58">
        <f t="shared" si="679"/>
        <v>0</v>
      </c>
      <c r="GI451" s="58">
        <f t="shared" ref="GI451:GI514" si="773">GH451</f>
        <v>0</v>
      </c>
      <c r="GK451" s="58">
        <f>IF(i_baseline_risk_from=2,'Effectiveness settings'!FA451,'Effectiveness settings'!FM451)</f>
        <v>4</v>
      </c>
      <c r="GL451" s="58">
        <f>IF(i_baseline_risk_from=2,'Effectiveness settings'!FB451,'Effectiveness settings'!FN451)</f>
        <v>999</v>
      </c>
      <c r="GM451" s="58">
        <f>IF(i_baseline_risk_from=2,'Effectiveness settings'!FC451,'Effectiveness settings'!FO451)</f>
        <v>2</v>
      </c>
      <c r="GN451" s="58">
        <f>IF(i_baseline_risk_from=2,'Effectiveness settings'!FD451,'Effectiveness settings'!FP451)</f>
        <v>4</v>
      </c>
      <c r="GQ451" s="58">
        <f t="shared" si="680"/>
        <v>999</v>
      </c>
      <c r="GR451" s="58">
        <f t="shared" si="681"/>
        <v>999</v>
      </c>
      <c r="GS451" s="58">
        <f t="shared" si="682"/>
        <v>999</v>
      </c>
      <c r="GT451" s="58">
        <f t="shared" si="683"/>
        <v>999</v>
      </c>
      <c r="GU451" s="58">
        <f>IF(AND(dd_CheckMate214_TTD="Yes",'Effectiveness settings'!BU451=2,'Effectiveness settings'!BX451=2),2,GT451)</f>
        <v>999</v>
      </c>
      <c r="GV451" s="58">
        <f t="shared" si="684"/>
        <v>999</v>
      </c>
      <c r="GW451" s="58">
        <f t="shared" si="685"/>
        <v>999</v>
      </c>
      <c r="GY451" s="58">
        <f>IF(AND(dd_CheckMate214_TTD="Yes",'Effectiveness settings'!BU451=2,'Effectiveness settings'!BX451=2),1,GN451)</f>
        <v>4</v>
      </c>
      <c r="GZ451" s="58">
        <f t="shared" si="686"/>
        <v>4</v>
      </c>
      <c r="HB451" s="58">
        <f t="shared" si="687"/>
        <v>0</v>
      </c>
      <c r="HD451" s="58">
        <f t="shared" si="768"/>
        <v>0</v>
      </c>
      <c r="HE451" s="58">
        <f t="shared" si="769"/>
        <v>4</v>
      </c>
      <c r="HF451" s="58">
        <f t="shared" si="770"/>
        <v>999</v>
      </c>
      <c r="HG451" s="58">
        <f t="shared" si="771"/>
        <v>2</v>
      </c>
      <c r="HH451" s="58">
        <f t="shared" si="772"/>
        <v>4</v>
      </c>
    </row>
    <row r="452" spans="69:216" ht="15.75" x14ac:dyDescent="0.25">
      <c r="BQ452" s="58">
        <f t="shared" si="667"/>
        <v>280</v>
      </c>
      <c r="BR452" s="61"/>
      <c r="BS452" s="61"/>
      <c r="BT452" s="17"/>
      <c r="BU452" s="61"/>
      <c r="BV452" s="17"/>
      <c r="BW452" s="17"/>
      <c r="BX452" s="61"/>
      <c r="BY452" s="531"/>
      <c r="BZ452" s="530"/>
      <c r="CA452" s="531"/>
      <c r="CB452" s="530"/>
      <c r="CC452" s="530"/>
      <c r="CD452" s="530"/>
      <c r="CE452" s="1295"/>
      <c r="CF452" s="1301"/>
      <c r="CG452" s="530"/>
      <c r="CH452" s="61"/>
      <c r="CI452" s="61"/>
      <c r="CJ452" s="61"/>
      <c r="DK452" s="58" t="str" cm="1">
        <f t="array" ref="DK452">IF(AND($BT452=4,$BX452=4,$BU452=999),$DB$36,_xlfn.IFNA(INDEX(DB$13:DB$70,MATCH(1,($BR452=$CV$13:$CV$70)*($BT452=$CX$13:$CX$70)*($CE452=$CY$13:$CY$70)*($BY452=$DA$13:$DA$70)*($CD452=$DH$13:$DH$70),0)),""))</f>
        <v/>
      </c>
      <c r="DL452" s="58" t="str" cm="1">
        <f t="array" ref="DL452">IF(AND($BT452=4,$BX452=4,$BU452=999),$DC$36,_xlfn.IFNA(INDEX(CHOOSE(DP452,DB$13:DB$70,DC$13:DC$70,DD$13:DD$70,DE$13:DE$70),MATCH(1,($BR452=$CV$13:$CV$70)*($BT452=$CX$13:$CX$70)*($CE452=$CY$13:$CY$70)*($BY452=$DA$13:$DA$70)*($CD452=$DH$13:$DH$70),0)),""))</f>
        <v/>
      </c>
      <c r="DM452" s="740" t="str" cm="1">
        <f t="array" ref="DM452">IF(AND($BT452=4,$BX452=4,$BU452=999),$DD$36,_xlfn.IFNA(INDEX(DD$13:DD$68,MATCH(1,($BR452=$CV$13:$CV$68)*($BT452=$CX$13:$CX$68)*($CE452=$CY$13:$CY$68)*($BY452=$DA$13:$DA$68)*($CD452=$DH$13:$DH$68),0)),""))</f>
        <v/>
      </c>
      <c r="DN452" s="740" t="str" cm="1">
        <f t="array" ref="DN452">IF(AND($BT452=4,$BX452=4,$BU452=999),$DD$36,_xlfn.IFNA(INDEX(DE$13:DE$68,MATCH(1,($BR452=$CV$13:$CV$68)*($BT452=$CX$13:$CX$68)*($CE452=$CY$13:$CY$68)*($BY452=$DA$13:$DA$68)*($CD452=$DH$13:$DH$68),0)),""))</f>
        <v/>
      </c>
      <c r="DO452" s="58" t="str" cm="1">
        <f t="array" ref="DO452">IF(AND($BT452=4,$BX452=4,$BU452=999),$DF$36,_xlfn.IFNA(INDEX(DF$13:DF$70,MATCH(1,($BR452=$CV$13:$CV$70)*($BT452=$CX$13:$CX$70)*($CE452=$CY$13:$CY$70)*($BY452=$DA$13:$DA$70)*($CD452=$DH$13:$DH$70),0)),""))</f>
        <v/>
      </c>
      <c r="DP452" s="58" t="e">
        <f t="shared" si="668"/>
        <v>#N/A</v>
      </c>
      <c r="FT452" s="58">
        <f t="shared" si="669"/>
        <v>0</v>
      </c>
      <c r="FW452" s="58">
        <f>IF(i_baseline_risk_from=2,'Effectiveness settings'!EW452,'Effectiveness settings'!FI452)</f>
        <v>0</v>
      </c>
      <c r="FX452" s="58">
        <f t="shared" si="670"/>
        <v>0</v>
      </c>
      <c r="FY452" s="58">
        <f t="shared" si="671"/>
        <v>0</v>
      </c>
      <c r="FZ452" s="58">
        <f t="shared" si="672"/>
        <v>0</v>
      </c>
      <c r="GA452" s="58">
        <f t="shared" si="673"/>
        <v>0</v>
      </c>
      <c r="GB452" s="58">
        <f t="shared" si="674"/>
        <v>0</v>
      </c>
      <c r="GC452" s="58">
        <f t="shared" si="675"/>
        <v>0</v>
      </c>
      <c r="GD452" s="58">
        <f t="shared" si="676"/>
        <v>0</v>
      </c>
      <c r="GE452" s="58">
        <f>IF(AND(dd_CheckMate214_TTD="Yes",'Effectiveness settings'!BU452=2,'Effectiveness settings'!BX452=2),"Apply HR to",GD452)</f>
        <v>0</v>
      </c>
      <c r="GF452" s="58">
        <f t="shared" si="677"/>
        <v>0</v>
      </c>
      <c r="GG452" s="58">
        <f t="shared" si="678"/>
        <v>0</v>
      </c>
      <c r="GH452" s="58">
        <f t="shared" si="679"/>
        <v>0</v>
      </c>
      <c r="GI452" s="58">
        <f t="shared" si="773"/>
        <v>0</v>
      </c>
      <c r="GK452" s="58">
        <f>IF(i_baseline_risk_from=2,'Effectiveness settings'!FA452,'Effectiveness settings'!FM452)</f>
        <v>0</v>
      </c>
      <c r="GL452" s="58">
        <f>IF(i_baseline_risk_from=2,'Effectiveness settings'!FB452,'Effectiveness settings'!FN452)</f>
        <v>0</v>
      </c>
      <c r="GM452" s="58">
        <f>IF(i_baseline_risk_from=2,'Effectiveness settings'!FC452,'Effectiveness settings'!FO452)</f>
        <v>0</v>
      </c>
      <c r="GN452" s="58">
        <f>IF(i_baseline_risk_from=2,'Effectiveness settings'!FD452,'Effectiveness settings'!FP452)</f>
        <v>0</v>
      </c>
      <c r="GQ452" s="58">
        <f t="shared" si="680"/>
        <v>0</v>
      </c>
      <c r="GR452" s="58">
        <f t="shared" si="681"/>
        <v>0</v>
      </c>
      <c r="GS452" s="58">
        <f t="shared" si="682"/>
        <v>0</v>
      </c>
      <c r="GT452" s="58">
        <f t="shared" si="683"/>
        <v>0</v>
      </c>
      <c r="GU452" s="58">
        <f>IF(AND(dd_CheckMate214_TTD="Yes",'Effectiveness settings'!BU452=2,'Effectiveness settings'!BX452=2),2,GT452)</f>
        <v>0</v>
      </c>
      <c r="GV452" s="58">
        <f t="shared" si="684"/>
        <v>0</v>
      </c>
      <c r="GW452" s="58">
        <f t="shared" si="685"/>
        <v>0</v>
      </c>
      <c r="GY452" s="58">
        <f>IF(AND(dd_CheckMate214_TTD="Yes",'Effectiveness settings'!BU452=2,'Effectiveness settings'!BX452=2),1,GN452)</f>
        <v>0</v>
      </c>
      <c r="GZ452" s="58">
        <f t="shared" si="686"/>
        <v>0</v>
      </c>
      <c r="HB452" s="58">
        <f t="shared" si="687"/>
        <v>0</v>
      </c>
      <c r="HD452" s="58">
        <f t="shared" si="768"/>
        <v>0</v>
      </c>
      <c r="HE452" s="58">
        <f t="shared" si="769"/>
        <v>0</v>
      </c>
      <c r="HF452" s="58">
        <f t="shared" si="770"/>
        <v>0</v>
      </c>
      <c r="HG452" s="58">
        <f t="shared" si="771"/>
        <v>0</v>
      </c>
      <c r="HH452" s="58">
        <f t="shared" si="772"/>
        <v>0</v>
      </c>
    </row>
    <row r="453" spans="69:216" ht="15.75" x14ac:dyDescent="0.25">
      <c r="BQ453" s="58">
        <f t="shared" si="667"/>
        <v>280</v>
      </c>
      <c r="BR453" s="61"/>
      <c r="BS453" s="61"/>
      <c r="BT453" s="17"/>
      <c r="BU453" s="17"/>
      <c r="BV453" s="17"/>
      <c r="BW453" s="17"/>
      <c r="BX453" s="61"/>
      <c r="BY453" s="531"/>
      <c r="BZ453" s="530"/>
      <c r="CA453" s="531"/>
      <c r="CB453" s="530"/>
      <c r="CC453" s="530"/>
      <c r="CD453" s="530"/>
      <c r="CE453" s="1295"/>
      <c r="CF453" s="1301"/>
      <c r="CG453" s="530"/>
      <c r="CH453" s="61"/>
      <c r="CI453" s="61"/>
      <c r="CJ453" s="61"/>
      <c r="DK453" s="58" t="str" cm="1">
        <f t="array" ref="DK453">IF(AND($BT453=4,$BX453=4,$BU453=999),$DB$36,_xlfn.IFNA(INDEX(DB$13:DB$70,MATCH(1,($BR453=$CV$13:$CV$70)*($BT453=$CX$13:$CX$70)*($CE453=$CY$13:$CY$70)*($BY453=$DA$13:$DA$70)*($CD453=$DH$13:$DH$70),0)),""))</f>
        <v/>
      </c>
      <c r="DL453" s="58" t="str" cm="1">
        <f t="array" ref="DL453">IF(AND($BT453=4,$BX453=4,$BU453=999),$DC$36,_xlfn.IFNA(INDEX(CHOOSE(DP453,DB$13:DB$70,DC$13:DC$70,DD$13:DD$70,DE$13:DE$70),MATCH(1,($BR453=$CV$13:$CV$70)*($BT453=$CX$13:$CX$70)*($CE453=$CY$13:$CY$70)*($BY453=$DA$13:$DA$70)*($CD453=$DH$13:$DH$70),0)),""))</f>
        <v/>
      </c>
      <c r="DM453" s="740" t="str" cm="1">
        <f t="array" ref="DM453">IF(AND($BT453=4,$BX453=4,$BU453=999),$DD$36,_xlfn.IFNA(INDEX(DD$13:DD$68,MATCH(1,($BR453=$CV$13:$CV$68)*($BT453=$CX$13:$CX$68)*($CE453=$CY$13:$CY$68)*($BY453=$DA$13:$DA$68)*($CD453=$DH$13:$DH$68),0)),""))</f>
        <v/>
      </c>
      <c r="DN453" s="740" t="str" cm="1">
        <f t="array" ref="DN453">IF(AND($BT453=4,$BX453=4,$BU453=999),$DD$36,_xlfn.IFNA(INDEX(DE$13:DE$68,MATCH(1,($BR453=$CV$13:$CV$68)*($BT453=$CX$13:$CX$68)*($CE453=$CY$13:$CY$68)*($BY453=$DA$13:$DA$68)*($CD453=$DH$13:$DH$68),0)),""))</f>
        <v/>
      </c>
      <c r="DO453" s="58" t="str" cm="1">
        <f t="array" ref="DO453">IF(AND($BT453=4,$BX453=4,$BU453=999),$DF$36,_xlfn.IFNA(INDEX(DF$13:DF$70,MATCH(1,($BR453=$CV$13:$CV$70)*($BT453=$CX$13:$CX$70)*($CE453=$CY$13:$CY$70)*($BY453=$DA$13:$DA$70)*($CD453=$DH$13:$DH$70),0)),""))</f>
        <v/>
      </c>
      <c r="DP453" s="58" t="e">
        <f t="shared" si="668"/>
        <v>#N/A</v>
      </c>
      <c r="FT453" s="58">
        <f t="shared" si="669"/>
        <v>0</v>
      </c>
      <c r="FW453" s="58">
        <f>IF(i_baseline_risk_from=2,'Effectiveness settings'!EW453,'Effectiveness settings'!FI453)</f>
        <v>0</v>
      </c>
      <c r="FX453" s="58">
        <f t="shared" si="670"/>
        <v>0</v>
      </c>
      <c r="FY453" s="58">
        <f t="shared" si="671"/>
        <v>0</v>
      </c>
      <c r="FZ453" s="58">
        <f t="shared" si="672"/>
        <v>0</v>
      </c>
      <c r="GA453" s="58">
        <f t="shared" si="673"/>
        <v>0</v>
      </c>
      <c r="GB453" s="58">
        <f t="shared" si="674"/>
        <v>0</v>
      </c>
      <c r="GC453" s="58">
        <f t="shared" si="675"/>
        <v>0</v>
      </c>
      <c r="GD453" s="58">
        <f t="shared" si="676"/>
        <v>0</v>
      </c>
      <c r="GE453" s="58">
        <f>IF(AND(dd_CheckMate214_TTD="Yes",'Effectiveness settings'!BU453=2,'Effectiveness settings'!BX453=2),"Apply HR to",GD453)</f>
        <v>0</v>
      </c>
      <c r="GF453" s="58">
        <f t="shared" si="677"/>
        <v>0</v>
      </c>
      <c r="GG453" s="58">
        <f t="shared" si="678"/>
        <v>0</v>
      </c>
      <c r="GH453" s="58">
        <f t="shared" si="679"/>
        <v>0</v>
      </c>
      <c r="GI453" s="58">
        <f t="shared" si="773"/>
        <v>0</v>
      </c>
      <c r="GK453" s="58">
        <f>IF(i_baseline_risk_from=2,'Effectiveness settings'!FA453,'Effectiveness settings'!FM453)</f>
        <v>0</v>
      </c>
      <c r="GL453" s="58">
        <f>IF(i_baseline_risk_from=2,'Effectiveness settings'!FB453,'Effectiveness settings'!FN453)</f>
        <v>0</v>
      </c>
      <c r="GM453" s="58">
        <f>IF(i_baseline_risk_from=2,'Effectiveness settings'!FC453,'Effectiveness settings'!FO453)</f>
        <v>0</v>
      </c>
      <c r="GN453" s="58">
        <f>IF(i_baseline_risk_from=2,'Effectiveness settings'!FD453,'Effectiveness settings'!FP453)</f>
        <v>0</v>
      </c>
      <c r="GQ453" s="58">
        <f t="shared" si="680"/>
        <v>0</v>
      </c>
      <c r="GR453" s="58">
        <f t="shared" si="681"/>
        <v>0</v>
      </c>
      <c r="GS453" s="58">
        <f t="shared" si="682"/>
        <v>0</v>
      </c>
      <c r="GT453" s="58">
        <f t="shared" si="683"/>
        <v>0</v>
      </c>
      <c r="GU453" s="58">
        <f>IF(AND(dd_CheckMate214_TTD="Yes",'Effectiveness settings'!BU453=2,'Effectiveness settings'!BX453=2),2,GT453)</f>
        <v>0</v>
      </c>
      <c r="GV453" s="58">
        <f t="shared" si="684"/>
        <v>0</v>
      </c>
      <c r="GW453" s="58">
        <f t="shared" si="685"/>
        <v>0</v>
      </c>
      <c r="GY453" s="58">
        <f>IF(AND(dd_CheckMate214_TTD="Yes",'Effectiveness settings'!BU453=2,'Effectiveness settings'!BX453=2),1,GN453)</f>
        <v>0</v>
      </c>
      <c r="GZ453" s="58">
        <f t="shared" si="686"/>
        <v>0</v>
      </c>
      <c r="HB453" s="58">
        <f t="shared" si="687"/>
        <v>0</v>
      </c>
      <c r="HD453" s="58">
        <f t="shared" si="768"/>
        <v>0</v>
      </c>
      <c r="HE453" s="58">
        <f t="shared" si="769"/>
        <v>0</v>
      </c>
      <c r="HF453" s="58">
        <f t="shared" si="770"/>
        <v>0</v>
      </c>
      <c r="HG453" s="58">
        <f t="shared" si="771"/>
        <v>0</v>
      </c>
      <c r="HH453" s="58">
        <f t="shared" si="772"/>
        <v>0</v>
      </c>
    </row>
    <row r="454" spans="69:216" ht="15.75" x14ac:dyDescent="0.25">
      <c r="BQ454" s="58">
        <f t="shared" si="667"/>
        <v>280</v>
      </c>
      <c r="BR454" s="61"/>
      <c r="BS454" s="61"/>
      <c r="BT454" s="17"/>
      <c r="BU454" s="17"/>
      <c r="BV454" s="17"/>
      <c r="BW454" s="17"/>
      <c r="BX454" s="61"/>
      <c r="BY454" s="531"/>
      <c r="BZ454" s="530"/>
      <c r="CA454" s="531"/>
      <c r="CB454" s="530"/>
      <c r="CC454" s="530"/>
      <c r="CD454" s="530"/>
      <c r="CE454" s="1295"/>
      <c r="CF454" s="1301"/>
      <c r="CG454" s="530"/>
      <c r="CH454" s="61"/>
      <c r="CI454" s="61"/>
      <c r="CJ454" s="61"/>
      <c r="DK454" s="58" t="str" cm="1">
        <f t="array" ref="DK454">IF(AND($BT454=4,$BX454=4,$BU454=999),$DB$36,_xlfn.IFNA(INDEX(DB$13:DB$70,MATCH(1,($BR454=$CV$13:$CV$70)*($BT454=$CX$13:$CX$70)*($CE454=$CY$13:$CY$70)*($BY454=$DA$13:$DA$70)*($CD454=$DH$13:$DH$70),0)),""))</f>
        <v/>
      </c>
      <c r="DL454" s="58" t="str" cm="1">
        <f t="array" ref="DL454">IF(AND($BT454=4,$BX454=4,$BU454=999),$DC$36,_xlfn.IFNA(INDEX(CHOOSE(DP454,DB$13:DB$70,DC$13:DC$70,DD$13:DD$70,DE$13:DE$70),MATCH(1,($BR454=$CV$13:$CV$70)*($BT454=$CX$13:$CX$70)*($CE454=$CY$13:$CY$70)*($BY454=$DA$13:$DA$70)*($CD454=$DH$13:$DH$70),0)),""))</f>
        <v/>
      </c>
      <c r="DM454" s="740" t="str" cm="1">
        <f t="array" ref="DM454">IF(AND($BT454=4,$BX454=4,$BU454=999),$DD$36,_xlfn.IFNA(INDEX(DD$13:DD$68,MATCH(1,($BR454=$CV$13:$CV$68)*($BT454=$CX$13:$CX$68)*($CE454=$CY$13:$CY$68)*($BY454=$DA$13:$DA$68)*($CD454=$DH$13:$DH$68),0)),""))</f>
        <v/>
      </c>
      <c r="DN454" s="740" t="str" cm="1">
        <f t="array" ref="DN454">IF(AND($BT454=4,$BX454=4,$BU454=999),$DD$36,_xlfn.IFNA(INDEX(DE$13:DE$68,MATCH(1,($BR454=$CV$13:$CV$68)*($BT454=$CX$13:$CX$68)*($CE454=$CY$13:$CY$68)*($BY454=$DA$13:$DA$68)*($CD454=$DH$13:$DH$68),0)),""))</f>
        <v/>
      </c>
      <c r="DO454" s="58" t="str" cm="1">
        <f t="array" ref="DO454">IF(AND($BT454=4,$BX454=4,$BU454=999),$DF$36,_xlfn.IFNA(INDEX(DF$13:DF$70,MATCH(1,($BR454=$CV$13:$CV$70)*($BT454=$CX$13:$CX$70)*($CE454=$CY$13:$CY$70)*($BY454=$DA$13:$DA$70)*($CD454=$DH$13:$DH$70),0)),""))</f>
        <v/>
      </c>
      <c r="DP454" s="58" t="e">
        <f t="shared" si="668"/>
        <v>#N/A</v>
      </c>
      <c r="FT454" s="58">
        <f t="shared" si="669"/>
        <v>0</v>
      </c>
      <c r="FW454" s="58">
        <f>IF(i_baseline_risk_from=2,'Effectiveness settings'!EW454,'Effectiveness settings'!FI454)</f>
        <v>0</v>
      </c>
      <c r="FX454" s="58">
        <f t="shared" si="670"/>
        <v>0</v>
      </c>
      <c r="FY454" s="58">
        <f t="shared" si="671"/>
        <v>0</v>
      </c>
      <c r="FZ454" s="58">
        <f t="shared" si="672"/>
        <v>0</v>
      </c>
      <c r="GA454" s="58">
        <f t="shared" si="673"/>
        <v>0</v>
      </c>
      <c r="GB454" s="58">
        <f t="shared" si="674"/>
        <v>0</v>
      </c>
      <c r="GC454" s="58">
        <f t="shared" si="675"/>
        <v>0</v>
      </c>
      <c r="GD454" s="58">
        <f t="shared" si="676"/>
        <v>0</v>
      </c>
      <c r="GE454" s="58">
        <f>IF(AND(dd_CheckMate214_TTD="Yes",'Effectiveness settings'!BU454=2,'Effectiveness settings'!BX454=2),"Apply HR to",GD454)</f>
        <v>0</v>
      </c>
      <c r="GF454" s="58">
        <f t="shared" si="677"/>
        <v>0</v>
      </c>
      <c r="GG454" s="58">
        <f t="shared" si="678"/>
        <v>0</v>
      </c>
      <c r="GH454" s="58">
        <f t="shared" si="679"/>
        <v>0</v>
      </c>
      <c r="GI454" s="58">
        <f t="shared" si="773"/>
        <v>0</v>
      </c>
      <c r="GK454" s="58">
        <f>IF(i_baseline_risk_from=2,'Effectiveness settings'!FA454,'Effectiveness settings'!FM454)</f>
        <v>0</v>
      </c>
      <c r="GL454" s="58">
        <f>IF(i_baseline_risk_from=2,'Effectiveness settings'!FB454,'Effectiveness settings'!FN454)</f>
        <v>0</v>
      </c>
      <c r="GM454" s="58">
        <f>IF(i_baseline_risk_from=2,'Effectiveness settings'!FC454,'Effectiveness settings'!FO454)</f>
        <v>0</v>
      </c>
      <c r="GN454" s="58">
        <f>IF(i_baseline_risk_from=2,'Effectiveness settings'!FD454,'Effectiveness settings'!FP454)</f>
        <v>0</v>
      </c>
      <c r="GQ454" s="58">
        <f t="shared" si="680"/>
        <v>0</v>
      </c>
      <c r="GR454" s="58">
        <f t="shared" si="681"/>
        <v>0</v>
      </c>
      <c r="GS454" s="58">
        <f t="shared" si="682"/>
        <v>0</v>
      </c>
      <c r="GT454" s="58">
        <f t="shared" si="683"/>
        <v>0</v>
      </c>
      <c r="GU454" s="58">
        <f>IF(AND(dd_CheckMate214_TTD="Yes",'Effectiveness settings'!BU454=2,'Effectiveness settings'!BX454=2),2,GT454)</f>
        <v>0</v>
      </c>
      <c r="GV454" s="58">
        <f t="shared" si="684"/>
        <v>0</v>
      </c>
      <c r="GW454" s="58">
        <f t="shared" si="685"/>
        <v>0</v>
      </c>
      <c r="GY454" s="58">
        <f>IF(AND(dd_CheckMate214_TTD="Yes",'Effectiveness settings'!BU454=2,'Effectiveness settings'!BX454=2),1,GN454)</f>
        <v>0</v>
      </c>
      <c r="GZ454" s="58">
        <f t="shared" si="686"/>
        <v>0</v>
      </c>
      <c r="HB454" s="58">
        <f t="shared" si="687"/>
        <v>0</v>
      </c>
      <c r="HD454" s="58">
        <f t="shared" si="768"/>
        <v>0</v>
      </c>
      <c r="HE454" s="58">
        <f t="shared" si="769"/>
        <v>0</v>
      </c>
      <c r="HF454" s="58">
        <f t="shared" si="770"/>
        <v>0</v>
      </c>
      <c r="HG454" s="58">
        <f t="shared" si="771"/>
        <v>0</v>
      </c>
      <c r="HH454" s="58">
        <f t="shared" si="772"/>
        <v>0</v>
      </c>
    </row>
    <row r="455" spans="69:216" ht="15.75" x14ac:dyDescent="0.25">
      <c r="BQ455" s="58">
        <f t="shared" si="667"/>
        <v>280</v>
      </c>
      <c r="BR455" s="61"/>
      <c r="BS455" s="61"/>
      <c r="BT455" s="17"/>
      <c r="BU455" s="17"/>
      <c r="BV455" s="17"/>
      <c r="BW455" s="17"/>
      <c r="BX455" s="61"/>
      <c r="BY455" s="531"/>
      <c r="BZ455" s="530"/>
      <c r="CA455" s="531"/>
      <c r="CB455" s="530"/>
      <c r="CC455" s="530"/>
      <c r="CD455" s="530"/>
      <c r="CE455" s="1295"/>
      <c r="CF455" s="1301"/>
      <c r="CG455" s="530"/>
      <c r="CH455" s="61"/>
      <c r="CI455" s="61"/>
      <c r="CJ455" s="61"/>
      <c r="DK455" s="58" t="str" cm="1">
        <f t="array" ref="DK455">IF(AND($BT455=4,$BX455=4,$BU455=999),$DB$36,_xlfn.IFNA(INDEX(DB$13:DB$70,MATCH(1,($BR455=$CV$13:$CV$70)*($BT455=$CX$13:$CX$70)*($CE455=$CY$13:$CY$70)*($BY455=$DA$13:$DA$70)*($CD455=$DH$13:$DH$70),0)),""))</f>
        <v/>
      </c>
      <c r="DL455" s="58" t="str" cm="1">
        <f t="array" ref="DL455">IF(AND($BT455=4,$BX455=4,$BU455=999),$DC$36,_xlfn.IFNA(INDEX(CHOOSE(DP455,DB$13:DB$70,DC$13:DC$70,DD$13:DD$70,DE$13:DE$70),MATCH(1,($BR455=$CV$13:$CV$70)*($BT455=$CX$13:$CX$70)*($CE455=$CY$13:$CY$70)*($BY455=$DA$13:$DA$70)*($CD455=$DH$13:$DH$70),0)),""))</f>
        <v/>
      </c>
      <c r="DM455" s="740" t="str" cm="1">
        <f t="array" ref="DM455">IF(AND($BT455=4,$BX455=4,$BU455=999),$DD$36,_xlfn.IFNA(INDEX(DD$13:DD$68,MATCH(1,($BR455=$CV$13:$CV$68)*($BT455=$CX$13:$CX$68)*($CE455=$CY$13:$CY$68)*($BY455=$DA$13:$DA$68)*($CD455=$DH$13:$DH$68),0)),""))</f>
        <v/>
      </c>
      <c r="DN455" s="740" t="str" cm="1">
        <f t="array" ref="DN455">IF(AND($BT455=4,$BX455=4,$BU455=999),$DD$36,_xlfn.IFNA(INDEX(DE$13:DE$68,MATCH(1,($BR455=$CV$13:$CV$68)*($BT455=$CX$13:$CX$68)*($CE455=$CY$13:$CY$68)*($BY455=$DA$13:$DA$68)*($CD455=$DH$13:$DH$68),0)),""))</f>
        <v/>
      </c>
      <c r="DO455" s="58" t="str" cm="1">
        <f t="array" ref="DO455">IF(AND($BT455=4,$BX455=4,$BU455=999),$DF$36,_xlfn.IFNA(INDEX(DF$13:DF$70,MATCH(1,($BR455=$CV$13:$CV$70)*($BT455=$CX$13:$CX$70)*($CE455=$CY$13:$CY$70)*($BY455=$DA$13:$DA$70)*($CD455=$DH$13:$DH$70),0)),""))</f>
        <v/>
      </c>
      <c r="DP455" s="58" t="e">
        <f t="shared" si="668"/>
        <v>#N/A</v>
      </c>
      <c r="FT455" s="58">
        <f t="shared" si="669"/>
        <v>0</v>
      </c>
      <c r="FW455" s="58">
        <f>IF(i_baseline_risk_from=2,'Effectiveness settings'!EW455,'Effectiveness settings'!FI455)</f>
        <v>0</v>
      </c>
      <c r="FX455" s="58">
        <f t="shared" si="670"/>
        <v>0</v>
      </c>
      <c r="FY455" s="58">
        <f t="shared" si="671"/>
        <v>0</v>
      </c>
      <c r="FZ455" s="58">
        <f t="shared" si="672"/>
        <v>0</v>
      </c>
      <c r="GA455" s="58">
        <f t="shared" si="673"/>
        <v>0</v>
      </c>
      <c r="GB455" s="58">
        <f t="shared" si="674"/>
        <v>0</v>
      </c>
      <c r="GC455" s="58">
        <f t="shared" si="675"/>
        <v>0</v>
      </c>
      <c r="GD455" s="58">
        <f t="shared" si="676"/>
        <v>0</v>
      </c>
      <c r="GE455" s="58">
        <f>IF(AND(dd_CheckMate214_TTD="Yes",'Effectiveness settings'!BU455=2,'Effectiveness settings'!BX455=2),"Apply HR to",GD455)</f>
        <v>0</v>
      </c>
      <c r="GF455" s="58">
        <f t="shared" si="677"/>
        <v>0</v>
      </c>
      <c r="GG455" s="58">
        <f t="shared" si="678"/>
        <v>0</v>
      </c>
      <c r="GH455" s="58">
        <f t="shared" si="679"/>
        <v>0</v>
      </c>
      <c r="GI455" s="58">
        <f t="shared" si="773"/>
        <v>0</v>
      </c>
      <c r="GK455" s="58">
        <f>IF(i_baseline_risk_from=2,'Effectiveness settings'!FA455,'Effectiveness settings'!FM455)</f>
        <v>0</v>
      </c>
      <c r="GL455" s="58">
        <f>IF(i_baseline_risk_from=2,'Effectiveness settings'!FB455,'Effectiveness settings'!FN455)</f>
        <v>0</v>
      </c>
      <c r="GM455" s="58">
        <f>IF(i_baseline_risk_from=2,'Effectiveness settings'!FC455,'Effectiveness settings'!FO455)</f>
        <v>0</v>
      </c>
      <c r="GN455" s="58">
        <f>IF(i_baseline_risk_from=2,'Effectiveness settings'!FD455,'Effectiveness settings'!FP455)</f>
        <v>0</v>
      </c>
      <c r="GQ455" s="58">
        <f t="shared" si="680"/>
        <v>0</v>
      </c>
      <c r="GR455" s="58">
        <f t="shared" si="681"/>
        <v>0</v>
      </c>
      <c r="GS455" s="58">
        <f t="shared" si="682"/>
        <v>0</v>
      </c>
      <c r="GT455" s="58">
        <f t="shared" si="683"/>
        <v>0</v>
      </c>
      <c r="GU455" s="58">
        <f>IF(AND(dd_CheckMate214_TTD="Yes",'Effectiveness settings'!BU455=2,'Effectiveness settings'!BX455=2),2,GT455)</f>
        <v>0</v>
      </c>
      <c r="GV455" s="58">
        <f t="shared" si="684"/>
        <v>0</v>
      </c>
      <c r="GW455" s="58">
        <f t="shared" si="685"/>
        <v>0</v>
      </c>
      <c r="GY455" s="58">
        <f>IF(AND(dd_CheckMate214_TTD="Yes",'Effectiveness settings'!BU455=2,'Effectiveness settings'!BX455=2),1,GN455)</f>
        <v>0</v>
      </c>
      <c r="GZ455" s="58">
        <f t="shared" si="686"/>
        <v>0</v>
      </c>
      <c r="HB455" s="58">
        <f t="shared" si="687"/>
        <v>0</v>
      </c>
      <c r="HD455" s="58">
        <f t="shared" si="768"/>
        <v>0</v>
      </c>
      <c r="HE455" s="58">
        <f t="shared" si="769"/>
        <v>0</v>
      </c>
      <c r="HF455" s="58">
        <f t="shared" si="770"/>
        <v>0</v>
      </c>
      <c r="HG455" s="58">
        <f t="shared" si="771"/>
        <v>0</v>
      </c>
      <c r="HH455" s="58">
        <f t="shared" si="772"/>
        <v>0</v>
      </c>
    </row>
    <row r="456" spans="69:216" ht="15.75" x14ac:dyDescent="0.25">
      <c r="BQ456" s="58">
        <f t="shared" si="667"/>
        <v>280</v>
      </c>
      <c r="BR456" s="61"/>
      <c r="BS456" s="61"/>
      <c r="BT456" s="17"/>
      <c r="BU456" s="17"/>
      <c r="BV456" s="17"/>
      <c r="BW456" s="17"/>
      <c r="BX456" s="61"/>
      <c r="BY456" s="531"/>
      <c r="BZ456" s="530"/>
      <c r="CA456" s="531"/>
      <c r="CB456" s="530"/>
      <c r="CC456" s="530"/>
      <c r="CD456" s="530"/>
      <c r="CE456" s="1295"/>
      <c r="CF456" s="1301"/>
      <c r="CG456" s="530"/>
      <c r="CH456" s="61"/>
      <c r="CI456" s="61"/>
      <c r="CJ456" s="61"/>
      <c r="DK456" s="58" t="str" cm="1">
        <f t="array" ref="DK456">IF(AND($BT456=4,$BX456=4,$BU456=999),$DB$36,_xlfn.IFNA(INDEX(DB$13:DB$70,MATCH(1,($BR456=$CV$13:$CV$70)*($BT456=$CX$13:$CX$70)*($CE456=$CY$13:$CY$70)*($BY456=$DA$13:$DA$70)*($CD456=$DH$13:$DH$70),0)),""))</f>
        <v/>
      </c>
      <c r="DL456" s="58" t="str" cm="1">
        <f t="array" ref="DL456">IF(AND($BT456=4,$BX456=4,$BU456=999),$DC$36,_xlfn.IFNA(INDEX(CHOOSE(DP456,DB$13:DB$70,DC$13:DC$70,DD$13:DD$70,DE$13:DE$70),MATCH(1,($BR456=$CV$13:$CV$70)*($BT456=$CX$13:$CX$70)*($CE456=$CY$13:$CY$70)*($BY456=$DA$13:$DA$70)*($CD456=$DH$13:$DH$70),0)),""))</f>
        <v/>
      </c>
      <c r="DM456" s="740" t="str" cm="1">
        <f t="array" ref="DM456">IF(AND($BT456=4,$BX456=4,$BU456=999),$DD$36,_xlfn.IFNA(INDEX(DD$13:DD$68,MATCH(1,($BR456=$CV$13:$CV$68)*($BT456=$CX$13:$CX$68)*($CE456=$CY$13:$CY$68)*($BY456=$DA$13:$DA$68)*($CD456=$DH$13:$DH$68),0)),""))</f>
        <v/>
      </c>
      <c r="DN456" s="740" t="str" cm="1">
        <f t="array" ref="DN456">IF(AND($BT456=4,$BX456=4,$BU456=999),$DD$36,_xlfn.IFNA(INDEX(DE$13:DE$68,MATCH(1,($BR456=$CV$13:$CV$68)*($BT456=$CX$13:$CX$68)*($CE456=$CY$13:$CY$68)*($BY456=$DA$13:$DA$68)*($CD456=$DH$13:$DH$68),0)),""))</f>
        <v/>
      </c>
      <c r="DO456" s="58" t="str" cm="1">
        <f t="array" ref="DO456">IF(AND($BT456=4,$BX456=4,$BU456=999),$DF$36,_xlfn.IFNA(INDEX(DF$13:DF$70,MATCH(1,($BR456=$CV$13:$CV$70)*($BT456=$CX$13:$CX$70)*($CE456=$CY$13:$CY$70)*($BY456=$DA$13:$DA$70)*($CD456=$DH$13:$DH$70),0)),""))</f>
        <v/>
      </c>
      <c r="DP456" s="58" t="e">
        <f t="shared" si="668"/>
        <v>#N/A</v>
      </c>
      <c r="FT456" s="58">
        <f t="shared" si="669"/>
        <v>0</v>
      </c>
      <c r="FW456" s="58">
        <f>IF(i_baseline_risk_from=2,'Effectiveness settings'!EW456,'Effectiveness settings'!FI456)</f>
        <v>0</v>
      </c>
      <c r="FX456" s="58">
        <f t="shared" si="670"/>
        <v>0</v>
      </c>
      <c r="FY456" s="58">
        <f t="shared" si="671"/>
        <v>0</v>
      </c>
      <c r="FZ456" s="58">
        <f t="shared" si="672"/>
        <v>0</v>
      </c>
      <c r="GA456" s="58">
        <f t="shared" si="673"/>
        <v>0</v>
      </c>
      <c r="GB456" s="58">
        <f t="shared" si="674"/>
        <v>0</v>
      </c>
      <c r="GC456" s="58">
        <f t="shared" si="675"/>
        <v>0</v>
      </c>
      <c r="GD456" s="58">
        <f t="shared" si="676"/>
        <v>0</v>
      </c>
      <c r="GE456" s="58">
        <f>IF(AND(dd_CheckMate214_TTD="Yes",'Effectiveness settings'!BU456=2,'Effectiveness settings'!BX456=2),"Apply HR to",GD456)</f>
        <v>0</v>
      </c>
      <c r="GF456" s="58">
        <f t="shared" si="677"/>
        <v>0</v>
      </c>
      <c r="GG456" s="58">
        <f t="shared" si="678"/>
        <v>0</v>
      </c>
      <c r="GH456" s="58">
        <f t="shared" si="679"/>
        <v>0</v>
      </c>
      <c r="GI456" s="58">
        <f t="shared" si="773"/>
        <v>0</v>
      </c>
      <c r="GK456" s="58">
        <f>IF(i_baseline_risk_from=2,'Effectiveness settings'!FA456,'Effectiveness settings'!FM456)</f>
        <v>0</v>
      </c>
      <c r="GL456" s="58">
        <f>IF(i_baseline_risk_from=2,'Effectiveness settings'!FB456,'Effectiveness settings'!FN456)</f>
        <v>0</v>
      </c>
      <c r="GM456" s="58">
        <f>IF(i_baseline_risk_from=2,'Effectiveness settings'!FC456,'Effectiveness settings'!FO456)</f>
        <v>0</v>
      </c>
      <c r="GN456" s="58">
        <f>IF(i_baseline_risk_from=2,'Effectiveness settings'!FD456,'Effectiveness settings'!FP456)</f>
        <v>0</v>
      </c>
      <c r="GQ456" s="58">
        <f t="shared" si="680"/>
        <v>0</v>
      </c>
      <c r="GR456" s="58">
        <f t="shared" si="681"/>
        <v>0</v>
      </c>
      <c r="GS456" s="58">
        <f t="shared" si="682"/>
        <v>0</v>
      </c>
      <c r="GT456" s="58">
        <f t="shared" si="683"/>
        <v>0</v>
      </c>
      <c r="GU456" s="58">
        <f>IF(AND(dd_CheckMate214_TTD="Yes",'Effectiveness settings'!BU456=2,'Effectiveness settings'!BX456=2),2,GT456)</f>
        <v>0</v>
      </c>
      <c r="GV456" s="58">
        <f t="shared" si="684"/>
        <v>0</v>
      </c>
      <c r="GW456" s="58">
        <f t="shared" si="685"/>
        <v>0</v>
      </c>
      <c r="GY456" s="58">
        <f>IF(AND(dd_CheckMate214_TTD="Yes",'Effectiveness settings'!BU456=2,'Effectiveness settings'!BX456=2),1,GN456)</f>
        <v>0</v>
      </c>
      <c r="GZ456" s="58">
        <f t="shared" si="686"/>
        <v>0</v>
      </c>
      <c r="HB456" s="58">
        <f t="shared" si="687"/>
        <v>0</v>
      </c>
      <c r="HD456" s="58">
        <f t="shared" si="768"/>
        <v>0</v>
      </c>
      <c r="HE456" s="58">
        <f t="shared" si="769"/>
        <v>0</v>
      </c>
      <c r="HF456" s="58">
        <f t="shared" si="770"/>
        <v>0</v>
      </c>
      <c r="HG456" s="58">
        <f t="shared" si="771"/>
        <v>0</v>
      </c>
      <c r="HH456" s="58">
        <f t="shared" si="772"/>
        <v>0</v>
      </c>
    </row>
    <row r="457" spans="69:216" ht="15.75" x14ac:dyDescent="0.25">
      <c r="BQ457" s="58">
        <f t="shared" si="667"/>
        <v>280</v>
      </c>
      <c r="BR457" s="61"/>
      <c r="BS457" s="61"/>
      <c r="BT457" s="17"/>
      <c r="BU457" s="17"/>
      <c r="BV457" s="17"/>
      <c r="BW457" s="17"/>
      <c r="BX457" s="61"/>
      <c r="BY457" s="531"/>
      <c r="BZ457" s="530"/>
      <c r="CA457" s="531"/>
      <c r="CB457" s="530"/>
      <c r="CC457" s="530"/>
      <c r="CD457" s="530"/>
      <c r="CE457" s="1295"/>
      <c r="CF457" s="1301"/>
      <c r="CG457" s="530"/>
      <c r="CH457" s="61"/>
      <c r="CI457" s="61"/>
      <c r="CJ457" s="61"/>
      <c r="DK457" s="58" t="str" cm="1">
        <f t="array" ref="DK457">IF(AND($BT457=4,$BX457=4,$BU457=999),$DB$36,_xlfn.IFNA(INDEX(DB$13:DB$70,MATCH(1,($BR457=$CV$13:$CV$70)*($BT457=$CX$13:$CX$70)*($CE457=$CY$13:$CY$70)*($BY457=$DA$13:$DA$70)*($CD457=$DH$13:$DH$70),0)),""))</f>
        <v/>
      </c>
      <c r="DL457" s="58" t="str" cm="1">
        <f t="array" ref="DL457">IF(AND($BT457=4,$BX457=4,$BU457=999),$DC$36,_xlfn.IFNA(INDEX(CHOOSE(DP457,DB$13:DB$70,DC$13:DC$70,DD$13:DD$70,DE$13:DE$70),MATCH(1,($BR457=$CV$13:$CV$70)*($BT457=$CX$13:$CX$70)*($CE457=$CY$13:$CY$70)*($BY457=$DA$13:$DA$70)*($CD457=$DH$13:$DH$70),0)),""))</f>
        <v/>
      </c>
      <c r="DM457" s="740" t="str" cm="1">
        <f t="array" ref="DM457">IF(AND($BT457=4,$BX457=4,$BU457=999),$DD$36,_xlfn.IFNA(INDEX(DD$13:DD$68,MATCH(1,($BR457=$CV$13:$CV$68)*($BT457=$CX$13:$CX$68)*($CE457=$CY$13:$CY$68)*($BY457=$DA$13:$DA$68)*($CD457=$DH$13:$DH$68),0)),""))</f>
        <v/>
      </c>
      <c r="DN457" s="740" t="str" cm="1">
        <f t="array" ref="DN457">IF(AND($BT457=4,$BX457=4,$BU457=999),$DD$36,_xlfn.IFNA(INDEX(DE$13:DE$68,MATCH(1,($BR457=$CV$13:$CV$68)*($BT457=$CX$13:$CX$68)*($CE457=$CY$13:$CY$68)*($BY457=$DA$13:$DA$68)*($CD457=$DH$13:$DH$68),0)),""))</f>
        <v/>
      </c>
      <c r="DO457" s="58" t="str" cm="1">
        <f t="array" ref="DO457">IF(AND($BT457=4,$BX457=4,$BU457=999),$DF$36,_xlfn.IFNA(INDEX(DF$13:DF$70,MATCH(1,($BR457=$CV$13:$CV$70)*($BT457=$CX$13:$CX$70)*($CE457=$CY$13:$CY$70)*($BY457=$DA$13:$DA$70)*($CD457=$DH$13:$DH$70),0)),""))</f>
        <v/>
      </c>
      <c r="DP457" s="58" t="e">
        <f t="shared" si="668"/>
        <v>#N/A</v>
      </c>
      <c r="FT457" s="58">
        <f t="shared" si="669"/>
        <v>0</v>
      </c>
      <c r="FW457" s="58">
        <f>IF(i_baseline_risk_from=2,'Effectiveness settings'!EW457,'Effectiveness settings'!FI457)</f>
        <v>0</v>
      </c>
      <c r="FX457" s="58">
        <f t="shared" si="670"/>
        <v>0</v>
      </c>
      <c r="FY457" s="58">
        <f t="shared" si="671"/>
        <v>0</v>
      </c>
      <c r="FZ457" s="58">
        <f t="shared" si="672"/>
        <v>0</v>
      </c>
      <c r="GA457" s="58">
        <f t="shared" si="673"/>
        <v>0</v>
      </c>
      <c r="GB457" s="58">
        <f t="shared" si="674"/>
        <v>0</v>
      </c>
      <c r="GC457" s="58">
        <f t="shared" si="675"/>
        <v>0</v>
      </c>
      <c r="GD457" s="58">
        <f t="shared" si="676"/>
        <v>0</v>
      </c>
      <c r="GE457" s="58">
        <f>IF(AND(dd_CheckMate214_TTD="Yes",'Effectiveness settings'!BU457=2,'Effectiveness settings'!BX457=2),"Apply HR to",GD457)</f>
        <v>0</v>
      </c>
      <c r="GF457" s="58">
        <f t="shared" si="677"/>
        <v>0</v>
      </c>
      <c r="GG457" s="58">
        <f t="shared" si="678"/>
        <v>0</v>
      </c>
      <c r="GH457" s="58">
        <f t="shared" si="679"/>
        <v>0</v>
      </c>
      <c r="GI457" s="58">
        <f t="shared" si="773"/>
        <v>0</v>
      </c>
      <c r="GK457" s="58">
        <f>IF(i_baseline_risk_from=2,'Effectiveness settings'!FA457,'Effectiveness settings'!FM457)</f>
        <v>0</v>
      </c>
      <c r="GL457" s="58">
        <f>IF(i_baseline_risk_from=2,'Effectiveness settings'!FB457,'Effectiveness settings'!FN457)</f>
        <v>0</v>
      </c>
      <c r="GM457" s="58">
        <f>IF(i_baseline_risk_from=2,'Effectiveness settings'!FC457,'Effectiveness settings'!FO457)</f>
        <v>0</v>
      </c>
      <c r="GN457" s="58">
        <f>IF(i_baseline_risk_from=2,'Effectiveness settings'!FD457,'Effectiveness settings'!FP457)</f>
        <v>0</v>
      </c>
      <c r="GQ457" s="58">
        <f t="shared" si="680"/>
        <v>0</v>
      </c>
      <c r="GR457" s="58">
        <f t="shared" si="681"/>
        <v>0</v>
      </c>
      <c r="GS457" s="58">
        <f t="shared" si="682"/>
        <v>0</v>
      </c>
      <c r="GT457" s="58">
        <f t="shared" si="683"/>
        <v>0</v>
      </c>
      <c r="GU457" s="58">
        <f>IF(AND(dd_CheckMate214_TTD="Yes",'Effectiveness settings'!BU457=2,'Effectiveness settings'!BX457=2),2,GT457)</f>
        <v>0</v>
      </c>
      <c r="GV457" s="58">
        <f t="shared" si="684"/>
        <v>0</v>
      </c>
      <c r="GW457" s="58">
        <f t="shared" si="685"/>
        <v>0</v>
      </c>
      <c r="GY457" s="58">
        <f>IF(AND(dd_CheckMate214_TTD="Yes",'Effectiveness settings'!BU457=2,'Effectiveness settings'!BX457=2),1,GN457)</f>
        <v>0</v>
      </c>
      <c r="GZ457" s="58">
        <f t="shared" si="686"/>
        <v>0</v>
      </c>
      <c r="HB457" s="58">
        <f t="shared" si="687"/>
        <v>0</v>
      </c>
      <c r="HD457" s="58">
        <f t="shared" si="768"/>
        <v>0</v>
      </c>
      <c r="HE457" s="58">
        <f t="shared" si="769"/>
        <v>0</v>
      </c>
      <c r="HF457" s="58">
        <f t="shared" si="770"/>
        <v>0</v>
      </c>
      <c r="HG457" s="58">
        <f t="shared" si="771"/>
        <v>0</v>
      </c>
      <c r="HH457" s="58">
        <f t="shared" si="772"/>
        <v>0</v>
      </c>
    </row>
    <row r="458" spans="69:216" ht="15.75" x14ac:dyDescent="0.25">
      <c r="BQ458" s="58">
        <f t="shared" si="667"/>
        <v>280</v>
      </c>
      <c r="BR458" s="61"/>
      <c r="BS458" s="61"/>
      <c r="BT458" s="17"/>
      <c r="BU458" s="17"/>
      <c r="BV458" s="17"/>
      <c r="BW458" s="17"/>
      <c r="BX458" s="61"/>
      <c r="BY458" s="531"/>
      <c r="BZ458" s="530"/>
      <c r="CA458" s="531"/>
      <c r="CB458" s="530"/>
      <c r="CC458" s="530"/>
      <c r="CD458" s="530"/>
      <c r="CE458" s="1295"/>
      <c r="CF458" s="1301"/>
      <c r="CG458" s="530"/>
      <c r="CH458" s="61"/>
      <c r="CI458" s="61"/>
      <c r="CJ458" s="61"/>
      <c r="DK458" s="58" t="str" cm="1">
        <f t="array" ref="DK458">IF(AND($BT458=4,$BX458=4,$BU458=999),$DB$36,_xlfn.IFNA(INDEX(DB$13:DB$70,MATCH(1,($BR458=$CV$13:$CV$70)*($BT458=$CX$13:$CX$70)*($CE458=$CY$13:$CY$70)*($BY458=$DA$13:$DA$70)*($CD458=$DH$13:$DH$70),0)),""))</f>
        <v/>
      </c>
      <c r="DL458" s="58" t="str" cm="1">
        <f t="array" ref="DL458">IF(AND($BT458=4,$BX458=4,$BU458=999),$DC$36,_xlfn.IFNA(INDEX(CHOOSE(DP458,DB$13:DB$70,DC$13:DC$70,DD$13:DD$70,DE$13:DE$70),MATCH(1,($BR458=$CV$13:$CV$70)*($BT458=$CX$13:$CX$70)*($CE458=$CY$13:$CY$70)*($BY458=$DA$13:$DA$70)*($CD458=$DH$13:$DH$70),0)),""))</f>
        <v/>
      </c>
      <c r="DM458" s="740" t="str" cm="1">
        <f t="array" ref="DM458">IF(AND($BT458=4,$BX458=4,$BU458=999),$DD$36,_xlfn.IFNA(INDEX(DD$13:DD$68,MATCH(1,($BR458=$CV$13:$CV$68)*($BT458=$CX$13:$CX$68)*($CE458=$CY$13:$CY$68)*($BY458=$DA$13:$DA$68)*($CD458=$DH$13:$DH$68),0)),""))</f>
        <v/>
      </c>
      <c r="DN458" s="740" t="str" cm="1">
        <f t="array" ref="DN458">IF(AND($BT458=4,$BX458=4,$BU458=999),$DD$36,_xlfn.IFNA(INDEX(DE$13:DE$68,MATCH(1,($BR458=$CV$13:$CV$68)*($BT458=$CX$13:$CX$68)*($CE458=$CY$13:$CY$68)*($BY458=$DA$13:$DA$68)*($CD458=$DH$13:$DH$68),0)),""))</f>
        <v/>
      </c>
      <c r="DO458" s="58" t="str" cm="1">
        <f t="array" ref="DO458">IF(AND($BT458=4,$BX458=4,$BU458=999),$DF$36,_xlfn.IFNA(INDEX(DF$13:DF$70,MATCH(1,($BR458=$CV$13:$CV$70)*($BT458=$CX$13:$CX$70)*($CE458=$CY$13:$CY$70)*($BY458=$DA$13:$DA$70)*($CD458=$DH$13:$DH$70),0)),""))</f>
        <v/>
      </c>
      <c r="DP458" s="58" t="e">
        <f t="shared" si="668"/>
        <v>#N/A</v>
      </c>
      <c r="FT458" s="58">
        <f t="shared" si="669"/>
        <v>0</v>
      </c>
      <c r="FW458" s="58">
        <f>IF(i_baseline_risk_from=2,'Effectiveness settings'!EW458,'Effectiveness settings'!FI458)</f>
        <v>0</v>
      </c>
      <c r="FX458" s="58">
        <f t="shared" si="670"/>
        <v>0</v>
      </c>
      <c r="FY458" s="58">
        <f t="shared" si="671"/>
        <v>0</v>
      </c>
      <c r="FZ458" s="58">
        <f t="shared" si="672"/>
        <v>0</v>
      </c>
      <c r="GA458" s="58">
        <f t="shared" si="673"/>
        <v>0</v>
      </c>
      <c r="GB458" s="58">
        <f t="shared" si="674"/>
        <v>0</v>
      </c>
      <c r="GC458" s="58">
        <f t="shared" si="675"/>
        <v>0</v>
      </c>
      <c r="GD458" s="58">
        <f t="shared" si="676"/>
        <v>0</v>
      </c>
      <c r="GE458" s="58">
        <f>IF(AND(dd_CheckMate214_TTD="Yes",'Effectiveness settings'!BU458=2,'Effectiveness settings'!BX458=2),"Apply HR to",GD458)</f>
        <v>0</v>
      </c>
      <c r="GF458" s="58">
        <f t="shared" si="677"/>
        <v>0</v>
      </c>
      <c r="GG458" s="58">
        <f t="shared" si="678"/>
        <v>0</v>
      </c>
      <c r="GH458" s="58">
        <f t="shared" si="679"/>
        <v>0</v>
      </c>
      <c r="GI458" s="58">
        <f t="shared" si="773"/>
        <v>0</v>
      </c>
      <c r="GK458" s="58">
        <f>IF(i_baseline_risk_from=2,'Effectiveness settings'!FA458,'Effectiveness settings'!FM458)</f>
        <v>0</v>
      </c>
      <c r="GL458" s="58">
        <f>IF(i_baseline_risk_from=2,'Effectiveness settings'!FB458,'Effectiveness settings'!FN458)</f>
        <v>0</v>
      </c>
      <c r="GM458" s="58">
        <f>IF(i_baseline_risk_from=2,'Effectiveness settings'!FC458,'Effectiveness settings'!FO458)</f>
        <v>0</v>
      </c>
      <c r="GN458" s="58">
        <f>IF(i_baseline_risk_from=2,'Effectiveness settings'!FD458,'Effectiveness settings'!FP458)</f>
        <v>0</v>
      </c>
      <c r="GQ458" s="58">
        <f t="shared" si="680"/>
        <v>0</v>
      </c>
      <c r="GR458" s="58">
        <f t="shared" si="681"/>
        <v>0</v>
      </c>
      <c r="GS458" s="58">
        <f t="shared" si="682"/>
        <v>0</v>
      </c>
      <c r="GT458" s="58">
        <f t="shared" si="683"/>
        <v>0</v>
      </c>
      <c r="GU458" s="58">
        <f>IF(AND(dd_CheckMate214_TTD="Yes",'Effectiveness settings'!BU458=2,'Effectiveness settings'!BX458=2),2,GT458)</f>
        <v>0</v>
      </c>
      <c r="GV458" s="58">
        <f t="shared" si="684"/>
        <v>0</v>
      </c>
      <c r="GW458" s="58">
        <f t="shared" si="685"/>
        <v>0</v>
      </c>
      <c r="GY458" s="58">
        <f>IF(AND(dd_CheckMate214_TTD="Yes",'Effectiveness settings'!BU458=2,'Effectiveness settings'!BX458=2),1,GN458)</f>
        <v>0</v>
      </c>
      <c r="GZ458" s="58">
        <f t="shared" si="686"/>
        <v>0</v>
      </c>
      <c r="HB458" s="58">
        <f t="shared" si="687"/>
        <v>0</v>
      </c>
      <c r="HD458" s="58">
        <f t="shared" si="768"/>
        <v>0</v>
      </c>
      <c r="HE458" s="58">
        <f t="shared" si="769"/>
        <v>0</v>
      </c>
      <c r="HF458" s="58">
        <f t="shared" si="770"/>
        <v>0</v>
      </c>
      <c r="HG458" s="58">
        <f t="shared" si="771"/>
        <v>0</v>
      </c>
      <c r="HH458" s="58">
        <f t="shared" si="772"/>
        <v>0</v>
      </c>
    </row>
    <row r="459" spans="69:216" ht="15.75" x14ac:dyDescent="0.25">
      <c r="BQ459" s="58">
        <f t="shared" si="667"/>
        <v>280</v>
      </c>
      <c r="BR459" s="61"/>
      <c r="BS459" s="61"/>
      <c r="BT459" s="17"/>
      <c r="BU459" s="17"/>
      <c r="BV459" s="17"/>
      <c r="BW459" s="17"/>
      <c r="BX459" s="61"/>
      <c r="BY459" s="531"/>
      <c r="BZ459" s="530"/>
      <c r="CA459" s="531"/>
      <c r="CB459" s="530"/>
      <c r="CC459" s="530"/>
      <c r="CD459" s="530"/>
      <c r="CE459" s="1295"/>
      <c r="CF459" s="1301"/>
      <c r="CG459" s="530"/>
      <c r="CH459" s="61"/>
      <c r="CI459" s="61"/>
      <c r="CJ459" s="61"/>
      <c r="DK459" s="58" t="str" cm="1">
        <f t="array" ref="DK459">IF(AND($BT459=4,$BX459=4,$BU459=999),$DB$36,_xlfn.IFNA(INDEX(DB$13:DB$70,MATCH(1,($BR459=$CV$13:$CV$70)*($BT459=$CX$13:$CX$70)*($CE459=$CY$13:$CY$70)*($BY459=$DA$13:$DA$70)*($CD459=$DH$13:$DH$70),0)),""))</f>
        <v/>
      </c>
      <c r="DL459" s="58" t="str" cm="1">
        <f t="array" ref="DL459">IF(AND($BT459=4,$BX459=4,$BU459=999),$DC$36,_xlfn.IFNA(INDEX(CHOOSE(DP459,DB$13:DB$70,DC$13:DC$70,DD$13:DD$70,DE$13:DE$70),MATCH(1,($BR459=$CV$13:$CV$70)*($BT459=$CX$13:$CX$70)*($CE459=$CY$13:$CY$70)*($BY459=$DA$13:$DA$70)*($CD459=$DH$13:$DH$70),0)),""))</f>
        <v/>
      </c>
      <c r="DM459" s="740" t="str" cm="1">
        <f t="array" ref="DM459">IF(AND($BT459=4,$BX459=4,$BU459=999),$DD$36,_xlfn.IFNA(INDEX(DD$13:DD$68,MATCH(1,($BR459=$CV$13:$CV$68)*($BT459=$CX$13:$CX$68)*($CE459=$CY$13:$CY$68)*($BY459=$DA$13:$DA$68)*($CD459=$DH$13:$DH$68),0)),""))</f>
        <v/>
      </c>
      <c r="DN459" s="740" t="str" cm="1">
        <f t="array" ref="DN459">IF(AND($BT459=4,$BX459=4,$BU459=999),$DD$36,_xlfn.IFNA(INDEX(DE$13:DE$68,MATCH(1,($BR459=$CV$13:$CV$68)*($BT459=$CX$13:$CX$68)*($CE459=$CY$13:$CY$68)*($BY459=$DA$13:$DA$68)*($CD459=$DH$13:$DH$68),0)),""))</f>
        <v/>
      </c>
      <c r="DO459" s="58" t="str" cm="1">
        <f t="array" ref="DO459">IF(AND($BT459=4,$BX459=4,$BU459=999),$DF$36,_xlfn.IFNA(INDEX(DF$13:DF$70,MATCH(1,($BR459=$CV$13:$CV$70)*($BT459=$CX$13:$CX$70)*($CE459=$CY$13:$CY$70)*($BY459=$DA$13:$DA$70)*($CD459=$DH$13:$DH$70),0)),""))</f>
        <v/>
      </c>
      <c r="DP459" s="58" t="e">
        <f t="shared" si="668"/>
        <v>#N/A</v>
      </c>
      <c r="FT459" s="58">
        <f t="shared" si="669"/>
        <v>0</v>
      </c>
      <c r="FW459" s="58">
        <f>IF(i_baseline_risk_from=2,'Effectiveness settings'!EW459,'Effectiveness settings'!FI459)</f>
        <v>0</v>
      </c>
      <c r="FX459" s="58">
        <f t="shared" si="670"/>
        <v>0</v>
      </c>
      <c r="FY459" s="58">
        <f t="shared" si="671"/>
        <v>0</v>
      </c>
      <c r="FZ459" s="58">
        <f t="shared" si="672"/>
        <v>0</v>
      </c>
      <c r="GA459" s="58">
        <f t="shared" si="673"/>
        <v>0</v>
      </c>
      <c r="GB459" s="58">
        <f t="shared" si="674"/>
        <v>0</v>
      </c>
      <c r="GC459" s="58">
        <f t="shared" si="675"/>
        <v>0</v>
      </c>
      <c r="GD459" s="58">
        <f t="shared" si="676"/>
        <v>0</v>
      </c>
      <c r="GE459" s="58">
        <f>IF(AND(dd_CheckMate214_TTD="Yes",'Effectiveness settings'!BU459=2,'Effectiveness settings'!BX459=2),"Apply HR to",GD459)</f>
        <v>0</v>
      </c>
      <c r="GF459" s="58">
        <f t="shared" si="677"/>
        <v>0</v>
      </c>
      <c r="GG459" s="58">
        <f t="shared" si="678"/>
        <v>0</v>
      </c>
      <c r="GH459" s="58">
        <f t="shared" si="679"/>
        <v>0</v>
      </c>
      <c r="GI459" s="58">
        <f t="shared" si="773"/>
        <v>0</v>
      </c>
      <c r="GK459" s="58">
        <f>IF(i_baseline_risk_from=2,'Effectiveness settings'!FA459,'Effectiveness settings'!FM459)</f>
        <v>0</v>
      </c>
      <c r="GL459" s="58">
        <f>IF(i_baseline_risk_from=2,'Effectiveness settings'!FB459,'Effectiveness settings'!FN459)</f>
        <v>0</v>
      </c>
      <c r="GM459" s="58">
        <f>IF(i_baseline_risk_from=2,'Effectiveness settings'!FC459,'Effectiveness settings'!FO459)</f>
        <v>0</v>
      </c>
      <c r="GN459" s="58">
        <f>IF(i_baseline_risk_from=2,'Effectiveness settings'!FD459,'Effectiveness settings'!FP459)</f>
        <v>0</v>
      </c>
      <c r="GQ459" s="58">
        <f t="shared" si="680"/>
        <v>0</v>
      </c>
      <c r="GR459" s="58">
        <f t="shared" si="681"/>
        <v>0</v>
      </c>
      <c r="GS459" s="58">
        <f t="shared" si="682"/>
        <v>0</v>
      </c>
      <c r="GT459" s="58">
        <f t="shared" si="683"/>
        <v>0</v>
      </c>
      <c r="GU459" s="58">
        <f>IF(AND(dd_CheckMate214_TTD="Yes",'Effectiveness settings'!BU459=2,'Effectiveness settings'!BX459=2),2,GT459)</f>
        <v>0</v>
      </c>
      <c r="GV459" s="58">
        <f t="shared" si="684"/>
        <v>0</v>
      </c>
      <c r="GW459" s="58">
        <f t="shared" si="685"/>
        <v>0</v>
      </c>
      <c r="GY459" s="58">
        <f>IF(AND(dd_CheckMate214_TTD="Yes",'Effectiveness settings'!BU459=2,'Effectiveness settings'!BX459=2),1,GN459)</f>
        <v>0</v>
      </c>
      <c r="GZ459" s="58">
        <f t="shared" si="686"/>
        <v>0</v>
      </c>
      <c r="HB459" s="58">
        <f t="shared" si="687"/>
        <v>0</v>
      </c>
      <c r="HD459" s="58">
        <f t="shared" si="768"/>
        <v>0</v>
      </c>
      <c r="HE459" s="58">
        <f t="shared" si="769"/>
        <v>0</v>
      </c>
      <c r="HF459" s="58">
        <f t="shared" si="770"/>
        <v>0</v>
      </c>
      <c r="HG459" s="58">
        <f t="shared" si="771"/>
        <v>0</v>
      </c>
      <c r="HH459" s="58">
        <f t="shared" si="772"/>
        <v>0</v>
      </c>
    </row>
    <row r="460" spans="69:216" ht="15.75" x14ac:dyDescent="0.25">
      <c r="BQ460" s="58">
        <f t="shared" si="667"/>
        <v>280</v>
      </c>
      <c r="BR460" s="61"/>
      <c r="BS460" s="61"/>
      <c r="BT460" s="17"/>
      <c r="BU460" s="17"/>
      <c r="BV460" s="17"/>
      <c r="BW460" s="17"/>
      <c r="BX460" s="61"/>
      <c r="BY460" s="531"/>
      <c r="BZ460" s="530"/>
      <c r="CA460" s="531"/>
      <c r="CB460" s="530"/>
      <c r="CC460" s="530"/>
      <c r="CD460" s="530"/>
      <c r="CE460" s="1295"/>
      <c r="CF460" s="1301"/>
      <c r="CG460" s="530"/>
      <c r="CH460" s="61"/>
      <c r="CI460" s="61"/>
      <c r="CJ460" s="61"/>
      <c r="DK460" s="58" t="str" cm="1">
        <f t="array" ref="DK460">IF(AND($BT460=4,$BX460=4,$BU460=999),$DB$36,_xlfn.IFNA(INDEX(DB$13:DB$70,MATCH(1,($BR460=$CV$13:$CV$70)*($BT460=$CX$13:$CX$70)*($CE460=$CY$13:$CY$70)*($BY460=$DA$13:$DA$70)*($CD460=$DH$13:$DH$70),0)),""))</f>
        <v/>
      </c>
      <c r="DL460" s="58" t="str" cm="1">
        <f t="array" ref="DL460">IF(AND($BT460=4,$BX460=4,$BU460=999),$DC$36,_xlfn.IFNA(INDEX(CHOOSE(DP460,DB$13:DB$70,DC$13:DC$70,DD$13:DD$70,DE$13:DE$70),MATCH(1,($BR460=$CV$13:$CV$70)*($BT460=$CX$13:$CX$70)*($CE460=$CY$13:$CY$70)*($BY460=$DA$13:$DA$70)*($CD460=$DH$13:$DH$70),0)),""))</f>
        <v/>
      </c>
      <c r="DM460" s="740" t="str" cm="1">
        <f t="array" ref="DM460">IF(AND($BT460=4,$BX460=4,$BU460=999),$DD$36,_xlfn.IFNA(INDEX(DD$13:DD$68,MATCH(1,($BR460=$CV$13:$CV$68)*($BT460=$CX$13:$CX$68)*($CE460=$CY$13:$CY$68)*($BY460=$DA$13:$DA$68)*($CD460=$DH$13:$DH$68),0)),""))</f>
        <v/>
      </c>
      <c r="DN460" s="740" t="str" cm="1">
        <f t="array" ref="DN460">IF(AND($BT460=4,$BX460=4,$BU460=999),$DD$36,_xlfn.IFNA(INDEX(DE$13:DE$68,MATCH(1,($BR460=$CV$13:$CV$68)*($BT460=$CX$13:$CX$68)*($CE460=$CY$13:$CY$68)*($BY460=$DA$13:$DA$68)*($CD460=$DH$13:$DH$68),0)),""))</f>
        <v/>
      </c>
      <c r="DO460" s="58" t="str" cm="1">
        <f t="array" ref="DO460">IF(AND($BT460=4,$BX460=4,$BU460=999),$DF$36,_xlfn.IFNA(INDEX(DF$13:DF$70,MATCH(1,($BR460=$CV$13:$CV$70)*($BT460=$CX$13:$CX$70)*($CE460=$CY$13:$CY$70)*($BY460=$DA$13:$DA$70)*($CD460=$DH$13:$DH$70),0)),""))</f>
        <v/>
      </c>
      <c r="DP460" s="58" t="e">
        <f t="shared" si="668"/>
        <v>#N/A</v>
      </c>
      <c r="FT460" s="58">
        <f t="shared" si="669"/>
        <v>0</v>
      </c>
      <c r="FW460" s="58">
        <f>IF(i_baseline_risk_from=2,'Effectiveness settings'!EW460,'Effectiveness settings'!FI460)</f>
        <v>0</v>
      </c>
      <c r="FX460" s="58">
        <f t="shared" si="670"/>
        <v>0</v>
      </c>
      <c r="FY460" s="58">
        <f t="shared" si="671"/>
        <v>0</v>
      </c>
      <c r="FZ460" s="58">
        <f t="shared" si="672"/>
        <v>0</v>
      </c>
      <c r="GA460" s="58">
        <f t="shared" si="673"/>
        <v>0</v>
      </c>
      <c r="GB460" s="58">
        <f t="shared" si="674"/>
        <v>0</v>
      </c>
      <c r="GC460" s="58">
        <f t="shared" si="675"/>
        <v>0</v>
      </c>
      <c r="GD460" s="58">
        <f t="shared" si="676"/>
        <v>0</v>
      </c>
      <c r="GE460" s="58">
        <f>IF(AND(dd_CheckMate214_TTD="Yes",'Effectiveness settings'!BU460=2,'Effectiveness settings'!BX460=2),"Apply HR to",GD460)</f>
        <v>0</v>
      </c>
      <c r="GF460" s="58">
        <f t="shared" si="677"/>
        <v>0</v>
      </c>
      <c r="GG460" s="58">
        <f t="shared" si="678"/>
        <v>0</v>
      </c>
      <c r="GH460" s="58">
        <f t="shared" si="679"/>
        <v>0</v>
      </c>
      <c r="GI460" s="58">
        <f t="shared" si="773"/>
        <v>0</v>
      </c>
      <c r="GK460" s="58">
        <f>IF(i_baseline_risk_from=2,'Effectiveness settings'!FA460,'Effectiveness settings'!FM460)</f>
        <v>0</v>
      </c>
      <c r="GL460" s="58">
        <f>IF(i_baseline_risk_from=2,'Effectiveness settings'!FB460,'Effectiveness settings'!FN460)</f>
        <v>0</v>
      </c>
      <c r="GM460" s="58">
        <f>IF(i_baseline_risk_from=2,'Effectiveness settings'!FC460,'Effectiveness settings'!FO460)</f>
        <v>0</v>
      </c>
      <c r="GN460" s="58">
        <f>IF(i_baseline_risk_from=2,'Effectiveness settings'!FD460,'Effectiveness settings'!FP460)</f>
        <v>0</v>
      </c>
      <c r="GQ460" s="58">
        <f t="shared" si="680"/>
        <v>0</v>
      </c>
      <c r="GR460" s="58">
        <f t="shared" si="681"/>
        <v>0</v>
      </c>
      <c r="GS460" s="58">
        <f t="shared" si="682"/>
        <v>0</v>
      </c>
      <c r="GT460" s="58">
        <f t="shared" si="683"/>
        <v>0</v>
      </c>
      <c r="GU460" s="58">
        <f>IF(AND(dd_CheckMate214_TTD="Yes",'Effectiveness settings'!BU460=2,'Effectiveness settings'!BX460=2),2,GT460)</f>
        <v>0</v>
      </c>
      <c r="GV460" s="58">
        <f t="shared" si="684"/>
        <v>0</v>
      </c>
      <c r="GW460" s="58">
        <f t="shared" si="685"/>
        <v>0</v>
      </c>
      <c r="GY460" s="58">
        <f>IF(AND(dd_CheckMate214_TTD="Yes",'Effectiveness settings'!BU460=2,'Effectiveness settings'!BX460=2),1,GN460)</f>
        <v>0</v>
      </c>
      <c r="GZ460" s="58">
        <f t="shared" si="686"/>
        <v>0</v>
      </c>
      <c r="HB460" s="58">
        <f t="shared" si="687"/>
        <v>0</v>
      </c>
      <c r="HD460" s="58">
        <f t="shared" si="768"/>
        <v>0</v>
      </c>
      <c r="HE460" s="58">
        <f t="shared" si="769"/>
        <v>0</v>
      </c>
      <c r="HF460" s="58">
        <f t="shared" si="770"/>
        <v>0</v>
      </c>
      <c r="HG460" s="58">
        <f t="shared" si="771"/>
        <v>0</v>
      </c>
      <c r="HH460" s="58">
        <f t="shared" si="772"/>
        <v>0</v>
      </c>
    </row>
    <row r="461" spans="69:216" ht="15.75" x14ac:dyDescent="0.25">
      <c r="BQ461" s="58">
        <f t="shared" ref="BQ461:BQ524" si="774">BQ460+IF(ISBLANK(BR461),0,1)</f>
        <v>280</v>
      </c>
      <c r="BR461" s="61"/>
      <c r="BS461" s="61"/>
      <c r="BT461" s="17"/>
      <c r="BU461" s="17"/>
      <c r="BV461" s="17"/>
      <c r="BW461" s="17"/>
      <c r="BX461" s="61"/>
      <c r="BY461" s="531"/>
      <c r="BZ461" s="530"/>
      <c r="CA461" s="531"/>
      <c r="CB461" s="530"/>
      <c r="CC461" s="530"/>
      <c r="CD461" s="530"/>
      <c r="CE461" s="1295"/>
      <c r="CF461" s="1301"/>
      <c r="CG461" s="530"/>
      <c r="CH461" s="61"/>
      <c r="CI461" s="61"/>
      <c r="CJ461" s="61"/>
      <c r="DK461" s="58" t="str" cm="1">
        <f t="array" ref="DK461">IF(AND($BT461=4,$BX461=4,$BU461=999),$DB$36,_xlfn.IFNA(INDEX(DB$13:DB$70,MATCH(1,($BR461=$CV$13:$CV$70)*($BT461=$CX$13:$CX$70)*($CE461=$CY$13:$CY$70)*($BY461=$DA$13:$DA$70)*($CD461=$DH$13:$DH$70),0)),""))</f>
        <v/>
      </c>
      <c r="DL461" s="58" t="str" cm="1">
        <f t="array" ref="DL461">IF(AND($BT461=4,$BX461=4,$BU461=999),$DC$36,_xlfn.IFNA(INDEX(CHOOSE(DP461,DB$13:DB$70,DC$13:DC$70,DD$13:DD$70,DE$13:DE$70),MATCH(1,($BR461=$CV$13:$CV$70)*($BT461=$CX$13:$CX$70)*($CE461=$CY$13:$CY$70)*($BY461=$DA$13:$DA$70)*($CD461=$DH$13:$DH$70),0)),""))</f>
        <v/>
      </c>
      <c r="DM461" s="740" t="str" cm="1">
        <f t="array" ref="DM461">IF(AND($BT461=4,$BX461=4,$BU461=999),$DD$36,_xlfn.IFNA(INDEX(DD$13:DD$68,MATCH(1,($BR461=$CV$13:$CV$68)*($BT461=$CX$13:$CX$68)*($CE461=$CY$13:$CY$68)*($BY461=$DA$13:$DA$68)*($CD461=$DH$13:$DH$68),0)),""))</f>
        <v/>
      </c>
      <c r="DN461" s="740" t="str" cm="1">
        <f t="array" ref="DN461">IF(AND($BT461=4,$BX461=4,$BU461=999),$DD$36,_xlfn.IFNA(INDEX(DE$13:DE$68,MATCH(1,($BR461=$CV$13:$CV$68)*($BT461=$CX$13:$CX$68)*($CE461=$CY$13:$CY$68)*($BY461=$DA$13:$DA$68)*($CD461=$DH$13:$DH$68),0)),""))</f>
        <v/>
      </c>
      <c r="DO461" s="58" t="str" cm="1">
        <f t="array" ref="DO461">IF(AND($BT461=4,$BX461=4,$BU461=999),$DF$36,_xlfn.IFNA(INDEX(DF$13:DF$70,MATCH(1,($BR461=$CV$13:$CV$70)*($BT461=$CX$13:$CX$70)*($CE461=$CY$13:$CY$70)*($BY461=$DA$13:$DA$70)*($CD461=$DH$13:$DH$70),0)),""))</f>
        <v/>
      </c>
      <c r="DP461" s="58" t="e">
        <f t="shared" ref="DP461:DP524" si="775">MATCH(DO461,List_surv_cur_ext,0)</f>
        <v>#N/A</v>
      </c>
      <c r="FT461" s="58">
        <f t="shared" ref="FT461:FT524" si="776">IF(AND(BZ461="Trial survival analysis",CE461=0),INDEX(List_trials,1),IF(AND(BZ461="Trial survival analysis",CE461=1),INDEX(List_trials,2),IF(AND(BZ461="Trial survival analysis",OR(CE461=2,CC461=4)),INDEX(List_trials,3),0)))</f>
        <v>0</v>
      </c>
      <c r="FW461" s="58">
        <f>IF(i_baseline_risk_from=2,'Effectiveness settings'!EW461,'Effectiveness settings'!FI461)</f>
        <v>0</v>
      </c>
      <c r="FX461" s="58">
        <f t="shared" ref="FX461:FX524" si="777">IF(AND(BT461&gt;1,FW461="FP_NMA",dd_2ndline_NMA="PH_NMA"),"PH_NMA",FW461)</f>
        <v>0</v>
      </c>
      <c r="FY461" s="58">
        <f t="shared" ref="FY461:FY524" si="778">IF(AND(BU461=1,OR(FX461="PH_NMA",FX461="FP_NMA",FX461="Trial survival analysis")),IF(dd_cabo_nivo_outcome_from="FP_NMA",FX461,dd_cabo_nivo_outcome_from),FX461)</f>
        <v>0</v>
      </c>
      <c r="FZ461" s="58">
        <f t="shared" ref="FZ461:FZ524" si="779">IF(AND(dd_eq_eff_pazo_suni="Yes",BX461&lt;4,$BU461=5,BT461&lt;4,FY461&lt;&gt;"Apply HR to"),"Assume equal to",FY461)</f>
        <v>0</v>
      </c>
      <c r="GA461" s="58">
        <f t="shared" ref="GA461:GA524" si="780">IF(AND(dd_eq_eff_tivo_suni="Yes",BX461&lt;4,$BU461=6,BT461=1,FZ461&lt;&gt;"Apply HR to"),"Assume equal to",FZ461)</f>
        <v>0</v>
      </c>
      <c r="GB461" s="58">
        <f t="shared" ref="GB461:GB524" si="781">IF(AND(dd_eq_eff_evero_axi="Yes",BX461&lt;4,$BU461=11,BT461&lt;4,GA461&lt;&gt;"Apply HR to"),"Assume equal to",GA461)</f>
        <v>0</v>
      </c>
      <c r="GC461" s="58">
        <f t="shared" ref="GC461:GC524" si="782">IF(AND(BX461=4,BR461=1),GB461,(IF(AND(OR(GB461="PH_NMA",GB461="FP_NMA"),BU461=3,BR461&lt;&gt;2),dd_pemlen_NMA,GB461)))</f>
        <v>0</v>
      </c>
      <c r="GD461" s="58">
        <f t="shared" ref="GD461:GD524" si="783">IF(AND(BU461=3,dd_pemlen_equal = "Yes"),"Assume equal to",GC461)</f>
        <v>0</v>
      </c>
      <c r="GE461" s="58">
        <f>IF(AND(dd_CheckMate214_TTD="Yes",'Effectiveness settings'!BU461=2,'Effectiveness settings'!BX461=2),"Apply HR to",GD461)</f>
        <v>0</v>
      </c>
      <c r="GF461" s="58">
        <f t="shared" ref="GF461:GF524" si="784">IF(AND(dd_TTD_same_as_PFS="Yes",BX461=2),"Assume equal to", GE461)</f>
        <v>0</v>
      </c>
      <c r="GG461" s="58">
        <f t="shared" ref="GG461:GG524" si="785">IF(AND(dd_nivoipiPFS="TTNT",BR461=1,BT461=1,BU461=2,BX461=1,dd_use_PHnma_for_FPnma="Yes"),"Apply HR to",GF461)</f>
        <v>0</v>
      </c>
      <c r="GH461" s="58">
        <f t="shared" ref="GH461:GH524" si="786">IF(AND(dd_eq_eff_cabo_suni="Yes",$BX461&lt;4,$BU461=8,$BT461=1,$BR461=1,$GG461&lt;&gt;"Apply HR to"),"Assume equal to",GG461)</f>
        <v>0</v>
      </c>
      <c r="GI461" s="58">
        <f t="shared" si="773"/>
        <v>0</v>
      </c>
      <c r="GK461" s="58">
        <f>IF(i_baseline_risk_from=2,'Effectiveness settings'!FA461,'Effectiveness settings'!FM461)</f>
        <v>0</v>
      </c>
      <c r="GL461" s="58">
        <f>IF(i_baseline_risk_from=2,'Effectiveness settings'!FB461,'Effectiveness settings'!FN461)</f>
        <v>0</v>
      </c>
      <c r="GM461" s="58">
        <f>IF(i_baseline_risk_from=2,'Effectiveness settings'!FC461,'Effectiveness settings'!FO461)</f>
        <v>0</v>
      </c>
      <c r="GN461" s="58">
        <f>IF(i_baseline_risk_from=2,'Effectiveness settings'!FD461,'Effectiveness settings'!FP461)</f>
        <v>0</v>
      </c>
      <c r="GQ461" s="58">
        <f t="shared" ref="GQ461:GQ524" si="787">IF(AND(dd_eq_eff_pazo_suni="Yes",BX461&lt;4,$BU461=5,BT461&lt;4,FY461&lt;&gt;"Apply HR to"),7,GL461)</f>
        <v>0</v>
      </c>
      <c r="GR461" s="58">
        <f t="shared" ref="GR461:GR524" si="788">IF(AND(dd_eq_eff_tivo_suni="Yes",BX461&lt;4,$BU461=6,BT461=1,FY461&lt;&gt;"Apply HR to"),7,IF(AND(BX461&lt;4,$BU461=7,BT461&gt;1,FY461&lt;&gt;"Apply HR to"),6,GQ461))</f>
        <v>0</v>
      </c>
      <c r="GS461" s="58">
        <f t="shared" ref="GS461:GS524" si="789">IF(AND(dd_eq_eff_evero_axi="Yes",BX461&lt;4,$BU461=11,BT461&lt;4,FY461&lt;&gt;"Apply HR to"),10,GR461)</f>
        <v>0</v>
      </c>
      <c r="GT461" s="58">
        <f t="shared" ref="GT461:GT524" si="790">IF(AND(BU461=3,dd_pemlen_equal = "Yes"),1,GS461)</f>
        <v>0</v>
      </c>
      <c r="GU461" s="58">
        <f>IF(AND(dd_CheckMate214_TTD="Yes",'Effectiveness settings'!BU461=2,'Effectiveness settings'!BX461=2),2,GT461)</f>
        <v>0</v>
      </c>
      <c r="GV461" s="58">
        <f t="shared" ref="GV461:GV524" si="791">IF(AND(BY461="Time to treatment discontinuation",dd_TTD_same_as_PFS="Yes"),BU461,GU461)</f>
        <v>0</v>
      </c>
      <c r="GW461" s="58">
        <f t="shared" ref="GW461:GW524" si="792">IF(AND(dd_eq_eff_cabo_suni="Yes",$BX461&lt;4,$BU461=8,$BT461=1,$BR461=1,$GG461&lt;&gt;"Apply HR to"),7,GV461)</f>
        <v>0</v>
      </c>
      <c r="GY461" s="58">
        <f>IF(AND(dd_CheckMate214_TTD="Yes",'Effectiveness settings'!BU461=2,'Effectiveness settings'!BX461=2),1,GN461)</f>
        <v>0</v>
      </c>
      <c r="GZ461" s="58">
        <f t="shared" ref="GZ461:GZ524" si="793">IF(AND(dd_TTD_same_as_PFS="Yes",BX461=2),1, GY461)</f>
        <v>0</v>
      </c>
      <c r="HB461" s="58">
        <f t="shared" ref="HB461:HB524" si="794">IF(i_baseline_risk_from=2,EZ461,FL461)</f>
        <v>0</v>
      </c>
      <c r="HD461" s="58">
        <f t="shared" si="768"/>
        <v>0</v>
      </c>
      <c r="HE461" s="58">
        <f t="shared" si="769"/>
        <v>0</v>
      </c>
      <c r="HF461" s="58">
        <f t="shared" si="770"/>
        <v>0</v>
      </c>
      <c r="HG461" s="58">
        <f t="shared" si="771"/>
        <v>0</v>
      </c>
      <c r="HH461" s="58">
        <f t="shared" si="772"/>
        <v>0</v>
      </c>
    </row>
    <row r="462" spans="69:216" ht="15.75" x14ac:dyDescent="0.25">
      <c r="BQ462" s="58">
        <f t="shared" si="774"/>
        <v>280</v>
      </c>
      <c r="BR462" s="61"/>
      <c r="BS462" s="61"/>
      <c r="BT462" s="17"/>
      <c r="BU462" s="17"/>
      <c r="BV462" s="17"/>
      <c r="BW462" s="17"/>
      <c r="BX462" s="61"/>
      <c r="BY462" s="531"/>
      <c r="BZ462" s="530"/>
      <c r="CA462" s="531"/>
      <c r="CB462" s="530"/>
      <c r="CC462" s="530"/>
      <c r="CD462" s="530"/>
      <c r="CE462" s="1295"/>
      <c r="CF462" s="1301"/>
      <c r="CG462" s="530"/>
      <c r="CH462" s="61"/>
      <c r="CI462" s="61"/>
      <c r="CJ462" s="61"/>
      <c r="DK462" s="58" t="str" cm="1">
        <f t="array" ref="DK462">IF(AND($BT462=4,$BX462=4,$BU462=999),$DB$36,_xlfn.IFNA(INDEX(DB$13:DB$70,MATCH(1,($BR462=$CV$13:$CV$70)*($BT462=$CX$13:$CX$70)*($CE462=$CY$13:$CY$70)*($BY462=$DA$13:$DA$70)*($CD462=$DH$13:$DH$70),0)),""))</f>
        <v/>
      </c>
      <c r="DL462" s="58" t="str" cm="1">
        <f t="array" ref="DL462">IF(AND($BT462=4,$BX462=4,$BU462=999),$DC$36,_xlfn.IFNA(INDEX(CHOOSE(DP462,DB$13:DB$70,DC$13:DC$70,DD$13:DD$70,DE$13:DE$70),MATCH(1,($BR462=$CV$13:$CV$70)*($BT462=$CX$13:$CX$70)*($CE462=$CY$13:$CY$70)*($BY462=$DA$13:$DA$70)*($CD462=$DH$13:$DH$70),0)),""))</f>
        <v/>
      </c>
      <c r="DM462" s="740" t="str" cm="1">
        <f t="array" ref="DM462">IF(AND($BT462=4,$BX462=4,$BU462=999),$DD$36,_xlfn.IFNA(INDEX(DD$13:DD$68,MATCH(1,($BR462=$CV$13:$CV$68)*($BT462=$CX$13:$CX$68)*($CE462=$CY$13:$CY$68)*($BY462=$DA$13:$DA$68)*($CD462=$DH$13:$DH$68),0)),""))</f>
        <v/>
      </c>
      <c r="DN462" s="740" t="str" cm="1">
        <f t="array" ref="DN462">IF(AND($BT462=4,$BX462=4,$BU462=999),$DD$36,_xlfn.IFNA(INDEX(DE$13:DE$68,MATCH(1,($BR462=$CV$13:$CV$68)*($BT462=$CX$13:$CX$68)*($CE462=$CY$13:$CY$68)*($BY462=$DA$13:$DA$68)*($CD462=$DH$13:$DH$68),0)),""))</f>
        <v/>
      </c>
      <c r="DO462" s="58" t="str" cm="1">
        <f t="array" ref="DO462">IF(AND($BT462=4,$BX462=4,$BU462=999),$DF$36,_xlfn.IFNA(INDEX(DF$13:DF$70,MATCH(1,($BR462=$CV$13:$CV$70)*($BT462=$CX$13:$CX$70)*($CE462=$CY$13:$CY$70)*($BY462=$DA$13:$DA$70)*($CD462=$DH$13:$DH$70),0)),""))</f>
        <v/>
      </c>
      <c r="DP462" s="58" t="e">
        <f t="shared" si="775"/>
        <v>#N/A</v>
      </c>
      <c r="FT462" s="58">
        <f t="shared" si="776"/>
        <v>0</v>
      </c>
      <c r="FW462" s="58">
        <f>IF(i_baseline_risk_from=2,'Effectiveness settings'!EW462,'Effectiveness settings'!FI462)</f>
        <v>0</v>
      </c>
      <c r="FX462" s="58">
        <f t="shared" si="777"/>
        <v>0</v>
      </c>
      <c r="FY462" s="58">
        <f t="shared" si="778"/>
        <v>0</v>
      </c>
      <c r="FZ462" s="58">
        <f t="shared" si="779"/>
        <v>0</v>
      </c>
      <c r="GA462" s="58">
        <f t="shared" si="780"/>
        <v>0</v>
      </c>
      <c r="GB462" s="58">
        <f t="shared" si="781"/>
        <v>0</v>
      </c>
      <c r="GC462" s="58">
        <f t="shared" si="782"/>
        <v>0</v>
      </c>
      <c r="GD462" s="58">
        <f t="shared" si="783"/>
        <v>0</v>
      </c>
      <c r="GE462" s="58">
        <f>IF(AND(dd_CheckMate214_TTD="Yes",'Effectiveness settings'!BU462=2,'Effectiveness settings'!BX462=2),"Apply HR to",GD462)</f>
        <v>0</v>
      </c>
      <c r="GF462" s="58">
        <f t="shared" si="784"/>
        <v>0</v>
      </c>
      <c r="GG462" s="58">
        <f t="shared" si="785"/>
        <v>0</v>
      </c>
      <c r="GH462" s="58">
        <f t="shared" si="786"/>
        <v>0</v>
      </c>
      <c r="GI462" s="58">
        <f t="shared" si="773"/>
        <v>0</v>
      </c>
      <c r="GK462" s="58">
        <f>IF(i_baseline_risk_from=2,'Effectiveness settings'!FA462,'Effectiveness settings'!FM462)</f>
        <v>0</v>
      </c>
      <c r="GL462" s="58">
        <f>IF(i_baseline_risk_from=2,'Effectiveness settings'!FB462,'Effectiveness settings'!FN462)</f>
        <v>0</v>
      </c>
      <c r="GM462" s="58">
        <f>IF(i_baseline_risk_from=2,'Effectiveness settings'!FC462,'Effectiveness settings'!FO462)</f>
        <v>0</v>
      </c>
      <c r="GN462" s="58">
        <f>IF(i_baseline_risk_from=2,'Effectiveness settings'!FD462,'Effectiveness settings'!FP462)</f>
        <v>0</v>
      </c>
      <c r="GQ462" s="58">
        <f t="shared" si="787"/>
        <v>0</v>
      </c>
      <c r="GR462" s="58">
        <f t="shared" si="788"/>
        <v>0</v>
      </c>
      <c r="GS462" s="58">
        <f t="shared" si="789"/>
        <v>0</v>
      </c>
      <c r="GT462" s="58">
        <f t="shared" si="790"/>
        <v>0</v>
      </c>
      <c r="GU462" s="58">
        <f>IF(AND(dd_CheckMate214_TTD="Yes",'Effectiveness settings'!BU462=2,'Effectiveness settings'!BX462=2),2,GT462)</f>
        <v>0</v>
      </c>
      <c r="GV462" s="58">
        <f t="shared" si="791"/>
        <v>0</v>
      </c>
      <c r="GW462" s="58">
        <f t="shared" si="792"/>
        <v>0</v>
      </c>
      <c r="GY462" s="58">
        <f>IF(AND(dd_CheckMate214_TTD="Yes",'Effectiveness settings'!BU462=2,'Effectiveness settings'!BX462=2),1,GN462)</f>
        <v>0</v>
      </c>
      <c r="GZ462" s="58">
        <f t="shared" si="793"/>
        <v>0</v>
      </c>
      <c r="HB462" s="58">
        <f t="shared" si="794"/>
        <v>0</v>
      </c>
      <c r="HD462" s="58">
        <f t="shared" si="768"/>
        <v>0</v>
      </c>
      <c r="HE462" s="58">
        <f t="shared" si="769"/>
        <v>0</v>
      </c>
      <c r="HF462" s="58">
        <f t="shared" si="770"/>
        <v>0</v>
      </c>
      <c r="HG462" s="58">
        <f t="shared" si="771"/>
        <v>0</v>
      </c>
      <c r="HH462" s="58">
        <f t="shared" si="772"/>
        <v>0</v>
      </c>
    </row>
    <row r="463" spans="69:216" ht="15.75" x14ac:dyDescent="0.25">
      <c r="BQ463" s="58">
        <f t="shared" si="774"/>
        <v>280</v>
      </c>
      <c r="BR463" s="61"/>
      <c r="BS463" s="61"/>
      <c r="BT463" s="17"/>
      <c r="BU463" s="17"/>
      <c r="BV463" s="17"/>
      <c r="BW463" s="17"/>
      <c r="BX463" s="61"/>
      <c r="BY463" s="531"/>
      <c r="BZ463" s="530"/>
      <c r="CA463" s="531"/>
      <c r="CB463" s="530"/>
      <c r="CC463" s="530"/>
      <c r="CD463" s="530"/>
      <c r="CE463" s="1295"/>
      <c r="CF463" s="1301"/>
      <c r="CG463" s="530"/>
      <c r="CH463" s="61"/>
      <c r="CI463" s="61"/>
      <c r="CJ463" s="61"/>
      <c r="DK463" s="58" t="str" cm="1">
        <f t="array" ref="DK463">IF(AND($BT463=4,$BX463=4,$BU463=999),$DB$36,_xlfn.IFNA(INDEX(DB$13:DB$70,MATCH(1,($BR463=$CV$13:$CV$70)*($BT463=$CX$13:$CX$70)*($CE463=$CY$13:$CY$70)*($BY463=$DA$13:$DA$70)*($CD463=$DH$13:$DH$70),0)),""))</f>
        <v/>
      </c>
      <c r="DL463" s="58" t="str" cm="1">
        <f t="array" ref="DL463">IF(AND($BT463=4,$BX463=4,$BU463=999),$DC$36,_xlfn.IFNA(INDEX(CHOOSE(DP463,DB$13:DB$70,DC$13:DC$70,DD$13:DD$70,DE$13:DE$70),MATCH(1,($BR463=$CV$13:$CV$70)*($BT463=$CX$13:$CX$70)*($CE463=$CY$13:$CY$70)*($BY463=$DA$13:$DA$70)*($CD463=$DH$13:$DH$70),0)),""))</f>
        <v/>
      </c>
      <c r="DM463" s="740" t="str" cm="1">
        <f t="array" ref="DM463">IF(AND($BT463=4,$BX463=4,$BU463=999),$DD$36,_xlfn.IFNA(INDEX(DD$13:DD$68,MATCH(1,($BR463=$CV$13:$CV$68)*($BT463=$CX$13:$CX$68)*($CE463=$CY$13:$CY$68)*($BY463=$DA$13:$DA$68)*($CD463=$DH$13:$DH$68),0)),""))</f>
        <v/>
      </c>
      <c r="DN463" s="740" t="str" cm="1">
        <f t="array" ref="DN463">IF(AND($BT463=4,$BX463=4,$BU463=999),$DD$36,_xlfn.IFNA(INDEX(DE$13:DE$68,MATCH(1,($BR463=$CV$13:$CV$68)*($BT463=$CX$13:$CX$68)*($CE463=$CY$13:$CY$68)*($BY463=$DA$13:$DA$68)*($CD463=$DH$13:$DH$68),0)),""))</f>
        <v/>
      </c>
      <c r="DO463" s="58" t="str" cm="1">
        <f t="array" ref="DO463">IF(AND($BT463=4,$BX463=4,$BU463=999),$DF$36,_xlfn.IFNA(INDEX(DF$13:DF$70,MATCH(1,($BR463=$CV$13:$CV$70)*($BT463=$CX$13:$CX$70)*($CE463=$CY$13:$CY$70)*($BY463=$DA$13:$DA$70)*($CD463=$DH$13:$DH$70),0)),""))</f>
        <v/>
      </c>
      <c r="DP463" s="58" t="e">
        <f t="shared" si="775"/>
        <v>#N/A</v>
      </c>
      <c r="FT463" s="58">
        <f t="shared" si="776"/>
        <v>0</v>
      </c>
      <c r="FW463" s="58">
        <f>IF(i_baseline_risk_from=2,'Effectiveness settings'!EW463,'Effectiveness settings'!FI463)</f>
        <v>0</v>
      </c>
      <c r="FX463" s="58">
        <f t="shared" si="777"/>
        <v>0</v>
      </c>
      <c r="FY463" s="58">
        <f t="shared" si="778"/>
        <v>0</v>
      </c>
      <c r="FZ463" s="58">
        <f t="shared" si="779"/>
        <v>0</v>
      </c>
      <c r="GA463" s="58">
        <f t="shared" si="780"/>
        <v>0</v>
      </c>
      <c r="GB463" s="58">
        <f t="shared" si="781"/>
        <v>0</v>
      </c>
      <c r="GC463" s="58">
        <f t="shared" si="782"/>
        <v>0</v>
      </c>
      <c r="GD463" s="58">
        <f t="shared" si="783"/>
        <v>0</v>
      </c>
      <c r="GE463" s="58">
        <f>IF(AND(dd_CheckMate214_TTD="Yes",'Effectiveness settings'!BU463=2,'Effectiveness settings'!BX463=2),"Apply HR to",GD463)</f>
        <v>0</v>
      </c>
      <c r="GF463" s="58">
        <f t="shared" si="784"/>
        <v>0</v>
      </c>
      <c r="GG463" s="58">
        <f t="shared" si="785"/>
        <v>0</v>
      </c>
      <c r="GH463" s="58">
        <f t="shared" si="786"/>
        <v>0</v>
      </c>
      <c r="GI463" s="58">
        <f t="shared" si="773"/>
        <v>0</v>
      </c>
      <c r="GK463" s="58">
        <f>IF(i_baseline_risk_from=2,'Effectiveness settings'!FA463,'Effectiveness settings'!FM463)</f>
        <v>0</v>
      </c>
      <c r="GL463" s="58">
        <f>IF(i_baseline_risk_from=2,'Effectiveness settings'!FB463,'Effectiveness settings'!FN463)</f>
        <v>0</v>
      </c>
      <c r="GM463" s="58">
        <f>IF(i_baseline_risk_from=2,'Effectiveness settings'!FC463,'Effectiveness settings'!FO463)</f>
        <v>0</v>
      </c>
      <c r="GN463" s="58">
        <f>IF(i_baseline_risk_from=2,'Effectiveness settings'!FD463,'Effectiveness settings'!FP463)</f>
        <v>0</v>
      </c>
      <c r="GQ463" s="58">
        <f t="shared" si="787"/>
        <v>0</v>
      </c>
      <c r="GR463" s="58">
        <f t="shared" si="788"/>
        <v>0</v>
      </c>
      <c r="GS463" s="58">
        <f t="shared" si="789"/>
        <v>0</v>
      </c>
      <c r="GT463" s="58">
        <f t="shared" si="790"/>
        <v>0</v>
      </c>
      <c r="GU463" s="58">
        <f>IF(AND(dd_CheckMate214_TTD="Yes",'Effectiveness settings'!BU463=2,'Effectiveness settings'!BX463=2),2,GT463)</f>
        <v>0</v>
      </c>
      <c r="GV463" s="58">
        <f t="shared" si="791"/>
        <v>0</v>
      </c>
      <c r="GW463" s="58">
        <f t="shared" si="792"/>
        <v>0</v>
      </c>
      <c r="GY463" s="58">
        <f>IF(AND(dd_CheckMate214_TTD="Yes",'Effectiveness settings'!BU463=2,'Effectiveness settings'!BX463=2),1,GN463)</f>
        <v>0</v>
      </c>
      <c r="GZ463" s="58">
        <f t="shared" si="793"/>
        <v>0</v>
      </c>
      <c r="HB463" s="58">
        <f t="shared" si="794"/>
        <v>0</v>
      </c>
      <c r="HD463" s="58">
        <f t="shared" si="768"/>
        <v>0</v>
      </c>
      <c r="HE463" s="58">
        <f t="shared" si="769"/>
        <v>0</v>
      </c>
      <c r="HF463" s="58">
        <f t="shared" si="770"/>
        <v>0</v>
      </c>
      <c r="HG463" s="58">
        <f t="shared" si="771"/>
        <v>0</v>
      </c>
      <c r="HH463" s="58">
        <f t="shared" si="772"/>
        <v>0</v>
      </c>
    </row>
    <row r="464" spans="69:216" ht="15.75" x14ac:dyDescent="0.25">
      <c r="BQ464" s="58">
        <f t="shared" si="774"/>
        <v>280</v>
      </c>
      <c r="BR464" s="61"/>
      <c r="BS464" s="61"/>
      <c r="BT464" s="17"/>
      <c r="BU464" s="17"/>
      <c r="BV464" s="17"/>
      <c r="BW464" s="17"/>
      <c r="BX464" s="61"/>
      <c r="BY464" s="531"/>
      <c r="BZ464" s="530"/>
      <c r="CA464" s="531"/>
      <c r="CB464" s="530"/>
      <c r="CC464" s="530"/>
      <c r="CD464" s="530"/>
      <c r="CE464" s="1295"/>
      <c r="CF464" s="1301"/>
      <c r="CG464" s="530"/>
      <c r="CH464" s="61"/>
      <c r="CI464" s="61"/>
      <c r="CJ464" s="61"/>
      <c r="DK464" s="58" t="str" cm="1">
        <f t="array" ref="DK464">IF(AND($BT464=4,$BX464=4,$BU464=999),$DB$36,_xlfn.IFNA(INDEX(DB$13:DB$70,MATCH(1,($BR464=$CV$13:$CV$70)*($BT464=$CX$13:$CX$70)*($CE464=$CY$13:$CY$70)*($BY464=$DA$13:$DA$70)*($CD464=$DH$13:$DH$70),0)),""))</f>
        <v/>
      </c>
      <c r="DL464" s="58" t="str" cm="1">
        <f t="array" ref="DL464">IF(AND($BT464=4,$BX464=4,$BU464=999),$DC$36,_xlfn.IFNA(INDEX(CHOOSE(DP464,DB$13:DB$70,DC$13:DC$70,DD$13:DD$70,DE$13:DE$70),MATCH(1,($BR464=$CV$13:$CV$70)*($BT464=$CX$13:$CX$70)*($CE464=$CY$13:$CY$70)*($BY464=$DA$13:$DA$70)*($CD464=$DH$13:$DH$70),0)),""))</f>
        <v/>
      </c>
      <c r="DM464" s="740" t="str" cm="1">
        <f t="array" ref="DM464">IF(AND($BT464=4,$BX464=4,$BU464=999),$DD$36,_xlfn.IFNA(INDEX(DD$13:DD$68,MATCH(1,($BR464=$CV$13:$CV$68)*($BT464=$CX$13:$CX$68)*($CE464=$CY$13:$CY$68)*($BY464=$DA$13:$DA$68)*($CD464=$DH$13:$DH$68),0)),""))</f>
        <v/>
      </c>
      <c r="DN464" s="740" t="str" cm="1">
        <f t="array" ref="DN464">IF(AND($BT464=4,$BX464=4,$BU464=999),$DD$36,_xlfn.IFNA(INDEX(DE$13:DE$68,MATCH(1,($BR464=$CV$13:$CV$68)*($BT464=$CX$13:$CX$68)*($CE464=$CY$13:$CY$68)*($BY464=$DA$13:$DA$68)*($CD464=$DH$13:$DH$68),0)),""))</f>
        <v/>
      </c>
      <c r="DO464" s="58" t="str" cm="1">
        <f t="array" ref="DO464">IF(AND($BT464=4,$BX464=4,$BU464=999),$DF$36,_xlfn.IFNA(INDEX(DF$13:DF$70,MATCH(1,($BR464=$CV$13:$CV$70)*($BT464=$CX$13:$CX$70)*($CE464=$CY$13:$CY$70)*($BY464=$DA$13:$DA$70)*($CD464=$DH$13:$DH$70),0)),""))</f>
        <v/>
      </c>
      <c r="DP464" s="58" t="e">
        <f t="shared" si="775"/>
        <v>#N/A</v>
      </c>
      <c r="FT464" s="58">
        <f t="shared" si="776"/>
        <v>0</v>
      </c>
      <c r="FW464" s="58">
        <f>IF(i_baseline_risk_from=2,'Effectiveness settings'!EW464,'Effectiveness settings'!FI464)</f>
        <v>0</v>
      </c>
      <c r="FX464" s="58">
        <f t="shared" si="777"/>
        <v>0</v>
      </c>
      <c r="FY464" s="58">
        <f t="shared" si="778"/>
        <v>0</v>
      </c>
      <c r="FZ464" s="58">
        <f t="shared" si="779"/>
        <v>0</v>
      </c>
      <c r="GA464" s="58">
        <f t="shared" si="780"/>
        <v>0</v>
      </c>
      <c r="GB464" s="58">
        <f t="shared" si="781"/>
        <v>0</v>
      </c>
      <c r="GC464" s="58">
        <f t="shared" si="782"/>
        <v>0</v>
      </c>
      <c r="GD464" s="58">
        <f t="shared" si="783"/>
        <v>0</v>
      </c>
      <c r="GE464" s="58">
        <f>IF(AND(dd_CheckMate214_TTD="Yes",'Effectiveness settings'!BU464=2,'Effectiveness settings'!BX464=2),"Apply HR to",GD464)</f>
        <v>0</v>
      </c>
      <c r="GF464" s="58">
        <f t="shared" si="784"/>
        <v>0</v>
      </c>
      <c r="GG464" s="58">
        <f t="shared" si="785"/>
        <v>0</v>
      </c>
      <c r="GH464" s="58">
        <f t="shared" si="786"/>
        <v>0</v>
      </c>
      <c r="GI464" s="58">
        <f t="shared" si="773"/>
        <v>0</v>
      </c>
      <c r="GK464" s="58">
        <f>IF(i_baseline_risk_from=2,'Effectiveness settings'!FA464,'Effectiveness settings'!FM464)</f>
        <v>0</v>
      </c>
      <c r="GL464" s="58">
        <f>IF(i_baseline_risk_from=2,'Effectiveness settings'!FB464,'Effectiveness settings'!FN464)</f>
        <v>0</v>
      </c>
      <c r="GM464" s="58">
        <f>IF(i_baseline_risk_from=2,'Effectiveness settings'!FC464,'Effectiveness settings'!FO464)</f>
        <v>0</v>
      </c>
      <c r="GN464" s="58">
        <f>IF(i_baseline_risk_from=2,'Effectiveness settings'!FD464,'Effectiveness settings'!FP464)</f>
        <v>0</v>
      </c>
      <c r="GQ464" s="58">
        <f t="shared" si="787"/>
        <v>0</v>
      </c>
      <c r="GR464" s="58">
        <f t="shared" si="788"/>
        <v>0</v>
      </c>
      <c r="GS464" s="58">
        <f t="shared" si="789"/>
        <v>0</v>
      </c>
      <c r="GT464" s="58">
        <f t="shared" si="790"/>
        <v>0</v>
      </c>
      <c r="GU464" s="58">
        <f>IF(AND(dd_CheckMate214_TTD="Yes",'Effectiveness settings'!BU464=2,'Effectiveness settings'!BX464=2),2,GT464)</f>
        <v>0</v>
      </c>
      <c r="GV464" s="58">
        <f t="shared" si="791"/>
        <v>0</v>
      </c>
      <c r="GW464" s="58">
        <f t="shared" si="792"/>
        <v>0</v>
      </c>
      <c r="GY464" s="58">
        <f>IF(AND(dd_CheckMate214_TTD="Yes",'Effectiveness settings'!BU464=2,'Effectiveness settings'!BX464=2),1,GN464)</f>
        <v>0</v>
      </c>
      <c r="GZ464" s="58">
        <f t="shared" si="793"/>
        <v>0</v>
      </c>
      <c r="HB464" s="58">
        <f t="shared" si="794"/>
        <v>0</v>
      </c>
      <c r="HD464" s="58">
        <f t="shared" si="768"/>
        <v>0</v>
      </c>
      <c r="HE464" s="58">
        <f t="shared" si="769"/>
        <v>0</v>
      </c>
      <c r="HF464" s="58">
        <f t="shared" si="770"/>
        <v>0</v>
      </c>
      <c r="HG464" s="58">
        <f t="shared" si="771"/>
        <v>0</v>
      </c>
      <c r="HH464" s="58">
        <f t="shared" si="772"/>
        <v>0</v>
      </c>
    </row>
    <row r="465" spans="69:216" ht="15.75" x14ac:dyDescent="0.25">
      <c r="BQ465" s="58">
        <f t="shared" si="774"/>
        <v>280</v>
      </c>
      <c r="BR465" s="61"/>
      <c r="BS465" s="61"/>
      <c r="BT465" s="17"/>
      <c r="BU465" s="17"/>
      <c r="BV465" s="17"/>
      <c r="BW465" s="17"/>
      <c r="BX465" s="61"/>
      <c r="BY465" s="531"/>
      <c r="BZ465" s="530"/>
      <c r="CA465" s="531"/>
      <c r="CB465" s="530"/>
      <c r="CC465" s="530"/>
      <c r="CD465" s="530"/>
      <c r="CE465" s="1295"/>
      <c r="CF465" s="1301"/>
      <c r="CG465" s="530"/>
      <c r="CH465" s="61"/>
      <c r="CI465" s="61"/>
      <c r="CJ465" s="61"/>
      <c r="DK465" s="58" t="str" cm="1">
        <f t="array" ref="DK465">IF(AND($BT465=4,$BX465=4,$BU465=999),$DB$36,_xlfn.IFNA(INDEX(DB$13:DB$70,MATCH(1,($BR465=$CV$13:$CV$70)*($BT465=$CX$13:$CX$70)*($CE465=$CY$13:$CY$70)*($BY465=$DA$13:$DA$70)*($CD465=$DH$13:$DH$70),0)),""))</f>
        <v/>
      </c>
      <c r="DL465" s="58" t="str" cm="1">
        <f t="array" ref="DL465">IF(AND($BT465=4,$BX465=4,$BU465=999),$DC$36,_xlfn.IFNA(INDEX(CHOOSE(DP465,DB$13:DB$70,DC$13:DC$70,DD$13:DD$70,DE$13:DE$70),MATCH(1,($BR465=$CV$13:$CV$70)*($BT465=$CX$13:$CX$70)*($CE465=$CY$13:$CY$70)*($BY465=$DA$13:$DA$70)*($CD465=$DH$13:$DH$70),0)),""))</f>
        <v/>
      </c>
      <c r="DM465" s="740" t="str" cm="1">
        <f t="array" ref="DM465">IF(AND($BT465=4,$BX465=4,$BU465=999),$DD$36,_xlfn.IFNA(INDEX(DD$13:DD$68,MATCH(1,($BR465=$CV$13:$CV$68)*($BT465=$CX$13:$CX$68)*($CE465=$CY$13:$CY$68)*($BY465=$DA$13:$DA$68)*($CD465=$DH$13:$DH$68),0)),""))</f>
        <v/>
      </c>
      <c r="DN465" s="740" t="str" cm="1">
        <f t="array" ref="DN465">IF(AND($BT465=4,$BX465=4,$BU465=999),$DD$36,_xlfn.IFNA(INDEX(DE$13:DE$68,MATCH(1,($BR465=$CV$13:$CV$68)*($BT465=$CX$13:$CX$68)*($CE465=$CY$13:$CY$68)*($BY465=$DA$13:$DA$68)*($CD465=$DH$13:$DH$68),0)),""))</f>
        <v/>
      </c>
      <c r="DO465" s="58" t="str" cm="1">
        <f t="array" ref="DO465">IF(AND($BT465=4,$BX465=4,$BU465=999),$DF$36,_xlfn.IFNA(INDEX(DF$13:DF$70,MATCH(1,($BR465=$CV$13:$CV$70)*($BT465=$CX$13:$CX$70)*($CE465=$CY$13:$CY$70)*($BY465=$DA$13:$DA$70)*($CD465=$DH$13:$DH$70),0)),""))</f>
        <v/>
      </c>
      <c r="DP465" s="58" t="e">
        <f t="shared" si="775"/>
        <v>#N/A</v>
      </c>
      <c r="FT465" s="58">
        <f t="shared" si="776"/>
        <v>0</v>
      </c>
      <c r="FW465" s="58">
        <f>IF(i_baseline_risk_from=2,'Effectiveness settings'!EW465,'Effectiveness settings'!FI465)</f>
        <v>0</v>
      </c>
      <c r="FX465" s="58">
        <f t="shared" si="777"/>
        <v>0</v>
      </c>
      <c r="FY465" s="58">
        <f t="shared" si="778"/>
        <v>0</v>
      </c>
      <c r="FZ465" s="58">
        <f t="shared" si="779"/>
        <v>0</v>
      </c>
      <c r="GA465" s="58">
        <f t="shared" si="780"/>
        <v>0</v>
      </c>
      <c r="GB465" s="58">
        <f t="shared" si="781"/>
        <v>0</v>
      </c>
      <c r="GC465" s="58">
        <f t="shared" si="782"/>
        <v>0</v>
      </c>
      <c r="GD465" s="58">
        <f t="shared" si="783"/>
        <v>0</v>
      </c>
      <c r="GE465" s="58">
        <f>IF(AND(dd_CheckMate214_TTD="Yes",'Effectiveness settings'!BU465=2,'Effectiveness settings'!BX465=2),"Apply HR to",GD465)</f>
        <v>0</v>
      </c>
      <c r="GF465" s="58">
        <f t="shared" si="784"/>
        <v>0</v>
      </c>
      <c r="GG465" s="58">
        <f t="shared" si="785"/>
        <v>0</v>
      </c>
      <c r="GH465" s="58">
        <f t="shared" si="786"/>
        <v>0</v>
      </c>
      <c r="GI465" s="58">
        <f t="shared" si="773"/>
        <v>0</v>
      </c>
      <c r="GK465" s="58">
        <f>IF(i_baseline_risk_from=2,'Effectiveness settings'!FA465,'Effectiveness settings'!FM465)</f>
        <v>0</v>
      </c>
      <c r="GL465" s="58">
        <f>IF(i_baseline_risk_from=2,'Effectiveness settings'!FB465,'Effectiveness settings'!FN465)</f>
        <v>0</v>
      </c>
      <c r="GM465" s="58">
        <f>IF(i_baseline_risk_from=2,'Effectiveness settings'!FC465,'Effectiveness settings'!FO465)</f>
        <v>0</v>
      </c>
      <c r="GN465" s="58">
        <f>IF(i_baseline_risk_from=2,'Effectiveness settings'!FD465,'Effectiveness settings'!FP465)</f>
        <v>0</v>
      </c>
      <c r="GQ465" s="58">
        <f t="shared" si="787"/>
        <v>0</v>
      </c>
      <c r="GR465" s="58">
        <f t="shared" si="788"/>
        <v>0</v>
      </c>
      <c r="GS465" s="58">
        <f t="shared" si="789"/>
        <v>0</v>
      </c>
      <c r="GT465" s="58">
        <f t="shared" si="790"/>
        <v>0</v>
      </c>
      <c r="GU465" s="58">
        <f>IF(AND(dd_CheckMate214_TTD="Yes",'Effectiveness settings'!BU465=2,'Effectiveness settings'!BX465=2),2,GT465)</f>
        <v>0</v>
      </c>
      <c r="GV465" s="58">
        <f t="shared" si="791"/>
        <v>0</v>
      </c>
      <c r="GW465" s="58">
        <f t="shared" si="792"/>
        <v>0</v>
      </c>
      <c r="GY465" s="58">
        <f>IF(AND(dd_CheckMate214_TTD="Yes",'Effectiveness settings'!BU465=2,'Effectiveness settings'!BX465=2),1,GN465)</f>
        <v>0</v>
      </c>
      <c r="GZ465" s="58">
        <f t="shared" si="793"/>
        <v>0</v>
      </c>
      <c r="HB465" s="58">
        <f t="shared" si="794"/>
        <v>0</v>
      </c>
      <c r="HD465" s="58">
        <f t="shared" si="768"/>
        <v>0</v>
      </c>
      <c r="HE465" s="58">
        <f t="shared" si="769"/>
        <v>0</v>
      </c>
      <c r="HF465" s="58">
        <f t="shared" si="770"/>
        <v>0</v>
      </c>
      <c r="HG465" s="58">
        <f t="shared" si="771"/>
        <v>0</v>
      </c>
      <c r="HH465" s="58">
        <f t="shared" si="772"/>
        <v>0</v>
      </c>
    </row>
    <row r="466" spans="69:216" ht="15.75" x14ac:dyDescent="0.25">
      <c r="BQ466" s="58">
        <f t="shared" si="774"/>
        <v>280</v>
      </c>
      <c r="BR466" s="61"/>
      <c r="BS466" s="61"/>
      <c r="BT466" s="17"/>
      <c r="BU466" s="17"/>
      <c r="BV466" s="17"/>
      <c r="BW466" s="17"/>
      <c r="BX466" s="61"/>
      <c r="BY466" s="531"/>
      <c r="BZ466" s="530"/>
      <c r="CA466" s="531"/>
      <c r="CB466" s="530"/>
      <c r="CC466" s="530"/>
      <c r="CD466" s="530"/>
      <c r="CE466" s="1295"/>
      <c r="CF466" s="1301"/>
      <c r="CG466" s="530"/>
      <c r="CH466" s="61"/>
      <c r="CI466" s="61"/>
      <c r="CJ466" s="61"/>
      <c r="DK466" s="58" t="str" cm="1">
        <f t="array" ref="DK466">IF(AND($BT466=4,$BX466=4,$BU466=999),$DB$36,_xlfn.IFNA(INDEX(DB$13:DB$70,MATCH(1,($BR466=$CV$13:$CV$70)*($BT466=$CX$13:$CX$70)*($CE466=$CY$13:$CY$70)*($BY466=$DA$13:$DA$70)*($CD466=$DH$13:$DH$70),0)),""))</f>
        <v/>
      </c>
      <c r="DL466" s="58" t="str" cm="1">
        <f t="array" ref="DL466">IF(AND($BT466=4,$BX466=4,$BU466=999),$DC$36,_xlfn.IFNA(INDEX(CHOOSE(DP466,DB$13:DB$70,DC$13:DC$70,DD$13:DD$70,DE$13:DE$70),MATCH(1,($BR466=$CV$13:$CV$70)*($BT466=$CX$13:$CX$70)*($CE466=$CY$13:$CY$70)*($BY466=$DA$13:$DA$70)*($CD466=$DH$13:$DH$70),0)),""))</f>
        <v/>
      </c>
      <c r="DM466" s="740" t="str" cm="1">
        <f t="array" ref="DM466">IF(AND($BT466=4,$BX466=4,$BU466=999),$DD$36,_xlfn.IFNA(INDEX(DD$13:DD$68,MATCH(1,($BR466=$CV$13:$CV$68)*($BT466=$CX$13:$CX$68)*($CE466=$CY$13:$CY$68)*($BY466=$DA$13:$DA$68)*($CD466=$DH$13:$DH$68),0)),""))</f>
        <v/>
      </c>
      <c r="DN466" s="740" t="str" cm="1">
        <f t="array" ref="DN466">IF(AND($BT466=4,$BX466=4,$BU466=999),$DD$36,_xlfn.IFNA(INDEX(DE$13:DE$68,MATCH(1,($BR466=$CV$13:$CV$68)*($BT466=$CX$13:$CX$68)*($CE466=$CY$13:$CY$68)*($BY466=$DA$13:$DA$68)*($CD466=$DH$13:$DH$68),0)),""))</f>
        <v/>
      </c>
      <c r="DO466" s="58" t="str" cm="1">
        <f t="array" ref="DO466">IF(AND($BT466=4,$BX466=4,$BU466=999),$DF$36,_xlfn.IFNA(INDEX(DF$13:DF$70,MATCH(1,($BR466=$CV$13:$CV$70)*($BT466=$CX$13:$CX$70)*($CE466=$CY$13:$CY$70)*($BY466=$DA$13:$DA$70)*($CD466=$DH$13:$DH$70),0)),""))</f>
        <v/>
      </c>
      <c r="DP466" s="58" t="e">
        <f t="shared" si="775"/>
        <v>#N/A</v>
      </c>
      <c r="FT466" s="58">
        <f t="shared" si="776"/>
        <v>0</v>
      </c>
      <c r="FW466" s="58">
        <f>IF(i_baseline_risk_from=2,'Effectiveness settings'!EW466,'Effectiveness settings'!FI466)</f>
        <v>0</v>
      </c>
      <c r="FX466" s="58">
        <f t="shared" si="777"/>
        <v>0</v>
      </c>
      <c r="FY466" s="58">
        <f t="shared" si="778"/>
        <v>0</v>
      </c>
      <c r="FZ466" s="58">
        <f t="shared" si="779"/>
        <v>0</v>
      </c>
      <c r="GA466" s="58">
        <f t="shared" si="780"/>
        <v>0</v>
      </c>
      <c r="GB466" s="58">
        <f t="shared" si="781"/>
        <v>0</v>
      </c>
      <c r="GC466" s="58">
        <f t="shared" si="782"/>
        <v>0</v>
      </c>
      <c r="GD466" s="58">
        <f t="shared" si="783"/>
        <v>0</v>
      </c>
      <c r="GE466" s="58">
        <f>IF(AND(dd_CheckMate214_TTD="Yes",'Effectiveness settings'!BU466=2,'Effectiveness settings'!BX466=2),"Apply HR to",GD466)</f>
        <v>0</v>
      </c>
      <c r="GF466" s="58">
        <f t="shared" si="784"/>
        <v>0</v>
      </c>
      <c r="GG466" s="58">
        <f t="shared" si="785"/>
        <v>0</v>
      </c>
      <c r="GH466" s="58">
        <f t="shared" si="786"/>
        <v>0</v>
      </c>
      <c r="GI466" s="58">
        <f t="shared" si="773"/>
        <v>0</v>
      </c>
      <c r="GK466" s="58">
        <f>IF(i_baseline_risk_from=2,'Effectiveness settings'!FA466,'Effectiveness settings'!FM466)</f>
        <v>0</v>
      </c>
      <c r="GL466" s="58">
        <f>IF(i_baseline_risk_from=2,'Effectiveness settings'!FB466,'Effectiveness settings'!FN466)</f>
        <v>0</v>
      </c>
      <c r="GM466" s="58">
        <f>IF(i_baseline_risk_from=2,'Effectiveness settings'!FC466,'Effectiveness settings'!FO466)</f>
        <v>0</v>
      </c>
      <c r="GN466" s="58">
        <f>IF(i_baseline_risk_from=2,'Effectiveness settings'!FD466,'Effectiveness settings'!FP466)</f>
        <v>0</v>
      </c>
      <c r="GQ466" s="58">
        <f t="shared" si="787"/>
        <v>0</v>
      </c>
      <c r="GR466" s="58">
        <f t="shared" si="788"/>
        <v>0</v>
      </c>
      <c r="GS466" s="58">
        <f t="shared" si="789"/>
        <v>0</v>
      </c>
      <c r="GT466" s="58">
        <f t="shared" si="790"/>
        <v>0</v>
      </c>
      <c r="GU466" s="58">
        <f>IF(AND(dd_CheckMate214_TTD="Yes",'Effectiveness settings'!BU466=2,'Effectiveness settings'!BX466=2),2,GT466)</f>
        <v>0</v>
      </c>
      <c r="GV466" s="58">
        <f t="shared" si="791"/>
        <v>0</v>
      </c>
      <c r="GW466" s="58">
        <f t="shared" si="792"/>
        <v>0</v>
      </c>
      <c r="GY466" s="58">
        <f>IF(AND(dd_CheckMate214_TTD="Yes",'Effectiveness settings'!BU466=2,'Effectiveness settings'!BX466=2),1,GN466)</f>
        <v>0</v>
      </c>
      <c r="GZ466" s="58">
        <f t="shared" si="793"/>
        <v>0</v>
      </c>
      <c r="HB466" s="58">
        <f t="shared" si="794"/>
        <v>0</v>
      </c>
      <c r="HD466" s="58">
        <f t="shared" si="768"/>
        <v>0</v>
      </c>
      <c r="HE466" s="58">
        <f t="shared" si="769"/>
        <v>0</v>
      </c>
      <c r="HF466" s="58">
        <f t="shared" si="770"/>
        <v>0</v>
      </c>
      <c r="HG466" s="58">
        <f t="shared" si="771"/>
        <v>0</v>
      </c>
      <c r="HH466" s="58">
        <f t="shared" si="772"/>
        <v>0</v>
      </c>
    </row>
    <row r="467" spans="69:216" ht="15.75" x14ac:dyDescent="0.25">
      <c r="BQ467" s="58">
        <f t="shared" si="774"/>
        <v>280</v>
      </c>
      <c r="BR467" s="61"/>
      <c r="BS467" s="61"/>
      <c r="BT467" s="17"/>
      <c r="BU467" s="61"/>
      <c r="BV467" s="17"/>
      <c r="BW467" s="17"/>
      <c r="BX467" s="61"/>
      <c r="BY467" s="531"/>
      <c r="BZ467" s="530"/>
      <c r="CA467" s="531"/>
      <c r="CB467" s="530"/>
      <c r="CC467" s="530"/>
      <c r="CD467" s="530"/>
      <c r="CE467" s="1295"/>
      <c r="CF467" s="1301"/>
      <c r="CG467" s="530"/>
      <c r="CH467" s="61"/>
      <c r="CI467" s="61"/>
      <c r="CJ467" s="61"/>
      <c r="DK467" s="58" t="str" cm="1">
        <f t="array" ref="DK467">IF(AND($BT467=4,$BX467=4,$BU467=999),$DB$36,_xlfn.IFNA(INDEX(DB$13:DB$70,MATCH(1,($BR467=$CV$13:$CV$70)*($BT467=$CX$13:$CX$70)*($CE467=$CY$13:$CY$70)*($BY467=$DA$13:$DA$70)*($CD467=$DH$13:$DH$70),0)),""))</f>
        <v/>
      </c>
      <c r="DL467" s="58" t="str" cm="1">
        <f t="array" ref="DL467">IF(AND($BT467=4,$BX467=4,$BU467=999),$DC$36,_xlfn.IFNA(INDEX(CHOOSE(DP467,DB$13:DB$70,DC$13:DC$70,DD$13:DD$70,DE$13:DE$70),MATCH(1,($BR467=$CV$13:$CV$70)*($BT467=$CX$13:$CX$70)*($CE467=$CY$13:$CY$70)*($BY467=$DA$13:$DA$70)*($CD467=$DH$13:$DH$70),0)),""))</f>
        <v/>
      </c>
      <c r="DM467" s="740" t="str" cm="1">
        <f t="array" ref="DM467">IF(AND($BT467=4,$BX467=4,$BU467=999),$DD$36,_xlfn.IFNA(INDEX(DD$13:DD$68,MATCH(1,($BR467=$CV$13:$CV$68)*($BT467=$CX$13:$CX$68)*($CE467=$CY$13:$CY$68)*($BY467=$DA$13:$DA$68)*($CD467=$DH$13:$DH$68),0)),""))</f>
        <v/>
      </c>
      <c r="DN467" s="740" t="str" cm="1">
        <f t="array" ref="DN467">IF(AND($BT467=4,$BX467=4,$BU467=999),$DD$36,_xlfn.IFNA(INDEX(DE$13:DE$68,MATCH(1,($BR467=$CV$13:$CV$68)*($BT467=$CX$13:$CX$68)*($CE467=$CY$13:$CY$68)*($BY467=$DA$13:$DA$68)*($CD467=$DH$13:$DH$68),0)),""))</f>
        <v/>
      </c>
      <c r="DO467" s="58" t="str" cm="1">
        <f t="array" ref="DO467">IF(AND($BT467=4,$BX467=4,$BU467=999),$DF$36,_xlfn.IFNA(INDEX(DF$13:DF$70,MATCH(1,($BR467=$CV$13:$CV$70)*($BT467=$CX$13:$CX$70)*($CE467=$CY$13:$CY$70)*($BY467=$DA$13:$DA$70)*($CD467=$DH$13:$DH$70),0)),""))</f>
        <v/>
      </c>
      <c r="DP467" s="58" t="e">
        <f t="shared" si="775"/>
        <v>#N/A</v>
      </c>
      <c r="FT467" s="58">
        <f t="shared" si="776"/>
        <v>0</v>
      </c>
      <c r="FW467" s="58">
        <f>IF(i_baseline_risk_from=2,'Effectiveness settings'!EW467,'Effectiveness settings'!FI467)</f>
        <v>0</v>
      </c>
      <c r="FX467" s="58">
        <f t="shared" si="777"/>
        <v>0</v>
      </c>
      <c r="FY467" s="58">
        <f t="shared" si="778"/>
        <v>0</v>
      </c>
      <c r="FZ467" s="58">
        <f t="shared" si="779"/>
        <v>0</v>
      </c>
      <c r="GA467" s="58">
        <f t="shared" si="780"/>
        <v>0</v>
      </c>
      <c r="GB467" s="58">
        <f t="shared" si="781"/>
        <v>0</v>
      </c>
      <c r="GC467" s="58">
        <f t="shared" si="782"/>
        <v>0</v>
      </c>
      <c r="GD467" s="58">
        <f t="shared" si="783"/>
        <v>0</v>
      </c>
      <c r="GE467" s="58">
        <f>IF(AND(dd_CheckMate214_TTD="Yes",'Effectiveness settings'!BU467=2,'Effectiveness settings'!BX467=2),"Apply HR to",GD467)</f>
        <v>0</v>
      </c>
      <c r="GF467" s="58">
        <f t="shared" si="784"/>
        <v>0</v>
      </c>
      <c r="GG467" s="58">
        <f t="shared" si="785"/>
        <v>0</v>
      </c>
      <c r="GH467" s="58">
        <f t="shared" si="786"/>
        <v>0</v>
      </c>
      <c r="GI467" s="58">
        <f t="shared" si="773"/>
        <v>0</v>
      </c>
      <c r="GK467" s="58">
        <f>IF(i_baseline_risk_from=2,'Effectiveness settings'!FA467,'Effectiveness settings'!FM467)</f>
        <v>0</v>
      </c>
      <c r="GL467" s="58">
        <f>IF(i_baseline_risk_from=2,'Effectiveness settings'!FB467,'Effectiveness settings'!FN467)</f>
        <v>0</v>
      </c>
      <c r="GM467" s="58">
        <f>IF(i_baseline_risk_from=2,'Effectiveness settings'!FC467,'Effectiveness settings'!FO467)</f>
        <v>0</v>
      </c>
      <c r="GN467" s="58">
        <f>IF(i_baseline_risk_from=2,'Effectiveness settings'!FD467,'Effectiveness settings'!FP467)</f>
        <v>0</v>
      </c>
      <c r="GQ467" s="58">
        <f t="shared" si="787"/>
        <v>0</v>
      </c>
      <c r="GR467" s="58">
        <f t="shared" si="788"/>
        <v>0</v>
      </c>
      <c r="GS467" s="58">
        <f t="shared" si="789"/>
        <v>0</v>
      </c>
      <c r="GT467" s="58">
        <f t="shared" si="790"/>
        <v>0</v>
      </c>
      <c r="GU467" s="58">
        <f>IF(AND(dd_CheckMate214_TTD="Yes",'Effectiveness settings'!BU467=2,'Effectiveness settings'!BX467=2),2,GT467)</f>
        <v>0</v>
      </c>
      <c r="GV467" s="58">
        <f t="shared" si="791"/>
        <v>0</v>
      </c>
      <c r="GW467" s="58">
        <f t="shared" si="792"/>
        <v>0</v>
      </c>
      <c r="GY467" s="58">
        <f>IF(AND(dd_CheckMate214_TTD="Yes",'Effectiveness settings'!BU467=2,'Effectiveness settings'!BX467=2),1,GN467)</f>
        <v>0</v>
      </c>
      <c r="GZ467" s="58">
        <f t="shared" si="793"/>
        <v>0</v>
      </c>
      <c r="HB467" s="58">
        <f t="shared" si="794"/>
        <v>0</v>
      </c>
      <c r="HD467" s="58">
        <f t="shared" si="768"/>
        <v>0</v>
      </c>
      <c r="HE467" s="58">
        <f t="shared" si="769"/>
        <v>0</v>
      </c>
      <c r="HF467" s="58">
        <f t="shared" si="770"/>
        <v>0</v>
      </c>
      <c r="HG467" s="58">
        <f t="shared" si="771"/>
        <v>0</v>
      </c>
      <c r="HH467" s="58">
        <f t="shared" si="772"/>
        <v>0</v>
      </c>
    </row>
    <row r="468" spans="69:216" ht="15.75" x14ac:dyDescent="0.25">
      <c r="BQ468" s="58">
        <f t="shared" si="774"/>
        <v>280</v>
      </c>
      <c r="BR468" s="61"/>
      <c r="BS468" s="61"/>
      <c r="BT468" s="17"/>
      <c r="BU468" s="17"/>
      <c r="BV468" s="17"/>
      <c r="BW468" s="17"/>
      <c r="BX468" s="61"/>
      <c r="BY468" s="531"/>
      <c r="BZ468" s="530"/>
      <c r="CA468" s="531"/>
      <c r="CB468" s="530"/>
      <c r="CC468" s="530"/>
      <c r="CD468" s="530"/>
      <c r="CE468" s="1295"/>
      <c r="CF468" s="1301"/>
      <c r="CG468" s="530"/>
      <c r="CH468" s="61"/>
      <c r="CI468" s="61"/>
      <c r="CJ468" s="61"/>
      <c r="DK468" s="58" t="str" cm="1">
        <f t="array" ref="DK468">IF(AND($BT468=4,$BX468=4,$BU468=999),$DB$36,_xlfn.IFNA(INDEX(DB$13:DB$70,MATCH(1,($BR468=$CV$13:$CV$70)*($BT468=$CX$13:$CX$70)*($CE468=$CY$13:$CY$70)*($BY468=$DA$13:$DA$70)*($CD468=$DH$13:$DH$70),0)),""))</f>
        <v/>
      </c>
      <c r="DL468" s="58" t="str" cm="1">
        <f t="array" ref="DL468">IF(AND($BT468=4,$BX468=4,$BU468=999),$DC$36,_xlfn.IFNA(INDEX(CHOOSE(DP468,DB$13:DB$70,DC$13:DC$70,DD$13:DD$70,DE$13:DE$70),MATCH(1,($BR468=$CV$13:$CV$70)*($BT468=$CX$13:$CX$70)*($CE468=$CY$13:$CY$70)*($BY468=$DA$13:$DA$70)*($CD468=$DH$13:$DH$70),0)),""))</f>
        <v/>
      </c>
      <c r="DM468" s="740" t="str" cm="1">
        <f t="array" ref="DM468">IF(AND($BT468=4,$BX468=4,$BU468=999),$DD$36,_xlfn.IFNA(INDEX(DD$13:DD$68,MATCH(1,($BR468=$CV$13:$CV$68)*($BT468=$CX$13:$CX$68)*($CE468=$CY$13:$CY$68)*($BY468=$DA$13:$DA$68)*($CD468=$DH$13:$DH$68),0)),""))</f>
        <v/>
      </c>
      <c r="DN468" s="740" t="str" cm="1">
        <f t="array" ref="DN468">IF(AND($BT468=4,$BX468=4,$BU468=999),$DD$36,_xlfn.IFNA(INDEX(DE$13:DE$68,MATCH(1,($BR468=$CV$13:$CV$68)*($BT468=$CX$13:$CX$68)*($CE468=$CY$13:$CY$68)*($BY468=$DA$13:$DA$68)*($CD468=$DH$13:$DH$68),0)),""))</f>
        <v/>
      </c>
      <c r="DO468" s="58" t="str" cm="1">
        <f t="array" ref="DO468">IF(AND($BT468=4,$BX468=4,$BU468=999),$DF$36,_xlfn.IFNA(INDEX(DF$13:DF$70,MATCH(1,($BR468=$CV$13:$CV$70)*($BT468=$CX$13:$CX$70)*($CE468=$CY$13:$CY$70)*($BY468=$DA$13:$DA$70)*($CD468=$DH$13:$DH$70),0)),""))</f>
        <v/>
      </c>
      <c r="DP468" s="58" t="e">
        <f t="shared" si="775"/>
        <v>#N/A</v>
      </c>
      <c r="FT468" s="58">
        <f t="shared" si="776"/>
        <v>0</v>
      </c>
      <c r="FW468" s="58">
        <f>IF(i_baseline_risk_from=2,'Effectiveness settings'!EW468,'Effectiveness settings'!FI468)</f>
        <v>0</v>
      </c>
      <c r="FX468" s="58">
        <f t="shared" si="777"/>
        <v>0</v>
      </c>
      <c r="FY468" s="58">
        <f t="shared" si="778"/>
        <v>0</v>
      </c>
      <c r="FZ468" s="58">
        <f t="shared" si="779"/>
        <v>0</v>
      </c>
      <c r="GA468" s="58">
        <f t="shared" si="780"/>
        <v>0</v>
      </c>
      <c r="GB468" s="58">
        <f t="shared" si="781"/>
        <v>0</v>
      </c>
      <c r="GC468" s="58">
        <f t="shared" si="782"/>
        <v>0</v>
      </c>
      <c r="GD468" s="58">
        <f t="shared" si="783"/>
        <v>0</v>
      </c>
      <c r="GE468" s="58">
        <f>IF(AND(dd_CheckMate214_TTD="Yes",'Effectiveness settings'!BU468=2,'Effectiveness settings'!BX468=2),"Apply HR to",GD468)</f>
        <v>0</v>
      </c>
      <c r="GF468" s="58">
        <f t="shared" si="784"/>
        <v>0</v>
      </c>
      <c r="GG468" s="58">
        <f t="shared" si="785"/>
        <v>0</v>
      </c>
      <c r="GH468" s="58">
        <f t="shared" si="786"/>
        <v>0</v>
      </c>
      <c r="GI468" s="58">
        <f t="shared" si="773"/>
        <v>0</v>
      </c>
      <c r="GK468" s="58">
        <f>IF(i_baseline_risk_from=2,'Effectiveness settings'!FA468,'Effectiveness settings'!FM468)</f>
        <v>0</v>
      </c>
      <c r="GL468" s="58">
        <f>IF(i_baseline_risk_from=2,'Effectiveness settings'!FB468,'Effectiveness settings'!FN468)</f>
        <v>0</v>
      </c>
      <c r="GM468" s="58">
        <f>IF(i_baseline_risk_from=2,'Effectiveness settings'!FC468,'Effectiveness settings'!FO468)</f>
        <v>0</v>
      </c>
      <c r="GN468" s="58">
        <f>IF(i_baseline_risk_from=2,'Effectiveness settings'!FD468,'Effectiveness settings'!FP468)</f>
        <v>0</v>
      </c>
      <c r="GQ468" s="58">
        <f t="shared" si="787"/>
        <v>0</v>
      </c>
      <c r="GR468" s="58">
        <f t="shared" si="788"/>
        <v>0</v>
      </c>
      <c r="GS468" s="58">
        <f t="shared" si="789"/>
        <v>0</v>
      </c>
      <c r="GT468" s="58">
        <f t="shared" si="790"/>
        <v>0</v>
      </c>
      <c r="GU468" s="58">
        <f>IF(AND(dd_CheckMate214_TTD="Yes",'Effectiveness settings'!BU468=2,'Effectiveness settings'!BX468=2),2,GT468)</f>
        <v>0</v>
      </c>
      <c r="GV468" s="58">
        <f t="shared" si="791"/>
        <v>0</v>
      </c>
      <c r="GW468" s="58">
        <f t="shared" si="792"/>
        <v>0</v>
      </c>
      <c r="GY468" s="58">
        <f>IF(AND(dd_CheckMate214_TTD="Yes",'Effectiveness settings'!BU468=2,'Effectiveness settings'!BX468=2),1,GN468)</f>
        <v>0</v>
      </c>
      <c r="GZ468" s="58">
        <f t="shared" si="793"/>
        <v>0</v>
      </c>
      <c r="HB468" s="58">
        <f t="shared" si="794"/>
        <v>0</v>
      </c>
      <c r="HD468" s="58">
        <f t="shared" si="768"/>
        <v>0</v>
      </c>
      <c r="HE468" s="58">
        <f t="shared" si="769"/>
        <v>0</v>
      </c>
      <c r="HF468" s="58">
        <f t="shared" si="770"/>
        <v>0</v>
      </c>
      <c r="HG468" s="58">
        <f t="shared" si="771"/>
        <v>0</v>
      </c>
      <c r="HH468" s="58">
        <f t="shared" si="772"/>
        <v>0</v>
      </c>
    </row>
    <row r="469" spans="69:216" ht="15.75" x14ac:dyDescent="0.25">
      <c r="BQ469" s="58">
        <f t="shared" si="774"/>
        <v>280</v>
      </c>
      <c r="BR469" s="61"/>
      <c r="BS469" s="61"/>
      <c r="BT469" s="17"/>
      <c r="BU469" s="17"/>
      <c r="BV469" s="17"/>
      <c r="BW469" s="17"/>
      <c r="BX469" s="61"/>
      <c r="BY469" s="531"/>
      <c r="BZ469" s="530"/>
      <c r="CA469" s="531"/>
      <c r="CB469" s="530"/>
      <c r="CC469" s="530"/>
      <c r="CD469" s="530"/>
      <c r="CE469" s="1295"/>
      <c r="CF469" s="1301"/>
      <c r="CG469" s="530"/>
      <c r="CH469" s="61"/>
      <c r="CI469" s="61"/>
      <c r="CJ469" s="61"/>
      <c r="DK469" s="58" t="str" cm="1">
        <f t="array" ref="DK469">IF(AND($BT469=4,$BX469=4,$BU469=999),$DB$36,_xlfn.IFNA(INDEX(DB$13:DB$70,MATCH(1,($BR469=$CV$13:$CV$70)*($BT469=$CX$13:$CX$70)*($CE469=$CY$13:$CY$70)*($BY469=$DA$13:$DA$70)*($CD469=$DH$13:$DH$70),0)),""))</f>
        <v/>
      </c>
      <c r="DL469" s="58" t="str" cm="1">
        <f t="array" ref="DL469">IF(AND($BT469=4,$BX469=4,$BU469=999),$DC$36,_xlfn.IFNA(INDEX(CHOOSE(DP469,DB$13:DB$70,DC$13:DC$70,DD$13:DD$70,DE$13:DE$70),MATCH(1,($BR469=$CV$13:$CV$70)*($BT469=$CX$13:$CX$70)*($CE469=$CY$13:$CY$70)*($BY469=$DA$13:$DA$70)*($CD469=$DH$13:$DH$70),0)),""))</f>
        <v/>
      </c>
      <c r="DM469" s="740" t="str" cm="1">
        <f t="array" ref="DM469">IF(AND($BT469=4,$BX469=4,$BU469=999),$DD$36,_xlfn.IFNA(INDEX(DD$13:DD$68,MATCH(1,($BR469=$CV$13:$CV$68)*($BT469=$CX$13:$CX$68)*($CE469=$CY$13:$CY$68)*($BY469=$DA$13:$DA$68)*($CD469=$DH$13:$DH$68),0)),""))</f>
        <v/>
      </c>
      <c r="DN469" s="740" t="str" cm="1">
        <f t="array" ref="DN469">IF(AND($BT469=4,$BX469=4,$BU469=999),$DD$36,_xlfn.IFNA(INDEX(DE$13:DE$68,MATCH(1,($BR469=$CV$13:$CV$68)*($BT469=$CX$13:$CX$68)*($CE469=$CY$13:$CY$68)*($BY469=$DA$13:$DA$68)*($CD469=$DH$13:$DH$68),0)),""))</f>
        <v/>
      </c>
      <c r="DO469" s="58" t="str" cm="1">
        <f t="array" ref="DO469">IF(AND($BT469=4,$BX469=4,$BU469=999),$DF$36,_xlfn.IFNA(INDEX(DF$13:DF$70,MATCH(1,($BR469=$CV$13:$CV$70)*($BT469=$CX$13:$CX$70)*($CE469=$CY$13:$CY$70)*($BY469=$DA$13:$DA$70)*($CD469=$DH$13:$DH$70),0)),""))</f>
        <v/>
      </c>
      <c r="DP469" s="58" t="e">
        <f t="shared" si="775"/>
        <v>#N/A</v>
      </c>
      <c r="FT469" s="58">
        <f t="shared" si="776"/>
        <v>0</v>
      </c>
      <c r="FW469" s="58">
        <f>IF(i_baseline_risk_from=2,'Effectiveness settings'!EW469,'Effectiveness settings'!FI469)</f>
        <v>0</v>
      </c>
      <c r="FX469" s="58">
        <f t="shared" si="777"/>
        <v>0</v>
      </c>
      <c r="FY469" s="58">
        <f t="shared" si="778"/>
        <v>0</v>
      </c>
      <c r="FZ469" s="58">
        <f t="shared" si="779"/>
        <v>0</v>
      </c>
      <c r="GA469" s="58">
        <f t="shared" si="780"/>
        <v>0</v>
      </c>
      <c r="GB469" s="58">
        <f t="shared" si="781"/>
        <v>0</v>
      </c>
      <c r="GC469" s="58">
        <f t="shared" si="782"/>
        <v>0</v>
      </c>
      <c r="GD469" s="58">
        <f t="shared" si="783"/>
        <v>0</v>
      </c>
      <c r="GE469" s="58">
        <f>IF(AND(dd_CheckMate214_TTD="Yes",'Effectiveness settings'!BU469=2,'Effectiveness settings'!BX469=2),"Apply HR to",GD469)</f>
        <v>0</v>
      </c>
      <c r="GF469" s="58">
        <f t="shared" si="784"/>
        <v>0</v>
      </c>
      <c r="GG469" s="58">
        <f t="shared" si="785"/>
        <v>0</v>
      </c>
      <c r="GH469" s="58">
        <f t="shared" si="786"/>
        <v>0</v>
      </c>
      <c r="GI469" s="58">
        <f t="shared" si="773"/>
        <v>0</v>
      </c>
      <c r="GK469" s="58">
        <f>IF(i_baseline_risk_from=2,'Effectiveness settings'!FA469,'Effectiveness settings'!FM469)</f>
        <v>0</v>
      </c>
      <c r="GL469" s="58">
        <f>IF(i_baseline_risk_from=2,'Effectiveness settings'!FB469,'Effectiveness settings'!FN469)</f>
        <v>0</v>
      </c>
      <c r="GM469" s="58">
        <f>IF(i_baseline_risk_from=2,'Effectiveness settings'!FC469,'Effectiveness settings'!FO469)</f>
        <v>0</v>
      </c>
      <c r="GN469" s="58">
        <f>IF(i_baseline_risk_from=2,'Effectiveness settings'!FD469,'Effectiveness settings'!FP469)</f>
        <v>0</v>
      </c>
      <c r="GQ469" s="58">
        <f t="shared" si="787"/>
        <v>0</v>
      </c>
      <c r="GR469" s="58">
        <f t="shared" si="788"/>
        <v>0</v>
      </c>
      <c r="GS469" s="58">
        <f t="shared" si="789"/>
        <v>0</v>
      </c>
      <c r="GT469" s="58">
        <f t="shared" si="790"/>
        <v>0</v>
      </c>
      <c r="GU469" s="58">
        <f>IF(AND(dd_CheckMate214_TTD="Yes",'Effectiveness settings'!BU469=2,'Effectiveness settings'!BX469=2),2,GT469)</f>
        <v>0</v>
      </c>
      <c r="GV469" s="58">
        <f t="shared" si="791"/>
        <v>0</v>
      </c>
      <c r="GW469" s="58">
        <f t="shared" si="792"/>
        <v>0</v>
      </c>
      <c r="GY469" s="58">
        <f>IF(AND(dd_CheckMate214_TTD="Yes",'Effectiveness settings'!BU469=2,'Effectiveness settings'!BX469=2),1,GN469)</f>
        <v>0</v>
      </c>
      <c r="GZ469" s="58">
        <f t="shared" si="793"/>
        <v>0</v>
      </c>
      <c r="HB469" s="58">
        <f t="shared" si="794"/>
        <v>0</v>
      </c>
      <c r="HD469" s="58">
        <f t="shared" si="768"/>
        <v>0</v>
      </c>
      <c r="HE469" s="58">
        <f t="shared" si="769"/>
        <v>0</v>
      </c>
      <c r="HF469" s="58">
        <f t="shared" si="770"/>
        <v>0</v>
      </c>
      <c r="HG469" s="58">
        <f t="shared" si="771"/>
        <v>0</v>
      </c>
      <c r="HH469" s="58">
        <f t="shared" si="772"/>
        <v>0</v>
      </c>
    </row>
    <row r="470" spans="69:216" ht="15.75" x14ac:dyDescent="0.25">
      <c r="BQ470" s="58">
        <f t="shared" si="774"/>
        <v>280</v>
      </c>
      <c r="BR470" s="61"/>
      <c r="BS470" s="61"/>
      <c r="BT470" s="17"/>
      <c r="BU470" s="17"/>
      <c r="BV470" s="17"/>
      <c r="BW470" s="17"/>
      <c r="BX470" s="61"/>
      <c r="BY470" s="531"/>
      <c r="BZ470" s="530"/>
      <c r="CA470" s="531"/>
      <c r="CB470" s="530"/>
      <c r="CC470" s="530"/>
      <c r="CD470" s="530"/>
      <c r="CE470" s="1295"/>
      <c r="CF470" s="1301"/>
      <c r="CG470" s="530"/>
      <c r="CH470" s="61"/>
      <c r="CI470" s="61"/>
      <c r="CJ470" s="61"/>
      <c r="DK470" s="58" t="str" cm="1">
        <f t="array" ref="DK470">IF(AND($BT470=4,$BX470=4,$BU470=999),$DB$36,_xlfn.IFNA(INDEX(DB$13:DB$70,MATCH(1,($BR470=$CV$13:$CV$70)*($BT470=$CX$13:$CX$70)*($CE470=$CY$13:$CY$70)*($BY470=$DA$13:$DA$70)*($CD470=$DH$13:$DH$70),0)),""))</f>
        <v/>
      </c>
      <c r="DL470" s="58" t="str" cm="1">
        <f t="array" ref="DL470">IF(AND($BT470=4,$BX470=4,$BU470=999),$DC$36,_xlfn.IFNA(INDEX(CHOOSE(DP470,DB$13:DB$70,DC$13:DC$70,DD$13:DD$70,DE$13:DE$70),MATCH(1,($BR470=$CV$13:$CV$70)*($BT470=$CX$13:$CX$70)*($CE470=$CY$13:$CY$70)*($BY470=$DA$13:$DA$70)*($CD470=$DH$13:$DH$70),0)),""))</f>
        <v/>
      </c>
      <c r="DM470" s="740" t="str" cm="1">
        <f t="array" ref="DM470">IF(AND($BT470=4,$BX470=4,$BU470=999),$DD$36,_xlfn.IFNA(INDEX(DD$13:DD$68,MATCH(1,($BR470=$CV$13:$CV$68)*($BT470=$CX$13:$CX$68)*($CE470=$CY$13:$CY$68)*($BY470=$DA$13:$DA$68)*($CD470=$DH$13:$DH$68),0)),""))</f>
        <v/>
      </c>
      <c r="DN470" s="740" t="str" cm="1">
        <f t="array" ref="DN470">IF(AND($BT470=4,$BX470=4,$BU470=999),$DD$36,_xlfn.IFNA(INDEX(DE$13:DE$68,MATCH(1,($BR470=$CV$13:$CV$68)*($BT470=$CX$13:$CX$68)*($CE470=$CY$13:$CY$68)*($BY470=$DA$13:$DA$68)*($CD470=$DH$13:$DH$68),0)),""))</f>
        <v/>
      </c>
      <c r="DO470" s="58" t="str" cm="1">
        <f t="array" ref="DO470">IF(AND($BT470=4,$BX470=4,$BU470=999),$DF$36,_xlfn.IFNA(INDEX(DF$13:DF$70,MATCH(1,($BR470=$CV$13:$CV$70)*($BT470=$CX$13:$CX$70)*($CE470=$CY$13:$CY$70)*($BY470=$DA$13:$DA$70)*($CD470=$DH$13:$DH$70),0)),""))</f>
        <v/>
      </c>
      <c r="DP470" s="58" t="e">
        <f t="shared" si="775"/>
        <v>#N/A</v>
      </c>
      <c r="FT470" s="58">
        <f t="shared" si="776"/>
        <v>0</v>
      </c>
      <c r="FW470" s="58">
        <f>IF(i_baseline_risk_from=2,'Effectiveness settings'!EW470,'Effectiveness settings'!FI470)</f>
        <v>0</v>
      </c>
      <c r="FX470" s="58">
        <f t="shared" si="777"/>
        <v>0</v>
      </c>
      <c r="FY470" s="58">
        <f t="shared" si="778"/>
        <v>0</v>
      </c>
      <c r="FZ470" s="58">
        <f t="shared" si="779"/>
        <v>0</v>
      </c>
      <c r="GA470" s="58">
        <f t="shared" si="780"/>
        <v>0</v>
      </c>
      <c r="GB470" s="58">
        <f t="shared" si="781"/>
        <v>0</v>
      </c>
      <c r="GC470" s="58">
        <f t="shared" si="782"/>
        <v>0</v>
      </c>
      <c r="GD470" s="58">
        <f t="shared" si="783"/>
        <v>0</v>
      </c>
      <c r="GE470" s="58">
        <f>IF(AND(dd_CheckMate214_TTD="Yes",'Effectiveness settings'!BU470=2,'Effectiveness settings'!BX470=2),"Apply HR to",GD470)</f>
        <v>0</v>
      </c>
      <c r="GF470" s="58">
        <f t="shared" si="784"/>
        <v>0</v>
      </c>
      <c r="GG470" s="58">
        <f t="shared" si="785"/>
        <v>0</v>
      </c>
      <c r="GH470" s="58">
        <f t="shared" si="786"/>
        <v>0</v>
      </c>
      <c r="GI470" s="58">
        <f t="shared" si="773"/>
        <v>0</v>
      </c>
      <c r="GK470" s="58">
        <f>IF(i_baseline_risk_from=2,'Effectiveness settings'!FA470,'Effectiveness settings'!FM470)</f>
        <v>0</v>
      </c>
      <c r="GL470" s="58">
        <f>IF(i_baseline_risk_from=2,'Effectiveness settings'!FB470,'Effectiveness settings'!FN470)</f>
        <v>0</v>
      </c>
      <c r="GM470" s="58">
        <f>IF(i_baseline_risk_from=2,'Effectiveness settings'!FC470,'Effectiveness settings'!FO470)</f>
        <v>0</v>
      </c>
      <c r="GN470" s="58">
        <f>IF(i_baseline_risk_from=2,'Effectiveness settings'!FD470,'Effectiveness settings'!FP470)</f>
        <v>0</v>
      </c>
      <c r="GQ470" s="58">
        <f t="shared" si="787"/>
        <v>0</v>
      </c>
      <c r="GR470" s="58">
        <f t="shared" si="788"/>
        <v>0</v>
      </c>
      <c r="GS470" s="58">
        <f t="shared" si="789"/>
        <v>0</v>
      </c>
      <c r="GT470" s="58">
        <f t="shared" si="790"/>
        <v>0</v>
      </c>
      <c r="GU470" s="58">
        <f>IF(AND(dd_CheckMate214_TTD="Yes",'Effectiveness settings'!BU470=2,'Effectiveness settings'!BX470=2),2,GT470)</f>
        <v>0</v>
      </c>
      <c r="GV470" s="58">
        <f t="shared" si="791"/>
        <v>0</v>
      </c>
      <c r="GW470" s="58">
        <f t="shared" si="792"/>
        <v>0</v>
      </c>
      <c r="GY470" s="58">
        <f>IF(AND(dd_CheckMate214_TTD="Yes",'Effectiveness settings'!BU470=2,'Effectiveness settings'!BX470=2),1,GN470)</f>
        <v>0</v>
      </c>
      <c r="GZ470" s="58">
        <f t="shared" si="793"/>
        <v>0</v>
      </c>
      <c r="HB470" s="58">
        <f t="shared" si="794"/>
        <v>0</v>
      </c>
      <c r="HD470" s="58">
        <f t="shared" si="768"/>
        <v>0</v>
      </c>
      <c r="HE470" s="58">
        <f t="shared" si="769"/>
        <v>0</v>
      </c>
      <c r="HF470" s="58">
        <f t="shared" si="770"/>
        <v>0</v>
      </c>
      <c r="HG470" s="58">
        <f t="shared" si="771"/>
        <v>0</v>
      </c>
      <c r="HH470" s="58">
        <f t="shared" si="772"/>
        <v>0</v>
      </c>
    </row>
    <row r="471" spans="69:216" ht="15.75" x14ac:dyDescent="0.25">
      <c r="BQ471" s="58">
        <f t="shared" si="774"/>
        <v>280</v>
      </c>
      <c r="BR471" s="61"/>
      <c r="BS471" s="61"/>
      <c r="BT471" s="17"/>
      <c r="BU471" s="17"/>
      <c r="BV471" s="17"/>
      <c r="BW471" s="17"/>
      <c r="BX471" s="61"/>
      <c r="BY471" s="531"/>
      <c r="BZ471" s="530"/>
      <c r="CA471" s="531"/>
      <c r="CB471" s="530"/>
      <c r="CC471" s="530"/>
      <c r="CD471" s="530"/>
      <c r="CE471" s="1295"/>
      <c r="CF471" s="1301"/>
      <c r="CG471" s="530"/>
      <c r="CH471" s="61"/>
      <c r="CI471" s="61"/>
      <c r="CJ471" s="61"/>
      <c r="DK471" s="58" t="str" cm="1">
        <f t="array" ref="DK471">IF(AND($BT471=4,$BX471=4,$BU471=999),$DB$36,_xlfn.IFNA(INDEX(DB$13:DB$70,MATCH(1,($BR471=$CV$13:$CV$70)*($BT471=$CX$13:$CX$70)*($CE471=$CY$13:$CY$70)*($BY471=$DA$13:$DA$70)*($CD471=$DH$13:$DH$70),0)),""))</f>
        <v/>
      </c>
      <c r="DL471" s="58" t="str" cm="1">
        <f t="array" ref="DL471">IF(AND($BT471=4,$BX471=4,$BU471=999),$DC$36,_xlfn.IFNA(INDEX(CHOOSE(DP471,DB$13:DB$70,DC$13:DC$70,DD$13:DD$70,DE$13:DE$70),MATCH(1,($BR471=$CV$13:$CV$70)*($BT471=$CX$13:$CX$70)*($CE471=$CY$13:$CY$70)*($BY471=$DA$13:$DA$70)*($CD471=$DH$13:$DH$70),0)),""))</f>
        <v/>
      </c>
      <c r="DM471" s="740" t="str" cm="1">
        <f t="array" ref="DM471">IF(AND($BT471=4,$BX471=4,$BU471=999),$DD$36,_xlfn.IFNA(INDEX(DD$13:DD$68,MATCH(1,($BR471=$CV$13:$CV$68)*($BT471=$CX$13:$CX$68)*($CE471=$CY$13:$CY$68)*($BY471=$DA$13:$DA$68)*($CD471=$DH$13:$DH$68),0)),""))</f>
        <v/>
      </c>
      <c r="DN471" s="740" t="str" cm="1">
        <f t="array" ref="DN471">IF(AND($BT471=4,$BX471=4,$BU471=999),$DD$36,_xlfn.IFNA(INDEX(DE$13:DE$68,MATCH(1,($BR471=$CV$13:$CV$68)*($BT471=$CX$13:$CX$68)*($CE471=$CY$13:$CY$68)*($BY471=$DA$13:$DA$68)*($CD471=$DH$13:$DH$68),0)),""))</f>
        <v/>
      </c>
      <c r="DO471" s="58" t="str" cm="1">
        <f t="array" ref="DO471">IF(AND($BT471=4,$BX471=4,$BU471=999),$DF$36,_xlfn.IFNA(INDEX(DF$13:DF$70,MATCH(1,($BR471=$CV$13:$CV$70)*($BT471=$CX$13:$CX$70)*($CE471=$CY$13:$CY$70)*($BY471=$DA$13:$DA$70)*($CD471=$DH$13:$DH$70),0)),""))</f>
        <v/>
      </c>
      <c r="DP471" s="58" t="e">
        <f t="shared" si="775"/>
        <v>#N/A</v>
      </c>
      <c r="FT471" s="58">
        <f t="shared" si="776"/>
        <v>0</v>
      </c>
      <c r="FW471" s="58">
        <f>IF(i_baseline_risk_from=2,'Effectiveness settings'!EW471,'Effectiveness settings'!FI471)</f>
        <v>0</v>
      </c>
      <c r="FX471" s="58">
        <f t="shared" si="777"/>
        <v>0</v>
      </c>
      <c r="FY471" s="58">
        <f t="shared" si="778"/>
        <v>0</v>
      </c>
      <c r="FZ471" s="58">
        <f t="shared" si="779"/>
        <v>0</v>
      </c>
      <c r="GA471" s="58">
        <f t="shared" si="780"/>
        <v>0</v>
      </c>
      <c r="GB471" s="58">
        <f t="shared" si="781"/>
        <v>0</v>
      </c>
      <c r="GC471" s="58">
        <f t="shared" si="782"/>
        <v>0</v>
      </c>
      <c r="GD471" s="58">
        <f t="shared" si="783"/>
        <v>0</v>
      </c>
      <c r="GE471" s="58">
        <f>IF(AND(dd_CheckMate214_TTD="Yes",'Effectiveness settings'!BU471=2,'Effectiveness settings'!BX471=2),"Apply HR to",GD471)</f>
        <v>0</v>
      </c>
      <c r="GF471" s="58">
        <f t="shared" si="784"/>
        <v>0</v>
      </c>
      <c r="GG471" s="58">
        <f t="shared" si="785"/>
        <v>0</v>
      </c>
      <c r="GH471" s="58">
        <f t="shared" si="786"/>
        <v>0</v>
      </c>
      <c r="GI471" s="58">
        <f t="shared" si="773"/>
        <v>0</v>
      </c>
      <c r="GK471" s="58">
        <f>IF(i_baseline_risk_from=2,'Effectiveness settings'!FA471,'Effectiveness settings'!FM471)</f>
        <v>0</v>
      </c>
      <c r="GL471" s="58">
        <f>IF(i_baseline_risk_from=2,'Effectiveness settings'!FB471,'Effectiveness settings'!FN471)</f>
        <v>0</v>
      </c>
      <c r="GM471" s="58">
        <f>IF(i_baseline_risk_from=2,'Effectiveness settings'!FC471,'Effectiveness settings'!FO471)</f>
        <v>0</v>
      </c>
      <c r="GN471" s="58">
        <f>IF(i_baseline_risk_from=2,'Effectiveness settings'!FD471,'Effectiveness settings'!FP471)</f>
        <v>0</v>
      </c>
      <c r="GQ471" s="58">
        <f t="shared" si="787"/>
        <v>0</v>
      </c>
      <c r="GR471" s="58">
        <f t="shared" si="788"/>
        <v>0</v>
      </c>
      <c r="GS471" s="58">
        <f t="shared" si="789"/>
        <v>0</v>
      </c>
      <c r="GT471" s="58">
        <f t="shared" si="790"/>
        <v>0</v>
      </c>
      <c r="GU471" s="58">
        <f>IF(AND(dd_CheckMate214_TTD="Yes",'Effectiveness settings'!BU471=2,'Effectiveness settings'!BX471=2),2,GT471)</f>
        <v>0</v>
      </c>
      <c r="GV471" s="58">
        <f t="shared" si="791"/>
        <v>0</v>
      </c>
      <c r="GW471" s="58">
        <f t="shared" si="792"/>
        <v>0</v>
      </c>
      <c r="GY471" s="58">
        <f>IF(AND(dd_CheckMate214_TTD="Yes",'Effectiveness settings'!BU471=2,'Effectiveness settings'!BX471=2),1,GN471)</f>
        <v>0</v>
      </c>
      <c r="GZ471" s="58">
        <f t="shared" si="793"/>
        <v>0</v>
      </c>
      <c r="HB471" s="58">
        <f t="shared" si="794"/>
        <v>0</v>
      </c>
      <c r="HD471" s="58">
        <f t="shared" si="768"/>
        <v>0</v>
      </c>
      <c r="HE471" s="58">
        <f t="shared" si="769"/>
        <v>0</v>
      </c>
      <c r="HF471" s="58">
        <f t="shared" si="770"/>
        <v>0</v>
      </c>
      <c r="HG471" s="58">
        <f t="shared" si="771"/>
        <v>0</v>
      </c>
      <c r="HH471" s="58">
        <f t="shared" si="772"/>
        <v>0</v>
      </c>
    </row>
    <row r="472" spans="69:216" ht="15.75" x14ac:dyDescent="0.25">
      <c r="BQ472" s="58">
        <f t="shared" si="774"/>
        <v>280</v>
      </c>
      <c r="BR472" s="61"/>
      <c r="BS472" s="61"/>
      <c r="BT472" s="17"/>
      <c r="BU472" s="17"/>
      <c r="BV472" s="17"/>
      <c r="BW472" s="17"/>
      <c r="BX472" s="61"/>
      <c r="BY472" s="531"/>
      <c r="BZ472" s="530"/>
      <c r="CA472" s="531"/>
      <c r="CB472" s="530"/>
      <c r="CC472" s="530"/>
      <c r="CD472" s="530"/>
      <c r="CE472" s="1295"/>
      <c r="CF472" s="1301"/>
      <c r="CG472" s="530"/>
      <c r="CH472" s="61"/>
      <c r="CI472" s="61"/>
      <c r="CJ472" s="61"/>
      <c r="DK472" s="58" t="str" cm="1">
        <f t="array" ref="DK472">IF(AND($BT472=4,$BX472=4,$BU472=999),$DB$36,_xlfn.IFNA(INDEX(DB$13:DB$70,MATCH(1,($BR472=$CV$13:$CV$70)*($BT472=$CX$13:$CX$70)*($CE472=$CY$13:$CY$70)*($BY472=$DA$13:$DA$70)*($CD472=$DH$13:$DH$70),0)),""))</f>
        <v/>
      </c>
      <c r="DL472" s="58" t="str" cm="1">
        <f t="array" ref="DL472">IF(AND($BT472=4,$BX472=4,$BU472=999),$DC$36,_xlfn.IFNA(INDEX(CHOOSE(DP472,DB$13:DB$70,DC$13:DC$70,DD$13:DD$70,DE$13:DE$70),MATCH(1,($BR472=$CV$13:$CV$70)*($BT472=$CX$13:$CX$70)*($CE472=$CY$13:$CY$70)*($BY472=$DA$13:$DA$70)*($CD472=$DH$13:$DH$70),0)),""))</f>
        <v/>
      </c>
      <c r="DM472" s="740" t="str" cm="1">
        <f t="array" ref="DM472">IF(AND($BT472=4,$BX472=4,$BU472=999),$DD$36,_xlfn.IFNA(INDEX(DD$13:DD$68,MATCH(1,($BR472=$CV$13:$CV$68)*($BT472=$CX$13:$CX$68)*($CE472=$CY$13:$CY$68)*($BY472=$DA$13:$DA$68)*($CD472=$DH$13:$DH$68),0)),""))</f>
        <v/>
      </c>
      <c r="DN472" s="740" t="str" cm="1">
        <f t="array" ref="DN472">IF(AND($BT472=4,$BX472=4,$BU472=999),$DD$36,_xlfn.IFNA(INDEX(DE$13:DE$68,MATCH(1,($BR472=$CV$13:$CV$68)*($BT472=$CX$13:$CX$68)*($CE472=$CY$13:$CY$68)*($BY472=$DA$13:$DA$68)*($CD472=$DH$13:$DH$68),0)),""))</f>
        <v/>
      </c>
      <c r="DO472" s="58" t="str" cm="1">
        <f t="array" ref="DO472">IF(AND($BT472=4,$BX472=4,$BU472=999),$DF$36,_xlfn.IFNA(INDEX(DF$13:DF$70,MATCH(1,($BR472=$CV$13:$CV$70)*($BT472=$CX$13:$CX$70)*($CE472=$CY$13:$CY$70)*($BY472=$DA$13:$DA$70)*($CD472=$DH$13:$DH$70),0)),""))</f>
        <v/>
      </c>
      <c r="DP472" s="58" t="e">
        <f t="shared" si="775"/>
        <v>#N/A</v>
      </c>
      <c r="FT472" s="58">
        <f t="shared" si="776"/>
        <v>0</v>
      </c>
      <c r="FW472" s="58">
        <f>IF(i_baseline_risk_from=2,'Effectiveness settings'!EW472,'Effectiveness settings'!FI472)</f>
        <v>0</v>
      </c>
      <c r="FX472" s="58">
        <f t="shared" si="777"/>
        <v>0</v>
      </c>
      <c r="FY472" s="58">
        <f t="shared" si="778"/>
        <v>0</v>
      </c>
      <c r="FZ472" s="58">
        <f t="shared" si="779"/>
        <v>0</v>
      </c>
      <c r="GA472" s="58">
        <f t="shared" si="780"/>
        <v>0</v>
      </c>
      <c r="GB472" s="58">
        <f t="shared" si="781"/>
        <v>0</v>
      </c>
      <c r="GC472" s="58">
        <f t="shared" si="782"/>
        <v>0</v>
      </c>
      <c r="GD472" s="58">
        <f t="shared" si="783"/>
        <v>0</v>
      </c>
      <c r="GE472" s="58">
        <f>IF(AND(dd_CheckMate214_TTD="Yes",'Effectiveness settings'!BU472=2,'Effectiveness settings'!BX472=2),"Apply HR to",GD472)</f>
        <v>0</v>
      </c>
      <c r="GF472" s="58">
        <f t="shared" si="784"/>
        <v>0</v>
      </c>
      <c r="GG472" s="58">
        <f t="shared" si="785"/>
        <v>0</v>
      </c>
      <c r="GH472" s="58">
        <f t="shared" si="786"/>
        <v>0</v>
      </c>
      <c r="GI472" s="58">
        <f t="shared" si="773"/>
        <v>0</v>
      </c>
      <c r="GK472" s="58">
        <f>IF(i_baseline_risk_from=2,'Effectiveness settings'!FA472,'Effectiveness settings'!FM472)</f>
        <v>0</v>
      </c>
      <c r="GL472" s="58">
        <f>IF(i_baseline_risk_from=2,'Effectiveness settings'!FB472,'Effectiveness settings'!FN472)</f>
        <v>0</v>
      </c>
      <c r="GM472" s="58">
        <f>IF(i_baseline_risk_from=2,'Effectiveness settings'!FC472,'Effectiveness settings'!FO472)</f>
        <v>0</v>
      </c>
      <c r="GN472" s="58">
        <f>IF(i_baseline_risk_from=2,'Effectiveness settings'!FD472,'Effectiveness settings'!FP472)</f>
        <v>0</v>
      </c>
      <c r="GQ472" s="58">
        <f t="shared" si="787"/>
        <v>0</v>
      </c>
      <c r="GR472" s="58">
        <f t="shared" si="788"/>
        <v>0</v>
      </c>
      <c r="GS472" s="58">
        <f t="shared" si="789"/>
        <v>0</v>
      </c>
      <c r="GT472" s="58">
        <f t="shared" si="790"/>
        <v>0</v>
      </c>
      <c r="GU472" s="58">
        <f>IF(AND(dd_CheckMate214_TTD="Yes",'Effectiveness settings'!BU472=2,'Effectiveness settings'!BX472=2),2,GT472)</f>
        <v>0</v>
      </c>
      <c r="GV472" s="58">
        <f t="shared" si="791"/>
        <v>0</v>
      </c>
      <c r="GW472" s="58">
        <f t="shared" si="792"/>
        <v>0</v>
      </c>
      <c r="GY472" s="58">
        <f>IF(AND(dd_CheckMate214_TTD="Yes",'Effectiveness settings'!BU472=2,'Effectiveness settings'!BX472=2),1,GN472)</f>
        <v>0</v>
      </c>
      <c r="GZ472" s="58">
        <f t="shared" si="793"/>
        <v>0</v>
      </c>
      <c r="HB472" s="58">
        <f t="shared" si="794"/>
        <v>0</v>
      </c>
      <c r="HD472" s="58">
        <f t="shared" si="768"/>
        <v>0</v>
      </c>
      <c r="HE472" s="58">
        <f t="shared" si="769"/>
        <v>0</v>
      </c>
      <c r="HF472" s="58">
        <f t="shared" si="770"/>
        <v>0</v>
      </c>
      <c r="HG472" s="58">
        <f t="shared" si="771"/>
        <v>0</v>
      </c>
      <c r="HH472" s="58">
        <f t="shared" si="772"/>
        <v>0</v>
      </c>
    </row>
    <row r="473" spans="69:216" ht="15.75" x14ac:dyDescent="0.25">
      <c r="BQ473" s="58">
        <f t="shared" si="774"/>
        <v>280</v>
      </c>
      <c r="BR473" s="61"/>
      <c r="BS473" s="61"/>
      <c r="BT473" s="17"/>
      <c r="BU473" s="17"/>
      <c r="BV473" s="17"/>
      <c r="BW473" s="17"/>
      <c r="BX473" s="61"/>
      <c r="BY473" s="531"/>
      <c r="BZ473" s="530"/>
      <c r="CA473" s="531"/>
      <c r="CB473" s="530"/>
      <c r="CC473" s="530"/>
      <c r="CD473" s="530"/>
      <c r="CE473" s="1295"/>
      <c r="CF473" s="1301"/>
      <c r="CG473" s="530"/>
      <c r="CH473" s="61"/>
      <c r="CI473" s="61"/>
      <c r="CJ473" s="61"/>
      <c r="DK473" s="58" t="str" cm="1">
        <f t="array" ref="DK473">IF(AND($BT473=4,$BX473=4,$BU473=999),$DB$36,_xlfn.IFNA(INDEX(DB$13:DB$70,MATCH(1,($BR473=$CV$13:$CV$70)*($BT473=$CX$13:$CX$70)*($CE473=$CY$13:$CY$70)*($BY473=$DA$13:$DA$70)*($CD473=$DH$13:$DH$70),0)),""))</f>
        <v/>
      </c>
      <c r="DL473" s="58" t="str" cm="1">
        <f t="array" ref="DL473">IF(AND($BT473=4,$BX473=4,$BU473=999),$DC$36,_xlfn.IFNA(INDEX(CHOOSE(DP473,DB$13:DB$70,DC$13:DC$70,DD$13:DD$70,DE$13:DE$70),MATCH(1,($BR473=$CV$13:$CV$70)*($BT473=$CX$13:$CX$70)*($CE473=$CY$13:$CY$70)*($BY473=$DA$13:$DA$70)*($CD473=$DH$13:$DH$70),0)),""))</f>
        <v/>
      </c>
      <c r="DM473" s="740" t="str" cm="1">
        <f t="array" ref="DM473">IF(AND($BT473=4,$BX473=4,$BU473=999),$DD$36,_xlfn.IFNA(INDEX(DD$13:DD$68,MATCH(1,($BR473=$CV$13:$CV$68)*($BT473=$CX$13:$CX$68)*($CE473=$CY$13:$CY$68)*($BY473=$DA$13:$DA$68)*($CD473=$DH$13:$DH$68),0)),""))</f>
        <v/>
      </c>
      <c r="DN473" s="740" t="str" cm="1">
        <f t="array" ref="DN473">IF(AND($BT473=4,$BX473=4,$BU473=999),$DD$36,_xlfn.IFNA(INDEX(DE$13:DE$68,MATCH(1,($BR473=$CV$13:$CV$68)*($BT473=$CX$13:$CX$68)*($CE473=$CY$13:$CY$68)*($BY473=$DA$13:$DA$68)*($CD473=$DH$13:$DH$68),0)),""))</f>
        <v/>
      </c>
      <c r="DO473" s="58" t="str" cm="1">
        <f t="array" ref="DO473">IF(AND($BT473=4,$BX473=4,$BU473=999),$DF$36,_xlfn.IFNA(INDEX(DF$13:DF$70,MATCH(1,($BR473=$CV$13:$CV$70)*($BT473=$CX$13:$CX$70)*($CE473=$CY$13:$CY$70)*($BY473=$DA$13:$DA$70)*($CD473=$DH$13:$DH$70),0)),""))</f>
        <v/>
      </c>
      <c r="DP473" s="58" t="e">
        <f t="shared" si="775"/>
        <v>#N/A</v>
      </c>
      <c r="FT473" s="58">
        <f t="shared" si="776"/>
        <v>0</v>
      </c>
      <c r="FW473" s="58">
        <f>IF(i_baseline_risk_from=2,'Effectiveness settings'!EW473,'Effectiveness settings'!FI473)</f>
        <v>0</v>
      </c>
      <c r="FX473" s="58">
        <f t="shared" si="777"/>
        <v>0</v>
      </c>
      <c r="FY473" s="58">
        <f t="shared" si="778"/>
        <v>0</v>
      </c>
      <c r="FZ473" s="58">
        <f t="shared" si="779"/>
        <v>0</v>
      </c>
      <c r="GA473" s="58">
        <f t="shared" si="780"/>
        <v>0</v>
      </c>
      <c r="GB473" s="58">
        <f t="shared" si="781"/>
        <v>0</v>
      </c>
      <c r="GC473" s="58">
        <f t="shared" si="782"/>
        <v>0</v>
      </c>
      <c r="GD473" s="58">
        <f t="shared" si="783"/>
        <v>0</v>
      </c>
      <c r="GE473" s="58">
        <f>IF(AND(dd_CheckMate214_TTD="Yes",'Effectiveness settings'!BU473=2,'Effectiveness settings'!BX473=2),"Apply HR to",GD473)</f>
        <v>0</v>
      </c>
      <c r="GF473" s="58">
        <f t="shared" si="784"/>
        <v>0</v>
      </c>
      <c r="GG473" s="58">
        <f t="shared" si="785"/>
        <v>0</v>
      </c>
      <c r="GH473" s="58">
        <f t="shared" si="786"/>
        <v>0</v>
      </c>
      <c r="GI473" s="58">
        <f t="shared" si="773"/>
        <v>0</v>
      </c>
      <c r="GK473" s="58">
        <f>IF(i_baseline_risk_from=2,'Effectiveness settings'!FA473,'Effectiveness settings'!FM473)</f>
        <v>0</v>
      </c>
      <c r="GL473" s="58">
        <f>IF(i_baseline_risk_from=2,'Effectiveness settings'!FB473,'Effectiveness settings'!FN473)</f>
        <v>0</v>
      </c>
      <c r="GM473" s="58">
        <f>IF(i_baseline_risk_from=2,'Effectiveness settings'!FC473,'Effectiveness settings'!FO473)</f>
        <v>0</v>
      </c>
      <c r="GN473" s="58">
        <f>IF(i_baseline_risk_from=2,'Effectiveness settings'!FD473,'Effectiveness settings'!FP473)</f>
        <v>0</v>
      </c>
      <c r="GQ473" s="58">
        <f t="shared" si="787"/>
        <v>0</v>
      </c>
      <c r="GR473" s="58">
        <f t="shared" si="788"/>
        <v>0</v>
      </c>
      <c r="GS473" s="58">
        <f t="shared" si="789"/>
        <v>0</v>
      </c>
      <c r="GT473" s="58">
        <f t="shared" si="790"/>
        <v>0</v>
      </c>
      <c r="GU473" s="58">
        <f>IF(AND(dd_CheckMate214_TTD="Yes",'Effectiveness settings'!BU473=2,'Effectiveness settings'!BX473=2),2,GT473)</f>
        <v>0</v>
      </c>
      <c r="GV473" s="58">
        <f t="shared" si="791"/>
        <v>0</v>
      </c>
      <c r="GW473" s="58">
        <f t="shared" si="792"/>
        <v>0</v>
      </c>
      <c r="GY473" s="58">
        <f>IF(AND(dd_CheckMate214_TTD="Yes",'Effectiveness settings'!BU473=2,'Effectiveness settings'!BX473=2),1,GN473)</f>
        <v>0</v>
      </c>
      <c r="GZ473" s="58">
        <f t="shared" si="793"/>
        <v>0</v>
      </c>
      <c r="HB473" s="58">
        <f t="shared" si="794"/>
        <v>0</v>
      </c>
      <c r="HD473" s="58">
        <f t="shared" si="768"/>
        <v>0</v>
      </c>
      <c r="HE473" s="58">
        <f t="shared" si="769"/>
        <v>0</v>
      </c>
      <c r="HF473" s="58">
        <f t="shared" si="770"/>
        <v>0</v>
      </c>
      <c r="HG473" s="58">
        <f t="shared" si="771"/>
        <v>0</v>
      </c>
      <c r="HH473" s="58">
        <f t="shared" si="772"/>
        <v>0</v>
      </c>
    </row>
    <row r="474" spans="69:216" ht="15.75" x14ac:dyDescent="0.25">
      <c r="BQ474" s="58">
        <f t="shared" si="774"/>
        <v>280</v>
      </c>
      <c r="BR474" s="61"/>
      <c r="BS474" s="61"/>
      <c r="BT474" s="17"/>
      <c r="BU474" s="17"/>
      <c r="BV474" s="17"/>
      <c r="BW474" s="17"/>
      <c r="BX474" s="61"/>
      <c r="BY474" s="531"/>
      <c r="BZ474" s="530"/>
      <c r="CA474" s="531"/>
      <c r="CB474" s="530"/>
      <c r="CC474" s="530"/>
      <c r="CD474" s="530"/>
      <c r="CE474" s="1295"/>
      <c r="CF474" s="1301"/>
      <c r="CG474" s="530"/>
      <c r="CH474" s="61"/>
      <c r="CI474" s="61"/>
      <c r="CJ474" s="61"/>
      <c r="DK474" s="58" t="str" cm="1">
        <f t="array" ref="DK474">IF(AND($BT474=4,$BX474=4,$BU474=999),$DB$36,_xlfn.IFNA(INDEX(DB$13:DB$70,MATCH(1,($BR474=$CV$13:$CV$70)*($BT474=$CX$13:$CX$70)*($CE474=$CY$13:$CY$70)*($BY474=$DA$13:$DA$70)*($CD474=$DH$13:$DH$70),0)),""))</f>
        <v/>
      </c>
      <c r="DL474" s="58" t="str" cm="1">
        <f t="array" ref="DL474">IF(AND($BT474=4,$BX474=4,$BU474=999),$DC$36,_xlfn.IFNA(INDEX(CHOOSE(DP474,DB$13:DB$70,DC$13:DC$70,DD$13:DD$70,DE$13:DE$70),MATCH(1,($BR474=$CV$13:$CV$70)*($BT474=$CX$13:$CX$70)*($CE474=$CY$13:$CY$70)*($BY474=$DA$13:$DA$70)*($CD474=$DH$13:$DH$70),0)),""))</f>
        <v/>
      </c>
      <c r="DM474" s="740" t="str" cm="1">
        <f t="array" ref="DM474">IF(AND($BT474=4,$BX474=4,$BU474=999),$DD$36,_xlfn.IFNA(INDEX(DD$13:DD$68,MATCH(1,($BR474=$CV$13:$CV$68)*($BT474=$CX$13:$CX$68)*($CE474=$CY$13:$CY$68)*($BY474=$DA$13:$DA$68)*($CD474=$DH$13:$DH$68),0)),""))</f>
        <v/>
      </c>
      <c r="DN474" s="740" t="str" cm="1">
        <f t="array" ref="DN474">IF(AND($BT474=4,$BX474=4,$BU474=999),$DD$36,_xlfn.IFNA(INDEX(DE$13:DE$68,MATCH(1,($BR474=$CV$13:$CV$68)*($BT474=$CX$13:$CX$68)*($CE474=$CY$13:$CY$68)*($BY474=$DA$13:$DA$68)*($CD474=$DH$13:$DH$68),0)),""))</f>
        <v/>
      </c>
      <c r="DO474" s="58" t="str" cm="1">
        <f t="array" ref="DO474">IF(AND($BT474=4,$BX474=4,$BU474=999),$DF$36,_xlfn.IFNA(INDEX(DF$13:DF$70,MATCH(1,($BR474=$CV$13:$CV$70)*($BT474=$CX$13:$CX$70)*($CE474=$CY$13:$CY$70)*($BY474=$DA$13:$DA$70)*($CD474=$DH$13:$DH$70),0)),""))</f>
        <v/>
      </c>
      <c r="DP474" s="58" t="e">
        <f t="shared" si="775"/>
        <v>#N/A</v>
      </c>
      <c r="FT474" s="58">
        <f t="shared" si="776"/>
        <v>0</v>
      </c>
      <c r="FW474" s="58">
        <f>IF(i_baseline_risk_from=2,'Effectiveness settings'!EW474,'Effectiveness settings'!FI474)</f>
        <v>0</v>
      </c>
      <c r="FX474" s="58">
        <f t="shared" si="777"/>
        <v>0</v>
      </c>
      <c r="FY474" s="58">
        <f t="shared" si="778"/>
        <v>0</v>
      </c>
      <c r="FZ474" s="58">
        <f t="shared" si="779"/>
        <v>0</v>
      </c>
      <c r="GA474" s="58">
        <f t="shared" si="780"/>
        <v>0</v>
      </c>
      <c r="GB474" s="58">
        <f t="shared" si="781"/>
        <v>0</v>
      </c>
      <c r="GC474" s="58">
        <f t="shared" si="782"/>
        <v>0</v>
      </c>
      <c r="GD474" s="58">
        <f t="shared" si="783"/>
        <v>0</v>
      </c>
      <c r="GE474" s="58">
        <f>IF(AND(dd_CheckMate214_TTD="Yes",'Effectiveness settings'!BU474=2,'Effectiveness settings'!BX474=2),"Apply HR to",GD474)</f>
        <v>0</v>
      </c>
      <c r="GF474" s="58">
        <f t="shared" si="784"/>
        <v>0</v>
      </c>
      <c r="GG474" s="58">
        <f t="shared" si="785"/>
        <v>0</v>
      </c>
      <c r="GH474" s="58">
        <f t="shared" si="786"/>
        <v>0</v>
      </c>
      <c r="GI474" s="58">
        <f t="shared" si="773"/>
        <v>0</v>
      </c>
      <c r="GK474" s="58">
        <f>IF(i_baseline_risk_from=2,'Effectiveness settings'!FA474,'Effectiveness settings'!FM474)</f>
        <v>0</v>
      </c>
      <c r="GL474" s="58">
        <f>IF(i_baseline_risk_from=2,'Effectiveness settings'!FB474,'Effectiveness settings'!FN474)</f>
        <v>0</v>
      </c>
      <c r="GM474" s="58">
        <f>IF(i_baseline_risk_from=2,'Effectiveness settings'!FC474,'Effectiveness settings'!FO474)</f>
        <v>0</v>
      </c>
      <c r="GN474" s="58">
        <f>IF(i_baseline_risk_from=2,'Effectiveness settings'!FD474,'Effectiveness settings'!FP474)</f>
        <v>0</v>
      </c>
      <c r="GQ474" s="58">
        <f t="shared" si="787"/>
        <v>0</v>
      </c>
      <c r="GR474" s="58">
        <f t="shared" si="788"/>
        <v>0</v>
      </c>
      <c r="GS474" s="58">
        <f t="shared" si="789"/>
        <v>0</v>
      </c>
      <c r="GT474" s="58">
        <f t="shared" si="790"/>
        <v>0</v>
      </c>
      <c r="GU474" s="58">
        <f>IF(AND(dd_CheckMate214_TTD="Yes",'Effectiveness settings'!BU474=2,'Effectiveness settings'!BX474=2),2,GT474)</f>
        <v>0</v>
      </c>
      <c r="GV474" s="58">
        <f t="shared" si="791"/>
        <v>0</v>
      </c>
      <c r="GW474" s="58">
        <f t="shared" si="792"/>
        <v>0</v>
      </c>
      <c r="GY474" s="58">
        <f>IF(AND(dd_CheckMate214_TTD="Yes",'Effectiveness settings'!BU474=2,'Effectiveness settings'!BX474=2),1,GN474)</f>
        <v>0</v>
      </c>
      <c r="GZ474" s="58">
        <f t="shared" si="793"/>
        <v>0</v>
      </c>
      <c r="HB474" s="58">
        <f t="shared" si="794"/>
        <v>0</v>
      </c>
      <c r="HD474" s="58">
        <f t="shared" si="768"/>
        <v>0</v>
      </c>
      <c r="HE474" s="58">
        <f t="shared" si="769"/>
        <v>0</v>
      </c>
      <c r="HF474" s="58">
        <f t="shared" si="770"/>
        <v>0</v>
      </c>
      <c r="HG474" s="58">
        <f t="shared" si="771"/>
        <v>0</v>
      </c>
      <c r="HH474" s="58">
        <f t="shared" si="772"/>
        <v>0</v>
      </c>
    </row>
    <row r="475" spans="69:216" ht="15.75" x14ac:dyDescent="0.25">
      <c r="BQ475" s="58">
        <f t="shared" si="774"/>
        <v>280</v>
      </c>
      <c r="BR475" s="61"/>
      <c r="BS475" s="61"/>
      <c r="BT475" s="17"/>
      <c r="BU475" s="17"/>
      <c r="BV475" s="17"/>
      <c r="BW475" s="17"/>
      <c r="BX475" s="61"/>
      <c r="BY475" s="531"/>
      <c r="BZ475" s="530"/>
      <c r="CA475" s="531"/>
      <c r="CB475" s="530"/>
      <c r="CC475" s="530"/>
      <c r="CD475" s="530"/>
      <c r="CE475" s="1295"/>
      <c r="CF475" s="1301"/>
      <c r="CG475" s="530"/>
      <c r="CH475" s="61"/>
      <c r="CI475" s="61"/>
      <c r="CJ475" s="61"/>
      <c r="DK475" s="58" t="str" cm="1">
        <f t="array" ref="DK475">IF(AND($BT475=4,$BX475=4,$BU475=999),$DB$36,_xlfn.IFNA(INDEX(DB$13:DB$70,MATCH(1,($BR475=$CV$13:$CV$70)*($BT475=$CX$13:$CX$70)*($CE475=$CY$13:$CY$70)*($BY475=$DA$13:$DA$70)*($CD475=$DH$13:$DH$70),0)),""))</f>
        <v/>
      </c>
      <c r="DL475" s="58" t="str" cm="1">
        <f t="array" ref="DL475">IF(AND($BT475=4,$BX475=4,$BU475=999),$DC$36,_xlfn.IFNA(INDEX(CHOOSE(DP475,DB$13:DB$70,DC$13:DC$70,DD$13:DD$70,DE$13:DE$70),MATCH(1,($BR475=$CV$13:$CV$70)*($BT475=$CX$13:$CX$70)*($CE475=$CY$13:$CY$70)*($BY475=$DA$13:$DA$70)*($CD475=$DH$13:$DH$70),0)),""))</f>
        <v/>
      </c>
      <c r="DM475" s="740" t="str" cm="1">
        <f t="array" ref="DM475">IF(AND($BT475=4,$BX475=4,$BU475=999),$DD$36,_xlfn.IFNA(INDEX(DD$13:DD$68,MATCH(1,($BR475=$CV$13:$CV$68)*($BT475=$CX$13:$CX$68)*($CE475=$CY$13:$CY$68)*($BY475=$DA$13:$DA$68)*($CD475=$DH$13:$DH$68),0)),""))</f>
        <v/>
      </c>
      <c r="DN475" s="740" t="str" cm="1">
        <f t="array" ref="DN475">IF(AND($BT475=4,$BX475=4,$BU475=999),$DD$36,_xlfn.IFNA(INDEX(DE$13:DE$68,MATCH(1,($BR475=$CV$13:$CV$68)*($BT475=$CX$13:$CX$68)*($CE475=$CY$13:$CY$68)*($BY475=$DA$13:$DA$68)*($CD475=$DH$13:$DH$68),0)),""))</f>
        <v/>
      </c>
      <c r="DO475" s="58" t="str" cm="1">
        <f t="array" ref="DO475">IF(AND($BT475=4,$BX475=4,$BU475=999),$DF$36,_xlfn.IFNA(INDEX(DF$13:DF$70,MATCH(1,($BR475=$CV$13:$CV$70)*($BT475=$CX$13:$CX$70)*($CE475=$CY$13:$CY$70)*($BY475=$DA$13:$DA$70)*($CD475=$DH$13:$DH$70),0)),""))</f>
        <v/>
      </c>
      <c r="DP475" s="58" t="e">
        <f t="shared" si="775"/>
        <v>#N/A</v>
      </c>
      <c r="FT475" s="58">
        <f t="shared" si="776"/>
        <v>0</v>
      </c>
      <c r="FW475" s="58">
        <f>IF(i_baseline_risk_from=2,'Effectiveness settings'!EW475,'Effectiveness settings'!FI475)</f>
        <v>0</v>
      </c>
      <c r="FX475" s="58">
        <f t="shared" si="777"/>
        <v>0</v>
      </c>
      <c r="FY475" s="58">
        <f t="shared" si="778"/>
        <v>0</v>
      </c>
      <c r="FZ475" s="58">
        <f t="shared" si="779"/>
        <v>0</v>
      </c>
      <c r="GA475" s="58">
        <f t="shared" si="780"/>
        <v>0</v>
      </c>
      <c r="GB475" s="58">
        <f t="shared" si="781"/>
        <v>0</v>
      </c>
      <c r="GC475" s="58">
        <f t="shared" si="782"/>
        <v>0</v>
      </c>
      <c r="GD475" s="58">
        <f t="shared" si="783"/>
        <v>0</v>
      </c>
      <c r="GE475" s="58">
        <f>IF(AND(dd_CheckMate214_TTD="Yes",'Effectiveness settings'!BU475=2,'Effectiveness settings'!BX475=2),"Apply HR to",GD475)</f>
        <v>0</v>
      </c>
      <c r="GF475" s="58">
        <f t="shared" si="784"/>
        <v>0</v>
      </c>
      <c r="GG475" s="58">
        <f t="shared" si="785"/>
        <v>0</v>
      </c>
      <c r="GH475" s="58">
        <f t="shared" si="786"/>
        <v>0</v>
      </c>
      <c r="GI475" s="58">
        <f t="shared" si="773"/>
        <v>0</v>
      </c>
      <c r="GK475" s="58">
        <f>IF(i_baseline_risk_from=2,'Effectiveness settings'!FA475,'Effectiveness settings'!FM475)</f>
        <v>0</v>
      </c>
      <c r="GL475" s="58">
        <f>IF(i_baseline_risk_from=2,'Effectiveness settings'!FB475,'Effectiveness settings'!FN475)</f>
        <v>0</v>
      </c>
      <c r="GM475" s="58">
        <f>IF(i_baseline_risk_from=2,'Effectiveness settings'!FC475,'Effectiveness settings'!FO475)</f>
        <v>0</v>
      </c>
      <c r="GN475" s="58">
        <f>IF(i_baseline_risk_from=2,'Effectiveness settings'!FD475,'Effectiveness settings'!FP475)</f>
        <v>0</v>
      </c>
      <c r="GQ475" s="58">
        <f t="shared" si="787"/>
        <v>0</v>
      </c>
      <c r="GR475" s="58">
        <f t="shared" si="788"/>
        <v>0</v>
      </c>
      <c r="GS475" s="58">
        <f t="shared" si="789"/>
        <v>0</v>
      </c>
      <c r="GT475" s="58">
        <f t="shared" si="790"/>
        <v>0</v>
      </c>
      <c r="GU475" s="58">
        <f>IF(AND(dd_CheckMate214_TTD="Yes",'Effectiveness settings'!BU475=2,'Effectiveness settings'!BX475=2),2,GT475)</f>
        <v>0</v>
      </c>
      <c r="GV475" s="58">
        <f t="shared" si="791"/>
        <v>0</v>
      </c>
      <c r="GW475" s="58">
        <f t="shared" si="792"/>
        <v>0</v>
      </c>
      <c r="GY475" s="58">
        <f>IF(AND(dd_CheckMate214_TTD="Yes",'Effectiveness settings'!BU475=2,'Effectiveness settings'!BX475=2),1,GN475)</f>
        <v>0</v>
      </c>
      <c r="GZ475" s="58">
        <f t="shared" si="793"/>
        <v>0</v>
      </c>
      <c r="HB475" s="58">
        <f t="shared" si="794"/>
        <v>0</v>
      </c>
      <c r="HD475" s="58">
        <f t="shared" si="768"/>
        <v>0</v>
      </c>
      <c r="HE475" s="58">
        <f t="shared" si="769"/>
        <v>0</v>
      </c>
      <c r="HF475" s="58">
        <f t="shared" si="770"/>
        <v>0</v>
      </c>
      <c r="HG475" s="58">
        <f t="shared" si="771"/>
        <v>0</v>
      </c>
      <c r="HH475" s="58">
        <f t="shared" si="772"/>
        <v>0</v>
      </c>
    </row>
    <row r="476" spans="69:216" ht="15.75" x14ac:dyDescent="0.25">
      <c r="BQ476" s="58">
        <f t="shared" si="774"/>
        <v>280</v>
      </c>
      <c r="BR476" s="61"/>
      <c r="BS476" s="61"/>
      <c r="BT476" s="17"/>
      <c r="BU476" s="17"/>
      <c r="BV476" s="17"/>
      <c r="BW476" s="17"/>
      <c r="BX476" s="61"/>
      <c r="BY476" s="531"/>
      <c r="BZ476" s="530"/>
      <c r="CA476" s="531"/>
      <c r="CB476" s="530"/>
      <c r="CC476" s="530"/>
      <c r="CD476" s="530"/>
      <c r="CE476" s="1295"/>
      <c r="CF476" s="1301"/>
      <c r="CG476" s="530"/>
      <c r="CH476" s="61"/>
      <c r="CI476" s="61"/>
      <c r="CJ476" s="61"/>
      <c r="DK476" s="58" t="str" cm="1">
        <f t="array" ref="DK476">IF(AND($BT476=4,$BX476=4,$BU476=999),$DB$36,_xlfn.IFNA(INDEX(DB$13:DB$70,MATCH(1,($BR476=$CV$13:$CV$70)*($BT476=$CX$13:$CX$70)*($CE476=$CY$13:$CY$70)*($BY476=$DA$13:$DA$70)*($CD476=$DH$13:$DH$70),0)),""))</f>
        <v/>
      </c>
      <c r="DL476" s="58" t="str" cm="1">
        <f t="array" ref="DL476">IF(AND($BT476=4,$BX476=4,$BU476=999),$DC$36,_xlfn.IFNA(INDEX(CHOOSE(DP476,DB$13:DB$70,DC$13:DC$70,DD$13:DD$70,DE$13:DE$70),MATCH(1,($BR476=$CV$13:$CV$70)*($BT476=$CX$13:$CX$70)*($CE476=$CY$13:$CY$70)*($BY476=$DA$13:$DA$70)*($CD476=$DH$13:$DH$70),0)),""))</f>
        <v/>
      </c>
      <c r="DM476" s="740" t="str" cm="1">
        <f t="array" ref="DM476">IF(AND($BT476=4,$BX476=4,$BU476=999),$DD$36,_xlfn.IFNA(INDEX(DD$13:DD$68,MATCH(1,($BR476=$CV$13:$CV$68)*($BT476=$CX$13:$CX$68)*($CE476=$CY$13:$CY$68)*($BY476=$DA$13:$DA$68)*($CD476=$DH$13:$DH$68),0)),""))</f>
        <v/>
      </c>
      <c r="DN476" s="740" t="str" cm="1">
        <f t="array" ref="DN476">IF(AND($BT476=4,$BX476=4,$BU476=999),$DD$36,_xlfn.IFNA(INDEX(DE$13:DE$68,MATCH(1,($BR476=$CV$13:$CV$68)*($BT476=$CX$13:$CX$68)*($CE476=$CY$13:$CY$68)*($BY476=$DA$13:$DA$68)*($CD476=$DH$13:$DH$68),0)),""))</f>
        <v/>
      </c>
      <c r="DO476" s="58" t="str" cm="1">
        <f t="array" ref="DO476">IF(AND($BT476=4,$BX476=4,$BU476=999),$DF$36,_xlfn.IFNA(INDEX(DF$13:DF$70,MATCH(1,($BR476=$CV$13:$CV$70)*($BT476=$CX$13:$CX$70)*($CE476=$CY$13:$CY$70)*($BY476=$DA$13:$DA$70)*($CD476=$DH$13:$DH$70),0)),""))</f>
        <v/>
      </c>
      <c r="DP476" s="58" t="e">
        <f t="shared" si="775"/>
        <v>#N/A</v>
      </c>
      <c r="FT476" s="58">
        <f t="shared" si="776"/>
        <v>0</v>
      </c>
      <c r="FW476" s="58">
        <f>IF(i_baseline_risk_from=2,'Effectiveness settings'!EW476,'Effectiveness settings'!FI476)</f>
        <v>0</v>
      </c>
      <c r="FX476" s="58">
        <f t="shared" si="777"/>
        <v>0</v>
      </c>
      <c r="FY476" s="58">
        <f t="shared" si="778"/>
        <v>0</v>
      </c>
      <c r="FZ476" s="58">
        <f t="shared" si="779"/>
        <v>0</v>
      </c>
      <c r="GA476" s="58">
        <f t="shared" si="780"/>
        <v>0</v>
      </c>
      <c r="GB476" s="58">
        <f t="shared" si="781"/>
        <v>0</v>
      </c>
      <c r="GC476" s="58">
        <f t="shared" si="782"/>
        <v>0</v>
      </c>
      <c r="GD476" s="58">
        <f t="shared" si="783"/>
        <v>0</v>
      </c>
      <c r="GE476" s="58">
        <f>IF(AND(dd_CheckMate214_TTD="Yes",'Effectiveness settings'!BU476=2,'Effectiveness settings'!BX476=2),"Apply HR to",GD476)</f>
        <v>0</v>
      </c>
      <c r="GF476" s="58">
        <f t="shared" si="784"/>
        <v>0</v>
      </c>
      <c r="GG476" s="58">
        <f t="shared" si="785"/>
        <v>0</v>
      </c>
      <c r="GH476" s="58">
        <f t="shared" si="786"/>
        <v>0</v>
      </c>
      <c r="GI476" s="58">
        <f t="shared" si="773"/>
        <v>0</v>
      </c>
      <c r="GK476" s="58">
        <f>IF(i_baseline_risk_from=2,'Effectiveness settings'!FA476,'Effectiveness settings'!FM476)</f>
        <v>0</v>
      </c>
      <c r="GL476" s="58">
        <f>IF(i_baseline_risk_from=2,'Effectiveness settings'!FB476,'Effectiveness settings'!FN476)</f>
        <v>0</v>
      </c>
      <c r="GM476" s="58">
        <f>IF(i_baseline_risk_from=2,'Effectiveness settings'!FC476,'Effectiveness settings'!FO476)</f>
        <v>0</v>
      </c>
      <c r="GN476" s="58">
        <f>IF(i_baseline_risk_from=2,'Effectiveness settings'!FD476,'Effectiveness settings'!FP476)</f>
        <v>0</v>
      </c>
      <c r="GQ476" s="58">
        <f t="shared" si="787"/>
        <v>0</v>
      </c>
      <c r="GR476" s="58">
        <f t="shared" si="788"/>
        <v>0</v>
      </c>
      <c r="GS476" s="58">
        <f t="shared" si="789"/>
        <v>0</v>
      </c>
      <c r="GT476" s="58">
        <f t="shared" si="790"/>
        <v>0</v>
      </c>
      <c r="GU476" s="58">
        <f>IF(AND(dd_CheckMate214_TTD="Yes",'Effectiveness settings'!BU476=2,'Effectiveness settings'!BX476=2),2,GT476)</f>
        <v>0</v>
      </c>
      <c r="GV476" s="58">
        <f t="shared" si="791"/>
        <v>0</v>
      </c>
      <c r="GW476" s="58">
        <f t="shared" si="792"/>
        <v>0</v>
      </c>
      <c r="GY476" s="58">
        <f>IF(AND(dd_CheckMate214_TTD="Yes",'Effectiveness settings'!BU476=2,'Effectiveness settings'!BX476=2),1,GN476)</f>
        <v>0</v>
      </c>
      <c r="GZ476" s="58">
        <f t="shared" si="793"/>
        <v>0</v>
      </c>
      <c r="HB476" s="58">
        <f t="shared" si="794"/>
        <v>0</v>
      </c>
      <c r="HD476" s="58">
        <f t="shared" si="768"/>
        <v>0</v>
      </c>
      <c r="HE476" s="58">
        <f t="shared" si="769"/>
        <v>0</v>
      </c>
      <c r="HF476" s="58">
        <f t="shared" si="770"/>
        <v>0</v>
      </c>
      <c r="HG476" s="58">
        <f t="shared" si="771"/>
        <v>0</v>
      </c>
      <c r="HH476" s="58">
        <f t="shared" si="772"/>
        <v>0</v>
      </c>
    </row>
    <row r="477" spans="69:216" ht="15.75" x14ac:dyDescent="0.25">
      <c r="BQ477" s="58">
        <f t="shared" si="774"/>
        <v>280</v>
      </c>
      <c r="BR477" s="61"/>
      <c r="BS477" s="61"/>
      <c r="BT477" s="17"/>
      <c r="BU477" s="17"/>
      <c r="BV477" s="17"/>
      <c r="BW477" s="17"/>
      <c r="BX477" s="61"/>
      <c r="BY477" s="531"/>
      <c r="BZ477" s="530"/>
      <c r="CA477" s="531"/>
      <c r="CB477" s="530"/>
      <c r="CC477" s="530"/>
      <c r="CD477" s="530"/>
      <c r="CE477" s="1295"/>
      <c r="CF477" s="1301"/>
      <c r="CG477" s="530"/>
      <c r="CH477" s="61"/>
      <c r="CI477" s="61"/>
      <c r="CJ477" s="61"/>
      <c r="DK477" s="58" t="str" cm="1">
        <f t="array" ref="DK477">IF(AND($BT477=4,$BX477=4,$BU477=999),$DB$36,_xlfn.IFNA(INDEX(DB$13:DB$70,MATCH(1,($BR477=$CV$13:$CV$70)*($BT477=$CX$13:$CX$70)*($CE477=$CY$13:$CY$70)*($BY477=$DA$13:$DA$70)*($CD477=$DH$13:$DH$70),0)),""))</f>
        <v/>
      </c>
      <c r="DL477" s="58" t="str" cm="1">
        <f t="array" ref="DL477">IF(AND($BT477=4,$BX477=4,$BU477=999),$DC$36,_xlfn.IFNA(INDEX(CHOOSE(DP477,DB$13:DB$70,DC$13:DC$70,DD$13:DD$70,DE$13:DE$70),MATCH(1,($BR477=$CV$13:$CV$70)*($BT477=$CX$13:$CX$70)*($CE477=$CY$13:$CY$70)*($BY477=$DA$13:$DA$70)*($CD477=$DH$13:$DH$70),0)),""))</f>
        <v/>
      </c>
      <c r="DM477" s="740" t="str" cm="1">
        <f t="array" ref="DM477">IF(AND($BT477=4,$BX477=4,$BU477=999),$DD$36,_xlfn.IFNA(INDEX(DD$13:DD$68,MATCH(1,($BR477=$CV$13:$CV$68)*($BT477=$CX$13:$CX$68)*($CE477=$CY$13:$CY$68)*($BY477=$DA$13:$DA$68)*($CD477=$DH$13:$DH$68),0)),""))</f>
        <v/>
      </c>
      <c r="DN477" s="740" t="str" cm="1">
        <f t="array" ref="DN477">IF(AND($BT477=4,$BX477=4,$BU477=999),$DD$36,_xlfn.IFNA(INDEX(DE$13:DE$68,MATCH(1,($BR477=$CV$13:$CV$68)*($BT477=$CX$13:$CX$68)*($CE477=$CY$13:$CY$68)*($BY477=$DA$13:$DA$68)*($CD477=$DH$13:$DH$68),0)),""))</f>
        <v/>
      </c>
      <c r="DO477" s="58" t="str" cm="1">
        <f t="array" ref="DO477">IF(AND($BT477=4,$BX477=4,$BU477=999),$DF$36,_xlfn.IFNA(INDEX(DF$13:DF$70,MATCH(1,($BR477=$CV$13:$CV$70)*($BT477=$CX$13:$CX$70)*($CE477=$CY$13:$CY$70)*($BY477=$DA$13:$DA$70)*($CD477=$DH$13:$DH$70),0)),""))</f>
        <v/>
      </c>
      <c r="DP477" s="58" t="e">
        <f t="shared" si="775"/>
        <v>#N/A</v>
      </c>
      <c r="FT477" s="58">
        <f t="shared" si="776"/>
        <v>0</v>
      </c>
      <c r="FW477" s="58">
        <f>IF(i_baseline_risk_from=2,'Effectiveness settings'!EW477,'Effectiveness settings'!FI477)</f>
        <v>0</v>
      </c>
      <c r="FX477" s="58">
        <f t="shared" si="777"/>
        <v>0</v>
      </c>
      <c r="FY477" s="58">
        <f t="shared" si="778"/>
        <v>0</v>
      </c>
      <c r="FZ477" s="58">
        <f t="shared" si="779"/>
        <v>0</v>
      </c>
      <c r="GA477" s="58">
        <f t="shared" si="780"/>
        <v>0</v>
      </c>
      <c r="GB477" s="58">
        <f t="shared" si="781"/>
        <v>0</v>
      </c>
      <c r="GC477" s="58">
        <f t="shared" si="782"/>
        <v>0</v>
      </c>
      <c r="GD477" s="58">
        <f t="shared" si="783"/>
        <v>0</v>
      </c>
      <c r="GE477" s="58">
        <f>IF(AND(dd_CheckMate214_TTD="Yes",'Effectiveness settings'!BU477=2,'Effectiveness settings'!BX477=2),"Apply HR to",GD477)</f>
        <v>0</v>
      </c>
      <c r="GF477" s="58">
        <f t="shared" si="784"/>
        <v>0</v>
      </c>
      <c r="GG477" s="58">
        <f t="shared" si="785"/>
        <v>0</v>
      </c>
      <c r="GH477" s="58">
        <f t="shared" si="786"/>
        <v>0</v>
      </c>
      <c r="GI477" s="58">
        <f t="shared" si="773"/>
        <v>0</v>
      </c>
      <c r="GK477" s="58">
        <f>IF(i_baseline_risk_from=2,'Effectiveness settings'!FA477,'Effectiveness settings'!FM477)</f>
        <v>0</v>
      </c>
      <c r="GL477" s="58">
        <f>IF(i_baseline_risk_from=2,'Effectiveness settings'!FB477,'Effectiveness settings'!FN477)</f>
        <v>0</v>
      </c>
      <c r="GM477" s="58">
        <f>IF(i_baseline_risk_from=2,'Effectiveness settings'!FC477,'Effectiveness settings'!FO477)</f>
        <v>0</v>
      </c>
      <c r="GN477" s="58">
        <f>IF(i_baseline_risk_from=2,'Effectiveness settings'!FD477,'Effectiveness settings'!FP477)</f>
        <v>0</v>
      </c>
      <c r="GQ477" s="58">
        <f t="shared" si="787"/>
        <v>0</v>
      </c>
      <c r="GR477" s="58">
        <f t="shared" si="788"/>
        <v>0</v>
      </c>
      <c r="GS477" s="58">
        <f t="shared" si="789"/>
        <v>0</v>
      </c>
      <c r="GT477" s="58">
        <f t="shared" si="790"/>
        <v>0</v>
      </c>
      <c r="GU477" s="58">
        <f>IF(AND(dd_CheckMate214_TTD="Yes",'Effectiveness settings'!BU477=2,'Effectiveness settings'!BX477=2),2,GT477)</f>
        <v>0</v>
      </c>
      <c r="GV477" s="58">
        <f t="shared" si="791"/>
        <v>0</v>
      </c>
      <c r="GW477" s="58">
        <f t="shared" si="792"/>
        <v>0</v>
      </c>
      <c r="GY477" s="58">
        <f>IF(AND(dd_CheckMate214_TTD="Yes",'Effectiveness settings'!BU477=2,'Effectiveness settings'!BX477=2),1,GN477)</f>
        <v>0</v>
      </c>
      <c r="GZ477" s="58">
        <f t="shared" si="793"/>
        <v>0</v>
      </c>
      <c r="HB477" s="58">
        <f t="shared" si="794"/>
        <v>0</v>
      </c>
      <c r="HD477" s="58">
        <f t="shared" si="768"/>
        <v>0</v>
      </c>
      <c r="HE477" s="58">
        <f t="shared" si="769"/>
        <v>0</v>
      </c>
      <c r="HF477" s="58">
        <f t="shared" si="770"/>
        <v>0</v>
      </c>
      <c r="HG477" s="58">
        <f t="shared" si="771"/>
        <v>0</v>
      </c>
      <c r="HH477" s="58">
        <f t="shared" si="772"/>
        <v>0</v>
      </c>
    </row>
    <row r="478" spans="69:216" ht="15.75" x14ac:dyDescent="0.25">
      <c r="BQ478" s="58">
        <f t="shared" si="774"/>
        <v>280</v>
      </c>
      <c r="BR478" s="61"/>
      <c r="BS478" s="61"/>
      <c r="BT478" s="17"/>
      <c r="BU478" s="17"/>
      <c r="BV478" s="17"/>
      <c r="BW478" s="17"/>
      <c r="BX478" s="61"/>
      <c r="BY478" s="531"/>
      <c r="BZ478" s="530"/>
      <c r="CA478" s="531"/>
      <c r="CB478" s="530"/>
      <c r="CC478" s="530"/>
      <c r="CD478" s="530"/>
      <c r="CE478" s="1295"/>
      <c r="CF478" s="1301"/>
      <c r="CG478" s="530"/>
      <c r="CH478" s="61"/>
      <c r="CI478" s="61"/>
      <c r="CJ478" s="61"/>
      <c r="DK478" s="58" t="str" cm="1">
        <f t="array" ref="DK478">IF(AND($BT478=4,$BX478=4,$BU478=999),$DB$36,_xlfn.IFNA(INDEX(DB$13:DB$70,MATCH(1,($BR478=$CV$13:$CV$70)*($BT478=$CX$13:$CX$70)*($CE478=$CY$13:$CY$70)*($BY478=$DA$13:$DA$70)*($CD478=$DH$13:$DH$70),0)),""))</f>
        <v/>
      </c>
      <c r="DL478" s="58" t="str" cm="1">
        <f t="array" ref="DL478">IF(AND($BT478=4,$BX478=4,$BU478=999),$DC$36,_xlfn.IFNA(INDEX(CHOOSE(DP478,DB$13:DB$70,DC$13:DC$70,DD$13:DD$70,DE$13:DE$70),MATCH(1,($BR478=$CV$13:$CV$70)*($BT478=$CX$13:$CX$70)*($CE478=$CY$13:$CY$70)*($BY478=$DA$13:$DA$70)*($CD478=$DH$13:$DH$70),0)),""))</f>
        <v/>
      </c>
      <c r="DM478" s="740" t="str" cm="1">
        <f t="array" ref="DM478">IF(AND($BT478=4,$BX478=4,$BU478=999),$DD$36,_xlfn.IFNA(INDEX(DD$13:DD$68,MATCH(1,($BR478=$CV$13:$CV$68)*($BT478=$CX$13:$CX$68)*($CE478=$CY$13:$CY$68)*($BY478=$DA$13:$DA$68)*($CD478=$DH$13:$DH$68),0)),""))</f>
        <v/>
      </c>
      <c r="DN478" s="740" t="str" cm="1">
        <f t="array" ref="DN478">IF(AND($BT478=4,$BX478=4,$BU478=999),$DD$36,_xlfn.IFNA(INDEX(DE$13:DE$68,MATCH(1,($BR478=$CV$13:$CV$68)*($BT478=$CX$13:$CX$68)*($CE478=$CY$13:$CY$68)*($BY478=$DA$13:$DA$68)*($CD478=$DH$13:$DH$68),0)),""))</f>
        <v/>
      </c>
      <c r="DO478" s="58" t="str" cm="1">
        <f t="array" ref="DO478">IF(AND($BT478=4,$BX478=4,$BU478=999),$DF$36,_xlfn.IFNA(INDEX(DF$13:DF$70,MATCH(1,($BR478=$CV$13:$CV$70)*($BT478=$CX$13:$CX$70)*($CE478=$CY$13:$CY$70)*($BY478=$DA$13:$DA$70)*($CD478=$DH$13:$DH$70),0)),""))</f>
        <v/>
      </c>
      <c r="DP478" s="58" t="e">
        <f t="shared" si="775"/>
        <v>#N/A</v>
      </c>
      <c r="FT478" s="58">
        <f t="shared" si="776"/>
        <v>0</v>
      </c>
      <c r="FW478" s="58">
        <f>IF(i_baseline_risk_from=2,'Effectiveness settings'!EW478,'Effectiveness settings'!FI478)</f>
        <v>0</v>
      </c>
      <c r="FX478" s="58">
        <f t="shared" si="777"/>
        <v>0</v>
      </c>
      <c r="FY478" s="58">
        <f t="shared" si="778"/>
        <v>0</v>
      </c>
      <c r="FZ478" s="58">
        <f t="shared" si="779"/>
        <v>0</v>
      </c>
      <c r="GA478" s="58">
        <f t="shared" si="780"/>
        <v>0</v>
      </c>
      <c r="GB478" s="58">
        <f t="shared" si="781"/>
        <v>0</v>
      </c>
      <c r="GC478" s="58">
        <f t="shared" si="782"/>
        <v>0</v>
      </c>
      <c r="GD478" s="58">
        <f t="shared" si="783"/>
        <v>0</v>
      </c>
      <c r="GE478" s="58">
        <f>IF(AND(dd_CheckMate214_TTD="Yes",'Effectiveness settings'!BU478=2,'Effectiveness settings'!BX478=2),"Apply HR to",GD478)</f>
        <v>0</v>
      </c>
      <c r="GF478" s="58">
        <f t="shared" si="784"/>
        <v>0</v>
      </c>
      <c r="GG478" s="58">
        <f t="shared" si="785"/>
        <v>0</v>
      </c>
      <c r="GH478" s="58">
        <f t="shared" si="786"/>
        <v>0</v>
      </c>
      <c r="GI478" s="58">
        <f t="shared" si="773"/>
        <v>0</v>
      </c>
      <c r="GK478" s="58">
        <f>IF(i_baseline_risk_from=2,'Effectiveness settings'!FA478,'Effectiveness settings'!FM478)</f>
        <v>0</v>
      </c>
      <c r="GL478" s="58">
        <f>IF(i_baseline_risk_from=2,'Effectiveness settings'!FB478,'Effectiveness settings'!FN478)</f>
        <v>0</v>
      </c>
      <c r="GM478" s="58">
        <f>IF(i_baseline_risk_from=2,'Effectiveness settings'!FC478,'Effectiveness settings'!FO478)</f>
        <v>0</v>
      </c>
      <c r="GN478" s="58">
        <f>IF(i_baseline_risk_from=2,'Effectiveness settings'!FD478,'Effectiveness settings'!FP478)</f>
        <v>0</v>
      </c>
      <c r="GQ478" s="58">
        <f t="shared" si="787"/>
        <v>0</v>
      </c>
      <c r="GR478" s="58">
        <f t="shared" si="788"/>
        <v>0</v>
      </c>
      <c r="GS478" s="58">
        <f t="shared" si="789"/>
        <v>0</v>
      </c>
      <c r="GT478" s="58">
        <f t="shared" si="790"/>
        <v>0</v>
      </c>
      <c r="GU478" s="58">
        <f>IF(AND(dd_CheckMate214_TTD="Yes",'Effectiveness settings'!BU478=2,'Effectiveness settings'!BX478=2),2,GT478)</f>
        <v>0</v>
      </c>
      <c r="GV478" s="58">
        <f t="shared" si="791"/>
        <v>0</v>
      </c>
      <c r="GW478" s="58">
        <f t="shared" si="792"/>
        <v>0</v>
      </c>
      <c r="GY478" s="58">
        <f>IF(AND(dd_CheckMate214_TTD="Yes",'Effectiveness settings'!BU478=2,'Effectiveness settings'!BX478=2),1,GN478)</f>
        <v>0</v>
      </c>
      <c r="GZ478" s="58">
        <f t="shared" si="793"/>
        <v>0</v>
      </c>
      <c r="HB478" s="58">
        <f t="shared" si="794"/>
        <v>0</v>
      </c>
      <c r="HD478" s="58">
        <f t="shared" si="768"/>
        <v>0</v>
      </c>
      <c r="HE478" s="58">
        <f t="shared" si="769"/>
        <v>0</v>
      </c>
      <c r="HF478" s="58">
        <f t="shared" si="770"/>
        <v>0</v>
      </c>
      <c r="HG478" s="58">
        <f t="shared" si="771"/>
        <v>0</v>
      </c>
      <c r="HH478" s="58">
        <f t="shared" si="772"/>
        <v>0</v>
      </c>
    </row>
    <row r="479" spans="69:216" ht="15.75" x14ac:dyDescent="0.25">
      <c r="BQ479" s="58">
        <f t="shared" si="774"/>
        <v>280</v>
      </c>
      <c r="BR479" s="61"/>
      <c r="BS479" s="61"/>
      <c r="BT479" s="17"/>
      <c r="BU479" s="17"/>
      <c r="BV479" s="17"/>
      <c r="BW479" s="17"/>
      <c r="BX479" s="61"/>
      <c r="BY479" s="531"/>
      <c r="BZ479" s="530"/>
      <c r="CA479" s="531"/>
      <c r="CB479" s="530"/>
      <c r="CC479" s="530"/>
      <c r="CD479" s="530"/>
      <c r="CE479" s="1295"/>
      <c r="CF479" s="1301"/>
      <c r="CG479" s="530"/>
      <c r="CH479" s="61"/>
      <c r="CI479" s="61"/>
      <c r="CJ479" s="61"/>
      <c r="DK479" s="58" t="str" cm="1">
        <f t="array" ref="DK479">IF(AND($BT479=4,$BX479=4,$BU479=999),$DB$36,_xlfn.IFNA(INDEX(DB$13:DB$70,MATCH(1,($BR479=$CV$13:$CV$70)*($BT479=$CX$13:$CX$70)*($CE479=$CY$13:$CY$70)*($BY479=$DA$13:$DA$70)*($CD479=$DH$13:$DH$70),0)),""))</f>
        <v/>
      </c>
      <c r="DL479" s="58" t="str" cm="1">
        <f t="array" ref="DL479">IF(AND($BT479=4,$BX479=4,$BU479=999),$DC$36,_xlfn.IFNA(INDEX(CHOOSE(DP479,DB$13:DB$70,DC$13:DC$70,DD$13:DD$70,DE$13:DE$70),MATCH(1,($BR479=$CV$13:$CV$70)*($BT479=$CX$13:$CX$70)*($CE479=$CY$13:$CY$70)*($BY479=$DA$13:$DA$70)*($CD479=$DH$13:$DH$70),0)),""))</f>
        <v/>
      </c>
      <c r="DM479" s="740" t="str" cm="1">
        <f t="array" ref="DM479">IF(AND($BT479=4,$BX479=4,$BU479=999),$DD$36,_xlfn.IFNA(INDEX(DD$13:DD$68,MATCH(1,($BR479=$CV$13:$CV$68)*($BT479=$CX$13:$CX$68)*($CE479=$CY$13:$CY$68)*($BY479=$DA$13:$DA$68)*($CD479=$DH$13:$DH$68),0)),""))</f>
        <v/>
      </c>
      <c r="DN479" s="740" t="str" cm="1">
        <f t="array" ref="DN479">IF(AND($BT479=4,$BX479=4,$BU479=999),$DD$36,_xlfn.IFNA(INDEX(DE$13:DE$68,MATCH(1,($BR479=$CV$13:$CV$68)*($BT479=$CX$13:$CX$68)*($CE479=$CY$13:$CY$68)*($BY479=$DA$13:$DA$68)*($CD479=$DH$13:$DH$68),0)),""))</f>
        <v/>
      </c>
      <c r="DO479" s="58" t="str" cm="1">
        <f t="array" ref="DO479">IF(AND($BT479=4,$BX479=4,$BU479=999),$DF$36,_xlfn.IFNA(INDEX(DF$13:DF$70,MATCH(1,($BR479=$CV$13:$CV$70)*($BT479=$CX$13:$CX$70)*($CE479=$CY$13:$CY$70)*($BY479=$DA$13:$DA$70)*($CD479=$DH$13:$DH$70),0)),""))</f>
        <v/>
      </c>
      <c r="DP479" s="58" t="e">
        <f t="shared" si="775"/>
        <v>#N/A</v>
      </c>
      <c r="FT479" s="58">
        <f t="shared" si="776"/>
        <v>0</v>
      </c>
      <c r="FW479" s="58">
        <f>IF(i_baseline_risk_from=2,'Effectiveness settings'!EW479,'Effectiveness settings'!FI479)</f>
        <v>0</v>
      </c>
      <c r="FX479" s="58">
        <f t="shared" si="777"/>
        <v>0</v>
      </c>
      <c r="FY479" s="58">
        <f t="shared" si="778"/>
        <v>0</v>
      </c>
      <c r="FZ479" s="58">
        <f t="shared" si="779"/>
        <v>0</v>
      </c>
      <c r="GA479" s="58">
        <f t="shared" si="780"/>
        <v>0</v>
      </c>
      <c r="GB479" s="58">
        <f t="shared" si="781"/>
        <v>0</v>
      </c>
      <c r="GC479" s="58">
        <f t="shared" si="782"/>
        <v>0</v>
      </c>
      <c r="GD479" s="58">
        <f t="shared" si="783"/>
        <v>0</v>
      </c>
      <c r="GE479" s="58">
        <f>IF(AND(dd_CheckMate214_TTD="Yes",'Effectiveness settings'!BU479=2,'Effectiveness settings'!BX479=2),"Apply HR to",GD479)</f>
        <v>0</v>
      </c>
      <c r="GF479" s="58">
        <f t="shared" si="784"/>
        <v>0</v>
      </c>
      <c r="GG479" s="58">
        <f t="shared" si="785"/>
        <v>0</v>
      </c>
      <c r="GH479" s="58">
        <f t="shared" si="786"/>
        <v>0</v>
      </c>
      <c r="GI479" s="58">
        <f t="shared" si="773"/>
        <v>0</v>
      </c>
      <c r="GK479" s="58">
        <f>IF(i_baseline_risk_from=2,'Effectiveness settings'!FA479,'Effectiveness settings'!FM479)</f>
        <v>0</v>
      </c>
      <c r="GL479" s="58">
        <f>IF(i_baseline_risk_from=2,'Effectiveness settings'!FB479,'Effectiveness settings'!FN479)</f>
        <v>0</v>
      </c>
      <c r="GM479" s="58">
        <f>IF(i_baseline_risk_from=2,'Effectiveness settings'!FC479,'Effectiveness settings'!FO479)</f>
        <v>0</v>
      </c>
      <c r="GN479" s="58">
        <f>IF(i_baseline_risk_from=2,'Effectiveness settings'!FD479,'Effectiveness settings'!FP479)</f>
        <v>0</v>
      </c>
      <c r="GQ479" s="58">
        <f t="shared" si="787"/>
        <v>0</v>
      </c>
      <c r="GR479" s="58">
        <f t="shared" si="788"/>
        <v>0</v>
      </c>
      <c r="GS479" s="58">
        <f t="shared" si="789"/>
        <v>0</v>
      </c>
      <c r="GT479" s="58">
        <f t="shared" si="790"/>
        <v>0</v>
      </c>
      <c r="GU479" s="58">
        <f>IF(AND(dd_CheckMate214_TTD="Yes",'Effectiveness settings'!BU479=2,'Effectiveness settings'!BX479=2),2,GT479)</f>
        <v>0</v>
      </c>
      <c r="GV479" s="58">
        <f t="shared" si="791"/>
        <v>0</v>
      </c>
      <c r="GW479" s="58">
        <f t="shared" si="792"/>
        <v>0</v>
      </c>
      <c r="GY479" s="58">
        <f>IF(AND(dd_CheckMate214_TTD="Yes",'Effectiveness settings'!BU479=2,'Effectiveness settings'!BX479=2),1,GN479)</f>
        <v>0</v>
      </c>
      <c r="GZ479" s="58">
        <f t="shared" si="793"/>
        <v>0</v>
      </c>
      <c r="HB479" s="58">
        <f t="shared" si="794"/>
        <v>0</v>
      </c>
      <c r="HD479" s="58">
        <f t="shared" si="768"/>
        <v>0</v>
      </c>
      <c r="HE479" s="58">
        <f t="shared" si="769"/>
        <v>0</v>
      </c>
      <c r="HF479" s="58">
        <f t="shared" si="770"/>
        <v>0</v>
      </c>
      <c r="HG479" s="58">
        <f t="shared" si="771"/>
        <v>0</v>
      </c>
      <c r="HH479" s="58">
        <f t="shared" si="772"/>
        <v>0</v>
      </c>
    </row>
    <row r="480" spans="69:216" ht="15.75" x14ac:dyDescent="0.25">
      <c r="BQ480" s="58">
        <f t="shared" si="774"/>
        <v>280</v>
      </c>
      <c r="BR480" s="61"/>
      <c r="BS480" s="61"/>
      <c r="BT480" s="17"/>
      <c r="BU480" s="17"/>
      <c r="BV480" s="17"/>
      <c r="BW480" s="17"/>
      <c r="BX480" s="61"/>
      <c r="BY480" s="531"/>
      <c r="BZ480" s="530"/>
      <c r="CA480" s="531"/>
      <c r="CB480" s="530"/>
      <c r="CC480" s="530"/>
      <c r="CD480" s="530"/>
      <c r="CE480" s="1295"/>
      <c r="CF480" s="1301"/>
      <c r="CG480" s="530"/>
      <c r="CH480" s="61"/>
      <c r="CI480" s="61"/>
      <c r="CJ480" s="61"/>
      <c r="DK480" s="58" t="str" cm="1">
        <f t="array" ref="DK480">IF(AND($BT480=4,$BX480=4,$BU480=999),$DB$36,_xlfn.IFNA(INDEX(DB$13:DB$70,MATCH(1,($BR480=$CV$13:$CV$70)*($BT480=$CX$13:$CX$70)*($CE480=$CY$13:$CY$70)*($BY480=$DA$13:$DA$70)*($CD480=$DH$13:$DH$70),0)),""))</f>
        <v/>
      </c>
      <c r="DL480" s="58" t="str" cm="1">
        <f t="array" ref="DL480">IF(AND($BT480=4,$BX480=4,$BU480=999),$DC$36,_xlfn.IFNA(INDEX(CHOOSE(DP480,DB$13:DB$70,DC$13:DC$70,DD$13:DD$70,DE$13:DE$70),MATCH(1,($BR480=$CV$13:$CV$70)*($BT480=$CX$13:$CX$70)*($CE480=$CY$13:$CY$70)*($BY480=$DA$13:$DA$70)*($CD480=$DH$13:$DH$70),0)),""))</f>
        <v/>
      </c>
      <c r="DM480" s="740" t="str" cm="1">
        <f t="array" ref="DM480">IF(AND($BT480=4,$BX480=4,$BU480=999),$DD$36,_xlfn.IFNA(INDEX(DD$13:DD$68,MATCH(1,($BR480=$CV$13:$CV$68)*($BT480=$CX$13:$CX$68)*($CE480=$CY$13:$CY$68)*($BY480=$DA$13:$DA$68)*($CD480=$DH$13:$DH$68),0)),""))</f>
        <v/>
      </c>
      <c r="DN480" s="740" t="str" cm="1">
        <f t="array" ref="DN480">IF(AND($BT480=4,$BX480=4,$BU480=999),$DD$36,_xlfn.IFNA(INDEX(DE$13:DE$68,MATCH(1,($BR480=$CV$13:$CV$68)*($BT480=$CX$13:$CX$68)*($CE480=$CY$13:$CY$68)*($BY480=$DA$13:$DA$68)*($CD480=$DH$13:$DH$68),0)),""))</f>
        <v/>
      </c>
      <c r="DO480" s="58" t="str" cm="1">
        <f t="array" ref="DO480">IF(AND($BT480=4,$BX480=4,$BU480=999),$DF$36,_xlfn.IFNA(INDEX(DF$13:DF$70,MATCH(1,($BR480=$CV$13:$CV$70)*($BT480=$CX$13:$CX$70)*($CE480=$CY$13:$CY$70)*($BY480=$DA$13:$DA$70)*($CD480=$DH$13:$DH$70),0)),""))</f>
        <v/>
      </c>
      <c r="DP480" s="58" t="e">
        <f t="shared" si="775"/>
        <v>#N/A</v>
      </c>
      <c r="FT480" s="58">
        <f t="shared" si="776"/>
        <v>0</v>
      </c>
      <c r="FW480" s="58">
        <f>IF(i_baseline_risk_from=2,'Effectiveness settings'!EW480,'Effectiveness settings'!FI480)</f>
        <v>0</v>
      </c>
      <c r="FX480" s="58">
        <f t="shared" si="777"/>
        <v>0</v>
      </c>
      <c r="FY480" s="58">
        <f t="shared" si="778"/>
        <v>0</v>
      </c>
      <c r="FZ480" s="58">
        <f t="shared" si="779"/>
        <v>0</v>
      </c>
      <c r="GA480" s="58">
        <f t="shared" si="780"/>
        <v>0</v>
      </c>
      <c r="GB480" s="58">
        <f t="shared" si="781"/>
        <v>0</v>
      </c>
      <c r="GC480" s="58">
        <f t="shared" si="782"/>
        <v>0</v>
      </c>
      <c r="GD480" s="58">
        <f t="shared" si="783"/>
        <v>0</v>
      </c>
      <c r="GE480" s="58">
        <f>IF(AND(dd_CheckMate214_TTD="Yes",'Effectiveness settings'!BU480=2,'Effectiveness settings'!BX480=2),"Apply HR to",GD480)</f>
        <v>0</v>
      </c>
      <c r="GF480" s="58">
        <f t="shared" si="784"/>
        <v>0</v>
      </c>
      <c r="GG480" s="58">
        <f t="shared" si="785"/>
        <v>0</v>
      </c>
      <c r="GH480" s="58">
        <f t="shared" si="786"/>
        <v>0</v>
      </c>
      <c r="GI480" s="58">
        <f t="shared" si="773"/>
        <v>0</v>
      </c>
      <c r="GK480" s="58">
        <f>IF(i_baseline_risk_from=2,'Effectiveness settings'!FA480,'Effectiveness settings'!FM480)</f>
        <v>0</v>
      </c>
      <c r="GL480" s="58">
        <f>IF(i_baseline_risk_from=2,'Effectiveness settings'!FB480,'Effectiveness settings'!FN480)</f>
        <v>0</v>
      </c>
      <c r="GM480" s="58">
        <f>IF(i_baseline_risk_from=2,'Effectiveness settings'!FC480,'Effectiveness settings'!FO480)</f>
        <v>0</v>
      </c>
      <c r="GN480" s="58">
        <f>IF(i_baseline_risk_from=2,'Effectiveness settings'!FD480,'Effectiveness settings'!FP480)</f>
        <v>0</v>
      </c>
      <c r="GQ480" s="58">
        <f t="shared" si="787"/>
        <v>0</v>
      </c>
      <c r="GR480" s="58">
        <f t="shared" si="788"/>
        <v>0</v>
      </c>
      <c r="GS480" s="58">
        <f t="shared" si="789"/>
        <v>0</v>
      </c>
      <c r="GT480" s="58">
        <f t="shared" si="790"/>
        <v>0</v>
      </c>
      <c r="GU480" s="58">
        <f>IF(AND(dd_CheckMate214_TTD="Yes",'Effectiveness settings'!BU480=2,'Effectiveness settings'!BX480=2),2,GT480)</f>
        <v>0</v>
      </c>
      <c r="GV480" s="58">
        <f t="shared" si="791"/>
        <v>0</v>
      </c>
      <c r="GW480" s="58">
        <f t="shared" si="792"/>
        <v>0</v>
      </c>
      <c r="GY480" s="58">
        <f>IF(AND(dd_CheckMate214_TTD="Yes",'Effectiveness settings'!BU480=2,'Effectiveness settings'!BX480=2),1,GN480)</f>
        <v>0</v>
      </c>
      <c r="GZ480" s="58">
        <f t="shared" si="793"/>
        <v>0</v>
      </c>
      <c r="HB480" s="58">
        <f t="shared" si="794"/>
        <v>0</v>
      </c>
      <c r="HD480" s="58">
        <f t="shared" si="768"/>
        <v>0</v>
      </c>
      <c r="HE480" s="58">
        <f t="shared" si="769"/>
        <v>0</v>
      </c>
      <c r="HF480" s="58">
        <f t="shared" si="770"/>
        <v>0</v>
      </c>
      <c r="HG480" s="58">
        <f t="shared" si="771"/>
        <v>0</v>
      </c>
      <c r="HH480" s="58">
        <f t="shared" si="772"/>
        <v>0</v>
      </c>
    </row>
    <row r="481" spans="69:216" ht="15.75" x14ac:dyDescent="0.25">
      <c r="BQ481" s="58">
        <f t="shared" si="774"/>
        <v>280</v>
      </c>
      <c r="BR481" s="61"/>
      <c r="BS481" s="61"/>
      <c r="BT481" s="17"/>
      <c r="BU481" s="17"/>
      <c r="BV481" s="17"/>
      <c r="BW481" s="17"/>
      <c r="BX481" s="61"/>
      <c r="BY481" s="531"/>
      <c r="BZ481" s="530"/>
      <c r="CA481" s="531"/>
      <c r="CB481" s="530"/>
      <c r="CC481" s="530"/>
      <c r="CD481" s="530"/>
      <c r="CE481" s="1295"/>
      <c r="CF481" s="1301"/>
      <c r="CG481" s="530"/>
      <c r="CH481" s="61"/>
      <c r="CI481" s="61"/>
      <c r="CJ481" s="61"/>
      <c r="DK481" s="58" t="str" cm="1">
        <f t="array" ref="DK481">IF(AND($BT481=4,$BX481=4,$BU481=999),$DB$36,_xlfn.IFNA(INDEX(DB$13:DB$70,MATCH(1,($BR481=$CV$13:$CV$70)*($BT481=$CX$13:$CX$70)*($CE481=$CY$13:$CY$70)*($BY481=$DA$13:$DA$70)*($CD481=$DH$13:$DH$70),0)),""))</f>
        <v/>
      </c>
      <c r="DL481" s="58" t="str" cm="1">
        <f t="array" ref="DL481">IF(AND($BT481=4,$BX481=4,$BU481=999),$DC$36,_xlfn.IFNA(INDEX(CHOOSE(DP481,DB$13:DB$70,DC$13:DC$70,DD$13:DD$70,DE$13:DE$70),MATCH(1,($BR481=$CV$13:$CV$70)*($BT481=$CX$13:$CX$70)*($CE481=$CY$13:$CY$70)*($BY481=$DA$13:$DA$70)*($CD481=$DH$13:$DH$70),0)),""))</f>
        <v/>
      </c>
      <c r="DM481" s="740" t="str" cm="1">
        <f t="array" ref="DM481">IF(AND($BT481=4,$BX481=4,$BU481=999),$DD$36,_xlfn.IFNA(INDEX(DD$13:DD$68,MATCH(1,($BR481=$CV$13:$CV$68)*($BT481=$CX$13:$CX$68)*($CE481=$CY$13:$CY$68)*($BY481=$DA$13:$DA$68)*($CD481=$DH$13:$DH$68),0)),""))</f>
        <v/>
      </c>
      <c r="DN481" s="740" t="str" cm="1">
        <f t="array" ref="DN481">IF(AND($BT481=4,$BX481=4,$BU481=999),$DD$36,_xlfn.IFNA(INDEX(DE$13:DE$68,MATCH(1,($BR481=$CV$13:$CV$68)*($BT481=$CX$13:$CX$68)*($CE481=$CY$13:$CY$68)*($BY481=$DA$13:$DA$68)*($CD481=$DH$13:$DH$68),0)),""))</f>
        <v/>
      </c>
      <c r="DO481" s="58" t="str" cm="1">
        <f t="array" ref="DO481">IF(AND($BT481=4,$BX481=4,$BU481=999),$DF$36,_xlfn.IFNA(INDEX(DF$13:DF$70,MATCH(1,($BR481=$CV$13:$CV$70)*($BT481=$CX$13:$CX$70)*($CE481=$CY$13:$CY$70)*($BY481=$DA$13:$DA$70)*($CD481=$DH$13:$DH$70),0)),""))</f>
        <v/>
      </c>
      <c r="DP481" s="58" t="e">
        <f t="shared" si="775"/>
        <v>#N/A</v>
      </c>
      <c r="FT481" s="58">
        <f t="shared" si="776"/>
        <v>0</v>
      </c>
      <c r="FW481" s="58">
        <f>IF(i_baseline_risk_from=2,'Effectiveness settings'!EW481,'Effectiveness settings'!FI481)</f>
        <v>0</v>
      </c>
      <c r="FX481" s="58">
        <f t="shared" si="777"/>
        <v>0</v>
      </c>
      <c r="FY481" s="58">
        <f t="shared" si="778"/>
        <v>0</v>
      </c>
      <c r="FZ481" s="58">
        <f t="shared" si="779"/>
        <v>0</v>
      </c>
      <c r="GA481" s="58">
        <f t="shared" si="780"/>
        <v>0</v>
      </c>
      <c r="GB481" s="58">
        <f t="shared" si="781"/>
        <v>0</v>
      </c>
      <c r="GC481" s="58">
        <f t="shared" si="782"/>
        <v>0</v>
      </c>
      <c r="GD481" s="58">
        <f t="shared" si="783"/>
        <v>0</v>
      </c>
      <c r="GE481" s="58">
        <f>IF(AND(dd_CheckMate214_TTD="Yes",'Effectiveness settings'!BU481=2,'Effectiveness settings'!BX481=2),"Apply HR to",GD481)</f>
        <v>0</v>
      </c>
      <c r="GF481" s="58">
        <f t="shared" si="784"/>
        <v>0</v>
      </c>
      <c r="GG481" s="58">
        <f t="shared" si="785"/>
        <v>0</v>
      </c>
      <c r="GH481" s="58">
        <f t="shared" si="786"/>
        <v>0</v>
      </c>
      <c r="GI481" s="58">
        <f t="shared" si="773"/>
        <v>0</v>
      </c>
      <c r="GK481" s="58">
        <f>IF(i_baseline_risk_from=2,'Effectiveness settings'!FA481,'Effectiveness settings'!FM481)</f>
        <v>0</v>
      </c>
      <c r="GL481" s="58">
        <f>IF(i_baseline_risk_from=2,'Effectiveness settings'!FB481,'Effectiveness settings'!FN481)</f>
        <v>0</v>
      </c>
      <c r="GM481" s="58">
        <f>IF(i_baseline_risk_from=2,'Effectiveness settings'!FC481,'Effectiveness settings'!FO481)</f>
        <v>0</v>
      </c>
      <c r="GN481" s="58">
        <f>IF(i_baseline_risk_from=2,'Effectiveness settings'!FD481,'Effectiveness settings'!FP481)</f>
        <v>0</v>
      </c>
      <c r="GQ481" s="58">
        <f t="shared" si="787"/>
        <v>0</v>
      </c>
      <c r="GR481" s="58">
        <f t="shared" si="788"/>
        <v>0</v>
      </c>
      <c r="GS481" s="58">
        <f t="shared" si="789"/>
        <v>0</v>
      </c>
      <c r="GT481" s="58">
        <f t="shared" si="790"/>
        <v>0</v>
      </c>
      <c r="GU481" s="58">
        <f>IF(AND(dd_CheckMate214_TTD="Yes",'Effectiveness settings'!BU481=2,'Effectiveness settings'!BX481=2),2,GT481)</f>
        <v>0</v>
      </c>
      <c r="GV481" s="58">
        <f t="shared" si="791"/>
        <v>0</v>
      </c>
      <c r="GW481" s="58">
        <f t="shared" si="792"/>
        <v>0</v>
      </c>
      <c r="GY481" s="58">
        <f>IF(AND(dd_CheckMate214_TTD="Yes",'Effectiveness settings'!BU481=2,'Effectiveness settings'!BX481=2),1,GN481)</f>
        <v>0</v>
      </c>
      <c r="GZ481" s="58">
        <f t="shared" si="793"/>
        <v>0</v>
      </c>
      <c r="HB481" s="58">
        <f t="shared" si="794"/>
        <v>0</v>
      </c>
      <c r="HD481" s="58">
        <f t="shared" si="768"/>
        <v>0</v>
      </c>
      <c r="HE481" s="58">
        <f t="shared" si="769"/>
        <v>0</v>
      </c>
      <c r="HF481" s="58">
        <f t="shared" si="770"/>
        <v>0</v>
      </c>
      <c r="HG481" s="58">
        <f t="shared" si="771"/>
        <v>0</v>
      </c>
      <c r="HH481" s="58">
        <f t="shared" si="772"/>
        <v>0</v>
      </c>
    </row>
    <row r="482" spans="69:216" ht="15.75" x14ac:dyDescent="0.25">
      <c r="BQ482" s="58">
        <f t="shared" si="774"/>
        <v>280</v>
      </c>
      <c r="BR482" s="61"/>
      <c r="BS482" s="61"/>
      <c r="BT482" s="17"/>
      <c r="BU482" s="61"/>
      <c r="BV482" s="17"/>
      <c r="BW482" s="17"/>
      <c r="BX482" s="61"/>
      <c r="BY482" s="531"/>
      <c r="BZ482" s="530"/>
      <c r="CA482" s="531"/>
      <c r="CB482" s="530"/>
      <c r="CC482" s="530"/>
      <c r="CD482" s="530"/>
      <c r="CE482" s="1295"/>
      <c r="CF482" s="1301"/>
      <c r="CG482" s="530"/>
      <c r="CH482" s="61"/>
      <c r="CI482" s="61"/>
      <c r="CJ482" s="61"/>
      <c r="DK482" s="58" t="str" cm="1">
        <f t="array" ref="DK482">IF(AND($BT482=4,$BX482=4,$BU482=999),$DB$36,_xlfn.IFNA(INDEX(DB$13:DB$70,MATCH(1,($BR482=$CV$13:$CV$70)*($BT482=$CX$13:$CX$70)*($CE482=$CY$13:$CY$70)*($BY482=$DA$13:$DA$70)*($CD482=$DH$13:$DH$70),0)),""))</f>
        <v/>
      </c>
      <c r="DL482" s="58" t="str" cm="1">
        <f t="array" ref="DL482">IF(AND($BT482=4,$BX482=4,$BU482=999),$DC$36,_xlfn.IFNA(INDEX(CHOOSE(DP482,DB$13:DB$70,DC$13:DC$70,DD$13:DD$70,DE$13:DE$70),MATCH(1,($BR482=$CV$13:$CV$70)*($BT482=$CX$13:$CX$70)*($CE482=$CY$13:$CY$70)*($BY482=$DA$13:$DA$70)*($CD482=$DH$13:$DH$70),0)),""))</f>
        <v/>
      </c>
      <c r="DM482" s="740" t="str" cm="1">
        <f t="array" ref="DM482">IF(AND($BT482=4,$BX482=4,$BU482=999),$DD$36,_xlfn.IFNA(INDEX(DD$13:DD$68,MATCH(1,($BR482=$CV$13:$CV$68)*($BT482=$CX$13:$CX$68)*($CE482=$CY$13:$CY$68)*($BY482=$DA$13:$DA$68)*($CD482=$DH$13:$DH$68),0)),""))</f>
        <v/>
      </c>
      <c r="DN482" s="740" t="str" cm="1">
        <f t="array" ref="DN482">IF(AND($BT482=4,$BX482=4,$BU482=999),$DD$36,_xlfn.IFNA(INDEX(DE$13:DE$68,MATCH(1,($BR482=$CV$13:$CV$68)*($BT482=$CX$13:$CX$68)*($CE482=$CY$13:$CY$68)*($BY482=$DA$13:$DA$68)*($CD482=$DH$13:$DH$68),0)),""))</f>
        <v/>
      </c>
      <c r="DO482" s="58" t="str" cm="1">
        <f t="array" ref="DO482">IF(AND($BT482=4,$BX482=4,$BU482=999),$DF$36,_xlfn.IFNA(INDEX(DF$13:DF$70,MATCH(1,($BR482=$CV$13:$CV$70)*($BT482=$CX$13:$CX$70)*($CE482=$CY$13:$CY$70)*($BY482=$DA$13:$DA$70)*($CD482=$DH$13:$DH$70),0)),""))</f>
        <v/>
      </c>
      <c r="DP482" s="58" t="e">
        <f t="shared" si="775"/>
        <v>#N/A</v>
      </c>
      <c r="FT482" s="58">
        <f t="shared" si="776"/>
        <v>0</v>
      </c>
      <c r="FW482" s="58">
        <f>IF(i_baseline_risk_from=2,'Effectiveness settings'!EW482,'Effectiveness settings'!FI482)</f>
        <v>0</v>
      </c>
      <c r="FX482" s="58">
        <f t="shared" si="777"/>
        <v>0</v>
      </c>
      <c r="FY482" s="58">
        <f t="shared" si="778"/>
        <v>0</v>
      </c>
      <c r="FZ482" s="58">
        <f t="shared" si="779"/>
        <v>0</v>
      </c>
      <c r="GA482" s="58">
        <f t="shared" si="780"/>
        <v>0</v>
      </c>
      <c r="GB482" s="58">
        <f t="shared" si="781"/>
        <v>0</v>
      </c>
      <c r="GC482" s="58">
        <f t="shared" si="782"/>
        <v>0</v>
      </c>
      <c r="GD482" s="58">
        <f t="shared" si="783"/>
        <v>0</v>
      </c>
      <c r="GE482" s="58">
        <f>IF(AND(dd_CheckMate214_TTD="Yes",'Effectiveness settings'!BU482=2,'Effectiveness settings'!BX482=2),"Apply HR to",GD482)</f>
        <v>0</v>
      </c>
      <c r="GF482" s="58">
        <f t="shared" si="784"/>
        <v>0</v>
      </c>
      <c r="GG482" s="58">
        <f t="shared" si="785"/>
        <v>0</v>
      </c>
      <c r="GH482" s="58">
        <f t="shared" si="786"/>
        <v>0</v>
      </c>
      <c r="GI482" s="58">
        <f t="shared" si="773"/>
        <v>0</v>
      </c>
      <c r="GK482" s="58">
        <f>IF(i_baseline_risk_from=2,'Effectiveness settings'!FA482,'Effectiveness settings'!FM482)</f>
        <v>0</v>
      </c>
      <c r="GL482" s="58">
        <f>IF(i_baseline_risk_from=2,'Effectiveness settings'!FB482,'Effectiveness settings'!FN482)</f>
        <v>0</v>
      </c>
      <c r="GM482" s="58">
        <f>IF(i_baseline_risk_from=2,'Effectiveness settings'!FC482,'Effectiveness settings'!FO482)</f>
        <v>0</v>
      </c>
      <c r="GN482" s="58">
        <f>IF(i_baseline_risk_from=2,'Effectiveness settings'!FD482,'Effectiveness settings'!FP482)</f>
        <v>0</v>
      </c>
      <c r="GQ482" s="58">
        <f t="shared" si="787"/>
        <v>0</v>
      </c>
      <c r="GR482" s="58">
        <f t="shared" si="788"/>
        <v>0</v>
      </c>
      <c r="GS482" s="58">
        <f t="shared" si="789"/>
        <v>0</v>
      </c>
      <c r="GT482" s="58">
        <f t="shared" si="790"/>
        <v>0</v>
      </c>
      <c r="GU482" s="58">
        <f>IF(AND(dd_CheckMate214_TTD="Yes",'Effectiveness settings'!BU482=2,'Effectiveness settings'!BX482=2),2,GT482)</f>
        <v>0</v>
      </c>
      <c r="GV482" s="58">
        <f t="shared" si="791"/>
        <v>0</v>
      </c>
      <c r="GW482" s="58">
        <f t="shared" si="792"/>
        <v>0</v>
      </c>
      <c r="GY482" s="58">
        <f>IF(AND(dd_CheckMate214_TTD="Yes",'Effectiveness settings'!BU482=2,'Effectiveness settings'!BX482=2),1,GN482)</f>
        <v>0</v>
      </c>
      <c r="GZ482" s="58">
        <f t="shared" si="793"/>
        <v>0</v>
      </c>
      <c r="HB482" s="58">
        <f t="shared" si="794"/>
        <v>0</v>
      </c>
      <c r="HD482" s="58">
        <f t="shared" si="768"/>
        <v>0</v>
      </c>
      <c r="HE482" s="58">
        <f t="shared" si="769"/>
        <v>0</v>
      </c>
      <c r="HF482" s="58">
        <f t="shared" si="770"/>
        <v>0</v>
      </c>
      <c r="HG482" s="58">
        <f t="shared" si="771"/>
        <v>0</v>
      </c>
      <c r="HH482" s="58">
        <f t="shared" si="772"/>
        <v>0</v>
      </c>
    </row>
    <row r="483" spans="69:216" ht="15.75" x14ac:dyDescent="0.25">
      <c r="BQ483" s="58">
        <f t="shared" si="774"/>
        <v>280</v>
      </c>
      <c r="BR483" s="61"/>
      <c r="BS483" s="61"/>
      <c r="BT483" s="17"/>
      <c r="BU483" s="17"/>
      <c r="BV483" s="17"/>
      <c r="BW483" s="17"/>
      <c r="BX483" s="61"/>
      <c r="BY483" s="531"/>
      <c r="BZ483" s="530"/>
      <c r="CA483" s="531"/>
      <c r="CB483" s="530"/>
      <c r="CC483" s="530"/>
      <c r="CD483" s="530"/>
      <c r="CE483" s="1295"/>
      <c r="CF483" s="1301"/>
      <c r="CG483" s="530"/>
      <c r="CH483" s="61"/>
      <c r="CI483" s="61"/>
      <c r="CJ483" s="61"/>
      <c r="DK483" s="58" t="str" cm="1">
        <f t="array" ref="DK483">IF(AND($BT483=4,$BX483=4,$BU483=999),$DB$36,_xlfn.IFNA(INDEX(DB$13:DB$70,MATCH(1,($BR483=$CV$13:$CV$70)*($BT483=$CX$13:$CX$70)*($CE483=$CY$13:$CY$70)*($BY483=$DA$13:$DA$70)*($CD483=$DH$13:$DH$70),0)),""))</f>
        <v/>
      </c>
      <c r="DL483" s="58" t="str" cm="1">
        <f t="array" ref="DL483">IF(AND($BT483=4,$BX483=4,$BU483=999),$DC$36,_xlfn.IFNA(INDEX(CHOOSE(DP483,DB$13:DB$70,DC$13:DC$70,DD$13:DD$70,DE$13:DE$70),MATCH(1,($BR483=$CV$13:$CV$70)*($BT483=$CX$13:$CX$70)*($CE483=$CY$13:$CY$70)*($BY483=$DA$13:$DA$70)*($CD483=$DH$13:$DH$70),0)),""))</f>
        <v/>
      </c>
      <c r="DM483" s="740" t="str" cm="1">
        <f t="array" ref="DM483">IF(AND($BT483=4,$BX483=4,$BU483=999),$DD$36,_xlfn.IFNA(INDEX(DD$13:DD$68,MATCH(1,($BR483=$CV$13:$CV$68)*($BT483=$CX$13:$CX$68)*($CE483=$CY$13:$CY$68)*($BY483=$DA$13:$DA$68)*($CD483=$DH$13:$DH$68),0)),""))</f>
        <v/>
      </c>
      <c r="DN483" s="740" t="str" cm="1">
        <f t="array" ref="DN483">IF(AND($BT483=4,$BX483=4,$BU483=999),$DD$36,_xlfn.IFNA(INDEX(DE$13:DE$68,MATCH(1,($BR483=$CV$13:$CV$68)*($BT483=$CX$13:$CX$68)*($CE483=$CY$13:$CY$68)*($BY483=$DA$13:$DA$68)*($CD483=$DH$13:$DH$68),0)),""))</f>
        <v/>
      </c>
      <c r="DO483" s="58" t="str" cm="1">
        <f t="array" ref="DO483">IF(AND($BT483=4,$BX483=4,$BU483=999),$DF$36,_xlfn.IFNA(INDEX(DF$13:DF$70,MATCH(1,($BR483=$CV$13:$CV$70)*($BT483=$CX$13:$CX$70)*($CE483=$CY$13:$CY$70)*($BY483=$DA$13:$DA$70)*($CD483=$DH$13:$DH$70),0)),""))</f>
        <v/>
      </c>
      <c r="DP483" s="58" t="e">
        <f t="shared" si="775"/>
        <v>#N/A</v>
      </c>
      <c r="FT483" s="58">
        <f t="shared" si="776"/>
        <v>0</v>
      </c>
      <c r="FW483" s="58">
        <f>IF(i_baseline_risk_from=2,'Effectiveness settings'!EW483,'Effectiveness settings'!FI483)</f>
        <v>0</v>
      </c>
      <c r="FX483" s="58">
        <f t="shared" si="777"/>
        <v>0</v>
      </c>
      <c r="FY483" s="58">
        <f t="shared" si="778"/>
        <v>0</v>
      </c>
      <c r="FZ483" s="58">
        <f t="shared" si="779"/>
        <v>0</v>
      </c>
      <c r="GA483" s="58">
        <f t="shared" si="780"/>
        <v>0</v>
      </c>
      <c r="GB483" s="58">
        <f t="shared" si="781"/>
        <v>0</v>
      </c>
      <c r="GC483" s="58">
        <f t="shared" si="782"/>
        <v>0</v>
      </c>
      <c r="GD483" s="58">
        <f t="shared" si="783"/>
        <v>0</v>
      </c>
      <c r="GE483" s="58">
        <f>IF(AND(dd_CheckMate214_TTD="Yes",'Effectiveness settings'!BU483=2,'Effectiveness settings'!BX483=2),"Apply HR to",GD483)</f>
        <v>0</v>
      </c>
      <c r="GF483" s="58">
        <f t="shared" si="784"/>
        <v>0</v>
      </c>
      <c r="GG483" s="58">
        <f t="shared" si="785"/>
        <v>0</v>
      </c>
      <c r="GH483" s="58">
        <f t="shared" si="786"/>
        <v>0</v>
      </c>
      <c r="GI483" s="58">
        <f t="shared" si="773"/>
        <v>0</v>
      </c>
      <c r="GK483" s="58">
        <f>IF(i_baseline_risk_from=2,'Effectiveness settings'!FA483,'Effectiveness settings'!FM483)</f>
        <v>0</v>
      </c>
      <c r="GL483" s="58">
        <f>IF(i_baseline_risk_from=2,'Effectiveness settings'!FB483,'Effectiveness settings'!FN483)</f>
        <v>0</v>
      </c>
      <c r="GM483" s="58">
        <f>IF(i_baseline_risk_from=2,'Effectiveness settings'!FC483,'Effectiveness settings'!FO483)</f>
        <v>0</v>
      </c>
      <c r="GN483" s="58">
        <f>IF(i_baseline_risk_from=2,'Effectiveness settings'!FD483,'Effectiveness settings'!FP483)</f>
        <v>0</v>
      </c>
      <c r="GQ483" s="58">
        <f t="shared" si="787"/>
        <v>0</v>
      </c>
      <c r="GR483" s="58">
        <f t="shared" si="788"/>
        <v>0</v>
      </c>
      <c r="GS483" s="58">
        <f t="shared" si="789"/>
        <v>0</v>
      </c>
      <c r="GT483" s="58">
        <f t="shared" si="790"/>
        <v>0</v>
      </c>
      <c r="GU483" s="58">
        <f>IF(AND(dd_CheckMate214_TTD="Yes",'Effectiveness settings'!BU483=2,'Effectiveness settings'!BX483=2),2,GT483)</f>
        <v>0</v>
      </c>
      <c r="GV483" s="58">
        <f t="shared" si="791"/>
        <v>0</v>
      </c>
      <c r="GW483" s="58">
        <f t="shared" si="792"/>
        <v>0</v>
      </c>
      <c r="GY483" s="58">
        <f>IF(AND(dd_CheckMate214_TTD="Yes",'Effectiveness settings'!BU483=2,'Effectiveness settings'!BX483=2),1,GN483)</f>
        <v>0</v>
      </c>
      <c r="GZ483" s="58">
        <f t="shared" si="793"/>
        <v>0</v>
      </c>
      <c r="HB483" s="58">
        <f t="shared" si="794"/>
        <v>0</v>
      </c>
      <c r="HD483" s="58">
        <f t="shared" si="768"/>
        <v>0</v>
      </c>
      <c r="HE483" s="58">
        <f t="shared" si="769"/>
        <v>0</v>
      </c>
      <c r="HF483" s="58">
        <f t="shared" si="770"/>
        <v>0</v>
      </c>
      <c r="HG483" s="58">
        <f t="shared" si="771"/>
        <v>0</v>
      </c>
      <c r="HH483" s="58">
        <f t="shared" si="772"/>
        <v>0</v>
      </c>
    </row>
    <row r="484" spans="69:216" ht="15.75" x14ac:dyDescent="0.25">
      <c r="BQ484" s="58">
        <f t="shared" si="774"/>
        <v>280</v>
      </c>
      <c r="BR484" s="61"/>
      <c r="BS484" s="61"/>
      <c r="BT484" s="17"/>
      <c r="BU484" s="17"/>
      <c r="BV484" s="17"/>
      <c r="BW484" s="17"/>
      <c r="BX484" s="61"/>
      <c r="BY484" s="531"/>
      <c r="BZ484" s="530"/>
      <c r="CA484" s="531"/>
      <c r="CB484" s="530"/>
      <c r="CC484" s="530"/>
      <c r="CD484" s="530"/>
      <c r="CE484" s="1295"/>
      <c r="CF484" s="1301"/>
      <c r="CG484" s="530"/>
      <c r="CH484" s="61"/>
      <c r="CI484" s="61"/>
      <c r="CJ484" s="61"/>
      <c r="DK484" s="58" t="str" cm="1">
        <f t="array" ref="DK484">IF(AND($BT484=4,$BX484=4,$BU484=999),$DB$36,_xlfn.IFNA(INDEX(DB$13:DB$70,MATCH(1,($BR484=$CV$13:$CV$70)*($BT484=$CX$13:$CX$70)*($CE484=$CY$13:$CY$70)*($BY484=$DA$13:$DA$70)*($CD484=$DH$13:$DH$70),0)),""))</f>
        <v/>
      </c>
      <c r="DL484" s="58" t="str" cm="1">
        <f t="array" ref="DL484">IF(AND($BT484=4,$BX484=4,$BU484=999),$DC$36,_xlfn.IFNA(INDEX(CHOOSE(DP484,DB$13:DB$70,DC$13:DC$70,DD$13:DD$70,DE$13:DE$70),MATCH(1,($BR484=$CV$13:$CV$70)*($BT484=$CX$13:$CX$70)*($CE484=$CY$13:$CY$70)*($BY484=$DA$13:$DA$70)*($CD484=$DH$13:$DH$70),0)),""))</f>
        <v/>
      </c>
      <c r="DM484" s="740" t="str" cm="1">
        <f t="array" ref="DM484">IF(AND($BT484=4,$BX484=4,$BU484=999),$DD$36,_xlfn.IFNA(INDEX(DD$13:DD$68,MATCH(1,($BR484=$CV$13:$CV$68)*($BT484=$CX$13:$CX$68)*($CE484=$CY$13:$CY$68)*($BY484=$DA$13:$DA$68)*($CD484=$DH$13:$DH$68),0)),""))</f>
        <v/>
      </c>
      <c r="DN484" s="740" t="str" cm="1">
        <f t="array" ref="DN484">IF(AND($BT484=4,$BX484=4,$BU484=999),$DD$36,_xlfn.IFNA(INDEX(DE$13:DE$68,MATCH(1,($BR484=$CV$13:$CV$68)*($BT484=$CX$13:$CX$68)*($CE484=$CY$13:$CY$68)*($BY484=$DA$13:$DA$68)*($CD484=$DH$13:$DH$68),0)),""))</f>
        <v/>
      </c>
      <c r="DO484" s="58" t="str" cm="1">
        <f t="array" ref="DO484">IF(AND($BT484=4,$BX484=4,$BU484=999),$DF$36,_xlfn.IFNA(INDEX(DF$13:DF$70,MATCH(1,($BR484=$CV$13:$CV$70)*($BT484=$CX$13:$CX$70)*($CE484=$CY$13:$CY$70)*($BY484=$DA$13:$DA$70)*($CD484=$DH$13:$DH$70),0)),""))</f>
        <v/>
      </c>
      <c r="DP484" s="58" t="e">
        <f t="shared" si="775"/>
        <v>#N/A</v>
      </c>
      <c r="FT484" s="58">
        <f t="shared" si="776"/>
        <v>0</v>
      </c>
      <c r="FW484" s="58">
        <f>IF(i_baseline_risk_from=2,'Effectiveness settings'!EW484,'Effectiveness settings'!FI484)</f>
        <v>0</v>
      </c>
      <c r="FX484" s="58">
        <f t="shared" si="777"/>
        <v>0</v>
      </c>
      <c r="FY484" s="58">
        <f t="shared" si="778"/>
        <v>0</v>
      </c>
      <c r="FZ484" s="58">
        <f t="shared" si="779"/>
        <v>0</v>
      </c>
      <c r="GA484" s="58">
        <f t="shared" si="780"/>
        <v>0</v>
      </c>
      <c r="GB484" s="58">
        <f t="shared" si="781"/>
        <v>0</v>
      </c>
      <c r="GC484" s="58">
        <f t="shared" si="782"/>
        <v>0</v>
      </c>
      <c r="GD484" s="58">
        <f t="shared" si="783"/>
        <v>0</v>
      </c>
      <c r="GE484" s="58">
        <f>IF(AND(dd_CheckMate214_TTD="Yes",'Effectiveness settings'!BU484=2,'Effectiveness settings'!BX484=2),"Apply HR to",GD484)</f>
        <v>0</v>
      </c>
      <c r="GF484" s="58">
        <f t="shared" si="784"/>
        <v>0</v>
      </c>
      <c r="GG484" s="58">
        <f t="shared" si="785"/>
        <v>0</v>
      </c>
      <c r="GH484" s="58">
        <f t="shared" si="786"/>
        <v>0</v>
      </c>
      <c r="GI484" s="58">
        <f t="shared" si="773"/>
        <v>0</v>
      </c>
      <c r="GK484" s="58">
        <f>IF(i_baseline_risk_from=2,'Effectiveness settings'!FA484,'Effectiveness settings'!FM484)</f>
        <v>0</v>
      </c>
      <c r="GL484" s="58">
        <f>IF(i_baseline_risk_from=2,'Effectiveness settings'!FB484,'Effectiveness settings'!FN484)</f>
        <v>0</v>
      </c>
      <c r="GM484" s="58">
        <f>IF(i_baseline_risk_from=2,'Effectiveness settings'!FC484,'Effectiveness settings'!FO484)</f>
        <v>0</v>
      </c>
      <c r="GN484" s="58">
        <f>IF(i_baseline_risk_from=2,'Effectiveness settings'!FD484,'Effectiveness settings'!FP484)</f>
        <v>0</v>
      </c>
      <c r="GQ484" s="58">
        <f t="shared" si="787"/>
        <v>0</v>
      </c>
      <c r="GR484" s="58">
        <f t="shared" si="788"/>
        <v>0</v>
      </c>
      <c r="GS484" s="58">
        <f t="shared" si="789"/>
        <v>0</v>
      </c>
      <c r="GT484" s="58">
        <f t="shared" si="790"/>
        <v>0</v>
      </c>
      <c r="GU484" s="58">
        <f>IF(AND(dd_CheckMate214_TTD="Yes",'Effectiveness settings'!BU484=2,'Effectiveness settings'!BX484=2),2,GT484)</f>
        <v>0</v>
      </c>
      <c r="GV484" s="58">
        <f t="shared" si="791"/>
        <v>0</v>
      </c>
      <c r="GW484" s="58">
        <f t="shared" si="792"/>
        <v>0</v>
      </c>
      <c r="GY484" s="58">
        <f>IF(AND(dd_CheckMate214_TTD="Yes",'Effectiveness settings'!BU484=2,'Effectiveness settings'!BX484=2),1,GN484)</f>
        <v>0</v>
      </c>
      <c r="GZ484" s="58">
        <f t="shared" si="793"/>
        <v>0</v>
      </c>
      <c r="HB484" s="58">
        <f t="shared" si="794"/>
        <v>0</v>
      </c>
      <c r="HD484" s="58">
        <f t="shared" si="768"/>
        <v>0</v>
      </c>
      <c r="HE484" s="58">
        <f t="shared" si="769"/>
        <v>0</v>
      </c>
      <c r="HF484" s="58">
        <f t="shared" si="770"/>
        <v>0</v>
      </c>
      <c r="HG484" s="58">
        <f t="shared" si="771"/>
        <v>0</v>
      </c>
      <c r="HH484" s="58">
        <f t="shared" si="772"/>
        <v>0</v>
      </c>
    </row>
    <row r="485" spans="69:216" ht="15.75" x14ac:dyDescent="0.25">
      <c r="BQ485" s="58">
        <f t="shared" si="774"/>
        <v>280</v>
      </c>
      <c r="BR485" s="61"/>
      <c r="BS485" s="61"/>
      <c r="BT485" s="17"/>
      <c r="BU485" s="17"/>
      <c r="BV485" s="17"/>
      <c r="BW485" s="17"/>
      <c r="BX485" s="61"/>
      <c r="BY485" s="531"/>
      <c r="BZ485" s="530"/>
      <c r="CA485" s="531"/>
      <c r="CB485" s="530"/>
      <c r="CC485" s="530"/>
      <c r="CD485" s="530"/>
      <c r="CE485" s="1295"/>
      <c r="CF485" s="1301"/>
      <c r="CG485" s="530"/>
      <c r="CH485" s="61"/>
      <c r="CI485" s="61"/>
      <c r="CJ485" s="61"/>
      <c r="DK485" s="58" t="str" cm="1">
        <f t="array" ref="DK485">IF(AND($BT485=4,$BX485=4,$BU485=999),$DB$36,_xlfn.IFNA(INDEX(DB$13:DB$70,MATCH(1,($BR485=$CV$13:$CV$70)*($BT485=$CX$13:$CX$70)*($CE485=$CY$13:$CY$70)*($BY485=$DA$13:$DA$70)*($CD485=$DH$13:$DH$70),0)),""))</f>
        <v/>
      </c>
      <c r="DL485" s="58" t="str" cm="1">
        <f t="array" ref="DL485">IF(AND($BT485=4,$BX485=4,$BU485=999),$DC$36,_xlfn.IFNA(INDEX(CHOOSE(DP485,DB$13:DB$70,DC$13:DC$70,DD$13:DD$70,DE$13:DE$70),MATCH(1,($BR485=$CV$13:$CV$70)*($BT485=$CX$13:$CX$70)*($CE485=$CY$13:$CY$70)*($BY485=$DA$13:$DA$70)*($CD485=$DH$13:$DH$70),0)),""))</f>
        <v/>
      </c>
      <c r="DM485" s="740" t="str" cm="1">
        <f t="array" ref="DM485">IF(AND($BT485=4,$BX485=4,$BU485=999),$DD$36,_xlfn.IFNA(INDEX(DD$13:DD$68,MATCH(1,($BR485=$CV$13:$CV$68)*($BT485=$CX$13:$CX$68)*($CE485=$CY$13:$CY$68)*($BY485=$DA$13:$DA$68)*($CD485=$DH$13:$DH$68),0)),""))</f>
        <v/>
      </c>
      <c r="DN485" s="740" t="str" cm="1">
        <f t="array" ref="DN485">IF(AND($BT485=4,$BX485=4,$BU485=999),$DD$36,_xlfn.IFNA(INDEX(DE$13:DE$68,MATCH(1,($BR485=$CV$13:$CV$68)*($BT485=$CX$13:$CX$68)*($CE485=$CY$13:$CY$68)*($BY485=$DA$13:$DA$68)*($CD485=$DH$13:$DH$68),0)),""))</f>
        <v/>
      </c>
      <c r="DO485" s="58" t="str" cm="1">
        <f t="array" ref="DO485">IF(AND($BT485=4,$BX485=4,$BU485=999),$DF$36,_xlfn.IFNA(INDEX(DF$13:DF$70,MATCH(1,($BR485=$CV$13:$CV$70)*($BT485=$CX$13:$CX$70)*($CE485=$CY$13:$CY$70)*($BY485=$DA$13:$DA$70)*($CD485=$DH$13:$DH$70),0)),""))</f>
        <v/>
      </c>
      <c r="DP485" s="58" t="e">
        <f t="shared" si="775"/>
        <v>#N/A</v>
      </c>
      <c r="FT485" s="58">
        <f t="shared" si="776"/>
        <v>0</v>
      </c>
      <c r="FW485" s="58">
        <f>IF(i_baseline_risk_from=2,'Effectiveness settings'!EW485,'Effectiveness settings'!FI485)</f>
        <v>0</v>
      </c>
      <c r="FX485" s="58">
        <f t="shared" si="777"/>
        <v>0</v>
      </c>
      <c r="FY485" s="58">
        <f t="shared" si="778"/>
        <v>0</v>
      </c>
      <c r="FZ485" s="58">
        <f t="shared" si="779"/>
        <v>0</v>
      </c>
      <c r="GA485" s="58">
        <f t="shared" si="780"/>
        <v>0</v>
      </c>
      <c r="GB485" s="58">
        <f t="shared" si="781"/>
        <v>0</v>
      </c>
      <c r="GC485" s="58">
        <f t="shared" si="782"/>
        <v>0</v>
      </c>
      <c r="GD485" s="58">
        <f t="shared" si="783"/>
        <v>0</v>
      </c>
      <c r="GE485" s="58">
        <f>IF(AND(dd_CheckMate214_TTD="Yes",'Effectiveness settings'!BU485=2,'Effectiveness settings'!BX485=2),"Apply HR to",GD485)</f>
        <v>0</v>
      </c>
      <c r="GF485" s="58">
        <f t="shared" si="784"/>
        <v>0</v>
      </c>
      <c r="GG485" s="58">
        <f t="shared" si="785"/>
        <v>0</v>
      </c>
      <c r="GH485" s="58">
        <f t="shared" si="786"/>
        <v>0</v>
      </c>
      <c r="GI485" s="58">
        <f t="shared" si="773"/>
        <v>0</v>
      </c>
      <c r="GK485" s="58">
        <f>IF(i_baseline_risk_from=2,'Effectiveness settings'!FA485,'Effectiveness settings'!FM485)</f>
        <v>0</v>
      </c>
      <c r="GL485" s="58">
        <f>IF(i_baseline_risk_from=2,'Effectiveness settings'!FB485,'Effectiveness settings'!FN485)</f>
        <v>0</v>
      </c>
      <c r="GM485" s="58">
        <f>IF(i_baseline_risk_from=2,'Effectiveness settings'!FC485,'Effectiveness settings'!FO485)</f>
        <v>0</v>
      </c>
      <c r="GN485" s="58">
        <f>IF(i_baseline_risk_from=2,'Effectiveness settings'!FD485,'Effectiveness settings'!FP485)</f>
        <v>0</v>
      </c>
      <c r="GQ485" s="58">
        <f t="shared" si="787"/>
        <v>0</v>
      </c>
      <c r="GR485" s="58">
        <f t="shared" si="788"/>
        <v>0</v>
      </c>
      <c r="GS485" s="58">
        <f t="shared" si="789"/>
        <v>0</v>
      </c>
      <c r="GT485" s="58">
        <f t="shared" si="790"/>
        <v>0</v>
      </c>
      <c r="GU485" s="58">
        <f>IF(AND(dd_CheckMate214_TTD="Yes",'Effectiveness settings'!BU485=2,'Effectiveness settings'!BX485=2),2,GT485)</f>
        <v>0</v>
      </c>
      <c r="GV485" s="58">
        <f t="shared" si="791"/>
        <v>0</v>
      </c>
      <c r="GW485" s="58">
        <f t="shared" si="792"/>
        <v>0</v>
      </c>
      <c r="GY485" s="58">
        <f>IF(AND(dd_CheckMate214_TTD="Yes",'Effectiveness settings'!BU485=2,'Effectiveness settings'!BX485=2),1,GN485)</f>
        <v>0</v>
      </c>
      <c r="GZ485" s="58">
        <f t="shared" si="793"/>
        <v>0</v>
      </c>
      <c r="HB485" s="58">
        <f t="shared" si="794"/>
        <v>0</v>
      </c>
      <c r="HD485" s="58">
        <f t="shared" si="768"/>
        <v>0</v>
      </c>
      <c r="HE485" s="58">
        <f t="shared" si="769"/>
        <v>0</v>
      </c>
      <c r="HF485" s="58">
        <f t="shared" si="770"/>
        <v>0</v>
      </c>
      <c r="HG485" s="58">
        <f t="shared" si="771"/>
        <v>0</v>
      </c>
      <c r="HH485" s="58">
        <f t="shared" si="772"/>
        <v>0</v>
      </c>
    </row>
    <row r="486" spans="69:216" ht="15.75" x14ac:dyDescent="0.25">
      <c r="BQ486" s="58">
        <f t="shared" si="774"/>
        <v>280</v>
      </c>
      <c r="BR486" s="61"/>
      <c r="BS486" s="61"/>
      <c r="BT486" s="17"/>
      <c r="BU486" s="17"/>
      <c r="BV486" s="17"/>
      <c r="BW486" s="17"/>
      <c r="BX486" s="61"/>
      <c r="BY486" s="531"/>
      <c r="BZ486" s="530"/>
      <c r="CA486" s="531"/>
      <c r="CB486" s="530"/>
      <c r="CC486" s="530"/>
      <c r="CD486" s="530"/>
      <c r="CE486" s="1295"/>
      <c r="CF486" s="1301"/>
      <c r="CG486" s="530"/>
      <c r="CH486" s="61"/>
      <c r="CI486" s="61"/>
      <c r="CJ486" s="61"/>
      <c r="DK486" s="58" t="str" cm="1">
        <f t="array" ref="DK486">IF(AND($BT486=4,$BX486=4,$BU486=999),$DB$36,_xlfn.IFNA(INDEX(DB$13:DB$70,MATCH(1,($BR486=$CV$13:$CV$70)*($BT486=$CX$13:$CX$70)*($CE486=$CY$13:$CY$70)*($BY486=$DA$13:$DA$70)*($CD486=$DH$13:$DH$70),0)),""))</f>
        <v/>
      </c>
      <c r="DL486" s="58" t="str" cm="1">
        <f t="array" ref="DL486">IF(AND($BT486=4,$BX486=4,$BU486=999),$DC$36,_xlfn.IFNA(INDEX(CHOOSE(DP486,DB$13:DB$70,DC$13:DC$70,DD$13:DD$70,DE$13:DE$70),MATCH(1,($BR486=$CV$13:$CV$70)*($BT486=$CX$13:$CX$70)*($CE486=$CY$13:$CY$70)*($BY486=$DA$13:$DA$70)*($CD486=$DH$13:$DH$70),0)),""))</f>
        <v/>
      </c>
      <c r="DM486" s="740" t="str" cm="1">
        <f t="array" ref="DM486">IF(AND($BT486=4,$BX486=4,$BU486=999),$DD$36,_xlfn.IFNA(INDEX(DD$13:DD$68,MATCH(1,($BR486=$CV$13:$CV$68)*($BT486=$CX$13:$CX$68)*($CE486=$CY$13:$CY$68)*($BY486=$DA$13:$DA$68)*($CD486=$DH$13:$DH$68),0)),""))</f>
        <v/>
      </c>
      <c r="DN486" s="740" t="str" cm="1">
        <f t="array" ref="DN486">IF(AND($BT486=4,$BX486=4,$BU486=999),$DD$36,_xlfn.IFNA(INDEX(DE$13:DE$68,MATCH(1,($BR486=$CV$13:$CV$68)*($BT486=$CX$13:$CX$68)*($CE486=$CY$13:$CY$68)*($BY486=$DA$13:$DA$68)*($CD486=$DH$13:$DH$68),0)),""))</f>
        <v/>
      </c>
      <c r="DO486" s="58" t="str" cm="1">
        <f t="array" ref="DO486">IF(AND($BT486=4,$BX486=4,$BU486=999),$DF$36,_xlfn.IFNA(INDEX(DF$13:DF$70,MATCH(1,($BR486=$CV$13:$CV$70)*($BT486=$CX$13:$CX$70)*($CE486=$CY$13:$CY$70)*($BY486=$DA$13:$DA$70)*($CD486=$DH$13:$DH$70),0)),""))</f>
        <v/>
      </c>
      <c r="DP486" s="58" t="e">
        <f t="shared" si="775"/>
        <v>#N/A</v>
      </c>
      <c r="FT486" s="58">
        <f t="shared" si="776"/>
        <v>0</v>
      </c>
      <c r="FW486" s="58">
        <f>IF(i_baseline_risk_from=2,'Effectiveness settings'!EW486,'Effectiveness settings'!FI486)</f>
        <v>0</v>
      </c>
      <c r="FX486" s="58">
        <f t="shared" si="777"/>
        <v>0</v>
      </c>
      <c r="FY486" s="58">
        <f t="shared" si="778"/>
        <v>0</v>
      </c>
      <c r="FZ486" s="58">
        <f t="shared" si="779"/>
        <v>0</v>
      </c>
      <c r="GA486" s="58">
        <f t="shared" si="780"/>
        <v>0</v>
      </c>
      <c r="GB486" s="58">
        <f t="shared" si="781"/>
        <v>0</v>
      </c>
      <c r="GC486" s="58">
        <f t="shared" si="782"/>
        <v>0</v>
      </c>
      <c r="GD486" s="58">
        <f t="shared" si="783"/>
        <v>0</v>
      </c>
      <c r="GE486" s="58">
        <f>IF(AND(dd_CheckMate214_TTD="Yes",'Effectiveness settings'!BU486=2,'Effectiveness settings'!BX486=2),"Apply HR to",GD486)</f>
        <v>0</v>
      </c>
      <c r="GF486" s="58">
        <f t="shared" si="784"/>
        <v>0</v>
      </c>
      <c r="GG486" s="58">
        <f t="shared" si="785"/>
        <v>0</v>
      </c>
      <c r="GH486" s="58">
        <f t="shared" si="786"/>
        <v>0</v>
      </c>
      <c r="GI486" s="58">
        <f t="shared" si="773"/>
        <v>0</v>
      </c>
      <c r="GK486" s="58">
        <f>IF(i_baseline_risk_from=2,'Effectiveness settings'!FA486,'Effectiveness settings'!FM486)</f>
        <v>0</v>
      </c>
      <c r="GL486" s="58">
        <f>IF(i_baseline_risk_from=2,'Effectiveness settings'!FB486,'Effectiveness settings'!FN486)</f>
        <v>0</v>
      </c>
      <c r="GM486" s="58">
        <f>IF(i_baseline_risk_from=2,'Effectiveness settings'!FC486,'Effectiveness settings'!FO486)</f>
        <v>0</v>
      </c>
      <c r="GN486" s="58">
        <f>IF(i_baseline_risk_from=2,'Effectiveness settings'!FD486,'Effectiveness settings'!FP486)</f>
        <v>0</v>
      </c>
      <c r="GQ486" s="58">
        <f t="shared" si="787"/>
        <v>0</v>
      </c>
      <c r="GR486" s="58">
        <f t="shared" si="788"/>
        <v>0</v>
      </c>
      <c r="GS486" s="58">
        <f t="shared" si="789"/>
        <v>0</v>
      </c>
      <c r="GT486" s="58">
        <f t="shared" si="790"/>
        <v>0</v>
      </c>
      <c r="GU486" s="58">
        <f>IF(AND(dd_CheckMate214_TTD="Yes",'Effectiveness settings'!BU486=2,'Effectiveness settings'!BX486=2),2,GT486)</f>
        <v>0</v>
      </c>
      <c r="GV486" s="58">
        <f t="shared" si="791"/>
        <v>0</v>
      </c>
      <c r="GW486" s="58">
        <f t="shared" si="792"/>
        <v>0</v>
      </c>
      <c r="GY486" s="58">
        <f>IF(AND(dd_CheckMate214_TTD="Yes",'Effectiveness settings'!BU486=2,'Effectiveness settings'!BX486=2),1,GN486)</f>
        <v>0</v>
      </c>
      <c r="GZ486" s="58">
        <f t="shared" si="793"/>
        <v>0</v>
      </c>
      <c r="HB486" s="58">
        <f t="shared" si="794"/>
        <v>0</v>
      </c>
      <c r="HD486" s="58">
        <f t="shared" si="768"/>
        <v>0</v>
      </c>
      <c r="HE486" s="58">
        <f t="shared" si="769"/>
        <v>0</v>
      </c>
      <c r="HF486" s="58">
        <f t="shared" si="770"/>
        <v>0</v>
      </c>
      <c r="HG486" s="58">
        <f t="shared" si="771"/>
        <v>0</v>
      </c>
      <c r="HH486" s="58">
        <f t="shared" si="772"/>
        <v>0</v>
      </c>
    </row>
    <row r="487" spans="69:216" ht="15.75" x14ac:dyDescent="0.25">
      <c r="BQ487" s="58">
        <f t="shared" si="774"/>
        <v>280</v>
      </c>
      <c r="BR487" s="61"/>
      <c r="BS487" s="61"/>
      <c r="BT487" s="17"/>
      <c r="BU487" s="17"/>
      <c r="BV487" s="17"/>
      <c r="BW487" s="17"/>
      <c r="BX487" s="61"/>
      <c r="BY487" s="531"/>
      <c r="BZ487" s="530"/>
      <c r="CA487" s="531"/>
      <c r="CB487" s="530"/>
      <c r="CC487" s="530"/>
      <c r="CD487" s="530"/>
      <c r="CE487" s="1295"/>
      <c r="CF487" s="1301"/>
      <c r="CG487" s="530"/>
      <c r="CH487" s="61"/>
      <c r="CI487" s="61"/>
      <c r="CJ487" s="61"/>
      <c r="DK487" s="58" t="str" cm="1">
        <f t="array" ref="DK487">IF(AND($BT487=4,$BX487=4,$BU487=999),$DB$36,_xlfn.IFNA(INDEX(DB$13:DB$70,MATCH(1,($BR487=$CV$13:$CV$70)*($BT487=$CX$13:$CX$70)*($CE487=$CY$13:$CY$70)*($BY487=$DA$13:$DA$70)*($CD487=$DH$13:$DH$70),0)),""))</f>
        <v/>
      </c>
      <c r="DL487" s="58" t="str" cm="1">
        <f t="array" ref="DL487">IF(AND($BT487=4,$BX487=4,$BU487=999),$DC$36,_xlfn.IFNA(INDEX(CHOOSE(DP487,DB$13:DB$70,DC$13:DC$70,DD$13:DD$70,DE$13:DE$70),MATCH(1,($BR487=$CV$13:$CV$70)*($BT487=$CX$13:$CX$70)*($CE487=$CY$13:$CY$70)*($BY487=$DA$13:$DA$70)*($CD487=$DH$13:$DH$70),0)),""))</f>
        <v/>
      </c>
      <c r="DM487" s="740" t="str" cm="1">
        <f t="array" ref="DM487">IF(AND($BT487=4,$BX487=4,$BU487=999),$DD$36,_xlfn.IFNA(INDEX(DD$13:DD$68,MATCH(1,($BR487=$CV$13:$CV$68)*($BT487=$CX$13:$CX$68)*($CE487=$CY$13:$CY$68)*($BY487=$DA$13:$DA$68)*($CD487=$DH$13:$DH$68),0)),""))</f>
        <v/>
      </c>
      <c r="DN487" s="740" t="str" cm="1">
        <f t="array" ref="DN487">IF(AND($BT487=4,$BX487=4,$BU487=999),$DD$36,_xlfn.IFNA(INDEX(DE$13:DE$68,MATCH(1,($BR487=$CV$13:$CV$68)*($BT487=$CX$13:$CX$68)*($CE487=$CY$13:$CY$68)*($BY487=$DA$13:$DA$68)*($CD487=$DH$13:$DH$68),0)),""))</f>
        <v/>
      </c>
      <c r="DO487" s="58" t="str" cm="1">
        <f t="array" ref="DO487">IF(AND($BT487=4,$BX487=4,$BU487=999),$DF$36,_xlfn.IFNA(INDEX(DF$13:DF$70,MATCH(1,($BR487=$CV$13:$CV$70)*($BT487=$CX$13:$CX$70)*($CE487=$CY$13:$CY$70)*($BY487=$DA$13:$DA$70)*($CD487=$DH$13:$DH$70),0)),""))</f>
        <v/>
      </c>
      <c r="DP487" s="58" t="e">
        <f t="shared" si="775"/>
        <v>#N/A</v>
      </c>
      <c r="FT487" s="58">
        <f t="shared" si="776"/>
        <v>0</v>
      </c>
      <c r="FW487" s="58">
        <f>IF(i_baseline_risk_from=2,'Effectiveness settings'!EW487,'Effectiveness settings'!FI487)</f>
        <v>0</v>
      </c>
      <c r="FX487" s="58">
        <f t="shared" si="777"/>
        <v>0</v>
      </c>
      <c r="FY487" s="58">
        <f t="shared" si="778"/>
        <v>0</v>
      </c>
      <c r="FZ487" s="58">
        <f t="shared" si="779"/>
        <v>0</v>
      </c>
      <c r="GA487" s="58">
        <f t="shared" si="780"/>
        <v>0</v>
      </c>
      <c r="GB487" s="58">
        <f t="shared" si="781"/>
        <v>0</v>
      </c>
      <c r="GC487" s="58">
        <f t="shared" si="782"/>
        <v>0</v>
      </c>
      <c r="GD487" s="58">
        <f t="shared" si="783"/>
        <v>0</v>
      </c>
      <c r="GE487" s="58">
        <f>IF(AND(dd_CheckMate214_TTD="Yes",'Effectiveness settings'!BU487=2,'Effectiveness settings'!BX487=2),"Apply HR to",GD487)</f>
        <v>0</v>
      </c>
      <c r="GF487" s="58">
        <f t="shared" si="784"/>
        <v>0</v>
      </c>
      <c r="GG487" s="58">
        <f t="shared" si="785"/>
        <v>0</v>
      </c>
      <c r="GH487" s="58">
        <f t="shared" si="786"/>
        <v>0</v>
      </c>
      <c r="GI487" s="58">
        <f t="shared" si="773"/>
        <v>0</v>
      </c>
      <c r="GK487" s="58">
        <f>IF(i_baseline_risk_from=2,'Effectiveness settings'!FA487,'Effectiveness settings'!FM487)</f>
        <v>0</v>
      </c>
      <c r="GL487" s="58">
        <f>IF(i_baseline_risk_from=2,'Effectiveness settings'!FB487,'Effectiveness settings'!FN487)</f>
        <v>0</v>
      </c>
      <c r="GM487" s="58">
        <f>IF(i_baseline_risk_from=2,'Effectiveness settings'!FC487,'Effectiveness settings'!FO487)</f>
        <v>0</v>
      </c>
      <c r="GN487" s="58">
        <f>IF(i_baseline_risk_from=2,'Effectiveness settings'!FD487,'Effectiveness settings'!FP487)</f>
        <v>0</v>
      </c>
      <c r="GQ487" s="58">
        <f t="shared" si="787"/>
        <v>0</v>
      </c>
      <c r="GR487" s="58">
        <f t="shared" si="788"/>
        <v>0</v>
      </c>
      <c r="GS487" s="58">
        <f t="shared" si="789"/>
        <v>0</v>
      </c>
      <c r="GT487" s="58">
        <f t="shared" si="790"/>
        <v>0</v>
      </c>
      <c r="GU487" s="58">
        <f>IF(AND(dd_CheckMate214_TTD="Yes",'Effectiveness settings'!BU487=2,'Effectiveness settings'!BX487=2),2,GT487)</f>
        <v>0</v>
      </c>
      <c r="GV487" s="58">
        <f t="shared" si="791"/>
        <v>0</v>
      </c>
      <c r="GW487" s="58">
        <f t="shared" si="792"/>
        <v>0</v>
      </c>
      <c r="GY487" s="58">
        <f>IF(AND(dd_CheckMate214_TTD="Yes",'Effectiveness settings'!BU487=2,'Effectiveness settings'!BX487=2),1,GN487)</f>
        <v>0</v>
      </c>
      <c r="GZ487" s="58">
        <f t="shared" si="793"/>
        <v>0</v>
      </c>
      <c r="HB487" s="58">
        <f t="shared" si="794"/>
        <v>0</v>
      </c>
      <c r="HD487" s="58">
        <f t="shared" si="768"/>
        <v>0</v>
      </c>
      <c r="HE487" s="58">
        <f t="shared" si="769"/>
        <v>0</v>
      </c>
      <c r="HF487" s="58">
        <f t="shared" si="770"/>
        <v>0</v>
      </c>
      <c r="HG487" s="58">
        <f t="shared" si="771"/>
        <v>0</v>
      </c>
      <c r="HH487" s="58">
        <f t="shared" si="772"/>
        <v>0</v>
      </c>
    </row>
    <row r="488" spans="69:216" ht="15.75" x14ac:dyDescent="0.25">
      <c r="BQ488" s="58">
        <f t="shared" si="774"/>
        <v>280</v>
      </c>
      <c r="BR488" s="61"/>
      <c r="BS488" s="61"/>
      <c r="BT488" s="17"/>
      <c r="BU488" s="17"/>
      <c r="BV488" s="17"/>
      <c r="BW488" s="17"/>
      <c r="BX488" s="61"/>
      <c r="BY488" s="531"/>
      <c r="BZ488" s="530"/>
      <c r="CA488" s="531"/>
      <c r="CB488" s="530"/>
      <c r="CC488" s="530"/>
      <c r="CD488" s="530"/>
      <c r="CE488" s="1295"/>
      <c r="CF488" s="1301"/>
      <c r="CG488" s="530"/>
      <c r="CH488" s="61"/>
      <c r="CI488" s="61"/>
      <c r="CJ488" s="61"/>
      <c r="DK488" s="58" t="str" cm="1">
        <f t="array" ref="DK488">IF(AND($BT488=4,$BX488=4,$BU488=999),$DB$36,_xlfn.IFNA(INDEX(DB$13:DB$70,MATCH(1,($BR488=$CV$13:$CV$70)*($BT488=$CX$13:$CX$70)*($CE488=$CY$13:$CY$70)*($BY488=$DA$13:$DA$70)*($CD488=$DH$13:$DH$70),0)),""))</f>
        <v/>
      </c>
      <c r="DL488" s="58" t="str" cm="1">
        <f t="array" ref="DL488">IF(AND($BT488=4,$BX488=4,$BU488=999),$DC$36,_xlfn.IFNA(INDEX(CHOOSE(DP488,DB$13:DB$70,DC$13:DC$70,DD$13:DD$70,DE$13:DE$70),MATCH(1,($BR488=$CV$13:$CV$70)*($BT488=$CX$13:$CX$70)*($CE488=$CY$13:$CY$70)*($BY488=$DA$13:$DA$70)*($CD488=$DH$13:$DH$70),0)),""))</f>
        <v/>
      </c>
      <c r="DM488" s="740" t="str" cm="1">
        <f t="array" ref="DM488">IF(AND($BT488=4,$BX488=4,$BU488=999),$DD$36,_xlfn.IFNA(INDEX(DD$13:DD$68,MATCH(1,($BR488=$CV$13:$CV$68)*($BT488=$CX$13:$CX$68)*($CE488=$CY$13:$CY$68)*($BY488=$DA$13:$DA$68)*($CD488=$DH$13:$DH$68),0)),""))</f>
        <v/>
      </c>
      <c r="DN488" s="740" t="str" cm="1">
        <f t="array" ref="DN488">IF(AND($BT488=4,$BX488=4,$BU488=999),$DD$36,_xlfn.IFNA(INDEX(DE$13:DE$68,MATCH(1,($BR488=$CV$13:$CV$68)*($BT488=$CX$13:$CX$68)*($CE488=$CY$13:$CY$68)*($BY488=$DA$13:$DA$68)*($CD488=$DH$13:$DH$68),0)),""))</f>
        <v/>
      </c>
      <c r="DO488" s="58" t="str" cm="1">
        <f t="array" ref="DO488">IF(AND($BT488=4,$BX488=4,$BU488=999),$DF$36,_xlfn.IFNA(INDEX(DF$13:DF$70,MATCH(1,($BR488=$CV$13:$CV$70)*($BT488=$CX$13:$CX$70)*($CE488=$CY$13:$CY$70)*($BY488=$DA$13:$DA$70)*($CD488=$DH$13:$DH$70),0)),""))</f>
        <v/>
      </c>
      <c r="DP488" s="58" t="e">
        <f t="shared" si="775"/>
        <v>#N/A</v>
      </c>
      <c r="FT488" s="58">
        <f t="shared" si="776"/>
        <v>0</v>
      </c>
      <c r="FW488" s="58">
        <f>IF(i_baseline_risk_from=2,'Effectiveness settings'!EW488,'Effectiveness settings'!FI488)</f>
        <v>0</v>
      </c>
      <c r="FX488" s="58">
        <f t="shared" si="777"/>
        <v>0</v>
      </c>
      <c r="FY488" s="58">
        <f t="shared" si="778"/>
        <v>0</v>
      </c>
      <c r="FZ488" s="58">
        <f t="shared" si="779"/>
        <v>0</v>
      </c>
      <c r="GA488" s="58">
        <f t="shared" si="780"/>
        <v>0</v>
      </c>
      <c r="GB488" s="58">
        <f t="shared" si="781"/>
        <v>0</v>
      </c>
      <c r="GC488" s="58">
        <f t="shared" si="782"/>
        <v>0</v>
      </c>
      <c r="GD488" s="58">
        <f t="shared" si="783"/>
        <v>0</v>
      </c>
      <c r="GE488" s="58">
        <f>IF(AND(dd_CheckMate214_TTD="Yes",'Effectiveness settings'!BU488=2,'Effectiveness settings'!BX488=2),"Apply HR to",GD488)</f>
        <v>0</v>
      </c>
      <c r="GF488" s="58">
        <f t="shared" si="784"/>
        <v>0</v>
      </c>
      <c r="GG488" s="58">
        <f t="shared" si="785"/>
        <v>0</v>
      </c>
      <c r="GH488" s="58">
        <f t="shared" si="786"/>
        <v>0</v>
      </c>
      <c r="GI488" s="58">
        <f t="shared" si="773"/>
        <v>0</v>
      </c>
      <c r="GK488" s="58">
        <f>IF(i_baseline_risk_from=2,'Effectiveness settings'!FA488,'Effectiveness settings'!FM488)</f>
        <v>0</v>
      </c>
      <c r="GL488" s="58">
        <f>IF(i_baseline_risk_from=2,'Effectiveness settings'!FB488,'Effectiveness settings'!FN488)</f>
        <v>0</v>
      </c>
      <c r="GM488" s="58">
        <f>IF(i_baseline_risk_from=2,'Effectiveness settings'!FC488,'Effectiveness settings'!FO488)</f>
        <v>0</v>
      </c>
      <c r="GN488" s="58">
        <f>IF(i_baseline_risk_from=2,'Effectiveness settings'!FD488,'Effectiveness settings'!FP488)</f>
        <v>0</v>
      </c>
      <c r="GQ488" s="58">
        <f t="shared" si="787"/>
        <v>0</v>
      </c>
      <c r="GR488" s="58">
        <f t="shared" si="788"/>
        <v>0</v>
      </c>
      <c r="GS488" s="58">
        <f t="shared" si="789"/>
        <v>0</v>
      </c>
      <c r="GT488" s="58">
        <f t="shared" si="790"/>
        <v>0</v>
      </c>
      <c r="GU488" s="58">
        <f>IF(AND(dd_CheckMate214_TTD="Yes",'Effectiveness settings'!BU488=2,'Effectiveness settings'!BX488=2),2,GT488)</f>
        <v>0</v>
      </c>
      <c r="GV488" s="58">
        <f t="shared" si="791"/>
        <v>0</v>
      </c>
      <c r="GW488" s="58">
        <f t="shared" si="792"/>
        <v>0</v>
      </c>
      <c r="GY488" s="58">
        <f>IF(AND(dd_CheckMate214_TTD="Yes",'Effectiveness settings'!BU488=2,'Effectiveness settings'!BX488=2),1,GN488)</f>
        <v>0</v>
      </c>
      <c r="GZ488" s="58">
        <f t="shared" si="793"/>
        <v>0</v>
      </c>
      <c r="HB488" s="58">
        <f t="shared" si="794"/>
        <v>0</v>
      </c>
      <c r="HD488" s="58">
        <f t="shared" si="768"/>
        <v>0</v>
      </c>
      <c r="HE488" s="58">
        <f t="shared" si="769"/>
        <v>0</v>
      </c>
      <c r="HF488" s="58">
        <f t="shared" si="770"/>
        <v>0</v>
      </c>
      <c r="HG488" s="58">
        <f t="shared" si="771"/>
        <v>0</v>
      </c>
      <c r="HH488" s="58">
        <f t="shared" si="772"/>
        <v>0</v>
      </c>
    </row>
    <row r="489" spans="69:216" ht="15.75" x14ac:dyDescent="0.25">
      <c r="BQ489" s="58">
        <f t="shared" si="774"/>
        <v>280</v>
      </c>
      <c r="BR489" s="61"/>
      <c r="BS489" s="61"/>
      <c r="BT489" s="17"/>
      <c r="BU489" s="17"/>
      <c r="BV489" s="17"/>
      <c r="BW489" s="17"/>
      <c r="BX489" s="61"/>
      <c r="BY489" s="531"/>
      <c r="BZ489" s="530"/>
      <c r="CA489" s="531"/>
      <c r="CB489" s="530"/>
      <c r="CC489" s="530"/>
      <c r="CD489" s="530"/>
      <c r="CE489" s="1295"/>
      <c r="CF489" s="1301"/>
      <c r="CG489" s="530"/>
      <c r="CH489" s="61"/>
      <c r="CI489" s="61"/>
      <c r="CJ489" s="61"/>
      <c r="DK489" s="58" t="str" cm="1">
        <f t="array" ref="DK489">IF(AND($BT489=4,$BX489=4,$BU489=999),$DB$36,_xlfn.IFNA(INDEX(DB$13:DB$70,MATCH(1,($BR489=$CV$13:$CV$70)*($BT489=$CX$13:$CX$70)*($CE489=$CY$13:$CY$70)*($BY489=$DA$13:$DA$70)*($CD489=$DH$13:$DH$70),0)),""))</f>
        <v/>
      </c>
      <c r="DL489" s="58" t="str" cm="1">
        <f t="array" ref="DL489">IF(AND($BT489=4,$BX489=4,$BU489=999),$DC$36,_xlfn.IFNA(INDEX(CHOOSE(DP489,DB$13:DB$70,DC$13:DC$70,DD$13:DD$70,DE$13:DE$70),MATCH(1,($BR489=$CV$13:$CV$70)*($BT489=$CX$13:$CX$70)*($CE489=$CY$13:$CY$70)*($BY489=$DA$13:$DA$70)*($CD489=$DH$13:$DH$70),0)),""))</f>
        <v/>
      </c>
      <c r="DM489" s="740" t="str" cm="1">
        <f t="array" ref="DM489">IF(AND($BT489=4,$BX489=4,$BU489=999),$DD$36,_xlfn.IFNA(INDEX(DD$13:DD$68,MATCH(1,($BR489=$CV$13:$CV$68)*($BT489=$CX$13:$CX$68)*($CE489=$CY$13:$CY$68)*($BY489=$DA$13:$DA$68)*($CD489=$DH$13:$DH$68),0)),""))</f>
        <v/>
      </c>
      <c r="DN489" s="740" t="str" cm="1">
        <f t="array" ref="DN489">IF(AND($BT489=4,$BX489=4,$BU489=999),$DD$36,_xlfn.IFNA(INDEX(DE$13:DE$68,MATCH(1,($BR489=$CV$13:$CV$68)*($BT489=$CX$13:$CX$68)*($CE489=$CY$13:$CY$68)*($BY489=$DA$13:$DA$68)*($CD489=$DH$13:$DH$68),0)),""))</f>
        <v/>
      </c>
      <c r="DO489" s="58" t="str" cm="1">
        <f t="array" ref="DO489">IF(AND($BT489=4,$BX489=4,$BU489=999),$DF$36,_xlfn.IFNA(INDEX(DF$13:DF$70,MATCH(1,($BR489=$CV$13:$CV$70)*($BT489=$CX$13:$CX$70)*($CE489=$CY$13:$CY$70)*($BY489=$DA$13:$DA$70)*($CD489=$DH$13:$DH$70),0)),""))</f>
        <v/>
      </c>
      <c r="DP489" s="58" t="e">
        <f t="shared" si="775"/>
        <v>#N/A</v>
      </c>
      <c r="FT489" s="58">
        <f t="shared" si="776"/>
        <v>0</v>
      </c>
      <c r="FW489" s="58">
        <f>IF(i_baseline_risk_from=2,'Effectiveness settings'!EW489,'Effectiveness settings'!FI489)</f>
        <v>0</v>
      </c>
      <c r="FX489" s="58">
        <f t="shared" si="777"/>
        <v>0</v>
      </c>
      <c r="FY489" s="58">
        <f t="shared" si="778"/>
        <v>0</v>
      </c>
      <c r="FZ489" s="58">
        <f t="shared" si="779"/>
        <v>0</v>
      </c>
      <c r="GA489" s="58">
        <f t="shared" si="780"/>
        <v>0</v>
      </c>
      <c r="GB489" s="58">
        <f t="shared" si="781"/>
        <v>0</v>
      </c>
      <c r="GC489" s="58">
        <f t="shared" si="782"/>
        <v>0</v>
      </c>
      <c r="GD489" s="58">
        <f t="shared" si="783"/>
        <v>0</v>
      </c>
      <c r="GE489" s="58">
        <f>IF(AND(dd_CheckMate214_TTD="Yes",'Effectiveness settings'!BU489=2,'Effectiveness settings'!BX489=2),"Apply HR to",GD489)</f>
        <v>0</v>
      </c>
      <c r="GF489" s="58">
        <f t="shared" si="784"/>
        <v>0</v>
      </c>
      <c r="GG489" s="58">
        <f t="shared" si="785"/>
        <v>0</v>
      </c>
      <c r="GH489" s="58">
        <f t="shared" si="786"/>
        <v>0</v>
      </c>
      <c r="GI489" s="58">
        <f t="shared" si="773"/>
        <v>0</v>
      </c>
      <c r="GK489" s="58">
        <f>IF(i_baseline_risk_from=2,'Effectiveness settings'!FA489,'Effectiveness settings'!FM489)</f>
        <v>0</v>
      </c>
      <c r="GL489" s="58">
        <f>IF(i_baseline_risk_from=2,'Effectiveness settings'!FB489,'Effectiveness settings'!FN489)</f>
        <v>0</v>
      </c>
      <c r="GM489" s="58">
        <f>IF(i_baseline_risk_from=2,'Effectiveness settings'!FC489,'Effectiveness settings'!FO489)</f>
        <v>0</v>
      </c>
      <c r="GN489" s="58">
        <f>IF(i_baseline_risk_from=2,'Effectiveness settings'!FD489,'Effectiveness settings'!FP489)</f>
        <v>0</v>
      </c>
      <c r="GQ489" s="58">
        <f t="shared" si="787"/>
        <v>0</v>
      </c>
      <c r="GR489" s="58">
        <f t="shared" si="788"/>
        <v>0</v>
      </c>
      <c r="GS489" s="58">
        <f t="shared" si="789"/>
        <v>0</v>
      </c>
      <c r="GT489" s="58">
        <f t="shared" si="790"/>
        <v>0</v>
      </c>
      <c r="GU489" s="58">
        <f>IF(AND(dd_CheckMate214_TTD="Yes",'Effectiveness settings'!BU489=2,'Effectiveness settings'!BX489=2),2,GT489)</f>
        <v>0</v>
      </c>
      <c r="GV489" s="58">
        <f t="shared" si="791"/>
        <v>0</v>
      </c>
      <c r="GW489" s="58">
        <f t="shared" si="792"/>
        <v>0</v>
      </c>
      <c r="GY489" s="58">
        <f>IF(AND(dd_CheckMate214_TTD="Yes",'Effectiveness settings'!BU489=2,'Effectiveness settings'!BX489=2),1,GN489)</f>
        <v>0</v>
      </c>
      <c r="GZ489" s="58">
        <f t="shared" si="793"/>
        <v>0</v>
      </c>
      <c r="HB489" s="58">
        <f t="shared" si="794"/>
        <v>0</v>
      </c>
      <c r="HD489" s="58">
        <f t="shared" si="768"/>
        <v>0</v>
      </c>
      <c r="HE489" s="58">
        <f t="shared" si="769"/>
        <v>0</v>
      </c>
      <c r="HF489" s="58">
        <f t="shared" si="770"/>
        <v>0</v>
      </c>
      <c r="HG489" s="58">
        <f t="shared" si="771"/>
        <v>0</v>
      </c>
      <c r="HH489" s="58">
        <f t="shared" si="772"/>
        <v>0</v>
      </c>
    </row>
    <row r="490" spans="69:216" ht="15.75" x14ac:dyDescent="0.25">
      <c r="BQ490" s="58">
        <f t="shared" si="774"/>
        <v>280</v>
      </c>
      <c r="BR490" s="61"/>
      <c r="BS490" s="61"/>
      <c r="BT490" s="17"/>
      <c r="BU490" s="17"/>
      <c r="BV490" s="17"/>
      <c r="BW490" s="17"/>
      <c r="BX490" s="61"/>
      <c r="BY490" s="531"/>
      <c r="BZ490" s="530"/>
      <c r="CA490" s="531"/>
      <c r="CB490" s="530"/>
      <c r="CC490" s="530"/>
      <c r="CD490" s="530"/>
      <c r="CE490" s="1295"/>
      <c r="CF490" s="1301"/>
      <c r="CG490" s="530"/>
      <c r="CH490" s="61"/>
      <c r="CI490" s="61"/>
      <c r="CJ490" s="61"/>
      <c r="DK490" s="58" t="str" cm="1">
        <f t="array" ref="DK490">IF(AND($BT490=4,$BX490=4,$BU490=999),$DB$36,_xlfn.IFNA(INDEX(DB$13:DB$70,MATCH(1,($BR490=$CV$13:$CV$70)*($BT490=$CX$13:$CX$70)*($CE490=$CY$13:$CY$70)*($BY490=$DA$13:$DA$70)*($CD490=$DH$13:$DH$70),0)),""))</f>
        <v/>
      </c>
      <c r="DL490" s="58" t="str" cm="1">
        <f t="array" ref="DL490">IF(AND($BT490=4,$BX490=4,$BU490=999),$DC$36,_xlfn.IFNA(INDEX(CHOOSE(DP490,DB$13:DB$70,DC$13:DC$70,DD$13:DD$70,DE$13:DE$70),MATCH(1,($BR490=$CV$13:$CV$70)*($BT490=$CX$13:$CX$70)*($CE490=$CY$13:$CY$70)*($BY490=$DA$13:$DA$70)*($CD490=$DH$13:$DH$70),0)),""))</f>
        <v/>
      </c>
      <c r="DM490" s="740" t="str" cm="1">
        <f t="array" ref="DM490">IF(AND($BT490=4,$BX490=4,$BU490=999),$DD$36,_xlfn.IFNA(INDEX(DD$13:DD$68,MATCH(1,($BR490=$CV$13:$CV$68)*($BT490=$CX$13:$CX$68)*($CE490=$CY$13:$CY$68)*($BY490=$DA$13:$DA$68)*($CD490=$DH$13:$DH$68),0)),""))</f>
        <v/>
      </c>
      <c r="DN490" s="740" t="str" cm="1">
        <f t="array" ref="DN490">IF(AND($BT490=4,$BX490=4,$BU490=999),$DD$36,_xlfn.IFNA(INDEX(DE$13:DE$68,MATCH(1,($BR490=$CV$13:$CV$68)*($BT490=$CX$13:$CX$68)*($CE490=$CY$13:$CY$68)*($BY490=$DA$13:$DA$68)*($CD490=$DH$13:$DH$68),0)),""))</f>
        <v/>
      </c>
      <c r="DO490" s="58" t="str" cm="1">
        <f t="array" ref="DO490">IF(AND($BT490=4,$BX490=4,$BU490=999),$DF$36,_xlfn.IFNA(INDEX(DF$13:DF$70,MATCH(1,($BR490=$CV$13:$CV$70)*($BT490=$CX$13:$CX$70)*($CE490=$CY$13:$CY$70)*($BY490=$DA$13:$DA$70)*($CD490=$DH$13:$DH$70),0)),""))</f>
        <v/>
      </c>
      <c r="DP490" s="58" t="e">
        <f t="shared" si="775"/>
        <v>#N/A</v>
      </c>
      <c r="FT490" s="58">
        <f t="shared" si="776"/>
        <v>0</v>
      </c>
      <c r="FW490" s="58">
        <f>IF(i_baseline_risk_from=2,'Effectiveness settings'!EW490,'Effectiveness settings'!FI490)</f>
        <v>0</v>
      </c>
      <c r="FX490" s="58">
        <f t="shared" si="777"/>
        <v>0</v>
      </c>
      <c r="FY490" s="58">
        <f t="shared" si="778"/>
        <v>0</v>
      </c>
      <c r="FZ490" s="58">
        <f t="shared" si="779"/>
        <v>0</v>
      </c>
      <c r="GA490" s="58">
        <f t="shared" si="780"/>
        <v>0</v>
      </c>
      <c r="GB490" s="58">
        <f t="shared" si="781"/>
        <v>0</v>
      </c>
      <c r="GC490" s="58">
        <f t="shared" si="782"/>
        <v>0</v>
      </c>
      <c r="GD490" s="58">
        <f t="shared" si="783"/>
        <v>0</v>
      </c>
      <c r="GE490" s="58">
        <f>IF(AND(dd_CheckMate214_TTD="Yes",'Effectiveness settings'!BU490=2,'Effectiveness settings'!BX490=2),"Apply HR to",GD490)</f>
        <v>0</v>
      </c>
      <c r="GF490" s="58">
        <f t="shared" si="784"/>
        <v>0</v>
      </c>
      <c r="GG490" s="58">
        <f t="shared" si="785"/>
        <v>0</v>
      </c>
      <c r="GH490" s="58">
        <f t="shared" si="786"/>
        <v>0</v>
      </c>
      <c r="GI490" s="58">
        <f t="shared" si="773"/>
        <v>0</v>
      </c>
      <c r="GK490" s="58">
        <f>IF(i_baseline_risk_from=2,'Effectiveness settings'!FA490,'Effectiveness settings'!FM490)</f>
        <v>0</v>
      </c>
      <c r="GL490" s="58">
        <f>IF(i_baseline_risk_from=2,'Effectiveness settings'!FB490,'Effectiveness settings'!FN490)</f>
        <v>0</v>
      </c>
      <c r="GM490" s="58">
        <f>IF(i_baseline_risk_from=2,'Effectiveness settings'!FC490,'Effectiveness settings'!FO490)</f>
        <v>0</v>
      </c>
      <c r="GN490" s="58">
        <f>IF(i_baseline_risk_from=2,'Effectiveness settings'!FD490,'Effectiveness settings'!FP490)</f>
        <v>0</v>
      </c>
      <c r="GQ490" s="58">
        <f t="shared" si="787"/>
        <v>0</v>
      </c>
      <c r="GR490" s="58">
        <f t="shared" si="788"/>
        <v>0</v>
      </c>
      <c r="GS490" s="58">
        <f t="shared" si="789"/>
        <v>0</v>
      </c>
      <c r="GT490" s="58">
        <f t="shared" si="790"/>
        <v>0</v>
      </c>
      <c r="GU490" s="58">
        <f>IF(AND(dd_CheckMate214_TTD="Yes",'Effectiveness settings'!BU490=2,'Effectiveness settings'!BX490=2),2,GT490)</f>
        <v>0</v>
      </c>
      <c r="GV490" s="58">
        <f t="shared" si="791"/>
        <v>0</v>
      </c>
      <c r="GW490" s="58">
        <f t="shared" si="792"/>
        <v>0</v>
      </c>
      <c r="GY490" s="58">
        <f>IF(AND(dd_CheckMate214_TTD="Yes",'Effectiveness settings'!BU490=2,'Effectiveness settings'!BX490=2),1,GN490)</f>
        <v>0</v>
      </c>
      <c r="GZ490" s="58">
        <f t="shared" si="793"/>
        <v>0</v>
      </c>
      <c r="HB490" s="58">
        <f t="shared" si="794"/>
        <v>0</v>
      </c>
      <c r="HD490" s="58">
        <f t="shared" si="768"/>
        <v>0</v>
      </c>
      <c r="HE490" s="58">
        <f t="shared" si="769"/>
        <v>0</v>
      </c>
      <c r="HF490" s="58">
        <f t="shared" si="770"/>
        <v>0</v>
      </c>
      <c r="HG490" s="58">
        <f t="shared" si="771"/>
        <v>0</v>
      </c>
      <c r="HH490" s="58">
        <f t="shared" si="772"/>
        <v>0</v>
      </c>
    </row>
    <row r="491" spans="69:216" ht="15.75" x14ac:dyDescent="0.25">
      <c r="BQ491" s="58">
        <f t="shared" si="774"/>
        <v>280</v>
      </c>
      <c r="BR491" s="61"/>
      <c r="BS491" s="61"/>
      <c r="BT491" s="17"/>
      <c r="BU491" s="17"/>
      <c r="BV491" s="17"/>
      <c r="BW491" s="17"/>
      <c r="BX491" s="61"/>
      <c r="BY491" s="531"/>
      <c r="BZ491" s="530"/>
      <c r="CA491" s="531"/>
      <c r="CB491" s="530"/>
      <c r="CC491" s="530"/>
      <c r="CD491" s="530"/>
      <c r="CE491" s="1295"/>
      <c r="CF491" s="1301"/>
      <c r="CG491" s="530"/>
      <c r="CH491" s="61"/>
      <c r="CI491" s="61"/>
      <c r="CJ491" s="61"/>
      <c r="DK491" s="58" t="str" cm="1">
        <f t="array" ref="DK491">IF(AND($BT491=4,$BX491=4,$BU491=999),$DB$36,_xlfn.IFNA(INDEX(DB$13:DB$70,MATCH(1,($BR491=$CV$13:$CV$70)*($BT491=$CX$13:$CX$70)*($CE491=$CY$13:$CY$70)*($BY491=$DA$13:$DA$70)*($CD491=$DH$13:$DH$70),0)),""))</f>
        <v/>
      </c>
      <c r="DL491" s="58" t="str" cm="1">
        <f t="array" ref="DL491">IF(AND($BT491=4,$BX491=4,$BU491=999),$DC$36,_xlfn.IFNA(INDEX(CHOOSE(DP491,DB$13:DB$70,DC$13:DC$70,DD$13:DD$70,DE$13:DE$70),MATCH(1,($BR491=$CV$13:$CV$70)*($BT491=$CX$13:$CX$70)*($CE491=$CY$13:$CY$70)*($BY491=$DA$13:$DA$70)*($CD491=$DH$13:$DH$70),0)),""))</f>
        <v/>
      </c>
      <c r="DM491" s="740" t="str" cm="1">
        <f t="array" ref="DM491">IF(AND($BT491=4,$BX491=4,$BU491=999),$DD$36,_xlfn.IFNA(INDEX(DD$13:DD$68,MATCH(1,($BR491=$CV$13:$CV$68)*($BT491=$CX$13:$CX$68)*($CE491=$CY$13:$CY$68)*($BY491=$DA$13:$DA$68)*($CD491=$DH$13:$DH$68),0)),""))</f>
        <v/>
      </c>
      <c r="DN491" s="740" t="str" cm="1">
        <f t="array" ref="DN491">IF(AND($BT491=4,$BX491=4,$BU491=999),$DD$36,_xlfn.IFNA(INDEX(DE$13:DE$68,MATCH(1,($BR491=$CV$13:$CV$68)*($BT491=$CX$13:$CX$68)*($CE491=$CY$13:$CY$68)*($BY491=$DA$13:$DA$68)*($CD491=$DH$13:$DH$68),0)),""))</f>
        <v/>
      </c>
      <c r="DO491" s="58" t="str" cm="1">
        <f t="array" ref="DO491">IF(AND($BT491=4,$BX491=4,$BU491=999),$DF$36,_xlfn.IFNA(INDEX(DF$13:DF$70,MATCH(1,($BR491=$CV$13:$CV$70)*($BT491=$CX$13:$CX$70)*($CE491=$CY$13:$CY$70)*($BY491=$DA$13:$DA$70)*($CD491=$DH$13:$DH$70),0)),""))</f>
        <v/>
      </c>
      <c r="DP491" s="58" t="e">
        <f t="shared" si="775"/>
        <v>#N/A</v>
      </c>
      <c r="FT491" s="58">
        <f t="shared" si="776"/>
        <v>0</v>
      </c>
      <c r="FW491" s="58">
        <f>IF(i_baseline_risk_from=2,'Effectiveness settings'!EW491,'Effectiveness settings'!FI491)</f>
        <v>0</v>
      </c>
      <c r="FX491" s="58">
        <f t="shared" si="777"/>
        <v>0</v>
      </c>
      <c r="FY491" s="58">
        <f t="shared" si="778"/>
        <v>0</v>
      </c>
      <c r="FZ491" s="58">
        <f t="shared" si="779"/>
        <v>0</v>
      </c>
      <c r="GA491" s="58">
        <f t="shared" si="780"/>
        <v>0</v>
      </c>
      <c r="GB491" s="58">
        <f t="shared" si="781"/>
        <v>0</v>
      </c>
      <c r="GC491" s="58">
        <f t="shared" si="782"/>
        <v>0</v>
      </c>
      <c r="GD491" s="58">
        <f t="shared" si="783"/>
        <v>0</v>
      </c>
      <c r="GE491" s="58">
        <f>IF(AND(dd_CheckMate214_TTD="Yes",'Effectiveness settings'!BU491=2,'Effectiveness settings'!BX491=2),"Apply HR to",GD491)</f>
        <v>0</v>
      </c>
      <c r="GF491" s="58">
        <f t="shared" si="784"/>
        <v>0</v>
      </c>
      <c r="GG491" s="58">
        <f t="shared" si="785"/>
        <v>0</v>
      </c>
      <c r="GH491" s="58">
        <f t="shared" si="786"/>
        <v>0</v>
      </c>
      <c r="GI491" s="58">
        <f t="shared" si="773"/>
        <v>0</v>
      </c>
      <c r="GK491" s="58">
        <f>IF(i_baseline_risk_from=2,'Effectiveness settings'!FA491,'Effectiveness settings'!FM491)</f>
        <v>0</v>
      </c>
      <c r="GL491" s="58">
        <f>IF(i_baseline_risk_from=2,'Effectiveness settings'!FB491,'Effectiveness settings'!FN491)</f>
        <v>0</v>
      </c>
      <c r="GM491" s="58">
        <f>IF(i_baseline_risk_from=2,'Effectiveness settings'!FC491,'Effectiveness settings'!FO491)</f>
        <v>0</v>
      </c>
      <c r="GN491" s="58">
        <f>IF(i_baseline_risk_from=2,'Effectiveness settings'!FD491,'Effectiveness settings'!FP491)</f>
        <v>0</v>
      </c>
      <c r="GQ491" s="58">
        <f t="shared" si="787"/>
        <v>0</v>
      </c>
      <c r="GR491" s="58">
        <f t="shared" si="788"/>
        <v>0</v>
      </c>
      <c r="GS491" s="58">
        <f t="shared" si="789"/>
        <v>0</v>
      </c>
      <c r="GT491" s="58">
        <f t="shared" si="790"/>
        <v>0</v>
      </c>
      <c r="GU491" s="58">
        <f>IF(AND(dd_CheckMate214_TTD="Yes",'Effectiveness settings'!BU491=2,'Effectiveness settings'!BX491=2),2,GT491)</f>
        <v>0</v>
      </c>
      <c r="GV491" s="58">
        <f t="shared" si="791"/>
        <v>0</v>
      </c>
      <c r="GW491" s="58">
        <f t="shared" si="792"/>
        <v>0</v>
      </c>
      <c r="GY491" s="58">
        <f>IF(AND(dd_CheckMate214_TTD="Yes",'Effectiveness settings'!BU491=2,'Effectiveness settings'!BX491=2),1,GN491)</f>
        <v>0</v>
      </c>
      <c r="GZ491" s="58">
        <f t="shared" si="793"/>
        <v>0</v>
      </c>
      <c r="HB491" s="58">
        <f t="shared" si="794"/>
        <v>0</v>
      </c>
      <c r="HD491" s="58">
        <f t="shared" si="768"/>
        <v>0</v>
      </c>
      <c r="HE491" s="58">
        <f t="shared" si="769"/>
        <v>0</v>
      </c>
      <c r="HF491" s="58">
        <f t="shared" si="770"/>
        <v>0</v>
      </c>
      <c r="HG491" s="58">
        <f t="shared" si="771"/>
        <v>0</v>
      </c>
      <c r="HH491" s="58">
        <f t="shared" si="772"/>
        <v>0</v>
      </c>
    </row>
    <row r="492" spans="69:216" ht="15.75" x14ac:dyDescent="0.25">
      <c r="BQ492" s="58">
        <f t="shared" si="774"/>
        <v>280</v>
      </c>
      <c r="BR492" s="61"/>
      <c r="BS492" s="61"/>
      <c r="BT492" s="17"/>
      <c r="BU492" s="17"/>
      <c r="BV492" s="17"/>
      <c r="BW492" s="17"/>
      <c r="BX492" s="61"/>
      <c r="BY492" s="531"/>
      <c r="BZ492" s="530"/>
      <c r="CA492" s="531"/>
      <c r="CB492" s="530"/>
      <c r="CC492" s="530"/>
      <c r="CD492" s="530"/>
      <c r="CE492" s="1295"/>
      <c r="CF492" s="1301"/>
      <c r="CG492" s="530"/>
      <c r="CH492" s="61"/>
      <c r="CI492" s="61"/>
      <c r="CJ492" s="61"/>
      <c r="DK492" s="58" t="str" cm="1">
        <f t="array" ref="DK492">IF(AND($BT492=4,$BX492=4,$BU492=999),$DB$36,_xlfn.IFNA(INDEX(DB$13:DB$70,MATCH(1,($BR492=$CV$13:$CV$70)*($BT492=$CX$13:$CX$70)*($CE492=$CY$13:$CY$70)*($BY492=$DA$13:$DA$70)*($CD492=$DH$13:$DH$70),0)),""))</f>
        <v/>
      </c>
      <c r="DL492" s="58" t="str" cm="1">
        <f t="array" ref="DL492">IF(AND($BT492=4,$BX492=4,$BU492=999),$DC$36,_xlfn.IFNA(INDEX(CHOOSE(DP492,DB$13:DB$70,DC$13:DC$70,DD$13:DD$70,DE$13:DE$70),MATCH(1,($BR492=$CV$13:$CV$70)*($BT492=$CX$13:$CX$70)*($CE492=$CY$13:$CY$70)*($BY492=$DA$13:$DA$70)*($CD492=$DH$13:$DH$70),0)),""))</f>
        <v/>
      </c>
      <c r="DM492" s="740" t="str" cm="1">
        <f t="array" ref="DM492">IF(AND($BT492=4,$BX492=4,$BU492=999),$DD$36,_xlfn.IFNA(INDEX(DD$13:DD$68,MATCH(1,($BR492=$CV$13:$CV$68)*($BT492=$CX$13:$CX$68)*($CE492=$CY$13:$CY$68)*($BY492=$DA$13:$DA$68)*($CD492=$DH$13:$DH$68),0)),""))</f>
        <v/>
      </c>
      <c r="DN492" s="740" t="str" cm="1">
        <f t="array" ref="DN492">IF(AND($BT492=4,$BX492=4,$BU492=999),$DD$36,_xlfn.IFNA(INDEX(DE$13:DE$68,MATCH(1,($BR492=$CV$13:$CV$68)*($BT492=$CX$13:$CX$68)*($CE492=$CY$13:$CY$68)*($BY492=$DA$13:$DA$68)*($CD492=$DH$13:$DH$68),0)),""))</f>
        <v/>
      </c>
      <c r="DO492" s="58" t="str" cm="1">
        <f t="array" ref="DO492">IF(AND($BT492=4,$BX492=4,$BU492=999),$DF$36,_xlfn.IFNA(INDEX(DF$13:DF$70,MATCH(1,($BR492=$CV$13:$CV$70)*($BT492=$CX$13:$CX$70)*($CE492=$CY$13:$CY$70)*($BY492=$DA$13:$DA$70)*($CD492=$DH$13:$DH$70),0)),""))</f>
        <v/>
      </c>
      <c r="DP492" s="58" t="e">
        <f t="shared" si="775"/>
        <v>#N/A</v>
      </c>
      <c r="FT492" s="58">
        <f t="shared" si="776"/>
        <v>0</v>
      </c>
      <c r="FW492" s="58">
        <f>IF(i_baseline_risk_from=2,'Effectiveness settings'!EW492,'Effectiveness settings'!FI492)</f>
        <v>0</v>
      </c>
      <c r="FX492" s="58">
        <f t="shared" si="777"/>
        <v>0</v>
      </c>
      <c r="FY492" s="58">
        <f t="shared" si="778"/>
        <v>0</v>
      </c>
      <c r="FZ492" s="58">
        <f t="shared" si="779"/>
        <v>0</v>
      </c>
      <c r="GA492" s="58">
        <f t="shared" si="780"/>
        <v>0</v>
      </c>
      <c r="GB492" s="58">
        <f t="shared" si="781"/>
        <v>0</v>
      </c>
      <c r="GC492" s="58">
        <f t="shared" si="782"/>
        <v>0</v>
      </c>
      <c r="GD492" s="58">
        <f t="shared" si="783"/>
        <v>0</v>
      </c>
      <c r="GE492" s="58">
        <f>IF(AND(dd_CheckMate214_TTD="Yes",'Effectiveness settings'!BU492=2,'Effectiveness settings'!BX492=2),"Apply HR to",GD492)</f>
        <v>0</v>
      </c>
      <c r="GF492" s="58">
        <f t="shared" si="784"/>
        <v>0</v>
      </c>
      <c r="GG492" s="58">
        <f t="shared" si="785"/>
        <v>0</v>
      </c>
      <c r="GH492" s="58">
        <f t="shared" si="786"/>
        <v>0</v>
      </c>
      <c r="GI492" s="58">
        <f t="shared" si="773"/>
        <v>0</v>
      </c>
      <c r="GK492" s="58">
        <f>IF(i_baseline_risk_from=2,'Effectiveness settings'!FA492,'Effectiveness settings'!FM492)</f>
        <v>0</v>
      </c>
      <c r="GL492" s="58">
        <f>IF(i_baseline_risk_from=2,'Effectiveness settings'!FB492,'Effectiveness settings'!FN492)</f>
        <v>0</v>
      </c>
      <c r="GM492" s="58">
        <f>IF(i_baseline_risk_from=2,'Effectiveness settings'!FC492,'Effectiveness settings'!FO492)</f>
        <v>0</v>
      </c>
      <c r="GN492" s="58">
        <f>IF(i_baseline_risk_from=2,'Effectiveness settings'!FD492,'Effectiveness settings'!FP492)</f>
        <v>0</v>
      </c>
      <c r="GQ492" s="58">
        <f t="shared" si="787"/>
        <v>0</v>
      </c>
      <c r="GR492" s="58">
        <f t="shared" si="788"/>
        <v>0</v>
      </c>
      <c r="GS492" s="58">
        <f t="shared" si="789"/>
        <v>0</v>
      </c>
      <c r="GT492" s="58">
        <f t="shared" si="790"/>
        <v>0</v>
      </c>
      <c r="GU492" s="58">
        <f>IF(AND(dd_CheckMate214_TTD="Yes",'Effectiveness settings'!BU492=2,'Effectiveness settings'!BX492=2),2,GT492)</f>
        <v>0</v>
      </c>
      <c r="GV492" s="58">
        <f t="shared" si="791"/>
        <v>0</v>
      </c>
      <c r="GW492" s="58">
        <f t="shared" si="792"/>
        <v>0</v>
      </c>
      <c r="GY492" s="58">
        <f>IF(AND(dd_CheckMate214_TTD="Yes",'Effectiveness settings'!BU492=2,'Effectiveness settings'!BX492=2),1,GN492)</f>
        <v>0</v>
      </c>
      <c r="GZ492" s="58">
        <f t="shared" si="793"/>
        <v>0</v>
      </c>
      <c r="HB492" s="58">
        <f t="shared" si="794"/>
        <v>0</v>
      </c>
      <c r="HD492" s="58">
        <f t="shared" si="768"/>
        <v>0</v>
      </c>
      <c r="HE492" s="58">
        <f t="shared" si="769"/>
        <v>0</v>
      </c>
      <c r="HF492" s="58">
        <f t="shared" si="770"/>
        <v>0</v>
      </c>
      <c r="HG492" s="58">
        <f t="shared" si="771"/>
        <v>0</v>
      </c>
      <c r="HH492" s="58">
        <f t="shared" si="772"/>
        <v>0</v>
      </c>
    </row>
    <row r="493" spans="69:216" ht="15.75" x14ac:dyDescent="0.25">
      <c r="BQ493" s="58">
        <f t="shared" si="774"/>
        <v>280</v>
      </c>
      <c r="BR493" s="61"/>
      <c r="BS493" s="61"/>
      <c r="BT493" s="17"/>
      <c r="BU493" s="17"/>
      <c r="BV493" s="17"/>
      <c r="BW493" s="17"/>
      <c r="BX493" s="61"/>
      <c r="BY493" s="531"/>
      <c r="BZ493" s="530"/>
      <c r="CA493" s="531"/>
      <c r="CB493" s="530"/>
      <c r="CC493" s="530"/>
      <c r="CD493" s="530"/>
      <c r="CE493" s="1295"/>
      <c r="CF493" s="1301"/>
      <c r="CG493" s="530"/>
      <c r="CH493" s="61"/>
      <c r="CI493" s="61"/>
      <c r="CJ493" s="61"/>
      <c r="DK493" s="58" t="str" cm="1">
        <f t="array" ref="DK493">IF(AND($BT493=4,$BX493=4,$BU493=999),$DB$36,_xlfn.IFNA(INDEX(DB$13:DB$70,MATCH(1,($BR493=$CV$13:$CV$70)*($BT493=$CX$13:$CX$70)*($CE493=$CY$13:$CY$70)*($BY493=$DA$13:$DA$70)*($CD493=$DH$13:$DH$70),0)),""))</f>
        <v/>
      </c>
      <c r="DL493" s="58" t="str" cm="1">
        <f t="array" ref="DL493">IF(AND($BT493=4,$BX493=4,$BU493=999),$DC$36,_xlfn.IFNA(INDEX(CHOOSE(DP493,DB$13:DB$70,DC$13:DC$70,DD$13:DD$70,DE$13:DE$70),MATCH(1,($BR493=$CV$13:$CV$70)*($BT493=$CX$13:$CX$70)*($CE493=$CY$13:$CY$70)*($BY493=$DA$13:$DA$70)*($CD493=$DH$13:$DH$70),0)),""))</f>
        <v/>
      </c>
      <c r="DM493" s="740" t="str" cm="1">
        <f t="array" ref="DM493">IF(AND($BT493=4,$BX493=4,$BU493=999),$DD$36,_xlfn.IFNA(INDEX(DD$13:DD$68,MATCH(1,($BR493=$CV$13:$CV$68)*($BT493=$CX$13:$CX$68)*($CE493=$CY$13:$CY$68)*($BY493=$DA$13:$DA$68)*($CD493=$DH$13:$DH$68),0)),""))</f>
        <v/>
      </c>
      <c r="DN493" s="740" t="str" cm="1">
        <f t="array" ref="DN493">IF(AND($BT493=4,$BX493=4,$BU493=999),$DD$36,_xlfn.IFNA(INDEX(DE$13:DE$68,MATCH(1,($BR493=$CV$13:$CV$68)*($BT493=$CX$13:$CX$68)*($CE493=$CY$13:$CY$68)*($BY493=$DA$13:$DA$68)*($CD493=$DH$13:$DH$68),0)),""))</f>
        <v/>
      </c>
      <c r="DO493" s="58" t="str" cm="1">
        <f t="array" ref="DO493">IF(AND($BT493=4,$BX493=4,$BU493=999),$DF$36,_xlfn.IFNA(INDEX(DF$13:DF$70,MATCH(1,($BR493=$CV$13:$CV$70)*($BT493=$CX$13:$CX$70)*($CE493=$CY$13:$CY$70)*($BY493=$DA$13:$DA$70)*($CD493=$DH$13:$DH$70),0)),""))</f>
        <v/>
      </c>
      <c r="DP493" s="58" t="e">
        <f t="shared" si="775"/>
        <v>#N/A</v>
      </c>
      <c r="FT493" s="58">
        <f t="shared" si="776"/>
        <v>0</v>
      </c>
      <c r="FW493" s="58">
        <f>IF(i_baseline_risk_from=2,'Effectiveness settings'!EW493,'Effectiveness settings'!FI493)</f>
        <v>0</v>
      </c>
      <c r="FX493" s="58">
        <f t="shared" si="777"/>
        <v>0</v>
      </c>
      <c r="FY493" s="58">
        <f t="shared" si="778"/>
        <v>0</v>
      </c>
      <c r="FZ493" s="58">
        <f t="shared" si="779"/>
        <v>0</v>
      </c>
      <c r="GA493" s="58">
        <f t="shared" si="780"/>
        <v>0</v>
      </c>
      <c r="GB493" s="58">
        <f t="shared" si="781"/>
        <v>0</v>
      </c>
      <c r="GC493" s="58">
        <f t="shared" si="782"/>
        <v>0</v>
      </c>
      <c r="GD493" s="58">
        <f t="shared" si="783"/>
        <v>0</v>
      </c>
      <c r="GE493" s="58">
        <f>IF(AND(dd_CheckMate214_TTD="Yes",'Effectiveness settings'!BU493=2,'Effectiveness settings'!BX493=2),"Apply HR to",GD493)</f>
        <v>0</v>
      </c>
      <c r="GF493" s="58">
        <f t="shared" si="784"/>
        <v>0</v>
      </c>
      <c r="GG493" s="58">
        <f t="shared" si="785"/>
        <v>0</v>
      </c>
      <c r="GH493" s="58">
        <f t="shared" si="786"/>
        <v>0</v>
      </c>
      <c r="GI493" s="58">
        <f t="shared" si="773"/>
        <v>0</v>
      </c>
      <c r="GK493" s="58">
        <f>IF(i_baseline_risk_from=2,'Effectiveness settings'!FA493,'Effectiveness settings'!FM493)</f>
        <v>0</v>
      </c>
      <c r="GL493" s="58">
        <f>IF(i_baseline_risk_from=2,'Effectiveness settings'!FB493,'Effectiveness settings'!FN493)</f>
        <v>0</v>
      </c>
      <c r="GM493" s="58">
        <f>IF(i_baseline_risk_from=2,'Effectiveness settings'!FC493,'Effectiveness settings'!FO493)</f>
        <v>0</v>
      </c>
      <c r="GN493" s="58">
        <f>IF(i_baseline_risk_from=2,'Effectiveness settings'!FD493,'Effectiveness settings'!FP493)</f>
        <v>0</v>
      </c>
      <c r="GQ493" s="58">
        <f t="shared" si="787"/>
        <v>0</v>
      </c>
      <c r="GR493" s="58">
        <f t="shared" si="788"/>
        <v>0</v>
      </c>
      <c r="GS493" s="58">
        <f t="shared" si="789"/>
        <v>0</v>
      </c>
      <c r="GT493" s="58">
        <f t="shared" si="790"/>
        <v>0</v>
      </c>
      <c r="GU493" s="58">
        <f>IF(AND(dd_CheckMate214_TTD="Yes",'Effectiveness settings'!BU493=2,'Effectiveness settings'!BX493=2),2,GT493)</f>
        <v>0</v>
      </c>
      <c r="GV493" s="58">
        <f t="shared" si="791"/>
        <v>0</v>
      </c>
      <c r="GW493" s="58">
        <f t="shared" si="792"/>
        <v>0</v>
      </c>
      <c r="GY493" s="58">
        <f>IF(AND(dd_CheckMate214_TTD="Yes",'Effectiveness settings'!BU493=2,'Effectiveness settings'!BX493=2),1,GN493)</f>
        <v>0</v>
      </c>
      <c r="GZ493" s="58">
        <f t="shared" si="793"/>
        <v>0</v>
      </c>
      <c r="HB493" s="58">
        <f t="shared" si="794"/>
        <v>0</v>
      </c>
      <c r="HD493" s="58">
        <f t="shared" si="768"/>
        <v>0</v>
      </c>
      <c r="HE493" s="58">
        <f t="shared" si="769"/>
        <v>0</v>
      </c>
      <c r="HF493" s="58">
        <f t="shared" si="770"/>
        <v>0</v>
      </c>
      <c r="HG493" s="58">
        <f t="shared" si="771"/>
        <v>0</v>
      </c>
      <c r="HH493" s="58">
        <f t="shared" si="772"/>
        <v>0</v>
      </c>
    </row>
    <row r="494" spans="69:216" ht="15.75" x14ac:dyDescent="0.25">
      <c r="BQ494" s="58">
        <f t="shared" si="774"/>
        <v>280</v>
      </c>
      <c r="BR494" s="61"/>
      <c r="BS494" s="61"/>
      <c r="BT494" s="17"/>
      <c r="BU494" s="17"/>
      <c r="BV494" s="17"/>
      <c r="BW494" s="17"/>
      <c r="BX494" s="61"/>
      <c r="BY494" s="531"/>
      <c r="BZ494" s="530"/>
      <c r="CA494" s="531"/>
      <c r="CB494" s="530"/>
      <c r="CC494" s="530"/>
      <c r="CD494" s="530"/>
      <c r="CE494" s="1295"/>
      <c r="CF494" s="1301"/>
      <c r="CG494" s="530"/>
      <c r="CH494" s="61"/>
      <c r="CI494" s="61"/>
      <c r="CJ494" s="61"/>
      <c r="DK494" s="58" t="str" cm="1">
        <f t="array" ref="DK494">IF(AND($BT494=4,$BX494=4,$BU494=999),$DB$36,_xlfn.IFNA(INDEX(DB$13:DB$70,MATCH(1,($BR494=$CV$13:$CV$70)*($BT494=$CX$13:$CX$70)*($CE494=$CY$13:$CY$70)*($BY494=$DA$13:$DA$70)*($CD494=$DH$13:$DH$70),0)),""))</f>
        <v/>
      </c>
      <c r="DL494" s="58" t="str" cm="1">
        <f t="array" ref="DL494">IF(AND($BT494=4,$BX494=4,$BU494=999),$DC$36,_xlfn.IFNA(INDEX(CHOOSE(DP494,DB$13:DB$70,DC$13:DC$70,DD$13:DD$70,DE$13:DE$70),MATCH(1,($BR494=$CV$13:$CV$70)*($BT494=$CX$13:$CX$70)*($CE494=$CY$13:$CY$70)*($BY494=$DA$13:$DA$70)*($CD494=$DH$13:$DH$70),0)),""))</f>
        <v/>
      </c>
      <c r="DM494" s="740" t="str" cm="1">
        <f t="array" ref="DM494">IF(AND($BT494=4,$BX494=4,$BU494=999),$DD$36,_xlfn.IFNA(INDEX(DD$13:DD$68,MATCH(1,($BR494=$CV$13:$CV$68)*($BT494=$CX$13:$CX$68)*($CE494=$CY$13:$CY$68)*($BY494=$DA$13:$DA$68)*($CD494=$DH$13:$DH$68),0)),""))</f>
        <v/>
      </c>
      <c r="DN494" s="740" t="str" cm="1">
        <f t="array" ref="DN494">IF(AND($BT494=4,$BX494=4,$BU494=999),$DD$36,_xlfn.IFNA(INDEX(DE$13:DE$68,MATCH(1,($BR494=$CV$13:$CV$68)*($BT494=$CX$13:$CX$68)*($CE494=$CY$13:$CY$68)*($BY494=$DA$13:$DA$68)*($CD494=$DH$13:$DH$68),0)),""))</f>
        <v/>
      </c>
      <c r="DO494" s="58" t="str" cm="1">
        <f t="array" ref="DO494">IF(AND($BT494=4,$BX494=4,$BU494=999),$DF$36,_xlfn.IFNA(INDEX(DF$13:DF$70,MATCH(1,($BR494=$CV$13:$CV$70)*($BT494=$CX$13:$CX$70)*($CE494=$CY$13:$CY$70)*($BY494=$DA$13:$DA$70)*($CD494=$DH$13:$DH$70),0)),""))</f>
        <v/>
      </c>
      <c r="DP494" s="58" t="e">
        <f t="shared" si="775"/>
        <v>#N/A</v>
      </c>
      <c r="FT494" s="58">
        <f t="shared" si="776"/>
        <v>0</v>
      </c>
      <c r="FW494" s="58">
        <f>IF(i_baseline_risk_from=2,'Effectiveness settings'!EW494,'Effectiveness settings'!FI494)</f>
        <v>0</v>
      </c>
      <c r="FX494" s="58">
        <f t="shared" si="777"/>
        <v>0</v>
      </c>
      <c r="FY494" s="58">
        <f t="shared" si="778"/>
        <v>0</v>
      </c>
      <c r="FZ494" s="58">
        <f t="shared" si="779"/>
        <v>0</v>
      </c>
      <c r="GA494" s="58">
        <f t="shared" si="780"/>
        <v>0</v>
      </c>
      <c r="GB494" s="58">
        <f t="shared" si="781"/>
        <v>0</v>
      </c>
      <c r="GC494" s="58">
        <f t="shared" si="782"/>
        <v>0</v>
      </c>
      <c r="GD494" s="58">
        <f t="shared" si="783"/>
        <v>0</v>
      </c>
      <c r="GE494" s="58">
        <f>IF(AND(dd_CheckMate214_TTD="Yes",'Effectiveness settings'!BU494=2,'Effectiveness settings'!BX494=2),"Apply HR to",GD494)</f>
        <v>0</v>
      </c>
      <c r="GF494" s="58">
        <f t="shared" si="784"/>
        <v>0</v>
      </c>
      <c r="GG494" s="58">
        <f t="shared" si="785"/>
        <v>0</v>
      </c>
      <c r="GH494" s="58">
        <f t="shared" si="786"/>
        <v>0</v>
      </c>
      <c r="GI494" s="58">
        <f t="shared" si="773"/>
        <v>0</v>
      </c>
      <c r="GK494" s="58">
        <f>IF(i_baseline_risk_from=2,'Effectiveness settings'!FA494,'Effectiveness settings'!FM494)</f>
        <v>0</v>
      </c>
      <c r="GL494" s="58">
        <f>IF(i_baseline_risk_from=2,'Effectiveness settings'!FB494,'Effectiveness settings'!FN494)</f>
        <v>0</v>
      </c>
      <c r="GM494" s="58">
        <f>IF(i_baseline_risk_from=2,'Effectiveness settings'!FC494,'Effectiveness settings'!FO494)</f>
        <v>0</v>
      </c>
      <c r="GN494" s="58">
        <f>IF(i_baseline_risk_from=2,'Effectiveness settings'!FD494,'Effectiveness settings'!FP494)</f>
        <v>0</v>
      </c>
      <c r="GQ494" s="58">
        <f t="shared" si="787"/>
        <v>0</v>
      </c>
      <c r="GR494" s="58">
        <f t="shared" si="788"/>
        <v>0</v>
      </c>
      <c r="GS494" s="58">
        <f t="shared" si="789"/>
        <v>0</v>
      </c>
      <c r="GT494" s="58">
        <f t="shared" si="790"/>
        <v>0</v>
      </c>
      <c r="GU494" s="58">
        <f>IF(AND(dd_CheckMate214_TTD="Yes",'Effectiveness settings'!BU494=2,'Effectiveness settings'!BX494=2),2,GT494)</f>
        <v>0</v>
      </c>
      <c r="GV494" s="58">
        <f t="shared" si="791"/>
        <v>0</v>
      </c>
      <c r="GW494" s="58">
        <f t="shared" si="792"/>
        <v>0</v>
      </c>
      <c r="GY494" s="58">
        <f>IF(AND(dd_CheckMate214_TTD="Yes",'Effectiveness settings'!BU494=2,'Effectiveness settings'!BX494=2),1,GN494)</f>
        <v>0</v>
      </c>
      <c r="GZ494" s="58">
        <f t="shared" si="793"/>
        <v>0</v>
      </c>
      <c r="HB494" s="58">
        <f t="shared" si="794"/>
        <v>0</v>
      </c>
      <c r="HD494" s="58">
        <f t="shared" si="768"/>
        <v>0</v>
      </c>
      <c r="HE494" s="58">
        <f t="shared" si="769"/>
        <v>0</v>
      </c>
      <c r="HF494" s="58">
        <f t="shared" si="770"/>
        <v>0</v>
      </c>
      <c r="HG494" s="58">
        <f t="shared" si="771"/>
        <v>0</v>
      </c>
      <c r="HH494" s="58">
        <f t="shared" si="772"/>
        <v>0</v>
      </c>
    </row>
    <row r="495" spans="69:216" ht="15.75" x14ac:dyDescent="0.25">
      <c r="BQ495" s="58">
        <f t="shared" si="774"/>
        <v>280</v>
      </c>
      <c r="BR495" s="61"/>
      <c r="BS495" s="61"/>
      <c r="BT495" s="17"/>
      <c r="BU495" s="17"/>
      <c r="BV495" s="17"/>
      <c r="BW495" s="17"/>
      <c r="BX495" s="61"/>
      <c r="BY495" s="531"/>
      <c r="BZ495" s="530"/>
      <c r="CA495" s="531"/>
      <c r="CB495" s="530"/>
      <c r="CC495" s="530"/>
      <c r="CD495" s="530"/>
      <c r="CE495" s="1295"/>
      <c r="CF495" s="1301"/>
      <c r="CG495" s="530"/>
      <c r="CH495" s="61"/>
      <c r="CI495" s="61"/>
      <c r="CJ495" s="61"/>
      <c r="DK495" s="58" t="str" cm="1">
        <f t="array" ref="DK495">IF(AND($BT495=4,$BX495=4,$BU495=999),$DB$36,_xlfn.IFNA(INDEX(DB$13:DB$70,MATCH(1,($BR495=$CV$13:$CV$70)*($BT495=$CX$13:$CX$70)*($CE495=$CY$13:$CY$70)*($BY495=$DA$13:$DA$70)*($CD495=$DH$13:$DH$70),0)),""))</f>
        <v/>
      </c>
      <c r="DL495" s="58" t="str" cm="1">
        <f t="array" ref="DL495">IF(AND($BT495=4,$BX495=4,$BU495=999),$DC$36,_xlfn.IFNA(INDEX(CHOOSE(DP495,DB$13:DB$70,DC$13:DC$70,DD$13:DD$70,DE$13:DE$70),MATCH(1,($BR495=$CV$13:$CV$70)*($BT495=$CX$13:$CX$70)*($CE495=$CY$13:$CY$70)*($BY495=$DA$13:$DA$70)*($CD495=$DH$13:$DH$70),0)),""))</f>
        <v/>
      </c>
      <c r="DM495" s="740" t="str" cm="1">
        <f t="array" ref="DM495">IF(AND($BT495=4,$BX495=4,$BU495=999),$DD$36,_xlfn.IFNA(INDEX(DD$13:DD$68,MATCH(1,($BR495=$CV$13:$CV$68)*($BT495=$CX$13:$CX$68)*($CE495=$CY$13:$CY$68)*($BY495=$DA$13:$DA$68)*($CD495=$DH$13:$DH$68),0)),""))</f>
        <v/>
      </c>
      <c r="DN495" s="740" t="str" cm="1">
        <f t="array" ref="DN495">IF(AND($BT495=4,$BX495=4,$BU495=999),$DD$36,_xlfn.IFNA(INDEX(DE$13:DE$68,MATCH(1,($BR495=$CV$13:$CV$68)*($BT495=$CX$13:$CX$68)*($CE495=$CY$13:$CY$68)*($BY495=$DA$13:$DA$68)*($CD495=$DH$13:$DH$68),0)),""))</f>
        <v/>
      </c>
      <c r="DO495" s="58" t="str" cm="1">
        <f t="array" ref="DO495">IF(AND($BT495=4,$BX495=4,$BU495=999),$DF$36,_xlfn.IFNA(INDEX(DF$13:DF$70,MATCH(1,($BR495=$CV$13:$CV$70)*($BT495=$CX$13:$CX$70)*($CE495=$CY$13:$CY$70)*($BY495=$DA$13:$DA$70)*($CD495=$DH$13:$DH$70),0)),""))</f>
        <v/>
      </c>
      <c r="DP495" s="58" t="e">
        <f t="shared" si="775"/>
        <v>#N/A</v>
      </c>
      <c r="FT495" s="58">
        <f t="shared" si="776"/>
        <v>0</v>
      </c>
      <c r="FW495" s="58">
        <f>IF(i_baseline_risk_from=2,'Effectiveness settings'!EW495,'Effectiveness settings'!FI495)</f>
        <v>0</v>
      </c>
      <c r="FX495" s="58">
        <f t="shared" si="777"/>
        <v>0</v>
      </c>
      <c r="FY495" s="58">
        <f t="shared" si="778"/>
        <v>0</v>
      </c>
      <c r="FZ495" s="58">
        <f t="shared" si="779"/>
        <v>0</v>
      </c>
      <c r="GA495" s="58">
        <f t="shared" si="780"/>
        <v>0</v>
      </c>
      <c r="GB495" s="58">
        <f t="shared" si="781"/>
        <v>0</v>
      </c>
      <c r="GC495" s="58">
        <f t="shared" si="782"/>
        <v>0</v>
      </c>
      <c r="GD495" s="58">
        <f t="shared" si="783"/>
        <v>0</v>
      </c>
      <c r="GE495" s="58">
        <f>IF(AND(dd_CheckMate214_TTD="Yes",'Effectiveness settings'!BU495=2,'Effectiveness settings'!BX495=2),"Apply HR to",GD495)</f>
        <v>0</v>
      </c>
      <c r="GF495" s="58">
        <f t="shared" si="784"/>
        <v>0</v>
      </c>
      <c r="GG495" s="58">
        <f t="shared" si="785"/>
        <v>0</v>
      </c>
      <c r="GH495" s="58">
        <f t="shared" si="786"/>
        <v>0</v>
      </c>
      <c r="GI495" s="58">
        <f t="shared" si="773"/>
        <v>0</v>
      </c>
      <c r="GK495" s="58">
        <f>IF(i_baseline_risk_from=2,'Effectiveness settings'!FA495,'Effectiveness settings'!FM495)</f>
        <v>0</v>
      </c>
      <c r="GL495" s="58">
        <f>IF(i_baseline_risk_from=2,'Effectiveness settings'!FB495,'Effectiveness settings'!FN495)</f>
        <v>0</v>
      </c>
      <c r="GM495" s="58">
        <f>IF(i_baseline_risk_from=2,'Effectiveness settings'!FC495,'Effectiveness settings'!FO495)</f>
        <v>0</v>
      </c>
      <c r="GN495" s="58">
        <f>IF(i_baseline_risk_from=2,'Effectiveness settings'!FD495,'Effectiveness settings'!FP495)</f>
        <v>0</v>
      </c>
      <c r="GQ495" s="58">
        <f t="shared" si="787"/>
        <v>0</v>
      </c>
      <c r="GR495" s="58">
        <f t="shared" si="788"/>
        <v>0</v>
      </c>
      <c r="GS495" s="58">
        <f t="shared" si="789"/>
        <v>0</v>
      </c>
      <c r="GT495" s="58">
        <f t="shared" si="790"/>
        <v>0</v>
      </c>
      <c r="GU495" s="58">
        <f>IF(AND(dd_CheckMate214_TTD="Yes",'Effectiveness settings'!BU495=2,'Effectiveness settings'!BX495=2),2,GT495)</f>
        <v>0</v>
      </c>
      <c r="GV495" s="58">
        <f t="shared" si="791"/>
        <v>0</v>
      </c>
      <c r="GW495" s="58">
        <f t="shared" si="792"/>
        <v>0</v>
      </c>
      <c r="GY495" s="58">
        <f>IF(AND(dd_CheckMate214_TTD="Yes",'Effectiveness settings'!BU495=2,'Effectiveness settings'!BX495=2),1,GN495)</f>
        <v>0</v>
      </c>
      <c r="GZ495" s="58">
        <f t="shared" si="793"/>
        <v>0</v>
      </c>
      <c r="HB495" s="58">
        <f t="shared" si="794"/>
        <v>0</v>
      </c>
      <c r="HD495" s="58">
        <f t="shared" si="768"/>
        <v>0</v>
      </c>
      <c r="HE495" s="58">
        <f t="shared" si="769"/>
        <v>0</v>
      </c>
      <c r="HF495" s="58">
        <f t="shared" si="770"/>
        <v>0</v>
      </c>
      <c r="HG495" s="58">
        <f t="shared" si="771"/>
        <v>0</v>
      </c>
      <c r="HH495" s="58">
        <f t="shared" si="772"/>
        <v>0</v>
      </c>
    </row>
    <row r="496" spans="69:216" ht="16.5" thickBot="1" x14ac:dyDescent="0.3">
      <c r="BQ496" s="58">
        <f t="shared" si="774"/>
        <v>280</v>
      </c>
      <c r="BR496" s="506"/>
      <c r="BS496" s="506"/>
      <c r="BT496" s="19"/>
      <c r="BU496" s="19"/>
      <c r="BV496" s="19"/>
      <c r="BW496" s="19"/>
      <c r="BX496" s="506"/>
      <c r="BY496" s="629"/>
      <c r="BZ496" s="630"/>
      <c r="CA496" s="629"/>
      <c r="CB496" s="630"/>
      <c r="CC496" s="630"/>
      <c r="CD496" s="630"/>
      <c r="CE496" s="1299"/>
      <c r="CF496" s="1302"/>
      <c r="CG496" s="630"/>
      <c r="CH496" s="506"/>
      <c r="CI496" s="506"/>
      <c r="CJ496" s="506"/>
      <c r="DK496" s="58" t="str" cm="1">
        <f t="array" ref="DK496">IF(AND($BT496=4,$BX496=4,$BU496=999),$DB$36,_xlfn.IFNA(INDEX(DB$13:DB$70,MATCH(1,($BR496=$CV$13:$CV$70)*($BT496=$CX$13:$CX$70)*($CE496=$CY$13:$CY$70)*($BY496=$DA$13:$DA$70)*($CD496=$DH$13:$DH$70),0)),""))</f>
        <v/>
      </c>
      <c r="DL496" s="58" t="str" cm="1">
        <f t="array" ref="DL496">IF(AND($BT496=4,$BX496=4,$BU496=999),$DC$36,_xlfn.IFNA(INDEX(CHOOSE(DP496,DB$13:DB$70,DC$13:DC$70,DD$13:DD$70,DE$13:DE$70),MATCH(1,($BR496=$CV$13:$CV$70)*($BT496=$CX$13:$CX$70)*($CE496=$CY$13:$CY$70)*($BY496=$DA$13:$DA$70)*($CD496=$DH$13:$DH$70),0)),""))</f>
        <v/>
      </c>
      <c r="DM496" s="740" t="str" cm="1">
        <f t="array" ref="DM496">IF(AND($BT496=4,$BX496=4,$BU496=999),$DD$36,_xlfn.IFNA(INDEX(DD$13:DD$68,MATCH(1,($BR496=$CV$13:$CV$68)*($BT496=$CX$13:$CX$68)*($CE496=$CY$13:$CY$68)*($BY496=$DA$13:$DA$68)*($CD496=$DH$13:$DH$68),0)),""))</f>
        <v/>
      </c>
      <c r="DN496" s="740" t="str" cm="1">
        <f t="array" ref="DN496">IF(AND($BT496=4,$BX496=4,$BU496=999),$DD$36,_xlfn.IFNA(INDEX(DE$13:DE$68,MATCH(1,($BR496=$CV$13:$CV$68)*($BT496=$CX$13:$CX$68)*($CE496=$CY$13:$CY$68)*($BY496=$DA$13:$DA$68)*($CD496=$DH$13:$DH$68),0)),""))</f>
        <v/>
      </c>
      <c r="DO496" s="58" t="str" cm="1">
        <f t="array" ref="DO496">IF(AND($BT496=4,$BX496=4,$BU496=999),$DF$36,_xlfn.IFNA(INDEX(DF$13:DF$70,MATCH(1,($BR496=$CV$13:$CV$70)*($BT496=$CX$13:$CX$70)*($CE496=$CY$13:$CY$70)*($BY496=$DA$13:$DA$70)*($CD496=$DH$13:$DH$70),0)),""))</f>
        <v/>
      </c>
      <c r="DP496" s="58" t="e">
        <f t="shared" si="775"/>
        <v>#N/A</v>
      </c>
      <c r="FT496" s="58">
        <f t="shared" si="776"/>
        <v>0</v>
      </c>
      <c r="FW496" s="58">
        <f>IF(i_baseline_risk_from=2,'Effectiveness settings'!EW496,'Effectiveness settings'!FI496)</f>
        <v>0</v>
      </c>
      <c r="FX496" s="58">
        <f t="shared" si="777"/>
        <v>0</v>
      </c>
      <c r="FY496" s="58">
        <f t="shared" si="778"/>
        <v>0</v>
      </c>
      <c r="FZ496" s="58">
        <f t="shared" si="779"/>
        <v>0</v>
      </c>
      <c r="GA496" s="58">
        <f t="shared" si="780"/>
        <v>0</v>
      </c>
      <c r="GB496" s="58">
        <f t="shared" si="781"/>
        <v>0</v>
      </c>
      <c r="GC496" s="58">
        <f t="shared" si="782"/>
        <v>0</v>
      </c>
      <c r="GD496" s="58">
        <f t="shared" si="783"/>
        <v>0</v>
      </c>
      <c r="GE496" s="58">
        <f>IF(AND(dd_CheckMate214_TTD="Yes",'Effectiveness settings'!BU496=2,'Effectiveness settings'!BX496=2),"Apply HR to",GD496)</f>
        <v>0</v>
      </c>
      <c r="GF496" s="58">
        <f t="shared" si="784"/>
        <v>0</v>
      </c>
      <c r="GG496" s="58">
        <f t="shared" si="785"/>
        <v>0</v>
      </c>
      <c r="GH496" s="58">
        <f t="shared" si="786"/>
        <v>0</v>
      </c>
      <c r="GI496" s="58">
        <f t="shared" si="773"/>
        <v>0</v>
      </c>
      <c r="GK496" s="58">
        <f>IF(i_baseline_risk_from=2,'Effectiveness settings'!FA496,'Effectiveness settings'!FM496)</f>
        <v>0</v>
      </c>
      <c r="GL496" s="58">
        <f>IF(i_baseline_risk_from=2,'Effectiveness settings'!FB496,'Effectiveness settings'!FN496)</f>
        <v>0</v>
      </c>
      <c r="GM496" s="58">
        <f>IF(i_baseline_risk_from=2,'Effectiveness settings'!FC496,'Effectiveness settings'!FO496)</f>
        <v>0</v>
      </c>
      <c r="GN496" s="58">
        <f>IF(i_baseline_risk_from=2,'Effectiveness settings'!FD496,'Effectiveness settings'!FP496)</f>
        <v>0</v>
      </c>
      <c r="GQ496" s="58">
        <f t="shared" si="787"/>
        <v>0</v>
      </c>
      <c r="GR496" s="58">
        <f t="shared" si="788"/>
        <v>0</v>
      </c>
      <c r="GS496" s="58">
        <f t="shared" si="789"/>
        <v>0</v>
      </c>
      <c r="GT496" s="58">
        <f t="shared" si="790"/>
        <v>0</v>
      </c>
      <c r="GU496" s="58">
        <f>IF(AND(dd_CheckMate214_TTD="Yes",'Effectiveness settings'!BU496=2,'Effectiveness settings'!BX496=2),2,GT496)</f>
        <v>0</v>
      </c>
      <c r="GV496" s="58">
        <f t="shared" si="791"/>
        <v>0</v>
      </c>
      <c r="GW496" s="58">
        <f t="shared" si="792"/>
        <v>0</v>
      </c>
      <c r="GY496" s="58">
        <f>IF(AND(dd_CheckMate214_TTD="Yes",'Effectiveness settings'!BU496=2,'Effectiveness settings'!BX496=2),1,GN496)</f>
        <v>0</v>
      </c>
      <c r="GZ496" s="58">
        <f t="shared" si="793"/>
        <v>0</v>
      </c>
      <c r="HB496" s="58">
        <f t="shared" si="794"/>
        <v>0</v>
      </c>
      <c r="HD496" s="58">
        <f t="shared" si="768"/>
        <v>0</v>
      </c>
      <c r="HE496" s="58">
        <f t="shared" si="769"/>
        <v>0</v>
      </c>
      <c r="HF496" s="58">
        <f t="shared" si="770"/>
        <v>0</v>
      </c>
      <c r="HG496" s="58">
        <f t="shared" si="771"/>
        <v>0</v>
      </c>
      <c r="HH496" s="58">
        <f t="shared" si="772"/>
        <v>0</v>
      </c>
    </row>
    <row r="497" spans="69:216" ht="15.75" x14ac:dyDescent="0.25">
      <c r="BQ497" s="58">
        <f t="shared" si="774"/>
        <v>281</v>
      </c>
      <c r="BR497" s="505">
        <v>0</v>
      </c>
      <c r="BS497" s="505" t="s">
        <v>31</v>
      </c>
      <c r="BT497" s="252">
        <v>3</v>
      </c>
      <c r="BU497" s="252">
        <v>0</v>
      </c>
      <c r="BV497" s="252" t="str">
        <f t="shared" ref="BV497:BV510" si="795">D259</f>
        <v>nivolumab_monotherapy</v>
      </c>
      <c r="BW497" s="1006" t="str" cm="1">
        <f t="array" ref="BW497">IF(AL259="No",AL259,INDEX(List_incl_anal_3L_all,IF(BU497=999,35,BU497+1)))</f>
        <v>Yes</v>
      </c>
      <c r="BX497" s="61">
        <f t="shared" ref="BX497:BX510" si="796">MATCH(BY497,List_eff_endpoints,0)-1</f>
        <v>0</v>
      </c>
      <c r="BY497" s="532" t="str">
        <f>AM259</f>
        <v>Overall survival</v>
      </c>
      <c r="BZ497" s="530" t="str">
        <f t="shared" ref="BZ497:BZ510" si="797">GI497</f>
        <v>PH_NMA</v>
      </c>
      <c r="CA497" s="531">
        <f>FT497</f>
        <v>0</v>
      </c>
      <c r="CB497" s="530">
        <f t="shared" ref="CB497:CB510" si="798">HD497</f>
        <v>0</v>
      </c>
      <c r="CC497" s="530">
        <f t="shared" ref="CC497:CC510" si="799">HE497</f>
        <v>3</v>
      </c>
      <c r="CD497" s="530">
        <f t="shared" ref="CD497:CD510" si="800">HF497</f>
        <v>8</v>
      </c>
      <c r="CE497" s="1295">
        <f t="shared" ref="CE497:CE510" si="801">HG497</f>
        <v>2</v>
      </c>
      <c r="CF497" s="1301">
        <f t="shared" ref="CF497:CF510" si="802">HH497</f>
        <v>0</v>
      </c>
      <c r="CG497" s="530" t="str">
        <f t="shared" ref="CG497:CG510" si="803">IF(i_surv_cur=1,DK497,DL497)</f>
        <v>Log-logistic</v>
      </c>
      <c r="CH497" s="505">
        <f t="shared" ref="CH497:CH510" si="804">AV259</f>
        <v>0</v>
      </c>
      <c r="CI497" s="505">
        <f t="shared" ref="CI497:CI510" si="805">AW259</f>
        <v>0</v>
      </c>
      <c r="CJ497" s="505">
        <f t="shared" ref="CJ497:CJ510" si="806">AX259</f>
        <v>0</v>
      </c>
      <c r="DK497" s="58" t="str" cm="1">
        <f t="array" ref="DK497">IF(AND($BT497=4,$BX497=4,$BU497=999),$DB$36,_xlfn.IFNA(INDEX(DB$13:DB$70,MATCH(1,($BR497=$CV$13:$CV$70)*($BT497=$CX$13:$CX$70)*($CE497=$CY$13:$CY$70)*($BY497=$DA$13:$DA$70)*($CD497=$DH$13:$DH$70),0)),""))</f>
        <v>Log-logistic</v>
      </c>
      <c r="DL497" s="58" t="str" cm="1">
        <f t="array" ref="DL497">IF(AND($BT497=4,$BX497=4,$BU497=999),$DC$36,_xlfn.IFNA(INDEX(CHOOSE(DP497,DB$13:DB$70,DC$13:DC$70,DD$13:DD$70,DE$13:DE$70),MATCH(1,($BR497=$CV$13:$CV$70)*($BT497=$CX$13:$CX$70)*($CE497=$CY$13:$CY$70)*($BY497=$DA$13:$DA$70)*($CD497=$DH$13:$DH$70),0)),""))</f>
        <v>Log-logistic</v>
      </c>
      <c r="DM497" s="740" cm="1">
        <f t="array" ref="DM497">IF(AND($BT497=4,$BX497=4,$BU497=999),$DD$36,_xlfn.IFNA(INDEX(DD$13:DD$68,MATCH(1,($BR497=$CV$13:$CV$68)*($BT497=$CX$13:$CX$68)*($CE497=$CY$13:$CY$68)*($BY497=$DA$13:$DA$68)*($CD497=$DH$13:$DH$68),0)),""))</f>
        <v>0</v>
      </c>
      <c r="DN497" s="740" cm="1">
        <f t="array" ref="DN497">IF(AND($BT497=4,$BX497=4,$BU497=999),$DD$36,_xlfn.IFNA(INDEX(DE$13:DE$68,MATCH(1,($BR497=$CV$13:$CV$68)*($BT497=$CX$13:$CX$68)*($CE497=$CY$13:$CY$68)*($BY497=$DA$13:$DA$68)*($CD497=$DH$13:$DH$68),0)),""))</f>
        <v>0</v>
      </c>
      <c r="DO497" s="58" t="str" cm="1">
        <f t="array" ref="DO497">IF(AND($BT497=4,$BX497=4,$BU497=999),$DF$36,_xlfn.IFNA(INDEX(DF$13:DF$70,MATCH(1,($BR497=$CV$13:$CV$70)*($BT497=$CX$13:$CX$70)*($CE497=$CY$13:$CY$70)*($BY497=$DA$13:$DA$70)*($CD497=$DH$13:$DH$70),0)),""))</f>
        <v>Base case</v>
      </c>
      <c r="DP497" s="58">
        <f t="shared" si="775"/>
        <v>1</v>
      </c>
      <c r="DW497" s="58" t="s">
        <v>74</v>
      </c>
      <c r="DX497" s="58" t="s">
        <v>544</v>
      </c>
      <c r="DY497" s="58" t="s">
        <v>63</v>
      </c>
      <c r="DZ497" s="58">
        <v>0</v>
      </c>
      <c r="EB497" s="58">
        <v>0</v>
      </c>
      <c r="EC497" s="58">
        <v>3</v>
      </c>
      <c r="ED497" s="58">
        <v>8</v>
      </c>
      <c r="EE497" s="58">
        <v>2</v>
      </c>
      <c r="EF497" s="58">
        <v>0</v>
      </c>
      <c r="EI497" s="58" t="s">
        <v>74</v>
      </c>
      <c r="EJ497" s="58" t="s">
        <v>544</v>
      </c>
      <c r="EK497" s="58" t="s">
        <v>63</v>
      </c>
      <c r="EL497" s="58">
        <v>0</v>
      </c>
      <c r="EN497" s="58">
        <v>0</v>
      </c>
      <c r="EO497" s="58">
        <v>2</v>
      </c>
      <c r="EP497" s="58">
        <v>10</v>
      </c>
      <c r="EQ497" s="58">
        <v>1</v>
      </c>
      <c r="ER497" s="58">
        <v>0</v>
      </c>
      <c r="EU497" s="58" t="str">
        <f t="shared" ref="EU497:EU510" si="807">IF(i_eff_inputs_based_on_num=2,DW497,AL259)</f>
        <v>Yes</v>
      </c>
      <c r="EV497" s="58" t="str">
        <f t="shared" ref="EV497:EV510" si="808">IF(i_eff_inputs_based_on_num=2,DX497,AM259)</f>
        <v>Overall survival</v>
      </c>
      <c r="EW497" s="58" t="str">
        <f t="shared" ref="EW497:EW510" si="809">IF(i_eff_inputs_based_on_num=2,DY497,AN259)</f>
        <v>FP_NMA</v>
      </c>
      <c r="EX497" s="58">
        <f t="shared" ref="EX497:EX510" si="810">IF(i_eff_inputs_based_on_num=2,DZ497,AO259)</f>
        <v>0</v>
      </c>
      <c r="EZ497" s="58">
        <f t="shared" ref="EZ497:EZ510" si="811">IF(i_eff_inputs_based_on_num=2,EB497,VLOOKUP(AP259,r_pld_lookup_line,3,FALSE))</f>
        <v>0</v>
      </c>
      <c r="FA497" s="58">
        <f t="shared" ref="FA497:FA510" si="812">IF(i_eff_inputs_based_on_num=2,EC497,VLOOKUP(AQ259,r_pld_lookup_line,3,FALSE))</f>
        <v>3</v>
      </c>
      <c r="FB497" s="58">
        <f>IF(i_eff_inputs_based_on_num=2,ED497,(INDEX(Lists!$L$51:$L$85,MATCH(AR259,Lists!$K$51:$K$85,0))))</f>
        <v>8</v>
      </c>
      <c r="FC497" s="58">
        <f>IF(i_eff_inputs_based_on_num=2,EE497,(INDEX(Lists!$L$51:$L$85,MATCH(AS259,Lists!$K$51:$K$85,0))))</f>
        <v>2</v>
      </c>
      <c r="FD497" s="58">
        <f>IF(i_eff_inputs_based_on_num=2,EF497,(INDEX(Lists!$L$51:$L$85,MATCH(AT259,Lists!$K$51:$K$85,0))))</f>
        <v>0</v>
      </c>
      <c r="FG497" s="58" t="str">
        <f t="shared" ref="FG497:FG510" si="813">IF(i_eff_inputs_based_on_num=2,EI497,AL259)</f>
        <v>Yes</v>
      </c>
      <c r="FH497" s="58" t="str">
        <f t="shared" ref="FH497:FH510" si="814">IF(i_eff_inputs_based_on_num=2,EJ497,AM259)</f>
        <v>Overall survival</v>
      </c>
      <c r="FI497" s="58" t="str">
        <f t="shared" ref="FI497:FI510" si="815">IF(i_eff_inputs_based_on_num=2,EK497,AN259)</f>
        <v>FP_NMA</v>
      </c>
      <c r="FJ497" s="58">
        <f t="shared" ref="FJ497:FJ510" si="816">IF(i_eff_inputs_based_on_num=2,EL497,AO259)</f>
        <v>0</v>
      </c>
      <c r="FL497" s="58">
        <f t="shared" ref="FL497:FL510" si="817">IF(i_eff_inputs_based_on_num=2,EN497,VLOOKUP(AP259,r_pld_lookup_line,3,FALSE))</f>
        <v>0</v>
      </c>
      <c r="FM497" s="58">
        <f t="shared" ref="FM497:FM510" si="818">IF(i_eff_inputs_based_on_num=2,EO497,VLOOKUP(AQ259,r_pld_lookup_line,3,FALSE))</f>
        <v>2</v>
      </c>
      <c r="FN497" s="58">
        <f>IF(i_eff_inputs_based_on_num=2,EP497,(INDEX(Lists!$L$51:$L$85,MATCH(AR259,Lists!$K$51:$K$85,0))))</f>
        <v>10</v>
      </c>
      <c r="FO497" s="58">
        <f>IF(i_eff_inputs_based_on_num=2,EQ497,(INDEX(Lists!$L$51:$L$85,MATCH(AS259,Lists!$K$51:$K$85,0))))</f>
        <v>1</v>
      </c>
      <c r="FP497" s="58">
        <f>IF(i_eff_inputs_based_on_num=2,ER497,(INDEX(Lists!$L$51:$L$85,MATCH(AT259,Lists!$K$51:$K$85,0))))</f>
        <v>0</v>
      </c>
      <c r="FT497" s="58">
        <f t="shared" si="776"/>
        <v>0</v>
      </c>
      <c r="FW497" s="58" t="str">
        <f>IF(i_baseline_risk_from=2,'Effectiveness settings'!EW497,'Effectiveness settings'!FI497)</f>
        <v>FP_NMA</v>
      </c>
      <c r="FX497" s="58" t="str">
        <f t="shared" si="777"/>
        <v>PH_NMA</v>
      </c>
      <c r="FY497" s="58" t="str">
        <f t="shared" si="778"/>
        <v>PH_NMA</v>
      </c>
      <c r="FZ497" s="58" t="str">
        <f t="shared" si="779"/>
        <v>PH_NMA</v>
      </c>
      <c r="GA497" s="58" t="str">
        <f t="shared" si="780"/>
        <v>PH_NMA</v>
      </c>
      <c r="GB497" s="58" t="str">
        <f t="shared" si="781"/>
        <v>PH_NMA</v>
      </c>
      <c r="GC497" s="58" t="str">
        <f t="shared" si="782"/>
        <v>PH_NMA</v>
      </c>
      <c r="GD497" s="58" t="str">
        <f t="shared" si="783"/>
        <v>PH_NMA</v>
      </c>
      <c r="GE497" s="58" t="str">
        <f>IF(AND(dd_CheckMate214_TTD="Yes",'Effectiveness settings'!BU497=2,'Effectiveness settings'!BX497=2),"Apply HR to",GD497)</f>
        <v>PH_NMA</v>
      </c>
      <c r="GF497" s="58" t="str">
        <f t="shared" si="784"/>
        <v>PH_NMA</v>
      </c>
      <c r="GG497" s="58" t="str">
        <f t="shared" si="785"/>
        <v>PH_NMA</v>
      </c>
      <c r="GH497" s="58" t="str">
        <f t="shared" si="786"/>
        <v>PH_NMA</v>
      </c>
      <c r="GI497" s="58" t="str">
        <f t="shared" si="773"/>
        <v>PH_NMA</v>
      </c>
      <c r="GK497" s="58">
        <f>IF(i_baseline_risk_from=2,'Effectiveness settings'!FA497,'Effectiveness settings'!FM497)</f>
        <v>3</v>
      </c>
      <c r="GL497" s="58">
        <f>IF(i_baseline_risk_from=2,'Effectiveness settings'!FB497,'Effectiveness settings'!FN497)</f>
        <v>8</v>
      </c>
      <c r="GM497" s="58">
        <f>IF(i_baseline_risk_from=2,'Effectiveness settings'!FC497,'Effectiveness settings'!FO497)</f>
        <v>2</v>
      </c>
      <c r="GN497" s="58">
        <f>IF(i_baseline_risk_from=2,'Effectiveness settings'!FD497,'Effectiveness settings'!FP497)</f>
        <v>0</v>
      </c>
      <c r="GQ497" s="58">
        <f t="shared" si="787"/>
        <v>8</v>
      </c>
      <c r="GR497" s="58">
        <f t="shared" si="788"/>
        <v>8</v>
      </c>
      <c r="GS497" s="58">
        <f t="shared" si="789"/>
        <v>8</v>
      </c>
      <c r="GT497" s="58">
        <f t="shared" si="790"/>
        <v>8</v>
      </c>
      <c r="GU497" s="58">
        <f>IF(AND(dd_CheckMate214_TTD="Yes",'Effectiveness settings'!BU497=2,'Effectiveness settings'!BX497=2),2,GT497)</f>
        <v>8</v>
      </c>
      <c r="GV497" s="58">
        <f t="shared" si="791"/>
        <v>8</v>
      </c>
      <c r="GW497" s="58">
        <f t="shared" si="792"/>
        <v>8</v>
      </c>
      <c r="GY497" s="58">
        <f>IF(AND(dd_CheckMate214_TTD="Yes",'Effectiveness settings'!BU497=2,'Effectiveness settings'!BX497=2),1,GN497)</f>
        <v>0</v>
      </c>
      <c r="GZ497" s="58">
        <f t="shared" si="793"/>
        <v>0</v>
      </c>
      <c r="HB497" s="58">
        <f t="shared" si="794"/>
        <v>0</v>
      </c>
      <c r="HD497" s="58">
        <f t="shared" si="768"/>
        <v>0</v>
      </c>
      <c r="HE497" s="58">
        <f t="shared" si="769"/>
        <v>3</v>
      </c>
      <c r="HF497" s="58">
        <f t="shared" si="770"/>
        <v>8</v>
      </c>
      <c r="HG497" s="58">
        <f t="shared" si="771"/>
        <v>2</v>
      </c>
      <c r="HH497" s="58">
        <f t="shared" si="772"/>
        <v>0</v>
      </c>
    </row>
    <row r="498" spans="69:216" ht="15.75" x14ac:dyDescent="0.25">
      <c r="BQ498" s="58">
        <f t="shared" si="774"/>
        <v>282</v>
      </c>
      <c r="BR498" s="61">
        <v>0</v>
      </c>
      <c r="BS498" s="61" t="s">
        <v>31</v>
      </c>
      <c r="BT498" s="17">
        <v>3</v>
      </c>
      <c r="BU498" s="17">
        <v>1</v>
      </c>
      <c r="BV498" s="17" t="str">
        <f t="shared" si="795"/>
        <v>cabozantinib_plus_nivolumab</v>
      </c>
      <c r="BW498" s="1006" t="str" cm="1">
        <f t="array" ref="BW498">IF(AL260="No",AL260,INDEX(List_incl_anal_3L_all,IF(BU498=999,35,BU498+1)))</f>
        <v>No</v>
      </c>
      <c r="BX498" s="61">
        <f t="shared" si="796"/>
        <v>0</v>
      </c>
      <c r="BY498" s="531" t="str">
        <f>AM260</f>
        <v>Overall survival</v>
      </c>
      <c r="BZ498" s="530">
        <f t="shared" si="797"/>
        <v>0</v>
      </c>
      <c r="CA498" s="531">
        <f t="shared" ref="CA498:CA510" si="819">FT498</f>
        <v>0</v>
      </c>
      <c r="CB498" s="530">
        <f t="shared" si="798"/>
        <v>0</v>
      </c>
      <c r="CC498" s="530">
        <f t="shared" si="799"/>
        <v>3</v>
      </c>
      <c r="CD498" s="530">
        <f t="shared" si="800"/>
        <v>8</v>
      </c>
      <c r="CE498" s="1295">
        <f t="shared" si="801"/>
        <v>2</v>
      </c>
      <c r="CF498" s="1301">
        <f t="shared" si="802"/>
        <v>0</v>
      </c>
      <c r="CG498" s="530" t="str">
        <f t="shared" si="803"/>
        <v>Log-logistic</v>
      </c>
      <c r="CH498" s="505">
        <f t="shared" si="804"/>
        <v>0</v>
      </c>
      <c r="CI498" s="505">
        <f t="shared" si="805"/>
        <v>0</v>
      </c>
      <c r="CJ498" s="505">
        <f t="shared" si="806"/>
        <v>0</v>
      </c>
      <c r="DK498" s="58" t="str" cm="1">
        <f t="array" ref="DK498">IF(AND($BT498=4,$BX498=4,$BU498=999),$DB$36,_xlfn.IFNA(INDEX(DB$13:DB$70,MATCH(1,($BR498=$CV$13:$CV$70)*($BT498=$CX$13:$CX$70)*($CE498=$CY$13:$CY$70)*($BY498=$DA$13:$DA$70)*($CD498=$DH$13:$DH$70),0)),""))</f>
        <v>Log-logistic</v>
      </c>
      <c r="DL498" s="58" t="str" cm="1">
        <f t="array" ref="DL498">IF(AND($BT498=4,$BX498=4,$BU498=999),$DC$36,_xlfn.IFNA(INDEX(CHOOSE(DP498,DB$13:DB$70,DC$13:DC$70,DD$13:DD$70,DE$13:DE$70),MATCH(1,($BR498=$CV$13:$CV$70)*($BT498=$CX$13:$CX$70)*($CE498=$CY$13:$CY$70)*($BY498=$DA$13:$DA$70)*($CD498=$DH$13:$DH$70),0)),""))</f>
        <v>Log-logistic</v>
      </c>
      <c r="DM498" s="740" cm="1">
        <f t="array" ref="DM498">IF(AND($BT498=4,$BX498=4,$BU498=999),$DD$36,_xlfn.IFNA(INDEX(DD$13:DD$68,MATCH(1,($BR498=$CV$13:$CV$68)*($BT498=$CX$13:$CX$68)*($CE498=$CY$13:$CY$68)*($BY498=$DA$13:$DA$68)*($CD498=$DH$13:$DH$68),0)),""))</f>
        <v>0</v>
      </c>
      <c r="DN498" s="740" cm="1">
        <f t="array" ref="DN498">IF(AND($BT498=4,$BX498=4,$BU498=999),$DD$36,_xlfn.IFNA(INDEX(DE$13:DE$68,MATCH(1,($BR498=$CV$13:$CV$68)*($BT498=$CX$13:$CX$68)*($CE498=$CY$13:$CY$68)*($BY498=$DA$13:$DA$68)*($CD498=$DH$13:$DH$68),0)),""))</f>
        <v>0</v>
      </c>
      <c r="DO498" s="58" t="str" cm="1">
        <f t="array" ref="DO498">IF(AND($BT498=4,$BX498=4,$BU498=999),$DF$36,_xlfn.IFNA(INDEX(DF$13:DF$70,MATCH(1,($BR498=$CV$13:$CV$70)*($BT498=$CX$13:$CX$70)*($CE498=$CY$13:$CY$70)*($BY498=$DA$13:$DA$70)*($CD498=$DH$13:$DH$70),0)),""))</f>
        <v>Base case</v>
      </c>
      <c r="DP498" s="58">
        <f t="shared" si="775"/>
        <v>1</v>
      </c>
      <c r="DW498" s="58" t="s">
        <v>58</v>
      </c>
      <c r="DX498" s="58" t="s">
        <v>544</v>
      </c>
      <c r="DY498" s="58">
        <v>0</v>
      </c>
      <c r="DZ498" s="58">
        <v>0</v>
      </c>
      <c r="EB498" s="58">
        <v>0</v>
      </c>
      <c r="EC498" s="58">
        <v>3</v>
      </c>
      <c r="ED498" s="58">
        <v>8</v>
      </c>
      <c r="EE498" s="58">
        <v>2</v>
      </c>
      <c r="EF498" s="58">
        <v>0</v>
      </c>
      <c r="EI498" s="58" t="s">
        <v>58</v>
      </c>
      <c r="EJ498" s="58" t="s">
        <v>544</v>
      </c>
      <c r="EK498" s="58">
        <v>0</v>
      </c>
      <c r="EL498" s="58">
        <v>0</v>
      </c>
      <c r="EN498" s="58">
        <v>0</v>
      </c>
      <c r="EO498" s="58">
        <v>2</v>
      </c>
      <c r="EP498" s="58">
        <v>10</v>
      </c>
      <c r="EQ498" s="58">
        <v>1</v>
      </c>
      <c r="ER498" s="58">
        <v>0</v>
      </c>
      <c r="EU498" s="58" t="str">
        <f t="shared" si="807"/>
        <v>No</v>
      </c>
      <c r="EV498" s="58" t="str">
        <f t="shared" si="808"/>
        <v>Overall survival</v>
      </c>
      <c r="EW498" s="58">
        <f t="shared" si="809"/>
        <v>0</v>
      </c>
      <c r="EX498" s="58">
        <f t="shared" si="810"/>
        <v>0</v>
      </c>
      <c r="EZ498" s="58">
        <f t="shared" si="811"/>
        <v>0</v>
      </c>
      <c r="FA498" s="58">
        <f t="shared" si="812"/>
        <v>3</v>
      </c>
      <c r="FB498" s="58">
        <f>IF(i_eff_inputs_based_on_num=2,ED498,(INDEX(Lists!$L$51:$L$85,MATCH(AR260,Lists!$K$51:$K$85,0))))</f>
        <v>8</v>
      </c>
      <c r="FC498" s="58">
        <f>IF(i_eff_inputs_based_on_num=2,EE498,(INDEX(Lists!$L$51:$L$85,MATCH(AS260,Lists!$K$51:$K$85,0))))</f>
        <v>2</v>
      </c>
      <c r="FD498" s="58">
        <f>IF(i_eff_inputs_based_on_num=2,EF498,(INDEX(Lists!$L$51:$L$85,MATCH(AT260,Lists!$K$51:$K$85,0))))</f>
        <v>0</v>
      </c>
      <c r="FG498" s="58" t="str">
        <f t="shared" si="813"/>
        <v>No</v>
      </c>
      <c r="FH498" s="58" t="str">
        <f t="shared" si="814"/>
        <v>Overall survival</v>
      </c>
      <c r="FI498" s="58">
        <f t="shared" si="815"/>
        <v>0</v>
      </c>
      <c r="FJ498" s="58">
        <f t="shared" si="816"/>
        <v>0</v>
      </c>
      <c r="FL498" s="58">
        <f t="shared" si="817"/>
        <v>0</v>
      </c>
      <c r="FM498" s="58">
        <f t="shared" si="818"/>
        <v>2</v>
      </c>
      <c r="FN498" s="58">
        <f>IF(i_eff_inputs_based_on_num=2,EP498,(INDEX(Lists!$L$51:$L$85,MATCH(AR260,Lists!$K$51:$K$85,0))))</f>
        <v>10</v>
      </c>
      <c r="FO498" s="58">
        <f>IF(i_eff_inputs_based_on_num=2,EQ498,(INDEX(Lists!$L$51:$L$85,MATCH(AS260,Lists!$K$51:$K$85,0))))</f>
        <v>1</v>
      </c>
      <c r="FP498" s="58">
        <f>IF(i_eff_inputs_based_on_num=2,ER498,(INDEX(Lists!$L$51:$L$85,MATCH(AT260,Lists!$K$51:$K$85,0))))</f>
        <v>0</v>
      </c>
      <c r="FT498" s="58">
        <f t="shared" si="776"/>
        <v>0</v>
      </c>
      <c r="FW498" s="58">
        <f>IF(i_baseline_risk_from=2,'Effectiveness settings'!EW498,'Effectiveness settings'!FI498)</f>
        <v>0</v>
      </c>
      <c r="FX498" s="58">
        <f t="shared" si="777"/>
        <v>0</v>
      </c>
      <c r="FY498" s="58">
        <f t="shared" si="778"/>
        <v>0</v>
      </c>
      <c r="FZ498" s="58">
        <f t="shared" si="779"/>
        <v>0</v>
      </c>
      <c r="GA498" s="58">
        <f t="shared" si="780"/>
        <v>0</v>
      </c>
      <c r="GB498" s="58">
        <f t="shared" si="781"/>
        <v>0</v>
      </c>
      <c r="GC498" s="58">
        <f t="shared" si="782"/>
        <v>0</v>
      </c>
      <c r="GD498" s="58">
        <f t="shared" si="783"/>
        <v>0</v>
      </c>
      <c r="GE498" s="58">
        <f>IF(AND(dd_CheckMate214_TTD="Yes",'Effectiveness settings'!BU498=2,'Effectiveness settings'!BX498=2),"Apply HR to",GD498)</f>
        <v>0</v>
      </c>
      <c r="GF498" s="58">
        <f t="shared" si="784"/>
        <v>0</v>
      </c>
      <c r="GG498" s="58">
        <f t="shared" si="785"/>
        <v>0</v>
      </c>
      <c r="GH498" s="58">
        <f t="shared" si="786"/>
        <v>0</v>
      </c>
      <c r="GI498" s="58">
        <f t="shared" si="773"/>
        <v>0</v>
      </c>
      <c r="GK498" s="58">
        <f>IF(i_baseline_risk_from=2,'Effectiveness settings'!FA498,'Effectiveness settings'!FM498)</f>
        <v>3</v>
      </c>
      <c r="GL498" s="58">
        <f>IF(i_baseline_risk_from=2,'Effectiveness settings'!FB498,'Effectiveness settings'!FN498)</f>
        <v>8</v>
      </c>
      <c r="GM498" s="58">
        <f>IF(i_baseline_risk_from=2,'Effectiveness settings'!FC498,'Effectiveness settings'!FO498)</f>
        <v>2</v>
      </c>
      <c r="GN498" s="58">
        <f>IF(i_baseline_risk_from=2,'Effectiveness settings'!FD498,'Effectiveness settings'!FP498)</f>
        <v>0</v>
      </c>
      <c r="GQ498" s="58">
        <f t="shared" si="787"/>
        <v>8</v>
      </c>
      <c r="GR498" s="58">
        <f t="shared" si="788"/>
        <v>8</v>
      </c>
      <c r="GS498" s="58">
        <f t="shared" si="789"/>
        <v>8</v>
      </c>
      <c r="GT498" s="58">
        <f t="shared" si="790"/>
        <v>8</v>
      </c>
      <c r="GU498" s="58">
        <f>IF(AND(dd_CheckMate214_TTD="Yes",'Effectiveness settings'!BU498=2,'Effectiveness settings'!BX498=2),2,GT498)</f>
        <v>8</v>
      </c>
      <c r="GV498" s="58">
        <f t="shared" si="791"/>
        <v>8</v>
      </c>
      <c r="GW498" s="58">
        <f t="shared" si="792"/>
        <v>8</v>
      </c>
      <c r="GY498" s="58">
        <f>IF(AND(dd_CheckMate214_TTD="Yes",'Effectiveness settings'!BU498=2,'Effectiveness settings'!BX498=2),1,GN498)</f>
        <v>0</v>
      </c>
      <c r="GZ498" s="58">
        <f t="shared" si="793"/>
        <v>0</v>
      </c>
      <c r="HB498" s="58">
        <f t="shared" si="794"/>
        <v>0</v>
      </c>
      <c r="HD498" s="58">
        <f t="shared" si="768"/>
        <v>0</v>
      </c>
      <c r="HE498" s="58">
        <f t="shared" si="769"/>
        <v>3</v>
      </c>
      <c r="HF498" s="58">
        <f t="shared" si="770"/>
        <v>8</v>
      </c>
      <c r="HG498" s="58">
        <f t="shared" si="771"/>
        <v>2</v>
      </c>
      <c r="HH498" s="58">
        <f t="shared" si="772"/>
        <v>0</v>
      </c>
    </row>
    <row r="499" spans="69:216" ht="15.75" x14ac:dyDescent="0.25">
      <c r="BQ499" s="58">
        <f t="shared" si="774"/>
        <v>283</v>
      </c>
      <c r="BR499" s="61">
        <v>0</v>
      </c>
      <c r="BS499" s="61" t="s">
        <v>31</v>
      </c>
      <c r="BT499" s="17">
        <v>3</v>
      </c>
      <c r="BU499" s="17">
        <v>2</v>
      </c>
      <c r="BV499" s="17" t="str">
        <f t="shared" si="795"/>
        <v>nivolumab_plus_ipilimumab</v>
      </c>
      <c r="BW499" s="1006" t="str" cm="1">
        <f t="array" ref="BW499">IF(AL261="No",AL261,INDEX(List_incl_anal_3L_all,IF(BU499=999,35,BU499+1)))</f>
        <v>No</v>
      </c>
      <c r="BX499" s="61">
        <f t="shared" si="796"/>
        <v>0</v>
      </c>
      <c r="BY499" s="531" t="str">
        <f>AM261</f>
        <v>Overall survival</v>
      </c>
      <c r="BZ499" s="530">
        <f t="shared" si="797"/>
        <v>0</v>
      </c>
      <c r="CA499" s="531">
        <f t="shared" si="819"/>
        <v>0</v>
      </c>
      <c r="CB499" s="530">
        <f t="shared" si="798"/>
        <v>0</v>
      </c>
      <c r="CC499" s="530">
        <f t="shared" si="799"/>
        <v>3</v>
      </c>
      <c r="CD499" s="530">
        <f t="shared" si="800"/>
        <v>8</v>
      </c>
      <c r="CE499" s="1295">
        <f t="shared" si="801"/>
        <v>2</v>
      </c>
      <c r="CF499" s="1301">
        <f t="shared" si="802"/>
        <v>0</v>
      </c>
      <c r="CG499" s="530" t="str">
        <f t="shared" si="803"/>
        <v>Log-logistic</v>
      </c>
      <c r="CH499" s="505">
        <f t="shared" si="804"/>
        <v>0</v>
      </c>
      <c r="CI499" s="505">
        <f t="shared" si="805"/>
        <v>0</v>
      </c>
      <c r="CJ499" s="505">
        <f t="shared" si="806"/>
        <v>0</v>
      </c>
      <c r="DK499" s="58" t="str" cm="1">
        <f t="array" ref="DK499">IF(AND($BT499=4,$BX499=4,$BU499=999),$DB$36,_xlfn.IFNA(INDEX(DB$13:DB$70,MATCH(1,($BR499=$CV$13:$CV$70)*($BT499=$CX$13:$CX$70)*($CE499=$CY$13:$CY$70)*($BY499=$DA$13:$DA$70)*($CD499=$DH$13:$DH$70),0)),""))</f>
        <v>Log-logistic</v>
      </c>
      <c r="DL499" s="58" t="str" cm="1">
        <f t="array" ref="DL499">IF(AND($BT499=4,$BX499=4,$BU499=999),$DC$36,_xlfn.IFNA(INDEX(CHOOSE(DP499,DB$13:DB$70,DC$13:DC$70,DD$13:DD$70,DE$13:DE$70),MATCH(1,($BR499=$CV$13:$CV$70)*($BT499=$CX$13:$CX$70)*($CE499=$CY$13:$CY$70)*($BY499=$DA$13:$DA$70)*($CD499=$DH$13:$DH$70),0)),""))</f>
        <v>Log-logistic</v>
      </c>
      <c r="DM499" s="740" cm="1">
        <f t="array" ref="DM499">IF(AND($BT499=4,$BX499=4,$BU499=999),$DD$36,_xlfn.IFNA(INDEX(DD$13:DD$68,MATCH(1,($BR499=$CV$13:$CV$68)*($BT499=$CX$13:$CX$68)*($CE499=$CY$13:$CY$68)*($BY499=$DA$13:$DA$68)*($CD499=$DH$13:$DH$68),0)),""))</f>
        <v>0</v>
      </c>
      <c r="DN499" s="740" cm="1">
        <f t="array" ref="DN499">IF(AND($BT499=4,$BX499=4,$BU499=999),$DD$36,_xlfn.IFNA(INDEX(DE$13:DE$68,MATCH(1,($BR499=$CV$13:$CV$68)*($BT499=$CX$13:$CX$68)*($CE499=$CY$13:$CY$68)*($BY499=$DA$13:$DA$68)*($CD499=$DH$13:$DH$68),0)),""))</f>
        <v>0</v>
      </c>
      <c r="DO499" s="58" t="str" cm="1">
        <f t="array" ref="DO499">IF(AND($BT499=4,$BX499=4,$BU499=999),$DF$36,_xlfn.IFNA(INDEX(DF$13:DF$70,MATCH(1,($BR499=$CV$13:$CV$70)*($BT499=$CX$13:$CX$70)*($CE499=$CY$13:$CY$70)*($BY499=$DA$13:$DA$70)*($CD499=$DH$13:$DH$70),0)),""))</f>
        <v>Base case</v>
      </c>
      <c r="DP499" s="58">
        <f t="shared" si="775"/>
        <v>1</v>
      </c>
      <c r="DW499" s="58" t="s">
        <v>58</v>
      </c>
      <c r="DX499" s="58" t="s">
        <v>544</v>
      </c>
      <c r="DY499" s="58">
        <v>0</v>
      </c>
      <c r="DZ499" s="58">
        <v>0</v>
      </c>
      <c r="EB499" s="58">
        <v>0</v>
      </c>
      <c r="EC499" s="58">
        <v>3</v>
      </c>
      <c r="ED499" s="58">
        <v>8</v>
      </c>
      <c r="EE499" s="58">
        <v>2</v>
      </c>
      <c r="EF499" s="58">
        <v>0</v>
      </c>
      <c r="EI499" s="58" t="s">
        <v>58</v>
      </c>
      <c r="EJ499" s="58" t="s">
        <v>544</v>
      </c>
      <c r="EK499" s="58">
        <v>0</v>
      </c>
      <c r="EL499" s="58">
        <v>0</v>
      </c>
      <c r="EN499" s="58">
        <v>0</v>
      </c>
      <c r="EO499" s="58">
        <v>2</v>
      </c>
      <c r="EP499" s="58">
        <v>10</v>
      </c>
      <c r="EQ499" s="58">
        <v>1</v>
      </c>
      <c r="ER499" s="58">
        <v>0</v>
      </c>
      <c r="EU499" s="58" t="str">
        <f t="shared" si="807"/>
        <v>No</v>
      </c>
      <c r="EV499" s="58" t="str">
        <f t="shared" si="808"/>
        <v>Overall survival</v>
      </c>
      <c r="EW499" s="58">
        <f t="shared" si="809"/>
        <v>0</v>
      </c>
      <c r="EX499" s="58">
        <f t="shared" si="810"/>
        <v>0</v>
      </c>
      <c r="EZ499" s="58">
        <f t="shared" si="811"/>
        <v>0</v>
      </c>
      <c r="FA499" s="58">
        <f t="shared" si="812"/>
        <v>3</v>
      </c>
      <c r="FB499" s="58">
        <f>IF(i_eff_inputs_based_on_num=2,ED499,(INDEX(Lists!$L$51:$L$85,MATCH(AR261,Lists!$K$51:$K$85,0))))</f>
        <v>8</v>
      </c>
      <c r="FC499" s="58">
        <f>IF(i_eff_inputs_based_on_num=2,EE499,(INDEX(Lists!$L$51:$L$85,MATCH(AS261,Lists!$K$51:$K$85,0))))</f>
        <v>2</v>
      </c>
      <c r="FD499" s="58">
        <f>IF(i_eff_inputs_based_on_num=2,EF499,(INDEX(Lists!$L$51:$L$85,MATCH(AT261,Lists!$K$51:$K$85,0))))</f>
        <v>0</v>
      </c>
      <c r="FG499" s="58" t="str">
        <f t="shared" si="813"/>
        <v>No</v>
      </c>
      <c r="FH499" s="58" t="str">
        <f t="shared" si="814"/>
        <v>Overall survival</v>
      </c>
      <c r="FI499" s="58">
        <f t="shared" si="815"/>
        <v>0</v>
      </c>
      <c r="FJ499" s="58">
        <f t="shared" si="816"/>
        <v>0</v>
      </c>
      <c r="FL499" s="58">
        <f t="shared" si="817"/>
        <v>0</v>
      </c>
      <c r="FM499" s="58">
        <f t="shared" si="818"/>
        <v>2</v>
      </c>
      <c r="FN499" s="58">
        <f>IF(i_eff_inputs_based_on_num=2,EP499,(INDEX(Lists!$L$51:$L$85,MATCH(AR261,Lists!$K$51:$K$85,0))))</f>
        <v>10</v>
      </c>
      <c r="FO499" s="58">
        <f>IF(i_eff_inputs_based_on_num=2,EQ499,(INDEX(Lists!$L$51:$L$85,MATCH(AS261,Lists!$K$51:$K$85,0))))</f>
        <v>1</v>
      </c>
      <c r="FP499" s="58">
        <f>IF(i_eff_inputs_based_on_num=2,ER499,(INDEX(Lists!$L$51:$L$85,MATCH(AT261,Lists!$K$51:$K$85,0))))</f>
        <v>0</v>
      </c>
      <c r="FT499" s="58">
        <f t="shared" si="776"/>
        <v>0</v>
      </c>
      <c r="FW499" s="58">
        <f>IF(i_baseline_risk_from=2,'Effectiveness settings'!EW499,'Effectiveness settings'!FI499)</f>
        <v>0</v>
      </c>
      <c r="FX499" s="58">
        <f t="shared" si="777"/>
        <v>0</v>
      </c>
      <c r="FY499" s="58">
        <f t="shared" si="778"/>
        <v>0</v>
      </c>
      <c r="FZ499" s="58">
        <f t="shared" si="779"/>
        <v>0</v>
      </c>
      <c r="GA499" s="58">
        <f t="shared" si="780"/>
        <v>0</v>
      </c>
      <c r="GB499" s="58">
        <f t="shared" si="781"/>
        <v>0</v>
      </c>
      <c r="GC499" s="58">
        <f t="shared" si="782"/>
        <v>0</v>
      </c>
      <c r="GD499" s="58">
        <f t="shared" si="783"/>
        <v>0</v>
      </c>
      <c r="GE499" s="58">
        <f>IF(AND(dd_CheckMate214_TTD="Yes",'Effectiveness settings'!BU499=2,'Effectiveness settings'!BX499=2),"Apply HR to",GD499)</f>
        <v>0</v>
      </c>
      <c r="GF499" s="58">
        <f t="shared" si="784"/>
        <v>0</v>
      </c>
      <c r="GG499" s="58">
        <f t="shared" si="785"/>
        <v>0</v>
      </c>
      <c r="GH499" s="58">
        <f t="shared" si="786"/>
        <v>0</v>
      </c>
      <c r="GI499" s="58">
        <f t="shared" si="773"/>
        <v>0</v>
      </c>
      <c r="GK499" s="58">
        <f>IF(i_baseline_risk_from=2,'Effectiveness settings'!FA499,'Effectiveness settings'!FM499)</f>
        <v>3</v>
      </c>
      <c r="GL499" s="58">
        <f>IF(i_baseline_risk_from=2,'Effectiveness settings'!FB499,'Effectiveness settings'!FN499)</f>
        <v>8</v>
      </c>
      <c r="GM499" s="58">
        <f>IF(i_baseline_risk_from=2,'Effectiveness settings'!FC499,'Effectiveness settings'!FO499)</f>
        <v>2</v>
      </c>
      <c r="GN499" s="58">
        <f>IF(i_baseline_risk_from=2,'Effectiveness settings'!FD499,'Effectiveness settings'!FP499)</f>
        <v>0</v>
      </c>
      <c r="GQ499" s="58">
        <f t="shared" si="787"/>
        <v>8</v>
      </c>
      <c r="GR499" s="58">
        <f t="shared" si="788"/>
        <v>8</v>
      </c>
      <c r="GS499" s="58">
        <f t="shared" si="789"/>
        <v>8</v>
      </c>
      <c r="GT499" s="58">
        <f t="shared" si="790"/>
        <v>8</v>
      </c>
      <c r="GU499" s="58">
        <f>IF(AND(dd_CheckMate214_TTD="Yes",'Effectiveness settings'!BU499=2,'Effectiveness settings'!BX499=2),2,GT499)</f>
        <v>8</v>
      </c>
      <c r="GV499" s="58">
        <f t="shared" si="791"/>
        <v>8</v>
      </c>
      <c r="GW499" s="58">
        <f t="shared" si="792"/>
        <v>8</v>
      </c>
      <c r="GY499" s="58">
        <f>IF(AND(dd_CheckMate214_TTD="Yes",'Effectiveness settings'!BU499=2,'Effectiveness settings'!BX499=2),1,GN499)</f>
        <v>0</v>
      </c>
      <c r="GZ499" s="58">
        <f t="shared" si="793"/>
        <v>0</v>
      </c>
      <c r="HB499" s="58">
        <f t="shared" si="794"/>
        <v>0</v>
      </c>
      <c r="HD499" s="58">
        <f t="shared" si="768"/>
        <v>0</v>
      </c>
      <c r="HE499" s="58">
        <f t="shared" si="769"/>
        <v>3</v>
      </c>
      <c r="HF499" s="58">
        <f t="shared" si="770"/>
        <v>8</v>
      </c>
      <c r="HG499" s="58">
        <f t="shared" si="771"/>
        <v>2</v>
      </c>
      <c r="HH499" s="58">
        <f t="shared" si="772"/>
        <v>0</v>
      </c>
    </row>
    <row r="500" spans="69:216" ht="15.75" x14ac:dyDescent="0.25">
      <c r="BQ500" s="58">
        <f t="shared" si="774"/>
        <v>284</v>
      </c>
      <c r="BR500" s="61">
        <v>0</v>
      </c>
      <c r="BS500" s="61" t="s">
        <v>31</v>
      </c>
      <c r="BT500" s="17">
        <v>3</v>
      </c>
      <c r="BU500" s="17">
        <v>3</v>
      </c>
      <c r="BV500" s="17" t="str">
        <f t="shared" si="795"/>
        <v>lenvatinib_plus_pembrolizumab</v>
      </c>
      <c r="BW500" s="1006" t="str" cm="1">
        <f t="array" ref="BW500">IF(AL262="No",AL262,INDEX(List_incl_anal_3L_all,IF(BU500=999,35,BU500+1)))</f>
        <v>No</v>
      </c>
      <c r="BX500" s="61">
        <f t="shared" si="796"/>
        <v>0</v>
      </c>
      <c r="BY500" s="531" t="str">
        <f>AM262</f>
        <v>Overall survival</v>
      </c>
      <c r="BZ500" s="530">
        <f t="shared" si="797"/>
        <v>0</v>
      </c>
      <c r="CA500" s="531">
        <f t="shared" si="819"/>
        <v>0</v>
      </c>
      <c r="CB500" s="530">
        <f t="shared" si="798"/>
        <v>0</v>
      </c>
      <c r="CC500" s="530">
        <f t="shared" si="799"/>
        <v>3</v>
      </c>
      <c r="CD500" s="530">
        <f t="shared" si="800"/>
        <v>8</v>
      </c>
      <c r="CE500" s="1295">
        <f t="shared" si="801"/>
        <v>2</v>
      </c>
      <c r="CF500" s="1301">
        <f t="shared" si="802"/>
        <v>0</v>
      </c>
      <c r="CG500" s="530" t="str">
        <f t="shared" si="803"/>
        <v>Log-logistic</v>
      </c>
      <c r="CH500" s="505">
        <f t="shared" si="804"/>
        <v>0</v>
      </c>
      <c r="CI500" s="505">
        <f t="shared" si="805"/>
        <v>0</v>
      </c>
      <c r="CJ500" s="505">
        <f t="shared" si="806"/>
        <v>0</v>
      </c>
      <c r="DK500" s="58" t="str" cm="1">
        <f t="array" ref="DK500">IF(AND($BT500=4,$BX500=4,$BU500=999),$DB$36,_xlfn.IFNA(INDEX(DB$13:DB$70,MATCH(1,($BR500=$CV$13:$CV$70)*($BT500=$CX$13:$CX$70)*($CE500=$CY$13:$CY$70)*($BY500=$DA$13:$DA$70)*($CD500=$DH$13:$DH$70),0)),""))</f>
        <v>Log-logistic</v>
      </c>
      <c r="DL500" s="58" t="str" cm="1">
        <f t="array" ref="DL500">IF(AND($BT500=4,$BX500=4,$BU500=999),$DC$36,_xlfn.IFNA(INDEX(CHOOSE(DP500,DB$13:DB$70,DC$13:DC$70,DD$13:DD$70,DE$13:DE$70),MATCH(1,($BR500=$CV$13:$CV$70)*($BT500=$CX$13:$CX$70)*($CE500=$CY$13:$CY$70)*($BY500=$DA$13:$DA$70)*($CD500=$DH$13:$DH$70),0)),""))</f>
        <v>Log-logistic</v>
      </c>
      <c r="DM500" s="740" cm="1">
        <f t="array" ref="DM500">IF(AND($BT500=4,$BX500=4,$BU500=999),$DD$36,_xlfn.IFNA(INDEX(DD$13:DD$68,MATCH(1,($BR500=$CV$13:$CV$68)*($BT500=$CX$13:$CX$68)*($CE500=$CY$13:$CY$68)*($BY500=$DA$13:$DA$68)*($CD500=$DH$13:$DH$68),0)),""))</f>
        <v>0</v>
      </c>
      <c r="DN500" s="740" cm="1">
        <f t="array" ref="DN500">IF(AND($BT500=4,$BX500=4,$BU500=999),$DD$36,_xlfn.IFNA(INDEX(DE$13:DE$68,MATCH(1,($BR500=$CV$13:$CV$68)*($BT500=$CX$13:$CX$68)*($CE500=$CY$13:$CY$68)*($BY500=$DA$13:$DA$68)*($CD500=$DH$13:$DH$68),0)),""))</f>
        <v>0</v>
      </c>
      <c r="DO500" s="58" t="str" cm="1">
        <f t="array" ref="DO500">IF(AND($BT500=4,$BX500=4,$BU500=999),$DF$36,_xlfn.IFNA(INDEX(DF$13:DF$70,MATCH(1,($BR500=$CV$13:$CV$70)*($BT500=$CX$13:$CX$70)*($CE500=$CY$13:$CY$70)*($BY500=$DA$13:$DA$70)*($CD500=$DH$13:$DH$70),0)),""))</f>
        <v>Base case</v>
      </c>
      <c r="DP500" s="58">
        <f t="shared" si="775"/>
        <v>1</v>
      </c>
      <c r="DW500" s="58" t="s">
        <v>58</v>
      </c>
      <c r="DX500" s="58" t="s">
        <v>544</v>
      </c>
      <c r="DY500" s="58">
        <v>0</v>
      </c>
      <c r="DZ500" s="58">
        <v>0</v>
      </c>
      <c r="EB500" s="58">
        <v>0</v>
      </c>
      <c r="EC500" s="58">
        <v>3</v>
      </c>
      <c r="ED500" s="58">
        <v>8</v>
      </c>
      <c r="EE500" s="58">
        <v>2</v>
      </c>
      <c r="EF500" s="58">
        <v>0</v>
      </c>
      <c r="EI500" s="58" t="s">
        <v>58</v>
      </c>
      <c r="EJ500" s="58" t="s">
        <v>544</v>
      </c>
      <c r="EK500" s="58">
        <v>0</v>
      </c>
      <c r="EL500" s="58">
        <v>0</v>
      </c>
      <c r="EN500" s="58">
        <v>0</v>
      </c>
      <c r="EO500" s="58">
        <v>2</v>
      </c>
      <c r="EP500" s="58">
        <v>10</v>
      </c>
      <c r="EQ500" s="58">
        <v>1</v>
      </c>
      <c r="ER500" s="58">
        <v>0</v>
      </c>
      <c r="EU500" s="58" t="str">
        <f t="shared" si="807"/>
        <v>No</v>
      </c>
      <c r="EV500" s="58" t="str">
        <f t="shared" si="808"/>
        <v>Overall survival</v>
      </c>
      <c r="EW500" s="58">
        <f t="shared" si="809"/>
        <v>0</v>
      </c>
      <c r="EX500" s="58">
        <f t="shared" si="810"/>
        <v>0</v>
      </c>
      <c r="EZ500" s="58">
        <f t="shared" si="811"/>
        <v>0</v>
      </c>
      <c r="FA500" s="58">
        <f t="shared" si="812"/>
        <v>3</v>
      </c>
      <c r="FB500" s="58">
        <f>IF(i_eff_inputs_based_on_num=2,ED500,(INDEX(Lists!$L$51:$L$85,MATCH(AR262,Lists!$K$51:$K$85,0))))</f>
        <v>8</v>
      </c>
      <c r="FC500" s="58">
        <f>IF(i_eff_inputs_based_on_num=2,EE500,(INDEX(Lists!$L$51:$L$85,MATCH(AS262,Lists!$K$51:$K$85,0))))</f>
        <v>2</v>
      </c>
      <c r="FD500" s="58">
        <f>IF(i_eff_inputs_based_on_num=2,EF500,(INDEX(Lists!$L$51:$L$85,MATCH(AT262,Lists!$K$51:$K$85,0))))</f>
        <v>0</v>
      </c>
      <c r="FG500" s="58" t="str">
        <f t="shared" si="813"/>
        <v>No</v>
      </c>
      <c r="FH500" s="58" t="str">
        <f t="shared" si="814"/>
        <v>Overall survival</v>
      </c>
      <c r="FI500" s="58">
        <f t="shared" si="815"/>
        <v>0</v>
      </c>
      <c r="FJ500" s="58">
        <f t="shared" si="816"/>
        <v>0</v>
      </c>
      <c r="FL500" s="58">
        <f t="shared" si="817"/>
        <v>0</v>
      </c>
      <c r="FM500" s="58">
        <f t="shared" si="818"/>
        <v>2</v>
      </c>
      <c r="FN500" s="58">
        <f>IF(i_eff_inputs_based_on_num=2,EP500,(INDEX(Lists!$L$51:$L$85,MATCH(AR262,Lists!$K$51:$K$85,0))))</f>
        <v>10</v>
      </c>
      <c r="FO500" s="58">
        <f>IF(i_eff_inputs_based_on_num=2,EQ500,(INDEX(Lists!$L$51:$L$85,MATCH(AS262,Lists!$K$51:$K$85,0))))</f>
        <v>1</v>
      </c>
      <c r="FP500" s="58">
        <f>IF(i_eff_inputs_based_on_num=2,ER500,(INDEX(Lists!$L$51:$L$85,MATCH(AT262,Lists!$K$51:$K$85,0))))</f>
        <v>0</v>
      </c>
      <c r="FT500" s="58">
        <f t="shared" si="776"/>
        <v>0</v>
      </c>
      <c r="FW500" s="58">
        <f>IF(i_baseline_risk_from=2,'Effectiveness settings'!EW500,'Effectiveness settings'!FI500)</f>
        <v>0</v>
      </c>
      <c r="FX500" s="58">
        <f t="shared" si="777"/>
        <v>0</v>
      </c>
      <c r="FY500" s="58">
        <f t="shared" si="778"/>
        <v>0</v>
      </c>
      <c r="FZ500" s="58">
        <f t="shared" si="779"/>
        <v>0</v>
      </c>
      <c r="GA500" s="58">
        <f t="shared" si="780"/>
        <v>0</v>
      </c>
      <c r="GB500" s="58">
        <f t="shared" si="781"/>
        <v>0</v>
      </c>
      <c r="GC500" s="58">
        <f t="shared" si="782"/>
        <v>0</v>
      </c>
      <c r="GD500" s="58">
        <f t="shared" si="783"/>
        <v>0</v>
      </c>
      <c r="GE500" s="58">
        <f>IF(AND(dd_CheckMate214_TTD="Yes",'Effectiveness settings'!BU500=2,'Effectiveness settings'!BX500=2),"Apply HR to",GD500)</f>
        <v>0</v>
      </c>
      <c r="GF500" s="58">
        <f t="shared" si="784"/>
        <v>0</v>
      </c>
      <c r="GG500" s="58">
        <f t="shared" si="785"/>
        <v>0</v>
      </c>
      <c r="GH500" s="58">
        <f t="shared" si="786"/>
        <v>0</v>
      </c>
      <c r="GI500" s="58">
        <f t="shared" si="773"/>
        <v>0</v>
      </c>
      <c r="GK500" s="58">
        <f>IF(i_baseline_risk_from=2,'Effectiveness settings'!FA500,'Effectiveness settings'!FM500)</f>
        <v>3</v>
      </c>
      <c r="GL500" s="58">
        <f>IF(i_baseline_risk_from=2,'Effectiveness settings'!FB500,'Effectiveness settings'!FN500)</f>
        <v>8</v>
      </c>
      <c r="GM500" s="58">
        <f>IF(i_baseline_risk_from=2,'Effectiveness settings'!FC500,'Effectiveness settings'!FO500)</f>
        <v>2</v>
      </c>
      <c r="GN500" s="58">
        <f>IF(i_baseline_risk_from=2,'Effectiveness settings'!FD500,'Effectiveness settings'!FP500)</f>
        <v>0</v>
      </c>
      <c r="GQ500" s="58">
        <f t="shared" si="787"/>
        <v>8</v>
      </c>
      <c r="GR500" s="58">
        <f t="shared" si="788"/>
        <v>8</v>
      </c>
      <c r="GS500" s="58">
        <f t="shared" si="789"/>
        <v>8</v>
      </c>
      <c r="GT500" s="58">
        <f t="shared" si="790"/>
        <v>8</v>
      </c>
      <c r="GU500" s="58">
        <f>IF(AND(dd_CheckMate214_TTD="Yes",'Effectiveness settings'!BU500=2,'Effectiveness settings'!BX500=2),2,GT500)</f>
        <v>8</v>
      </c>
      <c r="GV500" s="58">
        <f t="shared" si="791"/>
        <v>8</v>
      </c>
      <c r="GW500" s="58">
        <f t="shared" si="792"/>
        <v>8</v>
      </c>
      <c r="GY500" s="58">
        <f>IF(AND(dd_CheckMate214_TTD="Yes",'Effectiveness settings'!BU500=2,'Effectiveness settings'!BX500=2),1,GN500)</f>
        <v>0</v>
      </c>
      <c r="GZ500" s="58">
        <f t="shared" si="793"/>
        <v>0</v>
      </c>
      <c r="HB500" s="58">
        <f t="shared" si="794"/>
        <v>0</v>
      </c>
      <c r="HD500" s="58">
        <f t="shared" si="768"/>
        <v>0</v>
      </c>
      <c r="HE500" s="58">
        <f t="shared" si="769"/>
        <v>3</v>
      </c>
      <c r="HF500" s="58">
        <f t="shared" si="770"/>
        <v>8</v>
      </c>
      <c r="HG500" s="58">
        <f t="shared" si="771"/>
        <v>2</v>
      </c>
      <c r="HH500" s="58">
        <f t="shared" si="772"/>
        <v>0</v>
      </c>
    </row>
    <row r="501" spans="69:216" ht="15.75" x14ac:dyDescent="0.25">
      <c r="BQ501" s="58">
        <f t="shared" si="774"/>
        <v>285</v>
      </c>
      <c r="BR501" s="61">
        <v>0</v>
      </c>
      <c r="BS501" s="61" t="s">
        <v>31</v>
      </c>
      <c r="BT501" s="17">
        <v>3</v>
      </c>
      <c r="BU501" s="17">
        <v>4</v>
      </c>
      <c r="BV501" s="17" t="str">
        <f t="shared" si="795"/>
        <v>avelumab_plus_axitinib</v>
      </c>
      <c r="BW501" s="1006" t="str" cm="1">
        <f t="array" ref="BW501">IF(AL263="No",AL263,INDEX(List_incl_anal_3L_all,IF(BU501=999,35,BU501+1)))</f>
        <v>No</v>
      </c>
      <c r="BX501" s="61">
        <f t="shared" si="796"/>
        <v>0</v>
      </c>
      <c r="BY501" s="531" t="str">
        <f>AM263</f>
        <v>Overall survival</v>
      </c>
      <c r="BZ501" s="530">
        <f t="shared" si="797"/>
        <v>0</v>
      </c>
      <c r="CA501" s="531">
        <f t="shared" si="819"/>
        <v>0</v>
      </c>
      <c r="CB501" s="530">
        <f t="shared" si="798"/>
        <v>0</v>
      </c>
      <c r="CC501" s="530">
        <f t="shared" si="799"/>
        <v>3</v>
      </c>
      <c r="CD501" s="530">
        <f t="shared" si="800"/>
        <v>8</v>
      </c>
      <c r="CE501" s="1295">
        <f t="shared" si="801"/>
        <v>2</v>
      </c>
      <c r="CF501" s="1301">
        <f t="shared" si="802"/>
        <v>0</v>
      </c>
      <c r="CG501" s="530" t="str">
        <f t="shared" si="803"/>
        <v>Log-logistic</v>
      </c>
      <c r="CH501" s="505">
        <f t="shared" si="804"/>
        <v>0</v>
      </c>
      <c r="CI501" s="505">
        <f t="shared" si="805"/>
        <v>0</v>
      </c>
      <c r="CJ501" s="505">
        <f t="shared" si="806"/>
        <v>0</v>
      </c>
      <c r="DK501" s="58" t="str" cm="1">
        <f t="array" ref="DK501">IF(AND($BT501=4,$BX501=4,$BU501=999),$DB$36,_xlfn.IFNA(INDEX(DB$13:DB$70,MATCH(1,($BR501=$CV$13:$CV$70)*($BT501=$CX$13:$CX$70)*($CE501=$CY$13:$CY$70)*($BY501=$DA$13:$DA$70)*($CD501=$DH$13:$DH$70),0)),""))</f>
        <v>Log-logistic</v>
      </c>
      <c r="DL501" s="58" t="str" cm="1">
        <f t="array" ref="DL501">IF(AND($BT501=4,$BX501=4,$BU501=999),$DC$36,_xlfn.IFNA(INDEX(CHOOSE(DP501,DB$13:DB$70,DC$13:DC$70,DD$13:DD$70,DE$13:DE$70),MATCH(1,($BR501=$CV$13:$CV$70)*($BT501=$CX$13:$CX$70)*($CE501=$CY$13:$CY$70)*($BY501=$DA$13:$DA$70)*($CD501=$DH$13:$DH$70),0)),""))</f>
        <v>Log-logistic</v>
      </c>
      <c r="DM501" s="740" cm="1">
        <f t="array" ref="DM501">IF(AND($BT501=4,$BX501=4,$BU501=999),$DD$36,_xlfn.IFNA(INDEX(DD$13:DD$68,MATCH(1,($BR501=$CV$13:$CV$68)*($BT501=$CX$13:$CX$68)*($CE501=$CY$13:$CY$68)*($BY501=$DA$13:$DA$68)*($CD501=$DH$13:$DH$68),0)),""))</f>
        <v>0</v>
      </c>
      <c r="DN501" s="740" cm="1">
        <f t="array" ref="DN501">IF(AND($BT501=4,$BX501=4,$BU501=999),$DD$36,_xlfn.IFNA(INDEX(DE$13:DE$68,MATCH(1,($BR501=$CV$13:$CV$68)*($BT501=$CX$13:$CX$68)*($CE501=$CY$13:$CY$68)*($BY501=$DA$13:$DA$68)*($CD501=$DH$13:$DH$68),0)),""))</f>
        <v>0</v>
      </c>
      <c r="DO501" s="58" t="str" cm="1">
        <f t="array" ref="DO501">IF(AND($BT501=4,$BX501=4,$BU501=999),$DF$36,_xlfn.IFNA(INDEX(DF$13:DF$70,MATCH(1,($BR501=$CV$13:$CV$70)*($BT501=$CX$13:$CX$70)*($CE501=$CY$13:$CY$70)*($BY501=$DA$13:$DA$70)*($CD501=$DH$13:$DH$70),0)),""))</f>
        <v>Base case</v>
      </c>
      <c r="DP501" s="58">
        <f t="shared" si="775"/>
        <v>1</v>
      </c>
      <c r="DW501" s="58" t="s">
        <v>58</v>
      </c>
      <c r="DX501" s="58" t="s">
        <v>544</v>
      </c>
      <c r="DY501" s="58">
        <v>0</v>
      </c>
      <c r="DZ501" s="58">
        <v>0</v>
      </c>
      <c r="EB501" s="58">
        <v>0</v>
      </c>
      <c r="EC501" s="58">
        <v>3</v>
      </c>
      <c r="ED501" s="58">
        <v>8</v>
      </c>
      <c r="EE501" s="58">
        <v>2</v>
      </c>
      <c r="EF501" s="58">
        <v>0</v>
      </c>
      <c r="EI501" s="58" t="s">
        <v>58</v>
      </c>
      <c r="EJ501" s="58" t="s">
        <v>544</v>
      </c>
      <c r="EK501" s="58">
        <v>0</v>
      </c>
      <c r="EL501" s="58">
        <v>0</v>
      </c>
      <c r="EN501" s="58">
        <v>0</v>
      </c>
      <c r="EO501" s="58">
        <v>2</v>
      </c>
      <c r="EP501" s="58">
        <v>10</v>
      </c>
      <c r="EQ501" s="58">
        <v>1</v>
      </c>
      <c r="ER501" s="58">
        <v>0</v>
      </c>
      <c r="EU501" s="58" t="str">
        <f t="shared" si="807"/>
        <v>No</v>
      </c>
      <c r="EV501" s="58" t="str">
        <f t="shared" si="808"/>
        <v>Overall survival</v>
      </c>
      <c r="EW501" s="58">
        <f t="shared" si="809"/>
        <v>0</v>
      </c>
      <c r="EX501" s="58">
        <f t="shared" si="810"/>
        <v>0</v>
      </c>
      <c r="EZ501" s="58">
        <f t="shared" si="811"/>
        <v>0</v>
      </c>
      <c r="FA501" s="58">
        <f t="shared" si="812"/>
        <v>3</v>
      </c>
      <c r="FB501" s="58">
        <f>IF(i_eff_inputs_based_on_num=2,ED501,(INDEX(Lists!$L$51:$L$85,MATCH(AR263,Lists!$K$51:$K$85,0))))</f>
        <v>8</v>
      </c>
      <c r="FC501" s="58">
        <f>IF(i_eff_inputs_based_on_num=2,EE501,(INDEX(Lists!$L$51:$L$85,MATCH(AS263,Lists!$K$51:$K$85,0))))</f>
        <v>2</v>
      </c>
      <c r="FD501" s="58">
        <f>IF(i_eff_inputs_based_on_num=2,EF501,(INDEX(Lists!$L$51:$L$85,MATCH(AT263,Lists!$K$51:$K$85,0))))</f>
        <v>0</v>
      </c>
      <c r="FG501" s="58" t="str">
        <f t="shared" si="813"/>
        <v>No</v>
      </c>
      <c r="FH501" s="58" t="str">
        <f t="shared" si="814"/>
        <v>Overall survival</v>
      </c>
      <c r="FI501" s="58">
        <f t="shared" si="815"/>
        <v>0</v>
      </c>
      <c r="FJ501" s="58">
        <f t="shared" si="816"/>
        <v>0</v>
      </c>
      <c r="FL501" s="58">
        <f t="shared" si="817"/>
        <v>0</v>
      </c>
      <c r="FM501" s="58">
        <f t="shared" si="818"/>
        <v>2</v>
      </c>
      <c r="FN501" s="58">
        <f>IF(i_eff_inputs_based_on_num=2,EP501,(INDEX(Lists!$L$51:$L$85,MATCH(AR263,Lists!$K$51:$K$85,0))))</f>
        <v>10</v>
      </c>
      <c r="FO501" s="58">
        <f>IF(i_eff_inputs_based_on_num=2,EQ501,(INDEX(Lists!$L$51:$L$85,MATCH(AS263,Lists!$K$51:$K$85,0))))</f>
        <v>1</v>
      </c>
      <c r="FP501" s="58">
        <f>IF(i_eff_inputs_based_on_num=2,ER501,(INDEX(Lists!$L$51:$L$85,MATCH(AT263,Lists!$K$51:$K$85,0))))</f>
        <v>0</v>
      </c>
      <c r="FT501" s="58">
        <f t="shared" si="776"/>
        <v>0</v>
      </c>
      <c r="FW501" s="58">
        <f>IF(i_baseline_risk_from=2,'Effectiveness settings'!EW501,'Effectiveness settings'!FI501)</f>
        <v>0</v>
      </c>
      <c r="FX501" s="58">
        <f t="shared" si="777"/>
        <v>0</v>
      </c>
      <c r="FY501" s="58">
        <f t="shared" si="778"/>
        <v>0</v>
      </c>
      <c r="FZ501" s="58">
        <f t="shared" si="779"/>
        <v>0</v>
      </c>
      <c r="GA501" s="58">
        <f t="shared" si="780"/>
        <v>0</v>
      </c>
      <c r="GB501" s="58">
        <f t="shared" si="781"/>
        <v>0</v>
      </c>
      <c r="GC501" s="58">
        <f t="shared" si="782"/>
        <v>0</v>
      </c>
      <c r="GD501" s="58">
        <f t="shared" si="783"/>
        <v>0</v>
      </c>
      <c r="GE501" s="58">
        <f>IF(AND(dd_CheckMate214_TTD="Yes",'Effectiveness settings'!BU501=2,'Effectiveness settings'!BX501=2),"Apply HR to",GD501)</f>
        <v>0</v>
      </c>
      <c r="GF501" s="58">
        <f t="shared" si="784"/>
        <v>0</v>
      </c>
      <c r="GG501" s="58">
        <f t="shared" si="785"/>
        <v>0</v>
      </c>
      <c r="GH501" s="58">
        <f t="shared" si="786"/>
        <v>0</v>
      </c>
      <c r="GI501" s="58">
        <f t="shared" si="773"/>
        <v>0</v>
      </c>
      <c r="GK501" s="58">
        <f>IF(i_baseline_risk_from=2,'Effectiveness settings'!FA501,'Effectiveness settings'!FM501)</f>
        <v>3</v>
      </c>
      <c r="GL501" s="58">
        <f>IF(i_baseline_risk_from=2,'Effectiveness settings'!FB501,'Effectiveness settings'!FN501)</f>
        <v>8</v>
      </c>
      <c r="GM501" s="58">
        <f>IF(i_baseline_risk_from=2,'Effectiveness settings'!FC501,'Effectiveness settings'!FO501)</f>
        <v>2</v>
      </c>
      <c r="GN501" s="58">
        <f>IF(i_baseline_risk_from=2,'Effectiveness settings'!FD501,'Effectiveness settings'!FP501)</f>
        <v>0</v>
      </c>
      <c r="GQ501" s="58">
        <f t="shared" si="787"/>
        <v>8</v>
      </c>
      <c r="GR501" s="58">
        <f t="shared" si="788"/>
        <v>8</v>
      </c>
      <c r="GS501" s="58">
        <f t="shared" si="789"/>
        <v>8</v>
      </c>
      <c r="GT501" s="58">
        <f t="shared" si="790"/>
        <v>8</v>
      </c>
      <c r="GU501" s="58">
        <f>IF(AND(dd_CheckMate214_TTD="Yes",'Effectiveness settings'!BU501=2,'Effectiveness settings'!BX501=2),2,GT501)</f>
        <v>8</v>
      </c>
      <c r="GV501" s="58">
        <f t="shared" si="791"/>
        <v>8</v>
      </c>
      <c r="GW501" s="58">
        <f t="shared" si="792"/>
        <v>8</v>
      </c>
      <c r="GY501" s="58">
        <f>IF(AND(dd_CheckMate214_TTD="Yes",'Effectiveness settings'!BU501=2,'Effectiveness settings'!BX501=2),1,GN501)</f>
        <v>0</v>
      </c>
      <c r="GZ501" s="58">
        <f t="shared" si="793"/>
        <v>0</v>
      </c>
      <c r="HB501" s="58">
        <f t="shared" si="794"/>
        <v>0</v>
      </c>
      <c r="HD501" s="58">
        <f t="shared" si="768"/>
        <v>0</v>
      </c>
      <c r="HE501" s="58">
        <f t="shared" si="769"/>
        <v>3</v>
      </c>
      <c r="HF501" s="58">
        <f t="shared" si="770"/>
        <v>8</v>
      </c>
      <c r="HG501" s="58">
        <f t="shared" si="771"/>
        <v>2</v>
      </c>
      <c r="HH501" s="58">
        <f t="shared" si="772"/>
        <v>0</v>
      </c>
    </row>
    <row r="502" spans="69:216" ht="15.75" x14ac:dyDescent="0.25">
      <c r="BQ502" s="58">
        <f t="shared" si="774"/>
        <v>286</v>
      </c>
      <c r="BR502" s="61">
        <v>0</v>
      </c>
      <c r="BS502" s="61" t="s">
        <v>31</v>
      </c>
      <c r="BT502" s="17">
        <v>3</v>
      </c>
      <c r="BU502" s="17">
        <v>5</v>
      </c>
      <c r="BV502" s="17" t="str">
        <f t="shared" si="795"/>
        <v>pazopanib</v>
      </c>
      <c r="BW502" s="1006" t="str" cm="1">
        <f t="array" ref="BW502">IF(AL264="No",AL264,INDEX(List_incl_anal_3L_all,IF(BU502=999,35,BU502+1)))</f>
        <v>Yes</v>
      </c>
      <c r="BX502" s="61">
        <f t="shared" si="796"/>
        <v>0</v>
      </c>
      <c r="BY502" s="531" t="str">
        <f t="shared" ref="BY502:BY510" si="820">AM264</f>
        <v>Overall survival</v>
      </c>
      <c r="BZ502" s="530" t="str">
        <f t="shared" si="797"/>
        <v>Assume equal to</v>
      </c>
      <c r="CA502" s="531">
        <f t="shared" si="819"/>
        <v>0</v>
      </c>
      <c r="CB502" s="530">
        <f t="shared" si="798"/>
        <v>0</v>
      </c>
      <c r="CC502" s="530">
        <f t="shared" si="799"/>
        <v>3</v>
      </c>
      <c r="CD502" s="530">
        <f t="shared" si="800"/>
        <v>7</v>
      </c>
      <c r="CE502" s="1295">
        <f t="shared" si="801"/>
        <v>2</v>
      </c>
      <c r="CF502" s="1301">
        <f t="shared" si="802"/>
        <v>0</v>
      </c>
      <c r="CG502" s="530" t="str">
        <f t="shared" si="803"/>
        <v/>
      </c>
      <c r="CH502" s="505">
        <f t="shared" si="804"/>
        <v>1</v>
      </c>
      <c r="CI502" s="505">
        <f t="shared" si="805"/>
        <v>1</v>
      </c>
      <c r="CJ502" s="505">
        <f t="shared" si="806"/>
        <v>1</v>
      </c>
      <c r="DK502" s="58" t="str" cm="1">
        <f t="array" ref="DK502">IF(AND($BT502=4,$BX502=4,$BU502=999),$DB$36,_xlfn.IFNA(INDEX(DB$13:DB$70,MATCH(1,($BR502=$CV$13:$CV$70)*($BT502=$CX$13:$CX$70)*($CE502=$CY$13:$CY$70)*($BY502=$DA$13:$DA$70)*($CD502=$DH$13:$DH$70),0)),""))</f>
        <v/>
      </c>
      <c r="DL502" s="58" t="str" cm="1">
        <f t="array" ref="DL502">IF(AND($BT502=4,$BX502=4,$BU502=999),$DC$36,_xlfn.IFNA(INDEX(CHOOSE(DP502,DB$13:DB$70,DC$13:DC$70,DD$13:DD$70,DE$13:DE$70),MATCH(1,($BR502=$CV$13:$CV$70)*($BT502=$CX$13:$CX$70)*($CE502=$CY$13:$CY$70)*($BY502=$DA$13:$DA$70)*($CD502=$DH$13:$DH$70),0)),""))</f>
        <v/>
      </c>
      <c r="DM502" s="740" t="str" cm="1">
        <f t="array" ref="DM502">IF(AND($BT502=4,$BX502=4,$BU502=999),$DD$36,_xlfn.IFNA(INDEX(DD$13:DD$68,MATCH(1,($BR502=$CV$13:$CV$68)*($BT502=$CX$13:$CX$68)*($CE502=$CY$13:$CY$68)*($BY502=$DA$13:$DA$68)*($CD502=$DH$13:$DH$68),0)),""))</f>
        <v/>
      </c>
      <c r="DN502" s="740" t="str" cm="1">
        <f t="array" ref="DN502">IF(AND($BT502=4,$BX502=4,$BU502=999),$DD$36,_xlfn.IFNA(INDEX(DE$13:DE$68,MATCH(1,($BR502=$CV$13:$CV$68)*($BT502=$CX$13:$CX$68)*($CE502=$CY$13:$CY$68)*($BY502=$DA$13:$DA$68)*($CD502=$DH$13:$DH$68),0)),""))</f>
        <v/>
      </c>
      <c r="DO502" s="58" t="str" cm="1">
        <f t="array" ref="DO502">IF(AND($BT502=4,$BX502=4,$BU502=999),$DF$36,_xlfn.IFNA(INDEX(DF$13:DF$70,MATCH(1,($BR502=$CV$13:$CV$70)*($BT502=$CX$13:$CX$70)*($CE502=$CY$13:$CY$70)*($BY502=$DA$13:$DA$70)*($CD502=$DH$13:$DH$70),0)),""))</f>
        <v/>
      </c>
      <c r="DP502" s="58" t="e">
        <f t="shared" si="775"/>
        <v>#N/A</v>
      </c>
      <c r="DW502" s="58" t="s">
        <v>74</v>
      </c>
      <c r="DX502" s="58" t="s">
        <v>544</v>
      </c>
      <c r="DY502" s="58" t="s">
        <v>561</v>
      </c>
      <c r="DZ502" s="58">
        <v>0</v>
      </c>
      <c r="EB502" s="58">
        <v>0</v>
      </c>
      <c r="EC502" s="58">
        <v>3</v>
      </c>
      <c r="ED502" s="58">
        <v>6</v>
      </c>
      <c r="EE502" s="58">
        <v>2</v>
      </c>
      <c r="EF502" s="58">
        <v>0</v>
      </c>
      <c r="EI502" s="58" t="s">
        <v>74</v>
      </c>
      <c r="EJ502" s="58" t="s">
        <v>544</v>
      </c>
      <c r="EK502" s="58" t="s">
        <v>561</v>
      </c>
      <c r="EL502" s="58">
        <v>0</v>
      </c>
      <c r="EN502" s="58">
        <v>0</v>
      </c>
      <c r="EO502" s="58">
        <v>3</v>
      </c>
      <c r="EP502" s="58">
        <v>6</v>
      </c>
      <c r="EQ502" s="58">
        <v>1</v>
      </c>
      <c r="ER502" s="58">
        <v>0</v>
      </c>
      <c r="EU502" s="58" t="str">
        <f t="shared" si="807"/>
        <v>Yes</v>
      </c>
      <c r="EV502" s="58" t="str">
        <f t="shared" si="808"/>
        <v>Overall survival</v>
      </c>
      <c r="EW502" s="58" t="str">
        <f t="shared" si="809"/>
        <v>Assume equal to</v>
      </c>
      <c r="EX502" s="58">
        <f t="shared" si="810"/>
        <v>0</v>
      </c>
      <c r="EZ502" s="58">
        <f t="shared" si="811"/>
        <v>0</v>
      </c>
      <c r="FA502" s="58">
        <f t="shared" si="812"/>
        <v>3</v>
      </c>
      <c r="FB502" s="58">
        <f>IF(i_eff_inputs_based_on_num=2,ED502,(INDEX(Lists!$L$51:$L$85,MATCH(AR264,Lists!$K$51:$K$85,0))))</f>
        <v>6</v>
      </c>
      <c r="FC502" s="58">
        <f>IF(i_eff_inputs_based_on_num=2,EE502,(INDEX(Lists!$L$51:$L$85,MATCH(AS264,Lists!$K$51:$K$85,0))))</f>
        <v>2</v>
      </c>
      <c r="FD502" s="58">
        <f>IF(i_eff_inputs_based_on_num=2,EF502,(INDEX(Lists!$L$51:$L$85,MATCH(AT264,Lists!$K$51:$K$85,0))))</f>
        <v>0</v>
      </c>
      <c r="FG502" s="58" t="str">
        <f t="shared" si="813"/>
        <v>Yes</v>
      </c>
      <c r="FH502" s="58" t="str">
        <f t="shared" si="814"/>
        <v>Overall survival</v>
      </c>
      <c r="FI502" s="58" t="str">
        <f t="shared" si="815"/>
        <v>Assume equal to</v>
      </c>
      <c r="FJ502" s="58">
        <f t="shared" si="816"/>
        <v>0</v>
      </c>
      <c r="FL502" s="58">
        <f t="shared" si="817"/>
        <v>0</v>
      </c>
      <c r="FM502" s="58">
        <f t="shared" si="818"/>
        <v>3</v>
      </c>
      <c r="FN502" s="58">
        <f>IF(i_eff_inputs_based_on_num=2,EP502,(INDEX(Lists!$L$51:$L$85,MATCH(AR264,Lists!$K$51:$K$85,0))))</f>
        <v>6</v>
      </c>
      <c r="FO502" s="58">
        <f>IF(i_eff_inputs_based_on_num=2,EQ502,(INDEX(Lists!$L$51:$L$85,MATCH(AS264,Lists!$K$51:$K$85,0))))</f>
        <v>1</v>
      </c>
      <c r="FP502" s="58">
        <f>IF(i_eff_inputs_based_on_num=2,ER502,(INDEX(Lists!$L$51:$L$85,MATCH(AT264,Lists!$K$51:$K$85,0))))</f>
        <v>0</v>
      </c>
      <c r="FT502" s="58">
        <f t="shared" si="776"/>
        <v>0</v>
      </c>
      <c r="FW502" s="58" t="str">
        <f>IF(i_baseline_risk_from=2,'Effectiveness settings'!EW502,'Effectiveness settings'!FI502)</f>
        <v>Assume equal to</v>
      </c>
      <c r="FX502" s="58" t="str">
        <f t="shared" si="777"/>
        <v>Assume equal to</v>
      </c>
      <c r="FY502" s="58" t="str">
        <f t="shared" si="778"/>
        <v>Assume equal to</v>
      </c>
      <c r="FZ502" s="58" t="str">
        <f t="shared" si="779"/>
        <v>Assume equal to</v>
      </c>
      <c r="GA502" s="58" t="str">
        <f t="shared" si="780"/>
        <v>Assume equal to</v>
      </c>
      <c r="GB502" s="58" t="str">
        <f t="shared" si="781"/>
        <v>Assume equal to</v>
      </c>
      <c r="GC502" s="58" t="str">
        <f t="shared" si="782"/>
        <v>Assume equal to</v>
      </c>
      <c r="GD502" s="58" t="str">
        <f t="shared" si="783"/>
        <v>Assume equal to</v>
      </c>
      <c r="GE502" s="58" t="str">
        <f>IF(AND(dd_CheckMate214_TTD="Yes",'Effectiveness settings'!BU502=2,'Effectiveness settings'!BX502=2),"Apply HR to",GD502)</f>
        <v>Assume equal to</v>
      </c>
      <c r="GF502" s="58" t="str">
        <f t="shared" si="784"/>
        <v>Assume equal to</v>
      </c>
      <c r="GG502" s="58" t="str">
        <f t="shared" si="785"/>
        <v>Assume equal to</v>
      </c>
      <c r="GH502" s="58" t="str">
        <f t="shared" si="786"/>
        <v>Assume equal to</v>
      </c>
      <c r="GI502" s="58" t="str">
        <f t="shared" si="773"/>
        <v>Assume equal to</v>
      </c>
      <c r="GK502" s="58">
        <f>IF(i_baseline_risk_from=2,'Effectiveness settings'!FA502,'Effectiveness settings'!FM502)</f>
        <v>3</v>
      </c>
      <c r="GL502" s="58">
        <f>IF(i_baseline_risk_from=2,'Effectiveness settings'!FB502,'Effectiveness settings'!FN502)</f>
        <v>6</v>
      </c>
      <c r="GM502" s="58">
        <f>IF(i_baseline_risk_from=2,'Effectiveness settings'!FC502,'Effectiveness settings'!FO502)</f>
        <v>2</v>
      </c>
      <c r="GN502" s="58">
        <f>IF(i_baseline_risk_from=2,'Effectiveness settings'!FD502,'Effectiveness settings'!FP502)</f>
        <v>0</v>
      </c>
      <c r="GQ502" s="58">
        <f t="shared" si="787"/>
        <v>7</v>
      </c>
      <c r="GR502" s="58">
        <f t="shared" si="788"/>
        <v>7</v>
      </c>
      <c r="GS502" s="58">
        <f t="shared" si="789"/>
        <v>7</v>
      </c>
      <c r="GT502" s="58">
        <f t="shared" si="790"/>
        <v>7</v>
      </c>
      <c r="GU502" s="58">
        <f>IF(AND(dd_CheckMate214_TTD="Yes",'Effectiveness settings'!BU502=2,'Effectiveness settings'!BX502=2),2,GT502)</f>
        <v>7</v>
      </c>
      <c r="GV502" s="58">
        <f t="shared" si="791"/>
        <v>7</v>
      </c>
      <c r="GW502" s="58">
        <f t="shared" si="792"/>
        <v>7</v>
      </c>
      <c r="GY502" s="58">
        <f>IF(AND(dd_CheckMate214_TTD="Yes",'Effectiveness settings'!BU502=2,'Effectiveness settings'!BX502=2),1,GN502)</f>
        <v>0</v>
      </c>
      <c r="GZ502" s="58">
        <f t="shared" si="793"/>
        <v>0</v>
      </c>
      <c r="HB502" s="58">
        <f t="shared" si="794"/>
        <v>0</v>
      </c>
      <c r="HD502" s="58">
        <f t="shared" si="768"/>
        <v>0</v>
      </c>
      <c r="HE502" s="58">
        <f t="shared" si="769"/>
        <v>3</v>
      </c>
      <c r="HF502" s="58">
        <f t="shared" si="770"/>
        <v>7</v>
      </c>
      <c r="HG502" s="58">
        <f t="shared" si="771"/>
        <v>2</v>
      </c>
      <c r="HH502" s="58">
        <f t="shared" si="772"/>
        <v>0</v>
      </c>
    </row>
    <row r="503" spans="69:216" ht="15.75" x14ac:dyDescent="0.25">
      <c r="BQ503" s="58">
        <f t="shared" si="774"/>
        <v>287</v>
      </c>
      <c r="BR503" s="61">
        <v>0</v>
      </c>
      <c r="BS503" s="61" t="s">
        <v>31</v>
      </c>
      <c r="BT503" s="17">
        <v>3</v>
      </c>
      <c r="BU503" s="17">
        <v>6</v>
      </c>
      <c r="BV503" s="17" t="str">
        <f t="shared" si="795"/>
        <v>tivozanib</v>
      </c>
      <c r="BW503" s="1006" t="str" cm="1">
        <f t="array" ref="BW503">IF(AL265="No",AL265,INDEX(List_incl_anal_3L_all,IF(BU503=999,35,BU503+1)))</f>
        <v>Yes</v>
      </c>
      <c r="BX503" s="61">
        <f t="shared" si="796"/>
        <v>0</v>
      </c>
      <c r="BY503" s="531" t="str">
        <f t="shared" si="820"/>
        <v>Overall survival</v>
      </c>
      <c r="BZ503" s="530" t="str">
        <f t="shared" si="797"/>
        <v>PH_NMA</v>
      </c>
      <c r="CA503" s="531">
        <f t="shared" si="819"/>
        <v>0</v>
      </c>
      <c r="CB503" s="530">
        <f t="shared" si="798"/>
        <v>0</v>
      </c>
      <c r="CC503" s="530">
        <f t="shared" si="799"/>
        <v>3</v>
      </c>
      <c r="CD503" s="530">
        <f t="shared" si="800"/>
        <v>8</v>
      </c>
      <c r="CE503" s="1295">
        <f t="shared" si="801"/>
        <v>2</v>
      </c>
      <c r="CF503" s="1301">
        <f t="shared" si="802"/>
        <v>0</v>
      </c>
      <c r="CG503" s="530" t="str">
        <f t="shared" si="803"/>
        <v>Log-logistic</v>
      </c>
      <c r="CH503" s="505">
        <f t="shared" si="804"/>
        <v>0</v>
      </c>
      <c r="CI503" s="505">
        <f t="shared" si="805"/>
        <v>0</v>
      </c>
      <c r="CJ503" s="505">
        <f t="shared" si="806"/>
        <v>0</v>
      </c>
      <c r="DK503" s="58" t="str" cm="1">
        <f t="array" ref="DK503">IF(AND($BT503=4,$BX503=4,$BU503=999),$DB$36,_xlfn.IFNA(INDEX(DB$13:DB$70,MATCH(1,($BR503=$CV$13:$CV$70)*($BT503=$CX$13:$CX$70)*($CE503=$CY$13:$CY$70)*($BY503=$DA$13:$DA$70)*($CD503=$DH$13:$DH$70),0)),""))</f>
        <v>Log-logistic</v>
      </c>
      <c r="DL503" s="58" t="str" cm="1">
        <f t="array" ref="DL503">IF(AND($BT503=4,$BX503=4,$BU503=999),$DC$36,_xlfn.IFNA(INDEX(CHOOSE(DP503,DB$13:DB$70,DC$13:DC$70,DD$13:DD$70,DE$13:DE$70),MATCH(1,($BR503=$CV$13:$CV$70)*($BT503=$CX$13:$CX$70)*($CE503=$CY$13:$CY$70)*($BY503=$DA$13:$DA$70)*($CD503=$DH$13:$DH$70),0)),""))</f>
        <v>Log-logistic</v>
      </c>
      <c r="DM503" s="740" cm="1">
        <f t="array" ref="DM503">IF(AND($BT503=4,$BX503=4,$BU503=999),$DD$36,_xlfn.IFNA(INDEX(DD$13:DD$68,MATCH(1,($BR503=$CV$13:$CV$68)*($BT503=$CX$13:$CX$68)*($CE503=$CY$13:$CY$68)*($BY503=$DA$13:$DA$68)*($CD503=$DH$13:$DH$68),0)),""))</f>
        <v>0</v>
      </c>
      <c r="DN503" s="740" cm="1">
        <f t="array" ref="DN503">IF(AND($BT503=4,$BX503=4,$BU503=999),$DD$36,_xlfn.IFNA(INDEX(DE$13:DE$68,MATCH(1,($BR503=$CV$13:$CV$68)*($BT503=$CX$13:$CX$68)*($CE503=$CY$13:$CY$68)*($BY503=$DA$13:$DA$68)*($CD503=$DH$13:$DH$68),0)),""))</f>
        <v>0</v>
      </c>
      <c r="DO503" s="58" t="str" cm="1">
        <f t="array" ref="DO503">IF(AND($BT503=4,$BX503=4,$BU503=999),$DF$36,_xlfn.IFNA(INDEX(DF$13:DF$70,MATCH(1,($BR503=$CV$13:$CV$70)*($BT503=$CX$13:$CX$70)*($CE503=$CY$13:$CY$70)*($BY503=$DA$13:$DA$70)*($CD503=$DH$13:$DH$70),0)),""))</f>
        <v>Base case</v>
      </c>
      <c r="DP503" s="58">
        <f t="shared" si="775"/>
        <v>1</v>
      </c>
      <c r="DW503" s="58" t="s">
        <v>74</v>
      </c>
      <c r="DX503" s="58" t="s">
        <v>544</v>
      </c>
      <c r="DY503" s="58" t="s">
        <v>67</v>
      </c>
      <c r="DZ503" s="58">
        <v>0</v>
      </c>
      <c r="EB503" s="58">
        <v>0</v>
      </c>
      <c r="EC503" s="58">
        <v>3</v>
      </c>
      <c r="ED503" s="58">
        <v>8</v>
      </c>
      <c r="EE503" s="58">
        <v>2</v>
      </c>
      <c r="EF503" s="58">
        <v>0</v>
      </c>
      <c r="EI503" s="58" t="s">
        <v>74</v>
      </c>
      <c r="EJ503" s="58" t="s">
        <v>544</v>
      </c>
      <c r="EK503" s="58" t="s">
        <v>67</v>
      </c>
      <c r="EL503" s="58">
        <v>0</v>
      </c>
      <c r="EN503" s="58">
        <v>0</v>
      </c>
      <c r="EO503" s="58">
        <v>2</v>
      </c>
      <c r="EP503" s="58">
        <v>10</v>
      </c>
      <c r="EQ503" s="58">
        <v>1</v>
      </c>
      <c r="ER503" s="58">
        <v>0</v>
      </c>
      <c r="EU503" s="58" t="str">
        <f t="shared" si="807"/>
        <v>Yes</v>
      </c>
      <c r="EV503" s="58" t="str">
        <f t="shared" si="808"/>
        <v>Overall survival</v>
      </c>
      <c r="EW503" s="58" t="str">
        <f t="shared" si="809"/>
        <v>PH_NMA</v>
      </c>
      <c r="EX503" s="58">
        <f t="shared" si="810"/>
        <v>0</v>
      </c>
      <c r="EZ503" s="58">
        <f t="shared" si="811"/>
        <v>0</v>
      </c>
      <c r="FA503" s="58">
        <f t="shared" si="812"/>
        <v>3</v>
      </c>
      <c r="FB503" s="58">
        <f>IF(i_eff_inputs_based_on_num=2,ED503,(INDEX(Lists!$L$51:$L$85,MATCH(AR265,Lists!$K$51:$K$85,0))))</f>
        <v>8</v>
      </c>
      <c r="FC503" s="58">
        <f>IF(i_eff_inputs_based_on_num=2,EE503,(INDEX(Lists!$L$51:$L$85,MATCH(AS265,Lists!$K$51:$K$85,0))))</f>
        <v>2</v>
      </c>
      <c r="FD503" s="58">
        <f>IF(i_eff_inputs_based_on_num=2,EF503,(INDEX(Lists!$L$51:$L$85,MATCH(AT265,Lists!$K$51:$K$85,0))))</f>
        <v>0</v>
      </c>
      <c r="FG503" s="58" t="str">
        <f t="shared" si="813"/>
        <v>Yes</v>
      </c>
      <c r="FH503" s="58" t="str">
        <f t="shared" si="814"/>
        <v>Overall survival</v>
      </c>
      <c r="FI503" s="58" t="str">
        <f t="shared" si="815"/>
        <v>PH_NMA</v>
      </c>
      <c r="FJ503" s="58">
        <f t="shared" si="816"/>
        <v>0</v>
      </c>
      <c r="FL503" s="58">
        <f t="shared" si="817"/>
        <v>0</v>
      </c>
      <c r="FM503" s="58">
        <f t="shared" si="818"/>
        <v>2</v>
      </c>
      <c r="FN503" s="58">
        <f>IF(i_eff_inputs_based_on_num=2,EP503,(INDEX(Lists!$L$51:$L$85,MATCH(AR265,Lists!$K$51:$K$85,0))))</f>
        <v>10</v>
      </c>
      <c r="FO503" s="58">
        <f>IF(i_eff_inputs_based_on_num=2,EQ503,(INDEX(Lists!$L$51:$L$85,MATCH(AS265,Lists!$K$51:$K$85,0))))</f>
        <v>1</v>
      </c>
      <c r="FP503" s="58">
        <f>IF(i_eff_inputs_based_on_num=2,ER503,(INDEX(Lists!$L$51:$L$85,MATCH(AT265,Lists!$K$51:$K$85,0))))</f>
        <v>0</v>
      </c>
      <c r="FT503" s="58">
        <f t="shared" si="776"/>
        <v>0</v>
      </c>
      <c r="FW503" s="58" t="str">
        <f>IF(i_baseline_risk_from=2,'Effectiveness settings'!EW503,'Effectiveness settings'!FI503)</f>
        <v>PH_NMA</v>
      </c>
      <c r="FX503" s="58" t="str">
        <f t="shared" si="777"/>
        <v>PH_NMA</v>
      </c>
      <c r="FY503" s="58" t="str">
        <f t="shared" si="778"/>
        <v>PH_NMA</v>
      </c>
      <c r="FZ503" s="58" t="str">
        <f t="shared" si="779"/>
        <v>PH_NMA</v>
      </c>
      <c r="GA503" s="58" t="str">
        <f t="shared" si="780"/>
        <v>PH_NMA</v>
      </c>
      <c r="GB503" s="58" t="str">
        <f t="shared" si="781"/>
        <v>PH_NMA</v>
      </c>
      <c r="GC503" s="58" t="str">
        <f t="shared" si="782"/>
        <v>PH_NMA</v>
      </c>
      <c r="GD503" s="58" t="str">
        <f t="shared" si="783"/>
        <v>PH_NMA</v>
      </c>
      <c r="GE503" s="58" t="str">
        <f>IF(AND(dd_CheckMate214_TTD="Yes",'Effectiveness settings'!BU503=2,'Effectiveness settings'!BX503=2),"Apply HR to",GD503)</f>
        <v>PH_NMA</v>
      </c>
      <c r="GF503" s="58" t="str">
        <f t="shared" si="784"/>
        <v>PH_NMA</v>
      </c>
      <c r="GG503" s="58" t="str">
        <f t="shared" si="785"/>
        <v>PH_NMA</v>
      </c>
      <c r="GH503" s="58" t="str">
        <f t="shared" si="786"/>
        <v>PH_NMA</v>
      </c>
      <c r="GI503" s="58" t="str">
        <f t="shared" si="773"/>
        <v>PH_NMA</v>
      </c>
      <c r="GK503" s="58">
        <f>IF(i_baseline_risk_from=2,'Effectiveness settings'!FA503,'Effectiveness settings'!FM503)</f>
        <v>3</v>
      </c>
      <c r="GL503" s="58">
        <f>IF(i_baseline_risk_from=2,'Effectiveness settings'!FB503,'Effectiveness settings'!FN503)</f>
        <v>8</v>
      </c>
      <c r="GM503" s="58">
        <f>IF(i_baseline_risk_from=2,'Effectiveness settings'!FC503,'Effectiveness settings'!FO503)</f>
        <v>2</v>
      </c>
      <c r="GN503" s="58">
        <f>IF(i_baseline_risk_from=2,'Effectiveness settings'!FD503,'Effectiveness settings'!FP503)</f>
        <v>0</v>
      </c>
      <c r="GQ503" s="58">
        <f t="shared" si="787"/>
        <v>8</v>
      </c>
      <c r="GR503" s="58">
        <f t="shared" si="788"/>
        <v>8</v>
      </c>
      <c r="GS503" s="58">
        <f t="shared" si="789"/>
        <v>8</v>
      </c>
      <c r="GT503" s="58">
        <f t="shared" si="790"/>
        <v>8</v>
      </c>
      <c r="GU503" s="58">
        <f>IF(AND(dd_CheckMate214_TTD="Yes",'Effectiveness settings'!BU503=2,'Effectiveness settings'!BX503=2),2,GT503)</f>
        <v>8</v>
      </c>
      <c r="GV503" s="58">
        <f t="shared" si="791"/>
        <v>8</v>
      </c>
      <c r="GW503" s="58">
        <f t="shared" si="792"/>
        <v>8</v>
      </c>
      <c r="GY503" s="58">
        <f>IF(AND(dd_CheckMate214_TTD="Yes",'Effectiveness settings'!BU503=2,'Effectiveness settings'!BX503=2),1,GN503)</f>
        <v>0</v>
      </c>
      <c r="GZ503" s="58">
        <f t="shared" si="793"/>
        <v>0</v>
      </c>
      <c r="HB503" s="58">
        <f t="shared" si="794"/>
        <v>0</v>
      </c>
      <c r="HD503" s="58">
        <f t="shared" si="768"/>
        <v>0</v>
      </c>
      <c r="HE503" s="58">
        <f t="shared" si="769"/>
        <v>3</v>
      </c>
      <c r="HF503" s="58">
        <f t="shared" si="770"/>
        <v>8</v>
      </c>
      <c r="HG503" s="58">
        <f t="shared" si="771"/>
        <v>2</v>
      </c>
      <c r="HH503" s="58">
        <f t="shared" si="772"/>
        <v>0</v>
      </c>
    </row>
    <row r="504" spans="69:216" ht="15.75" x14ac:dyDescent="0.25">
      <c r="BQ504" s="58">
        <f t="shared" si="774"/>
        <v>288</v>
      </c>
      <c r="BR504" s="61">
        <v>0</v>
      </c>
      <c r="BS504" s="61" t="s">
        <v>31</v>
      </c>
      <c r="BT504" s="17">
        <v>3</v>
      </c>
      <c r="BU504" s="17">
        <v>7</v>
      </c>
      <c r="BV504" s="17" t="str">
        <f t="shared" si="795"/>
        <v>sunitinib</v>
      </c>
      <c r="BW504" s="1006" t="str" cm="1">
        <f t="array" ref="BW504">IF(AL266="No",AL266,INDEX(List_incl_anal_3L_all,IF(BU504=999,35,BU504+1)))</f>
        <v>Yes</v>
      </c>
      <c r="BX504" s="61">
        <f t="shared" si="796"/>
        <v>0</v>
      </c>
      <c r="BY504" s="531" t="str">
        <f t="shared" si="820"/>
        <v>Overall survival</v>
      </c>
      <c r="BZ504" s="530" t="str">
        <f t="shared" si="797"/>
        <v>Assume equal to</v>
      </c>
      <c r="CA504" s="531">
        <f t="shared" si="819"/>
        <v>0</v>
      </c>
      <c r="CB504" s="530">
        <f t="shared" si="798"/>
        <v>0</v>
      </c>
      <c r="CC504" s="530">
        <f t="shared" si="799"/>
        <v>3</v>
      </c>
      <c r="CD504" s="530">
        <f t="shared" si="800"/>
        <v>6</v>
      </c>
      <c r="CE504" s="1295">
        <f t="shared" si="801"/>
        <v>2</v>
      </c>
      <c r="CF504" s="1301">
        <f t="shared" si="802"/>
        <v>0</v>
      </c>
      <c r="CG504" s="530" t="str">
        <f t="shared" si="803"/>
        <v/>
      </c>
      <c r="CH504" s="505">
        <f t="shared" si="804"/>
        <v>1</v>
      </c>
      <c r="CI504" s="505">
        <f t="shared" si="805"/>
        <v>1</v>
      </c>
      <c r="CJ504" s="505">
        <f t="shared" si="806"/>
        <v>1</v>
      </c>
      <c r="DK504" s="58" t="str" cm="1">
        <f t="array" ref="DK504">IF(AND($BT504=4,$BX504=4,$BU504=999),$DB$36,_xlfn.IFNA(INDEX(DB$13:DB$70,MATCH(1,($BR504=$CV$13:$CV$70)*($BT504=$CX$13:$CX$70)*($CE504=$CY$13:$CY$70)*($BY504=$DA$13:$DA$70)*($CD504=$DH$13:$DH$70),0)),""))</f>
        <v/>
      </c>
      <c r="DL504" s="58" t="str" cm="1">
        <f t="array" ref="DL504">IF(AND($BT504=4,$BX504=4,$BU504=999),$DC$36,_xlfn.IFNA(INDEX(CHOOSE(DP504,DB$13:DB$70,DC$13:DC$70,DD$13:DD$70,DE$13:DE$70),MATCH(1,($BR504=$CV$13:$CV$70)*($BT504=$CX$13:$CX$70)*($CE504=$CY$13:$CY$70)*($BY504=$DA$13:$DA$70)*($CD504=$DH$13:$DH$70),0)),""))</f>
        <v/>
      </c>
      <c r="DM504" s="740" t="str" cm="1">
        <f t="array" ref="DM504">IF(AND($BT504=4,$BX504=4,$BU504=999),$DD$36,_xlfn.IFNA(INDEX(DD$13:DD$68,MATCH(1,($BR504=$CV$13:$CV$68)*($BT504=$CX$13:$CX$68)*($CE504=$CY$13:$CY$68)*($BY504=$DA$13:$DA$68)*($CD504=$DH$13:$DH$68),0)),""))</f>
        <v/>
      </c>
      <c r="DN504" s="740" t="str" cm="1">
        <f t="array" ref="DN504">IF(AND($BT504=4,$BX504=4,$BU504=999),$DD$36,_xlfn.IFNA(INDEX(DE$13:DE$68,MATCH(1,($BR504=$CV$13:$CV$68)*($BT504=$CX$13:$CX$68)*($CE504=$CY$13:$CY$68)*($BY504=$DA$13:$DA$68)*($CD504=$DH$13:$DH$68),0)),""))</f>
        <v/>
      </c>
      <c r="DO504" s="58" t="str" cm="1">
        <f t="array" ref="DO504">IF(AND($BT504=4,$BX504=4,$BU504=999),$DF$36,_xlfn.IFNA(INDEX(DF$13:DF$70,MATCH(1,($BR504=$CV$13:$CV$70)*($BT504=$CX$13:$CX$70)*($CE504=$CY$13:$CY$70)*($BY504=$DA$13:$DA$70)*($CD504=$DH$13:$DH$70),0)),""))</f>
        <v/>
      </c>
      <c r="DP504" s="58" t="e">
        <f t="shared" si="775"/>
        <v>#N/A</v>
      </c>
      <c r="DW504" s="58" t="s">
        <v>74</v>
      </c>
      <c r="DX504" s="58" t="s">
        <v>544</v>
      </c>
      <c r="DY504" s="58" t="s">
        <v>561</v>
      </c>
      <c r="DZ504" s="58">
        <v>0</v>
      </c>
      <c r="EB504" s="58">
        <v>0</v>
      </c>
      <c r="EC504" s="58">
        <v>3</v>
      </c>
      <c r="ED504" s="58">
        <v>6</v>
      </c>
      <c r="EE504" s="58">
        <v>2</v>
      </c>
      <c r="EF504" s="58">
        <v>0</v>
      </c>
      <c r="EI504" s="58" t="s">
        <v>74</v>
      </c>
      <c r="EJ504" s="58" t="s">
        <v>544</v>
      </c>
      <c r="EK504" s="58" t="s">
        <v>561</v>
      </c>
      <c r="EL504" s="58">
        <v>0</v>
      </c>
      <c r="EN504" s="58">
        <v>0</v>
      </c>
      <c r="EO504" s="58">
        <v>3</v>
      </c>
      <c r="EP504" s="58">
        <v>6</v>
      </c>
      <c r="EQ504" s="58">
        <v>1</v>
      </c>
      <c r="ER504" s="58">
        <v>0</v>
      </c>
      <c r="EU504" s="58" t="str">
        <f t="shared" si="807"/>
        <v>Yes</v>
      </c>
      <c r="EV504" s="58" t="str">
        <f t="shared" si="808"/>
        <v>Overall survival</v>
      </c>
      <c r="EW504" s="58" t="str">
        <f t="shared" si="809"/>
        <v>Assume equal to</v>
      </c>
      <c r="EX504" s="58">
        <f t="shared" si="810"/>
        <v>0</v>
      </c>
      <c r="EZ504" s="58">
        <f t="shared" si="811"/>
        <v>0</v>
      </c>
      <c r="FA504" s="58">
        <f t="shared" si="812"/>
        <v>3</v>
      </c>
      <c r="FB504" s="58">
        <f>IF(i_eff_inputs_based_on_num=2,ED504,(INDEX(Lists!$L$51:$L$85,MATCH(AR266,Lists!$K$51:$K$85,0))))</f>
        <v>6</v>
      </c>
      <c r="FC504" s="58">
        <f>IF(i_eff_inputs_based_on_num=2,EE504,(INDEX(Lists!$L$51:$L$85,MATCH(AS266,Lists!$K$51:$K$85,0))))</f>
        <v>2</v>
      </c>
      <c r="FD504" s="58">
        <f>IF(i_eff_inputs_based_on_num=2,EF504,(INDEX(Lists!$L$51:$L$85,MATCH(AT266,Lists!$K$51:$K$85,0))))</f>
        <v>0</v>
      </c>
      <c r="FG504" s="58" t="str">
        <f t="shared" si="813"/>
        <v>Yes</v>
      </c>
      <c r="FH504" s="58" t="str">
        <f t="shared" si="814"/>
        <v>Overall survival</v>
      </c>
      <c r="FI504" s="58" t="str">
        <f t="shared" si="815"/>
        <v>Assume equal to</v>
      </c>
      <c r="FJ504" s="58">
        <f t="shared" si="816"/>
        <v>0</v>
      </c>
      <c r="FL504" s="58">
        <f t="shared" si="817"/>
        <v>0</v>
      </c>
      <c r="FM504" s="58">
        <f t="shared" si="818"/>
        <v>3</v>
      </c>
      <c r="FN504" s="58">
        <f>IF(i_eff_inputs_based_on_num=2,EP504,(INDEX(Lists!$L$51:$L$85,MATCH(AR266,Lists!$K$51:$K$85,0))))</f>
        <v>6</v>
      </c>
      <c r="FO504" s="58">
        <f>IF(i_eff_inputs_based_on_num=2,EQ504,(INDEX(Lists!$L$51:$L$85,MATCH(AS266,Lists!$K$51:$K$85,0))))</f>
        <v>1</v>
      </c>
      <c r="FP504" s="58">
        <f>IF(i_eff_inputs_based_on_num=2,ER504,(INDEX(Lists!$L$51:$L$85,MATCH(AT266,Lists!$K$51:$K$85,0))))</f>
        <v>0</v>
      </c>
      <c r="FT504" s="58">
        <f t="shared" si="776"/>
        <v>0</v>
      </c>
      <c r="FW504" s="58" t="str">
        <f>IF(i_baseline_risk_from=2,'Effectiveness settings'!EW504,'Effectiveness settings'!FI504)</f>
        <v>Assume equal to</v>
      </c>
      <c r="FX504" s="58" t="str">
        <f t="shared" si="777"/>
        <v>Assume equal to</v>
      </c>
      <c r="FY504" s="58" t="str">
        <f t="shared" si="778"/>
        <v>Assume equal to</v>
      </c>
      <c r="FZ504" s="58" t="str">
        <f t="shared" si="779"/>
        <v>Assume equal to</v>
      </c>
      <c r="GA504" s="58" t="str">
        <f t="shared" si="780"/>
        <v>Assume equal to</v>
      </c>
      <c r="GB504" s="58" t="str">
        <f t="shared" si="781"/>
        <v>Assume equal to</v>
      </c>
      <c r="GC504" s="58" t="str">
        <f t="shared" si="782"/>
        <v>Assume equal to</v>
      </c>
      <c r="GD504" s="58" t="str">
        <f t="shared" si="783"/>
        <v>Assume equal to</v>
      </c>
      <c r="GE504" s="58" t="str">
        <f>IF(AND(dd_CheckMate214_TTD="Yes",'Effectiveness settings'!BU504=2,'Effectiveness settings'!BX504=2),"Apply HR to",GD504)</f>
        <v>Assume equal to</v>
      </c>
      <c r="GF504" s="58" t="str">
        <f t="shared" si="784"/>
        <v>Assume equal to</v>
      </c>
      <c r="GG504" s="58" t="str">
        <f t="shared" si="785"/>
        <v>Assume equal to</v>
      </c>
      <c r="GH504" s="58" t="str">
        <f t="shared" si="786"/>
        <v>Assume equal to</v>
      </c>
      <c r="GI504" s="58" t="str">
        <f t="shared" si="773"/>
        <v>Assume equal to</v>
      </c>
      <c r="GK504" s="58">
        <f>IF(i_baseline_risk_from=2,'Effectiveness settings'!FA504,'Effectiveness settings'!FM504)</f>
        <v>3</v>
      </c>
      <c r="GL504" s="58">
        <f>IF(i_baseline_risk_from=2,'Effectiveness settings'!FB504,'Effectiveness settings'!FN504)</f>
        <v>6</v>
      </c>
      <c r="GM504" s="58">
        <f>IF(i_baseline_risk_from=2,'Effectiveness settings'!FC504,'Effectiveness settings'!FO504)</f>
        <v>2</v>
      </c>
      <c r="GN504" s="58">
        <f>IF(i_baseline_risk_from=2,'Effectiveness settings'!FD504,'Effectiveness settings'!FP504)</f>
        <v>0</v>
      </c>
      <c r="GQ504" s="58">
        <f t="shared" si="787"/>
        <v>6</v>
      </c>
      <c r="GR504" s="58">
        <f t="shared" si="788"/>
        <v>6</v>
      </c>
      <c r="GS504" s="58">
        <f t="shared" si="789"/>
        <v>6</v>
      </c>
      <c r="GT504" s="58">
        <f t="shared" si="790"/>
        <v>6</v>
      </c>
      <c r="GU504" s="58">
        <f>IF(AND(dd_CheckMate214_TTD="Yes",'Effectiveness settings'!BU504=2,'Effectiveness settings'!BX504=2),2,GT504)</f>
        <v>6</v>
      </c>
      <c r="GV504" s="58">
        <f t="shared" si="791"/>
        <v>6</v>
      </c>
      <c r="GW504" s="58">
        <f t="shared" si="792"/>
        <v>6</v>
      </c>
      <c r="GY504" s="58">
        <f>IF(AND(dd_CheckMate214_TTD="Yes",'Effectiveness settings'!BU504=2,'Effectiveness settings'!BX504=2),1,GN504)</f>
        <v>0</v>
      </c>
      <c r="GZ504" s="58">
        <f t="shared" si="793"/>
        <v>0</v>
      </c>
      <c r="HB504" s="58">
        <f t="shared" si="794"/>
        <v>0</v>
      </c>
      <c r="HD504" s="58">
        <f t="shared" si="768"/>
        <v>0</v>
      </c>
      <c r="HE504" s="58">
        <f t="shared" si="769"/>
        <v>3</v>
      </c>
      <c r="HF504" s="58">
        <f t="shared" si="770"/>
        <v>6</v>
      </c>
      <c r="HG504" s="58">
        <f t="shared" si="771"/>
        <v>2</v>
      </c>
      <c r="HH504" s="58">
        <f t="shared" si="772"/>
        <v>0</v>
      </c>
    </row>
    <row r="505" spans="69:216" ht="15.75" x14ac:dyDescent="0.25">
      <c r="BQ505" s="58">
        <f t="shared" si="774"/>
        <v>289</v>
      </c>
      <c r="BR505" s="61">
        <v>0</v>
      </c>
      <c r="BS505" s="61" t="s">
        <v>31</v>
      </c>
      <c r="BT505" s="17">
        <v>3</v>
      </c>
      <c r="BU505" s="17">
        <v>8</v>
      </c>
      <c r="BV505" s="17" t="str">
        <f t="shared" si="795"/>
        <v>cabozantinib</v>
      </c>
      <c r="BW505" s="1006" t="str" cm="1">
        <f t="array" ref="BW505">IF(AL267="No",AL267,INDEX(List_incl_anal_3L_all,IF(BU505=999,35,BU505+1)))</f>
        <v>Yes</v>
      </c>
      <c r="BX505" s="61">
        <f t="shared" si="796"/>
        <v>0</v>
      </c>
      <c r="BY505" s="531" t="str">
        <f t="shared" si="820"/>
        <v>Overall survival</v>
      </c>
      <c r="BZ505" s="530" t="str">
        <f t="shared" si="797"/>
        <v>Trial survival analysis</v>
      </c>
      <c r="CA505" s="531" t="str">
        <f t="shared" si="819"/>
        <v>Real world evidence</v>
      </c>
      <c r="CB505" s="530">
        <f t="shared" si="798"/>
        <v>0</v>
      </c>
      <c r="CC505" s="530">
        <f t="shared" si="799"/>
        <v>3</v>
      </c>
      <c r="CD505" s="530">
        <f t="shared" si="800"/>
        <v>8</v>
      </c>
      <c r="CE505" s="1295">
        <f t="shared" si="801"/>
        <v>2</v>
      </c>
      <c r="CF505" s="1301">
        <f t="shared" si="802"/>
        <v>0</v>
      </c>
      <c r="CG505" s="530" t="str">
        <f t="shared" si="803"/>
        <v>Log-logistic</v>
      </c>
      <c r="CH505" s="505">
        <f t="shared" si="804"/>
        <v>0</v>
      </c>
      <c r="CI505" s="505">
        <f t="shared" si="805"/>
        <v>0</v>
      </c>
      <c r="CJ505" s="505">
        <f t="shared" si="806"/>
        <v>0</v>
      </c>
      <c r="DK505" s="58" t="str" cm="1">
        <f t="array" ref="DK505">IF(AND($BT505=4,$BX505=4,$BU505=999),$DB$36,_xlfn.IFNA(INDEX(DB$13:DB$70,MATCH(1,($BR505=$CV$13:$CV$70)*($BT505=$CX$13:$CX$70)*($CE505=$CY$13:$CY$70)*($BY505=$DA$13:$DA$70)*($CD505=$DH$13:$DH$70),0)),""))</f>
        <v>Log-logistic</v>
      </c>
      <c r="DL505" s="58" t="str" cm="1">
        <f t="array" ref="DL505">IF(AND($BT505=4,$BX505=4,$BU505=999),$DC$36,_xlfn.IFNA(INDEX(CHOOSE(DP505,DB$13:DB$70,DC$13:DC$70,DD$13:DD$70,DE$13:DE$70),MATCH(1,($BR505=$CV$13:$CV$70)*($BT505=$CX$13:$CX$70)*($CE505=$CY$13:$CY$70)*($BY505=$DA$13:$DA$70)*($CD505=$DH$13:$DH$70),0)),""))</f>
        <v>Log-logistic</v>
      </c>
      <c r="DM505" s="740" cm="1">
        <f t="array" ref="DM505">IF(AND($BT505=4,$BX505=4,$BU505=999),$DD$36,_xlfn.IFNA(INDEX(DD$13:DD$68,MATCH(1,($BR505=$CV$13:$CV$68)*($BT505=$CX$13:$CX$68)*($CE505=$CY$13:$CY$68)*($BY505=$DA$13:$DA$68)*($CD505=$DH$13:$DH$68),0)),""))</f>
        <v>0</v>
      </c>
      <c r="DN505" s="740" cm="1">
        <f t="array" ref="DN505">IF(AND($BT505=4,$BX505=4,$BU505=999),$DD$36,_xlfn.IFNA(INDEX(DE$13:DE$68,MATCH(1,($BR505=$CV$13:$CV$68)*($BT505=$CX$13:$CX$68)*($CE505=$CY$13:$CY$68)*($BY505=$DA$13:$DA$68)*($CD505=$DH$13:$DH$68),0)),""))</f>
        <v>0</v>
      </c>
      <c r="DO505" s="58" t="str" cm="1">
        <f t="array" ref="DO505">IF(AND($BT505=4,$BX505=4,$BU505=999),$DF$36,_xlfn.IFNA(INDEX(DF$13:DF$70,MATCH(1,($BR505=$CV$13:$CV$70)*($BT505=$CX$13:$CX$70)*($CE505=$CY$13:$CY$70)*($BY505=$DA$13:$DA$70)*($CD505=$DH$13:$DH$70),0)),""))</f>
        <v>Base case</v>
      </c>
      <c r="DP505" s="58">
        <f t="shared" si="775"/>
        <v>1</v>
      </c>
      <c r="DW505" s="58" t="s">
        <v>74</v>
      </c>
      <c r="DX505" s="58" t="s">
        <v>544</v>
      </c>
      <c r="DY505" s="58" t="s">
        <v>562</v>
      </c>
      <c r="DZ505" s="58" t="s">
        <v>547</v>
      </c>
      <c r="EB505" s="58">
        <v>0</v>
      </c>
      <c r="EC505" s="58">
        <v>3</v>
      </c>
      <c r="ED505" s="58">
        <v>8</v>
      </c>
      <c r="EE505" s="58">
        <v>2</v>
      </c>
      <c r="EF505" s="58">
        <v>0</v>
      </c>
      <c r="EI505" s="58" t="s">
        <v>74</v>
      </c>
      <c r="EJ505" s="58" t="s">
        <v>544</v>
      </c>
      <c r="EK505" s="58" t="s">
        <v>63</v>
      </c>
      <c r="EL505" s="58">
        <v>0</v>
      </c>
      <c r="EN505" s="58">
        <v>0</v>
      </c>
      <c r="EO505" s="58">
        <v>2</v>
      </c>
      <c r="EP505" s="58">
        <v>10</v>
      </c>
      <c r="EQ505" s="58">
        <v>1</v>
      </c>
      <c r="ER505" s="58">
        <v>0</v>
      </c>
      <c r="EU505" s="58" t="str">
        <f t="shared" si="807"/>
        <v>Yes</v>
      </c>
      <c r="EV505" s="58" t="str">
        <f t="shared" si="808"/>
        <v>Overall survival</v>
      </c>
      <c r="EW505" s="58" t="str">
        <f t="shared" si="809"/>
        <v>Trial survival analysis</v>
      </c>
      <c r="EX505" s="58" t="str">
        <f t="shared" si="810"/>
        <v>Real world evidence</v>
      </c>
      <c r="EZ505" s="58">
        <f t="shared" si="811"/>
        <v>0</v>
      </c>
      <c r="FA505" s="58">
        <f t="shared" si="812"/>
        <v>3</v>
      </c>
      <c r="FB505" s="58">
        <f>IF(i_eff_inputs_based_on_num=2,ED505,(INDEX(Lists!$L$51:$L$85,MATCH(AR267,Lists!$K$51:$K$85,0))))</f>
        <v>8</v>
      </c>
      <c r="FC505" s="58">
        <f>IF(i_eff_inputs_based_on_num=2,EE505,(INDEX(Lists!$L$51:$L$85,MATCH(AS267,Lists!$K$51:$K$85,0))))</f>
        <v>2</v>
      </c>
      <c r="FD505" s="58">
        <f>IF(i_eff_inputs_based_on_num=2,EF505,(INDEX(Lists!$L$51:$L$85,MATCH(AT267,Lists!$K$51:$K$85,0))))</f>
        <v>0</v>
      </c>
      <c r="FG505" s="58" t="str">
        <f t="shared" si="813"/>
        <v>Yes</v>
      </c>
      <c r="FH505" s="58" t="str">
        <f t="shared" si="814"/>
        <v>Overall survival</v>
      </c>
      <c r="FI505" s="58" t="str">
        <f t="shared" si="815"/>
        <v>FP_NMA</v>
      </c>
      <c r="FJ505" s="58">
        <f t="shared" si="816"/>
        <v>0</v>
      </c>
      <c r="FL505" s="58">
        <f t="shared" si="817"/>
        <v>0</v>
      </c>
      <c r="FM505" s="58">
        <f t="shared" si="818"/>
        <v>2</v>
      </c>
      <c r="FN505" s="58">
        <f>IF(i_eff_inputs_based_on_num=2,EP505,(INDEX(Lists!$L$51:$L$85,MATCH(AR267,Lists!$K$51:$K$85,0))))</f>
        <v>10</v>
      </c>
      <c r="FO505" s="58">
        <f>IF(i_eff_inputs_based_on_num=2,EQ505,(INDEX(Lists!$L$51:$L$85,MATCH(AS267,Lists!$K$51:$K$85,0))))</f>
        <v>1</v>
      </c>
      <c r="FP505" s="58">
        <f>IF(i_eff_inputs_based_on_num=2,ER505,(INDEX(Lists!$L$51:$L$85,MATCH(AT267,Lists!$K$51:$K$85,0))))</f>
        <v>0</v>
      </c>
      <c r="FT505" s="58" t="str">
        <f t="shared" si="776"/>
        <v>Real world evidence</v>
      </c>
      <c r="FW505" s="58" t="str">
        <f>IF(i_baseline_risk_from=2,'Effectiveness settings'!EW505,'Effectiveness settings'!FI505)</f>
        <v>Trial survival analysis</v>
      </c>
      <c r="FX505" s="58" t="str">
        <f t="shared" si="777"/>
        <v>Trial survival analysis</v>
      </c>
      <c r="FY505" s="58" t="str">
        <f t="shared" si="778"/>
        <v>Trial survival analysis</v>
      </c>
      <c r="FZ505" s="58" t="str">
        <f t="shared" si="779"/>
        <v>Trial survival analysis</v>
      </c>
      <c r="GA505" s="58" t="str">
        <f t="shared" si="780"/>
        <v>Trial survival analysis</v>
      </c>
      <c r="GB505" s="58" t="str">
        <f t="shared" si="781"/>
        <v>Trial survival analysis</v>
      </c>
      <c r="GC505" s="58" t="str">
        <f t="shared" si="782"/>
        <v>Trial survival analysis</v>
      </c>
      <c r="GD505" s="58" t="str">
        <f t="shared" si="783"/>
        <v>Trial survival analysis</v>
      </c>
      <c r="GE505" s="58" t="str">
        <f>IF(AND(dd_CheckMate214_TTD="Yes",'Effectiveness settings'!BU505=2,'Effectiveness settings'!BX505=2),"Apply HR to",GD505)</f>
        <v>Trial survival analysis</v>
      </c>
      <c r="GF505" s="58" t="str">
        <f t="shared" si="784"/>
        <v>Trial survival analysis</v>
      </c>
      <c r="GG505" s="58" t="str">
        <f t="shared" si="785"/>
        <v>Trial survival analysis</v>
      </c>
      <c r="GH505" s="58" t="str">
        <f t="shared" si="786"/>
        <v>Trial survival analysis</v>
      </c>
      <c r="GI505" s="58" t="str">
        <f t="shared" si="773"/>
        <v>Trial survival analysis</v>
      </c>
      <c r="GK505" s="58">
        <f>IF(i_baseline_risk_from=2,'Effectiveness settings'!FA505,'Effectiveness settings'!FM505)</f>
        <v>3</v>
      </c>
      <c r="GL505" s="58">
        <f>IF(i_baseline_risk_from=2,'Effectiveness settings'!FB505,'Effectiveness settings'!FN505)</f>
        <v>8</v>
      </c>
      <c r="GM505" s="58">
        <f>IF(i_baseline_risk_from=2,'Effectiveness settings'!FC505,'Effectiveness settings'!FO505)</f>
        <v>2</v>
      </c>
      <c r="GN505" s="58">
        <f>IF(i_baseline_risk_from=2,'Effectiveness settings'!FD505,'Effectiveness settings'!FP505)</f>
        <v>0</v>
      </c>
      <c r="GQ505" s="58">
        <f t="shared" si="787"/>
        <v>8</v>
      </c>
      <c r="GR505" s="58">
        <f t="shared" si="788"/>
        <v>8</v>
      </c>
      <c r="GS505" s="58">
        <f t="shared" si="789"/>
        <v>8</v>
      </c>
      <c r="GT505" s="58">
        <f t="shared" si="790"/>
        <v>8</v>
      </c>
      <c r="GU505" s="58">
        <f>IF(AND(dd_CheckMate214_TTD="Yes",'Effectiveness settings'!BU505=2,'Effectiveness settings'!BX505=2),2,GT505)</f>
        <v>8</v>
      </c>
      <c r="GV505" s="58">
        <f t="shared" si="791"/>
        <v>8</v>
      </c>
      <c r="GW505" s="58">
        <f t="shared" si="792"/>
        <v>8</v>
      </c>
      <c r="GY505" s="58">
        <f>IF(AND(dd_CheckMate214_TTD="Yes",'Effectiveness settings'!BU505=2,'Effectiveness settings'!BX505=2),1,GN505)</f>
        <v>0</v>
      </c>
      <c r="GZ505" s="58">
        <f t="shared" si="793"/>
        <v>0</v>
      </c>
      <c r="HB505" s="58">
        <f t="shared" si="794"/>
        <v>0</v>
      </c>
      <c r="HD505" s="58">
        <f t="shared" si="768"/>
        <v>0</v>
      </c>
      <c r="HE505" s="58">
        <f t="shared" si="769"/>
        <v>3</v>
      </c>
      <c r="HF505" s="58">
        <f t="shared" si="770"/>
        <v>8</v>
      </c>
      <c r="HG505" s="58">
        <f t="shared" si="771"/>
        <v>2</v>
      </c>
      <c r="HH505" s="58">
        <f t="shared" si="772"/>
        <v>0</v>
      </c>
    </row>
    <row r="506" spans="69:216" ht="15.75" x14ac:dyDescent="0.25">
      <c r="BQ506" s="58">
        <f t="shared" si="774"/>
        <v>290</v>
      </c>
      <c r="BR506" s="61">
        <v>0</v>
      </c>
      <c r="BS506" s="61" t="s">
        <v>31</v>
      </c>
      <c r="BT506" s="17">
        <v>3</v>
      </c>
      <c r="BU506" s="17">
        <v>9</v>
      </c>
      <c r="BV506" s="17" t="str">
        <f t="shared" si="795"/>
        <v>lenvatinib_plus_everolimus</v>
      </c>
      <c r="BW506" s="1006" t="str" cm="1">
        <f t="array" ref="BW506">IF(AL268="No",AL268,INDEX(List_incl_anal_3L_all,IF(BU506=999,35,BU506+1)))</f>
        <v>Yes</v>
      </c>
      <c r="BX506" s="61">
        <f t="shared" si="796"/>
        <v>0</v>
      </c>
      <c r="BY506" s="531" t="str">
        <f t="shared" si="820"/>
        <v>Overall survival</v>
      </c>
      <c r="BZ506" s="530" t="str">
        <f t="shared" si="797"/>
        <v>PH_NMA</v>
      </c>
      <c r="CA506" s="531">
        <f t="shared" si="819"/>
        <v>0</v>
      </c>
      <c r="CB506" s="530">
        <f t="shared" si="798"/>
        <v>0</v>
      </c>
      <c r="CC506" s="530">
        <f t="shared" si="799"/>
        <v>3</v>
      </c>
      <c r="CD506" s="530">
        <f t="shared" si="800"/>
        <v>8</v>
      </c>
      <c r="CE506" s="1295">
        <f t="shared" si="801"/>
        <v>2</v>
      </c>
      <c r="CF506" s="1301">
        <f t="shared" si="802"/>
        <v>0</v>
      </c>
      <c r="CG506" s="530" t="str">
        <f t="shared" si="803"/>
        <v>Log-logistic</v>
      </c>
      <c r="CH506" s="505">
        <f t="shared" si="804"/>
        <v>0</v>
      </c>
      <c r="CI506" s="505">
        <f t="shared" si="805"/>
        <v>0</v>
      </c>
      <c r="CJ506" s="505">
        <f t="shared" si="806"/>
        <v>0</v>
      </c>
      <c r="DK506" s="58" t="str" cm="1">
        <f t="array" ref="DK506">IF(AND($BT506=4,$BX506=4,$BU506=999),$DB$36,_xlfn.IFNA(INDEX(DB$13:DB$70,MATCH(1,($BR506=$CV$13:$CV$70)*($BT506=$CX$13:$CX$70)*($CE506=$CY$13:$CY$70)*($BY506=$DA$13:$DA$70)*($CD506=$DH$13:$DH$70),0)),""))</f>
        <v>Log-logistic</v>
      </c>
      <c r="DL506" s="58" t="str" cm="1">
        <f t="array" ref="DL506">IF(AND($BT506=4,$BX506=4,$BU506=999),$DC$36,_xlfn.IFNA(INDEX(CHOOSE(DP506,DB$13:DB$70,DC$13:DC$70,DD$13:DD$70,DE$13:DE$70),MATCH(1,($BR506=$CV$13:$CV$70)*($BT506=$CX$13:$CX$70)*($CE506=$CY$13:$CY$70)*($BY506=$DA$13:$DA$70)*($CD506=$DH$13:$DH$70),0)),""))</f>
        <v>Log-logistic</v>
      </c>
      <c r="DM506" s="740" cm="1">
        <f t="array" ref="DM506">IF(AND($BT506=4,$BX506=4,$BU506=999),$DD$36,_xlfn.IFNA(INDEX(DD$13:DD$68,MATCH(1,($BR506=$CV$13:$CV$68)*($BT506=$CX$13:$CX$68)*($CE506=$CY$13:$CY$68)*($BY506=$DA$13:$DA$68)*($CD506=$DH$13:$DH$68),0)),""))</f>
        <v>0</v>
      </c>
      <c r="DN506" s="740" cm="1">
        <f t="array" ref="DN506">IF(AND($BT506=4,$BX506=4,$BU506=999),$DD$36,_xlfn.IFNA(INDEX(DE$13:DE$68,MATCH(1,($BR506=$CV$13:$CV$68)*($BT506=$CX$13:$CX$68)*($CE506=$CY$13:$CY$68)*($BY506=$DA$13:$DA$68)*($CD506=$DH$13:$DH$68),0)),""))</f>
        <v>0</v>
      </c>
      <c r="DO506" s="58" t="str" cm="1">
        <f t="array" ref="DO506">IF(AND($BT506=4,$BX506=4,$BU506=999),$DF$36,_xlfn.IFNA(INDEX(DF$13:DF$70,MATCH(1,($BR506=$CV$13:$CV$70)*($BT506=$CX$13:$CX$70)*($CE506=$CY$13:$CY$70)*($BY506=$DA$13:$DA$70)*($CD506=$DH$13:$DH$70),0)),""))</f>
        <v>Base case</v>
      </c>
      <c r="DP506" s="58">
        <f t="shared" si="775"/>
        <v>1</v>
      </c>
      <c r="DW506" s="58" t="s">
        <v>74</v>
      </c>
      <c r="DX506" s="58" t="s">
        <v>544</v>
      </c>
      <c r="DY506" s="58" t="s">
        <v>63</v>
      </c>
      <c r="DZ506" s="58">
        <v>0</v>
      </c>
      <c r="EB506" s="58">
        <v>0</v>
      </c>
      <c r="EC506" s="58">
        <v>3</v>
      </c>
      <c r="ED506" s="58">
        <v>8</v>
      </c>
      <c r="EE506" s="58">
        <v>2</v>
      </c>
      <c r="EF506" s="58">
        <v>0</v>
      </c>
      <c r="EI506" s="58" t="s">
        <v>74</v>
      </c>
      <c r="EJ506" s="58" t="s">
        <v>544</v>
      </c>
      <c r="EK506" s="58" t="s">
        <v>63</v>
      </c>
      <c r="EL506" s="58">
        <v>0</v>
      </c>
      <c r="EN506" s="58">
        <v>0</v>
      </c>
      <c r="EO506" s="58">
        <v>2</v>
      </c>
      <c r="EP506" s="58">
        <v>10</v>
      </c>
      <c r="EQ506" s="58">
        <v>1</v>
      </c>
      <c r="ER506" s="58">
        <v>0</v>
      </c>
      <c r="EU506" s="58" t="str">
        <f t="shared" si="807"/>
        <v>Yes</v>
      </c>
      <c r="EV506" s="58" t="str">
        <f t="shared" si="808"/>
        <v>Overall survival</v>
      </c>
      <c r="EW506" s="58" t="str">
        <f t="shared" si="809"/>
        <v>FP_NMA</v>
      </c>
      <c r="EX506" s="58">
        <f t="shared" si="810"/>
        <v>0</v>
      </c>
      <c r="EZ506" s="58">
        <f t="shared" si="811"/>
        <v>0</v>
      </c>
      <c r="FA506" s="58">
        <f t="shared" si="812"/>
        <v>3</v>
      </c>
      <c r="FB506" s="58">
        <f>IF(i_eff_inputs_based_on_num=2,ED506,(INDEX(Lists!$L$51:$L$85,MATCH(AR268,Lists!$K$51:$K$85,0))))</f>
        <v>8</v>
      </c>
      <c r="FC506" s="58">
        <f>IF(i_eff_inputs_based_on_num=2,EE506,(INDEX(Lists!$L$51:$L$85,MATCH(AS268,Lists!$K$51:$K$85,0))))</f>
        <v>2</v>
      </c>
      <c r="FD506" s="58">
        <f>IF(i_eff_inputs_based_on_num=2,EF506,(INDEX(Lists!$L$51:$L$85,MATCH(AT268,Lists!$K$51:$K$85,0))))</f>
        <v>0</v>
      </c>
      <c r="FG506" s="58" t="str">
        <f t="shared" si="813"/>
        <v>Yes</v>
      </c>
      <c r="FH506" s="58" t="str">
        <f t="shared" si="814"/>
        <v>Overall survival</v>
      </c>
      <c r="FI506" s="58" t="str">
        <f t="shared" si="815"/>
        <v>FP_NMA</v>
      </c>
      <c r="FJ506" s="58">
        <f t="shared" si="816"/>
        <v>0</v>
      </c>
      <c r="FL506" s="58">
        <f t="shared" si="817"/>
        <v>0</v>
      </c>
      <c r="FM506" s="58">
        <f t="shared" si="818"/>
        <v>2</v>
      </c>
      <c r="FN506" s="58">
        <f>IF(i_eff_inputs_based_on_num=2,EP506,(INDEX(Lists!$L$51:$L$85,MATCH(AR268,Lists!$K$51:$K$85,0))))</f>
        <v>10</v>
      </c>
      <c r="FO506" s="58">
        <f>IF(i_eff_inputs_based_on_num=2,EQ506,(INDEX(Lists!$L$51:$L$85,MATCH(AS268,Lists!$K$51:$K$85,0))))</f>
        <v>1</v>
      </c>
      <c r="FP506" s="58">
        <f>IF(i_eff_inputs_based_on_num=2,ER506,(INDEX(Lists!$L$51:$L$85,MATCH(AT268,Lists!$K$51:$K$85,0))))</f>
        <v>0</v>
      </c>
      <c r="FT506" s="58">
        <f t="shared" si="776"/>
        <v>0</v>
      </c>
      <c r="FW506" s="58" t="str">
        <f>IF(i_baseline_risk_from=2,'Effectiveness settings'!EW506,'Effectiveness settings'!FI506)</f>
        <v>FP_NMA</v>
      </c>
      <c r="FX506" s="58" t="str">
        <f t="shared" si="777"/>
        <v>PH_NMA</v>
      </c>
      <c r="FY506" s="58" t="str">
        <f t="shared" si="778"/>
        <v>PH_NMA</v>
      </c>
      <c r="FZ506" s="58" t="str">
        <f t="shared" si="779"/>
        <v>PH_NMA</v>
      </c>
      <c r="GA506" s="58" t="str">
        <f t="shared" si="780"/>
        <v>PH_NMA</v>
      </c>
      <c r="GB506" s="58" t="str">
        <f t="shared" si="781"/>
        <v>PH_NMA</v>
      </c>
      <c r="GC506" s="58" t="str">
        <f t="shared" si="782"/>
        <v>PH_NMA</v>
      </c>
      <c r="GD506" s="58" t="str">
        <f t="shared" si="783"/>
        <v>PH_NMA</v>
      </c>
      <c r="GE506" s="58" t="str">
        <f>IF(AND(dd_CheckMate214_TTD="Yes",'Effectiveness settings'!BU506=2,'Effectiveness settings'!BX506=2),"Apply HR to",GD506)</f>
        <v>PH_NMA</v>
      </c>
      <c r="GF506" s="58" t="str">
        <f t="shared" si="784"/>
        <v>PH_NMA</v>
      </c>
      <c r="GG506" s="58" t="str">
        <f t="shared" si="785"/>
        <v>PH_NMA</v>
      </c>
      <c r="GH506" s="58" t="str">
        <f t="shared" si="786"/>
        <v>PH_NMA</v>
      </c>
      <c r="GI506" s="58" t="str">
        <f t="shared" si="773"/>
        <v>PH_NMA</v>
      </c>
      <c r="GK506" s="58">
        <f>IF(i_baseline_risk_from=2,'Effectiveness settings'!FA506,'Effectiveness settings'!FM506)</f>
        <v>3</v>
      </c>
      <c r="GL506" s="58">
        <f>IF(i_baseline_risk_from=2,'Effectiveness settings'!FB506,'Effectiveness settings'!FN506)</f>
        <v>8</v>
      </c>
      <c r="GM506" s="58">
        <f>IF(i_baseline_risk_from=2,'Effectiveness settings'!FC506,'Effectiveness settings'!FO506)</f>
        <v>2</v>
      </c>
      <c r="GN506" s="58">
        <f>IF(i_baseline_risk_from=2,'Effectiveness settings'!FD506,'Effectiveness settings'!FP506)</f>
        <v>0</v>
      </c>
      <c r="GQ506" s="58">
        <f t="shared" si="787"/>
        <v>8</v>
      </c>
      <c r="GR506" s="58">
        <f t="shared" si="788"/>
        <v>8</v>
      </c>
      <c r="GS506" s="58">
        <f t="shared" si="789"/>
        <v>8</v>
      </c>
      <c r="GT506" s="58">
        <f t="shared" si="790"/>
        <v>8</v>
      </c>
      <c r="GU506" s="58">
        <f>IF(AND(dd_CheckMate214_TTD="Yes",'Effectiveness settings'!BU506=2,'Effectiveness settings'!BX506=2),2,GT506)</f>
        <v>8</v>
      </c>
      <c r="GV506" s="58">
        <f t="shared" si="791"/>
        <v>8</v>
      </c>
      <c r="GW506" s="58">
        <f t="shared" si="792"/>
        <v>8</v>
      </c>
      <c r="GY506" s="58">
        <f>IF(AND(dd_CheckMate214_TTD="Yes",'Effectiveness settings'!BU506=2,'Effectiveness settings'!BX506=2),1,GN506)</f>
        <v>0</v>
      </c>
      <c r="GZ506" s="58">
        <f t="shared" si="793"/>
        <v>0</v>
      </c>
      <c r="HB506" s="58">
        <f t="shared" si="794"/>
        <v>0</v>
      </c>
      <c r="HD506" s="58">
        <f t="shared" si="768"/>
        <v>0</v>
      </c>
      <c r="HE506" s="58">
        <f t="shared" si="769"/>
        <v>3</v>
      </c>
      <c r="HF506" s="58">
        <f t="shared" si="770"/>
        <v>8</v>
      </c>
      <c r="HG506" s="58">
        <f t="shared" si="771"/>
        <v>2</v>
      </c>
      <c r="HH506" s="58">
        <f t="shared" si="772"/>
        <v>0</v>
      </c>
    </row>
    <row r="507" spans="69:216" ht="15.75" x14ac:dyDescent="0.25">
      <c r="BQ507" s="58">
        <f t="shared" si="774"/>
        <v>291</v>
      </c>
      <c r="BR507" s="61">
        <v>0</v>
      </c>
      <c r="BS507" s="61" t="s">
        <v>31</v>
      </c>
      <c r="BT507" s="17">
        <v>3</v>
      </c>
      <c r="BU507" s="17">
        <v>10</v>
      </c>
      <c r="BV507" s="17" t="str">
        <f t="shared" si="795"/>
        <v>everolimus</v>
      </c>
      <c r="BW507" s="1006" t="str" cm="1">
        <f t="array" ref="BW507">IF(AL269="No",AL269,INDEX(List_incl_anal_3L_all,IF(BU507=999,35,BU507+1)))</f>
        <v>Yes</v>
      </c>
      <c r="BX507" s="61">
        <f t="shared" si="796"/>
        <v>0</v>
      </c>
      <c r="BY507" s="531" t="str">
        <f t="shared" si="820"/>
        <v>Overall survival</v>
      </c>
      <c r="BZ507" s="530" t="str">
        <f t="shared" si="797"/>
        <v>PH_NMA</v>
      </c>
      <c r="CA507" s="531">
        <f t="shared" si="819"/>
        <v>0</v>
      </c>
      <c r="CB507" s="530">
        <f t="shared" si="798"/>
        <v>0</v>
      </c>
      <c r="CC507" s="530">
        <f t="shared" si="799"/>
        <v>3</v>
      </c>
      <c r="CD507" s="530">
        <f t="shared" si="800"/>
        <v>8</v>
      </c>
      <c r="CE507" s="1295">
        <f t="shared" si="801"/>
        <v>2</v>
      </c>
      <c r="CF507" s="1301">
        <f t="shared" si="802"/>
        <v>0</v>
      </c>
      <c r="CG507" s="530" t="str">
        <f t="shared" si="803"/>
        <v>Log-logistic</v>
      </c>
      <c r="CH507" s="505">
        <f t="shared" si="804"/>
        <v>0</v>
      </c>
      <c r="CI507" s="505">
        <f t="shared" si="805"/>
        <v>0</v>
      </c>
      <c r="CJ507" s="505">
        <f t="shared" si="806"/>
        <v>0</v>
      </c>
      <c r="DK507" s="58" t="str" cm="1">
        <f t="array" ref="DK507">IF(AND($BT507=4,$BX507=4,$BU507=999),$DB$36,_xlfn.IFNA(INDEX(DB$13:DB$70,MATCH(1,($BR507=$CV$13:$CV$70)*($BT507=$CX$13:$CX$70)*($CE507=$CY$13:$CY$70)*($BY507=$DA$13:$DA$70)*($CD507=$DH$13:$DH$70),0)),""))</f>
        <v>Log-logistic</v>
      </c>
      <c r="DL507" s="58" t="str" cm="1">
        <f t="array" ref="DL507">IF(AND($BT507=4,$BX507=4,$BU507=999),$DC$36,_xlfn.IFNA(INDEX(CHOOSE(DP507,DB$13:DB$70,DC$13:DC$70,DD$13:DD$70,DE$13:DE$70),MATCH(1,($BR507=$CV$13:$CV$70)*($BT507=$CX$13:$CX$70)*($CE507=$CY$13:$CY$70)*($BY507=$DA$13:$DA$70)*($CD507=$DH$13:$DH$70),0)),""))</f>
        <v>Log-logistic</v>
      </c>
      <c r="DM507" s="740" cm="1">
        <f t="array" ref="DM507">IF(AND($BT507=4,$BX507=4,$BU507=999),$DD$36,_xlfn.IFNA(INDEX(DD$13:DD$68,MATCH(1,($BR507=$CV$13:$CV$68)*($BT507=$CX$13:$CX$68)*($CE507=$CY$13:$CY$68)*($BY507=$DA$13:$DA$68)*($CD507=$DH$13:$DH$68),0)),""))</f>
        <v>0</v>
      </c>
      <c r="DN507" s="740" cm="1">
        <f t="array" ref="DN507">IF(AND($BT507=4,$BX507=4,$BU507=999),$DD$36,_xlfn.IFNA(INDEX(DE$13:DE$68,MATCH(1,($BR507=$CV$13:$CV$68)*($BT507=$CX$13:$CX$68)*($CE507=$CY$13:$CY$68)*($BY507=$DA$13:$DA$68)*($CD507=$DH$13:$DH$68),0)),""))</f>
        <v>0</v>
      </c>
      <c r="DO507" s="58" t="str" cm="1">
        <f t="array" ref="DO507">IF(AND($BT507=4,$BX507=4,$BU507=999),$DF$36,_xlfn.IFNA(INDEX(DF$13:DF$70,MATCH(1,($BR507=$CV$13:$CV$70)*($BT507=$CX$13:$CX$70)*($CE507=$CY$13:$CY$70)*($BY507=$DA$13:$DA$70)*($CD507=$DH$13:$DH$70),0)),""))</f>
        <v>Base case</v>
      </c>
      <c r="DP507" s="58">
        <f t="shared" si="775"/>
        <v>1</v>
      </c>
      <c r="DW507" s="58" t="s">
        <v>74</v>
      </c>
      <c r="DX507" s="58" t="s">
        <v>544</v>
      </c>
      <c r="DY507" s="58" t="s">
        <v>63</v>
      </c>
      <c r="DZ507" s="58">
        <v>0</v>
      </c>
      <c r="EB507" s="58">
        <v>0</v>
      </c>
      <c r="EC507" s="58">
        <v>3</v>
      </c>
      <c r="ED507" s="58">
        <v>8</v>
      </c>
      <c r="EE507" s="58">
        <v>2</v>
      </c>
      <c r="EF507" s="58">
        <v>0</v>
      </c>
      <c r="EI507" s="58" t="s">
        <v>74</v>
      </c>
      <c r="EJ507" s="58" t="s">
        <v>544</v>
      </c>
      <c r="EK507" s="58" t="s">
        <v>562</v>
      </c>
      <c r="EL507" s="58" t="s">
        <v>606</v>
      </c>
      <c r="EN507" s="58">
        <v>0</v>
      </c>
      <c r="EO507" s="58">
        <v>2</v>
      </c>
      <c r="EP507" s="58">
        <v>10</v>
      </c>
      <c r="EQ507" s="58">
        <v>1</v>
      </c>
      <c r="ER507" s="58">
        <v>0</v>
      </c>
      <c r="EU507" s="58" t="str">
        <f t="shared" si="807"/>
        <v>Yes</v>
      </c>
      <c r="EV507" s="58" t="str">
        <f t="shared" si="808"/>
        <v>Overall survival</v>
      </c>
      <c r="EW507" s="58" t="str">
        <f t="shared" si="809"/>
        <v>FP_NMA</v>
      </c>
      <c r="EX507" s="58">
        <f t="shared" si="810"/>
        <v>0</v>
      </c>
      <c r="EZ507" s="58">
        <f t="shared" si="811"/>
        <v>0</v>
      </c>
      <c r="FA507" s="58">
        <f t="shared" si="812"/>
        <v>3</v>
      </c>
      <c r="FB507" s="58">
        <f>IF(i_eff_inputs_based_on_num=2,ED507,(INDEX(Lists!$L$51:$L$85,MATCH(AR269,Lists!$K$51:$K$85,0))))</f>
        <v>8</v>
      </c>
      <c r="FC507" s="58">
        <f>IF(i_eff_inputs_based_on_num=2,EE507,(INDEX(Lists!$L$51:$L$85,MATCH(AS269,Lists!$K$51:$K$85,0))))</f>
        <v>2</v>
      </c>
      <c r="FD507" s="58">
        <f>IF(i_eff_inputs_based_on_num=2,EF507,(INDEX(Lists!$L$51:$L$85,MATCH(AT269,Lists!$K$51:$K$85,0))))</f>
        <v>0</v>
      </c>
      <c r="FG507" s="58" t="str">
        <f t="shared" si="813"/>
        <v>Yes</v>
      </c>
      <c r="FH507" s="58" t="str">
        <f t="shared" si="814"/>
        <v>Overall survival</v>
      </c>
      <c r="FI507" s="58" t="str">
        <f t="shared" si="815"/>
        <v>Trial survival analysis</v>
      </c>
      <c r="FJ507" s="58" t="str">
        <f t="shared" si="816"/>
        <v>CheckMate 025</v>
      </c>
      <c r="FL507" s="58">
        <f t="shared" si="817"/>
        <v>0</v>
      </c>
      <c r="FM507" s="58">
        <f t="shared" si="818"/>
        <v>2</v>
      </c>
      <c r="FN507" s="58">
        <f>IF(i_eff_inputs_based_on_num=2,EP507,(INDEX(Lists!$L$51:$L$85,MATCH(AR269,Lists!$K$51:$K$85,0))))</f>
        <v>10</v>
      </c>
      <c r="FO507" s="58">
        <f>IF(i_eff_inputs_based_on_num=2,EQ507,(INDEX(Lists!$L$51:$L$85,MATCH(AS269,Lists!$K$51:$K$85,0))))</f>
        <v>1</v>
      </c>
      <c r="FP507" s="58">
        <f>IF(i_eff_inputs_based_on_num=2,ER507,(INDEX(Lists!$L$51:$L$85,MATCH(AT269,Lists!$K$51:$K$85,0))))</f>
        <v>0</v>
      </c>
      <c r="FT507" s="58">
        <f t="shared" si="776"/>
        <v>0</v>
      </c>
      <c r="FW507" s="58" t="str">
        <f>IF(i_baseline_risk_from=2,'Effectiveness settings'!EW507,'Effectiveness settings'!FI507)</f>
        <v>FP_NMA</v>
      </c>
      <c r="FX507" s="58" t="str">
        <f t="shared" si="777"/>
        <v>PH_NMA</v>
      </c>
      <c r="FY507" s="58" t="str">
        <f t="shared" si="778"/>
        <v>PH_NMA</v>
      </c>
      <c r="FZ507" s="58" t="str">
        <f t="shared" si="779"/>
        <v>PH_NMA</v>
      </c>
      <c r="GA507" s="58" t="str">
        <f t="shared" si="780"/>
        <v>PH_NMA</v>
      </c>
      <c r="GB507" s="58" t="str">
        <f t="shared" si="781"/>
        <v>PH_NMA</v>
      </c>
      <c r="GC507" s="58" t="str">
        <f t="shared" si="782"/>
        <v>PH_NMA</v>
      </c>
      <c r="GD507" s="58" t="str">
        <f t="shared" si="783"/>
        <v>PH_NMA</v>
      </c>
      <c r="GE507" s="58" t="str">
        <f>IF(AND(dd_CheckMate214_TTD="Yes",'Effectiveness settings'!BU507=2,'Effectiveness settings'!BX507=2),"Apply HR to",GD507)</f>
        <v>PH_NMA</v>
      </c>
      <c r="GF507" s="58" t="str">
        <f t="shared" si="784"/>
        <v>PH_NMA</v>
      </c>
      <c r="GG507" s="58" t="str">
        <f t="shared" si="785"/>
        <v>PH_NMA</v>
      </c>
      <c r="GH507" s="58" t="str">
        <f t="shared" si="786"/>
        <v>PH_NMA</v>
      </c>
      <c r="GI507" s="58" t="str">
        <f t="shared" si="773"/>
        <v>PH_NMA</v>
      </c>
      <c r="GK507" s="58">
        <f>IF(i_baseline_risk_from=2,'Effectiveness settings'!FA507,'Effectiveness settings'!FM507)</f>
        <v>3</v>
      </c>
      <c r="GL507" s="58">
        <f>IF(i_baseline_risk_from=2,'Effectiveness settings'!FB507,'Effectiveness settings'!FN507)</f>
        <v>8</v>
      </c>
      <c r="GM507" s="58">
        <f>IF(i_baseline_risk_from=2,'Effectiveness settings'!FC507,'Effectiveness settings'!FO507)</f>
        <v>2</v>
      </c>
      <c r="GN507" s="58">
        <f>IF(i_baseline_risk_from=2,'Effectiveness settings'!FD507,'Effectiveness settings'!FP507)</f>
        <v>0</v>
      </c>
      <c r="GQ507" s="58">
        <f t="shared" si="787"/>
        <v>8</v>
      </c>
      <c r="GR507" s="58">
        <f t="shared" si="788"/>
        <v>8</v>
      </c>
      <c r="GS507" s="58">
        <f t="shared" si="789"/>
        <v>8</v>
      </c>
      <c r="GT507" s="58">
        <f t="shared" si="790"/>
        <v>8</v>
      </c>
      <c r="GU507" s="58">
        <f>IF(AND(dd_CheckMate214_TTD="Yes",'Effectiveness settings'!BU507=2,'Effectiveness settings'!BX507=2),2,GT507)</f>
        <v>8</v>
      </c>
      <c r="GV507" s="58">
        <f t="shared" si="791"/>
        <v>8</v>
      </c>
      <c r="GW507" s="58">
        <f t="shared" si="792"/>
        <v>8</v>
      </c>
      <c r="GY507" s="58">
        <f>IF(AND(dd_CheckMate214_TTD="Yes",'Effectiveness settings'!BU507=2,'Effectiveness settings'!BX507=2),1,GN507)</f>
        <v>0</v>
      </c>
      <c r="GZ507" s="58">
        <f t="shared" si="793"/>
        <v>0</v>
      </c>
      <c r="HB507" s="58">
        <f t="shared" si="794"/>
        <v>0</v>
      </c>
      <c r="HD507" s="58">
        <f t="shared" si="768"/>
        <v>0</v>
      </c>
      <c r="HE507" s="58">
        <f t="shared" si="769"/>
        <v>3</v>
      </c>
      <c r="HF507" s="58">
        <f t="shared" si="770"/>
        <v>8</v>
      </c>
      <c r="HG507" s="58">
        <f t="shared" si="771"/>
        <v>2</v>
      </c>
      <c r="HH507" s="58">
        <f t="shared" si="772"/>
        <v>0</v>
      </c>
    </row>
    <row r="508" spans="69:216" ht="15.75" x14ac:dyDescent="0.25">
      <c r="BQ508" s="58">
        <f t="shared" si="774"/>
        <v>292</v>
      </c>
      <c r="BR508" s="61">
        <v>0</v>
      </c>
      <c r="BS508" s="61" t="s">
        <v>31</v>
      </c>
      <c r="BT508" s="17">
        <v>3</v>
      </c>
      <c r="BU508" s="17">
        <v>11</v>
      </c>
      <c r="BV508" s="17" t="str">
        <f t="shared" si="795"/>
        <v>axitinib</v>
      </c>
      <c r="BW508" s="1006" t="str" cm="1">
        <f t="array" ref="BW508">IF(AL270="No",AL270,INDEX(List_incl_anal_3L_all,IF(BU508=999,35,BU508+1)))</f>
        <v>Yes</v>
      </c>
      <c r="BX508" s="61">
        <f t="shared" si="796"/>
        <v>0</v>
      </c>
      <c r="BY508" s="531" t="str">
        <f t="shared" si="820"/>
        <v>Overall survival</v>
      </c>
      <c r="BZ508" s="530" t="str">
        <f t="shared" si="797"/>
        <v>PH_NMA</v>
      </c>
      <c r="CA508" s="531">
        <f t="shared" si="819"/>
        <v>0</v>
      </c>
      <c r="CB508" s="530">
        <f t="shared" si="798"/>
        <v>0</v>
      </c>
      <c r="CC508" s="530">
        <f t="shared" si="799"/>
        <v>3</v>
      </c>
      <c r="CD508" s="530">
        <f t="shared" si="800"/>
        <v>8</v>
      </c>
      <c r="CE508" s="1295">
        <f t="shared" si="801"/>
        <v>2</v>
      </c>
      <c r="CF508" s="1301">
        <f t="shared" si="802"/>
        <v>0</v>
      </c>
      <c r="CG508" s="530" t="str">
        <f t="shared" si="803"/>
        <v>Log-logistic</v>
      </c>
      <c r="CH508" s="505">
        <f t="shared" si="804"/>
        <v>0</v>
      </c>
      <c r="CI508" s="505">
        <f t="shared" si="805"/>
        <v>0</v>
      </c>
      <c r="CJ508" s="505">
        <f t="shared" si="806"/>
        <v>0</v>
      </c>
      <c r="DK508" s="58" t="str" cm="1">
        <f t="array" ref="DK508">IF(AND($BT508=4,$BX508=4,$BU508=999),$DB$36,_xlfn.IFNA(INDEX(DB$13:DB$70,MATCH(1,($BR508=$CV$13:$CV$70)*($BT508=$CX$13:$CX$70)*($CE508=$CY$13:$CY$70)*($BY508=$DA$13:$DA$70)*($CD508=$DH$13:$DH$70),0)),""))</f>
        <v>Log-logistic</v>
      </c>
      <c r="DL508" s="58" t="str" cm="1">
        <f t="array" ref="DL508">IF(AND($BT508=4,$BX508=4,$BU508=999),$DC$36,_xlfn.IFNA(INDEX(CHOOSE(DP508,DB$13:DB$70,DC$13:DC$70,DD$13:DD$70,DE$13:DE$70),MATCH(1,($BR508=$CV$13:$CV$70)*($BT508=$CX$13:$CX$70)*($CE508=$CY$13:$CY$70)*($BY508=$DA$13:$DA$70)*($CD508=$DH$13:$DH$70),0)),""))</f>
        <v>Log-logistic</v>
      </c>
      <c r="DM508" s="740" cm="1">
        <f t="array" ref="DM508">IF(AND($BT508=4,$BX508=4,$BU508=999),$DD$36,_xlfn.IFNA(INDEX(DD$13:DD$68,MATCH(1,($BR508=$CV$13:$CV$68)*($BT508=$CX$13:$CX$68)*($CE508=$CY$13:$CY$68)*($BY508=$DA$13:$DA$68)*($CD508=$DH$13:$DH$68),0)),""))</f>
        <v>0</v>
      </c>
      <c r="DN508" s="740" cm="1">
        <f t="array" ref="DN508">IF(AND($BT508=4,$BX508=4,$BU508=999),$DD$36,_xlfn.IFNA(INDEX(DE$13:DE$68,MATCH(1,($BR508=$CV$13:$CV$68)*($BT508=$CX$13:$CX$68)*($CE508=$CY$13:$CY$68)*($BY508=$DA$13:$DA$68)*($CD508=$DH$13:$DH$68),0)),""))</f>
        <v>0</v>
      </c>
      <c r="DO508" s="58" t="str" cm="1">
        <f t="array" ref="DO508">IF(AND($BT508=4,$BX508=4,$BU508=999),$DF$36,_xlfn.IFNA(INDEX(DF$13:DF$70,MATCH(1,($BR508=$CV$13:$CV$70)*($BT508=$CX$13:$CX$70)*($CE508=$CY$13:$CY$70)*($BY508=$DA$13:$DA$70)*($CD508=$DH$13:$DH$70),0)),""))</f>
        <v>Base case</v>
      </c>
      <c r="DP508" s="58">
        <f t="shared" si="775"/>
        <v>1</v>
      </c>
      <c r="DW508" s="58" t="s">
        <v>74</v>
      </c>
      <c r="DX508" s="58" t="s">
        <v>544</v>
      </c>
      <c r="DY508" s="58" t="s">
        <v>67</v>
      </c>
      <c r="DZ508" s="58">
        <v>0</v>
      </c>
      <c r="EB508" s="58">
        <v>0</v>
      </c>
      <c r="EC508" s="58">
        <v>3</v>
      </c>
      <c r="ED508" s="58">
        <v>8</v>
      </c>
      <c r="EE508" s="58">
        <v>2</v>
      </c>
      <c r="EF508" s="58">
        <v>0</v>
      </c>
      <c r="EI508" s="58" t="s">
        <v>74</v>
      </c>
      <c r="EJ508" s="58" t="s">
        <v>544</v>
      </c>
      <c r="EK508" s="58" t="s">
        <v>67</v>
      </c>
      <c r="EL508" s="58">
        <v>0</v>
      </c>
      <c r="EN508" s="58">
        <v>0</v>
      </c>
      <c r="EO508" s="58">
        <v>2</v>
      </c>
      <c r="EP508" s="58">
        <v>10</v>
      </c>
      <c r="EQ508" s="58">
        <v>1</v>
      </c>
      <c r="ER508" s="58">
        <v>0</v>
      </c>
      <c r="EU508" s="58" t="str">
        <f t="shared" si="807"/>
        <v>Yes</v>
      </c>
      <c r="EV508" s="58" t="str">
        <f t="shared" si="808"/>
        <v>Overall survival</v>
      </c>
      <c r="EW508" s="58" t="str">
        <f t="shared" si="809"/>
        <v>PH_NMA</v>
      </c>
      <c r="EX508" s="58">
        <f t="shared" si="810"/>
        <v>0</v>
      </c>
      <c r="EZ508" s="58">
        <f t="shared" si="811"/>
        <v>0</v>
      </c>
      <c r="FA508" s="58">
        <f t="shared" si="812"/>
        <v>3</v>
      </c>
      <c r="FB508" s="58">
        <f>IF(i_eff_inputs_based_on_num=2,ED508,(INDEX(Lists!$L$51:$L$85,MATCH(AR270,Lists!$K$51:$K$85,0))))</f>
        <v>8</v>
      </c>
      <c r="FC508" s="58">
        <f>IF(i_eff_inputs_based_on_num=2,EE508,(INDEX(Lists!$L$51:$L$85,MATCH(AS270,Lists!$K$51:$K$85,0))))</f>
        <v>2</v>
      </c>
      <c r="FD508" s="58">
        <f>IF(i_eff_inputs_based_on_num=2,EF508,(INDEX(Lists!$L$51:$L$85,MATCH(AT270,Lists!$K$51:$K$85,0))))</f>
        <v>0</v>
      </c>
      <c r="FG508" s="58" t="str">
        <f t="shared" si="813"/>
        <v>Yes</v>
      </c>
      <c r="FH508" s="58" t="str">
        <f t="shared" si="814"/>
        <v>Overall survival</v>
      </c>
      <c r="FI508" s="58" t="str">
        <f t="shared" si="815"/>
        <v>PH_NMA</v>
      </c>
      <c r="FJ508" s="58">
        <f t="shared" si="816"/>
        <v>0</v>
      </c>
      <c r="FL508" s="58">
        <f t="shared" si="817"/>
        <v>0</v>
      </c>
      <c r="FM508" s="58">
        <f t="shared" si="818"/>
        <v>2</v>
      </c>
      <c r="FN508" s="58">
        <f>IF(i_eff_inputs_based_on_num=2,EP508,(INDEX(Lists!$L$51:$L$85,MATCH(AR270,Lists!$K$51:$K$85,0))))</f>
        <v>10</v>
      </c>
      <c r="FO508" s="58">
        <f>IF(i_eff_inputs_based_on_num=2,EQ508,(INDEX(Lists!$L$51:$L$85,MATCH(AS270,Lists!$K$51:$K$85,0))))</f>
        <v>1</v>
      </c>
      <c r="FP508" s="58">
        <f>IF(i_eff_inputs_based_on_num=2,ER508,(INDEX(Lists!$L$51:$L$85,MATCH(AT270,Lists!$K$51:$K$85,0))))</f>
        <v>0</v>
      </c>
      <c r="FT508" s="58">
        <f t="shared" si="776"/>
        <v>0</v>
      </c>
      <c r="FW508" s="58" t="str">
        <f>IF(i_baseline_risk_from=2,'Effectiveness settings'!EW508,'Effectiveness settings'!FI508)</f>
        <v>PH_NMA</v>
      </c>
      <c r="FX508" s="58" t="str">
        <f t="shared" si="777"/>
        <v>PH_NMA</v>
      </c>
      <c r="FY508" s="58" t="str">
        <f t="shared" si="778"/>
        <v>PH_NMA</v>
      </c>
      <c r="FZ508" s="58" t="str">
        <f t="shared" si="779"/>
        <v>PH_NMA</v>
      </c>
      <c r="GA508" s="58" t="str">
        <f t="shared" si="780"/>
        <v>PH_NMA</v>
      </c>
      <c r="GB508" s="58" t="str">
        <f t="shared" si="781"/>
        <v>PH_NMA</v>
      </c>
      <c r="GC508" s="58" t="str">
        <f t="shared" si="782"/>
        <v>PH_NMA</v>
      </c>
      <c r="GD508" s="58" t="str">
        <f t="shared" si="783"/>
        <v>PH_NMA</v>
      </c>
      <c r="GE508" s="58" t="str">
        <f>IF(AND(dd_CheckMate214_TTD="Yes",'Effectiveness settings'!BU508=2,'Effectiveness settings'!BX508=2),"Apply HR to",GD508)</f>
        <v>PH_NMA</v>
      </c>
      <c r="GF508" s="58" t="str">
        <f t="shared" si="784"/>
        <v>PH_NMA</v>
      </c>
      <c r="GG508" s="58" t="str">
        <f t="shared" si="785"/>
        <v>PH_NMA</v>
      </c>
      <c r="GH508" s="58" t="str">
        <f t="shared" si="786"/>
        <v>PH_NMA</v>
      </c>
      <c r="GI508" s="58" t="str">
        <f t="shared" si="773"/>
        <v>PH_NMA</v>
      </c>
      <c r="GK508" s="58">
        <f>IF(i_baseline_risk_from=2,'Effectiveness settings'!FA508,'Effectiveness settings'!FM508)</f>
        <v>3</v>
      </c>
      <c r="GL508" s="58">
        <f>IF(i_baseline_risk_from=2,'Effectiveness settings'!FB508,'Effectiveness settings'!FN508)</f>
        <v>8</v>
      </c>
      <c r="GM508" s="58">
        <f>IF(i_baseline_risk_from=2,'Effectiveness settings'!FC508,'Effectiveness settings'!FO508)</f>
        <v>2</v>
      </c>
      <c r="GN508" s="58">
        <f>IF(i_baseline_risk_from=2,'Effectiveness settings'!FD508,'Effectiveness settings'!FP508)</f>
        <v>0</v>
      </c>
      <c r="GQ508" s="58">
        <f t="shared" si="787"/>
        <v>8</v>
      </c>
      <c r="GR508" s="58">
        <f t="shared" si="788"/>
        <v>8</v>
      </c>
      <c r="GS508" s="58">
        <f t="shared" si="789"/>
        <v>8</v>
      </c>
      <c r="GT508" s="58">
        <f t="shared" si="790"/>
        <v>8</v>
      </c>
      <c r="GU508" s="58">
        <f>IF(AND(dd_CheckMate214_TTD="Yes",'Effectiveness settings'!BU508=2,'Effectiveness settings'!BX508=2),2,GT508)</f>
        <v>8</v>
      </c>
      <c r="GV508" s="58">
        <f t="shared" si="791"/>
        <v>8</v>
      </c>
      <c r="GW508" s="58">
        <f t="shared" si="792"/>
        <v>8</v>
      </c>
      <c r="GY508" s="58">
        <f>IF(AND(dd_CheckMate214_TTD="Yes",'Effectiveness settings'!BU508=2,'Effectiveness settings'!BX508=2),1,GN508)</f>
        <v>0</v>
      </c>
      <c r="GZ508" s="58">
        <f t="shared" si="793"/>
        <v>0</v>
      </c>
      <c r="HB508" s="58">
        <f t="shared" si="794"/>
        <v>0</v>
      </c>
      <c r="HD508" s="58">
        <f t="shared" si="768"/>
        <v>0</v>
      </c>
      <c r="HE508" s="58">
        <f t="shared" si="769"/>
        <v>3</v>
      </c>
      <c r="HF508" s="58">
        <f t="shared" si="770"/>
        <v>8</v>
      </c>
      <c r="HG508" s="58">
        <f t="shared" si="771"/>
        <v>2</v>
      </c>
      <c r="HH508" s="58">
        <f t="shared" si="772"/>
        <v>0</v>
      </c>
    </row>
    <row r="509" spans="69:216" ht="15.75" x14ac:dyDescent="0.25">
      <c r="BQ509" s="58">
        <f t="shared" si="774"/>
        <v>293</v>
      </c>
      <c r="BR509" s="61">
        <v>0</v>
      </c>
      <c r="BS509" s="61" t="s">
        <v>31</v>
      </c>
      <c r="BT509" s="17">
        <v>3</v>
      </c>
      <c r="BU509" s="17">
        <v>12</v>
      </c>
      <c r="BV509" s="17" t="str">
        <f t="shared" si="795"/>
        <v>sorafenib</v>
      </c>
      <c r="BW509" s="1006" t="str" cm="1">
        <f t="array" ref="BW509">IF(AL271="No",AL271,INDEX(List_incl_anal_3L_all,IF(BU509=999,35,BU509+1)))</f>
        <v>No</v>
      </c>
      <c r="BX509" s="61">
        <f t="shared" si="796"/>
        <v>0</v>
      </c>
      <c r="BY509" s="531" t="str">
        <f t="shared" si="820"/>
        <v>Overall survival</v>
      </c>
      <c r="BZ509" s="530">
        <f t="shared" si="797"/>
        <v>0</v>
      </c>
      <c r="CA509" s="531">
        <f t="shared" si="819"/>
        <v>0</v>
      </c>
      <c r="CB509" s="530">
        <f t="shared" si="798"/>
        <v>0</v>
      </c>
      <c r="CC509" s="530">
        <f t="shared" si="799"/>
        <v>3</v>
      </c>
      <c r="CD509" s="530">
        <f t="shared" si="800"/>
        <v>8</v>
      </c>
      <c r="CE509" s="1295">
        <f t="shared" si="801"/>
        <v>2</v>
      </c>
      <c r="CF509" s="1301">
        <f t="shared" si="802"/>
        <v>0</v>
      </c>
      <c r="CG509" s="530" t="str">
        <f t="shared" si="803"/>
        <v>Log-logistic</v>
      </c>
      <c r="CH509" s="505">
        <f t="shared" si="804"/>
        <v>0</v>
      </c>
      <c r="CI509" s="505">
        <f t="shared" si="805"/>
        <v>0</v>
      </c>
      <c r="CJ509" s="505">
        <f t="shared" si="806"/>
        <v>0</v>
      </c>
      <c r="DK509" s="58" t="str" cm="1">
        <f t="array" ref="DK509">IF(AND($BT509=4,$BX509=4,$BU509=999),$DB$36,_xlfn.IFNA(INDEX(DB$13:DB$70,MATCH(1,($BR509=$CV$13:$CV$70)*($BT509=$CX$13:$CX$70)*($CE509=$CY$13:$CY$70)*($BY509=$DA$13:$DA$70)*($CD509=$DH$13:$DH$70),0)),""))</f>
        <v>Log-logistic</v>
      </c>
      <c r="DL509" s="58" t="str" cm="1">
        <f t="array" ref="DL509">IF(AND($BT509=4,$BX509=4,$BU509=999),$DC$36,_xlfn.IFNA(INDEX(CHOOSE(DP509,DB$13:DB$70,DC$13:DC$70,DD$13:DD$70,DE$13:DE$70),MATCH(1,($BR509=$CV$13:$CV$70)*($BT509=$CX$13:$CX$70)*($CE509=$CY$13:$CY$70)*($BY509=$DA$13:$DA$70)*($CD509=$DH$13:$DH$70),0)),""))</f>
        <v>Log-logistic</v>
      </c>
      <c r="DM509" s="740" cm="1">
        <f t="array" ref="DM509">IF(AND($BT509=4,$BX509=4,$BU509=999),$DD$36,_xlfn.IFNA(INDEX(DD$13:DD$68,MATCH(1,($BR509=$CV$13:$CV$68)*($BT509=$CX$13:$CX$68)*($CE509=$CY$13:$CY$68)*($BY509=$DA$13:$DA$68)*($CD509=$DH$13:$DH$68),0)),""))</f>
        <v>0</v>
      </c>
      <c r="DN509" s="740" cm="1">
        <f t="array" ref="DN509">IF(AND($BT509=4,$BX509=4,$BU509=999),$DD$36,_xlfn.IFNA(INDEX(DE$13:DE$68,MATCH(1,($BR509=$CV$13:$CV$68)*($BT509=$CX$13:$CX$68)*($CE509=$CY$13:$CY$68)*($BY509=$DA$13:$DA$68)*($CD509=$DH$13:$DH$68),0)),""))</f>
        <v>0</v>
      </c>
      <c r="DO509" s="58" t="str" cm="1">
        <f t="array" ref="DO509">IF(AND($BT509=4,$BX509=4,$BU509=999),$DF$36,_xlfn.IFNA(INDEX(DF$13:DF$70,MATCH(1,($BR509=$CV$13:$CV$70)*($BT509=$CX$13:$CX$70)*($CE509=$CY$13:$CY$70)*($BY509=$DA$13:$DA$70)*($CD509=$DH$13:$DH$70),0)),""))</f>
        <v>Base case</v>
      </c>
      <c r="DP509" s="58">
        <f t="shared" si="775"/>
        <v>1</v>
      </c>
      <c r="DW509" s="58" t="s">
        <v>58</v>
      </c>
      <c r="DX509" s="58" t="s">
        <v>544</v>
      </c>
      <c r="DY509" s="58">
        <v>0</v>
      </c>
      <c r="DZ509" s="58">
        <v>0</v>
      </c>
      <c r="EB509" s="58">
        <v>0</v>
      </c>
      <c r="EC509" s="58">
        <v>3</v>
      </c>
      <c r="ED509" s="58">
        <v>8</v>
      </c>
      <c r="EE509" s="58">
        <v>2</v>
      </c>
      <c r="EF509" s="58">
        <v>0</v>
      </c>
      <c r="EI509" s="58" t="s">
        <v>58</v>
      </c>
      <c r="EJ509" s="58" t="s">
        <v>544</v>
      </c>
      <c r="EK509" s="58">
        <v>0</v>
      </c>
      <c r="EL509" s="58">
        <v>0</v>
      </c>
      <c r="EN509" s="58">
        <v>0</v>
      </c>
      <c r="EO509" s="58">
        <v>2</v>
      </c>
      <c r="EP509" s="58">
        <v>10</v>
      </c>
      <c r="EQ509" s="58">
        <v>1</v>
      </c>
      <c r="ER509" s="58">
        <v>0</v>
      </c>
      <c r="EU509" s="58" t="str">
        <f t="shared" si="807"/>
        <v>No</v>
      </c>
      <c r="EV509" s="58" t="str">
        <f t="shared" si="808"/>
        <v>Overall survival</v>
      </c>
      <c r="EW509" s="58">
        <f t="shared" si="809"/>
        <v>0</v>
      </c>
      <c r="EX509" s="58">
        <f t="shared" si="810"/>
        <v>0</v>
      </c>
      <c r="EZ509" s="58">
        <f t="shared" si="811"/>
        <v>0</v>
      </c>
      <c r="FA509" s="58">
        <f t="shared" si="812"/>
        <v>3</v>
      </c>
      <c r="FB509" s="58">
        <f>IF(i_eff_inputs_based_on_num=2,ED509,(INDEX(Lists!$L$51:$L$85,MATCH(AR271,Lists!$K$51:$K$85,0))))</f>
        <v>8</v>
      </c>
      <c r="FC509" s="58">
        <f>IF(i_eff_inputs_based_on_num=2,EE509,(INDEX(Lists!$L$51:$L$85,MATCH(AS271,Lists!$K$51:$K$85,0))))</f>
        <v>2</v>
      </c>
      <c r="FD509" s="58">
        <f>IF(i_eff_inputs_based_on_num=2,EF509,(INDEX(Lists!$L$51:$L$85,MATCH(AT271,Lists!$K$51:$K$85,0))))</f>
        <v>0</v>
      </c>
      <c r="FG509" s="58" t="str">
        <f t="shared" si="813"/>
        <v>No</v>
      </c>
      <c r="FH509" s="58" t="str">
        <f t="shared" si="814"/>
        <v>Overall survival</v>
      </c>
      <c r="FI509" s="58">
        <f t="shared" si="815"/>
        <v>0</v>
      </c>
      <c r="FJ509" s="58">
        <f t="shared" si="816"/>
        <v>0</v>
      </c>
      <c r="FL509" s="58">
        <f t="shared" si="817"/>
        <v>0</v>
      </c>
      <c r="FM509" s="58">
        <f t="shared" si="818"/>
        <v>2</v>
      </c>
      <c r="FN509" s="58">
        <f>IF(i_eff_inputs_based_on_num=2,EP509,(INDEX(Lists!$L$51:$L$85,MATCH(AR271,Lists!$K$51:$K$85,0))))</f>
        <v>10</v>
      </c>
      <c r="FO509" s="58">
        <f>IF(i_eff_inputs_based_on_num=2,EQ509,(INDEX(Lists!$L$51:$L$85,MATCH(AS271,Lists!$K$51:$K$85,0))))</f>
        <v>1</v>
      </c>
      <c r="FP509" s="58">
        <f>IF(i_eff_inputs_based_on_num=2,ER509,(INDEX(Lists!$L$51:$L$85,MATCH(AT271,Lists!$K$51:$K$85,0))))</f>
        <v>0</v>
      </c>
      <c r="FT509" s="58">
        <f t="shared" si="776"/>
        <v>0</v>
      </c>
      <c r="FW509" s="58">
        <f>IF(i_baseline_risk_from=2,'Effectiveness settings'!EW509,'Effectiveness settings'!FI509)</f>
        <v>0</v>
      </c>
      <c r="FX509" s="58">
        <f t="shared" si="777"/>
        <v>0</v>
      </c>
      <c r="FY509" s="58">
        <f t="shared" si="778"/>
        <v>0</v>
      </c>
      <c r="FZ509" s="58">
        <f t="shared" si="779"/>
        <v>0</v>
      </c>
      <c r="GA509" s="58">
        <f t="shared" si="780"/>
        <v>0</v>
      </c>
      <c r="GB509" s="58">
        <f t="shared" si="781"/>
        <v>0</v>
      </c>
      <c r="GC509" s="58">
        <f t="shared" si="782"/>
        <v>0</v>
      </c>
      <c r="GD509" s="58">
        <f t="shared" si="783"/>
        <v>0</v>
      </c>
      <c r="GE509" s="58">
        <f>IF(AND(dd_CheckMate214_TTD="Yes",'Effectiveness settings'!BU509=2,'Effectiveness settings'!BX509=2),"Apply HR to",GD509)</f>
        <v>0</v>
      </c>
      <c r="GF509" s="58">
        <f t="shared" si="784"/>
        <v>0</v>
      </c>
      <c r="GG509" s="58">
        <f t="shared" si="785"/>
        <v>0</v>
      </c>
      <c r="GH509" s="58">
        <f t="shared" si="786"/>
        <v>0</v>
      </c>
      <c r="GI509" s="58">
        <f t="shared" si="773"/>
        <v>0</v>
      </c>
      <c r="GK509" s="58">
        <f>IF(i_baseline_risk_from=2,'Effectiveness settings'!FA509,'Effectiveness settings'!FM509)</f>
        <v>3</v>
      </c>
      <c r="GL509" s="58">
        <f>IF(i_baseline_risk_from=2,'Effectiveness settings'!FB509,'Effectiveness settings'!FN509)</f>
        <v>8</v>
      </c>
      <c r="GM509" s="58">
        <f>IF(i_baseline_risk_from=2,'Effectiveness settings'!FC509,'Effectiveness settings'!FO509)</f>
        <v>2</v>
      </c>
      <c r="GN509" s="58">
        <f>IF(i_baseline_risk_from=2,'Effectiveness settings'!FD509,'Effectiveness settings'!FP509)</f>
        <v>0</v>
      </c>
      <c r="GQ509" s="58">
        <f t="shared" si="787"/>
        <v>8</v>
      </c>
      <c r="GR509" s="58">
        <f t="shared" si="788"/>
        <v>8</v>
      </c>
      <c r="GS509" s="58">
        <f t="shared" si="789"/>
        <v>8</v>
      </c>
      <c r="GT509" s="58">
        <f t="shared" si="790"/>
        <v>8</v>
      </c>
      <c r="GU509" s="58">
        <f>IF(AND(dd_CheckMate214_TTD="Yes",'Effectiveness settings'!BU509=2,'Effectiveness settings'!BX509=2),2,GT509)</f>
        <v>8</v>
      </c>
      <c r="GV509" s="58">
        <f t="shared" si="791"/>
        <v>8</v>
      </c>
      <c r="GW509" s="58">
        <f t="shared" si="792"/>
        <v>8</v>
      </c>
      <c r="GY509" s="58">
        <f>IF(AND(dd_CheckMate214_TTD="Yes",'Effectiveness settings'!BU509=2,'Effectiveness settings'!BX509=2),1,GN509)</f>
        <v>0</v>
      </c>
      <c r="GZ509" s="58">
        <f t="shared" si="793"/>
        <v>0</v>
      </c>
      <c r="HB509" s="58">
        <f t="shared" si="794"/>
        <v>0</v>
      </c>
      <c r="HD509" s="58">
        <f t="shared" si="768"/>
        <v>0</v>
      </c>
      <c r="HE509" s="58">
        <f t="shared" si="769"/>
        <v>3</v>
      </c>
      <c r="HF509" s="58">
        <f t="shared" si="770"/>
        <v>8</v>
      </c>
      <c r="HG509" s="58">
        <f t="shared" si="771"/>
        <v>2</v>
      </c>
      <c r="HH509" s="58">
        <f t="shared" si="772"/>
        <v>0</v>
      </c>
    </row>
    <row r="510" spans="69:216" ht="15.75" x14ac:dyDescent="0.25">
      <c r="BQ510" s="58">
        <f t="shared" si="774"/>
        <v>294</v>
      </c>
      <c r="BR510" s="61">
        <v>0</v>
      </c>
      <c r="BS510" s="61" t="s">
        <v>31</v>
      </c>
      <c r="BT510" s="17">
        <v>3</v>
      </c>
      <c r="BU510" s="17">
        <v>999</v>
      </c>
      <c r="BV510" s="17" t="str">
        <f t="shared" si="795"/>
        <v>placebo_BSC</v>
      </c>
      <c r="BW510" s="1006" t="str" cm="1">
        <f t="array" ref="BW510">IF(AL272="No",AL272,INDEX(List_incl_anal_3L_all,IF(BU510=999,35,BU510+1)))</f>
        <v>Yes</v>
      </c>
      <c r="BX510" s="61">
        <f t="shared" si="796"/>
        <v>0</v>
      </c>
      <c r="BY510" s="531" t="str">
        <f t="shared" si="820"/>
        <v>Overall survival</v>
      </c>
      <c r="BZ510" s="530" t="str">
        <f t="shared" si="797"/>
        <v>Assume equal to</v>
      </c>
      <c r="CA510" s="531">
        <f t="shared" si="819"/>
        <v>0</v>
      </c>
      <c r="CB510" s="530">
        <f t="shared" si="798"/>
        <v>0</v>
      </c>
      <c r="CC510" s="530">
        <f t="shared" si="799"/>
        <v>4</v>
      </c>
      <c r="CD510" s="530">
        <f t="shared" si="800"/>
        <v>999</v>
      </c>
      <c r="CE510" s="1295">
        <f t="shared" si="801"/>
        <v>2</v>
      </c>
      <c r="CF510" s="1301">
        <f t="shared" si="802"/>
        <v>4</v>
      </c>
      <c r="CG510" s="530" t="str">
        <f t="shared" si="803"/>
        <v/>
      </c>
      <c r="CH510" s="505">
        <f t="shared" si="804"/>
        <v>1</v>
      </c>
      <c r="CI510" s="505">
        <f t="shared" si="805"/>
        <v>1</v>
      </c>
      <c r="CJ510" s="505">
        <f t="shared" si="806"/>
        <v>1</v>
      </c>
      <c r="DK510" s="58" t="str" cm="1">
        <f t="array" ref="DK510">IF(AND($BT510=4,$BX510=4,$BU510=999),$DB$36,_xlfn.IFNA(INDEX(DB$13:DB$70,MATCH(1,($BR510=$CV$13:$CV$70)*($BT510=$CX$13:$CX$70)*($CE510=$CY$13:$CY$70)*($BY510=$DA$13:$DA$70)*($CD510=$DH$13:$DH$70),0)),""))</f>
        <v/>
      </c>
      <c r="DL510" s="58" t="str" cm="1">
        <f t="array" ref="DL510">IF(AND($BT510=4,$BX510=4,$BU510=999),$DC$36,_xlfn.IFNA(INDEX(CHOOSE(DP510,DB$13:DB$70,DC$13:DC$70,DD$13:DD$70,DE$13:DE$70),MATCH(1,($BR510=$CV$13:$CV$70)*($BT510=$CX$13:$CX$70)*($CE510=$CY$13:$CY$70)*($BY510=$DA$13:$DA$70)*($CD510=$DH$13:$DH$70),0)),""))</f>
        <v/>
      </c>
      <c r="DM510" s="740" t="str" cm="1">
        <f t="array" ref="DM510">IF(AND($BT510=4,$BX510=4,$BU510=999),$DD$36,_xlfn.IFNA(INDEX(DD$13:DD$68,MATCH(1,($BR510=$CV$13:$CV$68)*($BT510=$CX$13:$CX$68)*($CE510=$CY$13:$CY$68)*($BY510=$DA$13:$DA$68)*($CD510=$DH$13:$DH$68),0)),""))</f>
        <v/>
      </c>
      <c r="DN510" s="740" t="str" cm="1">
        <f t="array" ref="DN510">IF(AND($BT510=4,$BX510=4,$BU510=999),$DD$36,_xlfn.IFNA(INDEX(DE$13:DE$68,MATCH(1,($BR510=$CV$13:$CV$68)*($BT510=$CX$13:$CX$68)*($CE510=$CY$13:$CY$68)*($BY510=$DA$13:$DA$68)*($CD510=$DH$13:$DH$68),0)),""))</f>
        <v/>
      </c>
      <c r="DO510" s="58" t="str" cm="1">
        <f t="array" ref="DO510">IF(AND($BT510=4,$BX510=4,$BU510=999),$DF$36,_xlfn.IFNA(INDEX(DF$13:DF$70,MATCH(1,($BR510=$CV$13:$CV$70)*($BT510=$CX$13:$CX$70)*($CE510=$CY$13:$CY$70)*($BY510=$DA$13:$DA$70)*($CD510=$DH$13:$DH$70),0)),""))</f>
        <v/>
      </c>
      <c r="DP510" s="58" t="e">
        <f t="shared" si="775"/>
        <v>#N/A</v>
      </c>
      <c r="DW510" s="58" t="s">
        <v>74</v>
      </c>
      <c r="DX510" s="58" t="s">
        <v>544</v>
      </c>
      <c r="DY510" s="58" t="s">
        <v>561</v>
      </c>
      <c r="DZ510" s="58">
        <v>0</v>
      </c>
      <c r="EB510" s="58">
        <v>0</v>
      </c>
      <c r="EC510" s="58">
        <v>4</v>
      </c>
      <c r="ED510" s="58">
        <v>999</v>
      </c>
      <c r="EE510" s="58">
        <v>2</v>
      </c>
      <c r="EF510" s="58">
        <v>4</v>
      </c>
      <c r="EI510" s="58" t="s">
        <v>74</v>
      </c>
      <c r="EJ510" s="58" t="s">
        <v>544</v>
      </c>
      <c r="EK510" s="58" t="s">
        <v>561</v>
      </c>
      <c r="EL510" s="58">
        <v>0</v>
      </c>
      <c r="EN510" s="58">
        <v>0</v>
      </c>
      <c r="EO510" s="58">
        <v>4</v>
      </c>
      <c r="EP510" s="58">
        <v>999</v>
      </c>
      <c r="EQ510" s="58">
        <v>2</v>
      </c>
      <c r="ER510" s="58">
        <v>4</v>
      </c>
      <c r="EU510" s="58" t="str">
        <f t="shared" si="807"/>
        <v>Yes</v>
      </c>
      <c r="EV510" s="58" t="str">
        <f t="shared" si="808"/>
        <v>Overall survival</v>
      </c>
      <c r="EW510" s="58" t="str">
        <f t="shared" si="809"/>
        <v>Assume equal to</v>
      </c>
      <c r="EX510" s="58">
        <f t="shared" si="810"/>
        <v>0</v>
      </c>
      <c r="EZ510" s="58">
        <f t="shared" si="811"/>
        <v>0</v>
      </c>
      <c r="FA510" s="58">
        <f t="shared" si="812"/>
        <v>4</v>
      </c>
      <c r="FB510" s="58">
        <f>IF(i_eff_inputs_based_on_num=2,ED510,(INDEX(Lists!$L$51:$L$85,MATCH(AR272,Lists!$K$51:$K$85,0))))</f>
        <v>999</v>
      </c>
      <c r="FC510" s="58">
        <f>IF(i_eff_inputs_based_on_num=2,EE510,(INDEX(Lists!$L$51:$L$85,MATCH(AS272,Lists!$K$51:$K$85,0))))</f>
        <v>2</v>
      </c>
      <c r="FD510" s="58">
        <f>IF(i_eff_inputs_based_on_num=2,EF510,(INDEX(Lists!$L$51:$L$85,MATCH(AT272,Lists!$K$51:$K$85,0))))</f>
        <v>4</v>
      </c>
      <c r="FG510" s="58" t="str">
        <f t="shared" si="813"/>
        <v>Yes</v>
      </c>
      <c r="FH510" s="58" t="str">
        <f t="shared" si="814"/>
        <v>Overall survival</v>
      </c>
      <c r="FI510" s="58" t="str">
        <f t="shared" si="815"/>
        <v>Assume equal to</v>
      </c>
      <c r="FJ510" s="58">
        <f t="shared" si="816"/>
        <v>0</v>
      </c>
      <c r="FL510" s="58">
        <f t="shared" si="817"/>
        <v>0</v>
      </c>
      <c r="FM510" s="58">
        <f t="shared" si="818"/>
        <v>4</v>
      </c>
      <c r="FN510" s="58">
        <f>IF(i_eff_inputs_based_on_num=2,EP510,(INDEX(Lists!$L$51:$L$85,MATCH(AR272,Lists!$K$51:$K$85,0))))</f>
        <v>999</v>
      </c>
      <c r="FO510" s="58">
        <f>IF(i_eff_inputs_based_on_num=2,EQ510,(INDEX(Lists!$L$51:$L$85,MATCH(AS272,Lists!$K$51:$K$85,0))))</f>
        <v>2</v>
      </c>
      <c r="FP510" s="58">
        <f>IF(i_eff_inputs_based_on_num=2,ER510,(INDEX(Lists!$L$51:$L$85,MATCH(AT272,Lists!$K$51:$K$85,0))))</f>
        <v>4</v>
      </c>
      <c r="FT510" s="58">
        <f t="shared" si="776"/>
        <v>0</v>
      </c>
      <c r="FW510" s="58" t="str">
        <f>IF(i_baseline_risk_from=2,'Effectiveness settings'!EW510,'Effectiveness settings'!FI510)</f>
        <v>Assume equal to</v>
      </c>
      <c r="FX510" s="58" t="str">
        <f t="shared" si="777"/>
        <v>Assume equal to</v>
      </c>
      <c r="FY510" s="58" t="str">
        <f t="shared" si="778"/>
        <v>Assume equal to</v>
      </c>
      <c r="FZ510" s="58" t="str">
        <f t="shared" si="779"/>
        <v>Assume equal to</v>
      </c>
      <c r="GA510" s="58" t="str">
        <f t="shared" si="780"/>
        <v>Assume equal to</v>
      </c>
      <c r="GB510" s="58" t="str">
        <f t="shared" si="781"/>
        <v>Assume equal to</v>
      </c>
      <c r="GC510" s="58" t="str">
        <f t="shared" si="782"/>
        <v>Assume equal to</v>
      </c>
      <c r="GD510" s="58" t="str">
        <f t="shared" si="783"/>
        <v>Assume equal to</v>
      </c>
      <c r="GE510" s="58" t="str">
        <f>IF(AND(dd_CheckMate214_TTD="Yes",'Effectiveness settings'!BU510=2,'Effectiveness settings'!BX510=2),"Apply HR to",GD510)</f>
        <v>Assume equal to</v>
      </c>
      <c r="GF510" s="58" t="str">
        <f t="shared" si="784"/>
        <v>Assume equal to</v>
      </c>
      <c r="GG510" s="58" t="str">
        <f t="shared" si="785"/>
        <v>Assume equal to</v>
      </c>
      <c r="GH510" s="58" t="str">
        <f t="shared" si="786"/>
        <v>Assume equal to</v>
      </c>
      <c r="GI510" s="58" t="str">
        <f t="shared" si="773"/>
        <v>Assume equal to</v>
      </c>
      <c r="GK510" s="58">
        <f>IF(i_baseline_risk_from=2,'Effectiveness settings'!FA510,'Effectiveness settings'!FM510)</f>
        <v>4</v>
      </c>
      <c r="GL510" s="58">
        <f>IF(i_baseline_risk_from=2,'Effectiveness settings'!FB510,'Effectiveness settings'!FN510)</f>
        <v>999</v>
      </c>
      <c r="GM510" s="58">
        <f>IF(i_baseline_risk_from=2,'Effectiveness settings'!FC510,'Effectiveness settings'!FO510)</f>
        <v>2</v>
      </c>
      <c r="GN510" s="58">
        <f>IF(i_baseline_risk_from=2,'Effectiveness settings'!FD510,'Effectiveness settings'!FP510)</f>
        <v>4</v>
      </c>
      <c r="GQ510" s="58">
        <f t="shared" si="787"/>
        <v>999</v>
      </c>
      <c r="GR510" s="58">
        <f t="shared" si="788"/>
        <v>999</v>
      </c>
      <c r="GS510" s="58">
        <f t="shared" si="789"/>
        <v>999</v>
      </c>
      <c r="GT510" s="58">
        <f t="shared" si="790"/>
        <v>999</v>
      </c>
      <c r="GU510" s="58">
        <f>IF(AND(dd_CheckMate214_TTD="Yes",'Effectiveness settings'!BU510=2,'Effectiveness settings'!BX510=2),2,GT510)</f>
        <v>999</v>
      </c>
      <c r="GV510" s="58">
        <f t="shared" si="791"/>
        <v>999</v>
      </c>
      <c r="GW510" s="58">
        <f t="shared" si="792"/>
        <v>999</v>
      </c>
      <c r="GY510" s="58">
        <f>IF(AND(dd_CheckMate214_TTD="Yes",'Effectiveness settings'!BU510=2,'Effectiveness settings'!BX510=2),1,GN510)</f>
        <v>4</v>
      </c>
      <c r="GZ510" s="58">
        <f t="shared" si="793"/>
        <v>4</v>
      </c>
      <c r="HB510" s="58">
        <f t="shared" si="794"/>
        <v>0</v>
      </c>
      <c r="HD510" s="58">
        <f t="shared" si="768"/>
        <v>0</v>
      </c>
      <c r="HE510" s="58">
        <f t="shared" si="769"/>
        <v>4</v>
      </c>
      <c r="HF510" s="58">
        <f t="shared" si="770"/>
        <v>999</v>
      </c>
      <c r="HG510" s="58">
        <f t="shared" si="771"/>
        <v>2</v>
      </c>
      <c r="HH510" s="58">
        <f t="shared" si="772"/>
        <v>4</v>
      </c>
    </row>
    <row r="511" spans="69:216" ht="15.75" x14ac:dyDescent="0.25">
      <c r="BQ511" s="58">
        <f t="shared" si="774"/>
        <v>294</v>
      </c>
      <c r="BR511" s="61"/>
      <c r="BS511" s="61"/>
      <c r="BT511" s="17"/>
      <c r="BU511" s="61"/>
      <c r="BV511" s="17"/>
      <c r="BW511" s="17"/>
      <c r="BX511" s="505"/>
      <c r="BY511" s="531"/>
      <c r="BZ511" s="529"/>
      <c r="CA511" s="532"/>
      <c r="CB511" s="529"/>
      <c r="CC511" s="529"/>
      <c r="CD511" s="529"/>
      <c r="CE511" s="515"/>
      <c r="CF511" s="1303"/>
      <c r="CG511" s="529"/>
      <c r="CH511" s="505"/>
      <c r="CI511" s="505"/>
      <c r="CJ511" s="505"/>
      <c r="DK511" s="58" t="str" cm="1">
        <f t="array" ref="DK511">IF(AND($BT511=4,$BX511=4,$BU511=999),$DB$36,_xlfn.IFNA(INDEX(DB$13:DB$70,MATCH(1,($BR511=$CV$13:$CV$70)*($BT511=$CX$13:$CX$70)*($CE511=$CY$13:$CY$70)*($BY511=$DA$13:$DA$70)*($CD511=$DH$13:$DH$70),0)),""))</f>
        <v/>
      </c>
      <c r="DL511" s="58" t="str" cm="1">
        <f t="array" ref="DL511">IF(AND($BT511=4,$BX511=4,$BU511=999),$DC$36,_xlfn.IFNA(INDEX(CHOOSE(DP511,DB$13:DB$70,DC$13:DC$70,DD$13:DD$70,DE$13:DE$70),MATCH(1,($BR511=$CV$13:$CV$70)*($BT511=$CX$13:$CX$70)*($CE511=$CY$13:$CY$70)*($BY511=$DA$13:$DA$70)*($CD511=$DH$13:$DH$70),0)),""))</f>
        <v/>
      </c>
      <c r="DM511" s="740" t="str" cm="1">
        <f t="array" ref="DM511">IF(AND($BT511=4,$BX511=4,$BU511=999),$DD$36,_xlfn.IFNA(INDEX(DD$13:DD$68,MATCH(1,($BR511=$CV$13:$CV$68)*($BT511=$CX$13:$CX$68)*($CE511=$CY$13:$CY$68)*($BY511=$DA$13:$DA$68)*($CD511=$DH$13:$DH$68),0)),""))</f>
        <v/>
      </c>
      <c r="DN511" s="740" t="str" cm="1">
        <f t="array" ref="DN511">IF(AND($BT511=4,$BX511=4,$BU511=999),$DD$36,_xlfn.IFNA(INDEX(DE$13:DE$68,MATCH(1,($BR511=$CV$13:$CV$68)*($BT511=$CX$13:$CX$68)*($CE511=$CY$13:$CY$68)*($BY511=$DA$13:$DA$68)*($CD511=$DH$13:$DH$68),0)),""))</f>
        <v/>
      </c>
      <c r="DO511" s="58" t="str" cm="1">
        <f t="array" ref="DO511">IF(AND($BT511=4,$BX511=4,$BU511=999),$DF$36,_xlfn.IFNA(INDEX(DF$13:DF$70,MATCH(1,($BR511=$CV$13:$CV$70)*($BT511=$CX$13:$CX$70)*($CE511=$CY$13:$CY$70)*($BY511=$DA$13:$DA$70)*($CD511=$DH$13:$DH$70),0)),""))</f>
        <v/>
      </c>
      <c r="DP511" s="58" t="e">
        <f t="shared" si="775"/>
        <v>#N/A</v>
      </c>
      <c r="FT511" s="58">
        <f t="shared" si="776"/>
        <v>0</v>
      </c>
      <c r="FW511" s="58">
        <f>IF(i_baseline_risk_from=2,'Effectiveness settings'!EW511,'Effectiveness settings'!FI511)</f>
        <v>0</v>
      </c>
      <c r="FX511" s="58">
        <f t="shared" si="777"/>
        <v>0</v>
      </c>
      <c r="FY511" s="58">
        <f t="shared" si="778"/>
        <v>0</v>
      </c>
      <c r="FZ511" s="58">
        <f t="shared" si="779"/>
        <v>0</v>
      </c>
      <c r="GA511" s="58">
        <f t="shared" si="780"/>
        <v>0</v>
      </c>
      <c r="GB511" s="58">
        <f t="shared" si="781"/>
        <v>0</v>
      </c>
      <c r="GC511" s="58">
        <f t="shared" si="782"/>
        <v>0</v>
      </c>
      <c r="GD511" s="58">
        <f t="shared" si="783"/>
        <v>0</v>
      </c>
      <c r="GE511" s="58">
        <f>IF(AND(dd_CheckMate214_TTD="Yes",'Effectiveness settings'!BU511=2,'Effectiveness settings'!BX511=2),"Apply HR to",GD511)</f>
        <v>0</v>
      </c>
      <c r="GF511" s="58">
        <f t="shared" si="784"/>
        <v>0</v>
      </c>
      <c r="GG511" s="58">
        <f t="shared" si="785"/>
        <v>0</v>
      </c>
      <c r="GH511" s="58">
        <f t="shared" si="786"/>
        <v>0</v>
      </c>
      <c r="GI511" s="58">
        <f t="shared" si="773"/>
        <v>0</v>
      </c>
      <c r="GK511" s="58">
        <f>IF(i_baseline_risk_from=2,'Effectiveness settings'!FA511,'Effectiveness settings'!FM511)</f>
        <v>0</v>
      </c>
      <c r="GL511" s="58">
        <f>IF(i_baseline_risk_from=2,'Effectiveness settings'!FB511,'Effectiveness settings'!FN511)</f>
        <v>0</v>
      </c>
      <c r="GM511" s="58">
        <f>IF(i_baseline_risk_from=2,'Effectiveness settings'!FC511,'Effectiveness settings'!FO511)</f>
        <v>0</v>
      </c>
      <c r="GN511" s="58">
        <f>IF(i_baseline_risk_from=2,'Effectiveness settings'!FD511,'Effectiveness settings'!FP511)</f>
        <v>0</v>
      </c>
      <c r="GQ511" s="58">
        <f t="shared" si="787"/>
        <v>0</v>
      </c>
      <c r="GR511" s="58">
        <f t="shared" si="788"/>
        <v>0</v>
      </c>
      <c r="GS511" s="58">
        <f t="shared" si="789"/>
        <v>0</v>
      </c>
      <c r="GT511" s="58">
        <f t="shared" si="790"/>
        <v>0</v>
      </c>
      <c r="GU511" s="58">
        <f>IF(AND(dd_CheckMate214_TTD="Yes",'Effectiveness settings'!BU511=2,'Effectiveness settings'!BX511=2),2,GT511)</f>
        <v>0</v>
      </c>
      <c r="GV511" s="58">
        <f t="shared" si="791"/>
        <v>0</v>
      </c>
      <c r="GW511" s="58">
        <f t="shared" si="792"/>
        <v>0</v>
      </c>
      <c r="GY511" s="58">
        <f>IF(AND(dd_CheckMate214_TTD="Yes",'Effectiveness settings'!BU511=2,'Effectiveness settings'!BX511=2),1,GN511)</f>
        <v>0</v>
      </c>
      <c r="GZ511" s="58">
        <f t="shared" si="793"/>
        <v>0</v>
      </c>
      <c r="HB511" s="58">
        <f t="shared" si="794"/>
        <v>0</v>
      </c>
      <c r="HD511" s="58">
        <f t="shared" si="768"/>
        <v>0</v>
      </c>
      <c r="HE511" s="58">
        <f t="shared" si="769"/>
        <v>0</v>
      </c>
      <c r="HF511" s="58">
        <f t="shared" si="770"/>
        <v>0</v>
      </c>
      <c r="HG511" s="58">
        <f t="shared" si="771"/>
        <v>0</v>
      </c>
      <c r="HH511" s="58">
        <f t="shared" si="772"/>
        <v>0</v>
      </c>
    </row>
    <row r="512" spans="69:216" ht="15.75" x14ac:dyDescent="0.25">
      <c r="BQ512" s="58">
        <f t="shared" si="774"/>
        <v>295</v>
      </c>
      <c r="BR512" s="61">
        <v>0</v>
      </c>
      <c r="BS512" s="61" t="s">
        <v>31</v>
      </c>
      <c r="BT512" s="17">
        <v>3</v>
      </c>
      <c r="BU512" s="17">
        <v>0</v>
      </c>
      <c r="BV512" s="17" t="str">
        <f t="shared" ref="BV512:BV525" si="821">D274</f>
        <v>nivolumab_monotherapy</v>
      </c>
      <c r="BW512" s="1006" t="str" cm="1">
        <f t="array" ref="BW512">IF(AL274="No",AL274,INDEX(List_incl_anal_3L_all,IF(BU512=999,35,BU512+1)))</f>
        <v>Yes</v>
      </c>
      <c r="BX512" s="61">
        <f t="shared" ref="BX512:BX525" si="822">MATCH(BY512,List_eff_endpoints,0)-1</f>
        <v>1</v>
      </c>
      <c r="BY512" s="531" t="str">
        <f>AM274</f>
        <v>Progression free survival</v>
      </c>
      <c r="BZ512" s="530" t="str">
        <f t="shared" ref="BZ512:BZ525" si="823">GI512</f>
        <v>PH_NMA</v>
      </c>
      <c r="CA512" s="531">
        <f>FT512</f>
        <v>0</v>
      </c>
      <c r="CB512" s="530">
        <f t="shared" ref="CB512:CB525" si="824">HD512</f>
        <v>0</v>
      </c>
      <c r="CC512" s="530">
        <f t="shared" ref="CC512:CC525" si="825">HE512</f>
        <v>3</v>
      </c>
      <c r="CD512" s="530">
        <f t="shared" ref="CD512:CD525" si="826">HF512</f>
        <v>8</v>
      </c>
      <c r="CE512" s="1295">
        <f t="shared" ref="CE512:CE525" si="827">HG512</f>
        <v>2</v>
      </c>
      <c r="CF512" s="1301">
        <f t="shared" ref="CF512:CF525" si="828">HH512</f>
        <v>1</v>
      </c>
      <c r="CG512" s="530" t="str">
        <f t="shared" ref="CG512:CG525" si="829">IF(i_surv_cur=1,DK512,DL512)</f>
        <v>Log-logistic</v>
      </c>
      <c r="CH512" s="505">
        <f t="shared" ref="CH512:CH525" si="830">AV274</f>
        <v>0</v>
      </c>
      <c r="CI512" s="505">
        <f t="shared" ref="CI512:CI525" si="831">AW274</f>
        <v>0</v>
      </c>
      <c r="CJ512" s="505">
        <f t="shared" ref="CJ512:CJ525" si="832">AX274</f>
        <v>0</v>
      </c>
      <c r="DK512" s="58" t="str" cm="1">
        <f t="array" ref="DK512">IF(AND($BT512=4,$BX512=4,$BU512=999),$DB$36,_xlfn.IFNA(INDEX(DB$13:DB$70,MATCH(1,($BR512=$CV$13:$CV$70)*($BT512=$CX$13:$CX$70)*($CE512=$CY$13:$CY$70)*($BY512=$DA$13:$DA$70)*($CD512=$DH$13:$DH$70),0)),""))</f>
        <v>Log-logistic</v>
      </c>
      <c r="DL512" s="58" t="str" cm="1">
        <f t="array" ref="DL512">IF(AND($BT512=4,$BX512=4,$BU512=999),$DC$36,_xlfn.IFNA(INDEX(CHOOSE(DP512,DB$13:DB$70,DC$13:DC$70,DD$13:DD$70,DE$13:DE$70),MATCH(1,($BR512=$CV$13:$CV$70)*($BT512=$CX$13:$CX$70)*($CE512=$CY$13:$CY$70)*($BY512=$DA$13:$DA$70)*($CD512=$DH$13:$DH$70),0)),""))</f>
        <v>Log-logistic</v>
      </c>
      <c r="DM512" s="740" t="str" cm="1">
        <f t="array" ref="DM512">IF(AND($BT512=4,$BX512=4,$BU512=999),$DD$36,_xlfn.IFNA(INDEX(DD$13:DD$68,MATCH(1,($BR512=$CV$13:$CV$68)*($BT512=$CX$13:$CX$68)*($CE512=$CY$13:$CY$68)*($BY512=$DA$13:$DA$68)*($CD512=$DH$13:$DH$68),0)),""))</f>
        <v>Weibull</v>
      </c>
      <c r="DN512" s="740" cm="1">
        <f t="array" ref="DN512">IF(AND($BT512=4,$BX512=4,$BU512=999),$DD$36,_xlfn.IFNA(INDEX(DE$13:DE$68,MATCH(1,($BR512=$CV$13:$CV$68)*($BT512=$CX$13:$CX$68)*($CE512=$CY$13:$CY$68)*($BY512=$DA$13:$DA$68)*($CD512=$DH$13:$DH$68),0)),""))</f>
        <v>0</v>
      </c>
      <c r="DO512" s="58" t="str" cm="1">
        <f t="array" ref="DO512">IF(AND($BT512=4,$BX512=4,$BU512=999),$DF$36,_xlfn.IFNA(INDEX(DF$13:DF$70,MATCH(1,($BR512=$CV$13:$CV$70)*($BT512=$CX$13:$CX$70)*($CE512=$CY$13:$CY$70)*($BY512=$DA$13:$DA$70)*($CD512=$DH$13:$DH$70),0)),""))</f>
        <v>Base case</v>
      </c>
      <c r="DP512" s="58">
        <f t="shared" si="775"/>
        <v>1</v>
      </c>
      <c r="DW512" s="58" t="s">
        <v>74</v>
      </c>
      <c r="DX512" s="58" t="s">
        <v>552</v>
      </c>
      <c r="DY512" s="58" t="s">
        <v>63</v>
      </c>
      <c r="DZ512" s="58">
        <v>0</v>
      </c>
      <c r="EB512" s="58">
        <v>0</v>
      </c>
      <c r="EC512" s="58">
        <v>3</v>
      </c>
      <c r="ED512" s="58">
        <v>8</v>
      </c>
      <c r="EE512" s="58">
        <v>2</v>
      </c>
      <c r="EF512" s="58">
        <v>1</v>
      </c>
      <c r="EI512" s="58" t="s">
        <v>74</v>
      </c>
      <c r="EJ512" s="58" t="s">
        <v>552</v>
      </c>
      <c r="EK512" s="58" t="s">
        <v>63</v>
      </c>
      <c r="EL512" s="58">
        <v>0</v>
      </c>
      <c r="EN512" s="58">
        <v>0</v>
      </c>
      <c r="EO512" s="58">
        <v>2</v>
      </c>
      <c r="EP512" s="58">
        <v>10</v>
      </c>
      <c r="EQ512" s="58">
        <v>1</v>
      </c>
      <c r="ER512" s="58">
        <v>1</v>
      </c>
      <c r="EU512" s="58" t="str">
        <f t="shared" ref="EU512:EU525" si="833">IF(i_eff_inputs_based_on_num=2,DW512,AL274)</f>
        <v>Yes</v>
      </c>
      <c r="EV512" s="58" t="str">
        <f t="shared" ref="EV512:EV525" si="834">IF(i_eff_inputs_based_on_num=2,DX512,AM274)</f>
        <v>Progression free survival</v>
      </c>
      <c r="EW512" s="58" t="str">
        <f t="shared" ref="EW512:EW525" si="835">IF(i_eff_inputs_based_on_num=2,DY512,AN274)</f>
        <v>FP_NMA</v>
      </c>
      <c r="EX512" s="58">
        <f t="shared" ref="EX512:EX525" si="836">IF(i_eff_inputs_based_on_num=2,DZ512,AO274)</f>
        <v>0</v>
      </c>
      <c r="EZ512" s="58">
        <f t="shared" ref="EZ512:EZ525" si="837">IF(i_eff_inputs_based_on_num=2,EB512,VLOOKUP(AP274,r_pld_lookup_line,3,FALSE))</f>
        <v>0</v>
      </c>
      <c r="FA512" s="58">
        <f t="shared" ref="FA512:FA525" si="838">IF(i_eff_inputs_based_on_num=2,EC512,VLOOKUP(AQ274,r_pld_lookup_line,3,FALSE))</f>
        <v>3</v>
      </c>
      <c r="FB512" s="58">
        <f>IF(i_eff_inputs_based_on_num=2,ED512,(INDEX(Lists!$L$51:$L$85,MATCH(AR274,Lists!$K$51:$K$85,0))))</f>
        <v>8</v>
      </c>
      <c r="FC512" s="58">
        <f>IF(i_eff_inputs_based_on_num=2,EE512,(INDEX(Lists!$L$51:$L$85,MATCH(AS274,Lists!$K$51:$K$85,0))))</f>
        <v>2</v>
      </c>
      <c r="FD512" s="58">
        <f>IF(i_eff_inputs_based_on_num=2,EF512,(INDEX(Lists!$L$51:$L$85,MATCH(AT274,Lists!$K$51:$K$85,0))))</f>
        <v>1</v>
      </c>
      <c r="FG512" s="58" t="str">
        <f t="shared" ref="FG512:FG525" si="839">IF(i_eff_inputs_based_on_num=2,EI512,AL274)</f>
        <v>Yes</v>
      </c>
      <c r="FH512" s="58" t="str">
        <f t="shared" ref="FH512:FH525" si="840">IF(i_eff_inputs_based_on_num=2,EJ512,AM274)</f>
        <v>Progression free survival</v>
      </c>
      <c r="FI512" s="58" t="str">
        <f t="shared" ref="FI512:FI525" si="841">IF(i_eff_inputs_based_on_num=2,EK512,AN274)</f>
        <v>FP_NMA</v>
      </c>
      <c r="FJ512" s="58">
        <f t="shared" ref="FJ512:FJ525" si="842">IF(i_eff_inputs_based_on_num=2,EL512,AO274)</f>
        <v>0</v>
      </c>
      <c r="FL512" s="58">
        <f t="shared" ref="FL512:FL525" si="843">IF(i_eff_inputs_based_on_num=2,EN512,VLOOKUP(AP274,r_pld_lookup_line,3,FALSE))</f>
        <v>0</v>
      </c>
      <c r="FM512" s="58">
        <f t="shared" ref="FM512:FM525" si="844">IF(i_eff_inputs_based_on_num=2,EO512,VLOOKUP(AQ274,r_pld_lookup_line,3,FALSE))</f>
        <v>2</v>
      </c>
      <c r="FN512" s="58">
        <f>IF(i_eff_inputs_based_on_num=2,EP512,(INDEX(Lists!$L$51:$L$85,MATCH(AR274,Lists!$K$51:$K$85,0))))</f>
        <v>10</v>
      </c>
      <c r="FO512" s="58">
        <f>IF(i_eff_inputs_based_on_num=2,EQ512,(INDEX(Lists!$L$51:$L$85,MATCH(AS274,Lists!$K$51:$K$85,0))))</f>
        <v>1</v>
      </c>
      <c r="FP512" s="58">
        <f>IF(i_eff_inputs_based_on_num=2,ER512,(INDEX(Lists!$L$51:$L$85,MATCH(AT274,Lists!$K$51:$K$85,0))))</f>
        <v>1</v>
      </c>
      <c r="FT512" s="58">
        <f t="shared" si="776"/>
        <v>0</v>
      </c>
      <c r="FW512" s="58" t="str">
        <f>IF(i_baseline_risk_from=2,'Effectiveness settings'!EW512,'Effectiveness settings'!FI512)</f>
        <v>FP_NMA</v>
      </c>
      <c r="FX512" s="58" t="str">
        <f t="shared" si="777"/>
        <v>PH_NMA</v>
      </c>
      <c r="FY512" s="58" t="str">
        <f t="shared" si="778"/>
        <v>PH_NMA</v>
      </c>
      <c r="FZ512" s="58" t="str">
        <f t="shared" si="779"/>
        <v>PH_NMA</v>
      </c>
      <c r="GA512" s="58" t="str">
        <f t="shared" si="780"/>
        <v>PH_NMA</v>
      </c>
      <c r="GB512" s="58" t="str">
        <f t="shared" si="781"/>
        <v>PH_NMA</v>
      </c>
      <c r="GC512" s="58" t="str">
        <f t="shared" si="782"/>
        <v>PH_NMA</v>
      </c>
      <c r="GD512" s="58" t="str">
        <f t="shared" si="783"/>
        <v>PH_NMA</v>
      </c>
      <c r="GE512" s="58" t="str">
        <f>IF(AND(dd_CheckMate214_TTD="Yes",'Effectiveness settings'!BU512=2,'Effectiveness settings'!BX512=2),"Apply HR to",GD512)</f>
        <v>PH_NMA</v>
      </c>
      <c r="GF512" s="58" t="str">
        <f t="shared" si="784"/>
        <v>PH_NMA</v>
      </c>
      <c r="GG512" s="58" t="str">
        <f t="shared" si="785"/>
        <v>PH_NMA</v>
      </c>
      <c r="GH512" s="58" t="str">
        <f t="shared" si="786"/>
        <v>PH_NMA</v>
      </c>
      <c r="GI512" s="58" t="str">
        <f t="shared" si="773"/>
        <v>PH_NMA</v>
      </c>
      <c r="GK512" s="58">
        <f>IF(i_baseline_risk_from=2,'Effectiveness settings'!FA512,'Effectiveness settings'!FM512)</f>
        <v>3</v>
      </c>
      <c r="GL512" s="58">
        <f>IF(i_baseline_risk_from=2,'Effectiveness settings'!FB512,'Effectiveness settings'!FN512)</f>
        <v>8</v>
      </c>
      <c r="GM512" s="58">
        <f>IF(i_baseline_risk_from=2,'Effectiveness settings'!FC512,'Effectiveness settings'!FO512)</f>
        <v>2</v>
      </c>
      <c r="GN512" s="58">
        <f>IF(i_baseline_risk_from=2,'Effectiveness settings'!FD512,'Effectiveness settings'!FP512)</f>
        <v>1</v>
      </c>
      <c r="GQ512" s="58">
        <f t="shared" si="787"/>
        <v>8</v>
      </c>
      <c r="GR512" s="58">
        <f t="shared" si="788"/>
        <v>8</v>
      </c>
      <c r="GS512" s="58">
        <f t="shared" si="789"/>
        <v>8</v>
      </c>
      <c r="GT512" s="58">
        <f t="shared" si="790"/>
        <v>8</v>
      </c>
      <c r="GU512" s="58">
        <f>IF(AND(dd_CheckMate214_TTD="Yes",'Effectiveness settings'!BU512=2,'Effectiveness settings'!BX512=2),2,GT512)</f>
        <v>8</v>
      </c>
      <c r="GV512" s="58">
        <f t="shared" si="791"/>
        <v>8</v>
      </c>
      <c r="GW512" s="58">
        <f t="shared" si="792"/>
        <v>8</v>
      </c>
      <c r="GY512" s="58">
        <f>IF(AND(dd_CheckMate214_TTD="Yes",'Effectiveness settings'!BU512=2,'Effectiveness settings'!BX512=2),1,GN512)</f>
        <v>1</v>
      </c>
      <c r="GZ512" s="58">
        <f t="shared" si="793"/>
        <v>1</v>
      </c>
      <c r="HB512" s="58">
        <f t="shared" si="794"/>
        <v>0</v>
      </c>
      <c r="HD512" s="58">
        <f t="shared" si="768"/>
        <v>0</v>
      </c>
      <c r="HE512" s="58">
        <f t="shared" si="769"/>
        <v>3</v>
      </c>
      <c r="HF512" s="58">
        <f t="shared" si="770"/>
        <v>8</v>
      </c>
      <c r="HG512" s="58">
        <f t="shared" si="771"/>
        <v>2</v>
      </c>
      <c r="HH512" s="58">
        <f t="shared" si="772"/>
        <v>1</v>
      </c>
    </row>
    <row r="513" spans="69:216" ht="15.75" x14ac:dyDescent="0.25">
      <c r="BQ513" s="58">
        <f t="shared" si="774"/>
        <v>296</v>
      </c>
      <c r="BR513" s="61">
        <v>0</v>
      </c>
      <c r="BS513" s="61" t="s">
        <v>31</v>
      </c>
      <c r="BT513" s="17">
        <v>3</v>
      </c>
      <c r="BU513" s="17">
        <v>1</v>
      </c>
      <c r="BV513" s="17" t="str">
        <f t="shared" si="821"/>
        <v>cabozantinib_plus_nivolumab</v>
      </c>
      <c r="BW513" s="1006" t="str" cm="1">
        <f t="array" ref="BW513">IF(AL275="No",AL275,INDEX(List_incl_anal_3L_all,IF(BU513=999,35,BU513+1)))</f>
        <v>No</v>
      </c>
      <c r="BX513" s="61">
        <f t="shared" si="822"/>
        <v>1</v>
      </c>
      <c r="BY513" s="531" t="str">
        <f>AM275</f>
        <v>Progression free survival</v>
      </c>
      <c r="BZ513" s="530">
        <f t="shared" si="823"/>
        <v>0</v>
      </c>
      <c r="CA513" s="531">
        <f t="shared" ref="CA513:CA525" si="845">FT513</f>
        <v>0</v>
      </c>
      <c r="CB513" s="530">
        <f t="shared" si="824"/>
        <v>0</v>
      </c>
      <c r="CC513" s="530">
        <f t="shared" si="825"/>
        <v>3</v>
      </c>
      <c r="CD513" s="530">
        <f t="shared" si="826"/>
        <v>8</v>
      </c>
      <c r="CE513" s="1295">
        <f t="shared" si="827"/>
        <v>2</v>
      </c>
      <c r="CF513" s="1301">
        <f t="shared" si="828"/>
        <v>1</v>
      </c>
      <c r="CG513" s="530" t="str">
        <f t="shared" si="829"/>
        <v>Log-logistic</v>
      </c>
      <c r="CH513" s="505">
        <f t="shared" si="830"/>
        <v>0</v>
      </c>
      <c r="CI513" s="505">
        <f t="shared" si="831"/>
        <v>0</v>
      </c>
      <c r="CJ513" s="505">
        <f t="shared" si="832"/>
        <v>0</v>
      </c>
      <c r="DK513" s="58" t="str" cm="1">
        <f t="array" ref="DK513">IF(AND($BT513=4,$BX513=4,$BU513=999),$DB$36,_xlfn.IFNA(INDEX(DB$13:DB$70,MATCH(1,($BR513=$CV$13:$CV$70)*($BT513=$CX$13:$CX$70)*($CE513=$CY$13:$CY$70)*($BY513=$DA$13:$DA$70)*($CD513=$DH$13:$DH$70),0)),""))</f>
        <v>Log-logistic</v>
      </c>
      <c r="DL513" s="58" t="str" cm="1">
        <f t="array" ref="DL513">IF(AND($BT513=4,$BX513=4,$BU513=999),$DC$36,_xlfn.IFNA(INDEX(CHOOSE(DP513,DB$13:DB$70,DC$13:DC$70,DD$13:DD$70,DE$13:DE$70),MATCH(1,($BR513=$CV$13:$CV$70)*($BT513=$CX$13:$CX$70)*($CE513=$CY$13:$CY$70)*($BY513=$DA$13:$DA$70)*($CD513=$DH$13:$DH$70),0)),""))</f>
        <v>Log-logistic</v>
      </c>
      <c r="DM513" s="740" t="str" cm="1">
        <f t="array" ref="DM513">IF(AND($BT513=4,$BX513=4,$BU513=999),$DD$36,_xlfn.IFNA(INDEX(DD$13:DD$68,MATCH(1,($BR513=$CV$13:$CV$68)*($BT513=$CX$13:$CX$68)*($CE513=$CY$13:$CY$68)*($BY513=$DA$13:$DA$68)*($CD513=$DH$13:$DH$68),0)),""))</f>
        <v>Weibull</v>
      </c>
      <c r="DN513" s="740" cm="1">
        <f t="array" ref="DN513">IF(AND($BT513=4,$BX513=4,$BU513=999),$DD$36,_xlfn.IFNA(INDEX(DE$13:DE$68,MATCH(1,($BR513=$CV$13:$CV$68)*($BT513=$CX$13:$CX$68)*($CE513=$CY$13:$CY$68)*($BY513=$DA$13:$DA$68)*($CD513=$DH$13:$DH$68),0)),""))</f>
        <v>0</v>
      </c>
      <c r="DO513" s="58" t="str" cm="1">
        <f t="array" ref="DO513">IF(AND($BT513=4,$BX513=4,$BU513=999),$DF$36,_xlfn.IFNA(INDEX(DF$13:DF$70,MATCH(1,($BR513=$CV$13:$CV$70)*($BT513=$CX$13:$CX$70)*($CE513=$CY$13:$CY$70)*($BY513=$DA$13:$DA$70)*($CD513=$DH$13:$DH$70),0)),""))</f>
        <v>Base case</v>
      </c>
      <c r="DP513" s="58">
        <f t="shared" si="775"/>
        <v>1</v>
      </c>
      <c r="DW513" s="58" t="s">
        <v>58</v>
      </c>
      <c r="DX513" s="58" t="s">
        <v>552</v>
      </c>
      <c r="DY513" s="58">
        <v>0</v>
      </c>
      <c r="DZ513" s="58">
        <v>0</v>
      </c>
      <c r="EB513" s="58">
        <v>0</v>
      </c>
      <c r="EC513" s="58">
        <v>3</v>
      </c>
      <c r="ED513" s="58">
        <v>8</v>
      </c>
      <c r="EE513" s="58">
        <v>2</v>
      </c>
      <c r="EF513" s="58">
        <v>1</v>
      </c>
      <c r="EI513" s="58" t="s">
        <v>58</v>
      </c>
      <c r="EJ513" s="58" t="s">
        <v>552</v>
      </c>
      <c r="EK513" s="58">
        <v>0</v>
      </c>
      <c r="EL513" s="58">
        <v>0</v>
      </c>
      <c r="EN513" s="58">
        <v>0</v>
      </c>
      <c r="EO513" s="58">
        <v>2</v>
      </c>
      <c r="EP513" s="58">
        <v>10</v>
      </c>
      <c r="EQ513" s="58">
        <v>1</v>
      </c>
      <c r="ER513" s="58">
        <v>1</v>
      </c>
      <c r="EU513" s="58" t="str">
        <f t="shared" si="833"/>
        <v>No</v>
      </c>
      <c r="EV513" s="58" t="str">
        <f t="shared" si="834"/>
        <v>Progression free survival</v>
      </c>
      <c r="EW513" s="58">
        <f t="shared" si="835"/>
        <v>0</v>
      </c>
      <c r="EX513" s="58">
        <f t="shared" si="836"/>
        <v>0</v>
      </c>
      <c r="EZ513" s="58">
        <f t="shared" si="837"/>
        <v>0</v>
      </c>
      <c r="FA513" s="58">
        <f t="shared" si="838"/>
        <v>3</v>
      </c>
      <c r="FB513" s="58">
        <f>IF(i_eff_inputs_based_on_num=2,ED513,(INDEX(Lists!$L$51:$L$85,MATCH(AR275,Lists!$K$51:$K$85,0))))</f>
        <v>8</v>
      </c>
      <c r="FC513" s="58">
        <f>IF(i_eff_inputs_based_on_num=2,EE513,(INDEX(Lists!$L$51:$L$85,MATCH(AS275,Lists!$K$51:$K$85,0))))</f>
        <v>2</v>
      </c>
      <c r="FD513" s="58">
        <f>IF(i_eff_inputs_based_on_num=2,EF513,(INDEX(Lists!$L$51:$L$85,MATCH(AT275,Lists!$K$51:$K$85,0))))</f>
        <v>1</v>
      </c>
      <c r="FG513" s="58" t="str">
        <f t="shared" si="839"/>
        <v>No</v>
      </c>
      <c r="FH513" s="58" t="str">
        <f t="shared" si="840"/>
        <v>Progression free survival</v>
      </c>
      <c r="FI513" s="58">
        <f t="shared" si="841"/>
        <v>0</v>
      </c>
      <c r="FJ513" s="58">
        <f t="shared" si="842"/>
        <v>0</v>
      </c>
      <c r="FL513" s="58">
        <f t="shared" si="843"/>
        <v>0</v>
      </c>
      <c r="FM513" s="58">
        <f t="shared" si="844"/>
        <v>2</v>
      </c>
      <c r="FN513" s="58">
        <f>IF(i_eff_inputs_based_on_num=2,EP513,(INDEX(Lists!$L$51:$L$85,MATCH(AR275,Lists!$K$51:$K$85,0))))</f>
        <v>10</v>
      </c>
      <c r="FO513" s="58">
        <f>IF(i_eff_inputs_based_on_num=2,EQ513,(INDEX(Lists!$L$51:$L$85,MATCH(AS275,Lists!$K$51:$K$85,0))))</f>
        <v>1</v>
      </c>
      <c r="FP513" s="58">
        <f>IF(i_eff_inputs_based_on_num=2,ER513,(INDEX(Lists!$L$51:$L$85,MATCH(AT275,Lists!$K$51:$K$85,0))))</f>
        <v>1</v>
      </c>
      <c r="FT513" s="58">
        <f t="shared" si="776"/>
        <v>0</v>
      </c>
      <c r="FW513" s="58">
        <f>IF(i_baseline_risk_from=2,'Effectiveness settings'!EW513,'Effectiveness settings'!FI513)</f>
        <v>0</v>
      </c>
      <c r="FX513" s="58">
        <f t="shared" si="777"/>
        <v>0</v>
      </c>
      <c r="FY513" s="58">
        <f t="shared" si="778"/>
        <v>0</v>
      </c>
      <c r="FZ513" s="58">
        <f t="shared" si="779"/>
        <v>0</v>
      </c>
      <c r="GA513" s="58">
        <f t="shared" si="780"/>
        <v>0</v>
      </c>
      <c r="GB513" s="58">
        <f t="shared" si="781"/>
        <v>0</v>
      </c>
      <c r="GC513" s="58">
        <f t="shared" si="782"/>
        <v>0</v>
      </c>
      <c r="GD513" s="58">
        <f t="shared" si="783"/>
        <v>0</v>
      </c>
      <c r="GE513" s="58">
        <f>IF(AND(dd_CheckMate214_TTD="Yes",'Effectiveness settings'!BU513=2,'Effectiveness settings'!BX513=2),"Apply HR to",GD513)</f>
        <v>0</v>
      </c>
      <c r="GF513" s="58">
        <f t="shared" si="784"/>
        <v>0</v>
      </c>
      <c r="GG513" s="58">
        <f t="shared" si="785"/>
        <v>0</v>
      </c>
      <c r="GH513" s="58">
        <f t="shared" si="786"/>
        <v>0</v>
      </c>
      <c r="GI513" s="58">
        <f t="shared" si="773"/>
        <v>0</v>
      </c>
      <c r="GK513" s="58">
        <f>IF(i_baseline_risk_from=2,'Effectiveness settings'!FA513,'Effectiveness settings'!FM513)</f>
        <v>3</v>
      </c>
      <c r="GL513" s="58">
        <f>IF(i_baseline_risk_from=2,'Effectiveness settings'!FB513,'Effectiveness settings'!FN513)</f>
        <v>8</v>
      </c>
      <c r="GM513" s="58">
        <f>IF(i_baseline_risk_from=2,'Effectiveness settings'!FC513,'Effectiveness settings'!FO513)</f>
        <v>2</v>
      </c>
      <c r="GN513" s="58">
        <f>IF(i_baseline_risk_from=2,'Effectiveness settings'!FD513,'Effectiveness settings'!FP513)</f>
        <v>1</v>
      </c>
      <c r="GQ513" s="58">
        <f t="shared" si="787"/>
        <v>8</v>
      </c>
      <c r="GR513" s="58">
        <f t="shared" si="788"/>
        <v>8</v>
      </c>
      <c r="GS513" s="58">
        <f t="shared" si="789"/>
        <v>8</v>
      </c>
      <c r="GT513" s="58">
        <f t="shared" si="790"/>
        <v>8</v>
      </c>
      <c r="GU513" s="58">
        <f>IF(AND(dd_CheckMate214_TTD="Yes",'Effectiveness settings'!BU513=2,'Effectiveness settings'!BX513=2),2,GT513)</f>
        <v>8</v>
      </c>
      <c r="GV513" s="58">
        <f t="shared" si="791"/>
        <v>8</v>
      </c>
      <c r="GW513" s="58">
        <f t="shared" si="792"/>
        <v>8</v>
      </c>
      <c r="GY513" s="58">
        <f>IF(AND(dd_CheckMate214_TTD="Yes",'Effectiveness settings'!BU513=2,'Effectiveness settings'!BX513=2),1,GN513)</f>
        <v>1</v>
      </c>
      <c r="GZ513" s="58">
        <f t="shared" si="793"/>
        <v>1</v>
      </c>
      <c r="HB513" s="58">
        <f t="shared" si="794"/>
        <v>0</v>
      </c>
      <c r="HD513" s="58">
        <f t="shared" si="768"/>
        <v>0</v>
      </c>
      <c r="HE513" s="58">
        <f t="shared" si="769"/>
        <v>3</v>
      </c>
      <c r="HF513" s="58">
        <f t="shared" si="770"/>
        <v>8</v>
      </c>
      <c r="HG513" s="58">
        <f t="shared" si="771"/>
        <v>2</v>
      </c>
      <c r="HH513" s="58">
        <f t="shared" si="772"/>
        <v>1</v>
      </c>
    </row>
    <row r="514" spans="69:216" ht="15.75" x14ac:dyDescent="0.25">
      <c r="BQ514" s="58">
        <f t="shared" si="774"/>
        <v>297</v>
      </c>
      <c r="BR514" s="61">
        <v>0</v>
      </c>
      <c r="BS514" s="61" t="s">
        <v>31</v>
      </c>
      <c r="BT514" s="17">
        <v>3</v>
      </c>
      <c r="BU514" s="17">
        <v>2</v>
      </c>
      <c r="BV514" s="17" t="str">
        <f t="shared" si="821"/>
        <v>nivolumab_plus_ipilimumab</v>
      </c>
      <c r="BW514" s="1006" t="str" cm="1">
        <f t="array" ref="BW514">IF(AL276="No",AL276,INDEX(List_incl_anal_3L_all,IF(BU514=999,35,BU514+1)))</f>
        <v>No</v>
      </c>
      <c r="BX514" s="61">
        <f t="shared" si="822"/>
        <v>1</v>
      </c>
      <c r="BY514" s="531" t="str">
        <f>AM276</f>
        <v>Progression free survival</v>
      </c>
      <c r="BZ514" s="530">
        <f t="shared" si="823"/>
        <v>0</v>
      </c>
      <c r="CA514" s="531">
        <f t="shared" si="845"/>
        <v>0</v>
      </c>
      <c r="CB514" s="530">
        <f t="shared" si="824"/>
        <v>0</v>
      </c>
      <c r="CC514" s="530">
        <f t="shared" si="825"/>
        <v>3</v>
      </c>
      <c r="CD514" s="530">
        <f t="shared" si="826"/>
        <v>8</v>
      </c>
      <c r="CE514" s="1295">
        <f t="shared" si="827"/>
        <v>2</v>
      </c>
      <c r="CF514" s="1301">
        <f t="shared" si="828"/>
        <v>1</v>
      </c>
      <c r="CG514" s="530" t="str">
        <f t="shared" si="829"/>
        <v>Log-logistic</v>
      </c>
      <c r="CH514" s="505">
        <f t="shared" si="830"/>
        <v>0</v>
      </c>
      <c r="CI514" s="505">
        <f t="shared" si="831"/>
        <v>0</v>
      </c>
      <c r="CJ514" s="505">
        <f t="shared" si="832"/>
        <v>0</v>
      </c>
      <c r="DK514" s="58" t="str" cm="1">
        <f t="array" ref="DK514">IF(AND($BT514=4,$BX514=4,$BU514=999),$DB$36,_xlfn.IFNA(INDEX(DB$13:DB$70,MATCH(1,($BR514=$CV$13:$CV$70)*($BT514=$CX$13:$CX$70)*($CE514=$CY$13:$CY$70)*($BY514=$DA$13:$DA$70)*($CD514=$DH$13:$DH$70),0)),""))</f>
        <v>Log-logistic</v>
      </c>
      <c r="DL514" s="58" t="str" cm="1">
        <f t="array" ref="DL514">IF(AND($BT514=4,$BX514=4,$BU514=999),$DC$36,_xlfn.IFNA(INDEX(CHOOSE(DP514,DB$13:DB$70,DC$13:DC$70,DD$13:DD$70,DE$13:DE$70),MATCH(1,($BR514=$CV$13:$CV$70)*($BT514=$CX$13:$CX$70)*($CE514=$CY$13:$CY$70)*($BY514=$DA$13:$DA$70)*($CD514=$DH$13:$DH$70),0)),""))</f>
        <v>Log-logistic</v>
      </c>
      <c r="DM514" s="740" t="str" cm="1">
        <f t="array" ref="DM514">IF(AND($BT514=4,$BX514=4,$BU514=999),$DD$36,_xlfn.IFNA(INDEX(DD$13:DD$68,MATCH(1,($BR514=$CV$13:$CV$68)*($BT514=$CX$13:$CX$68)*($CE514=$CY$13:$CY$68)*($BY514=$DA$13:$DA$68)*($CD514=$DH$13:$DH$68),0)),""))</f>
        <v>Weibull</v>
      </c>
      <c r="DN514" s="740" cm="1">
        <f t="array" ref="DN514">IF(AND($BT514=4,$BX514=4,$BU514=999),$DD$36,_xlfn.IFNA(INDEX(DE$13:DE$68,MATCH(1,($BR514=$CV$13:$CV$68)*($BT514=$CX$13:$CX$68)*($CE514=$CY$13:$CY$68)*($BY514=$DA$13:$DA$68)*($CD514=$DH$13:$DH$68),0)),""))</f>
        <v>0</v>
      </c>
      <c r="DO514" s="58" t="str" cm="1">
        <f t="array" ref="DO514">IF(AND($BT514=4,$BX514=4,$BU514=999),$DF$36,_xlfn.IFNA(INDEX(DF$13:DF$70,MATCH(1,($BR514=$CV$13:$CV$70)*($BT514=$CX$13:$CX$70)*($CE514=$CY$13:$CY$70)*($BY514=$DA$13:$DA$70)*($CD514=$DH$13:$DH$70),0)),""))</f>
        <v>Base case</v>
      </c>
      <c r="DP514" s="58">
        <f t="shared" si="775"/>
        <v>1</v>
      </c>
      <c r="DW514" s="58" t="s">
        <v>58</v>
      </c>
      <c r="DX514" s="58" t="s">
        <v>552</v>
      </c>
      <c r="DY514" s="58">
        <v>0</v>
      </c>
      <c r="DZ514" s="58">
        <v>0</v>
      </c>
      <c r="EB514" s="58">
        <v>0</v>
      </c>
      <c r="EC514" s="58">
        <v>3</v>
      </c>
      <c r="ED514" s="58">
        <v>8</v>
      </c>
      <c r="EE514" s="58">
        <v>2</v>
      </c>
      <c r="EF514" s="58">
        <v>1</v>
      </c>
      <c r="EI514" s="58" t="s">
        <v>58</v>
      </c>
      <c r="EJ514" s="58" t="s">
        <v>552</v>
      </c>
      <c r="EK514" s="58">
        <v>0</v>
      </c>
      <c r="EL514" s="58">
        <v>0</v>
      </c>
      <c r="EN514" s="58">
        <v>0</v>
      </c>
      <c r="EO514" s="58">
        <v>2</v>
      </c>
      <c r="EP514" s="58">
        <v>10</v>
      </c>
      <c r="EQ514" s="58">
        <v>1</v>
      </c>
      <c r="ER514" s="58">
        <v>1</v>
      </c>
      <c r="EU514" s="58" t="str">
        <f t="shared" si="833"/>
        <v>No</v>
      </c>
      <c r="EV514" s="58" t="str">
        <f t="shared" si="834"/>
        <v>Progression free survival</v>
      </c>
      <c r="EW514" s="58">
        <f t="shared" si="835"/>
        <v>0</v>
      </c>
      <c r="EX514" s="58">
        <f t="shared" si="836"/>
        <v>0</v>
      </c>
      <c r="EZ514" s="58">
        <f t="shared" si="837"/>
        <v>0</v>
      </c>
      <c r="FA514" s="58">
        <f t="shared" si="838"/>
        <v>3</v>
      </c>
      <c r="FB514" s="58">
        <f>IF(i_eff_inputs_based_on_num=2,ED514,(INDEX(Lists!$L$51:$L$85,MATCH(AR276,Lists!$K$51:$K$85,0))))</f>
        <v>8</v>
      </c>
      <c r="FC514" s="58">
        <f>IF(i_eff_inputs_based_on_num=2,EE514,(INDEX(Lists!$L$51:$L$85,MATCH(AS276,Lists!$K$51:$K$85,0))))</f>
        <v>2</v>
      </c>
      <c r="FD514" s="58">
        <f>IF(i_eff_inputs_based_on_num=2,EF514,(INDEX(Lists!$L$51:$L$85,MATCH(AT276,Lists!$K$51:$K$85,0))))</f>
        <v>1</v>
      </c>
      <c r="FG514" s="58" t="str">
        <f t="shared" si="839"/>
        <v>No</v>
      </c>
      <c r="FH514" s="58" t="str">
        <f t="shared" si="840"/>
        <v>Progression free survival</v>
      </c>
      <c r="FI514" s="58">
        <f t="shared" si="841"/>
        <v>0</v>
      </c>
      <c r="FJ514" s="58">
        <f t="shared" si="842"/>
        <v>0</v>
      </c>
      <c r="FL514" s="58">
        <f t="shared" si="843"/>
        <v>0</v>
      </c>
      <c r="FM514" s="58">
        <f t="shared" si="844"/>
        <v>2</v>
      </c>
      <c r="FN514" s="58">
        <f>IF(i_eff_inputs_based_on_num=2,EP514,(INDEX(Lists!$L$51:$L$85,MATCH(AR276,Lists!$K$51:$K$85,0))))</f>
        <v>10</v>
      </c>
      <c r="FO514" s="58">
        <f>IF(i_eff_inputs_based_on_num=2,EQ514,(INDEX(Lists!$L$51:$L$85,MATCH(AS276,Lists!$K$51:$K$85,0))))</f>
        <v>1</v>
      </c>
      <c r="FP514" s="58">
        <f>IF(i_eff_inputs_based_on_num=2,ER514,(INDEX(Lists!$L$51:$L$85,MATCH(AT276,Lists!$K$51:$K$85,0))))</f>
        <v>1</v>
      </c>
      <c r="FT514" s="58">
        <f t="shared" si="776"/>
        <v>0</v>
      </c>
      <c r="FW514" s="58">
        <f>IF(i_baseline_risk_from=2,'Effectiveness settings'!EW514,'Effectiveness settings'!FI514)</f>
        <v>0</v>
      </c>
      <c r="FX514" s="58">
        <f t="shared" si="777"/>
        <v>0</v>
      </c>
      <c r="FY514" s="58">
        <f t="shared" si="778"/>
        <v>0</v>
      </c>
      <c r="FZ514" s="58">
        <f t="shared" si="779"/>
        <v>0</v>
      </c>
      <c r="GA514" s="58">
        <f t="shared" si="780"/>
        <v>0</v>
      </c>
      <c r="GB514" s="58">
        <f t="shared" si="781"/>
        <v>0</v>
      </c>
      <c r="GC514" s="58">
        <f t="shared" si="782"/>
        <v>0</v>
      </c>
      <c r="GD514" s="58">
        <f t="shared" si="783"/>
        <v>0</v>
      </c>
      <c r="GE514" s="58">
        <f>IF(AND(dd_CheckMate214_TTD="Yes",'Effectiveness settings'!BU514=2,'Effectiveness settings'!BX514=2),"Apply HR to",GD514)</f>
        <v>0</v>
      </c>
      <c r="GF514" s="58">
        <f t="shared" si="784"/>
        <v>0</v>
      </c>
      <c r="GG514" s="58">
        <f t="shared" si="785"/>
        <v>0</v>
      </c>
      <c r="GH514" s="58">
        <f t="shared" si="786"/>
        <v>0</v>
      </c>
      <c r="GI514" s="58">
        <f t="shared" si="773"/>
        <v>0</v>
      </c>
      <c r="GK514" s="58">
        <f>IF(i_baseline_risk_from=2,'Effectiveness settings'!FA514,'Effectiveness settings'!FM514)</f>
        <v>3</v>
      </c>
      <c r="GL514" s="58">
        <f>IF(i_baseline_risk_from=2,'Effectiveness settings'!FB514,'Effectiveness settings'!FN514)</f>
        <v>8</v>
      </c>
      <c r="GM514" s="58">
        <f>IF(i_baseline_risk_from=2,'Effectiveness settings'!FC514,'Effectiveness settings'!FO514)</f>
        <v>2</v>
      </c>
      <c r="GN514" s="58">
        <f>IF(i_baseline_risk_from=2,'Effectiveness settings'!FD514,'Effectiveness settings'!FP514)</f>
        <v>1</v>
      </c>
      <c r="GQ514" s="58">
        <f t="shared" si="787"/>
        <v>8</v>
      </c>
      <c r="GR514" s="58">
        <f t="shared" si="788"/>
        <v>8</v>
      </c>
      <c r="GS514" s="58">
        <f t="shared" si="789"/>
        <v>8</v>
      </c>
      <c r="GT514" s="58">
        <f t="shared" si="790"/>
        <v>8</v>
      </c>
      <c r="GU514" s="58">
        <f>IF(AND(dd_CheckMate214_TTD="Yes",'Effectiveness settings'!BU514=2,'Effectiveness settings'!BX514=2),2,GT514)</f>
        <v>8</v>
      </c>
      <c r="GV514" s="58">
        <f t="shared" si="791"/>
        <v>8</v>
      </c>
      <c r="GW514" s="58">
        <f t="shared" si="792"/>
        <v>8</v>
      </c>
      <c r="GY514" s="58">
        <f>IF(AND(dd_CheckMate214_TTD="Yes",'Effectiveness settings'!BU514=2,'Effectiveness settings'!BX514=2),1,GN514)</f>
        <v>1</v>
      </c>
      <c r="GZ514" s="58">
        <f t="shared" si="793"/>
        <v>1</v>
      </c>
      <c r="HB514" s="58">
        <f t="shared" si="794"/>
        <v>0</v>
      </c>
      <c r="HD514" s="58">
        <f t="shared" ref="HD514:HD577" si="846">HB514</f>
        <v>0</v>
      </c>
      <c r="HE514" s="58">
        <f t="shared" ref="HE514:HE577" si="847">GK514</f>
        <v>3</v>
      </c>
      <c r="HF514" s="58">
        <f t="shared" ref="HF514:HF577" si="848">GW514</f>
        <v>8</v>
      </c>
      <c r="HG514" s="58">
        <f t="shared" ref="HG514:HG577" si="849">GM514</f>
        <v>2</v>
      </c>
      <c r="HH514" s="58">
        <f t="shared" ref="HH514:HH577" si="850">GZ514</f>
        <v>1</v>
      </c>
    </row>
    <row r="515" spans="69:216" ht="15.75" x14ac:dyDescent="0.25">
      <c r="BQ515" s="58">
        <f t="shared" si="774"/>
        <v>298</v>
      </c>
      <c r="BR515" s="61">
        <v>0</v>
      </c>
      <c r="BS515" s="61" t="s">
        <v>31</v>
      </c>
      <c r="BT515" s="17">
        <v>3</v>
      </c>
      <c r="BU515" s="17">
        <v>3</v>
      </c>
      <c r="BV515" s="17" t="str">
        <f t="shared" si="821"/>
        <v>lenvatinib_plus_pembrolizumab</v>
      </c>
      <c r="BW515" s="1006" t="str" cm="1">
        <f t="array" ref="BW515">IF(AL277="No",AL277,INDEX(List_incl_anal_3L_all,IF(BU515=999,35,BU515+1)))</f>
        <v>No</v>
      </c>
      <c r="BX515" s="61">
        <f t="shared" si="822"/>
        <v>1</v>
      </c>
      <c r="BY515" s="531" t="str">
        <f>AM277</f>
        <v>Progression free survival</v>
      </c>
      <c r="BZ515" s="530">
        <f t="shared" si="823"/>
        <v>0</v>
      </c>
      <c r="CA515" s="531">
        <f t="shared" si="845"/>
        <v>0</v>
      </c>
      <c r="CB515" s="530">
        <f t="shared" si="824"/>
        <v>0</v>
      </c>
      <c r="CC515" s="530">
        <f t="shared" si="825"/>
        <v>3</v>
      </c>
      <c r="CD515" s="530">
        <f t="shared" si="826"/>
        <v>8</v>
      </c>
      <c r="CE515" s="1295">
        <f t="shared" si="827"/>
        <v>2</v>
      </c>
      <c r="CF515" s="1301">
        <f t="shared" si="828"/>
        <v>1</v>
      </c>
      <c r="CG515" s="530" t="str">
        <f t="shared" si="829"/>
        <v>Log-logistic</v>
      </c>
      <c r="CH515" s="505">
        <f t="shared" si="830"/>
        <v>0</v>
      </c>
      <c r="CI515" s="505">
        <f t="shared" si="831"/>
        <v>0</v>
      </c>
      <c r="CJ515" s="505">
        <f t="shared" si="832"/>
        <v>0</v>
      </c>
      <c r="DK515" s="58" t="str" cm="1">
        <f t="array" ref="DK515">IF(AND($BT515=4,$BX515=4,$BU515=999),$DB$36,_xlfn.IFNA(INDEX(DB$13:DB$70,MATCH(1,($BR515=$CV$13:$CV$70)*($BT515=$CX$13:$CX$70)*($CE515=$CY$13:$CY$70)*($BY515=$DA$13:$DA$70)*($CD515=$DH$13:$DH$70),0)),""))</f>
        <v>Log-logistic</v>
      </c>
      <c r="DL515" s="58" t="str" cm="1">
        <f t="array" ref="DL515">IF(AND($BT515=4,$BX515=4,$BU515=999),$DC$36,_xlfn.IFNA(INDEX(CHOOSE(DP515,DB$13:DB$70,DC$13:DC$70,DD$13:DD$70,DE$13:DE$70),MATCH(1,($BR515=$CV$13:$CV$70)*($BT515=$CX$13:$CX$70)*($CE515=$CY$13:$CY$70)*($BY515=$DA$13:$DA$70)*($CD515=$DH$13:$DH$70),0)),""))</f>
        <v>Log-logistic</v>
      </c>
      <c r="DM515" s="740" t="str" cm="1">
        <f t="array" ref="DM515">IF(AND($BT515=4,$BX515=4,$BU515=999),$DD$36,_xlfn.IFNA(INDEX(DD$13:DD$68,MATCH(1,($BR515=$CV$13:$CV$68)*($BT515=$CX$13:$CX$68)*($CE515=$CY$13:$CY$68)*($BY515=$DA$13:$DA$68)*($CD515=$DH$13:$DH$68),0)),""))</f>
        <v>Weibull</v>
      </c>
      <c r="DN515" s="740" cm="1">
        <f t="array" ref="DN515">IF(AND($BT515=4,$BX515=4,$BU515=999),$DD$36,_xlfn.IFNA(INDEX(DE$13:DE$68,MATCH(1,($BR515=$CV$13:$CV$68)*($BT515=$CX$13:$CX$68)*($CE515=$CY$13:$CY$68)*($BY515=$DA$13:$DA$68)*($CD515=$DH$13:$DH$68),0)),""))</f>
        <v>0</v>
      </c>
      <c r="DO515" s="58" t="str" cm="1">
        <f t="array" ref="DO515">IF(AND($BT515=4,$BX515=4,$BU515=999),$DF$36,_xlfn.IFNA(INDEX(DF$13:DF$70,MATCH(1,($BR515=$CV$13:$CV$70)*($BT515=$CX$13:$CX$70)*($CE515=$CY$13:$CY$70)*($BY515=$DA$13:$DA$70)*($CD515=$DH$13:$DH$70),0)),""))</f>
        <v>Base case</v>
      </c>
      <c r="DP515" s="58">
        <f t="shared" si="775"/>
        <v>1</v>
      </c>
      <c r="DW515" s="58" t="s">
        <v>58</v>
      </c>
      <c r="DX515" s="58" t="s">
        <v>552</v>
      </c>
      <c r="DY515" s="58">
        <v>0</v>
      </c>
      <c r="DZ515" s="58">
        <v>0</v>
      </c>
      <c r="EB515" s="58">
        <v>0</v>
      </c>
      <c r="EC515" s="58">
        <v>3</v>
      </c>
      <c r="ED515" s="58">
        <v>8</v>
      </c>
      <c r="EE515" s="58">
        <v>2</v>
      </c>
      <c r="EF515" s="58">
        <v>1</v>
      </c>
      <c r="EI515" s="58" t="s">
        <v>58</v>
      </c>
      <c r="EJ515" s="58" t="s">
        <v>552</v>
      </c>
      <c r="EK515" s="58">
        <v>0</v>
      </c>
      <c r="EL515" s="58">
        <v>0</v>
      </c>
      <c r="EN515" s="58">
        <v>0</v>
      </c>
      <c r="EO515" s="58">
        <v>2</v>
      </c>
      <c r="EP515" s="58">
        <v>10</v>
      </c>
      <c r="EQ515" s="58">
        <v>1</v>
      </c>
      <c r="ER515" s="58">
        <v>1</v>
      </c>
      <c r="EU515" s="58" t="str">
        <f t="shared" si="833"/>
        <v>No</v>
      </c>
      <c r="EV515" s="58" t="str">
        <f t="shared" si="834"/>
        <v>Progression free survival</v>
      </c>
      <c r="EW515" s="58">
        <f t="shared" si="835"/>
        <v>0</v>
      </c>
      <c r="EX515" s="58">
        <f t="shared" si="836"/>
        <v>0</v>
      </c>
      <c r="EZ515" s="58">
        <f t="shared" si="837"/>
        <v>0</v>
      </c>
      <c r="FA515" s="58">
        <f t="shared" si="838"/>
        <v>3</v>
      </c>
      <c r="FB515" s="58">
        <f>IF(i_eff_inputs_based_on_num=2,ED515,(INDEX(Lists!$L$51:$L$85,MATCH(AR277,Lists!$K$51:$K$85,0))))</f>
        <v>8</v>
      </c>
      <c r="FC515" s="58">
        <f>IF(i_eff_inputs_based_on_num=2,EE515,(INDEX(Lists!$L$51:$L$85,MATCH(AS277,Lists!$K$51:$K$85,0))))</f>
        <v>2</v>
      </c>
      <c r="FD515" s="58">
        <f>IF(i_eff_inputs_based_on_num=2,EF515,(INDEX(Lists!$L$51:$L$85,MATCH(AT277,Lists!$K$51:$K$85,0))))</f>
        <v>1</v>
      </c>
      <c r="FG515" s="58" t="str">
        <f t="shared" si="839"/>
        <v>No</v>
      </c>
      <c r="FH515" s="58" t="str">
        <f t="shared" si="840"/>
        <v>Progression free survival</v>
      </c>
      <c r="FI515" s="58">
        <f t="shared" si="841"/>
        <v>0</v>
      </c>
      <c r="FJ515" s="58">
        <f t="shared" si="842"/>
        <v>0</v>
      </c>
      <c r="FL515" s="58">
        <f t="shared" si="843"/>
        <v>0</v>
      </c>
      <c r="FM515" s="58">
        <f t="shared" si="844"/>
        <v>2</v>
      </c>
      <c r="FN515" s="58">
        <f>IF(i_eff_inputs_based_on_num=2,EP515,(INDEX(Lists!$L$51:$L$85,MATCH(AR277,Lists!$K$51:$K$85,0))))</f>
        <v>10</v>
      </c>
      <c r="FO515" s="58">
        <f>IF(i_eff_inputs_based_on_num=2,EQ515,(INDEX(Lists!$L$51:$L$85,MATCH(AS277,Lists!$K$51:$K$85,0))))</f>
        <v>1</v>
      </c>
      <c r="FP515" s="58">
        <f>IF(i_eff_inputs_based_on_num=2,ER515,(INDEX(Lists!$L$51:$L$85,MATCH(AT277,Lists!$K$51:$K$85,0))))</f>
        <v>1</v>
      </c>
      <c r="FT515" s="58">
        <f t="shared" si="776"/>
        <v>0</v>
      </c>
      <c r="FW515" s="58">
        <f>IF(i_baseline_risk_from=2,'Effectiveness settings'!EW515,'Effectiveness settings'!FI515)</f>
        <v>0</v>
      </c>
      <c r="FX515" s="58">
        <f t="shared" si="777"/>
        <v>0</v>
      </c>
      <c r="FY515" s="58">
        <f t="shared" si="778"/>
        <v>0</v>
      </c>
      <c r="FZ515" s="58">
        <f t="shared" si="779"/>
        <v>0</v>
      </c>
      <c r="GA515" s="58">
        <f t="shared" si="780"/>
        <v>0</v>
      </c>
      <c r="GB515" s="58">
        <f t="shared" si="781"/>
        <v>0</v>
      </c>
      <c r="GC515" s="58">
        <f t="shared" si="782"/>
        <v>0</v>
      </c>
      <c r="GD515" s="58">
        <f t="shared" si="783"/>
        <v>0</v>
      </c>
      <c r="GE515" s="58">
        <f>IF(AND(dd_CheckMate214_TTD="Yes",'Effectiveness settings'!BU515=2,'Effectiveness settings'!BX515=2),"Apply HR to",GD515)</f>
        <v>0</v>
      </c>
      <c r="GF515" s="58">
        <f t="shared" si="784"/>
        <v>0</v>
      </c>
      <c r="GG515" s="58">
        <f t="shared" si="785"/>
        <v>0</v>
      </c>
      <c r="GH515" s="58">
        <f t="shared" si="786"/>
        <v>0</v>
      </c>
      <c r="GI515" s="58">
        <f t="shared" ref="GI515:GI578" si="851">GH515</f>
        <v>0</v>
      </c>
      <c r="GK515" s="58">
        <f>IF(i_baseline_risk_from=2,'Effectiveness settings'!FA515,'Effectiveness settings'!FM515)</f>
        <v>3</v>
      </c>
      <c r="GL515" s="58">
        <f>IF(i_baseline_risk_from=2,'Effectiveness settings'!FB515,'Effectiveness settings'!FN515)</f>
        <v>8</v>
      </c>
      <c r="GM515" s="58">
        <f>IF(i_baseline_risk_from=2,'Effectiveness settings'!FC515,'Effectiveness settings'!FO515)</f>
        <v>2</v>
      </c>
      <c r="GN515" s="58">
        <f>IF(i_baseline_risk_from=2,'Effectiveness settings'!FD515,'Effectiveness settings'!FP515)</f>
        <v>1</v>
      </c>
      <c r="GQ515" s="58">
        <f t="shared" si="787"/>
        <v>8</v>
      </c>
      <c r="GR515" s="58">
        <f t="shared" si="788"/>
        <v>8</v>
      </c>
      <c r="GS515" s="58">
        <f t="shared" si="789"/>
        <v>8</v>
      </c>
      <c r="GT515" s="58">
        <f t="shared" si="790"/>
        <v>8</v>
      </c>
      <c r="GU515" s="58">
        <f>IF(AND(dd_CheckMate214_TTD="Yes",'Effectiveness settings'!BU515=2,'Effectiveness settings'!BX515=2),2,GT515)</f>
        <v>8</v>
      </c>
      <c r="GV515" s="58">
        <f t="shared" si="791"/>
        <v>8</v>
      </c>
      <c r="GW515" s="58">
        <f t="shared" si="792"/>
        <v>8</v>
      </c>
      <c r="GY515" s="58">
        <f>IF(AND(dd_CheckMate214_TTD="Yes",'Effectiveness settings'!BU515=2,'Effectiveness settings'!BX515=2),1,GN515)</f>
        <v>1</v>
      </c>
      <c r="GZ515" s="58">
        <f t="shared" si="793"/>
        <v>1</v>
      </c>
      <c r="HB515" s="58">
        <f t="shared" si="794"/>
        <v>0</v>
      </c>
      <c r="HD515" s="58">
        <f t="shared" si="846"/>
        <v>0</v>
      </c>
      <c r="HE515" s="58">
        <f t="shared" si="847"/>
        <v>3</v>
      </c>
      <c r="HF515" s="58">
        <f t="shared" si="848"/>
        <v>8</v>
      </c>
      <c r="HG515" s="58">
        <f t="shared" si="849"/>
        <v>2</v>
      </c>
      <c r="HH515" s="58">
        <f t="shared" si="850"/>
        <v>1</v>
      </c>
    </row>
    <row r="516" spans="69:216" ht="15.75" x14ac:dyDescent="0.25">
      <c r="BQ516" s="58">
        <f t="shared" si="774"/>
        <v>299</v>
      </c>
      <c r="BR516" s="61">
        <v>0</v>
      </c>
      <c r="BS516" s="61" t="s">
        <v>31</v>
      </c>
      <c r="BT516" s="17">
        <v>3</v>
      </c>
      <c r="BU516" s="17">
        <v>4</v>
      </c>
      <c r="BV516" s="17" t="str">
        <f t="shared" si="821"/>
        <v>avelumab_plus_axitinib</v>
      </c>
      <c r="BW516" s="1006" t="str" cm="1">
        <f t="array" ref="BW516">IF(AL278="No",AL278,INDEX(List_incl_anal_3L_all,IF(BU516=999,35,BU516+1)))</f>
        <v>No</v>
      </c>
      <c r="BX516" s="61">
        <f t="shared" si="822"/>
        <v>1</v>
      </c>
      <c r="BY516" s="531" t="str">
        <f>AM278</f>
        <v>Progression free survival</v>
      </c>
      <c r="BZ516" s="530">
        <f t="shared" si="823"/>
        <v>0</v>
      </c>
      <c r="CA516" s="531">
        <f t="shared" si="845"/>
        <v>0</v>
      </c>
      <c r="CB516" s="530">
        <f t="shared" si="824"/>
        <v>0</v>
      </c>
      <c r="CC516" s="530">
        <f t="shared" si="825"/>
        <v>3</v>
      </c>
      <c r="CD516" s="530">
        <f t="shared" si="826"/>
        <v>8</v>
      </c>
      <c r="CE516" s="1295">
        <f t="shared" si="827"/>
        <v>2</v>
      </c>
      <c r="CF516" s="1301">
        <f t="shared" si="828"/>
        <v>1</v>
      </c>
      <c r="CG516" s="530" t="str">
        <f t="shared" si="829"/>
        <v>Log-logistic</v>
      </c>
      <c r="CH516" s="505">
        <f t="shared" si="830"/>
        <v>0</v>
      </c>
      <c r="CI516" s="505">
        <f t="shared" si="831"/>
        <v>0</v>
      </c>
      <c r="CJ516" s="505">
        <f t="shared" si="832"/>
        <v>0</v>
      </c>
      <c r="DK516" s="58" t="str" cm="1">
        <f t="array" ref="DK516">IF(AND($BT516=4,$BX516=4,$BU516=999),$DB$36,_xlfn.IFNA(INDEX(DB$13:DB$70,MATCH(1,($BR516=$CV$13:$CV$70)*($BT516=$CX$13:$CX$70)*($CE516=$CY$13:$CY$70)*($BY516=$DA$13:$DA$70)*($CD516=$DH$13:$DH$70),0)),""))</f>
        <v>Log-logistic</v>
      </c>
      <c r="DL516" s="58" t="str" cm="1">
        <f t="array" ref="DL516">IF(AND($BT516=4,$BX516=4,$BU516=999),$DC$36,_xlfn.IFNA(INDEX(CHOOSE(DP516,DB$13:DB$70,DC$13:DC$70,DD$13:DD$70,DE$13:DE$70),MATCH(1,($BR516=$CV$13:$CV$70)*($BT516=$CX$13:$CX$70)*($CE516=$CY$13:$CY$70)*($BY516=$DA$13:$DA$70)*($CD516=$DH$13:$DH$70),0)),""))</f>
        <v>Log-logistic</v>
      </c>
      <c r="DM516" s="740" t="str" cm="1">
        <f t="array" ref="DM516">IF(AND($BT516=4,$BX516=4,$BU516=999),$DD$36,_xlfn.IFNA(INDEX(DD$13:DD$68,MATCH(1,($BR516=$CV$13:$CV$68)*($BT516=$CX$13:$CX$68)*($CE516=$CY$13:$CY$68)*($BY516=$DA$13:$DA$68)*($CD516=$DH$13:$DH$68),0)),""))</f>
        <v>Weibull</v>
      </c>
      <c r="DN516" s="740" cm="1">
        <f t="array" ref="DN516">IF(AND($BT516=4,$BX516=4,$BU516=999),$DD$36,_xlfn.IFNA(INDEX(DE$13:DE$68,MATCH(1,($BR516=$CV$13:$CV$68)*($BT516=$CX$13:$CX$68)*($CE516=$CY$13:$CY$68)*($BY516=$DA$13:$DA$68)*($CD516=$DH$13:$DH$68),0)),""))</f>
        <v>0</v>
      </c>
      <c r="DO516" s="58" t="str" cm="1">
        <f t="array" ref="DO516">IF(AND($BT516=4,$BX516=4,$BU516=999),$DF$36,_xlfn.IFNA(INDEX(DF$13:DF$70,MATCH(1,($BR516=$CV$13:$CV$70)*($BT516=$CX$13:$CX$70)*($CE516=$CY$13:$CY$70)*($BY516=$DA$13:$DA$70)*($CD516=$DH$13:$DH$70),0)),""))</f>
        <v>Base case</v>
      </c>
      <c r="DP516" s="58">
        <f t="shared" si="775"/>
        <v>1</v>
      </c>
      <c r="DW516" s="58" t="s">
        <v>58</v>
      </c>
      <c r="DX516" s="58" t="s">
        <v>552</v>
      </c>
      <c r="DY516" s="58">
        <v>0</v>
      </c>
      <c r="DZ516" s="58">
        <v>0</v>
      </c>
      <c r="EB516" s="58">
        <v>0</v>
      </c>
      <c r="EC516" s="58">
        <v>3</v>
      </c>
      <c r="ED516" s="58">
        <v>8</v>
      </c>
      <c r="EE516" s="58">
        <v>2</v>
      </c>
      <c r="EF516" s="58">
        <v>1</v>
      </c>
      <c r="EI516" s="58" t="s">
        <v>58</v>
      </c>
      <c r="EJ516" s="58" t="s">
        <v>552</v>
      </c>
      <c r="EK516" s="58">
        <v>0</v>
      </c>
      <c r="EL516" s="58">
        <v>0</v>
      </c>
      <c r="EN516" s="58">
        <v>0</v>
      </c>
      <c r="EO516" s="58">
        <v>2</v>
      </c>
      <c r="EP516" s="58">
        <v>10</v>
      </c>
      <c r="EQ516" s="58">
        <v>1</v>
      </c>
      <c r="ER516" s="58">
        <v>1</v>
      </c>
      <c r="EU516" s="58" t="str">
        <f t="shared" si="833"/>
        <v>No</v>
      </c>
      <c r="EV516" s="58" t="str">
        <f t="shared" si="834"/>
        <v>Progression free survival</v>
      </c>
      <c r="EW516" s="58">
        <f t="shared" si="835"/>
        <v>0</v>
      </c>
      <c r="EX516" s="58">
        <f t="shared" si="836"/>
        <v>0</v>
      </c>
      <c r="EZ516" s="58">
        <f t="shared" si="837"/>
        <v>0</v>
      </c>
      <c r="FA516" s="58">
        <f t="shared" si="838"/>
        <v>3</v>
      </c>
      <c r="FB516" s="58">
        <f>IF(i_eff_inputs_based_on_num=2,ED516,(INDEX(Lists!$L$51:$L$85,MATCH(AR278,Lists!$K$51:$K$85,0))))</f>
        <v>8</v>
      </c>
      <c r="FC516" s="58">
        <f>IF(i_eff_inputs_based_on_num=2,EE516,(INDEX(Lists!$L$51:$L$85,MATCH(AS278,Lists!$K$51:$K$85,0))))</f>
        <v>2</v>
      </c>
      <c r="FD516" s="58">
        <f>IF(i_eff_inputs_based_on_num=2,EF516,(INDEX(Lists!$L$51:$L$85,MATCH(AT278,Lists!$K$51:$K$85,0))))</f>
        <v>1</v>
      </c>
      <c r="FG516" s="58" t="str">
        <f t="shared" si="839"/>
        <v>No</v>
      </c>
      <c r="FH516" s="58" t="str">
        <f t="shared" si="840"/>
        <v>Progression free survival</v>
      </c>
      <c r="FI516" s="58">
        <f t="shared" si="841"/>
        <v>0</v>
      </c>
      <c r="FJ516" s="58">
        <f t="shared" si="842"/>
        <v>0</v>
      </c>
      <c r="FL516" s="58">
        <f t="shared" si="843"/>
        <v>0</v>
      </c>
      <c r="FM516" s="58">
        <f t="shared" si="844"/>
        <v>2</v>
      </c>
      <c r="FN516" s="58">
        <f>IF(i_eff_inputs_based_on_num=2,EP516,(INDEX(Lists!$L$51:$L$85,MATCH(AR278,Lists!$K$51:$K$85,0))))</f>
        <v>10</v>
      </c>
      <c r="FO516" s="58">
        <f>IF(i_eff_inputs_based_on_num=2,EQ516,(INDEX(Lists!$L$51:$L$85,MATCH(AS278,Lists!$K$51:$K$85,0))))</f>
        <v>1</v>
      </c>
      <c r="FP516" s="58">
        <f>IF(i_eff_inputs_based_on_num=2,ER516,(INDEX(Lists!$L$51:$L$85,MATCH(AT278,Lists!$K$51:$K$85,0))))</f>
        <v>1</v>
      </c>
      <c r="FT516" s="58">
        <f t="shared" si="776"/>
        <v>0</v>
      </c>
      <c r="FW516" s="58">
        <f>IF(i_baseline_risk_from=2,'Effectiveness settings'!EW516,'Effectiveness settings'!FI516)</f>
        <v>0</v>
      </c>
      <c r="FX516" s="58">
        <f t="shared" si="777"/>
        <v>0</v>
      </c>
      <c r="FY516" s="58">
        <f t="shared" si="778"/>
        <v>0</v>
      </c>
      <c r="FZ516" s="58">
        <f t="shared" si="779"/>
        <v>0</v>
      </c>
      <c r="GA516" s="58">
        <f t="shared" si="780"/>
        <v>0</v>
      </c>
      <c r="GB516" s="58">
        <f t="shared" si="781"/>
        <v>0</v>
      </c>
      <c r="GC516" s="58">
        <f t="shared" si="782"/>
        <v>0</v>
      </c>
      <c r="GD516" s="58">
        <f t="shared" si="783"/>
        <v>0</v>
      </c>
      <c r="GE516" s="58">
        <f>IF(AND(dd_CheckMate214_TTD="Yes",'Effectiveness settings'!BU516=2,'Effectiveness settings'!BX516=2),"Apply HR to",GD516)</f>
        <v>0</v>
      </c>
      <c r="GF516" s="58">
        <f t="shared" si="784"/>
        <v>0</v>
      </c>
      <c r="GG516" s="58">
        <f t="shared" si="785"/>
        <v>0</v>
      </c>
      <c r="GH516" s="58">
        <f t="shared" si="786"/>
        <v>0</v>
      </c>
      <c r="GI516" s="58">
        <f t="shared" si="851"/>
        <v>0</v>
      </c>
      <c r="GK516" s="58">
        <f>IF(i_baseline_risk_from=2,'Effectiveness settings'!FA516,'Effectiveness settings'!FM516)</f>
        <v>3</v>
      </c>
      <c r="GL516" s="58">
        <f>IF(i_baseline_risk_from=2,'Effectiveness settings'!FB516,'Effectiveness settings'!FN516)</f>
        <v>8</v>
      </c>
      <c r="GM516" s="58">
        <f>IF(i_baseline_risk_from=2,'Effectiveness settings'!FC516,'Effectiveness settings'!FO516)</f>
        <v>2</v>
      </c>
      <c r="GN516" s="58">
        <f>IF(i_baseline_risk_from=2,'Effectiveness settings'!FD516,'Effectiveness settings'!FP516)</f>
        <v>1</v>
      </c>
      <c r="GQ516" s="58">
        <f t="shared" si="787"/>
        <v>8</v>
      </c>
      <c r="GR516" s="58">
        <f t="shared" si="788"/>
        <v>8</v>
      </c>
      <c r="GS516" s="58">
        <f t="shared" si="789"/>
        <v>8</v>
      </c>
      <c r="GT516" s="58">
        <f t="shared" si="790"/>
        <v>8</v>
      </c>
      <c r="GU516" s="58">
        <f>IF(AND(dd_CheckMate214_TTD="Yes",'Effectiveness settings'!BU516=2,'Effectiveness settings'!BX516=2),2,GT516)</f>
        <v>8</v>
      </c>
      <c r="GV516" s="58">
        <f t="shared" si="791"/>
        <v>8</v>
      </c>
      <c r="GW516" s="58">
        <f t="shared" si="792"/>
        <v>8</v>
      </c>
      <c r="GY516" s="58">
        <f>IF(AND(dd_CheckMate214_TTD="Yes",'Effectiveness settings'!BU516=2,'Effectiveness settings'!BX516=2),1,GN516)</f>
        <v>1</v>
      </c>
      <c r="GZ516" s="58">
        <f t="shared" si="793"/>
        <v>1</v>
      </c>
      <c r="HB516" s="58">
        <f t="shared" si="794"/>
        <v>0</v>
      </c>
      <c r="HD516" s="58">
        <f t="shared" si="846"/>
        <v>0</v>
      </c>
      <c r="HE516" s="58">
        <f t="shared" si="847"/>
        <v>3</v>
      </c>
      <c r="HF516" s="58">
        <f t="shared" si="848"/>
        <v>8</v>
      </c>
      <c r="HG516" s="58">
        <f t="shared" si="849"/>
        <v>2</v>
      </c>
      <c r="HH516" s="58">
        <f t="shared" si="850"/>
        <v>1</v>
      </c>
    </row>
    <row r="517" spans="69:216" ht="15.75" x14ac:dyDescent="0.25">
      <c r="BQ517" s="58">
        <f t="shared" si="774"/>
        <v>300</v>
      </c>
      <c r="BR517" s="61">
        <v>0</v>
      </c>
      <c r="BS517" s="61" t="s">
        <v>31</v>
      </c>
      <c r="BT517" s="17">
        <v>3</v>
      </c>
      <c r="BU517" s="17">
        <v>5</v>
      </c>
      <c r="BV517" s="17" t="str">
        <f t="shared" si="821"/>
        <v>pazopanib</v>
      </c>
      <c r="BW517" s="1006" t="str" cm="1">
        <f t="array" ref="BW517">IF(AL279="No",AL279,INDEX(List_incl_anal_3L_all,IF(BU517=999,35,BU517+1)))</f>
        <v>Yes</v>
      </c>
      <c r="BX517" s="61">
        <f t="shared" si="822"/>
        <v>1</v>
      </c>
      <c r="BY517" s="531" t="str">
        <f t="shared" ref="BY517:BY525" si="852">AM279</f>
        <v>Progression free survival</v>
      </c>
      <c r="BZ517" s="530" t="str">
        <f t="shared" si="823"/>
        <v>Assume equal to</v>
      </c>
      <c r="CA517" s="531">
        <f t="shared" si="845"/>
        <v>0</v>
      </c>
      <c r="CB517" s="530">
        <f t="shared" si="824"/>
        <v>0</v>
      </c>
      <c r="CC517" s="530">
        <f t="shared" si="825"/>
        <v>3</v>
      </c>
      <c r="CD517" s="530">
        <f t="shared" si="826"/>
        <v>7</v>
      </c>
      <c r="CE517" s="1295">
        <f t="shared" si="827"/>
        <v>2</v>
      </c>
      <c r="CF517" s="1301">
        <f t="shared" si="828"/>
        <v>1</v>
      </c>
      <c r="CG517" s="530" t="str">
        <f t="shared" si="829"/>
        <v/>
      </c>
      <c r="CH517" s="505">
        <f t="shared" si="830"/>
        <v>1</v>
      </c>
      <c r="CI517" s="505">
        <f t="shared" si="831"/>
        <v>1</v>
      </c>
      <c r="CJ517" s="505">
        <f t="shared" si="832"/>
        <v>1</v>
      </c>
      <c r="DK517" s="58" t="str" cm="1">
        <f t="array" ref="DK517">IF(AND($BT517=4,$BX517=4,$BU517=999),$DB$36,_xlfn.IFNA(INDEX(DB$13:DB$70,MATCH(1,($BR517=$CV$13:$CV$70)*($BT517=$CX$13:$CX$70)*($CE517=$CY$13:$CY$70)*($BY517=$DA$13:$DA$70)*($CD517=$DH$13:$DH$70),0)),""))</f>
        <v/>
      </c>
      <c r="DL517" s="58" t="str" cm="1">
        <f t="array" ref="DL517">IF(AND($BT517=4,$BX517=4,$BU517=999),$DC$36,_xlfn.IFNA(INDEX(CHOOSE(DP517,DB$13:DB$70,DC$13:DC$70,DD$13:DD$70,DE$13:DE$70),MATCH(1,($BR517=$CV$13:$CV$70)*($BT517=$CX$13:$CX$70)*($CE517=$CY$13:$CY$70)*($BY517=$DA$13:$DA$70)*($CD517=$DH$13:$DH$70),0)),""))</f>
        <v/>
      </c>
      <c r="DM517" s="740" t="str" cm="1">
        <f t="array" ref="DM517">IF(AND($BT517=4,$BX517=4,$BU517=999),$DD$36,_xlfn.IFNA(INDEX(DD$13:DD$68,MATCH(1,($BR517=$CV$13:$CV$68)*($BT517=$CX$13:$CX$68)*($CE517=$CY$13:$CY$68)*($BY517=$DA$13:$DA$68)*($CD517=$DH$13:$DH$68),0)),""))</f>
        <v/>
      </c>
      <c r="DN517" s="740" t="str" cm="1">
        <f t="array" ref="DN517">IF(AND($BT517=4,$BX517=4,$BU517=999),$DD$36,_xlfn.IFNA(INDEX(DE$13:DE$68,MATCH(1,($BR517=$CV$13:$CV$68)*($BT517=$CX$13:$CX$68)*($CE517=$CY$13:$CY$68)*($BY517=$DA$13:$DA$68)*($CD517=$DH$13:$DH$68),0)),""))</f>
        <v/>
      </c>
      <c r="DO517" s="58" t="str" cm="1">
        <f t="array" ref="DO517">IF(AND($BT517=4,$BX517=4,$BU517=999),$DF$36,_xlfn.IFNA(INDEX(DF$13:DF$70,MATCH(1,($BR517=$CV$13:$CV$70)*($BT517=$CX$13:$CX$70)*($CE517=$CY$13:$CY$70)*($BY517=$DA$13:$DA$70)*($CD517=$DH$13:$DH$70),0)),""))</f>
        <v/>
      </c>
      <c r="DP517" s="58" t="e">
        <f t="shared" si="775"/>
        <v>#N/A</v>
      </c>
      <c r="DW517" s="58" t="s">
        <v>74</v>
      </c>
      <c r="DX517" s="58" t="s">
        <v>552</v>
      </c>
      <c r="DY517" s="58" t="s">
        <v>561</v>
      </c>
      <c r="DZ517" s="58">
        <v>0</v>
      </c>
      <c r="EB517" s="58">
        <v>0</v>
      </c>
      <c r="EC517" s="58">
        <v>3</v>
      </c>
      <c r="ED517" s="58">
        <v>6</v>
      </c>
      <c r="EE517" s="58">
        <v>2</v>
      </c>
      <c r="EF517" s="58">
        <v>1</v>
      </c>
      <c r="EI517" s="58" t="s">
        <v>74</v>
      </c>
      <c r="EJ517" s="58" t="s">
        <v>552</v>
      </c>
      <c r="EK517" s="58" t="s">
        <v>561</v>
      </c>
      <c r="EL517" s="58">
        <v>0</v>
      </c>
      <c r="EN517" s="58">
        <v>0</v>
      </c>
      <c r="EO517" s="58">
        <v>3</v>
      </c>
      <c r="EP517" s="58">
        <v>6</v>
      </c>
      <c r="EQ517" s="58">
        <v>1</v>
      </c>
      <c r="ER517" s="58">
        <v>1</v>
      </c>
      <c r="EU517" s="58" t="str">
        <f t="shared" si="833"/>
        <v>Yes</v>
      </c>
      <c r="EV517" s="58" t="str">
        <f t="shared" si="834"/>
        <v>Progression free survival</v>
      </c>
      <c r="EW517" s="58" t="str">
        <f t="shared" si="835"/>
        <v>Assume equal to</v>
      </c>
      <c r="EX517" s="58">
        <f t="shared" si="836"/>
        <v>0</v>
      </c>
      <c r="EZ517" s="58">
        <f t="shared" si="837"/>
        <v>0</v>
      </c>
      <c r="FA517" s="58">
        <f t="shared" si="838"/>
        <v>3</v>
      </c>
      <c r="FB517" s="58">
        <f>IF(i_eff_inputs_based_on_num=2,ED517,(INDEX(Lists!$L$51:$L$85,MATCH(AR279,Lists!$K$51:$K$85,0))))</f>
        <v>6</v>
      </c>
      <c r="FC517" s="58">
        <f>IF(i_eff_inputs_based_on_num=2,EE517,(INDEX(Lists!$L$51:$L$85,MATCH(AS279,Lists!$K$51:$K$85,0))))</f>
        <v>2</v>
      </c>
      <c r="FD517" s="58">
        <f>IF(i_eff_inputs_based_on_num=2,EF517,(INDEX(Lists!$L$51:$L$85,MATCH(AT279,Lists!$K$51:$K$85,0))))</f>
        <v>1</v>
      </c>
      <c r="FG517" s="58" t="str">
        <f t="shared" si="839"/>
        <v>Yes</v>
      </c>
      <c r="FH517" s="58" t="str">
        <f t="shared" si="840"/>
        <v>Progression free survival</v>
      </c>
      <c r="FI517" s="58" t="str">
        <f t="shared" si="841"/>
        <v>Assume equal to</v>
      </c>
      <c r="FJ517" s="58">
        <f t="shared" si="842"/>
        <v>0</v>
      </c>
      <c r="FL517" s="58">
        <f t="shared" si="843"/>
        <v>0</v>
      </c>
      <c r="FM517" s="58">
        <f t="shared" si="844"/>
        <v>3</v>
      </c>
      <c r="FN517" s="58">
        <f>IF(i_eff_inputs_based_on_num=2,EP517,(INDEX(Lists!$L$51:$L$85,MATCH(AR279,Lists!$K$51:$K$85,0))))</f>
        <v>6</v>
      </c>
      <c r="FO517" s="58">
        <f>IF(i_eff_inputs_based_on_num=2,EQ517,(INDEX(Lists!$L$51:$L$85,MATCH(AS279,Lists!$K$51:$K$85,0))))</f>
        <v>1</v>
      </c>
      <c r="FP517" s="58">
        <f>IF(i_eff_inputs_based_on_num=2,ER517,(INDEX(Lists!$L$51:$L$85,MATCH(AT279,Lists!$K$51:$K$85,0))))</f>
        <v>1</v>
      </c>
      <c r="FT517" s="58">
        <f t="shared" si="776"/>
        <v>0</v>
      </c>
      <c r="FW517" s="58" t="str">
        <f>IF(i_baseline_risk_from=2,'Effectiveness settings'!EW517,'Effectiveness settings'!FI517)</f>
        <v>Assume equal to</v>
      </c>
      <c r="FX517" s="58" t="str">
        <f t="shared" si="777"/>
        <v>Assume equal to</v>
      </c>
      <c r="FY517" s="58" t="str">
        <f t="shared" si="778"/>
        <v>Assume equal to</v>
      </c>
      <c r="FZ517" s="58" t="str">
        <f t="shared" si="779"/>
        <v>Assume equal to</v>
      </c>
      <c r="GA517" s="58" t="str">
        <f t="shared" si="780"/>
        <v>Assume equal to</v>
      </c>
      <c r="GB517" s="58" t="str">
        <f t="shared" si="781"/>
        <v>Assume equal to</v>
      </c>
      <c r="GC517" s="58" t="str">
        <f t="shared" si="782"/>
        <v>Assume equal to</v>
      </c>
      <c r="GD517" s="58" t="str">
        <f t="shared" si="783"/>
        <v>Assume equal to</v>
      </c>
      <c r="GE517" s="58" t="str">
        <f>IF(AND(dd_CheckMate214_TTD="Yes",'Effectiveness settings'!BU517=2,'Effectiveness settings'!BX517=2),"Apply HR to",GD517)</f>
        <v>Assume equal to</v>
      </c>
      <c r="GF517" s="58" t="str">
        <f t="shared" si="784"/>
        <v>Assume equal to</v>
      </c>
      <c r="GG517" s="58" t="str">
        <f t="shared" si="785"/>
        <v>Assume equal to</v>
      </c>
      <c r="GH517" s="58" t="str">
        <f t="shared" si="786"/>
        <v>Assume equal to</v>
      </c>
      <c r="GI517" s="58" t="str">
        <f t="shared" si="851"/>
        <v>Assume equal to</v>
      </c>
      <c r="GK517" s="58">
        <f>IF(i_baseline_risk_from=2,'Effectiveness settings'!FA517,'Effectiveness settings'!FM517)</f>
        <v>3</v>
      </c>
      <c r="GL517" s="58">
        <f>IF(i_baseline_risk_from=2,'Effectiveness settings'!FB517,'Effectiveness settings'!FN517)</f>
        <v>6</v>
      </c>
      <c r="GM517" s="58">
        <f>IF(i_baseline_risk_from=2,'Effectiveness settings'!FC517,'Effectiveness settings'!FO517)</f>
        <v>2</v>
      </c>
      <c r="GN517" s="58">
        <f>IF(i_baseline_risk_from=2,'Effectiveness settings'!FD517,'Effectiveness settings'!FP517)</f>
        <v>1</v>
      </c>
      <c r="GQ517" s="58">
        <f t="shared" si="787"/>
        <v>7</v>
      </c>
      <c r="GR517" s="58">
        <f t="shared" si="788"/>
        <v>7</v>
      </c>
      <c r="GS517" s="58">
        <f t="shared" si="789"/>
        <v>7</v>
      </c>
      <c r="GT517" s="58">
        <f t="shared" si="790"/>
        <v>7</v>
      </c>
      <c r="GU517" s="58">
        <f>IF(AND(dd_CheckMate214_TTD="Yes",'Effectiveness settings'!BU517=2,'Effectiveness settings'!BX517=2),2,GT517)</f>
        <v>7</v>
      </c>
      <c r="GV517" s="58">
        <f t="shared" si="791"/>
        <v>7</v>
      </c>
      <c r="GW517" s="58">
        <f t="shared" si="792"/>
        <v>7</v>
      </c>
      <c r="GY517" s="58">
        <f>IF(AND(dd_CheckMate214_TTD="Yes",'Effectiveness settings'!BU517=2,'Effectiveness settings'!BX517=2),1,GN517)</f>
        <v>1</v>
      </c>
      <c r="GZ517" s="58">
        <f t="shared" si="793"/>
        <v>1</v>
      </c>
      <c r="HB517" s="58">
        <f t="shared" si="794"/>
        <v>0</v>
      </c>
      <c r="HD517" s="58">
        <f t="shared" si="846"/>
        <v>0</v>
      </c>
      <c r="HE517" s="58">
        <f t="shared" si="847"/>
        <v>3</v>
      </c>
      <c r="HF517" s="58">
        <f t="shared" si="848"/>
        <v>7</v>
      </c>
      <c r="HG517" s="58">
        <f t="shared" si="849"/>
        <v>2</v>
      </c>
      <c r="HH517" s="58">
        <f t="shared" si="850"/>
        <v>1</v>
      </c>
    </row>
    <row r="518" spans="69:216" ht="15.75" x14ac:dyDescent="0.25">
      <c r="BQ518" s="58">
        <f t="shared" si="774"/>
        <v>301</v>
      </c>
      <c r="BR518" s="61">
        <v>0</v>
      </c>
      <c r="BS518" s="61" t="s">
        <v>31</v>
      </c>
      <c r="BT518" s="17">
        <v>3</v>
      </c>
      <c r="BU518" s="17">
        <v>6</v>
      </c>
      <c r="BV518" s="17" t="str">
        <f t="shared" si="821"/>
        <v>tivozanib</v>
      </c>
      <c r="BW518" s="1006" t="str" cm="1">
        <f t="array" ref="BW518">IF(AL280="No",AL280,INDEX(List_incl_anal_3L_all,IF(BU518=999,35,BU518+1)))</f>
        <v>Yes</v>
      </c>
      <c r="BX518" s="61">
        <f t="shared" si="822"/>
        <v>1</v>
      </c>
      <c r="BY518" s="531" t="str">
        <f t="shared" si="852"/>
        <v>Progression free survival</v>
      </c>
      <c r="BZ518" s="530" t="str">
        <f t="shared" si="823"/>
        <v>PH_NMA</v>
      </c>
      <c r="CA518" s="531">
        <f t="shared" si="845"/>
        <v>0</v>
      </c>
      <c r="CB518" s="530">
        <f t="shared" si="824"/>
        <v>0</v>
      </c>
      <c r="CC518" s="530">
        <f t="shared" si="825"/>
        <v>3</v>
      </c>
      <c r="CD518" s="530">
        <f t="shared" si="826"/>
        <v>8</v>
      </c>
      <c r="CE518" s="1295">
        <f t="shared" si="827"/>
        <v>2</v>
      </c>
      <c r="CF518" s="1301">
        <f t="shared" si="828"/>
        <v>1</v>
      </c>
      <c r="CG518" s="530" t="str">
        <f t="shared" si="829"/>
        <v>Log-logistic</v>
      </c>
      <c r="CH518" s="505">
        <f t="shared" si="830"/>
        <v>0</v>
      </c>
      <c r="CI518" s="505">
        <f t="shared" si="831"/>
        <v>0</v>
      </c>
      <c r="CJ518" s="505">
        <f t="shared" si="832"/>
        <v>0</v>
      </c>
      <c r="DK518" s="58" t="str" cm="1">
        <f t="array" ref="DK518">IF(AND($BT518=4,$BX518=4,$BU518=999),$DB$36,_xlfn.IFNA(INDEX(DB$13:DB$70,MATCH(1,($BR518=$CV$13:$CV$70)*($BT518=$CX$13:$CX$70)*($CE518=$CY$13:$CY$70)*($BY518=$DA$13:$DA$70)*($CD518=$DH$13:$DH$70),0)),""))</f>
        <v>Log-logistic</v>
      </c>
      <c r="DL518" s="58" t="str" cm="1">
        <f t="array" ref="DL518">IF(AND($BT518=4,$BX518=4,$BU518=999),$DC$36,_xlfn.IFNA(INDEX(CHOOSE(DP518,DB$13:DB$70,DC$13:DC$70,DD$13:DD$70,DE$13:DE$70),MATCH(1,($BR518=$CV$13:$CV$70)*($BT518=$CX$13:$CX$70)*($CE518=$CY$13:$CY$70)*($BY518=$DA$13:$DA$70)*($CD518=$DH$13:$DH$70),0)),""))</f>
        <v>Log-logistic</v>
      </c>
      <c r="DM518" s="740" t="str" cm="1">
        <f t="array" ref="DM518">IF(AND($BT518=4,$BX518=4,$BU518=999),$DD$36,_xlfn.IFNA(INDEX(DD$13:DD$68,MATCH(1,($BR518=$CV$13:$CV$68)*($BT518=$CX$13:$CX$68)*($CE518=$CY$13:$CY$68)*($BY518=$DA$13:$DA$68)*($CD518=$DH$13:$DH$68),0)),""))</f>
        <v>Weibull</v>
      </c>
      <c r="DN518" s="740" cm="1">
        <f t="array" ref="DN518">IF(AND($BT518=4,$BX518=4,$BU518=999),$DD$36,_xlfn.IFNA(INDEX(DE$13:DE$68,MATCH(1,($BR518=$CV$13:$CV$68)*($BT518=$CX$13:$CX$68)*($CE518=$CY$13:$CY$68)*($BY518=$DA$13:$DA$68)*($CD518=$DH$13:$DH$68),0)),""))</f>
        <v>0</v>
      </c>
      <c r="DO518" s="58" t="str" cm="1">
        <f t="array" ref="DO518">IF(AND($BT518=4,$BX518=4,$BU518=999),$DF$36,_xlfn.IFNA(INDEX(DF$13:DF$70,MATCH(1,($BR518=$CV$13:$CV$70)*($BT518=$CX$13:$CX$70)*($CE518=$CY$13:$CY$70)*($BY518=$DA$13:$DA$70)*($CD518=$DH$13:$DH$70),0)),""))</f>
        <v>Base case</v>
      </c>
      <c r="DP518" s="58">
        <f t="shared" si="775"/>
        <v>1</v>
      </c>
      <c r="DW518" s="58" t="s">
        <v>74</v>
      </c>
      <c r="DX518" s="58" t="s">
        <v>552</v>
      </c>
      <c r="DY518" s="58" t="s">
        <v>67</v>
      </c>
      <c r="DZ518" s="58">
        <v>0</v>
      </c>
      <c r="EB518" s="58">
        <v>0</v>
      </c>
      <c r="EC518" s="58">
        <v>3</v>
      </c>
      <c r="ED518" s="58">
        <v>8</v>
      </c>
      <c r="EE518" s="58">
        <v>2</v>
      </c>
      <c r="EF518" s="58">
        <v>1</v>
      </c>
      <c r="EI518" s="58" t="s">
        <v>74</v>
      </c>
      <c r="EJ518" s="58" t="s">
        <v>552</v>
      </c>
      <c r="EK518" s="58" t="s">
        <v>67</v>
      </c>
      <c r="EL518" s="58">
        <v>0</v>
      </c>
      <c r="EN518" s="58">
        <v>0</v>
      </c>
      <c r="EO518" s="58">
        <v>2</v>
      </c>
      <c r="EP518" s="58">
        <v>10</v>
      </c>
      <c r="EQ518" s="58">
        <v>1</v>
      </c>
      <c r="ER518" s="58">
        <v>1</v>
      </c>
      <c r="EU518" s="58" t="str">
        <f t="shared" si="833"/>
        <v>Yes</v>
      </c>
      <c r="EV518" s="58" t="str">
        <f t="shared" si="834"/>
        <v>Progression free survival</v>
      </c>
      <c r="EW518" s="58" t="str">
        <f t="shared" si="835"/>
        <v>PH_NMA</v>
      </c>
      <c r="EX518" s="58">
        <f t="shared" si="836"/>
        <v>0</v>
      </c>
      <c r="EZ518" s="58">
        <f t="shared" si="837"/>
        <v>0</v>
      </c>
      <c r="FA518" s="58">
        <f t="shared" si="838"/>
        <v>3</v>
      </c>
      <c r="FB518" s="58">
        <f>IF(i_eff_inputs_based_on_num=2,ED518,(INDEX(Lists!$L$51:$L$85,MATCH(AR280,Lists!$K$51:$K$85,0))))</f>
        <v>8</v>
      </c>
      <c r="FC518" s="58">
        <f>IF(i_eff_inputs_based_on_num=2,EE518,(INDEX(Lists!$L$51:$L$85,MATCH(AS280,Lists!$K$51:$K$85,0))))</f>
        <v>2</v>
      </c>
      <c r="FD518" s="58">
        <f>IF(i_eff_inputs_based_on_num=2,EF518,(INDEX(Lists!$L$51:$L$85,MATCH(AT280,Lists!$K$51:$K$85,0))))</f>
        <v>1</v>
      </c>
      <c r="FG518" s="58" t="str">
        <f t="shared" si="839"/>
        <v>Yes</v>
      </c>
      <c r="FH518" s="58" t="str">
        <f t="shared" si="840"/>
        <v>Progression free survival</v>
      </c>
      <c r="FI518" s="58" t="str">
        <f t="shared" si="841"/>
        <v>PH_NMA</v>
      </c>
      <c r="FJ518" s="58">
        <f t="shared" si="842"/>
        <v>0</v>
      </c>
      <c r="FL518" s="58">
        <f t="shared" si="843"/>
        <v>0</v>
      </c>
      <c r="FM518" s="58">
        <f t="shared" si="844"/>
        <v>2</v>
      </c>
      <c r="FN518" s="58">
        <f>IF(i_eff_inputs_based_on_num=2,EP518,(INDEX(Lists!$L$51:$L$85,MATCH(AR280,Lists!$K$51:$K$85,0))))</f>
        <v>10</v>
      </c>
      <c r="FO518" s="58">
        <f>IF(i_eff_inputs_based_on_num=2,EQ518,(INDEX(Lists!$L$51:$L$85,MATCH(AS280,Lists!$K$51:$K$85,0))))</f>
        <v>1</v>
      </c>
      <c r="FP518" s="58">
        <f>IF(i_eff_inputs_based_on_num=2,ER518,(INDEX(Lists!$L$51:$L$85,MATCH(AT280,Lists!$K$51:$K$85,0))))</f>
        <v>1</v>
      </c>
      <c r="FT518" s="58">
        <f t="shared" si="776"/>
        <v>0</v>
      </c>
      <c r="FW518" s="58" t="str">
        <f>IF(i_baseline_risk_from=2,'Effectiveness settings'!EW518,'Effectiveness settings'!FI518)</f>
        <v>PH_NMA</v>
      </c>
      <c r="FX518" s="58" t="str">
        <f t="shared" si="777"/>
        <v>PH_NMA</v>
      </c>
      <c r="FY518" s="58" t="str">
        <f t="shared" si="778"/>
        <v>PH_NMA</v>
      </c>
      <c r="FZ518" s="58" t="str">
        <f t="shared" si="779"/>
        <v>PH_NMA</v>
      </c>
      <c r="GA518" s="58" t="str">
        <f t="shared" si="780"/>
        <v>PH_NMA</v>
      </c>
      <c r="GB518" s="58" t="str">
        <f t="shared" si="781"/>
        <v>PH_NMA</v>
      </c>
      <c r="GC518" s="58" t="str">
        <f t="shared" si="782"/>
        <v>PH_NMA</v>
      </c>
      <c r="GD518" s="58" t="str">
        <f t="shared" si="783"/>
        <v>PH_NMA</v>
      </c>
      <c r="GE518" s="58" t="str">
        <f>IF(AND(dd_CheckMate214_TTD="Yes",'Effectiveness settings'!BU518=2,'Effectiveness settings'!BX518=2),"Apply HR to",GD518)</f>
        <v>PH_NMA</v>
      </c>
      <c r="GF518" s="58" t="str">
        <f t="shared" si="784"/>
        <v>PH_NMA</v>
      </c>
      <c r="GG518" s="58" t="str">
        <f t="shared" si="785"/>
        <v>PH_NMA</v>
      </c>
      <c r="GH518" s="58" t="str">
        <f t="shared" si="786"/>
        <v>PH_NMA</v>
      </c>
      <c r="GI518" s="58" t="str">
        <f t="shared" si="851"/>
        <v>PH_NMA</v>
      </c>
      <c r="GK518" s="58">
        <f>IF(i_baseline_risk_from=2,'Effectiveness settings'!FA518,'Effectiveness settings'!FM518)</f>
        <v>3</v>
      </c>
      <c r="GL518" s="58">
        <f>IF(i_baseline_risk_from=2,'Effectiveness settings'!FB518,'Effectiveness settings'!FN518)</f>
        <v>8</v>
      </c>
      <c r="GM518" s="58">
        <f>IF(i_baseline_risk_from=2,'Effectiveness settings'!FC518,'Effectiveness settings'!FO518)</f>
        <v>2</v>
      </c>
      <c r="GN518" s="58">
        <f>IF(i_baseline_risk_from=2,'Effectiveness settings'!FD518,'Effectiveness settings'!FP518)</f>
        <v>1</v>
      </c>
      <c r="GQ518" s="58">
        <f t="shared" si="787"/>
        <v>8</v>
      </c>
      <c r="GR518" s="58">
        <f t="shared" si="788"/>
        <v>8</v>
      </c>
      <c r="GS518" s="58">
        <f t="shared" si="789"/>
        <v>8</v>
      </c>
      <c r="GT518" s="58">
        <f t="shared" si="790"/>
        <v>8</v>
      </c>
      <c r="GU518" s="58">
        <f>IF(AND(dd_CheckMate214_TTD="Yes",'Effectiveness settings'!BU518=2,'Effectiveness settings'!BX518=2),2,GT518)</f>
        <v>8</v>
      </c>
      <c r="GV518" s="58">
        <f t="shared" si="791"/>
        <v>8</v>
      </c>
      <c r="GW518" s="58">
        <f t="shared" si="792"/>
        <v>8</v>
      </c>
      <c r="GY518" s="58">
        <f>IF(AND(dd_CheckMate214_TTD="Yes",'Effectiveness settings'!BU518=2,'Effectiveness settings'!BX518=2),1,GN518)</f>
        <v>1</v>
      </c>
      <c r="GZ518" s="58">
        <f t="shared" si="793"/>
        <v>1</v>
      </c>
      <c r="HB518" s="58">
        <f t="shared" si="794"/>
        <v>0</v>
      </c>
      <c r="HD518" s="58">
        <f t="shared" si="846"/>
        <v>0</v>
      </c>
      <c r="HE518" s="58">
        <f t="shared" si="847"/>
        <v>3</v>
      </c>
      <c r="HF518" s="58">
        <f t="shared" si="848"/>
        <v>8</v>
      </c>
      <c r="HG518" s="58">
        <f t="shared" si="849"/>
        <v>2</v>
      </c>
      <c r="HH518" s="58">
        <f t="shared" si="850"/>
        <v>1</v>
      </c>
    </row>
    <row r="519" spans="69:216" ht="15.75" x14ac:dyDescent="0.25">
      <c r="BQ519" s="58">
        <f t="shared" si="774"/>
        <v>302</v>
      </c>
      <c r="BR519" s="61">
        <v>0</v>
      </c>
      <c r="BS519" s="61" t="s">
        <v>31</v>
      </c>
      <c r="BT519" s="17">
        <v>3</v>
      </c>
      <c r="BU519" s="17">
        <v>7</v>
      </c>
      <c r="BV519" s="17" t="str">
        <f t="shared" si="821"/>
        <v>sunitinib</v>
      </c>
      <c r="BW519" s="1006" t="str" cm="1">
        <f t="array" ref="BW519">IF(AL281="No",AL281,INDEX(List_incl_anal_3L_all,IF(BU519=999,35,BU519+1)))</f>
        <v>Yes</v>
      </c>
      <c r="BX519" s="61">
        <f t="shared" si="822"/>
        <v>1</v>
      </c>
      <c r="BY519" s="531" t="str">
        <f t="shared" si="852"/>
        <v>Progression free survival</v>
      </c>
      <c r="BZ519" s="530" t="str">
        <f t="shared" si="823"/>
        <v>Assume equal to</v>
      </c>
      <c r="CA519" s="531">
        <f t="shared" si="845"/>
        <v>0</v>
      </c>
      <c r="CB519" s="530">
        <f t="shared" si="824"/>
        <v>0</v>
      </c>
      <c r="CC519" s="530">
        <f t="shared" si="825"/>
        <v>3</v>
      </c>
      <c r="CD519" s="530">
        <f t="shared" si="826"/>
        <v>6</v>
      </c>
      <c r="CE519" s="1295">
        <f t="shared" si="827"/>
        <v>2</v>
      </c>
      <c r="CF519" s="1301">
        <f t="shared" si="828"/>
        <v>1</v>
      </c>
      <c r="CG519" s="530" t="str">
        <f t="shared" si="829"/>
        <v/>
      </c>
      <c r="CH519" s="505">
        <f t="shared" si="830"/>
        <v>1</v>
      </c>
      <c r="CI519" s="505">
        <f t="shared" si="831"/>
        <v>1</v>
      </c>
      <c r="CJ519" s="505">
        <f t="shared" si="832"/>
        <v>1</v>
      </c>
      <c r="DK519" s="58" t="str" cm="1">
        <f t="array" ref="DK519">IF(AND($BT519=4,$BX519=4,$BU519=999),$DB$36,_xlfn.IFNA(INDEX(DB$13:DB$70,MATCH(1,($BR519=$CV$13:$CV$70)*($BT519=$CX$13:$CX$70)*($CE519=$CY$13:$CY$70)*($BY519=$DA$13:$DA$70)*($CD519=$DH$13:$DH$70),0)),""))</f>
        <v/>
      </c>
      <c r="DL519" s="58" t="str" cm="1">
        <f t="array" ref="DL519">IF(AND($BT519=4,$BX519=4,$BU519=999),$DC$36,_xlfn.IFNA(INDEX(CHOOSE(DP519,DB$13:DB$70,DC$13:DC$70,DD$13:DD$70,DE$13:DE$70),MATCH(1,($BR519=$CV$13:$CV$70)*($BT519=$CX$13:$CX$70)*($CE519=$CY$13:$CY$70)*($BY519=$DA$13:$DA$70)*($CD519=$DH$13:$DH$70),0)),""))</f>
        <v/>
      </c>
      <c r="DM519" s="740" t="str" cm="1">
        <f t="array" ref="DM519">IF(AND($BT519=4,$BX519=4,$BU519=999),$DD$36,_xlfn.IFNA(INDEX(DD$13:DD$68,MATCH(1,($BR519=$CV$13:$CV$68)*($BT519=$CX$13:$CX$68)*($CE519=$CY$13:$CY$68)*($BY519=$DA$13:$DA$68)*($CD519=$DH$13:$DH$68),0)),""))</f>
        <v/>
      </c>
      <c r="DN519" s="740" t="str" cm="1">
        <f t="array" ref="DN519">IF(AND($BT519=4,$BX519=4,$BU519=999),$DD$36,_xlfn.IFNA(INDEX(DE$13:DE$68,MATCH(1,($BR519=$CV$13:$CV$68)*($BT519=$CX$13:$CX$68)*($CE519=$CY$13:$CY$68)*($BY519=$DA$13:$DA$68)*($CD519=$DH$13:$DH$68),0)),""))</f>
        <v/>
      </c>
      <c r="DO519" s="58" t="str" cm="1">
        <f t="array" ref="DO519">IF(AND($BT519=4,$BX519=4,$BU519=999),$DF$36,_xlfn.IFNA(INDEX(DF$13:DF$70,MATCH(1,($BR519=$CV$13:$CV$70)*($BT519=$CX$13:$CX$70)*($CE519=$CY$13:$CY$70)*($BY519=$DA$13:$DA$70)*($CD519=$DH$13:$DH$70),0)),""))</f>
        <v/>
      </c>
      <c r="DP519" s="58" t="e">
        <f t="shared" si="775"/>
        <v>#N/A</v>
      </c>
      <c r="DW519" s="58" t="s">
        <v>74</v>
      </c>
      <c r="DX519" s="58" t="s">
        <v>552</v>
      </c>
      <c r="DY519" s="58" t="s">
        <v>561</v>
      </c>
      <c r="DZ519" s="58">
        <v>0</v>
      </c>
      <c r="EB519" s="58">
        <v>0</v>
      </c>
      <c r="EC519" s="58">
        <v>3</v>
      </c>
      <c r="ED519" s="58">
        <v>6</v>
      </c>
      <c r="EE519" s="58">
        <v>2</v>
      </c>
      <c r="EF519" s="58">
        <v>1</v>
      </c>
      <c r="EI519" s="58" t="s">
        <v>74</v>
      </c>
      <c r="EJ519" s="58" t="s">
        <v>552</v>
      </c>
      <c r="EK519" s="58" t="s">
        <v>561</v>
      </c>
      <c r="EL519" s="58">
        <v>0</v>
      </c>
      <c r="EN519" s="58">
        <v>0</v>
      </c>
      <c r="EO519" s="58">
        <v>3</v>
      </c>
      <c r="EP519" s="58">
        <v>6</v>
      </c>
      <c r="EQ519" s="58">
        <v>1</v>
      </c>
      <c r="ER519" s="58">
        <v>1</v>
      </c>
      <c r="EU519" s="58" t="str">
        <f t="shared" si="833"/>
        <v>Yes</v>
      </c>
      <c r="EV519" s="58" t="str">
        <f t="shared" si="834"/>
        <v>Progression free survival</v>
      </c>
      <c r="EW519" s="58" t="str">
        <f t="shared" si="835"/>
        <v>Assume equal to</v>
      </c>
      <c r="EX519" s="58">
        <f t="shared" si="836"/>
        <v>0</v>
      </c>
      <c r="EZ519" s="58">
        <f t="shared" si="837"/>
        <v>0</v>
      </c>
      <c r="FA519" s="58">
        <f t="shared" si="838"/>
        <v>3</v>
      </c>
      <c r="FB519" s="58">
        <f>IF(i_eff_inputs_based_on_num=2,ED519,(INDEX(Lists!$L$51:$L$85,MATCH(AR281,Lists!$K$51:$K$85,0))))</f>
        <v>6</v>
      </c>
      <c r="FC519" s="58">
        <f>IF(i_eff_inputs_based_on_num=2,EE519,(INDEX(Lists!$L$51:$L$85,MATCH(AS281,Lists!$K$51:$K$85,0))))</f>
        <v>2</v>
      </c>
      <c r="FD519" s="58">
        <f>IF(i_eff_inputs_based_on_num=2,EF519,(INDEX(Lists!$L$51:$L$85,MATCH(AT281,Lists!$K$51:$K$85,0))))</f>
        <v>1</v>
      </c>
      <c r="FG519" s="58" t="str">
        <f t="shared" si="839"/>
        <v>Yes</v>
      </c>
      <c r="FH519" s="58" t="str">
        <f t="shared" si="840"/>
        <v>Progression free survival</v>
      </c>
      <c r="FI519" s="58" t="str">
        <f t="shared" si="841"/>
        <v>Assume equal to</v>
      </c>
      <c r="FJ519" s="58">
        <f t="shared" si="842"/>
        <v>0</v>
      </c>
      <c r="FL519" s="58">
        <f t="shared" si="843"/>
        <v>0</v>
      </c>
      <c r="FM519" s="58">
        <f t="shared" si="844"/>
        <v>3</v>
      </c>
      <c r="FN519" s="58">
        <f>IF(i_eff_inputs_based_on_num=2,EP519,(INDEX(Lists!$L$51:$L$85,MATCH(AR281,Lists!$K$51:$K$85,0))))</f>
        <v>6</v>
      </c>
      <c r="FO519" s="58">
        <f>IF(i_eff_inputs_based_on_num=2,EQ519,(INDEX(Lists!$L$51:$L$85,MATCH(AS281,Lists!$K$51:$K$85,0))))</f>
        <v>1</v>
      </c>
      <c r="FP519" s="58">
        <f>IF(i_eff_inputs_based_on_num=2,ER519,(INDEX(Lists!$L$51:$L$85,MATCH(AT281,Lists!$K$51:$K$85,0))))</f>
        <v>1</v>
      </c>
      <c r="FT519" s="58">
        <f t="shared" si="776"/>
        <v>0</v>
      </c>
      <c r="FW519" s="58" t="str">
        <f>IF(i_baseline_risk_from=2,'Effectiveness settings'!EW519,'Effectiveness settings'!FI519)</f>
        <v>Assume equal to</v>
      </c>
      <c r="FX519" s="58" t="str">
        <f t="shared" si="777"/>
        <v>Assume equal to</v>
      </c>
      <c r="FY519" s="58" t="str">
        <f t="shared" si="778"/>
        <v>Assume equal to</v>
      </c>
      <c r="FZ519" s="58" t="str">
        <f t="shared" si="779"/>
        <v>Assume equal to</v>
      </c>
      <c r="GA519" s="58" t="str">
        <f t="shared" si="780"/>
        <v>Assume equal to</v>
      </c>
      <c r="GB519" s="58" t="str">
        <f t="shared" si="781"/>
        <v>Assume equal to</v>
      </c>
      <c r="GC519" s="58" t="str">
        <f t="shared" si="782"/>
        <v>Assume equal to</v>
      </c>
      <c r="GD519" s="58" t="str">
        <f t="shared" si="783"/>
        <v>Assume equal to</v>
      </c>
      <c r="GE519" s="58" t="str">
        <f>IF(AND(dd_CheckMate214_TTD="Yes",'Effectiveness settings'!BU519=2,'Effectiveness settings'!BX519=2),"Apply HR to",GD519)</f>
        <v>Assume equal to</v>
      </c>
      <c r="GF519" s="58" t="str">
        <f t="shared" si="784"/>
        <v>Assume equal to</v>
      </c>
      <c r="GG519" s="58" t="str">
        <f t="shared" si="785"/>
        <v>Assume equal to</v>
      </c>
      <c r="GH519" s="58" t="str">
        <f t="shared" si="786"/>
        <v>Assume equal to</v>
      </c>
      <c r="GI519" s="58" t="str">
        <f t="shared" si="851"/>
        <v>Assume equal to</v>
      </c>
      <c r="GK519" s="58">
        <f>IF(i_baseline_risk_from=2,'Effectiveness settings'!FA519,'Effectiveness settings'!FM519)</f>
        <v>3</v>
      </c>
      <c r="GL519" s="58">
        <f>IF(i_baseline_risk_from=2,'Effectiveness settings'!FB519,'Effectiveness settings'!FN519)</f>
        <v>6</v>
      </c>
      <c r="GM519" s="58">
        <f>IF(i_baseline_risk_from=2,'Effectiveness settings'!FC519,'Effectiveness settings'!FO519)</f>
        <v>2</v>
      </c>
      <c r="GN519" s="58">
        <f>IF(i_baseline_risk_from=2,'Effectiveness settings'!FD519,'Effectiveness settings'!FP519)</f>
        <v>1</v>
      </c>
      <c r="GQ519" s="58">
        <f t="shared" si="787"/>
        <v>6</v>
      </c>
      <c r="GR519" s="58">
        <f t="shared" si="788"/>
        <v>6</v>
      </c>
      <c r="GS519" s="58">
        <f t="shared" si="789"/>
        <v>6</v>
      </c>
      <c r="GT519" s="58">
        <f t="shared" si="790"/>
        <v>6</v>
      </c>
      <c r="GU519" s="58">
        <f>IF(AND(dd_CheckMate214_TTD="Yes",'Effectiveness settings'!BU519=2,'Effectiveness settings'!BX519=2),2,GT519)</f>
        <v>6</v>
      </c>
      <c r="GV519" s="58">
        <f t="shared" si="791"/>
        <v>6</v>
      </c>
      <c r="GW519" s="58">
        <f t="shared" si="792"/>
        <v>6</v>
      </c>
      <c r="GY519" s="58">
        <f>IF(AND(dd_CheckMate214_TTD="Yes",'Effectiveness settings'!BU519=2,'Effectiveness settings'!BX519=2),1,GN519)</f>
        <v>1</v>
      </c>
      <c r="GZ519" s="58">
        <f t="shared" si="793"/>
        <v>1</v>
      </c>
      <c r="HB519" s="58">
        <f t="shared" si="794"/>
        <v>0</v>
      </c>
      <c r="HD519" s="58">
        <f t="shared" si="846"/>
        <v>0</v>
      </c>
      <c r="HE519" s="58">
        <f t="shared" si="847"/>
        <v>3</v>
      </c>
      <c r="HF519" s="58">
        <f t="shared" si="848"/>
        <v>6</v>
      </c>
      <c r="HG519" s="58">
        <f t="shared" si="849"/>
        <v>2</v>
      </c>
      <c r="HH519" s="58">
        <f t="shared" si="850"/>
        <v>1</v>
      </c>
    </row>
    <row r="520" spans="69:216" ht="15.75" x14ac:dyDescent="0.25">
      <c r="BQ520" s="58">
        <f t="shared" si="774"/>
        <v>303</v>
      </c>
      <c r="BR520" s="61">
        <v>0</v>
      </c>
      <c r="BS520" s="61" t="s">
        <v>31</v>
      </c>
      <c r="BT520" s="17">
        <v>3</v>
      </c>
      <c r="BU520" s="17">
        <v>8</v>
      </c>
      <c r="BV520" s="17" t="str">
        <f t="shared" si="821"/>
        <v>cabozantinib</v>
      </c>
      <c r="BW520" s="1006" t="str" cm="1">
        <f t="array" ref="BW520">IF(AL282="No",AL282,INDEX(List_incl_anal_3L_all,IF(BU520=999,35,BU520+1)))</f>
        <v>Yes</v>
      </c>
      <c r="BX520" s="61">
        <f t="shared" si="822"/>
        <v>1</v>
      </c>
      <c r="BY520" s="531" t="str">
        <f t="shared" si="852"/>
        <v>Progression free survival</v>
      </c>
      <c r="BZ520" s="530" t="str">
        <f t="shared" si="823"/>
        <v>Trial survival analysis</v>
      </c>
      <c r="CA520" s="531" t="str">
        <f t="shared" si="845"/>
        <v>Real world evidence</v>
      </c>
      <c r="CB520" s="530">
        <f t="shared" si="824"/>
        <v>0</v>
      </c>
      <c r="CC520" s="530">
        <f t="shared" si="825"/>
        <v>3</v>
      </c>
      <c r="CD520" s="530">
        <f t="shared" si="826"/>
        <v>8</v>
      </c>
      <c r="CE520" s="1295">
        <f t="shared" si="827"/>
        <v>2</v>
      </c>
      <c r="CF520" s="1301">
        <f t="shared" si="828"/>
        <v>1</v>
      </c>
      <c r="CG520" s="530" t="str">
        <f t="shared" si="829"/>
        <v>Log-logistic</v>
      </c>
      <c r="CH520" s="505">
        <f t="shared" si="830"/>
        <v>0</v>
      </c>
      <c r="CI520" s="505">
        <f t="shared" si="831"/>
        <v>0</v>
      </c>
      <c r="CJ520" s="505">
        <f t="shared" si="832"/>
        <v>0</v>
      </c>
      <c r="DK520" s="58" t="str" cm="1">
        <f t="array" ref="DK520">IF(AND($BT520=4,$BX520=4,$BU520=999),$DB$36,_xlfn.IFNA(INDEX(DB$13:DB$70,MATCH(1,($BR520=$CV$13:$CV$70)*($BT520=$CX$13:$CX$70)*($CE520=$CY$13:$CY$70)*($BY520=$DA$13:$DA$70)*($CD520=$DH$13:$DH$70),0)),""))</f>
        <v>Log-logistic</v>
      </c>
      <c r="DL520" s="58" t="str" cm="1">
        <f t="array" ref="DL520">IF(AND($BT520=4,$BX520=4,$BU520=999),$DC$36,_xlfn.IFNA(INDEX(CHOOSE(DP520,DB$13:DB$70,DC$13:DC$70,DD$13:DD$70,DE$13:DE$70),MATCH(1,($BR520=$CV$13:$CV$70)*($BT520=$CX$13:$CX$70)*($CE520=$CY$13:$CY$70)*($BY520=$DA$13:$DA$70)*($CD520=$DH$13:$DH$70),0)),""))</f>
        <v>Log-logistic</v>
      </c>
      <c r="DM520" s="740" t="str" cm="1">
        <f t="array" ref="DM520">IF(AND($BT520=4,$BX520=4,$BU520=999),$DD$36,_xlfn.IFNA(INDEX(DD$13:DD$68,MATCH(1,($BR520=$CV$13:$CV$68)*($BT520=$CX$13:$CX$68)*($CE520=$CY$13:$CY$68)*($BY520=$DA$13:$DA$68)*($CD520=$DH$13:$DH$68),0)),""))</f>
        <v>Weibull</v>
      </c>
      <c r="DN520" s="740" cm="1">
        <f t="array" ref="DN520">IF(AND($BT520=4,$BX520=4,$BU520=999),$DD$36,_xlfn.IFNA(INDEX(DE$13:DE$68,MATCH(1,($BR520=$CV$13:$CV$68)*($BT520=$CX$13:$CX$68)*($CE520=$CY$13:$CY$68)*($BY520=$DA$13:$DA$68)*($CD520=$DH$13:$DH$68),0)),""))</f>
        <v>0</v>
      </c>
      <c r="DO520" s="58" t="str" cm="1">
        <f t="array" ref="DO520">IF(AND($BT520=4,$BX520=4,$BU520=999),$DF$36,_xlfn.IFNA(INDEX(DF$13:DF$70,MATCH(1,($BR520=$CV$13:$CV$70)*($BT520=$CX$13:$CX$70)*($CE520=$CY$13:$CY$70)*($BY520=$DA$13:$DA$70)*($CD520=$DH$13:$DH$70),0)),""))</f>
        <v>Base case</v>
      </c>
      <c r="DP520" s="58">
        <f t="shared" si="775"/>
        <v>1</v>
      </c>
      <c r="DW520" s="58" t="s">
        <v>74</v>
      </c>
      <c r="DX520" s="58" t="s">
        <v>552</v>
      </c>
      <c r="DY520" s="58" t="s">
        <v>562</v>
      </c>
      <c r="DZ520" s="58" t="s">
        <v>547</v>
      </c>
      <c r="EB520" s="58">
        <v>0</v>
      </c>
      <c r="EC520" s="58">
        <v>3</v>
      </c>
      <c r="ED520" s="58">
        <v>8</v>
      </c>
      <c r="EE520" s="58">
        <v>2</v>
      </c>
      <c r="EF520" s="58">
        <v>1</v>
      </c>
      <c r="EI520" s="58" t="s">
        <v>74</v>
      </c>
      <c r="EJ520" s="58" t="s">
        <v>552</v>
      </c>
      <c r="EK520" s="58" t="s">
        <v>63</v>
      </c>
      <c r="EL520" s="58">
        <v>0</v>
      </c>
      <c r="EN520" s="58">
        <v>0</v>
      </c>
      <c r="EO520" s="58">
        <v>2</v>
      </c>
      <c r="EP520" s="58">
        <v>10</v>
      </c>
      <c r="EQ520" s="58">
        <v>1</v>
      </c>
      <c r="ER520" s="58">
        <v>1</v>
      </c>
      <c r="EU520" s="58" t="str">
        <f t="shared" si="833"/>
        <v>Yes</v>
      </c>
      <c r="EV520" s="58" t="str">
        <f t="shared" si="834"/>
        <v>Progression free survival</v>
      </c>
      <c r="EW520" s="58" t="str">
        <f t="shared" si="835"/>
        <v>Trial survival analysis</v>
      </c>
      <c r="EX520" s="58" t="str">
        <f t="shared" si="836"/>
        <v>Real world evidence</v>
      </c>
      <c r="EZ520" s="58">
        <f t="shared" si="837"/>
        <v>0</v>
      </c>
      <c r="FA520" s="58">
        <f t="shared" si="838"/>
        <v>3</v>
      </c>
      <c r="FB520" s="58">
        <f>IF(i_eff_inputs_based_on_num=2,ED520,(INDEX(Lists!$L$51:$L$85,MATCH(AR282,Lists!$K$51:$K$85,0))))</f>
        <v>8</v>
      </c>
      <c r="FC520" s="58">
        <f>IF(i_eff_inputs_based_on_num=2,EE520,(INDEX(Lists!$L$51:$L$85,MATCH(AS282,Lists!$K$51:$K$85,0))))</f>
        <v>2</v>
      </c>
      <c r="FD520" s="58">
        <f>IF(i_eff_inputs_based_on_num=2,EF520,(INDEX(Lists!$L$51:$L$85,MATCH(AT282,Lists!$K$51:$K$85,0))))</f>
        <v>1</v>
      </c>
      <c r="FG520" s="58" t="str">
        <f t="shared" si="839"/>
        <v>Yes</v>
      </c>
      <c r="FH520" s="58" t="str">
        <f t="shared" si="840"/>
        <v>Progression free survival</v>
      </c>
      <c r="FI520" s="58" t="str">
        <f t="shared" si="841"/>
        <v>FP_NMA</v>
      </c>
      <c r="FJ520" s="58">
        <f t="shared" si="842"/>
        <v>0</v>
      </c>
      <c r="FL520" s="58">
        <f t="shared" si="843"/>
        <v>0</v>
      </c>
      <c r="FM520" s="58">
        <f t="shared" si="844"/>
        <v>2</v>
      </c>
      <c r="FN520" s="58">
        <f>IF(i_eff_inputs_based_on_num=2,EP520,(INDEX(Lists!$L$51:$L$85,MATCH(AR282,Lists!$K$51:$K$85,0))))</f>
        <v>10</v>
      </c>
      <c r="FO520" s="58">
        <f>IF(i_eff_inputs_based_on_num=2,EQ520,(INDEX(Lists!$L$51:$L$85,MATCH(AS282,Lists!$K$51:$K$85,0))))</f>
        <v>1</v>
      </c>
      <c r="FP520" s="58">
        <f>IF(i_eff_inputs_based_on_num=2,ER520,(INDEX(Lists!$L$51:$L$85,MATCH(AT282,Lists!$K$51:$K$85,0))))</f>
        <v>1</v>
      </c>
      <c r="FT520" s="58" t="str">
        <f t="shared" si="776"/>
        <v>Real world evidence</v>
      </c>
      <c r="FW520" s="58" t="str">
        <f>IF(i_baseline_risk_from=2,'Effectiveness settings'!EW520,'Effectiveness settings'!FI520)</f>
        <v>Trial survival analysis</v>
      </c>
      <c r="FX520" s="58" t="str">
        <f t="shared" si="777"/>
        <v>Trial survival analysis</v>
      </c>
      <c r="FY520" s="58" t="str">
        <f t="shared" si="778"/>
        <v>Trial survival analysis</v>
      </c>
      <c r="FZ520" s="58" t="str">
        <f t="shared" si="779"/>
        <v>Trial survival analysis</v>
      </c>
      <c r="GA520" s="58" t="str">
        <f t="shared" si="780"/>
        <v>Trial survival analysis</v>
      </c>
      <c r="GB520" s="58" t="str">
        <f t="shared" si="781"/>
        <v>Trial survival analysis</v>
      </c>
      <c r="GC520" s="58" t="str">
        <f t="shared" si="782"/>
        <v>Trial survival analysis</v>
      </c>
      <c r="GD520" s="58" t="str">
        <f t="shared" si="783"/>
        <v>Trial survival analysis</v>
      </c>
      <c r="GE520" s="58" t="str">
        <f>IF(AND(dd_CheckMate214_TTD="Yes",'Effectiveness settings'!BU520=2,'Effectiveness settings'!BX520=2),"Apply HR to",GD520)</f>
        <v>Trial survival analysis</v>
      </c>
      <c r="GF520" s="58" t="str">
        <f t="shared" si="784"/>
        <v>Trial survival analysis</v>
      </c>
      <c r="GG520" s="58" t="str">
        <f t="shared" si="785"/>
        <v>Trial survival analysis</v>
      </c>
      <c r="GH520" s="58" t="str">
        <f t="shared" si="786"/>
        <v>Trial survival analysis</v>
      </c>
      <c r="GI520" s="58" t="str">
        <f t="shared" si="851"/>
        <v>Trial survival analysis</v>
      </c>
      <c r="GK520" s="58">
        <f>IF(i_baseline_risk_from=2,'Effectiveness settings'!FA520,'Effectiveness settings'!FM520)</f>
        <v>3</v>
      </c>
      <c r="GL520" s="58">
        <f>IF(i_baseline_risk_from=2,'Effectiveness settings'!FB520,'Effectiveness settings'!FN520)</f>
        <v>8</v>
      </c>
      <c r="GM520" s="58">
        <f>IF(i_baseline_risk_from=2,'Effectiveness settings'!FC520,'Effectiveness settings'!FO520)</f>
        <v>2</v>
      </c>
      <c r="GN520" s="58">
        <f>IF(i_baseline_risk_from=2,'Effectiveness settings'!FD520,'Effectiveness settings'!FP520)</f>
        <v>1</v>
      </c>
      <c r="GQ520" s="58">
        <f t="shared" si="787"/>
        <v>8</v>
      </c>
      <c r="GR520" s="58">
        <f t="shared" si="788"/>
        <v>8</v>
      </c>
      <c r="GS520" s="58">
        <f t="shared" si="789"/>
        <v>8</v>
      </c>
      <c r="GT520" s="58">
        <f t="shared" si="790"/>
        <v>8</v>
      </c>
      <c r="GU520" s="58">
        <f>IF(AND(dd_CheckMate214_TTD="Yes",'Effectiveness settings'!BU520=2,'Effectiveness settings'!BX520=2),2,GT520)</f>
        <v>8</v>
      </c>
      <c r="GV520" s="58">
        <f t="shared" si="791"/>
        <v>8</v>
      </c>
      <c r="GW520" s="58">
        <f t="shared" si="792"/>
        <v>8</v>
      </c>
      <c r="GY520" s="58">
        <f>IF(AND(dd_CheckMate214_TTD="Yes",'Effectiveness settings'!BU520=2,'Effectiveness settings'!BX520=2),1,GN520)</f>
        <v>1</v>
      </c>
      <c r="GZ520" s="58">
        <f t="shared" si="793"/>
        <v>1</v>
      </c>
      <c r="HB520" s="58">
        <f t="shared" si="794"/>
        <v>0</v>
      </c>
      <c r="HD520" s="58">
        <f t="shared" si="846"/>
        <v>0</v>
      </c>
      <c r="HE520" s="58">
        <f t="shared" si="847"/>
        <v>3</v>
      </c>
      <c r="HF520" s="58">
        <f t="shared" si="848"/>
        <v>8</v>
      </c>
      <c r="HG520" s="58">
        <f t="shared" si="849"/>
        <v>2</v>
      </c>
      <c r="HH520" s="58">
        <f t="shared" si="850"/>
        <v>1</v>
      </c>
    </row>
    <row r="521" spans="69:216" ht="15.75" x14ac:dyDescent="0.25">
      <c r="BQ521" s="58">
        <f t="shared" si="774"/>
        <v>304</v>
      </c>
      <c r="BR521" s="61">
        <v>0</v>
      </c>
      <c r="BS521" s="61" t="s">
        <v>31</v>
      </c>
      <c r="BT521" s="17">
        <v>3</v>
      </c>
      <c r="BU521" s="17">
        <v>9</v>
      </c>
      <c r="BV521" s="17" t="str">
        <f t="shared" si="821"/>
        <v>lenvatinib_plus_everolimus</v>
      </c>
      <c r="BW521" s="1006" t="str" cm="1">
        <f t="array" ref="BW521">IF(AL283="No",AL283,INDEX(List_incl_anal_3L_all,IF(BU521=999,35,BU521+1)))</f>
        <v>Yes</v>
      </c>
      <c r="BX521" s="61">
        <f t="shared" si="822"/>
        <v>1</v>
      </c>
      <c r="BY521" s="531" t="str">
        <f t="shared" si="852"/>
        <v>Progression free survival</v>
      </c>
      <c r="BZ521" s="530" t="str">
        <f t="shared" si="823"/>
        <v>PH_NMA</v>
      </c>
      <c r="CA521" s="531">
        <f t="shared" si="845"/>
        <v>0</v>
      </c>
      <c r="CB521" s="530">
        <f t="shared" si="824"/>
        <v>0</v>
      </c>
      <c r="CC521" s="530">
        <f t="shared" si="825"/>
        <v>3</v>
      </c>
      <c r="CD521" s="530">
        <f t="shared" si="826"/>
        <v>8</v>
      </c>
      <c r="CE521" s="1295">
        <f t="shared" si="827"/>
        <v>2</v>
      </c>
      <c r="CF521" s="1301">
        <f t="shared" si="828"/>
        <v>1</v>
      </c>
      <c r="CG521" s="530" t="str">
        <f t="shared" si="829"/>
        <v>Log-logistic</v>
      </c>
      <c r="CH521" s="505">
        <f t="shared" si="830"/>
        <v>0</v>
      </c>
      <c r="CI521" s="505">
        <f t="shared" si="831"/>
        <v>0</v>
      </c>
      <c r="CJ521" s="505">
        <f t="shared" si="832"/>
        <v>0</v>
      </c>
      <c r="DK521" s="58" t="str" cm="1">
        <f t="array" ref="DK521">IF(AND($BT521=4,$BX521=4,$BU521=999),$DB$36,_xlfn.IFNA(INDEX(DB$13:DB$70,MATCH(1,($BR521=$CV$13:$CV$70)*($BT521=$CX$13:$CX$70)*($CE521=$CY$13:$CY$70)*($BY521=$DA$13:$DA$70)*($CD521=$DH$13:$DH$70),0)),""))</f>
        <v>Log-logistic</v>
      </c>
      <c r="DL521" s="58" t="str" cm="1">
        <f t="array" ref="DL521">IF(AND($BT521=4,$BX521=4,$BU521=999),$DC$36,_xlfn.IFNA(INDEX(CHOOSE(DP521,DB$13:DB$70,DC$13:DC$70,DD$13:DD$70,DE$13:DE$70),MATCH(1,($BR521=$CV$13:$CV$70)*($BT521=$CX$13:$CX$70)*($CE521=$CY$13:$CY$70)*($BY521=$DA$13:$DA$70)*($CD521=$DH$13:$DH$70),0)),""))</f>
        <v>Log-logistic</v>
      </c>
      <c r="DM521" s="740" t="str" cm="1">
        <f t="array" ref="DM521">IF(AND($BT521=4,$BX521=4,$BU521=999),$DD$36,_xlfn.IFNA(INDEX(DD$13:DD$68,MATCH(1,($BR521=$CV$13:$CV$68)*($BT521=$CX$13:$CX$68)*($CE521=$CY$13:$CY$68)*($BY521=$DA$13:$DA$68)*($CD521=$DH$13:$DH$68),0)),""))</f>
        <v>Weibull</v>
      </c>
      <c r="DN521" s="740" cm="1">
        <f t="array" ref="DN521">IF(AND($BT521=4,$BX521=4,$BU521=999),$DD$36,_xlfn.IFNA(INDEX(DE$13:DE$68,MATCH(1,($BR521=$CV$13:$CV$68)*($BT521=$CX$13:$CX$68)*($CE521=$CY$13:$CY$68)*($BY521=$DA$13:$DA$68)*($CD521=$DH$13:$DH$68),0)),""))</f>
        <v>0</v>
      </c>
      <c r="DO521" s="58" t="str" cm="1">
        <f t="array" ref="DO521">IF(AND($BT521=4,$BX521=4,$BU521=999),$DF$36,_xlfn.IFNA(INDEX(DF$13:DF$70,MATCH(1,($BR521=$CV$13:$CV$70)*($BT521=$CX$13:$CX$70)*($CE521=$CY$13:$CY$70)*($BY521=$DA$13:$DA$70)*($CD521=$DH$13:$DH$70),0)),""))</f>
        <v>Base case</v>
      </c>
      <c r="DP521" s="58">
        <f t="shared" si="775"/>
        <v>1</v>
      </c>
      <c r="DW521" s="58" t="s">
        <v>74</v>
      </c>
      <c r="DX521" s="58" t="s">
        <v>552</v>
      </c>
      <c r="DY521" s="58" t="s">
        <v>63</v>
      </c>
      <c r="DZ521" s="58">
        <v>0</v>
      </c>
      <c r="EB521" s="58">
        <v>0</v>
      </c>
      <c r="EC521" s="58">
        <v>3</v>
      </c>
      <c r="ED521" s="58">
        <v>8</v>
      </c>
      <c r="EE521" s="58">
        <v>2</v>
      </c>
      <c r="EF521" s="58">
        <v>1</v>
      </c>
      <c r="EI521" s="58" t="s">
        <v>74</v>
      </c>
      <c r="EJ521" s="58" t="s">
        <v>552</v>
      </c>
      <c r="EK521" s="58" t="s">
        <v>63</v>
      </c>
      <c r="EL521" s="58">
        <v>0</v>
      </c>
      <c r="EN521" s="58">
        <v>0</v>
      </c>
      <c r="EO521" s="58">
        <v>2</v>
      </c>
      <c r="EP521" s="58">
        <v>10</v>
      </c>
      <c r="EQ521" s="58">
        <v>1</v>
      </c>
      <c r="ER521" s="58">
        <v>1</v>
      </c>
      <c r="EU521" s="58" t="str">
        <f t="shared" si="833"/>
        <v>Yes</v>
      </c>
      <c r="EV521" s="58" t="str">
        <f t="shared" si="834"/>
        <v>Progression free survival</v>
      </c>
      <c r="EW521" s="58" t="str">
        <f t="shared" si="835"/>
        <v>FP_NMA</v>
      </c>
      <c r="EX521" s="58">
        <f t="shared" si="836"/>
        <v>0</v>
      </c>
      <c r="EZ521" s="58">
        <f t="shared" si="837"/>
        <v>0</v>
      </c>
      <c r="FA521" s="58">
        <f t="shared" si="838"/>
        <v>3</v>
      </c>
      <c r="FB521" s="58">
        <f>IF(i_eff_inputs_based_on_num=2,ED521,(INDEX(Lists!$L$51:$L$85,MATCH(AR283,Lists!$K$51:$K$85,0))))</f>
        <v>8</v>
      </c>
      <c r="FC521" s="58">
        <f>IF(i_eff_inputs_based_on_num=2,EE521,(INDEX(Lists!$L$51:$L$85,MATCH(AS283,Lists!$K$51:$K$85,0))))</f>
        <v>2</v>
      </c>
      <c r="FD521" s="58">
        <f>IF(i_eff_inputs_based_on_num=2,EF521,(INDEX(Lists!$L$51:$L$85,MATCH(AT283,Lists!$K$51:$K$85,0))))</f>
        <v>1</v>
      </c>
      <c r="FG521" s="58" t="str">
        <f t="shared" si="839"/>
        <v>Yes</v>
      </c>
      <c r="FH521" s="58" t="str">
        <f t="shared" si="840"/>
        <v>Progression free survival</v>
      </c>
      <c r="FI521" s="58" t="str">
        <f t="shared" si="841"/>
        <v>FP_NMA</v>
      </c>
      <c r="FJ521" s="58">
        <f t="shared" si="842"/>
        <v>0</v>
      </c>
      <c r="FL521" s="58">
        <f t="shared" si="843"/>
        <v>0</v>
      </c>
      <c r="FM521" s="58">
        <f t="shared" si="844"/>
        <v>2</v>
      </c>
      <c r="FN521" s="58">
        <f>IF(i_eff_inputs_based_on_num=2,EP521,(INDEX(Lists!$L$51:$L$85,MATCH(AR283,Lists!$K$51:$K$85,0))))</f>
        <v>10</v>
      </c>
      <c r="FO521" s="58">
        <f>IF(i_eff_inputs_based_on_num=2,EQ521,(INDEX(Lists!$L$51:$L$85,MATCH(AS283,Lists!$K$51:$K$85,0))))</f>
        <v>1</v>
      </c>
      <c r="FP521" s="58">
        <f>IF(i_eff_inputs_based_on_num=2,ER521,(INDEX(Lists!$L$51:$L$85,MATCH(AT283,Lists!$K$51:$K$85,0))))</f>
        <v>1</v>
      </c>
      <c r="FT521" s="58">
        <f t="shared" si="776"/>
        <v>0</v>
      </c>
      <c r="FW521" s="58" t="str">
        <f>IF(i_baseline_risk_from=2,'Effectiveness settings'!EW521,'Effectiveness settings'!FI521)</f>
        <v>FP_NMA</v>
      </c>
      <c r="FX521" s="58" t="str">
        <f t="shared" si="777"/>
        <v>PH_NMA</v>
      </c>
      <c r="FY521" s="58" t="str">
        <f t="shared" si="778"/>
        <v>PH_NMA</v>
      </c>
      <c r="FZ521" s="58" t="str">
        <f t="shared" si="779"/>
        <v>PH_NMA</v>
      </c>
      <c r="GA521" s="58" t="str">
        <f t="shared" si="780"/>
        <v>PH_NMA</v>
      </c>
      <c r="GB521" s="58" t="str">
        <f t="shared" si="781"/>
        <v>PH_NMA</v>
      </c>
      <c r="GC521" s="58" t="str">
        <f t="shared" si="782"/>
        <v>PH_NMA</v>
      </c>
      <c r="GD521" s="58" t="str">
        <f t="shared" si="783"/>
        <v>PH_NMA</v>
      </c>
      <c r="GE521" s="58" t="str">
        <f>IF(AND(dd_CheckMate214_TTD="Yes",'Effectiveness settings'!BU521=2,'Effectiveness settings'!BX521=2),"Apply HR to",GD521)</f>
        <v>PH_NMA</v>
      </c>
      <c r="GF521" s="58" t="str">
        <f t="shared" si="784"/>
        <v>PH_NMA</v>
      </c>
      <c r="GG521" s="58" t="str">
        <f t="shared" si="785"/>
        <v>PH_NMA</v>
      </c>
      <c r="GH521" s="58" t="str">
        <f t="shared" si="786"/>
        <v>PH_NMA</v>
      </c>
      <c r="GI521" s="58" t="str">
        <f t="shared" si="851"/>
        <v>PH_NMA</v>
      </c>
      <c r="GK521" s="58">
        <f>IF(i_baseline_risk_from=2,'Effectiveness settings'!FA521,'Effectiveness settings'!FM521)</f>
        <v>3</v>
      </c>
      <c r="GL521" s="58">
        <f>IF(i_baseline_risk_from=2,'Effectiveness settings'!FB521,'Effectiveness settings'!FN521)</f>
        <v>8</v>
      </c>
      <c r="GM521" s="58">
        <f>IF(i_baseline_risk_from=2,'Effectiveness settings'!FC521,'Effectiveness settings'!FO521)</f>
        <v>2</v>
      </c>
      <c r="GN521" s="58">
        <f>IF(i_baseline_risk_from=2,'Effectiveness settings'!FD521,'Effectiveness settings'!FP521)</f>
        <v>1</v>
      </c>
      <c r="GQ521" s="58">
        <f t="shared" si="787"/>
        <v>8</v>
      </c>
      <c r="GR521" s="58">
        <f t="shared" si="788"/>
        <v>8</v>
      </c>
      <c r="GS521" s="58">
        <f t="shared" si="789"/>
        <v>8</v>
      </c>
      <c r="GT521" s="58">
        <f t="shared" si="790"/>
        <v>8</v>
      </c>
      <c r="GU521" s="58">
        <f>IF(AND(dd_CheckMate214_TTD="Yes",'Effectiveness settings'!BU521=2,'Effectiveness settings'!BX521=2),2,GT521)</f>
        <v>8</v>
      </c>
      <c r="GV521" s="58">
        <f t="shared" si="791"/>
        <v>8</v>
      </c>
      <c r="GW521" s="58">
        <f t="shared" si="792"/>
        <v>8</v>
      </c>
      <c r="GY521" s="58">
        <f>IF(AND(dd_CheckMate214_TTD="Yes",'Effectiveness settings'!BU521=2,'Effectiveness settings'!BX521=2),1,GN521)</f>
        <v>1</v>
      </c>
      <c r="GZ521" s="58">
        <f t="shared" si="793"/>
        <v>1</v>
      </c>
      <c r="HB521" s="58">
        <f t="shared" si="794"/>
        <v>0</v>
      </c>
      <c r="HD521" s="58">
        <f t="shared" si="846"/>
        <v>0</v>
      </c>
      <c r="HE521" s="58">
        <f t="shared" si="847"/>
        <v>3</v>
      </c>
      <c r="HF521" s="58">
        <f t="shared" si="848"/>
        <v>8</v>
      </c>
      <c r="HG521" s="58">
        <f t="shared" si="849"/>
        <v>2</v>
      </c>
      <c r="HH521" s="58">
        <f t="shared" si="850"/>
        <v>1</v>
      </c>
    </row>
    <row r="522" spans="69:216" ht="15.75" x14ac:dyDescent="0.25">
      <c r="BQ522" s="58">
        <f t="shared" si="774"/>
        <v>305</v>
      </c>
      <c r="BR522" s="61">
        <v>0</v>
      </c>
      <c r="BS522" s="61" t="s">
        <v>31</v>
      </c>
      <c r="BT522" s="17">
        <v>3</v>
      </c>
      <c r="BU522" s="17">
        <v>10</v>
      </c>
      <c r="BV522" s="17" t="str">
        <f t="shared" si="821"/>
        <v>everolimus</v>
      </c>
      <c r="BW522" s="1006" t="str" cm="1">
        <f t="array" ref="BW522">IF(AL284="No",AL284,INDEX(List_incl_anal_3L_all,IF(BU522=999,35,BU522+1)))</f>
        <v>Yes</v>
      </c>
      <c r="BX522" s="61">
        <f t="shared" si="822"/>
        <v>1</v>
      </c>
      <c r="BY522" s="531" t="str">
        <f t="shared" si="852"/>
        <v>Progression free survival</v>
      </c>
      <c r="BZ522" s="530" t="str">
        <f t="shared" si="823"/>
        <v>PH_NMA</v>
      </c>
      <c r="CA522" s="531">
        <f t="shared" si="845"/>
        <v>0</v>
      </c>
      <c r="CB522" s="530">
        <f t="shared" si="824"/>
        <v>0</v>
      </c>
      <c r="CC522" s="530">
        <f t="shared" si="825"/>
        <v>3</v>
      </c>
      <c r="CD522" s="530">
        <f t="shared" si="826"/>
        <v>8</v>
      </c>
      <c r="CE522" s="1295">
        <f t="shared" si="827"/>
        <v>2</v>
      </c>
      <c r="CF522" s="1301">
        <f t="shared" si="828"/>
        <v>1</v>
      </c>
      <c r="CG522" s="530" t="str">
        <f t="shared" si="829"/>
        <v>Log-logistic</v>
      </c>
      <c r="CH522" s="505">
        <f t="shared" si="830"/>
        <v>0</v>
      </c>
      <c r="CI522" s="505">
        <f t="shared" si="831"/>
        <v>0</v>
      </c>
      <c r="CJ522" s="505">
        <f t="shared" si="832"/>
        <v>0</v>
      </c>
      <c r="DK522" s="58" t="str" cm="1">
        <f t="array" ref="DK522">IF(AND($BT522=4,$BX522=4,$BU522=999),$DB$36,_xlfn.IFNA(INDEX(DB$13:DB$70,MATCH(1,($BR522=$CV$13:$CV$70)*($BT522=$CX$13:$CX$70)*($CE522=$CY$13:$CY$70)*($BY522=$DA$13:$DA$70)*($CD522=$DH$13:$DH$70),0)),""))</f>
        <v>Log-logistic</v>
      </c>
      <c r="DL522" s="58" t="str" cm="1">
        <f t="array" ref="DL522">IF(AND($BT522=4,$BX522=4,$BU522=999),$DC$36,_xlfn.IFNA(INDEX(CHOOSE(DP522,DB$13:DB$70,DC$13:DC$70,DD$13:DD$70,DE$13:DE$70),MATCH(1,($BR522=$CV$13:$CV$70)*($BT522=$CX$13:$CX$70)*($CE522=$CY$13:$CY$70)*($BY522=$DA$13:$DA$70)*($CD522=$DH$13:$DH$70),0)),""))</f>
        <v>Log-logistic</v>
      </c>
      <c r="DM522" s="740" t="str" cm="1">
        <f t="array" ref="DM522">IF(AND($BT522=4,$BX522=4,$BU522=999),$DD$36,_xlfn.IFNA(INDEX(DD$13:DD$68,MATCH(1,($BR522=$CV$13:$CV$68)*($BT522=$CX$13:$CX$68)*($CE522=$CY$13:$CY$68)*($BY522=$DA$13:$DA$68)*($CD522=$DH$13:$DH$68),0)),""))</f>
        <v>Weibull</v>
      </c>
      <c r="DN522" s="740" cm="1">
        <f t="array" ref="DN522">IF(AND($BT522=4,$BX522=4,$BU522=999),$DD$36,_xlfn.IFNA(INDEX(DE$13:DE$68,MATCH(1,($BR522=$CV$13:$CV$68)*($BT522=$CX$13:$CX$68)*($CE522=$CY$13:$CY$68)*($BY522=$DA$13:$DA$68)*($CD522=$DH$13:$DH$68),0)),""))</f>
        <v>0</v>
      </c>
      <c r="DO522" s="58" t="str" cm="1">
        <f t="array" ref="DO522">IF(AND($BT522=4,$BX522=4,$BU522=999),$DF$36,_xlfn.IFNA(INDEX(DF$13:DF$70,MATCH(1,($BR522=$CV$13:$CV$70)*($BT522=$CX$13:$CX$70)*($CE522=$CY$13:$CY$70)*($BY522=$DA$13:$DA$70)*($CD522=$DH$13:$DH$70),0)),""))</f>
        <v>Base case</v>
      </c>
      <c r="DP522" s="58">
        <f t="shared" si="775"/>
        <v>1</v>
      </c>
      <c r="DW522" s="58" t="s">
        <v>74</v>
      </c>
      <c r="DX522" s="58" t="s">
        <v>552</v>
      </c>
      <c r="DY522" s="58" t="s">
        <v>63</v>
      </c>
      <c r="DZ522" s="58">
        <v>0</v>
      </c>
      <c r="EB522" s="58">
        <v>0</v>
      </c>
      <c r="EC522" s="58">
        <v>3</v>
      </c>
      <c r="ED522" s="58">
        <v>8</v>
      </c>
      <c r="EE522" s="58">
        <v>2</v>
      </c>
      <c r="EF522" s="58">
        <v>1</v>
      </c>
      <c r="EI522" s="58" t="s">
        <v>74</v>
      </c>
      <c r="EJ522" s="58" t="s">
        <v>552</v>
      </c>
      <c r="EK522" s="58" t="s">
        <v>562</v>
      </c>
      <c r="EL522" s="58" t="s">
        <v>606</v>
      </c>
      <c r="EN522" s="58">
        <v>0</v>
      </c>
      <c r="EO522" s="58">
        <v>2</v>
      </c>
      <c r="EP522" s="58">
        <v>10</v>
      </c>
      <c r="EQ522" s="58">
        <v>1</v>
      </c>
      <c r="ER522" s="58">
        <v>1</v>
      </c>
      <c r="EU522" s="58" t="str">
        <f t="shared" si="833"/>
        <v>Yes</v>
      </c>
      <c r="EV522" s="58" t="str">
        <f t="shared" si="834"/>
        <v>Progression free survival</v>
      </c>
      <c r="EW522" s="58" t="str">
        <f t="shared" si="835"/>
        <v>FP_NMA</v>
      </c>
      <c r="EX522" s="58">
        <f t="shared" si="836"/>
        <v>0</v>
      </c>
      <c r="EZ522" s="58">
        <f t="shared" si="837"/>
        <v>0</v>
      </c>
      <c r="FA522" s="58">
        <f t="shared" si="838"/>
        <v>3</v>
      </c>
      <c r="FB522" s="58">
        <f>IF(i_eff_inputs_based_on_num=2,ED522,(INDEX(Lists!$L$51:$L$85,MATCH(AR284,Lists!$K$51:$K$85,0))))</f>
        <v>8</v>
      </c>
      <c r="FC522" s="58">
        <f>IF(i_eff_inputs_based_on_num=2,EE522,(INDEX(Lists!$L$51:$L$85,MATCH(AS284,Lists!$K$51:$K$85,0))))</f>
        <v>2</v>
      </c>
      <c r="FD522" s="58">
        <f>IF(i_eff_inputs_based_on_num=2,EF522,(INDEX(Lists!$L$51:$L$85,MATCH(AT284,Lists!$K$51:$K$85,0))))</f>
        <v>1</v>
      </c>
      <c r="FG522" s="58" t="str">
        <f t="shared" si="839"/>
        <v>Yes</v>
      </c>
      <c r="FH522" s="58" t="str">
        <f t="shared" si="840"/>
        <v>Progression free survival</v>
      </c>
      <c r="FI522" s="58" t="str">
        <f t="shared" si="841"/>
        <v>Trial survival analysis</v>
      </c>
      <c r="FJ522" s="58" t="str">
        <f t="shared" si="842"/>
        <v>CheckMate 025</v>
      </c>
      <c r="FL522" s="58">
        <f t="shared" si="843"/>
        <v>0</v>
      </c>
      <c r="FM522" s="58">
        <f t="shared" si="844"/>
        <v>2</v>
      </c>
      <c r="FN522" s="58">
        <f>IF(i_eff_inputs_based_on_num=2,EP522,(INDEX(Lists!$L$51:$L$85,MATCH(AR284,Lists!$K$51:$K$85,0))))</f>
        <v>10</v>
      </c>
      <c r="FO522" s="58">
        <f>IF(i_eff_inputs_based_on_num=2,EQ522,(INDEX(Lists!$L$51:$L$85,MATCH(AS284,Lists!$K$51:$K$85,0))))</f>
        <v>1</v>
      </c>
      <c r="FP522" s="58">
        <f>IF(i_eff_inputs_based_on_num=2,ER522,(INDEX(Lists!$L$51:$L$85,MATCH(AT284,Lists!$K$51:$K$85,0))))</f>
        <v>1</v>
      </c>
      <c r="FT522" s="58">
        <f t="shared" si="776"/>
        <v>0</v>
      </c>
      <c r="FW522" s="58" t="str">
        <f>IF(i_baseline_risk_from=2,'Effectiveness settings'!EW522,'Effectiveness settings'!FI522)</f>
        <v>FP_NMA</v>
      </c>
      <c r="FX522" s="58" t="str">
        <f t="shared" si="777"/>
        <v>PH_NMA</v>
      </c>
      <c r="FY522" s="58" t="str">
        <f t="shared" si="778"/>
        <v>PH_NMA</v>
      </c>
      <c r="FZ522" s="58" t="str">
        <f t="shared" si="779"/>
        <v>PH_NMA</v>
      </c>
      <c r="GA522" s="58" t="str">
        <f t="shared" si="780"/>
        <v>PH_NMA</v>
      </c>
      <c r="GB522" s="58" t="str">
        <f t="shared" si="781"/>
        <v>PH_NMA</v>
      </c>
      <c r="GC522" s="58" t="str">
        <f t="shared" si="782"/>
        <v>PH_NMA</v>
      </c>
      <c r="GD522" s="58" t="str">
        <f t="shared" si="783"/>
        <v>PH_NMA</v>
      </c>
      <c r="GE522" s="58" t="str">
        <f>IF(AND(dd_CheckMate214_TTD="Yes",'Effectiveness settings'!BU522=2,'Effectiveness settings'!BX522=2),"Apply HR to",GD522)</f>
        <v>PH_NMA</v>
      </c>
      <c r="GF522" s="58" t="str">
        <f t="shared" si="784"/>
        <v>PH_NMA</v>
      </c>
      <c r="GG522" s="58" t="str">
        <f t="shared" si="785"/>
        <v>PH_NMA</v>
      </c>
      <c r="GH522" s="58" t="str">
        <f t="shared" si="786"/>
        <v>PH_NMA</v>
      </c>
      <c r="GI522" s="58" t="str">
        <f t="shared" si="851"/>
        <v>PH_NMA</v>
      </c>
      <c r="GK522" s="58">
        <f>IF(i_baseline_risk_from=2,'Effectiveness settings'!FA522,'Effectiveness settings'!FM522)</f>
        <v>3</v>
      </c>
      <c r="GL522" s="58">
        <f>IF(i_baseline_risk_from=2,'Effectiveness settings'!FB522,'Effectiveness settings'!FN522)</f>
        <v>8</v>
      </c>
      <c r="GM522" s="58">
        <f>IF(i_baseline_risk_from=2,'Effectiveness settings'!FC522,'Effectiveness settings'!FO522)</f>
        <v>2</v>
      </c>
      <c r="GN522" s="58">
        <f>IF(i_baseline_risk_from=2,'Effectiveness settings'!FD522,'Effectiveness settings'!FP522)</f>
        <v>1</v>
      </c>
      <c r="GQ522" s="58">
        <f t="shared" si="787"/>
        <v>8</v>
      </c>
      <c r="GR522" s="58">
        <f t="shared" si="788"/>
        <v>8</v>
      </c>
      <c r="GS522" s="58">
        <f t="shared" si="789"/>
        <v>8</v>
      </c>
      <c r="GT522" s="58">
        <f t="shared" si="790"/>
        <v>8</v>
      </c>
      <c r="GU522" s="58">
        <f>IF(AND(dd_CheckMate214_TTD="Yes",'Effectiveness settings'!BU522=2,'Effectiveness settings'!BX522=2),2,GT522)</f>
        <v>8</v>
      </c>
      <c r="GV522" s="58">
        <f t="shared" si="791"/>
        <v>8</v>
      </c>
      <c r="GW522" s="58">
        <f t="shared" si="792"/>
        <v>8</v>
      </c>
      <c r="GY522" s="58">
        <f>IF(AND(dd_CheckMate214_TTD="Yes",'Effectiveness settings'!BU522=2,'Effectiveness settings'!BX522=2),1,GN522)</f>
        <v>1</v>
      </c>
      <c r="GZ522" s="58">
        <f t="shared" si="793"/>
        <v>1</v>
      </c>
      <c r="HB522" s="58">
        <f t="shared" si="794"/>
        <v>0</v>
      </c>
      <c r="HD522" s="58">
        <f t="shared" si="846"/>
        <v>0</v>
      </c>
      <c r="HE522" s="58">
        <f t="shared" si="847"/>
        <v>3</v>
      </c>
      <c r="HF522" s="58">
        <f t="shared" si="848"/>
        <v>8</v>
      </c>
      <c r="HG522" s="58">
        <f t="shared" si="849"/>
        <v>2</v>
      </c>
      <c r="HH522" s="58">
        <f t="shared" si="850"/>
        <v>1</v>
      </c>
    </row>
    <row r="523" spans="69:216" ht="15.75" x14ac:dyDescent="0.25">
      <c r="BQ523" s="58">
        <f t="shared" si="774"/>
        <v>306</v>
      </c>
      <c r="BR523" s="61">
        <v>0</v>
      </c>
      <c r="BS523" s="61" t="s">
        <v>31</v>
      </c>
      <c r="BT523" s="17">
        <v>3</v>
      </c>
      <c r="BU523" s="17">
        <v>11</v>
      </c>
      <c r="BV523" s="17" t="str">
        <f t="shared" si="821"/>
        <v>axitinib</v>
      </c>
      <c r="BW523" s="1006" t="str" cm="1">
        <f t="array" ref="BW523">IF(AL285="No",AL285,INDEX(List_incl_anal_3L_all,IF(BU523=999,35,BU523+1)))</f>
        <v>Yes</v>
      </c>
      <c r="BX523" s="61">
        <f t="shared" si="822"/>
        <v>1</v>
      </c>
      <c r="BY523" s="531" t="str">
        <f t="shared" si="852"/>
        <v>Progression free survival</v>
      </c>
      <c r="BZ523" s="530" t="str">
        <f t="shared" si="823"/>
        <v>PH_NMA</v>
      </c>
      <c r="CA523" s="531">
        <f t="shared" si="845"/>
        <v>0</v>
      </c>
      <c r="CB523" s="530">
        <f t="shared" si="824"/>
        <v>0</v>
      </c>
      <c r="CC523" s="530">
        <f t="shared" si="825"/>
        <v>3</v>
      </c>
      <c r="CD523" s="530">
        <f t="shared" si="826"/>
        <v>8</v>
      </c>
      <c r="CE523" s="1295">
        <f t="shared" si="827"/>
        <v>2</v>
      </c>
      <c r="CF523" s="1301">
        <f t="shared" si="828"/>
        <v>1</v>
      </c>
      <c r="CG523" s="530" t="str">
        <f t="shared" si="829"/>
        <v>Log-logistic</v>
      </c>
      <c r="CH523" s="505">
        <f t="shared" si="830"/>
        <v>0</v>
      </c>
      <c r="CI523" s="505">
        <f t="shared" si="831"/>
        <v>0</v>
      </c>
      <c r="CJ523" s="505">
        <f t="shared" si="832"/>
        <v>0</v>
      </c>
      <c r="DK523" s="58" t="str" cm="1">
        <f t="array" ref="DK523">IF(AND($BT523=4,$BX523=4,$BU523=999),$DB$36,_xlfn.IFNA(INDEX(DB$13:DB$70,MATCH(1,($BR523=$CV$13:$CV$70)*($BT523=$CX$13:$CX$70)*($CE523=$CY$13:$CY$70)*($BY523=$DA$13:$DA$70)*($CD523=$DH$13:$DH$70),0)),""))</f>
        <v>Log-logistic</v>
      </c>
      <c r="DL523" s="58" t="str" cm="1">
        <f t="array" ref="DL523">IF(AND($BT523=4,$BX523=4,$BU523=999),$DC$36,_xlfn.IFNA(INDEX(CHOOSE(DP523,DB$13:DB$70,DC$13:DC$70,DD$13:DD$70,DE$13:DE$70),MATCH(1,($BR523=$CV$13:$CV$70)*($BT523=$CX$13:$CX$70)*($CE523=$CY$13:$CY$70)*($BY523=$DA$13:$DA$70)*($CD523=$DH$13:$DH$70),0)),""))</f>
        <v>Log-logistic</v>
      </c>
      <c r="DM523" s="740" t="str" cm="1">
        <f t="array" ref="DM523">IF(AND($BT523=4,$BX523=4,$BU523=999),$DD$36,_xlfn.IFNA(INDEX(DD$13:DD$68,MATCH(1,($BR523=$CV$13:$CV$68)*($BT523=$CX$13:$CX$68)*($CE523=$CY$13:$CY$68)*($BY523=$DA$13:$DA$68)*($CD523=$DH$13:$DH$68),0)),""))</f>
        <v>Weibull</v>
      </c>
      <c r="DN523" s="740" cm="1">
        <f t="array" ref="DN523">IF(AND($BT523=4,$BX523=4,$BU523=999),$DD$36,_xlfn.IFNA(INDEX(DE$13:DE$68,MATCH(1,($BR523=$CV$13:$CV$68)*($BT523=$CX$13:$CX$68)*($CE523=$CY$13:$CY$68)*($BY523=$DA$13:$DA$68)*($CD523=$DH$13:$DH$68),0)),""))</f>
        <v>0</v>
      </c>
      <c r="DO523" s="58" t="str" cm="1">
        <f t="array" ref="DO523">IF(AND($BT523=4,$BX523=4,$BU523=999),$DF$36,_xlfn.IFNA(INDEX(DF$13:DF$70,MATCH(1,($BR523=$CV$13:$CV$70)*($BT523=$CX$13:$CX$70)*($CE523=$CY$13:$CY$70)*($BY523=$DA$13:$DA$70)*($CD523=$DH$13:$DH$70),0)),""))</f>
        <v>Base case</v>
      </c>
      <c r="DP523" s="58">
        <f t="shared" si="775"/>
        <v>1</v>
      </c>
      <c r="DW523" s="58" t="s">
        <v>74</v>
      </c>
      <c r="DX523" s="58" t="s">
        <v>552</v>
      </c>
      <c r="DY523" s="58" t="s">
        <v>67</v>
      </c>
      <c r="DZ523" s="58">
        <v>0</v>
      </c>
      <c r="EB523" s="58">
        <v>0</v>
      </c>
      <c r="EC523" s="58">
        <v>3</v>
      </c>
      <c r="ED523" s="58">
        <v>8</v>
      </c>
      <c r="EE523" s="58">
        <v>2</v>
      </c>
      <c r="EF523" s="58">
        <v>1</v>
      </c>
      <c r="EI523" s="58" t="s">
        <v>74</v>
      </c>
      <c r="EJ523" s="58" t="s">
        <v>552</v>
      </c>
      <c r="EK523" s="58" t="s">
        <v>67</v>
      </c>
      <c r="EL523" s="58">
        <v>0</v>
      </c>
      <c r="EN523" s="58">
        <v>0</v>
      </c>
      <c r="EO523" s="58">
        <v>2</v>
      </c>
      <c r="EP523" s="58">
        <v>10</v>
      </c>
      <c r="EQ523" s="58">
        <v>1</v>
      </c>
      <c r="ER523" s="58">
        <v>1</v>
      </c>
      <c r="EU523" s="58" t="str">
        <f t="shared" si="833"/>
        <v>Yes</v>
      </c>
      <c r="EV523" s="58" t="str">
        <f t="shared" si="834"/>
        <v>Progression free survival</v>
      </c>
      <c r="EW523" s="58" t="str">
        <f t="shared" si="835"/>
        <v>PH_NMA</v>
      </c>
      <c r="EX523" s="58">
        <f t="shared" si="836"/>
        <v>0</v>
      </c>
      <c r="EZ523" s="58">
        <f t="shared" si="837"/>
        <v>0</v>
      </c>
      <c r="FA523" s="58">
        <f t="shared" si="838"/>
        <v>3</v>
      </c>
      <c r="FB523" s="58">
        <f>IF(i_eff_inputs_based_on_num=2,ED523,(INDEX(Lists!$L$51:$L$85,MATCH(AR285,Lists!$K$51:$K$85,0))))</f>
        <v>8</v>
      </c>
      <c r="FC523" s="58">
        <f>IF(i_eff_inputs_based_on_num=2,EE523,(INDEX(Lists!$L$51:$L$85,MATCH(AS285,Lists!$K$51:$K$85,0))))</f>
        <v>2</v>
      </c>
      <c r="FD523" s="58">
        <f>IF(i_eff_inputs_based_on_num=2,EF523,(INDEX(Lists!$L$51:$L$85,MATCH(AT285,Lists!$K$51:$K$85,0))))</f>
        <v>1</v>
      </c>
      <c r="FG523" s="58" t="str">
        <f t="shared" si="839"/>
        <v>Yes</v>
      </c>
      <c r="FH523" s="58" t="str">
        <f t="shared" si="840"/>
        <v>Progression free survival</v>
      </c>
      <c r="FI523" s="58" t="str">
        <f t="shared" si="841"/>
        <v>PH_NMA</v>
      </c>
      <c r="FJ523" s="58">
        <f t="shared" si="842"/>
        <v>0</v>
      </c>
      <c r="FL523" s="58">
        <f t="shared" si="843"/>
        <v>0</v>
      </c>
      <c r="FM523" s="58">
        <f t="shared" si="844"/>
        <v>2</v>
      </c>
      <c r="FN523" s="58">
        <f>IF(i_eff_inputs_based_on_num=2,EP523,(INDEX(Lists!$L$51:$L$85,MATCH(AR285,Lists!$K$51:$K$85,0))))</f>
        <v>10</v>
      </c>
      <c r="FO523" s="58">
        <f>IF(i_eff_inputs_based_on_num=2,EQ523,(INDEX(Lists!$L$51:$L$85,MATCH(AS285,Lists!$K$51:$K$85,0))))</f>
        <v>1</v>
      </c>
      <c r="FP523" s="58">
        <f>IF(i_eff_inputs_based_on_num=2,ER523,(INDEX(Lists!$L$51:$L$85,MATCH(AT285,Lists!$K$51:$K$85,0))))</f>
        <v>1</v>
      </c>
      <c r="FT523" s="58">
        <f t="shared" si="776"/>
        <v>0</v>
      </c>
      <c r="FW523" s="58" t="str">
        <f>IF(i_baseline_risk_from=2,'Effectiveness settings'!EW523,'Effectiveness settings'!FI523)</f>
        <v>PH_NMA</v>
      </c>
      <c r="FX523" s="58" t="str">
        <f t="shared" si="777"/>
        <v>PH_NMA</v>
      </c>
      <c r="FY523" s="58" t="str">
        <f t="shared" si="778"/>
        <v>PH_NMA</v>
      </c>
      <c r="FZ523" s="58" t="str">
        <f t="shared" si="779"/>
        <v>PH_NMA</v>
      </c>
      <c r="GA523" s="58" t="str">
        <f t="shared" si="780"/>
        <v>PH_NMA</v>
      </c>
      <c r="GB523" s="58" t="str">
        <f t="shared" si="781"/>
        <v>PH_NMA</v>
      </c>
      <c r="GC523" s="58" t="str">
        <f t="shared" si="782"/>
        <v>PH_NMA</v>
      </c>
      <c r="GD523" s="58" t="str">
        <f t="shared" si="783"/>
        <v>PH_NMA</v>
      </c>
      <c r="GE523" s="58" t="str">
        <f>IF(AND(dd_CheckMate214_TTD="Yes",'Effectiveness settings'!BU523=2,'Effectiveness settings'!BX523=2),"Apply HR to",GD523)</f>
        <v>PH_NMA</v>
      </c>
      <c r="GF523" s="58" t="str">
        <f t="shared" si="784"/>
        <v>PH_NMA</v>
      </c>
      <c r="GG523" s="58" t="str">
        <f t="shared" si="785"/>
        <v>PH_NMA</v>
      </c>
      <c r="GH523" s="58" t="str">
        <f t="shared" si="786"/>
        <v>PH_NMA</v>
      </c>
      <c r="GI523" s="58" t="str">
        <f t="shared" si="851"/>
        <v>PH_NMA</v>
      </c>
      <c r="GK523" s="58">
        <f>IF(i_baseline_risk_from=2,'Effectiveness settings'!FA523,'Effectiveness settings'!FM523)</f>
        <v>3</v>
      </c>
      <c r="GL523" s="58">
        <f>IF(i_baseline_risk_from=2,'Effectiveness settings'!FB523,'Effectiveness settings'!FN523)</f>
        <v>8</v>
      </c>
      <c r="GM523" s="58">
        <f>IF(i_baseline_risk_from=2,'Effectiveness settings'!FC523,'Effectiveness settings'!FO523)</f>
        <v>2</v>
      </c>
      <c r="GN523" s="58">
        <f>IF(i_baseline_risk_from=2,'Effectiveness settings'!FD523,'Effectiveness settings'!FP523)</f>
        <v>1</v>
      </c>
      <c r="GQ523" s="58">
        <f t="shared" si="787"/>
        <v>8</v>
      </c>
      <c r="GR523" s="58">
        <f t="shared" si="788"/>
        <v>8</v>
      </c>
      <c r="GS523" s="58">
        <f t="shared" si="789"/>
        <v>8</v>
      </c>
      <c r="GT523" s="58">
        <f t="shared" si="790"/>
        <v>8</v>
      </c>
      <c r="GU523" s="58">
        <f>IF(AND(dd_CheckMate214_TTD="Yes",'Effectiveness settings'!BU523=2,'Effectiveness settings'!BX523=2),2,GT523)</f>
        <v>8</v>
      </c>
      <c r="GV523" s="58">
        <f t="shared" si="791"/>
        <v>8</v>
      </c>
      <c r="GW523" s="58">
        <f t="shared" si="792"/>
        <v>8</v>
      </c>
      <c r="GY523" s="58">
        <f>IF(AND(dd_CheckMate214_TTD="Yes",'Effectiveness settings'!BU523=2,'Effectiveness settings'!BX523=2),1,GN523)</f>
        <v>1</v>
      </c>
      <c r="GZ523" s="58">
        <f t="shared" si="793"/>
        <v>1</v>
      </c>
      <c r="HB523" s="58">
        <f t="shared" si="794"/>
        <v>0</v>
      </c>
      <c r="HD523" s="58">
        <f t="shared" si="846"/>
        <v>0</v>
      </c>
      <c r="HE523" s="58">
        <f t="shared" si="847"/>
        <v>3</v>
      </c>
      <c r="HF523" s="58">
        <f t="shared" si="848"/>
        <v>8</v>
      </c>
      <c r="HG523" s="58">
        <f t="shared" si="849"/>
        <v>2</v>
      </c>
      <c r="HH523" s="58">
        <f t="shared" si="850"/>
        <v>1</v>
      </c>
    </row>
    <row r="524" spans="69:216" ht="15.75" x14ac:dyDescent="0.25">
      <c r="BQ524" s="58">
        <f t="shared" si="774"/>
        <v>307</v>
      </c>
      <c r="BR524" s="61">
        <v>0</v>
      </c>
      <c r="BS524" s="61" t="s">
        <v>31</v>
      </c>
      <c r="BT524" s="17">
        <v>3</v>
      </c>
      <c r="BU524" s="17">
        <v>12</v>
      </c>
      <c r="BV524" s="17" t="str">
        <f t="shared" si="821"/>
        <v>sorafenib</v>
      </c>
      <c r="BW524" s="1006" t="str" cm="1">
        <f t="array" ref="BW524">IF(AL286="No",AL286,INDEX(List_incl_anal_3L_all,IF(BU524=999,35,BU524+1)))</f>
        <v>No</v>
      </c>
      <c r="BX524" s="61">
        <f t="shared" si="822"/>
        <v>1</v>
      </c>
      <c r="BY524" s="531" t="str">
        <f t="shared" si="852"/>
        <v>Progression free survival</v>
      </c>
      <c r="BZ524" s="530">
        <f t="shared" si="823"/>
        <v>0</v>
      </c>
      <c r="CA524" s="531">
        <f t="shared" si="845"/>
        <v>0</v>
      </c>
      <c r="CB524" s="530">
        <f t="shared" si="824"/>
        <v>0</v>
      </c>
      <c r="CC524" s="530">
        <f t="shared" si="825"/>
        <v>3</v>
      </c>
      <c r="CD524" s="530">
        <f t="shared" si="826"/>
        <v>8</v>
      </c>
      <c r="CE524" s="1295">
        <f t="shared" si="827"/>
        <v>2</v>
      </c>
      <c r="CF524" s="1301">
        <f t="shared" si="828"/>
        <v>1</v>
      </c>
      <c r="CG524" s="530" t="str">
        <f t="shared" si="829"/>
        <v>Log-logistic</v>
      </c>
      <c r="CH524" s="505">
        <f t="shared" si="830"/>
        <v>0</v>
      </c>
      <c r="CI524" s="505">
        <f t="shared" si="831"/>
        <v>0</v>
      </c>
      <c r="CJ524" s="505">
        <f t="shared" si="832"/>
        <v>0</v>
      </c>
      <c r="DK524" s="58" t="str" cm="1">
        <f t="array" ref="DK524">IF(AND($BT524=4,$BX524=4,$BU524=999),$DB$36,_xlfn.IFNA(INDEX(DB$13:DB$70,MATCH(1,($BR524=$CV$13:$CV$70)*($BT524=$CX$13:$CX$70)*($CE524=$CY$13:$CY$70)*($BY524=$DA$13:$DA$70)*($CD524=$DH$13:$DH$70),0)),""))</f>
        <v>Log-logistic</v>
      </c>
      <c r="DL524" s="58" t="str" cm="1">
        <f t="array" ref="DL524">IF(AND($BT524=4,$BX524=4,$BU524=999),$DC$36,_xlfn.IFNA(INDEX(CHOOSE(DP524,DB$13:DB$70,DC$13:DC$70,DD$13:DD$70,DE$13:DE$70),MATCH(1,($BR524=$CV$13:$CV$70)*($BT524=$CX$13:$CX$70)*($CE524=$CY$13:$CY$70)*($BY524=$DA$13:$DA$70)*($CD524=$DH$13:$DH$70),0)),""))</f>
        <v>Log-logistic</v>
      </c>
      <c r="DM524" s="740" t="str" cm="1">
        <f t="array" ref="DM524">IF(AND($BT524=4,$BX524=4,$BU524=999),$DD$36,_xlfn.IFNA(INDEX(DD$13:DD$68,MATCH(1,($BR524=$CV$13:$CV$68)*($BT524=$CX$13:$CX$68)*($CE524=$CY$13:$CY$68)*($BY524=$DA$13:$DA$68)*($CD524=$DH$13:$DH$68),0)),""))</f>
        <v>Weibull</v>
      </c>
      <c r="DN524" s="740" cm="1">
        <f t="array" ref="DN524">IF(AND($BT524=4,$BX524=4,$BU524=999),$DD$36,_xlfn.IFNA(INDEX(DE$13:DE$68,MATCH(1,($BR524=$CV$13:$CV$68)*($BT524=$CX$13:$CX$68)*($CE524=$CY$13:$CY$68)*($BY524=$DA$13:$DA$68)*($CD524=$DH$13:$DH$68),0)),""))</f>
        <v>0</v>
      </c>
      <c r="DO524" s="58" t="str" cm="1">
        <f t="array" ref="DO524">IF(AND($BT524=4,$BX524=4,$BU524=999),$DF$36,_xlfn.IFNA(INDEX(DF$13:DF$70,MATCH(1,($BR524=$CV$13:$CV$70)*($BT524=$CX$13:$CX$70)*($CE524=$CY$13:$CY$70)*($BY524=$DA$13:$DA$70)*($CD524=$DH$13:$DH$70),0)),""))</f>
        <v>Base case</v>
      </c>
      <c r="DP524" s="58">
        <f t="shared" si="775"/>
        <v>1</v>
      </c>
      <c r="DW524" s="58" t="s">
        <v>58</v>
      </c>
      <c r="DX524" s="58" t="s">
        <v>552</v>
      </c>
      <c r="DY524" s="58">
        <v>0</v>
      </c>
      <c r="DZ524" s="58">
        <v>0</v>
      </c>
      <c r="EB524" s="58">
        <v>0</v>
      </c>
      <c r="EC524" s="58">
        <v>3</v>
      </c>
      <c r="ED524" s="58">
        <v>8</v>
      </c>
      <c r="EE524" s="58">
        <v>2</v>
      </c>
      <c r="EF524" s="58">
        <v>1</v>
      </c>
      <c r="EI524" s="58" t="s">
        <v>58</v>
      </c>
      <c r="EJ524" s="58" t="s">
        <v>552</v>
      </c>
      <c r="EK524" s="58">
        <v>0</v>
      </c>
      <c r="EL524" s="58">
        <v>0</v>
      </c>
      <c r="EN524" s="58">
        <v>0</v>
      </c>
      <c r="EO524" s="58">
        <v>2</v>
      </c>
      <c r="EP524" s="58">
        <v>10</v>
      </c>
      <c r="EQ524" s="58">
        <v>1</v>
      </c>
      <c r="ER524" s="58">
        <v>1</v>
      </c>
      <c r="EU524" s="58" t="str">
        <f t="shared" si="833"/>
        <v>No</v>
      </c>
      <c r="EV524" s="58" t="str">
        <f t="shared" si="834"/>
        <v>Progression free survival</v>
      </c>
      <c r="EW524" s="58">
        <f t="shared" si="835"/>
        <v>0</v>
      </c>
      <c r="EX524" s="58">
        <f t="shared" si="836"/>
        <v>0</v>
      </c>
      <c r="EZ524" s="58">
        <f t="shared" si="837"/>
        <v>0</v>
      </c>
      <c r="FA524" s="58">
        <f t="shared" si="838"/>
        <v>3</v>
      </c>
      <c r="FB524" s="58">
        <f>IF(i_eff_inputs_based_on_num=2,ED524,(INDEX(Lists!$L$51:$L$85,MATCH(AR286,Lists!$K$51:$K$85,0))))</f>
        <v>8</v>
      </c>
      <c r="FC524" s="58">
        <f>IF(i_eff_inputs_based_on_num=2,EE524,(INDEX(Lists!$L$51:$L$85,MATCH(AS286,Lists!$K$51:$K$85,0))))</f>
        <v>2</v>
      </c>
      <c r="FD524" s="58">
        <f>IF(i_eff_inputs_based_on_num=2,EF524,(INDEX(Lists!$L$51:$L$85,MATCH(AT286,Lists!$K$51:$K$85,0))))</f>
        <v>1</v>
      </c>
      <c r="FG524" s="58" t="str">
        <f t="shared" si="839"/>
        <v>No</v>
      </c>
      <c r="FH524" s="58" t="str">
        <f t="shared" si="840"/>
        <v>Progression free survival</v>
      </c>
      <c r="FI524" s="58">
        <f t="shared" si="841"/>
        <v>0</v>
      </c>
      <c r="FJ524" s="58">
        <f t="shared" si="842"/>
        <v>0</v>
      </c>
      <c r="FL524" s="58">
        <f t="shared" si="843"/>
        <v>0</v>
      </c>
      <c r="FM524" s="58">
        <f t="shared" si="844"/>
        <v>2</v>
      </c>
      <c r="FN524" s="58">
        <f>IF(i_eff_inputs_based_on_num=2,EP524,(INDEX(Lists!$L$51:$L$85,MATCH(AR286,Lists!$K$51:$K$85,0))))</f>
        <v>10</v>
      </c>
      <c r="FO524" s="58">
        <f>IF(i_eff_inputs_based_on_num=2,EQ524,(INDEX(Lists!$L$51:$L$85,MATCH(AS286,Lists!$K$51:$K$85,0))))</f>
        <v>1</v>
      </c>
      <c r="FP524" s="58">
        <f>IF(i_eff_inputs_based_on_num=2,ER524,(INDEX(Lists!$L$51:$L$85,MATCH(AT286,Lists!$K$51:$K$85,0))))</f>
        <v>1</v>
      </c>
      <c r="FT524" s="58">
        <f t="shared" si="776"/>
        <v>0</v>
      </c>
      <c r="FW524" s="58">
        <f>IF(i_baseline_risk_from=2,'Effectiveness settings'!EW524,'Effectiveness settings'!FI524)</f>
        <v>0</v>
      </c>
      <c r="FX524" s="58">
        <f t="shared" si="777"/>
        <v>0</v>
      </c>
      <c r="FY524" s="58">
        <f t="shared" si="778"/>
        <v>0</v>
      </c>
      <c r="FZ524" s="58">
        <f t="shared" si="779"/>
        <v>0</v>
      </c>
      <c r="GA524" s="58">
        <f t="shared" si="780"/>
        <v>0</v>
      </c>
      <c r="GB524" s="58">
        <f t="shared" si="781"/>
        <v>0</v>
      </c>
      <c r="GC524" s="58">
        <f t="shared" si="782"/>
        <v>0</v>
      </c>
      <c r="GD524" s="58">
        <f t="shared" si="783"/>
        <v>0</v>
      </c>
      <c r="GE524" s="58">
        <f>IF(AND(dd_CheckMate214_TTD="Yes",'Effectiveness settings'!BU524=2,'Effectiveness settings'!BX524=2),"Apply HR to",GD524)</f>
        <v>0</v>
      </c>
      <c r="GF524" s="58">
        <f t="shared" si="784"/>
        <v>0</v>
      </c>
      <c r="GG524" s="58">
        <f t="shared" si="785"/>
        <v>0</v>
      </c>
      <c r="GH524" s="58">
        <f t="shared" si="786"/>
        <v>0</v>
      </c>
      <c r="GI524" s="58">
        <f t="shared" si="851"/>
        <v>0</v>
      </c>
      <c r="GK524" s="58">
        <f>IF(i_baseline_risk_from=2,'Effectiveness settings'!FA524,'Effectiveness settings'!FM524)</f>
        <v>3</v>
      </c>
      <c r="GL524" s="58">
        <f>IF(i_baseline_risk_from=2,'Effectiveness settings'!FB524,'Effectiveness settings'!FN524)</f>
        <v>8</v>
      </c>
      <c r="GM524" s="58">
        <f>IF(i_baseline_risk_from=2,'Effectiveness settings'!FC524,'Effectiveness settings'!FO524)</f>
        <v>2</v>
      </c>
      <c r="GN524" s="58">
        <f>IF(i_baseline_risk_from=2,'Effectiveness settings'!FD524,'Effectiveness settings'!FP524)</f>
        <v>1</v>
      </c>
      <c r="GQ524" s="58">
        <f t="shared" si="787"/>
        <v>8</v>
      </c>
      <c r="GR524" s="58">
        <f t="shared" si="788"/>
        <v>8</v>
      </c>
      <c r="GS524" s="58">
        <f t="shared" si="789"/>
        <v>8</v>
      </c>
      <c r="GT524" s="58">
        <f t="shared" si="790"/>
        <v>8</v>
      </c>
      <c r="GU524" s="58">
        <f>IF(AND(dd_CheckMate214_TTD="Yes",'Effectiveness settings'!BU524=2,'Effectiveness settings'!BX524=2),2,GT524)</f>
        <v>8</v>
      </c>
      <c r="GV524" s="58">
        <f t="shared" si="791"/>
        <v>8</v>
      </c>
      <c r="GW524" s="58">
        <f t="shared" si="792"/>
        <v>8</v>
      </c>
      <c r="GY524" s="58">
        <f>IF(AND(dd_CheckMate214_TTD="Yes",'Effectiveness settings'!BU524=2,'Effectiveness settings'!BX524=2),1,GN524)</f>
        <v>1</v>
      </c>
      <c r="GZ524" s="58">
        <f t="shared" si="793"/>
        <v>1</v>
      </c>
      <c r="HB524" s="58">
        <f t="shared" si="794"/>
        <v>0</v>
      </c>
      <c r="HD524" s="58">
        <f t="shared" si="846"/>
        <v>0</v>
      </c>
      <c r="HE524" s="58">
        <f t="shared" si="847"/>
        <v>3</v>
      </c>
      <c r="HF524" s="58">
        <f t="shared" si="848"/>
        <v>8</v>
      </c>
      <c r="HG524" s="58">
        <f t="shared" si="849"/>
        <v>2</v>
      </c>
      <c r="HH524" s="58">
        <f t="shared" si="850"/>
        <v>1</v>
      </c>
    </row>
    <row r="525" spans="69:216" ht="15.75" x14ac:dyDescent="0.25">
      <c r="BQ525" s="58">
        <f t="shared" ref="BQ525:BQ588" si="853">BQ524+IF(ISBLANK(BR525),0,1)</f>
        <v>308</v>
      </c>
      <c r="BR525" s="61">
        <v>0</v>
      </c>
      <c r="BS525" s="61" t="s">
        <v>31</v>
      </c>
      <c r="BT525" s="17">
        <v>3</v>
      </c>
      <c r="BU525" s="17">
        <v>999</v>
      </c>
      <c r="BV525" s="17" t="str">
        <f t="shared" si="821"/>
        <v>placebo_BSC</v>
      </c>
      <c r="BW525" s="1006" t="str" cm="1">
        <f t="array" ref="BW525">IF(AL287="No",AL287,INDEX(List_incl_anal_3L_all,IF(BU525=999,35,BU525+1)))</f>
        <v>No</v>
      </c>
      <c r="BX525" s="61">
        <f t="shared" si="822"/>
        <v>1</v>
      </c>
      <c r="BY525" s="531" t="str">
        <f t="shared" si="852"/>
        <v>Progression free survival</v>
      </c>
      <c r="BZ525" s="530">
        <f t="shared" si="823"/>
        <v>0</v>
      </c>
      <c r="CA525" s="531">
        <f t="shared" si="845"/>
        <v>0</v>
      </c>
      <c r="CB525" s="530">
        <f t="shared" si="824"/>
        <v>0</v>
      </c>
      <c r="CC525" s="530">
        <f t="shared" si="825"/>
        <v>4</v>
      </c>
      <c r="CD525" s="530">
        <f t="shared" si="826"/>
        <v>999</v>
      </c>
      <c r="CE525" s="1295">
        <f t="shared" si="827"/>
        <v>2</v>
      </c>
      <c r="CF525" s="1301">
        <f t="shared" si="828"/>
        <v>4</v>
      </c>
      <c r="CG525" s="530" t="str">
        <f t="shared" si="829"/>
        <v/>
      </c>
      <c r="CH525" s="505">
        <f t="shared" si="830"/>
        <v>0</v>
      </c>
      <c r="CI525" s="505">
        <f t="shared" si="831"/>
        <v>0</v>
      </c>
      <c r="CJ525" s="505">
        <f t="shared" si="832"/>
        <v>0</v>
      </c>
      <c r="DK525" s="58" t="str" cm="1">
        <f t="array" ref="DK525">IF(AND($BT525=4,$BX525=4,$BU525=999),$DB$36,_xlfn.IFNA(INDEX(DB$13:DB$70,MATCH(1,($BR525=$CV$13:$CV$70)*($BT525=$CX$13:$CX$70)*($CE525=$CY$13:$CY$70)*($BY525=$DA$13:$DA$70)*($CD525=$DH$13:$DH$70),0)),""))</f>
        <v/>
      </c>
      <c r="DL525" s="58" t="str" cm="1">
        <f t="array" ref="DL525">IF(AND($BT525=4,$BX525=4,$BU525=999),$DC$36,_xlfn.IFNA(INDEX(CHOOSE(DP525,DB$13:DB$70,DC$13:DC$70,DD$13:DD$70,DE$13:DE$70),MATCH(1,($BR525=$CV$13:$CV$70)*($BT525=$CX$13:$CX$70)*($CE525=$CY$13:$CY$70)*($BY525=$DA$13:$DA$70)*($CD525=$DH$13:$DH$70),0)),""))</f>
        <v/>
      </c>
      <c r="DM525" s="740" t="str" cm="1">
        <f t="array" ref="DM525">IF(AND($BT525=4,$BX525=4,$BU525=999),$DD$36,_xlfn.IFNA(INDEX(DD$13:DD$68,MATCH(1,($BR525=$CV$13:$CV$68)*($BT525=$CX$13:$CX$68)*($CE525=$CY$13:$CY$68)*($BY525=$DA$13:$DA$68)*($CD525=$DH$13:$DH$68),0)),""))</f>
        <v/>
      </c>
      <c r="DN525" s="740" t="str" cm="1">
        <f t="array" ref="DN525">IF(AND($BT525=4,$BX525=4,$BU525=999),$DD$36,_xlfn.IFNA(INDEX(DE$13:DE$68,MATCH(1,($BR525=$CV$13:$CV$68)*($BT525=$CX$13:$CX$68)*($CE525=$CY$13:$CY$68)*($BY525=$DA$13:$DA$68)*($CD525=$DH$13:$DH$68),0)),""))</f>
        <v/>
      </c>
      <c r="DO525" s="58" t="str" cm="1">
        <f t="array" ref="DO525">IF(AND($BT525=4,$BX525=4,$BU525=999),$DF$36,_xlfn.IFNA(INDEX(DF$13:DF$70,MATCH(1,($BR525=$CV$13:$CV$70)*($BT525=$CX$13:$CX$70)*($CE525=$CY$13:$CY$70)*($BY525=$DA$13:$DA$70)*($CD525=$DH$13:$DH$70),0)),""))</f>
        <v/>
      </c>
      <c r="DP525" s="58" t="e">
        <f t="shared" ref="DP525:DP588" si="854">MATCH(DO525,List_surv_cur_ext,0)</f>
        <v>#N/A</v>
      </c>
      <c r="DW525" s="58" t="s">
        <v>58</v>
      </c>
      <c r="DX525" s="58" t="s">
        <v>552</v>
      </c>
      <c r="DY525" s="58">
        <v>0</v>
      </c>
      <c r="DZ525" s="58">
        <v>0</v>
      </c>
      <c r="EB525" s="58">
        <v>0</v>
      </c>
      <c r="EC525" s="58">
        <v>4</v>
      </c>
      <c r="ED525" s="58">
        <v>999</v>
      </c>
      <c r="EE525" s="58">
        <v>2</v>
      </c>
      <c r="EF525" s="58">
        <v>4</v>
      </c>
      <c r="EI525" s="58" t="s">
        <v>58</v>
      </c>
      <c r="EJ525" s="58" t="s">
        <v>552</v>
      </c>
      <c r="EK525" s="58">
        <v>0</v>
      </c>
      <c r="EL525" s="58">
        <v>0</v>
      </c>
      <c r="EN525" s="58">
        <v>0</v>
      </c>
      <c r="EO525" s="58">
        <v>4</v>
      </c>
      <c r="EP525" s="58">
        <v>999</v>
      </c>
      <c r="EQ525" s="58">
        <v>2</v>
      </c>
      <c r="ER525" s="58">
        <v>4</v>
      </c>
      <c r="EU525" s="58" t="str">
        <f t="shared" si="833"/>
        <v>No</v>
      </c>
      <c r="EV525" s="58" t="str">
        <f t="shared" si="834"/>
        <v>Progression free survival</v>
      </c>
      <c r="EW525" s="58">
        <f t="shared" si="835"/>
        <v>0</v>
      </c>
      <c r="EX525" s="58">
        <f t="shared" si="836"/>
        <v>0</v>
      </c>
      <c r="EZ525" s="58">
        <f t="shared" si="837"/>
        <v>0</v>
      </c>
      <c r="FA525" s="58">
        <f t="shared" si="838"/>
        <v>4</v>
      </c>
      <c r="FB525" s="58">
        <f>IF(i_eff_inputs_based_on_num=2,ED525,(INDEX(Lists!$L$51:$L$85,MATCH(AR287,Lists!$K$51:$K$85,0))))</f>
        <v>999</v>
      </c>
      <c r="FC525" s="58">
        <f>IF(i_eff_inputs_based_on_num=2,EE525,(INDEX(Lists!$L$51:$L$85,MATCH(AS287,Lists!$K$51:$K$85,0))))</f>
        <v>2</v>
      </c>
      <c r="FD525" s="58">
        <f>IF(i_eff_inputs_based_on_num=2,EF525,(INDEX(Lists!$L$51:$L$85,MATCH(AT287,Lists!$K$51:$K$85,0))))</f>
        <v>4</v>
      </c>
      <c r="FG525" s="58" t="str">
        <f t="shared" si="839"/>
        <v>No</v>
      </c>
      <c r="FH525" s="58" t="str">
        <f t="shared" si="840"/>
        <v>Progression free survival</v>
      </c>
      <c r="FI525" s="58">
        <f t="shared" si="841"/>
        <v>0</v>
      </c>
      <c r="FJ525" s="58">
        <f t="shared" si="842"/>
        <v>0</v>
      </c>
      <c r="FL525" s="58">
        <f t="shared" si="843"/>
        <v>0</v>
      </c>
      <c r="FM525" s="58">
        <f t="shared" si="844"/>
        <v>4</v>
      </c>
      <c r="FN525" s="58">
        <f>IF(i_eff_inputs_based_on_num=2,EP525,(INDEX(Lists!$L$51:$L$85,MATCH(AR287,Lists!$K$51:$K$85,0))))</f>
        <v>999</v>
      </c>
      <c r="FO525" s="58">
        <f>IF(i_eff_inputs_based_on_num=2,EQ525,(INDEX(Lists!$L$51:$L$85,MATCH(AS287,Lists!$K$51:$K$85,0))))</f>
        <v>2</v>
      </c>
      <c r="FP525" s="58">
        <f>IF(i_eff_inputs_based_on_num=2,ER525,(INDEX(Lists!$L$51:$L$85,MATCH(AT287,Lists!$K$51:$K$85,0))))</f>
        <v>4</v>
      </c>
      <c r="FT525" s="58">
        <f t="shared" ref="FT525:FT588" si="855">IF(AND(BZ525="Trial survival analysis",CE525=0),INDEX(List_trials,1),IF(AND(BZ525="Trial survival analysis",CE525=1),INDEX(List_trials,2),IF(AND(BZ525="Trial survival analysis",OR(CE525=2,CC525=4)),INDEX(List_trials,3),0)))</f>
        <v>0</v>
      </c>
      <c r="FW525" s="58">
        <f>IF(i_baseline_risk_from=2,'Effectiveness settings'!EW525,'Effectiveness settings'!FI525)</f>
        <v>0</v>
      </c>
      <c r="FX525" s="58">
        <f t="shared" ref="FX525:FX588" si="856">IF(AND(BT525&gt;1,FW525="FP_NMA",dd_2ndline_NMA="PH_NMA"),"PH_NMA",FW525)</f>
        <v>0</v>
      </c>
      <c r="FY525" s="58">
        <f t="shared" ref="FY525:FY588" si="857">IF(AND(BU525=1,OR(FX525="PH_NMA",FX525="FP_NMA",FX525="Trial survival analysis")),IF(dd_cabo_nivo_outcome_from="FP_NMA",FX525,dd_cabo_nivo_outcome_from),FX525)</f>
        <v>0</v>
      </c>
      <c r="FZ525" s="58">
        <f t="shared" ref="FZ525:FZ588" si="858">IF(AND(dd_eq_eff_pazo_suni="Yes",BX525&lt;4,$BU525=5,BT525&lt;4,FY525&lt;&gt;"Apply HR to"),"Assume equal to",FY525)</f>
        <v>0</v>
      </c>
      <c r="GA525" s="58">
        <f t="shared" ref="GA525:GA588" si="859">IF(AND(dd_eq_eff_tivo_suni="Yes",BX525&lt;4,$BU525=6,BT525=1,FZ525&lt;&gt;"Apply HR to"),"Assume equal to",FZ525)</f>
        <v>0</v>
      </c>
      <c r="GB525" s="58">
        <f t="shared" ref="GB525:GB588" si="860">IF(AND(dd_eq_eff_evero_axi="Yes",BX525&lt;4,$BU525=11,BT525&lt;4,GA525&lt;&gt;"Apply HR to"),"Assume equal to",GA525)</f>
        <v>0</v>
      </c>
      <c r="GC525" s="58">
        <f t="shared" ref="GC525:GC588" si="861">IF(AND(BX525=4,BR525=1),GB525,(IF(AND(OR(GB525="PH_NMA",GB525="FP_NMA"),BU525=3,BR525&lt;&gt;2),dd_pemlen_NMA,GB525)))</f>
        <v>0</v>
      </c>
      <c r="GD525" s="58">
        <f t="shared" ref="GD525:GD588" si="862">IF(AND(BU525=3,dd_pemlen_equal = "Yes"),"Assume equal to",GC525)</f>
        <v>0</v>
      </c>
      <c r="GE525" s="58">
        <f>IF(AND(dd_CheckMate214_TTD="Yes",'Effectiveness settings'!BU525=2,'Effectiveness settings'!BX525=2),"Apply HR to",GD525)</f>
        <v>0</v>
      </c>
      <c r="GF525" s="58">
        <f t="shared" ref="GF525:GF588" si="863">IF(AND(dd_TTD_same_as_PFS="Yes",BX525=2),"Assume equal to", GE525)</f>
        <v>0</v>
      </c>
      <c r="GG525" s="58">
        <f t="shared" ref="GG525:GG588" si="864">IF(AND(dd_nivoipiPFS="TTNT",BR525=1,BT525=1,BU525=2,BX525=1,dd_use_PHnma_for_FPnma="Yes"),"Apply HR to",GF525)</f>
        <v>0</v>
      </c>
      <c r="GH525" s="58">
        <f t="shared" ref="GH525:GH588" si="865">IF(AND(dd_eq_eff_cabo_suni="Yes",$BX525&lt;4,$BU525=8,$BT525=1,$BR525=1,$GG525&lt;&gt;"Apply HR to"),"Assume equal to",GG525)</f>
        <v>0</v>
      </c>
      <c r="GI525" s="58">
        <f t="shared" si="851"/>
        <v>0</v>
      </c>
      <c r="GK525" s="58">
        <f>IF(i_baseline_risk_from=2,'Effectiveness settings'!FA525,'Effectiveness settings'!FM525)</f>
        <v>4</v>
      </c>
      <c r="GL525" s="58">
        <f>IF(i_baseline_risk_from=2,'Effectiveness settings'!FB525,'Effectiveness settings'!FN525)</f>
        <v>999</v>
      </c>
      <c r="GM525" s="58">
        <f>IF(i_baseline_risk_from=2,'Effectiveness settings'!FC525,'Effectiveness settings'!FO525)</f>
        <v>2</v>
      </c>
      <c r="GN525" s="58">
        <f>IF(i_baseline_risk_from=2,'Effectiveness settings'!FD525,'Effectiveness settings'!FP525)</f>
        <v>4</v>
      </c>
      <c r="GQ525" s="58">
        <f t="shared" ref="GQ525:GQ588" si="866">IF(AND(dd_eq_eff_pazo_suni="Yes",BX525&lt;4,$BU525=5,BT525&lt;4,FY525&lt;&gt;"Apply HR to"),7,GL525)</f>
        <v>999</v>
      </c>
      <c r="GR525" s="58">
        <f t="shared" ref="GR525:GR588" si="867">IF(AND(dd_eq_eff_tivo_suni="Yes",BX525&lt;4,$BU525=6,BT525=1,FY525&lt;&gt;"Apply HR to"),7,IF(AND(BX525&lt;4,$BU525=7,BT525&gt;1,FY525&lt;&gt;"Apply HR to"),6,GQ525))</f>
        <v>999</v>
      </c>
      <c r="GS525" s="58">
        <f t="shared" ref="GS525:GS588" si="868">IF(AND(dd_eq_eff_evero_axi="Yes",BX525&lt;4,$BU525=11,BT525&lt;4,FY525&lt;&gt;"Apply HR to"),10,GR525)</f>
        <v>999</v>
      </c>
      <c r="GT525" s="58">
        <f t="shared" ref="GT525:GT588" si="869">IF(AND(BU525=3,dd_pemlen_equal = "Yes"),1,GS525)</f>
        <v>999</v>
      </c>
      <c r="GU525" s="58">
        <f>IF(AND(dd_CheckMate214_TTD="Yes",'Effectiveness settings'!BU525=2,'Effectiveness settings'!BX525=2),2,GT525)</f>
        <v>999</v>
      </c>
      <c r="GV525" s="58">
        <f t="shared" ref="GV525:GV588" si="870">IF(AND(BY525="Time to treatment discontinuation",dd_TTD_same_as_PFS="Yes"),BU525,GU525)</f>
        <v>999</v>
      </c>
      <c r="GW525" s="58">
        <f t="shared" ref="GW525:GW588" si="871">IF(AND(dd_eq_eff_cabo_suni="Yes",$BX525&lt;4,$BU525=8,$BT525=1,$BR525=1,$GG525&lt;&gt;"Apply HR to"),7,GV525)</f>
        <v>999</v>
      </c>
      <c r="GY525" s="58">
        <f>IF(AND(dd_CheckMate214_TTD="Yes",'Effectiveness settings'!BU525=2,'Effectiveness settings'!BX525=2),1,GN525)</f>
        <v>4</v>
      </c>
      <c r="GZ525" s="58">
        <f t="shared" ref="GZ525:GZ588" si="872">IF(AND(dd_TTD_same_as_PFS="Yes",BX525=2),1, GY525)</f>
        <v>4</v>
      </c>
      <c r="HB525" s="58">
        <f t="shared" ref="HB525:HB588" si="873">IF(i_baseline_risk_from=2,EZ525,FL525)</f>
        <v>0</v>
      </c>
      <c r="HD525" s="58">
        <f t="shared" si="846"/>
        <v>0</v>
      </c>
      <c r="HE525" s="58">
        <f t="shared" si="847"/>
        <v>4</v>
      </c>
      <c r="HF525" s="58">
        <f t="shared" si="848"/>
        <v>999</v>
      </c>
      <c r="HG525" s="58">
        <f t="shared" si="849"/>
        <v>2</v>
      </c>
      <c r="HH525" s="58">
        <f t="shared" si="850"/>
        <v>4</v>
      </c>
    </row>
    <row r="526" spans="69:216" ht="15.75" x14ac:dyDescent="0.25">
      <c r="BQ526" s="58">
        <f t="shared" si="853"/>
        <v>308</v>
      </c>
      <c r="BR526" s="61"/>
      <c r="BS526" s="61"/>
      <c r="BT526" s="17"/>
      <c r="BU526" s="61"/>
      <c r="BV526" s="17"/>
      <c r="BW526" s="17"/>
      <c r="BX526" s="61"/>
      <c r="BY526" s="531"/>
      <c r="BZ526" s="529"/>
      <c r="CA526" s="532"/>
      <c r="CB526" s="529"/>
      <c r="CC526" s="529"/>
      <c r="CD526" s="529"/>
      <c r="CE526" s="515"/>
      <c r="CF526" s="1303"/>
      <c r="CG526" s="529"/>
      <c r="CH526" s="505"/>
      <c r="CI526" s="505"/>
      <c r="CJ526" s="505"/>
      <c r="DK526" s="58" t="str" cm="1">
        <f t="array" ref="DK526">IF(AND($BT526=4,$BX526=4,$BU526=999),$DB$36,_xlfn.IFNA(INDEX(DB$13:DB$70,MATCH(1,($BR526=$CV$13:$CV$70)*($BT526=$CX$13:$CX$70)*($CE526=$CY$13:$CY$70)*($BY526=$DA$13:$DA$70)*($CD526=$DH$13:$DH$70),0)),""))</f>
        <v/>
      </c>
      <c r="DL526" s="58" t="str" cm="1">
        <f t="array" ref="DL526">IF(AND($BT526=4,$BX526=4,$BU526=999),$DC$36,_xlfn.IFNA(INDEX(CHOOSE(DP526,DB$13:DB$70,DC$13:DC$70,DD$13:DD$70,DE$13:DE$70),MATCH(1,($BR526=$CV$13:$CV$70)*($BT526=$CX$13:$CX$70)*($CE526=$CY$13:$CY$70)*($BY526=$DA$13:$DA$70)*($CD526=$DH$13:$DH$70),0)),""))</f>
        <v/>
      </c>
      <c r="DM526" s="740" t="str" cm="1">
        <f t="array" ref="DM526">IF(AND($BT526=4,$BX526=4,$BU526=999),$DD$36,_xlfn.IFNA(INDEX(DD$13:DD$68,MATCH(1,($BR526=$CV$13:$CV$68)*($BT526=$CX$13:$CX$68)*($CE526=$CY$13:$CY$68)*($BY526=$DA$13:$DA$68)*($CD526=$DH$13:$DH$68),0)),""))</f>
        <v/>
      </c>
      <c r="DN526" s="740" t="str" cm="1">
        <f t="array" ref="DN526">IF(AND($BT526=4,$BX526=4,$BU526=999),$DD$36,_xlfn.IFNA(INDEX(DE$13:DE$68,MATCH(1,($BR526=$CV$13:$CV$68)*($BT526=$CX$13:$CX$68)*($CE526=$CY$13:$CY$68)*($BY526=$DA$13:$DA$68)*($CD526=$DH$13:$DH$68),0)),""))</f>
        <v/>
      </c>
      <c r="DO526" s="58" t="str" cm="1">
        <f t="array" ref="DO526">IF(AND($BT526=4,$BX526=4,$BU526=999),$DF$36,_xlfn.IFNA(INDEX(DF$13:DF$70,MATCH(1,($BR526=$CV$13:$CV$70)*($BT526=$CX$13:$CX$70)*($CE526=$CY$13:$CY$70)*($BY526=$DA$13:$DA$70)*($CD526=$DH$13:$DH$70),0)),""))</f>
        <v/>
      </c>
      <c r="DP526" s="58" t="e">
        <f t="shared" si="854"/>
        <v>#N/A</v>
      </c>
      <c r="FT526" s="58">
        <f t="shared" si="855"/>
        <v>0</v>
      </c>
      <c r="FW526" s="58">
        <f>IF(i_baseline_risk_from=2,'Effectiveness settings'!EW526,'Effectiveness settings'!FI526)</f>
        <v>0</v>
      </c>
      <c r="FX526" s="58">
        <f t="shared" si="856"/>
        <v>0</v>
      </c>
      <c r="FY526" s="58">
        <f t="shared" si="857"/>
        <v>0</v>
      </c>
      <c r="FZ526" s="58">
        <f t="shared" si="858"/>
        <v>0</v>
      </c>
      <c r="GA526" s="58">
        <f t="shared" si="859"/>
        <v>0</v>
      </c>
      <c r="GB526" s="58">
        <f t="shared" si="860"/>
        <v>0</v>
      </c>
      <c r="GC526" s="58">
        <f t="shared" si="861"/>
        <v>0</v>
      </c>
      <c r="GD526" s="58">
        <f t="shared" si="862"/>
        <v>0</v>
      </c>
      <c r="GE526" s="58">
        <f>IF(AND(dd_CheckMate214_TTD="Yes",'Effectiveness settings'!BU526=2,'Effectiveness settings'!BX526=2),"Apply HR to",GD526)</f>
        <v>0</v>
      </c>
      <c r="GF526" s="58">
        <f t="shared" si="863"/>
        <v>0</v>
      </c>
      <c r="GG526" s="58">
        <f t="shared" si="864"/>
        <v>0</v>
      </c>
      <c r="GH526" s="58">
        <f t="shared" si="865"/>
        <v>0</v>
      </c>
      <c r="GI526" s="58">
        <f t="shared" si="851"/>
        <v>0</v>
      </c>
      <c r="GK526" s="58">
        <f>IF(i_baseline_risk_from=2,'Effectiveness settings'!FA526,'Effectiveness settings'!FM526)</f>
        <v>0</v>
      </c>
      <c r="GL526" s="58">
        <f>IF(i_baseline_risk_from=2,'Effectiveness settings'!FB526,'Effectiveness settings'!FN526)</f>
        <v>0</v>
      </c>
      <c r="GM526" s="58">
        <f>IF(i_baseline_risk_from=2,'Effectiveness settings'!FC526,'Effectiveness settings'!FO526)</f>
        <v>0</v>
      </c>
      <c r="GN526" s="58">
        <f>IF(i_baseline_risk_from=2,'Effectiveness settings'!FD526,'Effectiveness settings'!FP526)</f>
        <v>0</v>
      </c>
      <c r="GQ526" s="58">
        <f t="shared" si="866"/>
        <v>0</v>
      </c>
      <c r="GR526" s="58">
        <f t="shared" si="867"/>
        <v>0</v>
      </c>
      <c r="GS526" s="58">
        <f t="shared" si="868"/>
        <v>0</v>
      </c>
      <c r="GT526" s="58">
        <f t="shared" si="869"/>
        <v>0</v>
      </c>
      <c r="GU526" s="58">
        <f>IF(AND(dd_CheckMate214_TTD="Yes",'Effectiveness settings'!BU526=2,'Effectiveness settings'!BX526=2),2,GT526)</f>
        <v>0</v>
      </c>
      <c r="GV526" s="58">
        <f t="shared" si="870"/>
        <v>0</v>
      </c>
      <c r="GW526" s="58">
        <f t="shared" si="871"/>
        <v>0</v>
      </c>
      <c r="GY526" s="58">
        <f>IF(AND(dd_CheckMate214_TTD="Yes",'Effectiveness settings'!BU526=2,'Effectiveness settings'!BX526=2),1,GN526)</f>
        <v>0</v>
      </c>
      <c r="GZ526" s="58">
        <f t="shared" si="872"/>
        <v>0</v>
      </c>
      <c r="HB526" s="58">
        <f t="shared" si="873"/>
        <v>0</v>
      </c>
      <c r="HD526" s="58">
        <f t="shared" si="846"/>
        <v>0</v>
      </c>
      <c r="HE526" s="58">
        <f t="shared" si="847"/>
        <v>0</v>
      </c>
      <c r="HF526" s="58">
        <f t="shared" si="848"/>
        <v>0</v>
      </c>
      <c r="HG526" s="58">
        <f t="shared" si="849"/>
        <v>0</v>
      </c>
      <c r="HH526" s="58">
        <f t="shared" si="850"/>
        <v>0</v>
      </c>
    </row>
    <row r="527" spans="69:216" ht="15.75" x14ac:dyDescent="0.25">
      <c r="BQ527" s="58">
        <f t="shared" si="853"/>
        <v>309</v>
      </c>
      <c r="BR527" s="61">
        <v>0</v>
      </c>
      <c r="BS527" s="61" t="s">
        <v>31</v>
      </c>
      <c r="BT527" s="17">
        <v>3</v>
      </c>
      <c r="BU527" s="17">
        <v>0</v>
      </c>
      <c r="BV527" s="17" t="str">
        <f t="shared" ref="BV527:BV540" si="874">D289</f>
        <v>nivolumab_monotherapy</v>
      </c>
      <c r="BW527" s="1006" t="str" cm="1">
        <f t="array" ref="BW527">IF(AL289="No",AL289,INDEX(List_incl_anal_3L_all,IF(BU527=999,35,BU527+1)))</f>
        <v>Yes</v>
      </c>
      <c r="BX527" s="61">
        <f t="shared" ref="BX527:BX540" si="875">MATCH(BY527,List_eff_endpoints,0)-1</f>
        <v>2</v>
      </c>
      <c r="BY527" s="531" t="str">
        <f>AM289</f>
        <v>Time to treatment discontinuation</v>
      </c>
      <c r="BZ527" s="530" t="str">
        <f t="shared" ref="BZ527:BZ540" si="876">GI527</f>
        <v>Apply HR to</v>
      </c>
      <c r="CA527" s="531">
        <f>FT527</f>
        <v>0</v>
      </c>
      <c r="CB527" s="530">
        <f t="shared" ref="CB527:CB540" si="877">HD527</f>
        <v>0</v>
      </c>
      <c r="CC527" s="530">
        <f t="shared" ref="CC527:CC540" si="878">HE527</f>
        <v>3</v>
      </c>
      <c r="CD527" s="530">
        <f t="shared" ref="CD527:CD540" si="879">HF527</f>
        <v>0</v>
      </c>
      <c r="CE527" s="1295">
        <f t="shared" ref="CE527:CE540" si="880">HG527</f>
        <v>2</v>
      </c>
      <c r="CF527" s="1301">
        <f t="shared" ref="CF527:CF540" si="881">HH527</f>
        <v>1</v>
      </c>
      <c r="CG527" s="530" t="str">
        <f t="shared" ref="CG527:CG540" si="882">CHOOSE(i_surv_cur,DK527,DL527,DM527)</f>
        <v/>
      </c>
      <c r="CH527" s="669">
        <f t="shared" ref="CH527:CH540" si="883">AV289</f>
        <v>1.19</v>
      </c>
      <c r="CI527" s="505">
        <f t="shared" ref="CI527:CI540" si="884">AW289</f>
        <v>1.1499999999999999</v>
      </c>
      <c r="CJ527" s="505">
        <f t="shared" ref="CJ527:CJ540" si="885">AX289</f>
        <v>1.24</v>
      </c>
      <c r="DK527" s="58" t="str" cm="1">
        <f t="array" ref="DK527">IF(AND($BT527=4,$BX527=4,$BU527=999),$DB$36,_xlfn.IFNA(INDEX(DB$13:DB$70,MATCH(1,($BR527=$CV$13:$CV$70)*($BT527=$CX$13:$CX$70)*($CE527=$CY$13:$CY$70)*($BY527=$DA$13:$DA$70)*($CD527=$DH$13:$DH$70),0)),""))</f>
        <v/>
      </c>
      <c r="DL527" s="58" t="str" cm="1">
        <f t="array" ref="DL527">IF(AND($BT527=4,$BX527=4,$BU527=999),$DC$36,_xlfn.IFNA(INDEX(CHOOSE(DP527,DB$13:DB$70,DC$13:DC$70,DD$13:DD$70,DE$13:DE$70),MATCH(1,($BR527=$CV$13:$CV$70)*($BT527=$CX$13:$CX$70)*($CE527=$CY$13:$CY$70)*($BY527=$DA$13:$DA$70)*($CD527=$DH$13:$DH$70),0)),""))</f>
        <v/>
      </c>
      <c r="DM527" s="740" t="str" cm="1">
        <f t="array" ref="DM527">IF(AND($BT527=4,$BX527=4,$BU527=999),$DD$36,_xlfn.IFNA(INDEX(DD$13:DD$68,MATCH(1,($BR527=$CV$13:$CV$68)*($BT527=$CX$13:$CX$68)*($CE527=$CY$13:$CY$68)*($BY527=$DA$13:$DA$68)*($CD527=$DH$13:$DH$68),0)),""))</f>
        <v/>
      </c>
      <c r="DN527" s="740" t="str" cm="1">
        <f t="array" ref="DN527">IF(AND($BT527=4,$BX527=4,$BU527=999),$DD$36,_xlfn.IFNA(INDEX(DE$13:DE$68,MATCH(1,($BR527=$CV$13:$CV$68)*($BT527=$CX$13:$CX$68)*($CE527=$CY$13:$CY$68)*($BY527=$DA$13:$DA$68)*($CD527=$DH$13:$DH$68),0)),""))</f>
        <v/>
      </c>
      <c r="DO527" s="58" t="str" cm="1">
        <f t="array" ref="DO527">IF(AND($BT527=4,$BX527=4,$BU527=999),$DF$36,_xlfn.IFNA(INDEX(DF$13:DF$70,MATCH(1,($BR527=$CV$13:$CV$70)*($BT527=$CX$13:$CX$70)*($CE527=$CY$13:$CY$70)*($BY527=$DA$13:$DA$70)*($CD527=$DH$13:$DH$70),0)),""))</f>
        <v/>
      </c>
      <c r="DP527" s="58" t="e">
        <f t="shared" si="854"/>
        <v>#N/A</v>
      </c>
      <c r="DW527" s="58" t="s">
        <v>74</v>
      </c>
      <c r="DX527" s="58" t="s">
        <v>554</v>
      </c>
      <c r="DY527" s="58" t="s">
        <v>578</v>
      </c>
      <c r="DZ527" s="58">
        <v>0</v>
      </c>
      <c r="EB527" s="58">
        <v>0</v>
      </c>
      <c r="EC527" s="58">
        <v>3</v>
      </c>
      <c r="ED527" s="58">
        <v>0</v>
      </c>
      <c r="EE527" s="58">
        <v>2</v>
      </c>
      <c r="EF527" s="58">
        <v>1</v>
      </c>
      <c r="EI527" s="58" t="s">
        <v>74</v>
      </c>
      <c r="EJ527" s="58" t="s">
        <v>554</v>
      </c>
      <c r="EK527" s="58" t="s">
        <v>578</v>
      </c>
      <c r="EL527" s="58">
        <v>0</v>
      </c>
      <c r="EN527" s="58">
        <v>0</v>
      </c>
      <c r="EO527" s="58">
        <v>3</v>
      </c>
      <c r="EP527" s="58">
        <v>0</v>
      </c>
      <c r="EQ527" s="58">
        <v>1</v>
      </c>
      <c r="ER527" s="58">
        <v>1</v>
      </c>
      <c r="EU527" s="58" t="str">
        <f t="shared" ref="EU527:EU540" si="886">IF(i_eff_inputs_based_on_num=2,DW527,AL289)</f>
        <v>Yes</v>
      </c>
      <c r="EV527" s="58" t="str">
        <f t="shared" ref="EV527:EV540" si="887">IF(i_eff_inputs_based_on_num=2,DX527,AM289)</f>
        <v>Time to treatment discontinuation</v>
      </c>
      <c r="EW527" s="58" t="str">
        <f t="shared" ref="EW527:EW540" si="888">IF(i_eff_inputs_based_on_num=2,DY527,AN289)</f>
        <v>Apply HR to</v>
      </c>
      <c r="EX527" s="58">
        <f t="shared" ref="EX527:EX540" si="889">IF(i_eff_inputs_based_on_num=2,DZ527,AO289)</f>
        <v>0</v>
      </c>
      <c r="EZ527" s="58">
        <f t="shared" ref="EZ527:EZ540" si="890">IF(i_eff_inputs_based_on_num=2,EB527,VLOOKUP(AP289,r_pld_lookup_line,3,FALSE))</f>
        <v>0</v>
      </c>
      <c r="FA527" s="58">
        <f t="shared" ref="FA527:FA540" si="891">IF(i_eff_inputs_based_on_num=2,EC527,VLOOKUP(AQ289,r_pld_lookup_line,3,FALSE))</f>
        <v>3</v>
      </c>
      <c r="FB527" s="58">
        <f>IF(i_eff_inputs_based_on_num=2,ED527,(INDEX(Lists!$L$51:$L$85,MATCH(AR289,Lists!$K$51:$K$85,0))))</f>
        <v>0</v>
      </c>
      <c r="FC527" s="58">
        <f>IF(i_eff_inputs_based_on_num=2,EE527,(INDEX(Lists!$L$51:$L$85,MATCH(AS289,Lists!$K$51:$K$85,0))))</f>
        <v>2</v>
      </c>
      <c r="FD527" s="58">
        <f>IF(i_eff_inputs_based_on_num=2,EF527,(INDEX(Lists!$L$51:$L$85,MATCH(AT289,Lists!$K$51:$K$85,0))))</f>
        <v>1</v>
      </c>
      <c r="FG527" s="58" t="str">
        <f t="shared" ref="FG527:FG540" si="892">IF(i_eff_inputs_based_on_num=2,EI527,AL289)</f>
        <v>Yes</v>
      </c>
      <c r="FH527" s="58" t="str">
        <f t="shared" ref="FH527:FH540" si="893">IF(i_eff_inputs_based_on_num=2,EJ527,AM289)</f>
        <v>Time to treatment discontinuation</v>
      </c>
      <c r="FI527" s="58" t="str">
        <f t="shared" ref="FI527:FI540" si="894">IF(i_eff_inputs_based_on_num=2,EK527,AN289)</f>
        <v>Apply HR to</v>
      </c>
      <c r="FJ527" s="58">
        <f t="shared" ref="FJ527:FJ540" si="895">IF(i_eff_inputs_based_on_num=2,EL527,AO289)</f>
        <v>0</v>
      </c>
      <c r="FL527" s="58">
        <f t="shared" ref="FL527:FL540" si="896">IF(i_eff_inputs_based_on_num=2,EN527,VLOOKUP(AP289,r_pld_lookup_line,3,FALSE))</f>
        <v>0</v>
      </c>
      <c r="FM527" s="58">
        <f t="shared" ref="FM527:FM540" si="897">IF(i_eff_inputs_based_on_num=2,EO527,VLOOKUP(AQ289,r_pld_lookup_line,3,FALSE))</f>
        <v>3</v>
      </c>
      <c r="FN527" s="58">
        <f>IF(i_eff_inputs_based_on_num=2,EP527,(INDEX(Lists!$L$51:$L$85,MATCH(AR289,Lists!$K$51:$K$85,0))))</f>
        <v>0</v>
      </c>
      <c r="FO527" s="58">
        <f>IF(i_eff_inputs_based_on_num=2,EQ527,(INDEX(Lists!$L$51:$L$85,MATCH(AS289,Lists!$K$51:$K$85,0))))</f>
        <v>1</v>
      </c>
      <c r="FP527" s="58">
        <f>IF(i_eff_inputs_based_on_num=2,ER527,(INDEX(Lists!$L$51:$L$85,MATCH(AT289,Lists!$K$51:$K$85,0))))</f>
        <v>1</v>
      </c>
      <c r="FT527" s="58">
        <f t="shared" si="855"/>
        <v>0</v>
      </c>
      <c r="FW527" s="58" t="str">
        <f>IF(i_baseline_risk_from=2,'Effectiveness settings'!EW527,'Effectiveness settings'!FI527)</f>
        <v>Apply HR to</v>
      </c>
      <c r="FX527" s="58" t="str">
        <f t="shared" si="856"/>
        <v>Apply HR to</v>
      </c>
      <c r="FY527" s="58" t="str">
        <f t="shared" si="857"/>
        <v>Apply HR to</v>
      </c>
      <c r="FZ527" s="58" t="str">
        <f t="shared" si="858"/>
        <v>Apply HR to</v>
      </c>
      <c r="GA527" s="58" t="str">
        <f t="shared" si="859"/>
        <v>Apply HR to</v>
      </c>
      <c r="GB527" s="58" t="str">
        <f t="shared" si="860"/>
        <v>Apply HR to</v>
      </c>
      <c r="GC527" s="58" t="str">
        <f t="shared" si="861"/>
        <v>Apply HR to</v>
      </c>
      <c r="GD527" s="58" t="str">
        <f t="shared" si="862"/>
        <v>Apply HR to</v>
      </c>
      <c r="GE527" s="58" t="str">
        <f>IF(AND(dd_CheckMate214_TTD="Yes",'Effectiveness settings'!BU527=2,'Effectiveness settings'!BX527=2),"Apply HR to",GD527)</f>
        <v>Apply HR to</v>
      </c>
      <c r="GF527" s="58" t="str">
        <f t="shared" si="863"/>
        <v>Apply HR to</v>
      </c>
      <c r="GG527" s="58" t="str">
        <f t="shared" si="864"/>
        <v>Apply HR to</v>
      </c>
      <c r="GH527" s="58" t="str">
        <f t="shared" si="865"/>
        <v>Apply HR to</v>
      </c>
      <c r="GI527" s="58" t="str">
        <f t="shared" si="851"/>
        <v>Apply HR to</v>
      </c>
      <c r="GK527" s="58">
        <f>IF(i_baseline_risk_from=2,'Effectiveness settings'!FA527,'Effectiveness settings'!FM527)</f>
        <v>3</v>
      </c>
      <c r="GL527" s="58">
        <f>IF(i_baseline_risk_from=2,'Effectiveness settings'!FB527,'Effectiveness settings'!FN527)</f>
        <v>0</v>
      </c>
      <c r="GM527" s="58">
        <f>IF(i_baseline_risk_from=2,'Effectiveness settings'!FC527,'Effectiveness settings'!FO527)</f>
        <v>2</v>
      </c>
      <c r="GN527" s="58">
        <f>IF(i_baseline_risk_from=2,'Effectiveness settings'!FD527,'Effectiveness settings'!FP527)</f>
        <v>1</v>
      </c>
      <c r="GQ527" s="58">
        <f t="shared" si="866"/>
        <v>0</v>
      </c>
      <c r="GR527" s="58">
        <f t="shared" si="867"/>
        <v>0</v>
      </c>
      <c r="GS527" s="58">
        <f t="shared" si="868"/>
        <v>0</v>
      </c>
      <c r="GT527" s="58">
        <f t="shared" si="869"/>
        <v>0</v>
      </c>
      <c r="GU527" s="58">
        <f>IF(AND(dd_CheckMate214_TTD="Yes",'Effectiveness settings'!BU527=2,'Effectiveness settings'!BX527=2),2,GT527)</f>
        <v>0</v>
      </c>
      <c r="GV527" s="58">
        <f t="shared" si="870"/>
        <v>0</v>
      </c>
      <c r="GW527" s="58">
        <f t="shared" si="871"/>
        <v>0</v>
      </c>
      <c r="GY527" s="58">
        <f>IF(AND(dd_CheckMate214_TTD="Yes",'Effectiveness settings'!BU527=2,'Effectiveness settings'!BX527=2),1,GN527)</f>
        <v>1</v>
      </c>
      <c r="GZ527" s="58">
        <f t="shared" si="872"/>
        <v>1</v>
      </c>
      <c r="HB527" s="58">
        <f t="shared" si="873"/>
        <v>0</v>
      </c>
      <c r="HD527" s="58">
        <f t="shared" si="846"/>
        <v>0</v>
      </c>
      <c r="HE527" s="58">
        <f t="shared" si="847"/>
        <v>3</v>
      </c>
      <c r="HF527" s="58">
        <f t="shared" si="848"/>
        <v>0</v>
      </c>
      <c r="HG527" s="58">
        <f t="shared" si="849"/>
        <v>2</v>
      </c>
      <c r="HH527" s="58">
        <f t="shared" si="850"/>
        <v>1</v>
      </c>
    </row>
    <row r="528" spans="69:216" ht="15.75" x14ac:dyDescent="0.25">
      <c r="BQ528" s="58">
        <f t="shared" si="853"/>
        <v>310</v>
      </c>
      <c r="BR528" s="61">
        <v>0</v>
      </c>
      <c r="BS528" s="61" t="s">
        <v>31</v>
      </c>
      <c r="BT528" s="17">
        <v>3</v>
      </c>
      <c r="BU528" s="17">
        <v>1</v>
      </c>
      <c r="BV528" s="17" t="str">
        <f t="shared" si="874"/>
        <v>cabozantinib_plus_nivolumab</v>
      </c>
      <c r="BW528" s="1006" t="str" cm="1">
        <f t="array" ref="BW528">IF(AL290="No",AL290,INDEX(List_incl_anal_3L_all,IF(BU528=999,35,BU528+1)))</f>
        <v>No</v>
      </c>
      <c r="BX528" s="61">
        <f t="shared" si="875"/>
        <v>2</v>
      </c>
      <c r="BY528" s="531" t="str">
        <f>AM290</f>
        <v>Time to treatment discontinuation</v>
      </c>
      <c r="BZ528" s="530">
        <f t="shared" si="876"/>
        <v>0</v>
      </c>
      <c r="CA528" s="531">
        <f t="shared" ref="CA528:CA540" si="898">FT528</f>
        <v>0</v>
      </c>
      <c r="CB528" s="530">
        <f t="shared" si="877"/>
        <v>0</v>
      </c>
      <c r="CC528" s="530">
        <f t="shared" si="878"/>
        <v>3</v>
      </c>
      <c r="CD528" s="530">
        <f t="shared" si="879"/>
        <v>1</v>
      </c>
      <c r="CE528" s="1295">
        <f t="shared" si="880"/>
        <v>2</v>
      </c>
      <c r="CF528" s="1301">
        <f t="shared" si="881"/>
        <v>1</v>
      </c>
      <c r="CG528" s="530" t="str">
        <f t="shared" si="882"/>
        <v/>
      </c>
      <c r="CH528" s="505">
        <f t="shared" si="883"/>
        <v>0</v>
      </c>
      <c r="CI528" s="505">
        <f t="shared" si="884"/>
        <v>0</v>
      </c>
      <c r="CJ528" s="505">
        <f t="shared" si="885"/>
        <v>0</v>
      </c>
      <c r="DK528" s="58" t="str" cm="1">
        <f t="array" ref="DK528">IF(AND($BT528=4,$BX528=4,$BU528=999),$DB$36,_xlfn.IFNA(INDEX(DB$13:DB$70,MATCH(1,($BR528=$CV$13:$CV$70)*($BT528=$CX$13:$CX$70)*($CE528=$CY$13:$CY$70)*($BY528=$DA$13:$DA$70)*($CD528=$DH$13:$DH$70),0)),""))</f>
        <v/>
      </c>
      <c r="DL528" s="58" t="str" cm="1">
        <f t="array" ref="DL528">IF(AND($BT528=4,$BX528=4,$BU528=999),$DC$36,_xlfn.IFNA(INDEX(CHOOSE(DP528,DB$13:DB$70,DC$13:DC$70,DD$13:DD$70,DE$13:DE$70),MATCH(1,($BR528=$CV$13:$CV$70)*($BT528=$CX$13:$CX$70)*($CE528=$CY$13:$CY$70)*($BY528=$DA$13:$DA$70)*($CD528=$DH$13:$DH$70),0)),""))</f>
        <v/>
      </c>
      <c r="DM528" s="740" t="str" cm="1">
        <f t="array" ref="DM528">IF(AND($BT528=4,$BX528=4,$BU528=999),$DD$36,_xlfn.IFNA(INDEX(DD$13:DD$68,MATCH(1,($BR528=$CV$13:$CV$68)*($BT528=$CX$13:$CX$68)*($CE528=$CY$13:$CY$68)*($BY528=$DA$13:$DA$68)*($CD528=$DH$13:$DH$68),0)),""))</f>
        <v/>
      </c>
      <c r="DN528" s="740" t="str" cm="1">
        <f t="array" ref="DN528">IF(AND($BT528=4,$BX528=4,$BU528=999),$DD$36,_xlfn.IFNA(INDEX(DE$13:DE$68,MATCH(1,($BR528=$CV$13:$CV$68)*($BT528=$CX$13:$CX$68)*($CE528=$CY$13:$CY$68)*($BY528=$DA$13:$DA$68)*($CD528=$DH$13:$DH$68),0)),""))</f>
        <v/>
      </c>
      <c r="DO528" s="58" t="str" cm="1">
        <f t="array" ref="DO528">IF(AND($BT528=4,$BX528=4,$BU528=999),$DF$36,_xlfn.IFNA(INDEX(DF$13:DF$70,MATCH(1,($BR528=$CV$13:$CV$70)*($BT528=$CX$13:$CX$70)*($CE528=$CY$13:$CY$70)*($BY528=$DA$13:$DA$70)*($CD528=$DH$13:$DH$70),0)),""))</f>
        <v/>
      </c>
      <c r="DP528" s="58" t="e">
        <f t="shared" si="854"/>
        <v>#N/A</v>
      </c>
      <c r="DW528" s="58" t="s">
        <v>58</v>
      </c>
      <c r="DX528" s="58" t="s">
        <v>554</v>
      </c>
      <c r="DY528" s="58">
        <v>0</v>
      </c>
      <c r="DZ528" s="58">
        <v>0</v>
      </c>
      <c r="EB528" s="58">
        <v>0</v>
      </c>
      <c r="EC528" s="58">
        <v>3</v>
      </c>
      <c r="ED528" s="58">
        <v>1</v>
      </c>
      <c r="EE528" s="58">
        <v>2</v>
      </c>
      <c r="EF528" s="58">
        <v>1</v>
      </c>
      <c r="EI528" s="58" t="s">
        <v>58</v>
      </c>
      <c r="EJ528" s="58" t="s">
        <v>554</v>
      </c>
      <c r="EK528" s="58">
        <v>0</v>
      </c>
      <c r="EL528" s="58">
        <v>0</v>
      </c>
      <c r="EN528" s="58">
        <v>0</v>
      </c>
      <c r="EO528" s="58">
        <v>3</v>
      </c>
      <c r="EP528" s="58">
        <v>1</v>
      </c>
      <c r="EQ528" s="58">
        <v>1</v>
      </c>
      <c r="ER528" s="58">
        <v>1</v>
      </c>
      <c r="EU528" s="58" t="str">
        <f t="shared" si="886"/>
        <v>No</v>
      </c>
      <c r="EV528" s="58" t="str">
        <f t="shared" si="887"/>
        <v>Time to treatment discontinuation</v>
      </c>
      <c r="EW528" s="58">
        <f t="shared" si="888"/>
        <v>0</v>
      </c>
      <c r="EX528" s="58">
        <f t="shared" si="889"/>
        <v>0</v>
      </c>
      <c r="EZ528" s="58">
        <f t="shared" si="890"/>
        <v>0</v>
      </c>
      <c r="FA528" s="58">
        <f t="shared" si="891"/>
        <v>3</v>
      </c>
      <c r="FB528" s="58">
        <f>IF(i_eff_inputs_based_on_num=2,ED528,(INDEX(Lists!$L$51:$L$85,MATCH(AR290,Lists!$K$51:$K$85,0))))</f>
        <v>1</v>
      </c>
      <c r="FC528" s="58">
        <f>IF(i_eff_inputs_based_on_num=2,EE528,(INDEX(Lists!$L$51:$L$85,MATCH(AS290,Lists!$K$51:$K$85,0))))</f>
        <v>2</v>
      </c>
      <c r="FD528" s="58">
        <f>IF(i_eff_inputs_based_on_num=2,EF528,(INDEX(Lists!$L$51:$L$85,MATCH(AT290,Lists!$K$51:$K$85,0))))</f>
        <v>1</v>
      </c>
      <c r="FG528" s="58" t="str">
        <f t="shared" si="892"/>
        <v>No</v>
      </c>
      <c r="FH528" s="58" t="str">
        <f t="shared" si="893"/>
        <v>Time to treatment discontinuation</v>
      </c>
      <c r="FI528" s="58">
        <f t="shared" si="894"/>
        <v>0</v>
      </c>
      <c r="FJ528" s="58">
        <f t="shared" si="895"/>
        <v>0</v>
      </c>
      <c r="FL528" s="58">
        <f t="shared" si="896"/>
        <v>0</v>
      </c>
      <c r="FM528" s="58">
        <f t="shared" si="897"/>
        <v>3</v>
      </c>
      <c r="FN528" s="58">
        <f>IF(i_eff_inputs_based_on_num=2,EP528,(INDEX(Lists!$L$51:$L$85,MATCH(AR290,Lists!$K$51:$K$85,0))))</f>
        <v>1</v>
      </c>
      <c r="FO528" s="58">
        <f>IF(i_eff_inputs_based_on_num=2,EQ528,(INDEX(Lists!$L$51:$L$85,MATCH(AS290,Lists!$K$51:$K$85,0))))</f>
        <v>1</v>
      </c>
      <c r="FP528" s="58">
        <f>IF(i_eff_inputs_based_on_num=2,ER528,(INDEX(Lists!$L$51:$L$85,MATCH(AT290,Lists!$K$51:$K$85,0))))</f>
        <v>1</v>
      </c>
      <c r="FT528" s="58">
        <f t="shared" si="855"/>
        <v>0</v>
      </c>
      <c r="FW528" s="58">
        <f>IF(i_baseline_risk_from=2,'Effectiveness settings'!EW528,'Effectiveness settings'!FI528)</f>
        <v>0</v>
      </c>
      <c r="FX528" s="58">
        <f t="shared" si="856"/>
        <v>0</v>
      </c>
      <c r="FY528" s="58">
        <f t="shared" si="857"/>
        <v>0</v>
      </c>
      <c r="FZ528" s="58">
        <f t="shared" si="858"/>
        <v>0</v>
      </c>
      <c r="GA528" s="58">
        <f t="shared" si="859"/>
        <v>0</v>
      </c>
      <c r="GB528" s="58">
        <f t="shared" si="860"/>
        <v>0</v>
      </c>
      <c r="GC528" s="58">
        <f t="shared" si="861"/>
        <v>0</v>
      </c>
      <c r="GD528" s="58">
        <f t="shared" si="862"/>
        <v>0</v>
      </c>
      <c r="GE528" s="58">
        <f>IF(AND(dd_CheckMate214_TTD="Yes",'Effectiveness settings'!BU528=2,'Effectiveness settings'!BX528=2),"Apply HR to",GD528)</f>
        <v>0</v>
      </c>
      <c r="GF528" s="58">
        <f t="shared" si="863"/>
        <v>0</v>
      </c>
      <c r="GG528" s="58">
        <f t="shared" si="864"/>
        <v>0</v>
      </c>
      <c r="GH528" s="58">
        <f t="shared" si="865"/>
        <v>0</v>
      </c>
      <c r="GI528" s="58">
        <f t="shared" si="851"/>
        <v>0</v>
      </c>
      <c r="GK528" s="58">
        <f>IF(i_baseline_risk_from=2,'Effectiveness settings'!FA528,'Effectiveness settings'!FM528)</f>
        <v>3</v>
      </c>
      <c r="GL528" s="58">
        <f>IF(i_baseline_risk_from=2,'Effectiveness settings'!FB528,'Effectiveness settings'!FN528)</f>
        <v>1</v>
      </c>
      <c r="GM528" s="58">
        <f>IF(i_baseline_risk_from=2,'Effectiveness settings'!FC528,'Effectiveness settings'!FO528)</f>
        <v>2</v>
      </c>
      <c r="GN528" s="58">
        <f>IF(i_baseline_risk_from=2,'Effectiveness settings'!FD528,'Effectiveness settings'!FP528)</f>
        <v>1</v>
      </c>
      <c r="GQ528" s="58">
        <f t="shared" si="866"/>
        <v>1</v>
      </c>
      <c r="GR528" s="58">
        <f t="shared" si="867"/>
        <v>1</v>
      </c>
      <c r="GS528" s="58">
        <f t="shared" si="868"/>
        <v>1</v>
      </c>
      <c r="GT528" s="58">
        <f t="shared" si="869"/>
        <v>1</v>
      </c>
      <c r="GU528" s="58">
        <f>IF(AND(dd_CheckMate214_TTD="Yes",'Effectiveness settings'!BU528=2,'Effectiveness settings'!BX528=2),2,GT528)</f>
        <v>1</v>
      </c>
      <c r="GV528" s="58">
        <f t="shared" si="870"/>
        <v>1</v>
      </c>
      <c r="GW528" s="58">
        <f t="shared" si="871"/>
        <v>1</v>
      </c>
      <c r="GY528" s="58">
        <f>IF(AND(dd_CheckMate214_TTD="Yes",'Effectiveness settings'!BU528=2,'Effectiveness settings'!BX528=2),1,GN528)</f>
        <v>1</v>
      </c>
      <c r="GZ528" s="58">
        <f t="shared" si="872"/>
        <v>1</v>
      </c>
      <c r="HB528" s="58">
        <f t="shared" si="873"/>
        <v>0</v>
      </c>
      <c r="HD528" s="58">
        <f t="shared" si="846"/>
        <v>0</v>
      </c>
      <c r="HE528" s="58">
        <f t="shared" si="847"/>
        <v>3</v>
      </c>
      <c r="HF528" s="58">
        <f t="shared" si="848"/>
        <v>1</v>
      </c>
      <c r="HG528" s="58">
        <f t="shared" si="849"/>
        <v>2</v>
      </c>
      <c r="HH528" s="58">
        <f t="shared" si="850"/>
        <v>1</v>
      </c>
    </row>
    <row r="529" spans="69:216" ht="15.75" x14ac:dyDescent="0.25">
      <c r="BQ529" s="58">
        <f t="shared" si="853"/>
        <v>311</v>
      </c>
      <c r="BR529" s="61">
        <v>0</v>
      </c>
      <c r="BS529" s="61" t="s">
        <v>31</v>
      </c>
      <c r="BT529" s="17">
        <v>3</v>
      </c>
      <c r="BU529" s="17">
        <v>2</v>
      </c>
      <c r="BV529" s="17" t="str">
        <f t="shared" si="874"/>
        <v>nivolumab_plus_ipilimumab</v>
      </c>
      <c r="BW529" s="1006" t="str" cm="1">
        <f t="array" ref="BW529">IF(AL291="No",AL291,INDEX(List_incl_anal_3L_all,IF(BU529=999,35,BU529+1)))</f>
        <v>No</v>
      </c>
      <c r="BX529" s="61">
        <f t="shared" si="875"/>
        <v>2</v>
      </c>
      <c r="BY529" s="531" t="str">
        <f>AM291</f>
        <v>Time to treatment discontinuation</v>
      </c>
      <c r="BZ529" s="530">
        <f t="shared" si="876"/>
        <v>0</v>
      </c>
      <c r="CA529" s="531">
        <f t="shared" si="898"/>
        <v>0</v>
      </c>
      <c r="CB529" s="530">
        <f t="shared" si="877"/>
        <v>0</v>
      </c>
      <c r="CC529" s="530">
        <f t="shared" si="878"/>
        <v>3</v>
      </c>
      <c r="CD529" s="530">
        <f t="shared" si="879"/>
        <v>2</v>
      </c>
      <c r="CE529" s="1295">
        <f t="shared" si="880"/>
        <v>2</v>
      </c>
      <c r="CF529" s="1301">
        <f t="shared" si="881"/>
        <v>1</v>
      </c>
      <c r="CG529" s="530" t="str">
        <f t="shared" si="882"/>
        <v/>
      </c>
      <c r="CH529" s="505">
        <f t="shared" si="883"/>
        <v>0</v>
      </c>
      <c r="CI529" s="505">
        <f t="shared" si="884"/>
        <v>0</v>
      </c>
      <c r="CJ529" s="505">
        <f t="shared" si="885"/>
        <v>0</v>
      </c>
      <c r="DK529" s="58" t="str" cm="1">
        <f t="array" ref="DK529">IF(AND($BT529=4,$BX529=4,$BU529=999),$DB$36,_xlfn.IFNA(INDEX(DB$13:DB$70,MATCH(1,($BR529=$CV$13:$CV$70)*($BT529=$CX$13:$CX$70)*($CE529=$CY$13:$CY$70)*($BY529=$DA$13:$DA$70)*($CD529=$DH$13:$DH$70),0)),""))</f>
        <v/>
      </c>
      <c r="DL529" s="58" t="str" cm="1">
        <f t="array" ref="DL529">IF(AND($BT529=4,$BX529=4,$BU529=999),$DC$36,_xlfn.IFNA(INDEX(CHOOSE(DP529,DB$13:DB$70,DC$13:DC$70,DD$13:DD$70,DE$13:DE$70),MATCH(1,($BR529=$CV$13:$CV$70)*($BT529=$CX$13:$CX$70)*($CE529=$CY$13:$CY$70)*($BY529=$DA$13:$DA$70)*($CD529=$DH$13:$DH$70),0)),""))</f>
        <v/>
      </c>
      <c r="DM529" s="740" t="str" cm="1">
        <f t="array" ref="DM529">IF(AND($BT529=4,$BX529=4,$BU529=999),$DD$36,_xlfn.IFNA(INDEX(DD$13:DD$68,MATCH(1,($BR529=$CV$13:$CV$68)*($BT529=$CX$13:$CX$68)*($CE529=$CY$13:$CY$68)*($BY529=$DA$13:$DA$68)*($CD529=$DH$13:$DH$68),0)),""))</f>
        <v/>
      </c>
      <c r="DN529" s="740" t="str" cm="1">
        <f t="array" ref="DN529">IF(AND($BT529=4,$BX529=4,$BU529=999),$DD$36,_xlfn.IFNA(INDEX(DE$13:DE$68,MATCH(1,($BR529=$CV$13:$CV$68)*($BT529=$CX$13:$CX$68)*($CE529=$CY$13:$CY$68)*($BY529=$DA$13:$DA$68)*($CD529=$DH$13:$DH$68),0)),""))</f>
        <v/>
      </c>
      <c r="DO529" s="58" t="str" cm="1">
        <f t="array" ref="DO529">IF(AND($BT529=4,$BX529=4,$BU529=999),$DF$36,_xlfn.IFNA(INDEX(DF$13:DF$70,MATCH(1,($BR529=$CV$13:$CV$70)*($BT529=$CX$13:$CX$70)*($CE529=$CY$13:$CY$70)*($BY529=$DA$13:$DA$70)*($CD529=$DH$13:$DH$70),0)),""))</f>
        <v/>
      </c>
      <c r="DP529" s="58" t="e">
        <f t="shared" si="854"/>
        <v>#N/A</v>
      </c>
      <c r="DW529" s="58" t="s">
        <v>58</v>
      </c>
      <c r="DX529" s="58" t="s">
        <v>554</v>
      </c>
      <c r="DY529" s="58">
        <v>0</v>
      </c>
      <c r="DZ529" s="58">
        <v>0</v>
      </c>
      <c r="EB529" s="58">
        <v>0</v>
      </c>
      <c r="EC529" s="58">
        <v>3</v>
      </c>
      <c r="ED529" s="58">
        <v>2</v>
      </c>
      <c r="EE529" s="58">
        <v>2</v>
      </c>
      <c r="EF529" s="58">
        <v>1</v>
      </c>
      <c r="EI529" s="58" t="s">
        <v>58</v>
      </c>
      <c r="EJ529" s="58" t="s">
        <v>554</v>
      </c>
      <c r="EK529" s="58">
        <v>0</v>
      </c>
      <c r="EL529" s="58">
        <v>0</v>
      </c>
      <c r="EN529" s="58">
        <v>0</v>
      </c>
      <c r="EO529" s="58">
        <v>3</v>
      </c>
      <c r="EP529" s="58">
        <v>2</v>
      </c>
      <c r="EQ529" s="58">
        <v>1</v>
      </c>
      <c r="ER529" s="58">
        <v>1</v>
      </c>
      <c r="EU529" s="58" t="str">
        <f t="shared" si="886"/>
        <v>No</v>
      </c>
      <c r="EV529" s="58" t="str">
        <f t="shared" si="887"/>
        <v>Time to treatment discontinuation</v>
      </c>
      <c r="EW529" s="58">
        <f t="shared" si="888"/>
        <v>0</v>
      </c>
      <c r="EX529" s="58">
        <f t="shared" si="889"/>
        <v>0</v>
      </c>
      <c r="EZ529" s="58">
        <f t="shared" si="890"/>
        <v>0</v>
      </c>
      <c r="FA529" s="58">
        <f t="shared" si="891"/>
        <v>3</v>
      </c>
      <c r="FB529" s="58">
        <f>IF(i_eff_inputs_based_on_num=2,ED529,(INDEX(Lists!$L$51:$L$85,MATCH(AR291,Lists!$K$51:$K$85,0))))</f>
        <v>2</v>
      </c>
      <c r="FC529" s="58">
        <f>IF(i_eff_inputs_based_on_num=2,EE529,(INDEX(Lists!$L$51:$L$85,MATCH(AS291,Lists!$K$51:$K$85,0))))</f>
        <v>2</v>
      </c>
      <c r="FD529" s="58">
        <f>IF(i_eff_inputs_based_on_num=2,EF529,(INDEX(Lists!$L$51:$L$85,MATCH(AT291,Lists!$K$51:$K$85,0))))</f>
        <v>1</v>
      </c>
      <c r="FG529" s="58" t="str">
        <f t="shared" si="892"/>
        <v>No</v>
      </c>
      <c r="FH529" s="58" t="str">
        <f t="shared" si="893"/>
        <v>Time to treatment discontinuation</v>
      </c>
      <c r="FI529" s="58">
        <f t="shared" si="894"/>
        <v>0</v>
      </c>
      <c r="FJ529" s="58">
        <f t="shared" si="895"/>
        <v>0</v>
      </c>
      <c r="FL529" s="58">
        <f t="shared" si="896"/>
        <v>0</v>
      </c>
      <c r="FM529" s="58">
        <f t="shared" si="897"/>
        <v>3</v>
      </c>
      <c r="FN529" s="58">
        <f>IF(i_eff_inputs_based_on_num=2,EP529,(INDEX(Lists!$L$51:$L$85,MATCH(AR291,Lists!$K$51:$K$85,0))))</f>
        <v>2</v>
      </c>
      <c r="FO529" s="58">
        <f>IF(i_eff_inputs_based_on_num=2,EQ529,(INDEX(Lists!$L$51:$L$85,MATCH(AS291,Lists!$K$51:$K$85,0))))</f>
        <v>1</v>
      </c>
      <c r="FP529" s="58">
        <f>IF(i_eff_inputs_based_on_num=2,ER529,(INDEX(Lists!$L$51:$L$85,MATCH(AT291,Lists!$K$51:$K$85,0))))</f>
        <v>1</v>
      </c>
      <c r="FT529" s="58">
        <f t="shared" si="855"/>
        <v>0</v>
      </c>
      <c r="FW529" s="58">
        <f>IF(i_baseline_risk_from=2,'Effectiveness settings'!EW529,'Effectiveness settings'!FI529)</f>
        <v>0</v>
      </c>
      <c r="FX529" s="58">
        <f t="shared" si="856"/>
        <v>0</v>
      </c>
      <c r="FY529" s="58">
        <f t="shared" si="857"/>
        <v>0</v>
      </c>
      <c r="FZ529" s="58">
        <f t="shared" si="858"/>
        <v>0</v>
      </c>
      <c r="GA529" s="58">
        <f t="shared" si="859"/>
        <v>0</v>
      </c>
      <c r="GB529" s="58">
        <f t="shared" si="860"/>
        <v>0</v>
      </c>
      <c r="GC529" s="58">
        <f t="shared" si="861"/>
        <v>0</v>
      </c>
      <c r="GD529" s="58">
        <f t="shared" si="862"/>
        <v>0</v>
      </c>
      <c r="GE529" s="58">
        <f>IF(AND(dd_CheckMate214_TTD="Yes",'Effectiveness settings'!BU529=2,'Effectiveness settings'!BX529=2),"Apply HR to",GD529)</f>
        <v>0</v>
      </c>
      <c r="GF529" s="58">
        <f t="shared" si="863"/>
        <v>0</v>
      </c>
      <c r="GG529" s="58">
        <f t="shared" si="864"/>
        <v>0</v>
      </c>
      <c r="GH529" s="58">
        <f t="shared" si="865"/>
        <v>0</v>
      </c>
      <c r="GI529" s="58">
        <f t="shared" si="851"/>
        <v>0</v>
      </c>
      <c r="GK529" s="58">
        <f>IF(i_baseline_risk_from=2,'Effectiveness settings'!FA529,'Effectiveness settings'!FM529)</f>
        <v>3</v>
      </c>
      <c r="GL529" s="58">
        <f>IF(i_baseline_risk_from=2,'Effectiveness settings'!FB529,'Effectiveness settings'!FN529)</f>
        <v>2</v>
      </c>
      <c r="GM529" s="58">
        <f>IF(i_baseline_risk_from=2,'Effectiveness settings'!FC529,'Effectiveness settings'!FO529)</f>
        <v>2</v>
      </c>
      <c r="GN529" s="58">
        <f>IF(i_baseline_risk_from=2,'Effectiveness settings'!FD529,'Effectiveness settings'!FP529)</f>
        <v>1</v>
      </c>
      <c r="GQ529" s="58">
        <f t="shared" si="866"/>
        <v>2</v>
      </c>
      <c r="GR529" s="58">
        <f t="shared" si="867"/>
        <v>2</v>
      </c>
      <c r="GS529" s="58">
        <f t="shared" si="868"/>
        <v>2</v>
      </c>
      <c r="GT529" s="58">
        <f t="shared" si="869"/>
        <v>2</v>
      </c>
      <c r="GU529" s="58">
        <f>IF(AND(dd_CheckMate214_TTD="Yes",'Effectiveness settings'!BU529=2,'Effectiveness settings'!BX529=2),2,GT529)</f>
        <v>2</v>
      </c>
      <c r="GV529" s="58">
        <f t="shared" si="870"/>
        <v>2</v>
      </c>
      <c r="GW529" s="58">
        <f t="shared" si="871"/>
        <v>2</v>
      </c>
      <c r="GY529" s="58">
        <f>IF(AND(dd_CheckMate214_TTD="Yes",'Effectiveness settings'!BU529=2,'Effectiveness settings'!BX529=2),1,GN529)</f>
        <v>1</v>
      </c>
      <c r="GZ529" s="58">
        <f t="shared" si="872"/>
        <v>1</v>
      </c>
      <c r="HB529" s="58">
        <f t="shared" si="873"/>
        <v>0</v>
      </c>
      <c r="HD529" s="58">
        <f t="shared" si="846"/>
        <v>0</v>
      </c>
      <c r="HE529" s="58">
        <f t="shared" si="847"/>
        <v>3</v>
      </c>
      <c r="HF529" s="58">
        <f t="shared" si="848"/>
        <v>2</v>
      </c>
      <c r="HG529" s="58">
        <f t="shared" si="849"/>
        <v>2</v>
      </c>
      <c r="HH529" s="58">
        <f t="shared" si="850"/>
        <v>1</v>
      </c>
    </row>
    <row r="530" spans="69:216" ht="15.75" x14ac:dyDescent="0.25">
      <c r="BQ530" s="58">
        <f t="shared" si="853"/>
        <v>312</v>
      </c>
      <c r="BR530" s="61">
        <v>0</v>
      </c>
      <c r="BS530" s="61" t="s">
        <v>31</v>
      </c>
      <c r="BT530" s="17">
        <v>3</v>
      </c>
      <c r="BU530" s="17">
        <v>3</v>
      </c>
      <c r="BV530" s="17" t="str">
        <f t="shared" si="874"/>
        <v>lenvatinib_plus_pembrolizumab</v>
      </c>
      <c r="BW530" s="1006" t="str" cm="1">
        <f t="array" ref="BW530">IF(AL292="No",AL292,INDEX(List_incl_anal_3L_all,IF(BU530=999,35,BU530+1)))</f>
        <v>No</v>
      </c>
      <c r="BX530" s="61">
        <f t="shared" si="875"/>
        <v>2</v>
      </c>
      <c r="BY530" s="531" t="str">
        <f>AM292</f>
        <v>Time to treatment discontinuation</v>
      </c>
      <c r="BZ530" s="530">
        <f t="shared" si="876"/>
        <v>0</v>
      </c>
      <c r="CA530" s="531">
        <f t="shared" si="898"/>
        <v>0</v>
      </c>
      <c r="CB530" s="530">
        <f t="shared" si="877"/>
        <v>0</v>
      </c>
      <c r="CC530" s="530">
        <f t="shared" si="878"/>
        <v>3</v>
      </c>
      <c r="CD530" s="530">
        <f t="shared" si="879"/>
        <v>3</v>
      </c>
      <c r="CE530" s="1295">
        <f t="shared" si="880"/>
        <v>2</v>
      </c>
      <c r="CF530" s="1301">
        <f t="shared" si="881"/>
        <v>1</v>
      </c>
      <c r="CG530" s="530" t="str">
        <f t="shared" si="882"/>
        <v/>
      </c>
      <c r="CH530" s="505">
        <f t="shared" si="883"/>
        <v>0</v>
      </c>
      <c r="CI530" s="505">
        <f t="shared" si="884"/>
        <v>0</v>
      </c>
      <c r="CJ530" s="505">
        <f t="shared" si="885"/>
        <v>0</v>
      </c>
      <c r="DK530" s="58" t="str" cm="1">
        <f t="array" ref="DK530">IF(AND($BT530=4,$BX530=4,$BU530=999),$DB$36,_xlfn.IFNA(INDEX(DB$13:DB$70,MATCH(1,($BR530=$CV$13:$CV$70)*($BT530=$CX$13:$CX$70)*($CE530=$CY$13:$CY$70)*($BY530=$DA$13:$DA$70)*($CD530=$DH$13:$DH$70),0)),""))</f>
        <v/>
      </c>
      <c r="DL530" s="58" t="str" cm="1">
        <f t="array" ref="DL530">IF(AND($BT530=4,$BX530=4,$BU530=999),$DC$36,_xlfn.IFNA(INDEX(CHOOSE(DP530,DB$13:DB$70,DC$13:DC$70,DD$13:DD$70,DE$13:DE$70),MATCH(1,($BR530=$CV$13:$CV$70)*($BT530=$CX$13:$CX$70)*($CE530=$CY$13:$CY$70)*($BY530=$DA$13:$DA$70)*($CD530=$DH$13:$DH$70),0)),""))</f>
        <v/>
      </c>
      <c r="DM530" s="740" t="str" cm="1">
        <f t="array" ref="DM530">IF(AND($BT530=4,$BX530=4,$BU530=999),$DD$36,_xlfn.IFNA(INDEX(DD$13:DD$68,MATCH(1,($BR530=$CV$13:$CV$68)*($BT530=$CX$13:$CX$68)*($CE530=$CY$13:$CY$68)*($BY530=$DA$13:$DA$68)*($CD530=$DH$13:$DH$68),0)),""))</f>
        <v/>
      </c>
      <c r="DN530" s="740" t="str" cm="1">
        <f t="array" ref="DN530">IF(AND($BT530=4,$BX530=4,$BU530=999),$DD$36,_xlfn.IFNA(INDEX(DE$13:DE$68,MATCH(1,($BR530=$CV$13:$CV$68)*($BT530=$CX$13:$CX$68)*($CE530=$CY$13:$CY$68)*($BY530=$DA$13:$DA$68)*($CD530=$DH$13:$DH$68),0)),""))</f>
        <v/>
      </c>
      <c r="DO530" s="58" t="str" cm="1">
        <f t="array" ref="DO530">IF(AND($BT530=4,$BX530=4,$BU530=999),$DF$36,_xlfn.IFNA(INDEX(DF$13:DF$70,MATCH(1,($BR530=$CV$13:$CV$70)*($BT530=$CX$13:$CX$70)*($CE530=$CY$13:$CY$70)*($BY530=$DA$13:$DA$70)*($CD530=$DH$13:$DH$70),0)),""))</f>
        <v/>
      </c>
      <c r="DP530" s="58" t="e">
        <f t="shared" si="854"/>
        <v>#N/A</v>
      </c>
      <c r="DW530" s="58" t="s">
        <v>58</v>
      </c>
      <c r="DX530" s="58" t="s">
        <v>554</v>
      </c>
      <c r="DY530" s="58">
        <v>0</v>
      </c>
      <c r="DZ530" s="58">
        <v>0</v>
      </c>
      <c r="EB530" s="58">
        <v>0</v>
      </c>
      <c r="EC530" s="58">
        <v>3</v>
      </c>
      <c r="ED530" s="58">
        <v>3</v>
      </c>
      <c r="EE530" s="58">
        <v>2</v>
      </c>
      <c r="EF530" s="58">
        <v>1</v>
      </c>
      <c r="EI530" s="58" t="s">
        <v>58</v>
      </c>
      <c r="EJ530" s="58" t="s">
        <v>554</v>
      </c>
      <c r="EK530" s="58">
        <v>0</v>
      </c>
      <c r="EL530" s="58">
        <v>0</v>
      </c>
      <c r="EN530" s="58">
        <v>0</v>
      </c>
      <c r="EO530" s="58">
        <v>3</v>
      </c>
      <c r="EP530" s="58">
        <v>3</v>
      </c>
      <c r="EQ530" s="58">
        <v>1</v>
      </c>
      <c r="ER530" s="58">
        <v>1</v>
      </c>
      <c r="EU530" s="58" t="str">
        <f t="shared" si="886"/>
        <v>No</v>
      </c>
      <c r="EV530" s="58" t="str">
        <f t="shared" si="887"/>
        <v>Time to treatment discontinuation</v>
      </c>
      <c r="EW530" s="58">
        <f t="shared" si="888"/>
        <v>0</v>
      </c>
      <c r="EX530" s="58">
        <f t="shared" si="889"/>
        <v>0</v>
      </c>
      <c r="EZ530" s="58">
        <f t="shared" si="890"/>
        <v>0</v>
      </c>
      <c r="FA530" s="58">
        <f t="shared" si="891"/>
        <v>3</v>
      </c>
      <c r="FB530" s="58">
        <f>IF(i_eff_inputs_based_on_num=2,ED530,(INDEX(Lists!$L$51:$L$85,MATCH(AR292,Lists!$K$51:$K$85,0))))</f>
        <v>3</v>
      </c>
      <c r="FC530" s="58">
        <f>IF(i_eff_inputs_based_on_num=2,EE530,(INDEX(Lists!$L$51:$L$85,MATCH(AS292,Lists!$K$51:$K$85,0))))</f>
        <v>2</v>
      </c>
      <c r="FD530" s="58">
        <f>IF(i_eff_inputs_based_on_num=2,EF530,(INDEX(Lists!$L$51:$L$85,MATCH(AT292,Lists!$K$51:$K$85,0))))</f>
        <v>1</v>
      </c>
      <c r="FG530" s="58" t="str">
        <f t="shared" si="892"/>
        <v>No</v>
      </c>
      <c r="FH530" s="58" t="str">
        <f t="shared" si="893"/>
        <v>Time to treatment discontinuation</v>
      </c>
      <c r="FI530" s="58">
        <f t="shared" si="894"/>
        <v>0</v>
      </c>
      <c r="FJ530" s="58">
        <f t="shared" si="895"/>
        <v>0</v>
      </c>
      <c r="FL530" s="58">
        <f t="shared" si="896"/>
        <v>0</v>
      </c>
      <c r="FM530" s="58">
        <f t="shared" si="897"/>
        <v>3</v>
      </c>
      <c r="FN530" s="58">
        <f>IF(i_eff_inputs_based_on_num=2,EP530,(INDEX(Lists!$L$51:$L$85,MATCH(AR292,Lists!$K$51:$K$85,0))))</f>
        <v>3</v>
      </c>
      <c r="FO530" s="58">
        <f>IF(i_eff_inputs_based_on_num=2,EQ530,(INDEX(Lists!$L$51:$L$85,MATCH(AS292,Lists!$K$51:$K$85,0))))</f>
        <v>1</v>
      </c>
      <c r="FP530" s="58">
        <f>IF(i_eff_inputs_based_on_num=2,ER530,(INDEX(Lists!$L$51:$L$85,MATCH(AT292,Lists!$K$51:$K$85,0))))</f>
        <v>1</v>
      </c>
      <c r="FT530" s="58">
        <f t="shared" si="855"/>
        <v>0</v>
      </c>
      <c r="FW530" s="58">
        <f>IF(i_baseline_risk_from=2,'Effectiveness settings'!EW530,'Effectiveness settings'!FI530)</f>
        <v>0</v>
      </c>
      <c r="FX530" s="58">
        <f t="shared" si="856"/>
        <v>0</v>
      </c>
      <c r="FY530" s="58">
        <f t="shared" si="857"/>
        <v>0</v>
      </c>
      <c r="FZ530" s="58">
        <f t="shared" si="858"/>
        <v>0</v>
      </c>
      <c r="GA530" s="58">
        <f t="shared" si="859"/>
        <v>0</v>
      </c>
      <c r="GB530" s="58">
        <f t="shared" si="860"/>
        <v>0</v>
      </c>
      <c r="GC530" s="58">
        <f t="shared" si="861"/>
        <v>0</v>
      </c>
      <c r="GD530" s="58">
        <f t="shared" si="862"/>
        <v>0</v>
      </c>
      <c r="GE530" s="58">
        <f>IF(AND(dd_CheckMate214_TTD="Yes",'Effectiveness settings'!BU530=2,'Effectiveness settings'!BX530=2),"Apply HR to",GD530)</f>
        <v>0</v>
      </c>
      <c r="GF530" s="58">
        <f t="shared" si="863"/>
        <v>0</v>
      </c>
      <c r="GG530" s="58">
        <f t="shared" si="864"/>
        <v>0</v>
      </c>
      <c r="GH530" s="58">
        <f t="shared" si="865"/>
        <v>0</v>
      </c>
      <c r="GI530" s="58">
        <f t="shared" si="851"/>
        <v>0</v>
      </c>
      <c r="GK530" s="58">
        <f>IF(i_baseline_risk_from=2,'Effectiveness settings'!FA530,'Effectiveness settings'!FM530)</f>
        <v>3</v>
      </c>
      <c r="GL530" s="58">
        <f>IF(i_baseline_risk_from=2,'Effectiveness settings'!FB530,'Effectiveness settings'!FN530)</f>
        <v>3</v>
      </c>
      <c r="GM530" s="58">
        <f>IF(i_baseline_risk_from=2,'Effectiveness settings'!FC530,'Effectiveness settings'!FO530)</f>
        <v>2</v>
      </c>
      <c r="GN530" s="58">
        <f>IF(i_baseline_risk_from=2,'Effectiveness settings'!FD530,'Effectiveness settings'!FP530)</f>
        <v>1</v>
      </c>
      <c r="GQ530" s="58">
        <f t="shared" si="866"/>
        <v>3</v>
      </c>
      <c r="GR530" s="58">
        <f t="shared" si="867"/>
        <v>3</v>
      </c>
      <c r="GS530" s="58">
        <f t="shared" si="868"/>
        <v>3</v>
      </c>
      <c r="GT530" s="58">
        <f t="shared" si="869"/>
        <v>3</v>
      </c>
      <c r="GU530" s="58">
        <f>IF(AND(dd_CheckMate214_TTD="Yes",'Effectiveness settings'!BU530=2,'Effectiveness settings'!BX530=2),2,GT530)</f>
        <v>3</v>
      </c>
      <c r="GV530" s="58">
        <f t="shared" si="870"/>
        <v>3</v>
      </c>
      <c r="GW530" s="58">
        <f t="shared" si="871"/>
        <v>3</v>
      </c>
      <c r="GY530" s="58">
        <f>IF(AND(dd_CheckMate214_TTD="Yes",'Effectiveness settings'!BU530=2,'Effectiveness settings'!BX530=2),1,GN530)</f>
        <v>1</v>
      </c>
      <c r="GZ530" s="58">
        <f t="shared" si="872"/>
        <v>1</v>
      </c>
      <c r="HB530" s="58">
        <f t="shared" si="873"/>
        <v>0</v>
      </c>
      <c r="HD530" s="58">
        <f t="shared" si="846"/>
        <v>0</v>
      </c>
      <c r="HE530" s="58">
        <f t="shared" si="847"/>
        <v>3</v>
      </c>
      <c r="HF530" s="58">
        <f t="shared" si="848"/>
        <v>3</v>
      </c>
      <c r="HG530" s="58">
        <f t="shared" si="849"/>
        <v>2</v>
      </c>
      <c r="HH530" s="58">
        <f t="shared" si="850"/>
        <v>1</v>
      </c>
    </row>
    <row r="531" spans="69:216" ht="15.75" x14ac:dyDescent="0.25">
      <c r="BQ531" s="58">
        <f t="shared" si="853"/>
        <v>313</v>
      </c>
      <c r="BR531" s="61">
        <v>0</v>
      </c>
      <c r="BS531" s="61" t="s">
        <v>31</v>
      </c>
      <c r="BT531" s="17">
        <v>3</v>
      </c>
      <c r="BU531" s="17">
        <v>4</v>
      </c>
      <c r="BV531" s="17" t="str">
        <f t="shared" si="874"/>
        <v>avelumab_plus_axitinib</v>
      </c>
      <c r="BW531" s="1006" t="str" cm="1">
        <f t="array" ref="BW531">IF(AL293="No",AL293,INDEX(List_incl_anal_3L_all,IF(BU531=999,35,BU531+1)))</f>
        <v>No</v>
      </c>
      <c r="BX531" s="61">
        <f t="shared" si="875"/>
        <v>2</v>
      </c>
      <c r="BY531" s="531" t="str">
        <f>AM293</f>
        <v>Time to treatment discontinuation</v>
      </c>
      <c r="BZ531" s="530">
        <f t="shared" si="876"/>
        <v>0</v>
      </c>
      <c r="CA531" s="531">
        <f t="shared" si="898"/>
        <v>0</v>
      </c>
      <c r="CB531" s="530">
        <f t="shared" si="877"/>
        <v>0</v>
      </c>
      <c r="CC531" s="530">
        <f t="shared" si="878"/>
        <v>3</v>
      </c>
      <c r="CD531" s="530">
        <f t="shared" si="879"/>
        <v>4</v>
      </c>
      <c r="CE531" s="1295">
        <f t="shared" si="880"/>
        <v>2</v>
      </c>
      <c r="CF531" s="1301">
        <f t="shared" si="881"/>
        <v>1</v>
      </c>
      <c r="CG531" s="530" t="str">
        <f t="shared" si="882"/>
        <v/>
      </c>
      <c r="CH531" s="505">
        <f t="shared" si="883"/>
        <v>0</v>
      </c>
      <c r="CI531" s="505">
        <f t="shared" si="884"/>
        <v>0</v>
      </c>
      <c r="CJ531" s="505">
        <f t="shared" si="885"/>
        <v>0</v>
      </c>
      <c r="DK531" s="58" t="str" cm="1">
        <f t="array" ref="DK531">IF(AND($BT531=4,$BX531=4,$BU531=999),$DB$36,_xlfn.IFNA(INDEX(DB$13:DB$70,MATCH(1,($BR531=$CV$13:$CV$70)*($BT531=$CX$13:$CX$70)*($CE531=$CY$13:$CY$70)*($BY531=$DA$13:$DA$70)*($CD531=$DH$13:$DH$70),0)),""))</f>
        <v/>
      </c>
      <c r="DL531" s="58" t="str" cm="1">
        <f t="array" ref="DL531">IF(AND($BT531=4,$BX531=4,$BU531=999),$DC$36,_xlfn.IFNA(INDEX(CHOOSE(DP531,DB$13:DB$70,DC$13:DC$70,DD$13:DD$70,DE$13:DE$70),MATCH(1,($BR531=$CV$13:$CV$70)*($BT531=$CX$13:$CX$70)*($CE531=$CY$13:$CY$70)*($BY531=$DA$13:$DA$70)*($CD531=$DH$13:$DH$70),0)),""))</f>
        <v/>
      </c>
      <c r="DM531" s="740" t="str" cm="1">
        <f t="array" ref="DM531">IF(AND($BT531=4,$BX531=4,$BU531=999),$DD$36,_xlfn.IFNA(INDEX(DD$13:DD$68,MATCH(1,($BR531=$CV$13:$CV$68)*($BT531=$CX$13:$CX$68)*($CE531=$CY$13:$CY$68)*($BY531=$DA$13:$DA$68)*($CD531=$DH$13:$DH$68),0)),""))</f>
        <v/>
      </c>
      <c r="DN531" s="740" t="str" cm="1">
        <f t="array" ref="DN531">IF(AND($BT531=4,$BX531=4,$BU531=999),$DD$36,_xlfn.IFNA(INDEX(DE$13:DE$68,MATCH(1,($BR531=$CV$13:$CV$68)*($BT531=$CX$13:$CX$68)*($CE531=$CY$13:$CY$68)*($BY531=$DA$13:$DA$68)*($CD531=$DH$13:$DH$68),0)),""))</f>
        <v/>
      </c>
      <c r="DO531" s="58" t="str" cm="1">
        <f t="array" ref="DO531">IF(AND($BT531=4,$BX531=4,$BU531=999),$DF$36,_xlfn.IFNA(INDEX(DF$13:DF$70,MATCH(1,($BR531=$CV$13:$CV$70)*($BT531=$CX$13:$CX$70)*($CE531=$CY$13:$CY$70)*($BY531=$DA$13:$DA$70)*($CD531=$DH$13:$DH$70),0)),""))</f>
        <v/>
      </c>
      <c r="DP531" s="58" t="e">
        <f t="shared" si="854"/>
        <v>#N/A</v>
      </c>
      <c r="DW531" s="58" t="s">
        <v>58</v>
      </c>
      <c r="DX531" s="58" t="s">
        <v>554</v>
      </c>
      <c r="DY531" s="58">
        <v>0</v>
      </c>
      <c r="DZ531" s="58">
        <v>0</v>
      </c>
      <c r="EB531" s="58">
        <v>0</v>
      </c>
      <c r="EC531" s="58">
        <v>3</v>
      </c>
      <c r="ED531" s="58">
        <v>4</v>
      </c>
      <c r="EE531" s="58">
        <v>2</v>
      </c>
      <c r="EF531" s="58">
        <v>1</v>
      </c>
      <c r="EI531" s="58" t="s">
        <v>58</v>
      </c>
      <c r="EJ531" s="58" t="s">
        <v>554</v>
      </c>
      <c r="EK531" s="58">
        <v>0</v>
      </c>
      <c r="EL531" s="58">
        <v>0</v>
      </c>
      <c r="EN531" s="58">
        <v>0</v>
      </c>
      <c r="EO531" s="58">
        <v>3</v>
      </c>
      <c r="EP531" s="58">
        <v>4</v>
      </c>
      <c r="EQ531" s="58">
        <v>1</v>
      </c>
      <c r="ER531" s="58">
        <v>1</v>
      </c>
      <c r="EU531" s="58" t="str">
        <f t="shared" si="886"/>
        <v>No</v>
      </c>
      <c r="EV531" s="58" t="str">
        <f t="shared" si="887"/>
        <v>Time to treatment discontinuation</v>
      </c>
      <c r="EW531" s="58">
        <f t="shared" si="888"/>
        <v>0</v>
      </c>
      <c r="EX531" s="58">
        <f t="shared" si="889"/>
        <v>0</v>
      </c>
      <c r="EZ531" s="58">
        <f t="shared" si="890"/>
        <v>0</v>
      </c>
      <c r="FA531" s="58">
        <f t="shared" si="891"/>
        <v>3</v>
      </c>
      <c r="FB531" s="58">
        <f>IF(i_eff_inputs_based_on_num=2,ED531,(INDEX(Lists!$L$51:$L$85,MATCH(AR293,Lists!$K$51:$K$85,0))))</f>
        <v>4</v>
      </c>
      <c r="FC531" s="58">
        <f>IF(i_eff_inputs_based_on_num=2,EE531,(INDEX(Lists!$L$51:$L$85,MATCH(AS293,Lists!$K$51:$K$85,0))))</f>
        <v>2</v>
      </c>
      <c r="FD531" s="58">
        <f>IF(i_eff_inputs_based_on_num=2,EF531,(INDEX(Lists!$L$51:$L$85,MATCH(AT293,Lists!$K$51:$K$85,0))))</f>
        <v>1</v>
      </c>
      <c r="FG531" s="58" t="str">
        <f t="shared" si="892"/>
        <v>No</v>
      </c>
      <c r="FH531" s="58" t="str">
        <f t="shared" si="893"/>
        <v>Time to treatment discontinuation</v>
      </c>
      <c r="FI531" s="58">
        <f t="shared" si="894"/>
        <v>0</v>
      </c>
      <c r="FJ531" s="58">
        <f t="shared" si="895"/>
        <v>0</v>
      </c>
      <c r="FL531" s="58">
        <f t="shared" si="896"/>
        <v>0</v>
      </c>
      <c r="FM531" s="58">
        <f t="shared" si="897"/>
        <v>3</v>
      </c>
      <c r="FN531" s="58">
        <f>IF(i_eff_inputs_based_on_num=2,EP531,(INDEX(Lists!$L$51:$L$85,MATCH(AR293,Lists!$K$51:$K$85,0))))</f>
        <v>4</v>
      </c>
      <c r="FO531" s="58">
        <f>IF(i_eff_inputs_based_on_num=2,EQ531,(INDEX(Lists!$L$51:$L$85,MATCH(AS293,Lists!$K$51:$K$85,0))))</f>
        <v>1</v>
      </c>
      <c r="FP531" s="58">
        <f>IF(i_eff_inputs_based_on_num=2,ER531,(INDEX(Lists!$L$51:$L$85,MATCH(AT293,Lists!$K$51:$K$85,0))))</f>
        <v>1</v>
      </c>
      <c r="FT531" s="58">
        <f t="shared" si="855"/>
        <v>0</v>
      </c>
      <c r="FW531" s="58">
        <f>IF(i_baseline_risk_from=2,'Effectiveness settings'!EW531,'Effectiveness settings'!FI531)</f>
        <v>0</v>
      </c>
      <c r="FX531" s="58">
        <f t="shared" si="856"/>
        <v>0</v>
      </c>
      <c r="FY531" s="58">
        <f t="shared" si="857"/>
        <v>0</v>
      </c>
      <c r="FZ531" s="58">
        <f t="shared" si="858"/>
        <v>0</v>
      </c>
      <c r="GA531" s="58">
        <f t="shared" si="859"/>
        <v>0</v>
      </c>
      <c r="GB531" s="58">
        <f t="shared" si="860"/>
        <v>0</v>
      </c>
      <c r="GC531" s="58">
        <f t="shared" si="861"/>
        <v>0</v>
      </c>
      <c r="GD531" s="58">
        <f t="shared" si="862"/>
        <v>0</v>
      </c>
      <c r="GE531" s="58">
        <f>IF(AND(dd_CheckMate214_TTD="Yes",'Effectiveness settings'!BU531=2,'Effectiveness settings'!BX531=2),"Apply HR to",GD531)</f>
        <v>0</v>
      </c>
      <c r="GF531" s="58">
        <f t="shared" si="863"/>
        <v>0</v>
      </c>
      <c r="GG531" s="58">
        <f t="shared" si="864"/>
        <v>0</v>
      </c>
      <c r="GH531" s="58">
        <f t="shared" si="865"/>
        <v>0</v>
      </c>
      <c r="GI531" s="58">
        <f t="shared" si="851"/>
        <v>0</v>
      </c>
      <c r="GK531" s="58">
        <f>IF(i_baseline_risk_from=2,'Effectiveness settings'!FA531,'Effectiveness settings'!FM531)</f>
        <v>3</v>
      </c>
      <c r="GL531" s="58">
        <f>IF(i_baseline_risk_from=2,'Effectiveness settings'!FB531,'Effectiveness settings'!FN531)</f>
        <v>4</v>
      </c>
      <c r="GM531" s="58">
        <f>IF(i_baseline_risk_from=2,'Effectiveness settings'!FC531,'Effectiveness settings'!FO531)</f>
        <v>2</v>
      </c>
      <c r="GN531" s="58">
        <f>IF(i_baseline_risk_from=2,'Effectiveness settings'!FD531,'Effectiveness settings'!FP531)</f>
        <v>1</v>
      </c>
      <c r="GQ531" s="58">
        <f t="shared" si="866"/>
        <v>4</v>
      </c>
      <c r="GR531" s="58">
        <f t="shared" si="867"/>
        <v>4</v>
      </c>
      <c r="GS531" s="58">
        <f t="shared" si="868"/>
        <v>4</v>
      </c>
      <c r="GT531" s="58">
        <f t="shared" si="869"/>
        <v>4</v>
      </c>
      <c r="GU531" s="58">
        <f>IF(AND(dd_CheckMate214_TTD="Yes",'Effectiveness settings'!BU531=2,'Effectiveness settings'!BX531=2),2,GT531)</f>
        <v>4</v>
      </c>
      <c r="GV531" s="58">
        <f t="shared" si="870"/>
        <v>4</v>
      </c>
      <c r="GW531" s="58">
        <f t="shared" si="871"/>
        <v>4</v>
      </c>
      <c r="GY531" s="58">
        <f>IF(AND(dd_CheckMate214_TTD="Yes",'Effectiveness settings'!BU531=2,'Effectiveness settings'!BX531=2),1,GN531)</f>
        <v>1</v>
      </c>
      <c r="GZ531" s="58">
        <f t="shared" si="872"/>
        <v>1</v>
      </c>
      <c r="HB531" s="58">
        <f t="shared" si="873"/>
        <v>0</v>
      </c>
      <c r="HD531" s="58">
        <f t="shared" si="846"/>
        <v>0</v>
      </c>
      <c r="HE531" s="58">
        <f t="shared" si="847"/>
        <v>3</v>
      </c>
      <c r="HF531" s="58">
        <f t="shared" si="848"/>
        <v>4</v>
      </c>
      <c r="HG531" s="58">
        <f t="shared" si="849"/>
        <v>2</v>
      </c>
      <c r="HH531" s="58">
        <f t="shared" si="850"/>
        <v>1</v>
      </c>
    </row>
    <row r="532" spans="69:216" ht="15.75" x14ac:dyDescent="0.25">
      <c r="BQ532" s="58">
        <f t="shared" si="853"/>
        <v>314</v>
      </c>
      <c r="BR532" s="61">
        <v>0</v>
      </c>
      <c r="BS532" s="61" t="s">
        <v>31</v>
      </c>
      <c r="BT532" s="17">
        <v>3</v>
      </c>
      <c r="BU532" s="17">
        <v>5</v>
      </c>
      <c r="BV532" s="17" t="str">
        <f t="shared" si="874"/>
        <v>pazopanib</v>
      </c>
      <c r="BW532" s="1006" t="str" cm="1">
        <f t="array" ref="BW532">IF(AL294="No",AL294,INDEX(List_incl_anal_3L_all,IF(BU532=999,35,BU532+1)))</f>
        <v>Yes</v>
      </c>
      <c r="BX532" s="61">
        <f t="shared" si="875"/>
        <v>2</v>
      </c>
      <c r="BY532" s="531" t="str">
        <f t="shared" ref="BY532:BY540" si="899">AM294</f>
        <v>Time to treatment discontinuation</v>
      </c>
      <c r="BZ532" s="530" t="str">
        <f t="shared" si="876"/>
        <v>Apply HR to</v>
      </c>
      <c r="CA532" s="531">
        <f t="shared" si="898"/>
        <v>0</v>
      </c>
      <c r="CB532" s="530">
        <f t="shared" si="877"/>
        <v>0</v>
      </c>
      <c r="CC532" s="530">
        <f t="shared" si="878"/>
        <v>3</v>
      </c>
      <c r="CD532" s="530">
        <f t="shared" si="879"/>
        <v>5</v>
      </c>
      <c r="CE532" s="1295">
        <f t="shared" si="880"/>
        <v>2</v>
      </c>
      <c r="CF532" s="1301">
        <f t="shared" si="881"/>
        <v>1</v>
      </c>
      <c r="CG532" s="530" t="str">
        <f t="shared" si="882"/>
        <v/>
      </c>
      <c r="CH532" s="505">
        <f t="shared" si="883"/>
        <v>1.19</v>
      </c>
      <c r="CI532" s="505">
        <f t="shared" si="884"/>
        <v>1.1499999999999999</v>
      </c>
      <c r="CJ532" s="505">
        <f t="shared" si="885"/>
        <v>1.24</v>
      </c>
      <c r="DK532" s="58" t="str" cm="1">
        <f t="array" ref="DK532">IF(AND($BT532=4,$BX532=4,$BU532=999),$DB$36,_xlfn.IFNA(INDEX(DB$13:DB$70,MATCH(1,($BR532=$CV$13:$CV$70)*($BT532=$CX$13:$CX$70)*($CE532=$CY$13:$CY$70)*($BY532=$DA$13:$DA$70)*($CD532=$DH$13:$DH$70),0)),""))</f>
        <v/>
      </c>
      <c r="DL532" s="58" t="str" cm="1">
        <f t="array" ref="DL532">IF(AND($BT532=4,$BX532=4,$BU532=999),$DC$36,_xlfn.IFNA(INDEX(CHOOSE(DP532,DB$13:DB$70,DC$13:DC$70,DD$13:DD$70,DE$13:DE$70),MATCH(1,($BR532=$CV$13:$CV$70)*($BT532=$CX$13:$CX$70)*($CE532=$CY$13:$CY$70)*($BY532=$DA$13:$DA$70)*($CD532=$DH$13:$DH$70),0)),""))</f>
        <v/>
      </c>
      <c r="DM532" s="740" t="str" cm="1">
        <f t="array" ref="DM532">IF(AND($BT532=4,$BX532=4,$BU532=999),$DD$36,_xlfn.IFNA(INDEX(DD$13:DD$68,MATCH(1,($BR532=$CV$13:$CV$68)*($BT532=$CX$13:$CX$68)*($CE532=$CY$13:$CY$68)*($BY532=$DA$13:$DA$68)*($CD532=$DH$13:$DH$68),0)),""))</f>
        <v/>
      </c>
      <c r="DN532" s="740" t="str" cm="1">
        <f t="array" ref="DN532">IF(AND($BT532=4,$BX532=4,$BU532=999),$DD$36,_xlfn.IFNA(INDEX(DE$13:DE$68,MATCH(1,($BR532=$CV$13:$CV$68)*($BT532=$CX$13:$CX$68)*($CE532=$CY$13:$CY$68)*($BY532=$DA$13:$DA$68)*($CD532=$DH$13:$DH$68),0)),""))</f>
        <v/>
      </c>
      <c r="DO532" s="58" t="str" cm="1">
        <f t="array" ref="DO532">IF(AND($BT532=4,$BX532=4,$BU532=999),$DF$36,_xlfn.IFNA(INDEX(DF$13:DF$70,MATCH(1,($BR532=$CV$13:$CV$70)*($BT532=$CX$13:$CX$70)*($CE532=$CY$13:$CY$70)*($BY532=$DA$13:$DA$70)*($CD532=$DH$13:$DH$70),0)),""))</f>
        <v/>
      </c>
      <c r="DP532" s="58" t="e">
        <f t="shared" si="854"/>
        <v>#N/A</v>
      </c>
      <c r="DW532" s="58" t="s">
        <v>74</v>
      </c>
      <c r="DX532" s="58" t="s">
        <v>554</v>
      </c>
      <c r="DY532" s="58" t="s">
        <v>578</v>
      </c>
      <c r="DZ532" s="58">
        <v>0</v>
      </c>
      <c r="EB532" s="58">
        <v>0</v>
      </c>
      <c r="EC532" s="58">
        <v>3</v>
      </c>
      <c r="ED532" s="58">
        <v>5</v>
      </c>
      <c r="EE532" s="58">
        <v>2</v>
      </c>
      <c r="EF532" s="58">
        <v>1</v>
      </c>
      <c r="EI532" s="58" t="s">
        <v>74</v>
      </c>
      <c r="EJ532" s="58" t="s">
        <v>554</v>
      </c>
      <c r="EK532" s="58" t="s">
        <v>578</v>
      </c>
      <c r="EL532" s="58">
        <v>0</v>
      </c>
      <c r="EN532" s="58">
        <v>0</v>
      </c>
      <c r="EO532" s="58">
        <v>3</v>
      </c>
      <c r="EP532" s="58">
        <v>5</v>
      </c>
      <c r="EQ532" s="58">
        <v>1</v>
      </c>
      <c r="ER532" s="58">
        <v>1</v>
      </c>
      <c r="EU532" s="58" t="str">
        <f t="shared" si="886"/>
        <v>Yes</v>
      </c>
      <c r="EV532" s="58" t="str">
        <f t="shared" si="887"/>
        <v>Time to treatment discontinuation</v>
      </c>
      <c r="EW532" s="58" t="str">
        <f t="shared" si="888"/>
        <v>Apply HR to</v>
      </c>
      <c r="EX532" s="58">
        <f t="shared" si="889"/>
        <v>0</v>
      </c>
      <c r="EZ532" s="58">
        <f t="shared" si="890"/>
        <v>0</v>
      </c>
      <c r="FA532" s="58">
        <f t="shared" si="891"/>
        <v>3</v>
      </c>
      <c r="FB532" s="58">
        <f>IF(i_eff_inputs_based_on_num=2,ED532,(INDEX(Lists!$L$51:$L$85,MATCH(AR294,Lists!$K$51:$K$85,0))))</f>
        <v>5</v>
      </c>
      <c r="FC532" s="58">
        <f>IF(i_eff_inputs_based_on_num=2,EE532,(INDEX(Lists!$L$51:$L$85,MATCH(AS294,Lists!$K$51:$K$85,0))))</f>
        <v>2</v>
      </c>
      <c r="FD532" s="58">
        <f>IF(i_eff_inputs_based_on_num=2,EF532,(INDEX(Lists!$L$51:$L$85,MATCH(AT294,Lists!$K$51:$K$85,0))))</f>
        <v>1</v>
      </c>
      <c r="FG532" s="58" t="str">
        <f t="shared" si="892"/>
        <v>Yes</v>
      </c>
      <c r="FH532" s="58" t="str">
        <f t="shared" si="893"/>
        <v>Time to treatment discontinuation</v>
      </c>
      <c r="FI532" s="58" t="str">
        <f t="shared" si="894"/>
        <v>Apply HR to</v>
      </c>
      <c r="FJ532" s="58">
        <f t="shared" si="895"/>
        <v>0</v>
      </c>
      <c r="FL532" s="58">
        <f t="shared" si="896"/>
        <v>0</v>
      </c>
      <c r="FM532" s="58">
        <f t="shared" si="897"/>
        <v>3</v>
      </c>
      <c r="FN532" s="58">
        <f>IF(i_eff_inputs_based_on_num=2,EP532,(INDEX(Lists!$L$51:$L$85,MATCH(AR294,Lists!$K$51:$K$85,0))))</f>
        <v>5</v>
      </c>
      <c r="FO532" s="58">
        <f>IF(i_eff_inputs_based_on_num=2,EQ532,(INDEX(Lists!$L$51:$L$85,MATCH(AS294,Lists!$K$51:$K$85,0))))</f>
        <v>1</v>
      </c>
      <c r="FP532" s="58">
        <f>IF(i_eff_inputs_based_on_num=2,ER532,(INDEX(Lists!$L$51:$L$85,MATCH(AT294,Lists!$K$51:$K$85,0))))</f>
        <v>1</v>
      </c>
      <c r="FT532" s="58">
        <f t="shared" si="855"/>
        <v>0</v>
      </c>
      <c r="FW532" s="58" t="str">
        <f>IF(i_baseline_risk_from=2,'Effectiveness settings'!EW532,'Effectiveness settings'!FI532)</f>
        <v>Apply HR to</v>
      </c>
      <c r="FX532" s="58" t="str">
        <f t="shared" si="856"/>
        <v>Apply HR to</v>
      </c>
      <c r="FY532" s="58" t="str">
        <f t="shared" si="857"/>
        <v>Apply HR to</v>
      </c>
      <c r="FZ532" s="58" t="str">
        <f t="shared" si="858"/>
        <v>Apply HR to</v>
      </c>
      <c r="GA532" s="58" t="str">
        <f t="shared" si="859"/>
        <v>Apply HR to</v>
      </c>
      <c r="GB532" s="58" t="str">
        <f t="shared" si="860"/>
        <v>Apply HR to</v>
      </c>
      <c r="GC532" s="58" t="str">
        <f t="shared" si="861"/>
        <v>Apply HR to</v>
      </c>
      <c r="GD532" s="58" t="str">
        <f t="shared" si="862"/>
        <v>Apply HR to</v>
      </c>
      <c r="GE532" s="58" t="str">
        <f>IF(AND(dd_CheckMate214_TTD="Yes",'Effectiveness settings'!BU532=2,'Effectiveness settings'!BX532=2),"Apply HR to",GD532)</f>
        <v>Apply HR to</v>
      </c>
      <c r="GF532" s="58" t="str">
        <f t="shared" si="863"/>
        <v>Apply HR to</v>
      </c>
      <c r="GG532" s="58" t="str">
        <f t="shared" si="864"/>
        <v>Apply HR to</v>
      </c>
      <c r="GH532" s="58" t="str">
        <f t="shared" si="865"/>
        <v>Apply HR to</v>
      </c>
      <c r="GI532" s="58" t="str">
        <f t="shared" si="851"/>
        <v>Apply HR to</v>
      </c>
      <c r="GK532" s="58">
        <f>IF(i_baseline_risk_from=2,'Effectiveness settings'!FA532,'Effectiveness settings'!FM532)</f>
        <v>3</v>
      </c>
      <c r="GL532" s="58">
        <f>IF(i_baseline_risk_from=2,'Effectiveness settings'!FB532,'Effectiveness settings'!FN532)</f>
        <v>5</v>
      </c>
      <c r="GM532" s="58">
        <f>IF(i_baseline_risk_from=2,'Effectiveness settings'!FC532,'Effectiveness settings'!FO532)</f>
        <v>2</v>
      </c>
      <c r="GN532" s="58">
        <f>IF(i_baseline_risk_from=2,'Effectiveness settings'!FD532,'Effectiveness settings'!FP532)</f>
        <v>1</v>
      </c>
      <c r="GQ532" s="58">
        <f t="shared" si="866"/>
        <v>5</v>
      </c>
      <c r="GR532" s="58">
        <f t="shared" si="867"/>
        <v>5</v>
      </c>
      <c r="GS532" s="58">
        <f t="shared" si="868"/>
        <v>5</v>
      </c>
      <c r="GT532" s="58">
        <f t="shared" si="869"/>
        <v>5</v>
      </c>
      <c r="GU532" s="58">
        <f>IF(AND(dd_CheckMate214_TTD="Yes",'Effectiveness settings'!BU532=2,'Effectiveness settings'!BX532=2),2,GT532)</f>
        <v>5</v>
      </c>
      <c r="GV532" s="58">
        <f t="shared" si="870"/>
        <v>5</v>
      </c>
      <c r="GW532" s="58">
        <f t="shared" si="871"/>
        <v>5</v>
      </c>
      <c r="GY532" s="58">
        <f>IF(AND(dd_CheckMate214_TTD="Yes",'Effectiveness settings'!BU532=2,'Effectiveness settings'!BX532=2),1,GN532)</f>
        <v>1</v>
      </c>
      <c r="GZ532" s="58">
        <f t="shared" si="872"/>
        <v>1</v>
      </c>
      <c r="HB532" s="58">
        <f t="shared" si="873"/>
        <v>0</v>
      </c>
      <c r="HD532" s="58">
        <f t="shared" si="846"/>
        <v>0</v>
      </c>
      <c r="HE532" s="58">
        <f t="shared" si="847"/>
        <v>3</v>
      </c>
      <c r="HF532" s="58">
        <f t="shared" si="848"/>
        <v>5</v>
      </c>
      <c r="HG532" s="58">
        <f t="shared" si="849"/>
        <v>2</v>
      </c>
      <c r="HH532" s="58">
        <f t="shared" si="850"/>
        <v>1</v>
      </c>
    </row>
    <row r="533" spans="69:216" ht="15.75" x14ac:dyDescent="0.25">
      <c r="BQ533" s="58">
        <f t="shared" si="853"/>
        <v>315</v>
      </c>
      <c r="BR533" s="61">
        <v>0</v>
      </c>
      <c r="BS533" s="61" t="s">
        <v>31</v>
      </c>
      <c r="BT533" s="17">
        <v>3</v>
      </c>
      <c r="BU533" s="17">
        <v>6</v>
      </c>
      <c r="BV533" s="17" t="str">
        <f t="shared" si="874"/>
        <v>tivozanib</v>
      </c>
      <c r="BW533" s="1006" t="str" cm="1">
        <f t="array" ref="BW533">IF(AL295="No",AL295,INDEX(List_incl_anal_3L_all,IF(BU533=999,35,BU533+1)))</f>
        <v>Yes</v>
      </c>
      <c r="BX533" s="61">
        <f t="shared" si="875"/>
        <v>2</v>
      </c>
      <c r="BY533" s="531" t="str">
        <f t="shared" si="899"/>
        <v>Time to treatment discontinuation</v>
      </c>
      <c r="BZ533" s="530" t="str">
        <f t="shared" si="876"/>
        <v>Apply HR to</v>
      </c>
      <c r="CA533" s="531">
        <f t="shared" si="898"/>
        <v>0</v>
      </c>
      <c r="CB533" s="530">
        <f t="shared" si="877"/>
        <v>0</v>
      </c>
      <c r="CC533" s="530">
        <f t="shared" si="878"/>
        <v>3</v>
      </c>
      <c r="CD533" s="530">
        <f t="shared" si="879"/>
        <v>6</v>
      </c>
      <c r="CE533" s="1295">
        <f t="shared" si="880"/>
        <v>2</v>
      </c>
      <c r="CF533" s="1301">
        <f t="shared" si="881"/>
        <v>1</v>
      </c>
      <c r="CG533" s="530" t="str">
        <f t="shared" si="882"/>
        <v/>
      </c>
      <c r="CH533" s="505">
        <f t="shared" si="883"/>
        <v>1.19</v>
      </c>
      <c r="CI533" s="505">
        <f t="shared" si="884"/>
        <v>1.1499999999999999</v>
      </c>
      <c r="CJ533" s="505">
        <f t="shared" si="885"/>
        <v>1.24</v>
      </c>
      <c r="DK533" s="58" t="str" cm="1">
        <f t="array" ref="DK533">IF(AND($BT533=4,$BX533=4,$BU533=999),$DB$36,_xlfn.IFNA(INDEX(DB$13:DB$70,MATCH(1,($BR533=$CV$13:$CV$70)*($BT533=$CX$13:$CX$70)*($CE533=$CY$13:$CY$70)*($BY533=$DA$13:$DA$70)*($CD533=$DH$13:$DH$70),0)),""))</f>
        <v/>
      </c>
      <c r="DL533" s="58" t="str" cm="1">
        <f t="array" ref="DL533">IF(AND($BT533=4,$BX533=4,$BU533=999),$DC$36,_xlfn.IFNA(INDEX(CHOOSE(DP533,DB$13:DB$70,DC$13:DC$70,DD$13:DD$70,DE$13:DE$70),MATCH(1,($BR533=$CV$13:$CV$70)*($BT533=$CX$13:$CX$70)*($CE533=$CY$13:$CY$70)*($BY533=$DA$13:$DA$70)*($CD533=$DH$13:$DH$70),0)),""))</f>
        <v/>
      </c>
      <c r="DM533" s="740" t="str" cm="1">
        <f t="array" ref="DM533">IF(AND($BT533=4,$BX533=4,$BU533=999),$DD$36,_xlfn.IFNA(INDEX(DD$13:DD$68,MATCH(1,($BR533=$CV$13:$CV$68)*($BT533=$CX$13:$CX$68)*($CE533=$CY$13:$CY$68)*($BY533=$DA$13:$DA$68)*($CD533=$DH$13:$DH$68),0)),""))</f>
        <v/>
      </c>
      <c r="DN533" s="740" t="str" cm="1">
        <f t="array" ref="DN533">IF(AND($BT533=4,$BX533=4,$BU533=999),$DD$36,_xlfn.IFNA(INDEX(DE$13:DE$68,MATCH(1,($BR533=$CV$13:$CV$68)*($BT533=$CX$13:$CX$68)*($CE533=$CY$13:$CY$68)*($BY533=$DA$13:$DA$68)*($CD533=$DH$13:$DH$68),0)),""))</f>
        <v/>
      </c>
      <c r="DO533" s="58" t="str" cm="1">
        <f t="array" ref="DO533">IF(AND($BT533=4,$BX533=4,$BU533=999),$DF$36,_xlfn.IFNA(INDEX(DF$13:DF$70,MATCH(1,($BR533=$CV$13:$CV$70)*($BT533=$CX$13:$CX$70)*($CE533=$CY$13:$CY$70)*($BY533=$DA$13:$DA$70)*($CD533=$DH$13:$DH$70),0)),""))</f>
        <v/>
      </c>
      <c r="DP533" s="58" t="e">
        <f t="shared" si="854"/>
        <v>#N/A</v>
      </c>
      <c r="DW533" s="58" t="s">
        <v>74</v>
      </c>
      <c r="DX533" s="58" t="s">
        <v>554</v>
      </c>
      <c r="DY533" s="58" t="s">
        <v>578</v>
      </c>
      <c r="DZ533" s="58">
        <v>0</v>
      </c>
      <c r="EB533" s="58">
        <v>0</v>
      </c>
      <c r="EC533" s="58">
        <v>3</v>
      </c>
      <c r="ED533" s="58">
        <v>6</v>
      </c>
      <c r="EE533" s="58">
        <v>2</v>
      </c>
      <c r="EF533" s="58">
        <v>1</v>
      </c>
      <c r="EI533" s="58" t="s">
        <v>74</v>
      </c>
      <c r="EJ533" s="58" t="s">
        <v>554</v>
      </c>
      <c r="EK533" s="58" t="s">
        <v>578</v>
      </c>
      <c r="EL533" s="58">
        <v>0</v>
      </c>
      <c r="EN533" s="58">
        <v>0</v>
      </c>
      <c r="EO533" s="58">
        <v>3</v>
      </c>
      <c r="EP533" s="58">
        <v>6</v>
      </c>
      <c r="EQ533" s="58">
        <v>1</v>
      </c>
      <c r="ER533" s="58">
        <v>1</v>
      </c>
      <c r="EU533" s="58" t="str">
        <f t="shared" si="886"/>
        <v>Yes</v>
      </c>
      <c r="EV533" s="58" t="str">
        <f t="shared" si="887"/>
        <v>Time to treatment discontinuation</v>
      </c>
      <c r="EW533" s="58" t="str">
        <f t="shared" si="888"/>
        <v>Apply HR to</v>
      </c>
      <c r="EX533" s="58">
        <f t="shared" si="889"/>
        <v>0</v>
      </c>
      <c r="EZ533" s="58">
        <f t="shared" si="890"/>
        <v>0</v>
      </c>
      <c r="FA533" s="58">
        <f t="shared" si="891"/>
        <v>3</v>
      </c>
      <c r="FB533" s="58">
        <f>IF(i_eff_inputs_based_on_num=2,ED533,(INDEX(Lists!$L$51:$L$85,MATCH(AR295,Lists!$K$51:$K$85,0))))</f>
        <v>6</v>
      </c>
      <c r="FC533" s="58">
        <f>IF(i_eff_inputs_based_on_num=2,EE533,(INDEX(Lists!$L$51:$L$85,MATCH(AS295,Lists!$K$51:$K$85,0))))</f>
        <v>2</v>
      </c>
      <c r="FD533" s="58">
        <f>IF(i_eff_inputs_based_on_num=2,EF533,(INDEX(Lists!$L$51:$L$85,MATCH(AT295,Lists!$K$51:$K$85,0))))</f>
        <v>1</v>
      </c>
      <c r="FG533" s="58" t="str">
        <f t="shared" si="892"/>
        <v>Yes</v>
      </c>
      <c r="FH533" s="58" t="str">
        <f t="shared" si="893"/>
        <v>Time to treatment discontinuation</v>
      </c>
      <c r="FI533" s="58" t="str">
        <f t="shared" si="894"/>
        <v>Apply HR to</v>
      </c>
      <c r="FJ533" s="58">
        <f t="shared" si="895"/>
        <v>0</v>
      </c>
      <c r="FL533" s="58">
        <f t="shared" si="896"/>
        <v>0</v>
      </c>
      <c r="FM533" s="58">
        <f t="shared" si="897"/>
        <v>3</v>
      </c>
      <c r="FN533" s="58">
        <f>IF(i_eff_inputs_based_on_num=2,EP533,(INDEX(Lists!$L$51:$L$85,MATCH(AR295,Lists!$K$51:$K$85,0))))</f>
        <v>6</v>
      </c>
      <c r="FO533" s="58">
        <f>IF(i_eff_inputs_based_on_num=2,EQ533,(INDEX(Lists!$L$51:$L$85,MATCH(AS295,Lists!$K$51:$K$85,0))))</f>
        <v>1</v>
      </c>
      <c r="FP533" s="58">
        <f>IF(i_eff_inputs_based_on_num=2,ER533,(INDEX(Lists!$L$51:$L$85,MATCH(AT295,Lists!$K$51:$K$85,0))))</f>
        <v>1</v>
      </c>
      <c r="FT533" s="58">
        <f t="shared" si="855"/>
        <v>0</v>
      </c>
      <c r="FW533" s="58" t="str">
        <f>IF(i_baseline_risk_from=2,'Effectiveness settings'!EW533,'Effectiveness settings'!FI533)</f>
        <v>Apply HR to</v>
      </c>
      <c r="FX533" s="58" t="str">
        <f t="shared" si="856"/>
        <v>Apply HR to</v>
      </c>
      <c r="FY533" s="58" t="str">
        <f t="shared" si="857"/>
        <v>Apply HR to</v>
      </c>
      <c r="FZ533" s="58" t="str">
        <f t="shared" si="858"/>
        <v>Apply HR to</v>
      </c>
      <c r="GA533" s="58" t="str">
        <f t="shared" si="859"/>
        <v>Apply HR to</v>
      </c>
      <c r="GB533" s="58" t="str">
        <f t="shared" si="860"/>
        <v>Apply HR to</v>
      </c>
      <c r="GC533" s="58" t="str">
        <f t="shared" si="861"/>
        <v>Apply HR to</v>
      </c>
      <c r="GD533" s="58" t="str">
        <f t="shared" si="862"/>
        <v>Apply HR to</v>
      </c>
      <c r="GE533" s="58" t="str">
        <f>IF(AND(dd_CheckMate214_TTD="Yes",'Effectiveness settings'!BU533=2,'Effectiveness settings'!BX533=2),"Apply HR to",GD533)</f>
        <v>Apply HR to</v>
      </c>
      <c r="GF533" s="58" t="str">
        <f t="shared" si="863"/>
        <v>Apply HR to</v>
      </c>
      <c r="GG533" s="58" t="str">
        <f t="shared" si="864"/>
        <v>Apply HR to</v>
      </c>
      <c r="GH533" s="58" t="str">
        <f t="shared" si="865"/>
        <v>Apply HR to</v>
      </c>
      <c r="GI533" s="58" t="str">
        <f t="shared" si="851"/>
        <v>Apply HR to</v>
      </c>
      <c r="GK533" s="58">
        <f>IF(i_baseline_risk_from=2,'Effectiveness settings'!FA533,'Effectiveness settings'!FM533)</f>
        <v>3</v>
      </c>
      <c r="GL533" s="58">
        <f>IF(i_baseline_risk_from=2,'Effectiveness settings'!FB533,'Effectiveness settings'!FN533)</f>
        <v>6</v>
      </c>
      <c r="GM533" s="58">
        <f>IF(i_baseline_risk_from=2,'Effectiveness settings'!FC533,'Effectiveness settings'!FO533)</f>
        <v>2</v>
      </c>
      <c r="GN533" s="58">
        <f>IF(i_baseline_risk_from=2,'Effectiveness settings'!FD533,'Effectiveness settings'!FP533)</f>
        <v>1</v>
      </c>
      <c r="GQ533" s="58">
        <f t="shared" si="866"/>
        <v>6</v>
      </c>
      <c r="GR533" s="58">
        <f t="shared" si="867"/>
        <v>6</v>
      </c>
      <c r="GS533" s="58">
        <f t="shared" si="868"/>
        <v>6</v>
      </c>
      <c r="GT533" s="58">
        <f t="shared" si="869"/>
        <v>6</v>
      </c>
      <c r="GU533" s="58">
        <f>IF(AND(dd_CheckMate214_TTD="Yes",'Effectiveness settings'!BU533=2,'Effectiveness settings'!BX533=2),2,GT533)</f>
        <v>6</v>
      </c>
      <c r="GV533" s="58">
        <f t="shared" si="870"/>
        <v>6</v>
      </c>
      <c r="GW533" s="58">
        <f t="shared" si="871"/>
        <v>6</v>
      </c>
      <c r="GY533" s="58">
        <f>IF(AND(dd_CheckMate214_TTD="Yes",'Effectiveness settings'!BU533=2,'Effectiveness settings'!BX533=2),1,GN533)</f>
        <v>1</v>
      </c>
      <c r="GZ533" s="58">
        <f t="shared" si="872"/>
        <v>1</v>
      </c>
      <c r="HB533" s="58">
        <f t="shared" si="873"/>
        <v>0</v>
      </c>
      <c r="HD533" s="58">
        <f t="shared" si="846"/>
        <v>0</v>
      </c>
      <c r="HE533" s="58">
        <f t="shared" si="847"/>
        <v>3</v>
      </c>
      <c r="HF533" s="58">
        <f t="shared" si="848"/>
        <v>6</v>
      </c>
      <c r="HG533" s="58">
        <f t="shared" si="849"/>
        <v>2</v>
      </c>
      <c r="HH533" s="58">
        <f t="shared" si="850"/>
        <v>1</v>
      </c>
    </row>
    <row r="534" spans="69:216" ht="15.75" x14ac:dyDescent="0.25">
      <c r="BQ534" s="58">
        <f t="shared" si="853"/>
        <v>316</v>
      </c>
      <c r="BR534" s="61">
        <v>0</v>
      </c>
      <c r="BS534" s="61" t="s">
        <v>31</v>
      </c>
      <c r="BT534" s="17">
        <v>3</v>
      </c>
      <c r="BU534" s="17">
        <v>7</v>
      </c>
      <c r="BV534" s="17" t="str">
        <f t="shared" si="874"/>
        <v>sunitinib</v>
      </c>
      <c r="BW534" s="1006" t="str" cm="1">
        <f t="array" ref="BW534">IF(AL296="No",AL296,INDEX(List_incl_anal_3L_all,IF(BU534=999,35,BU534+1)))</f>
        <v>Yes</v>
      </c>
      <c r="BX534" s="61">
        <f t="shared" si="875"/>
        <v>2</v>
      </c>
      <c r="BY534" s="531" t="str">
        <f t="shared" si="899"/>
        <v>Time to treatment discontinuation</v>
      </c>
      <c r="BZ534" s="530" t="str">
        <f t="shared" si="876"/>
        <v>Apply HR to</v>
      </c>
      <c r="CA534" s="531">
        <f t="shared" si="898"/>
        <v>0</v>
      </c>
      <c r="CB534" s="530">
        <f t="shared" si="877"/>
        <v>0</v>
      </c>
      <c r="CC534" s="530">
        <f t="shared" si="878"/>
        <v>3</v>
      </c>
      <c r="CD534" s="530">
        <f t="shared" si="879"/>
        <v>7</v>
      </c>
      <c r="CE534" s="1295">
        <f t="shared" si="880"/>
        <v>2</v>
      </c>
      <c r="CF534" s="1301">
        <f t="shared" si="881"/>
        <v>1</v>
      </c>
      <c r="CG534" s="530" t="str">
        <f t="shared" si="882"/>
        <v/>
      </c>
      <c r="CH534" s="505">
        <f t="shared" si="883"/>
        <v>1.19</v>
      </c>
      <c r="CI534" s="505">
        <f t="shared" si="884"/>
        <v>1.1499999999999999</v>
      </c>
      <c r="CJ534" s="505">
        <f t="shared" si="885"/>
        <v>1.24</v>
      </c>
      <c r="DK534" s="58" t="str" cm="1">
        <f t="array" ref="DK534">IF(AND($BT534=4,$BX534=4,$BU534=999),$DB$36,_xlfn.IFNA(INDEX(DB$13:DB$70,MATCH(1,($BR534=$CV$13:$CV$70)*($BT534=$CX$13:$CX$70)*($CE534=$CY$13:$CY$70)*($BY534=$DA$13:$DA$70)*($CD534=$DH$13:$DH$70),0)),""))</f>
        <v/>
      </c>
      <c r="DL534" s="58" t="str" cm="1">
        <f t="array" ref="DL534">IF(AND($BT534=4,$BX534=4,$BU534=999),$DC$36,_xlfn.IFNA(INDEX(CHOOSE(DP534,DB$13:DB$70,DC$13:DC$70,DD$13:DD$70,DE$13:DE$70),MATCH(1,($BR534=$CV$13:$CV$70)*($BT534=$CX$13:$CX$70)*($CE534=$CY$13:$CY$70)*($BY534=$DA$13:$DA$70)*($CD534=$DH$13:$DH$70),0)),""))</f>
        <v/>
      </c>
      <c r="DM534" s="740" t="str" cm="1">
        <f t="array" ref="DM534">IF(AND($BT534=4,$BX534=4,$BU534=999),$DD$36,_xlfn.IFNA(INDEX(DD$13:DD$68,MATCH(1,($BR534=$CV$13:$CV$68)*($BT534=$CX$13:$CX$68)*($CE534=$CY$13:$CY$68)*($BY534=$DA$13:$DA$68)*($CD534=$DH$13:$DH$68),0)),""))</f>
        <v/>
      </c>
      <c r="DN534" s="740" t="str" cm="1">
        <f t="array" ref="DN534">IF(AND($BT534=4,$BX534=4,$BU534=999),$DD$36,_xlfn.IFNA(INDEX(DE$13:DE$68,MATCH(1,($BR534=$CV$13:$CV$68)*($BT534=$CX$13:$CX$68)*($CE534=$CY$13:$CY$68)*($BY534=$DA$13:$DA$68)*($CD534=$DH$13:$DH$68),0)),""))</f>
        <v/>
      </c>
      <c r="DO534" s="58" t="str" cm="1">
        <f t="array" ref="DO534">IF(AND($BT534=4,$BX534=4,$BU534=999),$DF$36,_xlfn.IFNA(INDEX(DF$13:DF$70,MATCH(1,($BR534=$CV$13:$CV$70)*($BT534=$CX$13:$CX$70)*($CE534=$CY$13:$CY$70)*($BY534=$DA$13:$DA$70)*($CD534=$DH$13:$DH$70),0)),""))</f>
        <v/>
      </c>
      <c r="DP534" s="58" t="e">
        <f t="shared" si="854"/>
        <v>#N/A</v>
      </c>
      <c r="DW534" s="58" t="s">
        <v>74</v>
      </c>
      <c r="DX534" s="58" t="s">
        <v>554</v>
      </c>
      <c r="DY534" s="58" t="s">
        <v>578</v>
      </c>
      <c r="DZ534" s="58">
        <v>0</v>
      </c>
      <c r="EB534" s="58">
        <v>0</v>
      </c>
      <c r="EC534" s="58">
        <v>3</v>
      </c>
      <c r="ED534" s="58">
        <v>7</v>
      </c>
      <c r="EE534" s="58">
        <v>2</v>
      </c>
      <c r="EF534" s="58">
        <v>1</v>
      </c>
      <c r="EI534" s="58" t="s">
        <v>74</v>
      </c>
      <c r="EJ534" s="58" t="s">
        <v>554</v>
      </c>
      <c r="EK534" s="58" t="s">
        <v>578</v>
      </c>
      <c r="EL534" s="58">
        <v>0</v>
      </c>
      <c r="EN534" s="58">
        <v>0</v>
      </c>
      <c r="EO534" s="58">
        <v>3</v>
      </c>
      <c r="EP534" s="58">
        <v>7</v>
      </c>
      <c r="EQ534" s="58">
        <v>1</v>
      </c>
      <c r="ER534" s="58">
        <v>1</v>
      </c>
      <c r="EU534" s="58" t="str">
        <f t="shared" si="886"/>
        <v>Yes</v>
      </c>
      <c r="EV534" s="58" t="str">
        <f t="shared" si="887"/>
        <v>Time to treatment discontinuation</v>
      </c>
      <c r="EW534" s="58" t="str">
        <f t="shared" si="888"/>
        <v>Apply HR to</v>
      </c>
      <c r="EX534" s="58">
        <f t="shared" si="889"/>
        <v>0</v>
      </c>
      <c r="EZ534" s="58">
        <f t="shared" si="890"/>
        <v>0</v>
      </c>
      <c r="FA534" s="58">
        <f t="shared" si="891"/>
        <v>3</v>
      </c>
      <c r="FB534" s="58">
        <f>IF(i_eff_inputs_based_on_num=2,ED534,(INDEX(Lists!$L$51:$L$85,MATCH(AR296,Lists!$K$51:$K$85,0))))</f>
        <v>7</v>
      </c>
      <c r="FC534" s="58">
        <f>IF(i_eff_inputs_based_on_num=2,EE534,(INDEX(Lists!$L$51:$L$85,MATCH(AS296,Lists!$K$51:$K$85,0))))</f>
        <v>2</v>
      </c>
      <c r="FD534" s="58">
        <f>IF(i_eff_inputs_based_on_num=2,EF534,(INDEX(Lists!$L$51:$L$85,MATCH(AT296,Lists!$K$51:$K$85,0))))</f>
        <v>1</v>
      </c>
      <c r="FG534" s="58" t="str">
        <f t="shared" si="892"/>
        <v>Yes</v>
      </c>
      <c r="FH534" s="58" t="str">
        <f t="shared" si="893"/>
        <v>Time to treatment discontinuation</v>
      </c>
      <c r="FI534" s="58" t="str">
        <f t="shared" si="894"/>
        <v>Apply HR to</v>
      </c>
      <c r="FJ534" s="58">
        <f t="shared" si="895"/>
        <v>0</v>
      </c>
      <c r="FL534" s="58">
        <f t="shared" si="896"/>
        <v>0</v>
      </c>
      <c r="FM534" s="58">
        <f t="shared" si="897"/>
        <v>3</v>
      </c>
      <c r="FN534" s="58">
        <f>IF(i_eff_inputs_based_on_num=2,EP534,(INDEX(Lists!$L$51:$L$85,MATCH(AR296,Lists!$K$51:$K$85,0))))</f>
        <v>7</v>
      </c>
      <c r="FO534" s="58">
        <f>IF(i_eff_inputs_based_on_num=2,EQ534,(INDEX(Lists!$L$51:$L$85,MATCH(AS296,Lists!$K$51:$K$85,0))))</f>
        <v>1</v>
      </c>
      <c r="FP534" s="58">
        <f>IF(i_eff_inputs_based_on_num=2,ER534,(INDEX(Lists!$L$51:$L$85,MATCH(AT296,Lists!$K$51:$K$85,0))))</f>
        <v>1</v>
      </c>
      <c r="FT534" s="58">
        <f t="shared" si="855"/>
        <v>0</v>
      </c>
      <c r="FW534" s="58" t="str">
        <f>IF(i_baseline_risk_from=2,'Effectiveness settings'!EW534,'Effectiveness settings'!FI534)</f>
        <v>Apply HR to</v>
      </c>
      <c r="FX534" s="58" t="str">
        <f t="shared" si="856"/>
        <v>Apply HR to</v>
      </c>
      <c r="FY534" s="58" t="str">
        <f t="shared" si="857"/>
        <v>Apply HR to</v>
      </c>
      <c r="FZ534" s="58" t="str">
        <f t="shared" si="858"/>
        <v>Apply HR to</v>
      </c>
      <c r="GA534" s="58" t="str">
        <f t="shared" si="859"/>
        <v>Apply HR to</v>
      </c>
      <c r="GB534" s="58" t="str">
        <f t="shared" si="860"/>
        <v>Apply HR to</v>
      </c>
      <c r="GC534" s="58" t="str">
        <f t="shared" si="861"/>
        <v>Apply HR to</v>
      </c>
      <c r="GD534" s="58" t="str">
        <f t="shared" si="862"/>
        <v>Apply HR to</v>
      </c>
      <c r="GE534" s="58" t="str">
        <f>IF(AND(dd_CheckMate214_TTD="Yes",'Effectiveness settings'!BU534=2,'Effectiveness settings'!BX534=2),"Apply HR to",GD534)</f>
        <v>Apply HR to</v>
      </c>
      <c r="GF534" s="58" t="str">
        <f t="shared" si="863"/>
        <v>Apply HR to</v>
      </c>
      <c r="GG534" s="58" t="str">
        <f t="shared" si="864"/>
        <v>Apply HR to</v>
      </c>
      <c r="GH534" s="58" t="str">
        <f t="shared" si="865"/>
        <v>Apply HR to</v>
      </c>
      <c r="GI534" s="58" t="str">
        <f t="shared" si="851"/>
        <v>Apply HR to</v>
      </c>
      <c r="GK534" s="58">
        <f>IF(i_baseline_risk_from=2,'Effectiveness settings'!FA534,'Effectiveness settings'!FM534)</f>
        <v>3</v>
      </c>
      <c r="GL534" s="58">
        <f>IF(i_baseline_risk_from=2,'Effectiveness settings'!FB534,'Effectiveness settings'!FN534)</f>
        <v>7</v>
      </c>
      <c r="GM534" s="58">
        <f>IF(i_baseline_risk_from=2,'Effectiveness settings'!FC534,'Effectiveness settings'!FO534)</f>
        <v>2</v>
      </c>
      <c r="GN534" s="58">
        <f>IF(i_baseline_risk_from=2,'Effectiveness settings'!FD534,'Effectiveness settings'!FP534)</f>
        <v>1</v>
      </c>
      <c r="GQ534" s="58">
        <f t="shared" si="866"/>
        <v>7</v>
      </c>
      <c r="GR534" s="58">
        <f t="shared" si="867"/>
        <v>7</v>
      </c>
      <c r="GS534" s="58">
        <f t="shared" si="868"/>
        <v>7</v>
      </c>
      <c r="GT534" s="58">
        <f t="shared" si="869"/>
        <v>7</v>
      </c>
      <c r="GU534" s="58">
        <f>IF(AND(dd_CheckMate214_TTD="Yes",'Effectiveness settings'!BU534=2,'Effectiveness settings'!BX534=2),2,GT534)</f>
        <v>7</v>
      </c>
      <c r="GV534" s="58">
        <f t="shared" si="870"/>
        <v>7</v>
      </c>
      <c r="GW534" s="58">
        <f t="shared" si="871"/>
        <v>7</v>
      </c>
      <c r="GY534" s="58">
        <f>IF(AND(dd_CheckMate214_TTD="Yes",'Effectiveness settings'!BU534=2,'Effectiveness settings'!BX534=2),1,GN534)</f>
        <v>1</v>
      </c>
      <c r="GZ534" s="58">
        <f t="shared" si="872"/>
        <v>1</v>
      </c>
      <c r="HB534" s="58">
        <f t="shared" si="873"/>
        <v>0</v>
      </c>
      <c r="HD534" s="58">
        <f t="shared" si="846"/>
        <v>0</v>
      </c>
      <c r="HE534" s="58">
        <f t="shared" si="847"/>
        <v>3</v>
      </c>
      <c r="HF534" s="58">
        <f t="shared" si="848"/>
        <v>7</v>
      </c>
      <c r="HG534" s="58">
        <f t="shared" si="849"/>
        <v>2</v>
      </c>
      <c r="HH534" s="58">
        <f t="shared" si="850"/>
        <v>1</v>
      </c>
    </row>
    <row r="535" spans="69:216" ht="15.75" x14ac:dyDescent="0.25">
      <c r="BQ535" s="58">
        <f t="shared" si="853"/>
        <v>317</v>
      </c>
      <c r="BR535" s="61">
        <v>0</v>
      </c>
      <c r="BS535" s="61" t="s">
        <v>31</v>
      </c>
      <c r="BT535" s="17">
        <v>3</v>
      </c>
      <c r="BU535" s="17">
        <v>8</v>
      </c>
      <c r="BV535" s="17" t="str">
        <f t="shared" si="874"/>
        <v>cabozantinib</v>
      </c>
      <c r="BW535" s="1006" t="str" cm="1">
        <f t="array" ref="BW535">IF(AL297="No",AL297,INDEX(List_incl_anal_3L_all,IF(BU535=999,35,BU535+1)))</f>
        <v>Yes</v>
      </c>
      <c r="BX535" s="61">
        <f t="shared" si="875"/>
        <v>2</v>
      </c>
      <c r="BY535" s="531" t="str">
        <f t="shared" si="899"/>
        <v>Time to treatment discontinuation</v>
      </c>
      <c r="BZ535" s="530" t="str">
        <f t="shared" si="876"/>
        <v>Apply HR to</v>
      </c>
      <c r="CA535" s="531">
        <f t="shared" si="898"/>
        <v>0</v>
      </c>
      <c r="CB535" s="530">
        <f t="shared" si="877"/>
        <v>0</v>
      </c>
      <c r="CC535" s="530">
        <f t="shared" si="878"/>
        <v>3</v>
      </c>
      <c r="CD535" s="530">
        <f t="shared" si="879"/>
        <v>8</v>
      </c>
      <c r="CE535" s="1295">
        <f t="shared" si="880"/>
        <v>2</v>
      </c>
      <c r="CF535" s="1301">
        <f t="shared" si="881"/>
        <v>1</v>
      </c>
      <c r="CG535" s="530" t="str">
        <f t="shared" si="882"/>
        <v/>
      </c>
      <c r="CH535" s="505">
        <f t="shared" si="883"/>
        <v>1.19</v>
      </c>
      <c r="CI535" s="505">
        <f t="shared" si="884"/>
        <v>1.1499999999999999</v>
      </c>
      <c r="CJ535" s="505">
        <f t="shared" si="885"/>
        <v>1.24</v>
      </c>
      <c r="DK535" s="58" t="str" cm="1">
        <f t="array" ref="DK535">IF(AND($BT535=4,$BX535=4,$BU535=999),$DB$36,_xlfn.IFNA(INDEX(DB$13:DB$70,MATCH(1,($BR535=$CV$13:$CV$70)*($BT535=$CX$13:$CX$70)*($CE535=$CY$13:$CY$70)*($BY535=$DA$13:$DA$70)*($CD535=$DH$13:$DH$70),0)),""))</f>
        <v/>
      </c>
      <c r="DL535" s="58" t="str" cm="1">
        <f t="array" ref="DL535">IF(AND($BT535=4,$BX535=4,$BU535=999),$DC$36,_xlfn.IFNA(INDEX(CHOOSE(DP535,DB$13:DB$70,DC$13:DC$70,DD$13:DD$70,DE$13:DE$70),MATCH(1,($BR535=$CV$13:$CV$70)*($BT535=$CX$13:$CX$70)*($CE535=$CY$13:$CY$70)*($BY535=$DA$13:$DA$70)*($CD535=$DH$13:$DH$70),0)),""))</f>
        <v/>
      </c>
      <c r="DM535" s="740" t="str" cm="1">
        <f t="array" ref="DM535">IF(AND($BT535=4,$BX535=4,$BU535=999),$DD$36,_xlfn.IFNA(INDEX(DD$13:DD$68,MATCH(1,($BR535=$CV$13:$CV$68)*($BT535=$CX$13:$CX$68)*($CE535=$CY$13:$CY$68)*($BY535=$DA$13:$DA$68)*($CD535=$DH$13:$DH$68),0)),""))</f>
        <v/>
      </c>
      <c r="DN535" s="740" t="str" cm="1">
        <f t="array" ref="DN535">IF(AND($BT535=4,$BX535=4,$BU535=999),$DD$36,_xlfn.IFNA(INDEX(DE$13:DE$68,MATCH(1,($BR535=$CV$13:$CV$68)*($BT535=$CX$13:$CX$68)*($CE535=$CY$13:$CY$68)*($BY535=$DA$13:$DA$68)*($CD535=$DH$13:$DH$68),0)),""))</f>
        <v/>
      </c>
      <c r="DO535" s="58" t="str" cm="1">
        <f t="array" ref="DO535">IF(AND($BT535=4,$BX535=4,$BU535=999),$DF$36,_xlfn.IFNA(INDEX(DF$13:DF$70,MATCH(1,($BR535=$CV$13:$CV$70)*($BT535=$CX$13:$CX$70)*($CE535=$CY$13:$CY$70)*($BY535=$DA$13:$DA$70)*($CD535=$DH$13:$DH$70),0)),""))</f>
        <v/>
      </c>
      <c r="DP535" s="58" t="e">
        <f t="shared" si="854"/>
        <v>#N/A</v>
      </c>
      <c r="DW535" s="58" t="s">
        <v>74</v>
      </c>
      <c r="DX535" s="58" t="s">
        <v>554</v>
      </c>
      <c r="DY535" s="58" t="s">
        <v>578</v>
      </c>
      <c r="DZ535" s="58">
        <v>0</v>
      </c>
      <c r="EB535" s="58">
        <v>0</v>
      </c>
      <c r="EC535" s="58">
        <v>3</v>
      </c>
      <c r="ED535" s="58">
        <v>8</v>
      </c>
      <c r="EE535" s="58">
        <v>2</v>
      </c>
      <c r="EF535" s="58">
        <v>1</v>
      </c>
      <c r="EI535" s="58" t="s">
        <v>74</v>
      </c>
      <c r="EJ535" s="58" t="s">
        <v>554</v>
      </c>
      <c r="EK535" s="58" t="s">
        <v>578</v>
      </c>
      <c r="EL535" s="58">
        <v>0</v>
      </c>
      <c r="EN535" s="58">
        <v>0</v>
      </c>
      <c r="EO535" s="58">
        <v>3</v>
      </c>
      <c r="EP535" s="58">
        <v>8</v>
      </c>
      <c r="EQ535" s="58">
        <v>1</v>
      </c>
      <c r="ER535" s="58">
        <v>1</v>
      </c>
      <c r="EU535" s="58" t="str">
        <f t="shared" si="886"/>
        <v>Yes</v>
      </c>
      <c r="EV535" s="58" t="str">
        <f t="shared" si="887"/>
        <v>Time to treatment discontinuation</v>
      </c>
      <c r="EW535" s="58" t="str">
        <f t="shared" si="888"/>
        <v>Apply HR to</v>
      </c>
      <c r="EX535" s="58">
        <f t="shared" si="889"/>
        <v>0</v>
      </c>
      <c r="EZ535" s="58">
        <f t="shared" si="890"/>
        <v>0</v>
      </c>
      <c r="FA535" s="58">
        <f t="shared" si="891"/>
        <v>3</v>
      </c>
      <c r="FB535" s="58">
        <f>IF(i_eff_inputs_based_on_num=2,ED535,(INDEX(Lists!$L$51:$L$85,MATCH(AR297,Lists!$K$51:$K$85,0))))</f>
        <v>8</v>
      </c>
      <c r="FC535" s="58">
        <f>IF(i_eff_inputs_based_on_num=2,EE535,(INDEX(Lists!$L$51:$L$85,MATCH(AS297,Lists!$K$51:$K$85,0))))</f>
        <v>2</v>
      </c>
      <c r="FD535" s="58">
        <f>IF(i_eff_inputs_based_on_num=2,EF535,(INDEX(Lists!$L$51:$L$85,MATCH(AT297,Lists!$K$51:$K$85,0))))</f>
        <v>1</v>
      </c>
      <c r="FG535" s="58" t="str">
        <f t="shared" si="892"/>
        <v>Yes</v>
      </c>
      <c r="FH535" s="58" t="str">
        <f t="shared" si="893"/>
        <v>Time to treatment discontinuation</v>
      </c>
      <c r="FI535" s="58" t="str">
        <f t="shared" si="894"/>
        <v>Apply HR to</v>
      </c>
      <c r="FJ535" s="58">
        <f t="shared" si="895"/>
        <v>0</v>
      </c>
      <c r="FL535" s="58">
        <f t="shared" si="896"/>
        <v>0</v>
      </c>
      <c r="FM535" s="58">
        <f t="shared" si="897"/>
        <v>3</v>
      </c>
      <c r="FN535" s="58">
        <f>IF(i_eff_inputs_based_on_num=2,EP535,(INDEX(Lists!$L$51:$L$85,MATCH(AR297,Lists!$K$51:$K$85,0))))</f>
        <v>8</v>
      </c>
      <c r="FO535" s="58">
        <f>IF(i_eff_inputs_based_on_num=2,EQ535,(INDEX(Lists!$L$51:$L$85,MATCH(AS297,Lists!$K$51:$K$85,0))))</f>
        <v>1</v>
      </c>
      <c r="FP535" s="58">
        <f>IF(i_eff_inputs_based_on_num=2,ER535,(INDEX(Lists!$L$51:$L$85,MATCH(AT297,Lists!$K$51:$K$85,0))))</f>
        <v>1</v>
      </c>
      <c r="FT535" s="58">
        <f t="shared" si="855"/>
        <v>0</v>
      </c>
      <c r="FW535" s="58" t="str">
        <f>IF(i_baseline_risk_from=2,'Effectiveness settings'!EW535,'Effectiveness settings'!FI535)</f>
        <v>Apply HR to</v>
      </c>
      <c r="FX535" s="58" t="str">
        <f t="shared" si="856"/>
        <v>Apply HR to</v>
      </c>
      <c r="FY535" s="58" t="str">
        <f t="shared" si="857"/>
        <v>Apply HR to</v>
      </c>
      <c r="FZ535" s="58" t="str">
        <f t="shared" si="858"/>
        <v>Apply HR to</v>
      </c>
      <c r="GA535" s="58" t="str">
        <f t="shared" si="859"/>
        <v>Apply HR to</v>
      </c>
      <c r="GB535" s="58" t="str">
        <f t="shared" si="860"/>
        <v>Apply HR to</v>
      </c>
      <c r="GC535" s="58" t="str">
        <f t="shared" si="861"/>
        <v>Apply HR to</v>
      </c>
      <c r="GD535" s="58" t="str">
        <f t="shared" si="862"/>
        <v>Apply HR to</v>
      </c>
      <c r="GE535" s="58" t="str">
        <f>IF(AND(dd_CheckMate214_TTD="Yes",'Effectiveness settings'!BU535=2,'Effectiveness settings'!BX535=2),"Apply HR to",GD535)</f>
        <v>Apply HR to</v>
      </c>
      <c r="GF535" s="58" t="str">
        <f t="shared" si="863"/>
        <v>Apply HR to</v>
      </c>
      <c r="GG535" s="58" t="str">
        <f t="shared" si="864"/>
        <v>Apply HR to</v>
      </c>
      <c r="GH535" s="58" t="str">
        <f t="shared" si="865"/>
        <v>Apply HR to</v>
      </c>
      <c r="GI535" s="58" t="str">
        <f t="shared" si="851"/>
        <v>Apply HR to</v>
      </c>
      <c r="GK535" s="58">
        <f>IF(i_baseline_risk_from=2,'Effectiveness settings'!FA535,'Effectiveness settings'!FM535)</f>
        <v>3</v>
      </c>
      <c r="GL535" s="58">
        <f>IF(i_baseline_risk_from=2,'Effectiveness settings'!FB535,'Effectiveness settings'!FN535)</f>
        <v>8</v>
      </c>
      <c r="GM535" s="58">
        <f>IF(i_baseline_risk_from=2,'Effectiveness settings'!FC535,'Effectiveness settings'!FO535)</f>
        <v>2</v>
      </c>
      <c r="GN535" s="58">
        <f>IF(i_baseline_risk_from=2,'Effectiveness settings'!FD535,'Effectiveness settings'!FP535)</f>
        <v>1</v>
      </c>
      <c r="GQ535" s="58">
        <f t="shared" si="866"/>
        <v>8</v>
      </c>
      <c r="GR535" s="58">
        <f t="shared" si="867"/>
        <v>8</v>
      </c>
      <c r="GS535" s="58">
        <f t="shared" si="868"/>
        <v>8</v>
      </c>
      <c r="GT535" s="58">
        <f t="shared" si="869"/>
        <v>8</v>
      </c>
      <c r="GU535" s="58">
        <f>IF(AND(dd_CheckMate214_TTD="Yes",'Effectiveness settings'!BU535=2,'Effectiveness settings'!BX535=2),2,GT535)</f>
        <v>8</v>
      </c>
      <c r="GV535" s="58">
        <f t="shared" si="870"/>
        <v>8</v>
      </c>
      <c r="GW535" s="58">
        <f t="shared" si="871"/>
        <v>8</v>
      </c>
      <c r="GY535" s="58">
        <f>IF(AND(dd_CheckMate214_TTD="Yes",'Effectiveness settings'!BU535=2,'Effectiveness settings'!BX535=2),1,GN535)</f>
        <v>1</v>
      </c>
      <c r="GZ535" s="58">
        <f t="shared" si="872"/>
        <v>1</v>
      </c>
      <c r="HB535" s="58">
        <f t="shared" si="873"/>
        <v>0</v>
      </c>
      <c r="HD535" s="58">
        <f t="shared" si="846"/>
        <v>0</v>
      </c>
      <c r="HE535" s="58">
        <f t="shared" si="847"/>
        <v>3</v>
      </c>
      <c r="HF535" s="58">
        <f t="shared" si="848"/>
        <v>8</v>
      </c>
      <c r="HG535" s="58">
        <f t="shared" si="849"/>
        <v>2</v>
      </c>
      <c r="HH535" s="58">
        <f t="shared" si="850"/>
        <v>1</v>
      </c>
    </row>
    <row r="536" spans="69:216" ht="15.75" x14ac:dyDescent="0.25">
      <c r="BQ536" s="58">
        <f t="shared" si="853"/>
        <v>318</v>
      </c>
      <c r="BR536" s="61">
        <v>0</v>
      </c>
      <c r="BS536" s="61" t="s">
        <v>31</v>
      </c>
      <c r="BT536" s="17">
        <v>3</v>
      </c>
      <c r="BU536" s="17">
        <v>9</v>
      </c>
      <c r="BV536" s="17" t="str">
        <f t="shared" si="874"/>
        <v>lenvatinib_plus_everolimus</v>
      </c>
      <c r="BW536" s="1006" t="str" cm="1">
        <f t="array" ref="BW536">IF(AL298="No",AL298,INDEX(List_incl_anal_3L_all,IF(BU536=999,35,BU536+1)))</f>
        <v>Yes</v>
      </c>
      <c r="BX536" s="61">
        <f t="shared" si="875"/>
        <v>2</v>
      </c>
      <c r="BY536" s="531" t="str">
        <f t="shared" si="899"/>
        <v>Time to treatment discontinuation</v>
      </c>
      <c r="BZ536" s="530" t="str">
        <f t="shared" si="876"/>
        <v>Apply HR to</v>
      </c>
      <c r="CA536" s="531">
        <f t="shared" si="898"/>
        <v>0</v>
      </c>
      <c r="CB536" s="530">
        <f t="shared" si="877"/>
        <v>0</v>
      </c>
      <c r="CC536" s="530">
        <f t="shared" si="878"/>
        <v>3</v>
      </c>
      <c r="CD536" s="530">
        <f t="shared" si="879"/>
        <v>9</v>
      </c>
      <c r="CE536" s="1295">
        <f t="shared" si="880"/>
        <v>2</v>
      </c>
      <c r="CF536" s="1301">
        <f t="shared" si="881"/>
        <v>1</v>
      </c>
      <c r="CG536" s="530" t="str">
        <f t="shared" si="882"/>
        <v/>
      </c>
      <c r="CH536" s="505">
        <f t="shared" si="883"/>
        <v>1.19</v>
      </c>
      <c r="CI536" s="505">
        <f t="shared" si="884"/>
        <v>1.1499999999999999</v>
      </c>
      <c r="CJ536" s="505">
        <f t="shared" si="885"/>
        <v>1.24</v>
      </c>
      <c r="DK536" s="58" t="str" cm="1">
        <f t="array" ref="DK536">IF(AND($BT536=4,$BX536=4,$BU536=999),$DB$36,_xlfn.IFNA(INDEX(DB$13:DB$70,MATCH(1,($BR536=$CV$13:$CV$70)*($BT536=$CX$13:$CX$70)*($CE536=$CY$13:$CY$70)*($BY536=$DA$13:$DA$70)*($CD536=$DH$13:$DH$70),0)),""))</f>
        <v/>
      </c>
      <c r="DL536" s="58" t="str" cm="1">
        <f t="array" ref="DL536">IF(AND($BT536=4,$BX536=4,$BU536=999),$DC$36,_xlfn.IFNA(INDEX(CHOOSE(DP536,DB$13:DB$70,DC$13:DC$70,DD$13:DD$70,DE$13:DE$70),MATCH(1,($BR536=$CV$13:$CV$70)*($BT536=$CX$13:$CX$70)*($CE536=$CY$13:$CY$70)*($BY536=$DA$13:$DA$70)*($CD536=$DH$13:$DH$70),0)),""))</f>
        <v/>
      </c>
      <c r="DM536" s="740" t="str" cm="1">
        <f t="array" ref="DM536">IF(AND($BT536=4,$BX536=4,$BU536=999),$DD$36,_xlfn.IFNA(INDEX(DD$13:DD$68,MATCH(1,($BR536=$CV$13:$CV$68)*($BT536=$CX$13:$CX$68)*($CE536=$CY$13:$CY$68)*($BY536=$DA$13:$DA$68)*($CD536=$DH$13:$DH$68),0)),""))</f>
        <v/>
      </c>
      <c r="DN536" s="740" t="str" cm="1">
        <f t="array" ref="DN536">IF(AND($BT536=4,$BX536=4,$BU536=999),$DD$36,_xlfn.IFNA(INDEX(DE$13:DE$68,MATCH(1,($BR536=$CV$13:$CV$68)*($BT536=$CX$13:$CX$68)*($CE536=$CY$13:$CY$68)*($BY536=$DA$13:$DA$68)*($CD536=$DH$13:$DH$68),0)),""))</f>
        <v/>
      </c>
      <c r="DO536" s="58" t="str" cm="1">
        <f t="array" ref="DO536">IF(AND($BT536=4,$BX536=4,$BU536=999),$DF$36,_xlfn.IFNA(INDEX(DF$13:DF$70,MATCH(1,($BR536=$CV$13:$CV$70)*($BT536=$CX$13:$CX$70)*($CE536=$CY$13:$CY$70)*($BY536=$DA$13:$DA$70)*($CD536=$DH$13:$DH$70),0)),""))</f>
        <v/>
      </c>
      <c r="DP536" s="58" t="e">
        <f t="shared" si="854"/>
        <v>#N/A</v>
      </c>
      <c r="DW536" s="58" t="s">
        <v>74</v>
      </c>
      <c r="DX536" s="58" t="s">
        <v>554</v>
      </c>
      <c r="DY536" s="58" t="s">
        <v>578</v>
      </c>
      <c r="DZ536" s="58">
        <v>0</v>
      </c>
      <c r="EB536" s="58">
        <v>0</v>
      </c>
      <c r="EC536" s="58">
        <v>3</v>
      </c>
      <c r="ED536" s="58">
        <v>9</v>
      </c>
      <c r="EE536" s="58">
        <v>2</v>
      </c>
      <c r="EF536" s="58">
        <v>1</v>
      </c>
      <c r="EI536" s="58" t="s">
        <v>74</v>
      </c>
      <c r="EJ536" s="58" t="s">
        <v>554</v>
      </c>
      <c r="EK536" s="58" t="s">
        <v>578</v>
      </c>
      <c r="EL536" s="58">
        <v>0</v>
      </c>
      <c r="EN536" s="58">
        <v>0</v>
      </c>
      <c r="EO536" s="58">
        <v>3</v>
      </c>
      <c r="EP536" s="58">
        <v>9</v>
      </c>
      <c r="EQ536" s="58">
        <v>1</v>
      </c>
      <c r="ER536" s="58">
        <v>1</v>
      </c>
      <c r="EU536" s="58" t="str">
        <f t="shared" si="886"/>
        <v>Yes</v>
      </c>
      <c r="EV536" s="58" t="str">
        <f t="shared" si="887"/>
        <v>Time to treatment discontinuation</v>
      </c>
      <c r="EW536" s="58" t="str">
        <f t="shared" si="888"/>
        <v>Apply HR to</v>
      </c>
      <c r="EX536" s="58">
        <f t="shared" si="889"/>
        <v>0</v>
      </c>
      <c r="EZ536" s="58">
        <f t="shared" si="890"/>
        <v>0</v>
      </c>
      <c r="FA536" s="58">
        <f t="shared" si="891"/>
        <v>3</v>
      </c>
      <c r="FB536" s="58">
        <f>IF(i_eff_inputs_based_on_num=2,ED536,(INDEX(Lists!$L$51:$L$85,MATCH(AR298,Lists!$K$51:$K$85,0))))</f>
        <v>9</v>
      </c>
      <c r="FC536" s="58">
        <f>IF(i_eff_inputs_based_on_num=2,EE536,(INDEX(Lists!$L$51:$L$85,MATCH(AS298,Lists!$K$51:$K$85,0))))</f>
        <v>2</v>
      </c>
      <c r="FD536" s="58">
        <f>IF(i_eff_inputs_based_on_num=2,EF536,(INDEX(Lists!$L$51:$L$85,MATCH(AT298,Lists!$K$51:$K$85,0))))</f>
        <v>1</v>
      </c>
      <c r="FG536" s="58" t="str">
        <f t="shared" si="892"/>
        <v>Yes</v>
      </c>
      <c r="FH536" s="58" t="str">
        <f t="shared" si="893"/>
        <v>Time to treatment discontinuation</v>
      </c>
      <c r="FI536" s="58" t="str">
        <f t="shared" si="894"/>
        <v>Apply HR to</v>
      </c>
      <c r="FJ536" s="58">
        <f t="shared" si="895"/>
        <v>0</v>
      </c>
      <c r="FL536" s="58">
        <f t="shared" si="896"/>
        <v>0</v>
      </c>
      <c r="FM536" s="58">
        <f t="shared" si="897"/>
        <v>3</v>
      </c>
      <c r="FN536" s="58">
        <f>IF(i_eff_inputs_based_on_num=2,EP536,(INDEX(Lists!$L$51:$L$85,MATCH(AR298,Lists!$K$51:$K$85,0))))</f>
        <v>9</v>
      </c>
      <c r="FO536" s="58">
        <f>IF(i_eff_inputs_based_on_num=2,EQ536,(INDEX(Lists!$L$51:$L$85,MATCH(AS298,Lists!$K$51:$K$85,0))))</f>
        <v>1</v>
      </c>
      <c r="FP536" s="58">
        <f>IF(i_eff_inputs_based_on_num=2,ER536,(INDEX(Lists!$L$51:$L$85,MATCH(AT298,Lists!$K$51:$K$85,0))))</f>
        <v>1</v>
      </c>
      <c r="FT536" s="58">
        <f t="shared" si="855"/>
        <v>0</v>
      </c>
      <c r="FW536" s="58" t="str">
        <f>IF(i_baseline_risk_from=2,'Effectiveness settings'!EW536,'Effectiveness settings'!FI536)</f>
        <v>Apply HR to</v>
      </c>
      <c r="FX536" s="58" t="str">
        <f t="shared" si="856"/>
        <v>Apply HR to</v>
      </c>
      <c r="FY536" s="58" t="str">
        <f t="shared" si="857"/>
        <v>Apply HR to</v>
      </c>
      <c r="FZ536" s="58" t="str">
        <f t="shared" si="858"/>
        <v>Apply HR to</v>
      </c>
      <c r="GA536" s="58" t="str">
        <f t="shared" si="859"/>
        <v>Apply HR to</v>
      </c>
      <c r="GB536" s="58" t="str">
        <f t="shared" si="860"/>
        <v>Apply HR to</v>
      </c>
      <c r="GC536" s="58" t="str">
        <f t="shared" si="861"/>
        <v>Apply HR to</v>
      </c>
      <c r="GD536" s="58" t="str">
        <f t="shared" si="862"/>
        <v>Apply HR to</v>
      </c>
      <c r="GE536" s="58" t="str">
        <f>IF(AND(dd_CheckMate214_TTD="Yes",'Effectiveness settings'!BU536=2,'Effectiveness settings'!BX536=2),"Apply HR to",GD536)</f>
        <v>Apply HR to</v>
      </c>
      <c r="GF536" s="58" t="str">
        <f t="shared" si="863"/>
        <v>Apply HR to</v>
      </c>
      <c r="GG536" s="58" t="str">
        <f t="shared" si="864"/>
        <v>Apply HR to</v>
      </c>
      <c r="GH536" s="58" t="str">
        <f t="shared" si="865"/>
        <v>Apply HR to</v>
      </c>
      <c r="GI536" s="58" t="str">
        <f t="shared" si="851"/>
        <v>Apply HR to</v>
      </c>
      <c r="GK536" s="58">
        <f>IF(i_baseline_risk_from=2,'Effectiveness settings'!FA536,'Effectiveness settings'!FM536)</f>
        <v>3</v>
      </c>
      <c r="GL536" s="58">
        <f>IF(i_baseline_risk_from=2,'Effectiveness settings'!FB536,'Effectiveness settings'!FN536)</f>
        <v>9</v>
      </c>
      <c r="GM536" s="58">
        <f>IF(i_baseline_risk_from=2,'Effectiveness settings'!FC536,'Effectiveness settings'!FO536)</f>
        <v>2</v>
      </c>
      <c r="GN536" s="58">
        <f>IF(i_baseline_risk_from=2,'Effectiveness settings'!FD536,'Effectiveness settings'!FP536)</f>
        <v>1</v>
      </c>
      <c r="GQ536" s="58">
        <f t="shared" si="866"/>
        <v>9</v>
      </c>
      <c r="GR536" s="58">
        <f t="shared" si="867"/>
        <v>9</v>
      </c>
      <c r="GS536" s="58">
        <f t="shared" si="868"/>
        <v>9</v>
      </c>
      <c r="GT536" s="58">
        <f t="shared" si="869"/>
        <v>9</v>
      </c>
      <c r="GU536" s="58">
        <f>IF(AND(dd_CheckMate214_TTD="Yes",'Effectiveness settings'!BU536=2,'Effectiveness settings'!BX536=2),2,GT536)</f>
        <v>9</v>
      </c>
      <c r="GV536" s="58">
        <f t="shared" si="870"/>
        <v>9</v>
      </c>
      <c r="GW536" s="58">
        <f t="shared" si="871"/>
        <v>9</v>
      </c>
      <c r="GY536" s="58">
        <f>IF(AND(dd_CheckMate214_TTD="Yes",'Effectiveness settings'!BU536=2,'Effectiveness settings'!BX536=2),1,GN536)</f>
        <v>1</v>
      </c>
      <c r="GZ536" s="58">
        <f t="shared" si="872"/>
        <v>1</v>
      </c>
      <c r="HB536" s="58">
        <f t="shared" si="873"/>
        <v>0</v>
      </c>
      <c r="HD536" s="58">
        <f t="shared" si="846"/>
        <v>0</v>
      </c>
      <c r="HE536" s="58">
        <f t="shared" si="847"/>
        <v>3</v>
      </c>
      <c r="HF536" s="58">
        <f t="shared" si="848"/>
        <v>9</v>
      </c>
      <c r="HG536" s="58">
        <f t="shared" si="849"/>
        <v>2</v>
      </c>
      <c r="HH536" s="58">
        <f t="shared" si="850"/>
        <v>1</v>
      </c>
    </row>
    <row r="537" spans="69:216" ht="15.75" x14ac:dyDescent="0.25">
      <c r="BQ537" s="58">
        <f t="shared" si="853"/>
        <v>319</v>
      </c>
      <c r="BR537" s="61">
        <v>0</v>
      </c>
      <c r="BS537" s="61" t="s">
        <v>31</v>
      </c>
      <c r="BT537" s="17">
        <v>3</v>
      </c>
      <c r="BU537" s="17">
        <v>10</v>
      </c>
      <c r="BV537" s="17" t="str">
        <f t="shared" si="874"/>
        <v>everolimus</v>
      </c>
      <c r="BW537" s="1006" t="str" cm="1">
        <f t="array" ref="BW537">IF(AL299="No",AL299,INDEX(List_incl_anal_3L_all,IF(BU537=999,35,BU537+1)))</f>
        <v>Yes</v>
      </c>
      <c r="BX537" s="61">
        <f t="shared" si="875"/>
        <v>2</v>
      </c>
      <c r="BY537" s="531" t="str">
        <f t="shared" si="899"/>
        <v>Time to treatment discontinuation</v>
      </c>
      <c r="BZ537" s="530" t="str">
        <f t="shared" si="876"/>
        <v>Apply HR to</v>
      </c>
      <c r="CA537" s="531">
        <f t="shared" si="898"/>
        <v>0</v>
      </c>
      <c r="CB537" s="530">
        <f t="shared" si="877"/>
        <v>0</v>
      </c>
      <c r="CC537" s="530">
        <f t="shared" si="878"/>
        <v>3</v>
      </c>
      <c r="CD537" s="530">
        <f t="shared" si="879"/>
        <v>10</v>
      </c>
      <c r="CE537" s="1295">
        <f t="shared" si="880"/>
        <v>2</v>
      </c>
      <c r="CF537" s="1301">
        <f t="shared" si="881"/>
        <v>1</v>
      </c>
      <c r="CG537" s="530" t="str">
        <f t="shared" si="882"/>
        <v/>
      </c>
      <c r="CH537" s="505">
        <f t="shared" si="883"/>
        <v>1.19</v>
      </c>
      <c r="CI537" s="505">
        <f t="shared" si="884"/>
        <v>1.1499999999999999</v>
      </c>
      <c r="CJ537" s="505">
        <f t="shared" si="885"/>
        <v>1.24</v>
      </c>
      <c r="DK537" s="58" t="str" cm="1">
        <f t="array" ref="DK537">IF(AND($BT537=4,$BX537=4,$BU537=999),$DB$36,_xlfn.IFNA(INDEX(DB$13:DB$70,MATCH(1,($BR537=$CV$13:$CV$70)*($BT537=$CX$13:$CX$70)*($CE537=$CY$13:$CY$70)*($BY537=$DA$13:$DA$70)*($CD537=$DH$13:$DH$70),0)),""))</f>
        <v/>
      </c>
      <c r="DL537" s="58" t="str" cm="1">
        <f t="array" ref="DL537">IF(AND($BT537=4,$BX537=4,$BU537=999),$DC$36,_xlfn.IFNA(INDEX(CHOOSE(DP537,DB$13:DB$70,DC$13:DC$70,DD$13:DD$70,DE$13:DE$70),MATCH(1,($BR537=$CV$13:$CV$70)*($BT537=$CX$13:$CX$70)*($CE537=$CY$13:$CY$70)*($BY537=$DA$13:$DA$70)*($CD537=$DH$13:$DH$70),0)),""))</f>
        <v/>
      </c>
      <c r="DM537" s="740" t="str" cm="1">
        <f t="array" ref="DM537">IF(AND($BT537=4,$BX537=4,$BU537=999),$DD$36,_xlfn.IFNA(INDEX(DD$13:DD$68,MATCH(1,($BR537=$CV$13:$CV$68)*($BT537=$CX$13:$CX$68)*($CE537=$CY$13:$CY$68)*($BY537=$DA$13:$DA$68)*($CD537=$DH$13:$DH$68),0)),""))</f>
        <v/>
      </c>
      <c r="DN537" s="740" t="str" cm="1">
        <f t="array" ref="DN537">IF(AND($BT537=4,$BX537=4,$BU537=999),$DD$36,_xlfn.IFNA(INDEX(DE$13:DE$68,MATCH(1,($BR537=$CV$13:$CV$68)*($BT537=$CX$13:$CX$68)*($CE537=$CY$13:$CY$68)*($BY537=$DA$13:$DA$68)*($CD537=$DH$13:$DH$68),0)),""))</f>
        <v/>
      </c>
      <c r="DO537" s="58" t="str" cm="1">
        <f t="array" ref="DO537">IF(AND($BT537=4,$BX537=4,$BU537=999),$DF$36,_xlfn.IFNA(INDEX(DF$13:DF$70,MATCH(1,($BR537=$CV$13:$CV$70)*($BT537=$CX$13:$CX$70)*($CE537=$CY$13:$CY$70)*($BY537=$DA$13:$DA$70)*($CD537=$DH$13:$DH$70),0)),""))</f>
        <v/>
      </c>
      <c r="DP537" s="58" t="e">
        <f t="shared" si="854"/>
        <v>#N/A</v>
      </c>
      <c r="DW537" s="58" t="s">
        <v>74</v>
      </c>
      <c r="DX537" s="58" t="s">
        <v>554</v>
      </c>
      <c r="DY537" s="58" t="s">
        <v>578</v>
      </c>
      <c r="DZ537" s="58">
        <v>0</v>
      </c>
      <c r="EB537" s="58">
        <v>0</v>
      </c>
      <c r="EC537" s="58">
        <v>3</v>
      </c>
      <c r="ED537" s="58">
        <v>10</v>
      </c>
      <c r="EE537" s="58">
        <v>2</v>
      </c>
      <c r="EF537" s="58">
        <v>1</v>
      </c>
      <c r="EI537" s="58" t="s">
        <v>74</v>
      </c>
      <c r="EJ537" s="58" t="s">
        <v>554</v>
      </c>
      <c r="EK537" s="58" t="s">
        <v>578</v>
      </c>
      <c r="EL537" s="58">
        <v>0</v>
      </c>
      <c r="EN537" s="58">
        <v>0</v>
      </c>
      <c r="EO537" s="58">
        <v>3</v>
      </c>
      <c r="EP537" s="58">
        <v>10</v>
      </c>
      <c r="EQ537" s="58">
        <v>1</v>
      </c>
      <c r="ER537" s="58">
        <v>1</v>
      </c>
      <c r="EU537" s="58" t="str">
        <f t="shared" si="886"/>
        <v>Yes</v>
      </c>
      <c r="EV537" s="58" t="str">
        <f t="shared" si="887"/>
        <v>Time to treatment discontinuation</v>
      </c>
      <c r="EW537" s="58" t="str">
        <f t="shared" si="888"/>
        <v>Apply HR to</v>
      </c>
      <c r="EX537" s="58">
        <f t="shared" si="889"/>
        <v>0</v>
      </c>
      <c r="EZ537" s="58">
        <f t="shared" si="890"/>
        <v>0</v>
      </c>
      <c r="FA537" s="58">
        <f t="shared" si="891"/>
        <v>3</v>
      </c>
      <c r="FB537" s="58">
        <f>IF(i_eff_inputs_based_on_num=2,ED537,(INDEX(Lists!$L$51:$L$85,MATCH(AR299,Lists!$K$51:$K$85,0))))</f>
        <v>10</v>
      </c>
      <c r="FC537" s="58">
        <f>IF(i_eff_inputs_based_on_num=2,EE537,(INDEX(Lists!$L$51:$L$85,MATCH(AS299,Lists!$K$51:$K$85,0))))</f>
        <v>2</v>
      </c>
      <c r="FD537" s="58">
        <f>IF(i_eff_inputs_based_on_num=2,EF537,(INDEX(Lists!$L$51:$L$85,MATCH(AT299,Lists!$K$51:$K$85,0))))</f>
        <v>1</v>
      </c>
      <c r="FG537" s="58" t="str">
        <f t="shared" si="892"/>
        <v>Yes</v>
      </c>
      <c r="FH537" s="58" t="str">
        <f t="shared" si="893"/>
        <v>Time to treatment discontinuation</v>
      </c>
      <c r="FI537" s="58" t="str">
        <f t="shared" si="894"/>
        <v>Apply HR to</v>
      </c>
      <c r="FJ537" s="58">
        <f t="shared" si="895"/>
        <v>0</v>
      </c>
      <c r="FL537" s="58">
        <f t="shared" si="896"/>
        <v>0</v>
      </c>
      <c r="FM537" s="58">
        <f t="shared" si="897"/>
        <v>3</v>
      </c>
      <c r="FN537" s="58">
        <f>IF(i_eff_inputs_based_on_num=2,EP537,(INDEX(Lists!$L$51:$L$85,MATCH(AR299,Lists!$K$51:$K$85,0))))</f>
        <v>10</v>
      </c>
      <c r="FO537" s="58">
        <f>IF(i_eff_inputs_based_on_num=2,EQ537,(INDEX(Lists!$L$51:$L$85,MATCH(AS299,Lists!$K$51:$K$85,0))))</f>
        <v>1</v>
      </c>
      <c r="FP537" s="58">
        <f>IF(i_eff_inputs_based_on_num=2,ER537,(INDEX(Lists!$L$51:$L$85,MATCH(AT299,Lists!$K$51:$K$85,0))))</f>
        <v>1</v>
      </c>
      <c r="FT537" s="58">
        <f t="shared" si="855"/>
        <v>0</v>
      </c>
      <c r="FW537" s="58" t="str">
        <f>IF(i_baseline_risk_from=2,'Effectiveness settings'!EW537,'Effectiveness settings'!FI537)</f>
        <v>Apply HR to</v>
      </c>
      <c r="FX537" s="58" t="str">
        <f t="shared" si="856"/>
        <v>Apply HR to</v>
      </c>
      <c r="FY537" s="58" t="str">
        <f t="shared" si="857"/>
        <v>Apply HR to</v>
      </c>
      <c r="FZ537" s="58" t="str">
        <f t="shared" si="858"/>
        <v>Apply HR to</v>
      </c>
      <c r="GA537" s="58" t="str">
        <f t="shared" si="859"/>
        <v>Apply HR to</v>
      </c>
      <c r="GB537" s="58" t="str">
        <f t="shared" si="860"/>
        <v>Apply HR to</v>
      </c>
      <c r="GC537" s="58" t="str">
        <f t="shared" si="861"/>
        <v>Apply HR to</v>
      </c>
      <c r="GD537" s="58" t="str">
        <f t="shared" si="862"/>
        <v>Apply HR to</v>
      </c>
      <c r="GE537" s="58" t="str">
        <f>IF(AND(dd_CheckMate214_TTD="Yes",'Effectiveness settings'!BU537=2,'Effectiveness settings'!BX537=2),"Apply HR to",GD537)</f>
        <v>Apply HR to</v>
      </c>
      <c r="GF537" s="58" t="str">
        <f t="shared" si="863"/>
        <v>Apply HR to</v>
      </c>
      <c r="GG537" s="58" t="str">
        <f t="shared" si="864"/>
        <v>Apply HR to</v>
      </c>
      <c r="GH537" s="58" t="str">
        <f t="shared" si="865"/>
        <v>Apply HR to</v>
      </c>
      <c r="GI537" s="58" t="str">
        <f t="shared" si="851"/>
        <v>Apply HR to</v>
      </c>
      <c r="GK537" s="58">
        <f>IF(i_baseline_risk_from=2,'Effectiveness settings'!FA537,'Effectiveness settings'!FM537)</f>
        <v>3</v>
      </c>
      <c r="GL537" s="58">
        <f>IF(i_baseline_risk_from=2,'Effectiveness settings'!FB537,'Effectiveness settings'!FN537)</f>
        <v>10</v>
      </c>
      <c r="GM537" s="58">
        <f>IF(i_baseline_risk_from=2,'Effectiveness settings'!FC537,'Effectiveness settings'!FO537)</f>
        <v>2</v>
      </c>
      <c r="GN537" s="58">
        <f>IF(i_baseline_risk_from=2,'Effectiveness settings'!FD537,'Effectiveness settings'!FP537)</f>
        <v>1</v>
      </c>
      <c r="GQ537" s="58">
        <f t="shared" si="866"/>
        <v>10</v>
      </c>
      <c r="GR537" s="58">
        <f t="shared" si="867"/>
        <v>10</v>
      </c>
      <c r="GS537" s="58">
        <f t="shared" si="868"/>
        <v>10</v>
      </c>
      <c r="GT537" s="58">
        <f t="shared" si="869"/>
        <v>10</v>
      </c>
      <c r="GU537" s="58">
        <f>IF(AND(dd_CheckMate214_TTD="Yes",'Effectiveness settings'!BU537=2,'Effectiveness settings'!BX537=2),2,GT537)</f>
        <v>10</v>
      </c>
      <c r="GV537" s="58">
        <f t="shared" si="870"/>
        <v>10</v>
      </c>
      <c r="GW537" s="58">
        <f t="shared" si="871"/>
        <v>10</v>
      </c>
      <c r="GY537" s="58">
        <f>IF(AND(dd_CheckMate214_TTD="Yes",'Effectiveness settings'!BU537=2,'Effectiveness settings'!BX537=2),1,GN537)</f>
        <v>1</v>
      </c>
      <c r="GZ537" s="58">
        <f t="shared" si="872"/>
        <v>1</v>
      </c>
      <c r="HB537" s="58">
        <f t="shared" si="873"/>
        <v>0</v>
      </c>
      <c r="HD537" s="58">
        <f t="shared" si="846"/>
        <v>0</v>
      </c>
      <c r="HE537" s="58">
        <f t="shared" si="847"/>
        <v>3</v>
      </c>
      <c r="HF537" s="58">
        <f t="shared" si="848"/>
        <v>10</v>
      </c>
      <c r="HG537" s="58">
        <f t="shared" si="849"/>
        <v>2</v>
      </c>
      <c r="HH537" s="58">
        <f t="shared" si="850"/>
        <v>1</v>
      </c>
    </row>
    <row r="538" spans="69:216" ht="15.75" x14ac:dyDescent="0.25">
      <c r="BQ538" s="58">
        <f t="shared" si="853"/>
        <v>320</v>
      </c>
      <c r="BR538" s="61">
        <v>0</v>
      </c>
      <c r="BS538" s="61" t="s">
        <v>31</v>
      </c>
      <c r="BT538" s="17">
        <v>3</v>
      </c>
      <c r="BU538" s="17">
        <v>11</v>
      </c>
      <c r="BV538" s="17" t="str">
        <f t="shared" si="874"/>
        <v>axitinib</v>
      </c>
      <c r="BW538" s="1006" t="str" cm="1">
        <f t="array" ref="BW538">IF(AL300="No",AL300,INDEX(List_incl_anal_3L_all,IF(BU538=999,35,BU538+1)))</f>
        <v>Yes</v>
      </c>
      <c r="BX538" s="61">
        <f t="shared" si="875"/>
        <v>2</v>
      </c>
      <c r="BY538" s="531" t="str">
        <f t="shared" si="899"/>
        <v>Time to treatment discontinuation</v>
      </c>
      <c r="BZ538" s="530" t="str">
        <f t="shared" si="876"/>
        <v>Apply HR to</v>
      </c>
      <c r="CA538" s="531">
        <f t="shared" si="898"/>
        <v>0</v>
      </c>
      <c r="CB538" s="530">
        <f t="shared" si="877"/>
        <v>0</v>
      </c>
      <c r="CC538" s="530">
        <f t="shared" si="878"/>
        <v>3</v>
      </c>
      <c r="CD538" s="530">
        <f t="shared" si="879"/>
        <v>11</v>
      </c>
      <c r="CE538" s="1295">
        <f t="shared" si="880"/>
        <v>2</v>
      </c>
      <c r="CF538" s="1301">
        <f t="shared" si="881"/>
        <v>1</v>
      </c>
      <c r="CG538" s="530" t="str">
        <f t="shared" si="882"/>
        <v/>
      </c>
      <c r="CH538" s="505">
        <f t="shared" si="883"/>
        <v>1.19</v>
      </c>
      <c r="CI538" s="505">
        <f t="shared" si="884"/>
        <v>1.1499999999999999</v>
      </c>
      <c r="CJ538" s="505">
        <f t="shared" si="885"/>
        <v>1.24</v>
      </c>
      <c r="DK538" s="58" t="str" cm="1">
        <f t="array" ref="DK538">IF(AND($BT538=4,$BX538=4,$BU538=999),$DB$36,_xlfn.IFNA(INDEX(DB$13:DB$70,MATCH(1,($BR538=$CV$13:$CV$70)*($BT538=$CX$13:$CX$70)*($CE538=$CY$13:$CY$70)*($BY538=$DA$13:$DA$70)*($CD538=$DH$13:$DH$70),0)),""))</f>
        <v/>
      </c>
      <c r="DL538" s="58" t="str" cm="1">
        <f t="array" ref="DL538">IF(AND($BT538=4,$BX538=4,$BU538=999),$DC$36,_xlfn.IFNA(INDEX(CHOOSE(DP538,DB$13:DB$70,DC$13:DC$70,DD$13:DD$70,DE$13:DE$70),MATCH(1,($BR538=$CV$13:$CV$70)*($BT538=$CX$13:$CX$70)*($CE538=$CY$13:$CY$70)*($BY538=$DA$13:$DA$70)*($CD538=$DH$13:$DH$70),0)),""))</f>
        <v/>
      </c>
      <c r="DM538" s="740" t="str" cm="1">
        <f t="array" ref="DM538">IF(AND($BT538=4,$BX538=4,$BU538=999),$DD$36,_xlfn.IFNA(INDEX(DD$13:DD$68,MATCH(1,($BR538=$CV$13:$CV$68)*($BT538=$CX$13:$CX$68)*($CE538=$CY$13:$CY$68)*($BY538=$DA$13:$DA$68)*($CD538=$DH$13:$DH$68),0)),""))</f>
        <v/>
      </c>
      <c r="DN538" s="740" t="str" cm="1">
        <f t="array" ref="DN538">IF(AND($BT538=4,$BX538=4,$BU538=999),$DD$36,_xlfn.IFNA(INDEX(DE$13:DE$68,MATCH(1,($BR538=$CV$13:$CV$68)*($BT538=$CX$13:$CX$68)*($CE538=$CY$13:$CY$68)*($BY538=$DA$13:$DA$68)*($CD538=$DH$13:$DH$68),0)),""))</f>
        <v/>
      </c>
      <c r="DO538" s="58" t="str" cm="1">
        <f t="array" ref="DO538">IF(AND($BT538=4,$BX538=4,$BU538=999),$DF$36,_xlfn.IFNA(INDEX(DF$13:DF$70,MATCH(1,($BR538=$CV$13:$CV$70)*($BT538=$CX$13:$CX$70)*($CE538=$CY$13:$CY$70)*($BY538=$DA$13:$DA$70)*($CD538=$DH$13:$DH$70),0)),""))</f>
        <v/>
      </c>
      <c r="DP538" s="58" t="e">
        <f t="shared" si="854"/>
        <v>#N/A</v>
      </c>
      <c r="DW538" s="58" t="s">
        <v>74</v>
      </c>
      <c r="DX538" s="58" t="s">
        <v>554</v>
      </c>
      <c r="DY538" s="58" t="s">
        <v>578</v>
      </c>
      <c r="DZ538" s="58">
        <v>0</v>
      </c>
      <c r="EB538" s="58">
        <v>0</v>
      </c>
      <c r="EC538" s="58">
        <v>3</v>
      </c>
      <c r="ED538" s="58">
        <v>11</v>
      </c>
      <c r="EE538" s="58">
        <v>2</v>
      </c>
      <c r="EF538" s="58">
        <v>1</v>
      </c>
      <c r="EI538" s="58" t="s">
        <v>74</v>
      </c>
      <c r="EJ538" s="58" t="s">
        <v>554</v>
      </c>
      <c r="EK538" s="58" t="s">
        <v>578</v>
      </c>
      <c r="EL538" s="58">
        <v>0</v>
      </c>
      <c r="EN538" s="58">
        <v>0</v>
      </c>
      <c r="EO538" s="58">
        <v>3</v>
      </c>
      <c r="EP538" s="58">
        <v>11</v>
      </c>
      <c r="EQ538" s="58">
        <v>1</v>
      </c>
      <c r="ER538" s="58">
        <v>1</v>
      </c>
      <c r="EU538" s="58" t="str">
        <f t="shared" si="886"/>
        <v>Yes</v>
      </c>
      <c r="EV538" s="58" t="str">
        <f t="shared" si="887"/>
        <v>Time to treatment discontinuation</v>
      </c>
      <c r="EW538" s="58" t="str">
        <f t="shared" si="888"/>
        <v>Apply HR to</v>
      </c>
      <c r="EX538" s="58">
        <f t="shared" si="889"/>
        <v>0</v>
      </c>
      <c r="EZ538" s="58">
        <f t="shared" si="890"/>
        <v>0</v>
      </c>
      <c r="FA538" s="58">
        <f t="shared" si="891"/>
        <v>3</v>
      </c>
      <c r="FB538" s="58">
        <f>IF(i_eff_inputs_based_on_num=2,ED538,(INDEX(Lists!$L$51:$L$85,MATCH(AR300,Lists!$K$51:$K$85,0))))</f>
        <v>11</v>
      </c>
      <c r="FC538" s="58">
        <f>IF(i_eff_inputs_based_on_num=2,EE538,(INDEX(Lists!$L$51:$L$85,MATCH(AS300,Lists!$K$51:$K$85,0))))</f>
        <v>2</v>
      </c>
      <c r="FD538" s="58">
        <f>IF(i_eff_inputs_based_on_num=2,EF538,(INDEX(Lists!$L$51:$L$85,MATCH(AT300,Lists!$K$51:$K$85,0))))</f>
        <v>1</v>
      </c>
      <c r="FG538" s="58" t="str">
        <f t="shared" si="892"/>
        <v>Yes</v>
      </c>
      <c r="FH538" s="58" t="str">
        <f t="shared" si="893"/>
        <v>Time to treatment discontinuation</v>
      </c>
      <c r="FI538" s="58" t="str">
        <f t="shared" si="894"/>
        <v>Apply HR to</v>
      </c>
      <c r="FJ538" s="58">
        <f t="shared" si="895"/>
        <v>0</v>
      </c>
      <c r="FL538" s="58">
        <f t="shared" si="896"/>
        <v>0</v>
      </c>
      <c r="FM538" s="58">
        <f t="shared" si="897"/>
        <v>3</v>
      </c>
      <c r="FN538" s="58">
        <f>IF(i_eff_inputs_based_on_num=2,EP538,(INDEX(Lists!$L$51:$L$85,MATCH(AR300,Lists!$K$51:$K$85,0))))</f>
        <v>11</v>
      </c>
      <c r="FO538" s="58">
        <f>IF(i_eff_inputs_based_on_num=2,EQ538,(INDEX(Lists!$L$51:$L$85,MATCH(AS300,Lists!$K$51:$K$85,0))))</f>
        <v>1</v>
      </c>
      <c r="FP538" s="58">
        <f>IF(i_eff_inputs_based_on_num=2,ER538,(INDEX(Lists!$L$51:$L$85,MATCH(AT300,Lists!$K$51:$K$85,0))))</f>
        <v>1</v>
      </c>
      <c r="FT538" s="58">
        <f t="shared" si="855"/>
        <v>0</v>
      </c>
      <c r="FW538" s="58" t="str">
        <f>IF(i_baseline_risk_from=2,'Effectiveness settings'!EW538,'Effectiveness settings'!FI538)</f>
        <v>Apply HR to</v>
      </c>
      <c r="FX538" s="58" t="str">
        <f t="shared" si="856"/>
        <v>Apply HR to</v>
      </c>
      <c r="FY538" s="58" t="str">
        <f t="shared" si="857"/>
        <v>Apply HR to</v>
      </c>
      <c r="FZ538" s="58" t="str">
        <f t="shared" si="858"/>
        <v>Apply HR to</v>
      </c>
      <c r="GA538" s="58" t="str">
        <f t="shared" si="859"/>
        <v>Apply HR to</v>
      </c>
      <c r="GB538" s="58" t="str">
        <f t="shared" si="860"/>
        <v>Apply HR to</v>
      </c>
      <c r="GC538" s="58" t="str">
        <f t="shared" si="861"/>
        <v>Apply HR to</v>
      </c>
      <c r="GD538" s="58" t="str">
        <f t="shared" si="862"/>
        <v>Apply HR to</v>
      </c>
      <c r="GE538" s="58" t="str">
        <f>IF(AND(dd_CheckMate214_TTD="Yes",'Effectiveness settings'!BU538=2,'Effectiveness settings'!BX538=2),"Apply HR to",GD538)</f>
        <v>Apply HR to</v>
      </c>
      <c r="GF538" s="58" t="str">
        <f t="shared" si="863"/>
        <v>Apply HR to</v>
      </c>
      <c r="GG538" s="58" t="str">
        <f t="shared" si="864"/>
        <v>Apply HR to</v>
      </c>
      <c r="GH538" s="58" t="str">
        <f t="shared" si="865"/>
        <v>Apply HR to</v>
      </c>
      <c r="GI538" s="58" t="str">
        <f t="shared" si="851"/>
        <v>Apply HR to</v>
      </c>
      <c r="GK538" s="58">
        <f>IF(i_baseline_risk_from=2,'Effectiveness settings'!FA538,'Effectiveness settings'!FM538)</f>
        <v>3</v>
      </c>
      <c r="GL538" s="58">
        <f>IF(i_baseline_risk_from=2,'Effectiveness settings'!FB538,'Effectiveness settings'!FN538)</f>
        <v>11</v>
      </c>
      <c r="GM538" s="58">
        <f>IF(i_baseline_risk_from=2,'Effectiveness settings'!FC538,'Effectiveness settings'!FO538)</f>
        <v>2</v>
      </c>
      <c r="GN538" s="58">
        <f>IF(i_baseline_risk_from=2,'Effectiveness settings'!FD538,'Effectiveness settings'!FP538)</f>
        <v>1</v>
      </c>
      <c r="GQ538" s="58">
        <f t="shared" si="866"/>
        <v>11</v>
      </c>
      <c r="GR538" s="58">
        <f t="shared" si="867"/>
        <v>11</v>
      </c>
      <c r="GS538" s="58">
        <f t="shared" si="868"/>
        <v>11</v>
      </c>
      <c r="GT538" s="58">
        <f t="shared" si="869"/>
        <v>11</v>
      </c>
      <c r="GU538" s="58">
        <f>IF(AND(dd_CheckMate214_TTD="Yes",'Effectiveness settings'!BU538=2,'Effectiveness settings'!BX538=2),2,GT538)</f>
        <v>11</v>
      </c>
      <c r="GV538" s="58">
        <f t="shared" si="870"/>
        <v>11</v>
      </c>
      <c r="GW538" s="58">
        <f t="shared" si="871"/>
        <v>11</v>
      </c>
      <c r="GY538" s="58">
        <f>IF(AND(dd_CheckMate214_TTD="Yes",'Effectiveness settings'!BU538=2,'Effectiveness settings'!BX538=2),1,GN538)</f>
        <v>1</v>
      </c>
      <c r="GZ538" s="58">
        <f t="shared" si="872"/>
        <v>1</v>
      </c>
      <c r="HB538" s="58">
        <f t="shared" si="873"/>
        <v>0</v>
      </c>
      <c r="HD538" s="58">
        <f t="shared" si="846"/>
        <v>0</v>
      </c>
      <c r="HE538" s="58">
        <f t="shared" si="847"/>
        <v>3</v>
      </c>
      <c r="HF538" s="58">
        <f t="shared" si="848"/>
        <v>11</v>
      </c>
      <c r="HG538" s="58">
        <f t="shared" si="849"/>
        <v>2</v>
      </c>
      <c r="HH538" s="58">
        <f t="shared" si="850"/>
        <v>1</v>
      </c>
    </row>
    <row r="539" spans="69:216" ht="15.75" x14ac:dyDescent="0.25">
      <c r="BQ539" s="58">
        <f t="shared" si="853"/>
        <v>321</v>
      </c>
      <c r="BR539" s="61">
        <v>0</v>
      </c>
      <c r="BS539" s="61" t="s">
        <v>31</v>
      </c>
      <c r="BT539" s="17">
        <v>3</v>
      </c>
      <c r="BU539" s="17">
        <v>12</v>
      </c>
      <c r="BV539" s="17" t="str">
        <f t="shared" si="874"/>
        <v>sorafenib</v>
      </c>
      <c r="BW539" s="1006" t="str" cm="1">
        <f t="array" ref="BW539">IF(AL301="No",AL301,INDEX(List_incl_anal_3L_all,IF(BU539=999,35,BU539+1)))</f>
        <v>No</v>
      </c>
      <c r="BX539" s="61">
        <f t="shared" si="875"/>
        <v>2</v>
      </c>
      <c r="BY539" s="531" t="str">
        <f t="shared" si="899"/>
        <v>Time to treatment discontinuation</v>
      </c>
      <c r="BZ539" s="530">
        <f t="shared" si="876"/>
        <v>0</v>
      </c>
      <c r="CA539" s="531">
        <f t="shared" si="898"/>
        <v>0</v>
      </c>
      <c r="CB539" s="530">
        <f t="shared" si="877"/>
        <v>0</v>
      </c>
      <c r="CC539" s="530">
        <f t="shared" si="878"/>
        <v>3</v>
      </c>
      <c r="CD539" s="530">
        <f t="shared" si="879"/>
        <v>12</v>
      </c>
      <c r="CE539" s="1295">
        <f t="shared" si="880"/>
        <v>2</v>
      </c>
      <c r="CF539" s="1301">
        <f t="shared" si="881"/>
        <v>1</v>
      </c>
      <c r="CG539" s="530" t="str">
        <f t="shared" si="882"/>
        <v/>
      </c>
      <c r="CH539" s="505">
        <f t="shared" si="883"/>
        <v>0</v>
      </c>
      <c r="CI539" s="505">
        <f t="shared" si="884"/>
        <v>0</v>
      </c>
      <c r="CJ539" s="505">
        <f t="shared" si="885"/>
        <v>0</v>
      </c>
      <c r="DK539" s="58" t="str" cm="1">
        <f t="array" ref="DK539">IF(AND($BT539=4,$BX539=4,$BU539=999),$DB$36,_xlfn.IFNA(INDEX(DB$13:DB$70,MATCH(1,($BR539=$CV$13:$CV$70)*($BT539=$CX$13:$CX$70)*($CE539=$CY$13:$CY$70)*($BY539=$DA$13:$DA$70)*($CD539=$DH$13:$DH$70),0)),""))</f>
        <v/>
      </c>
      <c r="DL539" s="58" t="str" cm="1">
        <f t="array" ref="DL539">IF(AND($BT539=4,$BX539=4,$BU539=999),$DC$36,_xlfn.IFNA(INDEX(CHOOSE(DP539,DB$13:DB$70,DC$13:DC$70,DD$13:DD$70,DE$13:DE$70),MATCH(1,($BR539=$CV$13:$CV$70)*($BT539=$CX$13:$CX$70)*($CE539=$CY$13:$CY$70)*($BY539=$DA$13:$DA$70)*($CD539=$DH$13:$DH$70),0)),""))</f>
        <v/>
      </c>
      <c r="DM539" s="740" t="str" cm="1">
        <f t="array" ref="DM539">IF(AND($BT539=4,$BX539=4,$BU539=999),$DD$36,_xlfn.IFNA(INDEX(DD$13:DD$68,MATCH(1,($BR539=$CV$13:$CV$68)*($BT539=$CX$13:$CX$68)*($CE539=$CY$13:$CY$68)*($BY539=$DA$13:$DA$68)*($CD539=$DH$13:$DH$68),0)),""))</f>
        <v/>
      </c>
      <c r="DN539" s="740" t="str" cm="1">
        <f t="array" ref="DN539">IF(AND($BT539=4,$BX539=4,$BU539=999),$DD$36,_xlfn.IFNA(INDEX(DE$13:DE$68,MATCH(1,($BR539=$CV$13:$CV$68)*($BT539=$CX$13:$CX$68)*($CE539=$CY$13:$CY$68)*($BY539=$DA$13:$DA$68)*($CD539=$DH$13:$DH$68),0)),""))</f>
        <v/>
      </c>
      <c r="DO539" s="58" t="str" cm="1">
        <f t="array" ref="DO539">IF(AND($BT539=4,$BX539=4,$BU539=999),$DF$36,_xlfn.IFNA(INDEX(DF$13:DF$70,MATCH(1,($BR539=$CV$13:$CV$70)*($BT539=$CX$13:$CX$70)*($CE539=$CY$13:$CY$70)*($BY539=$DA$13:$DA$70)*($CD539=$DH$13:$DH$70),0)),""))</f>
        <v/>
      </c>
      <c r="DP539" s="58" t="e">
        <f t="shared" si="854"/>
        <v>#N/A</v>
      </c>
      <c r="DW539" s="58" t="s">
        <v>58</v>
      </c>
      <c r="DX539" s="58" t="s">
        <v>554</v>
      </c>
      <c r="DY539" s="58">
        <v>0</v>
      </c>
      <c r="DZ539" s="58">
        <v>0</v>
      </c>
      <c r="EB539" s="58">
        <v>0</v>
      </c>
      <c r="EC539" s="58">
        <v>3</v>
      </c>
      <c r="ED539" s="58">
        <v>12</v>
      </c>
      <c r="EE539" s="58">
        <v>2</v>
      </c>
      <c r="EF539" s="58">
        <v>1</v>
      </c>
      <c r="EI539" s="58" t="s">
        <v>58</v>
      </c>
      <c r="EJ539" s="58" t="s">
        <v>554</v>
      </c>
      <c r="EK539" s="58">
        <v>0</v>
      </c>
      <c r="EL539" s="58">
        <v>0</v>
      </c>
      <c r="EN539" s="58">
        <v>0</v>
      </c>
      <c r="EO539" s="58">
        <v>3</v>
      </c>
      <c r="EP539" s="58">
        <v>12</v>
      </c>
      <c r="EQ539" s="58">
        <v>1</v>
      </c>
      <c r="ER539" s="58">
        <v>1</v>
      </c>
      <c r="EU539" s="58" t="str">
        <f t="shared" si="886"/>
        <v>No</v>
      </c>
      <c r="EV539" s="58" t="str">
        <f t="shared" si="887"/>
        <v>Time to treatment discontinuation</v>
      </c>
      <c r="EW539" s="58">
        <f t="shared" si="888"/>
        <v>0</v>
      </c>
      <c r="EX539" s="58">
        <f t="shared" si="889"/>
        <v>0</v>
      </c>
      <c r="EZ539" s="58">
        <f t="shared" si="890"/>
        <v>0</v>
      </c>
      <c r="FA539" s="58">
        <f t="shared" si="891"/>
        <v>3</v>
      </c>
      <c r="FB539" s="58">
        <f>IF(i_eff_inputs_based_on_num=2,ED539,(INDEX(Lists!$L$51:$L$85,MATCH(AR301,Lists!$K$51:$K$85,0))))</f>
        <v>12</v>
      </c>
      <c r="FC539" s="58">
        <f>IF(i_eff_inputs_based_on_num=2,EE539,(INDEX(Lists!$L$51:$L$85,MATCH(AS301,Lists!$K$51:$K$85,0))))</f>
        <v>2</v>
      </c>
      <c r="FD539" s="58">
        <f>IF(i_eff_inputs_based_on_num=2,EF539,(INDEX(Lists!$L$51:$L$85,MATCH(AT301,Lists!$K$51:$K$85,0))))</f>
        <v>1</v>
      </c>
      <c r="FG539" s="58" t="str">
        <f t="shared" si="892"/>
        <v>No</v>
      </c>
      <c r="FH539" s="58" t="str">
        <f t="shared" si="893"/>
        <v>Time to treatment discontinuation</v>
      </c>
      <c r="FI539" s="58">
        <f t="shared" si="894"/>
        <v>0</v>
      </c>
      <c r="FJ539" s="58">
        <f t="shared" si="895"/>
        <v>0</v>
      </c>
      <c r="FL539" s="58">
        <f t="shared" si="896"/>
        <v>0</v>
      </c>
      <c r="FM539" s="58">
        <f t="shared" si="897"/>
        <v>3</v>
      </c>
      <c r="FN539" s="58">
        <f>IF(i_eff_inputs_based_on_num=2,EP539,(INDEX(Lists!$L$51:$L$85,MATCH(AR301,Lists!$K$51:$K$85,0))))</f>
        <v>12</v>
      </c>
      <c r="FO539" s="58">
        <f>IF(i_eff_inputs_based_on_num=2,EQ539,(INDEX(Lists!$L$51:$L$85,MATCH(AS301,Lists!$K$51:$K$85,0))))</f>
        <v>1</v>
      </c>
      <c r="FP539" s="58">
        <f>IF(i_eff_inputs_based_on_num=2,ER539,(INDEX(Lists!$L$51:$L$85,MATCH(AT301,Lists!$K$51:$K$85,0))))</f>
        <v>1</v>
      </c>
      <c r="FT539" s="58">
        <f t="shared" si="855"/>
        <v>0</v>
      </c>
      <c r="FW539" s="58">
        <f>IF(i_baseline_risk_from=2,'Effectiveness settings'!EW539,'Effectiveness settings'!FI539)</f>
        <v>0</v>
      </c>
      <c r="FX539" s="58">
        <f t="shared" si="856"/>
        <v>0</v>
      </c>
      <c r="FY539" s="58">
        <f t="shared" si="857"/>
        <v>0</v>
      </c>
      <c r="FZ539" s="58">
        <f t="shared" si="858"/>
        <v>0</v>
      </c>
      <c r="GA539" s="58">
        <f t="shared" si="859"/>
        <v>0</v>
      </c>
      <c r="GB539" s="58">
        <f t="shared" si="860"/>
        <v>0</v>
      </c>
      <c r="GC539" s="58">
        <f t="shared" si="861"/>
        <v>0</v>
      </c>
      <c r="GD539" s="58">
        <f t="shared" si="862"/>
        <v>0</v>
      </c>
      <c r="GE539" s="58">
        <f>IF(AND(dd_CheckMate214_TTD="Yes",'Effectiveness settings'!BU539=2,'Effectiveness settings'!BX539=2),"Apply HR to",GD539)</f>
        <v>0</v>
      </c>
      <c r="GF539" s="58">
        <f t="shared" si="863"/>
        <v>0</v>
      </c>
      <c r="GG539" s="58">
        <f t="shared" si="864"/>
        <v>0</v>
      </c>
      <c r="GH539" s="58">
        <f t="shared" si="865"/>
        <v>0</v>
      </c>
      <c r="GI539" s="58">
        <f t="shared" si="851"/>
        <v>0</v>
      </c>
      <c r="GK539" s="58">
        <f>IF(i_baseline_risk_from=2,'Effectiveness settings'!FA539,'Effectiveness settings'!FM539)</f>
        <v>3</v>
      </c>
      <c r="GL539" s="58">
        <f>IF(i_baseline_risk_from=2,'Effectiveness settings'!FB539,'Effectiveness settings'!FN539)</f>
        <v>12</v>
      </c>
      <c r="GM539" s="58">
        <f>IF(i_baseline_risk_from=2,'Effectiveness settings'!FC539,'Effectiveness settings'!FO539)</f>
        <v>2</v>
      </c>
      <c r="GN539" s="58">
        <f>IF(i_baseline_risk_from=2,'Effectiveness settings'!FD539,'Effectiveness settings'!FP539)</f>
        <v>1</v>
      </c>
      <c r="GQ539" s="58">
        <f t="shared" si="866"/>
        <v>12</v>
      </c>
      <c r="GR539" s="58">
        <f t="shared" si="867"/>
        <v>12</v>
      </c>
      <c r="GS539" s="58">
        <f t="shared" si="868"/>
        <v>12</v>
      </c>
      <c r="GT539" s="58">
        <f t="shared" si="869"/>
        <v>12</v>
      </c>
      <c r="GU539" s="58">
        <f>IF(AND(dd_CheckMate214_TTD="Yes",'Effectiveness settings'!BU539=2,'Effectiveness settings'!BX539=2),2,GT539)</f>
        <v>12</v>
      </c>
      <c r="GV539" s="58">
        <f t="shared" si="870"/>
        <v>12</v>
      </c>
      <c r="GW539" s="58">
        <f t="shared" si="871"/>
        <v>12</v>
      </c>
      <c r="GY539" s="58">
        <f>IF(AND(dd_CheckMate214_TTD="Yes",'Effectiveness settings'!BU539=2,'Effectiveness settings'!BX539=2),1,GN539)</f>
        <v>1</v>
      </c>
      <c r="GZ539" s="58">
        <f t="shared" si="872"/>
        <v>1</v>
      </c>
      <c r="HB539" s="58">
        <f t="shared" si="873"/>
        <v>0</v>
      </c>
      <c r="HD539" s="58">
        <f t="shared" si="846"/>
        <v>0</v>
      </c>
      <c r="HE539" s="58">
        <f t="shared" si="847"/>
        <v>3</v>
      </c>
      <c r="HF539" s="58">
        <f t="shared" si="848"/>
        <v>12</v>
      </c>
      <c r="HG539" s="58">
        <f t="shared" si="849"/>
        <v>2</v>
      </c>
      <c r="HH539" s="58">
        <f t="shared" si="850"/>
        <v>1</v>
      </c>
    </row>
    <row r="540" spans="69:216" ht="15.75" x14ac:dyDescent="0.25">
      <c r="BQ540" s="58">
        <f t="shared" si="853"/>
        <v>322</v>
      </c>
      <c r="BR540" s="61">
        <v>0</v>
      </c>
      <c r="BS540" s="61" t="s">
        <v>31</v>
      </c>
      <c r="BT540" s="17">
        <v>3</v>
      </c>
      <c r="BU540" s="17">
        <v>999</v>
      </c>
      <c r="BV540" s="17" t="str">
        <f t="shared" si="874"/>
        <v>placebo_BSC</v>
      </c>
      <c r="BW540" s="1006" t="str" cm="1">
        <f t="array" ref="BW540">IF(AL302="No",AL302,INDEX(List_incl_anal_3L_all,IF(BU540=999,35,BU540+1)))</f>
        <v>No</v>
      </c>
      <c r="BX540" s="61">
        <f t="shared" si="875"/>
        <v>2</v>
      </c>
      <c r="BY540" s="531" t="str">
        <f t="shared" si="899"/>
        <v>Time to treatment discontinuation</v>
      </c>
      <c r="BZ540" s="530">
        <f t="shared" si="876"/>
        <v>0</v>
      </c>
      <c r="CA540" s="531">
        <f t="shared" si="898"/>
        <v>0</v>
      </c>
      <c r="CB540" s="530">
        <f t="shared" si="877"/>
        <v>0</v>
      </c>
      <c r="CC540" s="530">
        <f t="shared" si="878"/>
        <v>4</v>
      </c>
      <c r="CD540" s="530">
        <f t="shared" si="879"/>
        <v>999</v>
      </c>
      <c r="CE540" s="1295">
        <f t="shared" si="880"/>
        <v>2</v>
      </c>
      <c r="CF540" s="1301">
        <f t="shared" si="881"/>
        <v>4</v>
      </c>
      <c r="CG540" s="530" t="str">
        <f t="shared" si="882"/>
        <v/>
      </c>
      <c r="CH540" s="505">
        <f t="shared" si="883"/>
        <v>0</v>
      </c>
      <c r="CI540" s="505">
        <f t="shared" si="884"/>
        <v>0</v>
      </c>
      <c r="CJ540" s="505">
        <f t="shared" si="885"/>
        <v>0</v>
      </c>
      <c r="DK540" s="58" t="str" cm="1">
        <f t="array" ref="DK540">IF(AND($BT540=4,$BX540=4,$BU540=999),$DB$36,_xlfn.IFNA(INDEX(DB$13:DB$70,MATCH(1,($BR540=$CV$13:$CV$70)*($BT540=$CX$13:$CX$70)*($CE540=$CY$13:$CY$70)*($BY540=$DA$13:$DA$70)*($CD540=$DH$13:$DH$70),0)),""))</f>
        <v/>
      </c>
      <c r="DL540" s="58" t="str" cm="1">
        <f t="array" ref="DL540">IF(AND($BT540=4,$BX540=4,$BU540=999),$DC$36,_xlfn.IFNA(INDEX(CHOOSE(DP540,DB$13:DB$70,DC$13:DC$70,DD$13:DD$70,DE$13:DE$70),MATCH(1,($BR540=$CV$13:$CV$70)*($BT540=$CX$13:$CX$70)*($CE540=$CY$13:$CY$70)*($BY540=$DA$13:$DA$70)*($CD540=$DH$13:$DH$70),0)),""))</f>
        <v/>
      </c>
      <c r="DM540" s="740" t="str" cm="1">
        <f t="array" ref="DM540">IF(AND($BT540=4,$BX540=4,$BU540=999),$DD$36,_xlfn.IFNA(INDEX(DD$13:DD$68,MATCH(1,($BR540=$CV$13:$CV$68)*($BT540=$CX$13:$CX$68)*($CE540=$CY$13:$CY$68)*($BY540=$DA$13:$DA$68)*($CD540=$DH$13:$DH$68),0)),""))</f>
        <v/>
      </c>
      <c r="DN540" s="740" t="str" cm="1">
        <f t="array" ref="DN540">IF(AND($BT540=4,$BX540=4,$BU540=999),$DD$36,_xlfn.IFNA(INDEX(DE$13:DE$68,MATCH(1,($BR540=$CV$13:$CV$68)*($BT540=$CX$13:$CX$68)*($CE540=$CY$13:$CY$68)*($BY540=$DA$13:$DA$68)*($CD540=$DH$13:$DH$68),0)),""))</f>
        <v/>
      </c>
      <c r="DO540" s="58" t="str" cm="1">
        <f t="array" ref="DO540">IF(AND($BT540=4,$BX540=4,$BU540=999),$DF$36,_xlfn.IFNA(INDEX(DF$13:DF$70,MATCH(1,($BR540=$CV$13:$CV$70)*($BT540=$CX$13:$CX$70)*($CE540=$CY$13:$CY$70)*($BY540=$DA$13:$DA$70)*($CD540=$DH$13:$DH$70),0)),""))</f>
        <v/>
      </c>
      <c r="DP540" s="58" t="e">
        <f t="shared" si="854"/>
        <v>#N/A</v>
      </c>
      <c r="DW540" s="58" t="s">
        <v>58</v>
      </c>
      <c r="DX540" s="58" t="s">
        <v>554</v>
      </c>
      <c r="DY540" s="58">
        <v>0</v>
      </c>
      <c r="DZ540" s="58">
        <v>0</v>
      </c>
      <c r="EB540" s="58">
        <v>0</v>
      </c>
      <c r="EC540" s="58">
        <v>4</v>
      </c>
      <c r="ED540" s="58">
        <v>999</v>
      </c>
      <c r="EE540" s="58">
        <v>2</v>
      </c>
      <c r="EF540" s="58">
        <v>4</v>
      </c>
      <c r="EI540" s="58" t="s">
        <v>58</v>
      </c>
      <c r="EJ540" s="58" t="s">
        <v>554</v>
      </c>
      <c r="EK540" s="58">
        <v>0</v>
      </c>
      <c r="EL540" s="58">
        <v>0</v>
      </c>
      <c r="EN540" s="58">
        <v>0</v>
      </c>
      <c r="EO540" s="58">
        <v>4</v>
      </c>
      <c r="EP540" s="58">
        <v>999</v>
      </c>
      <c r="EQ540" s="58">
        <v>2</v>
      </c>
      <c r="ER540" s="58">
        <v>4</v>
      </c>
      <c r="EU540" s="58" t="str">
        <f t="shared" si="886"/>
        <v>No</v>
      </c>
      <c r="EV540" s="58" t="str">
        <f t="shared" si="887"/>
        <v>Time to treatment discontinuation</v>
      </c>
      <c r="EW540" s="58">
        <f t="shared" si="888"/>
        <v>0</v>
      </c>
      <c r="EX540" s="58">
        <f t="shared" si="889"/>
        <v>0</v>
      </c>
      <c r="EZ540" s="58">
        <f t="shared" si="890"/>
        <v>0</v>
      </c>
      <c r="FA540" s="58">
        <f t="shared" si="891"/>
        <v>4</v>
      </c>
      <c r="FB540" s="58">
        <f>IF(i_eff_inputs_based_on_num=2,ED540,(INDEX(Lists!$L$51:$L$85,MATCH(AR302,Lists!$K$51:$K$85,0))))</f>
        <v>999</v>
      </c>
      <c r="FC540" s="58">
        <f>IF(i_eff_inputs_based_on_num=2,EE540,(INDEX(Lists!$L$51:$L$85,MATCH(AS302,Lists!$K$51:$K$85,0))))</f>
        <v>2</v>
      </c>
      <c r="FD540" s="58">
        <f>IF(i_eff_inputs_based_on_num=2,EF540,(INDEX(Lists!$L$51:$L$85,MATCH(AT302,Lists!$K$51:$K$85,0))))</f>
        <v>4</v>
      </c>
      <c r="FG540" s="58" t="str">
        <f t="shared" si="892"/>
        <v>No</v>
      </c>
      <c r="FH540" s="58" t="str">
        <f t="shared" si="893"/>
        <v>Time to treatment discontinuation</v>
      </c>
      <c r="FI540" s="58">
        <f t="shared" si="894"/>
        <v>0</v>
      </c>
      <c r="FJ540" s="58">
        <f t="shared" si="895"/>
        <v>0</v>
      </c>
      <c r="FL540" s="58">
        <f t="shared" si="896"/>
        <v>0</v>
      </c>
      <c r="FM540" s="58">
        <f t="shared" si="897"/>
        <v>4</v>
      </c>
      <c r="FN540" s="58">
        <f>IF(i_eff_inputs_based_on_num=2,EP540,(INDEX(Lists!$L$51:$L$85,MATCH(AR302,Lists!$K$51:$K$85,0))))</f>
        <v>999</v>
      </c>
      <c r="FO540" s="58">
        <f>IF(i_eff_inputs_based_on_num=2,EQ540,(INDEX(Lists!$L$51:$L$85,MATCH(AS302,Lists!$K$51:$K$85,0))))</f>
        <v>2</v>
      </c>
      <c r="FP540" s="58">
        <f>IF(i_eff_inputs_based_on_num=2,ER540,(INDEX(Lists!$L$51:$L$85,MATCH(AT302,Lists!$K$51:$K$85,0))))</f>
        <v>4</v>
      </c>
      <c r="FT540" s="58">
        <f t="shared" si="855"/>
        <v>0</v>
      </c>
      <c r="FW540" s="58">
        <f>IF(i_baseline_risk_from=2,'Effectiveness settings'!EW540,'Effectiveness settings'!FI540)</f>
        <v>0</v>
      </c>
      <c r="FX540" s="58">
        <f t="shared" si="856"/>
        <v>0</v>
      </c>
      <c r="FY540" s="58">
        <f t="shared" si="857"/>
        <v>0</v>
      </c>
      <c r="FZ540" s="58">
        <f t="shared" si="858"/>
        <v>0</v>
      </c>
      <c r="GA540" s="58">
        <f t="shared" si="859"/>
        <v>0</v>
      </c>
      <c r="GB540" s="58">
        <f t="shared" si="860"/>
        <v>0</v>
      </c>
      <c r="GC540" s="58">
        <f t="shared" si="861"/>
        <v>0</v>
      </c>
      <c r="GD540" s="58">
        <f t="shared" si="862"/>
        <v>0</v>
      </c>
      <c r="GE540" s="58">
        <f>IF(AND(dd_CheckMate214_TTD="Yes",'Effectiveness settings'!BU540=2,'Effectiveness settings'!BX540=2),"Apply HR to",GD540)</f>
        <v>0</v>
      </c>
      <c r="GF540" s="58">
        <f t="shared" si="863"/>
        <v>0</v>
      </c>
      <c r="GG540" s="58">
        <f t="shared" si="864"/>
        <v>0</v>
      </c>
      <c r="GH540" s="58">
        <f t="shared" si="865"/>
        <v>0</v>
      </c>
      <c r="GI540" s="58">
        <f t="shared" si="851"/>
        <v>0</v>
      </c>
      <c r="GK540" s="58">
        <f>IF(i_baseline_risk_from=2,'Effectiveness settings'!FA540,'Effectiveness settings'!FM540)</f>
        <v>4</v>
      </c>
      <c r="GL540" s="58">
        <f>IF(i_baseline_risk_from=2,'Effectiveness settings'!FB540,'Effectiveness settings'!FN540)</f>
        <v>999</v>
      </c>
      <c r="GM540" s="58">
        <f>IF(i_baseline_risk_from=2,'Effectiveness settings'!FC540,'Effectiveness settings'!FO540)</f>
        <v>2</v>
      </c>
      <c r="GN540" s="58">
        <f>IF(i_baseline_risk_from=2,'Effectiveness settings'!FD540,'Effectiveness settings'!FP540)</f>
        <v>4</v>
      </c>
      <c r="GQ540" s="58">
        <f t="shared" si="866"/>
        <v>999</v>
      </c>
      <c r="GR540" s="58">
        <f t="shared" si="867"/>
        <v>999</v>
      </c>
      <c r="GS540" s="58">
        <f t="shared" si="868"/>
        <v>999</v>
      </c>
      <c r="GT540" s="58">
        <f t="shared" si="869"/>
        <v>999</v>
      </c>
      <c r="GU540" s="58">
        <f>IF(AND(dd_CheckMate214_TTD="Yes",'Effectiveness settings'!BU540=2,'Effectiveness settings'!BX540=2),2,GT540)</f>
        <v>999</v>
      </c>
      <c r="GV540" s="58">
        <f t="shared" si="870"/>
        <v>999</v>
      </c>
      <c r="GW540" s="58">
        <f t="shared" si="871"/>
        <v>999</v>
      </c>
      <c r="GY540" s="58">
        <f>IF(AND(dd_CheckMate214_TTD="Yes",'Effectiveness settings'!BU540=2,'Effectiveness settings'!BX540=2),1,GN540)</f>
        <v>4</v>
      </c>
      <c r="GZ540" s="58">
        <f t="shared" si="872"/>
        <v>4</v>
      </c>
      <c r="HB540" s="58">
        <f t="shared" si="873"/>
        <v>0</v>
      </c>
      <c r="HD540" s="58">
        <f t="shared" si="846"/>
        <v>0</v>
      </c>
      <c r="HE540" s="58">
        <f t="shared" si="847"/>
        <v>4</v>
      </c>
      <c r="HF540" s="58">
        <f t="shared" si="848"/>
        <v>999</v>
      </c>
      <c r="HG540" s="58">
        <f t="shared" si="849"/>
        <v>2</v>
      </c>
      <c r="HH540" s="58">
        <f t="shared" si="850"/>
        <v>4</v>
      </c>
    </row>
    <row r="541" spans="69:216" ht="15.75" x14ac:dyDescent="0.25">
      <c r="BQ541" s="58">
        <f t="shared" si="853"/>
        <v>322</v>
      </c>
      <c r="BR541" s="61"/>
      <c r="BS541" s="61"/>
      <c r="BT541" s="17"/>
      <c r="BU541" s="61"/>
      <c r="BV541" s="17"/>
      <c r="BW541" s="17"/>
      <c r="BX541" s="61"/>
      <c r="BY541" s="531"/>
      <c r="BZ541" s="529"/>
      <c r="CA541" s="532"/>
      <c r="CB541" s="529"/>
      <c r="CC541" s="529"/>
      <c r="CD541" s="529"/>
      <c r="CE541" s="515"/>
      <c r="CF541" s="1303"/>
      <c r="CG541" s="529"/>
      <c r="CH541" s="505"/>
      <c r="CI541" s="505"/>
      <c r="CJ541" s="505"/>
      <c r="DK541" s="58" t="str" cm="1">
        <f t="array" ref="DK541">IF(AND($BT541=4,$BX541=4,$BU541=999),$DB$36,_xlfn.IFNA(INDEX(DB$13:DB$70,MATCH(1,($BR541=$CV$13:$CV$70)*($BT541=$CX$13:$CX$70)*($CE541=$CY$13:$CY$70)*($BY541=$DA$13:$DA$70)*($CD541=$DH$13:$DH$70),0)),""))</f>
        <v/>
      </c>
      <c r="DL541" s="58" t="str" cm="1">
        <f t="array" ref="DL541">IF(AND($BT541=4,$BX541=4,$BU541=999),$DC$36,_xlfn.IFNA(INDEX(CHOOSE(DP541,DB$13:DB$70,DC$13:DC$70,DD$13:DD$70,DE$13:DE$70),MATCH(1,($BR541=$CV$13:$CV$70)*($BT541=$CX$13:$CX$70)*($CE541=$CY$13:$CY$70)*($BY541=$DA$13:$DA$70)*($CD541=$DH$13:$DH$70),0)),""))</f>
        <v/>
      </c>
      <c r="DM541" s="740" t="str" cm="1">
        <f t="array" ref="DM541">IF(AND($BT541=4,$BX541=4,$BU541=999),$DD$36,_xlfn.IFNA(INDEX(DD$13:DD$68,MATCH(1,($BR541=$CV$13:$CV$68)*($BT541=$CX$13:$CX$68)*($CE541=$CY$13:$CY$68)*($BY541=$DA$13:$DA$68)*($CD541=$DH$13:$DH$68),0)),""))</f>
        <v/>
      </c>
      <c r="DN541" s="740" t="str" cm="1">
        <f t="array" ref="DN541">IF(AND($BT541=4,$BX541=4,$BU541=999),$DD$36,_xlfn.IFNA(INDEX(DE$13:DE$68,MATCH(1,($BR541=$CV$13:$CV$68)*($BT541=$CX$13:$CX$68)*($CE541=$CY$13:$CY$68)*($BY541=$DA$13:$DA$68)*($CD541=$DH$13:$DH$68),0)),""))</f>
        <v/>
      </c>
      <c r="DO541" s="58" t="str" cm="1">
        <f t="array" ref="DO541">IF(AND($BT541=4,$BX541=4,$BU541=999),$DF$36,_xlfn.IFNA(INDEX(DF$13:DF$70,MATCH(1,($BR541=$CV$13:$CV$70)*($BT541=$CX$13:$CX$70)*($CE541=$CY$13:$CY$70)*($BY541=$DA$13:$DA$70)*($CD541=$DH$13:$DH$70),0)),""))</f>
        <v/>
      </c>
      <c r="DP541" s="58" t="e">
        <f t="shared" si="854"/>
        <v>#N/A</v>
      </c>
      <c r="FT541" s="58">
        <f t="shared" si="855"/>
        <v>0</v>
      </c>
      <c r="FW541" s="58">
        <f>IF(i_baseline_risk_from=2,'Effectiveness settings'!EW541,'Effectiveness settings'!FI541)</f>
        <v>0</v>
      </c>
      <c r="FX541" s="58">
        <f t="shared" si="856"/>
        <v>0</v>
      </c>
      <c r="FY541" s="58">
        <f t="shared" si="857"/>
        <v>0</v>
      </c>
      <c r="FZ541" s="58">
        <f t="shared" si="858"/>
        <v>0</v>
      </c>
      <c r="GA541" s="58">
        <f t="shared" si="859"/>
        <v>0</v>
      </c>
      <c r="GB541" s="58">
        <f t="shared" si="860"/>
        <v>0</v>
      </c>
      <c r="GC541" s="58">
        <f t="shared" si="861"/>
        <v>0</v>
      </c>
      <c r="GD541" s="58">
        <f t="shared" si="862"/>
        <v>0</v>
      </c>
      <c r="GE541" s="58">
        <f>IF(AND(dd_CheckMate214_TTD="Yes",'Effectiveness settings'!BU541=2,'Effectiveness settings'!BX541=2),"Apply HR to",GD541)</f>
        <v>0</v>
      </c>
      <c r="GF541" s="58">
        <f t="shared" si="863"/>
        <v>0</v>
      </c>
      <c r="GG541" s="58">
        <f t="shared" si="864"/>
        <v>0</v>
      </c>
      <c r="GH541" s="58">
        <f t="shared" si="865"/>
        <v>0</v>
      </c>
      <c r="GI541" s="58">
        <f t="shared" si="851"/>
        <v>0</v>
      </c>
      <c r="GK541" s="58">
        <f>IF(i_baseline_risk_from=2,'Effectiveness settings'!FA541,'Effectiveness settings'!FM541)</f>
        <v>0</v>
      </c>
      <c r="GL541" s="58">
        <f>IF(i_baseline_risk_from=2,'Effectiveness settings'!FB541,'Effectiveness settings'!FN541)</f>
        <v>0</v>
      </c>
      <c r="GM541" s="58">
        <f>IF(i_baseline_risk_from=2,'Effectiveness settings'!FC541,'Effectiveness settings'!FO541)</f>
        <v>0</v>
      </c>
      <c r="GN541" s="58">
        <f>IF(i_baseline_risk_from=2,'Effectiveness settings'!FD541,'Effectiveness settings'!FP541)</f>
        <v>0</v>
      </c>
      <c r="GQ541" s="58">
        <f t="shared" si="866"/>
        <v>0</v>
      </c>
      <c r="GR541" s="58">
        <f t="shared" si="867"/>
        <v>0</v>
      </c>
      <c r="GS541" s="58">
        <f t="shared" si="868"/>
        <v>0</v>
      </c>
      <c r="GT541" s="58">
        <f t="shared" si="869"/>
        <v>0</v>
      </c>
      <c r="GU541" s="58">
        <f>IF(AND(dd_CheckMate214_TTD="Yes",'Effectiveness settings'!BU541=2,'Effectiveness settings'!BX541=2),2,GT541)</f>
        <v>0</v>
      </c>
      <c r="GV541" s="58">
        <f t="shared" si="870"/>
        <v>0</v>
      </c>
      <c r="GW541" s="58">
        <f t="shared" si="871"/>
        <v>0</v>
      </c>
      <c r="GY541" s="58">
        <f>IF(AND(dd_CheckMate214_TTD="Yes",'Effectiveness settings'!BU541=2,'Effectiveness settings'!BX541=2),1,GN541)</f>
        <v>0</v>
      </c>
      <c r="GZ541" s="58">
        <f t="shared" si="872"/>
        <v>0</v>
      </c>
      <c r="HB541" s="58">
        <f t="shared" si="873"/>
        <v>0</v>
      </c>
      <c r="HD541" s="58">
        <f t="shared" si="846"/>
        <v>0</v>
      </c>
      <c r="HE541" s="58">
        <f t="shared" si="847"/>
        <v>0</v>
      </c>
      <c r="HF541" s="58">
        <f t="shared" si="848"/>
        <v>0</v>
      </c>
      <c r="HG541" s="58">
        <f t="shared" si="849"/>
        <v>0</v>
      </c>
      <c r="HH541" s="58">
        <f t="shared" si="850"/>
        <v>0</v>
      </c>
    </row>
    <row r="542" spans="69:216" ht="15.75" x14ac:dyDescent="0.25">
      <c r="BQ542" s="58">
        <f t="shared" si="853"/>
        <v>323</v>
      </c>
      <c r="BR542" s="61">
        <v>0</v>
      </c>
      <c r="BS542" s="61" t="s">
        <v>31</v>
      </c>
      <c r="BT542" s="17">
        <v>3</v>
      </c>
      <c r="BU542" s="17">
        <v>0</v>
      </c>
      <c r="BV542" s="17" t="str">
        <f t="shared" ref="BV542:BV555" si="900">D304</f>
        <v>nivolumab_monotherapy</v>
      </c>
      <c r="BW542" s="1006" t="str" cm="1">
        <f t="array" ref="BW542">IF(AL304="No",AL304,INDEX(List_incl_anal_3L_all,IF(BU542=999,35,BU542+1)))</f>
        <v>Yes</v>
      </c>
      <c r="BX542" s="61">
        <f t="shared" ref="BX542:BX555" si="901">MATCH(BY542,List_eff_endpoints,0)-1</f>
        <v>3</v>
      </c>
      <c r="BY542" s="531" t="str">
        <f>AM304</f>
        <v>Time to progression</v>
      </c>
      <c r="BZ542" s="530" t="str">
        <f t="shared" ref="BZ542:BZ555" si="902">GI542</f>
        <v>PH_NMA</v>
      </c>
      <c r="CA542" s="531">
        <f>FT542</f>
        <v>0</v>
      </c>
      <c r="CB542" s="530">
        <f t="shared" ref="CB542:CB555" si="903">HD542</f>
        <v>0</v>
      </c>
      <c r="CC542" s="530">
        <f t="shared" ref="CC542:CC555" si="904">HE542</f>
        <v>3</v>
      </c>
      <c r="CD542" s="530">
        <f t="shared" ref="CD542:CD555" si="905">HF542</f>
        <v>8</v>
      </c>
      <c r="CE542" s="1295">
        <f t="shared" ref="CE542:CE555" si="906">HG542</f>
        <v>2</v>
      </c>
      <c r="CF542" s="1301">
        <f t="shared" ref="CF542:CF555" si="907">HH542</f>
        <v>1</v>
      </c>
      <c r="CG542" s="530" t="str">
        <f t="shared" ref="CG542:CG555" si="908">IF(i_surv_cur=1,DK542,DL542)</f>
        <v>Log-normal</v>
      </c>
      <c r="CH542" s="505">
        <f t="shared" ref="CH542:CH555" si="909">AV304</f>
        <v>0.82</v>
      </c>
      <c r="CI542" s="505">
        <f t="shared" ref="CI542:CI555" si="910">AW304</f>
        <v>0.8</v>
      </c>
      <c r="CJ542" s="505">
        <f t="shared" ref="CJ542:CJ555" si="911">AX304</f>
        <v>0.84</v>
      </c>
      <c r="DK542" s="58" t="str" cm="1">
        <f t="array" ref="DK542">IF(AND($BT542=4,$BX542=4,$BU542=999),$DB$36,_xlfn.IFNA(INDEX(DB$13:DB$70,MATCH(1,($BR542=$CV$13:$CV$70)*($BT542=$CX$13:$CX$70)*($CE542=$CY$13:$CY$70)*($BY542=$DA$13:$DA$70)*($CD542=$DH$13:$DH$70),0)),""))</f>
        <v>Log-normal</v>
      </c>
      <c r="DL542" s="58" t="str" cm="1">
        <f t="array" ref="DL542">IF(AND($BT542=4,$BX542=4,$BU542=999),$DC$36,_xlfn.IFNA(INDEX(CHOOSE(DP542,DB$13:DB$70,DC$13:DC$70,DD$13:DD$70,DE$13:DE$70),MATCH(1,($BR542=$CV$13:$CV$70)*($BT542=$CX$13:$CX$70)*($CE542=$CY$13:$CY$70)*($BY542=$DA$13:$DA$70)*($CD542=$DH$13:$DH$70),0)),""))</f>
        <v>Log-normal</v>
      </c>
      <c r="DM542" s="740" t="str" cm="1">
        <f t="array" ref="DM542">IF(AND($BT542=4,$BX542=4,$BU542=999),$DD$36,_xlfn.IFNA(INDEX(DD$13:DD$68,MATCH(1,($BR542=$CV$13:$CV$68)*($BT542=$CX$13:$CX$68)*($CE542=$CY$13:$CY$68)*($BY542=$DA$13:$DA$68)*($CD542=$DH$13:$DH$68),0)),""))</f>
        <v>Generalised gamma</v>
      </c>
      <c r="DN542" s="740" cm="1">
        <f t="array" ref="DN542">IF(AND($BT542=4,$BX542=4,$BU542=999),$DD$36,_xlfn.IFNA(INDEX(DE$13:DE$68,MATCH(1,($BR542=$CV$13:$CV$68)*($BT542=$CX$13:$CX$68)*($CE542=$CY$13:$CY$68)*($BY542=$DA$13:$DA$68)*($CD542=$DH$13:$DH$68),0)),""))</f>
        <v>0</v>
      </c>
      <c r="DO542" s="58" t="str" cm="1">
        <f t="array" ref="DO542">IF(AND($BT542=4,$BX542=4,$BU542=999),$DF$36,_xlfn.IFNA(INDEX(DF$13:DF$70,MATCH(1,($BR542=$CV$13:$CV$70)*($BT542=$CX$13:$CX$70)*($CE542=$CY$13:$CY$70)*($BY542=$DA$13:$DA$70)*($CD542=$DH$13:$DH$70),0)),""))</f>
        <v>Base case</v>
      </c>
      <c r="DP542" s="58">
        <f t="shared" si="854"/>
        <v>1</v>
      </c>
      <c r="DW542" s="58" t="s">
        <v>74</v>
      </c>
      <c r="DX542" s="58" t="s">
        <v>555</v>
      </c>
      <c r="DY542" s="58" t="s">
        <v>63</v>
      </c>
      <c r="DZ542" s="58">
        <v>0</v>
      </c>
      <c r="EB542" s="58">
        <v>0</v>
      </c>
      <c r="EC542" s="58">
        <v>3</v>
      </c>
      <c r="ED542" s="58">
        <v>8</v>
      </c>
      <c r="EE542" s="58">
        <v>2</v>
      </c>
      <c r="EF542" s="58">
        <v>1</v>
      </c>
      <c r="EI542" s="58" t="s">
        <v>74</v>
      </c>
      <c r="EJ542" s="58" t="s">
        <v>555</v>
      </c>
      <c r="EK542" s="58" t="s">
        <v>578</v>
      </c>
      <c r="EL542" s="58">
        <v>0</v>
      </c>
      <c r="EN542" s="58">
        <v>0</v>
      </c>
      <c r="EO542" s="58">
        <v>3</v>
      </c>
      <c r="EP542" s="58">
        <v>0</v>
      </c>
      <c r="EQ542" s="58">
        <v>1</v>
      </c>
      <c r="ER542" s="58">
        <v>1</v>
      </c>
      <c r="EU542" s="58" t="str">
        <f t="shared" ref="EU542:EU555" si="912">IF(i_eff_inputs_based_on_num=2,DW542,AL304)</f>
        <v>Yes</v>
      </c>
      <c r="EV542" s="58" t="str">
        <f t="shared" ref="EV542:EV555" si="913">IF(i_eff_inputs_based_on_num=2,DX542,AM304)</f>
        <v>Time to progression</v>
      </c>
      <c r="EW542" s="58" t="str">
        <f t="shared" ref="EW542:EW555" si="914">IF(i_eff_inputs_based_on_num=2,DY542,AN304)</f>
        <v>FP_NMA</v>
      </c>
      <c r="EX542" s="58">
        <f t="shared" ref="EX542:EX555" si="915">IF(i_eff_inputs_based_on_num=2,DZ542,AO304)</f>
        <v>0</v>
      </c>
      <c r="EZ542" s="58">
        <f t="shared" ref="EZ542:EZ555" si="916">IF(i_eff_inputs_based_on_num=2,EB542,VLOOKUP(AP304,r_pld_lookup_line,3,FALSE))</f>
        <v>0</v>
      </c>
      <c r="FA542" s="58">
        <f t="shared" ref="FA542:FA555" si="917">IF(i_eff_inputs_based_on_num=2,EC542,VLOOKUP(AQ304,r_pld_lookup_line,3,FALSE))</f>
        <v>3</v>
      </c>
      <c r="FB542" s="58">
        <f>IF(i_eff_inputs_based_on_num=2,ED542,(INDEX(Lists!$L$51:$L$85,MATCH(AR304,Lists!$K$51:$K$85,0))))</f>
        <v>8</v>
      </c>
      <c r="FC542" s="58">
        <f>IF(i_eff_inputs_based_on_num=2,EE542,(INDEX(Lists!$L$51:$L$85,MATCH(AS304,Lists!$K$51:$K$85,0))))</f>
        <v>2</v>
      </c>
      <c r="FD542" s="58">
        <f>IF(i_eff_inputs_based_on_num=2,EF542,(INDEX(Lists!$L$51:$L$85,MATCH(AT304,Lists!$K$51:$K$85,0))))</f>
        <v>1</v>
      </c>
      <c r="FG542" s="58" t="str">
        <f t="shared" ref="FG542:FG555" si="918">IF(i_eff_inputs_based_on_num=2,EI542,AL304)</f>
        <v>Yes</v>
      </c>
      <c r="FH542" s="58" t="str">
        <f t="shared" ref="FH542:FH555" si="919">IF(i_eff_inputs_based_on_num=2,EJ542,AM304)</f>
        <v>Time to progression</v>
      </c>
      <c r="FI542" s="58" t="str">
        <f t="shared" ref="FI542:FI555" si="920">IF(i_eff_inputs_based_on_num=2,EK542,AN304)</f>
        <v>Apply HR to</v>
      </c>
      <c r="FJ542" s="58">
        <f t="shared" ref="FJ542:FJ555" si="921">IF(i_eff_inputs_based_on_num=2,EL542,AO304)</f>
        <v>0</v>
      </c>
      <c r="FL542" s="58">
        <f t="shared" ref="FL542:FL555" si="922">IF(i_eff_inputs_based_on_num=2,EN542,VLOOKUP(AP304,r_pld_lookup_line,3,FALSE))</f>
        <v>0</v>
      </c>
      <c r="FM542" s="58">
        <f t="shared" ref="FM542:FM555" si="923">IF(i_eff_inputs_based_on_num=2,EO542,VLOOKUP(AQ304,r_pld_lookup_line,3,FALSE))</f>
        <v>3</v>
      </c>
      <c r="FN542" s="58">
        <f>IF(i_eff_inputs_based_on_num=2,EP542,(INDEX(Lists!$L$51:$L$85,MATCH(AR304,Lists!$K$51:$K$85,0))))</f>
        <v>0</v>
      </c>
      <c r="FO542" s="58">
        <f>IF(i_eff_inputs_based_on_num=2,EQ542,(INDEX(Lists!$L$51:$L$85,MATCH(AS304,Lists!$K$51:$K$85,0))))</f>
        <v>1</v>
      </c>
      <c r="FP542" s="58">
        <f>IF(i_eff_inputs_based_on_num=2,ER542,(INDEX(Lists!$L$51:$L$85,MATCH(AT304,Lists!$K$51:$K$85,0))))</f>
        <v>1</v>
      </c>
      <c r="FT542" s="58">
        <f t="shared" si="855"/>
        <v>0</v>
      </c>
      <c r="FW542" s="58" t="str">
        <f>IF(i_baseline_risk_from=2,'Effectiveness settings'!EW542,'Effectiveness settings'!FI542)</f>
        <v>FP_NMA</v>
      </c>
      <c r="FX542" s="58" t="str">
        <f t="shared" si="856"/>
        <v>PH_NMA</v>
      </c>
      <c r="FY542" s="58" t="str">
        <f t="shared" si="857"/>
        <v>PH_NMA</v>
      </c>
      <c r="FZ542" s="58" t="str">
        <f t="shared" si="858"/>
        <v>PH_NMA</v>
      </c>
      <c r="GA542" s="58" t="str">
        <f t="shared" si="859"/>
        <v>PH_NMA</v>
      </c>
      <c r="GB542" s="58" t="str">
        <f t="shared" si="860"/>
        <v>PH_NMA</v>
      </c>
      <c r="GC542" s="58" t="str">
        <f t="shared" si="861"/>
        <v>PH_NMA</v>
      </c>
      <c r="GD542" s="58" t="str">
        <f t="shared" si="862"/>
        <v>PH_NMA</v>
      </c>
      <c r="GE542" s="58" t="str">
        <f>IF(AND(dd_CheckMate214_TTD="Yes",'Effectiveness settings'!BU542=2,'Effectiveness settings'!BX542=2),"Apply HR to",GD542)</f>
        <v>PH_NMA</v>
      </c>
      <c r="GF542" s="58" t="str">
        <f t="shared" si="863"/>
        <v>PH_NMA</v>
      </c>
      <c r="GG542" s="58" t="str">
        <f t="shared" si="864"/>
        <v>PH_NMA</v>
      </c>
      <c r="GH542" s="58" t="str">
        <f t="shared" si="865"/>
        <v>PH_NMA</v>
      </c>
      <c r="GI542" s="58" t="str">
        <f t="shared" si="851"/>
        <v>PH_NMA</v>
      </c>
      <c r="GK542" s="58">
        <f>IF(i_baseline_risk_from=2,'Effectiveness settings'!FA542,'Effectiveness settings'!FM542)</f>
        <v>3</v>
      </c>
      <c r="GL542" s="58">
        <f>IF(i_baseline_risk_from=2,'Effectiveness settings'!FB542,'Effectiveness settings'!FN542)</f>
        <v>8</v>
      </c>
      <c r="GM542" s="58">
        <f>IF(i_baseline_risk_from=2,'Effectiveness settings'!FC542,'Effectiveness settings'!FO542)</f>
        <v>2</v>
      </c>
      <c r="GN542" s="58">
        <f>IF(i_baseline_risk_from=2,'Effectiveness settings'!FD542,'Effectiveness settings'!FP542)</f>
        <v>1</v>
      </c>
      <c r="GQ542" s="58">
        <f t="shared" si="866"/>
        <v>8</v>
      </c>
      <c r="GR542" s="58">
        <f t="shared" si="867"/>
        <v>8</v>
      </c>
      <c r="GS542" s="58">
        <f t="shared" si="868"/>
        <v>8</v>
      </c>
      <c r="GT542" s="58">
        <f t="shared" si="869"/>
        <v>8</v>
      </c>
      <c r="GU542" s="58">
        <f>IF(AND(dd_CheckMate214_TTD="Yes",'Effectiveness settings'!BU542=2,'Effectiveness settings'!BX542=2),2,GT542)</f>
        <v>8</v>
      </c>
      <c r="GV542" s="58">
        <f t="shared" si="870"/>
        <v>8</v>
      </c>
      <c r="GW542" s="58">
        <f t="shared" si="871"/>
        <v>8</v>
      </c>
      <c r="GY542" s="58">
        <f>IF(AND(dd_CheckMate214_TTD="Yes",'Effectiveness settings'!BU542=2,'Effectiveness settings'!BX542=2),1,GN542)</f>
        <v>1</v>
      </c>
      <c r="GZ542" s="58">
        <f t="shared" si="872"/>
        <v>1</v>
      </c>
      <c r="HB542" s="58">
        <f t="shared" si="873"/>
        <v>0</v>
      </c>
      <c r="HD542" s="58">
        <f t="shared" si="846"/>
        <v>0</v>
      </c>
      <c r="HE542" s="58">
        <f t="shared" si="847"/>
        <v>3</v>
      </c>
      <c r="HF542" s="58">
        <f t="shared" si="848"/>
        <v>8</v>
      </c>
      <c r="HG542" s="58">
        <f t="shared" si="849"/>
        <v>2</v>
      </c>
      <c r="HH542" s="58">
        <f t="shared" si="850"/>
        <v>1</v>
      </c>
    </row>
    <row r="543" spans="69:216" ht="15.75" x14ac:dyDescent="0.25">
      <c r="BQ543" s="58">
        <f t="shared" si="853"/>
        <v>324</v>
      </c>
      <c r="BR543" s="61">
        <v>0</v>
      </c>
      <c r="BS543" s="61" t="s">
        <v>31</v>
      </c>
      <c r="BT543" s="17">
        <v>3</v>
      </c>
      <c r="BU543" s="17">
        <v>1</v>
      </c>
      <c r="BV543" s="17" t="str">
        <f t="shared" si="900"/>
        <v>cabozantinib_plus_nivolumab</v>
      </c>
      <c r="BW543" s="1006" t="str" cm="1">
        <f t="array" ref="BW543">IF(AL305="No",AL305,INDEX(List_incl_anal_3L_all,IF(BU543=999,35,BU543+1)))</f>
        <v>No</v>
      </c>
      <c r="BX543" s="61">
        <f t="shared" si="901"/>
        <v>3</v>
      </c>
      <c r="BY543" s="531" t="str">
        <f>AM305</f>
        <v>Time to progression</v>
      </c>
      <c r="BZ543" s="530">
        <f t="shared" si="902"/>
        <v>0</v>
      </c>
      <c r="CA543" s="531">
        <f t="shared" ref="CA543:CA555" si="924">FT543</f>
        <v>0</v>
      </c>
      <c r="CB543" s="530">
        <f t="shared" si="903"/>
        <v>0</v>
      </c>
      <c r="CC543" s="530">
        <f t="shared" si="904"/>
        <v>3</v>
      </c>
      <c r="CD543" s="530">
        <f t="shared" si="905"/>
        <v>8</v>
      </c>
      <c r="CE543" s="1295">
        <f t="shared" si="906"/>
        <v>2</v>
      </c>
      <c r="CF543" s="1301">
        <f t="shared" si="907"/>
        <v>1</v>
      </c>
      <c r="CG543" s="530" t="str">
        <f t="shared" si="908"/>
        <v>Log-normal</v>
      </c>
      <c r="CH543" s="505">
        <f t="shared" si="909"/>
        <v>1</v>
      </c>
      <c r="CI543" s="505">
        <f t="shared" si="910"/>
        <v>0</v>
      </c>
      <c r="CJ543" s="505">
        <f t="shared" si="911"/>
        <v>0</v>
      </c>
      <c r="DK543" s="58" t="str" cm="1">
        <f t="array" ref="DK543">IF(AND($BT543=4,$BX543=4,$BU543=999),$DB$36,_xlfn.IFNA(INDEX(DB$13:DB$70,MATCH(1,($BR543=$CV$13:$CV$70)*($BT543=$CX$13:$CX$70)*($CE543=$CY$13:$CY$70)*($BY543=$DA$13:$DA$70)*($CD543=$DH$13:$DH$70),0)),""))</f>
        <v>Log-normal</v>
      </c>
      <c r="DL543" s="58" t="str" cm="1">
        <f t="array" ref="DL543">IF(AND($BT543=4,$BX543=4,$BU543=999),$DC$36,_xlfn.IFNA(INDEX(CHOOSE(DP543,DB$13:DB$70,DC$13:DC$70,DD$13:DD$70,DE$13:DE$70),MATCH(1,($BR543=$CV$13:$CV$70)*($BT543=$CX$13:$CX$70)*($CE543=$CY$13:$CY$70)*($BY543=$DA$13:$DA$70)*($CD543=$DH$13:$DH$70),0)),""))</f>
        <v>Log-normal</v>
      </c>
      <c r="DM543" s="740" t="str" cm="1">
        <f t="array" ref="DM543">IF(AND($BT543=4,$BX543=4,$BU543=999),$DD$36,_xlfn.IFNA(INDEX(DD$13:DD$68,MATCH(1,($BR543=$CV$13:$CV$68)*($BT543=$CX$13:$CX$68)*($CE543=$CY$13:$CY$68)*($BY543=$DA$13:$DA$68)*($CD543=$DH$13:$DH$68),0)),""))</f>
        <v>Generalised gamma</v>
      </c>
      <c r="DN543" s="740" cm="1">
        <f t="array" ref="DN543">IF(AND($BT543=4,$BX543=4,$BU543=999),$DD$36,_xlfn.IFNA(INDEX(DE$13:DE$68,MATCH(1,($BR543=$CV$13:$CV$68)*($BT543=$CX$13:$CX$68)*($CE543=$CY$13:$CY$68)*($BY543=$DA$13:$DA$68)*($CD543=$DH$13:$DH$68),0)),""))</f>
        <v>0</v>
      </c>
      <c r="DO543" s="58" t="str" cm="1">
        <f t="array" ref="DO543">IF(AND($BT543=4,$BX543=4,$BU543=999),$DF$36,_xlfn.IFNA(INDEX(DF$13:DF$70,MATCH(1,($BR543=$CV$13:$CV$70)*($BT543=$CX$13:$CX$70)*($CE543=$CY$13:$CY$70)*($BY543=$DA$13:$DA$70)*($CD543=$DH$13:$DH$70),0)),""))</f>
        <v>Base case</v>
      </c>
      <c r="DP543" s="58">
        <f t="shared" si="854"/>
        <v>1</v>
      </c>
      <c r="DW543" s="58" t="s">
        <v>58</v>
      </c>
      <c r="DX543" s="58" t="s">
        <v>555</v>
      </c>
      <c r="DY543" s="58">
        <v>0</v>
      </c>
      <c r="DZ543" s="58">
        <v>0</v>
      </c>
      <c r="EB543" s="58">
        <v>0</v>
      </c>
      <c r="EC543" s="58">
        <v>3</v>
      </c>
      <c r="ED543" s="58">
        <v>8</v>
      </c>
      <c r="EE543" s="58">
        <v>2</v>
      </c>
      <c r="EF543" s="58">
        <v>1</v>
      </c>
      <c r="EI543" s="58" t="s">
        <v>58</v>
      </c>
      <c r="EJ543" s="58" t="s">
        <v>555</v>
      </c>
      <c r="EK543" s="58">
        <v>0</v>
      </c>
      <c r="EL543" s="58">
        <v>0</v>
      </c>
      <c r="EN543" s="58">
        <v>0</v>
      </c>
      <c r="EO543" s="58">
        <v>3</v>
      </c>
      <c r="EP543" s="58">
        <v>1</v>
      </c>
      <c r="EQ543" s="58">
        <v>1</v>
      </c>
      <c r="ER543" s="58">
        <v>1</v>
      </c>
      <c r="EU543" s="58" t="str">
        <f t="shared" si="912"/>
        <v>No</v>
      </c>
      <c r="EV543" s="58" t="str">
        <f t="shared" si="913"/>
        <v>Time to progression</v>
      </c>
      <c r="EW543" s="58">
        <f t="shared" si="914"/>
        <v>0</v>
      </c>
      <c r="EX543" s="58">
        <f t="shared" si="915"/>
        <v>0</v>
      </c>
      <c r="EZ543" s="58">
        <f t="shared" si="916"/>
        <v>0</v>
      </c>
      <c r="FA543" s="58">
        <f t="shared" si="917"/>
        <v>3</v>
      </c>
      <c r="FB543" s="58">
        <f>IF(i_eff_inputs_based_on_num=2,ED543,(INDEX(Lists!$L$51:$L$85,MATCH(AR305,Lists!$K$51:$K$85,0))))</f>
        <v>8</v>
      </c>
      <c r="FC543" s="58">
        <f>IF(i_eff_inputs_based_on_num=2,EE543,(INDEX(Lists!$L$51:$L$85,MATCH(AS305,Lists!$K$51:$K$85,0))))</f>
        <v>2</v>
      </c>
      <c r="FD543" s="58">
        <f>IF(i_eff_inputs_based_on_num=2,EF543,(INDEX(Lists!$L$51:$L$85,MATCH(AT305,Lists!$K$51:$K$85,0))))</f>
        <v>1</v>
      </c>
      <c r="FG543" s="58" t="str">
        <f t="shared" si="918"/>
        <v>No</v>
      </c>
      <c r="FH543" s="58" t="str">
        <f t="shared" si="919"/>
        <v>Time to progression</v>
      </c>
      <c r="FI543" s="58">
        <f t="shared" si="920"/>
        <v>0</v>
      </c>
      <c r="FJ543" s="58">
        <f t="shared" si="921"/>
        <v>0</v>
      </c>
      <c r="FL543" s="58">
        <f t="shared" si="922"/>
        <v>0</v>
      </c>
      <c r="FM543" s="58">
        <f t="shared" si="923"/>
        <v>3</v>
      </c>
      <c r="FN543" s="58">
        <f>IF(i_eff_inputs_based_on_num=2,EP543,(INDEX(Lists!$L$51:$L$85,MATCH(AR305,Lists!$K$51:$K$85,0))))</f>
        <v>1</v>
      </c>
      <c r="FO543" s="58">
        <f>IF(i_eff_inputs_based_on_num=2,EQ543,(INDEX(Lists!$L$51:$L$85,MATCH(AS305,Lists!$K$51:$K$85,0))))</f>
        <v>1</v>
      </c>
      <c r="FP543" s="58">
        <f>IF(i_eff_inputs_based_on_num=2,ER543,(INDEX(Lists!$L$51:$L$85,MATCH(AT305,Lists!$K$51:$K$85,0))))</f>
        <v>1</v>
      </c>
      <c r="FT543" s="58">
        <f t="shared" si="855"/>
        <v>0</v>
      </c>
      <c r="FW543" s="58">
        <f>IF(i_baseline_risk_from=2,'Effectiveness settings'!EW543,'Effectiveness settings'!FI543)</f>
        <v>0</v>
      </c>
      <c r="FX543" s="58">
        <f t="shared" si="856"/>
        <v>0</v>
      </c>
      <c r="FY543" s="58">
        <f t="shared" si="857"/>
        <v>0</v>
      </c>
      <c r="FZ543" s="58">
        <f t="shared" si="858"/>
        <v>0</v>
      </c>
      <c r="GA543" s="58">
        <f t="shared" si="859"/>
        <v>0</v>
      </c>
      <c r="GB543" s="58">
        <f t="shared" si="860"/>
        <v>0</v>
      </c>
      <c r="GC543" s="58">
        <f t="shared" si="861"/>
        <v>0</v>
      </c>
      <c r="GD543" s="58">
        <f t="shared" si="862"/>
        <v>0</v>
      </c>
      <c r="GE543" s="58">
        <f>IF(AND(dd_CheckMate214_TTD="Yes",'Effectiveness settings'!BU543=2,'Effectiveness settings'!BX543=2),"Apply HR to",GD543)</f>
        <v>0</v>
      </c>
      <c r="GF543" s="58">
        <f t="shared" si="863"/>
        <v>0</v>
      </c>
      <c r="GG543" s="58">
        <f t="shared" si="864"/>
        <v>0</v>
      </c>
      <c r="GH543" s="58">
        <f t="shared" si="865"/>
        <v>0</v>
      </c>
      <c r="GI543" s="58">
        <f t="shared" si="851"/>
        <v>0</v>
      </c>
      <c r="GK543" s="58">
        <f>IF(i_baseline_risk_from=2,'Effectiveness settings'!FA543,'Effectiveness settings'!FM543)</f>
        <v>3</v>
      </c>
      <c r="GL543" s="58">
        <f>IF(i_baseline_risk_from=2,'Effectiveness settings'!FB543,'Effectiveness settings'!FN543)</f>
        <v>8</v>
      </c>
      <c r="GM543" s="58">
        <f>IF(i_baseline_risk_from=2,'Effectiveness settings'!FC543,'Effectiveness settings'!FO543)</f>
        <v>2</v>
      </c>
      <c r="GN543" s="58">
        <f>IF(i_baseline_risk_from=2,'Effectiveness settings'!FD543,'Effectiveness settings'!FP543)</f>
        <v>1</v>
      </c>
      <c r="GQ543" s="58">
        <f t="shared" si="866"/>
        <v>8</v>
      </c>
      <c r="GR543" s="58">
        <f t="shared" si="867"/>
        <v>8</v>
      </c>
      <c r="GS543" s="58">
        <f t="shared" si="868"/>
        <v>8</v>
      </c>
      <c r="GT543" s="58">
        <f t="shared" si="869"/>
        <v>8</v>
      </c>
      <c r="GU543" s="58">
        <f>IF(AND(dd_CheckMate214_TTD="Yes",'Effectiveness settings'!BU543=2,'Effectiveness settings'!BX543=2),2,GT543)</f>
        <v>8</v>
      </c>
      <c r="GV543" s="58">
        <f t="shared" si="870"/>
        <v>8</v>
      </c>
      <c r="GW543" s="58">
        <f t="shared" si="871"/>
        <v>8</v>
      </c>
      <c r="GY543" s="58">
        <f>IF(AND(dd_CheckMate214_TTD="Yes",'Effectiveness settings'!BU543=2,'Effectiveness settings'!BX543=2),1,GN543)</f>
        <v>1</v>
      </c>
      <c r="GZ543" s="58">
        <f t="shared" si="872"/>
        <v>1</v>
      </c>
      <c r="HB543" s="58">
        <f t="shared" si="873"/>
        <v>0</v>
      </c>
      <c r="HD543" s="58">
        <f t="shared" si="846"/>
        <v>0</v>
      </c>
      <c r="HE543" s="58">
        <f t="shared" si="847"/>
        <v>3</v>
      </c>
      <c r="HF543" s="58">
        <f t="shared" si="848"/>
        <v>8</v>
      </c>
      <c r="HG543" s="58">
        <f t="shared" si="849"/>
        <v>2</v>
      </c>
      <c r="HH543" s="58">
        <f t="shared" si="850"/>
        <v>1</v>
      </c>
    </row>
    <row r="544" spans="69:216" ht="15.75" x14ac:dyDescent="0.25">
      <c r="BQ544" s="58">
        <f t="shared" si="853"/>
        <v>325</v>
      </c>
      <c r="BR544" s="61">
        <v>0</v>
      </c>
      <c r="BS544" s="61" t="s">
        <v>31</v>
      </c>
      <c r="BT544" s="17">
        <v>3</v>
      </c>
      <c r="BU544" s="17">
        <v>2</v>
      </c>
      <c r="BV544" s="17" t="str">
        <f t="shared" si="900"/>
        <v>nivolumab_plus_ipilimumab</v>
      </c>
      <c r="BW544" s="1006" t="str" cm="1">
        <f t="array" ref="BW544">IF(AL306="No",AL306,INDEX(List_incl_anal_3L_all,IF(BU544=999,35,BU544+1)))</f>
        <v>No</v>
      </c>
      <c r="BX544" s="61">
        <f t="shared" si="901"/>
        <v>3</v>
      </c>
      <c r="BY544" s="531" t="str">
        <f>AM306</f>
        <v>Time to progression</v>
      </c>
      <c r="BZ544" s="530">
        <f t="shared" si="902"/>
        <v>0</v>
      </c>
      <c r="CA544" s="531">
        <f t="shared" si="924"/>
        <v>0</v>
      </c>
      <c r="CB544" s="530">
        <f t="shared" si="903"/>
        <v>0</v>
      </c>
      <c r="CC544" s="530">
        <f t="shared" si="904"/>
        <v>3</v>
      </c>
      <c r="CD544" s="530">
        <f t="shared" si="905"/>
        <v>8</v>
      </c>
      <c r="CE544" s="1295">
        <f t="shared" si="906"/>
        <v>2</v>
      </c>
      <c r="CF544" s="1301">
        <f t="shared" si="907"/>
        <v>1</v>
      </c>
      <c r="CG544" s="530" t="str">
        <f t="shared" si="908"/>
        <v>Log-normal</v>
      </c>
      <c r="CH544" s="505">
        <f t="shared" si="909"/>
        <v>1</v>
      </c>
      <c r="CI544" s="505">
        <f t="shared" si="910"/>
        <v>0</v>
      </c>
      <c r="CJ544" s="505">
        <f t="shared" si="911"/>
        <v>0</v>
      </c>
      <c r="DK544" s="58" t="str" cm="1">
        <f t="array" ref="DK544">IF(AND($BT544=4,$BX544=4,$BU544=999),$DB$36,_xlfn.IFNA(INDEX(DB$13:DB$70,MATCH(1,($BR544=$CV$13:$CV$70)*($BT544=$CX$13:$CX$70)*($CE544=$CY$13:$CY$70)*($BY544=$DA$13:$DA$70)*($CD544=$DH$13:$DH$70),0)),""))</f>
        <v>Log-normal</v>
      </c>
      <c r="DL544" s="58" t="str" cm="1">
        <f t="array" ref="DL544">IF(AND($BT544=4,$BX544=4,$BU544=999),$DC$36,_xlfn.IFNA(INDEX(CHOOSE(DP544,DB$13:DB$70,DC$13:DC$70,DD$13:DD$70,DE$13:DE$70),MATCH(1,($BR544=$CV$13:$CV$70)*($BT544=$CX$13:$CX$70)*($CE544=$CY$13:$CY$70)*($BY544=$DA$13:$DA$70)*($CD544=$DH$13:$DH$70),0)),""))</f>
        <v>Log-normal</v>
      </c>
      <c r="DM544" s="740" t="str" cm="1">
        <f t="array" ref="DM544">IF(AND($BT544=4,$BX544=4,$BU544=999),$DD$36,_xlfn.IFNA(INDEX(DD$13:DD$68,MATCH(1,($BR544=$CV$13:$CV$68)*($BT544=$CX$13:$CX$68)*($CE544=$CY$13:$CY$68)*($BY544=$DA$13:$DA$68)*($CD544=$DH$13:$DH$68),0)),""))</f>
        <v>Generalised gamma</v>
      </c>
      <c r="DN544" s="740" cm="1">
        <f t="array" ref="DN544">IF(AND($BT544=4,$BX544=4,$BU544=999),$DD$36,_xlfn.IFNA(INDEX(DE$13:DE$68,MATCH(1,($BR544=$CV$13:$CV$68)*($BT544=$CX$13:$CX$68)*($CE544=$CY$13:$CY$68)*($BY544=$DA$13:$DA$68)*($CD544=$DH$13:$DH$68),0)),""))</f>
        <v>0</v>
      </c>
      <c r="DO544" s="58" t="str" cm="1">
        <f t="array" ref="DO544">IF(AND($BT544=4,$BX544=4,$BU544=999),$DF$36,_xlfn.IFNA(INDEX(DF$13:DF$70,MATCH(1,($BR544=$CV$13:$CV$70)*($BT544=$CX$13:$CX$70)*($CE544=$CY$13:$CY$70)*($BY544=$DA$13:$DA$70)*($CD544=$DH$13:$DH$70),0)),""))</f>
        <v>Base case</v>
      </c>
      <c r="DP544" s="58">
        <f t="shared" si="854"/>
        <v>1</v>
      </c>
      <c r="DW544" s="58" t="s">
        <v>58</v>
      </c>
      <c r="DX544" s="58" t="s">
        <v>555</v>
      </c>
      <c r="DY544" s="58">
        <v>0</v>
      </c>
      <c r="DZ544" s="58">
        <v>0</v>
      </c>
      <c r="EB544" s="58">
        <v>0</v>
      </c>
      <c r="EC544" s="58">
        <v>3</v>
      </c>
      <c r="ED544" s="58">
        <v>8</v>
      </c>
      <c r="EE544" s="58">
        <v>2</v>
      </c>
      <c r="EF544" s="58">
        <v>1</v>
      </c>
      <c r="EI544" s="58" t="s">
        <v>58</v>
      </c>
      <c r="EJ544" s="58" t="s">
        <v>555</v>
      </c>
      <c r="EK544" s="58">
        <v>0</v>
      </c>
      <c r="EL544" s="58">
        <v>0</v>
      </c>
      <c r="EN544" s="58">
        <v>0</v>
      </c>
      <c r="EO544" s="58">
        <v>3</v>
      </c>
      <c r="EP544" s="58">
        <v>2</v>
      </c>
      <c r="EQ544" s="58">
        <v>1</v>
      </c>
      <c r="ER544" s="58">
        <v>1</v>
      </c>
      <c r="EU544" s="58" t="str">
        <f t="shared" si="912"/>
        <v>No</v>
      </c>
      <c r="EV544" s="58" t="str">
        <f t="shared" si="913"/>
        <v>Time to progression</v>
      </c>
      <c r="EW544" s="58">
        <f t="shared" si="914"/>
        <v>0</v>
      </c>
      <c r="EX544" s="58">
        <f t="shared" si="915"/>
        <v>0</v>
      </c>
      <c r="EZ544" s="58">
        <f t="shared" si="916"/>
        <v>0</v>
      </c>
      <c r="FA544" s="58">
        <f t="shared" si="917"/>
        <v>3</v>
      </c>
      <c r="FB544" s="58">
        <f>IF(i_eff_inputs_based_on_num=2,ED544,(INDEX(Lists!$L$51:$L$85,MATCH(AR306,Lists!$K$51:$K$85,0))))</f>
        <v>8</v>
      </c>
      <c r="FC544" s="58">
        <f>IF(i_eff_inputs_based_on_num=2,EE544,(INDEX(Lists!$L$51:$L$85,MATCH(AS306,Lists!$K$51:$K$85,0))))</f>
        <v>2</v>
      </c>
      <c r="FD544" s="58">
        <f>IF(i_eff_inputs_based_on_num=2,EF544,(INDEX(Lists!$L$51:$L$85,MATCH(AT306,Lists!$K$51:$K$85,0))))</f>
        <v>1</v>
      </c>
      <c r="FG544" s="58" t="str">
        <f t="shared" si="918"/>
        <v>No</v>
      </c>
      <c r="FH544" s="58" t="str">
        <f t="shared" si="919"/>
        <v>Time to progression</v>
      </c>
      <c r="FI544" s="58">
        <f t="shared" si="920"/>
        <v>0</v>
      </c>
      <c r="FJ544" s="58">
        <f t="shared" si="921"/>
        <v>0</v>
      </c>
      <c r="FL544" s="58">
        <f t="shared" si="922"/>
        <v>0</v>
      </c>
      <c r="FM544" s="58">
        <f t="shared" si="923"/>
        <v>3</v>
      </c>
      <c r="FN544" s="58">
        <f>IF(i_eff_inputs_based_on_num=2,EP544,(INDEX(Lists!$L$51:$L$85,MATCH(AR306,Lists!$K$51:$K$85,0))))</f>
        <v>2</v>
      </c>
      <c r="FO544" s="58">
        <f>IF(i_eff_inputs_based_on_num=2,EQ544,(INDEX(Lists!$L$51:$L$85,MATCH(AS306,Lists!$K$51:$K$85,0))))</f>
        <v>1</v>
      </c>
      <c r="FP544" s="58">
        <f>IF(i_eff_inputs_based_on_num=2,ER544,(INDEX(Lists!$L$51:$L$85,MATCH(AT306,Lists!$K$51:$K$85,0))))</f>
        <v>1</v>
      </c>
      <c r="FT544" s="58">
        <f t="shared" si="855"/>
        <v>0</v>
      </c>
      <c r="FW544" s="58">
        <f>IF(i_baseline_risk_from=2,'Effectiveness settings'!EW544,'Effectiveness settings'!FI544)</f>
        <v>0</v>
      </c>
      <c r="FX544" s="58">
        <f t="shared" si="856"/>
        <v>0</v>
      </c>
      <c r="FY544" s="58">
        <f t="shared" si="857"/>
        <v>0</v>
      </c>
      <c r="FZ544" s="58">
        <f t="shared" si="858"/>
        <v>0</v>
      </c>
      <c r="GA544" s="58">
        <f t="shared" si="859"/>
        <v>0</v>
      </c>
      <c r="GB544" s="58">
        <f t="shared" si="860"/>
        <v>0</v>
      </c>
      <c r="GC544" s="58">
        <f t="shared" si="861"/>
        <v>0</v>
      </c>
      <c r="GD544" s="58">
        <f t="shared" si="862"/>
        <v>0</v>
      </c>
      <c r="GE544" s="58">
        <f>IF(AND(dd_CheckMate214_TTD="Yes",'Effectiveness settings'!BU544=2,'Effectiveness settings'!BX544=2),"Apply HR to",GD544)</f>
        <v>0</v>
      </c>
      <c r="GF544" s="58">
        <f t="shared" si="863"/>
        <v>0</v>
      </c>
      <c r="GG544" s="58">
        <f t="shared" si="864"/>
        <v>0</v>
      </c>
      <c r="GH544" s="58">
        <f t="shared" si="865"/>
        <v>0</v>
      </c>
      <c r="GI544" s="58">
        <f t="shared" si="851"/>
        <v>0</v>
      </c>
      <c r="GK544" s="58">
        <f>IF(i_baseline_risk_from=2,'Effectiveness settings'!FA544,'Effectiveness settings'!FM544)</f>
        <v>3</v>
      </c>
      <c r="GL544" s="58">
        <f>IF(i_baseline_risk_from=2,'Effectiveness settings'!FB544,'Effectiveness settings'!FN544)</f>
        <v>8</v>
      </c>
      <c r="GM544" s="58">
        <f>IF(i_baseline_risk_from=2,'Effectiveness settings'!FC544,'Effectiveness settings'!FO544)</f>
        <v>2</v>
      </c>
      <c r="GN544" s="58">
        <f>IF(i_baseline_risk_from=2,'Effectiveness settings'!FD544,'Effectiveness settings'!FP544)</f>
        <v>1</v>
      </c>
      <c r="GQ544" s="58">
        <f t="shared" si="866"/>
        <v>8</v>
      </c>
      <c r="GR544" s="58">
        <f t="shared" si="867"/>
        <v>8</v>
      </c>
      <c r="GS544" s="58">
        <f t="shared" si="868"/>
        <v>8</v>
      </c>
      <c r="GT544" s="58">
        <f t="shared" si="869"/>
        <v>8</v>
      </c>
      <c r="GU544" s="58">
        <f>IF(AND(dd_CheckMate214_TTD="Yes",'Effectiveness settings'!BU544=2,'Effectiveness settings'!BX544=2),2,GT544)</f>
        <v>8</v>
      </c>
      <c r="GV544" s="58">
        <f t="shared" si="870"/>
        <v>8</v>
      </c>
      <c r="GW544" s="58">
        <f t="shared" si="871"/>
        <v>8</v>
      </c>
      <c r="GY544" s="58">
        <f>IF(AND(dd_CheckMate214_TTD="Yes",'Effectiveness settings'!BU544=2,'Effectiveness settings'!BX544=2),1,GN544)</f>
        <v>1</v>
      </c>
      <c r="GZ544" s="58">
        <f t="shared" si="872"/>
        <v>1</v>
      </c>
      <c r="HB544" s="58">
        <f t="shared" si="873"/>
        <v>0</v>
      </c>
      <c r="HD544" s="58">
        <f t="shared" si="846"/>
        <v>0</v>
      </c>
      <c r="HE544" s="58">
        <f t="shared" si="847"/>
        <v>3</v>
      </c>
      <c r="HF544" s="58">
        <f t="shared" si="848"/>
        <v>8</v>
      </c>
      <c r="HG544" s="58">
        <f t="shared" si="849"/>
        <v>2</v>
      </c>
      <c r="HH544" s="58">
        <f t="shared" si="850"/>
        <v>1</v>
      </c>
    </row>
    <row r="545" spans="69:216" ht="15.75" x14ac:dyDescent="0.25">
      <c r="BQ545" s="58">
        <f t="shared" si="853"/>
        <v>326</v>
      </c>
      <c r="BR545" s="61">
        <v>0</v>
      </c>
      <c r="BS545" s="61" t="s">
        <v>31</v>
      </c>
      <c r="BT545" s="17">
        <v>3</v>
      </c>
      <c r="BU545" s="17">
        <v>3</v>
      </c>
      <c r="BV545" s="17" t="str">
        <f t="shared" si="900"/>
        <v>lenvatinib_plus_pembrolizumab</v>
      </c>
      <c r="BW545" s="1006" t="str" cm="1">
        <f t="array" ref="BW545">IF(AL307="No",AL307,INDEX(List_incl_anal_3L_all,IF(BU545=999,35,BU545+1)))</f>
        <v>No</v>
      </c>
      <c r="BX545" s="61">
        <f t="shared" si="901"/>
        <v>3</v>
      </c>
      <c r="BY545" s="531" t="str">
        <f>AM307</f>
        <v>Time to progression</v>
      </c>
      <c r="BZ545" s="530">
        <f t="shared" si="902"/>
        <v>0</v>
      </c>
      <c r="CA545" s="531">
        <f t="shared" si="924"/>
        <v>0</v>
      </c>
      <c r="CB545" s="530">
        <f t="shared" si="903"/>
        <v>0</v>
      </c>
      <c r="CC545" s="530">
        <f t="shared" si="904"/>
        <v>3</v>
      </c>
      <c r="CD545" s="530">
        <f t="shared" si="905"/>
        <v>8</v>
      </c>
      <c r="CE545" s="1295">
        <f t="shared" si="906"/>
        <v>2</v>
      </c>
      <c r="CF545" s="1301">
        <f t="shared" si="907"/>
        <v>1</v>
      </c>
      <c r="CG545" s="530" t="str">
        <f t="shared" si="908"/>
        <v>Log-normal</v>
      </c>
      <c r="CH545" s="505">
        <f t="shared" si="909"/>
        <v>1</v>
      </c>
      <c r="CI545" s="505">
        <f t="shared" si="910"/>
        <v>0</v>
      </c>
      <c r="CJ545" s="505">
        <f t="shared" si="911"/>
        <v>0</v>
      </c>
      <c r="DK545" s="58" t="str" cm="1">
        <f t="array" ref="DK545">IF(AND($BT545=4,$BX545=4,$BU545=999),$DB$36,_xlfn.IFNA(INDEX(DB$13:DB$70,MATCH(1,($BR545=$CV$13:$CV$70)*($BT545=$CX$13:$CX$70)*($CE545=$CY$13:$CY$70)*($BY545=$DA$13:$DA$70)*($CD545=$DH$13:$DH$70),0)),""))</f>
        <v>Log-normal</v>
      </c>
      <c r="DL545" s="58" t="str" cm="1">
        <f t="array" ref="DL545">IF(AND($BT545=4,$BX545=4,$BU545=999),$DC$36,_xlfn.IFNA(INDEX(CHOOSE(DP545,DB$13:DB$70,DC$13:DC$70,DD$13:DD$70,DE$13:DE$70),MATCH(1,($BR545=$CV$13:$CV$70)*($BT545=$CX$13:$CX$70)*($CE545=$CY$13:$CY$70)*($BY545=$DA$13:$DA$70)*($CD545=$DH$13:$DH$70),0)),""))</f>
        <v>Log-normal</v>
      </c>
      <c r="DM545" s="740" t="str" cm="1">
        <f t="array" ref="DM545">IF(AND($BT545=4,$BX545=4,$BU545=999),$DD$36,_xlfn.IFNA(INDEX(DD$13:DD$68,MATCH(1,($BR545=$CV$13:$CV$68)*($BT545=$CX$13:$CX$68)*($CE545=$CY$13:$CY$68)*($BY545=$DA$13:$DA$68)*($CD545=$DH$13:$DH$68),0)),""))</f>
        <v>Generalised gamma</v>
      </c>
      <c r="DN545" s="740" cm="1">
        <f t="array" ref="DN545">IF(AND($BT545=4,$BX545=4,$BU545=999),$DD$36,_xlfn.IFNA(INDEX(DE$13:DE$68,MATCH(1,($BR545=$CV$13:$CV$68)*($BT545=$CX$13:$CX$68)*($CE545=$CY$13:$CY$68)*($BY545=$DA$13:$DA$68)*($CD545=$DH$13:$DH$68),0)),""))</f>
        <v>0</v>
      </c>
      <c r="DO545" s="58" t="str" cm="1">
        <f t="array" ref="DO545">IF(AND($BT545=4,$BX545=4,$BU545=999),$DF$36,_xlfn.IFNA(INDEX(DF$13:DF$70,MATCH(1,($BR545=$CV$13:$CV$70)*($BT545=$CX$13:$CX$70)*($CE545=$CY$13:$CY$70)*($BY545=$DA$13:$DA$70)*($CD545=$DH$13:$DH$70),0)),""))</f>
        <v>Base case</v>
      </c>
      <c r="DP545" s="58">
        <f t="shared" si="854"/>
        <v>1</v>
      </c>
      <c r="DW545" s="58" t="s">
        <v>58</v>
      </c>
      <c r="DX545" s="58" t="s">
        <v>555</v>
      </c>
      <c r="DY545" s="58">
        <v>0</v>
      </c>
      <c r="DZ545" s="58">
        <v>0</v>
      </c>
      <c r="EB545" s="58">
        <v>0</v>
      </c>
      <c r="EC545" s="58">
        <v>3</v>
      </c>
      <c r="ED545" s="58">
        <v>8</v>
      </c>
      <c r="EE545" s="58">
        <v>2</v>
      </c>
      <c r="EF545" s="58">
        <v>1</v>
      </c>
      <c r="EI545" s="58" t="s">
        <v>58</v>
      </c>
      <c r="EJ545" s="58" t="s">
        <v>555</v>
      </c>
      <c r="EK545" s="58">
        <v>0</v>
      </c>
      <c r="EL545" s="58">
        <v>0</v>
      </c>
      <c r="EN545" s="58">
        <v>0</v>
      </c>
      <c r="EO545" s="58">
        <v>3</v>
      </c>
      <c r="EP545" s="58">
        <v>3</v>
      </c>
      <c r="EQ545" s="58">
        <v>1</v>
      </c>
      <c r="ER545" s="58">
        <v>1</v>
      </c>
      <c r="EU545" s="58" t="str">
        <f t="shared" si="912"/>
        <v>No</v>
      </c>
      <c r="EV545" s="58" t="str">
        <f t="shared" si="913"/>
        <v>Time to progression</v>
      </c>
      <c r="EW545" s="58">
        <f t="shared" si="914"/>
        <v>0</v>
      </c>
      <c r="EX545" s="58">
        <f t="shared" si="915"/>
        <v>0</v>
      </c>
      <c r="EZ545" s="58">
        <f t="shared" si="916"/>
        <v>0</v>
      </c>
      <c r="FA545" s="58">
        <f t="shared" si="917"/>
        <v>3</v>
      </c>
      <c r="FB545" s="58">
        <f>IF(i_eff_inputs_based_on_num=2,ED545,(INDEX(Lists!$L$51:$L$85,MATCH(AR307,Lists!$K$51:$K$85,0))))</f>
        <v>8</v>
      </c>
      <c r="FC545" s="58">
        <f>IF(i_eff_inputs_based_on_num=2,EE545,(INDEX(Lists!$L$51:$L$85,MATCH(AS307,Lists!$K$51:$K$85,0))))</f>
        <v>2</v>
      </c>
      <c r="FD545" s="58">
        <f>IF(i_eff_inputs_based_on_num=2,EF545,(INDEX(Lists!$L$51:$L$85,MATCH(AT307,Lists!$K$51:$K$85,0))))</f>
        <v>1</v>
      </c>
      <c r="FG545" s="58" t="str">
        <f t="shared" si="918"/>
        <v>No</v>
      </c>
      <c r="FH545" s="58" t="str">
        <f t="shared" si="919"/>
        <v>Time to progression</v>
      </c>
      <c r="FI545" s="58">
        <f t="shared" si="920"/>
        <v>0</v>
      </c>
      <c r="FJ545" s="58">
        <f t="shared" si="921"/>
        <v>0</v>
      </c>
      <c r="FL545" s="58">
        <f t="shared" si="922"/>
        <v>0</v>
      </c>
      <c r="FM545" s="58">
        <f t="shared" si="923"/>
        <v>3</v>
      </c>
      <c r="FN545" s="58">
        <f>IF(i_eff_inputs_based_on_num=2,EP545,(INDEX(Lists!$L$51:$L$85,MATCH(AR307,Lists!$K$51:$K$85,0))))</f>
        <v>3</v>
      </c>
      <c r="FO545" s="58">
        <f>IF(i_eff_inputs_based_on_num=2,EQ545,(INDEX(Lists!$L$51:$L$85,MATCH(AS307,Lists!$K$51:$K$85,0))))</f>
        <v>1</v>
      </c>
      <c r="FP545" s="58">
        <f>IF(i_eff_inputs_based_on_num=2,ER545,(INDEX(Lists!$L$51:$L$85,MATCH(AT307,Lists!$K$51:$K$85,0))))</f>
        <v>1</v>
      </c>
      <c r="FT545" s="58">
        <f t="shared" si="855"/>
        <v>0</v>
      </c>
      <c r="FW545" s="58">
        <f>IF(i_baseline_risk_from=2,'Effectiveness settings'!EW545,'Effectiveness settings'!FI545)</f>
        <v>0</v>
      </c>
      <c r="FX545" s="58">
        <f t="shared" si="856"/>
        <v>0</v>
      </c>
      <c r="FY545" s="58">
        <f t="shared" si="857"/>
        <v>0</v>
      </c>
      <c r="FZ545" s="58">
        <f t="shared" si="858"/>
        <v>0</v>
      </c>
      <c r="GA545" s="58">
        <f t="shared" si="859"/>
        <v>0</v>
      </c>
      <c r="GB545" s="58">
        <f t="shared" si="860"/>
        <v>0</v>
      </c>
      <c r="GC545" s="58">
        <f t="shared" si="861"/>
        <v>0</v>
      </c>
      <c r="GD545" s="58">
        <f t="shared" si="862"/>
        <v>0</v>
      </c>
      <c r="GE545" s="58">
        <f>IF(AND(dd_CheckMate214_TTD="Yes",'Effectiveness settings'!BU545=2,'Effectiveness settings'!BX545=2),"Apply HR to",GD545)</f>
        <v>0</v>
      </c>
      <c r="GF545" s="58">
        <f t="shared" si="863"/>
        <v>0</v>
      </c>
      <c r="GG545" s="58">
        <f t="shared" si="864"/>
        <v>0</v>
      </c>
      <c r="GH545" s="58">
        <f t="shared" si="865"/>
        <v>0</v>
      </c>
      <c r="GI545" s="58">
        <f t="shared" si="851"/>
        <v>0</v>
      </c>
      <c r="GK545" s="58">
        <f>IF(i_baseline_risk_from=2,'Effectiveness settings'!FA545,'Effectiveness settings'!FM545)</f>
        <v>3</v>
      </c>
      <c r="GL545" s="58">
        <f>IF(i_baseline_risk_from=2,'Effectiveness settings'!FB545,'Effectiveness settings'!FN545)</f>
        <v>8</v>
      </c>
      <c r="GM545" s="58">
        <f>IF(i_baseline_risk_from=2,'Effectiveness settings'!FC545,'Effectiveness settings'!FO545)</f>
        <v>2</v>
      </c>
      <c r="GN545" s="58">
        <f>IF(i_baseline_risk_from=2,'Effectiveness settings'!FD545,'Effectiveness settings'!FP545)</f>
        <v>1</v>
      </c>
      <c r="GQ545" s="58">
        <f t="shared" si="866"/>
        <v>8</v>
      </c>
      <c r="GR545" s="58">
        <f t="shared" si="867"/>
        <v>8</v>
      </c>
      <c r="GS545" s="58">
        <f t="shared" si="868"/>
        <v>8</v>
      </c>
      <c r="GT545" s="58">
        <f t="shared" si="869"/>
        <v>8</v>
      </c>
      <c r="GU545" s="58">
        <f>IF(AND(dd_CheckMate214_TTD="Yes",'Effectiveness settings'!BU545=2,'Effectiveness settings'!BX545=2),2,GT545)</f>
        <v>8</v>
      </c>
      <c r="GV545" s="58">
        <f t="shared" si="870"/>
        <v>8</v>
      </c>
      <c r="GW545" s="58">
        <f t="shared" si="871"/>
        <v>8</v>
      </c>
      <c r="GY545" s="58">
        <f>IF(AND(dd_CheckMate214_TTD="Yes",'Effectiveness settings'!BU545=2,'Effectiveness settings'!BX545=2),1,GN545)</f>
        <v>1</v>
      </c>
      <c r="GZ545" s="58">
        <f t="shared" si="872"/>
        <v>1</v>
      </c>
      <c r="HB545" s="58">
        <f t="shared" si="873"/>
        <v>0</v>
      </c>
      <c r="HD545" s="58">
        <f t="shared" si="846"/>
        <v>0</v>
      </c>
      <c r="HE545" s="58">
        <f t="shared" si="847"/>
        <v>3</v>
      </c>
      <c r="HF545" s="58">
        <f t="shared" si="848"/>
        <v>8</v>
      </c>
      <c r="HG545" s="58">
        <f t="shared" si="849"/>
        <v>2</v>
      </c>
      <c r="HH545" s="58">
        <f t="shared" si="850"/>
        <v>1</v>
      </c>
    </row>
    <row r="546" spans="69:216" ht="15.75" x14ac:dyDescent="0.25">
      <c r="BQ546" s="58">
        <f t="shared" si="853"/>
        <v>327</v>
      </c>
      <c r="BR546" s="61">
        <v>0</v>
      </c>
      <c r="BS546" s="61" t="s">
        <v>31</v>
      </c>
      <c r="BT546" s="17">
        <v>3</v>
      </c>
      <c r="BU546" s="17">
        <v>4</v>
      </c>
      <c r="BV546" s="17" t="str">
        <f t="shared" si="900"/>
        <v>avelumab_plus_axitinib</v>
      </c>
      <c r="BW546" s="1006" t="str" cm="1">
        <f t="array" ref="BW546">IF(AL308="No",AL308,INDEX(List_incl_anal_3L_all,IF(BU546=999,35,BU546+1)))</f>
        <v>No</v>
      </c>
      <c r="BX546" s="61">
        <f t="shared" si="901"/>
        <v>3</v>
      </c>
      <c r="BY546" s="531" t="str">
        <f>AM308</f>
        <v>Time to progression</v>
      </c>
      <c r="BZ546" s="530">
        <f t="shared" si="902"/>
        <v>0</v>
      </c>
      <c r="CA546" s="531">
        <f t="shared" si="924"/>
        <v>0</v>
      </c>
      <c r="CB546" s="530">
        <f t="shared" si="903"/>
        <v>0</v>
      </c>
      <c r="CC546" s="530">
        <f t="shared" si="904"/>
        <v>3</v>
      </c>
      <c r="CD546" s="530">
        <f t="shared" si="905"/>
        <v>8</v>
      </c>
      <c r="CE546" s="1295">
        <f t="shared" si="906"/>
        <v>2</v>
      </c>
      <c r="CF546" s="1301">
        <f t="shared" si="907"/>
        <v>1</v>
      </c>
      <c r="CG546" s="530" t="str">
        <f t="shared" si="908"/>
        <v>Log-normal</v>
      </c>
      <c r="CH546" s="505">
        <f t="shared" si="909"/>
        <v>1</v>
      </c>
      <c r="CI546" s="505">
        <f t="shared" si="910"/>
        <v>0</v>
      </c>
      <c r="CJ546" s="505">
        <f t="shared" si="911"/>
        <v>0</v>
      </c>
      <c r="DK546" s="58" t="str" cm="1">
        <f t="array" ref="DK546">IF(AND($BT546=4,$BX546=4,$BU546=999),$DB$36,_xlfn.IFNA(INDEX(DB$13:DB$70,MATCH(1,($BR546=$CV$13:$CV$70)*($BT546=$CX$13:$CX$70)*($CE546=$CY$13:$CY$70)*($BY546=$DA$13:$DA$70)*($CD546=$DH$13:$DH$70),0)),""))</f>
        <v>Log-normal</v>
      </c>
      <c r="DL546" s="58" t="str" cm="1">
        <f t="array" ref="DL546">IF(AND($BT546=4,$BX546=4,$BU546=999),$DC$36,_xlfn.IFNA(INDEX(CHOOSE(DP546,DB$13:DB$70,DC$13:DC$70,DD$13:DD$70,DE$13:DE$70),MATCH(1,($BR546=$CV$13:$CV$70)*($BT546=$CX$13:$CX$70)*($CE546=$CY$13:$CY$70)*($BY546=$DA$13:$DA$70)*($CD546=$DH$13:$DH$70),0)),""))</f>
        <v>Log-normal</v>
      </c>
      <c r="DM546" s="740" t="str" cm="1">
        <f t="array" ref="DM546">IF(AND($BT546=4,$BX546=4,$BU546=999),$DD$36,_xlfn.IFNA(INDEX(DD$13:DD$68,MATCH(1,($BR546=$CV$13:$CV$68)*($BT546=$CX$13:$CX$68)*($CE546=$CY$13:$CY$68)*($BY546=$DA$13:$DA$68)*($CD546=$DH$13:$DH$68),0)),""))</f>
        <v>Generalised gamma</v>
      </c>
      <c r="DN546" s="740" cm="1">
        <f t="array" ref="DN546">IF(AND($BT546=4,$BX546=4,$BU546=999),$DD$36,_xlfn.IFNA(INDEX(DE$13:DE$68,MATCH(1,($BR546=$CV$13:$CV$68)*($BT546=$CX$13:$CX$68)*($CE546=$CY$13:$CY$68)*($BY546=$DA$13:$DA$68)*($CD546=$DH$13:$DH$68),0)),""))</f>
        <v>0</v>
      </c>
      <c r="DO546" s="58" t="str" cm="1">
        <f t="array" ref="DO546">IF(AND($BT546=4,$BX546=4,$BU546=999),$DF$36,_xlfn.IFNA(INDEX(DF$13:DF$70,MATCH(1,($BR546=$CV$13:$CV$70)*($BT546=$CX$13:$CX$70)*($CE546=$CY$13:$CY$70)*($BY546=$DA$13:$DA$70)*($CD546=$DH$13:$DH$70),0)),""))</f>
        <v>Base case</v>
      </c>
      <c r="DP546" s="58">
        <f t="shared" si="854"/>
        <v>1</v>
      </c>
      <c r="DW546" s="58" t="s">
        <v>58</v>
      </c>
      <c r="DX546" s="58" t="s">
        <v>555</v>
      </c>
      <c r="DY546" s="58">
        <v>0</v>
      </c>
      <c r="DZ546" s="58">
        <v>0</v>
      </c>
      <c r="EB546" s="58">
        <v>0</v>
      </c>
      <c r="EC546" s="58">
        <v>3</v>
      </c>
      <c r="ED546" s="58">
        <v>8</v>
      </c>
      <c r="EE546" s="58">
        <v>2</v>
      </c>
      <c r="EF546" s="58">
        <v>1</v>
      </c>
      <c r="EI546" s="58" t="s">
        <v>58</v>
      </c>
      <c r="EJ546" s="58" t="s">
        <v>555</v>
      </c>
      <c r="EK546" s="58">
        <v>0</v>
      </c>
      <c r="EL546" s="58">
        <v>0</v>
      </c>
      <c r="EN546" s="58">
        <v>0</v>
      </c>
      <c r="EO546" s="58">
        <v>3</v>
      </c>
      <c r="EP546" s="58">
        <v>4</v>
      </c>
      <c r="EQ546" s="58">
        <v>1</v>
      </c>
      <c r="ER546" s="58">
        <v>1</v>
      </c>
      <c r="EU546" s="58" t="str">
        <f t="shared" si="912"/>
        <v>No</v>
      </c>
      <c r="EV546" s="58" t="str">
        <f t="shared" si="913"/>
        <v>Time to progression</v>
      </c>
      <c r="EW546" s="58">
        <f t="shared" si="914"/>
        <v>0</v>
      </c>
      <c r="EX546" s="58">
        <f t="shared" si="915"/>
        <v>0</v>
      </c>
      <c r="EZ546" s="58">
        <f t="shared" si="916"/>
        <v>0</v>
      </c>
      <c r="FA546" s="58">
        <f t="shared" si="917"/>
        <v>3</v>
      </c>
      <c r="FB546" s="58">
        <f>IF(i_eff_inputs_based_on_num=2,ED546,(INDEX(Lists!$L$51:$L$85,MATCH(AR308,Lists!$K$51:$K$85,0))))</f>
        <v>8</v>
      </c>
      <c r="FC546" s="58">
        <f>IF(i_eff_inputs_based_on_num=2,EE546,(INDEX(Lists!$L$51:$L$85,MATCH(AS308,Lists!$K$51:$K$85,0))))</f>
        <v>2</v>
      </c>
      <c r="FD546" s="58">
        <f>IF(i_eff_inputs_based_on_num=2,EF546,(INDEX(Lists!$L$51:$L$85,MATCH(AT308,Lists!$K$51:$K$85,0))))</f>
        <v>1</v>
      </c>
      <c r="FG546" s="58" t="str">
        <f t="shared" si="918"/>
        <v>No</v>
      </c>
      <c r="FH546" s="58" t="str">
        <f t="shared" si="919"/>
        <v>Time to progression</v>
      </c>
      <c r="FI546" s="58">
        <f t="shared" si="920"/>
        <v>0</v>
      </c>
      <c r="FJ546" s="58">
        <f t="shared" si="921"/>
        <v>0</v>
      </c>
      <c r="FL546" s="58">
        <f t="shared" si="922"/>
        <v>0</v>
      </c>
      <c r="FM546" s="58">
        <f t="shared" si="923"/>
        <v>3</v>
      </c>
      <c r="FN546" s="58">
        <f>IF(i_eff_inputs_based_on_num=2,EP546,(INDEX(Lists!$L$51:$L$85,MATCH(AR308,Lists!$K$51:$K$85,0))))</f>
        <v>4</v>
      </c>
      <c r="FO546" s="58">
        <f>IF(i_eff_inputs_based_on_num=2,EQ546,(INDEX(Lists!$L$51:$L$85,MATCH(AS308,Lists!$K$51:$K$85,0))))</f>
        <v>1</v>
      </c>
      <c r="FP546" s="58">
        <f>IF(i_eff_inputs_based_on_num=2,ER546,(INDEX(Lists!$L$51:$L$85,MATCH(AT308,Lists!$K$51:$K$85,0))))</f>
        <v>1</v>
      </c>
      <c r="FT546" s="58">
        <f t="shared" si="855"/>
        <v>0</v>
      </c>
      <c r="FW546" s="58">
        <f>IF(i_baseline_risk_from=2,'Effectiveness settings'!EW546,'Effectiveness settings'!FI546)</f>
        <v>0</v>
      </c>
      <c r="FX546" s="58">
        <f t="shared" si="856"/>
        <v>0</v>
      </c>
      <c r="FY546" s="58">
        <f t="shared" si="857"/>
        <v>0</v>
      </c>
      <c r="FZ546" s="58">
        <f t="shared" si="858"/>
        <v>0</v>
      </c>
      <c r="GA546" s="58">
        <f t="shared" si="859"/>
        <v>0</v>
      </c>
      <c r="GB546" s="58">
        <f t="shared" si="860"/>
        <v>0</v>
      </c>
      <c r="GC546" s="58">
        <f t="shared" si="861"/>
        <v>0</v>
      </c>
      <c r="GD546" s="58">
        <f t="shared" si="862"/>
        <v>0</v>
      </c>
      <c r="GE546" s="58">
        <f>IF(AND(dd_CheckMate214_TTD="Yes",'Effectiveness settings'!BU546=2,'Effectiveness settings'!BX546=2),"Apply HR to",GD546)</f>
        <v>0</v>
      </c>
      <c r="GF546" s="58">
        <f t="shared" si="863"/>
        <v>0</v>
      </c>
      <c r="GG546" s="58">
        <f t="shared" si="864"/>
        <v>0</v>
      </c>
      <c r="GH546" s="58">
        <f t="shared" si="865"/>
        <v>0</v>
      </c>
      <c r="GI546" s="58">
        <f t="shared" si="851"/>
        <v>0</v>
      </c>
      <c r="GK546" s="58">
        <f>IF(i_baseline_risk_from=2,'Effectiveness settings'!FA546,'Effectiveness settings'!FM546)</f>
        <v>3</v>
      </c>
      <c r="GL546" s="58">
        <f>IF(i_baseline_risk_from=2,'Effectiveness settings'!FB546,'Effectiveness settings'!FN546)</f>
        <v>8</v>
      </c>
      <c r="GM546" s="58">
        <f>IF(i_baseline_risk_from=2,'Effectiveness settings'!FC546,'Effectiveness settings'!FO546)</f>
        <v>2</v>
      </c>
      <c r="GN546" s="58">
        <f>IF(i_baseline_risk_from=2,'Effectiveness settings'!FD546,'Effectiveness settings'!FP546)</f>
        <v>1</v>
      </c>
      <c r="GQ546" s="58">
        <f t="shared" si="866"/>
        <v>8</v>
      </c>
      <c r="GR546" s="58">
        <f t="shared" si="867"/>
        <v>8</v>
      </c>
      <c r="GS546" s="58">
        <f t="shared" si="868"/>
        <v>8</v>
      </c>
      <c r="GT546" s="58">
        <f t="shared" si="869"/>
        <v>8</v>
      </c>
      <c r="GU546" s="58">
        <f>IF(AND(dd_CheckMate214_TTD="Yes",'Effectiveness settings'!BU546=2,'Effectiveness settings'!BX546=2),2,GT546)</f>
        <v>8</v>
      </c>
      <c r="GV546" s="58">
        <f t="shared" si="870"/>
        <v>8</v>
      </c>
      <c r="GW546" s="58">
        <f t="shared" si="871"/>
        <v>8</v>
      </c>
      <c r="GY546" s="58">
        <f>IF(AND(dd_CheckMate214_TTD="Yes",'Effectiveness settings'!BU546=2,'Effectiveness settings'!BX546=2),1,GN546)</f>
        <v>1</v>
      </c>
      <c r="GZ546" s="58">
        <f t="shared" si="872"/>
        <v>1</v>
      </c>
      <c r="HB546" s="58">
        <f t="shared" si="873"/>
        <v>0</v>
      </c>
      <c r="HD546" s="58">
        <f t="shared" si="846"/>
        <v>0</v>
      </c>
      <c r="HE546" s="58">
        <f t="shared" si="847"/>
        <v>3</v>
      </c>
      <c r="HF546" s="58">
        <f t="shared" si="848"/>
        <v>8</v>
      </c>
      <c r="HG546" s="58">
        <f t="shared" si="849"/>
        <v>2</v>
      </c>
      <c r="HH546" s="58">
        <f t="shared" si="850"/>
        <v>1</v>
      </c>
    </row>
    <row r="547" spans="69:216" ht="15.75" x14ac:dyDescent="0.25">
      <c r="BQ547" s="58">
        <f t="shared" si="853"/>
        <v>328</v>
      </c>
      <c r="BR547" s="61">
        <v>0</v>
      </c>
      <c r="BS547" s="61" t="s">
        <v>31</v>
      </c>
      <c r="BT547" s="17">
        <v>3</v>
      </c>
      <c r="BU547" s="17">
        <v>5</v>
      </c>
      <c r="BV547" s="17" t="str">
        <f t="shared" si="900"/>
        <v>pazopanib</v>
      </c>
      <c r="BW547" s="1006" t="str" cm="1">
        <f t="array" ref="BW547">IF(AL309="No",AL309,INDEX(List_incl_anal_3L_all,IF(BU547=999,35,BU547+1)))</f>
        <v>Yes</v>
      </c>
      <c r="BX547" s="61">
        <f t="shared" si="901"/>
        <v>3</v>
      </c>
      <c r="BY547" s="531" t="str">
        <f t="shared" ref="BY547:BY555" si="925">AM309</f>
        <v>Time to progression</v>
      </c>
      <c r="BZ547" s="530" t="str">
        <f t="shared" si="902"/>
        <v>Assume equal to</v>
      </c>
      <c r="CA547" s="531">
        <f t="shared" si="924"/>
        <v>0</v>
      </c>
      <c r="CB547" s="530">
        <f t="shared" si="903"/>
        <v>0</v>
      </c>
      <c r="CC547" s="530">
        <f t="shared" si="904"/>
        <v>3</v>
      </c>
      <c r="CD547" s="530">
        <f t="shared" si="905"/>
        <v>7</v>
      </c>
      <c r="CE547" s="1295">
        <f t="shared" si="906"/>
        <v>2</v>
      </c>
      <c r="CF547" s="1301">
        <f t="shared" si="907"/>
        <v>1</v>
      </c>
      <c r="CG547" s="530" t="str">
        <f t="shared" si="908"/>
        <v/>
      </c>
      <c r="CH547" s="505">
        <f t="shared" si="909"/>
        <v>0.82</v>
      </c>
      <c r="CI547" s="505">
        <f t="shared" si="910"/>
        <v>0.8</v>
      </c>
      <c r="CJ547" s="505">
        <f t="shared" si="911"/>
        <v>0.84</v>
      </c>
      <c r="DK547" s="58" t="str" cm="1">
        <f t="array" ref="DK547">IF(AND($BT547=4,$BX547=4,$BU547=999),$DB$36,_xlfn.IFNA(INDEX(DB$13:DB$70,MATCH(1,($BR547=$CV$13:$CV$70)*($BT547=$CX$13:$CX$70)*($CE547=$CY$13:$CY$70)*($BY547=$DA$13:$DA$70)*($CD547=$DH$13:$DH$70),0)),""))</f>
        <v/>
      </c>
      <c r="DL547" s="58" t="str" cm="1">
        <f t="array" ref="DL547">IF(AND($BT547=4,$BX547=4,$BU547=999),$DC$36,_xlfn.IFNA(INDEX(CHOOSE(DP547,DB$13:DB$70,DC$13:DC$70,DD$13:DD$70,DE$13:DE$70),MATCH(1,($BR547=$CV$13:$CV$70)*($BT547=$CX$13:$CX$70)*($CE547=$CY$13:$CY$70)*($BY547=$DA$13:$DA$70)*($CD547=$DH$13:$DH$70),0)),""))</f>
        <v/>
      </c>
      <c r="DM547" s="740" t="str" cm="1">
        <f t="array" ref="DM547">IF(AND($BT547=4,$BX547=4,$BU547=999),$DD$36,_xlfn.IFNA(INDEX(DD$13:DD$68,MATCH(1,($BR547=$CV$13:$CV$68)*($BT547=$CX$13:$CX$68)*($CE547=$CY$13:$CY$68)*($BY547=$DA$13:$DA$68)*($CD547=$DH$13:$DH$68),0)),""))</f>
        <v/>
      </c>
      <c r="DN547" s="740" t="str" cm="1">
        <f t="array" ref="DN547">IF(AND($BT547=4,$BX547=4,$BU547=999),$DD$36,_xlfn.IFNA(INDEX(DE$13:DE$68,MATCH(1,($BR547=$CV$13:$CV$68)*($BT547=$CX$13:$CX$68)*($CE547=$CY$13:$CY$68)*($BY547=$DA$13:$DA$68)*($CD547=$DH$13:$DH$68),0)),""))</f>
        <v/>
      </c>
      <c r="DO547" s="58" t="str" cm="1">
        <f t="array" ref="DO547">IF(AND($BT547=4,$BX547=4,$BU547=999),$DF$36,_xlfn.IFNA(INDEX(DF$13:DF$70,MATCH(1,($BR547=$CV$13:$CV$70)*($BT547=$CX$13:$CX$70)*($CE547=$CY$13:$CY$70)*($BY547=$DA$13:$DA$70)*($CD547=$DH$13:$DH$70),0)),""))</f>
        <v/>
      </c>
      <c r="DP547" s="58" t="e">
        <f t="shared" si="854"/>
        <v>#N/A</v>
      </c>
      <c r="DW547" s="58" t="s">
        <v>74</v>
      </c>
      <c r="DX547" s="58" t="s">
        <v>555</v>
      </c>
      <c r="DY547" s="58" t="s">
        <v>561</v>
      </c>
      <c r="DZ547" s="58">
        <v>0</v>
      </c>
      <c r="EB547" s="58">
        <v>0</v>
      </c>
      <c r="EC547" s="58">
        <v>3</v>
      </c>
      <c r="ED547" s="58">
        <v>6</v>
      </c>
      <c r="EE547" s="58">
        <v>2</v>
      </c>
      <c r="EF547" s="58">
        <v>1</v>
      </c>
      <c r="EI547" s="58" t="s">
        <v>74</v>
      </c>
      <c r="EJ547" s="58" t="s">
        <v>555</v>
      </c>
      <c r="EK547" s="58" t="s">
        <v>578</v>
      </c>
      <c r="EL547" s="58">
        <v>0</v>
      </c>
      <c r="EN547" s="58">
        <v>0</v>
      </c>
      <c r="EO547" s="58">
        <v>3</v>
      </c>
      <c r="EP547" s="58">
        <v>7</v>
      </c>
      <c r="EQ547" s="58">
        <v>1</v>
      </c>
      <c r="ER547" s="58">
        <v>1</v>
      </c>
      <c r="EU547" s="58" t="str">
        <f t="shared" si="912"/>
        <v>Yes</v>
      </c>
      <c r="EV547" s="58" t="str">
        <f t="shared" si="913"/>
        <v>Time to progression</v>
      </c>
      <c r="EW547" s="58" t="str">
        <f t="shared" si="914"/>
        <v>Assume equal to</v>
      </c>
      <c r="EX547" s="58">
        <f t="shared" si="915"/>
        <v>0</v>
      </c>
      <c r="EZ547" s="58">
        <f t="shared" si="916"/>
        <v>0</v>
      </c>
      <c r="FA547" s="58">
        <f t="shared" si="917"/>
        <v>3</v>
      </c>
      <c r="FB547" s="58">
        <f>IF(i_eff_inputs_based_on_num=2,ED547,(INDEX(Lists!$L$51:$L$85,MATCH(AR309,Lists!$K$51:$K$85,0))))</f>
        <v>6</v>
      </c>
      <c r="FC547" s="58">
        <f>IF(i_eff_inputs_based_on_num=2,EE547,(INDEX(Lists!$L$51:$L$85,MATCH(AS309,Lists!$K$51:$K$85,0))))</f>
        <v>2</v>
      </c>
      <c r="FD547" s="58">
        <f>IF(i_eff_inputs_based_on_num=2,EF547,(INDEX(Lists!$L$51:$L$85,MATCH(AT309,Lists!$K$51:$K$85,0))))</f>
        <v>1</v>
      </c>
      <c r="FG547" s="58" t="str">
        <f t="shared" si="918"/>
        <v>Yes</v>
      </c>
      <c r="FH547" s="58" t="str">
        <f t="shared" si="919"/>
        <v>Time to progression</v>
      </c>
      <c r="FI547" s="58" t="str">
        <f t="shared" si="920"/>
        <v>Apply HR to</v>
      </c>
      <c r="FJ547" s="58">
        <f t="shared" si="921"/>
        <v>0</v>
      </c>
      <c r="FL547" s="58">
        <f t="shared" si="922"/>
        <v>0</v>
      </c>
      <c r="FM547" s="58">
        <f t="shared" si="923"/>
        <v>3</v>
      </c>
      <c r="FN547" s="58">
        <f>IF(i_eff_inputs_based_on_num=2,EP547,(INDEX(Lists!$L$51:$L$85,MATCH(AR309,Lists!$K$51:$K$85,0))))</f>
        <v>7</v>
      </c>
      <c r="FO547" s="58">
        <f>IF(i_eff_inputs_based_on_num=2,EQ547,(INDEX(Lists!$L$51:$L$85,MATCH(AS309,Lists!$K$51:$K$85,0))))</f>
        <v>1</v>
      </c>
      <c r="FP547" s="58">
        <f>IF(i_eff_inputs_based_on_num=2,ER547,(INDEX(Lists!$L$51:$L$85,MATCH(AT309,Lists!$K$51:$K$85,0))))</f>
        <v>1</v>
      </c>
      <c r="FT547" s="58">
        <f t="shared" si="855"/>
        <v>0</v>
      </c>
      <c r="FW547" s="58" t="str">
        <f>IF(i_baseline_risk_from=2,'Effectiveness settings'!EW547,'Effectiveness settings'!FI547)</f>
        <v>Assume equal to</v>
      </c>
      <c r="FX547" s="58" t="str">
        <f t="shared" si="856"/>
        <v>Assume equal to</v>
      </c>
      <c r="FY547" s="58" t="str">
        <f t="shared" si="857"/>
        <v>Assume equal to</v>
      </c>
      <c r="FZ547" s="58" t="str">
        <f t="shared" si="858"/>
        <v>Assume equal to</v>
      </c>
      <c r="GA547" s="58" t="str">
        <f t="shared" si="859"/>
        <v>Assume equal to</v>
      </c>
      <c r="GB547" s="58" t="str">
        <f t="shared" si="860"/>
        <v>Assume equal to</v>
      </c>
      <c r="GC547" s="58" t="str">
        <f t="shared" si="861"/>
        <v>Assume equal to</v>
      </c>
      <c r="GD547" s="58" t="str">
        <f t="shared" si="862"/>
        <v>Assume equal to</v>
      </c>
      <c r="GE547" s="58" t="str">
        <f>IF(AND(dd_CheckMate214_TTD="Yes",'Effectiveness settings'!BU547=2,'Effectiveness settings'!BX547=2),"Apply HR to",GD547)</f>
        <v>Assume equal to</v>
      </c>
      <c r="GF547" s="58" t="str">
        <f t="shared" si="863"/>
        <v>Assume equal to</v>
      </c>
      <c r="GG547" s="58" t="str">
        <f t="shared" si="864"/>
        <v>Assume equal to</v>
      </c>
      <c r="GH547" s="58" t="str">
        <f t="shared" si="865"/>
        <v>Assume equal to</v>
      </c>
      <c r="GI547" s="58" t="str">
        <f t="shared" si="851"/>
        <v>Assume equal to</v>
      </c>
      <c r="GK547" s="58">
        <f>IF(i_baseline_risk_from=2,'Effectiveness settings'!FA547,'Effectiveness settings'!FM547)</f>
        <v>3</v>
      </c>
      <c r="GL547" s="58">
        <f>IF(i_baseline_risk_from=2,'Effectiveness settings'!FB547,'Effectiveness settings'!FN547)</f>
        <v>6</v>
      </c>
      <c r="GM547" s="58">
        <f>IF(i_baseline_risk_from=2,'Effectiveness settings'!FC547,'Effectiveness settings'!FO547)</f>
        <v>2</v>
      </c>
      <c r="GN547" s="58">
        <f>IF(i_baseline_risk_from=2,'Effectiveness settings'!FD547,'Effectiveness settings'!FP547)</f>
        <v>1</v>
      </c>
      <c r="GQ547" s="58">
        <f t="shared" si="866"/>
        <v>7</v>
      </c>
      <c r="GR547" s="58">
        <f t="shared" si="867"/>
        <v>7</v>
      </c>
      <c r="GS547" s="58">
        <f t="shared" si="868"/>
        <v>7</v>
      </c>
      <c r="GT547" s="58">
        <f t="shared" si="869"/>
        <v>7</v>
      </c>
      <c r="GU547" s="58">
        <f>IF(AND(dd_CheckMate214_TTD="Yes",'Effectiveness settings'!BU547=2,'Effectiveness settings'!BX547=2),2,GT547)</f>
        <v>7</v>
      </c>
      <c r="GV547" s="58">
        <f t="shared" si="870"/>
        <v>7</v>
      </c>
      <c r="GW547" s="58">
        <f t="shared" si="871"/>
        <v>7</v>
      </c>
      <c r="GY547" s="58">
        <f>IF(AND(dd_CheckMate214_TTD="Yes",'Effectiveness settings'!BU547=2,'Effectiveness settings'!BX547=2),1,GN547)</f>
        <v>1</v>
      </c>
      <c r="GZ547" s="58">
        <f t="shared" si="872"/>
        <v>1</v>
      </c>
      <c r="HB547" s="58">
        <f t="shared" si="873"/>
        <v>0</v>
      </c>
      <c r="HD547" s="58">
        <f t="shared" si="846"/>
        <v>0</v>
      </c>
      <c r="HE547" s="58">
        <f t="shared" si="847"/>
        <v>3</v>
      </c>
      <c r="HF547" s="58">
        <f t="shared" si="848"/>
        <v>7</v>
      </c>
      <c r="HG547" s="58">
        <f t="shared" si="849"/>
        <v>2</v>
      </c>
      <c r="HH547" s="58">
        <f t="shared" si="850"/>
        <v>1</v>
      </c>
    </row>
    <row r="548" spans="69:216" ht="15.75" x14ac:dyDescent="0.25">
      <c r="BQ548" s="58">
        <f t="shared" si="853"/>
        <v>329</v>
      </c>
      <c r="BR548" s="61">
        <v>0</v>
      </c>
      <c r="BS548" s="61" t="s">
        <v>31</v>
      </c>
      <c r="BT548" s="17">
        <v>3</v>
      </c>
      <c r="BU548" s="17">
        <v>6</v>
      </c>
      <c r="BV548" s="17" t="str">
        <f t="shared" si="900"/>
        <v>tivozanib</v>
      </c>
      <c r="BW548" s="1006" t="str" cm="1">
        <f t="array" ref="BW548">IF(AL310="No",AL310,INDEX(List_incl_anal_3L_all,IF(BU548=999,35,BU548+1)))</f>
        <v>Yes</v>
      </c>
      <c r="BX548" s="61">
        <f t="shared" si="901"/>
        <v>3</v>
      </c>
      <c r="BY548" s="531" t="str">
        <f t="shared" si="925"/>
        <v>Time to progression</v>
      </c>
      <c r="BZ548" s="530" t="str">
        <f t="shared" si="902"/>
        <v>PH_NMA</v>
      </c>
      <c r="CA548" s="531">
        <f t="shared" si="924"/>
        <v>0</v>
      </c>
      <c r="CB548" s="530">
        <f t="shared" si="903"/>
        <v>0</v>
      </c>
      <c r="CC548" s="530">
        <f t="shared" si="904"/>
        <v>3</v>
      </c>
      <c r="CD548" s="530">
        <f t="shared" si="905"/>
        <v>8</v>
      </c>
      <c r="CE548" s="1295">
        <f t="shared" si="906"/>
        <v>2</v>
      </c>
      <c r="CF548" s="1301">
        <f t="shared" si="907"/>
        <v>1</v>
      </c>
      <c r="CG548" s="530" t="str">
        <f t="shared" si="908"/>
        <v>Log-normal</v>
      </c>
      <c r="CH548" s="505">
        <f t="shared" si="909"/>
        <v>0.82</v>
      </c>
      <c r="CI548" s="505">
        <f t="shared" si="910"/>
        <v>0.8</v>
      </c>
      <c r="CJ548" s="505">
        <f t="shared" si="911"/>
        <v>0.84</v>
      </c>
      <c r="DK548" s="58" t="str" cm="1">
        <f t="array" ref="DK548">IF(AND($BT548=4,$BX548=4,$BU548=999),$DB$36,_xlfn.IFNA(INDEX(DB$13:DB$70,MATCH(1,($BR548=$CV$13:$CV$70)*($BT548=$CX$13:$CX$70)*($CE548=$CY$13:$CY$70)*($BY548=$DA$13:$DA$70)*($CD548=$DH$13:$DH$70),0)),""))</f>
        <v>Log-normal</v>
      </c>
      <c r="DL548" s="58" t="str" cm="1">
        <f t="array" ref="DL548">IF(AND($BT548=4,$BX548=4,$BU548=999),$DC$36,_xlfn.IFNA(INDEX(CHOOSE(DP548,DB$13:DB$70,DC$13:DC$70,DD$13:DD$70,DE$13:DE$70),MATCH(1,($BR548=$CV$13:$CV$70)*($BT548=$CX$13:$CX$70)*($CE548=$CY$13:$CY$70)*($BY548=$DA$13:$DA$70)*($CD548=$DH$13:$DH$70),0)),""))</f>
        <v>Log-normal</v>
      </c>
      <c r="DM548" s="740" t="str" cm="1">
        <f t="array" ref="DM548">IF(AND($BT548=4,$BX548=4,$BU548=999),$DD$36,_xlfn.IFNA(INDEX(DD$13:DD$68,MATCH(1,($BR548=$CV$13:$CV$68)*($BT548=$CX$13:$CX$68)*($CE548=$CY$13:$CY$68)*($BY548=$DA$13:$DA$68)*($CD548=$DH$13:$DH$68),0)),""))</f>
        <v>Generalised gamma</v>
      </c>
      <c r="DN548" s="740" cm="1">
        <f t="array" ref="DN548">IF(AND($BT548=4,$BX548=4,$BU548=999),$DD$36,_xlfn.IFNA(INDEX(DE$13:DE$68,MATCH(1,($BR548=$CV$13:$CV$68)*($BT548=$CX$13:$CX$68)*($CE548=$CY$13:$CY$68)*($BY548=$DA$13:$DA$68)*($CD548=$DH$13:$DH$68),0)),""))</f>
        <v>0</v>
      </c>
      <c r="DO548" s="58" t="str" cm="1">
        <f t="array" ref="DO548">IF(AND($BT548=4,$BX548=4,$BU548=999),$DF$36,_xlfn.IFNA(INDEX(DF$13:DF$70,MATCH(1,($BR548=$CV$13:$CV$70)*($BT548=$CX$13:$CX$70)*($CE548=$CY$13:$CY$70)*($BY548=$DA$13:$DA$70)*($CD548=$DH$13:$DH$70),0)),""))</f>
        <v>Base case</v>
      </c>
      <c r="DP548" s="58">
        <f t="shared" si="854"/>
        <v>1</v>
      </c>
      <c r="DW548" s="58" t="s">
        <v>74</v>
      </c>
      <c r="DX548" s="58" t="s">
        <v>555</v>
      </c>
      <c r="DY548" s="58" t="s">
        <v>67</v>
      </c>
      <c r="DZ548" s="58">
        <v>0</v>
      </c>
      <c r="EB548" s="58">
        <v>0</v>
      </c>
      <c r="EC548" s="58">
        <v>3</v>
      </c>
      <c r="ED548" s="58">
        <v>8</v>
      </c>
      <c r="EE548" s="58">
        <v>2</v>
      </c>
      <c r="EF548" s="58">
        <v>1</v>
      </c>
      <c r="EI548" s="58" t="s">
        <v>74</v>
      </c>
      <c r="EJ548" s="58" t="s">
        <v>555</v>
      </c>
      <c r="EK548" s="58" t="s">
        <v>578</v>
      </c>
      <c r="EL548" s="58">
        <v>0</v>
      </c>
      <c r="EN548" s="58">
        <v>0</v>
      </c>
      <c r="EO548" s="58">
        <v>3</v>
      </c>
      <c r="EP548" s="58">
        <v>7</v>
      </c>
      <c r="EQ548" s="58">
        <v>1</v>
      </c>
      <c r="ER548" s="58">
        <v>1</v>
      </c>
      <c r="EU548" s="58" t="str">
        <f t="shared" si="912"/>
        <v>Yes</v>
      </c>
      <c r="EV548" s="58" t="str">
        <f t="shared" si="913"/>
        <v>Time to progression</v>
      </c>
      <c r="EW548" s="58" t="str">
        <f t="shared" si="914"/>
        <v>PH_NMA</v>
      </c>
      <c r="EX548" s="58">
        <f t="shared" si="915"/>
        <v>0</v>
      </c>
      <c r="EZ548" s="58">
        <f t="shared" si="916"/>
        <v>0</v>
      </c>
      <c r="FA548" s="58">
        <f t="shared" si="917"/>
        <v>3</v>
      </c>
      <c r="FB548" s="58">
        <f>IF(i_eff_inputs_based_on_num=2,ED548,(INDEX(Lists!$L$51:$L$85,MATCH(AR310,Lists!$K$51:$K$85,0))))</f>
        <v>8</v>
      </c>
      <c r="FC548" s="58">
        <f>IF(i_eff_inputs_based_on_num=2,EE548,(INDEX(Lists!$L$51:$L$85,MATCH(AS310,Lists!$K$51:$K$85,0))))</f>
        <v>2</v>
      </c>
      <c r="FD548" s="58">
        <f>IF(i_eff_inputs_based_on_num=2,EF548,(INDEX(Lists!$L$51:$L$85,MATCH(AT310,Lists!$K$51:$K$85,0))))</f>
        <v>1</v>
      </c>
      <c r="FG548" s="58" t="str">
        <f t="shared" si="918"/>
        <v>Yes</v>
      </c>
      <c r="FH548" s="58" t="str">
        <f t="shared" si="919"/>
        <v>Time to progression</v>
      </c>
      <c r="FI548" s="58" t="str">
        <f t="shared" si="920"/>
        <v>Apply HR to</v>
      </c>
      <c r="FJ548" s="58">
        <f t="shared" si="921"/>
        <v>0</v>
      </c>
      <c r="FL548" s="58">
        <f t="shared" si="922"/>
        <v>0</v>
      </c>
      <c r="FM548" s="58">
        <f t="shared" si="923"/>
        <v>3</v>
      </c>
      <c r="FN548" s="58">
        <f>IF(i_eff_inputs_based_on_num=2,EP548,(INDEX(Lists!$L$51:$L$85,MATCH(AR310,Lists!$K$51:$K$85,0))))</f>
        <v>7</v>
      </c>
      <c r="FO548" s="58">
        <f>IF(i_eff_inputs_based_on_num=2,EQ548,(INDEX(Lists!$L$51:$L$85,MATCH(AS310,Lists!$K$51:$K$85,0))))</f>
        <v>1</v>
      </c>
      <c r="FP548" s="58">
        <f>IF(i_eff_inputs_based_on_num=2,ER548,(INDEX(Lists!$L$51:$L$85,MATCH(AT310,Lists!$K$51:$K$85,0))))</f>
        <v>1</v>
      </c>
      <c r="FT548" s="58">
        <f t="shared" si="855"/>
        <v>0</v>
      </c>
      <c r="FW548" s="58" t="str">
        <f>IF(i_baseline_risk_from=2,'Effectiveness settings'!EW548,'Effectiveness settings'!FI548)</f>
        <v>PH_NMA</v>
      </c>
      <c r="FX548" s="58" t="str">
        <f t="shared" si="856"/>
        <v>PH_NMA</v>
      </c>
      <c r="FY548" s="58" t="str">
        <f t="shared" si="857"/>
        <v>PH_NMA</v>
      </c>
      <c r="FZ548" s="58" t="str">
        <f t="shared" si="858"/>
        <v>PH_NMA</v>
      </c>
      <c r="GA548" s="58" t="str">
        <f t="shared" si="859"/>
        <v>PH_NMA</v>
      </c>
      <c r="GB548" s="58" t="str">
        <f t="shared" si="860"/>
        <v>PH_NMA</v>
      </c>
      <c r="GC548" s="58" t="str">
        <f t="shared" si="861"/>
        <v>PH_NMA</v>
      </c>
      <c r="GD548" s="58" t="str">
        <f t="shared" si="862"/>
        <v>PH_NMA</v>
      </c>
      <c r="GE548" s="58" t="str">
        <f>IF(AND(dd_CheckMate214_TTD="Yes",'Effectiveness settings'!BU548=2,'Effectiveness settings'!BX548=2),"Apply HR to",GD548)</f>
        <v>PH_NMA</v>
      </c>
      <c r="GF548" s="58" t="str">
        <f t="shared" si="863"/>
        <v>PH_NMA</v>
      </c>
      <c r="GG548" s="58" t="str">
        <f t="shared" si="864"/>
        <v>PH_NMA</v>
      </c>
      <c r="GH548" s="58" t="str">
        <f t="shared" si="865"/>
        <v>PH_NMA</v>
      </c>
      <c r="GI548" s="58" t="str">
        <f t="shared" si="851"/>
        <v>PH_NMA</v>
      </c>
      <c r="GK548" s="58">
        <f>IF(i_baseline_risk_from=2,'Effectiveness settings'!FA548,'Effectiveness settings'!FM548)</f>
        <v>3</v>
      </c>
      <c r="GL548" s="58">
        <f>IF(i_baseline_risk_from=2,'Effectiveness settings'!FB548,'Effectiveness settings'!FN548)</f>
        <v>8</v>
      </c>
      <c r="GM548" s="58">
        <f>IF(i_baseline_risk_from=2,'Effectiveness settings'!FC548,'Effectiveness settings'!FO548)</f>
        <v>2</v>
      </c>
      <c r="GN548" s="58">
        <f>IF(i_baseline_risk_from=2,'Effectiveness settings'!FD548,'Effectiveness settings'!FP548)</f>
        <v>1</v>
      </c>
      <c r="GQ548" s="58">
        <f t="shared" si="866"/>
        <v>8</v>
      </c>
      <c r="GR548" s="58">
        <f t="shared" si="867"/>
        <v>8</v>
      </c>
      <c r="GS548" s="58">
        <f t="shared" si="868"/>
        <v>8</v>
      </c>
      <c r="GT548" s="58">
        <f t="shared" si="869"/>
        <v>8</v>
      </c>
      <c r="GU548" s="58">
        <f>IF(AND(dd_CheckMate214_TTD="Yes",'Effectiveness settings'!BU548=2,'Effectiveness settings'!BX548=2),2,GT548)</f>
        <v>8</v>
      </c>
      <c r="GV548" s="58">
        <f t="shared" si="870"/>
        <v>8</v>
      </c>
      <c r="GW548" s="58">
        <f t="shared" si="871"/>
        <v>8</v>
      </c>
      <c r="GY548" s="58">
        <f>IF(AND(dd_CheckMate214_TTD="Yes",'Effectiveness settings'!BU548=2,'Effectiveness settings'!BX548=2),1,GN548)</f>
        <v>1</v>
      </c>
      <c r="GZ548" s="58">
        <f t="shared" si="872"/>
        <v>1</v>
      </c>
      <c r="HB548" s="58">
        <f t="shared" si="873"/>
        <v>0</v>
      </c>
      <c r="HD548" s="58">
        <f t="shared" si="846"/>
        <v>0</v>
      </c>
      <c r="HE548" s="58">
        <f t="shared" si="847"/>
        <v>3</v>
      </c>
      <c r="HF548" s="58">
        <f t="shared" si="848"/>
        <v>8</v>
      </c>
      <c r="HG548" s="58">
        <f t="shared" si="849"/>
        <v>2</v>
      </c>
      <c r="HH548" s="58">
        <f t="shared" si="850"/>
        <v>1</v>
      </c>
    </row>
    <row r="549" spans="69:216" ht="15.75" x14ac:dyDescent="0.25">
      <c r="BQ549" s="58">
        <f t="shared" si="853"/>
        <v>330</v>
      </c>
      <c r="BR549" s="61">
        <v>0</v>
      </c>
      <c r="BS549" s="61" t="s">
        <v>31</v>
      </c>
      <c r="BT549" s="17">
        <v>3</v>
      </c>
      <c r="BU549" s="17">
        <v>7</v>
      </c>
      <c r="BV549" s="17" t="str">
        <f t="shared" si="900"/>
        <v>sunitinib</v>
      </c>
      <c r="BW549" s="1006" t="str" cm="1">
        <f t="array" ref="BW549">IF(AL311="No",AL311,INDEX(List_incl_anal_3L_all,IF(BU549=999,35,BU549+1)))</f>
        <v>Yes</v>
      </c>
      <c r="BX549" s="61">
        <f t="shared" si="901"/>
        <v>3</v>
      </c>
      <c r="BY549" s="531" t="str">
        <f t="shared" si="925"/>
        <v>Time to progression</v>
      </c>
      <c r="BZ549" s="530" t="str">
        <f t="shared" si="902"/>
        <v>Assume equal to</v>
      </c>
      <c r="CA549" s="531">
        <f t="shared" si="924"/>
        <v>0</v>
      </c>
      <c r="CB549" s="530">
        <f t="shared" si="903"/>
        <v>0</v>
      </c>
      <c r="CC549" s="530">
        <f t="shared" si="904"/>
        <v>3</v>
      </c>
      <c r="CD549" s="530">
        <f t="shared" si="905"/>
        <v>6</v>
      </c>
      <c r="CE549" s="1295">
        <f t="shared" si="906"/>
        <v>2</v>
      </c>
      <c r="CF549" s="1301">
        <f t="shared" si="907"/>
        <v>1</v>
      </c>
      <c r="CG549" s="530" t="str">
        <f t="shared" si="908"/>
        <v/>
      </c>
      <c r="CH549" s="505">
        <f t="shared" si="909"/>
        <v>0.82</v>
      </c>
      <c r="CI549" s="505">
        <f t="shared" si="910"/>
        <v>0.8</v>
      </c>
      <c r="CJ549" s="505">
        <f t="shared" si="911"/>
        <v>0.84</v>
      </c>
      <c r="DK549" s="58" t="str" cm="1">
        <f t="array" ref="DK549">IF(AND($BT549=4,$BX549=4,$BU549=999),$DB$36,_xlfn.IFNA(INDEX(DB$13:DB$70,MATCH(1,($BR549=$CV$13:$CV$70)*($BT549=$CX$13:$CX$70)*($CE549=$CY$13:$CY$70)*($BY549=$DA$13:$DA$70)*($CD549=$DH$13:$DH$70),0)),""))</f>
        <v/>
      </c>
      <c r="DL549" s="58" t="str" cm="1">
        <f t="array" ref="DL549">IF(AND($BT549=4,$BX549=4,$BU549=999),$DC$36,_xlfn.IFNA(INDEX(CHOOSE(DP549,DB$13:DB$70,DC$13:DC$70,DD$13:DD$70,DE$13:DE$70),MATCH(1,($BR549=$CV$13:$CV$70)*($BT549=$CX$13:$CX$70)*($CE549=$CY$13:$CY$70)*($BY549=$DA$13:$DA$70)*($CD549=$DH$13:$DH$70),0)),""))</f>
        <v/>
      </c>
      <c r="DM549" s="740" t="str" cm="1">
        <f t="array" ref="DM549">IF(AND($BT549=4,$BX549=4,$BU549=999),$DD$36,_xlfn.IFNA(INDEX(DD$13:DD$68,MATCH(1,($BR549=$CV$13:$CV$68)*($BT549=$CX$13:$CX$68)*($CE549=$CY$13:$CY$68)*($BY549=$DA$13:$DA$68)*($CD549=$DH$13:$DH$68),0)),""))</f>
        <v/>
      </c>
      <c r="DN549" s="740" t="str" cm="1">
        <f t="array" ref="DN549">IF(AND($BT549=4,$BX549=4,$BU549=999),$DD$36,_xlfn.IFNA(INDEX(DE$13:DE$68,MATCH(1,($BR549=$CV$13:$CV$68)*($BT549=$CX$13:$CX$68)*($CE549=$CY$13:$CY$68)*($BY549=$DA$13:$DA$68)*($CD549=$DH$13:$DH$68),0)),""))</f>
        <v/>
      </c>
      <c r="DO549" s="58" t="str" cm="1">
        <f t="array" ref="DO549">IF(AND($BT549=4,$BX549=4,$BU549=999),$DF$36,_xlfn.IFNA(INDEX(DF$13:DF$70,MATCH(1,($BR549=$CV$13:$CV$70)*($BT549=$CX$13:$CX$70)*($CE549=$CY$13:$CY$70)*($BY549=$DA$13:$DA$70)*($CD549=$DH$13:$DH$70),0)),""))</f>
        <v/>
      </c>
      <c r="DP549" s="58" t="e">
        <f t="shared" si="854"/>
        <v>#N/A</v>
      </c>
      <c r="DW549" s="58" t="s">
        <v>74</v>
      </c>
      <c r="DX549" s="58" t="s">
        <v>555</v>
      </c>
      <c r="DY549" s="58" t="s">
        <v>561</v>
      </c>
      <c r="DZ549" s="58">
        <v>0</v>
      </c>
      <c r="EB549" s="58">
        <v>0</v>
      </c>
      <c r="EC549" s="58">
        <v>3</v>
      </c>
      <c r="ED549" s="58">
        <v>6</v>
      </c>
      <c r="EE549" s="58">
        <v>2</v>
      </c>
      <c r="EF549" s="58">
        <v>1</v>
      </c>
      <c r="EI549" s="58" t="s">
        <v>74</v>
      </c>
      <c r="EJ549" s="58" t="s">
        <v>555</v>
      </c>
      <c r="EK549" s="58" t="s">
        <v>578</v>
      </c>
      <c r="EL549" s="58">
        <v>0</v>
      </c>
      <c r="EN549" s="58">
        <v>0</v>
      </c>
      <c r="EO549" s="58">
        <v>3</v>
      </c>
      <c r="EP549" s="58">
        <v>7</v>
      </c>
      <c r="EQ549" s="58">
        <v>1</v>
      </c>
      <c r="ER549" s="58">
        <v>1</v>
      </c>
      <c r="EU549" s="58" t="str">
        <f t="shared" si="912"/>
        <v>Yes</v>
      </c>
      <c r="EV549" s="58" t="str">
        <f t="shared" si="913"/>
        <v>Time to progression</v>
      </c>
      <c r="EW549" s="58" t="str">
        <f t="shared" si="914"/>
        <v>Assume equal to</v>
      </c>
      <c r="EX549" s="58">
        <f t="shared" si="915"/>
        <v>0</v>
      </c>
      <c r="EZ549" s="58">
        <f t="shared" si="916"/>
        <v>0</v>
      </c>
      <c r="FA549" s="58">
        <f t="shared" si="917"/>
        <v>3</v>
      </c>
      <c r="FB549" s="58">
        <f>IF(i_eff_inputs_based_on_num=2,ED549,(INDEX(Lists!$L$51:$L$85,MATCH(AR311,Lists!$K$51:$K$85,0))))</f>
        <v>6</v>
      </c>
      <c r="FC549" s="58">
        <f>IF(i_eff_inputs_based_on_num=2,EE549,(INDEX(Lists!$L$51:$L$85,MATCH(AS311,Lists!$K$51:$K$85,0))))</f>
        <v>2</v>
      </c>
      <c r="FD549" s="58">
        <f>IF(i_eff_inputs_based_on_num=2,EF549,(INDEX(Lists!$L$51:$L$85,MATCH(AT311,Lists!$K$51:$K$85,0))))</f>
        <v>1</v>
      </c>
      <c r="FG549" s="58" t="str">
        <f t="shared" si="918"/>
        <v>Yes</v>
      </c>
      <c r="FH549" s="58" t="str">
        <f t="shared" si="919"/>
        <v>Time to progression</v>
      </c>
      <c r="FI549" s="58" t="str">
        <f t="shared" si="920"/>
        <v>Apply HR to</v>
      </c>
      <c r="FJ549" s="58">
        <f t="shared" si="921"/>
        <v>0</v>
      </c>
      <c r="FL549" s="58">
        <f t="shared" si="922"/>
        <v>0</v>
      </c>
      <c r="FM549" s="58">
        <f t="shared" si="923"/>
        <v>3</v>
      </c>
      <c r="FN549" s="58">
        <f>IF(i_eff_inputs_based_on_num=2,EP549,(INDEX(Lists!$L$51:$L$85,MATCH(AR311,Lists!$K$51:$K$85,0))))</f>
        <v>7</v>
      </c>
      <c r="FO549" s="58">
        <f>IF(i_eff_inputs_based_on_num=2,EQ549,(INDEX(Lists!$L$51:$L$85,MATCH(AS311,Lists!$K$51:$K$85,0))))</f>
        <v>1</v>
      </c>
      <c r="FP549" s="58">
        <f>IF(i_eff_inputs_based_on_num=2,ER549,(INDEX(Lists!$L$51:$L$85,MATCH(AT311,Lists!$K$51:$K$85,0))))</f>
        <v>1</v>
      </c>
      <c r="FT549" s="58">
        <f t="shared" si="855"/>
        <v>0</v>
      </c>
      <c r="FW549" s="58" t="str">
        <f>IF(i_baseline_risk_from=2,'Effectiveness settings'!EW549,'Effectiveness settings'!FI549)</f>
        <v>Assume equal to</v>
      </c>
      <c r="FX549" s="58" t="str">
        <f t="shared" si="856"/>
        <v>Assume equal to</v>
      </c>
      <c r="FY549" s="58" t="str">
        <f t="shared" si="857"/>
        <v>Assume equal to</v>
      </c>
      <c r="FZ549" s="58" t="str">
        <f t="shared" si="858"/>
        <v>Assume equal to</v>
      </c>
      <c r="GA549" s="58" t="str">
        <f t="shared" si="859"/>
        <v>Assume equal to</v>
      </c>
      <c r="GB549" s="58" t="str">
        <f t="shared" si="860"/>
        <v>Assume equal to</v>
      </c>
      <c r="GC549" s="58" t="str">
        <f t="shared" si="861"/>
        <v>Assume equal to</v>
      </c>
      <c r="GD549" s="58" t="str">
        <f t="shared" si="862"/>
        <v>Assume equal to</v>
      </c>
      <c r="GE549" s="58" t="str">
        <f>IF(AND(dd_CheckMate214_TTD="Yes",'Effectiveness settings'!BU549=2,'Effectiveness settings'!BX549=2),"Apply HR to",GD549)</f>
        <v>Assume equal to</v>
      </c>
      <c r="GF549" s="58" t="str">
        <f t="shared" si="863"/>
        <v>Assume equal to</v>
      </c>
      <c r="GG549" s="58" t="str">
        <f t="shared" si="864"/>
        <v>Assume equal to</v>
      </c>
      <c r="GH549" s="58" t="str">
        <f t="shared" si="865"/>
        <v>Assume equal to</v>
      </c>
      <c r="GI549" s="58" t="str">
        <f t="shared" si="851"/>
        <v>Assume equal to</v>
      </c>
      <c r="GK549" s="58">
        <f>IF(i_baseline_risk_from=2,'Effectiveness settings'!FA549,'Effectiveness settings'!FM549)</f>
        <v>3</v>
      </c>
      <c r="GL549" s="58">
        <f>IF(i_baseline_risk_from=2,'Effectiveness settings'!FB549,'Effectiveness settings'!FN549)</f>
        <v>6</v>
      </c>
      <c r="GM549" s="58">
        <f>IF(i_baseline_risk_from=2,'Effectiveness settings'!FC549,'Effectiveness settings'!FO549)</f>
        <v>2</v>
      </c>
      <c r="GN549" s="58">
        <f>IF(i_baseline_risk_from=2,'Effectiveness settings'!FD549,'Effectiveness settings'!FP549)</f>
        <v>1</v>
      </c>
      <c r="GQ549" s="58">
        <f t="shared" si="866"/>
        <v>6</v>
      </c>
      <c r="GR549" s="58">
        <f t="shared" si="867"/>
        <v>6</v>
      </c>
      <c r="GS549" s="58">
        <f t="shared" si="868"/>
        <v>6</v>
      </c>
      <c r="GT549" s="58">
        <f t="shared" si="869"/>
        <v>6</v>
      </c>
      <c r="GU549" s="58">
        <f>IF(AND(dd_CheckMate214_TTD="Yes",'Effectiveness settings'!BU549=2,'Effectiveness settings'!BX549=2),2,GT549)</f>
        <v>6</v>
      </c>
      <c r="GV549" s="58">
        <f t="shared" si="870"/>
        <v>6</v>
      </c>
      <c r="GW549" s="58">
        <f t="shared" si="871"/>
        <v>6</v>
      </c>
      <c r="GY549" s="58">
        <f>IF(AND(dd_CheckMate214_TTD="Yes",'Effectiveness settings'!BU549=2,'Effectiveness settings'!BX549=2),1,GN549)</f>
        <v>1</v>
      </c>
      <c r="GZ549" s="58">
        <f t="shared" si="872"/>
        <v>1</v>
      </c>
      <c r="HB549" s="58">
        <f t="shared" si="873"/>
        <v>0</v>
      </c>
      <c r="HD549" s="58">
        <f t="shared" si="846"/>
        <v>0</v>
      </c>
      <c r="HE549" s="58">
        <f t="shared" si="847"/>
        <v>3</v>
      </c>
      <c r="HF549" s="58">
        <f t="shared" si="848"/>
        <v>6</v>
      </c>
      <c r="HG549" s="58">
        <f t="shared" si="849"/>
        <v>2</v>
      </c>
      <c r="HH549" s="58">
        <f t="shared" si="850"/>
        <v>1</v>
      </c>
    </row>
    <row r="550" spans="69:216" ht="15.75" x14ac:dyDescent="0.25">
      <c r="BQ550" s="58">
        <f t="shared" si="853"/>
        <v>331</v>
      </c>
      <c r="BR550" s="61">
        <v>0</v>
      </c>
      <c r="BS550" s="61" t="s">
        <v>31</v>
      </c>
      <c r="BT550" s="17">
        <v>3</v>
      </c>
      <c r="BU550" s="17">
        <v>8</v>
      </c>
      <c r="BV550" s="17" t="str">
        <f t="shared" si="900"/>
        <v>cabozantinib</v>
      </c>
      <c r="BW550" s="1006" t="str" cm="1">
        <f t="array" ref="BW550">IF(AL312="No",AL312,INDEX(List_incl_anal_3L_all,IF(BU550=999,35,BU550+1)))</f>
        <v>Yes</v>
      </c>
      <c r="BX550" s="61">
        <f t="shared" si="901"/>
        <v>3</v>
      </c>
      <c r="BY550" s="531" t="str">
        <f t="shared" si="925"/>
        <v>Time to progression</v>
      </c>
      <c r="BZ550" s="530" t="str">
        <f t="shared" si="902"/>
        <v>Trial survival analysis</v>
      </c>
      <c r="CA550" s="531" t="str">
        <f t="shared" si="924"/>
        <v>Real world evidence</v>
      </c>
      <c r="CB550" s="530">
        <f t="shared" si="903"/>
        <v>0</v>
      </c>
      <c r="CC550" s="530">
        <f t="shared" si="904"/>
        <v>3</v>
      </c>
      <c r="CD550" s="530">
        <f t="shared" si="905"/>
        <v>8</v>
      </c>
      <c r="CE550" s="1295">
        <f t="shared" si="906"/>
        <v>2</v>
      </c>
      <c r="CF550" s="1301">
        <f t="shared" si="907"/>
        <v>1</v>
      </c>
      <c r="CG550" s="530" t="str">
        <f t="shared" si="908"/>
        <v>Log-normal</v>
      </c>
      <c r="CH550" s="505">
        <f t="shared" si="909"/>
        <v>0.82</v>
      </c>
      <c r="CI550" s="505">
        <f t="shared" si="910"/>
        <v>0.8</v>
      </c>
      <c r="CJ550" s="505">
        <f t="shared" si="911"/>
        <v>0.84</v>
      </c>
      <c r="DK550" s="58" t="str" cm="1">
        <f t="array" ref="DK550">IF(AND($BT550=4,$BX550=4,$BU550=999),$DB$36,_xlfn.IFNA(INDEX(DB$13:DB$70,MATCH(1,($BR550=$CV$13:$CV$70)*($BT550=$CX$13:$CX$70)*($CE550=$CY$13:$CY$70)*($BY550=$DA$13:$DA$70)*($CD550=$DH$13:$DH$70),0)),""))</f>
        <v>Log-normal</v>
      </c>
      <c r="DL550" s="58" t="str" cm="1">
        <f t="array" ref="DL550">IF(AND($BT550=4,$BX550=4,$BU550=999),$DC$36,_xlfn.IFNA(INDEX(CHOOSE(DP550,DB$13:DB$70,DC$13:DC$70,DD$13:DD$70,DE$13:DE$70),MATCH(1,($BR550=$CV$13:$CV$70)*($BT550=$CX$13:$CX$70)*($CE550=$CY$13:$CY$70)*($BY550=$DA$13:$DA$70)*($CD550=$DH$13:$DH$70),0)),""))</f>
        <v>Log-normal</v>
      </c>
      <c r="DM550" s="740" t="str" cm="1">
        <f t="array" ref="DM550">IF(AND($BT550=4,$BX550=4,$BU550=999),$DD$36,_xlfn.IFNA(INDEX(DD$13:DD$68,MATCH(1,($BR550=$CV$13:$CV$68)*($BT550=$CX$13:$CX$68)*($CE550=$CY$13:$CY$68)*($BY550=$DA$13:$DA$68)*($CD550=$DH$13:$DH$68),0)),""))</f>
        <v>Generalised gamma</v>
      </c>
      <c r="DN550" s="740" cm="1">
        <f t="array" ref="DN550">IF(AND($BT550=4,$BX550=4,$BU550=999),$DD$36,_xlfn.IFNA(INDEX(DE$13:DE$68,MATCH(1,($BR550=$CV$13:$CV$68)*($BT550=$CX$13:$CX$68)*($CE550=$CY$13:$CY$68)*($BY550=$DA$13:$DA$68)*($CD550=$DH$13:$DH$68),0)),""))</f>
        <v>0</v>
      </c>
      <c r="DO550" s="58" t="str" cm="1">
        <f t="array" ref="DO550">IF(AND($BT550=4,$BX550=4,$BU550=999),$DF$36,_xlfn.IFNA(INDEX(DF$13:DF$70,MATCH(1,($BR550=$CV$13:$CV$70)*($BT550=$CX$13:$CX$70)*($CE550=$CY$13:$CY$70)*($BY550=$DA$13:$DA$70)*($CD550=$DH$13:$DH$70),0)),""))</f>
        <v>Base case</v>
      </c>
      <c r="DP550" s="58">
        <f t="shared" si="854"/>
        <v>1</v>
      </c>
      <c r="DW550" s="58" t="s">
        <v>74</v>
      </c>
      <c r="DX550" s="58" t="s">
        <v>555</v>
      </c>
      <c r="DY550" s="58" t="s">
        <v>562</v>
      </c>
      <c r="DZ550" s="58" t="s">
        <v>547</v>
      </c>
      <c r="EB550" s="58">
        <v>0</v>
      </c>
      <c r="EC550" s="58">
        <v>3</v>
      </c>
      <c r="ED550" s="58">
        <v>8</v>
      </c>
      <c r="EE550" s="58">
        <v>2</v>
      </c>
      <c r="EF550" s="58">
        <v>1</v>
      </c>
      <c r="EI550" s="58" t="s">
        <v>74</v>
      </c>
      <c r="EJ550" s="58" t="s">
        <v>555</v>
      </c>
      <c r="EK550" s="58" t="s">
        <v>578</v>
      </c>
      <c r="EL550" s="58">
        <v>0</v>
      </c>
      <c r="EN550" s="58">
        <v>0</v>
      </c>
      <c r="EO550" s="58">
        <v>3</v>
      </c>
      <c r="EP550" s="58">
        <v>8</v>
      </c>
      <c r="EQ550" s="58">
        <v>1</v>
      </c>
      <c r="ER550" s="58">
        <v>1</v>
      </c>
      <c r="EU550" s="58" t="str">
        <f t="shared" si="912"/>
        <v>Yes</v>
      </c>
      <c r="EV550" s="58" t="str">
        <f t="shared" si="913"/>
        <v>Time to progression</v>
      </c>
      <c r="EW550" s="58" t="str">
        <f t="shared" si="914"/>
        <v>Trial survival analysis</v>
      </c>
      <c r="EX550" s="58" t="str">
        <f t="shared" si="915"/>
        <v>Real world evidence</v>
      </c>
      <c r="EZ550" s="58">
        <f t="shared" si="916"/>
        <v>0</v>
      </c>
      <c r="FA550" s="58">
        <f t="shared" si="917"/>
        <v>3</v>
      </c>
      <c r="FB550" s="58">
        <f>IF(i_eff_inputs_based_on_num=2,ED550,(INDEX(Lists!$L$51:$L$85,MATCH(AR312,Lists!$K$51:$K$85,0))))</f>
        <v>8</v>
      </c>
      <c r="FC550" s="58">
        <f>IF(i_eff_inputs_based_on_num=2,EE550,(INDEX(Lists!$L$51:$L$85,MATCH(AS312,Lists!$K$51:$K$85,0))))</f>
        <v>2</v>
      </c>
      <c r="FD550" s="58">
        <f>IF(i_eff_inputs_based_on_num=2,EF550,(INDEX(Lists!$L$51:$L$85,MATCH(AT312,Lists!$K$51:$K$85,0))))</f>
        <v>1</v>
      </c>
      <c r="FG550" s="58" t="str">
        <f t="shared" si="918"/>
        <v>Yes</v>
      </c>
      <c r="FH550" s="58" t="str">
        <f t="shared" si="919"/>
        <v>Time to progression</v>
      </c>
      <c r="FI550" s="58" t="str">
        <f t="shared" si="920"/>
        <v>Apply HR to</v>
      </c>
      <c r="FJ550" s="58">
        <f t="shared" si="921"/>
        <v>0</v>
      </c>
      <c r="FL550" s="58">
        <f t="shared" si="922"/>
        <v>0</v>
      </c>
      <c r="FM550" s="58">
        <f t="shared" si="923"/>
        <v>3</v>
      </c>
      <c r="FN550" s="58">
        <f>IF(i_eff_inputs_based_on_num=2,EP550,(INDEX(Lists!$L$51:$L$85,MATCH(AR312,Lists!$K$51:$K$85,0))))</f>
        <v>8</v>
      </c>
      <c r="FO550" s="58">
        <f>IF(i_eff_inputs_based_on_num=2,EQ550,(INDEX(Lists!$L$51:$L$85,MATCH(AS312,Lists!$K$51:$K$85,0))))</f>
        <v>1</v>
      </c>
      <c r="FP550" s="58">
        <f>IF(i_eff_inputs_based_on_num=2,ER550,(INDEX(Lists!$L$51:$L$85,MATCH(AT312,Lists!$K$51:$K$85,0))))</f>
        <v>1</v>
      </c>
      <c r="FT550" s="58" t="str">
        <f t="shared" si="855"/>
        <v>Real world evidence</v>
      </c>
      <c r="FW550" s="58" t="str">
        <f>IF(i_baseline_risk_from=2,'Effectiveness settings'!EW550,'Effectiveness settings'!FI550)</f>
        <v>Trial survival analysis</v>
      </c>
      <c r="FX550" s="58" t="str">
        <f t="shared" si="856"/>
        <v>Trial survival analysis</v>
      </c>
      <c r="FY550" s="58" t="str">
        <f t="shared" si="857"/>
        <v>Trial survival analysis</v>
      </c>
      <c r="FZ550" s="58" t="str">
        <f t="shared" si="858"/>
        <v>Trial survival analysis</v>
      </c>
      <c r="GA550" s="58" t="str">
        <f t="shared" si="859"/>
        <v>Trial survival analysis</v>
      </c>
      <c r="GB550" s="58" t="str">
        <f t="shared" si="860"/>
        <v>Trial survival analysis</v>
      </c>
      <c r="GC550" s="58" t="str">
        <f t="shared" si="861"/>
        <v>Trial survival analysis</v>
      </c>
      <c r="GD550" s="58" t="str">
        <f t="shared" si="862"/>
        <v>Trial survival analysis</v>
      </c>
      <c r="GE550" s="58" t="str">
        <f>IF(AND(dd_CheckMate214_TTD="Yes",'Effectiveness settings'!BU550=2,'Effectiveness settings'!BX550=2),"Apply HR to",GD550)</f>
        <v>Trial survival analysis</v>
      </c>
      <c r="GF550" s="58" t="str">
        <f t="shared" si="863"/>
        <v>Trial survival analysis</v>
      </c>
      <c r="GG550" s="58" t="str">
        <f t="shared" si="864"/>
        <v>Trial survival analysis</v>
      </c>
      <c r="GH550" s="58" t="str">
        <f t="shared" si="865"/>
        <v>Trial survival analysis</v>
      </c>
      <c r="GI550" s="58" t="str">
        <f t="shared" si="851"/>
        <v>Trial survival analysis</v>
      </c>
      <c r="GK550" s="58">
        <f>IF(i_baseline_risk_from=2,'Effectiveness settings'!FA550,'Effectiveness settings'!FM550)</f>
        <v>3</v>
      </c>
      <c r="GL550" s="58">
        <f>IF(i_baseline_risk_from=2,'Effectiveness settings'!FB550,'Effectiveness settings'!FN550)</f>
        <v>8</v>
      </c>
      <c r="GM550" s="58">
        <f>IF(i_baseline_risk_from=2,'Effectiveness settings'!FC550,'Effectiveness settings'!FO550)</f>
        <v>2</v>
      </c>
      <c r="GN550" s="58">
        <f>IF(i_baseline_risk_from=2,'Effectiveness settings'!FD550,'Effectiveness settings'!FP550)</f>
        <v>1</v>
      </c>
      <c r="GQ550" s="58">
        <f t="shared" si="866"/>
        <v>8</v>
      </c>
      <c r="GR550" s="58">
        <f t="shared" si="867"/>
        <v>8</v>
      </c>
      <c r="GS550" s="58">
        <f t="shared" si="868"/>
        <v>8</v>
      </c>
      <c r="GT550" s="58">
        <f t="shared" si="869"/>
        <v>8</v>
      </c>
      <c r="GU550" s="58">
        <f>IF(AND(dd_CheckMate214_TTD="Yes",'Effectiveness settings'!BU550=2,'Effectiveness settings'!BX550=2),2,GT550)</f>
        <v>8</v>
      </c>
      <c r="GV550" s="58">
        <f t="shared" si="870"/>
        <v>8</v>
      </c>
      <c r="GW550" s="58">
        <f t="shared" si="871"/>
        <v>8</v>
      </c>
      <c r="GY550" s="58">
        <f>IF(AND(dd_CheckMate214_TTD="Yes",'Effectiveness settings'!BU550=2,'Effectiveness settings'!BX550=2),1,GN550)</f>
        <v>1</v>
      </c>
      <c r="GZ550" s="58">
        <f t="shared" si="872"/>
        <v>1</v>
      </c>
      <c r="HB550" s="58">
        <f t="shared" si="873"/>
        <v>0</v>
      </c>
      <c r="HD550" s="58">
        <f t="shared" si="846"/>
        <v>0</v>
      </c>
      <c r="HE550" s="58">
        <f t="shared" si="847"/>
        <v>3</v>
      </c>
      <c r="HF550" s="58">
        <f t="shared" si="848"/>
        <v>8</v>
      </c>
      <c r="HG550" s="58">
        <f t="shared" si="849"/>
        <v>2</v>
      </c>
      <c r="HH550" s="58">
        <f t="shared" si="850"/>
        <v>1</v>
      </c>
    </row>
    <row r="551" spans="69:216" ht="15.75" x14ac:dyDescent="0.25">
      <c r="BQ551" s="58">
        <f t="shared" si="853"/>
        <v>332</v>
      </c>
      <c r="BR551" s="61">
        <v>0</v>
      </c>
      <c r="BS551" s="61" t="s">
        <v>31</v>
      </c>
      <c r="BT551" s="17">
        <v>3</v>
      </c>
      <c r="BU551" s="17">
        <v>9</v>
      </c>
      <c r="BV551" s="17" t="str">
        <f t="shared" si="900"/>
        <v>lenvatinib_plus_everolimus</v>
      </c>
      <c r="BW551" s="1006" t="str" cm="1">
        <f t="array" ref="BW551">IF(AL313="No",AL313,INDEX(List_incl_anal_3L_all,IF(BU551=999,35,BU551+1)))</f>
        <v>Yes</v>
      </c>
      <c r="BX551" s="61">
        <f t="shared" si="901"/>
        <v>3</v>
      </c>
      <c r="BY551" s="531" t="str">
        <f t="shared" si="925"/>
        <v>Time to progression</v>
      </c>
      <c r="BZ551" s="530" t="str">
        <f t="shared" si="902"/>
        <v>PH_NMA</v>
      </c>
      <c r="CA551" s="531">
        <f t="shared" si="924"/>
        <v>0</v>
      </c>
      <c r="CB551" s="530">
        <f t="shared" si="903"/>
        <v>0</v>
      </c>
      <c r="CC551" s="530">
        <f t="shared" si="904"/>
        <v>3</v>
      </c>
      <c r="CD551" s="530">
        <f t="shared" si="905"/>
        <v>8</v>
      </c>
      <c r="CE551" s="1295">
        <f t="shared" si="906"/>
        <v>2</v>
      </c>
      <c r="CF551" s="1301">
        <f t="shared" si="907"/>
        <v>1</v>
      </c>
      <c r="CG551" s="530" t="str">
        <f t="shared" si="908"/>
        <v>Log-normal</v>
      </c>
      <c r="CH551" s="505">
        <f t="shared" si="909"/>
        <v>0.82</v>
      </c>
      <c r="CI551" s="505">
        <f t="shared" si="910"/>
        <v>0.8</v>
      </c>
      <c r="CJ551" s="505">
        <f t="shared" si="911"/>
        <v>0.84</v>
      </c>
      <c r="DK551" s="58" t="str" cm="1">
        <f t="array" ref="DK551">IF(AND($BT551=4,$BX551=4,$BU551=999),$DB$36,_xlfn.IFNA(INDEX(DB$13:DB$70,MATCH(1,($BR551=$CV$13:$CV$70)*($BT551=$CX$13:$CX$70)*($CE551=$CY$13:$CY$70)*($BY551=$DA$13:$DA$70)*($CD551=$DH$13:$DH$70),0)),""))</f>
        <v>Log-normal</v>
      </c>
      <c r="DL551" s="58" t="str" cm="1">
        <f t="array" ref="DL551">IF(AND($BT551=4,$BX551=4,$BU551=999),$DC$36,_xlfn.IFNA(INDEX(CHOOSE(DP551,DB$13:DB$70,DC$13:DC$70,DD$13:DD$70,DE$13:DE$70),MATCH(1,($BR551=$CV$13:$CV$70)*($BT551=$CX$13:$CX$70)*($CE551=$CY$13:$CY$70)*($BY551=$DA$13:$DA$70)*($CD551=$DH$13:$DH$70),0)),""))</f>
        <v>Log-normal</v>
      </c>
      <c r="DM551" s="740" t="str" cm="1">
        <f t="array" ref="DM551">IF(AND($BT551=4,$BX551=4,$BU551=999),$DD$36,_xlfn.IFNA(INDEX(DD$13:DD$68,MATCH(1,($BR551=$CV$13:$CV$68)*($BT551=$CX$13:$CX$68)*($CE551=$CY$13:$CY$68)*($BY551=$DA$13:$DA$68)*($CD551=$DH$13:$DH$68),0)),""))</f>
        <v>Generalised gamma</v>
      </c>
      <c r="DN551" s="740" cm="1">
        <f t="array" ref="DN551">IF(AND($BT551=4,$BX551=4,$BU551=999),$DD$36,_xlfn.IFNA(INDEX(DE$13:DE$68,MATCH(1,($BR551=$CV$13:$CV$68)*($BT551=$CX$13:$CX$68)*($CE551=$CY$13:$CY$68)*($BY551=$DA$13:$DA$68)*($CD551=$DH$13:$DH$68),0)),""))</f>
        <v>0</v>
      </c>
      <c r="DO551" s="58" t="str" cm="1">
        <f t="array" ref="DO551">IF(AND($BT551=4,$BX551=4,$BU551=999),$DF$36,_xlfn.IFNA(INDEX(DF$13:DF$70,MATCH(1,($BR551=$CV$13:$CV$70)*($BT551=$CX$13:$CX$70)*($CE551=$CY$13:$CY$70)*($BY551=$DA$13:$DA$70)*($CD551=$DH$13:$DH$70),0)),""))</f>
        <v>Base case</v>
      </c>
      <c r="DP551" s="58">
        <f t="shared" si="854"/>
        <v>1</v>
      </c>
      <c r="DW551" s="58" t="s">
        <v>74</v>
      </c>
      <c r="DX551" s="58" t="s">
        <v>555</v>
      </c>
      <c r="DY551" s="58" t="s">
        <v>63</v>
      </c>
      <c r="DZ551" s="58">
        <v>0</v>
      </c>
      <c r="EB551" s="58">
        <v>0</v>
      </c>
      <c r="EC551" s="58">
        <v>3</v>
      </c>
      <c r="ED551" s="58">
        <v>8</v>
      </c>
      <c r="EE551" s="58">
        <v>2</v>
      </c>
      <c r="EF551" s="58">
        <v>1</v>
      </c>
      <c r="EI551" s="58" t="s">
        <v>74</v>
      </c>
      <c r="EJ551" s="58" t="s">
        <v>555</v>
      </c>
      <c r="EK551" s="58" t="s">
        <v>578</v>
      </c>
      <c r="EL551" s="58">
        <v>0</v>
      </c>
      <c r="EN551" s="58">
        <v>0</v>
      </c>
      <c r="EO551" s="58">
        <v>3</v>
      </c>
      <c r="EP551" s="58">
        <v>9</v>
      </c>
      <c r="EQ551" s="58">
        <v>1</v>
      </c>
      <c r="ER551" s="58">
        <v>1</v>
      </c>
      <c r="EU551" s="58" t="str">
        <f t="shared" si="912"/>
        <v>Yes</v>
      </c>
      <c r="EV551" s="58" t="str">
        <f t="shared" si="913"/>
        <v>Time to progression</v>
      </c>
      <c r="EW551" s="58" t="str">
        <f t="shared" si="914"/>
        <v>FP_NMA</v>
      </c>
      <c r="EX551" s="58">
        <f t="shared" si="915"/>
        <v>0</v>
      </c>
      <c r="EZ551" s="58">
        <f t="shared" si="916"/>
        <v>0</v>
      </c>
      <c r="FA551" s="58">
        <f t="shared" si="917"/>
        <v>3</v>
      </c>
      <c r="FB551" s="58">
        <f>IF(i_eff_inputs_based_on_num=2,ED551,(INDEX(Lists!$L$51:$L$85,MATCH(AR313,Lists!$K$51:$K$85,0))))</f>
        <v>8</v>
      </c>
      <c r="FC551" s="58">
        <f>IF(i_eff_inputs_based_on_num=2,EE551,(INDEX(Lists!$L$51:$L$85,MATCH(AS313,Lists!$K$51:$K$85,0))))</f>
        <v>2</v>
      </c>
      <c r="FD551" s="58">
        <f>IF(i_eff_inputs_based_on_num=2,EF551,(INDEX(Lists!$L$51:$L$85,MATCH(AT313,Lists!$K$51:$K$85,0))))</f>
        <v>1</v>
      </c>
      <c r="FG551" s="58" t="str">
        <f t="shared" si="918"/>
        <v>Yes</v>
      </c>
      <c r="FH551" s="58" t="str">
        <f t="shared" si="919"/>
        <v>Time to progression</v>
      </c>
      <c r="FI551" s="58" t="str">
        <f t="shared" si="920"/>
        <v>Apply HR to</v>
      </c>
      <c r="FJ551" s="58">
        <f t="shared" si="921"/>
        <v>0</v>
      </c>
      <c r="FL551" s="58">
        <f t="shared" si="922"/>
        <v>0</v>
      </c>
      <c r="FM551" s="58">
        <f t="shared" si="923"/>
        <v>3</v>
      </c>
      <c r="FN551" s="58">
        <f>IF(i_eff_inputs_based_on_num=2,EP551,(INDEX(Lists!$L$51:$L$85,MATCH(AR313,Lists!$K$51:$K$85,0))))</f>
        <v>9</v>
      </c>
      <c r="FO551" s="58">
        <f>IF(i_eff_inputs_based_on_num=2,EQ551,(INDEX(Lists!$L$51:$L$85,MATCH(AS313,Lists!$K$51:$K$85,0))))</f>
        <v>1</v>
      </c>
      <c r="FP551" s="58">
        <f>IF(i_eff_inputs_based_on_num=2,ER551,(INDEX(Lists!$L$51:$L$85,MATCH(AT313,Lists!$K$51:$K$85,0))))</f>
        <v>1</v>
      </c>
      <c r="FT551" s="58">
        <f t="shared" si="855"/>
        <v>0</v>
      </c>
      <c r="FW551" s="58" t="str">
        <f>IF(i_baseline_risk_from=2,'Effectiveness settings'!EW551,'Effectiveness settings'!FI551)</f>
        <v>FP_NMA</v>
      </c>
      <c r="FX551" s="58" t="str">
        <f t="shared" si="856"/>
        <v>PH_NMA</v>
      </c>
      <c r="FY551" s="58" t="str">
        <f t="shared" si="857"/>
        <v>PH_NMA</v>
      </c>
      <c r="FZ551" s="58" t="str">
        <f t="shared" si="858"/>
        <v>PH_NMA</v>
      </c>
      <c r="GA551" s="58" t="str">
        <f t="shared" si="859"/>
        <v>PH_NMA</v>
      </c>
      <c r="GB551" s="58" t="str">
        <f t="shared" si="860"/>
        <v>PH_NMA</v>
      </c>
      <c r="GC551" s="58" t="str">
        <f t="shared" si="861"/>
        <v>PH_NMA</v>
      </c>
      <c r="GD551" s="58" t="str">
        <f t="shared" si="862"/>
        <v>PH_NMA</v>
      </c>
      <c r="GE551" s="58" t="str">
        <f>IF(AND(dd_CheckMate214_TTD="Yes",'Effectiveness settings'!BU551=2,'Effectiveness settings'!BX551=2),"Apply HR to",GD551)</f>
        <v>PH_NMA</v>
      </c>
      <c r="GF551" s="58" t="str">
        <f t="shared" si="863"/>
        <v>PH_NMA</v>
      </c>
      <c r="GG551" s="58" t="str">
        <f t="shared" si="864"/>
        <v>PH_NMA</v>
      </c>
      <c r="GH551" s="58" t="str">
        <f t="shared" si="865"/>
        <v>PH_NMA</v>
      </c>
      <c r="GI551" s="58" t="str">
        <f t="shared" si="851"/>
        <v>PH_NMA</v>
      </c>
      <c r="GK551" s="58">
        <f>IF(i_baseline_risk_from=2,'Effectiveness settings'!FA551,'Effectiveness settings'!FM551)</f>
        <v>3</v>
      </c>
      <c r="GL551" s="58">
        <f>IF(i_baseline_risk_from=2,'Effectiveness settings'!FB551,'Effectiveness settings'!FN551)</f>
        <v>8</v>
      </c>
      <c r="GM551" s="58">
        <f>IF(i_baseline_risk_from=2,'Effectiveness settings'!FC551,'Effectiveness settings'!FO551)</f>
        <v>2</v>
      </c>
      <c r="GN551" s="58">
        <f>IF(i_baseline_risk_from=2,'Effectiveness settings'!FD551,'Effectiveness settings'!FP551)</f>
        <v>1</v>
      </c>
      <c r="GQ551" s="58">
        <f t="shared" si="866"/>
        <v>8</v>
      </c>
      <c r="GR551" s="58">
        <f t="shared" si="867"/>
        <v>8</v>
      </c>
      <c r="GS551" s="58">
        <f t="shared" si="868"/>
        <v>8</v>
      </c>
      <c r="GT551" s="58">
        <f t="shared" si="869"/>
        <v>8</v>
      </c>
      <c r="GU551" s="58">
        <f>IF(AND(dd_CheckMate214_TTD="Yes",'Effectiveness settings'!BU551=2,'Effectiveness settings'!BX551=2),2,GT551)</f>
        <v>8</v>
      </c>
      <c r="GV551" s="58">
        <f t="shared" si="870"/>
        <v>8</v>
      </c>
      <c r="GW551" s="58">
        <f t="shared" si="871"/>
        <v>8</v>
      </c>
      <c r="GY551" s="58">
        <f>IF(AND(dd_CheckMate214_TTD="Yes",'Effectiveness settings'!BU551=2,'Effectiveness settings'!BX551=2),1,GN551)</f>
        <v>1</v>
      </c>
      <c r="GZ551" s="58">
        <f t="shared" si="872"/>
        <v>1</v>
      </c>
      <c r="HB551" s="58">
        <f t="shared" si="873"/>
        <v>0</v>
      </c>
      <c r="HD551" s="58">
        <f t="shared" si="846"/>
        <v>0</v>
      </c>
      <c r="HE551" s="58">
        <f t="shared" si="847"/>
        <v>3</v>
      </c>
      <c r="HF551" s="58">
        <f t="shared" si="848"/>
        <v>8</v>
      </c>
      <c r="HG551" s="58">
        <f t="shared" si="849"/>
        <v>2</v>
      </c>
      <c r="HH551" s="58">
        <f t="shared" si="850"/>
        <v>1</v>
      </c>
    </row>
    <row r="552" spans="69:216" ht="15.75" x14ac:dyDescent="0.25">
      <c r="BQ552" s="58">
        <f t="shared" si="853"/>
        <v>333</v>
      </c>
      <c r="BR552" s="61">
        <v>0</v>
      </c>
      <c r="BS552" s="61" t="s">
        <v>31</v>
      </c>
      <c r="BT552" s="17">
        <v>3</v>
      </c>
      <c r="BU552" s="17">
        <v>10</v>
      </c>
      <c r="BV552" s="17" t="str">
        <f t="shared" si="900"/>
        <v>everolimus</v>
      </c>
      <c r="BW552" s="1006" t="str" cm="1">
        <f t="array" ref="BW552">IF(AL314="No",AL314,INDEX(List_incl_anal_3L_all,IF(BU552=999,35,BU552+1)))</f>
        <v>Yes</v>
      </c>
      <c r="BX552" s="61">
        <f t="shared" si="901"/>
        <v>3</v>
      </c>
      <c r="BY552" s="531" t="str">
        <f t="shared" si="925"/>
        <v>Time to progression</v>
      </c>
      <c r="BZ552" s="530" t="str">
        <f t="shared" si="902"/>
        <v>PH_NMA</v>
      </c>
      <c r="CA552" s="531">
        <f t="shared" si="924"/>
        <v>0</v>
      </c>
      <c r="CB552" s="530">
        <f t="shared" si="903"/>
        <v>0</v>
      </c>
      <c r="CC552" s="530">
        <f t="shared" si="904"/>
        <v>3</v>
      </c>
      <c r="CD552" s="530">
        <f t="shared" si="905"/>
        <v>8</v>
      </c>
      <c r="CE552" s="1295">
        <f t="shared" si="906"/>
        <v>2</v>
      </c>
      <c r="CF552" s="1301">
        <f t="shared" si="907"/>
        <v>1</v>
      </c>
      <c r="CG552" s="530" t="str">
        <f t="shared" si="908"/>
        <v>Log-normal</v>
      </c>
      <c r="CH552" s="505">
        <f t="shared" si="909"/>
        <v>0.82</v>
      </c>
      <c r="CI552" s="505">
        <f t="shared" si="910"/>
        <v>0.8</v>
      </c>
      <c r="CJ552" s="505">
        <f t="shared" si="911"/>
        <v>0.84</v>
      </c>
      <c r="DK552" s="58" t="str" cm="1">
        <f t="array" ref="DK552">IF(AND($BT552=4,$BX552=4,$BU552=999),$DB$36,_xlfn.IFNA(INDEX(DB$13:DB$70,MATCH(1,($BR552=$CV$13:$CV$70)*($BT552=$CX$13:$CX$70)*($CE552=$CY$13:$CY$70)*($BY552=$DA$13:$DA$70)*($CD552=$DH$13:$DH$70),0)),""))</f>
        <v>Log-normal</v>
      </c>
      <c r="DL552" s="58" t="str" cm="1">
        <f t="array" ref="DL552">IF(AND($BT552=4,$BX552=4,$BU552=999),$DC$36,_xlfn.IFNA(INDEX(CHOOSE(DP552,DB$13:DB$70,DC$13:DC$70,DD$13:DD$70,DE$13:DE$70),MATCH(1,($BR552=$CV$13:$CV$70)*($BT552=$CX$13:$CX$70)*($CE552=$CY$13:$CY$70)*($BY552=$DA$13:$DA$70)*($CD552=$DH$13:$DH$70),0)),""))</f>
        <v>Log-normal</v>
      </c>
      <c r="DM552" s="740" t="str" cm="1">
        <f t="array" ref="DM552">IF(AND($BT552=4,$BX552=4,$BU552=999),$DD$36,_xlfn.IFNA(INDEX(DD$13:DD$68,MATCH(1,($BR552=$CV$13:$CV$68)*($BT552=$CX$13:$CX$68)*($CE552=$CY$13:$CY$68)*($BY552=$DA$13:$DA$68)*($CD552=$DH$13:$DH$68),0)),""))</f>
        <v>Generalised gamma</v>
      </c>
      <c r="DN552" s="740" cm="1">
        <f t="array" ref="DN552">IF(AND($BT552=4,$BX552=4,$BU552=999),$DD$36,_xlfn.IFNA(INDEX(DE$13:DE$68,MATCH(1,($BR552=$CV$13:$CV$68)*($BT552=$CX$13:$CX$68)*($CE552=$CY$13:$CY$68)*($BY552=$DA$13:$DA$68)*($CD552=$DH$13:$DH$68),0)),""))</f>
        <v>0</v>
      </c>
      <c r="DO552" s="58" t="str" cm="1">
        <f t="array" ref="DO552">IF(AND($BT552=4,$BX552=4,$BU552=999),$DF$36,_xlfn.IFNA(INDEX(DF$13:DF$70,MATCH(1,($BR552=$CV$13:$CV$70)*($BT552=$CX$13:$CX$70)*($CE552=$CY$13:$CY$70)*($BY552=$DA$13:$DA$70)*($CD552=$DH$13:$DH$70),0)),""))</f>
        <v>Base case</v>
      </c>
      <c r="DP552" s="58">
        <f t="shared" si="854"/>
        <v>1</v>
      </c>
      <c r="DW552" s="58" t="s">
        <v>74</v>
      </c>
      <c r="DX552" s="58" t="s">
        <v>555</v>
      </c>
      <c r="DY552" s="58" t="s">
        <v>63</v>
      </c>
      <c r="DZ552" s="58">
        <v>0</v>
      </c>
      <c r="EB552" s="58">
        <v>0</v>
      </c>
      <c r="EC552" s="58">
        <v>3</v>
      </c>
      <c r="ED552" s="58">
        <v>8</v>
      </c>
      <c r="EE552" s="58">
        <v>2</v>
      </c>
      <c r="EF552" s="58">
        <v>1</v>
      </c>
      <c r="EI552" s="58" t="s">
        <v>74</v>
      </c>
      <c r="EJ552" s="58" t="s">
        <v>555</v>
      </c>
      <c r="EK552" s="58" t="s">
        <v>578</v>
      </c>
      <c r="EL552" s="58">
        <v>0</v>
      </c>
      <c r="EN552" s="58">
        <v>0</v>
      </c>
      <c r="EO552" s="58">
        <v>3</v>
      </c>
      <c r="EP552" s="58">
        <v>10</v>
      </c>
      <c r="EQ552" s="58">
        <v>1</v>
      </c>
      <c r="ER552" s="58">
        <v>1</v>
      </c>
      <c r="EU552" s="58" t="str">
        <f t="shared" si="912"/>
        <v>Yes</v>
      </c>
      <c r="EV552" s="58" t="str">
        <f t="shared" si="913"/>
        <v>Time to progression</v>
      </c>
      <c r="EW552" s="58" t="str">
        <f t="shared" si="914"/>
        <v>FP_NMA</v>
      </c>
      <c r="EX552" s="58">
        <f t="shared" si="915"/>
        <v>0</v>
      </c>
      <c r="EZ552" s="58">
        <f t="shared" si="916"/>
        <v>0</v>
      </c>
      <c r="FA552" s="58">
        <f t="shared" si="917"/>
        <v>3</v>
      </c>
      <c r="FB552" s="58">
        <f>IF(i_eff_inputs_based_on_num=2,ED552,(INDEX(Lists!$L$51:$L$85,MATCH(AR314,Lists!$K$51:$K$85,0))))</f>
        <v>8</v>
      </c>
      <c r="FC552" s="58">
        <f>IF(i_eff_inputs_based_on_num=2,EE552,(INDEX(Lists!$L$51:$L$85,MATCH(AS314,Lists!$K$51:$K$85,0))))</f>
        <v>2</v>
      </c>
      <c r="FD552" s="58">
        <f>IF(i_eff_inputs_based_on_num=2,EF552,(INDEX(Lists!$L$51:$L$85,MATCH(AT314,Lists!$K$51:$K$85,0))))</f>
        <v>1</v>
      </c>
      <c r="FG552" s="58" t="str">
        <f t="shared" si="918"/>
        <v>Yes</v>
      </c>
      <c r="FH552" s="58" t="str">
        <f t="shared" si="919"/>
        <v>Time to progression</v>
      </c>
      <c r="FI552" s="58" t="str">
        <f t="shared" si="920"/>
        <v>Apply HR to</v>
      </c>
      <c r="FJ552" s="58">
        <f t="shared" si="921"/>
        <v>0</v>
      </c>
      <c r="FL552" s="58">
        <f t="shared" si="922"/>
        <v>0</v>
      </c>
      <c r="FM552" s="58">
        <f t="shared" si="923"/>
        <v>3</v>
      </c>
      <c r="FN552" s="58">
        <f>IF(i_eff_inputs_based_on_num=2,EP552,(INDEX(Lists!$L$51:$L$85,MATCH(AR314,Lists!$K$51:$K$85,0))))</f>
        <v>10</v>
      </c>
      <c r="FO552" s="58">
        <f>IF(i_eff_inputs_based_on_num=2,EQ552,(INDEX(Lists!$L$51:$L$85,MATCH(AS314,Lists!$K$51:$K$85,0))))</f>
        <v>1</v>
      </c>
      <c r="FP552" s="58">
        <f>IF(i_eff_inputs_based_on_num=2,ER552,(INDEX(Lists!$L$51:$L$85,MATCH(AT314,Lists!$K$51:$K$85,0))))</f>
        <v>1</v>
      </c>
      <c r="FT552" s="58">
        <f t="shared" si="855"/>
        <v>0</v>
      </c>
      <c r="FW552" s="58" t="str">
        <f>IF(i_baseline_risk_from=2,'Effectiveness settings'!EW552,'Effectiveness settings'!FI552)</f>
        <v>FP_NMA</v>
      </c>
      <c r="FX552" s="58" t="str">
        <f t="shared" si="856"/>
        <v>PH_NMA</v>
      </c>
      <c r="FY552" s="58" t="str">
        <f t="shared" si="857"/>
        <v>PH_NMA</v>
      </c>
      <c r="FZ552" s="58" t="str">
        <f t="shared" si="858"/>
        <v>PH_NMA</v>
      </c>
      <c r="GA552" s="58" t="str">
        <f t="shared" si="859"/>
        <v>PH_NMA</v>
      </c>
      <c r="GB552" s="58" t="str">
        <f t="shared" si="860"/>
        <v>PH_NMA</v>
      </c>
      <c r="GC552" s="58" t="str">
        <f t="shared" si="861"/>
        <v>PH_NMA</v>
      </c>
      <c r="GD552" s="58" t="str">
        <f t="shared" si="862"/>
        <v>PH_NMA</v>
      </c>
      <c r="GE552" s="58" t="str">
        <f>IF(AND(dd_CheckMate214_TTD="Yes",'Effectiveness settings'!BU552=2,'Effectiveness settings'!BX552=2),"Apply HR to",GD552)</f>
        <v>PH_NMA</v>
      </c>
      <c r="GF552" s="58" t="str">
        <f t="shared" si="863"/>
        <v>PH_NMA</v>
      </c>
      <c r="GG552" s="58" t="str">
        <f t="shared" si="864"/>
        <v>PH_NMA</v>
      </c>
      <c r="GH552" s="58" t="str">
        <f t="shared" si="865"/>
        <v>PH_NMA</v>
      </c>
      <c r="GI552" s="58" t="str">
        <f t="shared" si="851"/>
        <v>PH_NMA</v>
      </c>
      <c r="GK552" s="58">
        <f>IF(i_baseline_risk_from=2,'Effectiveness settings'!FA552,'Effectiveness settings'!FM552)</f>
        <v>3</v>
      </c>
      <c r="GL552" s="58">
        <f>IF(i_baseline_risk_from=2,'Effectiveness settings'!FB552,'Effectiveness settings'!FN552)</f>
        <v>8</v>
      </c>
      <c r="GM552" s="58">
        <f>IF(i_baseline_risk_from=2,'Effectiveness settings'!FC552,'Effectiveness settings'!FO552)</f>
        <v>2</v>
      </c>
      <c r="GN552" s="58">
        <f>IF(i_baseline_risk_from=2,'Effectiveness settings'!FD552,'Effectiveness settings'!FP552)</f>
        <v>1</v>
      </c>
      <c r="GQ552" s="58">
        <f t="shared" si="866"/>
        <v>8</v>
      </c>
      <c r="GR552" s="58">
        <f t="shared" si="867"/>
        <v>8</v>
      </c>
      <c r="GS552" s="58">
        <f t="shared" si="868"/>
        <v>8</v>
      </c>
      <c r="GT552" s="58">
        <f t="shared" si="869"/>
        <v>8</v>
      </c>
      <c r="GU552" s="58">
        <f>IF(AND(dd_CheckMate214_TTD="Yes",'Effectiveness settings'!BU552=2,'Effectiveness settings'!BX552=2),2,GT552)</f>
        <v>8</v>
      </c>
      <c r="GV552" s="58">
        <f t="shared" si="870"/>
        <v>8</v>
      </c>
      <c r="GW552" s="58">
        <f t="shared" si="871"/>
        <v>8</v>
      </c>
      <c r="GY552" s="58">
        <f>IF(AND(dd_CheckMate214_TTD="Yes",'Effectiveness settings'!BU552=2,'Effectiveness settings'!BX552=2),1,GN552)</f>
        <v>1</v>
      </c>
      <c r="GZ552" s="58">
        <f t="shared" si="872"/>
        <v>1</v>
      </c>
      <c r="HB552" s="58">
        <f t="shared" si="873"/>
        <v>0</v>
      </c>
      <c r="HD552" s="58">
        <f t="shared" si="846"/>
        <v>0</v>
      </c>
      <c r="HE552" s="58">
        <f t="shared" si="847"/>
        <v>3</v>
      </c>
      <c r="HF552" s="58">
        <f t="shared" si="848"/>
        <v>8</v>
      </c>
      <c r="HG552" s="58">
        <f t="shared" si="849"/>
        <v>2</v>
      </c>
      <c r="HH552" s="58">
        <f t="shared" si="850"/>
        <v>1</v>
      </c>
    </row>
    <row r="553" spans="69:216" ht="15.75" x14ac:dyDescent="0.25">
      <c r="BQ553" s="58">
        <f t="shared" si="853"/>
        <v>334</v>
      </c>
      <c r="BR553" s="61">
        <v>0</v>
      </c>
      <c r="BS553" s="61" t="s">
        <v>31</v>
      </c>
      <c r="BT553" s="17">
        <v>3</v>
      </c>
      <c r="BU553" s="17">
        <v>11</v>
      </c>
      <c r="BV553" s="17" t="str">
        <f t="shared" si="900"/>
        <v>axitinib</v>
      </c>
      <c r="BW553" s="1006" t="str" cm="1">
        <f t="array" ref="BW553">IF(AL315="No",AL315,INDEX(List_incl_anal_3L_all,IF(BU553=999,35,BU553+1)))</f>
        <v>Yes</v>
      </c>
      <c r="BX553" s="61">
        <f t="shared" si="901"/>
        <v>3</v>
      </c>
      <c r="BY553" s="531" t="str">
        <f t="shared" si="925"/>
        <v>Time to progression</v>
      </c>
      <c r="BZ553" s="530" t="str">
        <f t="shared" si="902"/>
        <v>PH_NMA</v>
      </c>
      <c r="CA553" s="531">
        <f t="shared" si="924"/>
        <v>0</v>
      </c>
      <c r="CB553" s="530">
        <f t="shared" si="903"/>
        <v>0</v>
      </c>
      <c r="CC553" s="530">
        <f t="shared" si="904"/>
        <v>3</v>
      </c>
      <c r="CD553" s="530">
        <f t="shared" si="905"/>
        <v>8</v>
      </c>
      <c r="CE553" s="1295">
        <f t="shared" si="906"/>
        <v>2</v>
      </c>
      <c r="CF553" s="1301">
        <f t="shared" si="907"/>
        <v>1</v>
      </c>
      <c r="CG553" s="530" t="str">
        <f t="shared" si="908"/>
        <v>Log-normal</v>
      </c>
      <c r="CH553" s="505">
        <f t="shared" si="909"/>
        <v>0.82</v>
      </c>
      <c r="CI553" s="505">
        <f t="shared" si="910"/>
        <v>0.8</v>
      </c>
      <c r="CJ553" s="505">
        <f t="shared" si="911"/>
        <v>0.84</v>
      </c>
      <c r="DK553" s="58" t="str" cm="1">
        <f t="array" ref="DK553">IF(AND($BT553=4,$BX553=4,$BU553=999),$DB$36,_xlfn.IFNA(INDEX(DB$13:DB$70,MATCH(1,($BR553=$CV$13:$CV$70)*($BT553=$CX$13:$CX$70)*($CE553=$CY$13:$CY$70)*($BY553=$DA$13:$DA$70)*($CD553=$DH$13:$DH$70),0)),""))</f>
        <v>Log-normal</v>
      </c>
      <c r="DL553" s="58" t="str" cm="1">
        <f t="array" ref="DL553">IF(AND($BT553=4,$BX553=4,$BU553=999),$DC$36,_xlfn.IFNA(INDEX(CHOOSE(DP553,DB$13:DB$70,DC$13:DC$70,DD$13:DD$70,DE$13:DE$70),MATCH(1,($BR553=$CV$13:$CV$70)*($BT553=$CX$13:$CX$70)*($CE553=$CY$13:$CY$70)*($BY553=$DA$13:$DA$70)*($CD553=$DH$13:$DH$70),0)),""))</f>
        <v>Log-normal</v>
      </c>
      <c r="DM553" s="740" t="str" cm="1">
        <f t="array" ref="DM553">IF(AND($BT553=4,$BX553=4,$BU553=999),$DD$36,_xlfn.IFNA(INDEX(DD$13:DD$68,MATCH(1,($BR553=$CV$13:$CV$68)*($BT553=$CX$13:$CX$68)*($CE553=$CY$13:$CY$68)*($BY553=$DA$13:$DA$68)*($CD553=$DH$13:$DH$68),0)),""))</f>
        <v>Generalised gamma</v>
      </c>
      <c r="DN553" s="740" cm="1">
        <f t="array" ref="DN553">IF(AND($BT553=4,$BX553=4,$BU553=999),$DD$36,_xlfn.IFNA(INDEX(DE$13:DE$68,MATCH(1,($BR553=$CV$13:$CV$68)*($BT553=$CX$13:$CX$68)*($CE553=$CY$13:$CY$68)*($BY553=$DA$13:$DA$68)*($CD553=$DH$13:$DH$68),0)),""))</f>
        <v>0</v>
      </c>
      <c r="DO553" s="58" t="str" cm="1">
        <f t="array" ref="DO553">IF(AND($BT553=4,$BX553=4,$BU553=999),$DF$36,_xlfn.IFNA(INDEX(DF$13:DF$70,MATCH(1,($BR553=$CV$13:$CV$70)*($BT553=$CX$13:$CX$70)*($CE553=$CY$13:$CY$70)*($BY553=$DA$13:$DA$70)*($CD553=$DH$13:$DH$70),0)),""))</f>
        <v>Base case</v>
      </c>
      <c r="DP553" s="58">
        <f t="shared" si="854"/>
        <v>1</v>
      </c>
      <c r="DW553" s="58" t="s">
        <v>74</v>
      </c>
      <c r="DX553" s="58" t="s">
        <v>555</v>
      </c>
      <c r="DY553" s="58" t="s">
        <v>67</v>
      </c>
      <c r="DZ553" s="58">
        <v>0</v>
      </c>
      <c r="EB553" s="58">
        <v>0</v>
      </c>
      <c r="EC553" s="58">
        <v>3</v>
      </c>
      <c r="ED553" s="58">
        <v>8</v>
      </c>
      <c r="EE553" s="58">
        <v>2</v>
      </c>
      <c r="EF553" s="58">
        <v>1</v>
      </c>
      <c r="EI553" s="58" t="s">
        <v>74</v>
      </c>
      <c r="EJ553" s="58" t="s">
        <v>555</v>
      </c>
      <c r="EK553" s="58" t="s">
        <v>578</v>
      </c>
      <c r="EL553" s="58">
        <v>0</v>
      </c>
      <c r="EN553" s="58">
        <v>0</v>
      </c>
      <c r="EO553" s="58">
        <v>3</v>
      </c>
      <c r="EP553" s="58">
        <v>11</v>
      </c>
      <c r="EQ553" s="58">
        <v>1</v>
      </c>
      <c r="ER553" s="58">
        <v>1</v>
      </c>
      <c r="EU553" s="58" t="str">
        <f t="shared" si="912"/>
        <v>Yes</v>
      </c>
      <c r="EV553" s="58" t="str">
        <f t="shared" si="913"/>
        <v>Time to progression</v>
      </c>
      <c r="EW553" s="58" t="str">
        <f t="shared" si="914"/>
        <v>PH_NMA</v>
      </c>
      <c r="EX553" s="58">
        <f t="shared" si="915"/>
        <v>0</v>
      </c>
      <c r="EZ553" s="58">
        <f t="shared" si="916"/>
        <v>0</v>
      </c>
      <c r="FA553" s="58">
        <f t="shared" si="917"/>
        <v>3</v>
      </c>
      <c r="FB553" s="58">
        <f>IF(i_eff_inputs_based_on_num=2,ED553,(INDEX(Lists!$L$51:$L$85,MATCH(AR315,Lists!$K$51:$K$85,0))))</f>
        <v>8</v>
      </c>
      <c r="FC553" s="58">
        <f>IF(i_eff_inputs_based_on_num=2,EE553,(INDEX(Lists!$L$51:$L$85,MATCH(AS315,Lists!$K$51:$K$85,0))))</f>
        <v>2</v>
      </c>
      <c r="FD553" s="58">
        <f>IF(i_eff_inputs_based_on_num=2,EF553,(INDEX(Lists!$L$51:$L$85,MATCH(AT315,Lists!$K$51:$K$85,0))))</f>
        <v>1</v>
      </c>
      <c r="FG553" s="58" t="str">
        <f t="shared" si="918"/>
        <v>Yes</v>
      </c>
      <c r="FH553" s="58" t="str">
        <f t="shared" si="919"/>
        <v>Time to progression</v>
      </c>
      <c r="FI553" s="58" t="str">
        <f t="shared" si="920"/>
        <v>Apply HR to</v>
      </c>
      <c r="FJ553" s="58">
        <f t="shared" si="921"/>
        <v>0</v>
      </c>
      <c r="FL553" s="58">
        <f t="shared" si="922"/>
        <v>0</v>
      </c>
      <c r="FM553" s="58">
        <f t="shared" si="923"/>
        <v>3</v>
      </c>
      <c r="FN553" s="58">
        <f>IF(i_eff_inputs_based_on_num=2,EP553,(INDEX(Lists!$L$51:$L$85,MATCH(AR315,Lists!$K$51:$K$85,0))))</f>
        <v>11</v>
      </c>
      <c r="FO553" s="58">
        <f>IF(i_eff_inputs_based_on_num=2,EQ553,(INDEX(Lists!$L$51:$L$85,MATCH(AS315,Lists!$K$51:$K$85,0))))</f>
        <v>1</v>
      </c>
      <c r="FP553" s="58">
        <f>IF(i_eff_inputs_based_on_num=2,ER553,(INDEX(Lists!$L$51:$L$85,MATCH(AT315,Lists!$K$51:$K$85,0))))</f>
        <v>1</v>
      </c>
      <c r="FT553" s="58">
        <f t="shared" si="855"/>
        <v>0</v>
      </c>
      <c r="FW553" s="58" t="str">
        <f>IF(i_baseline_risk_from=2,'Effectiveness settings'!EW553,'Effectiveness settings'!FI553)</f>
        <v>PH_NMA</v>
      </c>
      <c r="FX553" s="58" t="str">
        <f t="shared" si="856"/>
        <v>PH_NMA</v>
      </c>
      <c r="FY553" s="58" t="str">
        <f t="shared" si="857"/>
        <v>PH_NMA</v>
      </c>
      <c r="FZ553" s="58" t="str">
        <f t="shared" si="858"/>
        <v>PH_NMA</v>
      </c>
      <c r="GA553" s="58" t="str">
        <f t="shared" si="859"/>
        <v>PH_NMA</v>
      </c>
      <c r="GB553" s="58" t="str">
        <f t="shared" si="860"/>
        <v>PH_NMA</v>
      </c>
      <c r="GC553" s="58" t="str">
        <f t="shared" si="861"/>
        <v>PH_NMA</v>
      </c>
      <c r="GD553" s="58" t="str">
        <f t="shared" si="862"/>
        <v>PH_NMA</v>
      </c>
      <c r="GE553" s="58" t="str">
        <f>IF(AND(dd_CheckMate214_TTD="Yes",'Effectiveness settings'!BU553=2,'Effectiveness settings'!BX553=2),"Apply HR to",GD553)</f>
        <v>PH_NMA</v>
      </c>
      <c r="GF553" s="58" t="str">
        <f t="shared" si="863"/>
        <v>PH_NMA</v>
      </c>
      <c r="GG553" s="58" t="str">
        <f t="shared" si="864"/>
        <v>PH_NMA</v>
      </c>
      <c r="GH553" s="58" t="str">
        <f t="shared" si="865"/>
        <v>PH_NMA</v>
      </c>
      <c r="GI553" s="58" t="str">
        <f t="shared" si="851"/>
        <v>PH_NMA</v>
      </c>
      <c r="GK553" s="58">
        <f>IF(i_baseline_risk_from=2,'Effectiveness settings'!FA553,'Effectiveness settings'!FM553)</f>
        <v>3</v>
      </c>
      <c r="GL553" s="58">
        <f>IF(i_baseline_risk_from=2,'Effectiveness settings'!FB553,'Effectiveness settings'!FN553)</f>
        <v>8</v>
      </c>
      <c r="GM553" s="58">
        <f>IF(i_baseline_risk_from=2,'Effectiveness settings'!FC553,'Effectiveness settings'!FO553)</f>
        <v>2</v>
      </c>
      <c r="GN553" s="58">
        <f>IF(i_baseline_risk_from=2,'Effectiveness settings'!FD553,'Effectiveness settings'!FP553)</f>
        <v>1</v>
      </c>
      <c r="GQ553" s="58">
        <f t="shared" si="866"/>
        <v>8</v>
      </c>
      <c r="GR553" s="58">
        <f t="shared" si="867"/>
        <v>8</v>
      </c>
      <c r="GS553" s="58">
        <f t="shared" si="868"/>
        <v>8</v>
      </c>
      <c r="GT553" s="58">
        <f t="shared" si="869"/>
        <v>8</v>
      </c>
      <c r="GU553" s="58">
        <f>IF(AND(dd_CheckMate214_TTD="Yes",'Effectiveness settings'!BU553=2,'Effectiveness settings'!BX553=2),2,GT553)</f>
        <v>8</v>
      </c>
      <c r="GV553" s="58">
        <f t="shared" si="870"/>
        <v>8</v>
      </c>
      <c r="GW553" s="58">
        <f t="shared" si="871"/>
        <v>8</v>
      </c>
      <c r="GY553" s="58">
        <f>IF(AND(dd_CheckMate214_TTD="Yes",'Effectiveness settings'!BU553=2,'Effectiveness settings'!BX553=2),1,GN553)</f>
        <v>1</v>
      </c>
      <c r="GZ553" s="58">
        <f t="shared" si="872"/>
        <v>1</v>
      </c>
      <c r="HB553" s="58">
        <f t="shared" si="873"/>
        <v>0</v>
      </c>
      <c r="HD553" s="58">
        <f t="shared" si="846"/>
        <v>0</v>
      </c>
      <c r="HE553" s="58">
        <f t="shared" si="847"/>
        <v>3</v>
      </c>
      <c r="HF553" s="58">
        <f t="shared" si="848"/>
        <v>8</v>
      </c>
      <c r="HG553" s="58">
        <f t="shared" si="849"/>
        <v>2</v>
      </c>
      <c r="HH553" s="58">
        <f t="shared" si="850"/>
        <v>1</v>
      </c>
    </row>
    <row r="554" spans="69:216" ht="15.75" x14ac:dyDescent="0.25">
      <c r="BQ554" s="58">
        <f t="shared" si="853"/>
        <v>335</v>
      </c>
      <c r="BR554" s="61">
        <v>0</v>
      </c>
      <c r="BS554" s="61" t="s">
        <v>31</v>
      </c>
      <c r="BT554" s="17">
        <v>3</v>
      </c>
      <c r="BU554" s="17">
        <v>12</v>
      </c>
      <c r="BV554" s="17" t="str">
        <f t="shared" si="900"/>
        <v>sorafenib</v>
      </c>
      <c r="BW554" s="1006" t="str" cm="1">
        <f t="array" ref="BW554">IF(AL316="No",AL316,INDEX(List_incl_anal_3L_all,IF(BU554=999,35,BU554+1)))</f>
        <v>No</v>
      </c>
      <c r="BX554" s="61">
        <f t="shared" si="901"/>
        <v>3</v>
      </c>
      <c r="BY554" s="531" t="str">
        <f t="shared" si="925"/>
        <v>Time to progression</v>
      </c>
      <c r="BZ554" s="530">
        <f t="shared" si="902"/>
        <v>0</v>
      </c>
      <c r="CA554" s="531">
        <f t="shared" si="924"/>
        <v>0</v>
      </c>
      <c r="CB554" s="530">
        <f t="shared" si="903"/>
        <v>0</v>
      </c>
      <c r="CC554" s="530">
        <f t="shared" si="904"/>
        <v>3</v>
      </c>
      <c r="CD554" s="530">
        <f t="shared" si="905"/>
        <v>8</v>
      </c>
      <c r="CE554" s="1295">
        <f t="shared" si="906"/>
        <v>2</v>
      </c>
      <c r="CF554" s="1301">
        <f t="shared" si="907"/>
        <v>1</v>
      </c>
      <c r="CG554" s="530" t="str">
        <f t="shared" si="908"/>
        <v>Log-normal</v>
      </c>
      <c r="CH554" s="505">
        <f t="shared" si="909"/>
        <v>1</v>
      </c>
      <c r="CI554" s="505">
        <f t="shared" si="910"/>
        <v>0</v>
      </c>
      <c r="CJ554" s="505">
        <f t="shared" si="911"/>
        <v>0</v>
      </c>
      <c r="DK554" s="58" t="str" cm="1">
        <f t="array" ref="DK554">IF(AND($BT554=4,$BX554=4,$BU554=999),$DB$36,_xlfn.IFNA(INDEX(DB$13:DB$70,MATCH(1,($BR554=$CV$13:$CV$70)*($BT554=$CX$13:$CX$70)*($CE554=$CY$13:$CY$70)*($BY554=$DA$13:$DA$70)*($CD554=$DH$13:$DH$70),0)),""))</f>
        <v>Log-normal</v>
      </c>
      <c r="DL554" s="58" t="str" cm="1">
        <f t="array" ref="DL554">IF(AND($BT554=4,$BX554=4,$BU554=999),$DC$36,_xlfn.IFNA(INDEX(CHOOSE(DP554,DB$13:DB$70,DC$13:DC$70,DD$13:DD$70,DE$13:DE$70),MATCH(1,($BR554=$CV$13:$CV$70)*($BT554=$CX$13:$CX$70)*($CE554=$CY$13:$CY$70)*($BY554=$DA$13:$DA$70)*($CD554=$DH$13:$DH$70),0)),""))</f>
        <v>Log-normal</v>
      </c>
      <c r="DM554" s="740" t="str" cm="1">
        <f t="array" ref="DM554">IF(AND($BT554=4,$BX554=4,$BU554=999),$DD$36,_xlfn.IFNA(INDEX(DD$13:DD$68,MATCH(1,($BR554=$CV$13:$CV$68)*($BT554=$CX$13:$CX$68)*($CE554=$CY$13:$CY$68)*($BY554=$DA$13:$DA$68)*($CD554=$DH$13:$DH$68),0)),""))</f>
        <v>Generalised gamma</v>
      </c>
      <c r="DN554" s="740" cm="1">
        <f t="array" ref="DN554">IF(AND($BT554=4,$BX554=4,$BU554=999),$DD$36,_xlfn.IFNA(INDEX(DE$13:DE$68,MATCH(1,($BR554=$CV$13:$CV$68)*($BT554=$CX$13:$CX$68)*($CE554=$CY$13:$CY$68)*($BY554=$DA$13:$DA$68)*($CD554=$DH$13:$DH$68),0)),""))</f>
        <v>0</v>
      </c>
      <c r="DO554" s="58" t="str" cm="1">
        <f t="array" ref="DO554">IF(AND($BT554=4,$BX554=4,$BU554=999),$DF$36,_xlfn.IFNA(INDEX(DF$13:DF$70,MATCH(1,($BR554=$CV$13:$CV$70)*($BT554=$CX$13:$CX$70)*($CE554=$CY$13:$CY$70)*($BY554=$DA$13:$DA$70)*($CD554=$DH$13:$DH$70),0)),""))</f>
        <v>Base case</v>
      </c>
      <c r="DP554" s="58">
        <f t="shared" si="854"/>
        <v>1</v>
      </c>
      <c r="DW554" s="58" t="s">
        <v>58</v>
      </c>
      <c r="DX554" s="58" t="s">
        <v>555</v>
      </c>
      <c r="DY554" s="58">
        <v>0</v>
      </c>
      <c r="DZ554" s="58">
        <v>0</v>
      </c>
      <c r="EB554" s="58">
        <v>0</v>
      </c>
      <c r="EC554" s="58">
        <v>3</v>
      </c>
      <c r="ED554" s="58">
        <v>8</v>
      </c>
      <c r="EE554" s="58">
        <v>2</v>
      </c>
      <c r="EF554" s="58">
        <v>1</v>
      </c>
      <c r="EI554" s="58" t="s">
        <v>58</v>
      </c>
      <c r="EJ554" s="58" t="s">
        <v>555</v>
      </c>
      <c r="EK554" s="58">
        <v>0</v>
      </c>
      <c r="EL554" s="58">
        <v>0</v>
      </c>
      <c r="EN554" s="58">
        <v>0</v>
      </c>
      <c r="EO554" s="58">
        <v>3</v>
      </c>
      <c r="EP554" s="58">
        <v>12</v>
      </c>
      <c r="EQ554" s="58">
        <v>1</v>
      </c>
      <c r="ER554" s="58">
        <v>1</v>
      </c>
      <c r="EU554" s="58" t="str">
        <f t="shared" si="912"/>
        <v>No</v>
      </c>
      <c r="EV554" s="58" t="str">
        <f t="shared" si="913"/>
        <v>Time to progression</v>
      </c>
      <c r="EW554" s="58">
        <f t="shared" si="914"/>
        <v>0</v>
      </c>
      <c r="EX554" s="58">
        <f t="shared" si="915"/>
        <v>0</v>
      </c>
      <c r="EZ554" s="58">
        <f t="shared" si="916"/>
        <v>0</v>
      </c>
      <c r="FA554" s="58">
        <f t="shared" si="917"/>
        <v>3</v>
      </c>
      <c r="FB554" s="58">
        <f>IF(i_eff_inputs_based_on_num=2,ED554,(INDEX(Lists!$L$51:$L$85,MATCH(AR316,Lists!$K$51:$K$85,0))))</f>
        <v>8</v>
      </c>
      <c r="FC554" s="58">
        <f>IF(i_eff_inputs_based_on_num=2,EE554,(INDEX(Lists!$L$51:$L$85,MATCH(AS316,Lists!$K$51:$K$85,0))))</f>
        <v>2</v>
      </c>
      <c r="FD554" s="58">
        <f>IF(i_eff_inputs_based_on_num=2,EF554,(INDEX(Lists!$L$51:$L$85,MATCH(AT316,Lists!$K$51:$K$85,0))))</f>
        <v>1</v>
      </c>
      <c r="FG554" s="58" t="str">
        <f t="shared" si="918"/>
        <v>No</v>
      </c>
      <c r="FH554" s="58" t="str">
        <f t="shared" si="919"/>
        <v>Time to progression</v>
      </c>
      <c r="FI554" s="58">
        <f t="shared" si="920"/>
        <v>0</v>
      </c>
      <c r="FJ554" s="58">
        <f t="shared" si="921"/>
        <v>0</v>
      </c>
      <c r="FL554" s="58">
        <f t="shared" si="922"/>
        <v>0</v>
      </c>
      <c r="FM554" s="58">
        <f t="shared" si="923"/>
        <v>3</v>
      </c>
      <c r="FN554" s="58">
        <f>IF(i_eff_inputs_based_on_num=2,EP554,(INDEX(Lists!$L$51:$L$85,MATCH(AR316,Lists!$K$51:$K$85,0))))</f>
        <v>12</v>
      </c>
      <c r="FO554" s="58">
        <f>IF(i_eff_inputs_based_on_num=2,EQ554,(INDEX(Lists!$L$51:$L$85,MATCH(AS316,Lists!$K$51:$K$85,0))))</f>
        <v>1</v>
      </c>
      <c r="FP554" s="58">
        <f>IF(i_eff_inputs_based_on_num=2,ER554,(INDEX(Lists!$L$51:$L$85,MATCH(AT316,Lists!$K$51:$K$85,0))))</f>
        <v>1</v>
      </c>
      <c r="FT554" s="58">
        <f t="shared" si="855"/>
        <v>0</v>
      </c>
      <c r="FW554" s="58">
        <f>IF(i_baseline_risk_from=2,'Effectiveness settings'!EW554,'Effectiveness settings'!FI554)</f>
        <v>0</v>
      </c>
      <c r="FX554" s="58">
        <f t="shared" si="856"/>
        <v>0</v>
      </c>
      <c r="FY554" s="58">
        <f t="shared" si="857"/>
        <v>0</v>
      </c>
      <c r="FZ554" s="58">
        <f t="shared" si="858"/>
        <v>0</v>
      </c>
      <c r="GA554" s="58">
        <f t="shared" si="859"/>
        <v>0</v>
      </c>
      <c r="GB554" s="58">
        <f t="shared" si="860"/>
        <v>0</v>
      </c>
      <c r="GC554" s="58">
        <f t="shared" si="861"/>
        <v>0</v>
      </c>
      <c r="GD554" s="58">
        <f t="shared" si="862"/>
        <v>0</v>
      </c>
      <c r="GE554" s="58">
        <f>IF(AND(dd_CheckMate214_TTD="Yes",'Effectiveness settings'!BU554=2,'Effectiveness settings'!BX554=2),"Apply HR to",GD554)</f>
        <v>0</v>
      </c>
      <c r="GF554" s="58">
        <f t="shared" si="863"/>
        <v>0</v>
      </c>
      <c r="GG554" s="58">
        <f t="shared" si="864"/>
        <v>0</v>
      </c>
      <c r="GH554" s="58">
        <f t="shared" si="865"/>
        <v>0</v>
      </c>
      <c r="GI554" s="58">
        <f t="shared" si="851"/>
        <v>0</v>
      </c>
      <c r="GK554" s="58">
        <f>IF(i_baseline_risk_from=2,'Effectiveness settings'!FA554,'Effectiveness settings'!FM554)</f>
        <v>3</v>
      </c>
      <c r="GL554" s="58">
        <f>IF(i_baseline_risk_from=2,'Effectiveness settings'!FB554,'Effectiveness settings'!FN554)</f>
        <v>8</v>
      </c>
      <c r="GM554" s="58">
        <f>IF(i_baseline_risk_from=2,'Effectiveness settings'!FC554,'Effectiveness settings'!FO554)</f>
        <v>2</v>
      </c>
      <c r="GN554" s="58">
        <f>IF(i_baseline_risk_from=2,'Effectiveness settings'!FD554,'Effectiveness settings'!FP554)</f>
        <v>1</v>
      </c>
      <c r="GQ554" s="58">
        <f t="shared" si="866"/>
        <v>8</v>
      </c>
      <c r="GR554" s="58">
        <f t="shared" si="867"/>
        <v>8</v>
      </c>
      <c r="GS554" s="58">
        <f t="shared" si="868"/>
        <v>8</v>
      </c>
      <c r="GT554" s="58">
        <f t="shared" si="869"/>
        <v>8</v>
      </c>
      <c r="GU554" s="58">
        <f>IF(AND(dd_CheckMate214_TTD="Yes",'Effectiveness settings'!BU554=2,'Effectiveness settings'!BX554=2),2,GT554)</f>
        <v>8</v>
      </c>
      <c r="GV554" s="58">
        <f t="shared" si="870"/>
        <v>8</v>
      </c>
      <c r="GW554" s="58">
        <f t="shared" si="871"/>
        <v>8</v>
      </c>
      <c r="GY554" s="58">
        <f>IF(AND(dd_CheckMate214_TTD="Yes",'Effectiveness settings'!BU554=2,'Effectiveness settings'!BX554=2),1,GN554)</f>
        <v>1</v>
      </c>
      <c r="GZ554" s="58">
        <f t="shared" si="872"/>
        <v>1</v>
      </c>
      <c r="HB554" s="58">
        <f t="shared" si="873"/>
        <v>0</v>
      </c>
      <c r="HD554" s="58">
        <f t="shared" si="846"/>
        <v>0</v>
      </c>
      <c r="HE554" s="58">
        <f t="shared" si="847"/>
        <v>3</v>
      </c>
      <c r="HF554" s="58">
        <f t="shared" si="848"/>
        <v>8</v>
      </c>
      <c r="HG554" s="58">
        <f t="shared" si="849"/>
        <v>2</v>
      </c>
      <c r="HH554" s="58">
        <f t="shared" si="850"/>
        <v>1</v>
      </c>
    </row>
    <row r="555" spans="69:216" ht="15.75" x14ac:dyDescent="0.25">
      <c r="BQ555" s="58">
        <f t="shared" si="853"/>
        <v>336</v>
      </c>
      <c r="BR555" s="61">
        <v>0</v>
      </c>
      <c r="BS555" s="61" t="s">
        <v>31</v>
      </c>
      <c r="BT555" s="17">
        <v>3</v>
      </c>
      <c r="BU555" s="17">
        <v>999</v>
      </c>
      <c r="BV555" s="17" t="str">
        <f t="shared" si="900"/>
        <v>placebo_BSC</v>
      </c>
      <c r="BW555" s="1006" t="str" cm="1">
        <f t="array" ref="BW555">IF(AL317="No",AL317,INDEX(List_incl_anal_3L_all,IF(BU555=999,35,BU555+1)))</f>
        <v>No</v>
      </c>
      <c r="BX555" s="61">
        <f t="shared" si="901"/>
        <v>3</v>
      </c>
      <c r="BY555" s="531" t="str">
        <f t="shared" si="925"/>
        <v>Time to progression</v>
      </c>
      <c r="BZ555" s="530">
        <f t="shared" si="902"/>
        <v>0</v>
      </c>
      <c r="CA555" s="531">
        <f t="shared" si="924"/>
        <v>0</v>
      </c>
      <c r="CB555" s="530">
        <f t="shared" si="903"/>
        <v>0</v>
      </c>
      <c r="CC555" s="530">
        <f t="shared" si="904"/>
        <v>4</v>
      </c>
      <c r="CD555" s="530">
        <f t="shared" si="905"/>
        <v>999</v>
      </c>
      <c r="CE555" s="1295">
        <f t="shared" si="906"/>
        <v>2</v>
      </c>
      <c r="CF555" s="1301">
        <f t="shared" si="907"/>
        <v>4</v>
      </c>
      <c r="CG555" s="530" t="str">
        <f t="shared" si="908"/>
        <v/>
      </c>
      <c r="CH555" s="505">
        <f t="shared" si="909"/>
        <v>1</v>
      </c>
      <c r="CI555" s="505">
        <f t="shared" si="910"/>
        <v>0</v>
      </c>
      <c r="CJ555" s="505">
        <f t="shared" si="911"/>
        <v>0</v>
      </c>
      <c r="DK555" s="58" t="str" cm="1">
        <f t="array" ref="DK555">IF(AND($BT555=4,$BX555=4,$BU555=999),$DB$36,_xlfn.IFNA(INDEX(DB$13:DB$70,MATCH(1,($BR555=$CV$13:$CV$70)*($BT555=$CX$13:$CX$70)*($CE555=$CY$13:$CY$70)*($BY555=$DA$13:$DA$70)*($CD555=$DH$13:$DH$70),0)),""))</f>
        <v/>
      </c>
      <c r="DL555" s="58" t="str" cm="1">
        <f t="array" ref="DL555">IF(AND($BT555=4,$BX555=4,$BU555=999),$DC$36,_xlfn.IFNA(INDEX(CHOOSE(DP555,DB$13:DB$70,DC$13:DC$70,DD$13:DD$70,DE$13:DE$70),MATCH(1,($BR555=$CV$13:$CV$70)*($BT555=$CX$13:$CX$70)*($CE555=$CY$13:$CY$70)*($BY555=$DA$13:$DA$70)*($CD555=$DH$13:$DH$70),0)),""))</f>
        <v/>
      </c>
      <c r="DM555" s="740" t="str" cm="1">
        <f t="array" ref="DM555">IF(AND($BT555=4,$BX555=4,$BU555=999),$DD$36,_xlfn.IFNA(INDEX(DD$13:DD$68,MATCH(1,($BR555=$CV$13:$CV$68)*($BT555=$CX$13:$CX$68)*($CE555=$CY$13:$CY$68)*($BY555=$DA$13:$DA$68)*($CD555=$DH$13:$DH$68),0)),""))</f>
        <v/>
      </c>
      <c r="DN555" s="740" t="str" cm="1">
        <f t="array" ref="DN555">IF(AND($BT555=4,$BX555=4,$BU555=999),$DD$36,_xlfn.IFNA(INDEX(DE$13:DE$68,MATCH(1,($BR555=$CV$13:$CV$68)*($BT555=$CX$13:$CX$68)*($CE555=$CY$13:$CY$68)*($BY555=$DA$13:$DA$68)*($CD555=$DH$13:$DH$68),0)),""))</f>
        <v/>
      </c>
      <c r="DO555" s="58" t="str" cm="1">
        <f t="array" ref="DO555">IF(AND($BT555=4,$BX555=4,$BU555=999),$DF$36,_xlfn.IFNA(INDEX(DF$13:DF$70,MATCH(1,($BR555=$CV$13:$CV$70)*($BT555=$CX$13:$CX$70)*($CE555=$CY$13:$CY$70)*($BY555=$DA$13:$DA$70)*($CD555=$DH$13:$DH$70),0)),""))</f>
        <v/>
      </c>
      <c r="DP555" s="58" t="e">
        <f t="shared" si="854"/>
        <v>#N/A</v>
      </c>
      <c r="DW555" s="58" t="s">
        <v>58</v>
      </c>
      <c r="DX555" s="58" t="s">
        <v>555</v>
      </c>
      <c r="DY555" s="58">
        <v>0</v>
      </c>
      <c r="DZ555" s="58">
        <v>0</v>
      </c>
      <c r="EB555" s="58">
        <v>0</v>
      </c>
      <c r="EC555" s="58">
        <v>4</v>
      </c>
      <c r="ED555" s="58">
        <v>999</v>
      </c>
      <c r="EE555" s="58">
        <v>2</v>
      </c>
      <c r="EF555" s="58">
        <v>4</v>
      </c>
      <c r="EI555" s="58" t="s">
        <v>58</v>
      </c>
      <c r="EJ555" s="58" t="s">
        <v>555</v>
      </c>
      <c r="EK555" s="58">
        <v>0</v>
      </c>
      <c r="EL555" s="58">
        <v>0</v>
      </c>
      <c r="EN555" s="58">
        <v>0</v>
      </c>
      <c r="EO555" s="58">
        <v>4</v>
      </c>
      <c r="EP555" s="58">
        <v>999</v>
      </c>
      <c r="EQ555" s="58">
        <v>2</v>
      </c>
      <c r="ER555" s="58">
        <v>4</v>
      </c>
      <c r="EU555" s="58" t="str">
        <f t="shared" si="912"/>
        <v>No</v>
      </c>
      <c r="EV555" s="58" t="str">
        <f t="shared" si="913"/>
        <v>Time to progression</v>
      </c>
      <c r="EW555" s="58">
        <f t="shared" si="914"/>
        <v>0</v>
      </c>
      <c r="EX555" s="58">
        <f t="shared" si="915"/>
        <v>0</v>
      </c>
      <c r="EZ555" s="58">
        <f t="shared" si="916"/>
        <v>0</v>
      </c>
      <c r="FA555" s="58">
        <f t="shared" si="917"/>
        <v>4</v>
      </c>
      <c r="FB555" s="58">
        <f>IF(i_eff_inputs_based_on_num=2,ED555,(INDEX(Lists!$L$51:$L$85,MATCH(AR317,Lists!$K$51:$K$85,0))))</f>
        <v>999</v>
      </c>
      <c r="FC555" s="58">
        <f>IF(i_eff_inputs_based_on_num=2,EE555,(INDEX(Lists!$L$51:$L$85,MATCH(AS317,Lists!$K$51:$K$85,0))))</f>
        <v>2</v>
      </c>
      <c r="FD555" s="58">
        <f>IF(i_eff_inputs_based_on_num=2,EF555,(INDEX(Lists!$L$51:$L$85,MATCH(AT317,Lists!$K$51:$K$85,0))))</f>
        <v>4</v>
      </c>
      <c r="FG555" s="58" t="str">
        <f t="shared" si="918"/>
        <v>No</v>
      </c>
      <c r="FH555" s="58" t="str">
        <f t="shared" si="919"/>
        <v>Time to progression</v>
      </c>
      <c r="FI555" s="58">
        <f t="shared" si="920"/>
        <v>0</v>
      </c>
      <c r="FJ555" s="58">
        <f t="shared" si="921"/>
        <v>0</v>
      </c>
      <c r="FL555" s="58">
        <f t="shared" si="922"/>
        <v>0</v>
      </c>
      <c r="FM555" s="58">
        <f t="shared" si="923"/>
        <v>4</v>
      </c>
      <c r="FN555" s="58">
        <f>IF(i_eff_inputs_based_on_num=2,EP555,(INDEX(Lists!$L$51:$L$85,MATCH(AR317,Lists!$K$51:$K$85,0))))</f>
        <v>999</v>
      </c>
      <c r="FO555" s="58">
        <f>IF(i_eff_inputs_based_on_num=2,EQ555,(INDEX(Lists!$L$51:$L$85,MATCH(AS317,Lists!$K$51:$K$85,0))))</f>
        <v>2</v>
      </c>
      <c r="FP555" s="58">
        <f>IF(i_eff_inputs_based_on_num=2,ER555,(INDEX(Lists!$L$51:$L$85,MATCH(AT317,Lists!$K$51:$K$85,0))))</f>
        <v>4</v>
      </c>
      <c r="FT555" s="58">
        <f t="shared" si="855"/>
        <v>0</v>
      </c>
      <c r="FW555" s="58">
        <f>IF(i_baseline_risk_from=2,'Effectiveness settings'!EW555,'Effectiveness settings'!FI555)</f>
        <v>0</v>
      </c>
      <c r="FX555" s="58">
        <f t="shared" si="856"/>
        <v>0</v>
      </c>
      <c r="FY555" s="58">
        <f t="shared" si="857"/>
        <v>0</v>
      </c>
      <c r="FZ555" s="58">
        <f t="shared" si="858"/>
        <v>0</v>
      </c>
      <c r="GA555" s="58">
        <f t="shared" si="859"/>
        <v>0</v>
      </c>
      <c r="GB555" s="58">
        <f t="shared" si="860"/>
        <v>0</v>
      </c>
      <c r="GC555" s="58">
        <f t="shared" si="861"/>
        <v>0</v>
      </c>
      <c r="GD555" s="58">
        <f t="shared" si="862"/>
        <v>0</v>
      </c>
      <c r="GE555" s="58">
        <f>IF(AND(dd_CheckMate214_TTD="Yes",'Effectiveness settings'!BU555=2,'Effectiveness settings'!BX555=2),"Apply HR to",GD555)</f>
        <v>0</v>
      </c>
      <c r="GF555" s="58">
        <f t="shared" si="863"/>
        <v>0</v>
      </c>
      <c r="GG555" s="58">
        <f t="shared" si="864"/>
        <v>0</v>
      </c>
      <c r="GH555" s="58">
        <f t="shared" si="865"/>
        <v>0</v>
      </c>
      <c r="GI555" s="58">
        <f t="shared" si="851"/>
        <v>0</v>
      </c>
      <c r="GK555" s="58">
        <f>IF(i_baseline_risk_from=2,'Effectiveness settings'!FA555,'Effectiveness settings'!FM555)</f>
        <v>4</v>
      </c>
      <c r="GL555" s="58">
        <f>IF(i_baseline_risk_from=2,'Effectiveness settings'!FB555,'Effectiveness settings'!FN555)</f>
        <v>999</v>
      </c>
      <c r="GM555" s="58">
        <f>IF(i_baseline_risk_from=2,'Effectiveness settings'!FC555,'Effectiveness settings'!FO555)</f>
        <v>2</v>
      </c>
      <c r="GN555" s="58">
        <f>IF(i_baseline_risk_from=2,'Effectiveness settings'!FD555,'Effectiveness settings'!FP555)</f>
        <v>4</v>
      </c>
      <c r="GQ555" s="58">
        <f t="shared" si="866"/>
        <v>999</v>
      </c>
      <c r="GR555" s="58">
        <f t="shared" si="867"/>
        <v>999</v>
      </c>
      <c r="GS555" s="58">
        <f t="shared" si="868"/>
        <v>999</v>
      </c>
      <c r="GT555" s="58">
        <f t="shared" si="869"/>
        <v>999</v>
      </c>
      <c r="GU555" s="58">
        <f>IF(AND(dd_CheckMate214_TTD="Yes",'Effectiveness settings'!BU555=2,'Effectiveness settings'!BX555=2),2,GT555)</f>
        <v>999</v>
      </c>
      <c r="GV555" s="58">
        <f t="shared" si="870"/>
        <v>999</v>
      </c>
      <c r="GW555" s="58">
        <f t="shared" si="871"/>
        <v>999</v>
      </c>
      <c r="GY555" s="58">
        <f>IF(AND(dd_CheckMate214_TTD="Yes",'Effectiveness settings'!BU555=2,'Effectiveness settings'!BX555=2),1,GN555)</f>
        <v>4</v>
      </c>
      <c r="GZ555" s="58">
        <f t="shared" si="872"/>
        <v>4</v>
      </c>
      <c r="HB555" s="58">
        <f t="shared" si="873"/>
        <v>0</v>
      </c>
      <c r="HD555" s="58">
        <f t="shared" si="846"/>
        <v>0</v>
      </c>
      <c r="HE555" s="58">
        <f t="shared" si="847"/>
        <v>4</v>
      </c>
      <c r="HF555" s="58">
        <f t="shared" si="848"/>
        <v>999</v>
      </c>
      <c r="HG555" s="58">
        <f t="shared" si="849"/>
        <v>2</v>
      </c>
      <c r="HH555" s="58">
        <f t="shared" si="850"/>
        <v>4</v>
      </c>
    </row>
    <row r="556" spans="69:216" ht="15.75" x14ac:dyDescent="0.25">
      <c r="BQ556" s="58">
        <f t="shared" si="853"/>
        <v>336</v>
      </c>
      <c r="BR556" s="61"/>
      <c r="BS556" s="61"/>
      <c r="BT556" s="17"/>
      <c r="BU556" s="61"/>
      <c r="BV556" s="17"/>
      <c r="BW556" s="17"/>
      <c r="BX556" s="61"/>
      <c r="BY556" s="531"/>
      <c r="BZ556" s="529"/>
      <c r="CA556" s="532"/>
      <c r="CB556" s="529"/>
      <c r="CC556" s="529"/>
      <c r="CD556" s="529"/>
      <c r="CE556" s="515"/>
      <c r="CF556" s="1303"/>
      <c r="CG556" s="529"/>
      <c r="CH556" s="505"/>
      <c r="CI556" s="505"/>
      <c r="CJ556" s="505"/>
      <c r="DK556" s="58" t="str" cm="1">
        <f t="array" ref="DK556">IF(AND($BT556=4,$BX556=4,$BU556=999),$DB$36,_xlfn.IFNA(INDEX(DB$13:DB$70,MATCH(1,($BR556=$CV$13:$CV$70)*($BT556=$CX$13:$CX$70)*($CE556=$CY$13:$CY$70)*($BY556=$DA$13:$DA$70)*($CD556=$DH$13:$DH$70),0)),""))</f>
        <v/>
      </c>
      <c r="DL556" s="58" t="str" cm="1">
        <f t="array" ref="DL556">IF(AND($BT556=4,$BX556=4,$BU556=999),$DC$36,_xlfn.IFNA(INDEX(CHOOSE(DP556,DB$13:DB$70,DC$13:DC$70,DD$13:DD$70,DE$13:DE$70),MATCH(1,($BR556=$CV$13:$CV$70)*($BT556=$CX$13:$CX$70)*($CE556=$CY$13:$CY$70)*($BY556=$DA$13:$DA$70)*($CD556=$DH$13:$DH$70),0)),""))</f>
        <v/>
      </c>
      <c r="DM556" s="740" t="str" cm="1">
        <f t="array" ref="DM556">IF(AND($BT556=4,$BX556=4,$BU556=999),$DD$36,_xlfn.IFNA(INDEX(DD$13:DD$68,MATCH(1,($BR556=$CV$13:$CV$68)*($BT556=$CX$13:$CX$68)*($CE556=$CY$13:$CY$68)*($BY556=$DA$13:$DA$68)*($CD556=$DH$13:$DH$68),0)),""))</f>
        <v/>
      </c>
      <c r="DN556" s="740" t="str" cm="1">
        <f t="array" ref="DN556">IF(AND($BT556=4,$BX556=4,$BU556=999),$DD$36,_xlfn.IFNA(INDEX(DE$13:DE$68,MATCH(1,($BR556=$CV$13:$CV$68)*($BT556=$CX$13:$CX$68)*($CE556=$CY$13:$CY$68)*($BY556=$DA$13:$DA$68)*($CD556=$DH$13:$DH$68),0)),""))</f>
        <v/>
      </c>
      <c r="DO556" s="58" t="str" cm="1">
        <f t="array" ref="DO556">IF(AND($BT556=4,$BX556=4,$BU556=999),$DF$36,_xlfn.IFNA(INDEX(DF$13:DF$70,MATCH(1,($BR556=$CV$13:$CV$70)*($BT556=$CX$13:$CX$70)*($CE556=$CY$13:$CY$70)*($BY556=$DA$13:$DA$70)*($CD556=$DH$13:$DH$70),0)),""))</f>
        <v/>
      </c>
      <c r="DP556" s="58" t="e">
        <f t="shared" si="854"/>
        <v>#N/A</v>
      </c>
      <c r="FT556" s="58">
        <f t="shared" si="855"/>
        <v>0</v>
      </c>
      <c r="FW556" s="58">
        <f>IF(i_baseline_risk_from=2,'Effectiveness settings'!EW556,'Effectiveness settings'!FI556)</f>
        <v>0</v>
      </c>
      <c r="FX556" s="58">
        <f t="shared" si="856"/>
        <v>0</v>
      </c>
      <c r="FY556" s="58">
        <f t="shared" si="857"/>
        <v>0</v>
      </c>
      <c r="FZ556" s="58">
        <f t="shared" si="858"/>
        <v>0</v>
      </c>
      <c r="GA556" s="58">
        <f t="shared" si="859"/>
        <v>0</v>
      </c>
      <c r="GB556" s="58">
        <f t="shared" si="860"/>
        <v>0</v>
      </c>
      <c r="GC556" s="58">
        <f t="shared" si="861"/>
        <v>0</v>
      </c>
      <c r="GD556" s="58">
        <f t="shared" si="862"/>
        <v>0</v>
      </c>
      <c r="GE556" s="58">
        <f>IF(AND(dd_CheckMate214_TTD="Yes",'Effectiveness settings'!BU556=2,'Effectiveness settings'!BX556=2),"Apply HR to",GD556)</f>
        <v>0</v>
      </c>
      <c r="GF556" s="58">
        <f t="shared" si="863"/>
        <v>0</v>
      </c>
      <c r="GG556" s="58">
        <f t="shared" si="864"/>
        <v>0</v>
      </c>
      <c r="GH556" s="58">
        <f t="shared" si="865"/>
        <v>0</v>
      </c>
      <c r="GI556" s="58">
        <f t="shared" si="851"/>
        <v>0</v>
      </c>
      <c r="GK556" s="58">
        <f>IF(i_baseline_risk_from=2,'Effectiveness settings'!FA556,'Effectiveness settings'!FM556)</f>
        <v>0</v>
      </c>
      <c r="GL556" s="58">
        <f>IF(i_baseline_risk_from=2,'Effectiveness settings'!FB556,'Effectiveness settings'!FN556)</f>
        <v>0</v>
      </c>
      <c r="GM556" s="58">
        <f>IF(i_baseline_risk_from=2,'Effectiveness settings'!FC556,'Effectiveness settings'!FO556)</f>
        <v>0</v>
      </c>
      <c r="GN556" s="58">
        <f>IF(i_baseline_risk_from=2,'Effectiveness settings'!FD556,'Effectiveness settings'!FP556)</f>
        <v>0</v>
      </c>
      <c r="GQ556" s="58">
        <f t="shared" si="866"/>
        <v>0</v>
      </c>
      <c r="GR556" s="58">
        <f t="shared" si="867"/>
        <v>0</v>
      </c>
      <c r="GS556" s="58">
        <f t="shared" si="868"/>
        <v>0</v>
      </c>
      <c r="GT556" s="58">
        <f t="shared" si="869"/>
        <v>0</v>
      </c>
      <c r="GU556" s="58">
        <f>IF(AND(dd_CheckMate214_TTD="Yes",'Effectiveness settings'!BU556=2,'Effectiveness settings'!BX556=2),2,GT556)</f>
        <v>0</v>
      </c>
      <c r="GV556" s="58">
        <f t="shared" si="870"/>
        <v>0</v>
      </c>
      <c r="GW556" s="58">
        <f t="shared" si="871"/>
        <v>0</v>
      </c>
      <c r="GY556" s="58">
        <f>IF(AND(dd_CheckMate214_TTD="Yes",'Effectiveness settings'!BU556=2,'Effectiveness settings'!BX556=2),1,GN556)</f>
        <v>0</v>
      </c>
      <c r="GZ556" s="58">
        <f t="shared" si="872"/>
        <v>0</v>
      </c>
      <c r="HB556" s="58">
        <f t="shared" si="873"/>
        <v>0</v>
      </c>
      <c r="HD556" s="58">
        <f t="shared" si="846"/>
        <v>0</v>
      </c>
      <c r="HE556" s="58">
        <f t="shared" si="847"/>
        <v>0</v>
      </c>
      <c r="HF556" s="58">
        <f t="shared" si="848"/>
        <v>0</v>
      </c>
      <c r="HG556" s="58">
        <f t="shared" si="849"/>
        <v>0</v>
      </c>
      <c r="HH556" s="58">
        <f t="shared" si="850"/>
        <v>0</v>
      </c>
    </row>
    <row r="557" spans="69:216" ht="15.75" x14ac:dyDescent="0.25">
      <c r="BQ557" s="58">
        <f t="shared" si="853"/>
        <v>337</v>
      </c>
      <c r="BR557" s="61">
        <v>0</v>
      </c>
      <c r="BS557" s="61" t="s">
        <v>31</v>
      </c>
      <c r="BT557" s="17">
        <v>3</v>
      </c>
      <c r="BU557" s="17">
        <v>0</v>
      </c>
      <c r="BV557" s="17" t="str">
        <f t="shared" ref="BV557:BV570" si="926">D319</f>
        <v>nivolumab_monotherapy</v>
      </c>
      <c r="BW557" s="1006" t="str" cm="1">
        <f t="array" ref="BW557">IF(AL319="No",AL319,INDEX(List_incl_anal_3L_all,IF(BU557=999,35,BU557+1)))</f>
        <v>No</v>
      </c>
      <c r="BX557" s="61">
        <f t="shared" ref="BX557:BX570" si="927">MATCH(BY557,List_eff_endpoints,0)-1</f>
        <v>4</v>
      </c>
      <c r="BY557" s="531" t="str">
        <f>AM319</f>
        <v>Post progression survival</v>
      </c>
      <c r="BZ557" s="530">
        <f t="shared" ref="BZ557:BZ570" si="928">GI557</f>
        <v>0</v>
      </c>
      <c r="CA557" s="531">
        <f>FT557</f>
        <v>0</v>
      </c>
      <c r="CB557" s="530">
        <f t="shared" ref="CB557:CB570" si="929">HD557</f>
        <v>0</v>
      </c>
      <c r="CC557" s="530">
        <f t="shared" ref="CC557:CC570" si="930">HE557</f>
        <v>3</v>
      </c>
      <c r="CD557" s="530">
        <f t="shared" ref="CD557:CD570" si="931">HF557</f>
        <v>999</v>
      </c>
      <c r="CE557" s="1295">
        <f t="shared" ref="CE557:CE570" si="932">HG557</f>
        <v>2</v>
      </c>
      <c r="CF557" s="1301">
        <f t="shared" ref="CF557:CF570" si="933">HH557</f>
        <v>4</v>
      </c>
      <c r="CG557" s="530" t="str">
        <f t="shared" ref="CG557:CG570" si="934">IF(i_surv_cur=1,DK557,DL557)</f>
        <v/>
      </c>
      <c r="CH557" s="505">
        <f t="shared" ref="CH557:CH570" si="935">AV319</f>
        <v>0</v>
      </c>
      <c r="CI557" s="505">
        <f t="shared" ref="CI557:CI570" si="936">AW319</f>
        <v>0</v>
      </c>
      <c r="CJ557" s="505">
        <f t="shared" ref="CJ557:CJ570" si="937">AX319</f>
        <v>0</v>
      </c>
      <c r="DK557" s="58" t="str" cm="1">
        <f t="array" ref="DK557">IF(AND($BT557=4,$BX557=4,$BU557=999),$DB$36,_xlfn.IFNA(INDEX(DB$13:DB$70,MATCH(1,($BR557=$CV$13:$CV$70)*($BT557=$CX$13:$CX$70)*($CE557=$CY$13:$CY$70)*($BY557=$DA$13:$DA$70)*($CD557=$DH$13:$DH$70),0)),""))</f>
        <v/>
      </c>
      <c r="DL557" s="58" t="str" cm="1">
        <f t="array" ref="DL557">IF(AND($BT557=4,$BX557=4,$BU557=999),$DC$36,_xlfn.IFNA(INDEX(CHOOSE(DP557,DB$13:DB$70,DC$13:DC$70,DD$13:DD$70,DE$13:DE$70),MATCH(1,($BR557=$CV$13:$CV$70)*($BT557=$CX$13:$CX$70)*($CE557=$CY$13:$CY$70)*($BY557=$DA$13:$DA$70)*($CD557=$DH$13:$DH$70),0)),""))</f>
        <v/>
      </c>
      <c r="DM557" s="740" t="str" cm="1">
        <f t="array" ref="DM557">IF(AND($BT557=4,$BX557=4,$BU557=999),$DD$36,_xlfn.IFNA(INDEX(DD$13:DD$68,MATCH(1,($BR557=$CV$13:$CV$68)*($BT557=$CX$13:$CX$68)*($CE557=$CY$13:$CY$68)*($BY557=$DA$13:$DA$68)*($CD557=$DH$13:$DH$68),0)),""))</f>
        <v/>
      </c>
      <c r="DN557" s="740" t="str" cm="1">
        <f t="array" ref="DN557">IF(AND($BT557=4,$BX557=4,$BU557=999),$DD$36,_xlfn.IFNA(INDEX(DE$13:DE$68,MATCH(1,($BR557=$CV$13:$CV$68)*($BT557=$CX$13:$CX$68)*($CE557=$CY$13:$CY$68)*($BY557=$DA$13:$DA$68)*($CD557=$DH$13:$DH$68),0)),""))</f>
        <v/>
      </c>
      <c r="DO557" s="58" t="str" cm="1">
        <f t="array" ref="DO557">IF(AND($BT557=4,$BX557=4,$BU557=999),$DF$36,_xlfn.IFNA(INDEX(DF$13:DF$70,MATCH(1,($BR557=$CV$13:$CV$70)*($BT557=$CX$13:$CX$70)*($CE557=$CY$13:$CY$70)*($BY557=$DA$13:$DA$70)*($CD557=$DH$13:$DH$70),0)),""))</f>
        <v/>
      </c>
      <c r="DP557" s="58" t="e">
        <f t="shared" si="854"/>
        <v>#N/A</v>
      </c>
      <c r="DW557" s="58" t="s">
        <v>58</v>
      </c>
      <c r="DX557" s="58" t="s">
        <v>617</v>
      </c>
      <c r="DY557" s="58">
        <v>0</v>
      </c>
      <c r="DZ557" s="58">
        <v>0</v>
      </c>
      <c r="EB557" s="58">
        <v>0</v>
      </c>
      <c r="EC557" s="58">
        <v>3</v>
      </c>
      <c r="ED557" s="58">
        <v>999</v>
      </c>
      <c r="EE557" s="58">
        <v>2</v>
      </c>
      <c r="EF557" s="58">
        <v>4</v>
      </c>
      <c r="EI557" s="58" t="s">
        <v>58</v>
      </c>
      <c r="EJ557" s="58" t="s">
        <v>617</v>
      </c>
      <c r="EK557" s="58">
        <v>0</v>
      </c>
      <c r="EL557" s="58">
        <v>0</v>
      </c>
      <c r="EN557" s="58">
        <v>0</v>
      </c>
      <c r="EO557" s="58">
        <v>3</v>
      </c>
      <c r="EP557" s="58">
        <v>999</v>
      </c>
      <c r="EQ557" s="58">
        <v>2</v>
      </c>
      <c r="ER557" s="58">
        <v>4</v>
      </c>
      <c r="EU557" s="58" t="str">
        <f t="shared" ref="EU557:EU570" si="938">IF(i_eff_inputs_based_on_num=2,DW557,AL319)</f>
        <v>No</v>
      </c>
      <c r="EV557" s="58" t="str">
        <f t="shared" ref="EV557:EV570" si="939">IF(i_eff_inputs_based_on_num=2,DX557,AM319)</f>
        <v xml:space="preserve">Post progression survival </v>
      </c>
      <c r="EW557" s="58">
        <f t="shared" ref="EW557:EW570" si="940">IF(i_eff_inputs_based_on_num=2,DY557,AN319)</f>
        <v>0</v>
      </c>
      <c r="EX557" s="58">
        <f t="shared" ref="EX557:EX570" si="941">IF(i_eff_inputs_based_on_num=2,DZ557,AO319)</f>
        <v>0</v>
      </c>
      <c r="EZ557" s="58">
        <f t="shared" ref="EZ557:EZ570" si="942">IF(i_eff_inputs_based_on_num=2,EB557,VLOOKUP(AP319,r_pld_lookup_line,3,FALSE))</f>
        <v>0</v>
      </c>
      <c r="FA557" s="58">
        <f t="shared" ref="FA557:FA570" si="943">IF(i_eff_inputs_based_on_num=2,EC557,VLOOKUP(AQ319,r_pld_lookup_line,3,FALSE))</f>
        <v>3</v>
      </c>
      <c r="FB557" s="58">
        <f>IF(i_eff_inputs_based_on_num=2,ED557,(INDEX(Lists!$L$51:$L$85,MATCH(AR319,Lists!$K$51:$K$85,0))))</f>
        <v>999</v>
      </c>
      <c r="FC557" s="58">
        <f>IF(i_eff_inputs_based_on_num=2,EE557,(INDEX(Lists!$L$51:$L$85,MATCH(AS319,Lists!$K$51:$K$85,0))))</f>
        <v>2</v>
      </c>
      <c r="FD557" s="58">
        <f>IF(i_eff_inputs_based_on_num=2,EF557,(INDEX(Lists!$L$51:$L$85,MATCH(AT319,Lists!$K$51:$K$85,0))))</f>
        <v>4</v>
      </c>
      <c r="FG557" s="58" t="str">
        <f t="shared" ref="FG557:FG570" si="944">IF(i_eff_inputs_based_on_num=2,EI557,AL319)</f>
        <v>No</v>
      </c>
      <c r="FH557" s="58" t="str">
        <f t="shared" ref="FH557:FH570" si="945">IF(i_eff_inputs_based_on_num=2,EJ557,AM319)</f>
        <v xml:space="preserve">Post progression survival </v>
      </c>
      <c r="FI557" s="58">
        <f t="shared" ref="FI557:FI570" si="946">IF(i_eff_inputs_based_on_num=2,EK557,AN319)</f>
        <v>0</v>
      </c>
      <c r="FJ557" s="58">
        <f t="shared" ref="FJ557:FJ570" si="947">IF(i_eff_inputs_based_on_num=2,EL557,AO319)</f>
        <v>0</v>
      </c>
      <c r="FL557" s="58">
        <f t="shared" ref="FL557:FL570" si="948">IF(i_eff_inputs_based_on_num=2,EN557,VLOOKUP(AP319,r_pld_lookup_line,3,FALSE))</f>
        <v>0</v>
      </c>
      <c r="FM557" s="58">
        <f t="shared" ref="FM557:FM570" si="949">IF(i_eff_inputs_based_on_num=2,EO557,VLOOKUP(AQ319,r_pld_lookup_line,3,FALSE))</f>
        <v>3</v>
      </c>
      <c r="FN557" s="58">
        <f>IF(i_eff_inputs_based_on_num=2,EP557,(INDEX(Lists!$L$51:$L$85,MATCH(AR319,Lists!$K$51:$K$85,0))))</f>
        <v>999</v>
      </c>
      <c r="FO557" s="58">
        <f>IF(i_eff_inputs_based_on_num=2,EQ557,(INDEX(Lists!$L$51:$L$85,MATCH(AS319,Lists!$K$51:$K$85,0))))</f>
        <v>2</v>
      </c>
      <c r="FP557" s="58">
        <f>IF(i_eff_inputs_based_on_num=2,ER557,(INDEX(Lists!$L$51:$L$85,MATCH(AT319,Lists!$K$51:$K$85,0))))</f>
        <v>4</v>
      </c>
      <c r="FT557" s="58">
        <f t="shared" si="855"/>
        <v>0</v>
      </c>
      <c r="FW557" s="58">
        <f>IF(i_baseline_risk_from=2,'Effectiveness settings'!EW557,'Effectiveness settings'!FI557)</f>
        <v>0</v>
      </c>
      <c r="FX557" s="58">
        <f t="shared" si="856"/>
        <v>0</v>
      </c>
      <c r="FY557" s="58">
        <f t="shared" si="857"/>
        <v>0</v>
      </c>
      <c r="FZ557" s="58">
        <f t="shared" si="858"/>
        <v>0</v>
      </c>
      <c r="GA557" s="58">
        <f t="shared" si="859"/>
        <v>0</v>
      </c>
      <c r="GB557" s="58">
        <f t="shared" si="860"/>
        <v>0</v>
      </c>
      <c r="GC557" s="58">
        <f t="shared" si="861"/>
        <v>0</v>
      </c>
      <c r="GD557" s="58">
        <f t="shared" si="862"/>
        <v>0</v>
      </c>
      <c r="GE557" s="58">
        <f>IF(AND(dd_CheckMate214_TTD="Yes",'Effectiveness settings'!BU557=2,'Effectiveness settings'!BX557=2),"Apply HR to",GD557)</f>
        <v>0</v>
      </c>
      <c r="GF557" s="58">
        <f t="shared" si="863"/>
        <v>0</v>
      </c>
      <c r="GG557" s="58">
        <f t="shared" si="864"/>
        <v>0</v>
      </c>
      <c r="GH557" s="58">
        <f t="shared" si="865"/>
        <v>0</v>
      </c>
      <c r="GI557" s="58">
        <f t="shared" si="851"/>
        <v>0</v>
      </c>
      <c r="GK557" s="58">
        <f>IF(i_baseline_risk_from=2,'Effectiveness settings'!FA557,'Effectiveness settings'!FM557)</f>
        <v>3</v>
      </c>
      <c r="GL557" s="58">
        <f>IF(i_baseline_risk_from=2,'Effectiveness settings'!FB557,'Effectiveness settings'!FN557)</f>
        <v>999</v>
      </c>
      <c r="GM557" s="58">
        <f>IF(i_baseline_risk_from=2,'Effectiveness settings'!FC557,'Effectiveness settings'!FO557)</f>
        <v>2</v>
      </c>
      <c r="GN557" s="58">
        <f>IF(i_baseline_risk_from=2,'Effectiveness settings'!FD557,'Effectiveness settings'!FP557)</f>
        <v>4</v>
      </c>
      <c r="GQ557" s="58">
        <f t="shared" si="866"/>
        <v>999</v>
      </c>
      <c r="GR557" s="58">
        <f t="shared" si="867"/>
        <v>999</v>
      </c>
      <c r="GS557" s="58">
        <f t="shared" si="868"/>
        <v>999</v>
      </c>
      <c r="GT557" s="58">
        <f t="shared" si="869"/>
        <v>999</v>
      </c>
      <c r="GU557" s="58">
        <f>IF(AND(dd_CheckMate214_TTD="Yes",'Effectiveness settings'!BU557=2,'Effectiveness settings'!BX557=2),2,GT557)</f>
        <v>999</v>
      </c>
      <c r="GV557" s="58">
        <f t="shared" si="870"/>
        <v>999</v>
      </c>
      <c r="GW557" s="58">
        <f t="shared" si="871"/>
        <v>999</v>
      </c>
      <c r="GY557" s="58">
        <f>IF(AND(dd_CheckMate214_TTD="Yes",'Effectiveness settings'!BU557=2,'Effectiveness settings'!BX557=2),1,GN557)</f>
        <v>4</v>
      </c>
      <c r="GZ557" s="58">
        <f t="shared" si="872"/>
        <v>4</v>
      </c>
      <c r="HB557" s="58">
        <f t="shared" si="873"/>
        <v>0</v>
      </c>
      <c r="HD557" s="58">
        <f t="shared" si="846"/>
        <v>0</v>
      </c>
      <c r="HE557" s="58">
        <f t="shared" si="847"/>
        <v>3</v>
      </c>
      <c r="HF557" s="58">
        <f t="shared" si="848"/>
        <v>999</v>
      </c>
      <c r="HG557" s="58">
        <f t="shared" si="849"/>
        <v>2</v>
      </c>
      <c r="HH557" s="58">
        <f t="shared" si="850"/>
        <v>4</v>
      </c>
    </row>
    <row r="558" spans="69:216" ht="15.75" x14ac:dyDescent="0.25">
      <c r="BQ558" s="58">
        <f t="shared" si="853"/>
        <v>338</v>
      </c>
      <c r="BR558" s="61">
        <v>0</v>
      </c>
      <c r="BS558" s="61" t="s">
        <v>31</v>
      </c>
      <c r="BT558" s="17">
        <v>3</v>
      </c>
      <c r="BU558" s="17">
        <v>1</v>
      </c>
      <c r="BV558" s="17" t="str">
        <f t="shared" si="926"/>
        <v>cabozantinib_plus_nivolumab</v>
      </c>
      <c r="BW558" s="1006" t="str" cm="1">
        <f t="array" ref="BW558">IF(AL320="No",AL320,INDEX(List_incl_anal_3L_all,IF(BU558=999,35,BU558+1)))</f>
        <v>No</v>
      </c>
      <c r="BX558" s="61">
        <f t="shared" si="927"/>
        <v>4</v>
      </c>
      <c r="BY558" s="531" t="str">
        <f>AM320</f>
        <v>Post progression survival</v>
      </c>
      <c r="BZ558" s="530">
        <f t="shared" si="928"/>
        <v>0</v>
      </c>
      <c r="CA558" s="531">
        <f t="shared" ref="CA558:CA570" si="950">FT558</f>
        <v>0</v>
      </c>
      <c r="CB558" s="530">
        <f t="shared" si="929"/>
        <v>0</v>
      </c>
      <c r="CC558" s="530">
        <f t="shared" si="930"/>
        <v>3</v>
      </c>
      <c r="CD558" s="530">
        <f t="shared" si="931"/>
        <v>999</v>
      </c>
      <c r="CE558" s="1295">
        <f t="shared" si="932"/>
        <v>2</v>
      </c>
      <c r="CF558" s="1301">
        <f t="shared" si="933"/>
        <v>4</v>
      </c>
      <c r="CG558" s="530" t="str">
        <f t="shared" si="934"/>
        <v/>
      </c>
      <c r="CH558" s="505">
        <f t="shared" si="935"/>
        <v>0</v>
      </c>
      <c r="CI558" s="505">
        <f t="shared" si="936"/>
        <v>0</v>
      </c>
      <c r="CJ558" s="505">
        <f t="shared" si="937"/>
        <v>0</v>
      </c>
      <c r="DK558" s="58" t="str" cm="1">
        <f t="array" ref="DK558">IF(AND($BT558=4,$BX558=4,$BU558=999),$DB$36,_xlfn.IFNA(INDEX(DB$13:DB$70,MATCH(1,($BR558=$CV$13:$CV$70)*($BT558=$CX$13:$CX$70)*($CE558=$CY$13:$CY$70)*($BY558=$DA$13:$DA$70)*($CD558=$DH$13:$DH$70),0)),""))</f>
        <v/>
      </c>
      <c r="DL558" s="58" t="str" cm="1">
        <f t="array" ref="DL558">IF(AND($BT558=4,$BX558=4,$BU558=999),$DC$36,_xlfn.IFNA(INDEX(CHOOSE(DP558,DB$13:DB$70,DC$13:DC$70,DD$13:DD$70,DE$13:DE$70),MATCH(1,($BR558=$CV$13:$CV$70)*($BT558=$CX$13:$CX$70)*($CE558=$CY$13:$CY$70)*($BY558=$DA$13:$DA$70)*($CD558=$DH$13:$DH$70),0)),""))</f>
        <v/>
      </c>
      <c r="DM558" s="740" t="str" cm="1">
        <f t="array" ref="DM558">IF(AND($BT558=4,$BX558=4,$BU558=999),$DD$36,_xlfn.IFNA(INDEX(DD$13:DD$68,MATCH(1,($BR558=$CV$13:$CV$68)*($BT558=$CX$13:$CX$68)*($CE558=$CY$13:$CY$68)*($BY558=$DA$13:$DA$68)*($CD558=$DH$13:$DH$68),0)),""))</f>
        <v/>
      </c>
      <c r="DN558" s="740" t="str" cm="1">
        <f t="array" ref="DN558">IF(AND($BT558=4,$BX558=4,$BU558=999),$DD$36,_xlfn.IFNA(INDEX(DE$13:DE$68,MATCH(1,($BR558=$CV$13:$CV$68)*($BT558=$CX$13:$CX$68)*($CE558=$CY$13:$CY$68)*($BY558=$DA$13:$DA$68)*($CD558=$DH$13:$DH$68),0)),""))</f>
        <v/>
      </c>
      <c r="DO558" s="58" t="str" cm="1">
        <f t="array" ref="DO558">IF(AND($BT558=4,$BX558=4,$BU558=999),$DF$36,_xlfn.IFNA(INDEX(DF$13:DF$70,MATCH(1,($BR558=$CV$13:$CV$70)*($BT558=$CX$13:$CX$70)*($CE558=$CY$13:$CY$70)*($BY558=$DA$13:$DA$70)*($CD558=$DH$13:$DH$70),0)),""))</f>
        <v/>
      </c>
      <c r="DP558" s="58" t="e">
        <f t="shared" si="854"/>
        <v>#N/A</v>
      </c>
      <c r="DW558" s="58" t="s">
        <v>58</v>
      </c>
      <c r="DX558" s="58" t="s">
        <v>617</v>
      </c>
      <c r="DY558" s="58">
        <v>0</v>
      </c>
      <c r="DZ558" s="58">
        <v>0</v>
      </c>
      <c r="EB558" s="58">
        <v>0</v>
      </c>
      <c r="EC558" s="58">
        <v>3</v>
      </c>
      <c r="ED558" s="58">
        <v>999</v>
      </c>
      <c r="EE558" s="58">
        <v>2</v>
      </c>
      <c r="EF558" s="58">
        <v>4</v>
      </c>
      <c r="EI558" s="58" t="s">
        <v>58</v>
      </c>
      <c r="EJ558" s="58" t="s">
        <v>617</v>
      </c>
      <c r="EK558" s="58">
        <v>0</v>
      </c>
      <c r="EL558" s="58">
        <v>0</v>
      </c>
      <c r="EN558" s="58">
        <v>0</v>
      </c>
      <c r="EO558" s="58">
        <v>3</v>
      </c>
      <c r="EP558" s="58">
        <v>999</v>
      </c>
      <c r="EQ558" s="58">
        <v>2</v>
      </c>
      <c r="ER558" s="58">
        <v>4</v>
      </c>
      <c r="EU558" s="58" t="str">
        <f t="shared" si="938"/>
        <v>No</v>
      </c>
      <c r="EV558" s="58" t="str">
        <f t="shared" si="939"/>
        <v xml:space="preserve">Post progression survival </v>
      </c>
      <c r="EW558" s="58">
        <f t="shared" si="940"/>
        <v>0</v>
      </c>
      <c r="EX558" s="58">
        <f t="shared" si="941"/>
        <v>0</v>
      </c>
      <c r="EZ558" s="58">
        <f t="shared" si="942"/>
        <v>0</v>
      </c>
      <c r="FA558" s="58">
        <f t="shared" si="943"/>
        <v>3</v>
      </c>
      <c r="FB558" s="58">
        <f>IF(i_eff_inputs_based_on_num=2,ED558,(INDEX(Lists!$L$51:$L$85,MATCH(AR320,Lists!$K$51:$K$85,0))))</f>
        <v>999</v>
      </c>
      <c r="FC558" s="58">
        <f>IF(i_eff_inputs_based_on_num=2,EE558,(INDEX(Lists!$L$51:$L$85,MATCH(AS320,Lists!$K$51:$K$85,0))))</f>
        <v>2</v>
      </c>
      <c r="FD558" s="58">
        <f>IF(i_eff_inputs_based_on_num=2,EF558,(INDEX(Lists!$L$51:$L$85,MATCH(AT320,Lists!$K$51:$K$85,0))))</f>
        <v>4</v>
      </c>
      <c r="FG558" s="58" t="str">
        <f t="shared" si="944"/>
        <v>No</v>
      </c>
      <c r="FH558" s="58" t="str">
        <f t="shared" si="945"/>
        <v xml:space="preserve">Post progression survival </v>
      </c>
      <c r="FI558" s="58">
        <f t="shared" si="946"/>
        <v>0</v>
      </c>
      <c r="FJ558" s="58">
        <f t="shared" si="947"/>
        <v>0</v>
      </c>
      <c r="FL558" s="58">
        <f t="shared" si="948"/>
        <v>0</v>
      </c>
      <c r="FM558" s="58">
        <f t="shared" si="949"/>
        <v>3</v>
      </c>
      <c r="FN558" s="58">
        <f>IF(i_eff_inputs_based_on_num=2,EP558,(INDEX(Lists!$L$51:$L$85,MATCH(AR320,Lists!$K$51:$K$85,0))))</f>
        <v>999</v>
      </c>
      <c r="FO558" s="58">
        <f>IF(i_eff_inputs_based_on_num=2,EQ558,(INDEX(Lists!$L$51:$L$85,MATCH(AS320,Lists!$K$51:$K$85,0))))</f>
        <v>2</v>
      </c>
      <c r="FP558" s="58">
        <f>IF(i_eff_inputs_based_on_num=2,ER558,(INDEX(Lists!$L$51:$L$85,MATCH(AT320,Lists!$K$51:$K$85,0))))</f>
        <v>4</v>
      </c>
      <c r="FT558" s="58">
        <f t="shared" si="855"/>
        <v>0</v>
      </c>
      <c r="FW558" s="58">
        <f>IF(i_baseline_risk_from=2,'Effectiveness settings'!EW558,'Effectiveness settings'!FI558)</f>
        <v>0</v>
      </c>
      <c r="FX558" s="58">
        <f t="shared" si="856"/>
        <v>0</v>
      </c>
      <c r="FY558" s="58">
        <f t="shared" si="857"/>
        <v>0</v>
      </c>
      <c r="FZ558" s="58">
        <f t="shared" si="858"/>
        <v>0</v>
      </c>
      <c r="GA558" s="58">
        <f t="shared" si="859"/>
        <v>0</v>
      </c>
      <c r="GB558" s="58">
        <f t="shared" si="860"/>
        <v>0</v>
      </c>
      <c r="GC558" s="58">
        <f t="shared" si="861"/>
        <v>0</v>
      </c>
      <c r="GD558" s="58">
        <f t="shared" si="862"/>
        <v>0</v>
      </c>
      <c r="GE558" s="58">
        <f>IF(AND(dd_CheckMate214_TTD="Yes",'Effectiveness settings'!BU558=2,'Effectiveness settings'!BX558=2),"Apply HR to",GD558)</f>
        <v>0</v>
      </c>
      <c r="GF558" s="58">
        <f t="shared" si="863"/>
        <v>0</v>
      </c>
      <c r="GG558" s="58">
        <f t="shared" si="864"/>
        <v>0</v>
      </c>
      <c r="GH558" s="58">
        <f t="shared" si="865"/>
        <v>0</v>
      </c>
      <c r="GI558" s="58">
        <f t="shared" si="851"/>
        <v>0</v>
      </c>
      <c r="GK558" s="58">
        <f>IF(i_baseline_risk_from=2,'Effectiveness settings'!FA558,'Effectiveness settings'!FM558)</f>
        <v>3</v>
      </c>
      <c r="GL558" s="58">
        <f>IF(i_baseline_risk_from=2,'Effectiveness settings'!FB558,'Effectiveness settings'!FN558)</f>
        <v>999</v>
      </c>
      <c r="GM558" s="58">
        <f>IF(i_baseline_risk_from=2,'Effectiveness settings'!FC558,'Effectiveness settings'!FO558)</f>
        <v>2</v>
      </c>
      <c r="GN558" s="58">
        <f>IF(i_baseline_risk_from=2,'Effectiveness settings'!FD558,'Effectiveness settings'!FP558)</f>
        <v>4</v>
      </c>
      <c r="GQ558" s="58">
        <f t="shared" si="866"/>
        <v>999</v>
      </c>
      <c r="GR558" s="58">
        <f t="shared" si="867"/>
        <v>999</v>
      </c>
      <c r="GS558" s="58">
        <f t="shared" si="868"/>
        <v>999</v>
      </c>
      <c r="GT558" s="58">
        <f t="shared" si="869"/>
        <v>999</v>
      </c>
      <c r="GU558" s="58">
        <f>IF(AND(dd_CheckMate214_TTD="Yes",'Effectiveness settings'!BU558=2,'Effectiveness settings'!BX558=2),2,GT558)</f>
        <v>999</v>
      </c>
      <c r="GV558" s="58">
        <f t="shared" si="870"/>
        <v>999</v>
      </c>
      <c r="GW558" s="58">
        <f t="shared" si="871"/>
        <v>999</v>
      </c>
      <c r="GY558" s="58">
        <f>IF(AND(dd_CheckMate214_TTD="Yes",'Effectiveness settings'!BU558=2,'Effectiveness settings'!BX558=2),1,GN558)</f>
        <v>4</v>
      </c>
      <c r="GZ558" s="58">
        <f t="shared" si="872"/>
        <v>4</v>
      </c>
      <c r="HB558" s="58">
        <f t="shared" si="873"/>
        <v>0</v>
      </c>
      <c r="HD558" s="58">
        <f t="shared" si="846"/>
        <v>0</v>
      </c>
      <c r="HE558" s="58">
        <f t="shared" si="847"/>
        <v>3</v>
      </c>
      <c r="HF558" s="58">
        <f t="shared" si="848"/>
        <v>999</v>
      </c>
      <c r="HG558" s="58">
        <f t="shared" si="849"/>
        <v>2</v>
      </c>
      <c r="HH558" s="58">
        <f t="shared" si="850"/>
        <v>4</v>
      </c>
    </row>
    <row r="559" spans="69:216" ht="15.75" x14ac:dyDescent="0.25">
      <c r="BQ559" s="58">
        <f t="shared" si="853"/>
        <v>339</v>
      </c>
      <c r="BR559" s="61">
        <v>0</v>
      </c>
      <c r="BS559" s="61" t="s">
        <v>31</v>
      </c>
      <c r="BT559" s="17">
        <v>3</v>
      </c>
      <c r="BU559" s="17">
        <v>2</v>
      </c>
      <c r="BV559" s="17" t="str">
        <f t="shared" si="926"/>
        <v>nivolumab_plus_ipilimumab</v>
      </c>
      <c r="BW559" s="1006" t="str" cm="1">
        <f t="array" ref="BW559">IF(AL321="No",AL321,INDEX(List_incl_anal_3L_all,IF(BU559=999,35,BU559+1)))</f>
        <v>No</v>
      </c>
      <c r="BX559" s="61">
        <f t="shared" si="927"/>
        <v>4</v>
      </c>
      <c r="BY559" s="531" t="str">
        <f>AM321</f>
        <v>Post progression survival</v>
      </c>
      <c r="BZ559" s="530">
        <f t="shared" si="928"/>
        <v>0</v>
      </c>
      <c r="CA559" s="531">
        <f t="shared" si="950"/>
        <v>0</v>
      </c>
      <c r="CB559" s="530">
        <f t="shared" si="929"/>
        <v>0</v>
      </c>
      <c r="CC559" s="530">
        <f t="shared" si="930"/>
        <v>3</v>
      </c>
      <c r="CD559" s="530">
        <f t="shared" si="931"/>
        <v>999</v>
      </c>
      <c r="CE559" s="1295">
        <f t="shared" si="932"/>
        <v>2</v>
      </c>
      <c r="CF559" s="1301">
        <f t="shared" si="933"/>
        <v>4</v>
      </c>
      <c r="CG559" s="530" t="str">
        <f t="shared" si="934"/>
        <v/>
      </c>
      <c r="CH559" s="505">
        <f t="shared" si="935"/>
        <v>0</v>
      </c>
      <c r="CI559" s="505">
        <f t="shared" si="936"/>
        <v>0</v>
      </c>
      <c r="CJ559" s="505">
        <f t="shared" si="937"/>
        <v>0</v>
      </c>
      <c r="DK559" s="58" t="str" cm="1">
        <f t="array" ref="DK559">IF(AND($BT559=4,$BX559=4,$BU559=999),$DB$36,_xlfn.IFNA(INDEX(DB$13:DB$70,MATCH(1,($BR559=$CV$13:$CV$70)*($BT559=$CX$13:$CX$70)*($CE559=$CY$13:$CY$70)*($BY559=$DA$13:$DA$70)*($CD559=$DH$13:$DH$70),0)),""))</f>
        <v/>
      </c>
      <c r="DL559" s="58" t="str" cm="1">
        <f t="array" ref="DL559">IF(AND($BT559=4,$BX559=4,$BU559=999),$DC$36,_xlfn.IFNA(INDEX(CHOOSE(DP559,DB$13:DB$70,DC$13:DC$70,DD$13:DD$70,DE$13:DE$70),MATCH(1,($BR559=$CV$13:$CV$70)*($BT559=$CX$13:$CX$70)*($CE559=$CY$13:$CY$70)*($BY559=$DA$13:$DA$70)*($CD559=$DH$13:$DH$70),0)),""))</f>
        <v/>
      </c>
      <c r="DM559" s="740" t="str" cm="1">
        <f t="array" ref="DM559">IF(AND($BT559=4,$BX559=4,$BU559=999),$DD$36,_xlfn.IFNA(INDEX(DD$13:DD$68,MATCH(1,($BR559=$CV$13:$CV$68)*($BT559=$CX$13:$CX$68)*($CE559=$CY$13:$CY$68)*($BY559=$DA$13:$DA$68)*($CD559=$DH$13:$DH$68),0)),""))</f>
        <v/>
      </c>
      <c r="DN559" s="740" t="str" cm="1">
        <f t="array" ref="DN559">IF(AND($BT559=4,$BX559=4,$BU559=999),$DD$36,_xlfn.IFNA(INDEX(DE$13:DE$68,MATCH(1,($BR559=$CV$13:$CV$68)*($BT559=$CX$13:$CX$68)*($CE559=$CY$13:$CY$68)*($BY559=$DA$13:$DA$68)*($CD559=$DH$13:$DH$68),0)),""))</f>
        <v/>
      </c>
      <c r="DO559" s="58" t="str" cm="1">
        <f t="array" ref="DO559">IF(AND($BT559=4,$BX559=4,$BU559=999),$DF$36,_xlfn.IFNA(INDEX(DF$13:DF$70,MATCH(1,($BR559=$CV$13:$CV$70)*($BT559=$CX$13:$CX$70)*($CE559=$CY$13:$CY$70)*($BY559=$DA$13:$DA$70)*($CD559=$DH$13:$DH$70),0)),""))</f>
        <v/>
      </c>
      <c r="DP559" s="58" t="e">
        <f t="shared" si="854"/>
        <v>#N/A</v>
      </c>
      <c r="DW559" s="58" t="s">
        <v>58</v>
      </c>
      <c r="DX559" s="58" t="s">
        <v>617</v>
      </c>
      <c r="DY559" s="58">
        <v>0</v>
      </c>
      <c r="DZ559" s="58">
        <v>0</v>
      </c>
      <c r="EB559" s="58">
        <v>0</v>
      </c>
      <c r="EC559" s="58">
        <v>3</v>
      </c>
      <c r="ED559" s="58">
        <v>999</v>
      </c>
      <c r="EE559" s="58">
        <v>2</v>
      </c>
      <c r="EF559" s="58">
        <v>4</v>
      </c>
      <c r="EI559" s="58" t="s">
        <v>58</v>
      </c>
      <c r="EJ559" s="58" t="s">
        <v>617</v>
      </c>
      <c r="EK559" s="58">
        <v>0</v>
      </c>
      <c r="EL559" s="58">
        <v>0</v>
      </c>
      <c r="EN559" s="58">
        <v>0</v>
      </c>
      <c r="EO559" s="58">
        <v>3</v>
      </c>
      <c r="EP559" s="58">
        <v>999</v>
      </c>
      <c r="EQ559" s="58">
        <v>2</v>
      </c>
      <c r="ER559" s="58">
        <v>4</v>
      </c>
      <c r="EU559" s="58" t="str">
        <f t="shared" si="938"/>
        <v>No</v>
      </c>
      <c r="EV559" s="58" t="str">
        <f t="shared" si="939"/>
        <v xml:space="preserve">Post progression survival </v>
      </c>
      <c r="EW559" s="58">
        <f t="shared" si="940"/>
        <v>0</v>
      </c>
      <c r="EX559" s="58">
        <f t="shared" si="941"/>
        <v>0</v>
      </c>
      <c r="EZ559" s="58">
        <f t="shared" si="942"/>
        <v>0</v>
      </c>
      <c r="FA559" s="58">
        <f t="shared" si="943"/>
        <v>3</v>
      </c>
      <c r="FB559" s="58">
        <f>IF(i_eff_inputs_based_on_num=2,ED559,(INDEX(Lists!$L$51:$L$85,MATCH(AR321,Lists!$K$51:$K$85,0))))</f>
        <v>999</v>
      </c>
      <c r="FC559" s="58">
        <f>IF(i_eff_inputs_based_on_num=2,EE559,(INDEX(Lists!$L$51:$L$85,MATCH(AS321,Lists!$K$51:$K$85,0))))</f>
        <v>2</v>
      </c>
      <c r="FD559" s="58">
        <f>IF(i_eff_inputs_based_on_num=2,EF559,(INDEX(Lists!$L$51:$L$85,MATCH(AT321,Lists!$K$51:$K$85,0))))</f>
        <v>4</v>
      </c>
      <c r="FG559" s="58" t="str">
        <f t="shared" si="944"/>
        <v>No</v>
      </c>
      <c r="FH559" s="58" t="str">
        <f t="shared" si="945"/>
        <v xml:space="preserve">Post progression survival </v>
      </c>
      <c r="FI559" s="58">
        <f t="shared" si="946"/>
        <v>0</v>
      </c>
      <c r="FJ559" s="58">
        <f t="shared" si="947"/>
        <v>0</v>
      </c>
      <c r="FL559" s="58">
        <f t="shared" si="948"/>
        <v>0</v>
      </c>
      <c r="FM559" s="58">
        <f t="shared" si="949"/>
        <v>3</v>
      </c>
      <c r="FN559" s="58">
        <f>IF(i_eff_inputs_based_on_num=2,EP559,(INDEX(Lists!$L$51:$L$85,MATCH(AR321,Lists!$K$51:$K$85,0))))</f>
        <v>999</v>
      </c>
      <c r="FO559" s="58">
        <f>IF(i_eff_inputs_based_on_num=2,EQ559,(INDEX(Lists!$L$51:$L$85,MATCH(AS321,Lists!$K$51:$K$85,0))))</f>
        <v>2</v>
      </c>
      <c r="FP559" s="58">
        <f>IF(i_eff_inputs_based_on_num=2,ER559,(INDEX(Lists!$L$51:$L$85,MATCH(AT321,Lists!$K$51:$K$85,0))))</f>
        <v>4</v>
      </c>
      <c r="FT559" s="58">
        <f t="shared" si="855"/>
        <v>0</v>
      </c>
      <c r="FW559" s="58">
        <f>IF(i_baseline_risk_from=2,'Effectiveness settings'!EW559,'Effectiveness settings'!FI559)</f>
        <v>0</v>
      </c>
      <c r="FX559" s="58">
        <f t="shared" si="856"/>
        <v>0</v>
      </c>
      <c r="FY559" s="58">
        <f t="shared" si="857"/>
        <v>0</v>
      </c>
      <c r="FZ559" s="58">
        <f t="shared" si="858"/>
        <v>0</v>
      </c>
      <c r="GA559" s="58">
        <f t="shared" si="859"/>
        <v>0</v>
      </c>
      <c r="GB559" s="58">
        <f t="shared" si="860"/>
        <v>0</v>
      </c>
      <c r="GC559" s="58">
        <f t="shared" si="861"/>
        <v>0</v>
      </c>
      <c r="GD559" s="58">
        <f t="shared" si="862"/>
        <v>0</v>
      </c>
      <c r="GE559" s="58">
        <f>IF(AND(dd_CheckMate214_TTD="Yes",'Effectiveness settings'!BU559=2,'Effectiveness settings'!BX559=2),"Apply HR to",GD559)</f>
        <v>0</v>
      </c>
      <c r="GF559" s="58">
        <f t="shared" si="863"/>
        <v>0</v>
      </c>
      <c r="GG559" s="58">
        <f t="shared" si="864"/>
        <v>0</v>
      </c>
      <c r="GH559" s="58">
        <f t="shared" si="865"/>
        <v>0</v>
      </c>
      <c r="GI559" s="58">
        <f t="shared" si="851"/>
        <v>0</v>
      </c>
      <c r="GK559" s="58">
        <f>IF(i_baseline_risk_from=2,'Effectiveness settings'!FA559,'Effectiveness settings'!FM559)</f>
        <v>3</v>
      </c>
      <c r="GL559" s="58">
        <f>IF(i_baseline_risk_from=2,'Effectiveness settings'!FB559,'Effectiveness settings'!FN559)</f>
        <v>999</v>
      </c>
      <c r="GM559" s="58">
        <f>IF(i_baseline_risk_from=2,'Effectiveness settings'!FC559,'Effectiveness settings'!FO559)</f>
        <v>2</v>
      </c>
      <c r="GN559" s="58">
        <f>IF(i_baseline_risk_from=2,'Effectiveness settings'!FD559,'Effectiveness settings'!FP559)</f>
        <v>4</v>
      </c>
      <c r="GQ559" s="58">
        <f t="shared" si="866"/>
        <v>999</v>
      </c>
      <c r="GR559" s="58">
        <f t="shared" si="867"/>
        <v>999</v>
      </c>
      <c r="GS559" s="58">
        <f t="shared" si="868"/>
        <v>999</v>
      </c>
      <c r="GT559" s="58">
        <f t="shared" si="869"/>
        <v>999</v>
      </c>
      <c r="GU559" s="58">
        <f>IF(AND(dd_CheckMate214_TTD="Yes",'Effectiveness settings'!BU559=2,'Effectiveness settings'!BX559=2),2,GT559)</f>
        <v>999</v>
      </c>
      <c r="GV559" s="58">
        <f t="shared" si="870"/>
        <v>999</v>
      </c>
      <c r="GW559" s="58">
        <f t="shared" si="871"/>
        <v>999</v>
      </c>
      <c r="GY559" s="58">
        <f>IF(AND(dd_CheckMate214_TTD="Yes",'Effectiveness settings'!BU559=2,'Effectiveness settings'!BX559=2),1,GN559)</f>
        <v>4</v>
      </c>
      <c r="GZ559" s="58">
        <f t="shared" si="872"/>
        <v>4</v>
      </c>
      <c r="HB559" s="58">
        <f t="shared" si="873"/>
        <v>0</v>
      </c>
      <c r="HD559" s="58">
        <f t="shared" si="846"/>
        <v>0</v>
      </c>
      <c r="HE559" s="58">
        <f t="shared" si="847"/>
        <v>3</v>
      </c>
      <c r="HF559" s="58">
        <f t="shared" si="848"/>
        <v>999</v>
      </c>
      <c r="HG559" s="58">
        <f t="shared" si="849"/>
        <v>2</v>
      </c>
      <c r="HH559" s="58">
        <f t="shared" si="850"/>
        <v>4</v>
      </c>
    </row>
    <row r="560" spans="69:216" ht="15.75" x14ac:dyDescent="0.25">
      <c r="BQ560" s="58">
        <f t="shared" si="853"/>
        <v>340</v>
      </c>
      <c r="BR560" s="61">
        <v>0</v>
      </c>
      <c r="BS560" s="61" t="s">
        <v>31</v>
      </c>
      <c r="BT560" s="17">
        <v>3</v>
      </c>
      <c r="BU560" s="17">
        <v>3</v>
      </c>
      <c r="BV560" s="17" t="str">
        <f t="shared" si="926"/>
        <v>lenvatinib_plus_pembrolizumab</v>
      </c>
      <c r="BW560" s="1006" t="str" cm="1">
        <f t="array" ref="BW560">IF(AL322="No",AL322,INDEX(List_incl_anal_3L_all,IF(BU560=999,35,BU560+1)))</f>
        <v>No</v>
      </c>
      <c r="BX560" s="61">
        <f t="shared" si="927"/>
        <v>4</v>
      </c>
      <c r="BY560" s="531" t="str">
        <f>AM322</f>
        <v>Post progression survival</v>
      </c>
      <c r="BZ560" s="530">
        <f t="shared" si="928"/>
        <v>0</v>
      </c>
      <c r="CA560" s="531">
        <f t="shared" si="950"/>
        <v>0</v>
      </c>
      <c r="CB560" s="530">
        <f t="shared" si="929"/>
        <v>0</v>
      </c>
      <c r="CC560" s="530">
        <f t="shared" si="930"/>
        <v>3</v>
      </c>
      <c r="CD560" s="530">
        <f t="shared" si="931"/>
        <v>999</v>
      </c>
      <c r="CE560" s="1295">
        <f t="shared" si="932"/>
        <v>2</v>
      </c>
      <c r="CF560" s="1301">
        <f t="shared" si="933"/>
        <v>4</v>
      </c>
      <c r="CG560" s="530" t="str">
        <f t="shared" si="934"/>
        <v/>
      </c>
      <c r="CH560" s="505">
        <f t="shared" si="935"/>
        <v>0</v>
      </c>
      <c r="CI560" s="505">
        <f t="shared" si="936"/>
        <v>0</v>
      </c>
      <c r="CJ560" s="505">
        <f t="shared" si="937"/>
        <v>0</v>
      </c>
      <c r="DK560" s="58" t="str" cm="1">
        <f t="array" ref="DK560">IF(AND($BT560=4,$BX560=4,$BU560=999),$DB$36,_xlfn.IFNA(INDEX(DB$13:DB$70,MATCH(1,($BR560=$CV$13:$CV$70)*($BT560=$CX$13:$CX$70)*($CE560=$CY$13:$CY$70)*($BY560=$DA$13:$DA$70)*($CD560=$DH$13:$DH$70),0)),""))</f>
        <v/>
      </c>
      <c r="DL560" s="58" t="str" cm="1">
        <f t="array" ref="DL560">IF(AND($BT560=4,$BX560=4,$BU560=999),$DC$36,_xlfn.IFNA(INDEX(CHOOSE(DP560,DB$13:DB$70,DC$13:DC$70,DD$13:DD$70,DE$13:DE$70),MATCH(1,($BR560=$CV$13:$CV$70)*($BT560=$CX$13:$CX$70)*($CE560=$CY$13:$CY$70)*($BY560=$DA$13:$DA$70)*($CD560=$DH$13:$DH$70),0)),""))</f>
        <v/>
      </c>
      <c r="DM560" s="740" t="str" cm="1">
        <f t="array" ref="DM560">IF(AND($BT560=4,$BX560=4,$BU560=999),$DD$36,_xlfn.IFNA(INDEX(DD$13:DD$68,MATCH(1,($BR560=$CV$13:$CV$68)*($BT560=$CX$13:$CX$68)*($CE560=$CY$13:$CY$68)*($BY560=$DA$13:$DA$68)*($CD560=$DH$13:$DH$68),0)),""))</f>
        <v/>
      </c>
      <c r="DN560" s="740" t="str" cm="1">
        <f t="array" ref="DN560">IF(AND($BT560=4,$BX560=4,$BU560=999),$DD$36,_xlfn.IFNA(INDEX(DE$13:DE$68,MATCH(1,($BR560=$CV$13:$CV$68)*($BT560=$CX$13:$CX$68)*($CE560=$CY$13:$CY$68)*($BY560=$DA$13:$DA$68)*($CD560=$DH$13:$DH$68),0)),""))</f>
        <v/>
      </c>
      <c r="DO560" s="58" t="str" cm="1">
        <f t="array" ref="DO560">IF(AND($BT560=4,$BX560=4,$BU560=999),$DF$36,_xlfn.IFNA(INDEX(DF$13:DF$70,MATCH(1,($BR560=$CV$13:$CV$70)*($BT560=$CX$13:$CX$70)*($CE560=$CY$13:$CY$70)*($BY560=$DA$13:$DA$70)*($CD560=$DH$13:$DH$70),0)),""))</f>
        <v/>
      </c>
      <c r="DP560" s="58" t="e">
        <f t="shared" si="854"/>
        <v>#N/A</v>
      </c>
      <c r="DW560" s="58" t="s">
        <v>58</v>
      </c>
      <c r="DX560" s="58" t="s">
        <v>617</v>
      </c>
      <c r="DY560" s="58">
        <v>0</v>
      </c>
      <c r="DZ560" s="58">
        <v>0</v>
      </c>
      <c r="EB560" s="58">
        <v>0</v>
      </c>
      <c r="EC560" s="58">
        <v>3</v>
      </c>
      <c r="ED560" s="58">
        <v>999</v>
      </c>
      <c r="EE560" s="58">
        <v>2</v>
      </c>
      <c r="EF560" s="58">
        <v>4</v>
      </c>
      <c r="EI560" s="58" t="s">
        <v>58</v>
      </c>
      <c r="EJ560" s="58" t="s">
        <v>617</v>
      </c>
      <c r="EK560" s="58">
        <v>0</v>
      </c>
      <c r="EL560" s="58">
        <v>0</v>
      </c>
      <c r="EN560" s="58">
        <v>0</v>
      </c>
      <c r="EO560" s="58">
        <v>3</v>
      </c>
      <c r="EP560" s="58">
        <v>999</v>
      </c>
      <c r="EQ560" s="58">
        <v>2</v>
      </c>
      <c r="ER560" s="58">
        <v>4</v>
      </c>
      <c r="EU560" s="58" t="str">
        <f t="shared" si="938"/>
        <v>No</v>
      </c>
      <c r="EV560" s="58" t="str">
        <f t="shared" si="939"/>
        <v xml:space="preserve">Post progression survival </v>
      </c>
      <c r="EW560" s="58">
        <f t="shared" si="940"/>
        <v>0</v>
      </c>
      <c r="EX560" s="58">
        <f t="shared" si="941"/>
        <v>0</v>
      </c>
      <c r="EZ560" s="58">
        <f t="shared" si="942"/>
        <v>0</v>
      </c>
      <c r="FA560" s="58">
        <f t="shared" si="943"/>
        <v>3</v>
      </c>
      <c r="FB560" s="58">
        <f>IF(i_eff_inputs_based_on_num=2,ED560,(INDEX(Lists!$L$51:$L$85,MATCH(AR322,Lists!$K$51:$K$85,0))))</f>
        <v>999</v>
      </c>
      <c r="FC560" s="58">
        <f>IF(i_eff_inputs_based_on_num=2,EE560,(INDEX(Lists!$L$51:$L$85,MATCH(AS322,Lists!$K$51:$K$85,0))))</f>
        <v>2</v>
      </c>
      <c r="FD560" s="58">
        <f>IF(i_eff_inputs_based_on_num=2,EF560,(INDEX(Lists!$L$51:$L$85,MATCH(AT322,Lists!$K$51:$K$85,0))))</f>
        <v>4</v>
      </c>
      <c r="FG560" s="58" t="str">
        <f t="shared" si="944"/>
        <v>No</v>
      </c>
      <c r="FH560" s="58" t="str">
        <f t="shared" si="945"/>
        <v xml:space="preserve">Post progression survival </v>
      </c>
      <c r="FI560" s="58">
        <f t="shared" si="946"/>
        <v>0</v>
      </c>
      <c r="FJ560" s="58">
        <f t="shared" si="947"/>
        <v>0</v>
      </c>
      <c r="FL560" s="58">
        <f t="shared" si="948"/>
        <v>0</v>
      </c>
      <c r="FM560" s="58">
        <f t="shared" si="949"/>
        <v>3</v>
      </c>
      <c r="FN560" s="58">
        <f>IF(i_eff_inputs_based_on_num=2,EP560,(INDEX(Lists!$L$51:$L$85,MATCH(AR322,Lists!$K$51:$K$85,0))))</f>
        <v>999</v>
      </c>
      <c r="FO560" s="58">
        <f>IF(i_eff_inputs_based_on_num=2,EQ560,(INDEX(Lists!$L$51:$L$85,MATCH(AS322,Lists!$K$51:$K$85,0))))</f>
        <v>2</v>
      </c>
      <c r="FP560" s="58">
        <f>IF(i_eff_inputs_based_on_num=2,ER560,(INDEX(Lists!$L$51:$L$85,MATCH(AT322,Lists!$K$51:$K$85,0))))</f>
        <v>4</v>
      </c>
      <c r="FT560" s="58">
        <f t="shared" si="855"/>
        <v>0</v>
      </c>
      <c r="FW560" s="58">
        <f>IF(i_baseline_risk_from=2,'Effectiveness settings'!EW560,'Effectiveness settings'!FI560)</f>
        <v>0</v>
      </c>
      <c r="FX560" s="58">
        <f t="shared" si="856"/>
        <v>0</v>
      </c>
      <c r="FY560" s="58">
        <f t="shared" si="857"/>
        <v>0</v>
      </c>
      <c r="FZ560" s="58">
        <f t="shared" si="858"/>
        <v>0</v>
      </c>
      <c r="GA560" s="58">
        <f t="shared" si="859"/>
        <v>0</v>
      </c>
      <c r="GB560" s="58">
        <f t="shared" si="860"/>
        <v>0</v>
      </c>
      <c r="GC560" s="58">
        <f t="shared" si="861"/>
        <v>0</v>
      </c>
      <c r="GD560" s="58">
        <f t="shared" si="862"/>
        <v>0</v>
      </c>
      <c r="GE560" s="58">
        <f>IF(AND(dd_CheckMate214_TTD="Yes",'Effectiveness settings'!BU560=2,'Effectiveness settings'!BX560=2),"Apply HR to",GD560)</f>
        <v>0</v>
      </c>
      <c r="GF560" s="58">
        <f t="shared" si="863"/>
        <v>0</v>
      </c>
      <c r="GG560" s="58">
        <f t="shared" si="864"/>
        <v>0</v>
      </c>
      <c r="GH560" s="58">
        <f t="shared" si="865"/>
        <v>0</v>
      </c>
      <c r="GI560" s="58">
        <f t="shared" si="851"/>
        <v>0</v>
      </c>
      <c r="GK560" s="58">
        <f>IF(i_baseline_risk_from=2,'Effectiveness settings'!FA560,'Effectiveness settings'!FM560)</f>
        <v>3</v>
      </c>
      <c r="GL560" s="58">
        <f>IF(i_baseline_risk_from=2,'Effectiveness settings'!FB560,'Effectiveness settings'!FN560)</f>
        <v>999</v>
      </c>
      <c r="GM560" s="58">
        <f>IF(i_baseline_risk_from=2,'Effectiveness settings'!FC560,'Effectiveness settings'!FO560)</f>
        <v>2</v>
      </c>
      <c r="GN560" s="58">
        <f>IF(i_baseline_risk_from=2,'Effectiveness settings'!FD560,'Effectiveness settings'!FP560)</f>
        <v>4</v>
      </c>
      <c r="GQ560" s="58">
        <f t="shared" si="866"/>
        <v>999</v>
      </c>
      <c r="GR560" s="58">
        <f t="shared" si="867"/>
        <v>999</v>
      </c>
      <c r="GS560" s="58">
        <f t="shared" si="868"/>
        <v>999</v>
      </c>
      <c r="GT560" s="58">
        <f t="shared" si="869"/>
        <v>999</v>
      </c>
      <c r="GU560" s="58">
        <f>IF(AND(dd_CheckMate214_TTD="Yes",'Effectiveness settings'!BU560=2,'Effectiveness settings'!BX560=2),2,GT560)</f>
        <v>999</v>
      </c>
      <c r="GV560" s="58">
        <f t="shared" si="870"/>
        <v>999</v>
      </c>
      <c r="GW560" s="58">
        <f t="shared" si="871"/>
        <v>999</v>
      </c>
      <c r="GY560" s="58">
        <f>IF(AND(dd_CheckMate214_TTD="Yes",'Effectiveness settings'!BU560=2,'Effectiveness settings'!BX560=2),1,GN560)</f>
        <v>4</v>
      </c>
      <c r="GZ560" s="58">
        <f t="shared" si="872"/>
        <v>4</v>
      </c>
      <c r="HB560" s="58">
        <f t="shared" si="873"/>
        <v>0</v>
      </c>
      <c r="HD560" s="58">
        <f t="shared" si="846"/>
        <v>0</v>
      </c>
      <c r="HE560" s="58">
        <f t="shared" si="847"/>
        <v>3</v>
      </c>
      <c r="HF560" s="58">
        <f t="shared" si="848"/>
        <v>999</v>
      </c>
      <c r="HG560" s="58">
        <f t="shared" si="849"/>
        <v>2</v>
      </c>
      <c r="HH560" s="58">
        <f t="shared" si="850"/>
        <v>4</v>
      </c>
    </row>
    <row r="561" spans="69:216" ht="15.75" x14ac:dyDescent="0.25">
      <c r="BQ561" s="58">
        <f t="shared" si="853"/>
        <v>341</v>
      </c>
      <c r="BR561" s="61">
        <v>0</v>
      </c>
      <c r="BS561" s="61" t="s">
        <v>31</v>
      </c>
      <c r="BT561" s="17">
        <v>3</v>
      </c>
      <c r="BU561" s="17">
        <v>4</v>
      </c>
      <c r="BV561" s="17" t="str">
        <f t="shared" si="926"/>
        <v>avelumab_plus_axitinib</v>
      </c>
      <c r="BW561" s="1006" t="str" cm="1">
        <f t="array" ref="BW561">IF(AL323="No",AL323,INDEX(List_incl_anal_3L_all,IF(BU561=999,35,BU561+1)))</f>
        <v>No</v>
      </c>
      <c r="BX561" s="61">
        <f t="shared" si="927"/>
        <v>4</v>
      </c>
      <c r="BY561" s="531" t="str">
        <f>AM323</f>
        <v>Post progression survival</v>
      </c>
      <c r="BZ561" s="530">
        <f t="shared" si="928"/>
        <v>0</v>
      </c>
      <c r="CA561" s="531">
        <f t="shared" si="950"/>
        <v>0</v>
      </c>
      <c r="CB561" s="530">
        <f t="shared" si="929"/>
        <v>0</v>
      </c>
      <c r="CC561" s="530">
        <f t="shared" si="930"/>
        <v>3</v>
      </c>
      <c r="CD561" s="530">
        <f t="shared" si="931"/>
        <v>999</v>
      </c>
      <c r="CE561" s="1295">
        <f t="shared" si="932"/>
        <v>2</v>
      </c>
      <c r="CF561" s="1301">
        <f t="shared" si="933"/>
        <v>4</v>
      </c>
      <c r="CG561" s="530" t="str">
        <f t="shared" si="934"/>
        <v/>
      </c>
      <c r="CH561" s="505">
        <f t="shared" si="935"/>
        <v>0</v>
      </c>
      <c r="CI561" s="505">
        <f t="shared" si="936"/>
        <v>0</v>
      </c>
      <c r="CJ561" s="505">
        <f t="shared" si="937"/>
        <v>0</v>
      </c>
      <c r="DK561" s="58" t="str" cm="1">
        <f t="array" ref="DK561">IF(AND($BT561=4,$BX561=4,$BU561=999),$DB$36,_xlfn.IFNA(INDEX(DB$13:DB$70,MATCH(1,($BR561=$CV$13:$CV$70)*($BT561=$CX$13:$CX$70)*($CE561=$CY$13:$CY$70)*($BY561=$DA$13:$DA$70)*($CD561=$DH$13:$DH$70),0)),""))</f>
        <v/>
      </c>
      <c r="DL561" s="58" t="str" cm="1">
        <f t="array" ref="DL561">IF(AND($BT561=4,$BX561=4,$BU561=999),$DC$36,_xlfn.IFNA(INDEX(CHOOSE(DP561,DB$13:DB$70,DC$13:DC$70,DD$13:DD$70,DE$13:DE$70),MATCH(1,($BR561=$CV$13:$CV$70)*($BT561=$CX$13:$CX$70)*($CE561=$CY$13:$CY$70)*($BY561=$DA$13:$DA$70)*($CD561=$DH$13:$DH$70),0)),""))</f>
        <v/>
      </c>
      <c r="DM561" s="740" t="str" cm="1">
        <f t="array" ref="DM561">IF(AND($BT561=4,$BX561=4,$BU561=999),$DD$36,_xlfn.IFNA(INDEX(DD$13:DD$68,MATCH(1,($BR561=$CV$13:$CV$68)*($BT561=$CX$13:$CX$68)*($CE561=$CY$13:$CY$68)*($BY561=$DA$13:$DA$68)*($CD561=$DH$13:$DH$68),0)),""))</f>
        <v/>
      </c>
      <c r="DN561" s="740" t="str" cm="1">
        <f t="array" ref="DN561">IF(AND($BT561=4,$BX561=4,$BU561=999),$DD$36,_xlfn.IFNA(INDEX(DE$13:DE$68,MATCH(1,($BR561=$CV$13:$CV$68)*($BT561=$CX$13:$CX$68)*($CE561=$CY$13:$CY$68)*($BY561=$DA$13:$DA$68)*($CD561=$DH$13:$DH$68),0)),""))</f>
        <v/>
      </c>
      <c r="DO561" s="58" t="str" cm="1">
        <f t="array" ref="DO561">IF(AND($BT561=4,$BX561=4,$BU561=999),$DF$36,_xlfn.IFNA(INDEX(DF$13:DF$70,MATCH(1,($BR561=$CV$13:$CV$70)*($BT561=$CX$13:$CX$70)*($CE561=$CY$13:$CY$70)*($BY561=$DA$13:$DA$70)*($CD561=$DH$13:$DH$70),0)),""))</f>
        <v/>
      </c>
      <c r="DP561" s="58" t="e">
        <f t="shared" si="854"/>
        <v>#N/A</v>
      </c>
      <c r="DW561" s="58" t="s">
        <v>58</v>
      </c>
      <c r="DX561" s="58" t="s">
        <v>617</v>
      </c>
      <c r="DY561" s="58">
        <v>0</v>
      </c>
      <c r="DZ561" s="58">
        <v>0</v>
      </c>
      <c r="EB561" s="58">
        <v>0</v>
      </c>
      <c r="EC561" s="58">
        <v>3</v>
      </c>
      <c r="ED561" s="58">
        <v>999</v>
      </c>
      <c r="EE561" s="58">
        <v>2</v>
      </c>
      <c r="EF561" s="58">
        <v>4</v>
      </c>
      <c r="EI561" s="58" t="s">
        <v>58</v>
      </c>
      <c r="EJ561" s="58" t="s">
        <v>617</v>
      </c>
      <c r="EK561" s="58">
        <v>0</v>
      </c>
      <c r="EL561" s="58">
        <v>0</v>
      </c>
      <c r="EN561" s="58">
        <v>0</v>
      </c>
      <c r="EO561" s="58">
        <v>3</v>
      </c>
      <c r="EP561" s="58">
        <v>999</v>
      </c>
      <c r="EQ561" s="58">
        <v>2</v>
      </c>
      <c r="ER561" s="58">
        <v>4</v>
      </c>
      <c r="EU561" s="58" t="str">
        <f t="shared" si="938"/>
        <v>No</v>
      </c>
      <c r="EV561" s="58" t="str">
        <f t="shared" si="939"/>
        <v xml:space="preserve">Post progression survival </v>
      </c>
      <c r="EW561" s="58">
        <f t="shared" si="940"/>
        <v>0</v>
      </c>
      <c r="EX561" s="58">
        <f t="shared" si="941"/>
        <v>0</v>
      </c>
      <c r="EZ561" s="58">
        <f t="shared" si="942"/>
        <v>0</v>
      </c>
      <c r="FA561" s="58">
        <f t="shared" si="943"/>
        <v>3</v>
      </c>
      <c r="FB561" s="58">
        <f>IF(i_eff_inputs_based_on_num=2,ED561,(INDEX(Lists!$L$51:$L$85,MATCH(AR323,Lists!$K$51:$K$85,0))))</f>
        <v>999</v>
      </c>
      <c r="FC561" s="58">
        <f>IF(i_eff_inputs_based_on_num=2,EE561,(INDEX(Lists!$L$51:$L$85,MATCH(AS323,Lists!$K$51:$K$85,0))))</f>
        <v>2</v>
      </c>
      <c r="FD561" s="58">
        <f>IF(i_eff_inputs_based_on_num=2,EF561,(INDEX(Lists!$L$51:$L$85,MATCH(AT323,Lists!$K$51:$K$85,0))))</f>
        <v>4</v>
      </c>
      <c r="FG561" s="58" t="str">
        <f t="shared" si="944"/>
        <v>No</v>
      </c>
      <c r="FH561" s="58" t="str">
        <f t="shared" si="945"/>
        <v xml:space="preserve">Post progression survival </v>
      </c>
      <c r="FI561" s="58">
        <f t="shared" si="946"/>
        <v>0</v>
      </c>
      <c r="FJ561" s="58">
        <f t="shared" si="947"/>
        <v>0</v>
      </c>
      <c r="FL561" s="58">
        <f t="shared" si="948"/>
        <v>0</v>
      </c>
      <c r="FM561" s="58">
        <f t="shared" si="949"/>
        <v>3</v>
      </c>
      <c r="FN561" s="58">
        <f>IF(i_eff_inputs_based_on_num=2,EP561,(INDEX(Lists!$L$51:$L$85,MATCH(AR323,Lists!$K$51:$K$85,0))))</f>
        <v>999</v>
      </c>
      <c r="FO561" s="58">
        <f>IF(i_eff_inputs_based_on_num=2,EQ561,(INDEX(Lists!$L$51:$L$85,MATCH(AS323,Lists!$K$51:$K$85,0))))</f>
        <v>2</v>
      </c>
      <c r="FP561" s="58">
        <f>IF(i_eff_inputs_based_on_num=2,ER561,(INDEX(Lists!$L$51:$L$85,MATCH(AT323,Lists!$K$51:$K$85,0))))</f>
        <v>4</v>
      </c>
      <c r="FT561" s="58">
        <f t="shared" si="855"/>
        <v>0</v>
      </c>
      <c r="FW561" s="58">
        <f>IF(i_baseline_risk_from=2,'Effectiveness settings'!EW561,'Effectiveness settings'!FI561)</f>
        <v>0</v>
      </c>
      <c r="FX561" s="58">
        <f t="shared" si="856"/>
        <v>0</v>
      </c>
      <c r="FY561" s="58">
        <f t="shared" si="857"/>
        <v>0</v>
      </c>
      <c r="FZ561" s="58">
        <f t="shared" si="858"/>
        <v>0</v>
      </c>
      <c r="GA561" s="58">
        <f t="shared" si="859"/>
        <v>0</v>
      </c>
      <c r="GB561" s="58">
        <f t="shared" si="860"/>
        <v>0</v>
      </c>
      <c r="GC561" s="58">
        <f t="shared" si="861"/>
        <v>0</v>
      </c>
      <c r="GD561" s="58">
        <f t="shared" si="862"/>
        <v>0</v>
      </c>
      <c r="GE561" s="58">
        <f>IF(AND(dd_CheckMate214_TTD="Yes",'Effectiveness settings'!BU561=2,'Effectiveness settings'!BX561=2),"Apply HR to",GD561)</f>
        <v>0</v>
      </c>
      <c r="GF561" s="58">
        <f t="shared" si="863"/>
        <v>0</v>
      </c>
      <c r="GG561" s="58">
        <f t="shared" si="864"/>
        <v>0</v>
      </c>
      <c r="GH561" s="58">
        <f t="shared" si="865"/>
        <v>0</v>
      </c>
      <c r="GI561" s="58">
        <f t="shared" si="851"/>
        <v>0</v>
      </c>
      <c r="GK561" s="58">
        <f>IF(i_baseline_risk_from=2,'Effectiveness settings'!FA561,'Effectiveness settings'!FM561)</f>
        <v>3</v>
      </c>
      <c r="GL561" s="58">
        <f>IF(i_baseline_risk_from=2,'Effectiveness settings'!FB561,'Effectiveness settings'!FN561)</f>
        <v>999</v>
      </c>
      <c r="GM561" s="58">
        <f>IF(i_baseline_risk_from=2,'Effectiveness settings'!FC561,'Effectiveness settings'!FO561)</f>
        <v>2</v>
      </c>
      <c r="GN561" s="58">
        <f>IF(i_baseline_risk_from=2,'Effectiveness settings'!FD561,'Effectiveness settings'!FP561)</f>
        <v>4</v>
      </c>
      <c r="GQ561" s="58">
        <f t="shared" si="866"/>
        <v>999</v>
      </c>
      <c r="GR561" s="58">
        <f t="shared" si="867"/>
        <v>999</v>
      </c>
      <c r="GS561" s="58">
        <f t="shared" si="868"/>
        <v>999</v>
      </c>
      <c r="GT561" s="58">
        <f t="shared" si="869"/>
        <v>999</v>
      </c>
      <c r="GU561" s="58">
        <f>IF(AND(dd_CheckMate214_TTD="Yes",'Effectiveness settings'!BU561=2,'Effectiveness settings'!BX561=2),2,GT561)</f>
        <v>999</v>
      </c>
      <c r="GV561" s="58">
        <f t="shared" si="870"/>
        <v>999</v>
      </c>
      <c r="GW561" s="58">
        <f t="shared" si="871"/>
        <v>999</v>
      </c>
      <c r="GY561" s="58">
        <f>IF(AND(dd_CheckMate214_TTD="Yes",'Effectiveness settings'!BU561=2,'Effectiveness settings'!BX561=2),1,GN561)</f>
        <v>4</v>
      </c>
      <c r="GZ561" s="58">
        <f t="shared" si="872"/>
        <v>4</v>
      </c>
      <c r="HB561" s="58">
        <f t="shared" si="873"/>
        <v>0</v>
      </c>
      <c r="HD561" s="58">
        <f t="shared" si="846"/>
        <v>0</v>
      </c>
      <c r="HE561" s="58">
        <f t="shared" si="847"/>
        <v>3</v>
      </c>
      <c r="HF561" s="58">
        <f t="shared" si="848"/>
        <v>999</v>
      </c>
      <c r="HG561" s="58">
        <f t="shared" si="849"/>
        <v>2</v>
      </c>
      <c r="HH561" s="58">
        <f t="shared" si="850"/>
        <v>4</v>
      </c>
    </row>
    <row r="562" spans="69:216" ht="15.75" x14ac:dyDescent="0.25">
      <c r="BQ562" s="58">
        <f t="shared" si="853"/>
        <v>342</v>
      </c>
      <c r="BR562" s="61">
        <v>0</v>
      </c>
      <c r="BS562" s="61" t="s">
        <v>31</v>
      </c>
      <c r="BT562" s="17">
        <v>3</v>
      </c>
      <c r="BU562" s="17">
        <v>5</v>
      </c>
      <c r="BV562" s="17" t="str">
        <f t="shared" si="926"/>
        <v>pazopanib</v>
      </c>
      <c r="BW562" s="1006" t="str" cm="1">
        <f t="array" ref="BW562">IF(AL324="No",AL324,INDEX(List_incl_anal_3L_all,IF(BU562=999,35,BU562+1)))</f>
        <v>No</v>
      </c>
      <c r="BX562" s="61">
        <f t="shared" si="927"/>
        <v>4</v>
      </c>
      <c r="BY562" s="531" t="str">
        <f t="shared" ref="BY562:BY570" si="951">AM324</f>
        <v>Post progression survival</v>
      </c>
      <c r="BZ562" s="530">
        <f t="shared" si="928"/>
        <v>0</v>
      </c>
      <c r="CA562" s="531">
        <f t="shared" si="950"/>
        <v>0</v>
      </c>
      <c r="CB562" s="530">
        <f t="shared" si="929"/>
        <v>0</v>
      </c>
      <c r="CC562" s="530">
        <f t="shared" si="930"/>
        <v>3</v>
      </c>
      <c r="CD562" s="530">
        <f t="shared" si="931"/>
        <v>999</v>
      </c>
      <c r="CE562" s="1295">
        <f t="shared" si="932"/>
        <v>2</v>
      </c>
      <c r="CF562" s="1301">
        <f t="shared" si="933"/>
        <v>4</v>
      </c>
      <c r="CG562" s="530" t="str">
        <f t="shared" si="934"/>
        <v/>
      </c>
      <c r="CH562" s="505">
        <f t="shared" si="935"/>
        <v>0</v>
      </c>
      <c r="CI562" s="505">
        <f t="shared" si="936"/>
        <v>0</v>
      </c>
      <c r="CJ562" s="505">
        <f t="shared" si="937"/>
        <v>0</v>
      </c>
      <c r="DK562" s="58" t="str" cm="1">
        <f t="array" ref="DK562">IF(AND($BT562=4,$BX562=4,$BU562=999),$DB$36,_xlfn.IFNA(INDEX(DB$13:DB$70,MATCH(1,($BR562=$CV$13:$CV$70)*($BT562=$CX$13:$CX$70)*($CE562=$CY$13:$CY$70)*($BY562=$DA$13:$DA$70)*($CD562=$DH$13:$DH$70),0)),""))</f>
        <v/>
      </c>
      <c r="DL562" s="58" t="str" cm="1">
        <f t="array" ref="DL562">IF(AND($BT562=4,$BX562=4,$BU562=999),$DC$36,_xlfn.IFNA(INDEX(CHOOSE(DP562,DB$13:DB$70,DC$13:DC$70,DD$13:DD$70,DE$13:DE$70),MATCH(1,($BR562=$CV$13:$CV$70)*($BT562=$CX$13:$CX$70)*($CE562=$CY$13:$CY$70)*($BY562=$DA$13:$DA$70)*($CD562=$DH$13:$DH$70),0)),""))</f>
        <v/>
      </c>
      <c r="DM562" s="740" t="str" cm="1">
        <f t="array" ref="DM562">IF(AND($BT562=4,$BX562=4,$BU562=999),$DD$36,_xlfn.IFNA(INDEX(DD$13:DD$68,MATCH(1,($BR562=$CV$13:$CV$68)*($BT562=$CX$13:$CX$68)*($CE562=$CY$13:$CY$68)*($BY562=$DA$13:$DA$68)*($CD562=$DH$13:$DH$68),0)),""))</f>
        <v/>
      </c>
      <c r="DN562" s="740" t="str" cm="1">
        <f t="array" ref="DN562">IF(AND($BT562=4,$BX562=4,$BU562=999),$DD$36,_xlfn.IFNA(INDEX(DE$13:DE$68,MATCH(1,($BR562=$CV$13:$CV$68)*($BT562=$CX$13:$CX$68)*($CE562=$CY$13:$CY$68)*($BY562=$DA$13:$DA$68)*($CD562=$DH$13:$DH$68),0)),""))</f>
        <v/>
      </c>
      <c r="DO562" s="58" t="str" cm="1">
        <f t="array" ref="DO562">IF(AND($BT562=4,$BX562=4,$BU562=999),$DF$36,_xlfn.IFNA(INDEX(DF$13:DF$70,MATCH(1,($BR562=$CV$13:$CV$70)*($BT562=$CX$13:$CX$70)*($CE562=$CY$13:$CY$70)*($BY562=$DA$13:$DA$70)*($CD562=$DH$13:$DH$70),0)),""))</f>
        <v/>
      </c>
      <c r="DP562" s="58" t="e">
        <f t="shared" si="854"/>
        <v>#N/A</v>
      </c>
      <c r="DW562" s="58" t="s">
        <v>58</v>
      </c>
      <c r="DX562" s="58" t="s">
        <v>617</v>
      </c>
      <c r="DY562" s="58">
        <v>0</v>
      </c>
      <c r="DZ562" s="58">
        <v>0</v>
      </c>
      <c r="EB562" s="58">
        <v>0</v>
      </c>
      <c r="EC562" s="58">
        <v>3</v>
      </c>
      <c r="ED562" s="58">
        <v>999</v>
      </c>
      <c r="EE562" s="58">
        <v>2</v>
      </c>
      <c r="EF562" s="58">
        <v>4</v>
      </c>
      <c r="EI562" s="58" t="s">
        <v>58</v>
      </c>
      <c r="EJ562" s="58" t="s">
        <v>617</v>
      </c>
      <c r="EK562" s="58">
        <v>0</v>
      </c>
      <c r="EL562" s="58">
        <v>0</v>
      </c>
      <c r="EN562" s="58">
        <v>0</v>
      </c>
      <c r="EO562" s="58">
        <v>3</v>
      </c>
      <c r="EP562" s="58">
        <v>999</v>
      </c>
      <c r="EQ562" s="58">
        <v>2</v>
      </c>
      <c r="ER562" s="58">
        <v>4</v>
      </c>
      <c r="EU562" s="58" t="str">
        <f t="shared" si="938"/>
        <v>No</v>
      </c>
      <c r="EV562" s="58" t="str">
        <f t="shared" si="939"/>
        <v xml:space="preserve">Post progression survival </v>
      </c>
      <c r="EW562" s="58">
        <f t="shared" si="940"/>
        <v>0</v>
      </c>
      <c r="EX562" s="58">
        <f t="shared" si="941"/>
        <v>0</v>
      </c>
      <c r="EZ562" s="58">
        <f t="shared" si="942"/>
        <v>0</v>
      </c>
      <c r="FA562" s="58">
        <f t="shared" si="943"/>
        <v>3</v>
      </c>
      <c r="FB562" s="58">
        <f>IF(i_eff_inputs_based_on_num=2,ED562,(INDEX(Lists!$L$51:$L$85,MATCH(AR324,Lists!$K$51:$K$85,0))))</f>
        <v>999</v>
      </c>
      <c r="FC562" s="58">
        <f>IF(i_eff_inputs_based_on_num=2,EE562,(INDEX(Lists!$L$51:$L$85,MATCH(AS324,Lists!$K$51:$K$85,0))))</f>
        <v>2</v>
      </c>
      <c r="FD562" s="58">
        <f>IF(i_eff_inputs_based_on_num=2,EF562,(INDEX(Lists!$L$51:$L$85,MATCH(AT324,Lists!$K$51:$K$85,0))))</f>
        <v>4</v>
      </c>
      <c r="FG562" s="58" t="str">
        <f t="shared" si="944"/>
        <v>No</v>
      </c>
      <c r="FH562" s="58" t="str">
        <f t="shared" si="945"/>
        <v xml:space="preserve">Post progression survival </v>
      </c>
      <c r="FI562" s="58">
        <f t="shared" si="946"/>
        <v>0</v>
      </c>
      <c r="FJ562" s="58">
        <f t="shared" si="947"/>
        <v>0</v>
      </c>
      <c r="FL562" s="58">
        <f t="shared" si="948"/>
        <v>0</v>
      </c>
      <c r="FM562" s="58">
        <f t="shared" si="949"/>
        <v>3</v>
      </c>
      <c r="FN562" s="58">
        <f>IF(i_eff_inputs_based_on_num=2,EP562,(INDEX(Lists!$L$51:$L$85,MATCH(AR324,Lists!$K$51:$K$85,0))))</f>
        <v>999</v>
      </c>
      <c r="FO562" s="58">
        <f>IF(i_eff_inputs_based_on_num=2,EQ562,(INDEX(Lists!$L$51:$L$85,MATCH(AS324,Lists!$K$51:$K$85,0))))</f>
        <v>2</v>
      </c>
      <c r="FP562" s="58">
        <f>IF(i_eff_inputs_based_on_num=2,ER562,(INDEX(Lists!$L$51:$L$85,MATCH(AT324,Lists!$K$51:$K$85,0))))</f>
        <v>4</v>
      </c>
      <c r="FT562" s="58">
        <f t="shared" si="855"/>
        <v>0</v>
      </c>
      <c r="FW562" s="58">
        <f>IF(i_baseline_risk_from=2,'Effectiveness settings'!EW562,'Effectiveness settings'!FI562)</f>
        <v>0</v>
      </c>
      <c r="FX562" s="58">
        <f t="shared" si="856"/>
        <v>0</v>
      </c>
      <c r="FY562" s="58">
        <f t="shared" si="857"/>
        <v>0</v>
      </c>
      <c r="FZ562" s="58">
        <f t="shared" si="858"/>
        <v>0</v>
      </c>
      <c r="GA562" s="58">
        <f t="shared" si="859"/>
        <v>0</v>
      </c>
      <c r="GB562" s="58">
        <f t="shared" si="860"/>
        <v>0</v>
      </c>
      <c r="GC562" s="58">
        <f t="shared" si="861"/>
        <v>0</v>
      </c>
      <c r="GD562" s="58">
        <f t="shared" si="862"/>
        <v>0</v>
      </c>
      <c r="GE562" s="58">
        <f>IF(AND(dd_CheckMate214_TTD="Yes",'Effectiveness settings'!BU562=2,'Effectiveness settings'!BX562=2),"Apply HR to",GD562)</f>
        <v>0</v>
      </c>
      <c r="GF562" s="58">
        <f t="shared" si="863"/>
        <v>0</v>
      </c>
      <c r="GG562" s="58">
        <f t="shared" si="864"/>
        <v>0</v>
      </c>
      <c r="GH562" s="58">
        <f t="shared" si="865"/>
        <v>0</v>
      </c>
      <c r="GI562" s="58">
        <f t="shared" si="851"/>
        <v>0</v>
      </c>
      <c r="GK562" s="58">
        <f>IF(i_baseline_risk_from=2,'Effectiveness settings'!FA562,'Effectiveness settings'!FM562)</f>
        <v>3</v>
      </c>
      <c r="GL562" s="58">
        <f>IF(i_baseline_risk_from=2,'Effectiveness settings'!FB562,'Effectiveness settings'!FN562)</f>
        <v>999</v>
      </c>
      <c r="GM562" s="58">
        <f>IF(i_baseline_risk_from=2,'Effectiveness settings'!FC562,'Effectiveness settings'!FO562)</f>
        <v>2</v>
      </c>
      <c r="GN562" s="58">
        <f>IF(i_baseline_risk_from=2,'Effectiveness settings'!FD562,'Effectiveness settings'!FP562)</f>
        <v>4</v>
      </c>
      <c r="GQ562" s="58">
        <f t="shared" si="866"/>
        <v>999</v>
      </c>
      <c r="GR562" s="58">
        <f t="shared" si="867"/>
        <v>999</v>
      </c>
      <c r="GS562" s="58">
        <f t="shared" si="868"/>
        <v>999</v>
      </c>
      <c r="GT562" s="58">
        <f t="shared" si="869"/>
        <v>999</v>
      </c>
      <c r="GU562" s="58">
        <f>IF(AND(dd_CheckMate214_TTD="Yes",'Effectiveness settings'!BU562=2,'Effectiveness settings'!BX562=2),2,GT562)</f>
        <v>999</v>
      </c>
      <c r="GV562" s="58">
        <f t="shared" si="870"/>
        <v>999</v>
      </c>
      <c r="GW562" s="58">
        <f t="shared" si="871"/>
        <v>999</v>
      </c>
      <c r="GY562" s="58">
        <f>IF(AND(dd_CheckMate214_TTD="Yes",'Effectiveness settings'!BU562=2,'Effectiveness settings'!BX562=2),1,GN562)</f>
        <v>4</v>
      </c>
      <c r="GZ562" s="58">
        <f t="shared" si="872"/>
        <v>4</v>
      </c>
      <c r="HB562" s="58">
        <f t="shared" si="873"/>
        <v>0</v>
      </c>
      <c r="HD562" s="58">
        <f t="shared" si="846"/>
        <v>0</v>
      </c>
      <c r="HE562" s="58">
        <f t="shared" si="847"/>
        <v>3</v>
      </c>
      <c r="HF562" s="58">
        <f t="shared" si="848"/>
        <v>999</v>
      </c>
      <c r="HG562" s="58">
        <f t="shared" si="849"/>
        <v>2</v>
      </c>
      <c r="HH562" s="58">
        <f t="shared" si="850"/>
        <v>4</v>
      </c>
    </row>
    <row r="563" spans="69:216" ht="15.75" x14ac:dyDescent="0.25">
      <c r="BQ563" s="58">
        <f t="shared" si="853"/>
        <v>343</v>
      </c>
      <c r="BR563" s="61">
        <v>0</v>
      </c>
      <c r="BS563" s="61" t="s">
        <v>31</v>
      </c>
      <c r="BT563" s="17">
        <v>3</v>
      </c>
      <c r="BU563" s="17">
        <v>6</v>
      </c>
      <c r="BV563" s="17" t="str">
        <f t="shared" si="926"/>
        <v>tivozanib</v>
      </c>
      <c r="BW563" s="1006" t="str" cm="1">
        <f t="array" ref="BW563">IF(AL325="No",AL325,INDEX(List_incl_anal_3L_all,IF(BU563=999,35,BU563+1)))</f>
        <v>No</v>
      </c>
      <c r="BX563" s="61">
        <f t="shared" si="927"/>
        <v>4</v>
      </c>
      <c r="BY563" s="531" t="str">
        <f t="shared" si="951"/>
        <v>Post progression survival</v>
      </c>
      <c r="BZ563" s="530">
        <f t="shared" si="928"/>
        <v>0</v>
      </c>
      <c r="CA563" s="531">
        <f t="shared" si="950"/>
        <v>0</v>
      </c>
      <c r="CB563" s="530">
        <f t="shared" si="929"/>
        <v>0</v>
      </c>
      <c r="CC563" s="530">
        <f t="shared" si="930"/>
        <v>3</v>
      </c>
      <c r="CD563" s="530">
        <f t="shared" si="931"/>
        <v>999</v>
      </c>
      <c r="CE563" s="1295">
        <f t="shared" si="932"/>
        <v>2</v>
      </c>
      <c r="CF563" s="1301">
        <f t="shared" si="933"/>
        <v>4</v>
      </c>
      <c r="CG563" s="530" t="str">
        <f t="shared" si="934"/>
        <v/>
      </c>
      <c r="CH563" s="505">
        <f t="shared" si="935"/>
        <v>0</v>
      </c>
      <c r="CI563" s="505">
        <f t="shared" si="936"/>
        <v>0</v>
      </c>
      <c r="CJ563" s="505">
        <f t="shared" si="937"/>
        <v>0</v>
      </c>
      <c r="DK563" s="58" t="str" cm="1">
        <f t="array" ref="DK563">IF(AND($BT563=4,$BX563=4,$BU563=999),$DB$36,_xlfn.IFNA(INDEX(DB$13:DB$70,MATCH(1,($BR563=$CV$13:$CV$70)*($BT563=$CX$13:$CX$70)*($CE563=$CY$13:$CY$70)*($BY563=$DA$13:$DA$70)*($CD563=$DH$13:$DH$70),0)),""))</f>
        <v/>
      </c>
      <c r="DL563" s="58" t="str" cm="1">
        <f t="array" ref="DL563">IF(AND($BT563=4,$BX563=4,$BU563=999),$DC$36,_xlfn.IFNA(INDEX(CHOOSE(DP563,DB$13:DB$70,DC$13:DC$70,DD$13:DD$70,DE$13:DE$70),MATCH(1,($BR563=$CV$13:$CV$70)*($BT563=$CX$13:$CX$70)*($CE563=$CY$13:$CY$70)*($BY563=$DA$13:$DA$70)*($CD563=$DH$13:$DH$70),0)),""))</f>
        <v/>
      </c>
      <c r="DM563" s="740" t="str" cm="1">
        <f t="array" ref="DM563">IF(AND($BT563=4,$BX563=4,$BU563=999),$DD$36,_xlfn.IFNA(INDEX(DD$13:DD$68,MATCH(1,($BR563=$CV$13:$CV$68)*($BT563=$CX$13:$CX$68)*($CE563=$CY$13:$CY$68)*($BY563=$DA$13:$DA$68)*($CD563=$DH$13:$DH$68),0)),""))</f>
        <v/>
      </c>
      <c r="DN563" s="740" t="str" cm="1">
        <f t="array" ref="DN563">IF(AND($BT563=4,$BX563=4,$BU563=999),$DD$36,_xlfn.IFNA(INDEX(DE$13:DE$68,MATCH(1,($BR563=$CV$13:$CV$68)*($BT563=$CX$13:$CX$68)*($CE563=$CY$13:$CY$68)*($BY563=$DA$13:$DA$68)*($CD563=$DH$13:$DH$68),0)),""))</f>
        <v/>
      </c>
      <c r="DO563" s="58" t="str" cm="1">
        <f t="array" ref="DO563">IF(AND($BT563=4,$BX563=4,$BU563=999),$DF$36,_xlfn.IFNA(INDEX(DF$13:DF$70,MATCH(1,($BR563=$CV$13:$CV$70)*($BT563=$CX$13:$CX$70)*($CE563=$CY$13:$CY$70)*($BY563=$DA$13:$DA$70)*($CD563=$DH$13:$DH$70),0)),""))</f>
        <v/>
      </c>
      <c r="DP563" s="58" t="e">
        <f t="shared" si="854"/>
        <v>#N/A</v>
      </c>
      <c r="DW563" s="58" t="s">
        <v>58</v>
      </c>
      <c r="DX563" s="58" t="s">
        <v>617</v>
      </c>
      <c r="DY563" s="58">
        <v>0</v>
      </c>
      <c r="DZ563" s="58">
        <v>0</v>
      </c>
      <c r="EB563" s="58">
        <v>0</v>
      </c>
      <c r="EC563" s="58">
        <v>3</v>
      </c>
      <c r="ED563" s="58">
        <v>999</v>
      </c>
      <c r="EE563" s="58">
        <v>2</v>
      </c>
      <c r="EF563" s="58">
        <v>4</v>
      </c>
      <c r="EI563" s="58" t="s">
        <v>58</v>
      </c>
      <c r="EJ563" s="58" t="s">
        <v>617</v>
      </c>
      <c r="EK563" s="58">
        <v>0</v>
      </c>
      <c r="EL563" s="58">
        <v>0</v>
      </c>
      <c r="EN563" s="58">
        <v>0</v>
      </c>
      <c r="EO563" s="58">
        <v>3</v>
      </c>
      <c r="EP563" s="58">
        <v>999</v>
      </c>
      <c r="EQ563" s="58">
        <v>2</v>
      </c>
      <c r="ER563" s="58">
        <v>4</v>
      </c>
      <c r="EU563" s="58" t="str">
        <f t="shared" si="938"/>
        <v>No</v>
      </c>
      <c r="EV563" s="58" t="str">
        <f t="shared" si="939"/>
        <v xml:space="preserve">Post progression survival </v>
      </c>
      <c r="EW563" s="58">
        <f t="shared" si="940"/>
        <v>0</v>
      </c>
      <c r="EX563" s="58">
        <f t="shared" si="941"/>
        <v>0</v>
      </c>
      <c r="EZ563" s="58">
        <f t="shared" si="942"/>
        <v>0</v>
      </c>
      <c r="FA563" s="58">
        <f t="shared" si="943"/>
        <v>3</v>
      </c>
      <c r="FB563" s="58">
        <f>IF(i_eff_inputs_based_on_num=2,ED563,(INDEX(Lists!$L$51:$L$85,MATCH(AR325,Lists!$K$51:$K$85,0))))</f>
        <v>999</v>
      </c>
      <c r="FC563" s="58">
        <f>IF(i_eff_inputs_based_on_num=2,EE563,(INDEX(Lists!$L$51:$L$85,MATCH(AS325,Lists!$K$51:$K$85,0))))</f>
        <v>2</v>
      </c>
      <c r="FD563" s="58">
        <f>IF(i_eff_inputs_based_on_num=2,EF563,(INDEX(Lists!$L$51:$L$85,MATCH(AT325,Lists!$K$51:$K$85,0))))</f>
        <v>4</v>
      </c>
      <c r="FG563" s="58" t="str">
        <f t="shared" si="944"/>
        <v>No</v>
      </c>
      <c r="FH563" s="58" t="str">
        <f t="shared" si="945"/>
        <v xml:space="preserve">Post progression survival </v>
      </c>
      <c r="FI563" s="58">
        <f t="shared" si="946"/>
        <v>0</v>
      </c>
      <c r="FJ563" s="58">
        <f t="shared" si="947"/>
        <v>0</v>
      </c>
      <c r="FL563" s="58">
        <f t="shared" si="948"/>
        <v>0</v>
      </c>
      <c r="FM563" s="58">
        <f t="shared" si="949"/>
        <v>3</v>
      </c>
      <c r="FN563" s="58">
        <f>IF(i_eff_inputs_based_on_num=2,EP563,(INDEX(Lists!$L$51:$L$85,MATCH(AR325,Lists!$K$51:$K$85,0))))</f>
        <v>999</v>
      </c>
      <c r="FO563" s="58">
        <f>IF(i_eff_inputs_based_on_num=2,EQ563,(INDEX(Lists!$L$51:$L$85,MATCH(AS325,Lists!$K$51:$K$85,0))))</f>
        <v>2</v>
      </c>
      <c r="FP563" s="58">
        <f>IF(i_eff_inputs_based_on_num=2,ER563,(INDEX(Lists!$L$51:$L$85,MATCH(AT325,Lists!$K$51:$K$85,0))))</f>
        <v>4</v>
      </c>
      <c r="FT563" s="58">
        <f t="shared" si="855"/>
        <v>0</v>
      </c>
      <c r="FW563" s="58">
        <f>IF(i_baseline_risk_from=2,'Effectiveness settings'!EW563,'Effectiveness settings'!FI563)</f>
        <v>0</v>
      </c>
      <c r="FX563" s="58">
        <f t="shared" si="856"/>
        <v>0</v>
      </c>
      <c r="FY563" s="58">
        <f t="shared" si="857"/>
        <v>0</v>
      </c>
      <c r="FZ563" s="58">
        <f t="shared" si="858"/>
        <v>0</v>
      </c>
      <c r="GA563" s="58">
        <f t="shared" si="859"/>
        <v>0</v>
      </c>
      <c r="GB563" s="58">
        <f t="shared" si="860"/>
        <v>0</v>
      </c>
      <c r="GC563" s="58">
        <f t="shared" si="861"/>
        <v>0</v>
      </c>
      <c r="GD563" s="58">
        <f t="shared" si="862"/>
        <v>0</v>
      </c>
      <c r="GE563" s="58">
        <f>IF(AND(dd_CheckMate214_TTD="Yes",'Effectiveness settings'!BU563=2,'Effectiveness settings'!BX563=2),"Apply HR to",GD563)</f>
        <v>0</v>
      </c>
      <c r="GF563" s="58">
        <f t="shared" si="863"/>
        <v>0</v>
      </c>
      <c r="GG563" s="58">
        <f t="shared" si="864"/>
        <v>0</v>
      </c>
      <c r="GH563" s="58">
        <f t="shared" si="865"/>
        <v>0</v>
      </c>
      <c r="GI563" s="58">
        <f t="shared" si="851"/>
        <v>0</v>
      </c>
      <c r="GK563" s="58">
        <f>IF(i_baseline_risk_from=2,'Effectiveness settings'!FA563,'Effectiveness settings'!FM563)</f>
        <v>3</v>
      </c>
      <c r="GL563" s="58">
        <f>IF(i_baseline_risk_from=2,'Effectiveness settings'!FB563,'Effectiveness settings'!FN563)</f>
        <v>999</v>
      </c>
      <c r="GM563" s="58">
        <f>IF(i_baseline_risk_from=2,'Effectiveness settings'!FC563,'Effectiveness settings'!FO563)</f>
        <v>2</v>
      </c>
      <c r="GN563" s="58">
        <f>IF(i_baseline_risk_from=2,'Effectiveness settings'!FD563,'Effectiveness settings'!FP563)</f>
        <v>4</v>
      </c>
      <c r="GQ563" s="58">
        <f t="shared" si="866"/>
        <v>999</v>
      </c>
      <c r="GR563" s="58">
        <f t="shared" si="867"/>
        <v>999</v>
      </c>
      <c r="GS563" s="58">
        <f t="shared" si="868"/>
        <v>999</v>
      </c>
      <c r="GT563" s="58">
        <f t="shared" si="869"/>
        <v>999</v>
      </c>
      <c r="GU563" s="58">
        <f>IF(AND(dd_CheckMate214_TTD="Yes",'Effectiveness settings'!BU563=2,'Effectiveness settings'!BX563=2),2,GT563)</f>
        <v>999</v>
      </c>
      <c r="GV563" s="58">
        <f t="shared" si="870"/>
        <v>999</v>
      </c>
      <c r="GW563" s="58">
        <f t="shared" si="871"/>
        <v>999</v>
      </c>
      <c r="GY563" s="58">
        <f>IF(AND(dd_CheckMate214_TTD="Yes",'Effectiveness settings'!BU563=2,'Effectiveness settings'!BX563=2),1,GN563)</f>
        <v>4</v>
      </c>
      <c r="GZ563" s="58">
        <f t="shared" si="872"/>
        <v>4</v>
      </c>
      <c r="HB563" s="58">
        <f t="shared" si="873"/>
        <v>0</v>
      </c>
      <c r="HD563" s="58">
        <f t="shared" si="846"/>
        <v>0</v>
      </c>
      <c r="HE563" s="58">
        <f t="shared" si="847"/>
        <v>3</v>
      </c>
      <c r="HF563" s="58">
        <f t="shared" si="848"/>
        <v>999</v>
      </c>
      <c r="HG563" s="58">
        <f t="shared" si="849"/>
        <v>2</v>
      </c>
      <c r="HH563" s="58">
        <f t="shared" si="850"/>
        <v>4</v>
      </c>
    </row>
    <row r="564" spans="69:216" ht="15.75" x14ac:dyDescent="0.25">
      <c r="BQ564" s="58">
        <f t="shared" si="853"/>
        <v>344</v>
      </c>
      <c r="BR564" s="61">
        <v>0</v>
      </c>
      <c r="BS564" s="61" t="s">
        <v>31</v>
      </c>
      <c r="BT564" s="17">
        <v>3</v>
      </c>
      <c r="BU564" s="17">
        <v>7</v>
      </c>
      <c r="BV564" s="17" t="str">
        <f t="shared" si="926"/>
        <v>sunitinib</v>
      </c>
      <c r="BW564" s="1006" t="str" cm="1">
        <f t="array" ref="BW564">IF(AL326="No",AL326,INDEX(List_incl_anal_3L_all,IF(BU564=999,35,BU564+1)))</f>
        <v>No</v>
      </c>
      <c r="BX564" s="61">
        <f t="shared" si="927"/>
        <v>4</v>
      </c>
      <c r="BY564" s="531" t="str">
        <f t="shared" si="951"/>
        <v>Post progression survival</v>
      </c>
      <c r="BZ564" s="530">
        <f t="shared" si="928"/>
        <v>0</v>
      </c>
      <c r="CA564" s="531">
        <f t="shared" si="950"/>
        <v>0</v>
      </c>
      <c r="CB564" s="530">
        <f t="shared" si="929"/>
        <v>0</v>
      </c>
      <c r="CC564" s="530">
        <f t="shared" si="930"/>
        <v>3</v>
      </c>
      <c r="CD564" s="530">
        <f t="shared" si="931"/>
        <v>999</v>
      </c>
      <c r="CE564" s="1295">
        <f t="shared" si="932"/>
        <v>2</v>
      </c>
      <c r="CF564" s="1301">
        <f t="shared" si="933"/>
        <v>4</v>
      </c>
      <c r="CG564" s="530" t="str">
        <f t="shared" si="934"/>
        <v/>
      </c>
      <c r="CH564" s="505">
        <f t="shared" si="935"/>
        <v>0</v>
      </c>
      <c r="CI564" s="505">
        <f t="shared" si="936"/>
        <v>0</v>
      </c>
      <c r="CJ564" s="505">
        <f t="shared" si="937"/>
        <v>0</v>
      </c>
      <c r="DK564" s="58" t="str" cm="1">
        <f t="array" ref="DK564">IF(AND($BT564=4,$BX564=4,$BU564=999),$DB$36,_xlfn.IFNA(INDEX(DB$13:DB$70,MATCH(1,($BR564=$CV$13:$CV$70)*($BT564=$CX$13:$CX$70)*($CE564=$CY$13:$CY$70)*($BY564=$DA$13:$DA$70)*($CD564=$DH$13:$DH$70),0)),""))</f>
        <v/>
      </c>
      <c r="DL564" s="58" t="str" cm="1">
        <f t="array" ref="DL564">IF(AND($BT564=4,$BX564=4,$BU564=999),$DC$36,_xlfn.IFNA(INDEX(CHOOSE(DP564,DB$13:DB$70,DC$13:DC$70,DD$13:DD$70,DE$13:DE$70),MATCH(1,($BR564=$CV$13:$CV$70)*($BT564=$CX$13:$CX$70)*($CE564=$CY$13:$CY$70)*($BY564=$DA$13:$DA$70)*($CD564=$DH$13:$DH$70),0)),""))</f>
        <v/>
      </c>
      <c r="DM564" s="740" t="str" cm="1">
        <f t="array" ref="DM564">IF(AND($BT564=4,$BX564=4,$BU564=999),$DD$36,_xlfn.IFNA(INDEX(DD$13:DD$68,MATCH(1,($BR564=$CV$13:$CV$68)*($BT564=$CX$13:$CX$68)*($CE564=$CY$13:$CY$68)*($BY564=$DA$13:$DA$68)*($CD564=$DH$13:$DH$68),0)),""))</f>
        <v/>
      </c>
      <c r="DN564" s="740" t="str" cm="1">
        <f t="array" ref="DN564">IF(AND($BT564=4,$BX564=4,$BU564=999),$DD$36,_xlfn.IFNA(INDEX(DE$13:DE$68,MATCH(1,($BR564=$CV$13:$CV$68)*($BT564=$CX$13:$CX$68)*($CE564=$CY$13:$CY$68)*($BY564=$DA$13:$DA$68)*($CD564=$DH$13:$DH$68),0)),""))</f>
        <v/>
      </c>
      <c r="DO564" s="58" t="str" cm="1">
        <f t="array" ref="DO564">IF(AND($BT564=4,$BX564=4,$BU564=999),$DF$36,_xlfn.IFNA(INDEX(DF$13:DF$70,MATCH(1,($BR564=$CV$13:$CV$70)*($BT564=$CX$13:$CX$70)*($CE564=$CY$13:$CY$70)*($BY564=$DA$13:$DA$70)*($CD564=$DH$13:$DH$70),0)),""))</f>
        <v/>
      </c>
      <c r="DP564" s="58" t="e">
        <f t="shared" si="854"/>
        <v>#N/A</v>
      </c>
      <c r="DW564" s="58" t="s">
        <v>58</v>
      </c>
      <c r="DX564" s="58" t="s">
        <v>617</v>
      </c>
      <c r="DY564" s="58">
        <v>0</v>
      </c>
      <c r="DZ564" s="58">
        <v>0</v>
      </c>
      <c r="EB564" s="58">
        <v>0</v>
      </c>
      <c r="EC564" s="58">
        <v>3</v>
      </c>
      <c r="ED564" s="58">
        <v>999</v>
      </c>
      <c r="EE564" s="58">
        <v>2</v>
      </c>
      <c r="EF564" s="58">
        <v>4</v>
      </c>
      <c r="EI564" s="58" t="s">
        <v>58</v>
      </c>
      <c r="EJ564" s="58" t="s">
        <v>617</v>
      </c>
      <c r="EK564" s="58">
        <v>0</v>
      </c>
      <c r="EL564" s="58">
        <v>0</v>
      </c>
      <c r="EN564" s="58">
        <v>0</v>
      </c>
      <c r="EO564" s="58">
        <v>3</v>
      </c>
      <c r="EP564" s="58">
        <v>999</v>
      </c>
      <c r="EQ564" s="58">
        <v>2</v>
      </c>
      <c r="ER564" s="58">
        <v>4</v>
      </c>
      <c r="EU564" s="58" t="str">
        <f t="shared" si="938"/>
        <v>No</v>
      </c>
      <c r="EV564" s="58" t="str">
        <f t="shared" si="939"/>
        <v xml:space="preserve">Post progression survival </v>
      </c>
      <c r="EW564" s="58">
        <f t="shared" si="940"/>
        <v>0</v>
      </c>
      <c r="EX564" s="58">
        <f t="shared" si="941"/>
        <v>0</v>
      </c>
      <c r="EZ564" s="58">
        <f t="shared" si="942"/>
        <v>0</v>
      </c>
      <c r="FA564" s="58">
        <f t="shared" si="943"/>
        <v>3</v>
      </c>
      <c r="FB564" s="58">
        <f>IF(i_eff_inputs_based_on_num=2,ED564,(INDEX(Lists!$L$51:$L$85,MATCH(AR326,Lists!$K$51:$K$85,0))))</f>
        <v>999</v>
      </c>
      <c r="FC564" s="58">
        <f>IF(i_eff_inputs_based_on_num=2,EE564,(INDEX(Lists!$L$51:$L$85,MATCH(AS326,Lists!$K$51:$K$85,0))))</f>
        <v>2</v>
      </c>
      <c r="FD564" s="58">
        <f>IF(i_eff_inputs_based_on_num=2,EF564,(INDEX(Lists!$L$51:$L$85,MATCH(AT326,Lists!$K$51:$K$85,0))))</f>
        <v>4</v>
      </c>
      <c r="FG564" s="58" t="str">
        <f t="shared" si="944"/>
        <v>No</v>
      </c>
      <c r="FH564" s="58" t="str">
        <f t="shared" si="945"/>
        <v xml:space="preserve">Post progression survival </v>
      </c>
      <c r="FI564" s="58">
        <f t="shared" si="946"/>
        <v>0</v>
      </c>
      <c r="FJ564" s="58">
        <f t="shared" si="947"/>
        <v>0</v>
      </c>
      <c r="FL564" s="58">
        <f t="shared" si="948"/>
        <v>0</v>
      </c>
      <c r="FM564" s="58">
        <f t="shared" si="949"/>
        <v>3</v>
      </c>
      <c r="FN564" s="58">
        <f>IF(i_eff_inputs_based_on_num=2,EP564,(INDEX(Lists!$L$51:$L$85,MATCH(AR326,Lists!$K$51:$K$85,0))))</f>
        <v>999</v>
      </c>
      <c r="FO564" s="58">
        <f>IF(i_eff_inputs_based_on_num=2,EQ564,(INDEX(Lists!$L$51:$L$85,MATCH(AS326,Lists!$K$51:$K$85,0))))</f>
        <v>2</v>
      </c>
      <c r="FP564" s="58">
        <f>IF(i_eff_inputs_based_on_num=2,ER564,(INDEX(Lists!$L$51:$L$85,MATCH(AT326,Lists!$K$51:$K$85,0))))</f>
        <v>4</v>
      </c>
      <c r="FT564" s="58">
        <f t="shared" si="855"/>
        <v>0</v>
      </c>
      <c r="FW564" s="58">
        <f>IF(i_baseline_risk_from=2,'Effectiveness settings'!EW564,'Effectiveness settings'!FI564)</f>
        <v>0</v>
      </c>
      <c r="FX564" s="58">
        <f t="shared" si="856"/>
        <v>0</v>
      </c>
      <c r="FY564" s="58">
        <f t="shared" si="857"/>
        <v>0</v>
      </c>
      <c r="FZ564" s="58">
        <f t="shared" si="858"/>
        <v>0</v>
      </c>
      <c r="GA564" s="58">
        <f t="shared" si="859"/>
        <v>0</v>
      </c>
      <c r="GB564" s="58">
        <f t="shared" si="860"/>
        <v>0</v>
      </c>
      <c r="GC564" s="58">
        <f t="shared" si="861"/>
        <v>0</v>
      </c>
      <c r="GD564" s="58">
        <f t="shared" si="862"/>
        <v>0</v>
      </c>
      <c r="GE564" s="58">
        <f>IF(AND(dd_CheckMate214_TTD="Yes",'Effectiveness settings'!BU564=2,'Effectiveness settings'!BX564=2),"Apply HR to",GD564)</f>
        <v>0</v>
      </c>
      <c r="GF564" s="58">
        <f t="shared" si="863"/>
        <v>0</v>
      </c>
      <c r="GG564" s="58">
        <f t="shared" si="864"/>
        <v>0</v>
      </c>
      <c r="GH564" s="58">
        <f t="shared" si="865"/>
        <v>0</v>
      </c>
      <c r="GI564" s="58">
        <f t="shared" si="851"/>
        <v>0</v>
      </c>
      <c r="GK564" s="58">
        <f>IF(i_baseline_risk_from=2,'Effectiveness settings'!FA564,'Effectiveness settings'!FM564)</f>
        <v>3</v>
      </c>
      <c r="GL564" s="58">
        <f>IF(i_baseline_risk_from=2,'Effectiveness settings'!FB564,'Effectiveness settings'!FN564)</f>
        <v>999</v>
      </c>
      <c r="GM564" s="58">
        <f>IF(i_baseline_risk_from=2,'Effectiveness settings'!FC564,'Effectiveness settings'!FO564)</f>
        <v>2</v>
      </c>
      <c r="GN564" s="58">
        <f>IF(i_baseline_risk_from=2,'Effectiveness settings'!FD564,'Effectiveness settings'!FP564)</f>
        <v>4</v>
      </c>
      <c r="GQ564" s="58">
        <f t="shared" si="866"/>
        <v>999</v>
      </c>
      <c r="GR564" s="58">
        <f t="shared" si="867"/>
        <v>999</v>
      </c>
      <c r="GS564" s="58">
        <f t="shared" si="868"/>
        <v>999</v>
      </c>
      <c r="GT564" s="58">
        <f t="shared" si="869"/>
        <v>999</v>
      </c>
      <c r="GU564" s="58">
        <f>IF(AND(dd_CheckMate214_TTD="Yes",'Effectiveness settings'!BU564=2,'Effectiveness settings'!BX564=2),2,GT564)</f>
        <v>999</v>
      </c>
      <c r="GV564" s="58">
        <f t="shared" si="870"/>
        <v>999</v>
      </c>
      <c r="GW564" s="58">
        <f t="shared" si="871"/>
        <v>999</v>
      </c>
      <c r="GY564" s="58">
        <f>IF(AND(dd_CheckMate214_TTD="Yes",'Effectiveness settings'!BU564=2,'Effectiveness settings'!BX564=2),1,GN564)</f>
        <v>4</v>
      </c>
      <c r="GZ564" s="58">
        <f t="shared" si="872"/>
        <v>4</v>
      </c>
      <c r="HB564" s="58">
        <f t="shared" si="873"/>
        <v>0</v>
      </c>
      <c r="HD564" s="58">
        <f t="shared" si="846"/>
        <v>0</v>
      </c>
      <c r="HE564" s="58">
        <f t="shared" si="847"/>
        <v>3</v>
      </c>
      <c r="HF564" s="58">
        <f t="shared" si="848"/>
        <v>999</v>
      </c>
      <c r="HG564" s="58">
        <f t="shared" si="849"/>
        <v>2</v>
      </c>
      <c r="HH564" s="58">
        <f t="shared" si="850"/>
        <v>4</v>
      </c>
    </row>
    <row r="565" spans="69:216" ht="15.75" x14ac:dyDescent="0.25">
      <c r="BQ565" s="58">
        <f t="shared" si="853"/>
        <v>345</v>
      </c>
      <c r="BR565" s="61">
        <v>0</v>
      </c>
      <c r="BS565" s="61" t="s">
        <v>31</v>
      </c>
      <c r="BT565" s="17">
        <v>3</v>
      </c>
      <c r="BU565" s="17">
        <v>8</v>
      </c>
      <c r="BV565" s="17" t="str">
        <f t="shared" si="926"/>
        <v>cabozantinib</v>
      </c>
      <c r="BW565" s="1006" t="str" cm="1">
        <f t="array" ref="BW565">IF(AL327="No",AL327,INDEX(List_incl_anal_3L_all,IF(BU565=999,35,BU565+1)))</f>
        <v>No</v>
      </c>
      <c r="BX565" s="61">
        <f t="shared" si="927"/>
        <v>4</v>
      </c>
      <c r="BY565" s="531" t="str">
        <f t="shared" si="951"/>
        <v>Post progression survival</v>
      </c>
      <c r="BZ565" s="530">
        <f t="shared" si="928"/>
        <v>0</v>
      </c>
      <c r="CA565" s="531">
        <f t="shared" si="950"/>
        <v>0</v>
      </c>
      <c r="CB565" s="530">
        <f t="shared" si="929"/>
        <v>0</v>
      </c>
      <c r="CC565" s="530">
        <f t="shared" si="930"/>
        <v>3</v>
      </c>
      <c r="CD565" s="530">
        <f t="shared" si="931"/>
        <v>999</v>
      </c>
      <c r="CE565" s="1295">
        <f t="shared" si="932"/>
        <v>2</v>
      </c>
      <c r="CF565" s="1301">
        <f t="shared" si="933"/>
        <v>4</v>
      </c>
      <c r="CG565" s="530" t="str">
        <f t="shared" si="934"/>
        <v/>
      </c>
      <c r="CH565" s="505">
        <f t="shared" si="935"/>
        <v>0</v>
      </c>
      <c r="CI565" s="505">
        <f t="shared" si="936"/>
        <v>0</v>
      </c>
      <c r="CJ565" s="505">
        <f t="shared" si="937"/>
        <v>0</v>
      </c>
      <c r="DK565" s="58" t="str" cm="1">
        <f t="array" ref="DK565">IF(AND($BT565=4,$BX565=4,$BU565=999),$DB$36,_xlfn.IFNA(INDEX(DB$13:DB$70,MATCH(1,($BR565=$CV$13:$CV$70)*($BT565=$CX$13:$CX$70)*($CE565=$CY$13:$CY$70)*($BY565=$DA$13:$DA$70)*($CD565=$DH$13:$DH$70),0)),""))</f>
        <v/>
      </c>
      <c r="DL565" s="58" t="str" cm="1">
        <f t="array" ref="DL565">IF(AND($BT565=4,$BX565=4,$BU565=999),$DC$36,_xlfn.IFNA(INDEX(CHOOSE(DP565,DB$13:DB$70,DC$13:DC$70,DD$13:DD$70,DE$13:DE$70),MATCH(1,($BR565=$CV$13:$CV$70)*($BT565=$CX$13:$CX$70)*($CE565=$CY$13:$CY$70)*($BY565=$DA$13:$DA$70)*($CD565=$DH$13:$DH$70),0)),""))</f>
        <v/>
      </c>
      <c r="DM565" s="740" t="str" cm="1">
        <f t="array" ref="DM565">IF(AND($BT565=4,$BX565=4,$BU565=999),$DD$36,_xlfn.IFNA(INDEX(DD$13:DD$68,MATCH(1,($BR565=$CV$13:$CV$68)*($BT565=$CX$13:$CX$68)*($CE565=$CY$13:$CY$68)*($BY565=$DA$13:$DA$68)*($CD565=$DH$13:$DH$68),0)),""))</f>
        <v/>
      </c>
      <c r="DN565" s="740" t="str" cm="1">
        <f t="array" ref="DN565">IF(AND($BT565=4,$BX565=4,$BU565=999),$DD$36,_xlfn.IFNA(INDEX(DE$13:DE$68,MATCH(1,($BR565=$CV$13:$CV$68)*($BT565=$CX$13:$CX$68)*($CE565=$CY$13:$CY$68)*($BY565=$DA$13:$DA$68)*($CD565=$DH$13:$DH$68),0)),""))</f>
        <v/>
      </c>
      <c r="DO565" s="58" t="str" cm="1">
        <f t="array" ref="DO565">IF(AND($BT565=4,$BX565=4,$BU565=999),$DF$36,_xlfn.IFNA(INDEX(DF$13:DF$70,MATCH(1,($BR565=$CV$13:$CV$70)*($BT565=$CX$13:$CX$70)*($CE565=$CY$13:$CY$70)*($BY565=$DA$13:$DA$70)*($CD565=$DH$13:$DH$70),0)),""))</f>
        <v/>
      </c>
      <c r="DP565" s="58" t="e">
        <f t="shared" si="854"/>
        <v>#N/A</v>
      </c>
      <c r="DW565" s="58" t="s">
        <v>58</v>
      </c>
      <c r="DX565" s="58" t="s">
        <v>617</v>
      </c>
      <c r="DY565" s="58">
        <v>0</v>
      </c>
      <c r="DZ565" s="58">
        <v>0</v>
      </c>
      <c r="EB565" s="58">
        <v>0</v>
      </c>
      <c r="EC565" s="58">
        <v>3</v>
      </c>
      <c r="ED565" s="58">
        <v>999</v>
      </c>
      <c r="EE565" s="58">
        <v>2</v>
      </c>
      <c r="EF565" s="58">
        <v>4</v>
      </c>
      <c r="EI565" s="58" t="s">
        <v>58</v>
      </c>
      <c r="EJ565" s="58" t="s">
        <v>617</v>
      </c>
      <c r="EK565" s="58">
        <v>0</v>
      </c>
      <c r="EL565" s="58">
        <v>0</v>
      </c>
      <c r="EN565" s="58">
        <v>0</v>
      </c>
      <c r="EO565" s="58">
        <v>3</v>
      </c>
      <c r="EP565" s="58">
        <v>999</v>
      </c>
      <c r="EQ565" s="58">
        <v>2</v>
      </c>
      <c r="ER565" s="58">
        <v>4</v>
      </c>
      <c r="EU565" s="58" t="str">
        <f t="shared" si="938"/>
        <v>No</v>
      </c>
      <c r="EV565" s="58" t="str">
        <f t="shared" si="939"/>
        <v xml:space="preserve">Post progression survival </v>
      </c>
      <c r="EW565" s="58">
        <f t="shared" si="940"/>
        <v>0</v>
      </c>
      <c r="EX565" s="58">
        <f t="shared" si="941"/>
        <v>0</v>
      </c>
      <c r="EZ565" s="58">
        <f t="shared" si="942"/>
        <v>0</v>
      </c>
      <c r="FA565" s="58">
        <f t="shared" si="943"/>
        <v>3</v>
      </c>
      <c r="FB565" s="58">
        <f>IF(i_eff_inputs_based_on_num=2,ED565,(INDEX(Lists!$L$51:$L$85,MATCH(AR327,Lists!$K$51:$K$85,0))))</f>
        <v>999</v>
      </c>
      <c r="FC565" s="58">
        <f>IF(i_eff_inputs_based_on_num=2,EE565,(INDEX(Lists!$L$51:$L$85,MATCH(AS327,Lists!$K$51:$K$85,0))))</f>
        <v>2</v>
      </c>
      <c r="FD565" s="58">
        <f>IF(i_eff_inputs_based_on_num=2,EF565,(INDEX(Lists!$L$51:$L$85,MATCH(AT327,Lists!$K$51:$K$85,0))))</f>
        <v>4</v>
      </c>
      <c r="FG565" s="58" t="str">
        <f t="shared" si="944"/>
        <v>No</v>
      </c>
      <c r="FH565" s="58" t="str">
        <f t="shared" si="945"/>
        <v xml:space="preserve">Post progression survival </v>
      </c>
      <c r="FI565" s="58">
        <f t="shared" si="946"/>
        <v>0</v>
      </c>
      <c r="FJ565" s="58">
        <f t="shared" si="947"/>
        <v>0</v>
      </c>
      <c r="FL565" s="58">
        <f t="shared" si="948"/>
        <v>0</v>
      </c>
      <c r="FM565" s="58">
        <f t="shared" si="949"/>
        <v>3</v>
      </c>
      <c r="FN565" s="58">
        <f>IF(i_eff_inputs_based_on_num=2,EP565,(INDEX(Lists!$L$51:$L$85,MATCH(AR327,Lists!$K$51:$K$85,0))))</f>
        <v>999</v>
      </c>
      <c r="FO565" s="58">
        <f>IF(i_eff_inputs_based_on_num=2,EQ565,(INDEX(Lists!$L$51:$L$85,MATCH(AS327,Lists!$K$51:$K$85,0))))</f>
        <v>2</v>
      </c>
      <c r="FP565" s="58">
        <f>IF(i_eff_inputs_based_on_num=2,ER565,(INDEX(Lists!$L$51:$L$85,MATCH(AT327,Lists!$K$51:$K$85,0))))</f>
        <v>4</v>
      </c>
      <c r="FT565" s="58">
        <f t="shared" si="855"/>
        <v>0</v>
      </c>
      <c r="FW565" s="58">
        <f>IF(i_baseline_risk_from=2,'Effectiveness settings'!EW565,'Effectiveness settings'!FI565)</f>
        <v>0</v>
      </c>
      <c r="FX565" s="58">
        <f t="shared" si="856"/>
        <v>0</v>
      </c>
      <c r="FY565" s="58">
        <f t="shared" si="857"/>
        <v>0</v>
      </c>
      <c r="FZ565" s="58">
        <f t="shared" si="858"/>
        <v>0</v>
      </c>
      <c r="GA565" s="58">
        <f t="shared" si="859"/>
        <v>0</v>
      </c>
      <c r="GB565" s="58">
        <f t="shared" si="860"/>
        <v>0</v>
      </c>
      <c r="GC565" s="58">
        <f t="shared" si="861"/>
        <v>0</v>
      </c>
      <c r="GD565" s="58">
        <f t="shared" si="862"/>
        <v>0</v>
      </c>
      <c r="GE565" s="58">
        <f>IF(AND(dd_CheckMate214_TTD="Yes",'Effectiveness settings'!BU565=2,'Effectiveness settings'!BX565=2),"Apply HR to",GD565)</f>
        <v>0</v>
      </c>
      <c r="GF565" s="58">
        <f t="shared" si="863"/>
        <v>0</v>
      </c>
      <c r="GG565" s="58">
        <f t="shared" si="864"/>
        <v>0</v>
      </c>
      <c r="GH565" s="58">
        <f t="shared" si="865"/>
        <v>0</v>
      </c>
      <c r="GI565" s="58">
        <f t="shared" si="851"/>
        <v>0</v>
      </c>
      <c r="GK565" s="58">
        <f>IF(i_baseline_risk_from=2,'Effectiveness settings'!FA565,'Effectiveness settings'!FM565)</f>
        <v>3</v>
      </c>
      <c r="GL565" s="58">
        <f>IF(i_baseline_risk_from=2,'Effectiveness settings'!FB565,'Effectiveness settings'!FN565)</f>
        <v>999</v>
      </c>
      <c r="GM565" s="58">
        <f>IF(i_baseline_risk_from=2,'Effectiveness settings'!FC565,'Effectiveness settings'!FO565)</f>
        <v>2</v>
      </c>
      <c r="GN565" s="58">
        <f>IF(i_baseline_risk_from=2,'Effectiveness settings'!FD565,'Effectiveness settings'!FP565)</f>
        <v>4</v>
      </c>
      <c r="GQ565" s="58">
        <f t="shared" si="866"/>
        <v>999</v>
      </c>
      <c r="GR565" s="58">
        <f t="shared" si="867"/>
        <v>999</v>
      </c>
      <c r="GS565" s="58">
        <f t="shared" si="868"/>
        <v>999</v>
      </c>
      <c r="GT565" s="58">
        <f t="shared" si="869"/>
        <v>999</v>
      </c>
      <c r="GU565" s="58">
        <f>IF(AND(dd_CheckMate214_TTD="Yes",'Effectiveness settings'!BU565=2,'Effectiveness settings'!BX565=2),2,GT565)</f>
        <v>999</v>
      </c>
      <c r="GV565" s="58">
        <f t="shared" si="870"/>
        <v>999</v>
      </c>
      <c r="GW565" s="58">
        <f t="shared" si="871"/>
        <v>999</v>
      </c>
      <c r="GY565" s="58">
        <f>IF(AND(dd_CheckMate214_TTD="Yes",'Effectiveness settings'!BU565=2,'Effectiveness settings'!BX565=2),1,GN565)</f>
        <v>4</v>
      </c>
      <c r="GZ565" s="58">
        <f t="shared" si="872"/>
        <v>4</v>
      </c>
      <c r="HB565" s="58">
        <f t="shared" si="873"/>
        <v>0</v>
      </c>
      <c r="HD565" s="58">
        <f t="shared" si="846"/>
        <v>0</v>
      </c>
      <c r="HE565" s="58">
        <f t="shared" si="847"/>
        <v>3</v>
      </c>
      <c r="HF565" s="58">
        <f t="shared" si="848"/>
        <v>999</v>
      </c>
      <c r="HG565" s="58">
        <f t="shared" si="849"/>
        <v>2</v>
      </c>
      <c r="HH565" s="58">
        <f t="shared" si="850"/>
        <v>4</v>
      </c>
    </row>
    <row r="566" spans="69:216" ht="15.75" x14ac:dyDescent="0.25">
      <c r="BQ566" s="58">
        <f t="shared" si="853"/>
        <v>346</v>
      </c>
      <c r="BR566" s="61">
        <v>0</v>
      </c>
      <c r="BS566" s="61" t="s">
        <v>31</v>
      </c>
      <c r="BT566" s="17">
        <v>3</v>
      </c>
      <c r="BU566" s="17">
        <v>9</v>
      </c>
      <c r="BV566" s="17" t="str">
        <f t="shared" si="926"/>
        <v>lenvatinib_plus_everolimus</v>
      </c>
      <c r="BW566" s="1006" t="str" cm="1">
        <f t="array" ref="BW566">IF(AL328="No",AL328,INDEX(List_incl_anal_3L_all,IF(BU566=999,35,BU566+1)))</f>
        <v>No</v>
      </c>
      <c r="BX566" s="61">
        <f t="shared" si="927"/>
        <v>4</v>
      </c>
      <c r="BY566" s="531" t="str">
        <f t="shared" si="951"/>
        <v>Post progression survival</v>
      </c>
      <c r="BZ566" s="530">
        <f t="shared" si="928"/>
        <v>0</v>
      </c>
      <c r="CA566" s="531">
        <f t="shared" si="950"/>
        <v>0</v>
      </c>
      <c r="CB566" s="530">
        <f t="shared" si="929"/>
        <v>0</v>
      </c>
      <c r="CC566" s="530">
        <f t="shared" si="930"/>
        <v>3</v>
      </c>
      <c r="CD566" s="530">
        <f t="shared" si="931"/>
        <v>999</v>
      </c>
      <c r="CE566" s="1295">
        <f t="shared" si="932"/>
        <v>2</v>
      </c>
      <c r="CF566" s="1301">
        <f t="shared" si="933"/>
        <v>4</v>
      </c>
      <c r="CG566" s="530" t="str">
        <f t="shared" si="934"/>
        <v/>
      </c>
      <c r="CH566" s="505">
        <f t="shared" si="935"/>
        <v>0</v>
      </c>
      <c r="CI566" s="505">
        <f t="shared" si="936"/>
        <v>0</v>
      </c>
      <c r="CJ566" s="505">
        <f t="shared" si="937"/>
        <v>0</v>
      </c>
      <c r="DK566" s="58" t="str" cm="1">
        <f t="array" ref="DK566">IF(AND($BT566=4,$BX566=4,$BU566=999),$DB$36,_xlfn.IFNA(INDEX(DB$13:DB$70,MATCH(1,($BR566=$CV$13:$CV$70)*($BT566=$CX$13:$CX$70)*($CE566=$CY$13:$CY$70)*($BY566=$DA$13:$DA$70)*($CD566=$DH$13:$DH$70),0)),""))</f>
        <v/>
      </c>
      <c r="DL566" s="58" t="str" cm="1">
        <f t="array" ref="DL566">IF(AND($BT566=4,$BX566=4,$BU566=999),$DC$36,_xlfn.IFNA(INDEX(CHOOSE(DP566,DB$13:DB$70,DC$13:DC$70,DD$13:DD$70,DE$13:DE$70),MATCH(1,($BR566=$CV$13:$CV$70)*($BT566=$CX$13:$CX$70)*($CE566=$CY$13:$CY$70)*($BY566=$DA$13:$DA$70)*($CD566=$DH$13:$DH$70),0)),""))</f>
        <v/>
      </c>
      <c r="DM566" s="740" t="str" cm="1">
        <f t="array" ref="DM566">IF(AND($BT566=4,$BX566=4,$BU566=999),$DD$36,_xlfn.IFNA(INDEX(DD$13:DD$68,MATCH(1,($BR566=$CV$13:$CV$68)*($BT566=$CX$13:$CX$68)*($CE566=$CY$13:$CY$68)*($BY566=$DA$13:$DA$68)*($CD566=$DH$13:$DH$68),0)),""))</f>
        <v/>
      </c>
      <c r="DN566" s="740" t="str" cm="1">
        <f t="array" ref="DN566">IF(AND($BT566=4,$BX566=4,$BU566=999),$DD$36,_xlfn.IFNA(INDEX(DE$13:DE$68,MATCH(1,($BR566=$CV$13:$CV$68)*($BT566=$CX$13:$CX$68)*($CE566=$CY$13:$CY$68)*($BY566=$DA$13:$DA$68)*($CD566=$DH$13:$DH$68),0)),""))</f>
        <v/>
      </c>
      <c r="DO566" s="58" t="str" cm="1">
        <f t="array" ref="DO566">IF(AND($BT566=4,$BX566=4,$BU566=999),$DF$36,_xlfn.IFNA(INDEX(DF$13:DF$70,MATCH(1,($BR566=$CV$13:$CV$70)*($BT566=$CX$13:$CX$70)*($CE566=$CY$13:$CY$70)*($BY566=$DA$13:$DA$70)*($CD566=$DH$13:$DH$70),0)),""))</f>
        <v/>
      </c>
      <c r="DP566" s="58" t="e">
        <f t="shared" si="854"/>
        <v>#N/A</v>
      </c>
      <c r="DW566" s="58" t="s">
        <v>58</v>
      </c>
      <c r="DX566" s="58" t="s">
        <v>617</v>
      </c>
      <c r="DY566" s="58">
        <v>0</v>
      </c>
      <c r="DZ566" s="58">
        <v>0</v>
      </c>
      <c r="EB566" s="58">
        <v>0</v>
      </c>
      <c r="EC566" s="58">
        <v>3</v>
      </c>
      <c r="ED566" s="58">
        <v>999</v>
      </c>
      <c r="EE566" s="58">
        <v>2</v>
      </c>
      <c r="EF566" s="58">
        <v>4</v>
      </c>
      <c r="EI566" s="58" t="s">
        <v>58</v>
      </c>
      <c r="EJ566" s="58" t="s">
        <v>617</v>
      </c>
      <c r="EK566" s="58">
        <v>0</v>
      </c>
      <c r="EL566" s="58">
        <v>0</v>
      </c>
      <c r="EN566" s="58">
        <v>0</v>
      </c>
      <c r="EO566" s="58">
        <v>3</v>
      </c>
      <c r="EP566" s="58">
        <v>999</v>
      </c>
      <c r="EQ566" s="58">
        <v>2</v>
      </c>
      <c r="ER566" s="58">
        <v>4</v>
      </c>
      <c r="EU566" s="58" t="str">
        <f t="shared" si="938"/>
        <v>No</v>
      </c>
      <c r="EV566" s="58" t="str">
        <f t="shared" si="939"/>
        <v xml:space="preserve">Post progression survival </v>
      </c>
      <c r="EW566" s="58">
        <f t="shared" si="940"/>
        <v>0</v>
      </c>
      <c r="EX566" s="58">
        <f t="shared" si="941"/>
        <v>0</v>
      </c>
      <c r="EZ566" s="58">
        <f t="shared" si="942"/>
        <v>0</v>
      </c>
      <c r="FA566" s="58">
        <f t="shared" si="943"/>
        <v>3</v>
      </c>
      <c r="FB566" s="58">
        <f>IF(i_eff_inputs_based_on_num=2,ED566,(INDEX(Lists!$L$51:$L$85,MATCH(AR328,Lists!$K$51:$K$85,0))))</f>
        <v>999</v>
      </c>
      <c r="FC566" s="58">
        <f>IF(i_eff_inputs_based_on_num=2,EE566,(INDEX(Lists!$L$51:$L$85,MATCH(AS328,Lists!$K$51:$K$85,0))))</f>
        <v>2</v>
      </c>
      <c r="FD566" s="58">
        <f>IF(i_eff_inputs_based_on_num=2,EF566,(INDEX(Lists!$L$51:$L$85,MATCH(AT328,Lists!$K$51:$K$85,0))))</f>
        <v>4</v>
      </c>
      <c r="FG566" s="58" t="str">
        <f t="shared" si="944"/>
        <v>No</v>
      </c>
      <c r="FH566" s="58" t="str">
        <f t="shared" si="945"/>
        <v xml:space="preserve">Post progression survival </v>
      </c>
      <c r="FI566" s="58">
        <f t="shared" si="946"/>
        <v>0</v>
      </c>
      <c r="FJ566" s="58">
        <f t="shared" si="947"/>
        <v>0</v>
      </c>
      <c r="FL566" s="58">
        <f t="shared" si="948"/>
        <v>0</v>
      </c>
      <c r="FM566" s="58">
        <f t="shared" si="949"/>
        <v>3</v>
      </c>
      <c r="FN566" s="58">
        <f>IF(i_eff_inputs_based_on_num=2,EP566,(INDEX(Lists!$L$51:$L$85,MATCH(AR328,Lists!$K$51:$K$85,0))))</f>
        <v>999</v>
      </c>
      <c r="FO566" s="58">
        <f>IF(i_eff_inputs_based_on_num=2,EQ566,(INDEX(Lists!$L$51:$L$85,MATCH(AS328,Lists!$K$51:$K$85,0))))</f>
        <v>2</v>
      </c>
      <c r="FP566" s="58">
        <f>IF(i_eff_inputs_based_on_num=2,ER566,(INDEX(Lists!$L$51:$L$85,MATCH(AT328,Lists!$K$51:$K$85,0))))</f>
        <v>4</v>
      </c>
      <c r="FT566" s="58">
        <f t="shared" si="855"/>
        <v>0</v>
      </c>
      <c r="FW566" s="58">
        <f>IF(i_baseline_risk_from=2,'Effectiveness settings'!EW566,'Effectiveness settings'!FI566)</f>
        <v>0</v>
      </c>
      <c r="FX566" s="58">
        <f t="shared" si="856"/>
        <v>0</v>
      </c>
      <c r="FY566" s="58">
        <f t="shared" si="857"/>
        <v>0</v>
      </c>
      <c r="FZ566" s="58">
        <f t="shared" si="858"/>
        <v>0</v>
      </c>
      <c r="GA566" s="58">
        <f t="shared" si="859"/>
        <v>0</v>
      </c>
      <c r="GB566" s="58">
        <f t="shared" si="860"/>
        <v>0</v>
      </c>
      <c r="GC566" s="58">
        <f t="shared" si="861"/>
        <v>0</v>
      </c>
      <c r="GD566" s="58">
        <f t="shared" si="862"/>
        <v>0</v>
      </c>
      <c r="GE566" s="58">
        <f>IF(AND(dd_CheckMate214_TTD="Yes",'Effectiveness settings'!BU566=2,'Effectiveness settings'!BX566=2),"Apply HR to",GD566)</f>
        <v>0</v>
      </c>
      <c r="GF566" s="58">
        <f t="shared" si="863"/>
        <v>0</v>
      </c>
      <c r="GG566" s="58">
        <f t="shared" si="864"/>
        <v>0</v>
      </c>
      <c r="GH566" s="58">
        <f t="shared" si="865"/>
        <v>0</v>
      </c>
      <c r="GI566" s="58">
        <f t="shared" si="851"/>
        <v>0</v>
      </c>
      <c r="GK566" s="58">
        <f>IF(i_baseline_risk_from=2,'Effectiveness settings'!FA566,'Effectiveness settings'!FM566)</f>
        <v>3</v>
      </c>
      <c r="GL566" s="58">
        <f>IF(i_baseline_risk_from=2,'Effectiveness settings'!FB566,'Effectiveness settings'!FN566)</f>
        <v>999</v>
      </c>
      <c r="GM566" s="58">
        <f>IF(i_baseline_risk_from=2,'Effectiveness settings'!FC566,'Effectiveness settings'!FO566)</f>
        <v>2</v>
      </c>
      <c r="GN566" s="58">
        <f>IF(i_baseline_risk_from=2,'Effectiveness settings'!FD566,'Effectiveness settings'!FP566)</f>
        <v>4</v>
      </c>
      <c r="GQ566" s="58">
        <f t="shared" si="866"/>
        <v>999</v>
      </c>
      <c r="GR566" s="58">
        <f t="shared" si="867"/>
        <v>999</v>
      </c>
      <c r="GS566" s="58">
        <f t="shared" si="868"/>
        <v>999</v>
      </c>
      <c r="GT566" s="58">
        <f t="shared" si="869"/>
        <v>999</v>
      </c>
      <c r="GU566" s="58">
        <f>IF(AND(dd_CheckMate214_TTD="Yes",'Effectiveness settings'!BU566=2,'Effectiveness settings'!BX566=2),2,GT566)</f>
        <v>999</v>
      </c>
      <c r="GV566" s="58">
        <f t="shared" si="870"/>
        <v>999</v>
      </c>
      <c r="GW566" s="58">
        <f t="shared" si="871"/>
        <v>999</v>
      </c>
      <c r="GY566" s="58">
        <f>IF(AND(dd_CheckMate214_TTD="Yes",'Effectiveness settings'!BU566=2,'Effectiveness settings'!BX566=2),1,GN566)</f>
        <v>4</v>
      </c>
      <c r="GZ566" s="58">
        <f t="shared" si="872"/>
        <v>4</v>
      </c>
      <c r="HB566" s="58">
        <f t="shared" si="873"/>
        <v>0</v>
      </c>
      <c r="HD566" s="58">
        <f t="shared" si="846"/>
        <v>0</v>
      </c>
      <c r="HE566" s="58">
        <f t="shared" si="847"/>
        <v>3</v>
      </c>
      <c r="HF566" s="58">
        <f t="shared" si="848"/>
        <v>999</v>
      </c>
      <c r="HG566" s="58">
        <f t="shared" si="849"/>
        <v>2</v>
      </c>
      <c r="HH566" s="58">
        <f t="shared" si="850"/>
        <v>4</v>
      </c>
    </row>
    <row r="567" spans="69:216" ht="15.75" x14ac:dyDescent="0.25">
      <c r="BQ567" s="58">
        <f t="shared" si="853"/>
        <v>347</v>
      </c>
      <c r="BR567" s="61">
        <v>0</v>
      </c>
      <c r="BS567" s="61" t="s">
        <v>31</v>
      </c>
      <c r="BT567" s="17">
        <v>3</v>
      </c>
      <c r="BU567" s="17">
        <v>10</v>
      </c>
      <c r="BV567" s="17" t="str">
        <f t="shared" si="926"/>
        <v>everolimus</v>
      </c>
      <c r="BW567" s="1006" t="str" cm="1">
        <f t="array" ref="BW567">IF(AL329="No",AL329,INDEX(List_incl_anal_3L_all,IF(BU567=999,35,BU567+1)))</f>
        <v>No</v>
      </c>
      <c r="BX567" s="61">
        <f t="shared" si="927"/>
        <v>4</v>
      </c>
      <c r="BY567" s="531" t="str">
        <f t="shared" si="951"/>
        <v>Post progression survival</v>
      </c>
      <c r="BZ567" s="530">
        <f t="shared" si="928"/>
        <v>0</v>
      </c>
      <c r="CA567" s="531">
        <f t="shared" si="950"/>
        <v>0</v>
      </c>
      <c r="CB567" s="530">
        <f t="shared" si="929"/>
        <v>0</v>
      </c>
      <c r="CC567" s="530">
        <f t="shared" si="930"/>
        <v>3</v>
      </c>
      <c r="CD567" s="530">
        <f t="shared" si="931"/>
        <v>999</v>
      </c>
      <c r="CE567" s="1295">
        <f t="shared" si="932"/>
        <v>2</v>
      </c>
      <c r="CF567" s="1301">
        <f t="shared" si="933"/>
        <v>4</v>
      </c>
      <c r="CG567" s="530" t="str">
        <f t="shared" si="934"/>
        <v/>
      </c>
      <c r="CH567" s="505">
        <f t="shared" si="935"/>
        <v>0</v>
      </c>
      <c r="CI567" s="505">
        <f t="shared" si="936"/>
        <v>0</v>
      </c>
      <c r="CJ567" s="505">
        <f t="shared" si="937"/>
        <v>0</v>
      </c>
      <c r="DK567" s="58" t="str" cm="1">
        <f t="array" ref="DK567">IF(AND($BT567=4,$BX567=4,$BU567=999),$DB$36,_xlfn.IFNA(INDEX(DB$13:DB$70,MATCH(1,($BR567=$CV$13:$CV$70)*($BT567=$CX$13:$CX$70)*($CE567=$CY$13:$CY$70)*($BY567=$DA$13:$DA$70)*($CD567=$DH$13:$DH$70),0)),""))</f>
        <v/>
      </c>
      <c r="DL567" s="58" t="str" cm="1">
        <f t="array" ref="DL567">IF(AND($BT567=4,$BX567=4,$BU567=999),$DC$36,_xlfn.IFNA(INDEX(CHOOSE(DP567,DB$13:DB$70,DC$13:DC$70,DD$13:DD$70,DE$13:DE$70),MATCH(1,($BR567=$CV$13:$CV$70)*($BT567=$CX$13:$CX$70)*($CE567=$CY$13:$CY$70)*($BY567=$DA$13:$DA$70)*($CD567=$DH$13:$DH$70),0)),""))</f>
        <v/>
      </c>
      <c r="DM567" s="740" t="str" cm="1">
        <f t="array" ref="DM567">IF(AND($BT567=4,$BX567=4,$BU567=999),$DD$36,_xlfn.IFNA(INDEX(DD$13:DD$68,MATCH(1,($BR567=$CV$13:$CV$68)*($BT567=$CX$13:$CX$68)*($CE567=$CY$13:$CY$68)*($BY567=$DA$13:$DA$68)*($CD567=$DH$13:$DH$68),0)),""))</f>
        <v/>
      </c>
      <c r="DN567" s="740" t="str" cm="1">
        <f t="array" ref="DN567">IF(AND($BT567=4,$BX567=4,$BU567=999),$DD$36,_xlfn.IFNA(INDEX(DE$13:DE$68,MATCH(1,($BR567=$CV$13:$CV$68)*($BT567=$CX$13:$CX$68)*($CE567=$CY$13:$CY$68)*($BY567=$DA$13:$DA$68)*($CD567=$DH$13:$DH$68),0)),""))</f>
        <v/>
      </c>
      <c r="DO567" s="58" t="str" cm="1">
        <f t="array" ref="DO567">IF(AND($BT567=4,$BX567=4,$BU567=999),$DF$36,_xlfn.IFNA(INDEX(DF$13:DF$70,MATCH(1,($BR567=$CV$13:$CV$70)*($BT567=$CX$13:$CX$70)*($CE567=$CY$13:$CY$70)*($BY567=$DA$13:$DA$70)*($CD567=$DH$13:$DH$70),0)),""))</f>
        <v/>
      </c>
      <c r="DP567" s="58" t="e">
        <f t="shared" si="854"/>
        <v>#N/A</v>
      </c>
      <c r="DW567" s="58" t="s">
        <v>58</v>
      </c>
      <c r="DX567" s="58" t="s">
        <v>617</v>
      </c>
      <c r="DY567" s="58">
        <v>0</v>
      </c>
      <c r="DZ567" s="58">
        <v>0</v>
      </c>
      <c r="EB567" s="58">
        <v>0</v>
      </c>
      <c r="EC567" s="58">
        <v>3</v>
      </c>
      <c r="ED567" s="58">
        <v>999</v>
      </c>
      <c r="EE567" s="58">
        <v>2</v>
      </c>
      <c r="EF567" s="58">
        <v>4</v>
      </c>
      <c r="EI567" s="58" t="s">
        <v>58</v>
      </c>
      <c r="EJ567" s="58" t="s">
        <v>617</v>
      </c>
      <c r="EK567" s="58">
        <v>0</v>
      </c>
      <c r="EL567" s="58">
        <v>0</v>
      </c>
      <c r="EN567" s="58">
        <v>0</v>
      </c>
      <c r="EO567" s="58">
        <v>3</v>
      </c>
      <c r="EP567" s="58">
        <v>999</v>
      </c>
      <c r="EQ567" s="58">
        <v>2</v>
      </c>
      <c r="ER567" s="58">
        <v>4</v>
      </c>
      <c r="EU567" s="58" t="str">
        <f t="shared" si="938"/>
        <v>No</v>
      </c>
      <c r="EV567" s="58" t="str">
        <f t="shared" si="939"/>
        <v xml:space="preserve">Post progression survival </v>
      </c>
      <c r="EW567" s="58">
        <f t="shared" si="940"/>
        <v>0</v>
      </c>
      <c r="EX567" s="58">
        <f t="shared" si="941"/>
        <v>0</v>
      </c>
      <c r="EZ567" s="58">
        <f t="shared" si="942"/>
        <v>0</v>
      </c>
      <c r="FA567" s="58">
        <f t="shared" si="943"/>
        <v>3</v>
      </c>
      <c r="FB567" s="58">
        <f>IF(i_eff_inputs_based_on_num=2,ED567,(INDEX(Lists!$L$51:$L$85,MATCH(AR329,Lists!$K$51:$K$85,0))))</f>
        <v>999</v>
      </c>
      <c r="FC567" s="58">
        <f>IF(i_eff_inputs_based_on_num=2,EE567,(INDEX(Lists!$L$51:$L$85,MATCH(AS329,Lists!$K$51:$K$85,0))))</f>
        <v>2</v>
      </c>
      <c r="FD567" s="58">
        <f>IF(i_eff_inputs_based_on_num=2,EF567,(INDEX(Lists!$L$51:$L$85,MATCH(AT329,Lists!$K$51:$K$85,0))))</f>
        <v>4</v>
      </c>
      <c r="FG567" s="58" t="str">
        <f t="shared" si="944"/>
        <v>No</v>
      </c>
      <c r="FH567" s="58" t="str">
        <f t="shared" si="945"/>
        <v xml:space="preserve">Post progression survival </v>
      </c>
      <c r="FI567" s="58">
        <f t="shared" si="946"/>
        <v>0</v>
      </c>
      <c r="FJ567" s="58">
        <f t="shared" si="947"/>
        <v>0</v>
      </c>
      <c r="FL567" s="58">
        <f t="shared" si="948"/>
        <v>0</v>
      </c>
      <c r="FM567" s="58">
        <f t="shared" si="949"/>
        <v>3</v>
      </c>
      <c r="FN567" s="58">
        <f>IF(i_eff_inputs_based_on_num=2,EP567,(INDEX(Lists!$L$51:$L$85,MATCH(AR329,Lists!$K$51:$K$85,0))))</f>
        <v>999</v>
      </c>
      <c r="FO567" s="58">
        <f>IF(i_eff_inputs_based_on_num=2,EQ567,(INDEX(Lists!$L$51:$L$85,MATCH(AS329,Lists!$K$51:$K$85,0))))</f>
        <v>2</v>
      </c>
      <c r="FP567" s="58">
        <f>IF(i_eff_inputs_based_on_num=2,ER567,(INDEX(Lists!$L$51:$L$85,MATCH(AT329,Lists!$K$51:$K$85,0))))</f>
        <v>4</v>
      </c>
      <c r="FT567" s="58">
        <f t="shared" si="855"/>
        <v>0</v>
      </c>
      <c r="FW567" s="58">
        <f>IF(i_baseline_risk_from=2,'Effectiveness settings'!EW567,'Effectiveness settings'!FI567)</f>
        <v>0</v>
      </c>
      <c r="FX567" s="58">
        <f t="shared" si="856"/>
        <v>0</v>
      </c>
      <c r="FY567" s="58">
        <f t="shared" si="857"/>
        <v>0</v>
      </c>
      <c r="FZ567" s="58">
        <f t="shared" si="858"/>
        <v>0</v>
      </c>
      <c r="GA567" s="58">
        <f t="shared" si="859"/>
        <v>0</v>
      </c>
      <c r="GB567" s="58">
        <f t="shared" si="860"/>
        <v>0</v>
      </c>
      <c r="GC567" s="58">
        <f t="shared" si="861"/>
        <v>0</v>
      </c>
      <c r="GD567" s="58">
        <f t="shared" si="862"/>
        <v>0</v>
      </c>
      <c r="GE567" s="58">
        <f>IF(AND(dd_CheckMate214_TTD="Yes",'Effectiveness settings'!BU567=2,'Effectiveness settings'!BX567=2),"Apply HR to",GD567)</f>
        <v>0</v>
      </c>
      <c r="GF567" s="58">
        <f t="shared" si="863"/>
        <v>0</v>
      </c>
      <c r="GG567" s="58">
        <f t="shared" si="864"/>
        <v>0</v>
      </c>
      <c r="GH567" s="58">
        <f t="shared" si="865"/>
        <v>0</v>
      </c>
      <c r="GI567" s="58">
        <f t="shared" si="851"/>
        <v>0</v>
      </c>
      <c r="GK567" s="58">
        <f>IF(i_baseline_risk_from=2,'Effectiveness settings'!FA567,'Effectiveness settings'!FM567)</f>
        <v>3</v>
      </c>
      <c r="GL567" s="58">
        <f>IF(i_baseline_risk_from=2,'Effectiveness settings'!FB567,'Effectiveness settings'!FN567)</f>
        <v>999</v>
      </c>
      <c r="GM567" s="58">
        <f>IF(i_baseline_risk_from=2,'Effectiveness settings'!FC567,'Effectiveness settings'!FO567)</f>
        <v>2</v>
      </c>
      <c r="GN567" s="58">
        <f>IF(i_baseline_risk_from=2,'Effectiveness settings'!FD567,'Effectiveness settings'!FP567)</f>
        <v>4</v>
      </c>
      <c r="GQ567" s="58">
        <f t="shared" si="866"/>
        <v>999</v>
      </c>
      <c r="GR567" s="58">
        <f t="shared" si="867"/>
        <v>999</v>
      </c>
      <c r="GS567" s="58">
        <f t="shared" si="868"/>
        <v>999</v>
      </c>
      <c r="GT567" s="58">
        <f t="shared" si="869"/>
        <v>999</v>
      </c>
      <c r="GU567" s="58">
        <f>IF(AND(dd_CheckMate214_TTD="Yes",'Effectiveness settings'!BU567=2,'Effectiveness settings'!BX567=2),2,GT567)</f>
        <v>999</v>
      </c>
      <c r="GV567" s="58">
        <f t="shared" si="870"/>
        <v>999</v>
      </c>
      <c r="GW567" s="58">
        <f t="shared" si="871"/>
        <v>999</v>
      </c>
      <c r="GY567" s="58">
        <f>IF(AND(dd_CheckMate214_TTD="Yes",'Effectiveness settings'!BU567=2,'Effectiveness settings'!BX567=2),1,GN567)</f>
        <v>4</v>
      </c>
      <c r="GZ567" s="58">
        <f t="shared" si="872"/>
        <v>4</v>
      </c>
      <c r="HB567" s="58">
        <f t="shared" si="873"/>
        <v>0</v>
      </c>
      <c r="HD567" s="58">
        <f t="shared" si="846"/>
        <v>0</v>
      </c>
      <c r="HE567" s="58">
        <f t="shared" si="847"/>
        <v>3</v>
      </c>
      <c r="HF567" s="58">
        <f t="shared" si="848"/>
        <v>999</v>
      </c>
      <c r="HG567" s="58">
        <f t="shared" si="849"/>
        <v>2</v>
      </c>
      <c r="HH567" s="58">
        <f t="shared" si="850"/>
        <v>4</v>
      </c>
    </row>
    <row r="568" spans="69:216" ht="15.75" x14ac:dyDescent="0.25">
      <c r="BQ568" s="58">
        <f t="shared" si="853"/>
        <v>348</v>
      </c>
      <c r="BR568" s="61">
        <v>0</v>
      </c>
      <c r="BS568" s="61" t="s">
        <v>31</v>
      </c>
      <c r="BT568" s="17">
        <v>3</v>
      </c>
      <c r="BU568" s="17">
        <v>11</v>
      </c>
      <c r="BV568" s="17" t="str">
        <f t="shared" si="926"/>
        <v>axitinib</v>
      </c>
      <c r="BW568" s="1006" t="str" cm="1">
        <f t="array" ref="BW568">IF(AL330="No",AL330,INDEX(List_incl_anal_3L_all,IF(BU568=999,35,BU568+1)))</f>
        <v>No</v>
      </c>
      <c r="BX568" s="61">
        <f t="shared" si="927"/>
        <v>4</v>
      </c>
      <c r="BY568" s="531" t="str">
        <f t="shared" si="951"/>
        <v>Post progression survival</v>
      </c>
      <c r="BZ568" s="530">
        <f t="shared" si="928"/>
        <v>0</v>
      </c>
      <c r="CA568" s="531">
        <f t="shared" si="950"/>
        <v>0</v>
      </c>
      <c r="CB568" s="530">
        <f t="shared" si="929"/>
        <v>0</v>
      </c>
      <c r="CC568" s="530">
        <f t="shared" si="930"/>
        <v>3</v>
      </c>
      <c r="CD568" s="530">
        <f t="shared" si="931"/>
        <v>999</v>
      </c>
      <c r="CE568" s="1295">
        <f t="shared" si="932"/>
        <v>2</v>
      </c>
      <c r="CF568" s="1301">
        <f t="shared" si="933"/>
        <v>4</v>
      </c>
      <c r="CG568" s="530" t="str">
        <f t="shared" si="934"/>
        <v/>
      </c>
      <c r="CH568" s="505">
        <f t="shared" si="935"/>
        <v>0</v>
      </c>
      <c r="CI568" s="505">
        <f t="shared" si="936"/>
        <v>0</v>
      </c>
      <c r="CJ568" s="505">
        <f t="shared" si="937"/>
        <v>0</v>
      </c>
      <c r="DK568" s="58" t="str" cm="1">
        <f t="array" ref="DK568">IF(AND($BT568=4,$BX568=4,$BU568=999),$DB$36,_xlfn.IFNA(INDEX(DB$13:DB$70,MATCH(1,($BR568=$CV$13:$CV$70)*($BT568=$CX$13:$CX$70)*($CE568=$CY$13:$CY$70)*($BY568=$DA$13:$DA$70)*($CD568=$DH$13:$DH$70),0)),""))</f>
        <v/>
      </c>
      <c r="DL568" s="58" t="str" cm="1">
        <f t="array" ref="DL568">IF(AND($BT568=4,$BX568=4,$BU568=999),$DC$36,_xlfn.IFNA(INDEX(CHOOSE(DP568,DB$13:DB$70,DC$13:DC$70,DD$13:DD$70,DE$13:DE$70),MATCH(1,($BR568=$CV$13:$CV$70)*($BT568=$CX$13:$CX$70)*($CE568=$CY$13:$CY$70)*($BY568=$DA$13:$DA$70)*($CD568=$DH$13:$DH$70),0)),""))</f>
        <v/>
      </c>
      <c r="DM568" s="740" t="str" cm="1">
        <f t="array" ref="DM568">IF(AND($BT568=4,$BX568=4,$BU568=999),$DD$36,_xlfn.IFNA(INDEX(DD$13:DD$68,MATCH(1,($BR568=$CV$13:$CV$68)*($BT568=$CX$13:$CX$68)*($CE568=$CY$13:$CY$68)*($BY568=$DA$13:$DA$68)*($CD568=$DH$13:$DH$68),0)),""))</f>
        <v/>
      </c>
      <c r="DN568" s="740" t="str" cm="1">
        <f t="array" ref="DN568">IF(AND($BT568=4,$BX568=4,$BU568=999),$DD$36,_xlfn.IFNA(INDEX(DE$13:DE$68,MATCH(1,($BR568=$CV$13:$CV$68)*($BT568=$CX$13:$CX$68)*($CE568=$CY$13:$CY$68)*($BY568=$DA$13:$DA$68)*($CD568=$DH$13:$DH$68),0)),""))</f>
        <v/>
      </c>
      <c r="DO568" s="58" t="str" cm="1">
        <f t="array" ref="DO568">IF(AND($BT568=4,$BX568=4,$BU568=999),$DF$36,_xlfn.IFNA(INDEX(DF$13:DF$70,MATCH(1,($BR568=$CV$13:$CV$70)*($BT568=$CX$13:$CX$70)*($CE568=$CY$13:$CY$70)*($BY568=$DA$13:$DA$70)*($CD568=$DH$13:$DH$70),0)),""))</f>
        <v/>
      </c>
      <c r="DP568" s="58" t="e">
        <f t="shared" si="854"/>
        <v>#N/A</v>
      </c>
      <c r="DW568" s="58" t="s">
        <v>58</v>
      </c>
      <c r="DX568" s="58" t="s">
        <v>617</v>
      </c>
      <c r="DY568" s="58">
        <v>0</v>
      </c>
      <c r="DZ568" s="58">
        <v>0</v>
      </c>
      <c r="EB568" s="58">
        <v>0</v>
      </c>
      <c r="EC568" s="58">
        <v>3</v>
      </c>
      <c r="ED568" s="58">
        <v>999</v>
      </c>
      <c r="EE568" s="58">
        <v>2</v>
      </c>
      <c r="EF568" s="58">
        <v>4</v>
      </c>
      <c r="EI568" s="58" t="s">
        <v>58</v>
      </c>
      <c r="EJ568" s="58" t="s">
        <v>617</v>
      </c>
      <c r="EK568" s="58">
        <v>0</v>
      </c>
      <c r="EL568" s="58">
        <v>0</v>
      </c>
      <c r="EN568" s="58">
        <v>0</v>
      </c>
      <c r="EO568" s="58">
        <v>3</v>
      </c>
      <c r="EP568" s="58">
        <v>999</v>
      </c>
      <c r="EQ568" s="58">
        <v>2</v>
      </c>
      <c r="ER568" s="58">
        <v>4</v>
      </c>
      <c r="EU568" s="58" t="str">
        <f t="shared" si="938"/>
        <v>No</v>
      </c>
      <c r="EV568" s="58" t="str">
        <f t="shared" si="939"/>
        <v xml:space="preserve">Post progression survival </v>
      </c>
      <c r="EW568" s="58">
        <f t="shared" si="940"/>
        <v>0</v>
      </c>
      <c r="EX568" s="58">
        <f t="shared" si="941"/>
        <v>0</v>
      </c>
      <c r="EZ568" s="58">
        <f t="shared" si="942"/>
        <v>0</v>
      </c>
      <c r="FA568" s="58">
        <f t="shared" si="943"/>
        <v>3</v>
      </c>
      <c r="FB568" s="58">
        <f>IF(i_eff_inputs_based_on_num=2,ED568,(INDEX(Lists!$L$51:$L$85,MATCH(AR330,Lists!$K$51:$K$85,0))))</f>
        <v>999</v>
      </c>
      <c r="FC568" s="58">
        <f>IF(i_eff_inputs_based_on_num=2,EE568,(INDEX(Lists!$L$51:$L$85,MATCH(AS330,Lists!$K$51:$K$85,0))))</f>
        <v>2</v>
      </c>
      <c r="FD568" s="58">
        <f>IF(i_eff_inputs_based_on_num=2,EF568,(INDEX(Lists!$L$51:$L$85,MATCH(AT330,Lists!$K$51:$K$85,0))))</f>
        <v>4</v>
      </c>
      <c r="FG568" s="58" t="str">
        <f t="shared" si="944"/>
        <v>No</v>
      </c>
      <c r="FH568" s="58" t="str">
        <f t="shared" si="945"/>
        <v xml:space="preserve">Post progression survival </v>
      </c>
      <c r="FI568" s="58">
        <f t="shared" si="946"/>
        <v>0</v>
      </c>
      <c r="FJ568" s="58">
        <f t="shared" si="947"/>
        <v>0</v>
      </c>
      <c r="FL568" s="58">
        <f t="shared" si="948"/>
        <v>0</v>
      </c>
      <c r="FM568" s="58">
        <f t="shared" si="949"/>
        <v>3</v>
      </c>
      <c r="FN568" s="58">
        <f>IF(i_eff_inputs_based_on_num=2,EP568,(INDEX(Lists!$L$51:$L$85,MATCH(AR330,Lists!$K$51:$K$85,0))))</f>
        <v>999</v>
      </c>
      <c r="FO568" s="58">
        <f>IF(i_eff_inputs_based_on_num=2,EQ568,(INDEX(Lists!$L$51:$L$85,MATCH(AS330,Lists!$K$51:$K$85,0))))</f>
        <v>2</v>
      </c>
      <c r="FP568" s="58">
        <f>IF(i_eff_inputs_based_on_num=2,ER568,(INDEX(Lists!$L$51:$L$85,MATCH(AT330,Lists!$K$51:$K$85,0))))</f>
        <v>4</v>
      </c>
      <c r="FT568" s="58">
        <f t="shared" si="855"/>
        <v>0</v>
      </c>
      <c r="FW568" s="58">
        <f>IF(i_baseline_risk_from=2,'Effectiveness settings'!EW568,'Effectiveness settings'!FI568)</f>
        <v>0</v>
      </c>
      <c r="FX568" s="58">
        <f t="shared" si="856"/>
        <v>0</v>
      </c>
      <c r="FY568" s="58">
        <f t="shared" si="857"/>
        <v>0</v>
      </c>
      <c r="FZ568" s="58">
        <f t="shared" si="858"/>
        <v>0</v>
      </c>
      <c r="GA568" s="58">
        <f t="shared" si="859"/>
        <v>0</v>
      </c>
      <c r="GB568" s="58">
        <f t="shared" si="860"/>
        <v>0</v>
      </c>
      <c r="GC568" s="58">
        <f t="shared" si="861"/>
        <v>0</v>
      </c>
      <c r="GD568" s="58">
        <f t="shared" si="862"/>
        <v>0</v>
      </c>
      <c r="GE568" s="58">
        <f>IF(AND(dd_CheckMate214_TTD="Yes",'Effectiveness settings'!BU568=2,'Effectiveness settings'!BX568=2),"Apply HR to",GD568)</f>
        <v>0</v>
      </c>
      <c r="GF568" s="58">
        <f t="shared" si="863"/>
        <v>0</v>
      </c>
      <c r="GG568" s="58">
        <f t="shared" si="864"/>
        <v>0</v>
      </c>
      <c r="GH568" s="58">
        <f t="shared" si="865"/>
        <v>0</v>
      </c>
      <c r="GI568" s="58">
        <f t="shared" si="851"/>
        <v>0</v>
      </c>
      <c r="GK568" s="58">
        <f>IF(i_baseline_risk_from=2,'Effectiveness settings'!FA568,'Effectiveness settings'!FM568)</f>
        <v>3</v>
      </c>
      <c r="GL568" s="58">
        <f>IF(i_baseline_risk_from=2,'Effectiveness settings'!FB568,'Effectiveness settings'!FN568)</f>
        <v>999</v>
      </c>
      <c r="GM568" s="58">
        <f>IF(i_baseline_risk_from=2,'Effectiveness settings'!FC568,'Effectiveness settings'!FO568)</f>
        <v>2</v>
      </c>
      <c r="GN568" s="58">
        <f>IF(i_baseline_risk_from=2,'Effectiveness settings'!FD568,'Effectiveness settings'!FP568)</f>
        <v>4</v>
      </c>
      <c r="GQ568" s="58">
        <f t="shared" si="866"/>
        <v>999</v>
      </c>
      <c r="GR568" s="58">
        <f t="shared" si="867"/>
        <v>999</v>
      </c>
      <c r="GS568" s="58">
        <f t="shared" si="868"/>
        <v>999</v>
      </c>
      <c r="GT568" s="58">
        <f t="shared" si="869"/>
        <v>999</v>
      </c>
      <c r="GU568" s="58">
        <f>IF(AND(dd_CheckMate214_TTD="Yes",'Effectiveness settings'!BU568=2,'Effectiveness settings'!BX568=2),2,GT568)</f>
        <v>999</v>
      </c>
      <c r="GV568" s="58">
        <f t="shared" si="870"/>
        <v>999</v>
      </c>
      <c r="GW568" s="58">
        <f t="shared" si="871"/>
        <v>999</v>
      </c>
      <c r="GY568" s="58">
        <f>IF(AND(dd_CheckMate214_TTD="Yes",'Effectiveness settings'!BU568=2,'Effectiveness settings'!BX568=2),1,GN568)</f>
        <v>4</v>
      </c>
      <c r="GZ568" s="58">
        <f t="shared" si="872"/>
        <v>4</v>
      </c>
      <c r="HB568" s="58">
        <f t="shared" si="873"/>
        <v>0</v>
      </c>
      <c r="HD568" s="58">
        <f t="shared" si="846"/>
        <v>0</v>
      </c>
      <c r="HE568" s="58">
        <f t="shared" si="847"/>
        <v>3</v>
      </c>
      <c r="HF568" s="58">
        <f t="shared" si="848"/>
        <v>999</v>
      </c>
      <c r="HG568" s="58">
        <f t="shared" si="849"/>
        <v>2</v>
      </c>
      <c r="HH568" s="58">
        <f t="shared" si="850"/>
        <v>4</v>
      </c>
    </row>
    <row r="569" spans="69:216" ht="15.75" x14ac:dyDescent="0.25">
      <c r="BQ569" s="58">
        <f t="shared" si="853"/>
        <v>349</v>
      </c>
      <c r="BR569" s="61">
        <v>0</v>
      </c>
      <c r="BS569" s="61" t="s">
        <v>31</v>
      </c>
      <c r="BT569" s="17">
        <v>3</v>
      </c>
      <c r="BU569" s="17">
        <v>12</v>
      </c>
      <c r="BV569" s="17" t="str">
        <f t="shared" si="926"/>
        <v>sorafenib</v>
      </c>
      <c r="BW569" s="1006" t="str" cm="1">
        <f t="array" ref="BW569">IF(AL331="No",AL331,INDEX(List_incl_anal_3L_all,IF(BU569=999,35,BU569+1)))</f>
        <v>No</v>
      </c>
      <c r="BX569" s="61">
        <f t="shared" si="927"/>
        <v>4</v>
      </c>
      <c r="BY569" s="531" t="str">
        <f t="shared" si="951"/>
        <v>Post progression survival</v>
      </c>
      <c r="BZ569" s="530">
        <f t="shared" si="928"/>
        <v>0</v>
      </c>
      <c r="CA569" s="531">
        <f t="shared" si="950"/>
        <v>0</v>
      </c>
      <c r="CB569" s="530">
        <f t="shared" si="929"/>
        <v>0</v>
      </c>
      <c r="CC569" s="530">
        <f t="shared" si="930"/>
        <v>3</v>
      </c>
      <c r="CD569" s="530">
        <f t="shared" si="931"/>
        <v>999</v>
      </c>
      <c r="CE569" s="1295">
        <f t="shared" si="932"/>
        <v>2</v>
      </c>
      <c r="CF569" s="1301">
        <f t="shared" si="933"/>
        <v>4</v>
      </c>
      <c r="CG569" s="530" t="str">
        <f t="shared" si="934"/>
        <v/>
      </c>
      <c r="CH569" s="505">
        <f t="shared" si="935"/>
        <v>0</v>
      </c>
      <c r="CI569" s="505">
        <f t="shared" si="936"/>
        <v>0</v>
      </c>
      <c r="CJ569" s="505">
        <f t="shared" si="937"/>
        <v>0</v>
      </c>
      <c r="DK569" s="58" t="str" cm="1">
        <f t="array" ref="DK569">IF(AND($BT569=4,$BX569=4,$BU569=999),$DB$36,_xlfn.IFNA(INDEX(DB$13:DB$70,MATCH(1,($BR569=$CV$13:$CV$70)*($BT569=$CX$13:$CX$70)*($CE569=$CY$13:$CY$70)*($BY569=$DA$13:$DA$70)*($CD569=$DH$13:$DH$70),0)),""))</f>
        <v/>
      </c>
      <c r="DL569" s="58" t="str" cm="1">
        <f t="array" ref="DL569">IF(AND($BT569=4,$BX569=4,$BU569=999),$DC$36,_xlfn.IFNA(INDEX(CHOOSE(DP569,DB$13:DB$70,DC$13:DC$70,DD$13:DD$70,DE$13:DE$70),MATCH(1,($BR569=$CV$13:$CV$70)*($BT569=$CX$13:$CX$70)*($CE569=$CY$13:$CY$70)*($BY569=$DA$13:$DA$70)*($CD569=$DH$13:$DH$70),0)),""))</f>
        <v/>
      </c>
      <c r="DM569" s="740" t="str" cm="1">
        <f t="array" ref="DM569">IF(AND($BT569=4,$BX569=4,$BU569=999),$DD$36,_xlfn.IFNA(INDEX(DD$13:DD$68,MATCH(1,($BR569=$CV$13:$CV$68)*($BT569=$CX$13:$CX$68)*($CE569=$CY$13:$CY$68)*($BY569=$DA$13:$DA$68)*($CD569=$DH$13:$DH$68),0)),""))</f>
        <v/>
      </c>
      <c r="DN569" s="740" t="str" cm="1">
        <f t="array" ref="DN569">IF(AND($BT569=4,$BX569=4,$BU569=999),$DD$36,_xlfn.IFNA(INDEX(DE$13:DE$68,MATCH(1,($BR569=$CV$13:$CV$68)*($BT569=$CX$13:$CX$68)*($CE569=$CY$13:$CY$68)*($BY569=$DA$13:$DA$68)*($CD569=$DH$13:$DH$68),0)),""))</f>
        <v/>
      </c>
      <c r="DO569" s="58" t="str" cm="1">
        <f t="array" ref="DO569">IF(AND($BT569=4,$BX569=4,$BU569=999),$DF$36,_xlfn.IFNA(INDEX(DF$13:DF$70,MATCH(1,($BR569=$CV$13:$CV$70)*($BT569=$CX$13:$CX$70)*($CE569=$CY$13:$CY$70)*($BY569=$DA$13:$DA$70)*($CD569=$DH$13:$DH$70),0)),""))</f>
        <v/>
      </c>
      <c r="DP569" s="58" t="e">
        <f t="shared" si="854"/>
        <v>#N/A</v>
      </c>
      <c r="DW569" s="58" t="s">
        <v>58</v>
      </c>
      <c r="DX569" s="58" t="s">
        <v>617</v>
      </c>
      <c r="DY569" s="58">
        <v>0</v>
      </c>
      <c r="DZ569" s="58">
        <v>0</v>
      </c>
      <c r="EB569" s="58">
        <v>0</v>
      </c>
      <c r="EC569" s="58">
        <v>3</v>
      </c>
      <c r="ED569" s="58">
        <v>999</v>
      </c>
      <c r="EE569" s="58">
        <v>2</v>
      </c>
      <c r="EF569" s="58">
        <v>4</v>
      </c>
      <c r="EI569" s="58" t="s">
        <v>58</v>
      </c>
      <c r="EJ569" s="58" t="s">
        <v>617</v>
      </c>
      <c r="EK569" s="58">
        <v>0</v>
      </c>
      <c r="EL569" s="58">
        <v>0</v>
      </c>
      <c r="EN569" s="58">
        <v>0</v>
      </c>
      <c r="EO569" s="58">
        <v>3</v>
      </c>
      <c r="EP569" s="58">
        <v>999</v>
      </c>
      <c r="EQ569" s="58">
        <v>2</v>
      </c>
      <c r="ER569" s="58">
        <v>4</v>
      </c>
      <c r="EU569" s="58" t="str">
        <f t="shared" si="938"/>
        <v>No</v>
      </c>
      <c r="EV569" s="58" t="str">
        <f t="shared" si="939"/>
        <v xml:space="preserve">Post progression survival </v>
      </c>
      <c r="EW569" s="58">
        <f t="shared" si="940"/>
        <v>0</v>
      </c>
      <c r="EX569" s="58">
        <f t="shared" si="941"/>
        <v>0</v>
      </c>
      <c r="EZ569" s="58">
        <f t="shared" si="942"/>
        <v>0</v>
      </c>
      <c r="FA569" s="58">
        <f t="shared" si="943"/>
        <v>3</v>
      </c>
      <c r="FB569" s="58">
        <f>IF(i_eff_inputs_based_on_num=2,ED569,(INDEX(Lists!$L$51:$L$85,MATCH(AR331,Lists!$K$51:$K$85,0))))</f>
        <v>999</v>
      </c>
      <c r="FC569" s="58">
        <f>IF(i_eff_inputs_based_on_num=2,EE569,(INDEX(Lists!$L$51:$L$85,MATCH(AS331,Lists!$K$51:$K$85,0))))</f>
        <v>2</v>
      </c>
      <c r="FD569" s="58">
        <f>IF(i_eff_inputs_based_on_num=2,EF569,(INDEX(Lists!$L$51:$L$85,MATCH(AT331,Lists!$K$51:$K$85,0))))</f>
        <v>4</v>
      </c>
      <c r="FG569" s="58" t="str">
        <f t="shared" si="944"/>
        <v>No</v>
      </c>
      <c r="FH569" s="58" t="str">
        <f t="shared" si="945"/>
        <v xml:space="preserve">Post progression survival </v>
      </c>
      <c r="FI569" s="58">
        <f t="shared" si="946"/>
        <v>0</v>
      </c>
      <c r="FJ569" s="58">
        <f t="shared" si="947"/>
        <v>0</v>
      </c>
      <c r="FL569" s="58">
        <f t="shared" si="948"/>
        <v>0</v>
      </c>
      <c r="FM569" s="58">
        <f t="shared" si="949"/>
        <v>3</v>
      </c>
      <c r="FN569" s="58">
        <f>IF(i_eff_inputs_based_on_num=2,EP569,(INDEX(Lists!$L$51:$L$85,MATCH(AR331,Lists!$K$51:$K$85,0))))</f>
        <v>999</v>
      </c>
      <c r="FO569" s="58">
        <f>IF(i_eff_inputs_based_on_num=2,EQ569,(INDEX(Lists!$L$51:$L$85,MATCH(AS331,Lists!$K$51:$K$85,0))))</f>
        <v>2</v>
      </c>
      <c r="FP569" s="58">
        <f>IF(i_eff_inputs_based_on_num=2,ER569,(INDEX(Lists!$L$51:$L$85,MATCH(AT331,Lists!$K$51:$K$85,0))))</f>
        <v>4</v>
      </c>
      <c r="FT569" s="58">
        <f t="shared" si="855"/>
        <v>0</v>
      </c>
      <c r="FW569" s="58">
        <f>IF(i_baseline_risk_from=2,'Effectiveness settings'!EW569,'Effectiveness settings'!FI569)</f>
        <v>0</v>
      </c>
      <c r="FX569" s="58">
        <f t="shared" si="856"/>
        <v>0</v>
      </c>
      <c r="FY569" s="58">
        <f t="shared" si="857"/>
        <v>0</v>
      </c>
      <c r="FZ569" s="58">
        <f t="shared" si="858"/>
        <v>0</v>
      </c>
      <c r="GA569" s="58">
        <f t="shared" si="859"/>
        <v>0</v>
      </c>
      <c r="GB569" s="58">
        <f t="shared" si="860"/>
        <v>0</v>
      </c>
      <c r="GC569" s="58">
        <f t="shared" si="861"/>
        <v>0</v>
      </c>
      <c r="GD569" s="58">
        <f t="shared" si="862"/>
        <v>0</v>
      </c>
      <c r="GE569" s="58">
        <f>IF(AND(dd_CheckMate214_TTD="Yes",'Effectiveness settings'!BU569=2,'Effectiveness settings'!BX569=2),"Apply HR to",GD569)</f>
        <v>0</v>
      </c>
      <c r="GF569" s="58">
        <f t="shared" si="863"/>
        <v>0</v>
      </c>
      <c r="GG569" s="58">
        <f t="shared" si="864"/>
        <v>0</v>
      </c>
      <c r="GH569" s="58">
        <f t="shared" si="865"/>
        <v>0</v>
      </c>
      <c r="GI569" s="58">
        <f t="shared" si="851"/>
        <v>0</v>
      </c>
      <c r="GK569" s="58">
        <f>IF(i_baseline_risk_from=2,'Effectiveness settings'!FA569,'Effectiveness settings'!FM569)</f>
        <v>3</v>
      </c>
      <c r="GL569" s="58">
        <f>IF(i_baseline_risk_from=2,'Effectiveness settings'!FB569,'Effectiveness settings'!FN569)</f>
        <v>999</v>
      </c>
      <c r="GM569" s="58">
        <f>IF(i_baseline_risk_from=2,'Effectiveness settings'!FC569,'Effectiveness settings'!FO569)</f>
        <v>2</v>
      </c>
      <c r="GN569" s="58">
        <f>IF(i_baseline_risk_from=2,'Effectiveness settings'!FD569,'Effectiveness settings'!FP569)</f>
        <v>4</v>
      </c>
      <c r="GQ569" s="58">
        <f t="shared" si="866"/>
        <v>999</v>
      </c>
      <c r="GR569" s="58">
        <f t="shared" si="867"/>
        <v>999</v>
      </c>
      <c r="GS569" s="58">
        <f t="shared" si="868"/>
        <v>999</v>
      </c>
      <c r="GT569" s="58">
        <f t="shared" si="869"/>
        <v>999</v>
      </c>
      <c r="GU569" s="58">
        <f>IF(AND(dd_CheckMate214_TTD="Yes",'Effectiveness settings'!BU569=2,'Effectiveness settings'!BX569=2),2,GT569)</f>
        <v>999</v>
      </c>
      <c r="GV569" s="58">
        <f t="shared" si="870"/>
        <v>999</v>
      </c>
      <c r="GW569" s="58">
        <f t="shared" si="871"/>
        <v>999</v>
      </c>
      <c r="GY569" s="58">
        <f>IF(AND(dd_CheckMate214_TTD="Yes",'Effectiveness settings'!BU569=2,'Effectiveness settings'!BX569=2),1,GN569)</f>
        <v>4</v>
      </c>
      <c r="GZ569" s="58">
        <f t="shared" si="872"/>
        <v>4</v>
      </c>
      <c r="HB569" s="58">
        <f t="shared" si="873"/>
        <v>0</v>
      </c>
      <c r="HD569" s="58">
        <f t="shared" si="846"/>
        <v>0</v>
      </c>
      <c r="HE569" s="58">
        <f t="shared" si="847"/>
        <v>3</v>
      </c>
      <c r="HF569" s="58">
        <f t="shared" si="848"/>
        <v>999</v>
      </c>
      <c r="HG569" s="58">
        <f t="shared" si="849"/>
        <v>2</v>
      </c>
      <c r="HH569" s="58">
        <f t="shared" si="850"/>
        <v>4</v>
      </c>
    </row>
    <row r="570" spans="69:216" ht="15.75" x14ac:dyDescent="0.25">
      <c r="BQ570" s="58">
        <f t="shared" si="853"/>
        <v>350</v>
      </c>
      <c r="BR570" s="61">
        <v>0</v>
      </c>
      <c r="BS570" s="61" t="s">
        <v>31</v>
      </c>
      <c r="BT570" s="17">
        <v>3</v>
      </c>
      <c r="BU570" s="17">
        <v>999</v>
      </c>
      <c r="BV570" s="17" t="str">
        <f t="shared" si="926"/>
        <v>placebo_BSC</v>
      </c>
      <c r="BW570" s="1006" t="str" cm="1">
        <f t="array" ref="BW570">IF(AL332="No",AL332,INDEX(List_incl_anal_3L_all,IF(BU570=999,35,BU570+1)))</f>
        <v>No</v>
      </c>
      <c r="BX570" s="61">
        <f t="shared" si="927"/>
        <v>4</v>
      </c>
      <c r="BY570" s="531" t="str">
        <f t="shared" si="951"/>
        <v>Post progression survival</v>
      </c>
      <c r="BZ570" s="530">
        <f t="shared" si="928"/>
        <v>0</v>
      </c>
      <c r="CA570" s="531">
        <f t="shared" si="950"/>
        <v>0</v>
      </c>
      <c r="CB570" s="530">
        <f t="shared" si="929"/>
        <v>0</v>
      </c>
      <c r="CC570" s="530">
        <f t="shared" si="930"/>
        <v>4</v>
      </c>
      <c r="CD570" s="530">
        <f t="shared" si="931"/>
        <v>999</v>
      </c>
      <c r="CE570" s="1295">
        <f t="shared" si="932"/>
        <v>2</v>
      </c>
      <c r="CF570" s="1301">
        <f t="shared" si="933"/>
        <v>4</v>
      </c>
      <c r="CG570" s="530" t="str">
        <f t="shared" si="934"/>
        <v/>
      </c>
      <c r="CH570" s="505">
        <f t="shared" si="935"/>
        <v>0</v>
      </c>
      <c r="CI570" s="505">
        <f t="shared" si="936"/>
        <v>0</v>
      </c>
      <c r="CJ570" s="505">
        <f t="shared" si="937"/>
        <v>0</v>
      </c>
      <c r="DK570" s="58" t="str" cm="1">
        <f t="array" ref="DK570">IF(AND($BT570=4,$BX570=4,$BU570=999),$DB$36,_xlfn.IFNA(INDEX(DB$13:DB$70,MATCH(1,($BR570=$CV$13:$CV$70)*($BT570=$CX$13:$CX$70)*($CE570=$CY$13:$CY$70)*($BY570=$DA$13:$DA$70)*($CD570=$DH$13:$DH$70),0)),""))</f>
        <v/>
      </c>
      <c r="DL570" s="58" t="str" cm="1">
        <f t="array" ref="DL570">IF(AND($BT570=4,$BX570=4,$BU570=999),$DC$36,_xlfn.IFNA(INDEX(CHOOSE(DP570,DB$13:DB$70,DC$13:DC$70,DD$13:DD$70,DE$13:DE$70),MATCH(1,($BR570=$CV$13:$CV$70)*($BT570=$CX$13:$CX$70)*($CE570=$CY$13:$CY$70)*($BY570=$DA$13:$DA$70)*($CD570=$DH$13:$DH$70),0)),""))</f>
        <v/>
      </c>
      <c r="DM570" s="740" t="str" cm="1">
        <f t="array" ref="DM570">IF(AND($BT570=4,$BX570=4,$BU570=999),$DD$36,_xlfn.IFNA(INDEX(DD$13:DD$68,MATCH(1,($BR570=$CV$13:$CV$68)*($BT570=$CX$13:$CX$68)*($CE570=$CY$13:$CY$68)*($BY570=$DA$13:$DA$68)*($CD570=$DH$13:$DH$68),0)),""))</f>
        <v/>
      </c>
      <c r="DN570" s="740" t="str" cm="1">
        <f t="array" ref="DN570">IF(AND($BT570=4,$BX570=4,$BU570=999),$DD$36,_xlfn.IFNA(INDEX(DE$13:DE$68,MATCH(1,($BR570=$CV$13:$CV$68)*($BT570=$CX$13:$CX$68)*($CE570=$CY$13:$CY$68)*($BY570=$DA$13:$DA$68)*($CD570=$DH$13:$DH$68),0)),""))</f>
        <v/>
      </c>
      <c r="DO570" s="58" t="str" cm="1">
        <f t="array" ref="DO570">IF(AND($BT570=4,$BX570=4,$BU570=999),$DF$36,_xlfn.IFNA(INDEX(DF$13:DF$70,MATCH(1,($BR570=$CV$13:$CV$70)*($BT570=$CX$13:$CX$70)*($CE570=$CY$13:$CY$70)*($BY570=$DA$13:$DA$70)*($CD570=$DH$13:$DH$70),0)),""))</f>
        <v/>
      </c>
      <c r="DP570" s="58" t="e">
        <f t="shared" si="854"/>
        <v>#N/A</v>
      </c>
      <c r="DW570" s="58" t="s">
        <v>58</v>
      </c>
      <c r="DX570" s="58" t="s">
        <v>617</v>
      </c>
      <c r="DY570" s="58">
        <v>0</v>
      </c>
      <c r="DZ570" s="58">
        <v>0</v>
      </c>
      <c r="EB570" s="58">
        <v>0</v>
      </c>
      <c r="EC570" s="58">
        <v>4</v>
      </c>
      <c r="ED570" s="58">
        <v>999</v>
      </c>
      <c r="EE570" s="58">
        <v>2</v>
      </c>
      <c r="EF570" s="58">
        <v>4</v>
      </c>
      <c r="EI570" s="58" t="s">
        <v>58</v>
      </c>
      <c r="EJ570" s="58" t="s">
        <v>617</v>
      </c>
      <c r="EK570" s="58">
        <v>0</v>
      </c>
      <c r="EL570" s="58">
        <v>0</v>
      </c>
      <c r="EN570" s="58">
        <v>0</v>
      </c>
      <c r="EO570" s="58">
        <v>4</v>
      </c>
      <c r="EP570" s="58">
        <v>999</v>
      </c>
      <c r="EQ570" s="58">
        <v>2</v>
      </c>
      <c r="ER570" s="58">
        <v>4</v>
      </c>
      <c r="EU570" s="58" t="str">
        <f t="shared" si="938"/>
        <v>No</v>
      </c>
      <c r="EV570" s="58" t="str">
        <f t="shared" si="939"/>
        <v xml:space="preserve">Post progression survival </v>
      </c>
      <c r="EW570" s="58">
        <f t="shared" si="940"/>
        <v>0</v>
      </c>
      <c r="EX570" s="58">
        <f t="shared" si="941"/>
        <v>0</v>
      </c>
      <c r="EZ570" s="58">
        <f t="shared" si="942"/>
        <v>0</v>
      </c>
      <c r="FA570" s="58">
        <f t="shared" si="943"/>
        <v>4</v>
      </c>
      <c r="FB570" s="58">
        <f>IF(i_eff_inputs_based_on_num=2,ED570,(INDEX(Lists!$L$51:$L$85,MATCH(AR332,Lists!$K$51:$K$85,0))))</f>
        <v>999</v>
      </c>
      <c r="FC570" s="58">
        <f>IF(i_eff_inputs_based_on_num=2,EE570,(INDEX(Lists!$L$51:$L$85,MATCH(AS332,Lists!$K$51:$K$85,0))))</f>
        <v>2</v>
      </c>
      <c r="FD570" s="58">
        <f>IF(i_eff_inputs_based_on_num=2,EF570,(INDEX(Lists!$L$51:$L$85,MATCH(AT332,Lists!$K$51:$K$85,0))))</f>
        <v>4</v>
      </c>
      <c r="FG570" s="58" t="str">
        <f t="shared" si="944"/>
        <v>No</v>
      </c>
      <c r="FH570" s="58" t="str">
        <f t="shared" si="945"/>
        <v xml:space="preserve">Post progression survival </v>
      </c>
      <c r="FI570" s="58">
        <f t="shared" si="946"/>
        <v>0</v>
      </c>
      <c r="FJ570" s="58">
        <f t="shared" si="947"/>
        <v>0</v>
      </c>
      <c r="FL570" s="58">
        <f t="shared" si="948"/>
        <v>0</v>
      </c>
      <c r="FM570" s="58">
        <f t="shared" si="949"/>
        <v>4</v>
      </c>
      <c r="FN570" s="58">
        <f>IF(i_eff_inputs_based_on_num=2,EP570,(INDEX(Lists!$L$51:$L$85,MATCH(AR332,Lists!$K$51:$K$85,0))))</f>
        <v>999</v>
      </c>
      <c r="FO570" s="58">
        <f>IF(i_eff_inputs_based_on_num=2,EQ570,(INDEX(Lists!$L$51:$L$85,MATCH(AS332,Lists!$K$51:$K$85,0))))</f>
        <v>2</v>
      </c>
      <c r="FP570" s="58">
        <f>IF(i_eff_inputs_based_on_num=2,ER570,(INDEX(Lists!$L$51:$L$85,MATCH(AT332,Lists!$K$51:$K$85,0))))</f>
        <v>4</v>
      </c>
      <c r="FT570" s="58">
        <f t="shared" si="855"/>
        <v>0</v>
      </c>
      <c r="FW570" s="58">
        <f>IF(i_baseline_risk_from=2,'Effectiveness settings'!EW570,'Effectiveness settings'!FI570)</f>
        <v>0</v>
      </c>
      <c r="FX570" s="58">
        <f t="shared" si="856"/>
        <v>0</v>
      </c>
      <c r="FY570" s="58">
        <f t="shared" si="857"/>
        <v>0</v>
      </c>
      <c r="FZ570" s="58">
        <f t="shared" si="858"/>
        <v>0</v>
      </c>
      <c r="GA570" s="58">
        <f t="shared" si="859"/>
        <v>0</v>
      </c>
      <c r="GB570" s="58">
        <f t="shared" si="860"/>
        <v>0</v>
      </c>
      <c r="GC570" s="58">
        <f t="shared" si="861"/>
        <v>0</v>
      </c>
      <c r="GD570" s="58">
        <f t="shared" si="862"/>
        <v>0</v>
      </c>
      <c r="GE570" s="58">
        <f>IF(AND(dd_CheckMate214_TTD="Yes",'Effectiveness settings'!BU570=2,'Effectiveness settings'!BX570=2),"Apply HR to",GD570)</f>
        <v>0</v>
      </c>
      <c r="GF570" s="58">
        <f t="shared" si="863"/>
        <v>0</v>
      </c>
      <c r="GG570" s="58">
        <f t="shared" si="864"/>
        <v>0</v>
      </c>
      <c r="GH570" s="58">
        <f t="shared" si="865"/>
        <v>0</v>
      </c>
      <c r="GI570" s="58">
        <f t="shared" si="851"/>
        <v>0</v>
      </c>
      <c r="GK570" s="58">
        <f>IF(i_baseline_risk_from=2,'Effectiveness settings'!FA570,'Effectiveness settings'!FM570)</f>
        <v>4</v>
      </c>
      <c r="GL570" s="58">
        <f>IF(i_baseline_risk_from=2,'Effectiveness settings'!FB570,'Effectiveness settings'!FN570)</f>
        <v>999</v>
      </c>
      <c r="GM570" s="58">
        <f>IF(i_baseline_risk_from=2,'Effectiveness settings'!FC570,'Effectiveness settings'!FO570)</f>
        <v>2</v>
      </c>
      <c r="GN570" s="58">
        <f>IF(i_baseline_risk_from=2,'Effectiveness settings'!FD570,'Effectiveness settings'!FP570)</f>
        <v>4</v>
      </c>
      <c r="GQ570" s="58">
        <f t="shared" si="866"/>
        <v>999</v>
      </c>
      <c r="GR570" s="58">
        <f t="shared" si="867"/>
        <v>999</v>
      </c>
      <c r="GS570" s="58">
        <f t="shared" si="868"/>
        <v>999</v>
      </c>
      <c r="GT570" s="58">
        <f t="shared" si="869"/>
        <v>999</v>
      </c>
      <c r="GU570" s="58">
        <f>IF(AND(dd_CheckMate214_TTD="Yes",'Effectiveness settings'!BU570=2,'Effectiveness settings'!BX570=2),2,GT570)</f>
        <v>999</v>
      </c>
      <c r="GV570" s="58">
        <f t="shared" si="870"/>
        <v>999</v>
      </c>
      <c r="GW570" s="58">
        <f t="shared" si="871"/>
        <v>999</v>
      </c>
      <c r="GY570" s="58">
        <f>IF(AND(dd_CheckMate214_TTD="Yes",'Effectiveness settings'!BU570=2,'Effectiveness settings'!BX570=2),1,GN570)</f>
        <v>4</v>
      </c>
      <c r="GZ570" s="58">
        <f t="shared" si="872"/>
        <v>4</v>
      </c>
      <c r="HB570" s="58">
        <f t="shared" si="873"/>
        <v>0</v>
      </c>
      <c r="HD570" s="58">
        <f t="shared" si="846"/>
        <v>0</v>
      </c>
      <c r="HE570" s="58">
        <f t="shared" si="847"/>
        <v>4</v>
      </c>
      <c r="HF570" s="58">
        <f t="shared" si="848"/>
        <v>999</v>
      </c>
      <c r="HG570" s="58">
        <f t="shared" si="849"/>
        <v>2</v>
      </c>
      <c r="HH570" s="58">
        <f t="shared" si="850"/>
        <v>4</v>
      </c>
    </row>
    <row r="571" spans="69:216" ht="15.75" x14ac:dyDescent="0.25">
      <c r="BQ571" s="58">
        <f t="shared" si="853"/>
        <v>350</v>
      </c>
      <c r="BR571" s="61"/>
      <c r="BS571" s="61"/>
      <c r="BT571" s="17"/>
      <c r="BU571" s="61"/>
      <c r="BV571" s="17"/>
      <c r="BW571" s="17"/>
      <c r="BX571" s="61"/>
      <c r="BY571" s="531"/>
      <c r="BZ571" s="529"/>
      <c r="CA571" s="532"/>
      <c r="CB571" s="529"/>
      <c r="CC571" s="529"/>
      <c r="CD571" s="529"/>
      <c r="CE571" s="515"/>
      <c r="CF571" s="1303"/>
      <c r="CG571" s="529"/>
      <c r="CH571" s="505"/>
      <c r="CI571" s="505"/>
      <c r="CJ571" s="505"/>
      <c r="DK571" s="58" t="str" cm="1">
        <f t="array" ref="DK571">IF(AND($BT571=4,$BX571=4,$BU571=999),$DB$36,_xlfn.IFNA(INDEX(DB$13:DB$70,MATCH(1,($BR571=$CV$13:$CV$70)*($BT571=$CX$13:$CX$70)*($CE571=$CY$13:$CY$70)*($BY571=$DA$13:$DA$70)*($CD571=$DH$13:$DH$70),0)),""))</f>
        <v/>
      </c>
      <c r="DL571" s="58" t="str" cm="1">
        <f t="array" ref="DL571">IF(AND($BT571=4,$BX571=4,$BU571=999),$DC$36,_xlfn.IFNA(INDEX(CHOOSE(DP571,DB$13:DB$70,DC$13:DC$70,DD$13:DD$70,DE$13:DE$70),MATCH(1,($BR571=$CV$13:$CV$70)*($BT571=$CX$13:$CX$70)*($CE571=$CY$13:$CY$70)*($BY571=$DA$13:$DA$70)*($CD571=$DH$13:$DH$70),0)),""))</f>
        <v/>
      </c>
      <c r="DM571" s="740" t="str" cm="1">
        <f t="array" ref="DM571">IF(AND($BT571=4,$BX571=4,$BU571=999),$DD$36,_xlfn.IFNA(INDEX(DD$13:DD$68,MATCH(1,($BR571=$CV$13:$CV$68)*($BT571=$CX$13:$CX$68)*($CE571=$CY$13:$CY$68)*($BY571=$DA$13:$DA$68)*($CD571=$DH$13:$DH$68),0)),""))</f>
        <v/>
      </c>
      <c r="DN571" s="740" t="str" cm="1">
        <f t="array" ref="DN571">IF(AND($BT571=4,$BX571=4,$BU571=999),$DD$36,_xlfn.IFNA(INDEX(DE$13:DE$68,MATCH(1,($BR571=$CV$13:$CV$68)*($BT571=$CX$13:$CX$68)*($CE571=$CY$13:$CY$68)*($BY571=$DA$13:$DA$68)*($CD571=$DH$13:$DH$68),0)),""))</f>
        <v/>
      </c>
      <c r="DO571" s="58" t="str" cm="1">
        <f t="array" ref="DO571">IF(AND($BT571=4,$BX571=4,$BU571=999),$DF$36,_xlfn.IFNA(INDEX(DF$13:DF$70,MATCH(1,($BR571=$CV$13:$CV$70)*($BT571=$CX$13:$CX$70)*($CE571=$CY$13:$CY$70)*($BY571=$DA$13:$DA$70)*($CD571=$DH$13:$DH$70),0)),""))</f>
        <v/>
      </c>
      <c r="DP571" s="58" t="e">
        <f t="shared" si="854"/>
        <v>#N/A</v>
      </c>
      <c r="FT571" s="58">
        <f t="shared" si="855"/>
        <v>0</v>
      </c>
      <c r="FW571" s="58">
        <f>IF(i_baseline_risk_from=2,'Effectiveness settings'!EW571,'Effectiveness settings'!FI571)</f>
        <v>0</v>
      </c>
      <c r="FX571" s="58">
        <f t="shared" si="856"/>
        <v>0</v>
      </c>
      <c r="FY571" s="58">
        <f t="shared" si="857"/>
        <v>0</v>
      </c>
      <c r="FZ571" s="58">
        <f t="shared" si="858"/>
        <v>0</v>
      </c>
      <c r="GA571" s="58">
        <f t="shared" si="859"/>
        <v>0</v>
      </c>
      <c r="GB571" s="58">
        <f t="shared" si="860"/>
        <v>0</v>
      </c>
      <c r="GC571" s="58">
        <f t="shared" si="861"/>
        <v>0</v>
      </c>
      <c r="GD571" s="58">
        <f t="shared" si="862"/>
        <v>0</v>
      </c>
      <c r="GE571" s="58">
        <f>IF(AND(dd_CheckMate214_TTD="Yes",'Effectiveness settings'!BU571=2,'Effectiveness settings'!BX571=2),"Apply HR to",GD571)</f>
        <v>0</v>
      </c>
      <c r="GF571" s="58">
        <f t="shared" si="863"/>
        <v>0</v>
      </c>
      <c r="GG571" s="58">
        <f t="shared" si="864"/>
        <v>0</v>
      </c>
      <c r="GH571" s="58">
        <f t="shared" si="865"/>
        <v>0</v>
      </c>
      <c r="GI571" s="58">
        <f t="shared" si="851"/>
        <v>0</v>
      </c>
      <c r="GK571" s="58">
        <f>IF(i_baseline_risk_from=2,'Effectiveness settings'!FA571,'Effectiveness settings'!FM571)</f>
        <v>0</v>
      </c>
      <c r="GL571" s="58">
        <f>IF(i_baseline_risk_from=2,'Effectiveness settings'!FB571,'Effectiveness settings'!FN571)</f>
        <v>0</v>
      </c>
      <c r="GM571" s="58">
        <f>IF(i_baseline_risk_from=2,'Effectiveness settings'!FC571,'Effectiveness settings'!FO571)</f>
        <v>0</v>
      </c>
      <c r="GN571" s="58">
        <f>IF(i_baseline_risk_from=2,'Effectiveness settings'!FD571,'Effectiveness settings'!FP571)</f>
        <v>0</v>
      </c>
      <c r="GQ571" s="58">
        <f t="shared" si="866"/>
        <v>0</v>
      </c>
      <c r="GR571" s="58">
        <f t="shared" si="867"/>
        <v>0</v>
      </c>
      <c r="GS571" s="58">
        <f t="shared" si="868"/>
        <v>0</v>
      </c>
      <c r="GT571" s="58">
        <f t="shared" si="869"/>
        <v>0</v>
      </c>
      <c r="GU571" s="58">
        <f>IF(AND(dd_CheckMate214_TTD="Yes",'Effectiveness settings'!BU571=2,'Effectiveness settings'!BX571=2),2,GT571)</f>
        <v>0</v>
      </c>
      <c r="GV571" s="58">
        <f t="shared" si="870"/>
        <v>0</v>
      </c>
      <c r="GW571" s="58">
        <f t="shared" si="871"/>
        <v>0</v>
      </c>
      <c r="GY571" s="58">
        <f>IF(AND(dd_CheckMate214_TTD="Yes",'Effectiveness settings'!BU571=2,'Effectiveness settings'!BX571=2),1,GN571)</f>
        <v>0</v>
      </c>
      <c r="GZ571" s="58">
        <f t="shared" si="872"/>
        <v>0</v>
      </c>
      <c r="HB571" s="58">
        <f t="shared" si="873"/>
        <v>0</v>
      </c>
      <c r="HD571" s="58">
        <f t="shared" si="846"/>
        <v>0</v>
      </c>
      <c r="HE571" s="58">
        <f t="shared" si="847"/>
        <v>0</v>
      </c>
      <c r="HF571" s="58">
        <f t="shared" si="848"/>
        <v>0</v>
      </c>
      <c r="HG571" s="58">
        <f t="shared" si="849"/>
        <v>0</v>
      </c>
      <c r="HH571" s="58">
        <f t="shared" si="850"/>
        <v>0</v>
      </c>
    </row>
    <row r="572" spans="69:216" ht="15.75" x14ac:dyDescent="0.25">
      <c r="BQ572" s="58">
        <f t="shared" si="853"/>
        <v>350</v>
      </c>
      <c r="BR572" s="61"/>
      <c r="BS572" s="61"/>
      <c r="BT572" s="17"/>
      <c r="BU572" s="17"/>
      <c r="BV572" s="17"/>
      <c r="BW572" s="17"/>
      <c r="BX572" s="61"/>
      <c r="BY572" s="531"/>
      <c r="BZ572" s="529"/>
      <c r="CA572" s="532"/>
      <c r="CB572" s="529"/>
      <c r="CC572" s="529"/>
      <c r="CD572" s="529"/>
      <c r="CE572" s="515"/>
      <c r="CF572" s="1303"/>
      <c r="CG572" s="529"/>
      <c r="CH572" s="505"/>
      <c r="CI572" s="505"/>
      <c r="CJ572" s="505"/>
      <c r="DK572" s="58" t="str" cm="1">
        <f t="array" ref="DK572">IF(AND($BT572=4,$BX572=4,$BU572=999),$DB$36,_xlfn.IFNA(INDEX(DB$13:DB$70,MATCH(1,($BR572=$CV$13:$CV$70)*($BT572=$CX$13:$CX$70)*($CE572=$CY$13:$CY$70)*($BY572=$DA$13:$DA$70)*($CD572=$DH$13:$DH$70),0)),""))</f>
        <v/>
      </c>
      <c r="DL572" s="58" t="str" cm="1">
        <f t="array" ref="DL572">IF(AND($BT572=4,$BX572=4,$BU572=999),$DC$36,_xlfn.IFNA(INDEX(CHOOSE(DP572,DB$13:DB$70,DC$13:DC$70,DD$13:DD$70,DE$13:DE$70),MATCH(1,($BR572=$CV$13:$CV$70)*($BT572=$CX$13:$CX$70)*($CE572=$CY$13:$CY$70)*($BY572=$DA$13:$DA$70)*($CD572=$DH$13:$DH$70),0)),""))</f>
        <v/>
      </c>
      <c r="DM572" s="740" t="str" cm="1">
        <f t="array" ref="DM572">IF(AND($BT572=4,$BX572=4,$BU572=999),$DD$36,_xlfn.IFNA(INDEX(DD$13:DD$68,MATCH(1,($BR572=$CV$13:$CV$68)*($BT572=$CX$13:$CX$68)*($CE572=$CY$13:$CY$68)*($BY572=$DA$13:$DA$68)*($CD572=$DH$13:$DH$68),0)),""))</f>
        <v/>
      </c>
      <c r="DN572" s="740" t="str" cm="1">
        <f t="array" ref="DN572">IF(AND($BT572=4,$BX572=4,$BU572=999),$DD$36,_xlfn.IFNA(INDEX(DE$13:DE$68,MATCH(1,($BR572=$CV$13:$CV$68)*($BT572=$CX$13:$CX$68)*($CE572=$CY$13:$CY$68)*($BY572=$DA$13:$DA$68)*($CD572=$DH$13:$DH$68),0)),""))</f>
        <v/>
      </c>
      <c r="DO572" s="58" t="str" cm="1">
        <f t="array" ref="DO572">IF(AND($BT572=4,$BX572=4,$BU572=999),$DF$36,_xlfn.IFNA(INDEX(DF$13:DF$70,MATCH(1,($BR572=$CV$13:$CV$70)*($BT572=$CX$13:$CX$70)*($CE572=$CY$13:$CY$70)*($BY572=$DA$13:$DA$70)*($CD572=$DH$13:$DH$70),0)),""))</f>
        <v/>
      </c>
      <c r="DP572" s="58" t="e">
        <f t="shared" si="854"/>
        <v>#N/A</v>
      </c>
      <c r="FT572" s="58">
        <f t="shared" si="855"/>
        <v>0</v>
      </c>
      <c r="FW572" s="58">
        <f>IF(i_baseline_risk_from=2,'Effectiveness settings'!EW572,'Effectiveness settings'!FI572)</f>
        <v>0</v>
      </c>
      <c r="FX572" s="58">
        <f t="shared" si="856"/>
        <v>0</v>
      </c>
      <c r="FY572" s="58">
        <f t="shared" si="857"/>
        <v>0</v>
      </c>
      <c r="FZ572" s="58">
        <f t="shared" si="858"/>
        <v>0</v>
      </c>
      <c r="GA572" s="58">
        <f t="shared" si="859"/>
        <v>0</v>
      </c>
      <c r="GB572" s="58">
        <f t="shared" si="860"/>
        <v>0</v>
      </c>
      <c r="GC572" s="58">
        <f t="shared" si="861"/>
        <v>0</v>
      </c>
      <c r="GD572" s="58">
        <f t="shared" si="862"/>
        <v>0</v>
      </c>
      <c r="GE572" s="58">
        <f>IF(AND(dd_CheckMate214_TTD="Yes",'Effectiveness settings'!BU572=2,'Effectiveness settings'!BX572=2),"Apply HR to",GD572)</f>
        <v>0</v>
      </c>
      <c r="GF572" s="58">
        <f t="shared" si="863"/>
        <v>0</v>
      </c>
      <c r="GG572" s="58">
        <f t="shared" si="864"/>
        <v>0</v>
      </c>
      <c r="GH572" s="58">
        <f t="shared" si="865"/>
        <v>0</v>
      </c>
      <c r="GI572" s="58">
        <f t="shared" si="851"/>
        <v>0</v>
      </c>
      <c r="GK572" s="58">
        <f>IF(i_baseline_risk_from=2,'Effectiveness settings'!FA572,'Effectiveness settings'!FM572)</f>
        <v>0</v>
      </c>
      <c r="GL572" s="58">
        <f>IF(i_baseline_risk_from=2,'Effectiveness settings'!FB572,'Effectiveness settings'!FN572)</f>
        <v>0</v>
      </c>
      <c r="GM572" s="58">
        <f>IF(i_baseline_risk_from=2,'Effectiveness settings'!FC572,'Effectiveness settings'!FO572)</f>
        <v>0</v>
      </c>
      <c r="GN572" s="58">
        <f>IF(i_baseline_risk_from=2,'Effectiveness settings'!FD572,'Effectiveness settings'!FP572)</f>
        <v>0</v>
      </c>
      <c r="GQ572" s="58">
        <f t="shared" si="866"/>
        <v>0</v>
      </c>
      <c r="GR572" s="58">
        <f t="shared" si="867"/>
        <v>0</v>
      </c>
      <c r="GS572" s="58">
        <f t="shared" si="868"/>
        <v>0</v>
      </c>
      <c r="GT572" s="58">
        <f t="shared" si="869"/>
        <v>0</v>
      </c>
      <c r="GU572" s="58">
        <f>IF(AND(dd_CheckMate214_TTD="Yes",'Effectiveness settings'!BU572=2,'Effectiveness settings'!BX572=2),2,GT572)</f>
        <v>0</v>
      </c>
      <c r="GV572" s="58">
        <f t="shared" si="870"/>
        <v>0</v>
      </c>
      <c r="GW572" s="58">
        <f t="shared" si="871"/>
        <v>0</v>
      </c>
      <c r="GY572" s="58">
        <f>IF(AND(dd_CheckMate214_TTD="Yes",'Effectiveness settings'!BU572=2,'Effectiveness settings'!BX572=2),1,GN572)</f>
        <v>0</v>
      </c>
      <c r="GZ572" s="58">
        <f t="shared" si="872"/>
        <v>0</v>
      </c>
      <c r="HB572" s="58">
        <f t="shared" si="873"/>
        <v>0</v>
      </c>
      <c r="HD572" s="58">
        <f t="shared" si="846"/>
        <v>0</v>
      </c>
      <c r="HE572" s="58">
        <f t="shared" si="847"/>
        <v>0</v>
      </c>
      <c r="HF572" s="58">
        <f t="shared" si="848"/>
        <v>0</v>
      </c>
      <c r="HG572" s="58">
        <f t="shared" si="849"/>
        <v>0</v>
      </c>
      <c r="HH572" s="58">
        <f t="shared" si="850"/>
        <v>0</v>
      </c>
    </row>
    <row r="573" spans="69:216" ht="15.75" x14ac:dyDescent="0.25">
      <c r="BQ573" s="58">
        <f t="shared" si="853"/>
        <v>350</v>
      </c>
      <c r="BR573" s="61"/>
      <c r="BS573" s="61"/>
      <c r="BT573" s="17"/>
      <c r="BU573" s="17"/>
      <c r="BV573" s="17"/>
      <c r="BW573" s="17"/>
      <c r="BX573" s="61"/>
      <c r="BY573" s="531"/>
      <c r="BZ573" s="529"/>
      <c r="CA573" s="532"/>
      <c r="CB573" s="529"/>
      <c r="CC573" s="529"/>
      <c r="CD573" s="529"/>
      <c r="CE573" s="515"/>
      <c r="CF573" s="1303"/>
      <c r="CG573" s="529"/>
      <c r="CH573" s="505"/>
      <c r="CI573" s="505"/>
      <c r="CJ573" s="505"/>
      <c r="DK573" s="58" t="str" cm="1">
        <f t="array" ref="DK573">IF(AND($BT573=4,$BX573=4,$BU573=999),$DB$36,_xlfn.IFNA(INDEX(DB$13:DB$70,MATCH(1,($BR573=$CV$13:$CV$70)*($BT573=$CX$13:$CX$70)*($CE573=$CY$13:$CY$70)*($BY573=$DA$13:$DA$70)*($CD573=$DH$13:$DH$70),0)),""))</f>
        <v/>
      </c>
      <c r="DL573" s="58" t="str" cm="1">
        <f t="array" ref="DL573">IF(AND($BT573=4,$BX573=4,$BU573=999),$DC$36,_xlfn.IFNA(INDEX(CHOOSE(DP573,DB$13:DB$70,DC$13:DC$70,DD$13:DD$70,DE$13:DE$70),MATCH(1,($BR573=$CV$13:$CV$70)*($BT573=$CX$13:$CX$70)*($CE573=$CY$13:$CY$70)*($BY573=$DA$13:$DA$70)*($CD573=$DH$13:$DH$70),0)),""))</f>
        <v/>
      </c>
      <c r="DM573" s="740" t="str" cm="1">
        <f t="array" ref="DM573">IF(AND($BT573=4,$BX573=4,$BU573=999),$DD$36,_xlfn.IFNA(INDEX(DD$13:DD$68,MATCH(1,($BR573=$CV$13:$CV$68)*($BT573=$CX$13:$CX$68)*($CE573=$CY$13:$CY$68)*($BY573=$DA$13:$DA$68)*($CD573=$DH$13:$DH$68),0)),""))</f>
        <v/>
      </c>
      <c r="DN573" s="740" t="str" cm="1">
        <f t="array" ref="DN573">IF(AND($BT573=4,$BX573=4,$BU573=999),$DD$36,_xlfn.IFNA(INDEX(DE$13:DE$68,MATCH(1,($BR573=$CV$13:$CV$68)*($BT573=$CX$13:$CX$68)*($CE573=$CY$13:$CY$68)*($BY573=$DA$13:$DA$68)*($CD573=$DH$13:$DH$68),0)),""))</f>
        <v/>
      </c>
      <c r="DO573" s="58" t="str" cm="1">
        <f t="array" ref="DO573">IF(AND($BT573=4,$BX573=4,$BU573=999),$DF$36,_xlfn.IFNA(INDEX(DF$13:DF$70,MATCH(1,($BR573=$CV$13:$CV$70)*($BT573=$CX$13:$CX$70)*($CE573=$CY$13:$CY$70)*($BY573=$DA$13:$DA$70)*($CD573=$DH$13:$DH$70),0)),""))</f>
        <v/>
      </c>
      <c r="DP573" s="58" t="e">
        <f t="shared" si="854"/>
        <v>#N/A</v>
      </c>
      <c r="FT573" s="58">
        <f t="shared" si="855"/>
        <v>0</v>
      </c>
      <c r="FW573" s="58">
        <f>IF(i_baseline_risk_from=2,'Effectiveness settings'!EW573,'Effectiveness settings'!FI573)</f>
        <v>0</v>
      </c>
      <c r="FX573" s="58">
        <f t="shared" si="856"/>
        <v>0</v>
      </c>
      <c r="FY573" s="58">
        <f t="shared" si="857"/>
        <v>0</v>
      </c>
      <c r="FZ573" s="58">
        <f t="shared" si="858"/>
        <v>0</v>
      </c>
      <c r="GA573" s="58">
        <f t="shared" si="859"/>
        <v>0</v>
      </c>
      <c r="GB573" s="58">
        <f t="shared" si="860"/>
        <v>0</v>
      </c>
      <c r="GC573" s="58">
        <f t="shared" si="861"/>
        <v>0</v>
      </c>
      <c r="GD573" s="58">
        <f t="shared" si="862"/>
        <v>0</v>
      </c>
      <c r="GE573" s="58">
        <f>IF(AND(dd_CheckMate214_TTD="Yes",'Effectiveness settings'!BU573=2,'Effectiveness settings'!BX573=2),"Apply HR to",GD573)</f>
        <v>0</v>
      </c>
      <c r="GF573" s="58">
        <f t="shared" si="863"/>
        <v>0</v>
      </c>
      <c r="GG573" s="58">
        <f t="shared" si="864"/>
        <v>0</v>
      </c>
      <c r="GH573" s="58">
        <f t="shared" si="865"/>
        <v>0</v>
      </c>
      <c r="GI573" s="58">
        <f t="shared" si="851"/>
        <v>0</v>
      </c>
      <c r="GK573" s="58">
        <f>IF(i_baseline_risk_from=2,'Effectiveness settings'!FA573,'Effectiveness settings'!FM573)</f>
        <v>0</v>
      </c>
      <c r="GL573" s="58">
        <f>IF(i_baseline_risk_from=2,'Effectiveness settings'!FB573,'Effectiveness settings'!FN573)</f>
        <v>0</v>
      </c>
      <c r="GM573" s="58">
        <f>IF(i_baseline_risk_from=2,'Effectiveness settings'!FC573,'Effectiveness settings'!FO573)</f>
        <v>0</v>
      </c>
      <c r="GN573" s="58">
        <f>IF(i_baseline_risk_from=2,'Effectiveness settings'!FD573,'Effectiveness settings'!FP573)</f>
        <v>0</v>
      </c>
      <c r="GQ573" s="58">
        <f t="shared" si="866"/>
        <v>0</v>
      </c>
      <c r="GR573" s="58">
        <f t="shared" si="867"/>
        <v>0</v>
      </c>
      <c r="GS573" s="58">
        <f t="shared" si="868"/>
        <v>0</v>
      </c>
      <c r="GT573" s="58">
        <f t="shared" si="869"/>
        <v>0</v>
      </c>
      <c r="GU573" s="58">
        <f>IF(AND(dd_CheckMate214_TTD="Yes",'Effectiveness settings'!BU573=2,'Effectiveness settings'!BX573=2),2,GT573)</f>
        <v>0</v>
      </c>
      <c r="GV573" s="58">
        <f t="shared" si="870"/>
        <v>0</v>
      </c>
      <c r="GW573" s="58">
        <f t="shared" si="871"/>
        <v>0</v>
      </c>
      <c r="GY573" s="58">
        <f>IF(AND(dd_CheckMate214_TTD="Yes",'Effectiveness settings'!BU573=2,'Effectiveness settings'!BX573=2),1,GN573)</f>
        <v>0</v>
      </c>
      <c r="GZ573" s="58">
        <f t="shared" si="872"/>
        <v>0</v>
      </c>
      <c r="HB573" s="58">
        <f t="shared" si="873"/>
        <v>0</v>
      </c>
      <c r="HD573" s="58">
        <f t="shared" si="846"/>
        <v>0</v>
      </c>
      <c r="HE573" s="58">
        <f t="shared" si="847"/>
        <v>0</v>
      </c>
      <c r="HF573" s="58">
        <f t="shared" si="848"/>
        <v>0</v>
      </c>
      <c r="HG573" s="58">
        <f t="shared" si="849"/>
        <v>0</v>
      </c>
      <c r="HH573" s="58">
        <f t="shared" si="850"/>
        <v>0</v>
      </c>
    </row>
    <row r="574" spans="69:216" ht="15.75" x14ac:dyDescent="0.25">
      <c r="BQ574" s="58">
        <f t="shared" si="853"/>
        <v>350</v>
      </c>
      <c r="BR574" s="61"/>
      <c r="BS574" s="61"/>
      <c r="BT574" s="17"/>
      <c r="BU574" s="17"/>
      <c r="BV574" s="17"/>
      <c r="BW574" s="17"/>
      <c r="BX574" s="61"/>
      <c r="BY574" s="531"/>
      <c r="BZ574" s="529"/>
      <c r="CA574" s="532"/>
      <c r="CB574" s="529"/>
      <c r="CC574" s="529"/>
      <c r="CD574" s="529"/>
      <c r="CE574" s="515"/>
      <c r="CF574" s="1303"/>
      <c r="CG574" s="529"/>
      <c r="CH574" s="505"/>
      <c r="CI574" s="505"/>
      <c r="CJ574" s="505"/>
      <c r="DK574" s="58" t="str" cm="1">
        <f t="array" ref="DK574">IF(AND($BT574=4,$BX574=4,$BU574=999),$DB$36,_xlfn.IFNA(INDEX(DB$13:DB$70,MATCH(1,($BR574=$CV$13:$CV$70)*($BT574=$CX$13:$CX$70)*($CE574=$CY$13:$CY$70)*($BY574=$DA$13:$DA$70)*($CD574=$DH$13:$DH$70),0)),""))</f>
        <v/>
      </c>
      <c r="DL574" s="58" t="str" cm="1">
        <f t="array" ref="DL574">IF(AND($BT574=4,$BX574=4,$BU574=999),$DC$36,_xlfn.IFNA(INDEX(CHOOSE(DP574,DB$13:DB$70,DC$13:DC$70,DD$13:DD$70,DE$13:DE$70),MATCH(1,($BR574=$CV$13:$CV$70)*($BT574=$CX$13:$CX$70)*($CE574=$CY$13:$CY$70)*($BY574=$DA$13:$DA$70)*($CD574=$DH$13:$DH$70),0)),""))</f>
        <v/>
      </c>
      <c r="DM574" s="740" t="str" cm="1">
        <f t="array" ref="DM574">IF(AND($BT574=4,$BX574=4,$BU574=999),$DD$36,_xlfn.IFNA(INDEX(DD$13:DD$68,MATCH(1,($BR574=$CV$13:$CV$68)*($BT574=$CX$13:$CX$68)*($CE574=$CY$13:$CY$68)*($BY574=$DA$13:$DA$68)*($CD574=$DH$13:$DH$68),0)),""))</f>
        <v/>
      </c>
      <c r="DN574" s="740" t="str" cm="1">
        <f t="array" ref="DN574">IF(AND($BT574=4,$BX574=4,$BU574=999),$DD$36,_xlfn.IFNA(INDEX(DE$13:DE$68,MATCH(1,($BR574=$CV$13:$CV$68)*($BT574=$CX$13:$CX$68)*($CE574=$CY$13:$CY$68)*($BY574=$DA$13:$DA$68)*($CD574=$DH$13:$DH$68),0)),""))</f>
        <v/>
      </c>
      <c r="DO574" s="58" t="str" cm="1">
        <f t="array" ref="DO574">IF(AND($BT574=4,$BX574=4,$BU574=999),$DF$36,_xlfn.IFNA(INDEX(DF$13:DF$70,MATCH(1,($BR574=$CV$13:$CV$70)*($BT574=$CX$13:$CX$70)*($CE574=$CY$13:$CY$70)*($BY574=$DA$13:$DA$70)*($CD574=$DH$13:$DH$70),0)),""))</f>
        <v/>
      </c>
      <c r="DP574" s="58" t="e">
        <f t="shared" si="854"/>
        <v>#N/A</v>
      </c>
      <c r="FT574" s="58">
        <f t="shared" si="855"/>
        <v>0</v>
      </c>
      <c r="FW574" s="58">
        <f>IF(i_baseline_risk_from=2,'Effectiveness settings'!EW574,'Effectiveness settings'!FI574)</f>
        <v>0</v>
      </c>
      <c r="FX574" s="58">
        <f t="shared" si="856"/>
        <v>0</v>
      </c>
      <c r="FY574" s="58">
        <f t="shared" si="857"/>
        <v>0</v>
      </c>
      <c r="FZ574" s="58">
        <f t="shared" si="858"/>
        <v>0</v>
      </c>
      <c r="GA574" s="58">
        <f t="shared" si="859"/>
        <v>0</v>
      </c>
      <c r="GB574" s="58">
        <f t="shared" si="860"/>
        <v>0</v>
      </c>
      <c r="GC574" s="58">
        <f t="shared" si="861"/>
        <v>0</v>
      </c>
      <c r="GD574" s="58">
        <f t="shared" si="862"/>
        <v>0</v>
      </c>
      <c r="GE574" s="58">
        <f>IF(AND(dd_CheckMate214_TTD="Yes",'Effectiveness settings'!BU574=2,'Effectiveness settings'!BX574=2),"Apply HR to",GD574)</f>
        <v>0</v>
      </c>
      <c r="GF574" s="58">
        <f t="shared" si="863"/>
        <v>0</v>
      </c>
      <c r="GG574" s="58">
        <f t="shared" si="864"/>
        <v>0</v>
      </c>
      <c r="GH574" s="58">
        <f t="shared" si="865"/>
        <v>0</v>
      </c>
      <c r="GI574" s="58">
        <f t="shared" si="851"/>
        <v>0</v>
      </c>
      <c r="GK574" s="58">
        <f>IF(i_baseline_risk_from=2,'Effectiveness settings'!FA574,'Effectiveness settings'!FM574)</f>
        <v>0</v>
      </c>
      <c r="GL574" s="58">
        <f>IF(i_baseline_risk_from=2,'Effectiveness settings'!FB574,'Effectiveness settings'!FN574)</f>
        <v>0</v>
      </c>
      <c r="GM574" s="58">
        <f>IF(i_baseline_risk_from=2,'Effectiveness settings'!FC574,'Effectiveness settings'!FO574)</f>
        <v>0</v>
      </c>
      <c r="GN574" s="58">
        <f>IF(i_baseline_risk_from=2,'Effectiveness settings'!FD574,'Effectiveness settings'!FP574)</f>
        <v>0</v>
      </c>
      <c r="GQ574" s="58">
        <f t="shared" si="866"/>
        <v>0</v>
      </c>
      <c r="GR574" s="58">
        <f t="shared" si="867"/>
        <v>0</v>
      </c>
      <c r="GS574" s="58">
        <f t="shared" si="868"/>
        <v>0</v>
      </c>
      <c r="GT574" s="58">
        <f t="shared" si="869"/>
        <v>0</v>
      </c>
      <c r="GU574" s="58">
        <f>IF(AND(dd_CheckMate214_TTD="Yes",'Effectiveness settings'!BU574=2,'Effectiveness settings'!BX574=2),2,GT574)</f>
        <v>0</v>
      </c>
      <c r="GV574" s="58">
        <f t="shared" si="870"/>
        <v>0</v>
      </c>
      <c r="GW574" s="58">
        <f t="shared" si="871"/>
        <v>0</v>
      </c>
      <c r="GY574" s="58">
        <f>IF(AND(dd_CheckMate214_TTD="Yes",'Effectiveness settings'!BU574=2,'Effectiveness settings'!BX574=2),1,GN574)</f>
        <v>0</v>
      </c>
      <c r="GZ574" s="58">
        <f t="shared" si="872"/>
        <v>0</v>
      </c>
      <c r="HB574" s="58">
        <f t="shared" si="873"/>
        <v>0</v>
      </c>
      <c r="HD574" s="58">
        <f t="shared" si="846"/>
        <v>0</v>
      </c>
      <c r="HE574" s="58">
        <f t="shared" si="847"/>
        <v>0</v>
      </c>
      <c r="HF574" s="58">
        <f t="shared" si="848"/>
        <v>0</v>
      </c>
      <c r="HG574" s="58">
        <f t="shared" si="849"/>
        <v>0</v>
      </c>
      <c r="HH574" s="58">
        <f t="shared" si="850"/>
        <v>0</v>
      </c>
    </row>
    <row r="575" spans="69:216" ht="15.75" x14ac:dyDescent="0.25">
      <c r="BQ575" s="58">
        <f t="shared" si="853"/>
        <v>350</v>
      </c>
      <c r="BR575" s="61"/>
      <c r="BS575" s="61"/>
      <c r="BT575" s="17"/>
      <c r="BU575" s="17"/>
      <c r="BV575" s="17"/>
      <c r="BW575" s="17"/>
      <c r="BX575" s="61"/>
      <c r="BY575" s="531"/>
      <c r="BZ575" s="529"/>
      <c r="CA575" s="532"/>
      <c r="CB575" s="529"/>
      <c r="CC575" s="529"/>
      <c r="CD575" s="529"/>
      <c r="CE575" s="515"/>
      <c r="CF575" s="1303"/>
      <c r="CG575" s="529"/>
      <c r="CH575" s="505"/>
      <c r="CI575" s="505"/>
      <c r="CJ575" s="505"/>
      <c r="DK575" s="58" t="str" cm="1">
        <f t="array" ref="DK575">IF(AND($BT575=4,$BX575=4,$BU575=999),$DB$36,_xlfn.IFNA(INDEX(DB$13:DB$70,MATCH(1,($BR575=$CV$13:$CV$70)*($BT575=$CX$13:$CX$70)*($CE575=$CY$13:$CY$70)*($BY575=$DA$13:$DA$70)*($CD575=$DH$13:$DH$70),0)),""))</f>
        <v/>
      </c>
      <c r="DL575" s="58" t="str" cm="1">
        <f t="array" ref="DL575">IF(AND($BT575=4,$BX575=4,$BU575=999),$DC$36,_xlfn.IFNA(INDEX(CHOOSE(DP575,DB$13:DB$70,DC$13:DC$70,DD$13:DD$70,DE$13:DE$70),MATCH(1,($BR575=$CV$13:$CV$70)*($BT575=$CX$13:$CX$70)*($CE575=$CY$13:$CY$70)*($BY575=$DA$13:$DA$70)*($CD575=$DH$13:$DH$70),0)),""))</f>
        <v/>
      </c>
      <c r="DM575" s="740" t="str" cm="1">
        <f t="array" ref="DM575">IF(AND($BT575=4,$BX575=4,$BU575=999),$DD$36,_xlfn.IFNA(INDEX(DD$13:DD$68,MATCH(1,($BR575=$CV$13:$CV$68)*($BT575=$CX$13:$CX$68)*($CE575=$CY$13:$CY$68)*($BY575=$DA$13:$DA$68)*($CD575=$DH$13:$DH$68),0)),""))</f>
        <v/>
      </c>
      <c r="DN575" s="740" t="str" cm="1">
        <f t="array" ref="DN575">IF(AND($BT575=4,$BX575=4,$BU575=999),$DD$36,_xlfn.IFNA(INDEX(DE$13:DE$68,MATCH(1,($BR575=$CV$13:$CV$68)*($BT575=$CX$13:$CX$68)*($CE575=$CY$13:$CY$68)*($BY575=$DA$13:$DA$68)*($CD575=$DH$13:$DH$68),0)),""))</f>
        <v/>
      </c>
      <c r="DO575" s="58" t="str" cm="1">
        <f t="array" ref="DO575">IF(AND($BT575=4,$BX575=4,$BU575=999),$DF$36,_xlfn.IFNA(INDEX(DF$13:DF$70,MATCH(1,($BR575=$CV$13:$CV$70)*($BT575=$CX$13:$CX$70)*($CE575=$CY$13:$CY$70)*($BY575=$DA$13:$DA$70)*($CD575=$DH$13:$DH$70),0)),""))</f>
        <v/>
      </c>
      <c r="DP575" s="58" t="e">
        <f t="shared" si="854"/>
        <v>#N/A</v>
      </c>
      <c r="FT575" s="58">
        <f t="shared" si="855"/>
        <v>0</v>
      </c>
      <c r="FW575" s="58">
        <f>IF(i_baseline_risk_from=2,'Effectiveness settings'!EW575,'Effectiveness settings'!FI575)</f>
        <v>0</v>
      </c>
      <c r="FX575" s="58">
        <f t="shared" si="856"/>
        <v>0</v>
      </c>
      <c r="FY575" s="58">
        <f t="shared" si="857"/>
        <v>0</v>
      </c>
      <c r="FZ575" s="58">
        <f t="shared" si="858"/>
        <v>0</v>
      </c>
      <c r="GA575" s="58">
        <f t="shared" si="859"/>
        <v>0</v>
      </c>
      <c r="GB575" s="58">
        <f t="shared" si="860"/>
        <v>0</v>
      </c>
      <c r="GC575" s="58">
        <f t="shared" si="861"/>
        <v>0</v>
      </c>
      <c r="GD575" s="58">
        <f t="shared" si="862"/>
        <v>0</v>
      </c>
      <c r="GE575" s="58">
        <f>IF(AND(dd_CheckMate214_TTD="Yes",'Effectiveness settings'!BU575=2,'Effectiveness settings'!BX575=2),"Apply HR to",GD575)</f>
        <v>0</v>
      </c>
      <c r="GF575" s="58">
        <f t="shared" si="863"/>
        <v>0</v>
      </c>
      <c r="GG575" s="58">
        <f t="shared" si="864"/>
        <v>0</v>
      </c>
      <c r="GH575" s="58">
        <f t="shared" si="865"/>
        <v>0</v>
      </c>
      <c r="GI575" s="58">
        <f t="shared" si="851"/>
        <v>0</v>
      </c>
      <c r="GK575" s="58">
        <f>IF(i_baseline_risk_from=2,'Effectiveness settings'!FA575,'Effectiveness settings'!FM575)</f>
        <v>0</v>
      </c>
      <c r="GL575" s="58">
        <f>IF(i_baseline_risk_from=2,'Effectiveness settings'!FB575,'Effectiveness settings'!FN575)</f>
        <v>0</v>
      </c>
      <c r="GM575" s="58">
        <f>IF(i_baseline_risk_from=2,'Effectiveness settings'!FC575,'Effectiveness settings'!FO575)</f>
        <v>0</v>
      </c>
      <c r="GN575" s="58">
        <f>IF(i_baseline_risk_from=2,'Effectiveness settings'!FD575,'Effectiveness settings'!FP575)</f>
        <v>0</v>
      </c>
      <c r="GQ575" s="58">
        <f t="shared" si="866"/>
        <v>0</v>
      </c>
      <c r="GR575" s="58">
        <f t="shared" si="867"/>
        <v>0</v>
      </c>
      <c r="GS575" s="58">
        <f t="shared" si="868"/>
        <v>0</v>
      </c>
      <c r="GT575" s="58">
        <f t="shared" si="869"/>
        <v>0</v>
      </c>
      <c r="GU575" s="58">
        <f>IF(AND(dd_CheckMate214_TTD="Yes",'Effectiveness settings'!BU575=2,'Effectiveness settings'!BX575=2),2,GT575)</f>
        <v>0</v>
      </c>
      <c r="GV575" s="58">
        <f t="shared" si="870"/>
        <v>0</v>
      </c>
      <c r="GW575" s="58">
        <f t="shared" si="871"/>
        <v>0</v>
      </c>
      <c r="GY575" s="58">
        <f>IF(AND(dd_CheckMate214_TTD="Yes",'Effectiveness settings'!BU575=2,'Effectiveness settings'!BX575=2),1,GN575)</f>
        <v>0</v>
      </c>
      <c r="GZ575" s="58">
        <f t="shared" si="872"/>
        <v>0</v>
      </c>
      <c r="HB575" s="58">
        <f t="shared" si="873"/>
        <v>0</v>
      </c>
      <c r="HD575" s="58">
        <f t="shared" si="846"/>
        <v>0</v>
      </c>
      <c r="HE575" s="58">
        <f t="shared" si="847"/>
        <v>0</v>
      </c>
      <c r="HF575" s="58">
        <f t="shared" si="848"/>
        <v>0</v>
      </c>
      <c r="HG575" s="58">
        <f t="shared" si="849"/>
        <v>0</v>
      </c>
      <c r="HH575" s="58">
        <f t="shared" si="850"/>
        <v>0</v>
      </c>
    </row>
    <row r="576" spans="69:216" ht="15.75" x14ac:dyDescent="0.25">
      <c r="BQ576" s="58">
        <f t="shared" si="853"/>
        <v>350</v>
      </c>
      <c r="BR576" s="61"/>
      <c r="BS576" s="61"/>
      <c r="BT576" s="17"/>
      <c r="BU576" s="17"/>
      <c r="BV576" s="17"/>
      <c r="BW576" s="17"/>
      <c r="BX576" s="61"/>
      <c r="BY576" s="531"/>
      <c r="BZ576" s="529"/>
      <c r="CA576" s="532"/>
      <c r="CB576" s="529"/>
      <c r="CC576" s="529"/>
      <c r="CD576" s="529"/>
      <c r="CE576" s="515"/>
      <c r="CF576" s="1303"/>
      <c r="CG576" s="529"/>
      <c r="CH576" s="505"/>
      <c r="CI576" s="505"/>
      <c r="CJ576" s="505"/>
      <c r="DK576" s="58" t="str" cm="1">
        <f t="array" ref="DK576">IF(AND($BT576=4,$BX576=4,$BU576=999),$DB$36,_xlfn.IFNA(INDEX(DB$13:DB$70,MATCH(1,($BR576=$CV$13:$CV$70)*($BT576=$CX$13:$CX$70)*($CE576=$CY$13:$CY$70)*($BY576=$DA$13:$DA$70)*($CD576=$DH$13:$DH$70),0)),""))</f>
        <v/>
      </c>
      <c r="DL576" s="58" t="str" cm="1">
        <f t="array" ref="DL576">IF(AND($BT576=4,$BX576=4,$BU576=999),$DC$36,_xlfn.IFNA(INDEX(CHOOSE(DP576,DB$13:DB$70,DC$13:DC$70,DD$13:DD$70,DE$13:DE$70),MATCH(1,($BR576=$CV$13:$CV$70)*($BT576=$CX$13:$CX$70)*($CE576=$CY$13:$CY$70)*($BY576=$DA$13:$DA$70)*($CD576=$DH$13:$DH$70),0)),""))</f>
        <v/>
      </c>
      <c r="DM576" s="740" t="str" cm="1">
        <f t="array" ref="DM576">IF(AND($BT576=4,$BX576=4,$BU576=999),$DD$36,_xlfn.IFNA(INDEX(DD$13:DD$68,MATCH(1,($BR576=$CV$13:$CV$68)*($BT576=$CX$13:$CX$68)*($CE576=$CY$13:$CY$68)*($BY576=$DA$13:$DA$68)*($CD576=$DH$13:$DH$68),0)),""))</f>
        <v/>
      </c>
      <c r="DN576" s="740" t="str" cm="1">
        <f t="array" ref="DN576">IF(AND($BT576=4,$BX576=4,$BU576=999),$DD$36,_xlfn.IFNA(INDEX(DE$13:DE$68,MATCH(1,($BR576=$CV$13:$CV$68)*($BT576=$CX$13:$CX$68)*($CE576=$CY$13:$CY$68)*($BY576=$DA$13:$DA$68)*($CD576=$DH$13:$DH$68),0)),""))</f>
        <v/>
      </c>
      <c r="DO576" s="58" t="str" cm="1">
        <f t="array" ref="DO576">IF(AND($BT576=4,$BX576=4,$BU576=999),$DF$36,_xlfn.IFNA(INDEX(DF$13:DF$70,MATCH(1,($BR576=$CV$13:$CV$70)*($BT576=$CX$13:$CX$70)*($CE576=$CY$13:$CY$70)*($BY576=$DA$13:$DA$70)*($CD576=$DH$13:$DH$70),0)),""))</f>
        <v/>
      </c>
      <c r="DP576" s="58" t="e">
        <f t="shared" si="854"/>
        <v>#N/A</v>
      </c>
      <c r="FT576" s="58">
        <f t="shared" si="855"/>
        <v>0</v>
      </c>
      <c r="FW576" s="58">
        <f>IF(i_baseline_risk_from=2,'Effectiveness settings'!EW576,'Effectiveness settings'!FI576)</f>
        <v>0</v>
      </c>
      <c r="FX576" s="58">
        <f t="shared" si="856"/>
        <v>0</v>
      </c>
      <c r="FY576" s="58">
        <f t="shared" si="857"/>
        <v>0</v>
      </c>
      <c r="FZ576" s="58">
        <f t="shared" si="858"/>
        <v>0</v>
      </c>
      <c r="GA576" s="58">
        <f t="shared" si="859"/>
        <v>0</v>
      </c>
      <c r="GB576" s="58">
        <f t="shared" si="860"/>
        <v>0</v>
      </c>
      <c r="GC576" s="58">
        <f t="shared" si="861"/>
        <v>0</v>
      </c>
      <c r="GD576" s="58">
        <f t="shared" si="862"/>
        <v>0</v>
      </c>
      <c r="GE576" s="58">
        <f>IF(AND(dd_CheckMate214_TTD="Yes",'Effectiveness settings'!BU576=2,'Effectiveness settings'!BX576=2),"Apply HR to",GD576)</f>
        <v>0</v>
      </c>
      <c r="GF576" s="58">
        <f t="shared" si="863"/>
        <v>0</v>
      </c>
      <c r="GG576" s="58">
        <f t="shared" si="864"/>
        <v>0</v>
      </c>
      <c r="GH576" s="58">
        <f t="shared" si="865"/>
        <v>0</v>
      </c>
      <c r="GI576" s="58">
        <f t="shared" si="851"/>
        <v>0</v>
      </c>
      <c r="GK576" s="58">
        <f>IF(i_baseline_risk_from=2,'Effectiveness settings'!FA576,'Effectiveness settings'!FM576)</f>
        <v>0</v>
      </c>
      <c r="GL576" s="58">
        <f>IF(i_baseline_risk_from=2,'Effectiveness settings'!FB576,'Effectiveness settings'!FN576)</f>
        <v>0</v>
      </c>
      <c r="GM576" s="58">
        <f>IF(i_baseline_risk_from=2,'Effectiveness settings'!FC576,'Effectiveness settings'!FO576)</f>
        <v>0</v>
      </c>
      <c r="GN576" s="58">
        <f>IF(i_baseline_risk_from=2,'Effectiveness settings'!FD576,'Effectiveness settings'!FP576)</f>
        <v>0</v>
      </c>
      <c r="GQ576" s="58">
        <f t="shared" si="866"/>
        <v>0</v>
      </c>
      <c r="GR576" s="58">
        <f t="shared" si="867"/>
        <v>0</v>
      </c>
      <c r="GS576" s="58">
        <f t="shared" si="868"/>
        <v>0</v>
      </c>
      <c r="GT576" s="58">
        <f t="shared" si="869"/>
        <v>0</v>
      </c>
      <c r="GU576" s="58">
        <f>IF(AND(dd_CheckMate214_TTD="Yes",'Effectiveness settings'!BU576=2,'Effectiveness settings'!BX576=2),2,GT576)</f>
        <v>0</v>
      </c>
      <c r="GV576" s="58">
        <f t="shared" si="870"/>
        <v>0</v>
      </c>
      <c r="GW576" s="58">
        <f t="shared" si="871"/>
        <v>0</v>
      </c>
      <c r="GY576" s="58">
        <f>IF(AND(dd_CheckMate214_TTD="Yes",'Effectiveness settings'!BU576=2,'Effectiveness settings'!BX576=2),1,GN576)</f>
        <v>0</v>
      </c>
      <c r="GZ576" s="58">
        <f t="shared" si="872"/>
        <v>0</v>
      </c>
      <c r="HB576" s="58">
        <f t="shared" si="873"/>
        <v>0</v>
      </c>
      <c r="HD576" s="58">
        <f t="shared" si="846"/>
        <v>0</v>
      </c>
      <c r="HE576" s="58">
        <f t="shared" si="847"/>
        <v>0</v>
      </c>
      <c r="HF576" s="58">
        <f t="shared" si="848"/>
        <v>0</v>
      </c>
      <c r="HG576" s="58">
        <f t="shared" si="849"/>
        <v>0</v>
      </c>
      <c r="HH576" s="58">
        <f t="shared" si="850"/>
        <v>0</v>
      </c>
    </row>
    <row r="577" spans="69:216" ht="15.75" x14ac:dyDescent="0.25">
      <c r="BQ577" s="58">
        <f t="shared" si="853"/>
        <v>350</v>
      </c>
      <c r="BR577" s="61"/>
      <c r="BS577" s="61"/>
      <c r="BT577" s="17"/>
      <c r="BU577" s="17"/>
      <c r="BV577" s="17"/>
      <c r="BW577" s="17"/>
      <c r="BX577" s="61"/>
      <c r="BY577" s="531"/>
      <c r="BZ577" s="529"/>
      <c r="CA577" s="532"/>
      <c r="CB577" s="529"/>
      <c r="CC577" s="529"/>
      <c r="CD577" s="529"/>
      <c r="CE577" s="515"/>
      <c r="CF577" s="1303"/>
      <c r="CG577" s="529"/>
      <c r="CH577" s="505"/>
      <c r="CI577" s="505"/>
      <c r="CJ577" s="505"/>
      <c r="DK577" s="58" t="str" cm="1">
        <f t="array" ref="DK577">IF(AND($BT577=4,$BX577=4,$BU577=999),$DB$36,_xlfn.IFNA(INDEX(DB$13:DB$70,MATCH(1,($BR577=$CV$13:$CV$70)*($BT577=$CX$13:$CX$70)*($CE577=$CY$13:$CY$70)*($BY577=$DA$13:$DA$70)*($CD577=$DH$13:$DH$70),0)),""))</f>
        <v/>
      </c>
      <c r="DL577" s="58" t="str" cm="1">
        <f t="array" ref="DL577">IF(AND($BT577=4,$BX577=4,$BU577=999),$DC$36,_xlfn.IFNA(INDEX(CHOOSE(DP577,DB$13:DB$70,DC$13:DC$70,DD$13:DD$70,DE$13:DE$70),MATCH(1,($BR577=$CV$13:$CV$70)*($BT577=$CX$13:$CX$70)*($CE577=$CY$13:$CY$70)*($BY577=$DA$13:$DA$70)*($CD577=$DH$13:$DH$70),0)),""))</f>
        <v/>
      </c>
      <c r="DM577" s="740" t="str" cm="1">
        <f t="array" ref="DM577">IF(AND($BT577=4,$BX577=4,$BU577=999),$DD$36,_xlfn.IFNA(INDEX(DD$13:DD$68,MATCH(1,($BR577=$CV$13:$CV$68)*($BT577=$CX$13:$CX$68)*($CE577=$CY$13:$CY$68)*($BY577=$DA$13:$DA$68)*($CD577=$DH$13:$DH$68),0)),""))</f>
        <v/>
      </c>
      <c r="DN577" s="740" t="str" cm="1">
        <f t="array" ref="DN577">IF(AND($BT577=4,$BX577=4,$BU577=999),$DD$36,_xlfn.IFNA(INDEX(DE$13:DE$68,MATCH(1,($BR577=$CV$13:$CV$68)*($BT577=$CX$13:$CX$68)*($CE577=$CY$13:$CY$68)*($BY577=$DA$13:$DA$68)*($CD577=$DH$13:$DH$68),0)),""))</f>
        <v/>
      </c>
      <c r="DO577" s="58" t="str" cm="1">
        <f t="array" ref="DO577">IF(AND($BT577=4,$BX577=4,$BU577=999),$DF$36,_xlfn.IFNA(INDEX(DF$13:DF$70,MATCH(1,($BR577=$CV$13:$CV$70)*($BT577=$CX$13:$CX$70)*($CE577=$CY$13:$CY$70)*($BY577=$DA$13:$DA$70)*($CD577=$DH$13:$DH$70),0)),""))</f>
        <v/>
      </c>
      <c r="DP577" s="58" t="e">
        <f t="shared" si="854"/>
        <v>#N/A</v>
      </c>
      <c r="FT577" s="58">
        <f t="shared" si="855"/>
        <v>0</v>
      </c>
      <c r="FW577" s="58">
        <f>IF(i_baseline_risk_from=2,'Effectiveness settings'!EW577,'Effectiveness settings'!FI577)</f>
        <v>0</v>
      </c>
      <c r="FX577" s="58">
        <f t="shared" si="856"/>
        <v>0</v>
      </c>
      <c r="FY577" s="58">
        <f t="shared" si="857"/>
        <v>0</v>
      </c>
      <c r="FZ577" s="58">
        <f t="shared" si="858"/>
        <v>0</v>
      </c>
      <c r="GA577" s="58">
        <f t="shared" si="859"/>
        <v>0</v>
      </c>
      <c r="GB577" s="58">
        <f t="shared" si="860"/>
        <v>0</v>
      </c>
      <c r="GC577" s="58">
        <f t="shared" si="861"/>
        <v>0</v>
      </c>
      <c r="GD577" s="58">
        <f t="shared" si="862"/>
        <v>0</v>
      </c>
      <c r="GE577" s="58">
        <f>IF(AND(dd_CheckMate214_TTD="Yes",'Effectiveness settings'!BU577=2,'Effectiveness settings'!BX577=2),"Apply HR to",GD577)</f>
        <v>0</v>
      </c>
      <c r="GF577" s="58">
        <f t="shared" si="863"/>
        <v>0</v>
      </c>
      <c r="GG577" s="58">
        <f t="shared" si="864"/>
        <v>0</v>
      </c>
      <c r="GH577" s="58">
        <f t="shared" si="865"/>
        <v>0</v>
      </c>
      <c r="GI577" s="58">
        <f t="shared" si="851"/>
        <v>0</v>
      </c>
      <c r="GK577" s="58">
        <f>IF(i_baseline_risk_from=2,'Effectiveness settings'!FA577,'Effectiveness settings'!FM577)</f>
        <v>0</v>
      </c>
      <c r="GL577" s="58">
        <f>IF(i_baseline_risk_from=2,'Effectiveness settings'!FB577,'Effectiveness settings'!FN577)</f>
        <v>0</v>
      </c>
      <c r="GM577" s="58">
        <f>IF(i_baseline_risk_from=2,'Effectiveness settings'!FC577,'Effectiveness settings'!FO577)</f>
        <v>0</v>
      </c>
      <c r="GN577" s="58">
        <f>IF(i_baseline_risk_from=2,'Effectiveness settings'!FD577,'Effectiveness settings'!FP577)</f>
        <v>0</v>
      </c>
      <c r="GQ577" s="58">
        <f t="shared" si="866"/>
        <v>0</v>
      </c>
      <c r="GR577" s="58">
        <f t="shared" si="867"/>
        <v>0</v>
      </c>
      <c r="GS577" s="58">
        <f t="shared" si="868"/>
        <v>0</v>
      </c>
      <c r="GT577" s="58">
        <f t="shared" si="869"/>
        <v>0</v>
      </c>
      <c r="GU577" s="58">
        <f>IF(AND(dd_CheckMate214_TTD="Yes",'Effectiveness settings'!BU577=2,'Effectiveness settings'!BX577=2),2,GT577)</f>
        <v>0</v>
      </c>
      <c r="GV577" s="58">
        <f t="shared" si="870"/>
        <v>0</v>
      </c>
      <c r="GW577" s="58">
        <f t="shared" si="871"/>
        <v>0</v>
      </c>
      <c r="GY577" s="58">
        <f>IF(AND(dd_CheckMate214_TTD="Yes",'Effectiveness settings'!BU577=2,'Effectiveness settings'!BX577=2),1,GN577)</f>
        <v>0</v>
      </c>
      <c r="GZ577" s="58">
        <f t="shared" si="872"/>
        <v>0</v>
      </c>
      <c r="HB577" s="58">
        <f t="shared" si="873"/>
        <v>0</v>
      </c>
      <c r="HD577" s="58">
        <f t="shared" si="846"/>
        <v>0</v>
      </c>
      <c r="HE577" s="58">
        <f t="shared" si="847"/>
        <v>0</v>
      </c>
      <c r="HF577" s="58">
        <f t="shared" si="848"/>
        <v>0</v>
      </c>
      <c r="HG577" s="58">
        <f t="shared" si="849"/>
        <v>0</v>
      </c>
      <c r="HH577" s="58">
        <f t="shared" si="850"/>
        <v>0</v>
      </c>
    </row>
    <row r="578" spans="69:216" ht="15.75" x14ac:dyDescent="0.25">
      <c r="BQ578" s="58">
        <f t="shared" si="853"/>
        <v>350</v>
      </c>
      <c r="BR578" s="61"/>
      <c r="BS578" s="61"/>
      <c r="BT578" s="17"/>
      <c r="BU578" s="17"/>
      <c r="BV578" s="17"/>
      <c r="BW578" s="17"/>
      <c r="BX578" s="61"/>
      <c r="BY578" s="531"/>
      <c r="BZ578" s="529"/>
      <c r="CA578" s="532"/>
      <c r="CB578" s="529"/>
      <c r="CC578" s="529"/>
      <c r="CD578" s="529"/>
      <c r="CE578" s="515"/>
      <c r="CF578" s="1303"/>
      <c r="CG578" s="529"/>
      <c r="CH578" s="505"/>
      <c r="CI578" s="505"/>
      <c r="CJ578" s="505"/>
      <c r="DK578" s="58" t="str" cm="1">
        <f t="array" ref="DK578">IF(AND($BT578=4,$BX578=4,$BU578=999),$DB$36,_xlfn.IFNA(INDEX(DB$13:DB$70,MATCH(1,($BR578=$CV$13:$CV$70)*($BT578=$CX$13:$CX$70)*($CE578=$CY$13:$CY$70)*($BY578=$DA$13:$DA$70)*($CD578=$DH$13:$DH$70),0)),""))</f>
        <v/>
      </c>
      <c r="DL578" s="58" t="str" cm="1">
        <f t="array" ref="DL578">IF(AND($BT578=4,$BX578=4,$BU578=999),$DC$36,_xlfn.IFNA(INDEX(CHOOSE(DP578,DB$13:DB$70,DC$13:DC$70,DD$13:DD$70,DE$13:DE$70),MATCH(1,($BR578=$CV$13:$CV$70)*($BT578=$CX$13:$CX$70)*($CE578=$CY$13:$CY$70)*($BY578=$DA$13:$DA$70)*($CD578=$DH$13:$DH$70),0)),""))</f>
        <v/>
      </c>
      <c r="DM578" s="740" t="str" cm="1">
        <f t="array" ref="DM578">IF(AND($BT578=4,$BX578=4,$BU578=999),$DD$36,_xlfn.IFNA(INDEX(DD$13:DD$68,MATCH(1,($BR578=$CV$13:$CV$68)*($BT578=$CX$13:$CX$68)*($CE578=$CY$13:$CY$68)*($BY578=$DA$13:$DA$68)*($CD578=$DH$13:$DH$68),0)),""))</f>
        <v/>
      </c>
      <c r="DN578" s="740" t="str" cm="1">
        <f t="array" ref="DN578">IF(AND($BT578=4,$BX578=4,$BU578=999),$DD$36,_xlfn.IFNA(INDEX(DE$13:DE$68,MATCH(1,($BR578=$CV$13:$CV$68)*($BT578=$CX$13:$CX$68)*($CE578=$CY$13:$CY$68)*($BY578=$DA$13:$DA$68)*($CD578=$DH$13:$DH$68),0)),""))</f>
        <v/>
      </c>
      <c r="DO578" s="58" t="str" cm="1">
        <f t="array" ref="DO578">IF(AND($BT578=4,$BX578=4,$BU578=999),$DF$36,_xlfn.IFNA(INDEX(DF$13:DF$70,MATCH(1,($BR578=$CV$13:$CV$70)*($BT578=$CX$13:$CX$70)*($CE578=$CY$13:$CY$70)*($BY578=$DA$13:$DA$70)*($CD578=$DH$13:$DH$70),0)),""))</f>
        <v/>
      </c>
      <c r="DP578" s="58" t="e">
        <f t="shared" si="854"/>
        <v>#N/A</v>
      </c>
      <c r="FT578" s="58">
        <f t="shared" si="855"/>
        <v>0</v>
      </c>
      <c r="FW578" s="58">
        <f>IF(i_baseline_risk_from=2,'Effectiveness settings'!EW578,'Effectiveness settings'!FI578)</f>
        <v>0</v>
      </c>
      <c r="FX578" s="58">
        <f t="shared" si="856"/>
        <v>0</v>
      </c>
      <c r="FY578" s="58">
        <f t="shared" si="857"/>
        <v>0</v>
      </c>
      <c r="FZ578" s="58">
        <f t="shared" si="858"/>
        <v>0</v>
      </c>
      <c r="GA578" s="58">
        <f t="shared" si="859"/>
        <v>0</v>
      </c>
      <c r="GB578" s="58">
        <f t="shared" si="860"/>
        <v>0</v>
      </c>
      <c r="GC578" s="58">
        <f t="shared" si="861"/>
        <v>0</v>
      </c>
      <c r="GD578" s="58">
        <f t="shared" si="862"/>
        <v>0</v>
      </c>
      <c r="GE578" s="58">
        <f>IF(AND(dd_CheckMate214_TTD="Yes",'Effectiveness settings'!BU578=2,'Effectiveness settings'!BX578=2),"Apply HR to",GD578)</f>
        <v>0</v>
      </c>
      <c r="GF578" s="58">
        <f t="shared" si="863"/>
        <v>0</v>
      </c>
      <c r="GG578" s="58">
        <f t="shared" si="864"/>
        <v>0</v>
      </c>
      <c r="GH578" s="58">
        <f t="shared" si="865"/>
        <v>0</v>
      </c>
      <c r="GI578" s="58">
        <f t="shared" si="851"/>
        <v>0</v>
      </c>
      <c r="GK578" s="58">
        <f>IF(i_baseline_risk_from=2,'Effectiveness settings'!FA578,'Effectiveness settings'!FM578)</f>
        <v>0</v>
      </c>
      <c r="GL578" s="58">
        <f>IF(i_baseline_risk_from=2,'Effectiveness settings'!FB578,'Effectiveness settings'!FN578)</f>
        <v>0</v>
      </c>
      <c r="GM578" s="58">
        <f>IF(i_baseline_risk_from=2,'Effectiveness settings'!FC578,'Effectiveness settings'!FO578)</f>
        <v>0</v>
      </c>
      <c r="GN578" s="58">
        <f>IF(i_baseline_risk_from=2,'Effectiveness settings'!FD578,'Effectiveness settings'!FP578)</f>
        <v>0</v>
      </c>
      <c r="GQ578" s="58">
        <f t="shared" si="866"/>
        <v>0</v>
      </c>
      <c r="GR578" s="58">
        <f t="shared" si="867"/>
        <v>0</v>
      </c>
      <c r="GS578" s="58">
        <f t="shared" si="868"/>
        <v>0</v>
      </c>
      <c r="GT578" s="58">
        <f t="shared" si="869"/>
        <v>0</v>
      </c>
      <c r="GU578" s="58">
        <f>IF(AND(dd_CheckMate214_TTD="Yes",'Effectiveness settings'!BU578=2,'Effectiveness settings'!BX578=2),2,GT578)</f>
        <v>0</v>
      </c>
      <c r="GV578" s="58">
        <f t="shared" si="870"/>
        <v>0</v>
      </c>
      <c r="GW578" s="58">
        <f t="shared" si="871"/>
        <v>0</v>
      </c>
      <c r="GY578" s="58">
        <f>IF(AND(dd_CheckMate214_TTD="Yes",'Effectiveness settings'!BU578=2,'Effectiveness settings'!BX578=2),1,GN578)</f>
        <v>0</v>
      </c>
      <c r="GZ578" s="58">
        <f t="shared" si="872"/>
        <v>0</v>
      </c>
      <c r="HB578" s="58">
        <f t="shared" si="873"/>
        <v>0</v>
      </c>
      <c r="HD578" s="58">
        <f t="shared" ref="HD578:HD641" si="952">HB578</f>
        <v>0</v>
      </c>
      <c r="HE578" s="58">
        <f t="shared" ref="HE578:HE641" si="953">GK578</f>
        <v>0</v>
      </c>
      <c r="HF578" s="58">
        <f t="shared" ref="HF578:HF641" si="954">GW578</f>
        <v>0</v>
      </c>
      <c r="HG578" s="58">
        <f t="shared" ref="HG578:HG641" si="955">GM578</f>
        <v>0</v>
      </c>
      <c r="HH578" s="58">
        <f t="shared" ref="HH578:HH641" si="956">GZ578</f>
        <v>0</v>
      </c>
    </row>
    <row r="579" spans="69:216" ht="15.75" x14ac:dyDescent="0.25">
      <c r="BQ579" s="58">
        <f t="shared" si="853"/>
        <v>350</v>
      </c>
      <c r="BR579" s="61"/>
      <c r="BS579" s="61"/>
      <c r="BT579" s="17"/>
      <c r="BU579" s="17"/>
      <c r="BV579" s="17"/>
      <c r="BW579" s="17"/>
      <c r="BX579" s="61"/>
      <c r="BY579" s="531"/>
      <c r="BZ579" s="529"/>
      <c r="CA579" s="532"/>
      <c r="CB579" s="529"/>
      <c r="CC579" s="529"/>
      <c r="CD579" s="529"/>
      <c r="CE579" s="515"/>
      <c r="CF579" s="1303"/>
      <c r="CG579" s="529"/>
      <c r="CH579" s="505"/>
      <c r="CI579" s="505"/>
      <c r="CJ579" s="505"/>
      <c r="DK579" s="58" t="str" cm="1">
        <f t="array" ref="DK579">IF(AND($BT579=4,$BX579=4,$BU579=999),$DB$36,_xlfn.IFNA(INDEX(DB$13:DB$70,MATCH(1,($BR579=$CV$13:$CV$70)*($BT579=$CX$13:$CX$70)*($CE579=$CY$13:$CY$70)*($BY579=$DA$13:$DA$70)*($CD579=$DH$13:$DH$70),0)),""))</f>
        <v/>
      </c>
      <c r="DL579" s="58" t="str" cm="1">
        <f t="array" ref="DL579">IF(AND($BT579=4,$BX579=4,$BU579=999),$DC$36,_xlfn.IFNA(INDEX(CHOOSE(DP579,DB$13:DB$70,DC$13:DC$70,DD$13:DD$70,DE$13:DE$70),MATCH(1,($BR579=$CV$13:$CV$70)*($BT579=$CX$13:$CX$70)*($CE579=$CY$13:$CY$70)*($BY579=$DA$13:$DA$70)*($CD579=$DH$13:$DH$70),0)),""))</f>
        <v/>
      </c>
      <c r="DM579" s="740" t="str" cm="1">
        <f t="array" ref="DM579">IF(AND($BT579=4,$BX579=4,$BU579=999),$DD$36,_xlfn.IFNA(INDEX(DD$13:DD$68,MATCH(1,($BR579=$CV$13:$CV$68)*($BT579=$CX$13:$CX$68)*($CE579=$CY$13:$CY$68)*($BY579=$DA$13:$DA$68)*($CD579=$DH$13:$DH$68),0)),""))</f>
        <v/>
      </c>
      <c r="DN579" s="740" t="str" cm="1">
        <f t="array" ref="DN579">IF(AND($BT579=4,$BX579=4,$BU579=999),$DD$36,_xlfn.IFNA(INDEX(DE$13:DE$68,MATCH(1,($BR579=$CV$13:$CV$68)*($BT579=$CX$13:$CX$68)*($CE579=$CY$13:$CY$68)*($BY579=$DA$13:$DA$68)*($CD579=$DH$13:$DH$68),0)),""))</f>
        <v/>
      </c>
      <c r="DO579" s="58" t="str" cm="1">
        <f t="array" ref="DO579">IF(AND($BT579=4,$BX579=4,$BU579=999),$DF$36,_xlfn.IFNA(INDEX(DF$13:DF$70,MATCH(1,($BR579=$CV$13:$CV$70)*($BT579=$CX$13:$CX$70)*($CE579=$CY$13:$CY$70)*($BY579=$DA$13:$DA$70)*($CD579=$DH$13:$DH$70),0)),""))</f>
        <v/>
      </c>
      <c r="DP579" s="58" t="e">
        <f t="shared" si="854"/>
        <v>#N/A</v>
      </c>
      <c r="FT579" s="58">
        <f t="shared" si="855"/>
        <v>0</v>
      </c>
      <c r="FW579" s="58">
        <f>IF(i_baseline_risk_from=2,'Effectiveness settings'!EW579,'Effectiveness settings'!FI579)</f>
        <v>0</v>
      </c>
      <c r="FX579" s="58">
        <f t="shared" si="856"/>
        <v>0</v>
      </c>
      <c r="FY579" s="58">
        <f t="shared" si="857"/>
        <v>0</v>
      </c>
      <c r="FZ579" s="58">
        <f t="shared" si="858"/>
        <v>0</v>
      </c>
      <c r="GA579" s="58">
        <f t="shared" si="859"/>
        <v>0</v>
      </c>
      <c r="GB579" s="58">
        <f t="shared" si="860"/>
        <v>0</v>
      </c>
      <c r="GC579" s="58">
        <f t="shared" si="861"/>
        <v>0</v>
      </c>
      <c r="GD579" s="58">
        <f t="shared" si="862"/>
        <v>0</v>
      </c>
      <c r="GE579" s="58">
        <f>IF(AND(dd_CheckMate214_TTD="Yes",'Effectiveness settings'!BU579=2,'Effectiveness settings'!BX579=2),"Apply HR to",GD579)</f>
        <v>0</v>
      </c>
      <c r="GF579" s="58">
        <f t="shared" si="863"/>
        <v>0</v>
      </c>
      <c r="GG579" s="58">
        <f t="shared" si="864"/>
        <v>0</v>
      </c>
      <c r="GH579" s="58">
        <f t="shared" si="865"/>
        <v>0</v>
      </c>
      <c r="GI579" s="58">
        <f t="shared" ref="GI579:GI642" si="957">GH579</f>
        <v>0</v>
      </c>
      <c r="GK579" s="58">
        <f>IF(i_baseline_risk_from=2,'Effectiveness settings'!FA579,'Effectiveness settings'!FM579)</f>
        <v>0</v>
      </c>
      <c r="GL579" s="58">
        <f>IF(i_baseline_risk_from=2,'Effectiveness settings'!FB579,'Effectiveness settings'!FN579)</f>
        <v>0</v>
      </c>
      <c r="GM579" s="58">
        <f>IF(i_baseline_risk_from=2,'Effectiveness settings'!FC579,'Effectiveness settings'!FO579)</f>
        <v>0</v>
      </c>
      <c r="GN579" s="58">
        <f>IF(i_baseline_risk_from=2,'Effectiveness settings'!FD579,'Effectiveness settings'!FP579)</f>
        <v>0</v>
      </c>
      <c r="GQ579" s="58">
        <f t="shared" si="866"/>
        <v>0</v>
      </c>
      <c r="GR579" s="58">
        <f t="shared" si="867"/>
        <v>0</v>
      </c>
      <c r="GS579" s="58">
        <f t="shared" si="868"/>
        <v>0</v>
      </c>
      <c r="GT579" s="58">
        <f t="shared" si="869"/>
        <v>0</v>
      </c>
      <c r="GU579" s="58">
        <f>IF(AND(dd_CheckMate214_TTD="Yes",'Effectiveness settings'!BU579=2,'Effectiveness settings'!BX579=2),2,GT579)</f>
        <v>0</v>
      </c>
      <c r="GV579" s="58">
        <f t="shared" si="870"/>
        <v>0</v>
      </c>
      <c r="GW579" s="58">
        <f t="shared" si="871"/>
        <v>0</v>
      </c>
      <c r="GY579" s="58">
        <f>IF(AND(dd_CheckMate214_TTD="Yes",'Effectiveness settings'!BU579=2,'Effectiveness settings'!BX579=2),1,GN579)</f>
        <v>0</v>
      </c>
      <c r="GZ579" s="58">
        <f t="shared" si="872"/>
        <v>0</v>
      </c>
      <c r="HB579" s="58">
        <f t="shared" si="873"/>
        <v>0</v>
      </c>
      <c r="HD579" s="58">
        <f t="shared" si="952"/>
        <v>0</v>
      </c>
      <c r="HE579" s="58">
        <f t="shared" si="953"/>
        <v>0</v>
      </c>
      <c r="HF579" s="58">
        <f t="shared" si="954"/>
        <v>0</v>
      </c>
      <c r="HG579" s="58">
        <f t="shared" si="955"/>
        <v>0</v>
      </c>
      <c r="HH579" s="58">
        <f t="shared" si="956"/>
        <v>0</v>
      </c>
    </row>
    <row r="580" spans="69:216" ht="15.75" x14ac:dyDescent="0.25">
      <c r="BQ580" s="58">
        <f t="shared" si="853"/>
        <v>350</v>
      </c>
      <c r="BR580" s="61"/>
      <c r="BS580" s="61"/>
      <c r="BT580" s="17"/>
      <c r="BU580" s="17"/>
      <c r="BV580" s="17"/>
      <c r="BW580" s="17"/>
      <c r="BX580" s="61"/>
      <c r="BY580" s="531"/>
      <c r="BZ580" s="529"/>
      <c r="CA580" s="532"/>
      <c r="CB580" s="529"/>
      <c r="CC580" s="529"/>
      <c r="CD580" s="529"/>
      <c r="CE580" s="515"/>
      <c r="CF580" s="1303"/>
      <c r="CG580" s="529"/>
      <c r="CH580" s="505"/>
      <c r="CI580" s="505"/>
      <c r="CJ580" s="505"/>
      <c r="DK580" s="58" t="str" cm="1">
        <f t="array" ref="DK580">IF(AND($BT580=4,$BX580=4,$BU580=999),$DB$36,_xlfn.IFNA(INDEX(DB$13:DB$70,MATCH(1,($BR580=$CV$13:$CV$70)*($BT580=$CX$13:$CX$70)*($CE580=$CY$13:$CY$70)*($BY580=$DA$13:$DA$70)*($CD580=$DH$13:$DH$70),0)),""))</f>
        <v/>
      </c>
      <c r="DL580" s="58" t="str" cm="1">
        <f t="array" ref="DL580">IF(AND($BT580=4,$BX580=4,$BU580=999),$DC$36,_xlfn.IFNA(INDEX(CHOOSE(DP580,DB$13:DB$70,DC$13:DC$70,DD$13:DD$70,DE$13:DE$70),MATCH(1,($BR580=$CV$13:$CV$70)*($BT580=$CX$13:$CX$70)*($CE580=$CY$13:$CY$70)*($BY580=$DA$13:$DA$70)*($CD580=$DH$13:$DH$70),0)),""))</f>
        <v/>
      </c>
      <c r="DM580" s="740" t="str" cm="1">
        <f t="array" ref="DM580">IF(AND($BT580=4,$BX580=4,$BU580=999),$DD$36,_xlfn.IFNA(INDEX(DD$13:DD$68,MATCH(1,($BR580=$CV$13:$CV$68)*($BT580=$CX$13:$CX$68)*($CE580=$CY$13:$CY$68)*($BY580=$DA$13:$DA$68)*($CD580=$DH$13:$DH$68),0)),""))</f>
        <v/>
      </c>
      <c r="DN580" s="740" t="str" cm="1">
        <f t="array" ref="DN580">IF(AND($BT580=4,$BX580=4,$BU580=999),$DD$36,_xlfn.IFNA(INDEX(DE$13:DE$68,MATCH(1,($BR580=$CV$13:$CV$68)*($BT580=$CX$13:$CX$68)*($CE580=$CY$13:$CY$68)*($BY580=$DA$13:$DA$68)*($CD580=$DH$13:$DH$68),0)),""))</f>
        <v/>
      </c>
      <c r="DO580" s="58" t="str" cm="1">
        <f t="array" ref="DO580">IF(AND($BT580=4,$BX580=4,$BU580=999),$DF$36,_xlfn.IFNA(INDEX(DF$13:DF$70,MATCH(1,($BR580=$CV$13:$CV$70)*($BT580=$CX$13:$CX$70)*($CE580=$CY$13:$CY$70)*($BY580=$DA$13:$DA$70)*($CD580=$DH$13:$DH$70),0)),""))</f>
        <v/>
      </c>
      <c r="DP580" s="58" t="e">
        <f t="shared" si="854"/>
        <v>#N/A</v>
      </c>
      <c r="FT580" s="58">
        <f t="shared" si="855"/>
        <v>0</v>
      </c>
      <c r="FW580" s="58">
        <f>IF(i_baseline_risk_from=2,'Effectiveness settings'!EW580,'Effectiveness settings'!FI580)</f>
        <v>0</v>
      </c>
      <c r="FX580" s="58">
        <f t="shared" si="856"/>
        <v>0</v>
      </c>
      <c r="FY580" s="58">
        <f t="shared" si="857"/>
        <v>0</v>
      </c>
      <c r="FZ580" s="58">
        <f t="shared" si="858"/>
        <v>0</v>
      </c>
      <c r="GA580" s="58">
        <f t="shared" si="859"/>
        <v>0</v>
      </c>
      <c r="GB580" s="58">
        <f t="shared" si="860"/>
        <v>0</v>
      </c>
      <c r="GC580" s="58">
        <f t="shared" si="861"/>
        <v>0</v>
      </c>
      <c r="GD580" s="58">
        <f t="shared" si="862"/>
        <v>0</v>
      </c>
      <c r="GE580" s="58">
        <f>IF(AND(dd_CheckMate214_TTD="Yes",'Effectiveness settings'!BU580=2,'Effectiveness settings'!BX580=2),"Apply HR to",GD580)</f>
        <v>0</v>
      </c>
      <c r="GF580" s="58">
        <f t="shared" si="863"/>
        <v>0</v>
      </c>
      <c r="GG580" s="58">
        <f t="shared" si="864"/>
        <v>0</v>
      </c>
      <c r="GH580" s="58">
        <f t="shared" si="865"/>
        <v>0</v>
      </c>
      <c r="GI580" s="58">
        <f t="shared" si="957"/>
        <v>0</v>
      </c>
      <c r="GK580" s="58">
        <f>IF(i_baseline_risk_from=2,'Effectiveness settings'!FA580,'Effectiveness settings'!FM580)</f>
        <v>0</v>
      </c>
      <c r="GL580" s="58">
        <f>IF(i_baseline_risk_from=2,'Effectiveness settings'!FB580,'Effectiveness settings'!FN580)</f>
        <v>0</v>
      </c>
      <c r="GM580" s="58">
        <f>IF(i_baseline_risk_from=2,'Effectiveness settings'!FC580,'Effectiveness settings'!FO580)</f>
        <v>0</v>
      </c>
      <c r="GN580" s="58">
        <f>IF(i_baseline_risk_from=2,'Effectiveness settings'!FD580,'Effectiveness settings'!FP580)</f>
        <v>0</v>
      </c>
      <c r="GQ580" s="58">
        <f t="shared" si="866"/>
        <v>0</v>
      </c>
      <c r="GR580" s="58">
        <f t="shared" si="867"/>
        <v>0</v>
      </c>
      <c r="GS580" s="58">
        <f t="shared" si="868"/>
        <v>0</v>
      </c>
      <c r="GT580" s="58">
        <f t="shared" si="869"/>
        <v>0</v>
      </c>
      <c r="GU580" s="58">
        <f>IF(AND(dd_CheckMate214_TTD="Yes",'Effectiveness settings'!BU580=2,'Effectiveness settings'!BX580=2),2,GT580)</f>
        <v>0</v>
      </c>
      <c r="GV580" s="58">
        <f t="shared" si="870"/>
        <v>0</v>
      </c>
      <c r="GW580" s="58">
        <f t="shared" si="871"/>
        <v>0</v>
      </c>
      <c r="GY580" s="58">
        <f>IF(AND(dd_CheckMate214_TTD="Yes",'Effectiveness settings'!BU580=2,'Effectiveness settings'!BX580=2),1,GN580)</f>
        <v>0</v>
      </c>
      <c r="GZ580" s="58">
        <f t="shared" si="872"/>
        <v>0</v>
      </c>
      <c r="HB580" s="58">
        <f t="shared" si="873"/>
        <v>0</v>
      </c>
      <c r="HD580" s="58">
        <f t="shared" si="952"/>
        <v>0</v>
      </c>
      <c r="HE580" s="58">
        <f t="shared" si="953"/>
        <v>0</v>
      </c>
      <c r="HF580" s="58">
        <f t="shared" si="954"/>
        <v>0</v>
      </c>
      <c r="HG580" s="58">
        <f t="shared" si="955"/>
        <v>0</v>
      </c>
      <c r="HH580" s="58">
        <f t="shared" si="956"/>
        <v>0</v>
      </c>
    </row>
    <row r="581" spans="69:216" ht="15.75" x14ac:dyDescent="0.25">
      <c r="BQ581" s="58">
        <f t="shared" si="853"/>
        <v>350</v>
      </c>
      <c r="BR581" s="61"/>
      <c r="BS581" s="61"/>
      <c r="BT581" s="17"/>
      <c r="BU581" s="17"/>
      <c r="BV581" s="17"/>
      <c r="BW581" s="17"/>
      <c r="BX581" s="61"/>
      <c r="BY581" s="531"/>
      <c r="BZ581" s="529"/>
      <c r="CA581" s="532"/>
      <c r="CB581" s="529"/>
      <c r="CC581" s="529"/>
      <c r="CD581" s="529"/>
      <c r="CE581" s="515"/>
      <c r="CF581" s="1303"/>
      <c r="CG581" s="529"/>
      <c r="CH581" s="505"/>
      <c r="CI581" s="505"/>
      <c r="CJ581" s="505"/>
      <c r="DK581" s="58" t="str" cm="1">
        <f t="array" ref="DK581">IF(AND($BT581=4,$BX581=4,$BU581=999),$DB$36,_xlfn.IFNA(INDEX(DB$13:DB$70,MATCH(1,($BR581=$CV$13:$CV$70)*($BT581=$CX$13:$CX$70)*($CE581=$CY$13:$CY$70)*($BY581=$DA$13:$DA$70)*($CD581=$DH$13:$DH$70),0)),""))</f>
        <v/>
      </c>
      <c r="DL581" s="58" t="str" cm="1">
        <f t="array" ref="DL581">IF(AND($BT581=4,$BX581=4,$BU581=999),$DC$36,_xlfn.IFNA(INDEX(CHOOSE(DP581,DB$13:DB$70,DC$13:DC$70,DD$13:DD$70,DE$13:DE$70),MATCH(1,($BR581=$CV$13:$CV$70)*($BT581=$CX$13:$CX$70)*($CE581=$CY$13:$CY$70)*($BY581=$DA$13:$DA$70)*($CD581=$DH$13:$DH$70),0)),""))</f>
        <v/>
      </c>
      <c r="DM581" s="740" t="str" cm="1">
        <f t="array" ref="DM581">IF(AND($BT581=4,$BX581=4,$BU581=999),$DD$36,_xlfn.IFNA(INDEX(DD$13:DD$68,MATCH(1,($BR581=$CV$13:$CV$68)*($BT581=$CX$13:$CX$68)*($CE581=$CY$13:$CY$68)*($BY581=$DA$13:$DA$68)*($CD581=$DH$13:$DH$68),0)),""))</f>
        <v/>
      </c>
      <c r="DN581" s="740" t="str" cm="1">
        <f t="array" ref="DN581">IF(AND($BT581=4,$BX581=4,$BU581=999),$DD$36,_xlfn.IFNA(INDEX(DE$13:DE$68,MATCH(1,($BR581=$CV$13:$CV$68)*($BT581=$CX$13:$CX$68)*($CE581=$CY$13:$CY$68)*($BY581=$DA$13:$DA$68)*($CD581=$DH$13:$DH$68),0)),""))</f>
        <v/>
      </c>
      <c r="DO581" s="58" t="str" cm="1">
        <f t="array" ref="DO581">IF(AND($BT581=4,$BX581=4,$BU581=999),$DF$36,_xlfn.IFNA(INDEX(DF$13:DF$70,MATCH(1,($BR581=$CV$13:$CV$70)*($BT581=$CX$13:$CX$70)*($CE581=$CY$13:$CY$70)*($BY581=$DA$13:$DA$70)*($CD581=$DH$13:$DH$70),0)),""))</f>
        <v/>
      </c>
      <c r="DP581" s="58" t="e">
        <f t="shared" si="854"/>
        <v>#N/A</v>
      </c>
      <c r="FT581" s="58">
        <f t="shared" si="855"/>
        <v>0</v>
      </c>
      <c r="FW581" s="58">
        <f>IF(i_baseline_risk_from=2,'Effectiveness settings'!EW581,'Effectiveness settings'!FI581)</f>
        <v>0</v>
      </c>
      <c r="FX581" s="58">
        <f t="shared" si="856"/>
        <v>0</v>
      </c>
      <c r="FY581" s="58">
        <f t="shared" si="857"/>
        <v>0</v>
      </c>
      <c r="FZ581" s="58">
        <f t="shared" si="858"/>
        <v>0</v>
      </c>
      <c r="GA581" s="58">
        <f t="shared" si="859"/>
        <v>0</v>
      </c>
      <c r="GB581" s="58">
        <f t="shared" si="860"/>
        <v>0</v>
      </c>
      <c r="GC581" s="58">
        <f t="shared" si="861"/>
        <v>0</v>
      </c>
      <c r="GD581" s="58">
        <f t="shared" si="862"/>
        <v>0</v>
      </c>
      <c r="GE581" s="58">
        <f>IF(AND(dd_CheckMate214_TTD="Yes",'Effectiveness settings'!BU581=2,'Effectiveness settings'!BX581=2),"Apply HR to",GD581)</f>
        <v>0</v>
      </c>
      <c r="GF581" s="58">
        <f t="shared" si="863"/>
        <v>0</v>
      </c>
      <c r="GG581" s="58">
        <f t="shared" si="864"/>
        <v>0</v>
      </c>
      <c r="GH581" s="58">
        <f t="shared" si="865"/>
        <v>0</v>
      </c>
      <c r="GI581" s="58">
        <f t="shared" si="957"/>
        <v>0</v>
      </c>
      <c r="GK581" s="58">
        <f>IF(i_baseline_risk_from=2,'Effectiveness settings'!FA581,'Effectiveness settings'!FM581)</f>
        <v>0</v>
      </c>
      <c r="GL581" s="58">
        <f>IF(i_baseline_risk_from=2,'Effectiveness settings'!FB581,'Effectiveness settings'!FN581)</f>
        <v>0</v>
      </c>
      <c r="GM581" s="58">
        <f>IF(i_baseline_risk_from=2,'Effectiveness settings'!FC581,'Effectiveness settings'!FO581)</f>
        <v>0</v>
      </c>
      <c r="GN581" s="58">
        <f>IF(i_baseline_risk_from=2,'Effectiveness settings'!FD581,'Effectiveness settings'!FP581)</f>
        <v>0</v>
      </c>
      <c r="GQ581" s="58">
        <f t="shared" si="866"/>
        <v>0</v>
      </c>
      <c r="GR581" s="58">
        <f t="shared" si="867"/>
        <v>0</v>
      </c>
      <c r="GS581" s="58">
        <f t="shared" si="868"/>
        <v>0</v>
      </c>
      <c r="GT581" s="58">
        <f t="shared" si="869"/>
        <v>0</v>
      </c>
      <c r="GU581" s="58">
        <f>IF(AND(dd_CheckMate214_TTD="Yes",'Effectiveness settings'!BU581=2,'Effectiveness settings'!BX581=2),2,GT581)</f>
        <v>0</v>
      </c>
      <c r="GV581" s="58">
        <f t="shared" si="870"/>
        <v>0</v>
      </c>
      <c r="GW581" s="58">
        <f t="shared" si="871"/>
        <v>0</v>
      </c>
      <c r="GY581" s="58">
        <f>IF(AND(dd_CheckMate214_TTD="Yes",'Effectiveness settings'!BU581=2,'Effectiveness settings'!BX581=2),1,GN581)</f>
        <v>0</v>
      </c>
      <c r="GZ581" s="58">
        <f t="shared" si="872"/>
        <v>0</v>
      </c>
      <c r="HB581" s="58">
        <f t="shared" si="873"/>
        <v>0</v>
      </c>
      <c r="HD581" s="58">
        <f t="shared" si="952"/>
        <v>0</v>
      </c>
      <c r="HE581" s="58">
        <f t="shared" si="953"/>
        <v>0</v>
      </c>
      <c r="HF581" s="58">
        <f t="shared" si="954"/>
        <v>0</v>
      </c>
      <c r="HG581" s="58">
        <f t="shared" si="955"/>
        <v>0</v>
      </c>
      <c r="HH581" s="58">
        <f t="shared" si="956"/>
        <v>0</v>
      </c>
    </row>
    <row r="582" spans="69:216" ht="15.75" x14ac:dyDescent="0.25">
      <c r="BQ582" s="58">
        <f t="shared" si="853"/>
        <v>350</v>
      </c>
      <c r="BR582" s="61"/>
      <c r="BS582" s="61"/>
      <c r="BT582" s="17"/>
      <c r="BU582" s="17"/>
      <c r="BV582" s="17"/>
      <c r="BW582" s="17"/>
      <c r="BX582" s="61"/>
      <c r="BY582" s="531"/>
      <c r="BZ582" s="529"/>
      <c r="CA582" s="532"/>
      <c r="CB582" s="529"/>
      <c r="CC582" s="529"/>
      <c r="CD582" s="529"/>
      <c r="CE582" s="515"/>
      <c r="CF582" s="1303"/>
      <c r="CG582" s="529"/>
      <c r="CH582" s="505"/>
      <c r="CI582" s="505"/>
      <c r="CJ582" s="505"/>
      <c r="DK582" s="58" t="str" cm="1">
        <f t="array" ref="DK582">IF(AND($BT582=4,$BX582=4,$BU582=999),$DB$36,_xlfn.IFNA(INDEX(DB$13:DB$70,MATCH(1,($BR582=$CV$13:$CV$70)*($BT582=$CX$13:$CX$70)*($CE582=$CY$13:$CY$70)*($BY582=$DA$13:$DA$70)*($CD582=$DH$13:$DH$70),0)),""))</f>
        <v/>
      </c>
      <c r="DL582" s="58" t="str" cm="1">
        <f t="array" ref="DL582">IF(AND($BT582=4,$BX582=4,$BU582=999),$DC$36,_xlfn.IFNA(INDEX(CHOOSE(DP582,DB$13:DB$70,DC$13:DC$70,DD$13:DD$70,DE$13:DE$70),MATCH(1,($BR582=$CV$13:$CV$70)*($BT582=$CX$13:$CX$70)*($CE582=$CY$13:$CY$70)*($BY582=$DA$13:$DA$70)*($CD582=$DH$13:$DH$70),0)),""))</f>
        <v/>
      </c>
      <c r="DM582" s="740" t="str" cm="1">
        <f t="array" ref="DM582">IF(AND($BT582=4,$BX582=4,$BU582=999),$DD$36,_xlfn.IFNA(INDEX(DD$13:DD$68,MATCH(1,($BR582=$CV$13:$CV$68)*($BT582=$CX$13:$CX$68)*($CE582=$CY$13:$CY$68)*($BY582=$DA$13:$DA$68)*($CD582=$DH$13:$DH$68),0)),""))</f>
        <v/>
      </c>
      <c r="DN582" s="740" t="str" cm="1">
        <f t="array" ref="DN582">IF(AND($BT582=4,$BX582=4,$BU582=999),$DD$36,_xlfn.IFNA(INDEX(DE$13:DE$68,MATCH(1,($BR582=$CV$13:$CV$68)*($BT582=$CX$13:$CX$68)*($CE582=$CY$13:$CY$68)*($BY582=$DA$13:$DA$68)*($CD582=$DH$13:$DH$68),0)),""))</f>
        <v/>
      </c>
      <c r="DO582" s="58" t="str" cm="1">
        <f t="array" ref="DO582">IF(AND($BT582=4,$BX582=4,$BU582=999),$DF$36,_xlfn.IFNA(INDEX(DF$13:DF$70,MATCH(1,($BR582=$CV$13:$CV$70)*($BT582=$CX$13:$CX$70)*($CE582=$CY$13:$CY$70)*($BY582=$DA$13:$DA$70)*($CD582=$DH$13:$DH$70),0)),""))</f>
        <v/>
      </c>
      <c r="DP582" s="58" t="e">
        <f t="shared" si="854"/>
        <v>#N/A</v>
      </c>
      <c r="FT582" s="58">
        <f t="shared" si="855"/>
        <v>0</v>
      </c>
      <c r="FW582" s="58">
        <f>IF(i_baseline_risk_from=2,'Effectiveness settings'!EW582,'Effectiveness settings'!FI582)</f>
        <v>0</v>
      </c>
      <c r="FX582" s="58">
        <f t="shared" si="856"/>
        <v>0</v>
      </c>
      <c r="FY582" s="58">
        <f t="shared" si="857"/>
        <v>0</v>
      </c>
      <c r="FZ582" s="58">
        <f t="shared" si="858"/>
        <v>0</v>
      </c>
      <c r="GA582" s="58">
        <f t="shared" si="859"/>
        <v>0</v>
      </c>
      <c r="GB582" s="58">
        <f t="shared" si="860"/>
        <v>0</v>
      </c>
      <c r="GC582" s="58">
        <f t="shared" si="861"/>
        <v>0</v>
      </c>
      <c r="GD582" s="58">
        <f t="shared" si="862"/>
        <v>0</v>
      </c>
      <c r="GE582" s="58">
        <f>IF(AND(dd_CheckMate214_TTD="Yes",'Effectiveness settings'!BU582=2,'Effectiveness settings'!BX582=2),"Apply HR to",GD582)</f>
        <v>0</v>
      </c>
      <c r="GF582" s="58">
        <f t="shared" si="863"/>
        <v>0</v>
      </c>
      <c r="GG582" s="58">
        <f t="shared" si="864"/>
        <v>0</v>
      </c>
      <c r="GH582" s="58">
        <f t="shared" si="865"/>
        <v>0</v>
      </c>
      <c r="GI582" s="58">
        <f t="shared" si="957"/>
        <v>0</v>
      </c>
      <c r="GK582" s="58">
        <f>IF(i_baseline_risk_from=2,'Effectiveness settings'!FA582,'Effectiveness settings'!FM582)</f>
        <v>0</v>
      </c>
      <c r="GL582" s="58">
        <f>IF(i_baseline_risk_from=2,'Effectiveness settings'!FB582,'Effectiveness settings'!FN582)</f>
        <v>0</v>
      </c>
      <c r="GM582" s="58">
        <f>IF(i_baseline_risk_from=2,'Effectiveness settings'!FC582,'Effectiveness settings'!FO582)</f>
        <v>0</v>
      </c>
      <c r="GN582" s="58">
        <f>IF(i_baseline_risk_from=2,'Effectiveness settings'!FD582,'Effectiveness settings'!FP582)</f>
        <v>0</v>
      </c>
      <c r="GQ582" s="58">
        <f t="shared" si="866"/>
        <v>0</v>
      </c>
      <c r="GR582" s="58">
        <f t="shared" si="867"/>
        <v>0</v>
      </c>
      <c r="GS582" s="58">
        <f t="shared" si="868"/>
        <v>0</v>
      </c>
      <c r="GT582" s="58">
        <f t="shared" si="869"/>
        <v>0</v>
      </c>
      <c r="GU582" s="58">
        <f>IF(AND(dd_CheckMate214_TTD="Yes",'Effectiveness settings'!BU582=2,'Effectiveness settings'!BX582=2),2,GT582)</f>
        <v>0</v>
      </c>
      <c r="GV582" s="58">
        <f t="shared" si="870"/>
        <v>0</v>
      </c>
      <c r="GW582" s="58">
        <f t="shared" si="871"/>
        <v>0</v>
      </c>
      <c r="GY582" s="58">
        <f>IF(AND(dd_CheckMate214_TTD="Yes",'Effectiveness settings'!BU582=2,'Effectiveness settings'!BX582=2),1,GN582)</f>
        <v>0</v>
      </c>
      <c r="GZ582" s="58">
        <f t="shared" si="872"/>
        <v>0</v>
      </c>
      <c r="HB582" s="58">
        <f t="shared" si="873"/>
        <v>0</v>
      </c>
      <c r="HD582" s="58">
        <f t="shared" si="952"/>
        <v>0</v>
      </c>
      <c r="HE582" s="58">
        <f t="shared" si="953"/>
        <v>0</v>
      </c>
      <c r="HF582" s="58">
        <f t="shared" si="954"/>
        <v>0</v>
      </c>
      <c r="HG582" s="58">
        <f t="shared" si="955"/>
        <v>0</v>
      </c>
      <c r="HH582" s="58">
        <f t="shared" si="956"/>
        <v>0</v>
      </c>
    </row>
    <row r="583" spans="69:216" ht="15.75" x14ac:dyDescent="0.25">
      <c r="BQ583" s="58">
        <f t="shared" si="853"/>
        <v>350</v>
      </c>
      <c r="BR583" s="61"/>
      <c r="BS583" s="61"/>
      <c r="BT583" s="17"/>
      <c r="BU583" s="17"/>
      <c r="BV583" s="17"/>
      <c r="BW583" s="17"/>
      <c r="BX583" s="61"/>
      <c r="BY583" s="531"/>
      <c r="BZ583" s="529"/>
      <c r="CA583" s="532"/>
      <c r="CB583" s="529"/>
      <c r="CC583" s="529"/>
      <c r="CD583" s="529"/>
      <c r="CE583" s="515"/>
      <c r="CF583" s="1303"/>
      <c r="CG583" s="529"/>
      <c r="CH583" s="505"/>
      <c r="CI583" s="505"/>
      <c r="CJ583" s="505"/>
      <c r="DK583" s="58" t="str" cm="1">
        <f t="array" ref="DK583">IF(AND($BT583=4,$BX583=4,$BU583=999),$DB$36,_xlfn.IFNA(INDEX(DB$13:DB$70,MATCH(1,($BR583=$CV$13:$CV$70)*($BT583=$CX$13:$CX$70)*($CE583=$CY$13:$CY$70)*($BY583=$DA$13:$DA$70)*($CD583=$DH$13:$DH$70),0)),""))</f>
        <v/>
      </c>
      <c r="DL583" s="58" t="str" cm="1">
        <f t="array" ref="DL583">IF(AND($BT583=4,$BX583=4,$BU583=999),$DC$36,_xlfn.IFNA(INDEX(CHOOSE(DP583,DB$13:DB$70,DC$13:DC$70,DD$13:DD$70,DE$13:DE$70),MATCH(1,($BR583=$CV$13:$CV$70)*($BT583=$CX$13:$CX$70)*($CE583=$CY$13:$CY$70)*($BY583=$DA$13:$DA$70)*($CD583=$DH$13:$DH$70),0)),""))</f>
        <v/>
      </c>
      <c r="DM583" s="740" t="str" cm="1">
        <f t="array" ref="DM583">IF(AND($BT583=4,$BX583=4,$BU583=999),$DD$36,_xlfn.IFNA(INDEX(DD$13:DD$68,MATCH(1,($BR583=$CV$13:$CV$68)*($BT583=$CX$13:$CX$68)*($CE583=$CY$13:$CY$68)*($BY583=$DA$13:$DA$68)*($CD583=$DH$13:$DH$68),0)),""))</f>
        <v/>
      </c>
      <c r="DN583" s="740" t="str" cm="1">
        <f t="array" ref="DN583">IF(AND($BT583=4,$BX583=4,$BU583=999),$DD$36,_xlfn.IFNA(INDEX(DE$13:DE$68,MATCH(1,($BR583=$CV$13:$CV$68)*($BT583=$CX$13:$CX$68)*($CE583=$CY$13:$CY$68)*($BY583=$DA$13:$DA$68)*($CD583=$DH$13:$DH$68),0)),""))</f>
        <v/>
      </c>
      <c r="DO583" s="58" t="str" cm="1">
        <f t="array" ref="DO583">IF(AND($BT583=4,$BX583=4,$BU583=999),$DF$36,_xlfn.IFNA(INDEX(DF$13:DF$70,MATCH(1,($BR583=$CV$13:$CV$70)*($BT583=$CX$13:$CX$70)*($CE583=$CY$13:$CY$70)*($BY583=$DA$13:$DA$70)*($CD583=$DH$13:$DH$70),0)),""))</f>
        <v/>
      </c>
      <c r="DP583" s="58" t="e">
        <f t="shared" si="854"/>
        <v>#N/A</v>
      </c>
      <c r="FT583" s="58">
        <f t="shared" si="855"/>
        <v>0</v>
      </c>
      <c r="FW583" s="58">
        <f>IF(i_baseline_risk_from=2,'Effectiveness settings'!EW583,'Effectiveness settings'!FI583)</f>
        <v>0</v>
      </c>
      <c r="FX583" s="58">
        <f t="shared" si="856"/>
        <v>0</v>
      </c>
      <c r="FY583" s="58">
        <f t="shared" si="857"/>
        <v>0</v>
      </c>
      <c r="FZ583" s="58">
        <f t="shared" si="858"/>
        <v>0</v>
      </c>
      <c r="GA583" s="58">
        <f t="shared" si="859"/>
        <v>0</v>
      </c>
      <c r="GB583" s="58">
        <f t="shared" si="860"/>
        <v>0</v>
      </c>
      <c r="GC583" s="58">
        <f t="shared" si="861"/>
        <v>0</v>
      </c>
      <c r="GD583" s="58">
        <f t="shared" si="862"/>
        <v>0</v>
      </c>
      <c r="GE583" s="58">
        <f>IF(AND(dd_CheckMate214_TTD="Yes",'Effectiveness settings'!BU583=2,'Effectiveness settings'!BX583=2),"Apply HR to",GD583)</f>
        <v>0</v>
      </c>
      <c r="GF583" s="58">
        <f t="shared" si="863"/>
        <v>0</v>
      </c>
      <c r="GG583" s="58">
        <f t="shared" si="864"/>
        <v>0</v>
      </c>
      <c r="GH583" s="58">
        <f t="shared" si="865"/>
        <v>0</v>
      </c>
      <c r="GI583" s="58">
        <f t="shared" si="957"/>
        <v>0</v>
      </c>
      <c r="GK583" s="58">
        <f>IF(i_baseline_risk_from=2,'Effectiveness settings'!FA583,'Effectiveness settings'!FM583)</f>
        <v>0</v>
      </c>
      <c r="GL583" s="58">
        <f>IF(i_baseline_risk_from=2,'Effectiveness settings'!FB583,'Effectiveness settings'!FN583)</f>
        <v>0</v>
      </c>
      <c r="GM583" s="58">
        <f>IF(i_baseline_risk_from=2,'Effectiveness settings'!FC583,'Effectiveness settings'!FO583)</f>
        <v>0</v>
      </c>
      <c r="GN583" s="58">
        <f>IF(i_baseline_risk_from=2,'Effectiveness settings'!FD583,'Effectiveness settings'!FP583)</f>
        <v>0</v>
      </c>
      <c r="GQ583" s="58">
        <f t="shared" si="866"/>
        <v>0</v>
      </c>
      <c r="GR583" s="58">
        <f t="shared" si="867"/>
        <v>0</v>
      </c>
      <c r="GS583" s="58">
        <f t="shared" si="868"/>
        <v>0</v>
      </c>
      <c r="GT583" s="58">
        <f t="shared" si="869"/>
        <v>0</v>
      </c>
      <c r="GU583" s="58">
        <f>IF(AND(dd_CheckMate214_TTD="Yes",'Effectiveness settings'!BU583=2,'Effectiveness settings'!BX583=2),2,GT583)</f>
        <v>0</v>
      </c>
      <c r="GV583" s="58">
        <f t="shared" si="870"/>
        <v>0</v>
      </c>
      <c r="GW583" s="58">
        <f t="shared" si="871"/>
        <v>0</v>
      </c>
      <c r="GY583" s="58">
        <f>IF(AND(dd_CheckMate214_TTD="Yes",'Effectiveness settings'!BU583=2,'Effectiveness settings'!BX583=2),1,GN583)</f>
        <v>0</v>
      </c>
      <c r="GZ583" s="58">
        <f t="shared" si="872"/>
        <v>0</v>
      </c>
      <c r="HB583" s="58">
        <f t="shared" si="873"/>
        <v>0</v>
      </c>
      <c r="HD583" s="58">
        <f t="shared" si="952"/>
        <v>0</v>
      </c>
      <c r="HE583" s="58">
        <f t="shared" si="953"/>
        <v>0</v>
      </c>
      <c r="HF583" s="58">
        <f t="shared" si="954"/>
        <v>0</v>
      </c>
      <c r="HG583" s="58">
        <f t="shared" si="955"/>
        <v>0</v>
      </c>
      <c r="HH583" s="58">
        <f t="shared" si="956"/>
        <v>0</v>
      </c>
    </row>
    <row r="584" spans="69:216" ht="15.75" x14ac:dyDescent="0.25">
      <c r="BQ584" s="58">
        <f t="shared" si="853"/>
        <v>350</v>
      </c>
      <c r="BR584" s="61"/>
      <c r="BS584" s="61"/>
      <c r="BT584" s="17"/>
      <c r="BU584" s="17"/>
      <c r="BV584" s="17"/>
      <c r="BW584" s="17"/>
      <c r="BX584" s="61"/>
      <c r="BY584" s="531"/>
      <c r="BZ584" s="529"/>
      <c r="CA584" s="532"/>
      <c r="CB584" s="529"/>
      <c r="CC584" s="529"/>
      <c r="CD584" s="529"/>
      <c r="CE584" s="515"/>
      <c r="CF584" s="1303"/>
      <c r="CG584" s="529"/>
      <c r="CH584" s="505"/>
      <c r="CI584" s="505"/>
      <c r="CJ584" s="505"/>
      <c r="DK584" s="58" t="str" cm="1">
        <f t="array" ref="DK584">IF(AND($BT584=4,$BX584=4,$BU584=999),$DB$36,_xlfn.IFNA(INDEX(DB$13:DB$70,MATCH(1,($BR584=$CV$13:$CV$70)*($BT584=$CX$13:$CX$70)*($CE584=$CY$13:$CY$70)*($BY584=$DA$13:$DA$70)*($CD584=$DH$13:$DH$70),0)),""))</f>
        <v/>
      </c>
      <c r="DL584" s="58" t="str" cm="1">
        <f t="array" ref="DL584">IF(AND($BT584=4,$BX584=4,$BU584=999),$DC$36,_xlfn.IFNA(INDEX(CHOOSE(DP584,DB$13:DB$70,DC$13:DC$70,DD$13:DD$70,DE$13:DE$70),MATCH(1,($BR584=$CV$13:$CV$70)*($BT584=$CX$13:$CX$70)*($CE584=$CY$13:$CY$70)*($BY584=$DA$13:$DA$70)*($CD584=$DH$13:$DH$70),0)),""))</f>
        <v/>
      </c>
      <c r="DM584" s="740" t="str" cm="1">
        <f t="array" ref="DM584">IF(AND($BT584=4,$BX584=4,$BU584=999),$DD$36,_xlfn.IFNA(INDEX(DD$13:DD$68,MATCH(1,($BR584=$CV$13:$CV$68)*($BT584=$CX$13:$CX$68)*($CE584=$CY$13:$CY$68)*($BY584=$DA$13:$DA$68)*($CD584=$DH$13:$DH$68),0)),""))</f>
        <v/>
      </c>
      <c r="DN584" s="740" t="str" cm="1">
        <f t="array" ref="DN584">IF(AND($BT584=4,$BX584=4,$BU584=999),$DD$36,_xlfn.IFNA(INDEX(DE$13:DE$68,MATCH(1,($BR584=$CV$13:$CV$68)*($BT584=$CX$13:$CX$68)*($CE584=$CY$13:$CY$68)*($BY584=$DA$13:$DA$68)*($CD584=$DH$13:$DH$68),0)),""))</f>
        <v/>
      </c>
      <c r="DO584" s="58" t="str" cm="1">
        <f t="array" ref="DO584">IF(AND($BT584=4,$BX584=4,$BU584=999),$DF$36,_xlfn.IFNA(INDEX(DF$13:DF$70,MATCH(1,($BR584=$CV$13:$CV$70)*($BT584=$CX$13:$CX$70)*($CE584=$CY$13:$CY$70)*($BY584=$DA$13:$DA$70)*($CD584=$DH$13:$DH$70),0)),""))</f>
        <v/>
      </c>
      <c r="DP584" s="58" t="e">
        <f t="shared" si="854"/>
        <v>#N/A</v>
      </c>
      <c r="FT584" s="58">
        <f t="shared" si="855"/>
        <v>0</v>
      </c>
      <c r="FW584" s="58">
        <f>IF(i_baseline_risk_from=2,'Effectiveness settings'!EW584,'Effectiveness settings'!FI584)</f>
        <v>0</v>
      </c>
      <c r="FX584" s="58">
        <f t="shared" si="856"/>
        <v>0</v>
      </c>
      <c r="FY584" s="58">
        <f t="shared" si="857"/>
        <v>0</v>
      </c>
      <c r="FZ584" s="58">
        <f t="shared" si="858"/>
        <v>0</v>
      </c>
      <c r="GA584" s="58">
        <f t="shared" si="859"/>
        <v>0</v>
      </c>
      <c r="GB584" s="58">
        <f t="shared" si="860"/>
        <v>0</v>
      </c>
      <c r="GC584" s="58">
        <f t="shared" si="861"/>
        <v>0</v>
      </c>
      <c r="GD584" s="58">
        <f t="shared" si="862"/>
        <v>0</v>
      </c>
      <c r="GE584" s="58">
        <f>IF(AND(dd_CheckMate214_TTD="Yes",'Effectiveness settings'!BU584=2,'Effectiveness settings'!BX584=2),"Apply HR to",GD584)</f>
        <v>0</v>
      </c>
      <c r="GF584" s="58">
        <f t="shared" si="863"/>
        <v>0</v>
      </c>
      <c r="GG584" s="58">
        <f t="shared" si="864"/>
        <v>0</v>
      </c>
      <c r="GH584" s="58">
        <f t="shared" si="865"/>
        <v>0</v>
      </c>
      <c r="GI584" s="58">
        <f t="shared" si="957"/>
        <v>0</v>
      </c>
      <c r="GK584" s="58">
        <f>IF(i_baseline_risk_from=2,'Effectiveness settings'!FA584,'Effectiveness settings'!FM584)</f>
        <v>0</v>
      </c>
      <c r="GL584" s="58">
        <f>IF(i_baseline_risk_from=2,'Effectiveness settings'!FB584,'Effectiveness settings'!FN584)</f>
        <v>0</v>
      </c>
      <c r="GM584" s="58">
        <f>IF(i_baseline_risk_from=2,'Effectiveness settings'!FC584,'Effectiveness settings'!FO584)</f>
        <v>0</v>
      </c>
      <c r="GN584" s="58">
        <f>IF(i_baseline_risk_from=2,'Effectiveness settings'!FD584,'Effectiveness settings'!FP584)</f>
        <v>0</v>
      </c>
      <c r="GQ584" s="58">
        <f t="shared" si="866"/>
        <v>0</v>
      </c>
      <c r="GR584" s="58">
        <f t="shared" si="867"/>
        <v>0</v>
      </c>
      <c r="GS584" s="58">
        <f t="shared" si="868"/>
        <v>0</v>
      </c>
      <c r="GT584" s="58">
        <f t="shared" si="869"/>
        <v>0</v>
      </c>
      <c r="GU584" s="58">
        <f>IF(AND(dd_CheckMate214_TTD="Yes",'Effectiveness settings'!BU584=2,'Effectiveness settings'!BX584=2),2,GT584)</f>
        <v>0</v>
      </c>
      <c r="GV584" s="58">
        <f t="shared" si="870"/>
        <v>0</v>
      </c>
      <c r="GW584" s="58">
        <f t="shared" si="871"/>
        <v>0</v>
      </c>
      <c r="GY584" s="58">
        <f>IF(AND(dd_CheckMate214_TTD="Yes",'Effectiveness settings'!BU584=2,'Effectiveness settings'!BX584=2),1,GN584)</f>
        <v>0</v>
      </c>
      <c r="GZ584" s="58">
        <f t="shared" si="872"/>
        <v>0</v>
      </c>
      <c r="HB584" s="58">
        <f t="shared" si="873"/>
        <v>0</v>
      </c>
      <c r="HD584" s="58">
        <f t="shared" si="952"/>
        <v>0</v>
      </c>
      <c r="HE584" s="58">
        <f t="shared" si="953"/>
        <v>0</v>
      </c>
      <c r="HF584" s="58">
        <f t="shared" si="954"/>
        <v>0</v>
      </c>
      <c r="HG584" s="58">
        <f t="shared" si="955"/>
        <v>0</v>
      </c>
      <c r="HH584" s="58">
        <f t="shared" si="956"/>
        <v>0</v>
      </c>
    </row>
    <row r="585" spans="69:216" ht="15.75" x14ac:dyDescent="0.25">
      <c r="BQ585" s="58">
        <f t="shared" si="853"/>
        <v>350</v>
      </c>
      <c r="BR585" s="61"/>
      <c r="BS585" s="61"/>
      <c r="BT585" s="17"/>
      <c r="BU585" s="17"/>
      <c r="BV585" s="17"/>
      <c r="BW585" s="17"/>
      <c r="BX585" s="61"/>
      <c r="BY585" s="531"/>
      <c r="BZ585" s="529"/>
      <c r="CA585" s="532"/>
      <c r="CB585" s="529"/>
      <c r="CC585" s="529"/>
      <c r="CD585" s="529"/>
      <c r="CE585" s="515"/>
      <c r="CF585" s="1303"/>
      <c r="CG585" s="529"/>
      <c r="CH585" s="505"/>
      <c r="CI585" s="505"/>
      <c r="CJ585" s="505"/>
      <c r="DK585" s="58" t="str" cm="1">
        <f t="array" ref="DK585">IF(AND($BT585=4,$BX585=4,$BU585=999),$DB$36,_xlfn.IFNA(INDEX(DB$13:DB$70,MATCH(1,($BR585=$CV$13:$CV$70)*($BT585=$CX$13:$CX$70)*($CE585=$CY$13:$CY$70)*($BY585=$DA$13:$DA$70)*($CD585=$DH$13:$DH$70),0)),""))</f>
        <v/>
      </c>
      <c r="DL585" s="58" t="str" cm="1">
        <f t="array" ref="DL585">IF(AND($BT585=4,$BX585=4,$BU585=999),$DC$36,_xlfn.IFNA(INDEX(CHOOSE(DP585,DB$13:DB$70,DC$13:DC$70,DD$13:DD$70,DE$13:DE$70),MATCH(1,($BR585=$CV$13:$CV$70)*($BT585=$CX$13:$CX$70)*($CE585=$CY$13:$CY$70)*($BY585=$DA$13:$DA$70)*($CD585=$DH$13:$DH$70),0)),""))</f>
        <v/>
      </c>
      <c r="DM585" s="740" t="str" cm="1">
        <f t="array" ref="DM585">IF(AND($BT585=4,$BX585=4,$BU585=999),$DD$36,_xlfn.IFNA(INDEX(DD$13:DD$68,MATCH(1,($BR585=$CV$13:$CV$68)*($BT585=$CX$13:$CX$68)*($CE585=$CY$13:$CY$68)*($BY585=$DA$13:$DA$68)*($CD585=$DH$13:$DH$68),0)),""))</f>
        <v/>
      </c>
      <c r="DN585" s="740" t="str" cm="1">
        <f t="array" ref="DN585">IF(AND($BT585=4,$BX585=4,$BU585=999),$DD$36,_xlfn.IFNA(INDEX(DE$13:DE$68,MATCH(1,($BR585=$CV$13:$CV$68)*($BT585=$CX$13:$CX$68)*($CE585=$CY$13:$CY$68)*($BY585=$DA$13:$DA$68)*($CD585=$DH$13:$DH$68),0)),""))</f>
        <v/>
      </c>
      <c r="DO585" s="58" t="str" cm="1">
        <f t="array" ref="DO585">IF(AND($BT585=4,$BX585=4,$BU585=999),$DF$36,_xlfn.IFNA(INDEX(DF$13:DF$70,MATCH(1,($BR585=$CV$13:$CV$70)*($BT585=$CX$13:$CX$70)*($CE585=$CY$13:$CY$70)*($BY585=$DA$13:$DA$70)*($CD585=$DH$13:$DH$70),0)),""))</f>
        <v/>
      </c>
      <c r="DP585" s="58" t="e">
        <f t="shared" si="854"/>
        <v>#N/A</v>
      </c>
      <c r="FT585" s="58">
        <f t="shared" si="855"/>
        <v>0</v>
      </c>
      <c r="FW585" s="58">
        <f>IF(i_baseline_risk_from=2,'Effectiveness settings'!EW585,'Effectiveness settings'!FI585)</f>
        <v>0</v>
      </c>
      <c r="FX585" s="58">
        <f t="shared" si="856"/>
        <v>0</v>
      </c>
      <c r="FY585" s="58">
        <f t="shared" si="857"/>
        <v>0</v>
      </c>
      <c r="FZ585" s="58">
        <f t="shared" si="858"/>
        <v>0</v>
      </c>
      <c r="GA585" s="58">
        <f t="shared" si="859"/>
        <v>0</v>
      </c>
      <c r="GB585" s="58">
        <f t="shared" si="860"/>
        <v>0</v>
      </c>
      <c r="GC585" s="58">
        <f t="shared" si="861"/>
        <v>0</v>
      </c>
      <c r="GD585" s="58">
        <f t="shared" si="862"/>
        <v>0</v>
      </c>
      <c r="GE585" s="58">
        <f>IF(AND(dd_CheckMate214_TTD="Yes",'Effectiveness settings'!BU585=2,'Effectiveness settings'!BX585=2),"Apply HR to",GD585)</f>
        <v>0</v>
      </c>
      <c r="GF585" s="58">
        <f t="shared" si="863"/>
        <v>0</v>
      </c>
      <c r="GG585" s="58">
        <f t="shared" si="864"/>
        <v>0</v>
      </c>
      <c r="GH585" s="58">
        <f t="shared" si="865"/>
        <v>0</v>
      </c>
      <c r="GI585" s="58">
        <f t="shared" si="957"/>
        <v>0</v>
      </c>
      <c r="GK585" s="58">
        <f>IF(i_baseline_risk_from=2,'Effectiveness settings'!FA585,'Effectiveness settings'!FM585)</f>
        <v>0</v>
      </c>
      <c r="GL585" s="58">
        <f>IF(i_baseline_risk_from=2,'Effectiveness settings'!FB585,'Effectiveness settings'!FN585)</f>
        <v>0</v>
      </c>
      <c r="GM585" s="58">
        <f>IF(i_baseline_risk_from=2,'Effectiveness settings'!FC585,'Effectiveness settings'!FO585)</f>
        <v>0</v>
      </c>
      <c r="GN585" s="58">
        <f>IF(i_baseline_risk_from=2,'Effectiveness settings'!FD585,'Effectiveness settings'!FP585)</f>
        <v>0</v>
      </c>
      <c r="GQ585" s="58">
        <f t="shared" si="866"/>
        <v>0</v>
      </c>
      <c r="GR585" s="58">
        <f t="shared" si="867"/>
        <v>0</v>
      </c>
      <c r="GS585" s="58">
        <f t="shared" si="868"/>
        <v>0</v>
      </c>
      <c r="GT585" s="58">
        <f t="shared" si="869"/>
        <v>0</v>
      </c>
      <c r="GU585" s="58">
        <f>IF(AND(dd_CheckMate214_TTD="Yes",'Effectiveness settings'!BU585=2,'Effectiveness settings'!BX585=2),2,GT585)</f>
        <v>0</v>
      </c>
      <c r="GV585" s="58">
        <f t="shared" si="870"/>
        <v>0</v>
      </c>
      <c r="GW585" s="58">
        <f t="shared" si="871"/>
        <v>0</v>
      </c>
      <c r="GY585" s="58">
        <f>IF(AND(dd_CheckMate214_TTD="Yes",'Effectiveness settings'!BU585=2,'Effectiveness settings'!BX585=2),1,GN585)</f>
        <v>0</v>
      </c>
      <c r="GZ585" s="58">
        <f t="shared" si="872"/>
        <v>0</v>
      </c>
      <c r="HB585" s="58">
        <f t="shared" si="873"/>
        <v>0</v>
      </c>
      <c r="HD585" s="58">
        <f t="shared" si="952"/>
        <v>0</v>
      </c>
      <c r="HE585" s="58">
        <f t="shared" si="953"/>
        <v>0</v>
      </c>
      <c r="HF585" s="58">
        <f t="shared" si="954"/>
        <v>0</v>
      </c>
      <c r="HG585" s="58">
        <f t="shared" si="955"/>
        <v>0</v>
      </c>
      <c r="HH585" s="58">
        <f t="shared" si="956"/>
        <v>0</v>
      </c>
    </row>
    <row r="586" spans="69:216" ht="15.75" x14ac:dyDescent="0.25">
      <c r="BQ586" s="58">
        <f t="shared" si="853"/>
        <v>350</v>
      </c>
      <c r="BR586" s="61"/>
      <c r="BS586" s="61"/>
      <c r="BT586" s="17"/>
      <c r="BU586" s="61"/>
      <c r="BV586" s="17"/>
      <c r="BW586" s="17"/>
      <c r="BX586" s="61"/>
      <c r="BY586" s="531"/>
      <c r="BZ586" s="529"/>
      <c r="CA586" s="532"/>
      <c r="CB586" s="529"/>
      <c r="CC586" s="529"/>
      <c r="CD586" s="529"/>
      <c r="CE586" s="515"/>
      <c r="CF586" s="1303"/>
      <c r="CG586" s="529"/>
      <c r="CH586" s="505"/>
      <c r="CI586" s="505"/>
      <c r="CJ586" s="505"/>
      <c r="DK586" s="58" t="str" cm="1">
        <f t="array" ref="DK586">IF(AND($BT586=4,$BX586=4,$BU586=999),$DB$36,_xlfn.IFNA(INDEX(DB$13:DB$70,MATCH(1,($BR586=$CV$13:$CV$70)*($BT586=$CX$13:$CX$70)*($CE586=$CY$13:$CY$70)*($BY586=$DA$13:$DA$70)*($CD586=$DH$13:$DH$70),0)),""))</f>
        <v/>
      </c>
      <c r="DL586" s="58" t="str" cm="1">
        <f t="array" ref="DL586">IF(AND($BT586=4,$BX586=4,$BU586=999),$DC$36,_xlfn.IFNA(INDEX(CHOOSE(DP586,DB$13:DB$70,DC$13:DC$70,DD$13:DD$70,DE$13:DE$70),MATCH(1,($BR586=$CV$13:$CV$70)*($BT586=$CX$13:$CX$70)*($CE586=$CY$13:$CY$70)*($BY586=$DA$13:$DA$70)*($CD586=$DH$13:$DH$70),0)),""))</f>
        <v/>
      </c>
      <c r="DM586" s="740" t="str" cm="1">
        <f t="array" ref="DM586">IF(AND($BT586=4,$BX586=4,$BU586=999),$DD$36,_xlfn.IFNA(INDEX(DD$13:DD$68,MATCH(1,($BR586=$CV$13:$CV$68)*($BT586=$CX$13:$CX$68)*($CE586=$CY$13:$CY$68)*($BY586=$DA$13:$DA$68)*($CD586=$DH$13:$DH$68),0)),""))</f>
        <v/>
      </c>
      <c r="DN586" s="740" t="str" cm="1">
        <f t="array" ref="DN586">IF(AND($BT586=4,$BX586=4,$BU586=999),$DD$36,_xlfn.IFNA(INDEX(DE$13:DE$68,MATCH(1,($BR586=$CV$13:$CV$68)*($BT586=$CX$13:$CX$68)*($CE586=$CY$13:$CY$68)*($BY586=$DA$13:$DA$68)*($CD586=$DH$13:$DH$68),0)),""))</f>
        <v/>
      </c>
      <c r="DO586" s="58" t="str" cm="1">
        <f t="array" ref="DO586">IF(AND($BT586=4,$BX586=4,$BU586=999),$DF$36,_xlfn.IFNA(INDEX(DF$13:DF$70,MATCH(1,($BR586=$CV$13:$CV$70)*($BT586=$CX$13:$CX$70)*($CE586=$CY$13:$CY$70)*($BY586=$DA$13:$DA$70)*($CD586=$DH$13:$DH$70),0)),""))</f>
        <v/>
      </c>
      <c r="DP586" s="58" t="e">
        <f t="shared" si="854"/>
        <v>#N/A</v>
      </c>
      <c r="FT586" s="58">
        <f t="shared" si="855"/>
        <v>0</v>
      </c>
      <c r="FW586" s="58">
        <f>IF(i_baseline_risk_from=2,'Effectiveness settings'!EW586,'Effectiveness settings'!FI586)</f>
        <v>0</v>
      </c>
      <c r="FX586" s="58">
        <f t="shared" si="856"/>
        <v>0</v>
      </c>
      <c r="FY586" s="58">
        <f t="shared" si="857"/>
        <v>0</v>
      </c>
      <c r="FZ586" s="58">
        <f t="shared" si="858"/>
        <v>0</v>
      </c>
      <c r="GA586" s="58">
        <f t="shared" si="859"/>
        <v>0</v>
      </c>
      <c r="GB586" s="58">
        <f t="shared" si="860"/>
        <v>0</v>
      </c>
      <c r="GC586" s="58">
        <f t="shared" si="861"/>
        <v>0</v>
      </c>
      <c r="GD586" s="58">
        <f t="shared" si="862"/>
        <v>0</v>
      </c>
      <c r="GE586" s="58">
        <f>IF(AND(dd_CheckMate214_TTD="Yes",'Effectiveness settings'!BU586=2,'Effectiveness settings'!BX586=2),"Apply HR to",GD586)</f>
        <v>0</v>
      </c>
      <c r="GF586" s="58">
        <f t="shared" si="863"/>
        <v>0</v>
      </c>
      <c r="GG586" s="58">
        <f t="shared" si="864"/>
        <v>0</v>
      </c>
      <c r="GH586" s="58">
        <f t="shared" si="865"/>
        <v>0</v>
      </c>
      <c r="GI586" s="58">
        <f t="shared" si="957"/>
        <v>0</v>
      </c>
      <c r="GK586" s="58">
        <f>IF(i_baseline_risk_from=2,'Effectiveness settings'!FA586,'Effectiveness settings'!FM586)</f>
        <v>0</v>
      </c>
      <c r="GL586" s="58">
        <f>IF(i_baseline_risk_from=2,'Effectiveness settings'!FB586,'Effectiveness settings'!FN586)</f>
        <v>0</v>
      </c>
      <c r="GM586" s="58">
        <f>IF(i_baseline_risk_from=2,'Effectiveness settings'!FC586,'Effectiveness settings'!FO586)</f>
        <v>0</v>
      </c>
      <c r="GN586" s="58">
        <f>IF(i_baseline_risk_from=2,'Effectiveness settings'!FD586,'Effectiveness settings'!FP586)</f>
        <v>0</v>
      </c>
      <c r="GQ586" s="58">
        <f t="shared" si="866"/>
        <v>0</v>
      </c>
      <c r="GR586" s="58">
        <f t="shared" si="867"/>
        <v>0</v>
      </c>
      <c r="GS586" s="58">
        <f t="shared" si="868"/>
        <v>0</v>
      </c>
      <c r="GT586" s="58">
        <f t="shared" si="869"/>
        <v>0</v>
      </c>
      <c r="GU586" s="58">
        <f>IF(AND(dd_CheckMate214_TTD="Yes",'Effectiveness settings'!BU586=2,'Effectiveness settings'!BX586=2),2,GT586)</f>
        <v>0</v>
      </c>
      <c r="GV586" s="58">
        <f t="shared" si="870"/>
        <v>0</v>
      </c>
      <c r="GW586" s="58">
        <f t="shared" si="871"/>
        <v>0</v>
      </c>
      <c r="GY586" s="58">
        <f>IF(AND(dd_CheckMate214_TTD="Yes",'Effectiveness settings'!BU586=2,'Effectiveness settings'!BX586=2),1,GN586)</f>
        <v>0</v>
      </c>
      <c r="GZ586" s="58">
        <f t="shared" si="872"/>
        <v>0</v>
      </c>
      <c r="HB586" s="58">
        <f t="shared" si="873"/>
        <v>0</v>
      </c>
      <c r="HD586" s="58">
        <f t="shared" si="952"/>
        <v>0</v>
      </c>
      <c r="HE586" s="58">
        <f t="shared" si="953"/>
        <v>0</v>
      </c>
      <c r="HF586" s="58">
        <f t="shared" si="954"/>
        <v>0</v>
      </c>
      <c r="HG586" s="58">
        <f t="shared" si="955"/>
        <v>0</v>
      </c>
      <c r="HH586" s="58">
        <f t="shared" si="956"/>
        <v>0</v>
      </c>
    </row>
    <row r="587" spans="69:216" ht="15.75" x14ac:dyDescent="0.25">
      <c r="BQ587" s="58">
        <f t="shared" si="853"/>
        <v>350</v>
      </c>
      <c r="BR587" s="61"/>
      <c r="BS587" s="61"/>
      <c r="BT587" s="17"/>
      <c r="BU587" s="17"/>
      <c r="BV587" s="17"/>
      <c r="BW587" s="17"/>
      <c r="BX587" s="61"/>
      <c r="BY587" s="531"/>
      <c r="BZ587" s="529"/>
      <c r="CA587" s="532"/>
      <c r="CB587" s="529"/>
      <c r="CC587" s="529"/>
      <c r="CD587" s="529"/>
      <c r="CE587" s="515"/>
      <c r="CF587" s="1303"/>
      <c r="CG587" s="529"/>
      <c r="CH587" s="505"/>
      <c r="CI587" s="505"/>
      <c r="CJ587" s="505"/>
      <c r="DK587" s="58" t="str" cm="1">
        <f t="array" ref="DK587">IF(AND($BT587=4,$BX587=4,$BU587=999),$DB$36,_xlfn.IFNA(INDEX(DB$13:DB$70,MATCH(1,($BR587=$CV$13:$CV$70)*($BT587=$CX$13:$CX$70)*($CE587=$CY$13:$CY$70)*($BY587=$DA$13:$DA$70)*($CD587=$DH$13:$DH$70),0)),""))</f>
        <v/>
      </c>
      <c r="DL587" s="58" t="str" cm="1">
        <f t="array" ref="DL587">IF(AND($BT587=4,$BX587=4,$BU587=999),$DC$36,_xlfn.IFNA(INDEX(CHOOSE(DP587,DB$13:DB$70,DC$13:DC$70,DD$13:DD$70,DE$13:DE$70),MATCH(1,($BR587=$CV$13:$CV$70)*($BT587=$CX$13:$CX$70)*($CE587=$CY$13:$CY$70)*($BY587=$DA$13:$DA$70)*($CD587=$DH$13:$DH$70),0)),""))</f>
        <v/>
      </c>
      <c r="DM587" s="740" t="str" cm="1">
        <f t="array" ref="DM587">IF(AND($BT587=4,$BX587=4,$BU587=999),$DD$36,_xlfn.IFNA(INDEX(DD$13:DD$68,MATCH(1,($BR587=$CV$13:$CV$68)*($BT587=$CX$13:$CX$68)*($CE587=$CY$13:$CY$68)*($BY587=$DA$13:$DA$68)*($CD587=$DH$13:$DH$68),0)),""))</f>
        <v/>
      </c>
      <c r="DN587" s="740" t="str" cm="1">
        <f t="array" ref="DN587">IF(AND($BT587=4,$BX587=4,$BU587=999),$DD$36,_xlfn.IFNA(INDEX(DE$13:DE$68,MATCH(1,($BR587=$CV$13:$CV$68)*($BT587=$CX$13:$CX$68)*($CE587=$CY$13:$CY$68)*($BY587=$DA$13:$DA$68)*($CD587=$DH$13:$DH$68),0)),""))</f>
        <v/>
      </c>
      <c r="DO587" s="58" t="str" cm="1">
        <f t="array" ref="DO587">IF(AND($BT587=4,$BX587=4,$BU587=999),$DF$36,_xlfn.IFNA(INDEX(DF$13:DF$70,MATCH(1,($BR587=$CV$13:$CV$70)*($BT587=$CX$13:$CX$70)*($CE587=$CY$13:$CY$70)*($BY587=$DA$13:$DA$70)*($CD587=$DH$13:$DH$70),0)),""))</f>
        <v/>
      </c>
      <c r="DP587" s="58" t="e">
        <f t="shared" si="854"/>
        <v>#N/A</v>
      </c>
      <c r="FT587" s="58">
        <f t="shared" si="855"/>
        <v>0</v>
      </c>
      <c r="FW587" s="58">
        <f>IF(i_baseline_risk_from=2,'Effectiveness settings'!EW587,'Effectiveness settings'!FI587)</f>
        <v>0</v>
      </c>
      <c r="FX587" s="58">
        <f t="shared" si="856"/>
        <v>0</v>
      </c>
      <c r="FY587" s="58">
        <f t="shared" si="857"/>
        <v>0</v>
      </c>
      <c r="FZ587" s="58">
        <f t="shared" si="858"/>
        <v>0</v>
      </c>
      <c r="GA587" s="58">
        <f t="shared" si="859"/>
        <v>0</v>
      </c>
      <c r="GB587" s="58">
        <f t="shared" si="860"/>
        <v>0</v>
      </c>
      <c r="GC587" s="58">
        <f t="shared" si="861"/>
        <v>0</v>
      </c>
      <c r="GD587" s="58">
        <f t="shared" si="862"/>
        <v>0</v>
      </c>
      <c r="GE587" s="58">
        <f>IF(AND(dd_CheckMate214_TTD="Yes",'Effectiveness settings'!BU587=2,'Effectiveness settings'!BX587=2),"Apply HR to",GD587)</f>
        <v>0</v>
      </c>
      <c r="GF587" s="58">
        <f t="shared" si="863"/>
        <v>0</v>
      </c>
      <c r="GG587" s="58">
        <f t="shared" si="864"/>
        <v>0</v>
      </c>
      <c r="GH587" s="58">
        <f t="shared" si="865"/>
        <v>0</v>
      </c>
      <c r="GI587" s="58">
        <f t="shared" si="957"/>
        <v>0</v>
      </c>
      <c r="GK587" s="58">
        <f>IF(i_baseline_risk_from=2,'Effectiveness settings'!FA587,'Effectiveness settings'!FM587)</f>
        <v>0</v>
      </c>
      <c r="GL587" s="58">
        <f>IF(i_baseline_risk_from=2,'Effectiveness settings'!FB587,'Effectiveness settings'!FN587)</f>
        <v>0</v>
      </c>
      <c r="GM587" s="58">
        <f>IF(i_baseline_risk_from=2,'Effectiveness settings'!FC587,'Effectiveness settings'!FO587)</f>
        <v>0</v>
      </c>
      <c r="GN587" s="58">
        <f>IF(i_baseline_risk_from=2,'Effectiveness settings'!FD587,'Effectiveness settings'!FP587)</f>
        <v>0</v>
      </c>
      <c r="GQ587" s="58">
        <f t="shared" si="866"/>
        <v>0</v>
      </c>
      <c r="GR587" s="58">
        <f t="shared" si="867"/>
        <v>0</v>
      </c>
      <c r="GS587" s="58">
        <f t="shared" si="868"/>
        <v>0</v>
      </c>
      <c r="GT587" s="58">
        <f t="shared" si="869"/>
        <v>0</v>
      </c>
      <c r="GU587" s="58">
        <f>IF(AND(dd_CheckMate214_TTD="Yes",'Effectiveness settings'!BU587=2,'Effectiveness settings'!BX587=2),2,GT587)</f>
        <v>0</v>
      </c>
      <c r="GV587" s="58">
        <f t="shared" si="870"/>
        <v>0</v>
      </c>
      <c r="GW587" s="58">
        <f t="shared" si="871"/>
        <v>0</v>
      </c>
      <c r="GY587" s="58">
        <f>IF(AND(dd_CheckMate214_TTD="Yes",'Effectiveness settings'!BU587=2,'Effectiveness settings'!BX587=2),1,GN587)</f>
        <v>0</v>
      </c>
      <c r="GZ587" s="58">
        <f t="shared" si="872"/>
        <v>0</v>
      </c>
      <c r="HB587" s="58">
        <f t="shared" si="873"/>
        <v>0</v>
      </c>
      <c r="HD587" s="58">
        <f t="shared" si="952"/>
        <v>0</v>
      </c>
      <c r="HE587" s="58">
        <f t="shared" si="953"/>
        <v>0</v>
      </c>
      <c r="HF587" s="58">
        <f t="shared" si="954"/>
        <v>0</v>
      </c>
      <c r="HG587" s="58">
        <f t="shared" si="955"/>
        <v>0</v>
      </c>
      <c r="HH587" s="58">
        <f t="shared" si="956"/>
        <v>0</v>
      </c>
    </row>
    <row r="588" spans="69:216" ht="15.75" x14ac:dyDescent="0.25">
      <c r="BQ588" s="58">
        <f t="shared" si="853"/>
        <v>350</v>
      </c>
      <c r="BR588" s="61"/>
      <c r="BS588" s="61"/>
      <c r="BT588" s="17"/>
      <c r="BU588" s="17"/>
      <c r="BV588" s="17"/>
      <c r="BW588" s="17"/>
      <c r="BX588" s="61"/>
      <c r="BY588" s="531"/>
      <c r="BZ588" s="529"/>
      <c r="CA588" s="532"/>
      <c r="CB588" s="529"/>
      <c r="CC588" s="529"/>
      <c r="CD588" s="529"/>
      <c r="CE588" s="515"/>
      <c r="CF588" s="1303"/>
      <c r="CG588" s="529"/>
      <c r="CH588" s="505"/>
      <c r="CI588" s="505"/>
      <c r="CJ588" s="505"/>
      <c r="DK588" s="58" t="str" cm="1">
        <f t="array" ref="DK588">IF(AND($BT588=4,$BX588=4,$BU588=999),$DB$36,_xlfn.IFNA(INDEX(DB$13:DB$70,MATCH(1,($BR588=$CV$13:$CV$70)*($BT588=$CX$13:$CX$70)*($CE588=$CY$13:$CY$70)*($BY588=$DA$13:$DA$70)*($CD588=$DH$13:$DH$70),0)),""))</f>
        <v/>
      </c>
      <c r="DL588" s="58" t="str" cm="1">
        <f t="array" ref="DL588">IF(AND($BT588=4,$BX588=4,$BU588=999),$DC$36,_xlfn.IFNA(INDEX(CHOOSE(DP588,DB$13:DB$70,DC$13:DC$70,DD$13:DD$70,DE$13:DE$70),MATCH(1,($BR588=$CV$13:$CV$70)*($BT588=$CX$13:$CX$70)*($CE588=$CY$13:$CY$70)*($BY588=$DA$13:$DA$70)*($CD588=$DH$13:$DH$70),0)),""))</f>
        <v/>
      </c>
      <c r="DM588" s="740" t="str" cm="1">
        <f t="array" ref="DM588">IF(AND($BT588=4,$BX588=4,$BU588=999),$DD$36,_xlfn.IFNA(INDEX(DD$13:DD$68,MATCH(1,($BR588=$CV$13:$CV$68)*($BT588=$CX$13:$CX$68)*($CE588=$CY$13:$CY$68)*($BY588=$DA$13:$DA$68)*($CD588=$DH$13:$DH$68),0)),""))</f>
        <v/>
      </c>
      <c r="DN588" s="740" t="str" cm="1">
        <f t="array" ref="DN588">IF(AND($BT588=4,$BX588=4,$BU588=999),$DD$36,_xlfn.IFNA(INDEX(DE$13:DE$68,MATCH(1,($BR588=$CV$13:$CV$68)*($BT588=$CX$13:$CX$68)*($CE588=$CY$13:$CY$68)*($BY588=$DA$13:$DA$68)*($CD588=$DH$13:$DH$68),0)),""))</f>
        <v/>
      </c>
      <c r="DO588" s="58" t="str" cm="1">
        <f t="array" ref="DO588">IF(AND($BT588=4,$BX588=4,$BU588=999),$DF$36,_xlfn.IFNA(INDEX(DF$13:DF$70,MATCH(1,($BR588=$CV$13:$CV$70)*($BT588=$CX$13:$CX$70)*($CE588=$CY$13:$CY$70)*($BY588=$DA$13:$DA$70)*($CD588=$DH$13:$DH$70),0)),""))</f>
        <v/>
      </c>
      <c r="DP588" s="58" t="e">
        <f t="shared" si="854"/>
        <v>#N/A</v>
      </c>
      <c r="FT588" s="58">
        <f t="shared" si="855"/>
        <v>0</v>
      </c>
      <c r="FW588" s="58">
        <f>IF(i_baseline_risk_from=2,'Effectiveness settings'!EW588,'Effectiveness settings'!FI588)</f>
        <v>0</v>
      </c>
      <c r="FX588" s="58">
        <f t="shared" si="856"/>
        <v>0</v>
      </c>
      <c r="FY588" s="58">
        <f t="shared" si="857"/>
        <v>0</v>
      </c>
      <c r="FZ588" s="58">
        <f t="shared" si="858"/>
        <v>0</v>
      </c>
      <c r="GA588" s="58">
        <f t="shared" si="859"/>
        <v>0</v>
      </c>
      <c r="GB588" s="58">
        <f t="shared" si="860"/>
        <v>0</v>
      </c>
      <c r="GC588" s="58">
        <f t="shared" si="861"/>
        <v>0</v>
      </c>
      <c r="GD588" s="58">
        <f t="shared" si="862"/>
        <v>0</v>
      </c>
      <c r="GE588" s="58">
        <f>IF(AND(dd_CheckMate214_TTD="Yes",'Effectiveness settings'!BU588=2,'Effectiveness settings'!BX588=2),"Apply HR to",GD588)</f>
        <v>0</v>
      </c>
      <c r="GF588" s="58">
        <f t="shared" si="863"/>
        <v>0</v>
      </c>
      <c r="GG588" s="58">
        <f t="shared" si="864"/>
        <v>0</v>
      </c>
      <c r="GH588" s="58">
        <f t="shared" si="865"/>
        <v>0</v>
      </c>
      <c r="GI588" s="58">
        <f t="shared" si="957"/>
        <v>0</v>
      </c>
      <c r="GK588" s="58">
        <f>IF(i_baseline_risk_from=2,'Effectiveness settings'!FA588,'Effectiveness settings'!FM588)</f>
        <v>0</v>
      </c>
      <c r="GL588" s="58">
        <f>IF(i_baseline_risk_from=2,'Effectiveness settings'!FB588,'Effectiveness settings'!FN588)</f>
        <v>0</v>
      </c>
      <c r="GM588" s="58">
        <f>IF(i_baseline_risk_from=2,'Effectiveness settings'!FC588,'Effectiveness settings'!FO588)</f>
        <v>0</v>
      </c>
      <c r="GN588" s="58">
        <f>IF(i_baseline_risk_from=2,'Effectiveness settings'!FD588,'Effectiveness settings'!FP588)</f>
        <v>0</v>
      </c>
      <c r="GQ588" s="58">
        <f t="shared" si="866"/>
        <v>0</v>
      </c>
      <c r="GR588" s="58">
        <f t="shared" si="867"/>
        <v>0</v>
      </c>
      <c r="GS588" s="58">
        <f t="shared" si="868"/>
        <v>0</v>
      </c>
      <c r="GT588" s="58">
        <f t="shared" si="869"/>
        <v>0</v>
      </c>
      <c r="GU588" s="58">
        <f>IF(AND(dd_CheckMate214_TTD="Yes",'Effectiveness settings'!BU588=2,'Effectiveness settings'!BX588=2),2,GT588)</f>
        <v>0</v>
      </c>
      <c r="GV588" s="58">
        <f t="shared" si="870"/>
        <v>0</v>
      </c>
      <c r="GW588" s="58">
        <f t="shared" si="871"/>
        <v>0</v>
      </c>
      <c r="GY588" s="58">
        <f>IF(AND(dd_CheckMate214_TTD="Yes",'Effectiveness settings'!BU588=2,'Effectiveness settings'!BX588=2),1,GN588)</f>
        <v>0</v>
      </c>
      <c r="GZ588" s="58">
        <f t="shared" si="872"/>
        <v>0</v>
      </c>
      <c r="HB588" s="58">
        <f t="shared" si="873"/>
        <v>0</v>
      </c>
      <c r="HD588" s="58">
        <f t="shared" si="952"/>
        <v>0</v>
      </c>
      <c r="HE588" s="58">
        <f t="shared" si="953"/>
        <v>0</v>
      </c>
      <c r="HF588" s="58">
        <f t="shared" si="954"/>
        <v>0</v>
      </c>
      <c r="HG588" s="58">
        <f t="shared" si="955"/>
        <v>0</v>
      </c>
      <c r="HH588" s="58">
        <f t="shared" si="956"/>
        <v>0</v>
      </c>
    </row>
    <row r="589" spans="69:216" ht="15.75" x14ac:dyDescent="0.25">
      <c r="BQ589" s="58">
        <f t="shared" ref="BQ589:BQ652" si="958">BQ588+IF(ISBLANK(BR589),0,1)</f>
        <v>350</v>
      </c>
      <c r="BR589" s="61"/>
      <c r="BS589" s="61"/>
      <c r="BT589" s="17"/>
      <c r="BU589" s="17"/>
      <c r="BV589" s="17"/>
      <c r="BW589" s="17"/>
      <c r="BX589" s="61"/>
      <c r="BY589" s="531"/>
      <c r="BZ589" s="529"/>
      <c r="CA589" s="532"/>
      <c r="CB589" s="529"/>
      <c r="CC589" s="529"/>
      <c r="CD589" s="529"/>
      <c r="CE589" s="515"/>
      <c r="CF589" s="1303"/>
      <c r="CG589" s="529"/>
      <c r="CH589" s="505"/>
      <c r="CI589" s="505"/>
      <c r="CJ589" s="505"/>
      <c r="DK589" s="58" t="str" cm="1">
        <f t="array" ref="DK589">IF(AND($BT589=4,$BX589=4,$BU589=999),$DB$36,_xlfn.IFNA(INDEX(DB$13:DB$70,MATCH(1,($BR589=$CV$13:$CV$70)*($BT589=$CX$13:$CX$70)*($CE589=$CY$13:$CY$70)*($BY589=$DA$13:$DA$70)*($CD589=$DH$13:$DH$70),0)),""))</f>
        <v/>
      </c>
      <c r="DL589" s="58" t="str" cm="1">
        <f t="array" ref="DL589">IF(AND($BT589=4,$BX589=4,$BU589=999),$DC$36,_xlfn.IFNA(INDEX(CHOOSE(DP589,DB$13:DB$70,DC$13:DC$70,DD$13:DD$70,DE$13:DE$70),MATCH(1,($BR589=$CV$13:$CV$70)*($BT589=$CX$13:$CX$70)*($CE589=$CY$13:$CY$70)*($BY589=$DA$13:$DA$70)*($CD589=$DH$13:$DH$70),0)),""))</f>
        <v/>
      </c>
      <c r="DM589" s="740" t="str" cm="1">
        <f t="array" ref="DM589">IF(AND($BT589=4,$BX589=4,$BU589=999),$DD$36,_xlfn.IFNA(INDEX(DD$13:DD$68,MATCH(1,($BR589=$CV$13:$CV$68)*($BT589=$CX$13:$CX$68)*($CE589=$CY$13:$CY$68)*($BY589=$DA$13:$DA$68)*($CD589=$DH$13:$DH$68),0)),""))</f>
        <v/>
      </c>
      <c r="DN589" s="740" t="str" cm="1">
        <f t="array" ref="DN589">IF(AND($BT589=4,$BX589=4,$BU589=999),$DD$36,_xlfn.IFNA(INDEX(DE$13:DE$68,MATCH(1,($BR589=$CV$13:$CV$68)*($BT589=$CX$13:$CX$68)*($CE589=$CY$13:$CY$68)*($BY589=$DA$13:$DA$68)*($CD589=$DH$13:$DH$68),0)),""))</f>
        <v/>
      </c>
      <c r="DO589" s="58" t="str" cm="1">
        <f t="array" ref="DO589">IF(AND($BT589=4,$BX589=4,$BU589=999),$DF$36,_xlfn.IFNA(INDEX(DF$13:DF$70,MATCH(1,($BR589=$CV$13:$CV$70)*($BT589=$CX$13:$CX$70)*($CE589=$CY$13:$CY$70)*($BY589=$DA$13:$DA$70)*($CD589=$DH$13:$DH$70),0)),""))</f>
        <v/>
      </c>
      <c r="DP589" s="58" t="e">
        <f t="shared" ref="DP589:DP652" si="959">MATCH(DO589,List_surv_cur_ext,0)</f>
        <v>#N/A</v>
      </c>
      <c r="FT589" s="58">
        <f t="shared" ref="FT589:FT652" si="960">IF(AND(BZ589="Trial survival analysis",CE589=0),INDEX(List_trials,1),IF(AND(BZ589="Trial survival analysis",CE589=1),INDEX(List_trials,2),IF(AND(BZ589="Trial survival analysis",OR(CE589=2,CC589=4)),INDEX(List_trials,3),0)))</f>
        <v>0</v>
      </c>
      <c r="FW589" s="58">
        <f>IF(i_baseline_risk_from=2,'Effectiveness settings'!EW589,'Effectiveness settings'!FI589)</f>
        <v>0</v>
      </c>
      <c r="FX589" s="58">
        <f t="shared" ref="FX589:FX652" si="961">IF(AND(BT589&gt;1,FW589="FP_NMA",dd_2ndline_NMA="PH_NMA"),"PH_NMA",FW589)</f>
        <v>0</v>
      </c>
      <c r="FY589" s="58">
        <f t="shared" ref="FY589:FY652" si="962">IF(AND(BU589=1,OR(FX589="PH_NMA",FX589="FP_NMA",FX589="Trial survival analysis")),IF(dd_cabo_nivo_outcome_from="FP_NMA",FX589,dd_cabo_nivo_outcome_from),FX589)</f>
        <v>0</v>
      </c>
      <c r="FZ589" s="58">
        <f t="shared" ref="FZ589:FZ652" si="963">IF(AND(dd_eq_eff_pazo_suni="Yes",BX589&lt;4,$BU589=5,BT589&lt;4,FY589&lt;&gt;"Apply HR to"),"Assume equal to",FY589)</f>
        <v>0</v>
      </c>
      <c r="GA589" s="58">
        <f t="shared" ref="GA589:GA652" si="964">IF(AND(dd_eq_eff_tivo_suni="Yes",BX589&lt;4,$BU589=6,BT589=1,FZ589&lt;&gt;"Apply HR to"),"Assume equal to",FZ589)</f>
        <v>0</v>
      </c>
      <c r="GB589" s="58">
        <f t="shared" ref="GB589:GB652" si="965">IF(AND(dd_eq_eff_evero_axi="Yes",BX589&lt;4,$BU589=11,BT589&lt;4,GA589&lt;&gt;"Apply HR to"),"Assume equal to",GA589)</f>
        <v>0</v>
      </c>
      <c r="GC589" s="58">
        <f t="shared" ref="GC589:GC652" si="966">IF(AND(BX589=4,BR589=1),GB589,(IF(AND(OR(GB589="PH_NMA",GB589="FP_NMA"),BU589=3,BR589&lt;&gt;2),dd_pemlen_NMA,GB589)))</f>
        <v>0</v>
      </c>
      <c r="GD589" s="58">
        <f t="shared" ref="GD589:GD652" si="967">IF(AND(BU589=3,dd_pemlen_equal = "Yes"),"Assume equal to",GC589)</f>
        <v>0</v>
      </c>
      <c r="GE589" s="58">
        <f>IF(AND(dd_CheckMate214_TTD="Yes",'Effectiveness settings'!BU589=2,'Effectiveness settings'!BX589=2),"Apply HR to",GD589)</f>
        <v>0</v>
      </c>
      <c r="GF589" s="58">
        <f t="shared" ref="GF589:GF652" si="968">IF(AND(dd_TTD_same_as_PFS="Yes",BX589=2),"Assume equal to", GE589)</f>
        <v>0</v>
      </c>
      <c r="GG589" s="58">
        <f t="shared" ref="GG589:GG652" si="969">IF(AND(dd_nivoipiPFS="TTNT",BR589=1,BT589=1,BU589=2,BX589=1,dd_use_PHnma_for_FPnma="Yes"),"Apply HR to",GF589)</f>
        <v>0</v>
      </c>
      <c r="GH589" s="58">
        <f t="shared" ref="GH589:GH652" si="970">IF(AND(dd_eq_eff_cabo_suni="Yes",$BX589&lt;4,$BU589=8,$BT589=1,$BR589=1,$GG589&lt;&gt;"Apply HR to"),"Assume equal to",GG589)</f>
        <v>0</v>
      </c>
      <c r="GI589" s="58">
        <f t="shared" si="957"/>
        <v>0</v>
      </c>
      <c r="GK589" s="58">
        <f>IF(i_baseline_risk_from=2,'Effectiveness settings'!FA589,'Effectiveness settings'!FM589)</f>
        <v>0</v>
      </c>
      <c r="GL589" s="58">
        <f>IF(i_baseline_risk_from=2,'Effectiveness settings'!FB589,'Effectiveness settings'!FN589)</f>
        <v>0</v>
      </c>
      <c r="GM589" s="58">
        <f>IF(i_baseline_risk_from=2,'Effectiveness settings'!FC589,'Effectiveness settings'!FO589)</f>
        <v>0</v>
      </c>
      <c r="GN589" s="58">
        <f>IF(i_baseline_risk_from=2,'Effectiveness settings'!FD589,'Effectiveness settings'!FP589)</f>
        <v>0</v>
      </c>
      <c r="GQ589" s="58">
        <f t="shared" ref="GQ589:GQ652" si="971">IF(AND(dd_eq_eff_pazo_suni="Yes",BX589&lt;4,$BU589=5,BT589&lt;4,FY589&lt;&gt;"Apply HR to"),7,GL589)</f>
        <v>0</v>
      </c>
      <c r="GR589" s="58">
        <f t="shared" ref="GR589:GR652" si="972">IF(AND(dd_eq_eff_tivo_suni="Yes",BX589&lt;4,$BU589=6,BT589=1,FY589&lt;&gt;"Apply HR to"),7,IF(AND(BX589&lt;4,$BU589=7,BT589&gt;1,FY589&lt;&gt;"Apply HR to"),6,GQ589))</f>
        <v>0</v>
      </c>
      <c r="GS589" s="58">
        <f t="shared" ref="GS589:GS652" si="973">IF(AND(dd_eq_eff_evero_axi="Yes",BX589&lt;4,$BU589=11,BT589&lt;4,FY589&lt;&gt;"Apply HR to"),10,GR589)</f>
        <v>0</v>
      </c>
      <c r="GT589" s="58">
        <f t="shared" ref="GT589:GT652" si="974">IF(AND(BU589=3,dd_pemlen_equal = "Yes"),1,GS589)</f>
        <v>0</v>
      </c>
      <c r="GU589" s="58">
        <f>IF(AND(dd_CheckMate214_TTD="Yes",'Effectiveness settings'!BU589=2,'Effectiveness settings'!BX589=2),2,GT589)</f>
        <v>0</v>
      </c>
      <c r="GV589" s="58">
        <f t="shared" ref="GV589:GV652" si="975">IF(AND(BY589="Time to treatment discontinuation",dd_TTD_same_as_PFS="Yes"),BU589,GU589)</f>
        <v>0</v>
      </c>
      <c r="GW589" s="58">
        <f t="shared" ref="GW589:GW652" si="976">IF(AND(dd_eq_eff_cabo_suni="Yes",$BX589&lt;4,$BU589=8,$BT589=1,$BR589=1,$GG589&lt;&gt;"Apply HR to"),7,GV589)</f>
        <v>0</v>
      </c>
      <c r="GY589" s="58">
        <f>IF(AND(dd_CheckMate214_TTD="Yes",'Effectiveness settings'!BU589=2,'Effectiveness settings'!BX589=2),1,GN589)</f>
        <v>0</v>
      </c>
      <c r="GZ589" s="58">
        <f t="shared" ref="GZ589:GZ652" si="977">IF(AND(dd_TTD_same_as_PFS="Yes",BX589=2),1, GY589)</f>
        <v>0</v>
      </c>
      <c r="HB589" s="58">
        <f t="shared" ref="HB589:HB652" si="978">IF(i_baseline_risk_from=2,EZ589,FL589)</f>
        <v>0</v>
      </c>
      <c r="HD589" s="58">
        <f t="shared" si="952"/>
        <v>0</v>
      </c>
      <c r="HE589" s="58">
        <f t="shared" si="953"/>
        <v>0</v>
      </c>
      <c r="HF589" s="58">
        <f t="shared" si="954"/>
        <v>0</v>
      </c>
      <c r="HG589" s="58">
        <f t="shared" si="955"/>
        <v>0</v>
      </c>
      <c r="HH589" s="58">
        <f t="shared" si="956"/>
        <v>0</v>
      </c>
    </row>
    <row r="590" spans="69:216" ht="15.75" x14ac:dyDescent="0.25">
      <c r="BQ590" s="58">
        <f t="shared" si="958"/>
        <v>350</v>
      </c>
      <c r="BR590" s="61"/>
      <c r="BS590" s="61"/>
      <c r="BT590" s="17"/>
      <c r="BU590" s="17"/>
      <c r="BV590" s="17"/>
      <c r="BW590" s="17"/>
      <c r="BX590" s="61"/>
      <c r="BY590" s="531"/>
      <c r="BZ590" s="529"/>
      <c r="CA590" s="532"/>
      <c r="CB590" s="529"/>
      <c r="CC590" s="529"/>
      <c r="CD590" s="529"/>
      <c r="CE590" s="515"/>
      <c r="CF590" s="1303"/>
      <c r="CG590" s="529"/>
      <c r="CH590" s="505"/>
      <c r="CI590" s="505"/>
      <c r="CJ590" s="505"/>
      <c r="DK590" s="58" t="str" cm="1">
        <f t="array" ref="DK590">IF(AND($BT590=4,$BX590=4,$BU590=999),$DB$36,_xlfn.IFNA(INDEX(DB$13:DB$70,MATCH(1,($BR590=$CV$13:$CV$70)*($BT590=$CX$13:$CX$70)*($CE590=$CY$13:$CY$70)*($BY590=$DA$13:$DA$70)*($CD590=$DH$13:$DH$70),0)),""))</f>
        <v/>
      </c>
      <c r="DL590" s="58" t="str" cm="1">
        <f t="array" ref="DL590">IF(AND($BT590=4,$BX590=4,$BU590=999),$DC$36,_xlfn.IFNA(INDEX(CHOOSE(DP590,DB$13:DB$70,DC$13:DC$70,DD$13:DD$70,DE$13:DE$70),MATCH(1,($BR590=$CV$13:$CV$70)*($BT590=$CX$13:$CX$70)*($CE590=$CY$13:$CY$70)*($BY590=$DA$13:$DA$70)*($CD590=$DH$13:$DH$70),0)),""))</f>
        <v/>
      </c>
      <c r="DM590" s="740" t="str" cm="1">
        <f t="array" ref="DM590">IF(AND($BT590=4,$BX590=4,$BU590=999),$DD$36,_xlfn.IFNA(INDEX(DD$13:DD$68,MATCH(1,($BR590=$CV$13:$CV$68)*($BT590=$CX$13:$CX$68)*($CE590=$CY$13:$CY$68)*($BY590=$DA$13:$DA$68)*($CD590=$DH$13:$DH$68),0)),""))</f>
        <v/>
      </c>
      <c r="DN590" s="740" t="str" cm="1">
        <f t="array" ref="DN590">IF(AND($BT590=4,$BX590=4,$BU590=999),$DD$36,_xlfn.IFNA(INDEX(DE$13:DE$68,MATCH(1,($BR590=$CV$13:$CV$68)*($BT590=$CX$13:$CX$68)*($CE590=$CY$13:$CY$68)*($BY590=$DA$13:$DA$68)*($CD590=$DH$13:$DH$68),0)),""))</f>
        <v/>
      </c>
      <c r="DO590" s="58" t="str" cm="1">
        <f t="array" ref="DO590">IF(AND($BT590=4,$BX590=4,$BU590=999),$DF$36,_xlfn.IFNA(INDEX(DF$13:DF$70,MATCH(1,($BR590=$CV$13:$CV$70)*($BT590=$CX$13:$CX$70)*($CE590=$CY$13:$CY$70)*($BY590=$DA$13:$DA$70)*($CD590=$DH$13:$DH$70),0)),""))</f>
        <v/>
      </c>
      <c r="DP590" s="58" t="e">
        <f t="shared" si="959"/>
        <v>#N/A</v>
      </c>
      <c r="FT590" s="58">
        <f t="shared" si="960"/>
        <v>0</v>
      </c>
      <c r="FW590" s="58">
        <f>IF(i_baseline_risk_from=2,'Effectiveness settings'!EW590,'Effectiveness settings'!FI590)</f>
        <v>0</v>
      </c>
      <c r="FX590" s="58">
        <f t="shared" si="961"/>
        <v>0</v>
      </c>
      <c r="FY590" s="58">
        <f t="shared" si="962"/>
        <v>0</v>
      </c>
      <c r="FZ590" s="58">
        <f t="shared" si="963"/>
        <v>0</v>
      </c>
      <c r="GA590" s="58">
        <f t="shared" si="964"/>
        <v>0</v>
      </c>
      <c r="GB590" s="58">
        <f t="shared" si="965"/>
        <v>0</v>
      </c>
      <c r="GC590" s="58">
        <f t="shared" si="966"/>
        <v>0</v>
      </c>
      <c r="GD590" s="58">
        <f t="shared" si="967"/>
        <v>0</v>
      </c>
      <c r="GE590" s="58">
        <f>IF(AND(dd_CheckMate214_TTD="Yes",'Effectiveness settings'!BU590=2,'Effectiveness settings'!BX590=2),"Apply HR to",GD590)</f>
        <v>0</v>
      </c>
      <c r="GF590" s="58">
        <f t="shared" si="968"/>
        <v>0</v>
      </c>
      <c r="GG590" s="58">
        <f t="shared" si="969"/>
        <v>0</v>
      </c>
      <c r="GH590" s="58">
        <f t="shared" si="970"/>
        <v>0</v>
      </c>
      <c r="GI590" s="58">
        <f t="shared" si="957"/>
        <v>0</v>
      </c>
      <c r="GK590" s="58">
        <f>IF(i_baseline_risk_from=2,'Effectiveness settings'!FA590,'Effectiveness settings'!FM590)</f>
        <v>0</v>
      </c>
      <c r="GL590" s="58">
        <f>IF(i_baseline_risk_from=2,'Effectiveness settings'!FB590,'Effectiveness settings'!FN590)</f>
        <v>0</v>
      </c>
      <c r="GM590" s="58">
        <f>IF(i_baseline_risk_from=2,'Effectiveness settings'!FC590,'Effectiveness settings'!FO590)</f>
        <v>0</v>
      </c>
      <c r="GN590" s="58">
        <f>IF(i_baseline_risk_from=2,'Effectiveness settings'!FD590,'Effectiveness settings'!FP590)</f>
        <v>0</v>
      </c>
      <c r="GQ590" s="58">
        <f t="shared" si="971"/>
        <v>0</v>
      </c>
      <c r="GR590" s="58">
        <f t="shared" si="972"/>
        <v>0</v>
      </c>
      <c r="GS590" s="58">
        <f t="shared" si="973"/>
        <v>0</v>
      </c>
      <c r="GT590" s="58">
        <f t="shared" si="974"/>
        <v>0</v>
      </c>
      <c r="GU590" s="58">
        <f>IF(AND(dd_CheckMate214_TTD="Yes",'Effectiveness settings'!BU590=2,'Effectiveness settings'!BX590=2),2,GT590)</f>
        <v>0</v>
      </c>
      <c r="GV590" s="58">
        <f t="shared" si="975"/>
        <v>0</v>
      </c>
      <c r="GW590" s="58">
        <f t="shared" si="976"/>
        <v>0</v>
      </c>
      <c r="GY590" s="58">
        <f>IF(AND(dd_CheckMate214_TTD="Yes",'Effectiveness settings'!BU590=2,'Effectiveness settings'!BX590=2),1,GN590)</f>
        <v>0</v>
      </c>
      <c r="GZ590" s="58">
        <f t="shared" si="977"/>
        <v>0</v>
      </c>
      <c r="HB590" s="58">
        <f t="shared" si="978"/>
        <v>0</v>
      </c>
      <c r="HD590" s="58">
        <f t="shared" si="952"/>
        <v>0</v>
      </c>
      <c r="HE590" s="58">
        <f t="shared" si="953"/>
        <v>0</v>
      </c>
      <c r="HF590" s="58">
        <f t="shared" si="954"/>
        <v>0</v>
      </c>
      <c r="HG590" s="58">
        <f t="shared" si="955"/>
        <v>0</v>
      </c>
      <c r="HH590" s="58">
        <f t="shared" si="956"/>
        <v>0</v>
      </c>
    </row>
    <row r="591" spans="69:216" ht="15.75" x14ac:dyDescent="0.25">
      <c r="BQ591" s="58">
        <f t="shared" si="958"/>
        <v>350</v>
      </c>
      <c r="BR591" s="61"/>
      <c r="BS591" s="61"/>
      <c r="BT591" s="17"/>
      <c r="BU591" s="17"/>
      <c r="BV591" s="17"/>
      <c r="BW591" s="17"/>
      <c r="BX591" s="61"/>
      <c r="BY591" s="531"/>
      <c r="BZ591" s="529"/>
      <c r="CA591" s="532"/>
      <c r="CB591" s="529"/>
      <c r="CC591" s="529"/>
      <c r="CD591" s="529"/>
      <c r="CE591" s="515"/>
      <c r="CF591" s="1303"/>
      <c r="CG591" s="529"/>
      <c r="CH591" s="505"/>
      <c r="CI591" s="505"/>
      <c r="CJ591" s="505"/>
      <c r="DK591" s="58" t="str" cm="1">
        <f t="array" ref="DK591">IF(AND($BT591=4,$BX591=4,$BU591=999),$DB$36,_xlfn.IFNA(INDEX(DB$13:DB$70,MATCH(1,($BR591=$CV$13:$CV$70)*($BT591=$CX$13:$CX$70)*($CE591=$CY$13:$CY$70)*($BY591=$DA$13:$DA$70)*($CD591=$DH$13:$DH$70),0)),""))</f>
        <v/>
      </c>
      <c r="DL591" s="58" t="str" cm="1">
        <f t="array" ref="DL591">IF(AND($BT591=4,$BX591=4,$BU591=999),$DC$36,_xlfn.IFNA(INDEX(CHOOSE(DP591,DB$13:DB$70,DC$13:DC$70,DD$13:DD$70,DE$13:DE$70),MATCH(1,($BR591=$CV$13:$CV$70)*($BT591=$CX$13:$CX$70)*($CE591=$CY$13:$CY$70)*($BY591=$DA$13:$DA$70)*($CD591=$DH$13:$DH$70),0)),""))</f>
        <v/>
      </c>
      <c r="DM591" s="740" t="str" cm="1">
        <f t="array" ref="DM591">IF(AND($BT591=4,$BX591=4,$BU591=999),$DD$36,_xlfn.IFNA(INDEX(DD$13:DD$68,MATCH(1,($BR591=$CV$13:$CV$68)*($BT591=$CX$13:$CX$68)*($CE591=$CY$13:$CY$68)*($BY591=$DA$13:$DA$68)*($CD591=$DH$13:$DH$68),0)),""))</f>
        <v/>
      </c>
      <c r="DN591" s="740" t="str" cm="1">
        <f t="array" ref="DN591">IF(AND($BT591=4,$BX591=4,$BU591=999),$DD$36,_xlfn.IFNA(INDEX(DE$13:DE$68,MATCH(1,($BR591=$CV$13:$CV$68)*($BT591=$CX$13:$CX$68)*($CE591=$CY$13:$CY$68)*($BY591=$DA$13:$DA$68)*($CD591=$DH$13:$DH$68),0)),""))</f>
        <v/>
      </c>
      <c r="DO591" s="58" t="str" cm="1">
        <f t="array" ref="DO591">IF(AND($BT591=4,$BX591=4,$BU591=999),$DF$36,_xlfn.IFNA(INDEX(DF$13:DF$70,MATCH(1,($BR591=$CV$13:$CV$70)*($BT591=$CX$13:$CX$70)*($CE591=$CY$13:$CY$70)*($BY591=$DA$13:$DA$70)*($CD591=$DH$13:$DH$70),0)),""))</f>
        <v/>
      </c>
      <c r="DP591" s="58" t="e">
        <f t="shared" si="959"/>
        <v>#N/A</v>
      </c>
      <c r="FT591" s="58">
        <f t="shared" si="960"/>
        <v>0</v>
      </c>
      <c r="FW591" s="58">
        <f>IF(i_baseline_risk_from=2,'Effectiveness settings'!EW591,'Effectiveness settings'!FI591)</f>
        <v>0</v>
      </c>
      <c r="FX591" s="58">
        <f t="shared" si="961"/>
        <v>0</v>
      </c>
      <c r="FY591" s="58">
        <f t="shared" si="962"/>
        <v>0</v>
      </c>
      <c r="FZ591" s="58">
        <f t="shared" si="963"/>
        <v>0</v>
      </c>
      <c r="GA591" s="58">
        <f t="shared" si="964"/>
        <v>0</v>
      </c>
      <c r="GB591" s="58">
        <f t="shared" si="965"/>
        <v>0</v>
      </c>
      <c r="GC591" s="58">
        <f t="shared" si="966"/>
        <v>0</v>
      </c>
      <c r="GD591" s="58">
        <f t="shared" si="967"/>
        <v>0</v>
      </c>
      <c r="GE591" s="58">
        <f>IF(AND(dd_CheckMate214_TTD="Yes",'Effectiveness settings'!BU591=2,'Effectiveness settings'!BX591=2),"Apply HR to",GD591)</f>
        <v>0</v>
      </c>
      <c r="GF591" s="58">
        <f t="shared" si="968"/>
        <v>0</v>
      </c>
      <c r="GG591" s="58">
        <f t="shared" si="969"/>
        <v>0</v>
      </c>
      <c r="GH591" s="58">
        <f t="shared" si="970"/>
        <v>0</v>
      </c>
      <c r="GI591" s="58">
        <f t="shared" si="957"/>
        <v>0</v>
      </c>
      <c r="GK591" s="58">
        <f>IF(i_baseline_risk_from=2,'Effectiveness settings'!FA591,'Effectiveness settings'!FM591)</f>
        <v>0</v>
      </c>
      <c r="GL591" s="58">
        <f>IF(i_baseline_risk_from=2,'Effectiveness settings'!FB591,'Effectiveness settings'!FN591)</f>
        <v>0</v>
      </c>
      <c r="GM591" s="58">
        <f>IF(i_baseline_risk_from=2,'Effectiveness settings'!FC591,'Effectiveness settings'!FO591)</f>
        <v>0</v>
      </c>
      <c r="GN591" s="58">
        <f>IF(i_baseline_risk_from=2,'Effectiveness settings'!FD591,'Effectiveness settings'!FP591)</f>
        <v>0</v>
      </c>
      <c r="GQ591" s="58">
        <f t="shared" si="971"/>
        <v>0</v>
      </c>
      <c r="GR591" s="58">
        <f t="shared" si="972"/>
        <v>0</v>
      </c>
      <c r="GS591" s="58">
        <f t="shared" si="973"/>
        <v>0</v>
      </c>
      <c r="GT591" s="58">
        <f t="shared" si="974"/>
        <v>0</v>
      </c>
      <c r="GU591" s="58">
        <f>IF(AND(dd_CheckMate214_TTD="Yes",'Effectiveness settings'!BU591=2,'Effectiveness settings'!BX591=2),2,GT591)</f>
        <v>0</v>
      </c>
      <c r="GV591" s="58">
        <f t="shared" si="975"/>
        <v>0</v>
      </c>
      <c r="GW591" s="58">
        <f t="shared" si="976"/>
        <v>0</v>
      </c>
      <c r="GY591" s="58">
        <f>IF(AND(dd_CheckMate214_TTD="Yes",'Effectiveness settings'!BU591=2,'Effectiveness settings'!BX591=2),1,GN591)</f>
        <v>0</v>
      </c>
      <c r="GZ591" s="58">
        <f t="shared" si="977"/>
        <v>0</v>
      </c>
      <c r="HB591" s="58">
        <f t="shared" si="978"/>
        <v>0</v>
      </c>
      <c r="HD591" s="58">
        <f t="shared" si="952"/>
        <v>0</v>
      </c>
      <c r="HE591" s="58">
        <f t="shared" si="953"/>
        <v>0</v>
      </c>
      <c r="HF591" s="58">
        <f t="shared" si="954"/>
        <v>0</v>
      </c>
      <c r="HG591" s="58">
        <f t="shared" si="955"/>
        <v>0</v>
      </c>
      <c r="HH591" s="58">
        <f t="shared" si="956"/>
        <v>0</v>
      </c>
    </row>
    <row r="592" spans="69:216" ht="15.75" x14ac:dyDescent="0.25">
      <c r="BQ592" s="58">
        <f t="shared" si="958"/>
        <v>350</v>
      </c>
      <c r="BR592" s="61"/>
      <c r="BS592" s="61"/>
      <c r="BT592" s="17"/>
      <c r="BU592" s="17"/>
      <c r="BV592" s="17"/>
      <c r="BW592" s="17"/>
      <c r="BX592" s="61"/>
      <c r="BY592" s="531"/>
      <c r="BZ592" s="529"/>
      <c r="CA592" s="532"/>
      <c r="CB592" s="529"/>
      <c r="CC592" s="529"/>
      <c r="CD592" s="529"/>
      <c r="CE592" s="515"/>
      <c r="CF592" s="1303"/>
      <c r="CG592" s="529"/>
      <c r="CH592" s="505"/>
      <c r="CI592" s="505"/>
      <c r="CJ592" s="505"/>
      <c r="DK592" s="58" t="str" cm="1">
        <f t="array" ref="DK592">IF(AND($BT592=4,$BX592=4,$BU592=999),$DB$36,_xlfn.IFNA(INDEX(DB$13:DB$70,MATCH(1,($BR592=$CV$13:$CV$70)*($BT592=$CX$13:$CX$70)*($CE592=$CY$13:$CY$70)*($BY592=$DA$13:$DA$70)*($CD592=$DH$13:$DH$70),0)),""))</f>
        <v/>
      </c>
      <c r="DL592" s="58" t="str" cm="1">
        <f t="array" ref="DL592">IF(AND($BT592=4,$BX592=4,$BU592=999),$DC$36,_xlfn.IFNA(INDEX(CHOOSE(DP592,DB$13:DB$70,DC$13:DC$70,DD$13:DD$70,DE$13:DE$70),MATCH(1,($BR592=$CV$13:$CV$70)*($BT592=$CX$13:$CX$70)*($CE592=$CY$13:$CY$70)*($BY592=$DA$13:$DA$70)*($CD592=$DH$13:$DH$70),0)),""))</f>
        <v/>
      </c>
      <c r="DM592" s="740" t="str" cm="1">
        <f t="array" ref="DM592">IF(AND($BT592=4,$BX592=4,$BU592=999),$DD$36,_xlfn.IFNA(INDEX(DD$13:DD$68,MATCH(1,($BR592=$CV$13:$CV$68)*($BT592=$CX$13:$CX$68)*($CE592=$CY$13:$CY$68)*($BY592=$DA$13:$DA$68)*($CD592=$DH$13:$DH$68),0)),""))</f>
        <v/>
      </c>
      <c r="DN592" s="740" t="str" cm="1">
        <f t="array" ref="DN592">IF(AND($BT592=4,$BX592=4,$BU592=999),$DD$36,_xlfn.IFNA(INDEX(DE$13:DE$68,MATCH(1,($BR592=$CV$13:$CV$68)*($BT592=$CX$13:$CX$68)*($CE592=$CY$13:$CY$68)*($BY592=$DA$13:$DA$68)*($CD592=$DH$13:$DH$68),0)),""))</f>
        <v/>
      </c>
      <c r="DO592" s="58" t="str" cm="1">
        <f t="array" ref="DO592">IF(AND($BT592=4,$BX592=4,$BU592=999),$DF$36,_xlfn.IFNA(INDEX(DF$13:DF$70,MATCH(1,($BR592=$CV$13:$CV$70)*($BT592=$CX$13:$CX$70)*($CE592=$CY$13:$CY$70)*($BY592=$DA$13:$DA$70)*($CD592=$DH$13:$DH$70),0)),""))</f>
        <v/>
      </c>
      <c r="DP592" s="58" t="e">
        <f t="shared" si="959"/>
        <v>#N/A</v>
      </c>
      <c r="FT592" s="58">
        <f t="shared" si="960"/>
        <v>0</v>
      </c>
      <c r="FW592" s="58">
        <f>IF(i_baseline_risk_from=2,'Effectiveness settings'!EW592,'Effectiveness settings'!FI592)</f>
        <v>0</v>
      </c>
      <c r="FX592" s="58">
        <f t="shared" si="961"/>
        <v>0</v>
      </c>
      <c r="FY592" s="58">
        <f t="shared" si="962"/>
        <v>0</v>
      </c>
      <c r="FZ592" s="58">
        <f t="shared" si="963"/>
        <v>0</v>
      </c>
      <c r="GA592" s="58">
        <f t="shared" si="964"/>
        <v>0</v>
      </c>
      <c r="GB592" s="58">
        <f t="shared" si="965"/>
        <v>0</v>
      </c>
      <c r="GC592" s="58">
        <f t="shared" si="966"/>
        <v>0</v>
      </c>
      <c r="GD592" s="58">
        <f t="shared" si="967"/>
        <v>0</v>
      </c>
      <c r="GE592" s="58">
        <f>IF(AND(dd_CheckMate214_TTD="Yes",'Effectiveness settings'!BU592=2,'Effectiveness settings'!BX592=2),"Apply HR to",GD592)</f>
        <v>0</v>
      </c>
      <c r="GF592" s="58">
        <f t="shared" si="968"/>
        <v>0</v>
      </c>
      <c r="GG592" s="58">
        <f t="shared" si="969"/>
        <v>0</v>
      </c>
      <c r="GH592" s="58">
        <f t="shared" si="970"/>
        <v>0</v>
      </c>
      <c r="GI592" s="58">
        <f t="shared" si="957"/>
        <v>0</v>
      </c>
      <c r="GK592" s="58">
        <f>IF(i_baseline_risk_from=2,'Effectiveness settings'!FA592,'Effectiveness settings'!FM592)</f>
        <v>0</v>
      </c>
      <c r="GL592" s="58">
        <f>IF(i_baseline_risk_from=2,'Effectiveness settings'!FB592,'Effectiveness settings'!FN592)</f>
        <v>0</v>
      </c>
      <c r="GM592" s="58">
        <f>IF(i_baseline_risk_from=2,'Effectiveness settings'!FC592,'Effectiveness settings'!FO592)</f>
        <v>0</v>
      </c>
      <c r="GN592" s="58">
        <f>IF(i_baseline_risk_from=2,'Effectiveness settings'!FD592,'Effectiveness settings'!FP592)</f>
        <v>0</v>
      </c>
      <c r="GQ592" s="58">
        <f t="shared" si="971"/>
        <v>0</v>
      </c>
      <c r="GR592" s="58">
        <f t="shared" si="972"/>
        <v>0</v>
      </c>
      <c r="GS592" s="58">
        <f t="shared" si="973"/>
        <v>0</v>
      </c>
      <c r="GT592" s="58">
        <f t="shared" si="974"/>
        <v>0</v>
      </c>
      <c r="GU592" s="58">
        <f>IF(AND(dd_CheckMate214_TTD="Yes",'Effectiveness settings'!BU592=2,'Effectiveness settings'!BX592=2),2,GT592)</f>
        <v>0</v>
      </c>
      <c r="GV592" s="58">
        <f t="shared" si="975"/>
        <v>0</v>
      </c>
      <c r="GW592" s="58">
        <f t="shared" si="976"/>
        <v>0</v>
      </c>
      <c r="GY592" s="58">
        <f>IF(AND(dd_CheckMate214_TTD="Yes",'Effectiveness settings'!BU592=2,'Effectiveness settings'!BX592=2),1,GN592)</f>
        <v>0</v>
      </c>
      <c r="GZ592" s="58">
        <f t="shared" si="977"/>
        <v>0</v>
      </c>
      <c r="HB592" s="58">
        <f t="shared" si="978"/>
        <v>0</v>
      </c>
      <c r="HD592" s="58">
        <f t="shared" si="952"/>
        <v>0</v>
      </c>
      <c r="HE592" s="58">
        <f t="shared" si="953"/>
        <v>0</v>
      </c>
      <c r="HF592" s="58">
        <f t="shared" si="954"/>
        <v>0</v>
      </c>
      <c r="HG592" s="58">
        <f t="shared" si="955"/>
        <v>0</v>
      </c>
      <c r="HH592" s="58">
        <f t="shared" si="956"/>
        <v>0</v>
      </c>
    </row>
    <row r="593" spans="69:216" ht="15.75" x14ac:dyDescent="0.25">
      <c r="BQ593" s="58">
        <f t="shared" si="958"/>
        <v>350</v>
      </c>
      <c r="BR593" s="61"/>
      <c r="BS593" s="61"/>
      <c r="BT593" s="17"/>
      <c r="BU593" s="17"/>
      <c r="BV593" s="17"/>
      <c r="BW593" s="17"/>
      <c r="BX593" s="61"/>
      <c r="BY593" s="531"/>
      <c r="BZ593" s="529"/>
      <c r="CA593" s="532"/>
      <c r="CB593" s="529"/>
      <c r="CC593" s="529"/>
      <c r="CD593" s="529"/>
      <c r="CE593" s="515"/>
      <c r="CF593" s="1303"/>
      <c r="CG593" s="529"/>
      <c r="CH593" s="505"/>
      <c r="CI593" s="505"/>
      <c r="CJ593" s="505"/>
      <c r="DK593" s="58" t="str" cm="1">
        <f t="array" ref="DK593">IF(AND($BT593=4,$BX593=4,$BU593=999),$DB$36,_xlfn.IFNA(INDEX(DB$13:DB$70,MATCH(1,($BR593=$CV$13:$CV$70)*($BT593=$CX$13:$CX$70)*($CE593=$CY$13:$CY$70)*($BY593=$DA$13:$DA$70)*($CD593=$DH$13:$DH$70),0)),""))</f>
        <v/>
      </c>
      <c r="DL593" s="58" t="str" cm="1">
        <f t="array" ref="DL593">IF(AND($BT593=4,$BX593=4,$BU593=999),$DC$36,_xlfn.IFNA(INDEX(CHOOSE(DP593,DB$13:DB$70,DC$13:DC$70,DD$13:DD$70,DE$13:DE$70),MATCH(1,($BR593=$CV$13:$CV$70)*($BT593=$CX$13:$CX$70)*($CE593=$CY$13:$CY$70)*($BY593=$DA$13:$DA$70)*($CD593=$DH$13:$DH$70),0)),""))</f>
        <v/>
      </c>
      <c r="DM593" s="740" t="str" cm="1">
        <f t="array" ref="DM593">IF(AND($BT593=4,$BX593=4,$BU593=999),$DD$36,_xlfn.IFNA(INDEX(DD$13:DD$68,MATCH(1,($BR593=$CV$13:$CV$68)*($BT593=$CX$13:$CX$68)*($CE593=$CY$13:$CY$68)*($BY593=$DA$13:$DA$68)*($CD593=$DH$13:$DH$68),0)),""))</f>
        <v/>
      </c>
      <c r="DN593" s="740" t="str" cm="1">
        <f t="array" ref="DN593">IF(AND($BT593=4,$BX593=4,$BU593=999),$DD$36,_xlfn.IFNA(INDEX(DE$13:DE$68,MATCH(1,($BR593=$CV$13:$CV$68)*($BT593=$CX$13:$CX$68)*($CE593=$CY$13:$CY$68)*($BY593=$DA$13:$DA$68)*($CD593=$DH$13:$DH$68),0)),""))</f>
        <v/>
      </c>
      <c r="DO593" s="58" t="str" cm="1">
        <f t="array" ref="DO593">IF(AND($BT593=4,$BX593=4,$BU593=999),$DF$36,_xlfn.IFNA(INDEX(DF$13:DF$70,MATCH(1,($BR593=$CV$13:$CV$70)*($BT593=$CX$13:$CX$70)*($CE593=$CY$13:$CY$70)*($BY593=$DA$13:$DA$70)*($CD593=$DH$13:$DH$70),0)),""))</f>
        <v/>
      </c>
      <c r="DP593" s="58" t="e">
        <f t="shared" si="959"/>
        <v>#N/A</v>
      </c>
      <c r="FT593" s="58">
        <f t="shared" si="960"/>
        <v>0</v>
      </c>
      <c r="FW593" s="58">
        <f>IF(i_baseline_risk_from=2,'Effectiveness settings'!EW593,'Effectiveness settings'!FI593)</f>
        <v>0</v>
      </c>
      <c r="FX593" s="58">
        <f t="shared" si="961"/>
        <v>0</v>
      </c>
      <c r="FY593" s="58">
        <f t="shared" si="962"/>
        <v>0</v>
      </c>
      <c r="FZ593" s="58">
        <f t="shared" si="963"/>
        <v>0</v>
      </c>
      <c r="GA593" s="58">
        <f t="shared" si="964"/>
        <v>0</v>
      </c>
      <c r="GB593" s="58">
        <f t="shared" si="965"/>
        <v>0</v>
      </c>
      <c r="GC593" s="58">
        <f t="shared" si="966"/>
        <v>0</v>
      </c>
      <c r="GD593" s="58">
        <f t="shared" si="967"/>
        <v>0</v>
      </c>
      <c r="GE593" s="58">
        <f>IF(AND(dd_CheckMate214_TTD="Yes",'Effectiveness settings'!BU593=2,'Effectiveness settings'!BX593=2),"Apply HR to",GD593)</f>
        <v>0</v>
      </c>
      <c r="GF593" s="58">
        <f t="shared" si="968"/>
        <v>0</v>
      </c>
      <c r="GG593" s="58">
        <f t="shared" si="969"/>
        <v>0</v>
      </c>
      <c r="GH593" s="58">
        <f t="shared" si="970"/>
        <v>0</v>
      </c>
      <c r="GI593" s="58">
        <f t="shared" si="957"/>
        <v>0</v>
      </c>
      <c r="GK593" s="58">
        <f>IF(i_baseline_risk_from=2,'Effectiveness settings'!FA593,'Effectiveness settings'!FM593)</f>
        <v>0</v>
      </c>
      <c r="GL593" s="58">
        <f>IF(i_baseline_risk_from=2,'Effectiveness settings'!FB593,'Effectiveness settings'!FN593)</f>
        <v>0</v>
      </c>
      <c r="GM593" s="58">
        <f>IF(i_baseline_risk_from=2,'Effectiveness settings'!FC593,'Effectiveness settings'!FO593)</f>
        <v>0</v>
      </c>
      <c r="GN593" s="58">
        <f>IF(i_baseline_risk_from=2,'Effectiveness settings'!FD593,'Effectiveness settings'!FP593)</f>
        <v>0</v>
      </c>
      <c r="GQ593" s="58">
        <f t="shared" si="971"/>
        <v>0</v>
      </c>
      <c r="GR593" s="58">
        <f t="shared" si="972"/>
        <v>0</v>
      </c>
      <c r="GS593" s="58">
        <f t="shared" si="973"/>
        <v>0</v>
      </c>
      <c r="GT593" s="58">
        <f t="shared" si="974"/>
        <v>0</v>
      </c>
      <c r="GU593" s="58">
        <f>IF(AND(dd_CheckMate214_TTD="Yes",'Effectiveness settings'!BU593=2,'Effectiveness settings'!BX593=2),2,GT593)</f>
        <v>0</v>
      </c>
      <c r="GV593" s="58">
        <f t="shared" si="975"/>
        <v>0</v>
      </c>
      <c r="GW593" s="58">
        <f t="shared" si="976"/>
        <v>0</v>
      </c>
      <c r="GY593" s="58">
        <f>IF(AND(dd_CheckMate214_TTD="Yes",'Effectiveness settings'!BU593=2,'Effectiveness settings'!BX593=2),1,GN593)</f>
        <v>0</v>
      </c>
      <c r="GZ593" s="58">
        <f t="shared" si="977"/>
        <v>0</v>
      </c>
      <c r="HB593" s="58">
        <f t="shared" si="978"/>
        <v>0</v>
      </c>
      <c r="HD593" s="58">
        <f t="shared" si="952"/>
        <v>0</v>
      </c>
      <c r="HE593" s="58">
        <f t="shared" si="953"/>
        <v>0</v>
      </c>
      <c r="HF593" s="58">
        <f t="shared" si="954"/>
        <v>0</v>
      </c>
      <c r="HG593" s="58">
        <f t="shared" si="955"/>
        <v>0</v>
      </c>
      <c r="HH593" s="58">
        <f t="shared" si="956"/>
        <v>0</v>
      </c>
    </row>
    <row r="594" spans="69:216" ht="15.75" x14ac:dyDescent="0.25">
      <c r="BQ594" s="58">
        <f t="shared" si="958"/>
        <v>350</v>
      </c>
      <c r="BR594" s="61"/>
      <c r="BS594" s="61"/>
      <c r="BT594" s="17"/>
      <c r="BU594" s="17"/>
      <c r="BV594" s="17"/>
      <c r="BW594" s="17"/>
      <c r="BX594" s="61"/>
      <c r="BY594" s="531"/>
      <c r="BZ594" s="529"/>
      <c r="CA594" s="532"/>
      <c r="CB594" s="529"/>
      <c r="CC594" s="529"/>
      <c r="CD594" s="529"/>
      <c r="CE594" s="515"/>
      <c r="CF594" s="1303"/>
      <c r="CG594" s="529"/>
      <c r="CH594" s="505"/>
      <c r="CI594" s="505"/>
      <c r="CJ594" s="505"/>
      <c r="DK594" s="58" t="str" cm="1">
        <f t="array" ref="DK594">IF(AND($BT594=4,$BX594=4,$BU594=999),$DB$36,_xlfn.IFNA(INDEX(DB$13:DB$70,MATCH(1,($BR594=$CV$13:$CV$70)*($BT594=$CX$13:$CX$70)*($CE594=$CY$13:$CY$70)*($BY594=$DA$13:$DA$70)*($CD594=$DH$13:$DH$70),0)),""))</f>
        <v/>
      </c>
      <c r="DL594" s="58" t="str" cm="1">
        <f t="array" ref="DL594">IF(AND($BT594=4,$BX594=4,$BU594=999),$DC$36,_xlfn.IFNA(INDEX(CHOOSE(DP594,DB$13:DB$70,DC$13:DC$70,DD$13:DD$70,DE$13:DE$70),MATCH(1,($BR594=$CV$13:$CV$70)*($BT594=$CX$13:$CX$70)*($CE594=$CY$13:$CY$70)*($BY594=$DA$13:$DA$70)*($CD594=$DH$13:$DH$70),0)),""))</f>
        <v/>
      </c>
      <c r="DM594" s="740" t="str" cm="1">
        <f t="array" ref="DM594">IF(AND($BT594=4,$BX594=4,$BU594=999),$DD$36,_xlfn.IFNA(INDEX(DD$13:DD$68,MATCH(1,($BR594=$CV$13:$CV$68)*($BT594=$CX$13:$CX$68)*($CE594=$CY$13:$CY$68)*($BY594=$DA$13:$DA$68)*($CD594=$DH$13:$DH$68),0)),""))</f>
        <v/>
      </c>
      <c r="DN594" s="740" t="str" cm="1">
        <f t="array" ref="DN594">IF(AND($BT594=4,$BX594=4,$BU594=999),$DD$36,_xlfn.IFNA(INDEX(DE$13:DE$68,MATCH(1,($BR594=$CV$13:$CV$68)*($BT594=$CX$13:$CX$68)*($CE594=$CY$13:$CY$68)*($BY594=$DA$13:$DA$68)*($CD594=$DH$13:$DH$68),0)),""))</f>
        <v/>
      </c>
      <c r="DO594" s="58" t="str" cm="1">
        <f t="array" ref="DO594">IF(AND($BT594=4,$BX594=4,$BU594=999),$DF$36,_xlfn.IFNA(INDEX(DF$13:DF$70,MATCH(1,($BR594=$CV$13:$CV$70)*($BT594=$CX$13:$CX$70)*($CE594=$CY$13:$CY$70)*($BY594=$DA$13:$DA$70)*($CD594=$DH$13:$DH$70),0)),""))</f>
        <v/>
      </c>
      <c r="DP594" s="58" t="e">
        <f t="shared" si="959"/>
        <v>#N/A</v>
      </c>
      <c r="FT594" s="58">
        <f t="shared" si="960"/>
        <v>0</v>
      </c>
      <c r="FW594" s="58">
        <f>IF(i_baseline_risk_from=2,'Effectiveness settings'!EW594,'Effectiveness settings'!FI594)</f>
        <v>0</v>
      </c>
      <c r="FX594" s="58">
        <f t="shared" si="961"/>
        <v>0</v>
      </c>
      <c r="FY594" s="58">
        <f t="shared" si="962"/>
        <v>0</v>
      </c>
      <c r="FZ594" s="58">
        <f t="shared" si="963"/>
        <v>0</v>
      </c>
      <c r="GA594" s="58">
        <f t="shared" si="964"/>
        <v>0</v>
      </c>
      <c r="GB594" s="58">
        <f t="shared" si="965"/>
        <v>0</v>
      </c>
      <c r="GC594" s="58">
        <f t="shared" si="966"/>
        <v>0</v>
      </c>
      <c r="GD594" s="58">
        <f t="shared" si="967"/>
        <v>0</v>
      </c>
      <c r="GE594" s="58">
        <f>IF(AND(dd_CheckMate214_TTD="Yes",'Effectiveness settings'!BU594=2,'Effectiveness settings'!BX594=2),"Apply HR to",GD594)</f>
        <v>0</v>
      </c>
      <c r="GF594" s="58">
        <f t="shared" si="968"/>
        <v>0</v>
      </c>
      <c r="GG594" s="58">
        <f t="shared" si="969"/>
        <v>0</v>
      </c>
      <c r="GH594" s="58">
        <f t="shared" si="970"/>
        <v>0</v>
      </c>
      <c r="GI594" s="58">
        <f t="shared" si="957"/>
        <v>0</v>
      </c>
      <c r="GK594" s="58">
        <f>IF(i_baseline_risk_from=2,'Effectiveness settings'!FA594,'Effectiveness settings'!FM594)</f>
        <v>0</v>
      </c>
      <c r="GL594" s="58">
        <f>IF(i_baseline_risk_from=2,'Effectiveness settings'!FB594,'Effectiveness settings'!FN594)</f>
        <v>0</v>
      </c>
      <c r="GM594" s="58">
        <f>IF(i_baseline_risk_from=2,'Effectiveness settings'!FC594,'Effectiveness settings'!FO594)</f>
        <v>0</v>
      </c>
      <c r="GN594" s="58">
        <f>IF(i_baseline_risk_from=2,'Effectiveness settings'!FD594,'Effectiveness settings'!FP594)</f>
        <v>0</v>
      </c>
      <c r="GQ594" s="58">
        <f t="shared" si="971"/>
        <v>0</v>
      </c>
      <c r="GR594" s="58">
        <f t="shared" si="972"/>
        <v>0</v>
      </c>
      <c r="GS594" s="58">
        <f t="shared" si="973"/>
        <v>0</v>
      </c>
      <c r="GT594" s="58">
        <f t="shared" si="974"/>
        <v>0</v>
      </c>
      <c r="GU594" s="58">
        <f>IF(AND(dd_CheckMate214_TTD="Yes",'Effectiveness settings'!BU594=2,'Effectiveness settings'!BX594=2),2,GT594)</f>
        <v>0</v>
      </c>
      <c r="GV594" s="58">
        <f t="shared" si="975"/>
        <v>0</v>
      </c>
      <c r="GW594" s="58">
        <f t="shared" si="976"/>
        <v>0</v>
      </c>
      <c r="GY594" s="58">
        <f>IF(AND(dd_CheckMate214_TTD="Yes",'Effectiveness settings'!BU594=2,'Effectiveness settings'!BX594=2),1,GN594)</f>
        <v>0</v>
      </c>
      <c r="GZ594" s="58">
        <f t="shared" si="977"/>
        <v>0</v>
      </c>
      <c r="HB594" s="58">
        <f t="shared" si="978"/>
        <v>0</v>
      </c>
      <c r="HD594" s="58">
        <f t="shared" si="952"/>
        <v>0</v>
      </c>
      <c r="HE594" s="58">
        <f t="shared" si="953"/>
        <v>0</v>
      </c>
      <c r="HF594" s="58">
        <f t="shared" si="954"/>
        <v>0</v>
      </c>
      <c r="HG594" s="58">
        <f t="shared" si="955"/>
        <v>0</v>
      </c>
      <c r="HH594" s="58">
        <f t="shared" si="956"/>
        <v>0</v>
      </c>
    </row>
    <row r="595" spans="69:216" ht="15.75" x14ac:dyDescent="0.25">
      <c r="BQ595" s="58">
        <f t="shared" si="958"/>
        <v>350</v>
      </c>
      <c r="BR595" s="61"/>
      <c r="BS595" s="61"/>
      <c r="BT595" s="17"/>
      <c r="BU595" s="17"/>
      <c r="BV595" s="17"/>
      <c r="BW595" s="17"/>
      <c r="BX595" s="61"/>
      <c r="BY595" s="531"/>
      <c r="BZ595" s="529"/>
      <c r="CA595" s="532"/>
      <c r="CB595" s="529"/>
      <c r="CC595" s="529"/>
      <c r="CD595" s="529"/>
      <c r="CE595" s="515"/>
      <c r="CF595" s="1303"/>
      <c r="CG595" s="529"/>
      <c r="CH595" s="505"/>
      <c r="CI595" s="505"/>
      <c r="CJ595" s="505"/>
      <c r="DK595" s="58" t="str" cm="1">
        <f t="array" ref="DK595">IF(AND($BT595=4,$BX595=4,$BU595=999),$DB$36,_xlfn.IFNA(INDEX(DB$13:DB$70,MATCH(1,($BR595=$CV$13:$CV$70)*($BT595=$CX$13:$CX$70)*($CE595=$CY$13:$CY$70)*($BY595=$DA$13:$DA$70)*($CD595=$DH$13:$DH$70),0)),""))</f>
        <v/>
      </c>
      <c r="DL595" s="58" t="str" cm="1">
        <f t="array" ref="DL595">IF(AND($BT595=4,$BX595=4,$BU595=999),$DC$36,_xlfn.IFNA(INDEX(CHOOSE(DP595,DB$13:DB$70,DC$13:DC$70,DD$13:DD$70,DE$13:DE$70),MATCH(1,($BR595=$CV$13:$CV$70)*($BT595=$CX$13:$CX$70)*($CE595=$CY$13:$CY$70)*($BY595=$DA$13:$DA$70)*($CD595=$DH$13:$DH$70),0)),""))</f>
        <v/>
      </c>
      <c r="DM595" s="740" t="str" cm="1">
        <f t="array" ref="DM595">IF(AND($BT595=4,$BX595=4,$BU595=999),$DD$36,_xlfn.IFNA(INDEX(DD$13:DD$68,MATCH(1,($BR595=$CV$13:$CV$68)*($BT595=$CX$13:$CX$68)*($CE595=$CY$13:$CY$68)*($BY595=$DA$13:$DA$68)*($CD595=$DH$13:$DH$68),0)),""))</f>
        <v/>
      </c>
      <c r="DN595" s="740" t="str" cm="1">
        <f t="array" ref="DN595">IF(AND($BT595=4,$BX595=4,$BU595=999),$DD$36,_xlfn.IFNA(INDEX(DE$13:DE$68,MATCH(1,($BR595=$CV$13:$CV$68)*($BT595=$CX$13:$CX$68)*($CE595=$CY$13:$CY$68)*($BY595=$DA$13:$DA$68)*($CD595=$DH$13:$DH$68),0)),""))</f>
        <v/>
      </c>
      <c r="DO595" s="58" t="str" cm="1">
        <f t="array" ref="DO595">IF(AND($BT595=4,$BX595=4,$BU595=999),$DF$36,_xlfn.IFNA(INDEX(DF$13:DF$70,MATCH(1,($BR595=$CV$13:$CV$70)*($BT595=$CX$13:$CX$70)*($CE595=$CY$13:$CY$70)*($BY595=$DA$13:$DA$70)*($CD595=$DH$13:$DH$70),0)),""))</f>
        <v/>
      </c>
      <c r="DP595" s="58" t="e">
        <f t="shared" si="959"/>
        <v>#N/A</v>
      </c>
      <c r="FT595" s="58">
        <f t="shared" si="960"/>
        <v>0</v>
      </c>
      <c r="FW595" s="58">
        <f>IF(i_baseline_risk_from=2,'Effectiveness settings'!EW595,'Effectiveness settings'!FI595)</f>
        <v>0</v>
      </c>
      <c r="FX595" s="58">
        <f t="shared" si="961"/>
        <v>0</v>
      </c>
      <c r="FY595" s="58">
        <f t="shared" si="962"/>
        <v>0</v>
      </c>
      <c r="FZ595" s="58">
        <f t="shared" si="963"/>
        <v>0</v>
      </c>
      <c r="GA595" s="58">
        <f t="shared" si="964"/>
        <v>0</v>
      </c>
      <c r="GB595" s="58">
        <f t="shared" si="965"/>
        <v>0</v>
      </c>
      <c r="GC595" s="58">
        <f t="shared" si="966"/>
        <v>0</v>
      </c>
      <c r="GD595" s="58">
        <f t="shared" si="967"/>
        <v>0</v>
      </c>
      <c r="GE595" s="58">
        <f>IF(AND(dd_CheckMate214_TTD="Yes",'Effectiveness settings'!BU595=2,'Effectiveness settings'!BX595=2),"Apply HR to",GD595)</f>
        <v>0</v>
      </c>
      <c r="GF595" s="58">
        <f t="shared" si="968"/>
        <v>0</v>
      </c>
      <c r="GG595" s="58">
        <f t="shared" si="969"/>
        <v>0</v>
      </c>
      <c r="GH595" s="58">
        <f t="shared" si="970"/>
        <v>0</v>
      </c>
      <c r="GI595" s="58">
        <f t="shared" si="957"/>
        <v>0</v>
      </c>
      <c r="GK595" s="58">
        <f>IF(i_baseline_risk_from=2,'Effectiveness settings'!FA595,'Effectiveness settings'!FM595)</f>
        <v>0</v>
      </c>
      <c r="GL595" s="58">
        <f>IF(i_baseline_risk_from=2,'Effectiveness settings'!FB595,'Effectiveness settings'!FN595)</f>
        <v>0</v>
      </c>
      <c r="GM595" s="58">
        <f>IF(i_baseline_risk_from=2,'Effectiveness settings'!FC595,'Effectiveness settings'!FO595)</f>
        <v>0</v>
      </c>
      <c r="GN595" s="58">
        <f>IF(i_baseline_risk_from=2,'Effectiveness settings'!FD595,'Effectiveness settings'!FP595)</f>
        <v>0</v>
      </c>
      <c r="GQ595" s="58">
        <f t="shared" si="971"/>
        <v>0</v>
      </c>
      <c r="GR595" s="58">
        <f t="shared" si="972"/>
        <v>0</v>
      </c>
      <c r="GS595" s="58">
        <f t="shared" si="973"/>
        <v>0</v>
      </c>
      <c r="GT595" s="58">
        <f t="shared" si="974"/>
        <v>0</v>
      </c>
      <c r="GU595" s="58">
        <f>IF(AND(dd_CheckMate214_TTD="Yes",'Effectiveness settings'!BU595=2,'Effectiveness settings'!BX595=2),2,GT595)</f>
        <v>0</v>
      </c>
      <c r="GV595" s="58">
        <f t="shared" si="975"/>
        <v>0</v>
      </c>
      <c r="GW595" s="58">
        <f t="shared" si="976"/>
        <v>0</v>
      </c>
      <c r="GY595" s="58">
        <f>IF(AND(dd_CheckMate214_TTD="Yes",'Effectiveness settings'!BU595=2,'Effectiveness settings'!BX595=2),1,GN595)</f>
        <v>0</v>
      </c>
      <c r="GZ595" s="58">
        <f t="shared" si="977"/>
        <v>0</v>
      </c>
      <c r="HB595" s="58">
        <f t="shared" si="978"/>
        <v>0</v>
      </c>
      <c r="HD595" s="58">
        <f t="shared" si="952"/>
        <v>0</v>
      </c>
      <c r="HE595" s="58">
        <f t="shared" si="953"/>
        <v>0</v>
      </c>
      <c r="HF595" s="58">
        <f t="shared" si="954"/>
        <v>0</v>
      </c>
      <c r="HG595" s="58">
        <f t="shared" si="955"/>
        <v>0</v>
      </c>
      <c r="HH595" s="58">
        <f t="shared" si="956"/>
        <v>0</v>
      </c>
    </row>
    <row r="596" spans="69:216" ht="15.75" x14ac:dyDescent="0.25">
      <c r="BQ596" s="58">
        <f t="shared" si="958"/>
        <v>350</v>
      </c>
      <c r="BR596" s="61"/>
      <c r="BS596" s="61"/>
      <c r="BT596" s="17"/>
      <c r="BU596" s="17"/>
      <c r="BV596" s="17"/>
      <c r="BW596" s="17"/>
      <c r="BX596" s="61"/>
      <c r="BY596" s="531"/>
      <c r="BZ596" s="529"/>
      <c r="CA596" s="532"/>
      <c r="CB596" s="529"/>
      <c r="CC596" s="529"/>
      <c r="CD596" s="529"/>
      <c r="CE596" s="515"/>
      <c r="CF596" s="1303"/>
      <c r="CG596" s="529"/>
      <c r="CH596" s="505"/>
      <c r="CI596" s="505"/>
      <c r="CJ596" s="505"/>
      <c r="DK596" s="58" t="str" cm="1">
        <f t="array" ref="DK596">IF(AND($BT596=4,$BX596=4,$BU596=999),$DB$36,_xlfn.IFNA(INDEX(DB$13:DB$70,MATCH(1,($BR596=$CV$13:$CV$70)*($BT596=$CX$13:$CX$70)*($CE596=$CY$13:$CY$70)*($BY596=$DA$13:$DA$70)*($CD596=$DH$13:$DH$70),0)),""))</f>
        <v/>
      </c>
      <c r="DL596" s="58" t="str" cm="1">
        <f t="array" ref="DL596">IF(AND($BT596=4,$BX596=4,$BU596=999),$DC$36,_xlfn.IFNA(INDEX(CHOOSE(DP596,DB$13:DB$70,DC$13:DC$70,DD$13:DD$70,DE$13:DE$70),MATCH(1,($BR596=$CV$13:$CV$70)*($BT596=$CX$13:$CX$70)*($CE596=$CY$13:$CY$70)*($BY596=$DA$13:$DA$70)*($CD596=$DH$13:$DH$70),0)),""))</f>
        <v/>
      </c>
      <c r="DM596" s="740" t="str" cm="1">
        <f t="array" ref="DM596">IF(AND($BT596=4,$BX596=4,$BU596=999),$DD$36,_xlfn.IFNA(INDEX(DD$13:DD$68,MATCH(1,($BR596=$CV$13:$CV$68)*($BT596=$CX$13:$CX$68)*($CE596=$CY$13:$CY$68)*($BY596=$DA$13:$DA$68)*($CD596=$DH$13:$DH$68),0)),""))</f>
        <v/>
      </c>
      <c r="DN596" s="740" t="str" cm="1">
        <f t="array" ref="DN596">IF(AND($BT596=4,$BX596=4,$BU596=999),$DD$36,_xlfn.IFNA(INDEX(DE$13:DE$68,MATCH(1,($BR596=$CV$13:$CV$68)*($BT596=$CX$13:$CX$68)*($CE596=$CY$13:$CY$68)*($BY596=$DA$13:$DA$68)*($CD596=$DH$13:$DH$68),0)),""))</f>
        <v/>
      </c>
      <c r="DO596" s="58" t="str" cm="1">
        <f t="array" ref="DO596">IF(AND($BT596=4,$BX596=4,$BU596=999),$DF$36,_xlfn.IFNA(INDEX(DF$13:DF$70,MATCH(1,($BR596=$CV$13:$CV$70)*($BT596=$CX$13:$CX$70)*($CE596=$CY$13:$CY$70)*($BY596=$DA$13:$DA$70)*($CD596=$DH$13:$DH$70),0)),""))</f>
        <v/>
      </c>
      <c r="DP596" s="58" t="e">
        <f t="shared" si="959"/>
        <v>#N/A</v>
      </c>
      <c r="FT596" s="58">
        <f t="shared" si="960"/>
        <v>0</v>
      </c>
      <c r="FW596" s="58">
        <f>IF(i_baseline_risk_from=2,'Effectiveness settings'!EW596,'Effectiveness settings'!FI596)</f>
        <v>0</v>
      </c>
      <c r="FX596" s="58">
        <f t="shared" si="961"/>
        <v>0</v>
      </c>
      <c r="FY596" s="58">
        <f t="shared" si="962"/>
        <v>0</v>
      </c>
      <c r="FZ596" s="58">
        <f t="shared" si="963"/>
        <v>0</v>
      </c>
      <c r="GA596" s="58">
        <f t="shared" si="964"/>
        <v>0</v>
      </c>
      <c r="GB596" s="58">
        <f t="shared" si="965"/>
        <v>0</v>
      </c>
      <c r="GC596" s="58">
        <f t="shared" si="966"/>
        <v>0</v>
      </c>
      <c r="GD596" s="58">
        <f t="shared" si="967"/>
        <v>0</v>
      </c>
      <c r="GE596" s="58">
        <f>IF(AND(dd_CheckMate214_TTD="Yes",'Effectiveness settings'!BU596=2,'Effectiveness settings'!BX596=2),"Apply HR to",GD596)</f>
        <v>0</v>
      </c>
      <c r="GF596" s="58">
        <f t="shared" si="968"/>
        <v>0</v>
      </c>
      <c r="GG596" s="58">
        <f t="shared" si="969"/>
        <v>0</v>
      </c>
      <c r="GH596" s="58">
        <f t="shared" si="970"/>
        <v>0</v>
      </c>
      <c r="GI596" s="58">
        <f t="shared" si="957"/>
        <v>0</v>
      </c>
      <c r="GK596" s="58">
        <f>IF(i_baseline_risk_from=2,'Effectiveness settings'!FA596,'Effectiveness settings'!FM596)</f>
        <v>0</v>
      </c>
      <c r="GL596" s="58">
        <f>IF(i_baseline_risk_from=2,'Effectiveness settings'!FB596,'Effectiveness settings'!FN596)</f>
        <v>0</v>
      </c>
      <c r="GM596" s="58">
        <f>IF(i_baseline_risk_from=2,'Effectiveness settings'!FC596,'Effectiveness settings'!FO596)</f>
        <v>0</v>
      </c>
      <c r="GN596" s="58">
        <f>IF(i_baseline_risk_from=2,'Effectiveness settings'!FD596,'Effectiveness settings'!FP596)</f>
        <v>0</v>
      </c>
      <c r="GQ596" s="58">
        <f t="shared" si="971"/>
        <v>0</v>
      </c>
      <c r="GR596" s="58">
        <f t="shared" si="972"/>
        <v>0</v>
      </c>
      <c r="GS596" s="58">
        <f t="shared" si="973"/>
        <v>0</v>
      </c>
      <c r="GT596" s="58">
        <f t="shared" si="974"/>
        <v>0</v>
      </c>
      <c r="GU596" s="58">
        <f>IF(AND(dd_CheckMate214_TTD="Yes",'Effectiveness settings'!BU596=2,'Effectiveness settings'!BX596=2),2,GT596)</f>
        <v>0</v>
      </c>
      <c r="GV596" s="58">
        <f t="shared" si="975"/>
        <v>0</v>
      </c>
      <c r="GW596" s="58">
        <f t="shared" si="976"/>
        <v>0</v>
      </c>
      <c r="GY596" s="58">
        <f>IF(AND(dd_CheckMate214_TTD="Yes",'Effectiveness settings'!BU596=2,'Effectiveness settings'!BX596=2),1,GN596)</f>
        <v>0</v>
      </c>
      <c r="GZ596" s="58">
        <f t="shared" si="977"/>
        <v>0</v>
      </c>
      <c r="HB596" s="58">
        <f t="shared" si="978"/>
        <v>0</v>
      </c>
      <c r="HD596" s="58">
        <f t="shared" si="952"/>
        <v>0</v>
      </c>
      <c r="HE596" s="58">
        <f t="shared" si="953"/>
        <v>0</v>
      </c>
      <c r="HF596" s="58">
        <f t="shared" si="954"/>
        <v>0</v>
      </c>
      <c r="HG596" s="58">
        <f t="shared" si="955"/>
        <v>0</v>
      </c>
      <c r="HH596" s="58">
        <f t="shared" si="956"/>
        <v>0</v>
      </c>
    </row>
    <row r="597" spans="69:216" ht="15.75" x14ac:dyDescent="0.25">
      <c r="BQ597" s="58">
        <f t="shared" si="958"/>
        <v>350</v>
      </c>
      <c r="BR597" s="61"/>
      <c r="BS597" s="61"/>
      <c r="BT597" s="17"/>
      <c r="BU597" s="17"/>
      <c r="BV597" s="17"/>
      <c r="BW597" s="17"/>
      <c r="BX597" s="61"/>
      <c r="BY597" s="531"/>
      <c r="BZ597" s="529"/>
      <c r="CA597" s="532"/>
      <c r="CB597" s="529"/>
      <c r="CC597" s="529"/>
      <c r="CD597" s="529"/>
      <c r="CE597" s="515"/>
      <c r="CF597" s="1303"/>
      <c r="CG597" s="529"/>
      <c r="CH597" s="505"/>
      <c r="CI597" s="505"/>
      <c r="CJ597" s="505"/>
      <c r="DK597" s="58" t="str" cm="1">
        <f t="array" ref="DK597">IF(AND($BT597=4,$BX597=4,$BU597=999),$DB$36,_xlfn.IFNA(INDEX(DB$13:DB$70,MATCH(1,($BR597=$CV$13:$CV$70)*($BT597=$CX$13:$CX$70)*($CE597=$CY$13:$CY$70)*($BY597=$DA$13:$DA$70)*($CD597=$DH$13:$DH$70),0)),""))</f>
        <v/>
      </c>
      <c r="DL597" s="58" t="str" cm="1">
        <f t="array" ref="DL597">IF(AND($BT597=4,$BX597=4,$BU597=999),$DC$36,_xlfn.IFNA(INDEX(CHOOSE(DP597,DB$13:DB$70,DC$13:DC$70,DD$13:DD$70,DE$13:DE$70),MATCH(1,($BR597=$CV$13:$CV$70)*($BT597=$CX$13:$CX$70)*($CE597=$CY$13:$CY$70)*($BY597=$DA$13:$DA$70)*($CD597=$DH$13:$DH$70),0)),""))</f>
        <v/>
      </c>
      <c r="DM597" s="740" t="str" cm="1">
        <f t="array" ref="DM597">IF(AND($BT597=4,$BX597=4,$BU597=999),$DD$36,_xlfn.IFNA(INDEX(DD$13:DD$68,MATCH(1,($BR597=$CV$13:$CV$68)*($BT597=$CX$13:$CX$68)*($CE597=$CY$13:$CY$68)*($BY597=$DA$13:$DA$68)*($CD597=$DH$13:$DH$68),0)),""))</f>
        <v/>
      </c>
      <c r="DN597" s="740" t="str" cm="1">
        <f t="array" ref="DN597">IF(AND($BT597=4,$BX597=4,$BU597=999),$DD$36,_xlfn.IFNA(INDEX(DE$13:DE$68,MATCH(1,($BR597=$CV$13:$CV$68)*($BT597=$CX$13:$CX$68)*($CE597=$CY$13:$CY$68)*($BY597=$DA$13:$DA$68)*($CD597=$DH$13:$DH$68),0)),""))</f>
        <v/>
      </c>
      <c r="DO597" s="58" t="str" cm="1">
        <f t="array" ref="DO597">IF(AND($BT597=4,$BX597=4,$BU597=999),$DF$36,_xlfn.IFNA(INDEX(DF$13:DF$70,MATCH(1,($BR597=$CV$13:$CV$70)*($BT597=$CX$13:$CX$70)*($CE597=$CY$13:$CY$70)*($BY597=$DA$13:$DA$70)*($CD597=$DH$13:$DH$70),0)),""))</f>
        <v/>
      </c>
      <c r="DP597" s="58" t="e">
        <f t="shared" si="959"/>
        <v>#N/A</v>
      </c>
      <c r="FT597" s="58">
        <f t="shared" si="960"/>
        <v>0</v>
      </c>
      <c r="FW597" s="58">
        <f>IF(i_baseline_risk_from=2,'Effectiveness settings'!EW597,'Effectiveness settings'!FI597)</f>
        <v>0</v>
      </c>
      <c r="FX597" s="58">
        <f t="shared" si="961"/>
        <v>0</v>
      </c>
      <c r="FY597" s="58">
        <f t="shared" si="962"/>
        <v>0</v>
      </c>
      <c r="FZ597" s="58">
        <f t="shared" si="963"/>
        <v>0</v>
      </c>
      <c r="GA597" s="58">
        <f t="shared" si="964"/>
        <v>0</v>
      </c>
      <c r="GB597" s="58">
        <f t="shared" si="965"/>
        <v>0</v>
      </c>
      <c r="GC597" s="58">
        <f t="shared" si="966"/>
        <v>0</v>
      </c>
      <c r="GD597" s="58">
        <f t="shared" si="967"/>
        <v>0</v>
      </c>
      <c r="GE597" s="58">
        <f>IF(AND(dd_CheckMate214_TTD="Yes",'Effectiveness settings'!BU597=2,'Effectiveness settings'!BX597=2),"Apply HR to",GD597)</f>
        <v>0</v>
      </c>
      <c r="GF597" s="58">
        <f t="shared" si="968"/>
        <v>0</v>
      </c>
      <c r="GG597" s="58">
        <f t="shared" si="969"/>
        <v>0</v>
      </c>
      <c r="GH597" s="58">
        <f t="shared" si="970"/>
        <v>0</v>
      </c>
      <c r="GI597" s="58">
        <f t="shared" si="957"/>
        <v>0</v>
      </c>
      <c r="GK597" s="58">
        <f>IF(i_baseline_risk_from=2,'Effectiveness settings'!FA597,'Effectiveness settings'!FM597)</f>
        <v>0</v>
      </c>
      <c r="GL597" s="58">
        <f>IF(i_baseline_risk_from=2,'Effectiveness settings'!FB597,'Effectiveness settings'!FN597)</f>
        <v>0</v>
      </c>
      <c r="GM597" s="58">
        <f>IF(i_baseline_risk_from=2,'Effectiveness settings'!FC597,'Effectiveness settings'!FO597)</f>
        <v>0</v>
      </c>
      <c r="GN597" s="58">
        <f>IF(i_baseline_risk_from=2,'Effectiveness settings'!FD597,'Effectiveness settings'!FP597)</f>
        <v>0</v>
      </c>
      <c r="GQ597" s="58">
        <f t="shared" si="971"/>
        <v>0</v>
      </c>
      <c r="GR597" s="58">
        <f t="shared" si="972"/>
        <v>0</v>
      </c>
      <c r="GS597" s="58">
        <f t="shared" si="973"/>
        <v>0</v>
      </c>
      <c r="GT597" s="58">
        <f t="shared" si="974"/>
        <v>0</v>
      </c>
      <c r="GU597" s="58">
        <f>IF(AND(dd_CheckMate214_TTD="Yes",'Effectiveness settings'!BU597=2,'Effectiveness settings'!BX597=2),2,GT597)</f>
        <v>0</v>
      </c>
      <c r="GV597" s="58">
        <f t="shared" si="975"/>
        <v>0</v>
      </c>
      <c r="GW597" s="58">
        <f t="shared" si="976"/>
        <v>0</v>
      </c>
      <c r="GY597" s="58">
        <f>IF(AND(dd_CheckMate214_TTD="Yes",'Effectiveness settings'!BU597=2,'Effectiveness settings'!BX597=2),1,GN597)</f>
        <v>0</v>
      </c>
      <c r="GZ597" s="58">
        <f t="shared" si="977"/>
        <v>0</v>
      </c>
      <c r="HB597" s="58">
        <f t="shared" si="978"/>
        <v>0</v>
      </c>
      <c r="HD597" s="58">
        <f t="shared" si="952"/>
        <v>0</v>
      </c>
      <c r="HE597" s="58">
        <f t="shared" si="953"/>
        <v>0</v>
      </c>
      <c r="HF597" s="58">
        <f t="shared" si="954"/>
        <v>0</v>
      </c>
      <c r="HG597" s="58">
        <f t="shared" si="955"/>
        <v>0</v>
      </c>
      <c r="HH597" s="58">
        <f t="shared" si="956"/>
        <v>0</v>
      </c>
    </row>
    <row r="598" spans="69:216" ht="15.75" x14ac:dyDescent="0.25">
      <c r="BQ598" s="58">
        <f t="shared" si="958"/>
        <v>350</v>
      </c>
      <c r="BR598" s="61"/>
      <c r="BS598" s="61"/>
      <c r="BT598" s="17"/>
      <c r="BU598" s="17"/>
      <c r="BV598" s="17"/>
      <c r="BW598" s="17"/>
      <c r="BX598" s="61"/>
      <c r="BY598" s="531"/>
      <c r="BZ598" s="529"/>
      <c r="CA598" s="532"/>
      <c r="CB598" s="529"/>
      <c r="CC598" s="529"/>
      <c r="CD598" s="529"/>
      <c r="CE598" s="515"/>
      <c r="CF598" s="1303"/>
      <c r="CG598" s="529"/>
      <c r="CH598" s="505"/>
      <c r="CI598" s="505"/>
      <c r="CJ598" s="505"/>
      <c r="DK598" s="58" t="str" cm="1">
        <f t="array" ref="DK598">IF(AND($BT598=4,$BX598=4,$BU598=999),$DB$36,_xlfn.IFNA(INDEX(DB$13:DB$70,MATCH(1,($BR598=$CV$13:$CV$70)*($BT598=$CX$13:$CX$70)*($CE598=$CY$13:$CY$70)*($BY598=$DA$13:$DA$70)*($CD598=$DH$13:$DH$70),0)),""))</f>
        <v/>
      </c>
      <c r="DL598" s="58" t="str" cm="1">
        <f t="array" ref="DL598">IF(AND($BT598=4,$BX598=4,$BU598=999),$DC$36,_xlfn.IFNA(INDEX(CHOOSE(DP598,DB$13:DB$70,DC$13:DC$70,DD$13:DD$70,DE$13:DE$70),MATCH(1,($BR598=$CV$13:$CV$70)*($BT598=$CX$13:$CX$70)*($CE598=$CY$13:$CY$70)*($BY598=$DA$13:$DA$70)*($CD598=$DH$13:$DH$70),0)),""))</f>
        <v/>
      </c>
      <c r="DM598" s="740" t="str" cm="1">
        <f t="array" ref="DM598">IF(AND($BT598=4,$BX598=4,$BU598=999),$DD$36,_xlfn.IFNA(INDEX(DD$13:DD$68,MATCH(1,($BR598=$CV$13:$CV$68)*($BT598=$CX$13:$CX$68)*($CE598=$CY$13:$CY$68)*($BY598=$DA$13:$DA$68)*($CD598=$DH$13:$DH$68),0)),""))</f>
        <v/>
      </c>
      <c r="DN598" s="740" t="str" cm="1">
        <f t="array" ref="DN598">IF(AND($BT598=4,$BX598=4,$BU598=999),$DD$36,_xlfn.IFNA(INDEX(DE$13:DE$68,MATCH(1,($BR598=$CV$13:$CV$68)*($BT598=$CX$13:$CX$68)*($CE598=$CY$13:$CY$68)*($BY598=$DA$13:$DA$68)*($CD598=$DH$13:$DH$68),0)),""))</f>
        <v/>
      </c>
      <c r="DO598" s="58" t="str" cm="1">
        <f t="array" ref="DO598">IF(AND($BT598=4,$BX598=4,$BU598=999),$DF$36,_xlfn.IFNA(INDEX(DF$13:DF$70,MATCH(1,($BR598=$CV$13:$CV$70)*($BT598=$CX$13:$CX$70)*($CE598=$CY$13:$CY$70)*($BY598=$DA$13:$DA$70)*($CD598=$DH$13:$DH$70),0)),""))</f>
        <v/>
      </c>
      <c r="DP598" s="58" t="e">
        <f t="shared" si="959"/>
        <v>#N/A</v>
      </c>
      <c r="FT598" s="58">
        <f t="shared" si="960"/>
        <v>0</v>
      </c>
      <c r="FW598" s="58">
        <f>IF(i_baseline_risk_from=2,'Effectiveness settings'!EW598,'Effectiveness settings'!FI598)</f>
        <v>0</v>
      </c>
      <c r="FX598" s="58">
        <f t="shared" si="961"/>
        <v>0</v>
      </c>
      <c r="FY598" s="58">
        <f t="shared" si="962"/>
        <v>0</v>
      </c>
      <c r="FZ598" s="58">
        <f t="shared" si="963"/>
        <v>0</v>
      </c>
      <c r="GA598" s="58">
        <f t="shared" si="964"/>
        <v>0</v>
      </c>
      <c r="GB598" s="58">
        <f t="shared" si="965"/>
        <v>0</v>
      </c>
      <c r="GC598" s="58">
        <f t="shared" si="966"/>
        <v>0</v>
      </c>
      <c r="GD598" s="58">
        <f t="shared" si="967"/>
        <v>0</v>
      </c>
      <c r="GE598" s="58">
        <f>IF(AND(dd_CheckMate214_TTD="Yes",'Effectiveness settings'!BU598=2,'Effectiveness settings'!BX598=2),"Apply HR to",GD598)</f>
        <v>0</v>
      </c>
      <c r="GF598" s="58">
        <f t="shared" si="968"/>
        <v>0</v>
      </c>
      <c r="GG598" s="58">
        <f t="shared" si="969"/>
        <v>0</v>
      </c>
      <c r="GH598" s="58">
        <f t="shared" si="970"/>
        <v>0</v>
      </c>
      <c r="GI598" s="58">
        <f t="shared" si="957"/>
        <v>0</v>
      </c>
      <c r="GK598" s="58">
        <f>IF(i_baseline_risk_from=2,'Effectiveness settings'!FA598,'Effectiveness settings'!FM598)</f>
        <v>0</v>
      </c>
      <c r="GL598" s="58">
        <f>IF(i_baseline_risk_from=2,'Effectiveness settings'!FB598,'Effectiveness settings'!FN598)</f>
        <v>0</v>
      </c>
      <c r="GM598" s="58">
        <f>IF(i_baseline_risk_from=2,'Effectiveness settings'!FC598,'Effectiveness settings'!FO598)</f>
        <v>0</v>
      </c>
      <c r="GN598" s="58">
        <f>IF(i_baseline_risk_from=2,'Effectiveness settings'!FD598,'Effectiveness settings'!FP598)</f>
        <v>0</v>
      </c>
      <c r="GQ598" s="58">
        <f t="shared" si="971"/>
        <v>0</v>
      </c>
      <c r="GR598" s="58">
        <f t="shared" si="972"/>
        <v>0</v>
      </c>
      <c r="GS598" s="58">
        <f t="shared" si="973"/>
        <v>0</v>
      </c>
      <c r="GT598" s="58">
        <f t="shared" si="974"/>
        <v>0</v>
      </c>
      <c r="GU598" s="58">
        <f>IF(AND(dd_CheckMate214_TTD="Yes",'Effectiveness settings'!BU598=2,'Effectiveness settings'!BX598=2),2,GT598)</f>
        <v>0</v>
      </c>
      <c r="GV598" s="58">
        <f t="shared" si="975"/>
        <v>0</v>
      </c>
      <c r="GW598" s="58">
        <f t="shared" si="976"/>
        <v>0</v>
      </c>
      <c r="GY598" s="58">
        <f>IF(AND(dd_CheckMate214_TTD="Yes",'Effectiveness settings'!BU598=2,'Effectiveness settings'!BX598=2),1,GN598)</f>
        <v>0</v>
      </c>
      <c r="GZ598" s="58">
        <f t="shared" si="977"/>
        <v>0</v>
      </c>
      <c r="HB598" s="58">
        <f t="shared" si="978"/>
        <v>0</v>
      </c>
      <c r="HD598" s="58">
        <f t="shared" si="952"/>
        <v>0</v>
      </c>
      <c r="HE598" s="58">
        <f t="shared" si="953"/>
        <v>0</v>
      </c>
      <c r="HF598" s="58">
        <f t="shared" si="954"/>
        <v>0</v>
      </c>
      <c r="HG598" s="58">
        <f t="shared" si="955"/>
        <v>0</v>
      </c>
      <c r="HH598" s="58">
        <f t="shared" si="956"/>
        <v>0</v>
      </c>
    </row>
    <row r="599" spans="69:216" ht="15.75" x14ac:dyDescent="0.25">
      <c r="BQ599" s="58">
        <f t="shared" si="958"/>
        <v>350</v>
      </c>
      <c r="BR599" s="61"/>
      <c r="BS599" s="61"/>
      <c r="BT599" s="17"/>
      <c r="BU599" s="17"/>
      <c r="BV599" s="17"/>
      <c r="BW599" s="17"/>
      <c r="BX599" s="61"/>
      <c r="BY599" s="531"/>
      <c r="BZ599" s="529"/>
      <c r="CA599" s="532"/>
      <c r="CB599" s="529"/>
      <c r="CC599" s="529"/>
      <c r="CD599" s="529"/>
      <c r="CE599" s="515"/>
      <c r="CF599" s="1303"/>
      <c r="CG599" s="529"/>
      <c r="CH599" s="505"/>
      <c r="CI599" s="505"/>
      <c r="CJ599" s="505"/>
      <c r="DK599" s="58" t="str" cm="1">
        <f t="array" ref="DK599">IF(AND($BT599=4,$BX599=4,$BU599=999),$DB$36,_xlfn.IFNA(INDEX(DB$13:DB$70,MATCH(1,($BR599=$CV$13:$CV$70)*($BT599=$CX$13:$CX$70)*($CE599=$CY$13:$CY$70)*($BY599=$DA$13:$DA$70)*($CD599=$DH$13:$DH$70),0)),""))</f>
        <v/>
      </c>
      <c r="DL599" s="58" t="str" cm="1">
        <f t="array" ref="DL599">IF(AND($BT599=4,$BX599=4,$BU599=999),$DC$36,_xlfn.IFNA(INDEX(CHOOSE(DP599,DB$13:DB$70,DC$13:DC$70,DD$13:DD$70,DE$13:DE$70),MATCH(1,($BR599=$CV$13:$CV$70)*($BT599=$CX$13:$CX$70)*($CE599=$CY$13:$CY$70)*($BY599=$DA$13:$DA$70)*($CD599=$DH$13:$DH$70),0)),""))</f>
        <v/>
      </c>
      <c r="DM599" s="740" t="str" cm="1">
        <f t="array" ref="DM599">IF(AND($BT599=4,$BX599=4,$BU599=999),$DD$36,_xlfn.IFNA(INDEX(DD$13:DD$68,MATCH(1,($BR599=$CV$13:$CV$68)*($BT599=$CX$13:$CX$68)*($CE599=$CY$13:$CY$68)*($BY599=$DA$13:$DA$68)*($CD599=$DH$13:$DH$68),0)),""))</f>
        <v/>
      </c>
      <c r="DN599" s="740" t="str" cm="1">
        <f t="array" ref="DN599">IF(AND($BT599=4,$BX599=4,$BU599=999),$DD$36,_xlfn.IFNA(INDEX(DE$13:DE$68,MATCH(1,($BR599=$CV$13:$CV$68)*($BT599=$CX$13:$CX$68)*($CE599=$CY$13:$CY$68)*($BY599=$DA$13:$DA$68)*($CD599=$DH$13:$DH$68),0)),""))</f>
        <v/>
      </c>
      <c r="DO599" s="58" t="str" cm="1">
        <f t="array" ref="DO599">IF(AND($BT599=4,$BX599=4,$BU599=999),$DF$36,_xlfn.IFNA(INDEX(DF$13:DF$70,MATCH(1,($BR599=$CV$13:$CV$70)*($BT599=$CX$13:$CX$70)*($CE599=$CY$13:$CY$70)*($BY599=$DA$13:$DA$70)*($CD599=$DH$13:$DH$70),0)),""))</f>
        <v/>
      </c>
      <c r="DP599" s="58" t="e">
        <f t="shared" si="959"/>
        <v>#N/A</v>
      </c>
      <c r="FT599" s="58">
        <f t="shared" si="960"/>
        <v>0</v>
      </c>
      <c r="FW599" s="58">
        <f>IF(i_baseline_risk_from=2,'Effectiveness settings'!EW599,'Effectiveness settings'!FI599)</f>
        <v>0</v>
      </c>
      <c r="FX599" s="58">
        <f t="shared" si="961"/>
        <v>0</v>
      </c>
      <c r="FY599" s="58">
        <f t="shared" si="962"/>
        <v>0</v>
      </c>
      <c r="FZ599" s="58">
        <f t="shared" si="963"/>
        <v>0</v>
      </c>
      <c r="GA599" s="58">
        <f t="shared" si="964"/>
        <v>0</v>
      </c>
      <c r="GB599" s="58">
        <f t="shared" si="965"/>
        <v>0</v>
      </c>
      <c r="GC599" s="58">
        <f t="shared" si="966"/>
        <v>0</v>
      </c>
      <c r="GD599" s="58">
        <f t="shared" si="967"/>
        <v>0</v>
      </c>
      <c r="GE599" s="58">
        <f>IF(AND(dd_CheckMate214_TTD="Yes",'Effectiveness settings'!BU599=2,'Effectiveness settings'!BX599=2),"Apply HR to",GD599)</f>
        <v>0</v>
      </c>
      <c r="GF599" s="58">
        <f t="shared" si="968"/>
        <v>0</v>
      </c>
      <c r="GG599" s="58">
        <f t="shared" si="969"/>
        <v>0</v>
      </c>
      <c r="GH599" s="58">
        <f t="shared" si="970"/>
        <v>0</v>
      </c>
      <c r="GI599" s="58">
        <f t="shared" si="957"/>
        <v>0</v>
      </c>
      <c r="GK599" s="58">
        <f>IF(i_baseline_risk_from=2,'Effectiveness settings'!FA599,'Effectiveness settings'!FM599)</f>
        <v>0</v>
      </c>
      <c r="GL599" s="58">
        <f>IF(i_baseline_risk_from=2,'Effectiveness settings'!FB599,'Effectiveness settings'!FN599)</f>
        <v>0</v>
      </c>
      <c r="GM599" s="58">
        <f>IF(i_baseline_risk_from=2,'Effectiveness settings'!FC599,'Effectiveness settings'!FO599)</f>
        <v>0</v>
      </c>
      <c r="GN599" s="58">
        <f>IF(i_baseline_risk_from=2,'Effectiveness settings'!FD599,'Effectiveness settings'!FP599)</f>
        <v>0</v>
      </c>
      <c r="GQ599" s="58">
        <f t="shared" si="971"/>
        <v>0</v>
      </c>
      <c r="GR599" s="58">
        <f t="shared" si="972"/>
        <v>0</v>
      </c>
      <c r="GS599" s="58">
        <f t="shared" si="973"/>
        <v>0</v>
      </c>
      <c r="GT599" s="58">
        <f t="shared" si="974"/>
        <v>0</v>
      </c>
      <c r="GU599" s="58">
        <f>IF(AND(dd_CheckMate214_TTD="Yes",'Effectiveness settings'!BU599=2,'Effectiveness settings'!BX599=2),2,GT599)</f>
        <v>0</v>
      </c>
      <c r="GV599" s="58">
        <f t="shared" si="975"/>
        <v>0</v>
      </c>
      <c r="GW599" s="58">
        <f t="shared" si="976"/>
        <v>0</v>
      </c>
      <c r="GY599" s="58">
        <f>IF(AND(dd_CheckMate214_TTD="Yes",'Effectiveness settings'!BU599=2,'Effectiveness settings'!BX599=2),1,GN599)</f>
        <v>0</v>
      </c>
      <c r="GZ599" s="58">
        <f t="shared" si="977"/>
        <v>0</v>
      </c>
      <c r="HB599" s="58">
        <f t="shared" si="978"/>
        <v>0</v>
      </c>
      <c r="HD599" s="58">
        <f t="shared" si="952"/>
        <v>0</v>
      </c>
      <c r="HE599" s="58">
        <f t="shared" si="953"/>
        <v>0</v>
      </c>
      <c r="HF599" s="58">
        <f t="shared" si="954"/>
        <v>0</v>
      </c>
      <c r="HG599" s="58">
        <f t="shared" si="955"/>
        <v>0</v>
      </c>
      <c r="HH599" s="58">
        <f t="shared" si="956"/>
        <v>0</v>
      </c>
    </row>
    <row r="600" spans="69:216" ht="15.75" x14ac:dyDescent="0.25">
      <c r="BQ600" s="58">
        <f t="shared" si="958"/>
        <v>350</v>
      </c>
      <c r="BR600" s="61"/>
      <c r="BS600" s="61"/>
      <c r="BT600" s="17"/>
      <c r="BU600" s="17"/>
      <c r="BV600" s="17"/>
      <c r="BW600" s="17"/>
      <c r="BX600" s="61"/>
      <c r="BY600" s="531"/>
      <c r="BZ600" s="529"/>
      <c r="CA600" s="532"/>
      <c r="CB600" s="529"/>
      <c r="CC600" s="529"/>
      <c r="CD600" s="529"/>
      <c r="CE600" s="515"/>
      <c r="CF600" s="1303"/>
      <c r="CG600" s="529"/>
      <c r="CH600" s="505"/>
      <c r="CI600" s="505"/>
      <c r="CJ600" s="505"/>
      <c r="DK600" s="58" t="str" cm="1">
        <f t="array" ref="DK600">IF(AND($BT600=4,$BX600=4,$BU600=999),$DB$36,_xlfn.IFNA(INDEX(DB$13:DB$70,MATCH(1,($BR600=$CV$13:$CV$70)*($BT600=$CX$13:$CX$70)*($CE600=$CY$13:$CY$70)*($BY600=$DA$13:$DA$70)*($CD600=$DH$13:$DH$70),0)),""))</f>
        <v/>
      </c>
      <c r="DL600" s="58" t="str" cm="1">
        <f t="array" ref="DL600">IF(AND($BT600=4,$BX600=4,$BU600=999),$DC$36,_xlfn.IFNA(INDEX(CHOOSE(DP600,DB$13:DB$70,DC$13:DC$70,DD$13:DD$70,DE$13:DE$70),MATCH(1,($BR600=$CV$13:$CV$70)*($BT600=$CX$13:$CX$70)*($CE600=$CY$13:$CY$70)*($BY600=$DA$13:$DA$70)*($CD600=$DH$13:$DH$70),0)),""))</f>
        <v/>
      </c>
      <c r="DM600" s="740" t="str" cm="1">
        <f t="array" ref="DM600">IF(AND($BT600=4,$BX600=4,$BU600=999),$DD$36,_xlfn.IFNA(INDEX(DD$13:DD$68,MATCH(1,($BR600=$CV$13:$CV$68)*($BT600=$CX$13:$CX$68)*($CE600=$CY$13:$CY$68)*($BY600=$DA$13:$DA$68)*($CD600=$DH$13:$DH$68),0)),""))</f>
        <v/>
      </c>
      <c r="DN600" s="740" t="str" cm="1">
        <f t="array" ref="DN600">IF(AND($BT600=4,$BX600=4,$BU600=999),$DD$36,_xlfn.IFNA(INDEX(DE$13:DE$68,MATCH(1,($BR600=$CV$13:$CV$68)*($BT600=$CX$13:$CX$68)*($CE600=$CY$13:$CY$68)*($BY600=$DA$13:$DA$68)*($CD600=$DH$13:$DH$68),0)),""))</f>
        <v/>
      </c>
      <c r="DO600" s="58" t="str" cm="1">
        <f t="array" ref="DO600">IF(AND($BT600=4,$BX600=4,$BU600=999),$DF$36,_xlfn.IFNA(INDEX(DF$13:DF$70,MATCH(1,($BR600=$CV$13:$CV$70)*($BT600=$CX$13:$CX$70)*($CE600=$CY$13:$CY$70)*($BY600=$DA$13:$DA$70)*($CD600=$DH$13:$DH$70),0)),""))</f>
        <v/>
      </c>
      <c r="DP600" s="58" t="e">
        <f t="shared" si="959"/>
        <v>#N/A</v>
      </c>
      <c r="FT600" s="58">
        <f t="shared" si="960"/>
        <v>0</v>
      </c>
      <c r="FW600" s="58">
        <f>IF(i_baseline_risk_from=2,'Effectiveness settings'!EW600,'Effectiveness settings'!FI600)</f>
        <v>0</v>
      </c>
      <c r="FX600" s="58">
        <f t="shared" si="961"/>
        <v>0</v>
      </c>
      <c r="FY600" s="58">
        <f t="shared" si="962"/>
        <v>0</v>
      </c>
      <c r="FZ600" s="58">
        <f t="shared" si="963"/>
        <v>0</v>
      </c>
      <c r="GA600" s="58">
        <f t="shared" si="964"/>
        <v>0</v>
      </c>
      <c r="GB600" s="58">
        <f t="shared" si="965"/>
        <v>0</v>
      </c>
      <c r="GC600" s="58">
        <f t="shared" si="966"/>
        <v>0</v>
      </c>
      <c r="GD600" s="58">
        <f t="shared" si="967"/>
        <v>0</v>
      </c>
      <c r="GE600" s="58">
        <f>IF(AND(dd_CheckMate214_TTD="Yes",'Effectiveness settings'!BU600=2,'Effectiveness settings'!BX600=2),"Apply HR to",GD600)</f>
        <v>0</v>
      </c>
      <c r="GF600" s="58">
        <f t="shared" si="968"/>
        <v>0</v>
      </c>
      <c r="GG600" s="58">
        <f t="shared" si="969"/>
        <v>0</v>
      </c>
      <c r="GH600" s="58">
        <f t="shared" si="970"/>
        <v>0</v>
      </c>
      <c r="GI600" s="58">
        <f t="shared" si="957"/>
        <v>0</v>
      </c>
      <c r="GK600" s="58">
        <f>IF(i_baseline_risk_from=2,'Effectiveness settings'!FA600,'Effectiveness settings'!FM600)</f>
        <v>0</v>
      </c>
      <c r="GL600" s="58">
        <f>IF(i_baseline_risk_from=2,'Effectiveness settings'!FB600,'Effectiveness settings'!FN600)</f>
        <v>0</v>
      </c>
      <c r="GM600" s="58">
        <f>IF(i_baseline_risk_from=2,'Effectiveness settings'!FC600,'Effectiveness settings'!FO600)</f>
        <v>0</v>
      </c>
      <c r="GN600" s="58">
        <f>IF(i_baseline_risk_from=2,'Effectiveness settings'!FD600,'Effectiveness settings'!FP600)</f>
        <v>0</v>
      </c>
      <c r="GQ600" s="58">
        <f t="shared" si="971"/>
        <v>0</v>
      </c>
      <c r="GR600" s="58">
        <f t="shared" si="972"/>
        <v>0</v>
      </c>
      <c r="GS600" s="58">
        <f t="shared" si="973"/>
        <v>0</v>
      </c>
      <c r="GT600" s="58">
        <f t="shared" si="974"/>
        <v>0</v>
      </c>
      <c r="GU600" s="58">
        <f>IF(AND(dd_CheckMate214_TTD="Yes",'Effectiveness settings'!BU600=2,'Effectiveness settings'!BX600=2),2,GT600)</f>
        <v>0</v>
      </c>
      <c r="GV600" s="58">
        <f t="shared" si="975"/>
        <v>0</v>
      </c>
      <c r="GW600" s="58">
        <f t="shared" si="976"/>
        <v>0</v>
      </c>
      <c r="GY600" s="58">
        <f>IF(AND(dd_CheckMate214_TTD="Yes",'Effectiveness settings'!BU600=2,'Effectiveness settings'!BX600=2),1,GN600)</f>
        <v>0</v>
      </c>
      <c r="GZ600" s="58">
        <f t="shared" si="977"/>
        <v>0</v>
      </c>
      <c r="HB600" s="58">
        <f t="shared" si="978"/>
        <v>0</v>
      </c>
      <c r="HD600" s="58">
        <f t="shared" si="952"/>
        <v>0</v>
      </c>
      <c r="HE600" s="58">
        <f t="shared" si="953"/>
        <v>0</v>
      </c>
      <c r="HF600" s="58">
        <f t="shared" si="954"/>
        <v>0</v>
      </c>
      <c r="HG600" s="58">
        <f t="shared" si="955"/>
        <v>0</v>
      </c>
      <c r="HH600" s="58">
        <f t="shared" si="956"/>
        <v>0</v>
      </c>
    </row>
    <row r="601" spans="69:216" ht="15.75" x14ac:dyDescent="0.25">
      <c r="BQ601" s="58">
        <f t="shared" si="958"/>
        <v>350</v>
      </c>
      <c r="BR601" s="61"/>
      <c r="BS601" s="61"/>
      <c r="BT601" s="17"/>
      <c r="BU601" s="61"/>
      <c r="BV601" s="17"/>
      <c r="BW601" s="17"/>
      <c r="BX601" s="61"/>
      <c r="BY601" s="531"/>
      <c r="BZ601" s="529"/>
      <c r="CA601" s="532"/>
      <c r="CB601" s="529"/>
      <c r="CC601" s="529"/>
      <c r="CD601" s="529"/>
      <c r="CE601" s="515"/>
      <c r="CF601" s="1303"/>
      <c r="CG601" s="529"/>
      <c r="CH601" s="505"/>
      <c r="CI601" s="505"/>
      <c r="CJ601" s="505"/>
      <c r="DK601" s="58" t="str" cm="1">
        <f t="array" ref="DK601">IF(AND($BT601=4,$BX601=4,$BU601=999),$DB$36,_xlfn.IFNA(INDEX(DB$13:DB$70,MATCH(1,($BR601=$CV$13:$CV$70)*($BT601=$CX$13:$CX$70)*($CE601=$CY$13:$CY$70)*($BY601=$DA$13:$DA$70)*($CD601=$DH$13:$DH$70),0)),""))</f>
        <v/>
      </c>
      <c r="DL601" s="58" t="str" cm="1">
        <f t="array" ref="DL601">IF(AND($BT601=4,$BX601=4,$BU601=999),$DC$36,_xlfn.IFNA(INDEX(CHOOSE(DP601,DB$13:DB$70,DC$13:DC$70,DD$13:DD$70,DE$13:DE$70),MATCH(1,($BR601=$CV$13:$CV$70)*($BT601=$CX$13:$CX$70)*($CE601=$CY$13:$CY$70)*($BY601=$DA$13:$DA$70)*($CD601=$DH$13:$DH$70),0)),""))</f>
        <v/>
      </c>
      <c r="DM601" s="740" t="str" cm="1">
        <f t="array" ref="DM601">IF(AND($BT601=4,$BX601=4,$BU601=999),$DD$36,_xlfn.IFNA(INDEX(DD$13:DD$68,MATCH(1,($BR601=$CV$13:$CV$68)*($BT601=$CX$13:$CX$68)*($CE601=$CY$13:$CY$68)*($BY601=$DA$13:$DA$68)*($CD601=$DH$13:$DH$68),0)),""))</f>
        <v/>
      </c>
      <c r="DN601" s="740" t="str" cm="1">
        <f t="array" ref="DN601">IF(AND($BT601=4,$BX601=4,$BU601=999),$DD$36,_xlfn.IFNA(INDEX(DE$13:DE$68,MATCH(1,($BR601=$CV$13:$CV$68)*($BT601=$CX$13:$CX$68)*($CE601=$CY$13:$CY$68)*($BY601=$DA$13:$DA$68)*($CD601=$DH$13:$DH$68),0)),""))</f>
        <v/>
      </c>
      <c r="DO601" s="58" t="str" cm="1">
        <f t="array" ref="DO601">IF(AND($BT601=4,$BX601=4,$BU601=999),$DF$36,_xlfn.IFNA(INDEX(DF$13:DF$70,MATCH(1,($BR601=$CV$13:$CV$70)*($BT601=$CX$13:$CX$70)*($CE601=$CY$13:$CY$70)*($BY601=$DA$13:$DA$70)*($CD601=$DH$13:$DH$70),0)),""))</f>
        <v/>
      </c>
      <c r="DP601" s="58" t="e">
        <f t="shared" si="959"/>
        <v>#N/A</v>
      </c>
      <c r="FT601" s="58">
        <f t="shared" si="960"/>
        <v>0</v>
      </c>
      <c r="FW601" s="58">
        <f>IF(i_baseline_risk_from=2,'Effectiveness settings'!EW601,'Effectiveness settings'!FI601)</f>
        <v>0</v>
      </c>
      <c r="FX601" s="58">
        <f t="shared" si="961"/>
        <v>0</v>
      </c>
      <c r="FY601" s="58">
        <f t="shared" si="962"/>
        <v>0</v>
      </c>
      <c r="FZ601" s="58">
        <f t="shared" si="963"/>
        <v>0</v>
      </c>
      <c r="GA601" s="58">
        <f t="shared" si="964"/>
        <v>0</v>
      </c>
      <c r="GB601" s="58">
        <f t="shared" si="965"/>
        <v>0</v>
      </c>
      <c r="GC601" s="58">
        <f t="shared" si="966"/>
        <v>0</v>
      </c>
      <c r="GD601" s="58">
        <f t="shared" si="967"/>
        <v>0</v>
      </c>
      <c r="GE601" s="58">
        <f>IF(AND(dd_CheckMate214_TTD="Yes",'Effectiveness settings'!BU601=2,'Effectiveness settings'!BX601=2),"Apply HR to",GD601)</f>
        <v>0</v>
      </c>
      <c r="GF601" s="58">
        <f t="shared" si="968"/>
        <v>0</v>
      </c>
      <c r="GG601" s="58">
        <f t="shared" si="969"/>
        <v>0</v>
      </c>
      <c r="GH601" s="58">
        <f t="shared" si="970"/>
        <v>0</v>
      </c>
      <c r="GI601" s="58">
        <f t="shared" si="957"/>
        <v>0</v>
      </c>
      <c r="GK601" s="58">
        <f>IF(i_baseline_risk_from=2,'Effectiveness settings'!FA601,'Effectiveness settings'!FM601)</f>
        <v>0</v>
      </c>
      <c r="GL601" s="58">
        <f>IF(i_baseline_risk_from=2,'Effectiveness settings'!FB601,'Effectiveness settings'!FN601)</f>
        <v>0</v>
      </c>
      <c r="GM601" s="58">
        <f>IF(i_baseline_risk_from=2,'Effectiveness settings'!FC601,'Effectiveness settings'!FO601)</f>
        <v>0</v>
      </c>
      <c r="GN601" s="58">
        <f>IF(i_baseline_risk_from=2,'Effectiveness settings'!FD601,'Effectiveness settings'!FP601)</f>
        <v>0</v>
      </c>
      <c r="GQ601" s="58">
        <f t="shared" si="971"/>
        <v>0</v>
      </c>
      <c r="GR601" s="58">
        <f t="shared" si="972"/>
        <v>0</v>
      </c>
      <c r="GS601" s="58">
        <f t="shared" si="973"/>
        <v>0</v>
      </c>
      <c r="GT601" s="58">
        <f t="shared" si="974"/>
        <v>0</v>
      </c>
      <c r="GU601" s="58">
        <f>IF(AND(dd_CheckMate214_TTD="Yes",'Effectiveness settings'!BU601=2,'Effectiveness settings'!BX601=2),2,GT601)</f>
        <v>0</v>
      </c>
      <c r="GV601" s="58">
        <f t="shared" si="975"/>
        <v>0</v>
      </c>
      <c r="GW601" s="58">
        <f t="shared" si="976"/>
        <v>0</v>
      </c>
      <c r="GY601" s="58">
        <f>IF(AND(dd_CheckMate214_TTD="Yes",'Effectiveness settings'!BU601=2,'Effectiveness settings'!BX601=2),1,GN601)</f>
        <v>0</v>
      </c>
      <c r="GZ601" s="58">
        <f t="shared" si="977"/>
        <v>0</v>
      </c>
      <c r="HB601" s="58">
        <f t="shared" si="978"/>
        <v>0</v>
      </c>
      <c r="HD601" s="58">
        <f t="shared" si="952"/>
        <v>0</v>
      </c>
      <c r="HE601" s="58">
        <f t="shared" si="953"/>
        <v>0</v>
      </c>
      <c r="HF601" s="58">
        <f t="shared" si="954"/>
        <v>0</v>
      </c>
      <c r="HG601" s="58">
        <f t="shared" si="955"/>
        <v>0</v>
      </c>
      <c r="HH601" s="58">
        <f t="shared" si="956"/>
        <v>0</v>
      </c>
    </row>
    <row r="602" spans="69:216" ht="15.75" x14ac:dyDescent="0.25">
      <c r="BQ602" s="58">
        <f t="shared" si="958"/>
        <v>350</v>
      </c>
      <c r="BR602" s="61"/>
      <c r="BS602" s="61"/>
      <c r="BT602" s="17"/>
      <c r="BU602" s="17"/>
      <c r="BV602" s="17"/>
      <c r="BW602" s="17"/>
      <c r="BX602" s="61"/>
      <c r="BY602" s="531"/>
      <c r="BZ602" s="529"/>
      <c r="CA602" s="532"/>
      <c r="CB602" s="529"/>
      <c r="CC602" s="529"/>
      <c r="CD602" s="529"/>
      <c r="CE602" s="515"/>
      <c r="CF602" s="1303"/>
      <c r="CG602" s="529"/>
      <c r="CH602" s="505"/>
      <c r="CI602" s="505"/>
      <c r="CJ602" s="505"/>
      <c r="DK602" s="58" t="str" cm="1">
        <f t="array" ref="DK602">IF(AND($BT602=4,$BX602=4,$BU602=999),$DB$36,_xlfn.IFNA(INDEX(DB$13:DB$70,MATCH(1,($BR602=$CV$13:$CV$70)*($BT602=$CX$13:$CX$70)*($CE602=$CY$13:$CY$70)*($BY602=$DA$13:$DA$70)*($CD602=$DH$13:$DH$70),0)),""))</f>
        <v/>
      </c>
      <c r="DL602" s="58" t="str" cm="1">
        <f t="array" ref="DL602">IF(AND($BT602=4,$BX602=4,$BU602=999),$DC$36,_xlfn.IFNA(INDEX(CHOOSE(DP602,DB$13:DB$70,DC$13:DC$70,DD$13:DD$70,DE$13:DE$70),MATCH(1,($BR602=$CV$13:$CV$70)*($BT602=$CX$13:$CX$70)*($CE602=$CY$13:$CY$70)*($BY602=$DA$13:$DA$70)*($CD602=$DH$13:$DH$70),0)),""))</f>
        <v/>
      </c>
      <c r="DM602" s="740" t="str" cm="1">
        <f t="array" ref="DM602">IF(AND($BT602=4,$BX602=4,$BU602=999),$DD$36,_xlfn.IFNA(INDEX(DD$13:DD$68,MATCH(1,($BR602=$CV$13:$CV$68)*($BT602=$CX$13:$CX$68)*($CE602=$CY$13:$CY$68)*($BY602=$DA$13:$DA$68)*($CD602=$DH$13:$DH$68),0)),""))</f>
        <v/>
      </c>
      <c r="DN602" s="740" t="str" cm="1">
        <f t="array" ref="DN602">IF(AND($BT602=4,$BX602=4,$BU602=999),$DD$36,_xlfn.IFNA(INDEX(DE$13:DE$68,MATCH(1,($BR602=$CV$13:$CV$68)*($BT602=$CX$13:$CX$68)*($CE602=$CY$13:$CY$68)*($BY602=$DA$13:$DA$68)*($CD602=$DH$13:$DH$68),0)),""))</f>
        <v/>
      </c>
      <c r="DO602" s="58" t="str" cm="1">
        <f t="array" ref="DO602">IF(AND($BT602=4,$BX602=4,$BU602=999),$DF$36,_xlfn.IFNA(INDEX(DF$13:DF$70,MATCH(1,($BR602=$CV$13:$CV$70)*($BT602=$CX$13:$CX$70)*($CE602=$CY$13:$CY$70)*($BY602=$DA$13:$DA$70)*($CD602=$DH$13:$DH$70),0)),""))</f>
        <v/>
      </c>
      <c r="DP602" s="58" t="e">
        <f t="shared" si="959"/>
        <v>#N/A</v>
      </c>
      <c r="FT602" s="58">
        <f t="shared" si="960"/>
        <v>0</v>
      </c>
      <c r="FW602" s="58">
        <f>IF(i_baseline_risk_from=2,'Effectiveness settings'!EW602,'Effectiveness settings'!FI602)</f>
        <v>0</v>
      </c>
      <c r="FX602" s="58">
        <f t="shared" si="961"/>
        <v>0</v>
      </c>
      <c r="FY602" s="58">
        <f t="shared" si="962"/>
        <v>0</v>
      </c>
      <c r="FZ602" s="58">
        <f t="shared" si="963"/>
        <v>0</v>
      </c>
      <c r="GA602" s="58">
        <f t="shared" si="964"/>
        <v>0</v>
      </c>
      <c r="GB602" s="58">
        <f t="shared" si="965"/>
        <v>0</v>
      </c>
      <c r="GC602" s="58">
        <f t="shared" si="966"/>
        <v>0</v>
      </c>
      <c r="GD602" s="58">
        <f t="shared" si="967"/>
        <v>0</v>
      </c>
      <c r="GE602" s="58">
        <f>IF(AND(dd_CheckMate214_TTD="Yes",'Effectiveness settings'!BU602=2,'Effectiveness settings'!BX602=2),"Apply HR to",GD602)</f>
        <v>0</v>
      </c>
      <c r="GF602" s="58">
        <f t="shared" si="968"/>
        <v>0</v>
      </c>
      <c r="GG602" s="58">
        <f t="shared" si="969"/>
        <v>0</v>
      </c>
      <c r="GH602" s="58">
        <f t="shared" si="970"/>
        <v>0</v>
      </c>
      <c r="GI602" s="58">
        <f t="shared" si="957"/>
        <v>0</v>
      </c>
      <c r="GK602" s="58">
        <f>IF(i_baseline_risk_from=2,'Effectiveness settings'!FA602,'Effectiveness settings'!FM602)</f>
        <v>0</v>
      </c>
      <c r="GL602" s="58">
        <f>IF(i_baseline_risk_from=2,'Effectiveness settings'!FB602,'Effectiveness settings'!FN602)</f>
        <v>0</v>
      </c>
      <c r="GM602" s="58">
        <f>IF(i_baseline_risk_from=2,'Effectiveness settings'!FC602,'Effectiveness settings'!FO602)</f>
        <v>0</v>
      </c>
      <c r="GN602" s="58">
        <f>IF(i_baseline_risk_from=2,'Effectiveness settings'!FD602,'Effectiveness settings'!FP602)</f>
        <v>0</v>
      </c>
      <c r="GQ602" s="58">
        <f t="shared" si="971"/>
        <v>0</v>
      </c>
      <c r="GR602" s="58">
        <f t="shared" si="972"/>
        <v>0</v>
      </c>
      <c r="GS602" s="58">
        <f t="shared" si="973"/>
        <v>0</v>
      </c>
      <c r="GT602" s="58">
        <f t="shared" si="974"/>
        <v>0</v>
      </c>
      <c r="GU602" s="58">
        <f>IF(AND(dd_CheckMate214_TTD="Yes",'Effectiveness settings'!BU602=2,'Effectiveness settings'!BX602=2),2,GT602)</f>
        <v>0</v>
      </c>
      <c r="GV602" s="58">
        <f t="shared" si="975"/>
        <v>0</v>
      </c>
      <c r="GW602" s="58">
        <f t="shared" si="976"/>
        <v>0</v>
      </c>
      <c r="GY602" s="58">
        <f>IF(AND(dd_CheckMate214_TTD="Yes",'Effectiveness settings'!BU602=2,'Effectiveness settings'!BX602=2),1,GN602)</f>
        <v>0</v>
      </c>
      <c r="GZ602" s="58">
        <f t="shared" si="977"/>
        <v>0</v>
      </c>
      <c r="HB602" s="58">
        <f t="shared" si="978"/>
        <v>0</v>
      </c>
      <c r="HD602" s="58">
        <f t="shared" si="952"/>
        <v>0</v>
      </c>
      <c r="HE602" s="58">
        <f t="shared" si="953"/>
        <v>0</v>
      </c>
      <c r="HF602" s="58">
        <f t="shared" si="954"/>
        <v>0</v>
      </c>
      <c r="HG602" s="58">
        <f t="shared" si="955"/>
        <v>0</v>
      </c>
      <c r="HH602" s="58">
        <f t="shared" si="956"/>
        <v>0</v>
      </c>
    </row>
    <row r="603" spans="69:216" ht="15.75" x14ac:dyDescent="0.25">
      <c r="BQ603" s="58">
        <f t="shared" si="958"/>
        <v>350</v>
      </c>
      <c r="BR603" s="61"/>
      <c r="BS603" s="61"/>
      <c r="BT603" s="17"/>
      <c r="BU603" s="17"/>
      <c r="BV603" s="17"/>
      <c r="BW603" s="17"/>
      <c r="BX603" s="61"/>
      <c r="BY603" s="531"/>
      <c r="BZ603" s="529"/>
      <c r="CA603" s="532"/>
      <c r="CB603" s="529"/>
      <c r="CC603" s="529"/>
      <c r="CD603" s="529"/>
      <c r="CE603" s="515"/>
      <c r="CF603" s="1303"/>
      <c r="CG603" s="529"/>
      <c r="CH603" s="505"/>
      <c r="CI603" s="505"/>
      <c r="CJ603" s="505"/>
      <c r="DK603" s="58" t="str" cm="1">
        <f t="array" ref="DK603">IF(AND($BT603=4,$BX603=4,$BU603=999),$DB$36,_xlfn.IFNA(INDEX(DB$13:DB$70,MATCH(1,($BR603=$CV$13:$CV$70)*($BT603=$CX$13:$CX$70)*($CE603=$CY$13:$CY$70)*($BY603=$DA$13:$DA$70)*($CD603=$DH$13:$DH$70),0)),""))</f>
        <v/>
      </c>
      <c r="DL603" s="58" t="str" cm="1">
        <f t="array" ref="DL603">IF(AND($BT603=4,$BX603=4,$BU603=999),$DC$36,_xlfn.IFNA(INDEX(CHOOSE(DP603,DB$13:DB$70,DC$13:DC$70,DD$13:DD$70,DE$13:DE$70),MATCH(1,($BR603=$CV$13:$CV$70)*($BT603=$CX$13:$CX$70)*($CE603=$CY$13:$CY$70)*($BY603=$DA$13:$DA$70)*($CD603=$DH$13:$DH$70),0)),""))</f>
        <v/>
      </c>
      <c r="DM603" s="740" t="str" cm="1">
        <f t="array" ref="DM603">IF(AND($BT603=4,$BX603=4,$BU603=999),$DD$36,_xlfn.IFNA(INDEX(DD$13:DD$68,MATCH(1,($BR603=$CV$13:$CV$68)*($BT603=$CX$13:$CX$68)*($CE603=$CY$13:$CY$68)*($BY603=$DA$13:$DA$68)*($CD603=$DH$13:$DH$68),0)),""))</f>
        <v/>
      </c>
      <c r="DN603" s="740" t="str" cm="1">
        <f t="array" ref="DN603">IF(AND($BT603=4,$BX603=4,$BU603=999),$DD$36,_xlfn.IFNA(INDEX(DE$13:DE$68,MATCH(1,($BR603=$CV$13:$CV$68)*($BT603=$CX$13:$CX$68)*($CE603=$CY$13:$CY$68)*($BY603=$DA$13:$DA$68)*($CD603=$DH$13:$DH$68),0)),""))</f>
        <v/>
      </c>
      <c r="DO603" s="58" t="str" cm="1">
        <f t="array" ref="DO603">IF(AND($BT603=4,$BX603=4,$BU603=999),$DF$36,_xlfn.IFNA(INDEX(DF$13:DF$70,MATCH(1,($BR603=$CV$13:$CV$70)*($BT603=$CX$13:$CX$70)*($CE603=$CY$13:$CY$70)*($BY603=$DA$13:$DA$70)*($CD603=$DH$13:$DH$70),0)),""))</f>
        <v/>
      </c>
      <c r="DP603" s="58" t="e">
        <f t="shared" si="959"/>
        <v>#N/A</v>
      </c>
      <c r="FT603" s="58">
        <f t="shared" si="960"/>
        <v>0</v>
      </c>
      <c r="FW603" s="58">
        <f>IF(i_baseline_risk_from=2,'Effectiveness settings'!EW603,'Effectiveness settings'!FI603)</f>
        <v>0</v>
      </c>
      <c r="FX603" s="58">
        <f t="shared" si="961"/>
        <v>0</v>
      </c>
      <c r="FY603" s="58">
        <f t="shared" si="962"/>
        <v>0</v>
      </c>
      <c r="FZ603" s="58">
        <f t="shared" si="963"/>
        <v>0</v>
      </c>
      <c r="GA603" s="58">
        <f t="shared" si="964"/>
        <v>0</v>
      </c>
      <c r="GB603" s="58">
        <f t="shared" si="965"/>
        <v>0</v>
      </c>
      <c r="GC603" s="58">
        <f t="shared" si="966"/>
        <v>0</v>
      </c>
      <c r="GD603" s="58">
        <f t="shared" si="967"/>
        <v>0</v>
      </c>
      <c r="GE603" s="58">
        <f>IF(AND(dd_CheckMate214_TTD="Yes",'Effectiveness settings'!BU603=2,'Effectiveness settings'!BX603=2),"Apply HR to",GD603)</f>
        <v>0</v>
      </c>
      <c r="GF603" s="58">
        <f t="shared" si="968"/>
        <v>0</v>
      </c>
      <c r="GG603" s="58">
        <f t="shared" si="969"/>
        <v>0</v>
      </c>
      <c r="GH603" s="58">
        <f t="shared" si="970"/>
        <v>0</v>
      </c>
      <c r="GI603" s="58">
        <f t="shared" si="957"/>
        <v>0</v>
      </c>
      <c r="GK603" s="58">
        <f>IF(i_baseline_risk_from=2,'Effectiveness settings'!FA603,'Effectiveness settings'!FM603)</f>
        <v>0</v>
      </c>
      <c r="GL603" s="58">
        <f>IF(i_baseline_risk_from=2,'Effectiveness settings'!FB603,'Effectiveness settings'!FN603)</f>
        <v>0</v>
      </c>
      <c r="GM603" s="58">
        <f>IF(i_baseline_risk_from=2,'Effectiveness settings'!FC603,'Effectiveness settings'!FO603)</f>
        <v>0</v>
      </c>
      <c r="GN603" s="58">
        <f>IF(i_baseline_risk_from=2,'Effectiveness settings'!FD603,'Effectiveness settings'!FP603)</f>
        <v>0</v>
      </c>
      <c r="GQ603" s="58">
        <f t="shared" si="971"/>
        <v>0</v>
      </c>
      <c r="GR603" s="58">
        <f t="shared" si="972"/>
        <v>0</v>
      </c>
      <c r="GS603" s="58">
        <f t="shared" si="973"/>
        <v>0</v>
      </c>
      <c r="GT603" s="58">
        <f t="shared" si="974"/>
        <v>0</v>
      </c>
      <c r="GU603" s="58">
        <f>IF(AND(dd_CheckMate214_TTD="Yes",'Effectiveness settings'!BU603=2,'Effectiveness settings'!BX603=2),2,GT603)</f>
        <v>0</v>
      </c>
      <c r="GV603" s="58">
        <f t="shared" si="975"/>
        <v>0</v>
      </c>
      <c r="GW603" s="58">
        <f t="shared" si="976"/>
        <v>0</v>
      </c>
      <c r="GY603" s="58">
        <f>IF(AND(dd_CheckMate214_TTD="Yes",'Effectiveness settings'!BU603=2,'Effectiveness settings'!BX603=2),1,GN603)</f>
        <v>0</v>
      </c>
      <c r="GZ603" s="58">
        <f t="shared" si="977"/>
        <v>0</v>
      </c>
      <c r="HB603" s="58">
        <f t="shared" si="978"/>
        <v>0</v>
      </c>
      <c r="HD603" s="58">
        <f t="shared" si="952"/>
        <v>0</v>
      </c>
      <c r="HE603" s="58">
        <f t="shared" si="953"/>
        <v>0</v>
      </c>
      <c r="HF603" s="58">
        <f t="shared" si="954"/>
        <v>0</v>
      </c>
      <c r="HG603" s="58">
        <f t="shared" si="955"/>
        <v>0</v>
      </c>
      <c r="HH603" s="58">
        <f t="shared" si="956"/>
        <v>0</v>
      </c>
    </row>
    <row r="604" spans="69:216" ht="15.75" x14ac:dyDescent="0.25">
      <c r="BQ604" s="58">
        <f t="shared" si="958"/>
        <v>350</v>
      </c>
      <c r="BR604" s="61"/>
      <c r="BS604" s="61"/>
      <c r="BT604" s="17"/>
      <c r="BU604" s="17"/>
      <c r="BV604" s="17"/>
      <c r="BW604" s="17"/>
      <c r="BX604" s="61"/>
      <c r="BY604" s="531"/>
      <c r="BZ604" s="529"/>
      <c r="CA604" s="532"/>
      <c r="CB604" s="529"/>
      <c r="CC604" s="529"/>
      <c r="CD604" s="529"/>
      <c r="CE604" s="515"/>
      <c r="CF604" s="1303"/>
      <c r="CG604" s="529"/>
      <c r="CH604" s="505"/>
      <c r="CI604" s="505"/>
      <c r="CJ604" s="505"/>
      <c r="DK604" s="58" t="str" cm="1">
        <f t="array" ref="DK604">IF(AND($BT604=4,$BX604=4,$BU604=999),$DB$36,_xlfn.IFNA(INDEX(DB$13:DB$70,MATCH(1,($BR604=$CV$13:$CV$70)*($BT604=$CX$13:$CX$70)*($CE604=$CY$13:$CY$70)*($BY604=$DA$13:$DA$70)*($CD604=$DH$13:$DH$70),0)),""))</f>
        <v/>
      </c>
      <c r="DL604" s="58" t="str" cm="1">
        <f t="array" ref="DL604">IF(AND($BT604=4,$BX604=4,$BU604=999),$DC$36,_xlfn.IFNA(INDEX(CHOOSE(DP604,DB$13:DB$70,DC$13:DC$70,DD$13:DD$70,DE$13:DE$70),MATCH(1,($BR604=$CV$13:$CV$70)*($BT604=$CX$13:$CX$70)*($CE604=$CY$13:$CY$70)*($BY604=$DA$13:$DA$70)*($CD604=$DH$13:$DH$70),0)),""))</f>
        <v/>
      </c>
      <c r="DM604" s="740" t="str" cm="1">
        <f t="array" ref="DM604">IF(AND($BT604=4,$BX604=4,$BU604=999),$DD$36,_xlfn.IFNA(INDEX(DD$13:DD$68,MATCH(1,($BR604=$CV$13:$CV$68)*($BT604=$CX$13:$CX$68)*($CE604=$CY$13:$CY$68)*($BY604=$DA$13:$DA$68)*($CD604=$DH$13:$DH$68),0)),""))</f>
        <v/>
      </c>
      <c r="DN604" s="740" t="str" cm="1">
        <f t="array" ref="DN604">IF(AND($BT604=4,$BX604=4,$BU604=999),$DD$36,_xlfn.IFNA(INDEX(DE$13:DE$68,MATCH(1,($BR604=$CV$13:$CV$68)*($BT604=$CX$13:$CX$68)*($CE604=$CY$13:$CY$68)*($BY604=$DA$13:$DA$68)*($CD604=$DH$13:$DH$68),0)),""))</f>
        <v/>
      </c>
      <c r="DO604" s="58" t="str" cm="1">
        <f t="array" ref="DO604">IF(AND($BT604=4,$BX604=4,$BU604=999),$DF$36,_xlfn.IFNA(INDEX(DF$13:DF$70,MATCH(1,($BR604=$CV$13:$CV$70)*($BT604=$CX$13:$CX$70)*($CE604=$CY$13:$CY$70)*($BY604=$DA$13:$DA$70)*($CD604=$DH$13:$DH$70),0)),""))</f>
        <v/>
      </c>
      <c r="DP604" s="58" t="e">
        <f t="shared" si="959"/>
        <v>#N/A</v>
      </c>
      <c r="FT604" s="58">
        <f t="shared" si="960"/>
        <v>0</v>
      </c>
      <c r="FW604" s="58">
        <f>IF(i_baseline_risk_from=2,'Effectiveness settings'!EW604,'Effectiveness settings'!FI604)</f>
        <v>0</v>
      </c>
      <c r="FX604" s="58">
        <f t="shared" si="961"/>
        <v>0</v>
      </c>
      <c r="FY604" s="58">
        <f t="shared" si="962"/>
        <v>0</v>
      </c>
      <c r="FZ604" s="58">
        <f t="shared" si="963"/>
        <v>0</v>
      </c>
      <c r="GA604" s="58">
        <f t="shared" si="964"/>
        <v>0</v>
      </c>
      <c r="GB604" s="58">
        <f t="shared" si="965"/>
        <v>0</v>
      </c>
      <c r="GC604" s="58">
        <f t="shared" si="966"/>
        <v>0</v>
      </c>
      <c r="GD604" s="58">
        <f t="shared" si="967"/>
        <v>0</v>
      </c>
      <c r="GE604" s="58">
        <f>IF(AND(dd_CheckMate214_TTD="Yes",'Effectiveness settings'!BU604=2,'Effectiveness settings'!BX604=2),"Apply HR to",GD604)</f>
        <v>0</v>
      </c>
      <c r="GF604" s="58">
        <f t="shared" si="968"/>
        <v>0</v>
      </c>
      <c r="GG604" s="58">
        <f t="shared" si="969"/>
        <v>0</v>
      </c>
      <c r="GH604" s="58">
        <f t="shared" si="970"/>
        <v>0</v>
      </c>
      <c r="GI604" s="58">
        <f t="shared" si="957"/>
        <v>0</v>
      </c>
      <c r="GK604" s="58">
        <f>IF(i_baseline_risk_from=2,'Effectiveness settings'!FA604,'Effectiveness settings'!FM604)</f>
        <v>0</v>
      </c>
      <c r="GL604" s="58">
        <f>IF(i_baseline_risk_from=2,'Effectiveness settings'!FB604,'Effectiveness settings'!FN604)</f>
        <v>0</v>
      </c>
      <c r="GM604" s="58">
        <f>IF(i_baseline_risk_from=2,'Effectiveness settings'!FC604,'Effectiveness settings'!FO604)</f>
        <v>0</v>
      </c>
      <c r="GN604" s="58">
        <f>IF(i_baseline_risk_from=2,'Effectiveness settings'!FD604,'Effectiveness settings'!FP604)</f>
        <v>0</v>
      </c>
      <c r="GQ604" s="58">
        <f t="shared" si="971"/>
        <v>0</v>
      </c>
      <c r="GR604" s="58">
        <f t="shared" si="972"/>
        <v>0</v>
      </c>
      <c r="GS604" s="58">
        <f t="shared" si="973"/>
        <v>0</v>
      </c>
      <c r="GT604" s="58">
        <f t="shared" si="974"/>
        <v>0</v>
      </c>
      <c r="GU604" s="58">
        <f>IF(AND(dd_CheckMate214_TTD="Yes",'Effectiveness settings'!BU604=2,'Effectiveness settings'!BX604=2),2,GT604)</f>
        <v>0</v>
      </c>
      <c r="GV604" s="58">
        <f t="shared" si="975"/>
        <v>0</v>
      </c>
      <c r="GW604" s="58">
        <f t="shared" si="976"/>
        <v>0</v>
      </c>
      <c r="GY604" s="58">
        <f>IF(AND(dd_CheckMate214_TTD="Yes",'Effectiveness settings'!BU604=2,'Effectiveness settings'!BX604=2),1,GN604)</f>
        <v>0</v>
      </c>
      <c r="GZ604" s="58">
        <f t="shared" si="977"/>
        <v>0</v>
      </c>
      <c r="HB604" s="58">
        <f t="shared" si="978"/>
        <v>0</v>
      </c>
      <c r="HD604" s="58">
        <f t="shared" si="952"/>
        <v>0</v>
      </c>
      <c r="HE604" s="58">
        <f t="shared" si="953"/>
        <v>0</v>
      </c>
      <c r="HF604" s="58">
        <f t="shared" si="954"/>
        <v>0</v>
      </c>
      <c r="HG604" s="58">
        <f t="shared" si="955"/>
        <v>0</v>
      </c>
      <c r="HH604" s="58">
        <f t="shared" si="956"/>
        <v>0</v>
      </c>
    </row>
    <row r="605" spans="69:216" ht="15.75" x14ac:dyDescent="0.25">
      <c r="BQ605" s="58">
        <f t="shared" si="958"/>
        <v>350</v>
      </c>
      <c r="BR605" s="61"/>
      <c r="BS605" s="61"/>
      <c r="BT605" s="17"/>
      <c r="BU605" s="17"/>
      <c r="BV605" s="17"/>
      <c r="BW605" s="17"/>
      <c r="BX605" s="61"/>
      <c r="BY605" s="531"/>
      <c r="BZ605" s="529"/>
      <c r="CA605" s="532"/>
      <c r="CB605" s="529"/>
      <c r="CC605" s="529"/>
      <c r="CD605" s="529"/>
      <c r="CE605" s="515"/>
      <c r="CF605" s="1303"/>
      <c r="CG605" s="529"/>
      <c r="CH605" s="505"/>
      <c r="CI605" s="505"/>
      <c r="CJ605" s="505"/>
      <c r="DK605" s="58" t="str" cm="1">
        <f t="array" ref="DK605">IF(AND($BT605=4,$BX605=4,$BU605=999),$DB$36,_xlfn.IFNA(INDEX(DB$13:DB$70,MATCH(1,($BR605=$CV$13:$CV$70)*($BT605=$CX$13:$CX$70)*($CE605=$CY$13:$CY$70)*($BY605=$DA$13:$DA$70)*($CD605=$DH$13:$DH$70),0)),""))</f>
        <v/>
      </c>
      <c r="DL605" s="58" t="str" cm="1">
        <f t="array" ref="DL605">IF(AND($BT605=4,$BX605=4,$BU605=999),$DC$36,_xlfn.IFNA(INDEX(CHOOSE(DP605,DB$13:DB$70,DC$13:DC$70,DD$13:DD$70,DE$13:DE$70),MATCH(1,($BR605=$CV$13:$CV$70)*($BT605=$CX$13:$CX$70)*($CE605=$CY$13:$CY$70)*($BY605=$DA$13:$DA$70)*($CD605=$DH$13:$DH$70),0)),""))</f>
        <v/>
      </c>
      <c r="DM605" s="740" t="str" cm="1">
        <f t="array" ref="DM605">IF(AND($BT605=4,$BX605=4,$BU605=999),$DD$36,_xlfn.IFNA(INDEX(DD$13:DD$68,MATCH(1,($BR605=$CV$13:$CV$68)*($BT605=$CX$13:$CX$68)*($CE605=$CY$13:$CY$68)*($BY605=$DA$13:$DA$68)*($CD605=$DH$13:$DH$68),0)),""))</f>
        <v/>
      </c>
      <c r="DN605" s="740" t="str" cm="1">
        <f t="array" ref="DN605">IF(AND($BT605=4,$BX605=4,$BU605=999),$DD$36,_xlfn.IFNA(INDEX(DE$13:DE$68,MATCH(1,($BR605=$CV$13:$CV$68)*($BT605=$CX$13:$CX$68)*($CE605=$CY$13:$CY$68)*($BY605=$DA$13:$DA$68)*($CD605=$DH$13:$DH$68),0)),""))</f>
        <v/>
      </c>
      <c r="DO605" s="58" t="str" cm="1">
        <f t="array" ref="DO605">IF(AND($BT605=4,$BX605=4,$BU605=999),$DF$36,_xlfn.IFNA(INDEX(DF$13:DF$70,MATCH(1,($BR605=$CV$13:$CV$70)*($BT605=$CX$13:$CX$70)*($CE605=$CY$13:$CY$70)*($BY605=$DA$13:$DA$70)*($CD605=$DH$13:$DH$70),0)),""))</f>
        <v/>
      </c>
      <c r="DP605" s="58" t="e">
        <f t="shared" si="959"/>
        <v>#N/A</v>
      </c>
      <c r="FT605" s="58">
        <f t="shared" si="960"/>
        <v>0</v>
      </c>
      <c r="FW605" s="58">
        <f>IF(i_baseline_risk_from=2,'Effectiveness settings'!EW605,'Effectiveness settings'!FI605)</f>
        <v>0</v>
      </c>
      <c r="FX605" s="58">
        <f t="shared" si="961"/>
        <v>0</v>
      </c>
      <c r="FY605" s="58">
        <f t="shared" si="962"/>
        <v>0</v>
      </c>
      <c r="FZ605" s="58">
        <f t="shared" si="963"/>
        <v>0</v>
      </c>
      <c r="GA605" s="58">
        <f t="shared" si="964"/>
        <v>0</v>
      </c>
      <c r="GB605" s="58">
        <f t="shared" si="965"/>
        <v>0</v>
      </c>
      <c r="GC605" s="58">
        <f t="shared" si="966"/>
        <v>0</v>
      </c>
      <c r="GD605" s="58">
        <f t="shared" si="967"/>
        <v>0</v>
      </c>
      <c r="GE605" s="58">
        <f>IF(AND(dd_CheckMate214_TTD="Yes",'Effectiveness settings'!BU605=2,'Effectiveness settings'!BX605=2),"Apply HR to",GD605)</f>
        <v>0</v>
      </c>
      <c r="GF605" s="58">
        <f t="shared" si="968"/>
        <v>0</v>
      </c>
      <c r="GG605" s="58">
        <f t="shared" si="969"/>
        <v>0</v>
      </c>
      <c r="GH605" s="58">
        <f t="shared" si="970"/>
        <v>0</v>
      </c>
      <c r="GI605" s="58">
        <f t="shared" si="957"/>
        <v>0</v>
      </c>
      <c r="GK605" s="58">
        <f>IF(i_baseline_risk_from=2,'Effectiveness settings'!FA605,'Effectiveness settings'!FM605)</f>
        <v>0</v>
      </c>
      <c r="GL605" s="58">
        <f>IF(i_baseline_risk_from=2,'Effectiveness settings'!FB605,'Effectiveness settings'!FN605)</f>
        <v>0</v>
      </c>
      <c r="GM605" s="58">
        <f>IF(i_baseline_risk_from=2,'Effectiveness settings'!FC605,'Effectiveness settings'!FO605)</f>
        <v>0</v>
      </c>
      <c r="GN605" s="58">
        <f>IF(i_baseline_risk_from=2,'Effectiveness settings'!FD605,'Effectiveness settings'!FP605)</f>
        <v>0</v>
      </c>
      <c r="GQ605" s="58">
        <f t="shared" si="971"/>
        <v>0</v>
      </c>
      <c r="GR605" s="58">
        <f t="shared" si="972"/>
        <v>0</v>
      </c>
      <c r="GS605" s="58">
        <f t="shared" si="973"/>
        <v>0</v>
      </c>
      <c r="GT605" s="58">
        <f t="shared" si="974"/>
        <v>0</v>
      </c>
      <c r="GU605" s="58">
        <f>IF(AND(dd_CheckMate214_TTD="Yes",'Effectiveness settings'!BU605=2,'Effectiveness settings'!BX605=2),2,GT605)</f>
        <v>0</v>
      </c>
      <c r="GV605" s="58">
        <f t="shared" si="975"/>
        <v>0</v>
      </c>
      <c r="GW605" s="58">
        <f t="shared" si="976"/>
        <v>0</v>
      </c>
      <c r="GY605" s="58">
        <f>IF(AND(dd_CheckMate214_TTD="Yes",'Effectiveness settings'!BU605=2,'Effectiveness settings'!BX605=2),1,GN605)</f>
        <v>0</v>
      </c>
      <c r="GZ605" s="58">
        <f t="shared" si="977"/>
        <v>0</v>
      </c>
      <c r="HB605" s="58">
        <f t="shared" si="978"/>
        <v>0</v>
      </c>
      <c r="HD605" s="58">
        <f t="shared" si="952"/>
        <v>0</v>
      </c>
      <c r="HE605" s="58">
        <f t="shared" si="953"/>
        <v>0</v>
      </c>
      <c r="HF605" s="58">
        <f t="shared" si="954"/>
        <v>0</v>
      </c>
      <c r="HG605" s="58">
        <f t="shared" si="955"/>
        <v>0</v>
      </c>
      <c r="HH605" s="58">
        <f t="shared" si="956"/>
        <v>0</v>
      </c>
    </row>
    <row r="606" spans="69:216" ht="15.75" x14ac:dyDescent="0.25">
      <c r="BQ606" s="58">
        <f t="shared" si="958"/>
        <v>350</v>
      </c>
      <c r="BR606" s="61"/>
      <c r="BS606" s="61"/>
      <c r="BT606" s="17"/>
      <c r="BU606" s="17"/>
      <c r="BV606" s="17"/>
      <c r="BW606" s="17"/>
      <c r="BX606" s="61"/>
      <c r="BY606" s="531"/>
      <c r="BZ606" s="529"/>
      <c r="CA606" s="532"/>
      <c r="CB606" s="529"/>
      <c r="CC606" s="529"/>
      <c r="CD606" s="529"/>
      <c r="CE606" s="515"/>
      <c r="CF606" s="1303"/>
      <c r="CG606" s="529"/>
      <c r="CH606" s="505"/>
      <c r="CI606" s="505"/>
      <c r="CJ606" s="505"/>
      <c r="DK606" s="58" t="str" cm="1">
        <f t="array" ref="DK606">IF(AND($BT606=4,$BX606=4,$BU606=999),$DB$36,_xlfn.IFNA(INDEX(DB$13:DB$70,MATCH(1,($BR606=$CV$13:$CV$70)*($BT606=$CX$13:$CX$70)*($CE606=$CY$13:$CY$70)*($BY606=$DA$13:$DA$70)*($CD606=$DH$13:$DH$70),0)),""))</f>
        <v/>
      </c>
      <c r="DL606" s="58" t="str" cm="1">
        <f t="array" ref="DL606">IF(AND($BT606=4,$BX606=4,$BU606=999),$DC$36,_xlfn.IFNA(INDEX(CHOOSE(DP606,DB$13:DB$70,DC$13:DC$70,DD$13:DD$70,DE$13:DE$70),MATCH(1,($BR606=$CV$13:$CV$70)*($BT606=$CX$13:$CX$70)*($CE606=$CY$13:$CY$70)*($BY606=$DA$13:$DA$70)*($CD606=$DH$13:$DH$70),0)),""))</f>
        <v/>
      </c>
      <c r="DM606" s="740" t="str" cm="1">
        <f t="array" ref="DM606">IF(AND($BT606=4,$BX606=4,$BU606=999),$DD$36,_xlfn.IFNA(INDEX(DD$13:DD$68,MATCH(1,($BR606=$CV$13:$CV$68)*($BT606=$CX$13:$CX$68)*($CE606=$CY$13:$CY$68)*($BY606=$DA$13:$DA$68)*($CD606=$DH$13:$DH$68),0)),""))</f>
        <v/>
      </c>
      <c r="DN606" s="740" t="str" cm="1">
        <f t="array" ref="DN606">IF(AND($BT606=4,$BX606=4,$BU606=999),$DD$36,_xlfn.IFNA(INDEX(DE$13:DE$68,MATCH(1,($BR606=$CV$13:$CV$68)*($BT606=$CX$13:$CX$68)*($CE606=$CY$13:$CY$68)*($BY606=$DA$13:$DA$68)*($CD606=$DH$13:$DH$68),0)),""))</f>
        <v/>
      </c>
      <c r="DO606" s="58" t="str" cm="1">
        <f t="array" ref="DO606">IF(AND($BT606=4,$BX606=4,$BU606=999),$DF$36,_xlfn.IFNA(INDEX(DF$13:DF$70,MATCH(1,($BR606=$CV$13:$CV$70)*($BT606=$CX$13:$CX$70)*($CE606=$CY$13:$CY$70)*($BY606=$DA$13:$DA$70)*($CD606=$DH$13:$DH$70),0)),""))</f>
        <v/>
      </c>
      <c r="DP606" s="58" t="e">
        <f t="shared" si="959"/>
        <v>#N/A</v>
      </c>
      <c r="FT606" s="58">
        <f t="shared" si="960"/>
        <v>0</v>
      </c>
      <c r="FW606" s="58">
        <f>IF(i_baseline_risk_from=2,'Effectiveness settings'!EW606,'Effectiveness settings'!FI606)</f>
        <v>0</v>
      </c>
      <c r="FX606" s="58">
        <f t="shared" si="961"/>
        <v>0</v>
      </c>
      <c r="FY606" s="58">
        <f t="shared" si="962"/>
        <v>0</v>
      </c>
      <c r="FZ606" s="58">
        <f t="shared" si="963"/>
        <v>0</v>
      </c>
      <c r="GA606" s="58">
        <f t="shared" si="964"/>
        <v>0</v>
      </c>
      <c r="GB606" s="58">
        <f t="shared" si="965"/>
        <v>0</v>
      </c>
      <c r="GC606" s="58">
        <f t="shared" si="966"/>
        <v>0</v>
      </c>
      <c r="GD606" s="58">
        <f t="shared" si="967"/>
        <v>0</v>
      </c>
      <c r="GE606" s="58">
        <f>IF(AND(dd_CheckMate214_TTD="Yes",'Effectiveness settings'!BU606=2,'Effectiveness settings'!BX606=2),"Apply HR to",GD606)</f>
        <v>0</v>
      </c>
      <c r="GF606" s="58">
        <f t="shared" si="968"/>
        <v>0</v>
      </c>
      <c r="GG606" s="58">
        <f t="shared" si="969"/>
        <v>0</v>
      </c>
      <c r="GH606" s="58">
        <f t="shared" si="970"/>
        <v>0</v>
      </c>
      <c r="GI606" s="58">
        <f t="shared" si="957"/>
        <v>0</v>
      </c>
      <c r="GK606" s="58">
        <f>IF(i_baseline_risk_from=2,'Effectiveness settings'!FA606,'Effectiveness settings'!FM606)</f>
        <v>0</v>
      </c>
      <c r="GL606" s="58">
        <f>IF(i_baseline_risk_from=2,'Effectiveness settings'!FB606,'Effectiveness settings'!FN606)</f>
        <v>0</v>
      </c>
      <c r="GM606" s="58">
        <f>IF(i_baseline_risk_from=2,'Effectiveness settings'!FC606,'Effectiveness settings'!FO606)</f>
        <v>0</v>
      </c>
      <c r="GN606" s="58">
        <f>IF(i_baseline_risk_from=2,'Effectiveness settings'!FD606,'Effectiveness settings'!FP606)</f>
        <v>0</v>
      </c>
      <c r="GQ606" s="58">
        <f t="shared" si="971"/>
        <v>0</v>
      </c>
      <c r="GR606" s="58">
        <f t="shared" si="972"/>
        <v>0</v>
      </c>
      <c r="GS606" s="58">
        <f t="shared" si="973"/>
        <v>0</v>
      </c>
      <c r="GT606" s="58">
        <f t="shared" si="974"/>
        <v>0</v>
      </c>
      <c r="GU606" s="58">
        <f>IF(AND(dd_CheckMate214_TTD="Yes",'Effectiveness settings'!BU606=2,'Effectiveness settings'!BX606=2),2,GT606)</f>
        <v>0</v>
      </c>
      <c r="GV606" s="58">
        <f t="shared" si="975"/>
        <v>0</v>
      </c>
      <c r="GW606" s="58">
        <f t="shared" si="976"/>
        <v>0</v>
      </c>
      <c r="GY606" s="58">
        <f>IF(AND(dd_CheckMate214_TTD="Yes",'Effectiveness settings'!BU606=2,'Effectiveness settings'!BX606=2),1,GN606)</f>
        <v>0</v>
      </c>
      <c r="GZ606" s="58">
        <f t="shared" si="977"/>
        <v>0</v>
      </c>
      <c r="HB606" s="58">
        <f t="shared" si="978"/>
        <v>0</v>
      </c>
      <c r="HD606" s="58">
        <f t="shared" si="952"/>
        <v>0</v>
      </c>
      <c r="HE606" s="58">
        <f t="shared" si="953"/>
        <v>0</v>
      </c>
      <c r="HF606" s="58">
        <f t="shared" si="954"/>
        <v>0</v>
      </c>
      <c r="HG606" s="58">
        <f t="shared" si="955"/>
        <v>0</v>
      </c>
      <c r="HH606" s="58">
        <f t="shared" si="956"/>
        <v>0</v>
      </c>
    </row>
    <row r="607" spans="69:216" ht="15.75" x14ac:dyDescent="0.25">
      <c r="BQ607" s="58">
        <f t="shared" si="958"/>
        <v>350</v>
      </c>
      <c r="BR607" s="61"/>
      <c r="BS607" s="61"/>
      <c r="BT607" s="17"/>
      <c r="BU607" s="17"/>
      <c r="BV607" s="17"/>
      <c r="BW607" s="17"/>
      <c r="BX607" s="61"/>
      <c r="BY607" s="531"/>
      <c r="BZ607" s="529"/>
      <c r="CA607" s="532"/>
      <c r="CB607" s="529"/>
      <c r="CC607" s="529"/>
      <c r="CD607" s="529"/>
      <c r="CE607" s="515"/>
      <c r="CF607" s="1303"/>
      <c r="CG607" s="529"/>
      <c r="CH607" s="505"/>
      <c r="CI607" s="505"/>
      <c r="CJ607" s="505"/>
      <c r="DK607" s="58" t="str" cm="1">
        <f t="array" ref="DK607">IF(AND($BT607=4,$BX607=4,$BU607=999),$DB$36,_xlfn.IFNA(INDEX(DB$13:DB$70,MATCH(1,($BR607=$CV$13:$CV$70)*($BT607=$CX$13:$CX$70)*($CE607=$CY$13:$CY$70)*($BY607=$DA$13:$DA$70)*($CD607=$DH$13:$DH$70),0)),""))</f>
        <v/>
      </c>
      <c r="DL607" s="58" t="str" cm="1">
        <f t="array" ref="DL607">IF(AND($BT607=4,$BX607=4,$BU607=999),$DC$36,_xlfn.IFNA(INDEX(CHOOSE(DP607,DB$13:DB$70,DC$13:DC$70,DD$13:DD$70,DE$13:DE$70),MATCH(1,($BR607=$CV$13:$CV$70)*($BT607=$CX$13:$CX$70)*($CE607=$CY$13:$CY$70)*($BY607=$DA$13:$DA$70)*($CD607=$DH$13:$DH$70),0)),""))</f>
        <v/>
      </c>
      <c r="DM607" s="740" t="str" cm="1">
        <f t="array" ref="DM607">IF(AND($BT607=4,$BX607=4,$BU607=999),$DD$36,_xlfn.IFNA(INDEX(DD$13:DD$68,MATCH(1,($BR607=$CV$13:$CV$68)*($BT607=$CX$13:$CX$68)*($CE607=$CY$13:$CY$68)*($BY607=$DA$13:$DA$68)*($CD607=$DH$13:$DH$68),0)),""))</f>
        <v/>
      </c>
      <c r="DN607" s="740" t="str" cm="1">
        <f t="array" ref="DN607">IF(AND($BT607=4,$BX607=4,$BU607=999),$DD$36,_xlfn.IFNA(INDEX(DE$13:DE$68,MATCH(1,($BR607=$CV$13:$CV$68)*($BT607=$CX$13:$CX$68)*($CE607=$CY$13:$CY$68)*($BY607=$DA$13:$DA$68)*($CD607=$DH$13:$DH$68),0)),""))</f>
        <v/>
      </c>
      <c r="DO607" s="58" t="str" cm="1">
        <f t="array" ref="DO607">IF(AND($BT607=4,$BX607=4,$BU607=999),$DF$36,_xlfn.IFNA(INDEX(DF$13:DF$70,MATCH(1,($BR607=$CV$13:$CV$70)*($BT607=$CX$13:$CX$70)*($CE607=$CY$13:$CY$70)*($BY607=$DA$13:$DA$70)*($CD607=$DH$13:$DH$70),0)),""))</f>
        <v/>
      </c>
      <c r="DP607" s="58" t="e">
        <f t="shared" si="959"/>
        <v>#N/A</v>
      </c>
      <c r="FT607" s="58">
        <f t="shared" si="960"/>
        <v>0</v>
      </c>
      <c r="FW607" s="58">
        <f>IF(i_baseline_risk_from=2,'Effectiveness settings'!EW607,'Effectiveness settings'!FI607)</f>
        <v>0</v>
      </c>
      <c r="FX607" s="58">
        <f t="shared" si="961"/>
        <v>0</v>
      </c>
      <c r="FY607" s="58">
        <f t="shared" si="962"/>
        <v>0</v>
      </c>
      <c r="FZ607" s="58">
        <f t="shared" si="963"/>
        <v>0</v>
      </c>
      <c r="GA607" s="58">
        <f t="shared" si="964"/>
        <v>0</v>
      </c>
      <c r="GB607" s="58">
        <f t="shared" si="965"/>
        <v>0</v>
      </c>
      <c r="GC607" s="58">
        <f t="shared" si="966"/>
        <v>0</v>
      </c>
      <c r="GD607" s="58">
        <f t="shared" si="967"/>
        <v>0</v>
      </c>
      <c r="GE607" s="58">
        <f>IF(AND(dd_CheckMate214_TTD="Yes",'Effectiveness settings'!BU607=2,'Effectiveness settings'!BX607=2),"Apply HR to",GD607)</f>
        <v>0</v>
      </c>
      <c r="GF607" s="58">
        <f t="shared" si="968"/>
        <v>0</v>
      </c>
      <c r="GG607" s="58">
        <f t="shared" si="969"/>
        <v>0</v>
      </c>
      <c r="GH607" s="58">
        <f t="shared" si="970"/>
        <v>0</v>
      </c>
      <c r="GI607" s="58">
        <f t="shared" si="957"/>
        <v>0</v>
      </c>
      <c r="GK607" s="58">
        <f>IF(i_baseline_risk_from=2,'Effectiveness settings'!FA607,'Effectiveness settings'!FM607)</f>
        <v>0</v>
      </c>
      <c r="GL607" s="58">
        <f>IF(i_baseline_risk_from=2,'Effectiveness settings'!FB607,'Effectiveness settings'!FN607)</f>
        <v>0</v>
      </c>
      <c r="GM607" s="58">
        <f>IF(i_baseline_risk_from=2,'Effectiveness settings'!FC607,'Effectiveness settings'!FO607)</f>
        <v>0</v>
      </c>
      <c r="GN607" s="58">
        <f>IF(i_baseline_risk_from=2,'Effectiveness settings'!FD607,'Effectiveness settings'!FP607)</f>
        <v>0</v>
      </c>
      <c r="GQ607" s="58">
        <f t="shared" si="971"/>
        <v>0</v>
      </c>
      <c r="GR607" s="58">
        <f t="shared" si="972"/>
        <v>0</v>
      </c>
      <c r="GS607" s="58">
        <f t="shared" si="973"/>
        <v>0</v>
      </c>
      <c r="GT607" s="58">
        <f t="shared" si="974"/>
        <v>0</v>
      </c>
      <c r="GU607" s="58">
        <f>IF(AND(dd_CheckMate214_TTD="Yes",'Effectiveness settings'!BU607=2,'Effectiveness settings'!BX607=2),2,GT607)</f>
        <v>0</v>
      </c>
      <c r="GV607" s="58">
        <f t="shared" si="975"/>
        <v>0</v>
      </c>
      <c r="GW607" s="58">
        <f t="shared" si="976"/>
        <v>0</v>
      </c>
      <c r="GY607" s="58">
        <f>IF(AND(dd_CheckMate214_TTD="Yes",'Effectiveness settings'!BU607=2,'Effectiveness settings'!BX607=2),1,GN607)</f>
        <v>0</v>
      </c>
      <c r="GZ607" s="58">
        <f t="shared" si="977"/>
        <v>0</v>
      </c>
      <c r="HB607" s="58">
        <f t="shared" si="978"/>
        <v>0</v>
      </c>
      <c r="HD607" s="58">
        <f t="shared" si="952"/>
        <v>0</v>
      </c>
      <c r="HE607" s="58">
        <f t="shared" si="953"/>
        <v>0</v>
      </c>
      <c r="HF607" s="58">
        <f t="shared" si="954"/>
        <v>0</v>
      </c>
      <c r="HG607" s="58">
        <f t="shared" si="955"/>
        <v>0</v>
      </c>
      <c r="HH607" s="58">
        <f t="shared" si="956"/>
        <v>0</v>
      </c>
    </row>
    <row r="608" spans="69:216" ht="15.75" x14ac:dyDescent="0.25">
      <c r="BQ608" s="58">
        <f t="shared" si="958"/>
        <v>350</v>
      </c>
      <c r="BR608" s="61"/>
      <c r="BS608" s="61"/>
      <c r="BT608" s="17"/>
      <c r="BU608" s="17"/>
      <c r="BV608" s="17"/>
      <c r="BW608" s="17"/>
      <c r="BX608" s="61"/>
      <c r="BY608" s="531"/>
      <c r="BZ608" s="529"/>
      <c r="CA608" s="532"/>
      <c r="CB608" s="529"/>
      <c r="CC608" s="529"/>
      <c r="CD608" s="529"/>
      <c r="CE608" s="515"/>
      <c r="CF608" s="1303"/>
      <c r="CG608" s="529"/>
      <c r="CH608" s="505"/>
      <c r="CI608" s="505"/>
      <c r="CJ608" s="505"/>
      <c r="DK608" s="58" t="str" cm="1">
        <f t="array" ref="DK608">IF(AND($BT608=4,$BX608=4,$BU608=999),$DB$36,_xlfn.IFNA(INDEX(DB$13:DB$70,MATCH(1,($BR608=$CV$13:$CV$70)*($BT608=$CX$13:$CX$70)*($CE608=$CY$13:$CY$70)*($BY608=$DA$13:$DA$70)*($CD608=$DH$13:$DH$70),0)),""))</f>
        <v/>
      </c>
      <c r="DL608" s="58" t="str" cm="1">
        <f t="array" ref="DL608">IF(AND($BT608=4,$BX608=4,$BU608=999),$DC$36,_xlfn.IFNA(INDEX(CHOOSE(DP608,DB$13:DB$70,DC$13:DC$70,DD$13:DD$70,DE$13:DE$70),MATCH(1,($BR608=$CV$13:$CV$70)*($BT608=$CX$13:$CX$70)*($CE608=$CY$13:$CY$70)*($BY608=$DA$13:$DA$70)*($CD608=$DH$13:$DH$70),0)),""))</f>
        <v/>
      </c>
      <c r="DM608" s="740" t="str" cm="1">
        <f t="array" ref="DM608">IF(AND($BT608=4,$BX608=4,$BU608=999),$DD$36,_xlfn.IFNA(INDEX(DD$13:DD$68,MATCH(1,($BR608=$CV$13:$CV$68)*($BT608=$CX$13:$CX$68)*($CE608=$CY$13:$CY$68)*($BY608=$DA$13:$DA$68)*($CD608=$DH$13:$DH$68),0)),""))</f>
        <v/>
      </c>
      <c r="DN608" s="740" t="str" cm="1">
        <f t="array" ref="DN608">IF(AND($BT608=4,$BX608=4,$BU608=999),$DD$36,_xlfn.IFNA(INDEX(DE$13:DE$68,MATCH(1,($BR608=$CV$13:$CV$68)*($BT608=$CX$13:$CX$68)*($CE608=$CY$13:$CY$68)*($BY608=$DA$13:$DA$68)*($CD608=$DH$13:$DH$68),0)),""))</f>
        <v/>
      </c>
      <c r="DO608" s="58" t="str" cm="1">
        <f t="array" ref="DO608">IF(AND($BT608=4,$BX608=4,$BU608=999),$DF$36,_xlfn.IFNA(INDEX(DF$13:DF$70,MATCH(1,($BR608=$CV$13:$CV$70)*($BT608=$CX$13:$CX$70)*($CE608=$CY$13:$CY$70)*($BY608=$DA$13:$DA$70)*($CD608=$DH$13:$DH$70),0)),""))</f>
        <v/>
      </c>
      <c r="DP608" s="58" t="e">
        <f t="shared" si="959"/>
        <v>#N/A</v>
      </c>
      <c r="FT608" s="58">
        <f t="shared" si="960"/>
        <v>0</v>
      </c>
      <c r="FW608" s="58">
        <f>IF(i_baseline_risk_from=2,'Effectiveness settings'!EW608,'Effectiveness settings'!FI608)</f>
        <v>0</v>
      </c>
      <c r="FX608" s="58">
        <f t="shared" si="961"/>
        <v>0</v>
      </c>
      <c r="FY608" s="58">
        <f t="shared" si="962"/>
        <v>0</v>
      </c>
      <c r="FZ608" s="58">
        <f t="shared" si="963"/>
        <v>0</v>
      </c>
      <c r="GA608" s="58">
        <f t="shared" si="964"/>
        <v>0</v>
      </c>
      <c r="GB608" s="58">
        <f t="shared" si="965"/>
        <v>0</v>
      </c>
      <c r="GC608" s="58">
        <f t="shared" si="966"/>
        <v>0</v>
      </c>
      <c r="GD608" s="58">
        <f t="shared" si="967"/>
        <v>0</v>
      </c>
      <c r="GE608" s="58">
        <f>IF(AND(dd_CheckMate214_TTD="Yes",'Effectiveness settings'!BU608=2,'Effectiveness settings'!BX608=2),"Apply HR to",GD608)</f>
        <v>0</v>
      </c>
      <c r="GF608" s="58">
        <f t="shared" si="968"/>
        <v>0</v>
      </c>
      <c r="GG608" s="58">
        <f t="shared" si="969"/>
        <v>0</v>
      </c>
      <c r="GH608" s="58">
        <f t="shared" si="970"/>
        <v>0</v>
      </c>
      <c r="GI608" s="58">
        <f t="shared" si="957"/>
        <v>0</v>
      </c>
      <c r="GK608" s="58">
        <f>IF(i_baseline_risk_from=2,'Effectiveness settings'!FA608,'Effectiveness settings'!FM608)</f>
        <v>0</v>
      </c>
      <c r="GL608" s="58">
        <f>IF(i_baseline_risk_from=2,'Effectiveness settings'!FB608,'Effectiveness settings'!FN608)</f>
        <v>0</v>
      </c>
      <c r="GM608" s="58">
        <f>IF(i_baseline_risk_from=2,'Effectiveness settings'!FC608,'Effectiveness settings'!FO608)</f>
        <v>0</v>
      </c>
      <c r="GN608" s="58">
        <f>IF(i_baseline_risk_from=2,'Effectiveness settings'!FD608,'Effectiveness settings'!FP608)</f>
        <v>0</v>
      </c>
      <c r="GQ608" s="58">
        <f t="shared" si="971"/>
        <v>0</v>
      </c>
      <c r="GR608" s="58">
        <f t="shared" si="972"/>
        <v>0</v>
      </c>
      <c r="GS608" s="58">
        <f t="shared" si="973"/>
        <v>0</v>
      </c>
      <c r="GT608" s="58">
        <f t="shared" si="974"/>
        <v>0</v>
      </c>
      <c r="GU608" s="58">
        <f>IF(AND(dd_CheckMate214_TTD="Yes",'Effectiveness settings'!BU608=2,'Effectiveness settings'!BX608=2),2,GT608)</f>
        <v>0</v>
      </c>
      <c r="GV608" s="58">
        <f t="shared" si="975"/>
        <v>0</v>
      </c>
      <c r="GW608" s="58">
        <f t="shared" si="976"/>
        <v>0</v>
      </c>
      <c r="GY608" s="58">
        <f>IF(AND(dd_CheckMate214_TTD="Yes",'Effectiveness settings'!BU608=2,'Effectiveness settings'!BX608=2),1,GN608)</f>
        <v>0</v>
      </c>
      <c r="GZ608" s="58">
        <f t="shared" si="977"/>
        <v>0</v>
      </c>
      <c r="HB608" s="58">
        <f t="shared" si="978"/>
        <v>0</v>
      </c>
      <c r="HD608" s="58">
        <f t="shared" si="952"/>
        <v>0</v>
      </c>
      <c r="HE608" s="58">
        <f t="shared" si="953"/>
        <v>0</v>
      </c>
      <c r="HF608" s="58">
        <f t="shared" si="954"/>
        <v>0</v>
      </c>
      <c r="HG608" s="58">
        <f t="shared" si="955"/>
        <v>0</v>
      </c>
      <c r="HH608" s="58">
        <f t="shared" si="956"/>
        <v>0</v>
      </c>
    </row>
    <row r="609" spans="69:216" ht="15.75" x14ac:dyDescent="0.25">
      <c r="BQ609" s="58">
        <f t="shared" si="958"/>
        <v>350</v>
      </c>
      <c r="BR609" s="61"/>
      <c r="BS609" s="61"/>
      <c r="BT609" s="17"/>
      <c r="BU609" s="17"/>
      <c r="BV609" s="17"/>
      <c r="BW609" s="17"/>
      <c r="BX609" s="61"/>
      <c r="BY609" s="531"/>
      <c r="BZ609" s="529"/>
      <c r="CA609" s="532"/>
      <c r="CB609" s="529"/>
      <c r="CC609" s="529"/>
      <c r="CD609" s="529"/>
      <c r="CE609" s="515"/>
      <c r="CF609" s="1303"/>
      <c r="CG609" s="529"/>
      <c r="CH609" s="505"/>
      <c r="CI609" s="505"/>
      <c r="CJ609" s="505"/>
      <c r="DK609" s="58" t="str" cm="1">
        <f t="array" ref="DK609">IF(AND($BT609=4,$BX609=4,$BU609=999),$DB$36,_xlfn.IFNA(INDEX(DB$13:DB$70,MATCH(1,($BR609=$CV$13:$CV$70)*($BT609=$CX$13:$CX$70)*($CE609=$CY$13:$CY$70)*($BY609=$DA$13:$DA$70)*($CD609=$DH$13:$DH$70),0)),""))</f>
        <v/>
      </c>
      <c r="DL609" s="58" t="str" cm="1">
        <f t="array" ref="DL609">IF(AND($BT609=4,$BX609=4,$BU609=999),$DC$36,_xlfn.IFNA(INDEX(CHOOSE(DP609,DB$13:DB$70,DC$13:DC$70,DD$13:DD$70,DE$13:DE$70),MATCH(1,($BR609=$CV$13:$CV$70)*($BT609=$CX$13:$CX$70)*($CE609=$CY$13:$CY$70)*($BY609=$DA$13:$DA$70)*($CD609=$DH$13:$DH$70),0)),""))</f>
        <v/>
      </c>
      <c r="DM609" s="740" t="str" cm="1">
        <f t="array" ref="DM609">IF(AND($BT609=4,$BX609=4,$BU609=999),$DD$36,_xlfn.IFNA(INDEX(DD$13:DD$68,MATCH(1,($BR609=$CV$13:$CV$68)*($BT609=$CX$13:$CX$68)*($CE609=$CY$13:$CY$68)*($BY609=$DA$13:$DA$68)*($CD609=$DH$13:$DH$68),0)),""))</f>
        <v/>
      </c>
      <c r="DN609" s="740" t="str" cm="1">
        <f t="array" ref="DN609">IF(AND($BT609=4,$BX609=4,$BU609=999),$DD$36,_xlfn.IFNA(INDEX(DE$13:DE$68,MATCH(1,($BR609=$CV$13:$CV$68)*($BT609=$CX$13:$CX$68)*($CE609=$CY$13:$CY$68)*($BY609=$DA$13:$DA$68)*($CD609=$DH$13:$DH$68),0)),""))</f>
        <v/>
      </c>
      <c r="DO609" s="58" t="str" cm="1">
        <f t="array" ref="DO609">IF(AND($BT609=4,$BX609=4,$BU609=999),$DF$36,_xlfn.IFNA(INDEX(DF$13:DF$70,MATCH(1,($BR609=$CV$13:$CV$70)*($BT609=$CX$13:$CX$70)*($CE609=$CY$13:$CY$70)*($BY609=$DA$13:$DA$70)*($CD609=$DH$13:$DH$70),0)),""))</f>
        <v/>
      </c>
      <c r="DP609" s="58" t="e">
        <f t="shared" si="959"/>
        <v>#N/A</v>
      </c>
      <c r="FT609" s="58">
        <f t="shared" si="960"/>
        <v>0</v>
      </c>
      <c r="FW609" s="58">
        <f>IF(i_baseline_risk_from=2,'Effectiveness settings'!EW609,'Effectiveness settings'!FI609)</f>
        <v>0</v>
      </c>
      <c r="FX609" s="58">
        <f t="shared" si="961"/>
        <v>0</v>
      </c>
      <c r="FY609" s="58">
        <f t="shared" si="962"/>
        <v>0</v>
      </c>
      <c r="FZ609" s="58">
        <f t="shared" si="963"/>
        <v>0</v>
      </c>
      <c r="GA609" s="58">
        <f t="shared" si="964"/>
        <v>0</v>
      </c>
      <c r="GB609" s="58">
        <f t="shared" si="965"/>
        <v>0</v>
      </c>
      <c r="GC609" s="58">
        <f t="shared" si="966"/>
        <v>0</v>
      </c>
      <c r="GD609" s="58">
        <f t="shared" si="967"/>
        <v>0</v>
      </c>
      <c r="GE609" s="58">
        <f>IF(AND(dd_CheckMate214_TTD="Yes",'Effectiveness settings'!BU609=2,'Effectiveness settings'!BX609=2),"Apply HR to",GD609)</f>
        <v>0</v>
      </c>
      <c r="GF609" s="58">
        <f t="shared" si="968"/>
        <v>0</v>
      </c>
      <c r="GG609" s="58">
        <f t="shared" si="969"/>
        <v>0</v>
      </c>
      <c r="GH609" s="58">
        <f t="shared" si="970"/>
        <v>0</v>
      </c>
      <c r="GI609" s="58">
        <f t="shared" si="957"/>
        <v>0</v>
      </c>
      <c r="GK609" s="58">
        <f>IF(i_baseline_risk_from=2,'Effectiveness settings'!FA609,'Effectiveness settings'!FM609)</f>
        <v>0</v>
      </c>
      <c r="GL609" s="58">
        <f>IF(i_baseline_risk_from=2,'Effectiveness settings'!FB609,'Effectiveness settings'!FN609)</f>
        <v>0</v>
      </c>
      <c r="GM609" s="58">
        <f>IF(i_baseline_risk_from=2,'Effectiveness settings'!FC609,'Effectiveness settings'!FO609)</f>
        <v>0</v>
      </c>
      <c r="GN609" s="58">
        <f>IF(i_baseline_risk_from=2,'Effectiveness settings'!FD609,'Effectiveness settings'!FP609)</f>
        <v>0</v>
      </c>
      <c r="GQ609" s="58">
        <f t="shared" si="971"/>
        <v>0</v>
      </c>
      <c r="GR609" s="58">
        <f t="shared" si="972"/>
        <v>0</v>
      </c>
      <c r="GS609" s="58">
        <f t="shared" si="973"/>
        <v>0</v>
      </c>
      <c r="GT609" s="58">
        <f t="shared" si="974"/>
        <v>0</v>
      </c>
      <c r="GU609" s="58">
        <f>IF(AND(dd_CheckMate214_TTD="Yes",'Effectiveness settings'!BU609=2,'Effectiveness settings'!BX609=2),2,GT609)</f>
        <v>0</v>
      </c>
      <c r="GV609" s="58">
        <f t="shared" si="975"/>
        <v>0</v>
      </c>
      <c r="GW609" s="58">
        <f t="shared" si="976"/>
        <v>0</v>
      </c>
      <c r="GY609" s="58">
        <f>IF(AND(dd_CheckMate214_TTD="Yes",'Effectiveness settings'!BU609=2,'Effectiveness settings'!BX609=2),1,GN609)</f>
        <v>0</v>
      </c>
      <c r="GZ609" s="58">
        <f t="shared" si="977"/>
        <v>0</v>
      </c>
      <c r="HB609" s="58">
        <f t="shared" si="978"/>
        <v>0</v>
      </c>
      <c r="HD609" s="58">
        <f t="shared" si="952"/>
        <v>0</v>
      </c>
      <c r="HE609" s="58">
        <f t="shared" si="953"/>
        <v>0</v>
      </c>
      <c r="HF609" s="58">
        <f t="shared" si="954"/>
        <v>0</v>
      </c>
      <c r="HG609" s="58">
        <f t="shared" si="955"/>
        <v>0</v>
      </c>
      <c r="HH609" s="58">
        <f t="shared" si="956"/>
        <v>0</v>
      </c>
    </row>
    <row r="610" spans="69:216" ht="15.75" x14ac:dyDescent="0.25">
      <c r="BQ610" s="58">
        <f t="shared" si="958"/>
        <v>350</v>
      </c>
      <c r="BR610" s="61"/>
      <c r="BS610" s="61"/>
      <c r="BT610" s="17"/>
      <c r="BU610" s="17"/>
      <c r="BV610" s="17"/>
      <c r="BW610" s="17"/>
      <c r="BX610" s="61"/>
      <c r="BY610" s="531"/>
      <c r="BZ610" s="529"/>
      <c r="CA610" s="532"/>
      <c r="CB610" s="529"/>
      <c r="CC610" s="529"/>
      <c r="CD610" s="529"/>
      <c r="CE610" s="515"/>
      <c r="CF610" s="1303"/>
      <c r="CG610" s="529"/>
      <c r="CH610" s="505"/>
      <c r="CI610" s="505"/>
      <c r="CJ610" s="505"/>
      <c r="DK610" s="58" t="str" cm="1">
        <f t="array" ref="DK610">IF(AND($BT610=4,$BX610=4,$BU610=999),$DB$36,_xlfn.IFNA(INDEX(DB$13:DB$70,MATCH(1,($BR610=$CV$13:$CV$70)*($BT610=$CX$13:$CX$70)*($CE610=$CY$13:$CY$70)*($BY610=$DA$13:$DA$70)*($CD610=$DH$13:$DH$70),0)),""))</f>
        <v/>
      </c>
      <c r="DL610" s="58" t="str" cm="1">
        <f t="array" ref="DL610">IF(AND($BT610=4,$BX610=4,$BU610=999),$DC$36,_xlfn.IFNA(INDEX(CHOOSE(DP610,DB$13:DB$70,DC$13:DC$70,DD$13:DD$70,DE$13:DE$70),MATCH(1,($BR610=$CV$13:$CV$70)*($BT610=$CX$13:$CX$70)*($CE610=$CY$13:$CY$70)*($BY610=$DA$13:$DA$70)*($CD610=$DH$13:$DH$70),0)),""))</f>
        <v/>
      </c>
      <c r="DM610" s="740" t="str" cm="1">
        <f t="array" ref="DM610">IF(AND($BT610=4,$BX610=4,$BU610=999),$DD$36,_xlfn.IFNA(INDEX(DD$13:DD$68,MATCH(1,($BR610=$CV$13:$CV$68)*($BT610=$CX$13:$CX$68)*($CE610=$CY$13:$CY$68)*($BY610=$DA$13:$DA$68)*($CD610=$DH$13:$DH$68),0)),""))</f>
        <v/>
      </c>
      <c r="DN610" s="740" t="str" cm="1">
        <f t="array" ref="DN610">IF(AND($BT610=4,$BX610=4,$BU610=999),$DD$36,_xlfn.IFNA(INDEX(DE$13:DE$68,MATCH(1,($BR610=$CV$13:$CV$68)*($BT610=$CX$13:$CX$68)*($CE610=$CY$13:$CY$68)*($BY610=$DA$13:$DA$68)*($CD610=$DH$13:$DH$68),0)),""))</f>
        <v/>
      </c>
      <c r="DO610" s="58" t="str" cm="1">
        <f t="array" ref="DO610">IF(AND($BT610=4,$BX610=4,$BU610=999),$DF$36,_xlfn.IFNA(INDEX(DF$13:DF$70,MATCH(1,($BR610=$CV$13:$CV$70)*($BT610=$CX$13:$CX$70)*($CE610=$CY$13:$CY$70)*($BY610=$DA$13:$DA$70)*($CD610=$DH$13:$DH$70),0)),""))</f>
        <v/>
      </c>
      <c r="DP610" s="58" t="e">
        <f t="shared" si="959"/>
        <v>#N/A</v>
      </c>
      <c r="FT610" s="58">
        <f t="shared" si="960"/>
        <v>0</v>
      </c>
      <c r="FW610" s="58">
        <f>IF(i_baseline_risk_from=2,'Effectiveness settings'!EW610,'Effectiveness settings'!FI610)</f>
        <v>0</v>
      </c>
      <c r="FX610" s="58">
        <f t="shared" si="961"/>
        <v>0</v>
      </c>
      <c r="FY610" s="58">
        <f t="shared" si="962"/>
        <v>0</v>
      </c>
      <c r="FZ610" s="58">
        <f t="shared" si="963"/>
        <v>0</v>
      </c>
      <c r="GA610" s="58">
        <f t="shared" si="964"/>
        <v>0</v>
      </c>
      <c r="GB610" s="58">
        <f t="shared" si="965"/>
        <v>0</v>
      </c>
      <c r="GC610" s="58">
        <f t="shared" si="966"/>
        <v>0</v>
      </c>
      <c r="GD610" s="58">
        <f t="shared" si="967"/>
        <v>0</v>
      </c>
      <c r="GE610" s="58">
        <f>IF(AND(dd_CheckMate214_TTD="Yes",'Effectiveness settings'!BU610=2,'Effectiveness settings'!BX610=2),"Apply HR to",GD610)</f>
        <v>0</v>
      </c>
      <c r="GF610" s="58">
        <f t="shared" si="968"/>
        <v>0</v>
      </c>
      <c r="GG610" s="58">
        <f t="shared" si="969"/>
        <v>0</v>
      </c>
      <c r="GH610" s="58">
        <f t="shared" si="970"/>
        <v>0</v>
      </c>
      <c r="GI610" s="58">
        <f t="shared" si="957"/>
        <v>0</v>
      </c>
      <c r="GK610" s="58">
        <f>IF(i_baseline_risk_from=2,'Effectiveness settings'!FA610,'Effectiveness settings'!FM610)</f>
        <v>0</v>
      </c>
      <c r="GL610" s="58">
        <f>IF(i_baseline_risk_from=2,'Effectiveness settings'!FB610,'Effectiveness settings'!FN610)</f>
        <v>0</v>
      </c>
      <c r="GM610" s="58">
        <f>IF(i_baseline_risk_from=2,'Effectiveness settings'!FC610,'Effectiveness settings'!FO610)</f>
        <v>0</v>
      </c>
      <c r="GN610" s="58">
        <f>IF(i_baseline_risk_from=2,'Effectiveness settings'!FD610,'Effectiveness settings'!FP610)</f>
        <v>0</v>
      </c>
      <c r="GQ610" s="58">
        <f t="shared" si="971"/>
        <v>0</v>
      </c>
      <c r="GR610" s="58">
        <f t="shared" si="972"/>
        <v>0</v>
      </c>
      <c r="GS610" s="58">
        <f t="shared" si="973"/>
        <v>0</v>
      </c>
      <c r="GT610" s="58">
        <f t="shared" si="974"/>
        <v>0</v>
      </c>
      <c r="GU610" s="58">
        <f>IF(AND(dd_CheckMate214_TTD="Yes",'Effectiveness settings'!BU610=2,'Effectiveness settings'!BX610=2),2,GT610)</f>
        <v>0</v>
      </c>
      <c r="GV610" s="58">
        <f t="shared" si="975"/>
        <v>0</v>
      </c>
      <c r="GW610" s="58">
        <f t="shared" si="976"/>
        <v>0</v>
      </c>
      <c r="GY610" s="58">
        <f>IF(AND(dd_CheckMate214_TTD="Yes",'Effectiveness settings'!BU610=2,'Effectiveness settings'!BX610=2),1,GN610)</f>
        <v>0</v>
      </c>
      <c r="GZ610" s="58">
        <f t="shared" si="977"/>
        <v>0</v>
      </c>
      <c r="HB610" s="58">
        <f t="shared" si="978"/>
        <v>0</v>
      </c>
      <c r="HD610" s="58">
        <f t="shared" si="952"/>
        <v>0</v>
      </c>
      <c r="HE610" s="58">
        <f t="shared" si="953"/>
        <v>0</v>
      </c>
      <c r="HF610" s="58">
        <f t="shared" si="954"/>
        <v>0</v>
      </c>
      <c r="HG610" s="58">
        <f t="shared" si="955"/>
        <v>0</v>
      </c>
      <c r="HH610" s="58">
        <f t="shared" si="956"/>
        <v>0</v>
      </c>
    </row>
    <row r="611" spans="69:216" ht="15.75" x14ac:dyDescent="0.25">
      <c r="BQ611" s="58">
        <f t="shared" si="958"/>
        <v>350</v>
      </c>
      <c r="BR611" s="61"/>
      <c r="BS611" s="61"/>
      <c r="BT611" s="17"/>
      <c r="BU611" s="17"/>
      <c r="BV611" s="17"/>
      <c r="BW611" s="17"/>
      <c r="BX611" s="61"/>
      <c r="BY611" s="531"/>
      <c r="BZ611" s="529"/>
      <c r="CA611" s="532"/>
      <c r="CB611" s="529"/>
      <c r="CC611" s="529"/>
      <c r="CD611" s="529"/>
      <c r="CE611" s="515"/>
      <c r="CF611" s="1303"/>
      <c r="CG611" s="529"/>
      <c r="CH611" s="505"/>
      <c r="CI611" s="505"/>
      <c r="CJ611" s="505"/>
      <c r="DK611" s="58" t="str" cm="1">
        <f t="array" ref="DK611">IF(AND($BT611=4,$BX611=4,$BU611=999),$DB$36,_xlfn.IFNA(INDEX(DB$13:DB$70,MATCH(1,($BR611=$CV$13:$CV$70)*($BT611=$CX$13:$CX$70)*($CE611=$CY$13:$CY$70)*($BY611=$DA$13:$DA$70)*($CD611=$DH$13:$DH$70),0)),""))</f>
        <v/>
      </c>
      <c r="DL611" s="58" t="str" cm="1">
        <f t="array" ref="DL611">IF(AND($BT611=4,$BX611=4,$BU611=999),$DC$36,_xlfn.IFNA(INDEX(CHOOSE(DP611,DB$13:DB$70,DC$13:DC$70,DD$13:DD$70,DE$13:DE$70),MATCH(1,($BR611=$CV$13:$CV$70)*($BT611=$CX$13:$CX$70)*($CE611=$CY$13:$CY$70)*($BY611=$DA$13:$DA$70)*($CD611=$DH$13:$DH$70),0)),""))</f>
        <v/>
      </c>
      <c r="DM611" s="740" t="str" cm="1">
        <f t="array" ref="DM611">IF(AND($BT611=4,$BX611=4,$BU611=999),$DD$36,_xlfn.IFNA(INDEX(DD$13:DD$68,MATCH(1,($BR611=$CV$13:$CV$68)*($BT611=$CX$13:$CX$68)*($CE611=$CY$13:$CY$68)*($BY611=$DA$13:$DA$68)*($CD611=$DH$13:$DH$68),0)),""))</f>
        <v/>
      </c>
      <c r="DN611" s="740" t="str" cm="1">
        <f t="array" ref="DN611">IF(AND($BT611=4,$BX611=4,$BU611=999),$DD$36,_xlfn.IFNA(INDEX(DE$13:DE$68,MATCH(1,($BR611=$CV$13:$CV$68)*($BT611=$CX$13:$CX$68)*($CE611=$CY$13:$CY$68)*($BY611=$DA$13:$DA$68)*($CD611=$DH$13:$DH$68),0)),""))</f>
        <v/>
      </c>
      <c r="DO611" s="58" t="str" cm="1">
        <f t="array" ref="DO611">IF(AND($BT611=4,$BX611=4,$BU611=999),$DF$36,_xlfn.IFNA(INDEX(DF$13:DF$70,MATCH(1,($BR611=$CV$13:$CV$70)*($BT611=$CX$13:$CX$70)*($CE611=$CY$13:$CY$70)*($BY611=$DA$13:$DA$70)*($CD611=$DH$13:$DH$70),0)),""))</f>
        <v/>
      </c>
      <c r="DP611" s="58" t="e">
        <f t="shared" si="959"/>
        <v>#N/A</v>
      </c>
      <c r="FT611" s="58">
        <f t="shared" si="960"/>
        <v>0</v>
      </c>
      <c r="FW611" s="58">
        <f>IF(i_baseline_risk_from=2,'Effectiveness settings'!EW611,'Effectiveness settings'!FI611)</f>
        <v>0</v>
      </c>
      <c r="FX611" s="58">
        <f t="shared" si="961"/>
        <v>0</v>
      </c>
      <c r="FY611" s="58">
        <f t="shared" si="962"/>
        <v>0</v>
      </c>
      <c r="FZ611" s="58">
        <f t="shared" si="963"/>
        <v>0</v>
      </c>
      <c r="GA611" s="58">
        <f t="shared" si="964"/>
        <v>0</v>
      </c>
      <c r="GB611" s="58">
        <f t="shared" si="965"/>
        <v>0</v>
      </c>
      <c r="GC611" s="58">
        <f t="shared" si="966"/>
        <v>0</v>
      </c>
      <c r="GD611" s="58">
        <f t="shared" si="967"/>
        <v>0</v>
      </c>
      <c r="GE611" s="58">
        <f>IF(AND(dd_CheckMate214_TTD="Yes",'Effectiveness settings'!BU611=2,'Effectiveness settings'!BX611=2),"Apply HR to",GD611)</f>
        <v>0</v>
      </c>
      <c r="GF611" s="58">
        <f t="shared" si="968"/>
        <v>0</v>
      </c>
      <c r="GG611" s="58">
        <f t="shared" si="969"/>
        <v>0</v>
      </c>
      <c r="GH611" s="58">
        <f t="shared" si="970"/>
        <v>0</v>
      </c>
      <c r="GI611" s="58">
        <f t="shared" si="957"/>
        <v>0</v>
      </c>
      <c r="GK611" s="58">
        <f>IF(i_baseline_risk_from=2,'Effectiveness settings'!FA611,'Effectiveness settings'!FM611)</f>
        <v>0</v>
      </c>
      <c r="GL611" s="58">
        <f>IF(i_baseline_risk_from=2,'Effectiveness settings'!FB611,'Effectiveness settings'!FN611)</f>
        <v>0</v>
      </c>
      <c r="GM611" s="58">
        <f>IF(i_baseline_risk_from=2,'Effectiveness settings'!FC611,'Effectiveness settings'!FO611)</f>
        <v>0</v>
      </c>
      <c r="GN611" s="58">
        <f>IF(i_baseline_risk_from=2,'Effectiveness settings'!FD611,'Effectiveness settings'!FP611)</f>
        <v>0</v>
      </c>
      <c r="GQ611" s="58">
        <f t="shared" si="971"/>
        <v>0</v>
      </c>
      <c r="GR611" s="58">
        <f t="shared" si="972"/>
        <v>0</v>
      </c>
      <c r="GS611" s="58">
        <f t="shared" si="973"/>
        <v>0</v>
      </c>
      <c r="GT611" s="58">
        <f t="shared" si="974"/>
        <v>0</v>
      </c>
      <c r="GU611" s="58">
        <f>IF(AND(dd_CheckMate214_TTD="Yes",'Effectiveness settings'!BU611=2,'Effectiveness settings'!BX611=2),2,GT611)</f>
        <v>0</v>
      </c>
      <c r="GV611" s="58">
        <f t="shared" si="975"/>
        <v>0</v>
      </c>
      <c r="GW611" s="58">
        <f t="shared" si="976"/>
        <v>0</v>
      </c>
      <c r="GY611" s="58">
        <f>IF(AND(dd_CheckMate214_TTD="Yes",'Effectiveness settings'!BU611=2,'Effectiveness settings'!BX611=2),1,GN611)</f>
        <v>0</v>
      </c>
      <c r="GZ611" s="58">
        <f t="shared" si="977"/>
        <v>0</v>
      </c>
      <c r="HB611" s="58">
        <f t="shared" si="978"/>
        <v>0</v>
      </c>
      <c r="HD611" s="58">
        <f t="shared" si="952"/>
        <v>0</v>
      </c>
      <c r="HE611" s="58">
        <f t="shared" si="953"/>
        <v>0</v>
      </c>
      <c r="HF611" s="58">
        <f t="shared" si="954"/>
        <v>0</v>
      </c>
      <c r="HG611" s="58">
        <f t="shared" si="955"/>
        <v>0</v>
      </c>
      <c r="HH611" s="58">
        <f t="shared" si="956"/>
        <v>0</v>
      </c>
    </row>
    <row r="612" spans="69:216" ht="15.75" x14ac:dyDescent="0.25">
      <c r="BQ612" s="58">
        <f t="shared" si="958"/>
        <v>350</v>
      </c>
      <c r="BR612" s="61"/>
      <c r="BS612" s="61"/>
      <c r="BT612" s="17"/>
      <c r="BU612" s="17"/>
      <c r="BV612" s="17"/>
      <c r="BW612" s="17"/>
      <c r="BX612" s="61"/>
      <c r="BY612" s="531"/>
      <c r="BZ612" s="529"/>
      <c r="CA612" s="532"/>
      <c r="CB612" s="529"/>
      <c r="CC612" s="529"/>
      <c r="CD612" s="529"/>
      <c r="CE612" s="515"/>
      <c r="CF612" s="1303"/>
      <c r="CG612" s="529"/>
      <c r="CH612" s="505"/>
      <c r="CI612" s="505"/>
      <c r="CJ612" s="505"/>
      <c r="DK612" s="58" t="str" cm="1">
        <f t="array" ref="DK612">IF(AND($BT612=4,$BX612=4,$BU612=999),$DB$36,_xlfn.IFNA(INDEX(DB$13:DB$70,MATCH(1,($BR612=$CV$13:$CV$70)*($BT612=$CX$13:$CX$70)*($CE612=$CY$13:$CY$70)*($BY612=$DA$13:$DA$70)*($CD612=$DH$13:$DH$70),0)),""))</f>
        <v/>
      </c>
      <c r="DL612" s="58" t="str" cm="1">
        <f t="array" ref="DL612">IF(AND($BT612=4,$BX612=4,$BU612=999),$DC$36,_xlfn.IFNA(INDEX(CHOOSE(DP612,DB$13:DB$70,DC$13:DC$70,DD$13:DD$70,DE$13:DE$70),MATCH(1,($BR612=$CV$13:$CV$70)*($BT612=$CX$13:$CX$70)*($CE612=$CY$13:$CY$70)*($BY612=$DA$13:$DA$70)*($CD612=$DH$13:$DH$70),0)),""))</f>
        <v/>
      </c>
      <c r="DM612" s="740" t="str" cm="1">
        <f t="array" ref="DM612">IF(AND($BT612=4,$BX612=4,$BU612=999),$DD$36,_xlfn.IFNA(INDEX(DD$13:DD$68,MATCH(1,($BR612=$CV$13:$CV$68)*($BT612=$CX$13:$CX$68)*($CE612=$CY$13:$CY$68)*($BY612=$DA$13:$DA$68)*($CD612=$DH$13:$DH$68),0)),""))</f>
        <v/>
      </c>
      <c r="DN612" s="740" t="str" cm="1">
        <f t="array" ref="DN612">IF(AND($BT612=4,$BX612=4,$BU612=999),$DD$36,_xlfn.IFNA(INDEX(DE$13:DE$68,MATCH(1,($BR612=$CV$13:$CV$68)*($BT612=$CX$13:$CX$68)*($CE612=$CY$13:$CY$68)*($BY612=$DA$13:$DA$68)*($CD612=$DH$13:$DH$68),0)),""))</f>
        <v/>
      </c>
      <c r="DO612" s="58" t="str" cm="1">
        <f t="array" ref="DO612">IF(AND($BT612=4,$BX612=4,$BU612=999),$DF$36,_xlfn.IFNA(INDEX(DF$13:DF$70,MATCH(1,($BR612=$CV$13:$CV$70)*($BT612=$CX$13:$CX$70)*($CE612=$CY$13:$CY$70)*($BY612=$DA$13:$DA$70)*($CD612=$DH$13:$DH$70),0)),""))</f>
        <v/>
      </c>
      <c r="DP612" s="58" t="e">
        <f t="shared" si="959"/>
        <v>#N/A</v>
      </c>
      <c r="FT612" s="58">
        <f t="shared" si="960"/>
        <v>0</v>
      </c>
      <c r="FW612" s="58">
        <f>IF(i_baseline_risk_from=2,'Effectiveness settings'!EW612,'Effectiveness settings'!FI612)</f>
        <v>0</v>
      </c>
      <c r="FX612" s="58">
        <f t="shared" si="961"/>
        <v>0</v>
      </c>
      <c r="FY612" s="58">
        <f t="shared" si="962"/>
        <v>0</v>
      </c>
      <c r="FZ612" s="58">
        <f t="shared" si="963"/>
        <v>0</v>
      </c>
      <c r="GA612" s="58">
        <f t="shared" si="964"/>
        <v>0</v>
      </c>
      <c r="GB612" s="58">
        <f t="shared" si="965"/>
        <v>0</v>
      </c>
      <c r="GC612" s="58">
        <f t="shared" si="966"/>
        <v>0</v>
      </c>
      <c r="GD612" s="58">
        <f t="shared" si="967"/>
        <v>0</v>
      </c>
      <c r="GE612" s="58">
        <f>IF(AND(dd_CheckMate214_TTD="Yes",'Effectiveness settings'!BU612=2,'Effectiveness settings'!BX612=2),"Apply HR to",GD612)</f>
        <v>0</v>
      </c>
      <c r="GF612" s="58">
        <f t="shared" si="968"/>
        <v>0</v>
      </c>
      <c r="GG612" s="58">
        <f t="shared" si="969"/>
        <v>0</v>
      </c>
      <c r="GH612" s="58">
        <f t="shared" si="970"/>
        <v>0</v>
      </c>
      <c r="GI612" s="58">
        <f t="shared" si="957"/>
        <v>0</v>
      </c>
      <c r="GK612" s="58">
        <f>IF(i_baseline_risk_from=2,'Effectiveness settings'!FA612,'Effectiveness settings'!FM612)</f>
        <v>0</v>
      </c>
      <c r="GL612" s="58">
        <f>IF(i_baseline_risk_from=2,'Effectiveness settings'!FB612,'Effectiveness settings'!FN612)</f>
        <v>0</v>
      </c>
      <c r="GM612" s="58">
        <f>IF(i_baseline_risk_from=2,'Effectiveness settings'!FC612,'Effectiveness settings'!FO612)</f>
        <v>0</v>
      </c>
      <c r="GN612" s="58">
        <f>IF(i_baseline_risk_from=2,'Effectiveness settings'!FD612,'Effectiveness settings'!FP612)</f>
        <v>0</v>
      </c>
      <c r="GQ612" s="58">
        <f t="shared" si="971"/>
        <v>0</v>
      </c>
      <c r="GR612" s="58">
        <f t="shared" si="972"/>
        <v>0</v>
      </c>
      <c r="GS612" s="58">
        <f t="shared" si="973"/>
        <v>0</v>
      </c>
      <c r="GT612" s="58">
        <f t="shared" si="974"/>
        <v>0</v>
      </c>
      <c r="GU612" s="58">
        <f>IF(AND(dd_CheckMate214_TTD="Yes",'Effectiveness settings'!BU612=2,'Effectiveness settings'!BX612=2),2,GT612)</f>
        <v>0</v>
      </c>
      <c r="GV612" s="58">
        <f t="shared" si="975"/>
        <v>0</v>
      </c>
      <c r="GW612" s="58">
        <f t="shared" si="976"/>
        <v>0</v>
      </c>
      <c r="GY612" s="58">
        <f>IF(AND(dd_CheckMate214_TTD="Yes",'Effectiveness settings'!BU612=2,'Effectiveness settings'!BX612=2),1,GN612)</f>
        <v>0</v>
      </c>
      <c r="GZ612" s="58">
        <f t="shared" si="977"/>
        <v>0</v>
      </c>
      <c r="HB612" s="58">
        <f t="shared" si="978"/>
        <v>0</v>
      </c>
      <c r="HD612" s="58">
        <f t="shared" si="952"/>
        <v>0</v>
      </c>
      <c r="HE612" s="58">
        <f t="shared" si="953"/>
        <v>0</v>
      </c>
      <c r="HF612" s="58">
        <f t="shared" si="954"/>
        <v>0</v>
      </c>
      <c r="HG612" s="58">
        <f t="shared" si="955"/>
        <v>0</v>
      </c>
      <c r="HH612" s="58">
        <f t="shared" si="956"/>
        <v>0</v>
      </c>
    </row>
    <row r="613" spans="69:216" ht="15.75" x14ac:dyDescent="0.25">
      <c r="BQ613" s="58">
        <f t="shared" si="958"/>
        <v>350</v>
      </c>
      <c r="BR613" s="61"/>
      <c r="BS613" s="61"/>
      <c r="BT613" s="17"/>
      <c r="BU613" s="17"/>
      <c r="BV613" s="17"/>
      <c r="BW613" s="17"/>
      <c r="BX613" s="61"/>
      <c r="BY613" s="531"/>
      <c r="BZ613" s="529"/>
      <c r="CA613" s="532"/>
      <c r="CB613" s="529"/>
      <c r="CC613" s="529"/>
      <c r="CD613" s="529"/>
      <c r="CE613" s="515"/>
      <c r="CF613" s="1303"/>
      <c r="CG613" s="529"/>
      <c r="CH613" s="505"/>
      <c r="CI613" s="505"/>
      <c r="CJ613" s="505"/>
      <c r="DK613" s="58" t="str" cm="1">
        <f t="array" ref="DK613">IF(AND($BT613=4,$BX613=4,$BU613=999),$DB$36,_xlfn.IFNA(INDEX(DB$13:DB$70,MATCH(1,($BR613=$CV$13:$CV$70)*($BT613=$CX$13:$CX$70)*($CE613=$CY$13:$CY$70)*($BY613=$DA$13:$DA$70)*($CD613=$DH$13:$DH$70),0)),""))</f>
        <v/>
      </c>
      <c r="DL613" s="58" t="str" cm="1">
        <f t="array" ref="DL613">IF(AND($BT613=4,$BX613=4,$BU613=999),$DC$36,_xlfn.IFNA(INDEX(CHOOSE(DP613,DB$13:DB$70,DC$13:DC$70,DD$13:DD$70,DE$13:DE$70),MATCH(1,($BR613=$CV$13:$CV$70)*($BT613=$CX$13:$CX$70)*($CE613=$CY$13:$CY$70)*($BY613=$DA$13:$DA$70)*($CD613=$DH$13:$DH$70),0)),""))</f>
        <v/>
      </c>
      <c r="DM613" s="740" t="str" cm="1">
        <f t="array" ref="DM613">IF(AND($BT613=4,$BX613=4,$BU613=999),$DD$36,_xlfn.IFNA(INDEX(DD$13:DD$68,MATCH(1,($BR613=$CV$13:$CV$68)*($BT613=$CX$13:$CX$68)*($CE613=$CY$13:$CY$68)*($BY613=$DA$13:$DA$68)*($CD613=$DH$13:$DH$68),0)),""))</f>
        <v/>
      </c>
      <c r="DN613" s="740" t="str" cm="1">
        <f t="array" ref="DN613">IF(AND($BT613=4,$BX613=4,$BU613=999),$DD$36,_xlfn.IFNA(INDEX(DE$13:DE$68,MATCH(1,($BR613=$CV$13:$CV$68)*($BT613=$CX$13:$CX$68)*($CE613=$CY$13:$CY$68)*($BY613=$DA$13:$DA$68)*($CD613=$DH$13:$DH$68),0)),""))</f>
        <v/>
      </c>
      <c r="DO613" s="58" t="str" cm="1">
        <f t="array" ref="DO613">IF(AND($BT613=4,$BX613=4,$BU613=999),$DF$36,_xlfn.IFNA(INDEX(DF$13:DF$70,MATCH(1,($BR613=$CV$13:$CV$70)*($BT613=$CX$13:$CX$70)*($CE613=$CY$13:$CY$70)*($BY613=$DA$13:$DA$70)*($CD613=$DH$13:$DH$70),0)),""))</f>
        <v/>
      </c>
      <c r="DP613" s="58" t="e">
        <f t="shared" si="959"/>
        <v>#N/A</v>
      </c>
      <c r="FT613" s="58">
        <f t="shared" si="960"/>
        <v>0</v>
      </c>
      <c r="FW613" s="58">
        <f>IF(i_baseline_risk_from=2,'Effectiveness settings'!EW613,'Effectiveness settings'!FI613)</f>
        <v>0</v>
      </c>
      <c r="FX613" s="58">
        <f t="shared" si="961"/>
        <v>0</v>
      </c>
      <c r="FY613" s="58">
        <f t="shared" si="962"/>
        <v>0</v>
      </c>
      <c r="FZ613" s="58">
        <f t="shared" si="963"/>
        <v>0</v>
      </c>
      <c r="GA613" s="58">
        <f t="shared" si="964"/>
        <v>0</v>
      </c>
      <c r="GB613" s="58">
        <f t="shared" si="965"/>
        <v>0</v>
      </c>
      <c r="GC613" s="58">
        <f t="shared" si="966"/>
        <v>0</v>
      </c>
      <c r="GD613" s="58">
        <f t="shared" si="967"/>
        <v>0</v>
      </c>
      <c r="GE613" s="58">
        <f>IF(AND(dd_CheckMate214_TTD="Yes",'Effectiveness settings'!BU613=2,'Effectiveness settings'!BX613=2),"Apply HR to",GD613)</f>
        <v>0</v>
      </c>
      <c r="GF613" s="58">
        <f t="shared" si="968"/>
        <v>0</v>
      </c>
      <c r="GG613" s="58">
        <f t="shared" si="969"/>
        <v>0</v>
      </c>
      <c r="GH613" s="58">
        <f t="shared" si="970"/>
        <v>0</v>
      </c>
      <c r="GI613" s="58">
        <f t="shared" si="957"/>
        <v>0</v>
      </c>
      <c r="GK613" s="58">
        <f>IF(i_baseline_risk_from=2,'Effectiveness settings'!FA613,'Effectiveness settings'!FM613)</f>
        <v>0</v>
      </c>
      <c r="GL613" s="58">
        <f>IF(i_baseline_risk_from=2,'Effectiveness settings'!FB613,'Effectiveness settings'!FN613)</f>
        <v>0</v>
      </c>
      <c r="GM613" s="58">
        <f>IF(i_baseline_risk_from=2,'Effectiveness settings'!FC613,'Effectiveness settings'!FO613)</f>
        <v>0</v>
      </c>
      <c r="GN613" s="58">
        <f>IF(i_baseline_risk_from=2,'Effectiveness settings'!FD613,'Effectiveness settings'!FP613)</f>
        <v>0</v>
      </c>
      <c r="GQ613" s="58">
        <f t="shared" si="971"/>
        <v>0</v>
      </c>
      <c r="GR613" s="58">
        <f t="shared" si="972"/>
        <v>0</v>
      </c>
      <c r="GS613" s="58">
        <f t="shared" si="973"/>
        <v>0</v>
      </c>
      <c r="GT613" s="58">
        <f t="shared" si="974"/>
        <v>0</v>
      </c>
      <c r="GU613" s="58">
        <f>IF(AND(dd_CheckMate214_TTD="Yes",'Effectiveness settings'!BU613=2,'Effectiveness settings'!BX613=2),2,GT613)</f>
        <v>0</v>
      </c>
      <c r="GV613" s="58">
        <f t="shared" si="975"/>
        <v>0</v>
      </c>
      <c r="GW613" s="58">
        <f t="shared" si="976"/>
        <v>0</v>
      </c>
      <c r="GY613" s="58">
        <f>IF(AND(dd_CheckMate214_TTD="Yes",'Effectiveness settings'!BU613=2,'Effectiveness settings'!BX613=2),1,GN613)</f>
        <v>0</v>
      </c>
      <c r="GZ613" s="58">
        <f t="shared" si="977"/>
        <v>0</v>
      </c>
      <c r="HB613" s="58">
        <f t="shared" si="978"/>
        <v>0</v>
      </c>
      <c r="HD613" s="58">
        <f t="shared" si="952"/>
        <v>0</v>
      </c>
      <c r="HE613" s="58">
        <f t="shared" si="953"/>
        <v>0</v>
      </c>
      <c r="HF613" s="58">
        <f t="shared" si="954"/>
        <v>0</v>
      </c>
      <c r="HG613" s="58">
        <f t="shared" si="955"/>
        <v>0</v>
      </c>
      <c r="HH613" s="58">
        <f t="shared" si="956"/>
        <v>0</v>
      </c>
    </row>
    <row r="614" spans="69:216" ht="15.75" x14ac:dyDescent="0.25">
      <c r="BQ614" s="58">
        <f t="shared" si="958"/>
        <v>350</v>
      </c>
      <c r="BR614" s="61"/>
      <c r="BS614" s="61"/>
      <c r="BT614" s="17"/>
      <c r="BU614" s="17"/>
      <c r="BV614" s="17"/>
      <c r="BW614" s="17"/>
      <c r="BX614" s="61"/>
      <c r="BY614" s="531"/>
      <c r="BZ614" s="529"/>
      <c r="CA614" s="532"/>
      <c r="CB614" s="529"/>
      <c r="CC614" s="529"/>
      <c r="CD614" s="529"/>
      <c r="CE614" s="515"/>
      <c r="CF614" s="1303"/>
      <c r="CG614" s="529"/>
      <c r="CH614" s="505"/>
      <c r="CI614" s="505"/>
      <c r="CJ614" s="505"/>
      <c r="DK614" s="58" t="str" cm="1">
        <f t="array" ref="DK614">IF(AND($BT614=4,$BX614=4,$BU614=999),$DB$36,_xlfn.IFNA(INDEX(DB$13:DB$70,MATCH(1,($BR614=$CV$13:$CV$70)*($BT614=$CX$13:$CX$70)*($CE614=$CY$13:$CY$70)*($BY614=$DA$13:$DA$70)*($CD614=$DH$13:$DH$70),0)),""))</f>
        <v/>
      </c>
      <c r="DL614" s="58" t="str" cm="1">
        <f t="array" ref="DL614">IF(AND($BT614=4,$BX614=4,$BU614=999),$DC$36,_xlfn.IFNA(INDEX(CHOOSE(DP614,DB$13:DB$70,DC$13:DC$70,DD$13:DD$70,DE$13:DE$70),MATCH(1,($BR614=$CV$13:$CV$70)*($BT614=$CX$13:$CX$70)*($CE614=$CY$13:$CY$70)*($BY614=$DA$13:$DA$70)*($CD614=$DH$13:$DH$70),0)),""))</f>
        <v/>
      </c>
      <c r="DM614" s="740" t="str" cm="1">
        <f t="array" ref="DM614">IF(AND($BT614=4,$BX614=4,$BU614=999),$DD$36,_xlfn.IFNA(INDEX(DD$13:DD$68,MATCH(1,($BR614=$CV$13:$CV$68)*($BT614=$CX$13:$CX$68)*($CE614=$CY$13:$CY$68)*($BY614=$DA$13:$DA$68)*($CD614=$DH$13:$DH$68),0)),""))</f>
        <v/>
      </c>
      <c r="DN614" s="740" t="str" cm="1">
        <f t="array" ref="DN614">IF(AND($BT614=4,$BX614=4,$BU614=999),$DD$36,_xlfn.IFNA(INDEX(DE$13:DE$68,MATCH(1,($BR614=$CV$13:$CV$68)*($BT614=$CX$13:$CX$68)*($CE614=$CY$13:$CY$68)*($BY614=$DA$13:$DA$68)*($CD614=$DH$13:$DH$68),0)),""))</f>
        <v/>
      </c>
      <c r="DO614" s="58" t="str" cm="1">
        <f t="array" ref="DO614">IF(AND($BT614=4,$BX614=4,$BU614=999),$DF$36,_xlfn.IFNA(INDEX(DF$13:DF$70,MATCH(1,($BR614=$CV$13:$CV$70)*($BT614=$CX$13:$CX$70)*($CE614=$CY$13:$CY$70)*($BY614=$DA$13:$DA$70)*($CD614=$DH$13:$DH$70),0)),""))</f>
        <v/>
      </c>
      <c r="DP614" s="58" t="e">
        <f t="shared" si="959"/>
        <v>#N/A</v>
      </c>
      <c r="FT614" s="58">
        <f t="shared" si="960"/>
        <v>0</v>
      </c>
      <c r="FW614" s="58">
        <f>IF(i_baseline_risk_from=2,'Effectiveness settings'!EW614,'Effectiveness settings'!FI614)</f>
        <v>0</v>
      </c>
      <c r="FX614" s="58">
        <f t="shared" si="961"/>
        <v>0</v>
      </c>
      <c r="FY614" s="58">
        <f t="shared" si="962"/>
        <v>0</v>
      </c>
      <c r="FZ614" s="58">
        <f t="shared" si="963"/>
        <v>0</v>
      </c>
      <c r="GA614" s="58">
        <f t="shared" si="964"/>
        <v>0</v>
      </c>
      <c r="GB614" s="58">
        <f t="shared" si="965"/>
        <v>0</v>
      </c>
      <c r="GC614" s="58">
        <f t="shared" si="966"/>
        <v>0</v>
      </c>
      <c r="GD614" s="58">
        <f t="shared" si="967"/>
        <v>0</v>
      </c>
      <c r="GE614" s="58">
        <f>IF(AND(dd_CheckMate214_TTD="Yes",'Effectiveness settings'!BU614=2,'Effectiveness settings'!BX614=2),"Apply HR to",GD614)</f>
        <v>0</v>
      </c>
      <c r="GF614" s="58">
        <f t="shared" si="968"/>
        <v>0</v>
      </c>
      <c r="GG614" s="58">
        <f t="shared" si="969"/>
        <v>0</v>
      </c>
      <c r="GH614" s="58">
        <f t="shared" si="970"/>
        <v>0</v>
      </c>
      <c r="GI614" s="58">
        <f t="shared" si="957"/>
        <v>0</v>
      </c>
      <c r="GK614" s="58">
        <f>IF(i_baseline_risk_from=2,'Effectiveness settings'!FA614,'Effectiveness settings'!FM614)</f>
        <v>0</v>
      </c>
      <c r="GL614" s="58">
        <f>IF(i_baseline_risk_from=2,'Effectiveness settings'!FB614,'Effectiveness settings'!FN614)</f>
        <v>0</v>
      </c>
      <c r="GM614" s="58">
        <f>IF(i_baseline_risk_from=2,'Effectiveness settings'!FC614,'Effectiveness settings'!FO614)</f>
        <v>0</v>
      </c>
      <c r="GN614" s="58">
        <f>IF(i_baseline_risk_from=2,'Effectiveness settings'!FD614,'Effectiveness settings'!FP614)</f>
        <v>0</v>
      </c>
      <c r="GQ614" s="58">
        <f t="shared" si="971"/>
        <v>0</v>
      </c>
      <c r="GR614" s="58">
        <f t="shared" si="972"/>
        <v>0</v>
      </c>
      <c r="GS614" s="58">
        <f t="shared" si="973"/>
        <v>0</v>
      </c>
      <c r="GT614" s="58">
        <f t="shared" si="974"/>
        <v>0</v>
      </c>
      <c r="GU614" s="58">
        <f>IF(AND(dd_CheckMate214_TTD="Yes",'Effectiveness settings'!BU614=2,'Effectiveness settings'!BX614=2),2,GT614)</f>
        <v>0</v>
      </c>
      <c r="GV614" s="58">
        <f t="shared" si="975"/>
        <v>0</v>
      </c>
      <c r="GW614" s="58">
        <f t="shared" si="976"/>
        <v>0</v>
      </c>
      <c r="GY614" s="58">
        <f>IF(AND(dd_CheckMate214_TTD="Yes",'Effectiveness settings'!BU614=2,'Effectiveness settings'!BX614=2),1,GN614)</f>
        <v>0</v>
      </c>
      <c r="GZ614" s="58">
        <f t="shared" si="977"/>
        <v>0</v>
      </c>
      <c r="HB614" s="58">
        <f t="shared" si="978"/>
        <v>0</v>
      </c>
      <c r="HD614" s="58">
        <f t="shared" si="952"/>
        <v>0</v>
      </c>
      <c r="HE614" s="58">
        <f t="shared" si="953"/>
        <v>0</v>
      </c>
      <c r="HF614" s="58">
        <f t="shared" si="954"/>
        <v>0</v>
      </c>
      <c r="HG614" s="58">
        <f t="shared" si="955"/>
        <v>0</v>
      </c>
      <c r="HH614" s="58">
        <f t="shared" si="956"/>
        <v>0</v>
      </c>
    </row>
    <row r="615" spans="69:216" ht="16.5" thickBot="1" x14ac:dyDescent="0.3">
      <c r="BQ615" s="58">
        <f t="shared" si="958"/>
        <v>350</v>
      </c>
      <c r="BR615" s="506"/>
      <c r="BS615" s="506"/>
      <c r="BT615" s="19"/>
      <c r="BU615" s="19"/>
      <c r="BV615" s="19"/>
      <c r="BW615" s="19"/>
      <c r="BX615" s="506"/>
      <c r="BY615" s="629"/>
      <c r="BZ615" s="630"/>
      <c r="CA615" s="629"/>
      <c r="CB615" s="630"/>
      <c r="CC615" s="630"/>
      <c r="CD615" s="630"/>
      <c r="CE615" s="1299"/>
      <c r="CF615" s="1302"/>
      <c r="CG615" s="630"/>
      <c r="CH615" s="506"/>
      <c r="CI615" s="506"/>
      <c r="CJ615" s="506"/>
      <c r="DK615" s="58" t="str" cm="1">
        <f t="array" ref="DK615">IF(AND($BT615=4,$BX615=4,$BU615=999),$DB$36,_xlfn.IFNA(INDEX(DB$13:DB$70,MATCH(1,($BR615=$CV$13:$CV$70)*($BT615=$CX$13:$CX$70)*($CE615=$CY$13:$CY$70)*($BY615=$DA$13:$DA$70)*($CD615=$DH$13:$DH$70),0)),""))</f>
        <v/>
      </c>
      <c r="DL615" s="58" t="str" cm="1">
        <f t="array" ref="DL615">IF(AND($BT615=4,$BX615=4,$BU615=999),$DC$36,_xlfn.IFNA(INDEX(CHOOSE(DP615,DB$13:DB$70,DC$13:DC$70,DD$13:DD$70,DE$13:DE$70),MATCH(1,($BR615=$CV$13:$CV$70)*($BT615=$CX$13:$CX$70)*($CE615=$CY$13:$CY$70)*($BY615=$DA$13:$DA$70)*($CD615=$DH$13:$DH$70),0)),""))</f>
        <v/>
      </c>
      <c r="DM615" s="740" t="str" cm="1">
        <f t="array" ref="DM615">IF(AND($BT615=4,$BX615=4,$BU615=999),$DD$36,_xlfn.IFNA(INDEX(DD$13:DD$68,MATCH(1,($BR615=$CV$13:$CV$68)*($BT615=$CX$13:$CX$68)*($CE615=$CY$13:$CY$68)*($BY615=$DA$13:$DA$68)*($CD615=$DH$13:$DH$68),0)),""))</f>
        <v/>
      </c>
      <c r="DN615" s="740" t="str" cm="1">
        <f t="array" ref="DN615">IF(AND($BT615=4,$BX615=4,$BU615=999),$DD$36,_xlfn.IFNA(INDEX(DE$13:DE$68,MATCH(1,($BR615=$CV$13:$CV$68)*($BT615=$CX$13:$CX$68)*($CE615=$CY$13:$CY$68)*($BY615=$DA$13:$DA$68)*($CD615=$DH$13:$DH$68),0)),""))</f>
        <v/>
      </c>
      <c r="DO615" s="58" t="str" cm="1">
        <f t="array" ref="DO615">IF(AND($BT615=4,$BX615=4,$BU615=999),$DF$36,_xlfn.IFNA(INDEX(DF$13:DF$70,MATCH(1,($BR615=$CV$13:$CV$70)*($BT615=$CX$13:$CX$70)*($CE615=$CY$13:$CY$70)*($BY615=$DA$13:$DA$70)*($CD615=$DH$13:$DH$70),0)),""))</f>
        <v/>
      </c>
      <c r="DP615" s="58" t="e">
        <f t="shared" si="959"/>
        <v>#N/A</v>
      </c>
      <c r="FT615" s="58">
        <f t="shared" si="960"/>
        <v>0</v>
      </c>
      <c r="FW615" s="58">
        <f>IF(i_baseline_risk_from=2,'Effectiveness settings'!EW615,'Effectiveness settings'!FI615)</f>
        <v>0</v>
      </c>
      <c r="FX615" s="58">
        <f t="shared" si="961"/>
        <v>0</v>
      </c>
      <c r="FY615" s="58">
        <f t="shared" si="962"/>
        <v>0</v>
      </c>
      <c r="FZ615" s="58">
        <f t="shared" si="963"/>
        <v>0</v>
      </c>
      <c r="GA615" s="58">
        <f t="shared" si="964"/>
        <v>0</v>
      </c>
      <c r="GB615" s="58">
        <f t="shared" si="965"/>
        <v>0</v>
      </c>
      <c r="GC615" s="58">
        <f t="shared" si="966"/>
        <v>0</v>
      </c>
      <c r="GD615" s="58">
        <f t="shared" si="967"/>
        <v>0</v>
      </c>
      <c r="GE615" s="58">
        <f>IF(AND(dd_CheckMate214_TTD="Yes",'Effectiveness settings'!BU615=2,'Effectiveness settings'!BX615=2),"Apply HR to",GD615)</f>
        <v>0</v>
      </c>
      <c r="GF615" s="58">
        <f t="shared" si="968"/>
        <v>0</v>
      </c>
      <c r="GG615" s="58">
        <f t="shared" si="969"/>
        <v>0</v>
      </c>
      <c r="GH615" s="58">
        <f t="shared" si="970"/>
        <v>0</v>
      </c>
      <c r="GI615" s="58">
        <f t="shared" si="957"/>
        <v>0</v>
      </c>
      <c r="GK615" s="58">
        <f>IF(i_baseline_risk_from=2,'Effectiveness settings'!FA615,'Effectiveness settings'!FM615)</f>
        <v>0</v>
      </c>
      <c r="GL615" s="58">
        <f>IF(i_baseline_risk_from=2,'Effectiveness settings'!FB615,'Effectiveness settings'!FN615)</f>
        <v>0</v>
      </c>
      <c r="GM615" s="58">
        <f>IF(i_baseline_risk_from=2,'Effectiveness settings'!FC615,'Effectiveness settings'!FO615)</f>
        <v>0</v>
      </c>
      <c r="GN615" s="58">
        <f>IF(i_baseline_risk_from=2,'Effectiveness settings'!FD615,'Effectiveness settings'!FP615)</f>
        <v>0</v>
      </c>
      <c r="GQ615" s="58">
        <f t="shared" si="971"/>
        <v>0</v>
      </c>
      <c r="GR615" s="58">
        <f t="shared" si="972"/>
        <v>0</v>
      </c>
      <c r="GS615" s="58">
        <f t="shared" si="973"/>
        <v>0</v>
      </c>
      <c r="GT615" s="58">
        <f t="shared" si="974"/>
        <v>0</v>
      </c>
      <c r="GU615" s="58">
        <f>IF(AND(dd_CheckMate214_TTD="Yes",'Effectiveness settings'!BU615=2,'Effectiveness settings'!BX615=2),2,GT615)</f>
        <v>0</v>
      </c>
      <c r="GV615" s="58">
        <f t="shared" si="975"/>
        <v>0</v>
      </c>
      <c r="GW615" s="58">
        <f t="shared" si="976"/>
        <v>0</v>
      </c>
      <c r="GY615" s="58">
        <f>IF(AND(dd_CheckMate214_TTD="Yes",'Effectiveness settings'!BU615=2,'Effectiveness settings'!BX615=2),1,GN615)</f>
        <v>0</v>
      </c>
      <c r="GZ615" s="58">
        <f t="shared" si="977"/>
        <v>0</v>
      </c>
      <c r="HB615" s="58">
        <f t="shared" si="978"/>
        <v>0</v>
      </c>
      <c r="HD615" s="58">
        <f t="shared" si="952"/>
        <v>0</v>
      </c>
      <c r="HE615" s="58">
        <f t="shared" si="953"/>
        <v>0</v>
      </c>
      <c r="HF615" s="58">
        <f t="shared" si="954"/>
        <v>0</v>
      </c>
      <c r="HG615" s="58">
        <f t="shared" si="955"/>
        <v>0</v>
      </c>
      <c r="HH615" s="58">
        <f t="shared" si="956"/>
        <v>0</v>
      </c>
    </row>
    <row r="616" spans="69:216" ht="15.75" x14ac:dyDescent="0.25">
      <c r="BQ616" s="58">
        <f t="shared" si="958"/>
        <v>351</v>
      </c>
      <c r="BR616" s="505">
        <v>0</v>
      </c>
      <c r="BS616" s="505" t="s">
        <v>31</v>
      </c>
      <c r="BT616" s="252">
        <v>4</v>
      </c>
      <c r="BU616" s="252">
        <v>0</v>
      </c>
      <c r="BV616" s="252" t="str">
        <f t="shared" ref="BV616:BV629" si="979">D259</f>
        <v>nivolumab_monotherapy</v>
      </c>
      <c r="BW616" s="1006" t="str" cm="1">
        <f t="array" ref="BW616">IF(AZ259="No",AZ259,INDEX(List_incl_anal_4L_all,IF(BU616=999,35,BU616+1)))</f>
        <v>Yes</v>
      </c>
      <c r="BX616" s="61">
        <f t="shared" ref="BX616:BX629" si="980">MATCH(BY616,List_eff_endpoints,0)-1</f>
        <v>0</v>
      </c>
      <c r="BY616" s="532" t="str">
        <f>BA259</f>
        <v>Overall survival</v>
      </c>
      <c r="BZ616" s="530" t="str">
        <f t="shared" ref="BZ616:BZ629" si="981">GI616</f>
        <v>Apply HR to</v>
      </c>
      <c r="CA616" s="531">
        <f>FT616</f>
        <v>0</v>
      </c>
      <c r="CB616" s="530">
        <f t="shared" ref="CB616:CB629" si="982">IF(i_baseline_risk_from=2,EZ616,FL616)</f>
        <v>0</v>
      </c>
      <c r="CC616" s="530">
        <f t="shared" ref="CC616:CC629" si="983">IF(i_baseline_risk_from=2,FA616,FM616)</f>
        <v>3</v>
      </c>
      <c r="CD616" s="530">
        <f t="shared" ref="CD616:CD629" si="984">IF(i_baseline_risk_from=2,FB616,FN616)</f>
        <v>0</v>
      </c>
      <c r="CE616" s="1295">
        <f t="shared" ref="CE616:CE629" si="985">IF(i_baseline_risk_from=2,FC616,FO616)</f>
        <v>2</v>
      </c>
      <c r="CF616" s="1301">
        <f t="shared" ref="CF616:CF629" si="986">IF(i_baseline_risk_from=2,FD616,FP616)</f>
        <v>0</v>
      </c>
      <c r="CG616" s="530" t="str">
        <f t="shared" ref="CG616:CG629" si="987">IF(i_surv_cur=1,DK616,DL616)</f>
        <v/>
      </c>
      <c r="CH616" s="505">
        <f t="shared" ref="CH616:CJ631" si="988">BJ259</f>
        <v>2.0059999999999998</v>
      </c>
      <c r="CI616" s="505">
        <f t="shared" si="988"/>
        <v>1.45</v>
      </c>
      <c r="CJ616" s="505">
        <f t="shared" si="988"/>
        <v>2.7770000000000001</v>
      </c>
      <c r="DK616" s="58" t="str" cm="1">
        <f t="array" ref="DK616">IF(AND($BT616=4,$BX616=4,$BU616=999),$DB$36,_xlfn.IFNA(INDEX(DB$13:DB$70,MATCH(1,($BR616=$CV$13:$CV$70)*($BT616=$CX$13:$CX$70)*($CE616=$CY$13:$CY$70)*($BY616=$DA$13:$DA$70)*($CD616=$DH$13:$DH$70),0)),""))</f>
        <v/>
      </c>
      <c r="DL616" s="58" t="str" cm="1">
        <f t="array" ref="DL616">IF(AND($BT616=4,$BX616=4,$BU616=999),$DC$36,_xlfn.IFNA(INDEX(CHOOSE(DP616,DB$13:DB$70,DC$13:DC$70,DD$13:DD$70,DE$13:DE$70),MATCH(1,($BR616=$CV$13:$CV$70)*($BT616=$CX$13:$CX$70)*($CE616=$CY$13:$CY$70)*($BY616=$DA$13:$DA$70)*($CD616=$DH$13:$DH$70),0)),""))</f>
        <v/>
      </c>
      <c r="DM616" s="740" t="str" cm="1">
        <f t="array" ref="DM616">IF(AND($BT616=4,$BX616=4,$BU616=999),$DD$36,_xlfn.IFNA(INDEX(DD$13:DD$68,MATCH(1,($BR616=$CV$13:$CV$68)*($BT616=$CX$13:$CX$68)*($CE616=$CY$13:$CY$68)*($BY616=$DA$13:$DA$68)*($CD616=$DH$13:$DH$68),0)),""))</f>
        <v/>
      </c>
      <c r="DN616" s="740" t="str" cm="1">
        <f t="array" ref="DN616">IF(AND($BT616=4,$BX616=4,$BU616=999),$DD$36,_xlfn.IFNA(INDEX(DE$13:DE$68,MATCH(1,($BR616=$CV$13:$CV$68)*($BT616=$CX$13:$CX$68)*($CE616=$CY$13:$CY$68)*($BY616=$DA$13:$DA$68)*($CD616=$DH$13:$DH$68),0)),""))</f>
        <v/>
      </c>
      <c r="DO616" s="58" t="str" cm="1">
        <f t="array" ref="DO616">IF(AND($BT616=4,$BX616=4,$BU616=999),$DF$36,_xlfn.IFNA(INDEX(DF$13:DF$70,MATCH(1,($BR616=$CV$13:$CV$70)*($BT616=$CX$13:$CX$70)*($CE616=$CY$13:$CY$70)*($BY616=$DA$13:$DA$70)*($CD616=$DH$13:$DH$70),0)),""))</f>
        <v/>
      </c>
      <c r="DP616" s="58" t="e">
        <f t="shared" si="959"/>
        <v>#N/A</v>
      </c>
      <c r="DW616" s="58" t="s">
        <v>74</v>
      </c>
      <c r="DX616" s="58" t="s">
        <v>544</v>
      </c>
      <c r="DY616" s="58" t="s">
        <v>578</v>
      </c>
      <c r="DZ616" s="58">
        <v>0</v>
      </c>
      <c r="EB616" s="58">
        <v>0</v>
      </c>
      <c r="EC616" s="58">
        <v>3</v>
      </c>
      <c r="ED616" s="58">
        <v>0</v>
      </c>
      <c r="EE616" s="58">
        <v>2</v>
      </c>
      <c r="EF616" s="58">
        <v>0</v>
      </c>
      <c r="EI616" s="58" t="s">
        <v>74</v>
      </c>
      <c r="EJ616" s="58" t="s">
        <v>544</v>
      </c>
      <c r="EK616" s="58" t="s">
        <v>578</v>
      </c>
      <c r="EL616" s="58">
        <v>0</v>
      </c>
      <c r="EN616" s="58">
        <v>0</v>
      </c>
      <c r="EO616" s="58">
        <v>3</v>
      </c>
      <c r="EP616" s="58">
        <v>0</v>
      </c>
      <c r="EQ616" s="58">
        <v>1</v>
      </c>
      <c r="ER616" s="58">
        <v>0</v>
      </c>
      <c r="EU616" s="58" t="str">
        <f t="shared" ref="EU616:EU629" si="989">IF(i_eff_inputs_based_on_num=2,DW616,AZ259)</f>
        <v>Yes</v>
      </c>
      <c r="EV616" s="58" t="str">
        <f t="shared" ref="EV616:EV629" si="990">IF(i_eff_inputs_based_on_num=2,DX616,BA259)</f>
        <v>Overall survival</v>
      </c>
      <c r="EW616" s="58" t="str">
        <f t="shared" ref="EW616:EW629" si="991">IF(i_eff_inputs_based_on_num=2,DY616,BB259)</f>
        <v>Apply HR to</v>
      </c>
      <c r="EX616" s="58">
        <f t="shared" ref="EX616:EX629" si="992">IF(i_eff_inputs_based_on_num=2,DZ616,BC259)</f>
        <v>0</v>
      </c>
      <c r="EZ616" s="58">
        <f t="shared" ref="EZ616:EZ629" si="993">IF(i_eff_inputs_based_on_num=2,EB616,VLOOKUP(BD259,r_pld_lookup_line,3,FALSE))</f>
        <v>0</v>
      </c>
      <c r="FA616" s="58">
        <f t="shared" ref="FA616:FA629" si="994">IF(i_eff_inputs_based_on_num=2,EC616,VLOOKUP(BE259,r_pld_lookup_line,3,FALSE))</f>
        <v>3</v>
      </c>
      <c r="FB616" s="58">
        <f>IF(i_eff_inputs_based_on_num=2,ED616,(INDEX(Lists!$L$51:$L$85,MATCH(BF259,Lists!$K$51:$K$85,0))))</f>
        <v>0</v>
      </c>
      <c r="FC616" s="58">
        <f>IF(i_eff_inputs_based_on_num=2,EE616,(INDEX(Lists!$L$51:$L$85,MATCH(BG259,Lists!$K$51:$K$85,0))))</f>
        <v>2</v>
      </c>
      <c r="FD616" s="58">
        <f>IF(i_eff_inputs_based_on_num=2,EF616,(INDEX(Lists!$L$51:$L$85,MATCH(BH259,Lists!$K$51:$K$85,0))))</f>
        <v>0</v>
      </c>
      <c r="FG616" s="58" t="str">
        <f t="shared" ref="FG616:FG629" si="995">IF(i_eff_inputs_based_on_num=2,EI616,AZ259)</f>
        <v>Yes</v>
      </c>
      <c r="FH616" s="58" t="str">
        <f t="shared" ref="FH616:FH629" si="996">IF(i_eff_inputs_based_on_num=2,EJ616,BA259)</f>
        <v>Overall survival</v>
      </c>
      <c r="FI616" s="58" t="str">
        <f t="shared" ref="FI616:FI629" si="997">IF(i_eff_inputs_based_on_num=2,EK616,BB259)</f>
        <v>Apply HR to</v>
      </c>
      <c r="FJ616" s="58">
        <f t="shared" ref="FJ616:FJ629" si="998">IF(i_eff_inputs_based_on_num=2,EL616,BC259)</f>
        <v>0</v>
      </c>
      <c r="FL616" s="58">
        <f t="shared" ref="FL616:FL629" si="999">IF(i_eff_inputs_based_on_num=2,EN616,VLOOKUP(BD259,r_pld_lookup_line,3,FALSE))</f>
        <v>0</v>
      </c>
      <c r="FM616" s="58">
        <f t="shared" ref="FM616:FM629" si="1000">IF(i_eff_inputs_based_on_num=2,EO616,VLOOKUP(BE259,r_pld_lookup_line,3,FALSE))</f>
        <v>3</v>
      </c>
      <c r="FN616" s="58">
        <f>IF(i_eff_inputs_based_on_num=2,EP616,(INDEX(Lists!$L$51:$L$85,MATCH(BF259,Lists!$K$51:$K$85,0))))</f>
        <v>0</v>
      </c>
      <c r="FO616" s="58">
        <f>IF(i_eff_inputs_based_on_num=2,EQ616,(INDEX(Lists!$L$51:$L$85,MATCH(BG259,Lists!$K$51:$K$85,0))))</f>
        <v>1</v>
      </c>
      <c r="FP616" s="58">
        <f>IF(i_eff_inputs_based_on_num=2,ER616,(INDEX(Lists!$L$51:$L$85,MATCH(BH259,Lists!$K$51:$K$85,0))))</f>
        <v>0</v>
      </c>
      <c r="FT616" s="58">
        <f t="shared" si="960"/>
        <v>0</v>
      </c>
      <c r="FW616" s="58" t="str">
        <f>IF(i_baseline_risk_from=2,'Effectiveness settings'!EW616,'Effectiveness settings'!FI616)</f>
        <v>Apply HR to</v>
      </c>
      <c r="FX616" s="58" t="str">
        <f t="shared" si="961"/>
        <v>Apply HR to</v>
      </c>
      <c r="FY616" s="58" t="str">
        <f t="shared" si="962"/>
        <v>Apply HR to</v>
      </c>
      <c r="FZ616" s="58" t="str">
        <f t="shared" si="963"/>
        <v>Apply HR to</v>
      </c>
      <c r="GA616" s="58" t="str">
        <f t="shared" si="964"/>
        <v>Apply HR to</v>
      </c>
      <c r="GB616" s="58" t="str">
        <f t="shared" si="965"/>
        <v>Apply HR to</v>
      </c>
      <c r="GC616" s="58" t="str">
        <f t="shared" si="966"/>
        <v>Apply HR to</v>
      </c>
      <c r="GD616" s="58" t="str">
        <f t="shared" si="967"/>
        <v>Apply HR to</v>
      </c>
      <c r="GE616" s="58" t="str">
        <f>IF(AND(dd_CheckMate214_TTD="Yes",'Effectiveness settings'!BU616=2,'Effectiveness settings'!BX616=2),"Apply HR to",GD616)</f>
        <v>Apply HR to</v>
      </c>
      <c r="GF616" s="58" t="str">
        <f t="shared" si="968"/>
        <v>Apply HR to</v>
      </c>
      <c r="GG616" s="58" t="str">
        <f t="shared" si="969"/>
        <v>Apply HR to</v>
      </c>
      <c r="GH616" s="58" t="str">
        <f t="shared" si="970"/>
        <v>Apply HR to</v>
      </c>
      <c r="GI616" s="58" t="str">
        <f t="shared" si="957"/>
        <v>Apply HR to</v>
      </c>
      <c r="GK616" s="58">
        <f>IF(i_baseline_risk_from=2,'Effectiveness settings'!FA616,'Effectiveness settings'!FM616)</f>
        <v>3</v>
      </c>
      <c r="GL616" s="58">
        <f>IF(i_baseline_risk_from=2,'Effectiveness settings'!FB616,'Effectiveness settings'!FN616)</f>
        <v>0</v>
      </c>
      <c r="GM616" s="58">
        <f>IF(i_baseline_risk_from=2,'Effectiveness settings'!FC616,'Effectiveness settings'!FO616)</f>
        <v>2</v>
      </c>
      <c r="GN616" s="58">
        <f>IF(i_baseline_risk_from=2,'Effectiveness settings'!FD616,'Effectiveness settings'!FP616)</f>
        <v>0</v>
      </c>
      <c r="GQ616" s="58">
        <f t="shared" si="971"/>
        <v>0</v>
      </c>
      <c r="GR616" s="58">
        <f t="shared" si="972"/>
        <v>0</v>
      </c>
      <c r="GS616" s="58">
        <f t="shared" si="973"/>
        <v>0</v>
      </c>
      <c r="GT616" s="58">
        <f t="shared" si="974"/>
        <v>0</v>
      </c>
      <c r="GU616" s="58">
        <f>IF(AND(dd_CheckMate214_TTD="Yes",'Effectiveness settings'!BU616=2,'Effectiveness settings'!BX616=2),2,GT616)</f>
        <v>0</v>
      </c>
      <c r="GV616" s="58">
        <f t="shared" si="975"/>
        <v>0</v>
      </c>
      <c r="GW616" s="58">
        <f t="shared" si="976"/>
        <v>0</v>
      </c>
      <c r="GY616" s="58">
        <f>IF(AND(dd_CheckMate214_TTD="Yes",'Effectiveness settings'!BU616=2,'Effectiveness settings'!BX616=2),1,GN616)</f>
        <v>0</v>
      </c>
      <c r="GZ616" s="58">
        <f t="shared" si="977"/>
        <v>0</v>
      </c>
      <c r="HB616" s="58">
        <f t="shared" si="978"/>
        <v>0</v>
      </c>
      <c r="HD616" s="58">
        <f t="shared" si="952"/>
        <v>0</v>
      </c>
      <c r="HE616" s="58">
        <f t="shared" si="953"/>
        <v>3</v>
      </c>
      <c r="HF616" s="58">
        <f t="shared" si="954"/>
        <v>0</v>
      </c>
      <c r="HG616" s="58">
        <f t="shared" si="955"/>
        <v>2</v>
      </c>
      <c r="HH616" s="58">
        <f t="shared" si="956"/>
        <v>0</v>
      </c>
    </row>
    <row r="617" spans="69:216" ht="15.75" x14ac:dyDescent="0.25">
      <c r="BQ617" s="58">
        <f t="shared" si="958"/>
        <v>352</v>
      </c>
      <c r="BR617" s="61">
        <v>0</v>
      </c>
      <c r="BS617" s="61" t="s">
        <v>31</v>
      </c>
      <c r="BT617" s="17">
        <v>4</v>
      </c>
      <c r="BU617" s="17">
        <v>1</v>
      </c>
      <c r="BV617" s="252" t="str">
        <f t="shared" si="979"/>
        <v>cabozantinib_plus_nivolumab</v>
      </c>
      <c r="BW617" s="1006" t="str" cm="1">
        <f t="array" ref="BW617">IF(AZ260="No",AZ260,INDEX(List_incl_anal_4L_all,IF(BU617=999,35,BU617+1)))</f>
        <v>No</v>
      </c>
      <c r="BX617" s="61">
        <f t="shared" si="980"/>
        <v>0</v>
      </c>
      <c r="BY617" s="532" t="str">
        <f>BA260</f>
        <v>Overall survival</v>
      </c>
      <c r="BZ617" s="530">
        <f t="shared" si="981"/>
        <v>0</v>
      </c>
      <c r="CA617" s="531">
        <f t="shared" ref="CA617:CA629" si="1001">FT617</f>
        <v>0</v>
      </c>
      <c r="CB617" s="530">
        <f t="shared" si="982"/>
        <v>0</v>
      </c>
      <c r="CC617" s="530">
        <f t="shared" si="983"/>
        <v>3</v>
      </c>
      <c r="CD617" s="530">
        <f t="shared" si="984"/>
        <v>1</v>
      </c>
      <c r="CE617" s="1295">
        <f t="shared" si="985"/>
        <v>2</v>
      </c>
      <c r="CF617" s="1301">
        <f t="shared" si="986"/>
        <v>0</v>
      </c>
      <c r="CG617" s="530" t="str">
        <f t="shared" si="987"/>
        <v/>
      </c>
      <c r="CH617" s="505">
        <f t="shared" si="988"/>
        <v>1</v>
      </c>
      <c r="CI617" s="505">
        <f t="shared" si="988"/>
        <v>0</v>
      </c>
      <c r="CJ617" s="505">
        <f t="shared" si="988"/>
        <v>0</v>
      </c>
      <c r="DK617" s="58" t="str" cm="1">
        <f t="array" ref="DK617">IF(AND($BT617=4,$BX617=4,$BU617=999),$DB$36,_xlfn.IFNA(INDEX(DB$13:DB$70,MATCH(1,($BR617=$CV$13:$CV$70)*($BT617=$CX$13:$CX$70)*($CE617=$CY$13:$CY$70)*($BY617=$DA$13:$DA$70)*($CD617=$DH$13:$DH$70),0)),""))</f>
        <v/>
      </c>
      <c r="DL617" s="58" t="str" cm="1">
        <f t="array" ref="DL617">IF(AND($BT617=4,$BX617=4,$BU617=999),$DC$36,_xlfn.IFNA(INDEX(CHOOSE(DP617,DB$13:DB$70,DC$13:DC$70,DD$13:DD$70,DE$13:DE$70),MATCH(1,($BR617=$CV$13:$CV$70)*($BT617=$CX$13:$CX$70)*($CE617=$CY$13:$CY$70)*($BY617=$DA$13:$DA$70)*($CD617=$DH$13:$DH$70),0)),""))</f>
        <v/>
      </c>
      <c r="DM617" s="740" t="str" cm="1">
        <f t="array" ref="DM617">IF(AND($BT617=4,$BX617=4,$BU617=999),$DD$36,_xlfn.IFNA(INDEX(DD$13:DD$68,MATCH(1,($BR617=$CV$13:$CV$68)*($BT617=$CX$13:$CX$68)*($CE617=$CY$13:$CY$68)*($BY617=$DA$13:$DA$68)*($CD617=$DH$13:$DH$68),0)),""))</f>
        <v/>
      </c>
      <c r="DN617" s="740" t="str" cm="1">
        <f t="array" ref="DN617">IF(AND($BT617=4,$BX617=4,$BU617=999),$DD$36,_xlfn.IFNA(INDEX(DE$13:DE$68,MATCH(1,($BR617=$CV$13:$CV$68)*($BT617=$CX$13:$CX$68)*($CE617=$CY$13:$CY$68)*($BY617=$DA$13:$DA$68)*($CD617=$DH$13:$DH$68),0)),""))</f>
        <v/>
      </c>
      <c r="DO617" s="58" t="str" cm="1">
        <f t="array" ref="DO617">IF(AND($BT617=4,$BX617=4,$BU617=999),$DF$36,_xlfn.IFNA(INDEX(DF$13:DF$70,MATCH(1,($BR617=$CV$13:$CV$70)*($BT617=$CX$13:$CX$70)*($CE617=$CY$13:$CY$70)*($BY617=$DA$13:$DA$70)*($CD617=$DH$13:$DH$70),0)),""))</f>
        <v/>
      </c>
      <c r="DP617" s="58" t="e">
        <f t="shared" si="959"/>
        <v>#N/A</v>
      </c>
      <c r="DW617" s="58" t="s">
        <v>58</v>
      </c>
      <c r="DX617" s="58" t="s">
        <v>544</v>
      </c>
      <c r="DY617" s="58">
        <v>0</v>
      </c>
      <c r="DZ617" s="58">
        <v>0</v>
      </c>
      <c r="EB617" s="58">
        <v>0</v>
      </c>
      <c r="EC617" s="58">
        <v>3</v>
      </c>
      <c r="ED617" s="58">
        <v>1</v>
      </c>
      <c r="EE617" s="58">
        <v>2</v>
      </c>
      <c r="EF617" s="58">
        <v>0</v>
      </c>
      <c r="EI617" s="58" t="s">
        <v>58</v>
      </c>
      <c r="EJ617" s="58" t="s">
        <v>544</v>
      </c>
      <c r="EK617" s="58">
        <v>0</v>
      </c>
      <c r="EL617" s="58">
        <v>0</v>
      </c>
      <c r="EN617" s="58">
        <v>0</v>
      </c>
      <c r="EO617" s="58">
        <v>3</v>
      </c>
      <c r="EP617" s="58">
        <v>1</v>
      </c>
      <c r="EQ617" s="58">
        <v>1</v>
      </c>
      <c r="ER617" s="58">
        <v>0</v>
      </c>
      <c r="EU617" s="58" t="str">
        <f t="shared" si="989"/>
        <v>No</v>
      </c>
      <c r="EV617" s="58" t="str">
        <f t="shared" si="990"/>
        <v>Overall survival</v>
      </c>
      <c r="EW617" s="58">
        <f t="shared" si="991"/>
        <v>0</v>
      </c>
      <c r="EX617" s="58">
        <f t="shared" si="992"/>
        <v>0</v>
      </c>
      <c r="EZ617" s="58">
        <f t="shared" si="993"/>
        <v>0</v>
      </c>
      <c r="FA617" s="58">
        <f t="shared" si="994"/>
        <v>3</v>
      </c>
      <c r="FB617" s="58">
        <f>IF(i_eff_inputs_based_on_num=2,ED617,(INDEX(Lists!$L$51:$L$85,MATCH(BF260,Lists!$K$51:$K$85,0))))</f>
        <v>1</v>
      </c>
      <c r="FC617" s="58">
        <f>IF(i_eff_inputs_based_on_num=2,EE617,(INDEX(Lists!$L$51:$L$85,MATCH(BG260,Lists!$K$51:$K$85,0))))</f>
        <v>2</v>
      </c>
      <c r="FD617" s="58">
        <f>IF(i_eff_inputs_based_on_num=2,EF617,(INDEX(Lists!$L$51:$L$85,MATCH(BH260,Lists!$K$51:$K$85,0))))</f>
        <v>0</v>
      </c>
      <c r="FG617" s="58" t="str">
        <f t="shared" si="995"/>
        <v>No</v>
      </c>
      <c r="FH617" s="58" t="str">
        <f t="shared" si="996"/>
        <v>Overall survival</v>
      </c>
      <c r="FI617" s="58">
        <f t="shared" si="997"/>
        <v>0</v>
      </c>
      <c r="FJ617" s="58">
        <f t="shared" si="998"/>
        <v>0</v>
      </c>
      <c r="FL617" s="58">
        <f t="shared" si="999"/>
        <v>0</v>
      </c>
      <c r="FM617" s="58">
        <f t="shared" si="1000"/>
        <v>3</v>
      </c>
      <c r="FN617" s="58">
        <f>IF(i_eff_inputs_based_on_num=2,EP617,(INDEX(Lists!$L$51:$L$85,MATCH(BF260,Lists!$K$51:$K$85,0))))</f>
        <v>1</v>
      </c>
      <c r="FO617" s="58">
        <f>IF(i_eff_inputs_based_on_num=2,EQ617,(INDEX(Lists!$L$51:$L$85,MATCH(BG260,Lists!$K$51:$K$85,0))))</f>
        <v>1</v>
      </c>
      <c r="FP617" s="58">
        <f>IF(i_eff_inputs_based_on_num=2,ER617,(INDEX(Lists!$L$51:$L$85,MATCH(BH260,Lists!$K$51:$K$85,0))))</f>
        <v>0</v>
      </c>
      <c r="FT617" s="58">
        <f t="shared" si="960"/>
        <v>0</v>
      </c>
      <c r="FW617" s="58">
        <f>IF(i_baseline_risk_from=2,'Effectiveness settings'!EW617,'Effectiveness settings'!FI617)</f>
        <v>0</v>
      </c>
      <c r="FX617" s="58">
        <f t="shared" si="961"/>
        <v>0</v>
      </c>
      <c r="FY617" s="58">
        <f t="shared" si="962"/>
        <v>0</v>
      </c>
      <c r="FZ617" s="58">
        <f t="shared" si="963"/>
        <v>0</v>
      </c>
      <c r="GA617" s="58">
        <f t="shared" si="964"/>
        <v>0</v>
      </c>
      <c r="GB617" s="58">
        <f t="shared" si="965"/>
        <v>0</v>
      </c>
      <c r="GC617" s="58">
        <f t="shared" si="966"/>
        <v>0</v>
      </c>
      <c r="GD617" s="58">
        <f t="shared" si="967"/>
        <v>0</v>
      </c>
      <c r="GE617" s="58">
        <f>IF(AND(dd_CheckMate214_TTD="Yes",'Effectiveness settings'!BU617=2,'Effectiveness settings'!BX617=2),"Apply HR to",GD617)</f>
        <v>0</v>
      </c>
      <c r="GF617" s="58">
        <f t="shared" si="968"/>
        <v>0</v>
      </c>
      <c r="GG617" s="58">
        <f t="shared" si="969"/>
        <v>0</v>
      </c>
      <c r="GH617" s="58">
        <f t="shared" si="970"/>
        <v>0</v>
      </c>
      <c r="GI617" s="58">
        <f t="shared" si="957"/>
        <v>0</v>
      </c>
      <c r="GK617" s="58">
        <f>IF(i_baseline_risk_from=2,'Effectiveness settings'!FA617,'Effectiveness settings'!FM617)</f>
        <v>3</v>
      </c>
      <c r="GL617" s="58">
        <f>IF(i_baseline_risk_from=2,'Effectiveness settings'!FB617,'Effectiveness settings'!FN617)</f>
        <v>1</v>
      </c>
      <c r="GM617" s="58">
        <f>IF(i_baseline_risk_from=2,'Effectiveness settings'!FC617,'Effectiveness settings'!FO617)</f>
        <v>2</v>
      </c>
      <c r="GN617" s="58">
        <f>IF(i_baseline_risk_from=2,'Effectiveness settings'!FD617,'Effectiveness settings'!FP617)</f>
        <v>0</v>
      </c>
      <c r="GQ617" s="58">
        <f t="shared" si="971"/>
        <v>1</v>
      </c>
      <c r="GR617" s="58">
        <f t="shared" si="972"/>
        <v>1</v>
      </c>
      <c r="GS617" s="58">
        <f t="shared" si="973"/>
        <v>1</v>
      </c>
      <c r="GT617" s="58">
        <f t="shared" si="974"/>
        <v>1</v>
      </c>
      <c r="GU617" s="58">
        <f>IF(AND(dd_CheckMate214_TTD="Yes",'Effectiveness settings'!BU617=2,'Effectiveness settings'!BX617=2),2,GT617)</f>
        <v>1</v>
      </c>
      <c r="GV617" s="58">
        <f t="shared" si="975"/>
        <v>1</v>
      </c>
      <c r="GW617" s="58">
        <f t="shared" si="976"/>
        <v>1</v>
      </c>
      <c r="GY617" s="58">
        <f>IF(AND(dd_CheckMate214_TTD="Yes",'Effectiveness settings'!BU617=2,'Effectiveness settings'!BX617=2),1,GN617)</f>
        <v>0</v>
      </c>
      <c r="GZ617" s="58">
        <f t="shared" si="977"/>
        <v>0</v>
      </c>
      <c r="HB617" s="58">
        <f t="shared" si="978"/>
        <v>0</v>
      </c>
      <c r="HD617" s="58">
        <f t="shared" si="952"/>
        <v>0</v>
      </c>
      <c r="HE617" s="58">
        <f t="shared" si="953"/>
        <v>3</v>
      </c>
      <c r="HF617" s="58">
        <f t="shared" si="954"/>
        <v>1</v>
      </c>
      <c r="HG617" s="58">
        <f t="shared" si="955"/>
        <v>2</v>
      </c>
      <c r="HH617" s="58">
        <f t="shared" si="956"/>
        <v>0</v>
      </c>
    </row>
    <row r="618" spans="69:216" ht="15.75" x14ac:dyDescent="0.25">
      <c r="BQ618" s="58">
        <f t="shared" si="958"/>
        <v>353</v>
      </c>
      <c r="BR618" s="61">
        <v>0</v>
      </c>
      <c r="BS618" s="61" t="s">
        <v>31</v>
      </c>
      <c r="BT618" s="17">
        <v>4</v>
      </c>
      <c r="BU618" s="17">
        <v>2</v>
      </c>
      <c r="BV618" s="252" t="str">
        <f t="shared" si="979"/>
        <v>nivolumab_plus_ipilimumab</v>
      </c>
      <c r="BW618" s="1006" t="str" cm="1">
        <f t="array" ref="BW618">IF(AZ261="No",AZ261,INDEX(List_incl_anal_4L_all,IF(BU618=999,35,BU618+1)))</f>
        <v>No</v>
      </c>
      <c r="BX618" s="61">
        <f t="shared" si="980"/>
        <v>0</v>
      </c>
      <c r="BY618" s="532" t="str">
        <f>BA261</f>
        <v>Overall survival</v>
      </c>
      <c r="BZ618" s="530">
        <f t="shared" si="981"/>
        <v>0</v>
      </c>
      <c r="CA618" s="531">
        <f t="shared" si="1001"/>
        <v>0</v>
      </c>
      <c r="CB618" s="530">
        <f t="shared" si="982"/>
        <v>0</v>
      </c>
      <c r="CC618" s="530">
        <f t="shared" si="983"/>
        <v>3</v>
      </c>
      <c r="CD618" s="530">
        <f t="shared" si="984"/>
        <v>2</v>
      </c>
      <c r="CE618" s="1295">
        <f t="shared" si="985"/>
        <v>2</v>
      </c>
      <c r="CF618" s="1301">
        <f t="shared" si="986"/>
        <v>0</v>
      </c>
      <c r="CG618" s="530" t="str">
        <f t="shared" si="987"/>
        <v/>
      </c>
      <c r="CH618" s="505">
        <f t="shared" si="988"/>
        <v>1</v>
      </c>
      <c r="CI618" s="505">
        <f t="shared" si="988"/>
        <v>0</v>
      </c>
      <c r="CJ618" s="505">
        <f t="shared" si="988"/>
        <v>0</v>
      </c>
      <c r="DK618" s="58" t="str" cm="1">
        <f t="array" ref="DK618">IF(AND($BT618=4,$BX618=4,$BU618=999),$DB$36,_xlfn.IFNA(INDEX(DB$13:DB$70,MATCH(1,($BR618=$CV$13:$CV$70)*($BT618=$CX$13:$CX$70)*($CE618=$CY$13:$CY$70)*($BY618=$DA$13:$DA$70)*($CD618=$DH$13:$DH$70),0)),""))</f>
        <v/>
      </c>
      <c r="DL618" s="58" t="str" cm="1">
        <f t="array" ref="DL618">IF(AND($BT618=4,$BX618=4,$BU618=999),$DC$36,_xlfn.IFNA(INDEX(CHOOSE(DP618,DB$13:DB$70,DC$13:DC$70,DD$13:DD$70,DE$13:DE$70),MATCH(1,($BR618=$CV$13:$CV$70)*($BT618=$CX$13:$CX$70)*($CE618=$CY$13:$CY$70)*($BY618=$DA$13:$DA$70)*($CD618=$DH$13:$DH$70),0)),""))</f>
        <v/>
      </c>
      <c r="DM618" s="740" t="str" cm="1">
        <f t="array" ref="DM618">IF(AND($BT618=4,$BX618=4,$BU618=999),$DD$36,_xlfn.IFNA(INDEX(DD$13:DD$68,MATCH(1,($BR618=$CV$13:$CV$68)*($BT618=$CX$13:$CX$68)*($CE618=$CY$13:$CY$68)*($BY618=$DA$13:$DA$68)*($CD618=$DH$13:$DH$68),0)),""))</f>
        <v/>
      </c>
      <c r="DN618" s="740" t="str" cm="1">
        <f t="array" ref="DN618">IF(AND($BT618=4,$BX618=4,$BU618=999),$DD$36,_xlfn.IFNA(INDEX(DE$13:DE$68,MATCH(1,($BR618=$CV$13:$CV$68)*($BT618=$CX$13:$CX$68)*($CE618=$CY$13:$CY$68)*($BY618=$DA$13:$DA$68)*($CD618=$DH$13:$DH$68),0)),""))</f>
        <v/>
      </c>
      <c r="DO618" s="58" t="str" cm="1">
        <f t="array" ref="DO618">IF(AND($BT618=4,$BX618=4,$BU618=999),$DF$36,_xlfn.IFNA(INDEX(DF$13:DF$70,MATCH(1,($BR618=$CV$13:$CV$70)*($BT618=$CX$13:$CX$70)*($CE618=$CY$13:$CY$70)*($BY618=$DA$13:$DA$70)*($CD618=$DH$13:$DH$70),0)),""))</f>
        <v/>
      </c>
      <c r="DP618" s="58" t="e">
        <f t="shared" si="959"/>
        <v>#N/A</v>
      </c>
      <c r="DW618" s="58" t="s">
        <v>58</v>
      </c>
      <c r="DX618" s="58" t="s">
        <v>544</v>
      </c>
      <c r="DY618" s="58">
        <v>0</v>
      </c>
      <c r="DZ618" s="58">
        <v>0</v>
      </c>
      <c r="EB618" s="58">
        <v>0</v>
      </c>
      <c r="EC618" s="58">
        <v>3</v>
      </c>
      <c r="ED618" s="58">
        <v>2</v>
      </c>
      <c r="EE618" s="58">
        <v>2</v>
      </c>
      <c r="EF618" s="58">
        <v>0</v>
      </c>
      <c r="EI618" s="58" t="s">
        <v>58</v>
      </c>
      <c r="EJ618" s="58" t="s">
        <v>544</v>
      </c>
      <c r="EK618" s="58">
        <v>0</v>
      </c>
      <c r="EL618" s="58">
        <v>0</v>
      </c>
      <c r="EN618" s="58">
        <v>0</v>
      </c>
      <c r="EO618" s="58">
        <v>3</v>
      </c>
      <c r="EP618" s="58">
        <v>2</v>
      </c>
      <c r="EQ618" s="58">
        <v>1</v>
      </c>
      <c r="ER618" s="58">
        <v>0</v>
      </c>
      <c r="EU618" s="58" t="str">
        <f t="shared" si="989"/>
        <v>No</v>
      </c>
      <c r="EV618" s="58" t="str">
        <f t="shared" si="990"/>
        <v>Overall survival</v>
      </c>
      <c r="EW618" s="58">
        <f t="shared" si="991"/>
        <v>0</v>
      </c>
      <c r="EX618" s="58">
        <f t="shared" si="992"/>
        <v>0</v>
      </c>
      <c r="EZ618" s="58">
        <f t="shared" si="993"/>
        <v>0</v>
      </c>
      <c r="FA618" s="58">
        <f t="shared" si="994"/>
        <v>3</v>
      </c>
      <c r="FB618" s="58">
        <f>IF(i_eff_inputs_based_on_num=2,ED618,(INDEX(Lists!$L$51:$L$85,MATCH(BF261,Lists!$K$51:$K$85,0))))</f>
        <v>2</v>
      </c>
      <c r="FC618" s="58">
        <f>IF(i_eff_inputs_based_on_num=2,EE618,(INDEX(Lists!$L$51:$L$85,MATCH(BG261,Lists!$K$51:$K$85,0))))</f>
        <v>2</v>
      </c>
      <c r="FD618" s="58">
        <f>IF(i_eff_inputs_based_on_num=2,EF618,(INDEX(Lists!$L$51:$L$85,MATCH(BH261,Lists!$K$51:$K$85,0))))</f>
        <v>0</v>
      </c>
      <c r="FG618" s="58" t="str">
        <f t="shared" si="995"/>
        <v>No</v>
      </c>
      <c r="FH618" s="58" t="str">
        <f t="shared" si="996"/>
        <v>Overall survival</v>
      </c>
      <c r="FI618" s="58">
        <f t="shared" si="997"/>
        <v>0</v>
      </c>
      <c r="FJ618" s="58">
        <f t="shared" si="998"/>
        <v>0</v>
      </c>
      <c r="FL618" s="58">
        <f t="shared" si="999"/>
        <v>0</v>
      </c>
      <c r="FM618" s="58">
        <f t="shared" si="1000"/>
        <v>3</v>
      </c>
      <c r="FN618" s="58">
        <f>IF(i_eff_inputs_based_on_num=2,EP618,(INDEX(Lists!$L$51:$L$85,MATCH(BF261,Lists!$K$51:$K$85,0))))</f>
        <v>2</v>
      </c>
      <c r="FO618" s="58">
        <f>IF(i_eff_inputs_based_on_num=2,EQ618,(INDEX(Lists!$L$51:$L$85,MATCH(BG261,Lists!$K$51:$K$85,0))))</f>
        <v>1</v>
      </c>
      <c r="FP618" s="58">
        <f>IF(i_eff_inputs_based_on_num=2,ER618,(INDEX(Lists!$L$51:$L$85,MATCH(BH261,Lists!$K$51:$K$85,0))))</f>
        <v>0</v>
      </c>
      <c r="FT618" s="58">
        <f t="shared" si="960"/>
        <v>0</v>
      </c>
      <c r="FW618" s="58">
        <f>IF(i_baseline_risk_from=2,'Effectiveness settings'!EW618,'Effectiveness settings'!FI618)</f>
        <v>0</v>
      </c>
      <c r="FX618" s="58">
        <f t="shared" si="961"/>
        <v>0</v>
      </c>
      <c r="FY618" s="58">
        <f t="shared" si="962"/>
        <v>0</v>
      </c>
      <c r="FZ618" s="58">
        <f t="shared" si="963"/>
        <v>0</v>
      </c>
      <c r="GA618" s="58">
        <f t="shared" si="964"/>
        <v>0</v>
      </c>
      <c r="GB618" s="58">
        <f t="shared" si="965"/>
        <v>0</v>
      </c>
      <c r="GC618" s="58">
        <f t="shared" si="966"/>
        <v>0</v>
      </c>
      <c r="GD618" s="58">
        <f t="shared" si="967"/>
        <v>0</v>
      </c>
      <c r="GE618" s="58">
        <f>IF(AND(dd_CheckMate214_TTD="Yes",'Effectiveness settings'!BU618=2,'Effectiveness settings'!BX618=2),"Apply HR to",GD618)</f>
        <v>0</v>
      </c>
      <c r="GF618" s="58">
        <f t="shared" si="968"/>
        <v>0</v>
      </c>
      <c r="GG618" s="58">
        <f t="shared" si="969"/>
        <v>0</v>
      </c>
      <c r="GH618" s="58">
        <f t="shared" si="970"/>
        <v>0</v>
      </c>
      <c r="GI618" s="58">
        <f t="shared" si="957"/>
        <v>0</v>
      </c>
      <c r="GK618" s="58">
        <f>IF(i_baseline_risk_from=2,'Effectiveness settings'!FA618,'Effectiveness settings'!FM618)</f>
        <v>3</v>
      </c>
      <c r="GL618" s="58">
        <f>IF(i_baseline_risk_from=2,'Effectiveness settings'!FB618,'Effectiveness settings'!FN618)</f>
        <v>2</v>
      </c>
      <c r="GM618" s="58">
        <f>IF(i_baseline_risk_from=2,'Effectiveness settings'!FC618,'Effectiveness settings'!FO618)</f>
        <v>2</v>
      </c>
      <c r="GN618" s="58">
        <f>IF(i_baseline_risk_from=2,'Effectiveness settings'!FD618,'Effectiveness settings'!FP618)</f>
        <v>0</v>
      </c>
      <c r="GQ618" s="58">
        <f t="shared" si="971"/>
        <v>2</v>
      </c>
      <c r="GR618" s="58">
        <f t="shared" si="972"/>
        <v>2</v>
      </c>
      <c r="GS618" s="58">
        <f t="shared" si="973"/>
        <v>2</v>
      </c>
      <c r="GT618" s="58">
        <f t="shared" si="974"/>
        <v>2</v>
      </c>
      <c r="GU618" s="58">
        <f>IF(AND(dd_CheckMate214_TTD="Yes",'Effectiveness settings'!BU618=2,'Effectiveness settings'!BX618=2),2,GT618)</f>
        <v>2</v>
      </c>
      <c r="GV618" s="58">
        <f t="shared" si="975"/>
        <v>2</v>
      </c>
      <c r="GW618" s="58">
        <f t="shared" si="976"/>
        <v>2</v>
      </c>
      <c r="GY618" s="58">
        <f>IF(AND(dd_CheckMate214_TTD="Yes",'Effectiveness settings'!BU618=2,'Effectiveness settings'!BX618=2),1,GN618)</f>
        <v>0</v>
      </c>
      <c r="GZ618" s="58">
        <f t="shared" si="977"/>
        <v>0</v>
      </c>
      <c r="HB618" s="58">
        <f t="shared" si="978"/>
        <v>0</v>
      </c>
      <c r="HD618" s="58">
        <f t="shared" si="952"/>
        <v>0</v>
      </c>
      <c r="HE618" s="58">
        <f t="shared" si="953"/>
        <v>3</v>
      </c>
      <c r="HF618" s="58">
        <f t="shared" si="954"/>
        <v>2</v>
      </c>
      <c r="HG618" s="58">
        <f t="shared" si="955"/>
        <v>2</v>
      </c>
      <c r="HH618" s="58">
        <f t="shared" si="956"/>
        <v>0</v>
      </c>
    </row>
    <row r="619" spans="69:216" ht="15.75" x14ac:dyDescent="0.25">
      <c r="BQ619" s="58">
        <f t="shared" si="958"/>
        <v>354</v>
      </c>
      <c r="BR619" s="61">
        <v>0</v>
      </c>
      <c r="BS619" s="61" t="s">
        <v>31</v>
      </c>
      <c r="BT619" s="17">
        <v>4</v>
      </c>
      <c r="BU619" s="17">
        <v>3</v>
      </c>
      <c r="BV619" s="252" t="str">
        <f t="shared" si="979"/>
        <v>lenvatinib_plus_pembrolizumab</v>
      </c>
      <c r="BW619" s="1006" t="str" cm="1">
        <f t="array" ref="BW619">IF(AZ262="No",AZ262,INDEX(List_incl_anal_4L_all,IF(BU619=999,35,BU619+1)))</f>
        <v>No</v>
      </c>
      <c r="BX619" s="61">
        <f t="shared" si="980"/>
        <v>0</v>
      </c>
      <c r="BY619" s="532" t="str">
        <f>BA262</f>
        <v>Overall survival</v>
      </c>
      <c r="BZ619" s="530">
        <f t="shared" si="981"/>
        <v>0</v>
      </c>
      <c r="CA619" s="531">
        <f t="shared" si="1001"/>
        <v>0</v>
      </c>
      <c r="CB619" s="530">
        <f t="shared" si="982"/>
        <v>0</v>
      </c>
      <c r="CC619" s="530">
        <f t="shared" si="983"/>
        <v>3</v>
      </c>
      <c r="CD619" s="530">
        <f t="shared" si="984"/>
        <v>3</v>
      </c>
      <c r="CE619" s="1295">
        <f t="shared" si="985"/>
        <v>2</v>
      </c>
      <c r="CF619" s="1301">
        <f t="shared" si="986"/>
        <v>0</v>
      </c>
      <c r="CG619" s="530" t="str">
        <f t="shared" si="987"/>
        <v/>
      </c>
      <c r="CH619" s="505">
        <f t="shared" si="988"/>
        <v>1</v>
      </c>
      <c r="CI619" s="505">
        <f t="shared" si="988"/>
        <v>0</v>
      </c>
      <c r="CJ619" s="505">
        <f t="shared" si="988"/>
        <v>0</v>
      </c>
      <c r="DK619" s="58" t="str" cm="1">
        <f t="array" ref="DK619">IF(AND($BT619=4,$BX619=4,$BU619=999),$DB$36,_xlfn.IFNA(INDEX(DB$13:DB$70,MATCH(1,($BR619=$CV$13:$CV$70)*($BT619=$CX$13:$CX$70)*($CE619=$CY$13:$CY$70)*($BY619=$DA$13:$DA$70)*($CD619=$DH$13:$DH$70),0)),""))</f>
        <v/>
      </c>
      <c r="DL619" s="58" t="str" cm="1">
        <f t="array" ref="DL619">IF(AND($BT619=4,$BX619=4,$BU619=999),$DC$36,_xlfn.IFNA(INDEX(CHOOSE(DP619,DB$13:DB$70,DC$13:DC$70,DD$13:DD$70,DE$13:DE$70),MATCH(1,($BR619=$CV$13:$CV$70)*($BT619=$CX$13:$CX$70)*($CE619=$CY$13:$CY$70)*($BY619=$DA$13:$DA$70)*($CD619=$DH$13:$DH$70),0)),""))</f>
        <v/>
      </c>
      <c r="DM619" s="740" t="str" cm="1">
        <f t="array" ref="DM619">IF(AND($BT619=4,$BX619=4,$BU619=999),$DD$36,_xlfn.IFNA(INDEX(DD$13:DD$68,MATCH(1,($BR619=$CV$13:$CV$68)*($BT619=$CX$13:$CX$68)*($CE619=$CY$13:$CY$68)*($BY619=$DA$13:$DA$68)*($CD619=$DH$13:$DH$68),0)),""))</f>
        <v/>
      </c>
      <c r="DN619" s="740" t="str" cm="1">
        <f t="array" ref="DN619">IF(AND($BT619=4,$BX619=4,$BU619=999),$DD$36,_xlfn.IFNA(INDEX(DE$13:DE$68,MATCH(1,($BR619=$CV$13:$CV$68)*($BT619=$CX$13:$CX$68)*($CE619=$CY$13:$CY$68)*($BY619=$DA$13:$DA$68)*($CD619=$DH$13:$DH$68),0)),""))</f>
        <v/>
      </c>
      <c r="DO619" s="58" t="str" cm="1">
        <f t="array" ref="DO619">IF(AND($BT619=4,$BX619=4,$BU619=999),$DF$36,_xlfn.IFNA(INDEX(DF$13:DF$70,MATCH(1,($BR619=$CV$13:$CV$70)*($BT619=$CX$13:$CX$70)*($CE619=$CY$13:$CY$70)*($BY619=$DA$13:$DA$70)*($CD619=$DH$13:$DH$70),0)),""))</f>
        <v/>
      </c>
      <c r="DP619" s="58" t="e">
        <f t="shared" si="959"/>
        <v>#N/A</v>
      </c>
      <c r="DW619" s="58" t="s">
        <v>58</v>
      </c>
      <c r="DX619" s="58" t="s">
        <v>544</v>
      </c>
      <c r="DY619" s="58">
        <v>0</v>
      </c>
      <c r="DZ619" s="58">
        <v>0</v>
      </c>
      <c r="EB619" s="58">
        <v>0</v>
      </c>
      <c r="EC619" s="58">
        <v>3</v>
      </c>
      <c r="ED619" s="58">
        <v>3</v>
      </c>
      <c r="EE619" s="58">
        <v>2</v>
      </c>
      <c r="EF619" s="58">
        <v>0</v>
      </c>
      <c r="EI619" s="58" t="s">
        <v>58</v>
      </c>
      <c r="EJ619" s="58" t="s">
        <v>544</v>
      </c>
      <c r="EK619" s="58">
        <v>0</v>
      </c>
      <c r="EL619" s="58">
        <v>0</v>
      </c>
      <c r="EN619" s="58">
        <v>0</v>
      </c>
      <c r="EO619" s="58">
        <v>3</v>
      </c>
      <c r="EP619" s="58">
        <v>3</v>
      </c>
      <c r="EQ619" s="58">
        <v>1</v>
      </c>
      <c r="ER619" s="58">
        <v>0</v>
      </c>
      <c r="EU619" s="58" t="str">
        <f t="shared" si="989"/>
        <v>No</v>
      </c>
      <c r="EV619" s="58" t="str">
        <f t="shared" si="990"/>
        <v>Overall survival</v>
      </c>
      <c r="EW619" s="58">
        <f t="shared" si="991"/>
        <v>0</v>
      </c>
      <c r="EX619" s="58">
        <f t="shared" si="992"/>
        <v>0</v>
      </c>
      <c r="EZ619" s="58">
        <f t="shared" si="993"/>
        <v>0</v>
      </c>
      <c r="FA619" s="58">
        <f t="shared" si="994"/>
        <v>3</v>
      </c>
      <c r="FB619" s="58">
        <f>IF(i_eff_inputs_based_on_num=2,ED619,(INDEX(Lists!$L$51:$L$85,MATCH(BF262,Lists!$K$51:$K$85,0))))</f>
        <v>3</v>
      </c>
      <c r="FC619" s="58">
        <f>IF(i_eff_inputs_based_on_num=2,EE619,(INDEX(Lists!$L$51:$L$85,MATCH(BG262,Lists!$K$51:$K$85,0))))</f>
        <v>2</v>
      </c>
      <c r="FD619" s="58">
        <f>IF(i_eff_inputs_based_on_num=2,EF619,(INDEX(Lists!$L$51:$L$85,MATCH(BH262,Lists!$K$51:$K$85,0))))</f>
        <v>0</v>
      </c>
      <c r="FG619" s="58" t="str">
        <f t="shared" si="995"/>
        <v>No</v>
      </c>
      <c r="FH619" s="58" t="str">
        <f t="shared" si="996"/>
        <v>Overall survival</v>
      </c>
      <c r="FI619" s="58">
        <f t="shared" si="997"/>
        <v>0</v>
      </c>
      <c r="FJ619" s="58">
        <f t="shared" si="998"/>
        <v>0</v>
      </c>
      <c r="FL619" s="58">
        <f t="shared" si="999"/>
        <v>0</v>
      </c>
      <c r="FM619" s="58">
        <f t="shared" si="1000"/>
        <v>3</v>
      </c>
      <c r="FN619" s="58">
        <f>IF(i_eff_inputs_based_on_num=2,EP619,(INDEX(Lists!$L$51:$L$85,MATCH(BF262,Lists!$K$51:$K$85,0))))</f>
        <v>3</v>
      </c>
      <c r="FO619" s="58">
        <f>IF(i_eff_inputs_based_on_num=2,EQ619,(INDEX(Lists!$L$51:$L$85,MATCH(BG262,Lists!$K$51:$K$85,0))))</f>
        <v>1</v>
      </c>
      <c r="FP619" s="58">
        <f>IF(i_eff_inputs_based_on_num=2,ER619,(INDEX(Lists!$L$51:$L$85,MATCH(BH262,Lists!$K$51:$K$85,0))))</f>
        <v>0</v>
      </c>
      <c r="FT619" s="58">
        <f t="shared" si="960"/>
        <v>0</v>
      </c>
      <c r="FW619" s="58">
        <f>IF(i_baseline_risk_from=2,'Effectiveness settings'!EW619,'Effectiveness settings'!FI619)</f>
        <v>0</v>
      </c>
      <c r="FX619" s="58">
        <f t="shared" si="961"/>
        <v>0</v>
      </c>
      <c r="FY619" s="58">
        <f t="shared" si="962"/>
        <v>0</v>
      </c>
      <c r="FZ619" s="58">
        <f t="shared" si="963"/>
        <v>0</v>
      </c>
      <c r="GA619" s="58">
        <f t="shared" si="964"/>
        <v>0</v>
      </c>
      <c r="GB619" s="58">
        <f t="shared" si="965"/>
        <v>0</v>
      </c>
      <c r="GC619" s="58">
        <f t="shared" si="966"/>
        <v>0</v>
      </c>
      <c r="GD619" s="58">
        <f t="shared" si="967"/>
        <v>0</v>
      </c>
      <c r="GE619" s="58">
        <f>IF(AND(dd_CheckMate214_TTD="Yes",'Effectiveness settings'!BU619=2,'Effectiveness settings'!BX619=2),"Apply HR to",GD619)</f>
        <v>0</v>
      </c>
      <c r="GF619" s="58">
        <f t="shared" si="968"/>
        <v>0</v>
      </c>
      <c r="GG619" s="58">
        <f t="shared" si="969"/>
        <v>0</v>
      </c>
      <c r="GH619" s="58">
        <f t="shared" si="970"/>
        <v>0</v>
      </c>
      <c r="GI619" s="58">
        <f t="shared" si="957"/>
        <v>0</v>
      </c>
      <c r="GK619" s="58">
        <f>IF(i_baseline_risk_from=2,'Effectiveness settings'!FA619,'Effectiveness settings'!FM619)</f>
        <v>3</v>
      </c>
      <c r="GL619" s="58">
        <f>IF(i_baseline_risk_from=2,'Effectiveness settings'!FB619,'Effectiveness settings'!FN619)</f>
        <v>3</v>
      </c>
      <c r="GM619" s="58">
        <f>IF(i_baseline_risk_from=2,'Effectiveness settings'!FC619,'Effectiveness settings'!FO619)</f>
        <v>2</v>
      </c>
      <c r="GN619" s="58">
        <f>IF(i_baseline_risk_from=2,'Effectiveness settings'!FD619,'Effectiveness settings'!FP619)</f>
        <v>0</v>
      </c>
      <c r="GQ619" s="58">
        <f t="shared" si="971"/>
        <v>3</v>
      </c>
      <c r="GR619" s="58">
        <f t="shared" si="972"/>
        <v>3</v>
      </c>
      <c r="GS619" s="58">
        <f t="shared" si="973"/>
        <v>3</v>
      </c>
      <c r="GT619" s="58">
        <f t="shared" si="974"/>
        <v>3</v>
      </c>
      <c r="GU619" s="58">
        <f>IF(AND(dd_CheckMate214_TTD="Yes",'Effectiveness settings'!BU619=2,'Effectiveness settings'!BX619=2),2,GT619)</f>
        <v>3</v>
      </c>
      <c r="GV619" s="58">
        <f t="shared" si="975"/>
        <v>3</v>
      </c>
      <c r="GW619" s="58">
        <f t="shared" si="976"/>
        <v>3</v>
      </c>
      <c r="GY619" s="58">
        <f>IF(AND(dd_CheckMate214_TTD="Yes",'Effectiveness settings'!BU619=2,'Effectiveness settings'!BX619=2),1,GN619)</f>
        <v>0</v>
      </c>
      <c r="GZ619" s="58">
        <f t="shared" si="977"/>
        <v>0</v>
      </c>
      <c r="HB619" s="58">
        <f t="shared" si="978"/>
        <v>0</v>
      </c>
      <c r="HD619" s="58">
        <f t="shared" si="952"/>
        <v>0</v>
      </c>
      <c r="HE619" s="58">
        <f t="shared" si="953"/>
        <v>3</v>
      </c>
      <c r="HF619" s="58">
        <f t="shared" si="954"/>
        <v>3</v>
      </c>
      <c r="HG619" s="58">
        <f t="shared" si="955"/>
        <v>2</v>
      </c>
      <c r="HH619" s="58">
        <f t="shared" si="956"/>
        <v>0</v>
      </c>
    </row>
    <row r="620" spans="69:216" ht="15.75" x14ac:dyDescent="0.25">
      <c r="BQ620" s="58">
        <f t="shared" si="958"/>
        <v>355</v>
      </c>
      <c r="BR620" s="61">
        <v>0</v>
      </c>
      <c r="BS620" s="61" t="s">
        <v>31</v>
      </c>
      <c r="BT620" s="17">
        <v>4</v>
      </c>
      <c r="BU620" s="17">
        <v>4</v>
      </c>
      <c r="BV620" s="252" t="str">
        <f t="shared" si="979"/>
        <v>avelumab_plus_axitinib</v>
      </c>
      <c r="BW620" s="1006" t="str" cm="1">
        <f t="array" ref="BW620">IF(AZ263="No",AZ263,INDEX(List_incl_anal_4L_all,IF(BU620=999,35,BU620+1)))</f>
        <v>No</v>
      </c>
      <c r="BX620" s="61">
        <f t="shared" si="980"/>
        <v>0</v>
      </c>
      <c r="BY620" s="532" t="str">
        <f>BA263</f>
        <v>Overall survival</v>
      </c>
      <c r="BZ620" s="530">
        <f t="shared" si="981"/>
        <v>0</v>
      </c>
      <c r="CA620" s="531">
        <f t="shared" si="1001"/>
        <v>0</v>
      </c>
      <c r="CB620" s="530">
        <f t="shared" si="982"/>
        <v>0</v>
      </c>
      <c r="CC620" s="530">
        <f t="shared" si="983"/>
        <v>3</v>
      </c>
      <c r="CD620" s="530">
        <f t="shared" si="984"/>
        <v>4</v>
      </c>
      <c r="CE620" s="1295">
        <f t="shared" si="985"/>
        <v>2</v>
      </c>
      <c r="CF620" s="1301">
        <f t="shared" si="986"/>
        <v>0</v>
      </c>
      <c r="CG620" s="530" t="str">
        <f t="shared" si="987"/>
        <v/>
      </c>
      <c r="CH620" s="505">
        <f t="shared" si="988"/>
        <v>1</v>
      </c>
      <c r="CI620" s="505">
        <f t="shared" si="988"/>
        <v>0</v>
      </c>
      <c r="CJ620" s="505">
        <f t="shared" si="988"/>
        <v>0</v>
      </c>
      <c r="DK620" s="58" t="str" cm="1">
        <f t="array" ref="DK620">IF(AND($BT620=4,$BX620=4,$BU620=999),$DB$36,_xlfn.IFNA(INDEX(DB$13:DB$70,MATCH(1,($BR620=$CV$13:$CV$70)*($BT620=$CX$13:$CX$70)*($CE620=$CY$13:$CY$70)*($BY620=$DA$13:$DA$70)*($CD620=$DH$13:$DH$70),0)),""))</f>
        <v/>
      </c>
      <c r="DL620" s="58" t="str" cm="1">
        <f t="array" ref="DL620">IF(AND($BT620=4,$BX620=4,$BU620=999),$DC$36,_xlfn.IFNA(INDEX(CHOOSE(DP620,DB$13:DB$70,DC$13:DC$70,DD$13:DD$70,DE$13:DE$70),MATCH(1,($BR620=$CV$13:$CV$70)*($BT620=$CX$13:$CX$70)*($CE620=$CY$13:$CY$70)*($BY620=$DA$13:$DA$70)*($CD620=$DH$13:$DH$70),0)),""))</f>
        <v/>
      </c>
      <c r="DM620" s="740" t="str" cm="1">
        <f t="array" ref="DM620">IF(AND($BT620=4,$BX620=4,$BU620=999),$DD$36,_xlfn.IFNA(INDEX(DD$13:DD$68,MATCH(1,($BR620=$CV$13:$CV$68)*($BT620=$CX$13:$CX$68)*($CE620=$CY$13:$CY$68)*($BY620=$DA$13:$DA$68)*($CD620=$DH$13:$DH$68),0)),""))</f>
        <v/>
      </c>
      <c r="DN620" s="740" t="str" cm="1">
        <f t="array" ref="DN620">IF(AND($BT620=4,$BX620=4,$BU620=999),$DD$36,_xlfn.IFNA(INDEX(DE$13:DE$68,MATCH(1,($BR620=$CV$13:$CV$68)*($BT620=$CX$13:$CX$68)*($CE620=$CY$13:$CY$68)*($BY620=$DA$13:$DA$68)*($CD620=$DH$13:$DH$68),0)),""))</f>
        <v/>
      </c>
      <c r="DO620" s="58" t="str" cm="1">
        <f t="array" ref="DO620">IF(AND($BT620=4,$BX620=4,$BU620=999),$DF$36,_xlfn.IFNA(INDEX(DF$13:DF$70,MATCH(1,($BR620=$CV$13:$CV$70)*($BT620=$CX$13:$CX$70)*($CE620=$CY$13:$CY$70)*($BY620=$DA$13:$DA$70)*($CD620=$DH$13:$DH$70),0)),""))</f>
        <v/>
      </c>
      <c r="DP620" s="58" t="e">
        <f t="shared" si="959"/>
        <v>#N/A</v>
      </c>
      <c r="DW620" s="58" t="s">
        <v>58</v>
      </c>
      <c r="DX620" s="58" t="s">
        <v>544</v>
      </c>
      <c r="DY620" s="58">
        <v>0</v>
      </c>
      <c r="DZ620" s="58">
        <v>0</v>
      </c>
      <c r="EB620" s="58">
        <v>0</v>
      </c>
      <c r="EC620" s="58">
        <v>3</v>
      </c>
      <c r="ED620" s="58">
        <v>4</v>
      </c>
      <c r="EE620" s="58">
        <v>2</v>
      </c>
      <c r="EF620" s="58">
        <v>0</v>
      </c>
      <c r="EI620" s="58" t="s">
        <v>58</v>
      </c>
      <c r="EJ620" s="58" t="s">
        <v>544</v>
      </c>
      <c r="EK620" s="58">
        <v>0</v>
      </c>
      <c r="EL620" s="58">
        <v>0</v>
      </c>
      <c r="EN620" s="58">
        <v>0</v>
      </c>
      <c r="EO620" s="58">
        <v>3</v>
      </c>
      <c r="EP620" s="58">
        <v>4</v>
      </c>
      <c r="EQ620" s="58">
        <v>1</v>
      </c>
      <c r="ER620" s="58">
        <v>0</v>
      </c>
      <c r="EU620" s="58" t="str">
        <f t="shared" si="989"/>
        <v>No</v>
      </c>
      <c r="EV620" s="58" t="str">
        <f t="shared" si="990"/>
        <v>Overall survival</v>
      </c>
      <c r="EW620" s="58">
        <f t="shared" si="991"/>
        <v>0</v>
      </c>
      <c r="EX620" s="58">
        <f t="shared" si="992"/>
        <v>0</v>
      </c>
      <c r="EZ620" s="58">
        <f t="shared" si="993"/>
        <v>0</v>
      </c>
      <c r="FA620" s="58">
        <f t="shared" si="994"/>
        <v>3</v>
      </c>
      <c r="FB620" s="58">
        <f>IF(i_eff_inputs_based_on_num=2,ED620,(INDEX(Lists!$L$51:$L$85,MATCH(BF263,Lists!$K$51:$K$85,0))))</f>
        <v>4</v>
      </c>
      <c r="FC620" s="58">
        <f>IF(i_eff_inputs_based_on_num=2,EE620,(INDEX(Lists!$L$51:$L$85,MATCH(BG263,Lists!$K$51:$K$85,0))))</f>
        <v>2</v>
      </c>
      <c r="FD620" s="58">
        <f>IF(i_eff_inputs_based_on_num=2,EF620,(INDEX(Lists!$L$51:$L$85,MATCH(BH263,Lists!$K$51:$K$85,0))))</f>
        <v>0</v>
      </c>
      <c r="FG620" s="58" t="str">
        <f t="shared" si="995"/>
        <v>No</v>
      </c>
      <c r="FH620" s="58" t="str">
        <f t="shared" si="996"/>
        <v>Overall survival</v>
      </c>
      <c r="FI620" s="58">
        <f t="shared" si="997"/>
        <v>0</v>
      </c>
      <c r="FJ620" s="58">
        <f t="shared" si="998"/>
        <v>0</v>
      </c>
      <c r="FL620" s="58">
        <f t="shared" si="999"/>
        <v>0</v>
      </c>
      <c r="FM620" s="58">
        <f t="shared" si="1000"/>
        <v>3</v>
      </c>
      <c r="FN620" s="58">
        <f>IF(i_eff_inputs_based_on_num=2,EP620,(INDEX(Lists!$L$51:$L$85,MATCH(BF263,Lists!$K$51:$K$85,0))))</f>
        <v>4</v>
      </c>
      <c r="FO620" s="58">
        <f>IF(i_eff_inputs_based_on_num=2,EQ620,(INDEX(Lists!$L$51:$L$85,MATCH(BG263,Lists!$K$51:$K$85,0))))</f>
        <v>1</v>
      </c>
      <c r="FP620" s="58">
        <f>IF(i_eff_inputs_based_on_num=2,ER620,(INDEX(Lists!$L$51:$L$85,MATCH(BH263,Lists!$K$51:$K$85,0))))</f>
        <v>0</v>
      </c>
      <c r="FT620" s="58">
        <f t="shared" si="960"/>
        <v>0</v>
      </c>
      <c r="FW620" s="58">
        <f>IF(i_baseline_risk_from=2,'Effectiveness settings'!EW620,'Effectiveness settings'!FI620)</f>
        <v>0</v>
      </c>
      <c r="FX620" s="58">
        <f t="shared" si="961"/>
        <v>0</v>
      </c>
      <c r="FY620" s="58">
        <f t="shared" si="962"/>
        <v>0</v>
      </c>
      <c r="FZ620" s="58">
        <f t="shared" si="963"/>
        <v>0</v>
      </c>
      <c r="GA620" s="58">
        <f t="shared" si="964"/>
        <v>0</v>
      </c>
      <c r="GB620" s="58">
        <f t="shared" si="965"/>
        <v>0</v>
      </c>
      <c r="GC620" s="58">
        <f t="shared" si="966"/>
        <v>0</v>
      </c>
      <c r="GD620" s="58">
        <f t="shared" si="967"/>
        <v>0</v>
      </c>
      <c r="GE620" s="58">
        <f>IF(AND(dd_CheckMate214_TTD="Yes",'Effectiveness settings'!BU620=2,'Effectiveness settings'!BX620=2),"Apply HR to",GD620)</f>
        <v>0</v>
      </c>
      <c r="GF620" s="58">
        <f t="shared" si="968"/>
        <v>0</v>
      </c>
      <c r="GG620" s="58">
        <f t="shared" si="969"/>
        <v>0</v>
      </c>
      <c r="GH620" s="58">
        <f t="shared" si="970"/>
        <v>0</v>
      </c>
      <c r="GI620" s="58">
        <f t="shared" si="957"/>
        <v>0</v>
      </c>
      <c r="GK620" s="58">
        <f>IF(i_baseline_risk_from=2,'Effectiveness settings'!FA620,'Effectiveness settings'!FM620)</f>
        <v>3</v>
      </c>
      <c r="GL620" s="58">
        <f>IF(i_baseline_risk_from=2,'Effectiveness settings'!FB620,'Effectiveness settings'!FN620)</f>
        <v>4</v>
      </c>
      <c r="GM620" s="58">
        <f>IF(i_baseline_risk_from=2,'Effectiveness settings'!FC620,'Effectiveness settings'!FO620)</f>
        <v>2</v>
      </c>
      <c r="GN620" s="58">
        <f>IF(i_baseline_risk_from=2,'Effectiveness settings'!FD620,'Effectiveness settings'!FP620)</f>
        <v>0</v>
      </c>
      <c r="GQ620" s="58">
        <f t="shared" si="971"/>
        <v>4</v>
      </c>
      <c r="GR620" s="58">
        <f t="shared" si="972"/>
        <v>4</v>
      </c>
      <c r="GS620" s="58">
        <f t="shared" si="973"/>
        <v>4</v>
      </c>
      <c r="GT620" s="58">
        <f t="shared" si="974"/>
        <v>4</v>
      </c>
      <c r="GU620" s="58">
        <f>IF(AND(dd_CheckMate214_TTD="Yes",'Effectiveness settings'!BU620=2,'Effectiveness settings'!BX620=2),2,GT620)</f>
        <v>4</v>
      </c>
      <c r="GV620" s="58">
        <f t="shared" si="975"/>
        <v>4</v>
      </c>
      <c r="GW620" s="58">
        <f t="shared" si="976"/>
        <v>4</v>
      </c>
      <c r="GY620" s="58">
        <f>IF(AND(dd_CheckMate214_TTD="Yes",'Effectiveness settings'!BU620=2,'Effectiveness settings'!BX620=2),1,GN620)</f>
        <v>0</v>
      </c>
      <c r="GZ620" s="58">
        <f t="shared" si="977"/>
        <v>0</v>
      </c>
      <c r="HB620" s="58">
        <f t="shared" si="978"/>
        <v>0</v>
      </c>
      <c r="HD620" s="58">
        <f t="shared" si="952"/>
        <v>0</v>
      </c>
      <c r="HE620" s="58">
        <f t="shared" si="953"/>
        <v>3</v>
      </c>
      <c r="HF620" s="58">
        <f t="shared" si="954"/>
        <v>4</v>
      </c>
      <c r="HG620" s="58">
        <f t="shared" si="955"/>
        <v>2</v>
      </c>
      <c r="HH620" s="58">
        <f t="shared" si="956"/>
        <v>0</v>
      </c>
    </row>
    <row r="621" spans="69:216" ht="15.75" x14ac:dyDescent="0.25">
      <c r="BQ621" s="58">
        <f t="shared" si="958"/>
        <v>356</v>
      </c>
      <c r="BR621" s="61">
        <v>0</v>
      </c>
      <c r="BS621" s="61" t="s">
        <v>31</v>
      </c>
      <c r="BT621" s="17">
        <v>4</v>
      </c>
      <c r="BU621" s="17">
        <v>5</v>
      </c>
      <c r="BV621" s="252" t="str">
        <f t="shared" si="979"/>
        <v>pazopanib</v>
      </c>
      <c r="BW621" s="1006" t="str" cm="1">
        <f t="array" ref="BW621">IF(AZ264="No",AZ264,INDEX(List_incl_anal_4L_all,IF(BU621=999,35,BU621+1)))</f>
        <v>Yes</v>
      </c>
      <c r="BX621" s="61">
        <f t="shared" si="980"/>
        <v>0</v>
      </c>
      <c r="BY621" s="532" t="str">
        <f t="shared" ref="BY621:BY629" si="1002">BA264</f>
        <v>Overall survival</v>
      </c>
      <c r="BZ621" s="530" t="str">
        <f t="shared" si="981"/>
        <v>Apply HR to</v>
      </c>
      <c r="CA621" s="531">
        <f t="shared" si="1001"/>
        <v>0</v>
      </c>
      <c r="CB621" s="530">
        <f t="shared" si="982"/>
        <v>0</v>
      </c>
      <c r="CC621" s="530">
        <f t="shared" si="983"/>
        <v>3</v>
      </c>
      <c r="CD621" s="530">
        <f t="shared" si="984"/>
        <v>5</v>
      </c>
      <c r="CE621" s="1295">
        <f t="shared" si="985"/>
        <v>2</v>
      </c>
      <c r="CF621" s="1301">
        <f t="shared" si="986"/>
        <v>0</v>
      </c>
      <c r="CG621" s="530" t="str">
        <f t="shared" si="987"/>
        <v/>
      </c>
      <c r="CH621" s="505">
        <f t="shared" si="988"/>
        <v>2.0059999999999998</v>
      </c>
      <c r="CI621" s="505">
        <f t="shared" si="988"/>
        <v>1.45</v>
      </c>
      <c r="CJ621" s="505">
        <f t="shared" si="988"/>
        <v>2.7770000000000001</v>
      </c>
      <c r="DK621" s="58" t="str" cm="1">
        <f t="array" ref="DK621">IF(AND($BT621=4,$BX621=4,$BU621=999),$DB$36,_xlfn.IFNA(INDEX(DB$13:DB$70,MATCH(1,($BR621=$CV$13:$CV$70)*($BT621=$CX$13:$CX$70)*($CE621=$CY$13:$CY$70)*($BY621=$DA$13:$DA$70)*($CD621=$DH$13:$DH$70),0)),""))</f>
        <v/>
      </c>
      <c r="DL621" s="58" t="str" cm="1">
        <f t="array" ref="DL621">IF(AND($BT621=4,$BX621=4,$BU621=999),$DC$36,_xlfn.IFNA(INDEX(CHOOSE(DP621,DB$13:DB$70,DC$13:DC$70,DD$13:DD$70,DE$13:DE$70),MATCH(1,($BR621=$CV$13:$CV$70)*($BT621=$CX$13:$CX$70)*($CE621=$CY$13:$CY$70)*($BY621=$DA$13:$DA$70)*($CD621=$DH$13:$DH$70),0)),""))</f>
        <v/>
      </c>
      <c r="DM621" s="740" t="str" cm="1">
        <f t="array" ref="DM621">IF(AND($BT621=4,$BX621=4,$BU621=999),$DD$36,_xlfn.IFNA(INDEX(DD$13:DD$68,MATCH(1,($BR621=$CV$13:$CV$68)*($BT621=$CX$13:$CX$68)*($CE621=$CY$13:$CY$68)*($BY621=$DA$13:$DA$68)*($CD621=$DH$13:$DH$68),0)),""))</f>
        <v/>
      </c>
      <c r="DN621" s="740" t="str" cm="1">
        <f t="array" ref="DN621">IF(AND($BT621=4,$BX621=4,$BU621=999),$DD$36,_xlfn.IFNA(INDEX(DE$13:DE$68,MATCH(1,($BR621=$CV$13:$CV$68)*($BT621=$CX$13:$CX$68)*($CE621=$CY$13:$CY$68)*($BY621=$DA$13:$DA$68)*($CD621=$DH$13:$DH$68),0)),""))</f>
        <v/>
      </c>
      <c r="DO621" s="58" t="str" cm="1">
        <f t="array" ref="DO621">IF(AND($BT621=4,$BX621=4,$BU621=999),$DF$36,_xlfn.IFNA(INDEX(DF$13:DF$70,MATCH(1,($BR621=$CV$13:$CV$70)*($BT621=$CX$13:$CX$70)*($CE621=$CY$13:$CY$70)*($BY621=$DA$13:$DA$70)*($CD621=$DH$13:$DH$70),0)),""))</f>
        <v/>
      </c>
      <c r="DP621" s="58" t="e">
        <f t="shared" si="959"/>
        <v>#N/A</v>
      </c>
      <c r="DW621" s="58" t="s">
        <v>74</v>
      </c>
      <c r="DX621" s="58" t="s">
        <v>544</v>
      </c>
      <c r="DY621" s="58" t="s">
        <v>578</v>
      </c>
      <c r="DZ621" s="58">
        <v>0</v>
      </c>
      <c r="EB621" s="58">
        <v>0</v>
      </c>
      <c r="EC621" s="58">
        <v>3</v>
      </c>
      <c r="ED621" s="58">
        <v>5</v>
      </c>
      <c r="EE621" s="58">
        <v>2</v>
      </c>
      <c r="EF621" s="58">
        <v>0</v>
      </c>
      <c r="EI621" s="58" t="s">
        <v>74</v>
      </c>
      <c r="EJ621" s="58" t="s">
        <v>544</v>
      </c>
      <c r="EK621" s="58" t="s">
        <v>578</v>
      </c>
      <c r="EL621" s="58">
        <v>0</v>
      </c>
      <c r="EN621" s="58">
        <v>0</v>
      </c>
      <c r="EO621" s="58">
        <v>3</v>
      </c>
      <c r="EP621" s="58">
        <v>5</v>
      </c>
      <c r="EQ621" s="58">
        <v>1</v>
      </c>
      <c r="ER621" s="58">
        <v>0</v>
      </c>
      <c r="EU621" s="58" t="str">
        <f t="shared" si="989"/>
        <v>Yes</v>
      </c>
      <c r="EV621" s="58" t="str">
        <f t="shared" si="990"/>
        <v>Overall survival</v>
      </c>
      <c r="EW621" s="58" t="str">
        <f t="shared" si="991"/>
        <v>Apply HR to</v>
      </c>
      <c r="EX621" s="58">
        <f t="shared" si="992"/>
        <v>0</v>
      </c>
      <c r="EZ621" s="58">
        <f t="shared" si="993"/>
        <v>0</v>
      </c>
      <c r="FA621" s="58">
        <f t="shared" si="994"/>
        <v>3</v>
      </c>
      <c r="FB621" s="58">
        <f>IF(i_eff_inputs_based_on_num=2,ED621,(INDEX(Lists!$L$51:$L$85,MATCH(BF264,Lists!$K$51:$K$85,0))))</f>
        <v>5</v>
      </c>
      <c r="FC621" s="58">
        <f>IF(i_eff_inputs_based_on_num=2,EE621,(INDEX(Lists!$L$51:$L$85,MATCH(BG264,Lists!$K$51:$K$85,0))))</f>
        <v>2</v>
      </c>
      <c r="FD621" s="58">
        <f>IF(i_eff_inputs_based_on_num=2,EF621,(INDEX(Lists!$L$51:$L$85,MATCH(BH264,Lists!$K$51:$K$85,0))))</f>
        <v>0</v>
      </c>
      <c r="FG621" s="58" t="str">
        <f t="shared" si="995"/>
        <v>Yes</v>
      </c>
      <c r="FH621" s="58" t="str">
        <f t="shared" si="996"/>
        <v>Overall survival</v>
      </c>
      <c r="FI621" s="58" t="str">
        <f t="shared" si="997"/>
        <v>Apply HR to</v>
      </c>
      <c r="FJ621" s="58">
        <f t="shared" si="998"/>
        <v>0</v>
      </c>
      <c r="FL621" s="58">
        <f t="shared" si="999"/>
        <v>0</v>
      </c>
      <c r="FM621" s="58">
        <f t="shared" si="1000"/>
        <v>3</v>
      </c>
      <c r="FN621" s="58">
        <f>IF(i_eff_inputs_based_on_num=2,EP621,(INDEX(Lists!$L$51:$L$85,MATCH(BF264,Lists!$K$51:$K$85,0))))</f>
        <v>5</v>
      </c>
      <c r="FO621" s="58">
        <f>IF(i_eff_inputs_based_on_num=2,EQ621,(INDEX(Lists!$L$51:$L$85,MATCH(BG264,Lists!$K$51:$K$85,0))))</f>
        <v>1</v>
      </c>
      <c r="FP621" s="58">
        <f>IF(i_eff_inputs_based_on_num=2,ER621,(INDEX(Lists!$L$51:$L$85,MATCH(BH264,Lists!$K$51:$K$85,0))))</f>
        <v>0</v>
      </c>
      <c r="FT621" s="58">
        <f t="shared" si="960"/>
        <v>0</v>
      </c>
      <c r="FW621" s="58" t="str">
        <f>IF(i_baseline_risk_from=2,'Effectiveness settings'!EW621,'Effectiveness settings'!FI621)</f>
        <v>Apply HR to</v>
      </c>
      <c r="FX621" s="58" t="str">
        <f t="shared" si="961"/>
        <v>Apply HR to</v>
      </c>
      <c r="FY621" s="58" t="str">
        <f t="shared" si="962"/>
        <v>Apply HR to</v>
      </c>
      <c r="FZ621" s="58" t="str">
        <f t="shared" si="963"/>
        <v>Apply HR to</v>
      </c>
      <c r="GA621" s="58" t="str">
        <f t="shared" si="964"/>
        <v>Apply HR to</v>
      </c>
      <c r="GB621" s="58" t="str">
        <f t="shared" si="965"/>
        <v>Apply HR to</v>
      </c>
      <c r="GC621" s="58" t="str">
        <f t="shared" si="966"/>
        <v>Apply HR to</v>
      </c>
      <c r="GD621" s="58" t="str">
        <f t="shared" si="967"/>
        <v>Apply HR to</v>
      </c>
      <c r="GE621" s="58" t="str">
        <f>IF(AND(dd_CheckMate214_TTD="Yes",'Effectiveness settings'!BU621=2,'Effectiveness settings'!BX621=2),"Apply HR to",GD621)</f>
        <v>Apply HR to</v>
      </c>
      <c r="GF621" s="58" t="str">
        <f t="shared" si="968"/>
        <v>Apply HR to</v>
      </c>
      <c r="GG621" s="58" t="str">
        <f t="shared" si="969"/>
        <v>Apply HR to</v>
      </c>
      <c r="GH621" s="58" t="str">
        <f t="shared" si="970"/>
        <v>Apply HR to</v>
      </c>
      <c r="GI621" s="58" t="str">
        <f t="shared" si="957"/>
        <v>Apply HR to</v>
      </c>
      <c r="GK621" s="58">
        <f>IF(i_baseline_risk_from=2,'Effectiveness settings'!FA621,'Effectiveness settings'!FM621)</f>
        <v>3</v>
      </c>
      <c r="GL621" s="58">
        <f>IF(i_baseline_risk_from=2,'Effectiveness settings'!FB621,'Effectiveness settings'!FN621)</f>
        <v>5</v>
      </c>
      <c r="GM621" s="58">
        <f>IF(i_baseline_risk_from=2,'Effectiveness settings'!FC621,'Effectiveness settings'!FO621)</f>
        <v>2</v>
      </c>
      <c r="GN621" s="58">
        <f>IF(i_baseline_risk_from=2,'Effectiveness settings'!FD621,'Effectiveness settings'!FP621)</f>
        <v>0</v>
      </c>
      <c r="GQ621" s="58">
        <f t="shared" si="971"/>
        <v>5</v>
      </c>
      <c r="GR621" s="58">
        <f t="shared" si="972"/>
        <v>5</v>
      </c>
      <c r="GS621" s="58">
        <f t="shared" si="973"/>
        <v>5</v>
      </c>
      <c r="GT621" s="58">
        <f t="shared" si="974"/>
        <v>5</v>
      </c>
      <c r="GU621" s="58">
        <f>IF(AND(dd_CheckMate214_TTD="Yes",'Effectiveness settings'!BU621=2,'Effectiveness settings'!BX621=2),2,GT621)</f>
        <v>5</v>
      </c>
      <c r="GV621" s="58">
        <f t="shared" si="975"/>
        <v>5</v>
      </c>
      <c r="GW621" s="58">
        <f t="shared" si="976"/>
        <v>5</v>
      </c>
      <c r="GY621" s="58">
        <f>IF(AND(dd_CheckMate214_TTD="Yes",'Effectiveness settings'!BU621=2,'Effectiveness settings'!BX621=2),1,GN621)</f>
        <v>0</v>
      </c>
      <c r="GZ621" s="58">
        <f t="shared" si="977"/>
        <v>0</v>
      </c>
      <c r="HB621" s="58">
        <f t="shared" si="978"/>
        <v>0</v>
      </c>
      <c r="HD621" s="58">
        <f t="shared" si="952"/>
        <v>0</v>
      </c>
      <c r="HE621" s="58">
        <f t="shared" si="953"/>
        <v>3</v>
      </c>
      <c r="HF621" s="58">
        <f t="shared" si="954"/>
        <v>5</v>
      </c>
      <c r="HG621" s="58">
        <f t="shared" si="955"/>
        <v>2</v>
      </c>
      <c r="HH621" s="58">
        <f t="shared" si="956"/>
        <v>0</v>
      </c>
    </row>
    <row r="622" spans="69:216" ht="15.75" x14ac:dyDescent="0.25">
      <c r="BQ622" s="58">
        <f t="shared" si="958"/>
        <v>357</v>
      </c>
      <c r="BR622" s="61">
        <v>0</v>
      </c>
      <c r="BS622" s="61" t="s">
        <v>31</v>
      </c>
      <c r="BT622" s="17">
        <v>4</v>
      </c>
      <c r="BU622" s="17">
        <v>6</v>
      </c>
      <c r="BV622" s="252" t="str">
        <f t="shared" si="979"/>
        <v>tivozanib</v>
      </c>
      <c r="BW622" s="1006" t="str" cm="1">
        <f t="array" ref="BW622">IF(AZ265="No",AZ265,INDEX(List_incl_anal_4L_all,IF(BU622=999,35,BU622+1)))</f>
        <v>Yes</v>
      </c>
      <c r="BX622" s="61">
        <f t="shared" si="980"/>
        <v>0</v>
      </c>
      <c r="BY622" s="532" t="str">
        <f t="shared" si="1002"/>
        <v>Overall survival</v>
      </c>
      <c r="BZ622" s="530" t="str">
        <f t="shared" si="981"/>
        <v>Apply HR to</v>
      </c>
      <c r="CA622" s="531">
        <f t="shared" si="1001"/>
        <v>0</v>
      </c>
      <c r="CB622" s="530">
        <f t="shared" si="982"/>
        <v>0</v>
      </c>
      <c r="CC622" s="530">
        <f t="shared" si="983"/>
        <v>3</v>
      </c>
      <c r="CD622" s="530">
        <f t="shared" si="984"/>
        <v>6</v>
      </c>
      <c r="CE622" s="1295">
        <f t="shared" si="985"/>
        <v>2</v>
      </c>
      <c r="CF622" s="1301">
        <f t="shared" si="986"/>
        <v>0</v>
      </c>
      <c r="CG622" s="530" t="str">
        <f t="shared" si="987"/>
        <v/>
      </c>
      <c r="CH622" s="505">
        <f t="shared" si="988"/>
        <v>2.0059999999999998</v>
      </c>
      <c r="CI622" s="505">
        <f t="shared" si="988"/>
        <v>1.45</v>
      </c>
      <c r="CJ622" s="505">
        <f t="shared" si="988"/>
        <v>2.7770000000000001</v>
      </c>
      <c r="DK622" s="58" t="str" cm="1">
        <f t="array" ref="DK622">IF(AND($BT622=4,$BX622=4,$BU622=999),$DB$36,_xlfn.IFNA(INDEX(DB$13:DB$70,MATCH(1,($BR622=$CV$13:$CV$70)*($BT622=$CX$13:$CX$70)*($CE622=$CY$13:$CY$70)*($BY622=$DA$13:$DA$70)*($CD622=$DH$13:$DH$70),0)),""))</f>
        <v/>
      </c>
      <c r="DL622" s="58" t="str" cm="1">
        <f t="array" ref="DL622">IF(AND($BT622=4,$BX622=4,$BU622=999),$DC$36,_xlfn.IFNA(INDEX(CHOOSE(DP622,DB$13:DB$70,DC$13:DC$70,DD$13:DD$70,DE$13:DE$70),MATCH(1,($BR622=$CV$13:$CV$70)*($BT622=$CX$13:$CX$70)*($CE622=$CY$13:$CY$70)*($BY622=$DA$13:$DA$70)*($CD622=$DH$13:$DH$70),0)),""))</f>
        <v/>
      </c>
      <c r="DM622" s="740" t="str" cm="1">
        <f t="array" ref="DM622">IF(AND($BT622=4,$BX622=4,$BU622=999),$DD$36,_xlfn.IFNA(INDEX(DD$13:DD$68,MATCH(1,($BR622=$CV$13:$CV$68)*($BT622=$CX$13:$CX$68)*($CE622=$CY$13:$CY$68)*($BY622=$DA$13:$DA$68)*($CD622=$DH$13:$DH$68),0)),""))</f>
        <v/>
      </c>
      <c r="DN622" s="740" t="str" cm="1">
        <f t="array" ref="DN622">IF(AND($BT622=4,$BX622=4,$BU622=999),$DD$36,_xlfn.IFNA(INDEX(DE$13:DE$68,MATCH(1,($BR622=$CV$13:$CV$68)*($BT622=$CX$13:$CX$68)*($CE622=$CY$13:$CY$68)*($BY622=$DA$13:$DA$68)*($CD622=$DH$13:$DH$68),0)),""))</f>
        <v/>
      </c>
      <c r="DO622" s="58" t="str" cm="1">
        <f t="array" ref="DO622">IF(AND($BT622=4,$BX622=4,$BU622=999),$DF$36,_xlfn.IFNA(INDEX(DF$13:DF$70,MATCH(1,($BR622=$CV$13:$CV$70)*($BT622=$CX$13:$CX$70)*($CE622=$CY$13:$CY$70)*($BY622=$DA$13:$DA$70)*($CD622=$DH$13:$DH$70),0)),""))</f>
        <v/>
      </c>
      <c r="DP622" s="58" t="e">
        <f t="shared" si="959"/>
        <v>#N/A</v>
      </c>
      <c r="DW622" s="58" t="s">
        <v>74</v>
      </c>
      <c r="DX622" s="58" t="s">
        <v>544</v>
      </c>
      <c r="DY622" s="58" t="s">
        <v>578</v>
      </c>
      <c r="DZ622" s="58">
        <v>0</v>
      </c>
      <c r="EB622" s="58">
        <v>0</v>
      </c>
      <c r="EC622" s="58">
        <v>3</v>
      </c>
      <c r="ED622" s="58">
        <v>6</v>
      </c>
      <c r="EE622" s="58">
        <v>2</v>
      </c>
      <c r="EF622" s="58">
        <v>0</v>
      </c>
      <c r="EI622" s="58" t="s">
        <v>74</v>
      </c>
      <c r="EJ622" s="58" t="s">
        <v>544</v>
      </c>
      <c r="EK622" s="58" t="s">
        <v>578</v>
      </c>
      <c r="EL622" s="58">
        <v>0</v>
      </c>
      <c r="EN622" s="58">
        <v>0</v>
      </c>
      <c r="EO622" s="58">
        <v>3</v>
      </c>
      <c r="EP622" s="58">
        <v>6</v>
      </c>
      <c r="EQ622" s="58">
        <v>1</v>
      </c>
      <c r="ER622" s="58">
        <v>0</v>
      </c>
      <c r="EU622" s="58" t="str">
        <f t="shared" si="989"/>
        <v>Yes</v>
      </c>
      <c r="EV622" s="58" t="str">
        <f t="shared" si="990"/>
        <v>Overall survival</v>
      </c>
      <c r="EW622" s="58" t="str">
        <f t="shared" si="991"/>
        <v>Apply HR to</v>
      </c>
      <c r="EX622" s="58">
        <f t="shared" si="992"/>
        <v>0</v>
      </c>
      <c r="EZ622" s="58">
        <f t="shared" si="993"/>
        <v>0</v>
      </c>
      <c r="FA622" s="58">
        <f t="shared" si="994"/>
        <v>3</v>
      </c>
      <c r="FB622" s="58">
        <f>IF(i_eff_inputs_based_on_num=2,ED622,(INDEX(Lists!$L$51:$L$85,MATCH(BF265,Lists!$K$51:$K$85,0))))</f>
        <v>6</v>
      </c>
      <c r="FC622" s="58">
        <f>IF(i_eff_inputs_based_on_num=2,EE622,(INDEX(Lists!$L$51:$L$85,MATCH(BG265,Lists!$K$51:$K$85,0))))</f>
        <v>2</v>
      </c>
      <c r="FD622" s="58">
        <f>IF(i_eff_inputs_based_on_num=2,EF622,(INDEX(Lists!$L$51:$L$85,MATCH(BH265,Lists!$K$51:$K$85,0))))</f>
        <v>0</v>
      </c>
      <c r="FG622" s="58" t="str">
        <f t="shared" si="995"/>
        <v>Yes</v>
      </c>
      <c r="FH622" s="58" t="str">
        <f t="shared" si="996"/>
        <v>Overall survival</v>
      </c>
      <c r="FI622" s="58" t="str">
        <f t="shared" si="997"/>
        <v>Apply HR to</v>
      </c>
      <c r="FJ622" s="58">
        <f t="shared" si="998"/>
        <v>0</v>
      </c>
      <c r="FL622" s="58">
        <f t="shared" si="999"/>
        <v>0</v>
      </c>
      <c r="FM622" s="58">
        <f t="shared" si="1000"/>
        <v>3</v>
      </c>
      <c r="FN622" s="58">
        <f>IF(i_eff_inputs_based_on_num=2,EP622,(INDEX(Lists!$L$51:$L$85,MATCH(BF265,Lists!$K$51:$K$85,0))))</f>
        <v>6</v>
      </c>
      <c r="FO622" s="58">
        <f>IF(i_eff_inputs_based_on_num=2,EQ622,(INDEX(Lists!$L$51:$L$85,MATCH(BG265,Lists!$K$51:$K$85,0))))</f>
        <v>1</v>
      </c>
      <c r="FP622" s="58">
        <f>IF(i_eff_inputs_based_on_num=2,ER622,(INDEX(Lists!$L$51:$L$85,MATCH(BH265,Lists!$K$51:$K$85,0))))</f>
        <v>0</v>
      </c>
      <c r="FT622" s="58">
        <f t="shared" si="960"/>
        <v>0</v>
      </c>
      <c r="FW622" s="58" t="str">
        <f>IF(i_baseline_risk_from=2,'Effectiveness settings'!EW622,'Effectiveness settings'!FI622)</f>
        <v>Apply HR to</v>
      </c>
      <c r="FX622" s="58" t="str">
        <f t="shared" si="961"/>
        <v>Apply HR to</v>
      </c>
      <c r="FY622" s="58" t="str">
        <f t="shared" si="962"/>
        <v>Apply HR to</v>
      </c>
      <c r="FZ622" s="58" t="str">
        <f t="shared" si="963"/>
        <v>Apply HR to</v>
      </c>
      <c r="GA622" s="58" t="str">
        <f t="shared" si="964"/>
        <v>Apply HR to</v>
      </c>
      <c r="GB622" s="58" t="str">
        <f t="shared" si="965"/>
        <v>Apply HR to</v>
      </c>
      <c r="GC622" s="58" t="str">
        <f t="shared" si="966"/>
        <v>Apply HR to</v>
      </c>
      <c r="GD622" s="58" t="str">
        <f t="shared" si="967"/>
        <v>Apply HR to</v>
      </c>
      <c r="GE622" s="58" t="str">
        <f>IF(AND(dd_CheckMate214_TTD="Yes",'Effectiveness settings'!BU622=2,'Effectiveness settings'!BX622=2),"Apply HR to",GD622)</f>
        <v>Apply HR to</v>
      </c>
      <c r="GF622" s="58" t="str">
        <f t="shared" si="968"/>
        <v>Apply HR to</v>
      </c>
      <c r="GG622" s="58" t="str">
        <f t="shared" si="969"/>
        <v>Apply HR to</v>
      </c>
      <c r="GH622" s="58" t="str">
        <f t="shared" si="970"/>
        <v>Apply HR to</v>
      </c>
      <c r="GI622" s="58" t="str">
        <f t="shared" si="957"/>
        <v>Apply HR to</v>
      </c>
      <c r="GK622" s="58">
        <f>IF(i_baseline_risk_from=2,'Effectiveness settings'!FA622,'Effectiveness settings'!FM622)</f>
        <v>3</v>
      </c>
      <c r="GL622" s="58">
        <f>IF(i_baseline_risk_from=2,'Effectiveness settings'!FB622,'Effectiveness settings'!FN622)</f>
        <v>6</v>
      </c>
      <c r="GM622" s="58">
        <f>IF(i_baseline_risk_from=2,'Effectiveness settings'!FC622,'Effectiveness settings'!FO622)</f>
        <v>2</v>
      </c>
      <c r="GN622" s="58">
        <f>IF(i_baseline_risk_from=2,'Effectiveness settings'!FD622,'Effectiveness settings'!FP622)</f>
        <v>0</v>
      </c>
      <c r="GQ622" s="58">
        <f t="shared" si="971"/>
        <v>6</v>
      </c>
      <c r="GR622" s="58">
        <f t="shared" si="972"/>
        <v>6</v>
      </c>
      <c r="GS622" s="58">
        <f t="shared" si="973"/>
        <v>6</v>
      </c>
      <c r="GT622" s="58">
        <f t="shared" si="974"/>
        <v>6</v>
      </c>
      <c r="GU622" s="58">
        <f>IF(AND(dd_CheckMate214_TTD="Yes",'Effectiveness settings'!BU622=2,'Effectiveness settings'!BX622=2),2,GT622)</f>
        <v>6</v>
      </c>
      <c r="GV622" s="58">
        <f t="shared" si="975"/>
        <v>6</v>
      </c>
      <c r="GW622" s="58">
        <f t="shared" si="976"/>
        <v>6</v>
      </c>
      <c r="GY622" s="58">
        <f>IF(AND(dd_CheckMate214_TTD="Yes",'Effectiveness settings'!BU622=2,'Effectiveness settings'!BX622=2),1,GN622)</f>
        <v>0</v>
      </c>
      <c r="GZ622" s="58">
        <f t="shared" si="977"/>
        <v>0</v>
      </c>
      <c r="HB622" s="58">
        <f t="shared" si="978"/>
        <v>0</v>
      </c>
      <c r="HD622" s="58">
        <f t="shared" si="952"/>
        <v>0</v>
      </c>
      <c r="HE622" s="58">
        <f t="shared" si="953"/>
        <v>3</v>
      </c>
      <c r="HF622" s="58">
        <f t="shared" si="954"/>
        <v>6</v>
      </c>
      <c r="HG622" s="58">
        <f t="shared" si="955"/>
        <v>2</v>
      </c>
      <c r="HH622" s="58">
        <f t="shared" si="956"/>
        <v>0</v>
      </c>
    </row>
    <row r="623" spans="69:216" ht="15.75" x14ac:dyDescent="0.25">
      <c r="BQ623" s="58">
        <f t="shared" si="958"/>
        <v>358</v>
      </c>
      <c r="BR623" s="61">
        <v>0</v>
      </c>
      <c r="BS623" s="61" t="s">
        <v>31</v>
      </c>
      <c r="BT623" s="17">
        <v>4</v>
      </c>
      <c r="BU623" s="17">
        <v>7</v>
      </c>
      <c r="BV623" s="252" t="str">
        <f t="shared" si="979"/>
        <v>sunitinib</v>
      </c>
      <c r="BW623" s="1006" t="str" cm="1">
        <f t="array" ref="BW623">IF(AZ266="No",AZ266,INDEX(List_incl_anal_4L_all,IF(BU623=999,35,BU623+1)))</f>
        <v>Yes</v>
      </c>
      <c r="BX623" s="61">
        <f t="shared" si="980"/>
        <v>0</v>
      </c>
      <c r="BY623" s="532" t="str">
        <f t="shared" si="1002"/>
        <v>Overall survival</v>
      </c>
      <c r="BZ623" s="530" t="str">
        <f t="shared" si="981"/>
        <v>Apply HR to</v>
      </c>
      <c r="CA623" s="531">
        <f t="shared" si="1001"/>
        <v>0</v>
      </c>
      <c r="CB623" s="530">
        <f t="shared" si="982"/>
        <v>0</v>
      </c>
      <c r="CC623" s="530">
        <f t="shared" si="983"/>
        <v>3</v>
      </c>
      <c r="CD623" s="530">
        <f t="shared" si="984"/>
        <v>7</v>
      </c>
      <c r="CE623" s="1295">
        <f t="shared" si="985"/>
        <v>2</v>
      </c>
      <c r="CF623" s="1301">
        <f t="shared" si="986"/>
        <v>0</v>
      </c>
      <c r="CG623" s="530" t="str">
        <f t="shared" si="987"/>
        <v/>
      </c>
      <c r="CH623" s="505">
        <f t="shared" si="988"/>
        <v>2.0059999999999998</v>
      </c>
      <c r="CI623" s="505">
        <f t="shared" si="988"/>
        <v>1.45</v>
      </c>
      <c r="CJ623" s="505">
        <f t="shared" si="988"/>
        <v>2.7770000000000001</v>
      </c>
      <c r="DK623" s="58" t="str" cm="1">
        <f t="array" ref="DK623">IF(AND($BT623=4,$BX623=4,$BU623=999),$DB$36,_xlfn.IFNA(INDEX(DB$13:DB$70,MATCH(1,($BR623=$CV$13:$CV$70)*($BT623=$CX$13:$CX$70)*($CE623=$CY$13:$CY$70)*($BY623=$DA$13:$DA$70)*($CD623=$DH$13:$DH$70),0)),""))</f>
        <v/>
      </c>
      <c r="DL623" s="58" t="str" cm="1">
        <f t="array" ref="DL623">IF(AND($BT623=4,$BX623=4,$BU623=999),$DC$36,_xlfn.IFNA(INDEX(CHOOSE(DP623,DB$13:DB$70,DC$13:DC$70,DD$13:DD$70,DE$13:DE$70),MATCH(1,($BR623=$CV$13:$CV$70)*($BT623=$CX$13:$CX$70)*($CE623=$CY$13:$CY$70)*($BY623=$DA$13:$DA$70)*($CD623=$DH$13:$DH$70),0)),""))</f>
        <v/>
      </c>
      <c r="DM623" s="740" t="str" cm="1">
        <f t="array" ref="DM623">IF(AND($BT623=4,$BX623=4,$BU623=999),$DD$36,_xlfn.IFNA(INDEX(DD$13:DD$68,MATCH(1,($BR623=$CV$13:$CV$68)*($BT623=$CX$13:$CX$68)*($CE623=$CY$13:$CY$68)*($BY623=$DA$13:$DA$68)*($CD623=$DH$13:$DH$68),0)),""))</f>
        <v/>
      </c>
      <c r="DN623" s="740" t="str" cm="1">
        <f t="array" ref="DN623">IF(AND($BT623=4,$BX623=4,$BU623=999),$DD$36,_xlfn.IFNA(INDEX(DE$13:DE$68,MATCH(1,($BR623=$CV$13:$CV$68)*($BT623=$CX$13:$CX$68)*($CE623=$CY$13:$CY$68)*($BY623=$DA$13:$DA$68)*($CD623=$DH$13:$DH$68),0)),""))</f>
        <v/>
      </c>
      <c r="DO623" s="58" t="str" cm="1">
        <f t="array" ref="DO623">IF(AND($BT623=4,$BX623=4,$BU623=999),$DF$36,_xlfn.IFNA(INDEX(DF$13:DF$70,MATCH(1,($BR623=$CV$13:$CV$70)*($BT623=$CX$13:$CX$70)*($CE623=$CY$13:$CY$70)*($BY623=$DA$13:$DA$70)*($CD623=$DH$13:$DH$70),0)),""))</f>
        <v/>
      </c>
      <c r="DP623" s="58" t="e">
        <f t="shared" si="959"/>
        <v>#N/A</v>
      </c>
      <c r="DW623" s="58" t="s">
        <v>74</v>
      </c>
      <c r="DX623" s="58" t="s">
        <v>544</v>
      </c>
      <c r="DY623" s="58" t="s">
        <v>578</v>
      </c>
      <c r="DZ623" s="58">
        <v>0</v>
      </c>
      <c r="EB623" s="58">
        <v>0</v>
      </c>
      <c r="EC623" s="58">
        <v>3</v>
      </c>
      <c r="ED623" s="58">
        <v>7</v>
      </c>
      <c r="EE623" s="58">
        <v>2</v>
      </c>
      <c r="EF623" s="58">
        <v>0</v>
      </c>
      <c r="EI623" s="58" t="s">
        <v>74</v>
      </c>
      <c r="EJ623" s="58" t="s">
        <v>544</v>
      </c>
      <c r="EK623" s="58" t="s">
        <v>578</v>
      </c>
      <c r="EL623" s="58">
        <v>0</v>
      </c>
      <c r="EN623" s="58">
        <v>0</v>
      </c>
      <c r="EO623" s="58">
        <v>3</v>
      </c>
      <c r="EP623" s="58">
        <v>7</v>
      </c>
      <c r="EQ623" s="58">
        <v>1</v>
      </c>
      <c r="ER623" s="58">
        <v>0</v>
      </c>
      <c r="EU623" s="58" t="str">
        <f t="shared" si="989"/>
        <v>Yes</v>
      </c>
      <c r="EV623" s="58" t="str">
        <f t="shared" si="990"/>
        <v>Overall survival</v>
      </c>
      <c r="EW623" s="58" t="str">
        <f t="shared" si="991"/>
        <v>Apply HR to</v>
      </c>
      <c r="EX623" s="58">
        <f t="shared" si="992"/>
        <v>0</v>
      </c>
      <c r="EZ623" s="58">
        <f t="shared" si="993"/>
        <v>0</v>
      </c>
      <c r="FA623" s="58">
        <f t="shared" si="994"/>
        <v>3</v>
      </c>
      <c r="FB623" s="58">
        <f>IF(i_eff_inputs_based_on_num=2,ED623,(INDEX(Lists!$L$51:$L$85,MATCH(BF266,Lists!$K$51:$K$85,0))))</f>
        <v>7</v>
      </c>
      <c r="FC623" s="58">
        <f>IF(i_eff_inputs_based_on_num=2,EE623,(INDEX(Lists!$L$51:$L$85,MATCH(BG266,Lists!$K$51:$K$85,0))))</f>
        <v>2</v>
      </c>
      <c r="FD623" s="58">
        <f>IF(i_eff_inputs_based_on_num=2,EF623,(INDEX(Lists!$L$51:$L$85,MATCH(BH266,Lists!$K$51:$K$85,0))))</f>
        <v>0</v>
      </c>
      <c r="FG623" s="58" t="str">
        <f t="shared" si="995"/>
        <v>Yes</v>
      </c>
      <c r="FH623" s="58" t="str">
        <f t="shared" si="996"/>
        <v>Overall survival</v>
      </c>
      <c r="FI623" s="58" t="str">
        <f t="shared" si="997"/>
        <v>Apply HR to</v>
      </c>
      <c r="FJ623" s="58">
        <f t="shared" si="998"/>
        <v>0</v>
      </c>
      <c r="FL623" s="58">
        <f t="shared" si="999"/>
        <v>0</v>
      </c>
      <c r="FM623" s="58">
        <f t="shared" si="1000"/>
        <v>3</v>
      </c>
      <c r="FN623" s="58">
        <f>IF(i_eff_inputs_based_on_num=2,EP623,(INDEX(Lists!$L$51:$L$85,MATCH(BF266,Lists!$K$51:$K$85,0))))</f>
        <v>7</v>
      </c>
      <c r="FO623" s="58">
        <f>IF(i_eff_inputs_based_on_num=2,EQ623,(INDEX(Lists!$L$51:$L$85,MATCH(BG266,Lists!$K$51:$K$85,0))))</f>
        <v>1</v>
      </c>
      <c r="FP623" s="58">
        <f>IF(i_eff_inputs_based_on_num=2,ER623,(INDEX(Lists!$L$51:$L$85,MATCH(BH266,Lists!$K$51:$K$85,0))))</f>
        <v>0</v>
      </c>
      <c r="FT623" s="58">
        <f t="shared" si="960"/>
        <v>0</v>
      </c>
      <c r="FW623" s="58" t="str">
        <f>IF(i_baseline_risk_from=2,'Effectiveness settings'!EW623,'Effectiveness settings'!FI623)</f>
        <v>Apply HR to</v>
      </c>
      <c r="FX623" s="58" t="str">
        <f t="shared" si="961"/>
        <v>Apply HR to</v>
      </c>
      <c r="FY623" s="58" t="str">
        <f t="shared" si="962"/>
        <v>Apply HR to</v>
      </c>
      <c r="FZ623" s="58" t="str">
        <f t="shared" si="963"/>
        <v>Apply HR to</v>
      </c>
      <c r="GA623" s="58" t="str">
        <f t="shared" si="964"/>
        <v>Apply HR to</v>
      </c>
      <c r="GB623" s="58" t="str">
        <f t="shared" si="965"/>
        <v>Apply HR to</v>
      </c>
      <c r="GC623" s="58" t="str">
        <f t="shared" si="966"/>
        <v>Apply HR to</v>
      </c>
      <c r="GD623" s="58" t="str">
        <f t="shared" si="967"/>
        <v>Apply HR to</v>
      </c>
      <c r="GE623" s="58" t="str">
        <f>IF(AND(dd_CheckMate214_TTD="Yes",'Effectiveness settings'!BU623=2,'Effectiveness settings'!BX623=2),"Apply HR to",GD623)</f>
        <v>Apply HR to</v>
      </c>
      <c r="GF623" s="58" t="str">
        <f t="shared" si="968"/>
        <v>Apply HR to</v>
      </c>
      <c r="GG623" s="58" t="str">
        <f t="shared" si="969"/>
        <v>Apply HR to</v>
      </c>
      <c r="GH623" s="58" t="str">
        <f t="shared" si="970"/>
        <v>Apply HR to</v>
      </c>
      <c r="GI623" s="58" t="str">
        <f t="shared" si="957"/>
        <v>Apply HR to</v>
      </c>
      <c r="GK623" s="58">
        <f>IF(i_baseline_risk_from=2,'Effectiveness settings'!FA623,'Effectiveness settings'!FM623)</f>
        <v>3</v>
      </c>
      <c r="GL623" s="58">
        <f>IF(i_baseline_risk_from=2,'Effectiveness settings'!FB623,'Effectiveness settings'!FN623)</f>
        <v>7</v>
      </c>
      <c r="GM623" s="58">
        <f>IF(i_baseline_risk_from=2,'Effectiveness settings'!FC623,'Effectiveness settings'!FO623)</f>
        <v>2</v>
      </c>
      <c r="GN623" s="58">
        <f>IF(i_baseline_risk_from=2,'Effectiveness settings'!FD623,'Effectiveness settings'!FP623)</f>
        <v>0</v>
      </c>
      <c r="GQ623" s="58">
        <f t="shared" si="971"/>
        <v>7</v>
      </c>
      <c r="GR623" s="58">
        <f t="shared" si="972"/>
        <v>7</v>
      </c>
      <c r="GS623" s="58">
        <f t="shared" si="973"/>
        <v>7</v>
      </c>
      <c r="GT623" s="58">
        <f t="shared" si="974"/>
        <v>7</v>
      </c>
      <c r="GU623" s="58">
        <f>IF(AND(dd_CheckMate214_TTD="Yes",'Effectiveness settings'!BU623=2,'Effectiveness settings'!BX623=2),2,GT623)</f>
        <v>7</v>
      </c>
      <c r="GV623" s="58">
        <f t="shared" si="975"/>
        <v>7</v>
      </c>
      <c r="GW623" s="58">
        <f t="shared" si="976"/>
        <v>7</v>
      </c>
      <c r="GY623" s="58">
        <f>IF(AND(dd_CheckMate214_TTD="Yes",'Effectiveness settings'!BU623=2,'Effectiveness settings'!BX623=2),1,GN623)</f>
        <v>0</v>
      </c>
      <c r="GZ623" s="58">
        <f t="shared" si="977"/>
        <v>0</v>
      </c>
      <c r="HB623" s="58">
        <f t="shared" si="978"/>
        <v>0</v>
      </c>
      <c r="HD623" s="58">
        <f t="shared" si="952"/>
        <v>0</v>
      </c>
      <c r="HE623" s="58">
        <f t="shared" si="953"/>
        <v>3</v>
      </c>
      <c r="HF623" s="58">
        <f t="shared" si="954"/>
        <v>7</v>
      </c>
      <c r="HG623" s="58">
        <f t="shared" si="955"/>
        <v>2</v>
      </c>
      <c r="HH623" s="58">
        <f t="shared" si="956"/>
        <v>0</v>
      </c>
    </row>
    <row r="624" spans="69:216" ht="15.75" x14ac:dyDescent="0.25">
      <c r="BQ624" s="58">
        <f t="shared" si="958"/>
        <v>359</v>
      </c>
      <c r="BR624" s="61">
        <v>0</v>
      </c>
      <c r="BS624" s="61" t="s">
        <v>31</v>
      </c>
      <c r="BT624" s="17">
        <v>4</v>
      </c>
      <c r="BU624" s="17">
        <v>8</v>
      </c>
      <c r="BV624" s="252" t="str">
        <f t="shared" si="979"/>
        <v>cabozantinib</v>
      </c>
      <c r="BW624" s="1006" t="str" cm="1">
        <f t="array" ref="BW624">IF(AZ267="No",AZ267,INDEX(List_incl_anal_4L_all,IF(BU624=999,35,BU624+1)))</f>
        <v>Yes</v>
      </c>
      <c r="BX624" s="61">
        <f t="shared" si="980"/>
        <v>0</v>
      </c>
      <c r="BY624" s="532" t="str">
        <f t="shared" si="1002"/>
        <v>Overall survival</v>
      </c>
      <c r="BZ624" s="530" t="str">
        <f t="shared" si="981"/>
        <v>Apply HR to</v>
      </c>
      <c r="CA624" s="531">
        <f t="shared" si="1001"/>
        <v>0</v>
      </c>
      <c r="CB624" s="530">
        <f t="shared" si="982"/>
        <v>0</v>
      </c>
      <c r="CC624" s="530">
        <f t="shared" si="983"/>
        <v>3</v>
      </c>
      <c r="CD624" s="530">
        <f t="shared" si="984"/>
        <v>8</v>
      </c>
      <c r="CE624" s="1295">
        <f t="shared" si="985"/>
        <v>2</v>
      </c>
      <c r="CF624" s="1301">
        <f t="shared" si="986"/>
        <v>0</v>
      </c>
      <c r="CG624" s="530" t="str">
        <f t="shared" si="987"/>
        <v/>
      </c>
      <c r="CH624" s="505">
        <f t="shared" si="988"/>
        <v>2.0059999999999998</v>
      </c>
      <c r="CI624" s="505">
        <f t="shared" si="988"/>
        <v>1.45</v>
      </c>
      <c r="CJ624" s="505">
        <f t="shared" si="988"/>
        <v>2.7770000000000001</v>
      </c>
      <c r="DK624" s="58" t="str" cm="1">
        <f t="array" ref="DK624">IF(AND($BT624=4,$BX624=4,$BU624=999),$DB$36,_xlfn.IFNA(INDEX(DB$13:DB$70,MATCH(1,($BR624=$CV$13:$CV$70)*($BT624=$CX$13:$CX$70)*($CE624=$CY$13:$CY$70)*($BY624=$DA$13:$DA$70)*($CD624=$DH$13:$DH$70),0)),""))</f>
        <v/>
      </c>
      <c r="DL624" s="58" t="str" cm="1">
        <f t="array" ref="DL624">IF(AND($BT624=4,$BX624=4,$BU624=999),$DC$36,_xlfn.IFNA(INDEX(CHOOSE(DP624,DB$13:DB$70,DC$13:DC$70,DD$13:DD$70,DE$13:DE$70),MATCH(1,($BR624=$CV$13:$CV$70)*($BT624=$CX$13:$CX$70)*($CE624=$CY$13:$CY$70)*($BY624=$DA$13:$DA$70)*($CD624=$DH$13:$DH$70),0)),""))</f>
        <v/>
      </c>
      <c r="DM624" s="740" t="str" cm="1">
        <f t="array" ref="DM624">IF(AND($BT624=4,$BX624=4,$BU624=999),$DD$36,_xlfn.IFNA(INDEX(DD$13:DD$68,MATCH(1,($BR624=$CV$13:$CV$68)*($BT624=$CX$13:$CX$68)*($CE624=$CY$13:$CY$68)*($BY624=$DA$13:$DA$68)*($CD624=$DH$13:$DH$68),0)),""))</f>
        <v/>
      </c>
      <c r="DN624" s="740" t="str" cm="1">
        <f t="array" ref="DN624">IF(AND($BT624=4,$BX624=4,$BU624=999),$DD$36,_xlfn.IFNA(INDEX(DE$13:DE$68,MATCH(1,($BR624=$CV$13:$CV$68)*($BT624=$CX$13:$CX$68)*($CE624=$CY$13:$CY$68)*($BY624=$DA$13:$DA$68)*($CD624=$DH$13:$DH$68),0)),""))</f>
        <v/>
      </c>
      <c r="DO624" s="58" t="str" cm="1">
        <f t="array" ref="DO624">IF(AND($BT624=4,$BX624=4,$BU624=999),$DF$36,_xlfn.IFNA(INDEX(DF$13:DF$70,MATCH(1,($BR624=$CV$13:$CV$70)*($BT624=$CX$13:$CX$70)*($CE624=$CY$13:$CY$70)*($BY624=$DA$13:$DA$70)*($CD624=$DH$13:$DH$70),0)),""))</f>
        <v/>
      </c>
      <c r="DP624" s="58" t="e">
        <f t="shared" si="959"/>
        <v>#N/A</v>
      </c>
      <c r="DW624" s="58" t="s">
        <v>74</v>
      </c>
      <c r="DX624" s="58" t="s">
        <v>544</v>
      </c>
      <c r="DY624" s="58" t="s">
        <v>578</v>
      </c>
      <c r="DZ624" s="58">
        <v>0</v>
      </c>
      <c r="EB624" s="58">
        <v>0</v>
      </c>
      <c r="EC624" s="58">
        <v>3</v>
      </c>
      <c r="ED624" s="58">
        <v>8</v>
      </c>
      <c r="EE624" s="58">
        <v>2</v>
      </c>
      <c r="EF624" s="58">
        <v>0</v>
      </c>
      <c r="EI624" s="58" t="s">
        <v>74</v>
      </c>
      <c r="EJ624" s="58" t="s">
        <v>544</v>
      </c>
      <c r="EK624" s="58" t="s">
        <v>578</v>
      </c>
      <c r="EL624" s="58">
        <v>0</v>
      </c>
      <c r="EN624" s="58">
        <v>0</v>
      </c>
      <c r="EO624" s="58">
        <v>3</v>
      </c>
      <c r="EP624" s="58">
        <v>8</v>
      </c>
      <c r="EQ624" s="58">
        <v>1</v>
      </c>
      <c r="ER624" s="58">
        <v>0</v>
      </c>
      <c r="EU624" s="58" t="str">
        <f t="shared" si="989"/>
        <v>Yes</v>
      </c>
      <c r="EV624" s="58" t="str">
        <f t="shared" si="990"/>
        <v>Overall survival</v>
      </c>
      <c r="EW624" s="58" t="str">
        <f t="shared" si="991"/>
        <v>Apply HR to</v>
      </c>
      <c r="EX624" s="58">
        <f t="shared" si="992"/>
        <v>0</v>
      </c>
      <c r="EZ624" s="58">
        <f t="shared" si="993"/>
        <v>0</v>
      </c>
      <c r="FA624" s="58">
        <f t="shared" si="994"/>
        <v>3</v>
      </c>
      <c r="FB624" s="58">
        <f>IF(i_eff_inputs_based_on_num=2,ED624,(INDEX(Lists!$L$51:$L$85,MATCH(BF267,Lists!$K$51:$K$85,0))))</f>
        <v>8</v>
      </c>
      <c r="FC624" s="58">
        <f>IF(i_eff_inputs_based_on_num=2,EE624,(INDEX(Lists!$L$51:$L$85,MATCH(BG267,Lists!$K$51:$K$85,0))))</f>
        <v>2</v>
      </c>
      <c r="FD624" s="58">
        <f>IF(i_eff_inputs_based_on_num=2,EF624,(INDEX(Lists!$L$51:$L$85,MATCH(BH267,Lists!$K$51:$K$85,0))))</f>
        <v>0</v>
      </c>
      <c r="FG624" s="58" t="str">
        <f t="shared" si="995"/>
        <v>Yes</v>
      </c>
      <c r="FH624" s="58" t="str">
        <f t="shared" si="996"/>
        <v>Overall survival</v>
      </c>
      <c r="FI624" s="58" t="str">
        <f t="shared" si="997"/>
        <v>Apply HR to</v>
      </c>
      <c r="FJ624" s="58">
        <f t="shared" si="998"/>
        <v>0</v>
      </c>
      <c r="FL624" s="58">
        <f t="shared" si="999"/>
        <v>0</v>
      </c>
      <c r="FM624" s="58">
        <f t="shared" si="1000"/>
        <v>3</v>
      </c>
      <c r="FN624" s="58">
        <f>IF(i_eff_inputs_based_on_num=2,EP624,(INDEX(Lists!$L$51:$L$85,MATCH(BF267,Lists!$K$51:$K$85,0))))</f>
        <v>8</v>
      </c>
      <c r="FO624" s="58">
        <f>IF(i_eff_inputs_based_on_num=2,EQ624,(INDEX(Lists!$L$51:$L$85,MATCH(BG267,Lists!$K$51:$K$85,0))))</f>
        <v>1</v>
      </c>
      <c r="FP624" s="58">
        <f>IF(i_eff_inputs_based_on_num=2,ER624,(INDEX(Lists!$L$51:$L$85,MATCH(BH267,Lists!$K$51:$K$85,0))))</f>
        <v>0</v>
      </c>
      <c r="FT624" s="58">
        <f t="shared" si="960"/>
        <v>0</v>
      </c>
      <c r="FW624" s="58" t="str">
        <f>IF(i_baseline_risk_from=2,'Effectiveness settings'!EW624,'Effectiveness settings'!FI624)</f>
        <v>Apply HR to</v>
      </c>
      <c r="FX624" s="58" t="str">
        <f t="shared" si="961"/>
        <v>Apply HR to</v>
      </c>
      <c r="FY624" s="58" t="str">
        <f t="shared" si="962"/>
        <v>Apply HR to</v>
      </c>
      <c r="FZ624" s="58" t="str">
        <f t="shared" si="963"/>
        <v>Apply HR to</v>
      </c>
      <c r="GA624" s="58" t="str">
        <f t="shared" si="964"/>
        <v>Apply HR to</v>
      </c>
      <c r="GB624" s="58" t="str">
        <f t="shared" si="965"/>
        <v>Apply HR to</v>
      </c>
      <c r="GC624" s="58" t="str">
        <f t="shared" si="966"/>
        <v>Apply HR to</v>
      </c>
      <c r="GD624" s="58" t="str">
        <f t="shared" si="967"/>
        <v>Apply HR to</v>
      </c>
      <c r="GE624" s="58" t="str">
        <f>IF(AND(dd_CheckMate214_TTD="Yes",'Effectiveness settings'!BU624=2,'Effectiveness settings'!BX624=2),"Apply HR to",GD624)</f>
        <v>Apply HR to</v>
      </c>
      <c r="GF624" s="58" t="str">
        <f t="shared" si="968"/>
        <v>Apply HR to</v>
      </c>
      <c r="GG624" s="58" t="str">
        <f t="shared" si="969"/>
        <v>Apply HR to</v>
      </c>
      <c r="GH624" s="58" t="str">
        <f t="shared" si="970"/>
        <v>Apply HR to</v>
      </c>
      <c r="GI624" s="58" t="str">
        <f t="shared" si="957"/>
        <v>Apply HR to</v>
      </c>
      <c r="GK624" s="58">
        <f>IF(i_baseline_risk_from=2,'Effectiveness settings'!FA624,'Effectiveness settings'!FM624)</f>
        <v>3</v>
      </c>
      <c r="GL624" s="58">
        <f>IF(i_baseline_risk_from=2,'Effectiveness settings'!FB624,'Effectiveness settings'!FN624)</f>
        <v>8</v>
      </c>
      <c r="GM624" s="58">
        <f>IF(i_baseline_risk_from=2,'Effectiveness settings'!FC624,'Effectiveness settings'!FO624)</f>
        <v>2</v>
      </c>
      <c r="GN624" s="58">
        <f>IF(i_baseline_risk_from=2,'Effectiveness settings'!FD624,'Effectiveness settings'!FP624)</f>
        <v>0</v>
      </c>
      <c r="GQ624" s="58">
        <f t="shared" si="971"/>
        <v>8</v>
      </c>
      <c r="GR624" s="58">
        <f t="shared" si="972"/>
        <v>8</v>
      </c>
      <c r="GS624" s="58">
        <f t="shared" si="973"/>
        <v>8</v>
      </c>
      <c r="GT624" s="58">
        <f t="shared" si="974"/>
        <v>8</v>
      </c>
      <c r="GU624" s="58">
        <f>IF(AND(dd_CheckMate214_TTD="Yes",'Effectiveness settings'!BU624=2,'Effectiveness settings'!BX624=2),2,GT624)</f>
        <v>8</v>
      </c>
      <c r="GV624" s="58">
        <f t="shared" si="975"/>
        <v>8</v>
      </c>
      <c r="GW624" s="58">
        <f t="shared" si="976"/>
        <v>8</v>
      </c>
      <c r="GY624" s="58">
        <f>IF(AND(dd_CheckMate214_TTD="Yes",'Effectiveness settings'!BU624=2,'Effectiveness settings'!BX624=2),1,GN624)</f>
        <v>0</v>
      </c>
      <c r="GZ624" s="58">
        <f t="shared" si="977"/>
        <v>0</v>
      </c>
      <c r="HB624" s="58">
        <f t="shared" si="978"/>
        <v>0</v>
      </c>
      <c r="HD624" s="58">
        <f t="shared" si="952"/>
        <v>0</v>
      </c>
      <c r="HE624" s="58">
        <f t="shared" si="953"/>
        <v>3</v>
      </c>
      <c r="HF624" s="58">
        <f t="shared" si="954"/>
        <v>8</v>
      </c>
      <c r="HG624" s="58">
        <f t="shared" si="955"/>
        <v>2</v>
      </c>
      <c r="HH624" s="58">
        <f t="shared" si="956"/>
        <v>0</v>
      </c>
    </row>
    <row r="625" spans="69:216" ht="15.75" x14ac:dyDescent="0.25">
      <c r="BQ625" s="58">
        <f t="shared" si="958"/>
        <v>360</v>
      </c>
      <c r="BR625" s="61">
        <v>0</v>
      </c>
      <c r="BS625" s="61" t="s">
        <v>31</v>
      </c>
      <c r="BT625" s="17">
        <v>4</v>
      </c>
      <c r="BU625" s="17">
        <v>9</v>
      </c>
      <c r="BV625" s="252" t="str">
        <f t="shared" si="979"/>
        <v>lenvatinib_plus_everolimus</v>
      </c>
      <c r="BW625" s="1006" t="str" cm="1">
        <f t="array" ref="BW625">IF(AZ268="No",AZ268,INDEX(List_incl_anal_4L_all,IF(BU625=999,35,BU625+1)))</f>
        <v>Yes</v>
      </c>
      <c r="BX625" s="61">
        <f t="shared" si="980"/>
        <v>0</v>
      </c>
      <c r="BY625" s="532" t="str">
        <f t="shared" si="1002"/>
        <v>Overall survival</v>
      </c>
      <c r="BZ625" s="530" t="str">
        <f t="shared" si="981"/>
        <v>Apply HR to</v>
      </c>
      <c r="CA625" s="531">
        <f t="shared" si="1001"/>
        <v>0</v>
      </c>
      <c r="CB625" s="530">
        <f t="shared" si="982"/>
        <v>0</v>
      </c>
      <c r="CC625" s="530">
        <f t="shared" si="983"/>
        <v>3</v>
      </c>
      <c r="CD625" s="530">
        <f t="shared" si="984"/>
        <v>9</v>
      </c>
      <c r="CE625" s="1295">
        <f t="shared" si="985"/>
        <v>2</v>
      </c>
      <c r="CF625" s="1301">
        <f t="shared" si="986"/>
        <v>0</v>
      </c>
      <c r="CG625" s="530" t="str">
        <f t="shared" si="987"/>
        <v/>
      </c>
      <c r="CH625" s="505">
        <f t="shared" si="988"/>
        <v>2.0059999999999998</v>
      </c>
      <c r="CI625" s="505">
        <f t="shared" si="988"/>
        <v>1.45</v>
      </c>
      <c r="CJ625" s="505">
        <f t="shared" si="988"/>
        <v>2.7770000000000001</v>
      </c>
      <c r="DK625" s="58" t="str" cm="1">
        <f t="array" ref="DK625">IF(AND($BT625=4,$BX625=4,$BU625=999),$DB$36,_xlfn.IFNA(INDEX(DB$13:DB$70,MATCH(1,($BR625=$CV$13:$CV$70)*($BT625=$CX$13:$CX$70)*($CE625=$CY$13:$CY$70)*($BY625=$DA$13:$DA$70)*($CD625=$DH$13:$DH$70),0)),""))</f>
        <v/>
      </c>
      <c r="DL625" s="58" t="str" cm="1">
        <f t="array" ref="DL625">IF(AND($BT625=4,$BX625=4,$BU625=999),$DC$36,_xlfn.IFNA(INDEX(CHOOSE(DP625,DB$13:DB$70,DC$13:DC$70,DD$13:DD$70,DE$13:DE$70),MATCH(1,($BR625=$CV$13:$CV$70)*($BT625=$CX$13:$CX$70)*($CE625=$CY$13:$CY$70)*($BY625=$DA$13:$DA$70)*($CD625=$DH$13:$DH$70),0)),""))</f>
        <v/>
      </c>
      <c r="DM625" s="740" t="str" cm="1">
        <f t="array" ref="DM625">IF(AND($BT625=4,$BX625=4,$BU625=999),$DD$36,_xlfn.IFNA(INDEX(DD$13:DD$68,MATCH(1,($BR625=$CV$13:$CV$68)*($BT625=$CX$13:$CX$68)*($CE625=$CY$13:$CY$68)*($BY625=$DA$13:$DA$68)*($CD625=$DH$13:$DH$68),0)),""))</f>
        <v/>
      </c>
      <c r="DN625" s="740" t="str" cm="1">
        <f t="array" ref="DN625">IF(AND($BT625=4,$BX625=4,$BU625=999),$DD$36,_xlfn.IFNA(INDEX(DE$13:DE$68,MATCH(1,($BR625=$CV$13:$CV$68)*($BT625=$CX$13:$CX$68)*($CE625=$CY$13:$CY$68)*($BY625=$DA$13:$DA$68)*($CD625=$DH$13:$DH$68),0)),""))</f>
        <v/>
      </c>
      <c r="DO625" s="58" t="str" cm="1">
        <f t="array" ref="DO625">IF(AND($BT625=4,$BX625=4,$BU625=999),$DF$36,_xlfn.IFNA(INDEX(DF$13:DF$70,MATCH(1,($BR625=$CV$13:$CV$70)*($BT625=$CX$13:$CX$70)*($CE625=$CY$13:$CY$70)*($BY625=$DA$13:$DA$70)*($CD625=$DH$13:$DH$70),0)),""))</f>
        <v/>
      </c>
      <c r="DP625" s="58" t="e">
        <f t="shared" si="959"/>
        <v>#N/A</v>
      </c>
      <c r="DW625" s="58" t="s">
        <v>74</v>
      </c>
      <c r="DX625" s="58" t="s">
        <v>544</v>
      </c>
      <c r="DY625" s="58" t="s">
        <v>578</v>
      </c>
      <c r="DZ625" s="58">
        <v>0</v>
      </c>
      <c r="EB625" s="58">
        <v>0</v>
      </c>
      <c r="EC625" s="58">
        <v>3</v>
      </c>
      <c r="ED625" s="58">
        <v>9</v>
      </c>
      <c r="EE625" s="58">
        <v>2</v>
      </c>
      <c r="EF625" s="58">
        <v>0</v>
      </c>
      <c r="EI625" s="58" t="s">
        <v>74</v>
      </c>
      <c r="EJ625" s="58" t="s">
        <v>544</v>
      </c>
      <c r="EK625" s="58" t="s">
        <v>578</v>
      </c>
      <c r="EL625" s="58">
        <v>0</v>
      </c>
      <c r="EN625" s="58">
        <v>0</v>
      </c>
      <c r="EO625" s="58">
        <v>3</v>
      </c>
      <c r="EP625" s="58">
        <v>9</v>
      </c>
      <c r="EQ625" s="58">
        <v>1</v>
      </c>
      <c r="ER625" s="58">
        <v>0</v>
      </c>
      <c r="EU625" s="58" t="str">
        <f t="shared" si="989"/>
        <v>Yes</v>
      </c>
      <c r="EV625" s="58" t="str">
        <f t="shared" si="990"/>
        <v>Overall survival</v>
      </c>
      <c r="EW625" s="58" t="str">
        <f t="shared" si="991"/>
        <v>Apply HR to</v>
      </c>
      <c r="EX625" s="58">
        <f t="shared" si="992"/>
        <v>0</v>
      </c>
      <c r="EZ625" s="58">
        <f t="shared" si="993"/>
        <v>0</v>
      </c>
      <c r="FA625" s="58">
        <f t="shared" si="994"/>
        <v>3</v>
      </c>
      <c r="FB625" s="58">
        <f>IF(i_eff_inputs_based_on_num=2,ED625,(INDEX(Lists!$L$51:$L$85,MATCH(BF268,Lists!$K$51:$K$85,0))))</f>
        <v>9</v>
      </c>
      <c r="FC625" s="58">
        <f>IF(i_eff_inputs_based_on_num=2,EE625,(INDEX(Lists!$L$51:$L$85,MATCH(BG268,Lists!$K$51:$K$85,0))))</f>
        <v>2</v>
      </c>
      <c r="FD625" s="58">
        <f>IF(i_eff_inputs_based_on_num=2,EF625,(INDEX(Lists!$L$51:$L$85,MATCH(BH268,Lists!$K$51:$K$85,0))))</f>
        <v>0</v>
      </c>
      <c r="FG625" s="58" t="str">
        <f t="shared" si="995"/>
        <v>Yes</v>
      </c>
      <c r="FH625" s="58" t="str">
        <f t="shared" si="996"/>
        <v>Overall survival</v>
      </c>
      <c r="FI625" s="58" t="str">
        <f t="shared" si="997"/>
        <v>Apply HR to</v>
      </c>
      <c r="FJ625" s="58">
        <f t="shared" si="998"/>
        <v>0</v>
      </c>
      <c r="FL625" s="58">
        <f t="shared" si="999"/>
        <v>0</v>
      </c>
      <c r="FM625" s="58">
        <f t="shared" si="1000"/>
        <v>3</v>
      </c>
      <c r="FN625" s="58">
        <f>IF(i_eff_inputs_based_on_num=2,EP625,(INDEX(Lists!$L$51:$L$85,MATCH(BF268,Lists!$K$51:$K$85,0))))</f>
        <v>9</v>
      </c>
      <c r="FO625" s="58">
        <f>IF(i_eff_inputs_based_on_num=2,EQ625,(INDEX(Lists!$L$51:$L$85,MATCH(BG268,Lists!$K$51:$K$85,0))))</f>
        <v>1</v>
      </c>
      <c r="FP625" s="58">
        <f>IF(i_eff_inputs_based_on_num=2,ER625,(INDEX(Lists!$L$51:$L$85,MATCH(BH268,Lists!$K$51:$K$85,0))))</f>
        <v>0</v>
      </c>
      <c r="FT625" s="58">
        <f t="shared" si="960"/>
        <v>0</v>
      </c>
      <c r="FW625" s="58" t="str">
        <f>IF(i_baseline_risk_from=2,'Effectiveness settings'!EW625,'Effectiveness settings'!FI625)</f>
        <v>Apply HR to</v>
      </c>
      <c r="FX625" s="58" t="str">
        <f t="shared" si="961"/>
        <v>Apply HR to</v>
      </c>
      <c r="FY625" s="58" t="str">
        <f t="shared" si="962"/>
        <v>Apply HR to</v>
      </c>
      <c r="FZ625" s="58" t="str">
        <f t="shared" si="963"/>
        <v>Apply HR to</v>
      </c>
      <c r="GA625" s="58" t="str">
        <f t="shared" si="964"/>
        <v>Apply HR to</v>
      </c>
      <c r="GB625" s="58" t="str">
        <f t="shared" si="965"/>
        <v>Apply HR to</v>
      </c>
      <c r="GC625" s="58" t="str">
        <f t="shared" si="966"/>
        <v>Apply HR to</v>
      </c>
      <c r="GD625" s="58" t="str">
        <f t="shared" si="967"/>
        <v>Apply HR to</v>
      </c>
      <c r="GE625" s="58" t="str">
        <f>IF(AND(dd_CheckMate214_TTD="Yes",'Effectiveness settings'!BU625=2,'Effectiveness settings'!BX625=2),"Apply HR to",GD625)</f>
        <v>Apply HR to</v>
      </c>
      <c r="GF625" s="58" t="str">
        <f t="shared" si="968"/>
        <v>Apply HR to</v>
      </c>
      <c r="GG625" s="58" t="str">
        <f t="shared" si="969"/>
        <v>Apply HR to</v>
      </c>
      <c r="GH625" s="58" t="str">
        <f t="shared" si="970"/>
        <v>Apply HR to</v>
      </c>
      <c r="GI625" s="58" t="str">
        <f t="shared" si="957"/>
        <v>Apply HR to</v>
      </c>
      <c r="GK625" s="58">
        <f>IF(i_baseline_risk_from=2,'Effectiveness settings'!FA625,'Effectiveness settings'!FM625)</f>
        <v>3</v>
      </c>
      <c r="GL625" s="58">
        <f>IF(i_baseline_risk_from=2,'Effectiveness settings'!FB625,'Effectiveness settings'!FN625)</f>
        <v>9</v>
      </c>
      <c r="GM625" s="58">
        <f>IF(i_baseline_risk_from=2,'Effectiveness settings'!FC625,'Effectiveness settings'!FO625)</f>
        <v>2</v>
      </c>
      <c r="GN625" s="58">
        <f>IF(i_baseline_risk_from=2,'Effectiveness settings'!FD625,'Effectiveness settings'!FP625)</f>
        <v>0</v>
      </c>
      <c r="GQ625" s="58">
        <f t="shared" si="971"/>
        <v>9</v>
      </c>
      <c r="GR625" s="58">
        <f t="shared" si="972"/>
        <v>9</v>
      </c>
      <c r="GS625" s="58">
        <f t="shared" si="973"/>
        <v>9</v>
      </c>
      <c r="GT625" s="58">
        <f t="shared" si="974"/>
        <v>9</v>
      </c>
      <c r="GU625" s="58">
        <f>IF(AND(dd_CheckMate214_TTD="Yes",'Effectiveness settings'!BU625=2,'Effectiveness settings'!BX625=2),2,GT625)</f>
        <v>9</v>
      </c>
      <c r="GV625" s="58">
        <f t="shared" si="975"/>
        <v>9</v>
      </c>
      <c r="GW625" s="58">
        <f t="shared" si="976"/>
        <v>9</v>
      </c>
      <c r="GY625" s="58">
        <f>IF(AND(dd_CheckMate214_TTD="Yes",'Effectiveness settings'!BU625=2,'Effectiveness settings'!BX625=2),1,GN625)</f>
        <v>0</v>
      </c>
      <c r="GZ625" s="58">
        <f t="shared" si="977"/>
        <v>0</v>
      </c>
      <c r="HB625" s="58">
        <f t="shared" si="978"/>
        <v>0</v>
      </c>
      <c r="HD625" s="58">
        <f t="shared" si="952"/>
        <v>0</v>
      </c>
      <c r="HE625" s="58">
        <f t="shared" si="953"/>
        <v>3</v>
      </c>
      <c r="HF625" s="58">
        <f t="shared" si="954"/>
        <v>9</v>
      </c>
      <c r="HG625" s="58">
        <f t="shared" si="955"/>
        <v>2</v>
      </c>
      <c r="HH625" s="58">
        <f t="shared" si="956"/>
        <v>0</v>
      </c>
    </row>
    <row r="626" spans="69:216" ht="15.75" x14ac:dyDescent="0.25">
      <c r="BQ626" s="58">
        <f t="shared" si="958"/>
        <v>361</v>
      </c>
      <c r="BR626" s="61">
        <v>0</v>
      </c>
      <c r="BS626" s="61" t="s">
        <v>31</v>
      </c>
      <c r="BT626" s="17">
        <v>4</v>
      </c>
      <c r="BU626" s="17">
        <v>10</v>
      </c>
      <c r="BV626" s="252" t="str">
        <f t="shared" si="979"/>
        <v>everolimus</v>
      </c>
      <c r="BW626" s="1006" t="str" cm="1">
        <f t="array" ref="BW626">IF(AZ269="No",AZ269,INDEX(List_incl_anal_4L_all,IF(BU626=999,35,BU626+1)))</f>
        <v>Yes</v>
      </c>
      <c r="BX626" s="61">
        <f t="shared" si="980"/>
        <v>0</v>
      </c>
      <c r="BY626" s="532" t="str">
        <f t="shared" si="1002"/>
        <v>Overall survival</v>
      </c>
      <c r="BZ626" s="530" t="str">
        <f t="shared" si="981"/>
        <v>Apply HR to</v>
      </c>
      <c r="CA626" s="531">
        <f t="shared" si="1001"/>
        <v>0</v>
      </c>
      <c r="CB626" s="530">
        <f t="shared" si="982"/>
        <v>0</v>
      </c>
      <c r="CC626" s="530">
        <f t="shared" si="983"/>
        <v>3</v>
      </c>
      <c r="CD626" s="530">
        <f t="shared" si="984"/>
        <v>10</v>
      </c>
      <c r="CE626" s="1295">
        <f t="shared" si="985"/>
        <v>2</v>
      </c>
      <c r="CF626" s="1301">
        <f t="shared" si="986"/>
        <v>0</v>
      </c>
      <c r="CG626" s="530" t="str">
        <f t="shared" si="987"/>
        <v/>
      </c>
      <c r="CH626" s="505">
        <f t="shared" si="988"/>
        <v>2.0059999999999998</v>
      </c>
      <c r="CI626" s="505">
        <f t="shared" si="988"/>
        <v>1.45</v>
      </c>
      <c r="CJ626" s="505">
        <f t="shared" si="988"/>
        <v>2.7770000000000001</v>
      </c>
      <c r="DK626" s="58" t="str" cm="1">
        <f t="array" ref="DK626">IF(AND($BT626=4,$BX626=4,$BU626=999),$DB$36,_xlfn.IFNA(INDEX(DB$13:DB$70,MATCH(1,($BR626=$CV$13:$CV$70)*($BT626=$CX$13:$CX$70)*($CE626=$CY$13:$CY$70)*($BY626=$DA$13:$DA$70)*($CD626=$DH$13:$DH$70),0)),""))</f>
        <v/>
      </c>
      <c r="DL626" s="58" t="str" cm="1">
        <f t="array" ref="DL626">IF(AND($BT626=4,$BX626=4,$BU626=999),$DC$36,_xlfn.IFNA(INDEX(CHOOSE(DP626,DB$13:DB$70,DC$13:DC$70,DD$13:DD$70,DE$13:DE$70),MATCH(1,($BR626=$CV$13:$CV$70)*($BT626=$CX$13:$CX$70)*($CE626=$CY$13:$CY$70)*($BY626=$DA$13:$DA$70)*($CD626=$DH$13:$DH$70),0)),""))</f>
        <v/>
      </c>
      <c r="DM626" s="740" t="str" cm="1">
        <f t="array" ref="DM626">IF(AND($BT626=4,$BX626=4,$BU626=999),$DD$36,_xlfn.IFNA(INDEX(DD$13:DD$68,MATCH(1,($BR626=$CV$13:$CV$68)*($BT626=$CX$13:$CX$68)*($CE626=$CY$13:$CY$68)*($BY626=$DA$13:$DA$68)*($CD626=$DH$13:$DH$68),0)),""))</f>
        <v/>
      </c>
      <c r="DN626" s="740" t="str" cm="1">
        <f t="array" ref="DN626">IF(AND($BT626=4,$BX626=4,$BU626=999),$DD$36,_xlfn.IFNA(INDEX(DE$13:DE$68,MATCH(1,($BR626=$CV$13:$CV$68)*($BT626=$CX$13:$CX$68)*($CE626=$CY$13:$CY$68)*($BY626=$DA$13:$DA$68)*($CD626=$DH$13:$DH$68),0)),""))</f>
        <v/>
      </c>
      <c r="DO626" s="58" t="str" cm="1">
        <f t="array" ref="DO626">IF(AND($BT626=4,$BX626=4,$BU626=999),$DF$36,_xlfn.IFNA(INDEX(DF$13:DF$70,MATCH(1,($BR626=$CV$13:$CV$70)*($BT626=$CX$13:$CX$70)*($CE626=$CY$13:$CY$70)*($BY626=$DA$13:$DA$70)*($CD626=$DH$13:$DH$70),0)),""))</f>
        <v/>
      </c>
      <c r="DP626" s="58" t="e">
        <f t="shared" si="959"/>
        <v>#N/A</v>
      </c>
      <c r="DW626" s="58" t="s">
        <v>74</v>
      </c>
      <c r="DX626" s="58" t="s">
        <v>544</v>
      </c>
      <c r="DY626" s="58" t="s">
        <v>578</v>
      </c>
      <c r="DZ626" s="58">
        <v>0</v>
      </c>
      <c r="EB626" s="58">
        <v>0</v>
      </c>
      <c r="EC626" s="58">
        <v>3</v>
      </c>
      <c r="ED626" s="58">
        <v>10</v>
      </c>
      <c r="EE626" s="58">
        <v>2</v>
      </c>
      <c r="EF626" s="58">
        <v>0</v>
      </c>
      <c r="EI626" s="58" t="s">
        <v>74</v>
      </c>
      <c r="EJ626" s="58" t="s">
        <v>544</v>
      </c>
      <c r="EK626" s="58" t="s">
        <v>578</v>
      </c>
      <c r="EL626" s="58">
        <v>0</v>
      </c>
      <c r="EN626" s="58">
        <v>0</v>
      </c>
      <c r="EO626" s="58">
        <v>3</v>
      </c>
      <c r="EP626" s="58">
        <v>10</v>
      </c>
      <c r="EQ626" s="58">
        <v>1</v>
      </c>
      <c r="ER626" s="58">
        <v>0</v>
      </c>
      <c r="EU626" s="58" t="str">
        <f t="shared" si="989"/>
        <v>Yes</v>
      </c>
      <c r="EV626" s="58" t="str">
        <f t="shared" si="990"/>
        <v>Overall survival</v>
      </c>
      <c r="EW626" s="58" t="str">
        <f t="shared" si="991"/>
        <v>Apply HR to</v>
      </c>
      <c r="EX626" s="58">
        <f t="shared" si="992"/>
        <v>0</v>
      </c>
      <c r="EZ626" s="58">
        <f t="shared" si="993"/>
        <v>0</v>
      </c>
      <c r="FA626" s="58">
        <f t="shared" si="994"/>
        <v>3</v>
      </c>
      <c r="FB626" s="58">
        <f>IF(i_eff_inputs_based_on_num=2,ED626,(INDEX(Lists!$L$51:$L$85,MATCH(BF269,Lists!$K$51:$K$85,0))))</f>
        <v>10</v>
      </c>
      <c r="FC626" s="58">
        <f>IF(i_eff_inputs_based_on_num=2,EE626,(INDEX(Lists!$L$51:$L$85,MATCH(BG269,Lists!$K$51:$K$85,0))))</f>
        <v>2</v>
      </c>
      <c r="FD626" s="58">
        <f>IF(i_eff_inputs_based_on_num=2,EF626,(INDEX(Lists!$L$51:$L$85,MATCH(BH269,Lists!$K$51:$K$85,0))))</f>
        <v>0</v>
      </c>
      <c r="FG626" s="58" t="str">
        <f t="shared" si="995"/>
        <v>Yes</v>
      </c>
      <c r="FH626" s="58" t="str">
        <f t="shared" si="996"/>
        <v>Overall survival</v>
      </c>
      <c r="FI626" s="58" t="str">
        <f t="shared" si="997"/>
        <v>Apply HR to</v>
      </c>
      <c r="FJ626" s="58">
        <f t="shared" si="998"/>
        <v>0</v>
      </c>
      <c r="FL626" s="58">
        <f t="shared" si="999"/>
        <v>0</v>
      </c>
      <c r="FM626" s="58">
        <f t="shared" si="1000"/>
        <v>3</v>
      </c>
      <c r="FN626" s="58">
        <f>IF(i_eff_inputs_based_on_num=2,EP626,(INDEX(Lists!$L$51:$L$85,MATCH(BF269,Lists!$K$51:$K$85,0))))</f>
        <v>10</v>
      </c>
      <c r="FO626" s="58">
        <f>IF(i_eff_inputs_based_on_num=2,EQ626,(INDEX(Lists!$L$51:$L$85,MATCH(BG269,Lists!$K$51:$K$85,0))))</f>
        <v>1</v>
      </c>
      <c r="FP626" s="58">
        <f>IF(i_eff_inputs_based_on_num=2,ER626,(INDEX(Lists!$L$51:$L$85,MATCH(BH269,Lists!$K$51:$K$85,0))))</f>
        <v>0</v>
      </c>
      <c r="FT626" s="58">
        <f t="shared" si="960"/>
        <v>0</v>
      </c>
      <c r="FW626" s="58" t="str">
        <f>IF(i_baseline_risk_from=2,'Effectiveness settings'!EW626,'Effectiveness settings'!FI626)</f>
        <v>Apply HR to</v>
      </c>
      <c r="FX626" s="58" t="str">
        <f t="shared" si="961"/>
        <v>Apply HR to</v>
      </c>
      <c r="FY626" s="58" t="str">
        <f t="shared" si="962"/>
        <v>Apply HR to</v>
      </c>
      <c r="FZ626" s="58" t="str">
        <f t="shared" si="963"/>
        <v>Apply HR to</v>
      </c>
      <c r="GA626" s="58" t="str">
        <f t="shared" si="964"/>
        <v>Apply HR to</v>
      </c>
      <c r="GB626" s="58" t="str">
        <f t="shared" si="965"/>
        <v>Apply HR to</v>
      </c>
      <c r="GC626" s="58" t="str">
        <f t="shared" si="966"/>
        <v>Apply HR to</v>
      </c>
      <c r="GD626" s="58" t="str">
        <f t="shared" si="967"/>
        <v>Apply HR to</v>
      </c>
      <c r="GE626" s="58" t="str">
        <f>IF(AND(dd_CheckMate214_TTD="Yes",'Effectiveness settings'!BU626=2,'Effectiveness settings'!BX626=2),"Apply HR to",GD626)</f>
        <v>Apply HR to</v>
      </c>
      <c r="GF626" s="58" t="str">
        <f t="shared" si="968"/>
        <v>Apply HR to</v>
      </c>
      <c r="GG626" s="58" t="str">
        <f t="shared" si="969"/>
        <v>Apply HR to</v>
      </c>
      <c r="GH626" s="58" t="str">
        <f t="shared" si="970"/>
        <v>Apply HR to</v>
      </c>
      <c r="GI626" s="58" t="str">
        <f t="shared" si="957"/>
        <v>Apply HR to</v>
      </c>
      <c r="GK626" s="58">
        <f>IF(i_baseline_risk_from=2,'Effectiveness settings'!FA626,'Effectiveness settings'!FM626)</f>
        <v>3</v>
      </c>
      <c r="GL626" s="58">
        <f>IF(i_baseline_risk_from=2,'Effectiveness settings'!FB626,'Effectiveness settings'!FN626)</f>
        <v>10</v>
      </c>
      <c r="GM626" s="58">
        <f>IF(i_baseline_risk_from=2,'Effectiveness settings'!FC626,'Effectiveness settings'!FO626)</f>
        <v>2</v>
      </c>
      <c r="GN626" s="58">
        <f>IF(i_baseline_risk_from=2,'Effectiveness settings'!FD626,'Effectiveness settings'!FP626)</f>
        <v>0</v>
      </c>
      <c r="GQ626" s="58">
        <f t="shared" si="971"/>
        <v>10</v>
      </c>
      <c r="GR626" s="58">
        <f t="shared" si="972"/>
        <v>10</v>
      </c>
      <c r="GS626" s="58">
        <f t="shared" si="973"/>
        <v>10</v>
      </c>
      <c r="GT626" s="58">
        <f t="shared" si="974"/>
        <v>10</v>
      </c>
      <c r="GU626" s="58">
        <f>IF(AND(dd_CheckMate214_TTD="Yes",'Effectiveness settings'!BU626=2,'Effectiveness settings'!BX626=2),2,GT626)</f>
        <v>10</v>
      </c>
      <c r="GV626" s="58">
        <f t="shared" si="975"/>
        <v>10</v>
      </c>
      <c r="GW626" s="58">
        <f t="shared" si="976"/>
        <v>10</v>
      </c>
      <c r="GY626" s="58">
        <f>IF(AND(dd_CheckMate214_TTD="Yes",'Effectiveness settings'!BU626=2,'Effectiveness settings'!BX626=2),1,GN626)</f>
        <v>0</v>
      </c>
      <c r="GZ626" s="58">
        <f t="shared" si="977"/>
        <v>0</v>
      </c>
      <c r="HB626" s="58">
        <f t="shared" si="978"/>
        <v>0</v>
      </c>
      <c r="HD626" s="58">
        <f t="shared" si="952"/>
        <v>0</v>
      </c>
      <c r="HE626" s="58">
        <f t="shared" si="953"/>
        <v>3</v>
      </c>
      <c r="HF626" s="58">
        <f t="shared" si="954"/>
        <v>10</v>
      </c>
      <c r="HG626" s="58">
        <f t="shared" si="955"/>
        <v>2</v>
      </c>
      <c r="HH626" s="58">
        <f t="shared" si="956"/>
        <v>0</v>
      </c>
    </row>
    <row r="627" spans="69:216" ht="15.75" x14ac:dyDescent="0.25">
      <c r="BQ627" s="58">
        <f t="shared" si="958"/>
        <v>362</v>
      </c>
      <c r="BR627" s="61">
        <v>0</v>
      </c>
      <c r="BS627" s="61" t="s">
        <v>31</v>
      </c>
      <c r="BT627" s="17">
        <v>4</v>
      </c>
      <c r="BU627" s="17">
        <v>11</v>
      </c>
      <c r="BV627" s="252" t="str">
        <f t="shared" si="979"/>
        <v>axitinib</v>
      </c>
      <c r="BW627" s="1006" t="str" cm="1">
        <f t="array" ref="BW627">IF(AZ270="No",AZ270,INDEX(List_incl_anal_4L_all,IF(BU627=999,35,BU627+1)))</f>
        <v>Yes</v>
      </c>
      <c r="BX627" s="61">
        <f t="shared" si="980"/>
        <v>0</v>
      </c>
      <c r="BY627" s="532" t="str">
        <f t="shared" si="1002"/>
        <v>Overall survival</v>
      </c>
      <c r="BZ627" s="530" t="str">
        <f t="shared" si="981"/>
        <v>Apply HR to</v>
      </c>
      <c r="CA627" s="531">
        <f t="shared" si="1001"/>
        <v>0</v>
      </c>
      <c r="CB627" s="530">
        <f t="shared" si="982"/>
        <v>0</v>
      </c>
      <c r="CC627" s="530">
        <f t="shared" si="983"/>
        <v>3</v>
      </c>
      <c r="CD627" s="530">
        <f t="shared" si="984"/>
        <v>11</v>
      </c>
      <c r="CE627" s="1295">
        <f t="shared" si="985"/>
        <v>2</v>
      </c>
      <c r="CF627" s="1301">
        <f t="shared" si="986"/>
        <v>0</v>
      </c>
      <c r="CG627" s="530" t="str">
        <f t="shared" si="987"/>
        <v/>
      </c>
      <c r="CH627" s="505">
        <f t="shared" si="988"/>
        <v>2.0059999999999998</v>
      </c>
      <c r="CI627" s="505">
        <f t="shared" si="988"/>
        <v>1.45</v>
      </c>
      <c r="CJ627" s="505">
        <f t="shared" si="988"/>
        <v>2.7770000000000001</v>
      </c>
      <c r="DK627" s="58" t="str" cm="1">
        <f t="array" ref="DK627">IF(AND($BT627=4,$BX627=4,$BU627=999),$DB$36,_xlfn.IFNA(INDEX(DB$13:DB$70,MATCH(1,($BR627=$CV$13:$CV$70)*($BT627=$CX$13:$CX$70)*($CE627=$CY$13:$CY$70)*($BY627=$DA$13:$DA$70)*($CD627=$DH$13:$DH$70),0)),""))</f>
        <v/>
      </c>
      <c r="DL627" s="58" t="str" cm="1">
        <f t="array" ref="DL627">IF(AND($BT627=4,$BX627=4,$BU627=999),$DC$36,_xlfn.IFNA(INDEX(CHOOSE(DP627,DB$13:DB$70,DC$13:DC$70,DD$13:DD$70,DE$13:DE$70),MATCH(1,($BR627=$CV$13:$CV$70)*($BT627=$CX$13:$CX$70)*($CE627=$CY$13:$CY$70)*($BY627=$DA$13:$DA$70)*($CD627=$DH$13:$DH$70),0)),""))</f>
        <v/>
      </c>
      <c r="DM627" s="740" t="str" cm="1">
        <f t="array" ref="DM627">IF(AND($BT627=4,$BX627=4,$BU627=999),$DD$36,_xlfn.IFNA(INDEX(DD$13:DD$68,MATCH(1,($BR627=$CV$13:$CV$68)*($BT627=$CX$13:$CX$68)*($CE627=$CY$13:$CY$68)*($BY627=$DA$13:$DA$68)*($CD627=$DH$13:$DH$68),0)),""))</f>
        <v/>
      </c>
      <c r="DN627" s="740" t="str" cm="1">
        <f t="array" ref="DN627">IF(AND($BT627=4,$BX627=4,$BU627=999),$DD$36,_xlfn.IFNA(INDEX(DE$13:DE$68,MATCH(1,($BR627=$CV$13:$CV$68)*($BT627=$CX$13:$CX$68)*($CE627=$CY$13:$CY$68)*($BY627=$DA$13:$DA$68)*($CD627=$DH$13:$DH$68),0)),""))</f>
        <v/>
      </c>
      <c r="DO627" s="58" t="str" cm="1">
        <f t="array" ref="DO627">IF(AND($BT627=4,$BX627=4,$BU627=999),$DF$36,_xlfn.IFNA(INDEX(DF$13:DF$70,MATCH(1,($BR627=$CV$13:$CV$70)*($BT627=$CX$13:$CX$70)*($CE627=$CY$13:$CY$70)*($BY627=$DA$13:$DA$70)*($CD627=$DH$13:$DH$70),0)),""))</f>
        <v/>
      </c>
      <c r="DP627" s="58" t="e">
        <f t="shared" si="959"/>
        <v>#N/A</v>
      </c>
      <c r="DW627" s="58" t="s">
        <v>74</v>
      </c>
      <c r="DX627" s="58" t="s">
        <v>544</v>
      </c>
      <c r="DY627" s="58" t="s">
        <v>578</v>
      </c>
      <c r="DZ627" s="58">
        <v>0</v>
      </c>
      <c r="EB627" s="58">
        <v>0</v>
      </c>
      <c r="EC627" s="58">
        <v>3</v>
      </c>
      <c r="ED627" s="58">
        <v>11</v>
      </c>
      <c r="EE627" s="58">
        <v>2</v>
      </c>
      <c r="EF627" s="58">
        <v>0</v>
      </c>
      <c r="EI627" s="58" t="s">
        <v>74</v>
      </c>
      <c r="EJ627" s="58" t="s">
        <v>544</v>
      </c>
      <c r="EK627" s="58" t="s">
        <v>578</v>
      </c>
      <c r="EL627" s="58">
        <v>0</v>
      </c>
      <c r="EN627" s="58">
        <v>0</v>
      </c>
      <c r="EO627" s="58">
        <v>3</v>
      </c>
      <c r="EP627" s="58">
        <v>11</v>
      </c>
      <c r="EQ627" s="58">
        <v>1</v>
      </c>
      <c r="ER627" s="58">
        <v>0</v>
      </c>
      <c r="EU627" s="58" t="str">
        <f t="shared" si="989"/>
        <v>Yes</v>
      </c>
      <c r="EV627" s="58" t="str">
        <f t="shared" si="990"/>
        <v>Overall survival</v>
      </c>
      <c r="EW627" s="58" t="str">
        <f t="shared" si="991"/>
        <v>Apply HR to</v>
      </c>
      <c r="EX627" s="58">
        <f t="shared" si="992"/>
        <v>0</v>
      </c>
      <c r="EZ627" s="58">
        <f t="shared" si="993"/>
        <v>0</v>
      </c>
      <c r="FA627" s="58">
        <f t="shared" si="994"/>
        <v>3</v>
      </c>
      <c r="FB627" s="58">
        <f>IF(i_eff_inputs_based_on_num=2,ED627,(INDEX(Lists!$L$51:$L$85,MATCH(BF270,Lists!$K$51:$K$85,0))))</f>
        <v>11</v>
      </c>
      <c r="FC627" s="58">
        <f>IF(i_eff_inputs_based_on_num=2,EE627,(INDEX(Lists!$L$51:$L$85,MATCH(BG270,Lists!$K$51:$K$85,0))))</f>
        <v>2</v>
      </c>
      <c r="FD627" s="58">
        <f>IF(i_eff_inputs_based_on_num=2,EF627,(INDEX(Lists!$L$51:$L$85,MATCH(BH270,Lists!$K$51:$K$85,0))))</f>
        <v>0</v>
      </c>
      <c r="FG627" s="58" t="str">
        <f t="shared" si="995"/>
        <v>Yes</v>
      </c>
      <c r="FH627" s="58" t="str">
        <f t="shared" si="996"/>
        <v>Overall survival</v>
      </c>
      <c r="FI627" s="58" t="str">
        <f t="shared" si="997"/>
        <v>Apply HR to</v>
      </c>
      <c r="FJ627" s="58">
        <f t="shared" si="998"/>
        <v>0</v>
      </c>
      <c r="FL627" s="58">
        <f t="shared" si="999"/>
        <v>0</v>
      </c>
      <c r="FM627" s="58">
        <f t="shared" si="1000"/>
        <v>3</v>
      </c>
      <c r="FN627" s="58">
        <f>IF(i_eff_inputs_based_on_num=2,EP627,(INDEX(Lists!$L$51:$L$85,MATCH(BF270,Lists!$K$51:$K$85,0))))</f>
        <v>11</v>
      </c>
      <c r="FO627" s="58">
        <f>IF(i_eff_inputs_based_on_num=2,EQ627,(INDEX(Lists!$L$51:$L$85,MATCH(BG270,Lists!$K$51:$K$85,0))))</f>
        <v>1</v>
      </c>
      <c r="FP627" s="58">
        <f>IF(i_eff_inputs_based_on_num=2,ER627,(INDEX(Lists!$L$51:$L$85,MATCH(BH270,Lists!$K$51:$K$85,0))))</f>
        <v>0</v>
      </c>
      <c r="FT627" s="58">
        <f t="shared" si="960"/>
        <v>0</v>
      </c>
      <c r="FW627" s="58" t="str">
        <f>IF(i_baseline_risk_from=2,'Effectiveness settings'!EW627,'Effectiveness settings'!FI627)</f>
        <v>Apply HR to</v>
      </c>
      <c r="FX627" s="58" t="str">
        <f t="shared" si="961"/>
        <v>Apply HR to</v>
      </c>
      <c r="FY627" s="58" t="str">
        <f t="shared" si="962"/>
        <v>Apply HR to</v>
      </c>
      <c r="FZ627" s="58" t="str">
        <f t="shared" si="963"/>
        <v>Apply HR to</v>
      </c>
      <c r="GA627" s="58" t="str">
        <f t="shared" si="964"/>
        <v>Apply HR to</v>
      </c>
      <c r="GB627" s="58" t="str">
        <f t="shared" si="965"/>
        <v>Apply HR to</v>
      </c>
      <c r="GC627" s="58" t="str">
        <f t="shared" si="966"/>
        <v>Apply HR to</v>
      </c>
      <c r="GD627" s="58" t="str">
        <f t="shared" si="967"/>
        <v>Apply HR to</v>
      </c>
      <c r="GE627" s="58" t="str">
        <f>IF(AND(dd_CheckMate214_TTD="Yes",'Effectiveness settings'!BU627=2,'Effectiveness settings'!BX627=2),"Apply HR to",GD627)</f>
        <v>Apply HR to</v>
      </c>
      <c r="GF627" s="58" t="str">
        <f t="shared" si="968"/>
        <v>Apply HR to</v>
      </c>
      <c r="GG627" s="58" t="str">
        <f t="shared" si="969"/>
        <v>Apply HR to</v>
      </c>
      <c r="GH627" s="58" t="str">
        <f t="shared" si="970"/>
        <v>Apply HR to</v>
      </c>
      <c r="GI627" s="58" t="str">
        <f t="shared" si="957"/>
        <v>Apply HR to</v>
      </c>
      <c r="GK627" s="58">
        <f>IF(i_baseline_risk_from=2,'Effectiveness settings'!FA627,'Effectiveness settings'!FM627)</f>
        <v>3</v>
      </c>
      <c r="GL627" s="58">
        <f>IF(i_baseline_risk_from=2,'Effectiveness settings'!FB627,'Effectiveness settings'!FN627)</f>
        <v>11</v>
      </c>
      <c r="GM627" s="58">
        <f>IF(i_baseline_risk_from=2,'Effectiveness settings'!FC627,'Effectiveness settings'!FO627)</f>
        <v>2</v>
      </c>
      <c r="GN627" s="58">
        <f>IF(i_baseline_risk_from=2,'Effectiveness settings'!FD627,'Effectiveness settings'!FP627)</f>
        <v>0</v>
      </c>
      <c r="GQ627" s="58">
        <f t="shared" si="971"/>
        <v>11</v>
      </c>
      <c r="GR627" s="58">
        <f t="shared" si="972"/>
        <v>11</v>
      </c>
      <c r="GS627" s="58">
        <f t="shared" si="973"/>
        <v>11</v>
      </c>
      <c r="GT627" s="58">
        <f t="shared" si="974"/>
        <v>11</v>
      </c>
      <c r="GU627" s="58">
        <f>IF(AND(dd_CheckMate214_TTD="Yes",'Effectiveness settings'!BU627=2,'Effectiveness settings'!BX627=2),2,GT627)</f>
        <v>11</v>
      </c>
      <c r="GV627" s="58">
        <f t="shared" si="975"/>
        <v>11</v>
      </c>
      <c r="GW627" s="58">
        <f t="shared" si="976"/>
        <v>11</v>
      </c>
      <c r="GY627" s="58">
        <f>IF(AND(dd_CheckMate214_TTD="Yes",'Effectiveness settings'!BU627=2,'Effectiveness settings'!BX627=2),1,GN627)</f>
        <v>0</v>
      </c>
      <c r="GZ627" s="58">
        <f t="shared" si="977"/>
        <v>0</v>
      </c>
      <c r="HB627" s="58">
        <f t="shared" si="978"/>
        <v>0</v>
      </c>
      <c r="HD627" s="58">
        <f t="shared" si="952"/>
        <v>0</v>
      </c>
      <c r="HE627" s="58">
        <f t="shared" si="953"/>
        <v>3</v>
      </c>
      <c r="HF627" s="58">
        <f t="shared" si="954"/>
        <v>11</v>
      </c>
      <c r="HG627" s="58">
        <f t="shared" si="955"/>
        <v>2</v>
      </c>
      <c r="HH627" s="58">
        <f t="shared" si="956"/>
        <v>0</v>
      </c>
    </row>
    <row r="628" spans="69:216" ht="15.75" x14ac:dyDescent="0.25">
      <c r="BQ628" s="58">
        <f t="shared" si="958"/>
        <v>363</v>
      </c>
      <c r="BR628" s="61">
        <v>0</v>
      </c>
      <c r="BS628" s="61" t="s">
        <v>31</v>
      </c>
      <c r="BT628" s="17">
        <v>4</v>
      </c>
      <c r="BU628" s="17">
        <v>12</v>
      </c>
      <c r="BV628" s="252" t="str">
        <f t="shared" si="979"/>
        <v>sorafenib</v>
      </c>
      <c r="BW628" s="1006" t="str" cm="1">
        <f t="array" ref="BW628">IF(AZ271="No",AZ271,INDEX(List_incl_anal_4L_all,IF(BU628=999,35,BU628+1)))</f>
        <v>No</v>
      </c>
      <c r="BX628" s="61">
        <f t="shared" si="980"/>
        <v>0</v>
      </c>
      <c r="BY628" s="532" t="str">
        <f t="shared" si="1002"/>
        <v>Overall survival</v>
      </c>
      <c r="BZ628" s="530">
        <f t="shared" si="981"/>
        <v>0</v>
      </c>
      <c r="CA628" s="531">
        <f t="shared" si="1001"/>
        <v>0</v>
      </c>
      <c r="CB628" s="530">
        <f t="shared" si="982"/>
        <v>0</v>
      </c>
      <c r="CC628" s="530">
        <f t="shared" si="983"/>
        <v>3</v>
      </c>
      <c r="CD628" s="530">
        <f t="shared" si="984"/>
        <v>12</v>
      </c>
      <c r="CE628" s="1295">
        <f t="shared" si="985"/>
        <v>2</v>
      </c>
      <c r="CF628" s="1301">
        <f t="shared" si="986"/>
        <v>0</v>
      </c>
      <c r="CG628" s="530" t="str">
        <f t="shared" si="987"/>
        <v/>
      </c>
      <c r="CH628" s="505">
        <f t="shared" si="988"/>
        <v>1</v>
      </c>
      <c r="CI628" s="505">
        <f t="shared" si="988"/>
        <v>0</v>
      </c>
      <c r="CJ628" s="505">
        <f t="shared" si="988"/>
        <v>0</v>
      </c>
      <c r="DK628" s="58" t="str" cm="1">
        <f t="array" ref="DK628">IF(AND($BT628=4,$BX628=4,$BU628=999),$DB$36,_xlfn.IFNA(INDEX(DB$13:DB$70,MATCH(1,($BR628=$CV$13:$CV$70)*($BT628=$CX$13:$CX$70)*($CE628=$CY$13:$CY$70)*($BY628=$DA$13:$DA$70)*($CD628=$DH$13:$DH$70),0)),""))</f>
        <v/>
      </c>
      <c r="DL628" s="58" t="str" cm="1">
        <f t="array" ref="DL628">IF(AND($BT628=4,$BX628=4,$BU628=999),$DC$36,_xlfn.IFNA(INDEX(CHOOSE(DP628,DB$13:DB$70,DC$13:DC$70,DD$13:DD$70,DE$13:DE$70),MATCH(1,($BR628=$CV$13:$CV$70)*($BT628=$CX$13:$CX$70)*($CE628=$CY$13:$CY$70)*($BY628=$DA$13:$DA$70)*($CD628=$DH$13:$DH$70),0)),""))</f>
        <v/>
      </c>
      <c r="DM628" s="740" t="str" cm="1">
        <f t="array" ref="DM628">IF(AND($BT628=4,$BX628=4,$BU628=999),$DD$36,_xlfn.IFNA(INDEX(DD$13:DD$68,MATCH(1,($BR628=$CV$13:$CV$68)*($BT628=$CX$13:$CX$68)*($CE628=$CY$13:$CY$68)*($BY628=$DA$13:$DA$68)*($CD628=$DH$13:$DH$68),0)),""))</f>
        <v/>
      </c>
      <c r="DN628" s="740" t="str" cm="1">
        <f t="array" ref="DN628">IF(AND($BT628=4,$BX628=4,$BU628=999),$DD$36,_xlfn.IFNA(INDEX(DE$13:DE$68,MATCH(1,($BR628=$CV$13:$CV$68)*($BT628=$CX$13:$CX$68)*($CE628=$CY$13:$CY$68)*($BY628=$DA$13:$DA$68)*($CD628=$DH$13:$DH$68),0)),""))</f>
        <v/>
      </c>
      <c r="DO628" s="58" t="str" cm="1">
        <f t="array" ref="DO628">IF(AND($BT628=4,$BX628=4,$BU628=999),$DF$36,_xlfn.IFNA(INDEX(DF$13:DF$70,MATCH(1,($BR628=$CV$13:$CV$70)*($BT628=$CX$13:$CX$70)*($CE628=$CY$13:$CY$70)*($BY628=$DA$13:$DA$70)*($CD628=$DH$13:$DH$70),0)),""))</f>
        <v/>
      </c>
      <c r="DP628" s="58" t="e">
        <f t="shared" si="959"/>
        <v>#N/A</v>
      </c>
      <c r="DW628" s="58" t="s">
        <v>58</v>
      </c>
      <c r="DX628" s="58" t="s">
        <v>544</v>
      </c>
      <c r="DY628" s="58">
        <v>0</v>
      </c>
      <c r="DZ628" s="58">
        <v>0</v>
      </c>
      <c r="EB628" s="58">
        <v>0</v>
      </c>
      <c r="EC628" s="58">
        <v>3</v>
      </c>
      <c r="ED628" s="58">
        <v>12</v>
      </c>
      <c r="EE628" s="58">
        <v>2</v>
      </c>
      <c r="EF628" s="58">
        <v>0</v>
      </c>
      <c r="EI628" s="58" t="s">
        <v>58</v>
      </c>
      <c r="EJ628" s="58" t="s">
        <v>544</v>
      </c>
      <c r="EK628" s="58">
        <v>0</v>
      </c>
      <c r="EL628" s="58">
        <v>0</v>
      </c>
      <c r="EN628" s="58">
        <v>0</v>
      </c>
      <c r="EO628" s="58">
        <v>3</v>
      </c>
      <c r="EP628" s="58">
        <v>12</v>
      </c>
      <c r="EQ628" s="58">
        <v>1</v>
      </c>
      <c r="ER628" s="58">
        <v>0</v>
      </c>
      <c r="EU628" s="58" t="str">
        <f t="shared" si="989"/>
        <v>No</v>
      </c>
      <c r="EV628" s="58" t="str">
        <f t="shared" si="990"/>
        <v>Overall survival</v>
      </c>
      <c r="EW628" s="58">
        <f t="shared" si="991"/>
        <v>0</v>
      </c>
      <c r="EX628" s="58">
        <f t="shared" si="992"/>
        <v>0</v>
      </c>
      <c r="EZ628" s="58">
        <f t="shared" si="993"/>
        <v>0</v>
      </c>
      <c r="FA628" s="58">
        <f t="shared" si="994"/>
        <v>3</v>
      </c>
      <c r="FB628" s="58">
        <f>IF(i_eff_inputs_based_on_num=2,ED628,(INDEX(Lists!$L$51:$L$85,MATCH(BF271,Lists!$K$51:$K$85,0))))</f>
        <v>12</v>
      </c>
      <c r="FC628" s="58">
        <f>IF(i_eff_inputs_based_on_num=2,EE628,(INDEX(Lists!$L$51:$L$85,MATCH(BG271,Lists!$K$51:$K$85,0))))</f>
        <v>2</v>
      </c>
      <c r="FD628" s="58">
        <f>IF(i_eff_inputs_based_on_num=2,EF628,(INDEX(Lists!$L$51:$L$85,MATCH(BH271,Lists!$K$51:$K$85,0))))</f>
        <v>0</v>
      </c>
      <c r="FG628" s="58" t="str">
        <f t="shared" si="995"/>
        <v>No</v>
      </c>
      <c r="FH628" s="58" t="str">
        <f t="shared" si="996"/>
        <v>Overall survival</v>
      </c>
      <c r="FI628" s="58">
        <f t="shared" si="997"/>
        <v>0</v>
      </c>
      <c r="FJ628" s="58">
        <f t="shared" si="998"/>
        <v>0</v>
      </c>
      <c r="FL628" s="58">
        <f t="shared" si="999"/>
        <v>0</v>
      </c>
      <c r="FM628" s="58">
        <f t="shared" si="1000"/>
        <v>3</v>
      </c>
      <c r="FN628" s="58">
        <f>IF(i_eff_inputs_based_on_num=2,EP628,(INDEX(Lists!$L$51:$L$85,MATCH(BF271,Lists!$K$51:$K$85,0))))</f>
        <v>12</v>
      </c>
      <c r="FO628" s="58">
        <f>IF(i_eff_inputs_based_on_num=2,EQ628,(INDEX(Lists!$L$51:$L$85,MATCH(BG271,Lists!$K$51:$K$85,0))))</f>
        <v>1</v>
      </c>
      <c r="FP628" s="58">
        <f>IF(i_eff_inputs_based_on_num=2,ER628,(INDEX(Lists!$L$51:$L$85,MATCH(BH271,Lists!$K$51:$K$85,0))))</f>
        <v>0</v>
      </c>
      <c r="FT628" s="58">
        <f t="shared" si="960"/>
        <v>0</v>
      </c>
      <c r="FW628" s="58">
        <f>IF(i_baseline_risk_from=2,'Effectiveness settings'!EW628,'Effectiveness settings'!FI628)</f>
        <v>0</v>
      </c>
      <c r="FX628" s="58">
        <f t="shared" si="961"/>
        <v>0</v>
      </c>
      <c r="FY628" s="58">
        <f t="shared" si="962"/>
        <v>0</v>
      </c>
      <c r="FZ628" s="58">
        <f t="shared" si="963"/>
        <v>0</v>
      </c>
      <c r="GA628" s="58">
        <f t="shared" si="964"/>
        <v>0</v>
      </c>
      <c r="GB628" s="58">
        <f t="shared" si="965"/>
        <v>0</v>
      </c>
      <c r="GC628" s="58">
        <f t="shared" si="966"/>
        <v>0</v>
      </c>
      <c r="GD628" s="58">
        <f t="shared" si="967"/>
        <v>0</v>
      </c>
      <c r="GE628" s="58">
        <f>IF(AND(dd_CheckMate214_TTD="Yes",'Effectiveness settings'!BU628=2,'Effectiveness settings'!BX628=2),"Apply HR to",GD628)</f>
        <v>0</v>
      </c>
      <c r="GF628" s="58">
        <f t="shared" si="968"/>
        <v>0</v>
      </c>
      <c r="GG628" s="58">
        <f t="shared" si="969"/>
        <v>0</v>
      </c>
      <c r="GH628" s="58">
        <f t="shared" si="970"/>
        <v>0</v>
      </c>
      <c r="GI628" s="58">
        <f t="shared" si="957"/>
        <v>0</v>
      </c>
      <c r="GK628" s="58">
        <f>IF(i_baseline_risk_from=2,'Effectiveness settings'!FA628,'Effectiveness settings'!FM628)</f>
        <v>3</v>
      </c>
      <c r="GL628" s="58">
        <f>IF(i_baseline_risk_from=2,'Effectiveness settings'!FB628,'Effectiveness settings'!FN628)</f>
        <v>12</v>
      </c>
      <c r="GM628" s="58">
        <f>IF(i_baseline_risk_from=2,'Effectiveness settings'!FC628,'Effectiveness settings'!FO628)</f>
        <v>2</v>
      </c>
      <c r="GN628" s="58">
        <f>IF(i_baseline_risk_from=2,'Effectiveness settings'!FD628,'Effectiveness settings'!FP628)</f>
        <v>0</v>
      </c>
      <c r="GQ628" s="58">
        <f t="shared" si="971"/>
        <v>12</v>
      </c>
      <c r="GR628" s="58">
        <f t="shared" si="972"/>
        <v>12</v>
      </c>
      <c r="GS628" s="58">
        <f t="shared" si="973"/>
        <v>12</v>
      </c>
      <c r="GT628" s="58">
        <f t="shared" si="974"/>
        <v>12</v>
      </c>
      <c r="GU628" s="58">
        <f>IF(AND(dd_CheckMate214_TTD="Yes",'Effectiveness settings'!BU628=2,'Effectiveness settings'!BX628=2),2,GT628)</f>
        <v>12</v>
      </c>
      <c r="GV628" s="58">
        <f t="shared" si="975"/>
        <v>12</v>
      </c>
      <c r="GW628" s="58">
        <f t="shared" si="976"/>
        <v>12</v>
      </c>
      <c r="GY628" s="58">
        <f>IF(AND(dd_CheckMate214_TTD="Yes",'Effectiveness settings'!BU628=2,'Effectiveness settings'!BX628=2),1,GN628)</f>
        <v>0</v>
      </c>
      <c r="GZ628" s="58">
        <f t="shared" si="977"/>
        <v>0</v>
      </c>
      <c r="HB628" s="58">
        <f t="shared" si="978"/>
        <v>0</v>
      </c>
      <c r="HD628" s="58">
        <f t="shared" si="952"/>
        <v>0</v>
      </c>
      <c r="HE628" s="58">
        <f t="shared" si="953"/>
        <v>3</v>
      </c>
      <c r="HF628" s="58">
        <f t="shared" si="954"/>
        <v>12</v>
      </c>
      <c r="HG628" s="58">
        <f t="shared" si="955"/>
        <v>2</v>
      </c>
      <c r="HH628" s="58">
        <f t="shared" si="956"/>
        <v>0</v>
      </c>
    </row>
    <row r="629" spans="69:216" ht="15.75" x14ac:dyDescent="0.25">
      <c r="BQ629" s="58">
        <f t="shared" si="958"/>
        <v>364</v>
      </c>
      <c r="BR629" s="61">
        <v>0</v>
      </c>
      <c r="BS629" s="61" t="s">
        <v>31</v>
      </c>
      <c r="BT629" s="17">
        <v>4</v>
      </c>
      <c r="BU629" s="17">
        <v>999</v>
      </c>
      <c r="BV629" s="252" t="str">
        <f t="shared" si="979"/>
        <v>placebo_BSC</v>
      </c>
      <c r="BW629" s="1006" t="str" cm="1">
        <f t="array" ref="BW629">IF(AZ272="No",AZ272,INDEX(List_incl_anal_4L_all,IF(BU629=999,35,BU629+1)))</f>
        <v>Yes</v>
      </c>
      <c r="BX629" s="61">
        <f t="shared" si="980"/>
        <v>0</v>
      </c>
      <c r="BY629" s="532" t="str">
        <f t="shared" si="1002"/>
        <v>Overall survival</v>
      </c>
      <c r="BZ629" s="530" t="str">
        <f t="shared" si="981"/>
        <v>Assume equal to</v>
      </c>
      <c r="CA629" s="531">
        <f t="shared" si="1001"/>
        <v>0</v>
      </c>
      <c r="CB629" s="530">
        <f t="shared" si="982"/>
        <v>0</v>
      </c>
      <c r="CC629" s="530">
        <f t="shared" si="983"/>
        <v>4</v>
      </c>
      <c r="CD629" s="530">
        <f t="shared" si="984"/>
        <v>999</v>
      </c>
      <c r="CE629" s="1295">
        <f t="shared" si="985"/>
        <v>2</v>
      </c>
      <c r="CF629" s="1301">
        <f t="shared" si="986"/>
        <v>4</v>
      </c>
      <c r="CG629" s="530" t="str">
        <f t="shared" si="987"/>
        <v/>
      </c>
      <c r="CH629" s="505">
        <f t="shared" si="988"/>
        <v>1</v>
      </c>
      <c r="CI629" s="505">
        <f t="shared" si="988"/>
        <v>1</v>
      </c>
      <c r="CJ629" s="505">
        <f t="shared" si="988"/>
        <v>1</v>
      </c>
      <c r="DK629" s="58" t="str" cm="1">
        <f t="array" ref="DK629">IF(AND($BT629=4,$BX629=4,$BU629=999),$DB$36,_xlfn.IFNA(INDEX(DB$13:DB$70,MATCH(1,($BR629=$CV$13:$CV$70)*($BT629=$CX$13:$CX$70)*($CE629=$CY$13:$CY$70)*($BY629=$DA$13:$DA$70)*($CD629=$DH$13:$DH$70),0)),""))</f>
        <v/>
      </c>
      <c r="DL629" s="58" t="str" cm="1">
        <f t="array" ref="DL629">IF(AND($BT629=4,$BX629=4,$BU629=999),$DC$36,_xlfn.IFNA(INDEX(CHOOSE(DP629,DB$13:DB$70,DC$13:DC$70,DD$13:DD$70,DE$13:DE$70),MATCH(1,($BR629=$CV$13:$CV$70)*($BT629=$CX$13:$CX$70)*($CE629=$CY$13:$CY$70)*($BY629=$DA$13:$DA$70)*($CD629=$DH$13:$DH$70),0)),""))</f>
        <v/>
      </c>
      <c r="DM629" s="740" t="str" cm="1">
        <f t="array" ref="DM629">IF(AND($BT629=4,$BX629=4,$BU629=999),$DD$36,_xlfn.IFNA(INDEX(DD$13:DD$68,MATCH(1,($BR629=$CV$13:$CV$68)*($BT629=$CX$13:$CX$68)*($CE629=$CY$13:$CY$68)*($BY629=$DA$13:$DA$68)*($CD629=$DH$13:$DH$68),0)),""))</f>
        <v/>
      </c>
      <c r="DN629" s="740" t="str" cm="1">
        <f t="array" ref="DN629">IF(AND($BT629=4,$BX629=4,$BU629=999),$DD$36,_xlfn.IFNA(INDEX(DE$13:DE$68,MATCH(1,($BR629=$CV$13:$CV$68)*($BT629=$CX$13:$CX$68)*($CE629=$CY$13:$CY$68)*($BY629=$DA$13:$DA$68)*($CD629=$DH$13:$DH$68),0)),""))</f>
        <v/>
      </c>
      <c r="DO629" s="58" t="str" cm="1">
        <f t="array" ref="DO629">IF(AND($BT629=4,$BX629=4,$BU629=999),$DF$36,_xlfn.IFNA(INDEX(DF$13:DF$70,MATCH(1,($BR629=$CV$13:$CV$70)*($BT629=$CX$13:$CX$70)*($CE629=$CY$13:$CY$70)*($BY629=$DA$13:$DA$70)*($CD629=$DH$13:$DH$70),0)),""))</f>
        <v/>
      </c>
      <c r="DP629" s="58" t="e">
        <f t="shared" si="959"/>
        <v>#N/A</v>
      </c>
      <c r="DW629" s="58" t="s">
        <v>74</v>
      </c>
      <c r="DX629" s="58" t="s">
        <v>544</v>
      </c>
      <c r="DY629" s="58" t="s">
        <v>561</v>
      </c>
      <c r="DZ629" s="58">
        <v>0</v>
      </c>
      <c r="EB629" s="58">
        <v>0</v>
      </c>
      <c r="EC629" s="58">
        <v>4</v>
      </c>
      <c r="ED629" s="58">
        <v>999</v>
      </c>
      <c r="EE629" s="58">
        <v>2</v>
      </c>
      <c r="EF629" s="58">
        <v>4</v>
      </c>
      <c r="EI629" s="58" t="s">
        <v>74</v>
      </c>
      <c r="EJ629" s="58" t="s">
        <v>544</v>
      </c>
      <c r="EK629" s="58" t="s">
        <v>561</v>
      </c>
      <c r="EL629" s="58">
        <v>0</v>
      </c>
      <c r="EN629" s="58">
        <v>0</v>
      </c>
      <c r="EO629" s="58">
        <v>4</v>
      </c>
      <c r="EP629" s="58">
        <v>999</v>
      </c>
      <c r="EQ629" s="58">
        <v>2</v>
      </c>
      <c r="ER629" s="58">
        <v>4</v>
      </c>
      <c r="EU629" s="58" t="str">
        <f t="shared" si="989"/>
        <v>Yes</v>
      </c>
      <c r="EV629" s="58" t="str">
        <f t="shared" si="990"/>
        <v>Overall survival</v>
      </c>
      <c r="EW629" s="58" t="str">
        <f t="shared" si="991"/>
        <v>Assume equal to</v>
      </c>
      <c r="EX629" s="58">
        <f t="shared" si="992"/>
        <v>0</v>
      </c>
      <c r="EZ629" s="58">
        <f t="shared" si="993"/>
        <v>0</v>
      </c>
      <c r="FA629" s="58">
        <f t="shared" si="994"/>
        <v>4</v>
      </c>
      <c r="FB629" s="58">
        <f>IF(i_eff_inputs_based_on_num=2,ED629,(INDEX(Lists!$L$51:$L$85,MATCH(BF272,Lists!$K$51:$K$85,0))))</f>
        <v>999</v>
      </c>
      <c r="FC629" s="58">
        <f>IF(i_eff_inputs_based_on_num=2,EE629,(INDEX(Lists!$L$51:$L$85,MATCH(BG272,Lists!$K$51:$K$85,0))))</f>
        <v>2</v>
      </c>
      <c r="FD629" s="58">
        <f>IF(i_eff_inputs_based_on_num=2,EF629,(INDEX(Lists!$L$51:$L$85,MATCH(BH272,Lists!$K$51:$K$85,0))))</f>
        <v>4</v>
      </c>
      <c r="FG629" s="58" t="str">
        <f t="shared" si="995"/>
        <v>Yes</v>
      </c>
      <c r="FH629" s="58" t="str">
        <f t="shared" si="996"/>
        <v>Overall survival</v>
      </c>
      <c r="FI629" s="58" t="str">
        <f t="shared" si="997"/>
        <v>Assume equal to</v>
      </c>
      <c r="FJ629" s="58">
        <f t="shared" si="998"/>
        <v>0</v>
      </c>
      <c r="FL629" s="58">
        <f t="shared" si="999"/>
        <v>0</v>
      </c>
      <c r="FM629" s="58">
        <f t="shared" si="1000"/>
        <v>4</v>
      </c>
      <c r="FN629" s="58">
        <f>IF(i_eff_inputs_based_on_num=2,EP629,(INDEX(Lists!$L$51:$L$85,MATCH(BF272,Lists!$K$51:$K$85,0))))</f>
        <v>999</v>
      </c>
      <c r="FO629" s="58">
        <f>IF(i_eff_inputs_based_on_num=2,EQ629,(INDEX(Lists!$L$51:$L$85,MATCH(BG272,Lists!$K$51:$K$85,0))))</f>
        <v>2</v>
      </c>
      <c r="FP629" s="58">
        <f>IF(i_eff_inputs_based_on_num=2,ER629,(INDEX(Lists!$L$51:$L$85,MATCH(BH272,Lists!$K$51:$K$85,0))))</f>
        <v>4</v>
      </c>
      <c r="FT629" s="58">
        <f t="shared" si="960"/>
        <v>0</v>
      </c>
      <c r="FW629" s="58" t="str">
        <f>IF(i_baseline_risk_from=2,'Effectiveness settings'!EW629,'Effectiveness settings'!FI629)</f>
        <v>Assume equal to</v>
      </c>
      <c r="FX629" s="58" t="str">
        <f t="shared" si="961"/>
        <v>Assume equal to</v>
      </c>
      <c r="FY629" s="58" t="str">
        <f t="shared" si="962"/>
        <v>Assume equal to</v>
      </c>
      <c r="FZ629" s="58" t="str">
        <f t="shared" si="963"/>
        <v>Assume equal to</v>
      </c>
      <c r="GA629" s="58" t="str">
        <f t="shared" si="964"/>
        <v>Assume equal to</v>
      </c>
      <c r="GB629" s="58" t="str">
        <f t="shared" si="965"/>
        <v>Assume equal to</v>
      </c>
      <c r="GC629" s="58" t="str">
        <f t="shared" si="966"/>
        <v>Assume equal to</v>
      </c>
      <c r="GD629" s="58" t="str">
        <f t="shared" si="967"/>
        <v>Assume equal to</v>
      </c>
      <c r="GE629" s="58" t="str">
        <f>IF(AND(dd_CheckMate214_TTD="Yes",'Effectiveness settings'!BU629=2,'Effectiveness settings'!BX629=2),"Apply HR to",GD629)</f>
        <v>Assume equal to</v>
      </c>
      <c r="GF629" s="58" t="str">
        <f t="shared" si="968"/>
        <v>Assume equal to</v>
      </c>
      <c r="GG629" s="58" t="str">
        <f t="shared" si="969"/>
        <v>Assume equal to</v>
      </c>
      <c r="GH629" s="58" t="str">
        <f t="shared" si="970"/>
        <v>Assume equal to</v>
      </c>
      <c r="GI629" s="58" t="str">
        <f t="shared" si="957"/>
        <v>Assume equal to</v>
      </c>
      <c r="GK629" s="58">
        <f>IF(i_baseline_risk_from=2,'Effectiveness settings'!FA629,'Effectiveness settings'!FM629)</f>
        <v>4</v>
      </c>
      <c r="GL629" s="58">
        <f>IF(i_baseline_risk_from=2,'Effectiveness settings'!FB629,'Effectiveness settings'!FN629)</f>
        <v>999</v>
      </c>
      <c r="GM629" s="58">
        <f>IF(i_baseline_risk_from=2,'Effectiveness settings'!FC629,'Effectiveness settings'!FO629)</f>
        <v>2</v>
      </c>
      <c r="GN629" s="58">
        <f>IF(i_baseline_risk_from=2,'Effectiveness settings'!FD629,'Effectiveness settings'!FP629)</f>
        <v>4</v>
      </c>
      <c r="GQ629" s="58">
        <f t="shared" si="971"/>
        <v>999</v>
      </c>
      <c r="GR629" s="58">
        <f t="shared" si="972"/>
        <v>999</v>
      </c>
      <c r="GS629" s="58">
        <f t="shared" si="973"/>
        <v>999</v>
      </c>
      <c r="GT629" s="58">
        <f t="shared" si="974"/>
        <v>999</v>
      </c>
      <c r="GU629" s="58">
        <f>IF(AND(dd_CheckMate214_TTD="Yes",'Effectiveness settings'!BU629=2,'Effectiveness settings'!BX629=2),2,GT629)</f>
        <v>999</v>
      </c>
      <c r="GV629" s="58">
        <f t="shared" si="975"/>
        <v>999</v>
      </c>
      <c r="GW629" s="58">
        <f t="shared" si="976"/>
        <v>999</v>
      </c>
      <c r="GY629" s="58">
        <f>IF(AND(dd_CheckMate214_TTD="Yes",'Effectiveness settings'!BU629=2,'Effectiveness settings'!BX629=2),1,GN629)</f>
        <v>4</v>
      </c>
      <c r="GZ629" s="58">
        <f t="shared" si="977"/>
        <v>4</v>
      </c>
      <c r="HB629" s="58">
        <f t="shared" si="978"/>
        <v>0</v>
      </c>
      <c r="HD629" s="58">
        <f t="shared" si="952"/>
        <v>0</v>
      </c>
      <c r="HE629" s="58">
        <f t="shared" si="953"/>
        <v>4</v>
      </c>
      <c r="HF629" s="58">
        <f t="shared" si="954"/>
        <v>999</v>
      </c>
      <c r="HG629" s="58">
        <f t="shared" si="955"/>
        <v>2</v>
      </c>
      <c r="HH629" s="58">
        <f t="shared" si="956"/>
        <v>4</v>
      </c>
    </row>
    <row r="630" spans="69:216" ht="15.75" x14ac:dyDescent="0.25">
      <c r="BQ630" s="58">
        <f t="shared" si="958"/>
        <v>364</v>
      </c>
      <c r="BR630" s="61"/>
      <c r="BS630" s="61"/>
      <c r="BT630" s="17"/>
      <c r="BU630" s="61"/>
      <c r="BV630" s="252"/>
      <c r="BW630" s="252"/>
      <c r="BX630" s="505"/>
      <c r="BY630" s="532"/>
      <c r="BZ630" s="529"/>
      <c r="CA630" s="532"/>
      <c r="CB630" s="529"/>
      <c r="CC630" s="529"/>
      <c r="CD630" s="529"/>
      <c r="CE630" s="515"/>
      <c r="CF630" s="1303"/>
      <c r="CG630" s="529"/>
      <c r="CH630" s="505"/>
      <c r="CI630" s="505"/>
      <c r="CJ630" s="505"/>
      <c r="DK630" s="58" t="str" cm="1">
        <f t="array" ref="DK630">IF(AND($BT630=4,$BX630=4,$BU630=999),$DB$36,_xlfn.IFNA(INDEX(DB$13:DB$70,MATCH(1,($BR630=$CV$13:$CV$70)*($BT630=$CX$13:$CX$70)*($CE630=$CY$13:$CY$70)*($BY630=$DA$13:$DA$70)*($CD630=$DH$13:$DH$70),0)),""))</f>
        <v/>
      </c>
      <c r="DL630" s="58" t="str" cm="1">
        <f t="array" ref="DL630">IF(AND($BT630=4,$BX630=4,$BU630=999),$DC$36,_xlfn.IFNA(INDEX(CHOOSE(DP630,DB$13:DB$70,DC$13:DC$70,DD$13:DD$70,DE$13:DE$70),MATCH(1,($BR630=$CV$13:$CV$70)*($BT630=$CX$13:$CX$70)*($CE630=$CY$13:$CY$70)*($BY630=$DA$13:$DA$70)*($CD630=$DH$13:$DH$70),0)),""))</f>
        <v/>
      </c>
      <c r="DM630" s="740" t="str" cm="1">
        <f t="array" ref="DM630">IF(AND($BT630=4,$BX630=4,$BU630=999),$DD$36,_xlfn.IFNA(INDEX(DD$13:DD$68,MATCH(1,($BR630=$CV$13:$CV$68)*($BT630=$CX$13:$CX$68)*($CE630=$CY$13:$CY$68)*($BY630=$DA$13:$DA$68)*($CD630=$DH$13:$DH$68),0)),""))</f>
        <v/>
      </c>
      <c r="DN630" s="740" t="str" cm="1">
        <f t="array" ref="DN630">IF(AND($BT630=4,$BX630=4,$BU630=999),$DD$36,_xlfn.IFNA(INDEX(DE$13:DE$68,MATCH(1,($BR630=$CV$13:$CV$68)*($BT630=$CX$13:$CX$68)*($CE630=$CY$13:$CY$68)*($BY630=$DA$13:$DA$68)*($CD630=$DH$13:$DH$68),0)),""))</f>
        <v/>
      </c>
      <c r="DO630" s="58" t="str" cm="1">
        <f t="array" ref="DO630">IF(AND($BT630=4,$BX630=4,$BU630=999),$DF$36,_xlfn.IFNA(INDEX(DF$13:DF$70,MATCH(1,($BR630=$CV$13:$CV$70)*($BT630=$CX$13:$CX$70)*($CE630=$CY$13:$CY$70)*($BY630=$DA$13:$DA$70)*($CD630=$DH$13:$DH$70),0)),""))</f>
        <v/>
      </c>
      <c r="DP630" s="58" t="e">
        <f t="shared" si="959"/>
        <v>#N/A</v>
      </c>
      <c r="FT630" s="58">
        <f t="shared" si="960"/>
        <v>0</v>
      </c>
      <c r="FW630" s="58">
        <f>IF(i_baseline_risk_from=2,'Effectiveness settings'!EW630,'Effectiveness settings'!FI630)</f>
        <v>0</v>
      </c>
      <c r="FX630" s="58">
        <f t="shared" si="961"/>
        <v>0</v>
      </c>
      <c r="FY630" s="58">
        <f t="shared" si="962"/>
        <v>0</v>
      </c>
      <c r="FZ630" s="58">
        <f t="shared" si="963"/>
        <v>0</v>
      </c>
      <c r="GA630" s="58">
        <f t="shared" si="964"/>
        <v>0</v>
      </c>
      <c r="GB630" s="58">
        <f t="shared" si="965"/>
        <v>0</v>
      </c>
      <c r="GC630" s="58">
        <f t="shared" si="966"/>
        <v>0</v>
      </c>
      <c r="GD630" s="58">
        <f t="shared" si="967"/>
        <v>0</v>
      </c>
      <c r="GE630" s="58">
        <f>IF(AND(dd_CheckMate214_TTD="Yes",'Effectiveness settings'!BU630=2,'Effectiveness settings'!BX630=2),"Apply HR to",GD630)</f>
        <v>0</v>
      </c>
      <c r="GF630" s="58">
        <f t="shared" si="968"/>
        <v>0</v>
      </c>
      <c r="GG630" s="58">
        <f t="shared" si="969"/>
        <v>0</v>
      </c>
      <c r="GH630" s="58">
        <f t="shared" si="970"/>
        <v>0</v>
      </c>
      <c r="GI630" s="58">
        <f t="shared" si="957"/>
        <v>0</v>
      </c>
      <c r="GK630" s="58">
        <f>IF(i_baseline_risk_from=2,'Effectiveness settings'!FA630,'Effectiveness settings'!FM630)</f>
        <v>0</v>
      </c>
      <c r="GL630" s="58">
        <f>IF(i_baseline_risk_from=2,'Effectiveness settings'!FB630,'Effectiveness settings'!FN630)</f>
        <v>0</v>
      </c>
      <c r="GM630" s="58">
        <f>IF(i_baseline_risk_from=2,'Effectiveness settings'!FC630,'Effectiveness settings'!FO630)</f>
        <v>0</v>
      </c>
      <c r="GN630" s="58">
        <f>IF(i_baseline_risk_from=2,'Effectiveness settings'!FD630,'Effectiveness settings'!FP630)</f>
        <v>0</v>
      </c>
      <c r="GQ630" s="58">
        <f t="shared" si="971"/>
        <v>0</v>
      </c>
      <c r="GR630" s="58">
        <f t="shared" si="972"/>
        <v>0</v>
      </c>
      <c r="GS630" s="58">
        <f t="shared" si="973"/>
        <v>0</v>
      </c>
      <c r="GT630" s="58">
        <f t="shared" si="974"/>
        <v>0</v>
      </c>
      <c r="GU630" s="58">
        <f>IF(AND(dd_CheckMate214_TTD="Yes",'Effectiveness settings'!BU630=2,'Effectiveness settings'!BX630=2),2,GT630)</f>
        <v>0</v>
      </c>
      <c r="GV630" s="58">
        <f t="shared" si="975"/>
        <v>0</v>
      </c>
      <c r="GW630" s="58">
        <f t="shared" si="976"/>
        <v>0</v>
      </c>
      <c r="GY630" s="58">
        <f>IF(AND(dd_CheckMate214_TTD="Yes",'Effectiveness settings'!BU630=2,'Effectiveness settings'!BX630=2),1,GN630)</f>
        <v>0</v>
      </c>
      <c r="GZ630" s="58">
        <f t="shared" si="977"/>
        <v>0</v>
      </c>
      <c r="HB630" s="58">
        <f t="shared" si="978"/>
        <v>0</v>
      </c>
      <c r="HD630" s="58">
        <f t="shared" si="952"/>
        <v>0</v>
      </c>
      <c r="HE630" s="58">
        <f t="shared" si="953"/>
        <v>0</v>
      </c>
      <c r="HF630" s="58">
        <f t="shared" si="954"/>
        <v>0</v>
      </c>
      <c r="HG630" s="58">
        <f t="shared" si="955"/>
        <v>0</v>
      </c>
      <c r="HH630" s="58">
        <f t="shared" si="956"/>
        <v>0</v>
      </c>
    </row>
    <row r="631" spans="69:216" ht="15.75" x14ac:dyDescent="0.25">
      <c r="BQ631" s="58">
        <f t="shared" si="958"/>
        <v>365</v>
      </c>
      <c r="BR631" s="61">
        <v>0</v>
      </c>
      <c r="BS631" s="61" t="s">
        <v>31</v>
      </c>
      <c r="BT631" s="17">
        <v>4</v>
      </c>
      <c r="BU631" s="17">
        <v>0</v>
      </c>
      <c r="BV631" s="252" t="str">
        <f t="shared" ref="BV631:BV644" si="1003">D274</f>
        <v>nivolumab_monotherapy</v>
      </c>
      <c r="BW631" s="1006" t="str" cm="1">
        <f t="array" ref="BW631">IF(AZ274="No",AZ274,INDEX(List_incl_anal_4L_all,IF(BU631=999,35,BU631+1)))</f>
        <v>Yes</v>
      </c>
      <c r="BX631" s="61">
        <f t="shared" ref="BX631:BX644" si="1004">MATCH(BY631,List_eff_endpoints,0)-1</f>
        <v>1</v>
      </c>
      <c r="BY631" s="532" t="str">
        <f>BA274</f>
        <v>Progression free survival</v>
      </c>
      <c r="BZ631" s="530" t="str">
        <f t="shared" ref="BZ631:BZ644" si="1005">GI631</f>
        <v>Apply HR to</v>
      </c>
      <c r="CA631" s="531">
        <f>FT631</f>
        <v>0</v>
      </c>
      <c r="CB631" s="530">
        <f t="shared" ref="CB631:CB644" si="1006">IF(i_baseline_risk_from=2,EZ631,FL631)</f>
        <v>0</v>
      </c>
      <c r="CC631" s="530">
        <f t="shared" ref="CC631:CC644" si="1007">IF(i_baseline_risk_from=2,FA631,FM631)</f>
        <v>3</v>
      </c>
      <c r="CD631" s="530">
        <f t="shared" ref="CD631:CD644" si="1008">IF(i_baseline_risk_from=2,FB631,FN631)</f>
        <v>0</v>
      </c>
      <c r="CE631" s="1295">
        <f t="shared" ref="CE631:CE644" si="1009">IF(i_baseline_risk_from=2,FC631,FO631)</f>
        <v>2</v>
      </c>
      <c r="CF631" s="1301">
        <f t="shared" ref="CF631:CF644" si="1010">IF(i_baseline_risk_from=2,FD631,FP631)</f>
        <v>1</v>
      </c>
      <c r="CG631" s="530" t="str">
        <f t="shared" ref="CG631:CG644" si="1011">IF(i_surv_cur=1,DK631,DL631)</f>
        <v/>
      </c>
      <c r="CH631" s="505">
        <f t="shared" si="988"/>
        <v>1.7410000000000001</v>
      </c>
      <c r="CI631" s="505">
        <f t="shared" si="988"/>
        <v>1.208</v>
      </c>
      <c r="CJ631" s="505">
        <f t="shared" si="988"/>
        <v>2.5099999999999998</v>
      </c>
      <c r="DK631" s="58" t="str" cm="1">
        <f t="array" ref="DK631">IF(AND($BT631=4,$BX631=4,$BU631=999),$DB$36,_xlfn.IFNA(INDEX(DB$13:DB$70,MATCH(1,($BR631=$CV$13:$CV$70)*($BT631=$CX$13:$CX$70)*($CE631=$CY$13:$CY$70)*($BY631=$DA$13:$DA$70)*($CD631=$DH$13:$DH$70),0)),""))</f>
        <v/>
      </c>
      <c r="DL631" s="58" t="str" cm="1">
        <f t="array" ref="DL631">IF(AND($BT631=4,$BX631=4,$BU631=999),$DC$36,_xlfn.IFNA(INDEX(CHOOSE(DP631,DB$13:DB$70,DC$13:DC$70,DD$13:DD$70,DE$13:DE$70),MATCH(1,($BR631=$CV$13:$CV$70)*($BT631=$CX$13:$CX$70)*($CE631=$CY$13:$CY$70)*($BY631=$DA$13:$DA$70)*($CD631=$DH$13:$DH$70),0)),""))</f>
        <v/>
      </c>
      <c r="DM631" s="740" t="str" cm="1">
        <f t="array" ref="DM631">IF(AND($BT631=4,$BX631=4,$BU631=999),$DD$36,_xlfn.IFNA(INDEX(DD$13:DD$68,MATCH(1,($BR631=$CV$13:$CV$68)*($BT631=$CX$13:$CX$68)*($CE631=$CY$13:$CY$68)*($BY631=$DA$13:$DA$68)*($CD631=$DH$13:$DH$68),0)),""))</f>
        <v/>
      </c>
      <c r="DN631" s="740" t="str" cm="1">
        <f t="array" ref="DN631">IF(AND($BT631=4,$BX631=4,$BU631=999),$DD$36,_xlfn.IFNA(INDEX(DE$13:DE$68,MATCH(1,($BR631=$CV$13:$CV$68)*($BT631=$CX$13:$CX$68)*($CE631=$CY$13:$CY$68)*($BY631=$DA$13:$DA$68)*($CD631=$DH$13:$DH$68),0)),""))</f>
        <v/>
      </c>
      <c r="DO631" s="58" t="str" cm="1">
        <f t="array" ref="DO631">IF(AND($BT631=4,$BX631=4,$BU631=999),$DF$36,_xlfn.IFNA(INDEX(DF$13:DF$70,MATCH(1,($BR631=$CV$13:$CV$70)*($BT631=$CX$13:$CX$70)*($CE631=$CY$13:$CY$70)*($BY631=$DA$13:$DA$70)*($CD631=$DH$13:$DH$70),0)),""))</f>
        <v/>
      </c>
      <c r="DP631" s="58" t="e">
        <f t="shared" si="959"/>
        <v>#N/A</v>
      </c>
      <c r="DW631" s="58" t="s">
        <v>74</v>
      </c>
      <c r="DX631" s="58" t="s">
        <v>552</v>
      </c>
      <c r="DY631" s="58" t="s">
        <v>578</v>
      </c>
      <c r="DZ631" s="58">
        <v>0</v>
      </c>
      <c r="EB631" s="58">
        <v>0</v>
      </c>
      <c r="EC631" s="58">
        <v>3</v>
      </c>
      <c r="ED631" s="58">
        <v>0</v>
      </c>
      <c r="EE631" s="58">
        <v>2</v>
      </c>
      <c r="EF631" s="58">
        <v>1</v>
      </c>
      <c r="EI631" s="58" t="s">
        <v>74</v>
      </c>
      <c r="EJ631" s="58" t="s">
        <v>552</v>
      </c>
      <c r="EK631" s="58" t="s">
        <v>578</v>
      </c>
      <c r="EL631" s="58">
        <v>0</v>
      </c>
      <c r="EN631" s="58">
        <v>0</v>
      </c>
      <c r="EO631" s="58">
        <v>3</v>
      </c>
      <c r="EP631" s="58">
        <v>0</v>
      </c>
      <c r="EQ631" s="58">
        <v>1</v>
      </c>
      <c r="ER631" s="58">
        <v>1</v>
      </c>
      <c r="EU631" s="58" t="str">
        <f t="shared" ref="EU631:EU644" si="1012">IF(i_eff_inputs_based_on_num=2,DW631,AZ274)</f>
        <v>Yes</v>
      </c>
      <c r="EV631" s="58" t="str">
        <f t="shared" ref="EV631:EV644" si="1013">IF(i_eff_inputs_based_on_num=2,DX631,BA274)</f>
        <v>Progression free survival</v>
      </c>
      <c r="EW631" s="58" t="str">
        <f t="shared" ref="EW631:EW644" si="1014">IF(i_eff_inputs_based_on_num=2,DY631,BB274)</f>
        <v>Apply HR to</v>
      </c>
      <c r="EX631" s="58">
        <f t="shared" ref="EX631:EX644" si="1015">IF(i_eff_inputs_based_on_num=2,DZ631,BC274)</f>
        <v>0</v>
      </c>
      <c r="EZ631" s="58">
        <f t="shared" ref="EZ631:EZ644" si="1016">IF(i_eff_inputs_based_on_num=2,EB631,VLOOKUP(BD274,r_pld_lookup_line,3,FALSE))</f>
        <v>0</v>
      </c>
      <c r="FA631" s="58">
        <f t="shared" ref="FA631:FA644" si="1017">IF(i_eff_inputs_based_on_num=2,EC631,VLOOKUP(BE274,r_pld_lookup_line,3,FALSE))</f>
        <v>3</v>
      </c>
      <c r="FB631" s="58">
        <f>IF(i_eff_inputs_based_on_num=2,ED631,(INDEX(Lists!$L$51:$L$85,MATCH(BF274,Lists!$K$51:$K$85,0))))</f>
        <v>0</v>
      </c>
      <c r="FC631" s="58">
        <f>IF(i_eff_inputs_based_on_num=2,EE631,(INDEX(Lists!$L$51:$L$85,MATCH(BG274,Lists!$K$51:$K$85,0))))</f>
        <v>2</v>
      </c>
      <c r="FD631" s="58">
        <f>IF(i_eff_inputs_based_on_num=2,EF631,(INDEX(Lists!$L$51:$L$85,MATCH(BH274,Lists!$K$51:$K$85,0))))</f>
        <v>1</v>
      </c>
      <c r="FG631" s="58" t="str">
        <f t="shared" ref="FG631:FG644" si="1018">IF(i_eff_inputs_based_on_num=2,EI631,AZ274)</f>
        <v>Yes</v>
      </c>
      <c r="FH631" s="58" t="str">
        <f t="shared" ref="FH631:FH644" si="1019">IF(i_eff_inputs_based_on_num=2,EJ631,BA274)</f>
        <v>Progression free survival</v>
      </c>
      <c r="FI631" s="58" t="str">
        <f t="shared" ref="FI631:FI644" si="1020">IF(i_eff_inputs_based_on_num=2,EK631,BB274)</f>
        <v>Apply HR to</v>
      </c>
      <c r="FJ631" s="58">
        <f t="shared" ref="FJ631:FJ644" si="1021">IF(i_eff_inputs_based_on_num=2,EL631,BC274)</f>
        <v>0</v>
      </c>
      <c r="FL631" s="58">
        <f t="shared" ref="FL631:FL644" si="1022">IF(i_eff_inputs_based_on_num=2,EN631,VLOOKUP(BD274,r_pld_lookup_line,3,FALSE))</f>
        <v>0</v>
      </c>
      <c r="FM631" s="58">
        <f t="shared" ref="FM631:FM644" si="1023">IF(i_eff_inputs_based_on_num=2,EO631,VLOOKUP(BE274,r_pld_lookup_line,3,FALSE))</f>
        <v>3</v>
      </c>
      <c r="FN631" s="58">
        <f>IF(i_eff_inputs_based_on_num=2,EP631,(INDEX(Lists!$L$51:$L$85,MATCH(BF274,Lists!$K$51:$K$85,0))))</f>
        <v>0</v>
      </c>
      <c r="FO631" s="58">
        <f>IF(i_eff_inputs_based_on_num=2,EQ631,(INDEX(Lists!$L$51:$L$85,MATCH(BG274,Lists!$K$51:$K$85,0))))</f>
        <v>1</v>
      </c>
      <c r="FP631" s="58">
        <f>IF(i_eff_inputs_based_on_num=2,ER631,(INDEX(Lists!$L$51:$L$85,MATCH(BH274,Lists!$K$51:$K$85,0))))</f>
        <v>1</v>
      </c>
      <c r="FT631" s="58">
        <f t="shared" si="960"/>
        <v>0</v>
      </c>
      <c r="FW631" s="58" t="str">
        <f>IF(i_baseline_risk_from=2,'Effectiveness settings'!EW631,'Effectiveness settings'!FI631)</f>
        <v>Apply HR to</v>
      </c>
      <c r="FX631" s="58" t="str">
        <f t="shared" si="961"/>
        <v>Apply HR to</v>
      </c>
      <c r="FY631" s="58" t="str">
        <f t="shared" si="962"/>
        <v>Apply HR to</v>
      </c>
      <c r="FZ631" s="58" t="str">
        <f t="shared" si="963"/>
        <v>Apply HR to</v>
      </c>
      <c r="GA631" s="58" t="str">
        <f t="shared" si="964"/>
        <v>Apply HR to</v>
      </c>
      <c r="GB631" s="58" t="str">
        <f t="shared" si="965"/>
        <v>Apply HR to</v>
      </c>
      <c r="GC631" s="58" t="str">
        <f t="shared" si="966"/>
        <v>Apply HR to</v>
      </c>
      <c r="GD631" s="58" t="str">
        <f t="shared" si="967"/>
        <v>Apply HR to</v>
      </c>
      <c r="GE631" s="58" t="str">
        <f>IF(AND(dd_CheckMate214_TTD="Yes",'Effectiveness settings'!BU631=2,'Effectiveness settings'!BX631=2),"Apply HR to",GD631)</f>
        <v>Apply HR to</v>
      </c>
      <c r="GF631" s="58" t="str">
        <f t="shared" si="968"/>
        <v>Apply HR to</v>
      </c>
      <c r="GG631" s="58" t="str">
        <f t="shared" si="969"/>
        <v>Apply HR to</v>
      </c>
      <c r="GH631" s="58" t="str">
        <f t="shared" si="970"/>
        <v>Apply HR to</v>
      </c>
      <c r="GI631" s="58" t="str">
        <f t="shared" si="957"/>
        <v>Apply HR to</v>
      </c>
      <c r="GK631" s="58">
        <f>IF(i_baseline_risk_from=2,'Effectiveness settings'!FA631,'Effectiveness settings'!FM631)</f>
        <v>3</v>
      </c>
      <c r="GL631" s="58">
        <f>IF(i_baseline_risk_from=2,'Effectiveness settings'!FB631,'Effectiveness settings'!FN631)</f>
        <v>0</v>
      </c>
      <c r="GM631" s="58">
        <f>IF(i_baseline_risk_from=2,'Effectiveness settings'!FC631,'Effectiveness settings'!FO631)</f>
        <v>2</v>
      </c>
      <c r="GN631" s="58">
        <f>IF(i_baseline_risk_from=2,'Effectiveness settings'!FD631,'Effectiveness settings'!FP631)</f>
        <v>1</v>
      </c>
      <c r="GQ631" s="58">
        <f t="shared" si="971"/>
        <v>0</v>
      </c>
      <c r="GR631" s="58">
        <f t="shared" si="972"/>
        <v>0</v>
      </c>
      <c r="GS631" s="58">
        <f t="shared" si="973"/>
        <v>0</v>
      </c>
      <c r="GT631" s="58">
        <f t="shared" si="974"/>
        <v>0</v>
      </c>
      <c r="GU631" s="58">
        <f>IF(AND(dd_CheckMate214_TTD="Yes",'Effectiveness settings'!BU631=2,'Effectiveness settings'!BX631=2),2,GT631)</f>
        <v>0</v>
      </c>
      <c r="GV631" s="58">
        <f t="shared" si="975"/>
        <v>0</v>
      </c>
      <c r="GW631" s="58">
        <f t="shared" si="976"/>
        <v>0</v>
      </c>
      <c r="GY631" s="58">
        <f>IF(AND(dd_CheckMate214_TTD="Yes",'Effectiveness settings'!BU631=2,'Effectiveness settings'!BX631=2),1,GN631)</f>
        <v>1</v>
      </c>
      <c r="GZ631" s="58">
        <f t="shared" si="977"/>
        <v>1</v>
      </c>
      <c r="HB631" s="58">
        <f t="shared" si="978"/>
        <v>0</v>
      </c>
      <c r="HD631" s="58">
        <f t="shared" si="952"/>
        <v>0</v>
      </c>
      <c r="HE631" s="58">
        <f t="shared" si="953"/>
        <v>3</v>
      </c>
      <c r="HF631" s="58">
        <f t="shared" si="954"/>
        <v>0</v>
      </c>
      <c r="HG631" s="58">
        <f t="shared" si="955"/>
        <v>2</v>
      </c>
      <c r="HH631" s="58">
        <f t="shared" si="956"/>
        <v>1</v>
      </c>
    </row>
    <row r="632" spans="69:216" ht="15.75" x14ac:dyDescent="0.25">
      <c r="BQ632" s="58">
        <f t="shared" si="958"/>
        <v>366</v>
      </c>
      <c r="BR632" s="61">
        <v>0</v>
      </c>
      <c r="BS632" s="61" t="s">
        <v>31</v>
      </c>
      <c r="BT632" s="17">
        <v>4</v>
      </c>
      <c r="BU632" s="17">
        <v>1</v>
      </c>
      <c r="BV632" s="252" t="str">
        <f t="shared" si="1003"/>
        <v>cabozantinib_plus_nivolumab</v>
      </c>
      <c r="BW632" s="1006" t="str" cm="1">
        <f t="array" ref="BW632">IF(AZ275="No",AZ275,INDEX(List_incl_anal_4L_all,IF(BU632=999,35,BU632+1)))</f>
        <v>No</v>
      </c>
      <c r="BX632" s="61">
        <f t="shared" si="1004"/>
        <v>1</v>
      </c>
      <c r="BY632" s="532" t="str">
        <f>BA275</f>
        <v>Progression free survival</v>
      </c>
      <c r="BZ632" s="530">
        <f t="shared" si="1005"/>
        <v>0</v>
      </c>
      <c r="CA632" s="531">
        <f t="shared" ref="CA632:CA644" si="1024">FT632</f>
        <v>0</v>
      </c>
      <c r="CB632" s="530">
        <f t="shared" si="1006"/>
        <v>0</v>
      </c>
      <c r="CC632" s="530">
        <f t="shared" si="1007"/>
        <v>3</v>
      </c>
      <c r="CD632" s="530">
        <f t="shared" si="1008"/>
        <v>1</v>
      </c>
      <c r="CE632" s="1295">
        <f t="shared" si="1009"/>
        <v>2</v>
      </c>
      <c r="CF632" s="1301">
        <f t="shared" si="1010"/>
        <v>1</v>
      </c>
      <c r="CG632" s="530" t="str">
        <f t="shared" si="1011"/>
        <v/>
      </c>
      <c r="CH632" s="505">
        <f t="shared" ref="CH632:CH689" si="1025">BJ275</f>
        <v>1</v>
      </c>
      <c r="CI632" s="505">
        <f t="shared" ref="CI632:CI689" si="1026">BK275</f>
        <v>0</v>
      </c>
      <c r="CJ632" s="505">
        <f t="shared" ref="CJ632:CJ689" si="1027">BL275</f>
        <v>0</v>
      </c>
      <c r="DK632" s="58" t="str" cm="1">
        <f t="array" ref="DK632">IF(AND($BT632=4,$BX632=4,$BU632=999),$DB$36,_xlfn.IFNA(INDEX(DB$13:DB$70,MATCH(1,($BR632=$CV$13:$CV$70)*($BT632=$CX$13:$CX$70)*($CE632=$CY$13:$CY$70)*($BY632=$DA$13:$DA$70)*($CD632=$DH$13:$DH$70),0)),""))</f>
        <v/>
      </c>
      <c r="DL632" s="58" t="str" cm="1">
        <f t="array" ref="DL632">IF(AND($BT632=4,$BX632=4,$BU632=999),$DC$36,_xlfn.IFNA(INDEX(CHOOSE(DP632,DB$13:DB$70,DC$13:DC$70,DD$13:DD$70,DE$13:DE$70),MATCH(1,($BR632=$CV$13:$CV$70)*($BT632=$CX$13:$CX$70)*($CE632=$CY$13:$CY$70)*($BY632=$DA$13:$DA$70)*($CD632=$DH$13:$DH$70),0)),""))</f>
        <v/>
      </c>
      <c r="DM632" s="740" t="str" cm="1">
        <f t="array" ref="DM632">IF(AND($BT632=4,$BX632=4,$BU632=999),$DD$36,_xlfn.IFNA(INDEX(DD$13:DD$68,MATCH(1,($BR632=$CV$13:$CV$68)*($BT632=$CX$13:$CX$68)*($CE632=$CY$13:$CY$68)*($BY632=$DA$13:$DA$68)*($CD632=$DH$13:$DH$68),0)),""))</f>
        <v/>
      </c>
      <c r="DN632" s="740" t="str" cm="1">
        <f t="array" ref="DN632">IF(AND($BT632=4,$BX632=4,$BU632=999),$DD$36,_xlfn.IFNA(INDEX(DE$13:DE$68,MATCH(1,($BR632=$CV$13:$CV$68)*($BT632=$CX$13:$CX$68)*($CE632=$CY$13:$CY$68)*($BY632=$DA$13:$DA$68)*($CD632=$DH$13:$DH$68),0)),""))</f>
        <v/>
      </c>
      <c r="DO632" s="58" t="str" cm="1">
        <f t="array" ref="DO632">IF(AND($BT632=4,$BX632=4,$BU632=999),$DF$36,_xlfn.IFNA(INDEX(DF$13:DF$70,MATCH(1,($BR632=$CV$13:$CV$70)*($BT632=$CX$13:$CX$70)*($CE632=$CY$13:$CY$70)*($BY632=$DA$13:$DA$70)*($CD632=$DH$13:$DH$70),0)),""))</f>
        <v/>
      </c>
      <c r="DP632" s="58" t="e">
        <f t="shared" si="959"/>
        <v>#N/A</v>
      </c>
      <c r="DW632" s="58" t="s">
        <v>58</v>
      </c>
      <c r="DX632" s="58" t="s">
        <v>552</v>
      </c>
      <c r="DY632" s="58">
        <v>0</v>
      </c>
      <c r="DZ632" s="58">
        <v>0</v>
      </c>
      <c r="EB632" s="58">
        <v>0</v>
      </c>
      <c r="EC632" s="58">
        <v>3</v>
      </c>
      <c r="ED632" s="58">
        <v>1</v>
      </c>
      <c r="EE632" s="58">
        <v>2</v>
      </c>
      <c r="EF632" s="58">
        <v>1</v>
      </c>
      <c r="EI632" s="58" t="s">
        <v>58</v>
      </c>
      <c r="EJ632" s="58" t="s">
        <v>552</v>
      </c>
      <c r="EK632" s="58">
        <v>0</v>
      </c>
      <c r="EL632" s="58">
        <v>0</v>
      </c>
      <c r="EN632" s="58">
        <v>0</v>
      </c>
      <c r="EO632" s="58">
        <v>3</v>
      </c>
      <c r="EP632" s="58">
        <v>1</v>
      </c>
      <c r="EQ632" s="58">
        <v>1</v>
      </c>
      <c r="ER632" s="58">
        <v>1</v>
      </c>
      <c r="EU632" s="58" t="str">
        <f t="shared" si="1012"/>
        <v>No</v>
      </c>
      <c r="EV632" s="58" t="str">
        <f t="shared" si="1013"/>
        <v>Progression free survival</v>
      </c>
      <c r="EW632" s="58">
        <f t="shared" si="1014"/>
        <v>0</v>
      </c>
      <c r="EX632" s="58">
        <f t="shared" si="1015"/>
        <v>0</v>
      </c>
      <c r="EZ632" s="58">
        <f t="shared" si="1016"/>
        <v>0</v>
      </c>
      <c r="FA632" s="58">
        <f t="shared" si="1017"/>
        <v>3</v>
      </c>
      <c r="FB632" s="58">
        <f>IF(i_eff_inputs_based_on_num=2,ED632,(INDEX(Lists!$L$51:$L$85,MATCH(BF275,Lists!$K$51:$K$85,0))))</f>
        <v>1</v>
      </c>
      <c r="FC632" s="58">
        <f>IF(i_eff_inputs_based_on_num=2,EE632,(INDEX(Lists!$L$51:$L$85,MATCH(BG275,Lists!$K$51:$K$85,0))))</f>
        <v>2</v>
      </c>
      <c r="FD632" s="58">
        <f>IF(i_eff_inputs_based_on_num=2,EF632,(INDEX(Lists!$L$51:$L$85,MATCH(BH275,Lists!$K$51:$K$85,0))))</f>
        <v>1</v>
      </c>
      <c r="FG632" s="58" t="str">
        <f t="shared" si="1018"/>
        <v>No</v>
      </c>
      <c r="FH632" s="58" t="str">
        <f t="shared" si="1019"/>
        <v>Progression free survival</v>
      </c>
      <c r="FI632" s="58">
        <f t="shared" si="1020"/>
        <v>0</v>
      </c>
      <c r="FJ632" s="58">
        <f t="shared" si="1021"/>
        <v>0</v>
      </c>
      <c r="FL632" s="58">
        <f t="shared" si="1022"/>
        <v>0</v>
      </c>
      <c r="FM632" s="58">
        <f t="shared" si="1023"/>
        <v>3</v>
      </c>
      <c r="FN632" s="58">
        <f>IF(i_eff_inputs_based_on_num=2,EP632,(INDEX(Lists!$L$51:$L$85,MATCH(BF275,Lists!$K$51:$K$85,0))))</f>
        <v>1</v>
      </c>
      <c r="FO632" s="58">
        <f>IF(i_eff_inputs_based_on_num=2,EQ632,(INDEX(Lists!$L$51:$L$85,MATCH(BG275,Lists!$K$51:$K$85,0))))</f>
        <v>1</v>
      </c>
      <c r="FP632" s="58">
        <f>IF(i_eff_inputs_based_on_num=2,ER632,(INDEX(Lists!$L$51:$L$85,MATCH(BH275,Lists!$K$51:$K$85,0))))</f>
        <v>1</v>
      </c>
      <c r="FT632" s="58">
        <f t="shared" si="960"/>
        <v>0</v>
      </c>
      <c r="FW632" s="58">
        <f>IF(i_baseline_risk_from=2,'Effectiveness settings'!EW632,'Effectiveness settings'!FI632)</f>
        <v>0</v>
      </c>
      <c r="FX632" s="58">
        <f t="shared" si="961"/>
        <v>0</v>
      </c>
      <c r="FY632" s="58">
        <f t="shared" si="962"/>
        <v>0</v>
      </c>
      <c r="FZ632" s="58">
        <f t="shared" si="963"/>
        <v>0</v>
      </c>
      <c r="GA632" s="58">
        <f t="shared" si="964"/>
        <v>0</v>
      </c>
      <c r="GB632" s="58">
        <f t="shared" si="965"/>
        <v>0</v>
      </c>
      <c r="GC632" s="58">
        <f t="shared" si="966"/>
        <v>0</v>
      </c>
      <c r="GD632" s="58">
        <f t="shared" si="967"/>
        <v>0</v>
      </c>
      <c r="GE632" s="58">
        <f>IF(AND(dd_CheckMate214_TTD="Yes",'Effectiveness settings'!BU632=2,'Effectiveness settings'!BX632=2),"Apply HR to",GD632)</f>
        <v>0</v>
      </c>
      <c r="GF632" s="58">
        <f t="shared" si="968"/>
        <v>0</v>
      </c>
      <c r="GG632" s="58">
        <f t="shared" si="969"/>
        <v>0</v>
      </c>
      <c r="GH632" s="58">
        <f t="shared" si="970"/>
        <v>0</v>
      </c>
      <c r="GI632" s="58">
        <f t="shared" si="957"/>
        <v>0</v>
      </c>
      <c r="GK632" s="58">
        <f>IF(i_baseline_risk_from=2,'Effectiveness settings'!FA632,'Effectiveness settings'!FM632)</f>
        <v>3</v>
      </c>
      <c r="GL632" s="58">
        <f>IF(i_baseline_risk_from=2,'Effectiveness settings'!FB632,'Effectiveness settings'!FN632)</f>
        <v>1</v>
      </c>
      <c r="GM632" s="58">
        <f>IF(i_baseline_risk_from=2,'Effectiveness settings'!FC632,'Effectiveness settings'!FO632)</f>
        <v>2</v>
      </c>
      <c r="GN632" s="58">
        <f>IF(i_baseline_risk_from=2,'Effectiveness settings'!FD632,'Effectiveness settings'!FP632)</f>
        <v>1</v>
      </c>
      <c r="GQ632" s="58">
        <f t="shared" si="971"/>
        <v>1</v>
      </c>
      <c r="GR632" s="58">
        <f t="shared" si="972"/>
        <v>1</v>
      </c>
      <c r="GS632" s="58">
        <f t="shared" si="973"/>
        <v>1</v>
      </c>
      <c r="GT632" s="58">
        <f t="shared" si="974"/>
        <v>1</v>
      </c>
      <c r="GU632" s="58">
        <f>IF(AND(dd_CheckMate214_TTD="Yes",'Effectiveness settings'!BU632=2,'Effectiveness settings'!BX632=2),2,GT632)</f>
        <v>1</v>
      </c>
      <c r="GV632" s="58">
        <f t="shared" si="975"/>
        <v>1</v>
      </c>
      <c r="GW632" s="58">
        <f t="shared" si="976"/>
        <v>1</v>
      </c>
      <c r="GY632" s="58">
        <f>IF(AND(dd_CheckMate214_TTD="Yes",'Effectiveness settings'!BU632=2,'Effectiveness settings'!BX632=2),1,GN632)</f>
        <v>1</v>
      </c>
      <c r="GZ632" s="58">
        <f t="shared" si="977"/>
        <v>1</v>
      </c>
      <c r="HB632" s="58">
        <f t="shared" si="978"/>
        <v>0</v>
      </c>
      <c r="HD632" s="58">
        <f t="shared" si="952"/>
        <v>0</v>
      </c>
      <c r="HE632" s="58">
        <f t="shared" si="953"/>
        <v>3</v>
      </c>
      <c r="HF632" s="58">
        <f t="shared" si="954"/>
        <v>1</v>
      </c>
      <c r="HG632" s="58">
        <f t="shared" si="955"/>
        <v>2</v>
      </c>
      <c r="HH632" s="58">
        <f t="shared" si="956"/>
        <v>1</v>
      </c>
    </row>
    <row r="633" spans="69:216" ht="15.75" x14ac:dyDescent="0.25">
      <c r="BQ633" s="58">
        <f t="shared" si="958"/>
        <v>367</v>
      </c>
      <c r="BR633" s="61">
        <v>0</v>
      </c>
      <c r="BS633" s="61" t="s">
        <v>31</v>
      </c>
      <c r="BT633" s="17">
        <v>4</v>
      </c>
      <c r="BU633" s="17">
        <v>2</v>
      </c>
      <c r="BV633" s="252" t="str">
        <f t="shared" si="1003"/>
        <v>nivolumab_plus_ipilimumab</v>
      </c>
      <c r="BW633" s="1006" t="str" cm="1">
        <f t="array" ref="BW633">IF(AZ276="No",AZ276,INDEX(List_incl_anal_4L_all,IF(BU633=999,35,BU633+1)))</f>
        <v>No</v>
      </c>
      <c r="BX633" s="61">
        <f t="shared" si="1004"/>
        <v>1</v>
      </c>
      <c r="BY633" s="532" t="str">
        <f>BA276</f>
        <v>Progression free survival</v>
      </c>
      <c r="BZ633" s="530">
        <f t="shared" si="1005"/>
        <v>0</v>
      </c>
      <c r="CA633" s="531">
        <f t="shared" si="1024"/>
        <v>0</v>
      </c>
      <c r="CB633" s="530">
        <f t="shared" si="1006"/>
        <v>0</v>
      </c>
      <c r="CC633" s="530">
        <f t="shared" si="1007"/>
        <v>3</v>
      </c>
      <c r="CD633" s="530">
        <f t="shared" si="1008"/>
        <v>2</v>
      </c>
      <c r="CE633" s="1295">
        <f t="shared" si="1009"/>
        <v>2</v>
      </c>
      <c r="CF633" s="1301">
        <f t="shared" si="1010"/>
        <v>1</v>
      </c>
      <c r="CG633" s="530" t="str">
        <f t="shared" si="1011"/>
        <v/>
      </c>
      <c r="CH633" s="505">
        <f t="shared" si="1025"/>
        <v>1</v>
      </c>
      <c r="CI633" s="505">
        <f t="shared" si="1026"/>
        <v>0</v>
      </c>
      <c r="CJ633" s="505">
        <f t="shared" si="1027"/>
        <v>0</v>
      </c>
      <c r="DK633" s="58" t="str" cm="1">
        <f t="array" ref="DK633">IF(AND($BT633=4,$BX633=4,$BU633=999),$DB$36,_xlfn.IFNA(INDEX(DB$13:DB$70,MATCH(1,($BR633=$CV$13:$CV$70)*($BT633=$CX$13:$CX$70)*($CE633=$CY$13:$CY$70)*($BY633=$DA$13:$DA$70)*($CD633=$DH$13:$DH$70),0)),""))</f>
        <v/>
      </c>
      <c r="DL633" s="58" t="str" cm="1">
        <f t="array" ref="DL633">IF(AND($BT633=4,$BX633=4,$BU633=999),$DC$36,_xlfn.IFNA(INDEX(CHOOSE(DP633,DB$13:DB$70,DC$13:DC$70,DD$13:DD$70,DE$13:DE$70),MATCH(1,($BR633=$CV$13:$CV$70)*($BT633=$CX$13:$CX$70)*($CE633=$CY$13:$CY$70)*($BY633=$DA$13:$DA$70)*($CD633=$DH$13:$DH$70),0)),""))</f>
        <v/>
      </c>
      <c r="DM633" s="740" t="str" cm="1">
        <f t="array" ref="DM633">IF(AND($BT633=4,$BX633=4,$BU633=999),$DD$36,_xlfn.IFNA(INDEX(DD$13:DD$68,MATCH(1,($BR633=$CV$13:$CV$68)*($BT633=$CX$13:$CX$68)*($CE633=$CY$13:$CY$68)*($BY633=$DA$13:$DA$68)*($CD633=$DH$13:$DH$68),0)),""))</f>
        <v/>
      </c>
      <c r="DN633" s="740" t="str" cm="1">
        <f t="array" ref="DN633">IF(AND($BT633=4,$BX633=4,$BU633=999),$DD$36,_xlfn.IFNA(INDEX(DE$13:DE$68,MATCH(1,($BR633=$CV$13:$CV$68)*($BT633=$CX$13:$CX$68)*($CE633=$CY$13:$CY$68)*($BY633=$DA$13:$DA$68)*($CD633=$DH$13:$DH$68),0)),""))</f>
        <v/>
      </c>
      <c r="DO633" s="58" t="str" cm="1">
        <f t="array" ref="DO633">IF(AND($BT633=4,$BX633=4,$BU633=999),$DF$36,_xlfn.IFNA(INDEX(DF$13:DF$70,MATCH(1,($BR633=$CV$13:$CV$70)*($BT633=$CX$13:$CX$70)*($CE633=$CY$13:$CY$70)*($BY633=$DA$13:$DA$70)*($CD633=$DH$13:$DH$70),0)),""))</f>
        <v/>
      </c>
      <c r="DP633" s="58" t="e">
        <f t="shared" si="959"/>
        <v>#N/A</v>
      </c>
      <c r="DW633" s="58" t="s">
        <v>58</v>
      </c>
      <c r="DX633" s="58" t="s">
        <v>552</v>
      </c>
      <c r="DY633" s="58">
        <v>0</v>
      </c>
      <c r="DZ633" s="58">
        <v>0</v>
      </c>
      <c r="EB633" s="58">
        <v>0</v>
      </c>
      <c r="EC633" s="58">
        <v>3</v>
      </c>
      <c r="ED633" s="58">
        <v>2</v>
      </c>
      <c r="EE633" s="58">
        <v>2</v>
      </c>
      <c r="EF633" s="58">
        <v>1</v>
      </c>
      <c r="EI633" s="58" t="s">
        <v>58</v>
      </c>
      <c r="EJ633" s="58" t="s">
        <v>552</v>
      </c>
      <c r="EK633" s="58">
        <v>0</v>
      </c>
      <c r="EL633" s="58">
        <v>0</v>
      </c>
      <c r="EN633" s="58">
        <v>0</v>
      </c>
      <c r="EO633" s="58">
        <v>3</v>
      </c>
      <c r="EP633" s="58">
        <v>2</v>
      </c>
      <c r="EQ633" s="58">
        <v>1</v>
      </c>
      <c r="ER633" s="58">
        <v>1</v>
      </c>
      <c r="EU633" s="58" t="str">
        <f t="shared" si="1012"/>
        <v>No</v>
      </c>
      <c r="EV633" s="58" t="str">
        <f t="shared" si="1013"/>
        <v>Progression free survival</v>
      </c>
      <c r="EW633" s="58">
        <f t="shared" si="1014"/>
        <v>0</v>
      </c>
      <c r="EX633" s="58">
        <f t="shared" si="1015"/>
        <v>0</v>
      </c>
      <c r="EZ633" s="58">
        <f t="shared" si="1016"/>
        <v>0</v>
      </c>
      <c r="FA633" s="58">
        <f t="shared" si="1017"/>
        <v>3</v>
      </c>
      <c r="FB633" s="58">
        <f>IF(i_eff_inputs_based_on_num=2,ED633,(INDEX(Lists!$L$51:$L$85,MATCH(BF276,Lists!$K$51:$K$85,0))))</f>
        <v>2</v>
      </c>
      <c r="FC633" s="58">
        <f>IF(i_eff_inputs_based_on_num=2,EE633,(INDEX(Lists!$L$51:$L$85,MATCH(BG276,Lists!$K$51:$K$85,0))))</f>
        <v>2</v>
      </c>
      <c r="FD633" s="58">
        <f>IF(i_eff_inputs_based_on_num=2,EF633,(INDEX(Lists!$L$51:$L$85,MATCH(BH276,Lists!$K$51:$K$85,0))))</f>
        <v>1</v>
      </c>
      <c r="FG633" s="58" t="str">
        <f t="shared" si="1018"/>
        <v>No</v>
      </c>
      <c r="FH633" s="58" t="str">
        <f t="shared" si="1019"/>
        <v>Progression free survival</v>
      </c>
      <c r="FI633" s="58">
        <f t="shared" si="1020"/>
        <v>0</v>
      </c>
      <c r="FJ633" s="58">
        <f t="shared" si="1021"/>
        <v>0</v>
      </c>
      <c r="FL633" s="58">
        <f t="shared" si="1022"/>
        <v>0</v>
      </c>
      <c r="FM633" s="58">
        <f t="shared" si="1023"/>
        <v>3</v>
      </c>
      <c r="FN633" s="58">
        <f>IF(i_eff_inputs_based_on_num=2,EP633,(INDEX(Lists!$L$51:$L$85,MATCH(BF276,Lists!$K$51:$K$85,0))))</f>
        <v>2</v>
      </c>
      <c r="FO633" s="58">
        <f>IF(i_eff_inputs_based_on_num=2,EQ633,(INDEX(Lists!$L$51:$L$85,MATCH(BG276,Lists!$K$51:$K$85,0))))</f>
        <v>1</v>
      </c>
      <c r="FP633" s="58">
        <f>IF(i_eff_inputs_based_on_num=2,ER633,(INDEX(Lists!$L$51:$L$85,MATCH(BH276,Lists!$K$51:$K$85,0))))</f>
        <v>1</v>
      </c>
      <c r="FT633" s="58">
        <f t="shared" si="960"/>
        <v>0</v>
      </c>
      <c r="FW633" s="58">
        <f>IF(i_baseline_risk_from=2,'Effectiveness settings'!EW633,'Effectiveness settings'!FI633)</f>
        <v>0</v>
      </c>
      <c r="FX633" s="58">
        <f t="shared" si="961"/>
        <v>0</v>
      </c>
      <c r="FY633" s="58">
        <f t="shared" si="962"/>
        <v>0</v>
      </c>
      <c r="FZ633" s="58">
        <f t="shared" si="963"/>
        <v>0</v>
      </c>
      <c r="GA633" s="58">
        <f t="shared" si="964"/>
        <v>0</v>
      </c>
      <c r="GB633" s="58">
        <f t="shared" si="965"/>
        <v>0</v>
      </c>
      <c r="GC633" s="58">
        <f t="shared" si="966"/>
        <v>0</v>
      </c>
      <c r="GD633" s="58">
        <f t="shared" si="967"/>
        <v>0</v>
      </c>
      <c r="GE633" s="58">
        <f>IF(AND(dd_CheckMate214_TTD="Yes",'Effectiveness settings'!BU633=2,'Effectiveness settings'!BX633=2),"Apply HR to",GD633)</f>
        <v>0</v>
      </c>
      <c r="GF633" s="58">
        <f t="shared" si="968"/>
        <v>0</v>
      </c>
      <c r="GG633" s="58">
        <f t="shared" si="969"/>
        <v>0</v>
      </c>
      <c r="GH633" s="58">
        <f t="shared" si="970"/>
        <v>0</v>
      </c>
      <c r="GI633" s="58">
        <f t="shared" si="957"/>
        <v>0</v>
      </c>
      <c r="GK633" s="58">
        <f>IF(i_baseline_risk_from=2,'Effectiveness settings'!FA633,'Effectiveness settings'!FM633)</f>
        <v>3</v>
      </c>
      <c r="GL633" s="58">
        <f>IF(i_baseline_risk_from=2,'Effectiveness settings'!FB633,'Effectiveness settings'!FN633)</f>
        <v>2</v>
      </c>
      <c r="GM633" s="58">
        <f>IF(i_baseline_risk_from=2,'Effectiveness settings'!FC633,'Effectiveness settings'!FO633)</f>
        <v>2</v>
      </c>
      <c r="GN633" s="58">
        <f>IF(i_baseline_risk_from=2,'Effectiveness settings'!FD633,'Effectiveness settings'!FP633)</f>
        <v>1</v>
      </c>
      <c r="GQ633" s="58">
        <f t="shared" si="971"/>
        <v>2</v>
      </c>
      <c r="GR633" s="58">
        <f t="shared" si="972"/>
        <v>2</v>
      </c>
      <c r="GS633" s="58">
        <f t="shared" si="973"/>
        <v>2</v>
      </c>
      <c r="GT633" s="58">
        <f t="shared" si="974"/>
        <v>2</v>
      </c>
      <c r="GU633" s="58">
        <f>IF(AND(dd_CheckMate214_TTD="Yes",'Effectiveness settings'!BU633=2,'Effectiveness settings'!BX633=2),2,GT633)</f>
        <v>2</v>
      </c>
      <c r="GV633" s="58">
        <f t="shared" si="975"/>
        <v>2</v>
      </c>
      <c r="GW633" s="58">
        <f t="shared" si="976"/>
        <v>2</v>
      </c>
      <c r="GY633" s="58">
        <f>IF(AND(dd_CheckMate214_TTD="Yes",'Effectiveness settings'!BU633=2,'Effectiveness settings'!BX633=2),1,GN633)</f>
        <v>1</v>
      </c>
      <c r="GZ633" s="58">
        <f t="shared" si="977"/>
        <v>1</v>
      </c>
      <c r="HB633" s="58">
        <f t="shared" si="978"/>
        <v>0</v>
      </c>
      <c r="HD633" s="58">
        <f t="shared" si="952"/>
        <v>0</v>
      </c>
      <c r="HE633" s="58">
        <f t="shared" si="953"/>
        <v>3</v>
      </c>
      <c r="HF633" s="58">
        <f t="shared" si="954"/>
        <v>2</v>
      </c>
      <c r="HG633" s="58">
        <f t="shared" si="955"/>
        <v>2</v>
      </c>
      <c r="HH633" s="58">
        <f t="shared" si="956"/>
        <v>1</v>
      </c>
    </row>
    <row r="634" spans="69:216" ht="15.75" x14ac:dyDescent="0.25">
      <c r="BQ634" s="58">
        <f t="shared" si="958"/>
        <v>368</v>
      </c>
      <c r="BR634" s="61">
        <v>0</v>
      </c>
      <c r="BS634" s="61" t="s">
        <v>31</v>
      </c>
      <c r="BT634" s="17">
        <v>4</v>
      </c>
      <c r="BU634" s="17">
        <v>3</v>
      </c>
      <c r="BV634" s="252" t="str">
        <f t="shared" si="1003"/>
        <v>lenvatinib_plus_pembrolizumab</v>
      </c>
      <c r="BW634" s="1006" t="str" cm="1">
        <f t="array" ref="BW634">IF(AZ277="No",AZ277,INDEX(List_incl_anal_4L_all,IF(BU634=999,35,BU634+1)))</f>
        <v>No</v>
      </c>
      <c r="BX634" s="61">
        <f t="shared" si="1004"/>
        <v>1</v>
      </c>
      <c r="BY634" s="532" t="str">
        <f>BA277</f>
        <v>Progression free survival</v>
      </c>
      <c r="BZ634" s="530">
        <f t="shared" si="1005"/>
        <v>0</v>
      </c>
      <c r="CA634" s="531">
        <f t="shared" si="1024"/>
        <v>0</v>
      </c>
      <c r="CB634" s="530">
        <f t="shared" si="1006"/>
        <v>0</v>
      </c>
      <c r="CC634" s="530">
        <f t="shared" si="1007"/>
        <v>3</v>
      </c>
      <c r="CD634" s="530">
        <f t="shared" si="1008"/>
        <v>3</v>
      </c>
      <c r="CE634" s="1295">
        <f t="shared" si="1009"/>
        <v>2</v>
      </c>
      <c r="CF634" s="1301">
        <f t="shared" si="1010"/>
        <v>1</v>
      </c>
      <c r="CG634" s="530" t="str">
        <f t="shared" si="1011"/>
        <v/>
      </c>
      <c r="CH634" s="505">
        <f t="shared" si="1025"/>
        <v>1</v>
      </c>
      <c r="CI634" s="505">
        <f t="shared" si="1026"/>
        <v>0</v>
      </c>
      <c r="CJ634" s="505">
        <f t="shared" si="1027"/>
        <v>0</v>
      </c>
      <c r="DK634" s="58" t="str" cm="1">
        <f t="array" ref="DK634">IF(AND($BT634=4,$BX634=4,$BU634=999),$DB$36,_xlfn.IFNA(INDEX(DB$13:DB$70,MATCH(1,($BR634=$CV$13:$CV$70)*($BT634=$CX$13:$CX$70)*($CE634=$CY$13:$CY$70)*($BY634=$DA$13:$DA$70)*($CD634=$DH$13:$DH$70),0)),""))</f>
        <v/>
      </c>
      <c r="DL634" s="58" t="str" cm="1">
        <f t="array" ref="DL634">IF(AND($BT634=4,$BX634=4,$BU634=999),$DC$36,_xlfn.IFNA(INDEX(CHOOSE(DP634,DB$13:DB$70,DC$13:DC$70,DD$13:DD$70,DE$13:DE$70),MATCH(1,($BR634=$CV$13:$CV$70)*($BT634=$CX$13:$CX$70)*($CE634=$CY$13:$CY$70)*($BY634=$DA$13:$DA$70)*($CD634=$DH$13:$DH$70),0)),""))</f>
        <v/>
      </c>
      <c r="DM634" s="740" t="str" cm="1">
        <f t="array" ref="DM634">IF(AND($BT634=4,$BX634=4,$BU634=999),$DD$36,_xlfn.IFNA(INDEX(DD$13:DD$68,MATCH(1,($BR634=$CV$13:$CV$68)*($BT634=$CX$13:$CX$68)*($CE634=$CY$13:$CY$68)*($BY634=$DA$13:$DA$68)*($CD634=$DH$13:$DH$68),0)),""))</f>
        <v/>
      </c>
      <c r="DN634" s="740" t="str" cm="1">
        <f t="array" ref="DN634">IF(AND($BT634=4,$BX634=4,$BU634=999),$DD$36,_xlfn.IFNA(INDEX(DE$13:DE$68,MATCH(1,($BR634=$CV$13:$CV$68)*($BT634=$CX$13:$CX$68)*($CE634=$CY$13:$CY$68)*($BY634=$DA$13:$DA$68)*($CD634=$DH$13:$DH$68),0)),""))</f>
        <v/>
      </c>
      <c r="DO634" s="58" t="str" cm="1">
        <f t="array" ref="DO634">IF(AND($BT634=4,$BX634=4,$BU634=999),$DF$36,_xlfn.IFNA(INDEX(DF$13:DF$70,MATCH(1,($BR634=$CV$13:$CV$70)*($BT634=$CX$13:$CX$70)*($CE634=$CY$13:$CY$70)*($BY634=$DA$13:$DA$70)*($CD634=$DH$13:$DH$70),0)),""))</f>
        <v/>
      </c>
      <c r="DP634" s="58" t="e">
        <f t="shared" si="959"/>
        <v>#N/A</v>
      </c>
      <c r="DW634" s="58" t="s">
        <v>58</v>
      </c>
      <c r="DX634" s="58" t="s">
        <v>552</v>
      </c>
      <c r="DY634" s="58">
        <v>0</v>
      </c>
      <c r="DZ634" s="58">
        <v>0</v>
      </c>
      <c r="EB634" s="58">
        <v>0</v>
      </c>
      <c r="EC634" s="58">
        <v>3</v>
      </c>
      <c r="ED634" s="58">
        <v>3</v>
      </c>
      <c r="EE634" s="58">
        <v>2</v>
      </c>
      <c r="EF634" s="58">
        <v>1</v>
      </c>
      <c r="EI634" s="58" t="s">
        <v>58</v>
      </c>
      <c r="EJ634" s="58" t="s">
        <v>552</v>
      </c>
      <c r="EK634" s="58">
        <v>0</v>
      </c>
      <c r="EL634" s="58">
        <v>0</v>
      </c>
      <c r="EN634" s="58">
        <v>0</v>
      </c>
      <c r="EO634" s="58">
        <v>3</v>
      </c>
      <c r="EP634" s="58">
        <v>3</v>
      </c>
      <c r="EQ634" s="58">
        <v>1</v>
      </c>
      <c r="ER634" s="58">
        <v>1</v>
      </c>
      <c r="EU634" s="58" t="str">
        <f t="shared" si="1012"/>
        <v>No</v>
      </c>
      <c r="EV634" s="58" t="str">
        <f t="shared" si="1013"/>
        <v>Progression free survival</v>
      </c>
      <c r="EW634" s="58">
        <f t="shared" si="1014"/>
        <v>0</v>
      </c>
      <c r="EX634" s="58">
        <f t="shared" si="1015"/>
        <v>0</v>
      </c>
      <c r="EZ634" s="58">
        <f t="shared" si="1016"/>
        <v>0</v>
      </c>
      <c r="FA634" s="58">
        <f t="shared" si="1017"/>
        <v>3</v>
      </c>
      <c r="FB634" s="58">
        <f>IF(i_eff_inputs_based_on_num=2,ED634,(INDEX(Lists!$L$51:$L$85,MATCH(BF277,Lists!$K$51:$K$85,0))))</f>
        <v>3</v>
      </c>
      <c r="FC634" s="58">
        <f>IF(i_eff_inputs_based_on_num=2,EE634,(INDEX(Lists!$L$51:$L$85,MATCH(BG277,Lists!$K$51:$K$85,0))))</f>
        <v>2</v>
      </c>
      <c r="FD634" s="58">
        <f>IF(i_eff_inputs_based_on_num=2,EF634,(INDEX(Lists!$L$51:$L$85,MATCH(BH277,Lists!$K$51:$K$85,0))))</f>
        <v>1</v>
      </c>
      <c r="FG634" s="58" t="str">
        <f t="shared" si="1018"/>
        <v>No</v>
      </c>
      <c r="FH634" s="58" t="str">
        <f t="shared" si="1019"/>
        <v>Progression free survival</v>
      </c>
      <c r="FI634" s="58">
        <f t="shared" si="1020"/>
        <v>0</v>
      </c>
      <c r="FJ634" s="58">
        <f t="shared" si="1021"/>
        <v>0</v>
      </c>
      <c r="FL634" s="58">
        <f t="shared" si="1022"/>
        <v>0</v>
      </c>
      <c r="FM634" s="58">
        <f t="shared" si="1023"/>
        <v>3</v>
      </c>
      <c r="FN634" s="58">
        <f>IF(i_eff_inputs_based_on_num=2,EP634,(INDEX(Lists!$L$51:$L$85,MATCH(BF277,Lists!$K$51:$K$85,0))))</f>
        <v>3</v>
      </c>
      <c r="FO634" s="58">
        <f>IF(i_eff_inputs_based_on_num=2,EQ634,(INDEX(Lists!$L$51:$L$85,MATCH(BG277,Lists!$K$51:$K$85,0))))</f>
        <v>1</v>
      </c>
      <c r="FP634" s="58">
        <f>IF(i_eff_inputs_based_on_num=2,ER634,(INDEX(Lists!$L$51:$L$85,MATCH(BH277,Lists!$K$51:$K$85,0))))</f>
        <v>1</v>
      </c>
      <c r="FT634" s="58">
        <f t="shared" si="960"/>
        <v>0</v>
      </c>
      <c r="FW634" s="58">
        <f>IF(i_baseline_risk_from=2,'Effectiveness settings'!EW634,'Effectiveness settings'!FI634)</f>
        <v>0</v>
      </c>
      <c r="FX634" s="58">
        <f t="shared" si="961"/>
        <v>0</v>
      </c>
      <c r="FY634" s="58">
        <f t="shared" si="962"/>
        <v>0</v>
      </c>
      <c r="FZ634" s="58">
        <f t="shared" si="963"/>
        <v>0</v>
      </c>
      <c r="GA634" s="58">
        <f t="shared" si="964"/>
        <v>0</v>
      </c>
      <c r="GB634" s="58">
        <f t="shared" si="965"/>
        <v>0</v>
      </c>
      <c r="GC634" s="58">
        <f t="shared" si="966"/>
        <v>0</v>
      </c>
      <c r="GD634" s="58">
        <f t="shared" si="967"/>
        <v>0</v>
      </c>
      <c r="GE634" s="58">
        <f>IF(AND(dd_CheckMate214_TTD="Yes",'Effectiveness settings'!BU634=2,'Effectiveness settings'!BX634=2),"Apply HR to",GD634)</f>
        <v>0</v>
      </c>
      <c r="GF634" s="58">
        <f t="shared" si="968"/>
        <v>0</v>
      </c>
      <c r="GG634" s="58">
        <f t="shared" si="969"/>
        <v>0</v>
      </c>
      <c r="GH634" s="58">
        <f t="shared" si="970"/>
        <v>0</v>
      </c>
      <c r="GI634" s="58">
        <f t="shared" si="957"/>
        <v>0</v>
      </c>
      <c r="GK634" s="58">
        <f>IF(i_baseline_risk_from=2,'Effectiveness settings'!FA634,'Effectiveness settings'!FM634)</f>
        <v>3</v>
      </c>
      <c r="GL634" s="58">
        <f>IF(i_baseline_risk_from=2,'Effectiveness settings'!FB634,'Effectiveness settings'!FN634)</f>
        <v>3</v>
      </c>
      <c r="GM634" s="58">
        <f>IF(i_baseline_risk_from=2,'Effectiveness settings'!FC634,'Effectiveness settings'!FO634)</f>
        <v>2</v>
      </c>
      <c r="GN634" s="58">
        <f>IF(i_baseline_risk_from=2,'Effectiveness settings'!FD634,'Effectiveness settings'!FP634)</f>
        <v>1</v>
      </c>
      <c r="GQ634" s="58">
        <f t="shared" si="971"/>
        <v>3</v>
      </c>
      <c r="GR634" s="58">
        <f t="shared" si="972"/>
        <v>3</v>
      </c>
      <c r="GS634" s="58">
        <f t="shared" si="973"/>
        <v>3</v>
      </c>
      <c r="GT634" s="58">
        <f t="shared" si="974"/>
        <v>3</v>
      </c>
      <c r="GU634" s="58">
        <f>IF(AND(dd_CheckMate214_TTD="Yes",'Effectiveness settings'!BU634=2,'Effectiveness settings'!BX634=2),2,GT634)</f>
        <v>3</v>
      </c>
      <c r="GV634" s="58">
        <f t="shared" si="975"/>
        <v>3</v>
      </c>
      <c r="GW634" s="58">
        <f t="shared" si="976"/>
        <v>3</v>
      </c>
      <c r="GY634" s="58">
        <f>IF(AND(dd_CheckMate214_TTD="Yes",'Effectiveness settings'!BU634=2,'Effectiveness settings'!BX634=2),1,GN634)</f>
        <v>1</v>
      </c>
      <c r="GZ634" s="58">
        <f t="shared" si="977"/>
        <v>1</v>
      </c>
      <c r="HB634" s="58">
        <f t="shared" si="978"/>
        <v>0</v>
      </c>
      <c r="HD634" s="58">
        <f t="shared" si="952"/>
        <v>0</v>
      </c>
      <c r="HE634" s="58">
        <f t="shared" si="953"/>
        <v>3</v>
      </c>
      <c r="HF634" s="58">
        <f t="shared" si="954"/>
        <v>3</v>
      </c>
      <c r="HG634" s="58">
        <f t="shared" si="955"/>
        <v>2</v>
      </c>
      <c r="HH634" s="58">
        <f t="shared" si="956"/>
        <v>1</v>
      </c>
    </row>
    <row r="635" spans="69:216" ht="15.75" x14ac:dyDescent="0.25">
      <c r="BQ635" s="58">
        <f t="shared" si="958"/>
        <v>369</v>
      </c>
      <c r="BR635" s="61">
        <v>0</v>
      </c>
      <c r="BS635" s="61" t="s">
        <v>31</v>
      </c>
      <c r="BT635" s="17">
        <v>4</v>
      </c>
      <c r="BU635" s="17">
        <v>4</v>
      </c>
      <c r="BV635" s="252" t="str">
        <f t="shared" si="1003"/>
        <v>avelumab_plus_axitinib</v>
      </c>
      <c r="BW635" s="1006" t="str" cm="1">
        <f t="array" ref="BW635">IF(AZ278="No",AZ278,INDEX(List_incl_anal_4L_all,IF(BU635=999,35,BU635+1)))</f>
        <v>No</v>
      </c>
      <c r="BX635" s="61">
        <f t="shared" si="1004"/>
        <v>1</v>
      </c>
      <c r="BY635" s="532" t="str">
        <f>BA278</f>
        <v>Progression free survival</v>
      </c>
      <c r="BZ635" s="530">
        <f t="shared" si="1005"/>
        <v>0</v>
      </c>
      <c r="CA635" s="531">
        <f t="shared" si="1024"/>
        <v>0</v>
      </c>
      <c r="CB635" s="530">
        <f t="shared" si="1006"/>
        <v>0</v>
      </c>
      <c r="CC635" s="530">
        <f t="shared" si="1007"/>
        <v>3</v>
      </c>
      <c r="CD635" s="530">
        <f t="shared" si="1008"/>
        <v>4</v>
      </c>
      <c r="CE635" s="1295">
        <f t="shared" si="1009"/>
        <v>2</v>
      </c>
      <c r="CF635" s="1301">
        <f t="shared" si="1010"/>
        <v>1</v>
      </c>
      <c r="CG635" s="530" t="str">
        <f t="shared" si="1011"/>
        <v/>
      </c>
      <c r="CH635" s="505">
        <f t="shared" si="1025"/>
        <v>1</v>
      </c>
      <c r="CI635" s="505">
        <f t="shared" si="1026"/>
        <v>0</v>
      </c>
      <c r="CJ635" s="505">
        <f t="shared" si="1027"/>
        <v>0</v>
      </c>
      <c r="DK635" s="58" t="str" cm="1">
        <f t="array" ref="DK635">IF(AND($BT635=4,$BX635=4,$BU635=999),$DB$36,_xlfn.IFNA(INDEX(DB$13:DB$70,MATCH(1,($BR635=$CV$13:$CV$70)*($BT635=$CX$13:$CX$70)*($CE635=$CY$13:$CY$70)*($BY635=$DA$13:$DA$70)*($CD635=$DH$13:$DH$70),0)),""))</f>
        <v/>
      </c>
      <c r="DL635" s="58" t="str" cm="1">
        <f t="array" ref="DL635">IF(AND($BT635=4,$BX635=4,$BU635=999),$DC$36,_xlfn.IFNA(INDEX(CHOOSE(DP635,DB$13:DB$70,DC$13:DC$70,DD$13:DD$70,DE$13:DE$70),MATCH(1,($BR635=$CV$13:$CV$70)*($BT635=$CX$13:$CX$70)*($CE635=$CY$13:$CY$70)*($BY635=$DA$13:$DA$70)*($CD635=$DH$13:$DH$70),0)),""))</f>
        <v/>
      </c>
      <c r="DM635" s="740" t="str" cm="1">
        <f t="array" ref="DM635">IF(AND($BT635=4,$BX635=4,$BU635=999),$DD$36,_xlfn.IFNA(INDEX(DD$13:DD$68,MATCH(1,($BR635=$CV$13:$CV$68)*($BT635=$CX$13:$CX$68)*($CE635=$CY$13:$CY$68)*($BY635=$DA$13:$DA$68)*($CD635=$DH$13:$DH$68),0)),""))</f>
        <v/>
      </c>
      <c r="DN635" s="740" t="str" cm="1">
        <f t="array" ref="DN635">IF(AND($BT635=4,$BX635=4,$BU635=999),$DD$36,_xlfn.IFNA(INDEX(DE$13:DE$68,MATCH(1,($BR635=$CV$13:$CV$68)*($BT635=$CX$13:$CX$68)*($CE635=$CY$13:$CY$68)*($BY635=$DA$13:$DA$68)*($CD635=$DH$13:$DH$68),0)),""))</f>
        <v/>
      </c>
      <c r="DO635" s="58" t="str" cm="1">
        <f t="array" ref="DO635">IF(AND($BT635=4,$BX635=4,$BU635=999),$DF$36,_xlfn.IFNA(INDEX(DF$13:DF$70,MATCH(1,($BR635=$CV$13:$CV$70)*($BT635=$CX$13:$CX$70)*($CE635=$CY$13:$CY$70)*($BY635=$DA$13:$DA$70)*($CD635=$DH$13:$DH$70),0)),""))</f>
        <v/>
      </c>
      <c r="DP635" s="58" t="e">
        <f t="shared" si="959"/>
        <v>#N/A</v>
      </c>
      <c r="DW635" s="58" t="s">
        <v>58</v>
      </c>
      <c r="DX635" s="58" t="s">
        <v>552</v>
      </c>
      <c r="DY635" s="58">
        <v>0</v>
      </c>
      <c r="DZ635" s="58">
        <v>0</v>
      </c>
      <c r="EB635" s="58">
        <v>0</v>
      </c>
      <c r="EC635" s="58">
        <v>3</v>
      </c>
      <c r="ED635" s="58">
        <v>4</v>
      </c>
      <c r="EE635" s="58">
        <v>2</v>
      </c>
      <c r="EF635" s="58">
        <v>1</v>
      </c>
      <c r="EI635" s="58" t="s">
        <v>58</v>
      </c>
      <c r="EJ635" s="58" t="s">
        <v>552</v>
      </c>
      <c r="EK635" s="58">
        <v>0</v>
      </c>
      <c r="EL635" s="58">
        <v>0</v>
      </c>
      <c r="EN635" s="58">
        <v>0</v>
      </c>
      <c r="EO635" s="58">
        <v>3</v>
      </c>
      <c r="EP635" s="58">
        <v>4</v>
      </c>
      <c r="EQ635" s="58">
        <v>1</v>
      </c>
      <c r="ER635" s="58">
        <v>1</v>
      </c>
      <c r="EU635" s="58" t="str">
        <f t="shared" si="1012"/>
        <v>No</v>
      </c>
      <c r="EV635" s="58" t="str">
        <f t="shared" si="1013"/>
        <v>Progression free survival</v>
      </c>
      <c r="EW635" s="58">
        <f t="shared" si="1014"/>
        <v>0</v>
      </c>
      <c r="EX635" s="58">
        <f t="shared" si="1015"/>
        <v>0</v>
      </c>
      <c r="EZ635" s="58">
        <f t="shared" si="1016"/>
        <v>0</v>
      </c>
      <c r="FA635" s="58">
        <f t="shared" si="1017"/>
        <v>3</v>
      </c>
      <c r="FB635" s="58">
        <f>IF(i_eff_inputs_based_on_num=2,ED635,(INDEX(Lists!$L$51:$L$85,MATCH(BF278,Lists!$K$51:$K$85,0))))</f>
        <v>4</v>
      </c>
      <c r="FC635" s="58">
        <f>IF(i_eff_inputs_based_on_num=2,EE635,(INDEX(Lists!$L$51:$L$85,MATCH(BG278,Lists!$K$51:$K$85,0))))</f>
        <v>2</v>
      </c>
      <c r="FD635" s="58">
        <f>IF(i_eff_inputs_based_on_num=2,EF635,(INDEX(Lists!$L$51:$L$85,MATCH(BH278,Lists!$K$51:$K$85,0))))</f>
        <v>1</v>
      </c>
      <c r="FG635" s="58" t="str">
        <f t="shared" si="1018"/>
        <v>No</v>
      </c>
      <c r="FH635" s="58" t="str">
        <f t="shared" si="1019"/>
        <v>Progression free survival</v>
      </c>
      <c r="FI635" s="58">
        <f t="shared" si="1020"/>
        <v>0</v>
      </c>
      <c r="FJ635" s="58">
        <f t="shared" si="1021"/>
        <v>0</v>
      </c>
      <c r="FL635" s="58">
        <f t="shared" si="1022"/>
        <v>0</v>
      </c>
      <c r="FM635" s="58">
        <f t="shared" si="1023"/>
        <v>3</v>
      </c>
      <c r="FN635" s="58">
        <f>IF(i_eff_inputs_based_on_num=2,EP635,(INDEX(Lists!$L$51:$L$85,MATCH(BF278,Lists!$K$51:$K$85,0))))</f>
        <v>4</v>
      </c>
      <c r="FO635" s="58">
        <f>IF(i_eff_inputs_based_on_num=2,EQ635,(INDEX(Lists!$L$51:$L$85,MATCH(BG278,Lists!$K$51:$K$85,0))))</f>
        <v>1</v>
      </c>
      <c r="FP635" s="58">
        <f>IF(i_eff_inputs_based_on_num=2,ER635,(INDEX(Lists!$L$51:$L$85,MATCH(BH278,Lists!$K$51:$K$85,0))))</f>
        <v>1</v>
      </c>
      <c r="FT635" s="58">
        <f t="shared" si="960"/>
        <v>0</v>
      </c>
      <c r="FW635" s="58">
        <f>IF(i_baseline_risk_from=2,'Effectiveness settings'!EW635,'Effectiveness settings'!FI635)</f>
        <v>0</v>
      </c>
      <c r="FX635" s="58">
        <f t="shared" si="961"/>
        <v>0</v>
      </c>
      <c r="FY635" s="58">
        <f t="shared" si="962"/>
        <v>0</v>
      </c>
      <c r="FZ635" s="58">
        <f t="shared" si="963"/>
        <v>0</v>
      </c>
      <c r="GA635" s="58">
        <f t="shared" si="964"/>
        <v>0</v>
      </c>
      <c r="GB635" s="58">
        <f t="shared" si="965"/>
        <v>0</v>
      </c>
      <c r="GC635" s="58">
        <f t="shared" si="966"/>
        <v>0</v>
      </c>
      <c r="GD635" s="58">
        <f t="shared" si="967"/>
        <v>0</v>
      </c>
      <c r="GE635" s="58">
        <f>IF(AND(dd_CheckMate214_TTD="Yes",'Effectiveness settings'!BU635=2,'Effectiveness settings'!BX635=2),"Apply HR to",GD635)</f>
        <v>0</v>
      </c>
      <c r="GF635" s="58">
        <f t="shared" si="968"/>
        <v>0</v>
      </c>
      <c r="GG635" s="58">
        <f t="shared" si="969"/>
        <v>0</v>
      </c>
      <c r="GH635" s="58">
        <f t="shared" si="970"/>
        <v>0</v>
      </c>
      <c r="GI635" s="58">
        <f t="shared" si="957"/>
        <v>0</v>
      </c>
      <c r="GK635" s="58">
        <f>IF(i_baseline_risk_from=2,'Effectiveness settings'!FA635,'Effectiveness settings'!FM635)</f>
        <v>3</v>
      </c>
      <c r="GL635" s="58">
        <f>IF(i_baseline_risk_from=2,'Effectiveness settings'!FB635,'Effectiveness settings'!FN635)</f>
        <v>4</v>
      </c>
      <c r="GM635" s="58">
        <f>IF(i_baseline_risk_from=2,'Effectiveness settings'!FC635,'Effectiveness settings'!FO635)</f>
        <v>2</v>
      </c>
      <c r="GN635" s="58">
        <f>IF(i_baseline_risk_from=2,'Effectiveness settings'!FD635,'Effectiveness settings'!FP635)</f>
        <v>1</v>
      </c>
      <c r="GQ635" s="58">
        <f t="shared" si="971"/>
        <v>4</v>
      </c>
      <c r="GR635" s="58">
        <f t="shared" si="972"/>
        <v>4</v>
      </c>
      <c r="GS635" s="58">
        <f t="shared" si="973"/>
        <v>4</v>
      </c>
      <c r="GT635" s="58">
        <f t="shared" si="974"/>
        <v>4</v>
      </c>
      <c r="GU635" s="58">
        <f>IF(AND(dd_CheckMate214_TTD="Yes",'Effectiveness settings'!BU635=2,'Effectiveness settings'!BX635=2),2,GT635)</f>
        <v>4</v>
      </c>
      <c r="GV635" s="58">
        <f t="shared" si="975"/>
        <v>4</v>
      </c>
      <c r="GW635" s="58">
        <f t="shared" si="976"/>
        <v>4</v>
      </c>
      <c r="GY635" s="58">
        <f>IF(AND(dd_CheckMate214_TTD="Yes",'Effectiveness settings'!BU635=2,'Effectiveness settings'!BX635=2),1,GN635)</f>
        <v>1</v>
      </c>
      <c r="GZ635" s="58">
        <f t="shared" si="977"/>
        <v>1</v>
      </c>
      <c r="HB635" s="58">
        <f t="shared" si="978"/>
        <v>0</v>
      </c>
      <c r="HD635" s="58">
        <f t="shared" si="952"/>
        <v>0</v>
      </c>
      <c r="HE635" s="58">
        <f t="shared" si="953"/>
        <v>3</v>
      </c>
      <c r="HF635" s="58">
        <f t="shared" si="954"/>
        <v>4</v>
      </c>
      <c r="HG635" s="58">
        <f t="shared" si="955"/>
        <v>2</v>
      </c>
      <c r="HH635" s="58">
        <f t="shared" si="956"/>
        <v>1</v>
      </c>
    </row>
    <row r="636" spans="69:216" ht="15.75" x14ac:dyDescent="0.25">
      <c r="BQ636" s="58">
        <f t="shared" si="958"/>
        <v>370</v>
      </c>
      <c r="BR636" s="61">
        <v>0</v>
      </c>
      <c r="BS636" s="61" t="s">
        <v>31</v>
      </c>
      <c r="BT636" s="17">
        <v>4</v>
      </c>
      <c r="BU636" s="17">
        <v>5</v>
      </c>
      <c r="BV636" s="252" t="str">
        <f t="shared" si="1003"/>
        <v>pazopanib</v>
      </c>
      <c r="BW636" s="1006" t="str" cm="1">
        <f t="array" ref="BW636">IF(AZ279="No",AZ279,INDEX(List_incl_anal_4L_all,IF(BU636=999,35,BU636+1)))</f>
        <v>Yes</v>
      </c>
      <c r="BX636" s="61">
        <f t="shared" si="1004"/>
        <v>1</v>
      </c>
      <c r="BY636" s="532" t="str">
        <f t="shared" ref="BY636:BY644" si="1028">BA279</f>
        <v>Progression free survival</v>
      </c>
      <c r="BZ636" s="530" t="str">
        <f t="shared" si="1005"/>
        <v>Apply HR to</v>
      </c>
      <c r="CA636" s="531">
        <f t="shared" si="1024"/>
        <v>0</v>
      </c>
      <c r="CB636" s="530">
        <f t="shared" si="1006"/>
        <v>0</v>
      </c>
      <c r="CC636" s="530">
        <f t="shared" si="1007"/>
        <v>3</v>
      </c>
      <c r="CD636" s="530">
        <f t="shared" si="1008"/>
        <v>5</v>
      </c>
      <c r="CE636" s="1295">
        <f t="shared" si="1009"/>
        <v>2</v>
      </c>
      <c r="CF636" s="1301">
        <f t="shared" si="1010"/>
        <v>1</v>
      </c>
      <c r="CG636" s="530" t="str">
        <f t="shared" si="1011"/>
        <v/>
      </c>
      <c r="CH636" s="505">
        <f t="shared" si="1025"/>
        <v>1.7410000000000001</v>
      </c>
      <c r="CI636" s="505">
        <f t="shared" si="1026"/>
        <v>1.208</v>
      </c>
      <c r="CJ636" s="505">
        <f t="shared" si="1027"/>
        <v>2.5099999999999998</v>
      </c>
      <c r="DK636" s="58" t="str" cm="1">
        <f t="array" ref="DK636">IF(AND($BT636=4,$BX636=4,$BU636=999),$DB$36,_xlfn.IFNA(INDEX(DB$13:DB$70,MATCH(1,($BR636=$CV$13:$CV$70)*($BT636=$CX$13:$CX$70)*($CE636=$CY$13:$CY$70)*($BY636=$DA$13:$DA$70)*($CD636=$DH$13:$DH$70),0)),""))</f>
        <v/>
      </c>
      <c r="DL636" s="58" t="str" cm="1">
        <f t="array" ref="DL636">IF(AND($BT636=4,$BX636=4,$BU636=999),$DC$36,_xlfn.IFNA(INDEX(CHOOSE(DP636,DB$13:DB$70,DC$13:DC$70,DD$13:DD$70,DE$13:DE$70),MATCH(1,($BR636=$CV$13:$CV$70)*($BT636=$CX$13:$CX$70)*($CE636=$CY$13:$CY$70)*($BY636=$DA$13:$DA$70)*($CD636=$DH$13:$DH$70),0)),""))</f>
        <v/>
      </c>
      <c r="DM636" s="740" t="str" cm="1">
        <f t="array" ref="DM636">IF(AND($BT636=4,$BX636=4,$BU636=999),$DD$36,_xlfn.IFNA(INDEX(DD$13:DD$68,MATCH(1,($BR636=$CV$13:$CV$68)*($BT636=$CX$13:$CX$68)*($CE636=$CY$13:$CY$68)*($BY636=$DA$13:$DA$68)*($CD636=$DH$13:$DH$68),0)),""))</f>
        <v/>
      </c>
      <c r="DN636" s="740" t="str" cm="1">
        <f t="array" ref="DN636">IF(AND($BT636=4,$BX636=4,$BU636=999),$DD$36,_xlfn.IFNA(INDEX(DE$13:DE$68,MATCH(1,($BR636=$CV$13:$CV$68)*($BT636=$CX$13:$CX$68)*($CE636=$CY$13:$CY$68)*($BY636=$DA$13:$DA$68)*($CD636=$DH$13:$DH$68),0)),""))</f>
        <v/>
      </c>
      <c r="DO636" s="58" t="str" cm="1">
        <f t="array" ref="DO636">IF(AND($BT636=4,$BX636=4,$BU636=999),$DF$36,_xlfn.IFNA(INDEX(DF$13:DF$70,MATCH(1,($BR636=$CV$13:$CV$70)*($BT636=$CX$13:$CX$70)*($CE636=$CY$13:$CY$70)*($BY636=$DA$13:$DA$70)*($CD636=$DH$13:$DH$70),0)),""))</f>
        <v/>
      </c>
      <c r="DP636" s="58" t="e">
        <f t="shared" si="959"/>
        <v>#N/A</v>
      </c>
      <c r="DW636" s="58" t="s">
        <v>74</v>
      </c>
      <c r="DX636" s="58" t="s">
        <v>552</v>
      </c>
      <c r="DY636" s="58" t="s">
        <v>578</v>
      </c>
      <c r="DZ636" s="58">
        <v>0</v>
      </c>
      <c r="EB636" s="58">
        <v>0</v>
      </c>
      <c r="EC636" s="58">
        <v>3</v>
      </c>
      <c r="ED636" s="58">
        <v>5</v>
      </c>
      <c r="EE636" s="58">
        <v>2</v>
      </c>
      <c r="EF636" s="58">
        <v>1</v>
      </c>
      <c r="EI636" s="58" t="s">
        <v>74</v>
      </c>
      <c r="EJ636" s="58" t="s">
        <v>552</v>
      </c>
      <c r="EK636" s="58" t="s">
        <v>578</v>
      </c>
      <c r="EL636" s="58">
        <v>0</v>
      </c>
      <c r="EN636" s="58">
        <v>0</v>
      </c>
      <c r="EO636" s="58">
        <v>3</v>
      </c>
      <c r="EP636" s="58">
        <v>7</v>
      </c>
      <c r="EQ636" s="58">
        <v>1</v>
      </c>
      <c r="ER636" s="58">
        <v>1</v>
      </c>
      <c r="EU636" s="58" t="str">
        <f t="shared" si="1012"/>
        <v>Yes</v>
      </c>
      <c r="EV636" s="58" t="str">
        <f t="shared" si="1013"/>
        <v>Progression free survival</v>
      </c>
      <c r="EW636" s="58" t="str">
        <f t="shared" si="1014"/>
        <v>Apply HR to</v>
      </c>
      <c r="EX636" s="58">
        <f t="shared" si="1015"/>
        <v>0</v>
      </c>
      <c r="EZ636" s="58">
        <f t="shared" si="1016"/>
        <v>0</v>
      </c>
      <c r="FA636" s="58">
        <f t="shared" si="1017"/>
        <v>3</v>
      </c>
      <c r="FB636" s="58">
        <f>IF(i_eff_inputs_based_on_num=2,ED636,(INDEX(Lists!$L$51:$L$85,MATCH(BF279,Lists!$K$51:$K$85,0))))</f>
        <v>5</v>
      </c>
      <c r="FC636" s="58">
        <f>IF(i_eff_inputs_based_on_num=2,EE636,(INDEX(Lists!$L$51:$L$85,MATCH(BG279,Lists!$K$51:$K$85,0))))</f>
        <v>2</v>
      </c>
      <c r="FD636" s="58">
        <f>IF(i_eff_inputs_based_on_num=2,EF636,(INDEX(Lists!$L$51:$L$85,MATCH(BH279,Lists!$K$51:$K$85,0))))</f>
        <v>1</v>
      </c>
      <c r="FG636" s="58" t="str">
        <f t="shared" si="1018"/>
        <v>Yes</v>
      </c>
      <c r="FH636" s="58" t="str">
        <f t="shared" si="1019"/>
        <v>Progression free survival</v>
      </c>
      <c r="FI636" s="58" t="str">
        <f t="shared" si="1020"/>
        <v>Apply HR to</v>
      </c>
      <c r="FJ636" s="58">
        <f t="shared" si="1021"/>
        <v>0</v>
      </c>
      <c r="FL636" s="58">
        <f t="shared" si="1022"/>
        <v>0</v>
      </c>
      <c r="FM636" s="58">
        <f t="shared" si="1023"/>
        <v>3</v>
      </c>
      <c r="FN636" s="58">
        <f>IF(i_eff_inputs_based_on_num=2,EP636,(INDEX(Lists!$L$51:$L$85,MATCH(BF279,Lists!$K$51:$K$85,0))))</f>
        <v>7</v>
      </c>
      <c r="FO636" s="58">
        <f>IF(i_eff_inputs_based_on_num=2,EQ636,(INDEX(Lists!$L$51:$L$85,MATCH(BG279,Lists!$K$51:$K$85,0))))</f>
        <v>1</v>
      </c>
      <c r="FP636" s="58">
        <f>IF(i_eff_inputs_based_on_num=2,ER636,(INDEX(Lists!$L$51:$L$85,MATCH(BH279,Lists!$K$51:$K$85,0))))</f>
        <v>1</v>
      </c>
      <c r="FT636" s="58">
        <f t="shared" si="960"/>
        <v>0</v>
      </c>
      <c r="FW636" s="58" t="str">
        <f>IF(i_baseline_risk_from=2,'Effectiveness settings'!EW636,'Effectiveness settings'!FI636)</f>
        <v>Apply HR to</v>
      </c>
      <c r="FX636" s="58" t="str">
        <f t="shared" si="961"/>
        <v>Apply HR to</v>
      </c>
      <c r="FY636" s="58" t="str">
        <f t="shared" si="962"/>
        <v>Apply HR to</v>
      </c>
      <c r="FZ636" s="58" t="str">
        <f t="shared" si="963"/>
        <v>Apply HR to</v>
      </c>
      <c r="GA636" s="58" t="str">
        <f t="shared" si="964"/>
        <v>Apply HR to</v>
      </c>
      <c r="GB636" s="58" t="str">
        <f t="shared" si="965"/>
        <v>Apply HR to</v>
      </c>
      <c r="GC636" s="58" t="str">
        <f t="shared" si="966"/>
        <v>Apply HR to</v>
      </c>
      <c r="GD636" s="58" t="str">
        <f t="shared" si="967"/>
        <v>Apply HR to</v>
      </c>
      <c r="GE636" s="58" t="str">
        <f>IF(AND(dd_CheckMate214_TTD="Yes",'Effectiveness settings'!BU636=2,'Effectiveness settings'!BX636=2),"Apply HR to",GD636)</f>
        <v>Apply HR to</v>
      </c>
      <c r="GF636" s="58" t="str">
        <f t="shared" si="968"/>
        <v>Apply HR to</v>
      </c>
      <c r="GG636" s="58" t="str">
        <f t="shared" si="969"/>
        <v>Apply HR to</v>
      </c>
      <c r="GH636" s="58" t="str">
        <f t="shared" si="970"/>
        <v>Apply HR to</v>
      </c>
      <c r="GI636" s="58" t="str">
        <f t="shared" si="957"/>
        <v>Apply HR to</v>
      </c>
      <c r="GK636" s="58">
        <f>IF(i_baseline_risk_from=2,'Effectiveness settings'!FA636,'Effectiveness settings'!FM636)</f>
        <v>3</v>
      </c>
      <c r="GL636" s="58">
        <f>IF(i_baseline_risk_from=2,'Effectiveness settings'!FB636,'Effectiveness settings'!FN636)</f>
        <v>5</v>
      </c>
      <c r="GM636" s="58">
        <f>IF(i_baseline_risk_from=2,'Effectiveness settings'!FC636,'Effectiveness settings'!FO636)</f>
        <v>2</v>
      </c>
      <c r="GN636" s="58">
        <f>IF(i_baseline_risk_from=2,'Effectiveness settings'!FD636,'Effectiveness settings'!FP636)</f>
        <v>1</v>
      </c>
      <c r="GQ636" s="58">
        <f t="shared" si="971"/>
        <v>5</v>
      </c>
      <c r="GR636" s="58">
        <f t="shared" si="972"/>
        <v>5</v>
      </c>
      <c r="GS636" s="58">
        <f t="shared" si="973"/>
        <v>5</v>
      </c>
      <c r="GT636" s="58">
        <f t="shared" si="974"/>
        <v>5</v>
      </c>
      <c r="GU636" s="58">
        <f>IF(AND(dd_CheckMate214_TTD="Yes",'Effectiveness settings'!BU636=2,'Effectiveness settings'!BX636=2),2,GT636)</f>
        <v>5</v>
      </c>
      <c r="GV636" s="58">
        <f t="shared" si="975"/>
        <v>5</v>
      </c>
      <c r="GW636" s="58">
        <f t="shared" si="976"/>
        <v>5</v>
      </c>
      <c r="GY636" s="58">
        <f>IF(AND(dd_CheckMate214_TTD="Yes",'Effectiveness settings'!BU636=2,'Effectiveness settings'!BX636=2),1,GN636)</f>
        <v>1</v>
      </c>
      <c r="GZ636" s="58">
        <f t="shared" si="977"/>
        <v>1</v>
      </c>
      <c r="HB636" s="58">
        <f t="shared" si="978"/>
        <v>0</v>
      </c>
      <c r="HD636" s="58">
        <f t="shared" si="952"/>
        <v>0</v>
      </c>
      <c r="HE636" s="58">
        <f t="shared" si="953"/>
        <v>3</v>
      </c>
      <c r="HF636" s="58">
        <f t="shared" si="954"/>
        <v>5</v>
      </c>
      <c r="HG636" s="58">
        <f t="shared" si="955"/>
        <v>2</v>
      </c>
      <c r="HH636" s="58">
        <f t="shared" si="956"/>
        <v>1</v>
      </c>
    </row>
    <row r="637" spans="69:216" ht="15.75" x14ac:dyDescent="0.25">
      <c r="BQ637" s="58">
        <f t="shared" si="958"/>
        <v>371</v>
      </c>
      <c r="BR637" s="61">
        <v>0</v>
      </c>
      <c r="BS637" s="61" t="s">
        <v>31</v>
      </c>
      <c r="BT637" s="17">
        <v>4</v>
      </c>
      <c r="BU637" s="17">
        <v>6</v>
      </c>
      <c r="BV637" s="252" t="str">
        <f t="shared" si="1003"/>
        <v>tivozanib</v>
      </c>
      <c r="BW637" s="1006" t="str" cm="1">
        <f t="array" ref="BW637">IF(AZ280="No",AZ280,INDEX(List_incl_anal_4L_all,IF(BU637=999,35,BU637+1)))</f>
        <v>Yes</v>
      </c>
      <c r="BX637" s="61">
        <f t="shared" si="1004"/>
        <v>1</v>
      </c>
      <c r="BY637" s="532" t="str">
        <f t="shared" si="1028"/>
        <v>Progression free survival</v>
      </c>
      <c r="BZ637" s="530" t="str">
        <f t="shared" si="1005"/>
        <v>Apply HR to</v>
      </c>
      <c r="CA637" s="531">
        <f t="shared" si="1024"/>
        <v>0</v>
      </c>
      <c r="CB637" s="530">
        <f t="shared" si="1006"/>
        <v>0</v>
      </c>
      <c r="CC637" s="530">
        <f t="shared" si="1007"/>
        <v>3</v>
      </c>
      <c r="CD637" s="530">
        <f t="shared" si="1008"/>
        <v>6</v>
      </c>
      <c r="CE637" s="1295">
        <f t="shared" si="1009"/>
        <v>2</v>
      </c>
      <c r="CF637" s="1301">
        <f t="shared" si="1010"/>
        <v>1</v>
      </c>
      <c r="CG637" s="530" t="str">
        <f t="shared" si="1011"/>
        <v/>
      </c>
      <c r="CH637" s="505">
        <f t="shared" si="1025"/>
        <v>1.7410000000000001</v>
      </c>
      <c r="CI637" s="505">
        <f t="shared" si="1026"/>
        <v>1.208</v>
      </c>
      <c r="CJ637" s="505">
        <f t="shared" si="1027"/>
        <v>2.5099999999999998</v>
      </c>
      <c r="DK637" s="58" t="str" cm="1">
        <f t="array" ref="DK637">IF(AND($BT637=4,$BX637=4,$BU637=999),$DB$36,_xlfn.IFNA(INDEX(DB$13:DB$70,MATCH(1,($BR637=$CV$13:$CV$70)*($BT637=$CX$13:$CX$70)*($CE637=$CY$13:$CY$70)*($BY637=$DA$13:$DA$70)*($CD637=$DH$13:$DH$70),0)),""))</f>
        <v/>
      </c>
      <c r="DL637" s="58" t="str" cm="1">
        <f t="array" ref="DL637">IF(AND($BT637=4,$BX637=4,$BU637=999),$DC$36,_xlfn.IFNA(INDEX(CHOOSE(DP637,DB$13:DB$70,DC$13:DC$70,DD$13:DD$70,DE$13:DE$70),MATCH(1,($BR637=$CV$13:$CV$70)*($BT637=$CX$13:$CX$70)*($CE637=$CY$13:$CY$70)*($BY637=$DA$13:$DA$70)*($CD637=$DH$13:$DH$70),0)),""))</f>
        <v/>
      </c>
      <c r="DM637" s="740" t="str" cm="1">
        <f t="array" ref="DM637">IF(AND($BT637=4,$BX637=4,$BU637=999),$DD$36,_xlfn.IFNA(INDEX(DD$13:DD$68,MATCH(1,($BR637=$CV$13:$CV$68)*($BT637=$CX$13:$CX$68)*($CE637=$CY$13:$CY$68)*($BY637=$DA$13:$DA$68)*($CD637=$DH$13:$DH$68),0)),""))</f>
        <v/>
      </c>
      <c r="DN637" s="740" t="str" cm="1">
        <f t="array" ref="DN637">IF(AND($BT637=4,$BX637=4,$BU637=999),$DD$36,_xlfn.IFNA(INDEX(DE$13:DE$68,MATCH(1,($BR637=$CV$13:$CV$68)*($BT637=$CX$13:$CX$68)*($CE637=$CY$13:$CY$68)*($BY637=$DA$13:$DA$68)*($CD637=$DH$13:$DH$68),0)),""))</f>
        <v/>
      </c>
      <c r="DO637" s="58" t="str" cm="1">
        <f t="array" ref="DO637">IF(AND($BT637=4,$BX637=4,$BU637=999),$DF$36,_xlfn.IFNA(INDEX(DF$13:DF$70,MATCH(1,($BR637=$CV$13:$CV$70)*($BT637=$CX$13:$CX$70)*($CE637=$CY$13:$CY$70)*($BY637=$DA$13:$DA$70)*($CD637=$DH$13:$DH$70),0)),""))</f>
        <v/>
      </c>
      <c r="DP637" s="58" t="e">
        <f t="shared" si="959"/>
        <v>#N/A</v>
      </c>
      <c r="DW637" s="58" t="s">
        <v>74</v>
      </c>
      <c r="DX637" s="58" t="s">
        <v>552</v>
      </c>
      <c r="DY637" s="58" t="s">
        <v>578</v>
      </c>
      <c r="DZ637" s="58">
        <v>0</v>
      </c>
      <c r="EB637" s="58">
        <v>0</v>
      </c>
      <c r="EC637" s="58">
        <v>3</v>
      </c>
      <c r="ED637" s="58">
        <v>6</v>
      </c>
      <c r="EE637" s="58">
        <v>2</v>
      </c>
      <c r="EF637" s="58">
        <v>1</v>
      </c>
      <c r="EI637" s="58" t="s">
        <v>74</v>
      </c>
      <c r="EJ637" s="58" t="s">
        <v>552</v>
      </c>
      <c r="EK637" s="58" t="s">
        <v>578</v>
      </c>
      <c r="EL637" s="58">
        <v>0</v>
      </c>
      <c r="EN637" s="58">
        <v>0</v>
      </c>
      <c r="EO637" s="58">
        <v>3</v>
      </c>
      <c r="EP637" s="58">
        <v>6</v>
      </c>
      <c r="EQ637" s="58">
        <v>1</v>
      </c>
      <c r="ER637" s="58">
        <v>1</v>
      </c>
      <c r="EU637" s="58" t="str">
        <f t="shared" si="1012"/>
        <v>Yes</v>
      </c>
      <c r="EV637" s="58" t="str">
        <f t="shared" si="1013"/>
        <v>Progression free survival</v>
      </c>
      <c r="EW637" s="58" t="str">
        <f t="shared" si="1014"/>
        <v>Apply HR to</v>
      </c>
      <c r="EX637" s="58">
        <f t="shared" si="1015"/>
        <v>0</v>
      </c>
      <c r="EZ637" s="58">
        <f t="shared" si="1016"/>
        <v>0</v>
      </c>
      <c r="FA637" s="58">
        <f t="shared" si="1017"/>
        <v>3</v>
      </c>
      <c r="FB637" s="58">
        <f>IF(i_eff_inputs_based_on_num=2,ED637,(INDEX(Lists!$L$51:$L$85,MATCH(BF280,Lists!$K$51:$K$85,0))))</f>
        <v>6</v>
      </c>
      <c r="FC637" s="58">
        <f>IF(i_eff_inputs_based_on_num=2,EE637,(INDEX(Lists!$L$51:$L$85,MATCH(BG280,Lists!$K$51:$K$85,0))))</f>
        <v>2</v>
      </c>
      <c r="FD637" s="58">
        <f>IF(i_eff_inputs_based_on_num=2,EF637,(INDEX(Lists!$L$51:$L$85,MATCH(BH280,Lists!$K$51:$K$85,0))))</f>
        <v>1</v>
      </c>
      <c r="FG637" s="58" t="str">
        <f t="shared" si="1018"/>
        <v>Yes</v>
      </c>
      <c r="FH637" s="58" t="str">
        <f t="shared" si="1019"/>
        <v>Progression free survival</v>
      </c>
      <c r="FI637" s="58" t="str">
        <f t="shared" si="1020"/>
        <v>Apply HR to</v>
      </c>
      <c r="FJ637" s="58">
        <f t="shared" si="1021"/>
        <v>0</v>
      </c>
      <c r="FL637" s="58">
        <f t="shared" si="1022"/>
        <v>0</v>
      </c>
      <c r="FM637" s="58">
        <f t="shared" si="1023"/>
        <v>3</v>
      </c>
      <c r="FN637" s="58">
        <f>IF(i_eff_inputs_based_on_num=2,EP637,(INDEX(Lists!$L$51:$L$85,MATCH(BF280,Lists!$K$51:$K$85,0))))</f>
        <v>6</v>
      </c>
      <c r="FO637" s="58">
        <f>IF(i_eff_inputs_based_on_num=2,EQ637,(INDEX(Lists!$L$51:$L$85,MATCH(BG280,Lists!$K$51:$K$85,0))))</f>
        <v>1</v>
      </c>
      <c r="FP637" s="58">
        <f>IF(i_eff_inputs_based_on_num=2,ER637,(INDEX(Lists!$L$51:$L$85,MATCH(BH280,Lists!$K$51:$K$85,0))))</f>
        <v>1</v>
      </c>
      <c r="FT637" s="58">
        <f t="shared" si="960"/>
        <v>0</v>
      </c>
      <c r="FW637" s="58" t="str">
        <f>IF(i_baseline_risk_from=2,'Effectiveness settings'!EW637,'Effectiveness settings'!FI637)</f>
        <v>Apply HR to</v>
      </c>
      <c r="FX637" s="58" t="str">
        <f t="shared" si="961"/>
        <v>Apply HR to</v>
      </c>
      <c r="FY637" s="58" t="str">
        <f t="shared" si="962"/>
        <v>Apply HR to</v>
      </c>
      <c r="FZ637" s="58" t="str">
        <f t="shared" si="963"/>
        <v>Apply HR to</v>
      </c>
      <c r="GA637" s="58" t="str">
        <f t="shared" si="964"/>
        <v>Apply HR to</v>
      </c>
      <c r="GB637" s="58" t="str">
        <f t="shared" si="965"/>
        <v>Apply HR to</v>
      </c>
      <c r="GC637" s="58" t="str">
        <f t="shared" si="966"/>
        <v>Apply HR to</v>
      </c>
      <c r="GD637" s="58" t="str">
        <f t="shared" si="967"/>
        <v>Apply HR to</v>
      </c>
      <c r="GE637" s="58" t="str">
        <f>IF(AND(dd_CheckMate214_TTD="Yes",'Effectiveness settings'!BU637=2,'Effectiveness settings'!BX637=2),"Apply HR to",GD637)</f>
        <v>Apply HR to</v>
      </c>
      <c r="GF637" s="58" t="str">
        <f t="shared" si="968"/>
        <v>Apply HR to</v>
      </c>
      <c r="GG637" s="58" t="str">
        <f t="shared" si="969"/>
        <v>Apply HR to</v>
      </c>
      <c r="GH637" s="58" t="str">
        <f t="shared" si="970"/>
        <v>Apply HR to</v>
      </c>
      <c r="GI637" s="58" t="str">
        <f t="shared" si="957"/>
        <v>Apply HR to</v>
      </c>
      <c r="GK637" s="58">
        <f>IF(i_baseline_risk_from=2,'Effectiveness settings'!FA637,'Effectiveness settings'!FM637)</f>
        <v>3</v>
      </c>
      <c r="GL637" s="58">
        <f>IF(i_baseline_risk_from=2,'Effectiveness settings'!FB637,'Effectiveness settings'!FN637)</f>
        <v>6</v>
      </c>
      <c r="GM637" s="58">
        <f>IF(i_baseline_risk_from=2,'Effectiveness settings'!FC637,'Effectiveness settings'!FO637)</f>
        <v>2</v>
      </c>
      <c r="GN637" s="58">
        <f>IF(i_baseline_risk_from=2,'Effectiveness settings'!FD637,'Effectiveness settings'!FP637)</f>
        <v>1</v>
      </c>
      <c r="GQ637" s="58">
        <f t="shared" si="971"/>
        <v>6</v>
      </c>
      <c r="GR637" s="58">
        <f t="shared" si="972"/>
        <v>6</v>
      </c>
      <c r="GS637" s="58">
        <f t="shared" si="973"/>
        <v>6</v>
      </c>
      <c r="GT637" s="58">
        <f t="shared" si="974"/>
        <v>6</v>
      </c>
      <c r="GU637" s="58">
        <f>IF(AND(dd_CheckMate214_TTD="Yes",'Effectiveness settings'!BU637=2,'Effectiveness settings'!BX637=2),2,GT637)</f>
        <v>6</v>
      </c>
      <c r="GV637" s="58">
        <f t="shared" si="975"/>
        <v>6</v>
      </c>
      <c r="GW637" s="58">
        <f t="shared" si="976"/>
        <v>6</v>
      </c>
      <c r="GY637" s="58">
        <f>IF(AND(dd_CheckMate214_TTD="Yes",'Effectiveness settings'!BU637=2,'Effectiveness settings'!BX637=2),1,GN637)</f>
        <v>1</v>
      </c>
      <c r="GZ637" s="58">
        <f t="shared" si="977"/>
        <v>1</v>
      </c>
      <c r="HB637" s="58">
        <f t="shared" si="978"/>
        <v>0</v>
      </c>
      <c r="HD637" s="58">
        <f t="shared" si="952"/>
        <v>0</v>
      </c>
      <c r="HE637" s="58">
        <f t="shared" si="953"/>
        <v>3</v>
      </c>
      <c r="HF637" s="58">
        <f t="shared" si="954"/>
        <v>6</v>
      </c>
      <c r="HG637" s="58">
        <f t="shared" si="955"/>
        <v>2</v>
      </c>
      <c r="HH637" s="58">
        <f t="shared" si="956"/>
        <v>1</v>
      </c>
    </row>
    <row r="638" spans="69:216" ht="15.75" x14ac:dyDescent="0.25">
      <c r="BQ638" s="58">
        <f t="shared" si="958"/>
        <v>372</v>
      </c>
      <c r="BR638" s="61">
        <v>0</v>
      </c>
      <c r="BS638" s="61" t="s">
        <v>31</v>
      </c>
      <c r="BT638" s="17">
        <v>4</v>
      </c>
      <c r="BU638" s="17">
        <v>7</v>
      </c>
      <c r="BV638" s="252" t="str">
        <f t="shared" si="1003"/>
        <v>sunitinib</v>
      </c>
      <c r="BW638" s="1006" t="str" cm="1">
        <f t="array" ref="BW638">IF(AZ281="No",AZ281,INDEX(List_incl_anal_4L_all,IF(BU638=999,35,BU638+1)))</f>
        <v>Yes</v>
      </c>
      <c r="BX638" s="61">
        <f t="shared" si="1004"/>
        <v>1</v>
      </c>
      <c r="BY638" s="532" t="str">
        <f t="shared" si="1028"/>
        <v>Progression free survival</v>
      </c>
      <c r="BZ638" s="530" t="str">
        <f t="shared" si="1005"/>
        <v>Apply HR to</v>
      </c>
      <c r="CA638" s="531">
        <f t="shared" si="1024"/>
        <v>0</v>
      </c>
      <c r="CB638" s="530">
        <f t="shared" si="1006"/>
        <v>0</v>
      </c>
      <c r="CC638" s="530">
        <f t="shared" si="1007"/>
        <v>3</v>
      </c>
      <c r="CD638" s="530">
        <f t="shared" si="1008"/>
        <v>7</v>
      </c>
      <c r="CE638" s="1295">
        <f t="shared" si="1009"/>
        <v>2</v>
      </c>
      <c r="CF638" s="1301">
        <f t="shared" si="1010"/>
        <v>1</v>
      </c>
      <c r="CG638" s="530" t="str">
        <f t="shared" si="1011"/>
        <v/>
      </c>
      <c r="CH638" s="505">
        <f t="shared" si="1025"/>
        <v>1.7410000000000001</v>
      </c>
      <c r="CI638" s="505">
        <f t="shared" si="1026"/>
        <v>1.208</v>
      </c>
      <c r="CJ638" s="505">
        <f t="shared" si="1027"/>
        <v>2.5099999999999998</v>
      </c>
      <c r="DK638" s="58" t="str" cm="1">
        <f t="array" ref="DK638">IF(AND($BT638=4,$BX638=4,$BU638=999),$DB$36,_xlfn.IFNA(INDEX(DB$13:DB$70,MATCH(1,($BR638=$CV$13:$CV$70)*($BT638=$CX$13:$CX$70)*($CE638=$CY$13:$CY$70)*($BY638=$DA$13:$DA$70)*($CD638=$DH$13:$DH$70),0)),""))</f>
        <v/>
      </c>
      <c r="DL638" s="58" t="str" cm="1">
        <f t="array" ref="DL638">IF(AND($BT638=4,$BX638=4,$BU638=999),$DC$36,_xlfn.IFNA(INDEX(CHOOSE(DP638,DB$13:DB$70,DC$13:DC$70,DD$13:DD$70,DE$13:DE$70),MATCH(1,($BR638=$CV$13:$CV$70)*($BT638=$CX$13:$CX$70)*($CE638=$CY$13:$CY$70)*($BY638=$DA$13:$DA$70)*($CD638=$DH$13:$DH$70),0)),""))</f>
        <v/>
      </c>
      <c r="DM638" s="740" t="str" cm="1">
        <f t="array" ref="DM638">IF(AND($BT638=4,$BX638=4,$BU638=999),$DD$36,_xlfn.IFNA(INDEX(DD$13:DD$68,MATCH(1,($BR638=$CV$13:$CV$68)*($BT638=$CX$13:$CX$68)*($CE638=$CY$13:$CY$68)*($BY638=$DA$13:$DA$68)*($CD638=$DH$13:$DH$68),0)),""))</f>
        <v/>
      </c>
      <c r="DN638" s="740" t="str" cm="1">
        <f t="array" ref="DN638">IF(AND($BT638=4,$BX638=4,$BU638=999),$DD$36,_xlfn.IFNA(INDEX(DE$13:DE$68,MATCH(1,($BR638=$CV$13:$CV$68)*($BT638=$CX$13:$CX$68)*($CE638=$CY$13:$CY$68)*($BY638=$DA$13:$DA$68)*($CD638=$DH$13:$DH$68),0)),""))</f>
        <v/>
      </c>
      <c r="DO638" s="58" t="str" cm="1">
        <f t="array" ref="DO638">IF(AND($BT638=4,$BX638=4,$BU638=999),$DF$36,_xlfn.IFNA(INDEX(DF$13:DF$70,MATCH(1,($BR638=$CV$13:$CV$70)*($BT638=$CX$13:$CX$70)*($CE638=$CY$13:$CY$70)*($BY638=$DA$13:$DA$70)*($CD638=$DH$13:$DH$70),0)),""))</f>
        <v/>
      </c>
      <c r="DP638" s="58" t="e">
        <f t="shared" si="959"/>
        <v>#N/A</v>
      </c>
      <c r="DW638" s="58" t="s">
        <v>74</v>
      </c>
      <c r="DX638" s="58" t="s">
        <v>552</v>
      </c>
      <c r="DY638" s="58" t="s">
        <v>578</v>
      </c>
      <c r="DZ638" s="58">
        <v>0</v>
      </c>
      <c r="EB638" s="58">
        <v>0</v>
      </c>
      <c r="EC638" s="58">
        <v>3</v>
      </c>
      <c r="ED638" s="58">
        <v>7</v>
      </c>
      <c r="EE638" s="58">
        <v>2</v>
      </c>
      <c r="EF638" s="58">
        <v>1</v>
      </c>
      <c r="EI638" s="58" t="s">
        <v>74</v>
      </c>
      <c r="EJ638" s="58" t="s">
        <v>552</v>
      </c>
      <c r="EK638" s="58" t="s">
        <v>578</v>
      </c>
      <c r="EL638" s="58">
        <v>0</v>
      </c>
      <c r="EN638" s="58">
        <v>0</v>
      </c>
      <c r="EO638" s="58">
        <v>3</v>
      </c>
      <c r="EP638" s="58">
        <v>7</v>
      </c>
      <c r="EQ638" s="58">
        <v>1</v>
      </c>
      <c r="ER638" s="58">
        <v>1</v>
      </c>
      <c r="EU638" s="58" t="str">
        <f t="shared" si="1012"/>
        <v>Yes</v>
      </c>
      <c r="EV638" s="58" t="str">
        <f t="shared" si="1013"/>
        <v>Progression free survival</v>
      </c>
      <c r="EW638" s="58" t="str">
        <f t="shared" si="1014"/>
        <v>Apply HR to</v>
      </c>
      <c r="EX638" s="58">
        <f t="shared" si="1015"/>
        <v>0</v>
      </c>
      <c r="EZ638" s="58">
        <f t="shared" si="1016"/>
        <v>0</v>
      </c>
      <c r="FA638" s="58">
        <f t="shared" si="1017"/>
        <v>3</v>
      </c>
      <c r="FB638" s="58">
        <f>IF(i_eff_inputs_based_on_num=2,ED638,(INDEX(Lists!$L$51:$L$85,MATCH(BF281,Lists!$K$51:$K$85,0))))</f>
        <v>7</v>
      </c>
      <c r="FC638" s="58">
        <f>IF(i_eff_inputs_based_on_num=2,EE638,(INDEX(Lists!$L$51:$L$85,MATCH(BG281,Lists!$K$51:$K$85,0))))</f>
        <v>2</v>
      </c>
      <c r="FD638" s="58">
        <f>IF(i_eff_inputs_based_on_num=2,EF638,(INDEX(Lists!$L$51:$L$85,MATCH(BH281,Lists!$K$51:$K$85,0))))</f>
        <v>1</v>
      </c>
      <c r="FG638" s="58" t="str">
        <f t="shared" si="1018"/>
        <v>Yes</v>
      </c>
      <c r="FH638" s="58" t="str">
        <f t="shared" si="1019"/>
        <v>Progression free survival</v>
      </c>
      <c r="FI638" s="58" t="str">
        <f t="shared" si="1020"/>
        <v>Apply HR to</v>
      </c>
      <c r="FJ638" s="58">
        <f t="shared" si="1021"/>
        <v>0</v>
      </c>
      <c r="FL638" s="58">
        <f t="shared" si="1022"/>
        <v>0</v>
      </c>
      <c r="FM638" s="58">
        <f t="shared" si="1023"/>
        <v>3</v>
      </c>
      <c r="FN638" s="58">
        <f>IF(i_eff_inputs_based_on_num=2,EP638,(INDEX(Lists!$L$51:$L$85,MATCH(BF281,Lists!$K$51:$K$85,0))))</f>
        <v>7</v>
      </c>
      <c r="FO638" s="58">
        <f>IF(i_eff_inputs_based_on_num=2,EQ638,(INDEX(Lists!$L$51:$L$85,MATCH(BG281,Lists!$K$51:$K$85,0))))</f>
        <v>1</v>
      </c>
      <c r="FP638" s="58">
        <f>IF(i_eff_inputs_based_on_num=2,ER638,(INDEX(Lists!$L$51:$L$85,MATCH(BH281,Lists!$K$51:$K$85,0))))</f>
        <v>1</v>
      </c>
      <c r="FT638" s="58">
        <f t="shared" si="960"/>
        <v>0</v>
      </c>
      <c r="FW638" s="58" t="str">
        <f>IF(i_baseline_risk_from=2,'Effectiveness settings'!EW638,'Effectiveness settings'!FI638)</f>
        <v>Apply HR to</v>
      </c>
      <c r="FX638" s="58" t="str">
        <f t="shared" si="961"/>
        <v>Apply HR to</v>
      </c>
      <c r="FY638" s="58" t="str">
        <f t="shared" si="962"/>
        <v>Apply HR to</v>
      </c>
      <c r="FZ638" s="58" t="str">
        <f t="shared" si="963"/>
        <v>Apply HR to</v>
      </c>
      <c r="GA638" s="58" t="str">
        <f t="shared" si="964"/>
        <v>Apply HR to</v>
      </c>
      <c r="GB638" s="58" t="str">
        <f t="shared" si="965"/>
        <v>Apply HR to</v>
      </c>
      <c r="GC638" s="58" t="str">
        <f t="shared" si="966"/>
        <v>Apply HR to</v>
      </c>
      <c r="GD638" s="58" t="str">
        <f t="shared" si="967"/>
        <v>Apply HR to</v>
      </c>
      <c r="GE638" s="58" t="str">
        <f>IF(AND(dd_CheckMate214_TTD="Yes",'Effectiveness settings'!BU638=2,'Effectiveness settings'!BX638=2),"Apply HR to",GD638)</f>
        <v>Apply HR to</v>
      </c>
      <c r="GF638" s="58" t="str">
        <f t="shared" si="968"/>
        <v>Apply HR to</v>
      </c>
      <c r="GG638" s="58" t="str">
        <f t="shared" si="969"/>
        <v>Apply HR to</v>
      </c>
      <c r="GH638" s="58" t="str">
        <f t="shared" si="970"/>
        <v>Apply HR to</v>
      </c>
      <c r="GI638" s="58" t="str">
        <f t="shared" si="957"/>
        <v>Apply HR to</v>
      </c>
      <c r="GK638" s="58">
        <f>IF(i_baseline_risk_from=2,'Effectiveness settings'!FA638,'Effectiveness settings'!FM638)</f>
        <v>3</v>
      </c>
      <c r="GL638" s="58">
        <f>IF(i_baseline_risk_from=2,'Effectiveness settings'!FB638,'Effectiveness settings'!FN638)</f>
        <v>7</v>
      </c>
      <c r="GM638" s="58">
        <f>IF(i_baseline_risk_from=2,'Effectiveness settings'!FC638,'Effectiveness settings'!FO638)</f>
        <v>2</v>
      </c>
      <c r="GN638" s="58">
        <f>IF(i_baseline_risk_from=2,'Effectiveness settings'!FD638,'Effectiveness settings'!FP638)</f>
        <v>1</v>
      </c>
      <c r="GQ638" s="58">
        <f t="shared" si="971"/>
        <v>7</v>
      </c>
      <c r="GR638" s="58">
        <f t="shared" si="972"/>
        <v>7</v>
      </c>
      <c r="GS638" s="58">
        <f t="shared" si="973"/>
        <v>7</v>
      </c>
      <c r="GT638" s="58">
        <f t="shared" si="974"/>
        <v>7</v>
      </c>
      <c r="GU638" s="58">
        <f>IF(AND(dd_CheckMate214_TTD="Yes",'Effectiveness settings'!BU638=2,'Effectiveness settings'!BX638=2),2,GT638)</f>
        <v>7</v>
      </c>
      <c r="GV638" s="58">
        <f t="shared" si="975"/>
        <v>7</v>
      </c>
      <c r="GW638" s="58">
        <f t="shared" si="976"/>
        <v>7</v>
      </c>
      <c r="GY638" s="58">
        <f>IF(AND(dd_CheckMate214_TTD="Yes",'Effectiveness settings'!BU638=2,'Effectiveness settings'!BX638=2),1,GN638)</f>
        <v>1</v>
      </c>
      <c r="GZ638" s="58">
        <f t="shared" si="977"/>
        <v>1</v>
      </c>
      <c r="HB638" s="58">
        <f t="shared" si="978"/>
        <v>0</v>
      </c>
      <c r="HD638" s="58">
        <f t="shared" si="952"/>
        <v>0</v>
      </c>
      <c r="HE638" s="58">
        <f t="shared" si="953"/>
        <v>3</v>
      </c>
      <c r="HF638" s="58">
        <f t="shared" si="954"/>
        <v>7</v>
      </c>
      <c r="HG638" s="58">
        <f t="shared" si="955"/>
        <v>2</v>
      </c>
      <c r="HH638" s="58">
        <f t="shared" si="956"/>
        <v>1</v>
      </c>
    </row>
    <row r="639" spans="69:216" ht="15.75" x14ac:dyDescent="0.25">
      <c r="BQ639" s="58">
        <f t="shared" si="958"/>
        <v>373</v>
      </c>
      <c r="BR639" s="61">
        <v>0</v>
      </c>
      <c r="BS639" s="61" t="s">
        <v>31</v>
      </c>
      <c r="BT639" s="17">
        <v>4</v>
      </c>
      <c r="BU639" s="17">
        <v>8</v>
      </c>
      <c r="BV639" s="252" t="str">
        <f t="shared" si="1003"/>
        <v>cabozantinib</v>
      </c>
      <c r="BW639" s="1006" t="str" cm="1">
        <f t="array" ref="BW639">IF(AZ282="No",AZ282,INDEX(List_incl_anal_4L_all,IF(BU639=999,35,BU639+1)))</f>
        <v>Yes</v>
      </c>
      <c r="BX639" s="61">
        <f t="shared" si="1004"/>
        <v>1</v>
      </c>
      <c r="BY639" s="532" t="str">
        <f t="shared" si="1028"/>
        <v>Progression free survival</v>
      </c>
      <c r="BZ639" s="530" t="str">
        <f t="shared" si="1005"/>
        <v>Apply HR to</v>
      </c>
      <c r="CA639" s="531">
        <f t="shared" si="1024"/>
        <v>0</v>
      </c>
      <c r="CB639" s="530">
        <f t="shared" si="1006"/>
        <v>0</v>
      </c>
      <c r="CC639" s="530">
        <f t="shared" si="1007"/>
        <v>3</v>
      </c>
      <c r="CD639" s="530">
        <f t="shared" si="1008"/>
        <v>8</v>
      </c>
      <c r="CE639" s="1295">
        <f t="shared" si="1009"/>
        <v>2</v>
      </c>
      <c r="CF639" s="1301">
        <f t="shared" si="1010"/>
        <v>1</v>
      </c>
      <c r="CG639" s="530" t="str">
        <f t="shared" si="1011"/>
        <v/>
      </c>
      <c r="CH639" s="505">
        <f t="shared" si="1025"/>
        <v>1.7410000000000001</v>
      </c>
      <c r="CI639" s="505">
        <f t="shared" si="1026"/>
        <v>1.208</v>
      </c>
      <c r="CJ639" s="505">
        <f t="shared" si="1027"/>
        <v>2.5099999999999998</v>
      </c>
      <c r="DK639" s="58" t="str" cm="1">
        <f t="array" ref="DK639">IF(AND($BT639=4,$BX639=4,$BU639=999),$DB$36,_xlfn.IFNA(INDEX(DB$13:DB$70,MATCH(1,($BR639=$CV$13:$CV$70)*($BT639=$CX$13:$CX$70)*($CE639=$CY$13:$CY$70)*($BY639=$DA$13:$DA$70)*($CD639=$DH$13:$DH$70),0)),""))</f>
        <v/>
      </c>
      <c r="DL639" s="58" t="str" cm="1">
        <f t="array" ref="DL639">IF(AND($BT639=4,$BX639=4,$BU639=999),$DC$36,_xlfn.IFNA(INDEX(CHOOSE(DP639,DB$13:DB$70,DC$13:DC$70,DD$13:DD$70,DE$13:DE$70),MATCH(1,($BR639=$CV$13:$CV$70)*($BT639=$CX$13:$CX$70)*($CE639=$CY$13:$CY$70)*($BY639=$DA$13:$DA$70)*($CD639=$DH$13:$DH$70),0)),""))</f>
        <v/>
      </c>
      <c r="DM639" s="740" t="str" cm="1">
        <f t="array" ref="DM639">IF(AND($BT639=4,$BX639=4,$BU639=999),$DD$36,_xlfn.IFNA(INDEX(DD$13:DD$68,MATCH(1,($BR639=$CV$13:$CV$68)*($BT639=$CX$13:$CX$68)*($CE639=$CY$13:$CY$68)*($BY639=$DA$13:$DA$68)*($CD639=$DH$13:$DH$68),0)),""))</f>
        <v/>
      </c>
      <c r="DN639" s="740" t="str" cm="1">
        <f t="array" ref="DN639">IF(AND($BT639=4,$BX639=4,$BU639=999),$DD$36,_xlfn.IFNA(INDEX(DE$13:DE$68,MATCH(1,($BR639=$CV$13:$CV$68)*($BT639=$CX$13:$CX$68)*($CE639=$CY$13:$CY$68)*($BY639=$DA$13:$DA$68)*($CD639=$DH$13:$DH$68),0)),""))</f>
        <v/>
      </c>
      <c r="DO639" s="58" t="str" cm="1">
        <f t="array" ref="DO639">IF(AND($BT639=4,$BX639=4,$BU639=999),$DF$36,_xlfn.IFNA(INDEX(DF$13:DF$70,MATCH(1,($BR639=$CV$13:$CV$70)*($BT639=$CX$13:$CX$70)*($CE639=$CY$13:$CY$70)*($BY639=$DA$13:$DA$70)*($CD639=$DH$13:$DH$70),0)),""))</f>
        <v/>
      </c>
      <c r="DP639" s="58" t="e">
        <f t="shared" si="959"/>
        <v>#N/A</v>
      </c>
      <c r="DW639" s="58" t="s">
        <v>74</v>
      </c>
      <c r="DX639" s="58" t="s">
        <v>552</v>
      </c>
      <c r="DY639" s="58" t="s">
        <v>578</v>
      </c>
      <c r="DZ639" s="58">
        <v>0</v>
      </c>
      <c r="EB639" s="58">
        <v>0</v>
      </c>
      <c r="EC639" s="58">
        <v>3</v>
      </c>
      <c r="ED639" s="58">
        <v>8</v>
      </c>
      <c r="EE639" s="58">
        <v>2</v>
      </c>
      <c r="EF639" s="58">
        <v>1</v>
      </c>
      <c r="EI639" s="58" t="s">
        <v>74</v>
      </c>
      <c r="EJ639" s="58" t="s">
        <v>552</v>
      </c>
      <c r="EK639" s="58" t="s">
        <v>578</v>
      </c>
      <c r="EL639" s="58">
        <v>0</v>
      </c>
      <c r="EN639" s="58">
        <v>0</v>
      </c>
      <c r="EO639" s="58">
        <v>3</v>
      </c>
      <c r="EP639" s="58">
        <v>8</v>
      </c>
      <c r="EQ639" s="58">
        <v>1</v>
      </c>
      <c r="ER639" s="58">
        <v>1</v>
      </c>
      <c r="EU639" s="58" t="str">
        <f t="shared" si="1012"/>
        <v>Yes</v>
      </c>
      <c r="EV639" s="58" t="str">
        <f t="shared" si="1013"/>
        <v>Progression free survival</v>
      </c>
      <c r="EW639" s="58" t="str">
        <f t="shared" si="1014"/>
        <v>Apply HR to</v>
      </c>
      <c r="EX639" s="58">
        <f t="shared" si="1015"/>
        <v>0</v>
      </c>
      <c r="EZ639" s="58">
        <f t="shared" si="1016"/>
        <v>0</v>
      </c>
      <c r="FA639" s="58">
        <f t="shared" si="1017"/>
        <v>3</v>
      </c>
      <c r="FB639" s="58">
        <f>IF(i_eff_inputs_based_on_num=2,ED639,(INDEX(Lists!$L$51:$L$85,MATCH(BF282,Lists!$K$51:$K$85,0))))</f>
        <v>8</v>
      </c>
      <c r="FC639" s="58">
        <f>IF(i_eff_inputs_based_on_num=2,EE639,(INDEX(Lists!$L$51:$L$85,MATCH(BG282,Lists!$K$51:$K$85,0))))</f>
        <v>2</v>
      </c>
      <c r="FD639" s="58">
        <f>IF(i_eff_inputs_based_on_num=2,EF639,(INDEX(Lists!$L$51:$L$85,MATCH(BH282,Lists!$K$51:$K$85,0))))</f>
        <v>1</v>
      </c>
      <c r="FG639" s="58" t="str">
        <f t="shared" si="1018"/>
        <v>Yes</v>
      </c>
      <c r="FH639" s="58" t="str">
        <f t="shared" si="1019"/>
        <v>Progression free survival</v>
      </c>
      <c r="FI639" s="58" t="str">
        <f t="shared" si="1020"/>
        <v>Apply HR to</v>
      </c>
      <c r="FJ639" s="58">
        <f t="shared" si="1021"/>
        <v>0</v>
      </c>
      <c r="FL639" s="58">
        <f t="shared" si="1022"/>
        <v>0</v>
      </c>
      <c r="FM639" s="58">
        <f t="shared" si="1023"/>
        <v>3</v>
      </c>
      <c r="FN639" s="58">
        <f>IF(i_eff_inputs_based_on_num=2,EP639,(INDEX(Lists!$L$51:$L$85,MATCH(BF282,Lists!$K$51:$K$85,0))))</f>
        <v>8</v>
      </c>
      <c r="FO639" s="58">
        <f>IF(i_eff_inputs_based_on_num=2,EQ639,(INDEX(Lists!$L$51:$L$85,MATCH(BG282,Lists!$K$51:$K$85,0))))</f>
        <v>1</v>
      </c>
      <c r="FP639" s="58">
        <f>IF(i_eff_inputs_based_on_num=2,ER639,(INDEX(Lists!$L$51:$L$85,MATCH(BH282,Lists!$K$51:$K$85,0))))</f>
        <v>1</v>
      </c>
      <c r="FT639" s="58">
        <f t="shared" si="960"/>
        <v>0</v>
      </c>
      <c r="FW639" s="58" t="str">
        <f>IF(i_baseline_risk_from=2,'Effectiveness settings'!EW639,'Effectiveness settings'!FI639)</f>
        <v>Apply HR to</v>
      </c>
      <c r="FX639" s="58" t="str">
        <f t="shared" si="961"/>
        <v>Apply HR to</v>
      </c>
      <c r="FY639" s="58" t="str">
        <f t="shared" si="962"/>
        <v>Apply HR to</v>
      </c>
      <c r="FZ639" s="58" t="str">
        <f t="shared" si="963"/>
        <v>Apply HR to</v>
      </c>
      <c r="GA639" s="58" t="str">
        <f t="shared" si="964"/>
        <v>Apply HR to</v>
      </c>
      <c r="GB639" s="58" t="str">
        <f t="shared" si="965"/>
        <v>Apply HR to</v>
      </c>
      <c r="GC639" s="58" t="str">
        <f t="shared" si="966"/>
        <v>Apply HR to</v>
      </c>
      <c r="GD639" s="58" t="str">
        <f t="shared" si="967"/>
        <v>Apply HR to</v>
      </c>
      <c r="GE639" s="58" t="str">
        <f>IF(AND(dd_CheckMate214_TTD="Yes",'Effectiveness settings'!BU639=2,'Effectiveness settings'!BX639=2),"Apply HR to",GD639)</f>
        <v>Apply HR to</v>
      </c>
      <c r="GF639" s="58" t="str">
        <f t="shared" si="968"/>
        <v>Apply HR to</v>
      </c>
      <c r="GG639" s="58" t="str">
        <f t="shared" si="969"/>
        <v>Apply HR to</v>
      </c>
      <c r="GH639" s="58" t="str">
        <f t="shared" si="970"/>
        <v>Apply HR to</v>
      </c>
      <c r="GI639" s="58" t="str">
        <f t="shared" si="957"/>
        <v>Apply HR to</v>
      </c>
      <c r="GK639" s="58">
        <f>IF(i_baseline_risk_from=2,'Effectiveness settings'!FA639,'Effectiveness settings'!FM639)</f>
        <v>3</v>
      </c>
      <c r="GL639" s="58">
        <f>IF(i_baseline_risk_from=2,'Effectiveness settings'!FB639,'Effectiveness settings'!FN639)</f>
        <v>8</v>
      </c>
      <c r="GM639" s="58">
        <f>IF(i_baseline_risk_from=2,'Effectiveness settings'!FC639,'Effectiveness settings'!FO639)</f>
        <v>2</v>
      </c>
      <c r="GN639" s="58">
        <f>IF(i_baseline_risk_from=2,'Effectiveness settings'!FD639,'Effectiveness settings'!FP639)</f>
        <v>1</v>
      </c>
      <c r="GQ639" s="58">
        <f t="shared" si="971"/>
        <v>8</v>
      </c>
      <c r="GR639" s="58">
        <f t="shared" si="972"/>
        <v>8</v>
      </c>
      <c r="GS639" s="58">
        <f t="shared" si="973"/>
        <v>8</v>
      </c>
      <c r="GT639" s="58">
        <f t="shared" si="974"/>
        <v>8</v>
      </c>
      <c r="GU639" s="58">
        <f>IF(AND(dd_CheckMate214_TTD="Yes",'Effectiveness settings'!BU639=2,'Effectiveness settings'!BX639=2),2,GT639)</f>
        <v>8</v>
      </c>
      <c r="GV639" s="58">
        <f t="shared" si="975"/>
        <v>8</v>
      </c>
      <c r="GW639" s="58">
        <f t="shared" si="976"/>
        <v>8</v>
      </c>
      <c r="GY639" s="58">
        <f>IF(AND(dd_CheckMate214_TTD="Yes",'Effectiveness settings'!BU639=2,'Effectiveness settings'!BX639=2),1,GN639)</f>
        <v>1</v>
      </c>
      <c r="GZ639" s="58">
        <f t="shared" si="977"/>
        <v>1</v>
      </c>
      <c r="HB639" s="58">
        <f t="shared" si="978"/>
        <v>0</v>
      </c>
      <c r="HD639" s="58">
        <f t="shared" si="952"/>
        <v>0</v>
      </c>
      <c r="HE639" s="58">
        <f t="shared" si="953"/>
        <v>3</v>
      </c>
      <c r="HF639" s="58">
        <f t="shared" si="954"/>
        <v>8</v>
      </c>
      <c r="HG639" s="58">
        <f t="shared" si="955"/>
        <v>2</v>
      </c>
      <c r="HH639" s="58">
        <f t="shared" si="956"/>
        <v>1</v>
      </c>
    </row>
    <row r="640" spans="69:216" ht="15.75" x14ac:dyDescent="0.25">
      <c r="BQ640" s="58">
        <f t="shared" si="958"/>
        <v>374</v>
      </c>
      <c r="BR640" s="61">
        <v>0</v>
      </c>
      <c r="BS640" s="61" t="s">
        <v>31</v>
      </c>
      <c r="BT640" s="17">
        <v>4</v>
      </c>
      <c r="BU640" s="17">
        <v>9</v>
      </c>
      <c r="BV640" s="252" t="str">
        <f t="shared" si="1003"/>
        <v>lenvatinib_plus_everolimus</v>
      </c>
      <c r="BW640" s="1006" t="str" cm="1">
        <f t="array" ref="BW640">IF(AZ283="No",AZ283,INDEX(List_incl_anal_4L_all,IF(BU640=999,35,BU640+1)))</f>
        <v>Yes</v>
      </c>
      <c r="BX640" s="61">
        <f t="shared" si="1004"/>
        <v>1</v>
      </c>
      <c r="BY640" s="532" t="str">
        <f t="shared" si="1028"/>
        <v>Progression free survival</v>
      </c>
      <c r="BZ640" s="530" t="str">
        <f t="shared" si="1005"/>
        <v>Apply HR to</v>
      </c>
      <c r="CA640" s="531">
        <f t="shared" si="1024"/>
        <v>0</v>
      </c>
      <c r="CB640" s="530">
        <f t="shared" si="1006"/>
        <v>0</v>
      </c>
      <c r="CC640" s="530">
        <f t="shared" si="1007"/>
        <v>3</v>
      </c>
      <c r="CD640" s="530">
        <f t="shared" si="1008"/>
        <v>9</v>
      </c>
      <c r="CE640" s="1295">
        <f t="shared" si="1009"/>
        <v>2</v>
      </c>
      <c r="CF640" s="1301">
        <f t="shared" si="1010"/>
        <v>1</v>
      </c>
      <c r="CG640" s="530" t="str">
        <f t="shared" si="1011"/>
        <v/>
      </c>
      <c r="CH640" s="505">
        <f t="shared" si="1025"/>
        <v>1.7410000000000001</v>
      </c>
      <c r="CI640" s="505">
        <f t="shared" si="1026"/>
        <v>1.208</v>
      </c>
      <c r="CJ640" s="505">
        <f t="shared" si="1027"/>
        <v>2.5099999999999998</v>
      </c>
      <c r="DK640" s="58" t="str" cm="1">
        <f t="array" ref="DK640">IF(AND($BT640=4,$BX640=4,$BU640=999),$DB$36,_xlfn.IFNA(INDEX(DB$13:DB$70,MATCH(1,($BR640=$CV$13:$CV$70)*($BT640=$CX$13:$CX$70)*($CE640=$CY$13:$CY$70)*($BY640=$DA$13:$DA$70)*($CD640=$DH$13:$DH$70),0)),""))</f>
        <v/>
      </c>
      <c r="DL640" s="58" t="str" cm="1">
        <f t="array" ref="DL640">IF(AND($BT640=4,$BX640=4,$BU640=999),$DC$36,_xlfn.IFNA(INDEX(CHOOSE(DP640,DB$13:DB$70,DC$13:DC$70,DD$13:DD$70,DE$13:DE$70),MATCH(1,($BR640=$CV$13:$CV$70)*($BT640=$CX$13:$CX$70)*($CE640=$CY$13:$CY$70)*($BY640=$DA$13:$DA$70)*($CD640=$DH$13:$DH$70),0)),""))</f>
        <v/>
      </c>
      <c r="DM640" s="740" t="str" cm="1">
        <f t="array" ref="DM640">IF(AND($BT640=4,$BX640=4,$BU640=999),$DD$36,_xlfn.IFNA(INDEX(DD$13:DD$68,MATCH(1,($BR640=$CV$13:$CV$68)*($BT640=$CX$13:$CX$68)*($CE640=$CY$13:$CY$68)*($BY640=$DA$13:$DA$68)*($CD640=$DH$13:$DH$68),0)),""))</f>
        <v/>
      </c>
      <c r="DN640" s="740" t="str" cm="1">
        <f t="array" ref="DN640">IF(AND($BT640=4,$BX640=4,$BU640=999),$DD$36,_xlfn.IFNA(INDEX(DE$13:DE$68,MATCH(1,($BR640=$CV$13:$CV$68)*($BT640=$CX$13:$CX$68)*($CE640=$CY$13:$CY$68)*($BY640=$DA$13:$DA$68)*($CD640=$DH$13:$DH$68),0)),""))</f>
        <v/>
      </c>
      <c r="DO640" s="58" t="str" cm="1">
        <f t="array" ref="DO640">IF(AND($BT640=4,$BX640=4,$BU640=999),$DF$36,_xlfn.IFNA(INDEX(DF$13:DF$70,MATCH(1,($BR640=$CV$13:$CV$70)*($BT640=$CX$13:$CX$70)*($CE640=$CY$13:$CY$70)*($BY640=$DA$13:$DA$70)*($CD640=$DH$13:$DH$70),0)),""))</f>
        <v/>
      </c>
      <c r="DP640" s="58" t="e">
        <f t="shared" si="959"/>
        <v>#N/A</v>
      </c>
      <c r="DW640" s="58" t="s">
        <v>74</v>
      </c>
      <c r="DX640" s="58" t="s">
        <v>552</v>
      </c>
      <c r="DY640" s="58" t="s">
        <v>578</v>
      </c>
      <c r="DZ640" s="58">
        <v>0</v>
      </c>
      <c r="EB640" s="58">
        <v>0</v>
      </c>
      <c r="EC640" s="58">
        <v>3</v>
      </c>
      <c r="ED640" s="58">
        <v>9</v>
      </c>
      <c r="EE640" s="58">
        <v>2</v>
      </c>
      <c r="EF640" s="58">
        <v>1</v>
      </c>
      <c r="EI640" s="58" t="s">
        <v>74</v>
      </c>
      <c r="EJ640" s="58" t="s">
        <v>552</v>
      </c>
      <c r="EK640" s="58" t="s">
        <v>578</v>
      </c>
      <c r="EL640" s="58">
        <v>0</v>
      </c>
      <c r="EN640" s="58">
        <v>0</v>
      </c>
      <c r="EO640" s="58">
        <v>3</v>
      </c>
      <c r="EP640" s="58">
        <v>9</v>
      </c>
      <c r="EQ640" s="58">
        <v>1</v>
      </c>
      <c r="ER640" s="58">
        <v>1</v>
      </c>
      <c r="EU640" s="58" t="str">
        <f t="shared" si="1012"/>
        <v>Yes</v>
      </c>
      <c r="EV640" s="58" t="str">
        <f t="shared" si="1013"/>
        <v>Progression free survival</v>
      </c>
      <c r="EW640" s="58" t="str">
        <f t="shared" si="1014"/>
        <v>Apply HR to</v>
      </c>
      <c r="EX640" s="58">
        <f t="shared" si="1015"/>
        <v>0</v>
      </c>
      <c r="EZ640" s="58">
        <f t="shared" si="1016"/>
        <v>0</v>
      </c>
      <c r="FA640" s="58">
        <f t="shared" si="1017"/>
        <v>3</v>
      </c>
      <c r="FB640" s="58">
        <f>IF(i_eff_inputs_based_on_num=2,ED640,(INDEX(Lists!$L$51:$L$85,MATCH(BF283,Lists!$K$51:$K$85,0))))</f>
        <v>9</v>
      </c>
      <c r="FC640" s="58">
        <f>IF(i_eff_inputs_based_on_num=2,EE640,(INDEX(Lists!$L$51:$L$85,MATCH(BG283,Lists!$K$51:$K$85,0))))</f>
        <v>2</v>
      </c>
      <c r="FD640" s="58">
        <f>IF(i_eff_inputs_based_on_num=2,EF640,(INDEX(Lists!$L$51:$L$85,MATCH(BH283,Lists!$K$51:$K$85,0))))</f>
        <v>1</v>
      </c>
      <c r="FG640" s="58" t="str">
        <f t="shared" si="1018"/>
        <v>Yes</v>
      </c>
      <c r="FH640" s="58" t="str">
        <f t="shared" si="1019"/>
        <v>Progression free survival</v>
      </c>
      <c r="FI640" s="58" t="str">
        <f t="shared" si="1020"/>
        <v>Apply HR to</v>
      </c>
      <c r="FJ640" s="58">
        <f t="shared" si="1021"/>
        <v>0</v>
      </c>
      <c r="FL640" s="58">
        <f t="shared" si="1022"/>
        <v>0</v>
      </c>
      <c r="FM640" s="58">
        <f t="shared" si="1023"/>
        <v>3</v>
      </c>
      <c r="FN640" s="58">
        <f>IF(i_eff_inputs_based_on_num=2,EP640,(INDEX(Lists!$L$51:$L$85,MATCH(BF283,Lists!$K$51:$K$85,0))))</f>
        <v>9</v>
      </c>
      <c r="FO640" s="58">
        <f>IF(i_eff_inputs_based_on_num=2,EQ640,(INDEX(Lists!$L$51:$L$85,MATCH(BG283,Lists!$K$51:$K$85,0))))</f>
        <v>1</v>
      </c>
      <c r="FP640" s="58">
        <f>IF(i_eff_inputs_based_on_num=2,ER640,(INDEX(Lists!$L$51:$L$85,MATCH(BH283,Lists!$K$51:$K$85,0))))</f>
        <v>1</v>
      </c>
      <c r="FT640" s="58">
        <f t="shared" si="960"/>
        <v>0</v>
      </c>
      <c r="FW640" s="58" t="str">
        <f>IF(i_baseline_risk_from=2,'Effectiveness settings'!EW640,'Effectiveness settings'!FI640)</f>
        <v>Apply HR to</v>
      </c>
      <c r="FX640" s="58" t="str">
        <f t="shared" si="961"/>
        <v>Apply HR to</v>
      </c>
      <c r="FY640" s="58" t="str">
        <f t="shared" si="962"/>
        <v>Apply HR to</v>
      </c>
      <c r="FZ640" s="58" t="str">
        <f t="shared" si="963"/>
        <v>Apply HR to</v>
      </c>
      <c r="GA640" s="58" t="str">
        <f t="shared" si="964"/>
        <v>Apply HR to</v>
      </c>
      <c r="GB640" s="58" t="str">
        <f t="shared" si="965"/>
        <v>Apply HR to</v>
      </c>
      <c r="GC640" s="58" t="str">
        <f t="shared" si="966"/>
        <v>Apply HR to</v>
      </c>
      <c r="GD640" s="58" t="str">
        <f t="shared" si="967"/>
        <v>Apply HR to</v>
      </c>
      <c r="GE640" s="58" t="str">
        <f>IF(AND(dd_CheckMate214_TTD="Yes",'Effectiveness settings'!BU640=2,'Effectiveness settings'!BX640=2),"Apply HR to",GD640)</f>
        <v>Apply HR to</v>
      </c>
      <c r="GF640" s="58" t="str">
        <f t="shared" si="968"/>
        <v>Apply HR to</v>
      </c>
      <c r="GG640" s="58" t="str">
        <f t="shared" si="969"/>
        <v>Apply HR to</v>
      </c>
      <c r="GH640" s="58" t="str">
        <f t="shared" si="970"/>
        <v>Apply HR to</v>
      </c>
      <c r="GI640" s="58" t="str">
        <f t="shared" si="957"/>
        <v>Apply HR to</v>
      </c>
      <c r="GK640" s="58">
        <f>IF(i_baseline_risk_from=2,'Effectiveness settings'!FA640,'Effectiveness settings'!FM640)</f>
        <v>3</v>
      </c>
      <c r="GL640" s="58">
        <f>IF(i_baseline_risk_from=2,'Effectiveness settings'!FB640,'Effectiveness settings'!FN640)</f>
        <v>9</v>
      </c>
      <c r="GM640" s="58">
        <f>IF(i_baseline_risk_from=2,'Effectiveness settings'!FC640,'Effectiveness settings'!FO640)</f>
        <v>2</v>
      </c>
      <c r="GN640" s="58">
        <f>IF(i_baseline_risk_from=2,'Effectiveness settings'!FD640,'Effectiveness settings'!FP640)</f>
        <v>1</v>
      </c>
      <c r="GQ640" s="58">
        <f t="shared" si="971"/>
        <v>9</v>
      </c>
      <c r="GR640" s="58">
        <f t="shared" si="972"/>
        <v>9</v>
      </c>
      <c r="GS640" s="58">
        <f t="shared" si="973"/>
        <v>9</v>
      </c>
      <c r="GT640" s="58">
        <f t="shared" si="974"/>
        <v>9</v>
      </c>
      <c r="GU640" s="58">
        <f>IF(AND(dd_CheckMate214_TTD="Yes",'Effectiveness settings'!BU640=2,'Effectiveness settings'!BX640=2),2,GT640)</f>
        <v>9</v>
      </c>
      <c r="GV640" s="58">
        <f t="shared" si="975"/>
        <v>9</v>
      </c>
      <c r="GW640" s="58">
        <f t="shared" si="976"/>
        <v>9</v>
      </c>
      <c r="GY640" s="58">
        <f>IF(AND(dd_CheckMate214_TTD="Yes",'Effectiveness settings'!BU640=2,'Effectiveness settings'!BX640=2),1,GN640)</f>
        <v>1</v>
      </c>
      <c r="GZ640" s="58">
        <f t="shared" si="977"/>
        <v>1</v>
      </c>
      <c r="HB640" s="58">
        <f t="shared" si="978"/>
        <v>0</v>
      </c>
      <c r="HD640" s="58">
        <f t="shared" si="952"/>
        <v>0</v>
      </c>
      <c r="HE640" s="58">
        <f t="shared" si="953"/>
        <v>3</v>
      </c>
      <c r="HF640" s="58">
        <f t="shared" si="954"/>
        <v>9</v>
      </c>
      <c r="HG640" s="58">
        <f t="shared" si="955"/>
        <v>2</v>
      </c>
      <c r="HH640" s="58">
        <f t="shared" si="956"/>
        <v>1</v>
      </c>
    </row>
    <row r="641" spans="69:216" ht="15.75" x14ac:dyDescent="0.25">
      <c r="BQ641" s="58">
        <f t="shared" si="958"/>
        <v>375</v>
      </c>
      <c r="BR641" s="61">
        <v>0</v>
      </c>
      <c r="BS641" s="61" t="s">
        <v>31</v>
      </c>
      <c r="BT641" s="17">
        <v>4</v>
      </c>
      <c r="BU641" s="17">
        <v>10</v>
      </c>
      <c r="BV641" s="252" t="str">
        <f t="shared" si="1003"/>
        <v>everolimus</v>
      </c>
      <c r="BW641" s="1006" t="str" cm="1">
        <f t="array" ref="BW641">IF(AZ284="No",AZ284,INDEX(List_incl_anal_4L_all,IF(BU641=999,35,BU641+1)))</f>
        <v>Yes</v>
      </c>
      <c r="BX641" s="61">
        <f t="shared" si="1004"/>
        <v>1</v>
      </c>
      <c r="BY641" s="532" t="str">
        <f t="shared" si="1028"/>
        <v>Progression free survival</v>
      </c>
      <c r="BZ641" s="530" t="str">
        <f t="shared" si="1005"/>
        <v>Apply HR to</v>
      </c>
      <c r="CA641" s="531">
        <f t="shared" si="1024"/>
        <v>0</v>
      </c>
      <c r="CB641" s="530">
        <f t="shared" si="1006"/>
        <v>0</v>
      </c>
      <c r="CC641" s="530">
        <f t="shared" si="1007"/>
        <v>3</v>
      </c>
      <c r="CD641" s="530">
        <f t="shared" si="1008"/>
        <v>10</v>
      </c>
      <c r="CE641" s="1295">
        <f t="shared" si="1009"/>
        <v>2</v>
      </c>
      <c r="CF641" s="1301">
        <f t="shared" si="1010"/>
        <v>1</v>
      </c>
      <c r="CG641" s="530" t="str">
        <f t="shared" si="1011"/>
        <v/>
      </c>
      <c r="CH641" s="505">
        <f t="shared" si="1025"/>
        <v>1.7410000000000001</v>
      </c>
      <c r="CI641" s="505">
        <f t="shared" si="1026"/>
        <v>1.208</v>
      </c>
      <c r="CJ641" s="505">
        <f t="shared" si="1027"/>
        <v>2.5099999999999998</v>
      </c>
      <c r="DK641" s="58" t="str" cm="1">
        <f t="array" ref="DK641">IF(AND($BT641=4,$BX641=4,$BU641=999),$DB$36,_xlfn.IFNA(INDEX(DB$13:DB$70,MATCH(1,($BR641=$CV$13:$CV$70)*($BT641=$CX$13:$CX$70)*($CE641=$CY$13:$CY$70)*($BY641=$DA$13:$DA$70)*($CD641=$DH$13:$DH$70),0)),""))</f>
        <v/>
      </c>
      <c r="DL641" s="58" t="str" cm="1">
        <f t="array" ref="DL641">IF(AND($BT641=4,$BX641=4,$BU641=999),$DC$36,_xlfn.IFNA(INDEX(CHOOSE(DP641,DB$13:DB$70,DC$13:DC$70,DD$13:DD$70,DE$13:DE$70),MATCH(1,($BR641=$CV$13:$CV$70)*($BT641=$CX$13:$CX$70)*($CE641=$CY$13:$CY$70)*($BY641=$DA$13:$DA$70)*($CD641=$DH$13:$DH$70),0)),""))</f>
        <v/>
      </c>
      <c r="DM641" s="740" t="str" cm="1">
        <f t="array" ref="DM641">IF(AND($BT641=4,$BX641=4,$BU641=999),$DD$36,_xlfn.IFNA(INDEX(DD$13:DD$68,MATCH(1,($BR641=$CV$13:$CV$68)*($BT641=$CX$13:$CX$68)*($CE641=$CY$13:$CY$68)*($BY641=$DA$13:$DA$68)*($CD641=$DH$13:$DH$68),0)),""))</f>
        <v/>
      </c>
      <c r="DN641" s="740" t="str" cm="1">
        <f t="array" ref="DN641">IF(AND($BT641=4,$BX641=4,$BU641=999),$DD$36,_xlfn.IFNA(INDEX(DE$13:DE$68,MATCH(1,($BR641=$CV$13:$CV$68)*($BT641=$CX$13:$CX$68)*($CE641=$CY$13:$CY$68)*($BY641=$DA$13:$DA$68)*($CD641=$DH$13:$DH$68),0)),""))</f>
        <v/>
      </c>
      <c r="DO641" s="58" t="str" cm="1">
        <f t="array" ref="DO641">IF(AND($BT641=4,$BX641=4,$BU641=999),$DF$36,_xlfn.IFNA(INDEX(DF$13:DF$70,MATCH(1,($BR641=$CV$13:$CV$70)*($BT641=$CX$13:$CX$70)*($CE641=$CY$13:$CY$70)*($BY641=$DA$13:$DA$70)*($CD641=$DH$13:$DH$70),0)),""))</f>
        <v/>
      </c>
      <c r="DP641" s="58" t="e">
        <f t="shared" si="959"/>
        <v>#N/A</v>
      </c>
      <c r="DW641" s="58" t="s">
        <v>74</v>
      </c>
      <c r="DX641" s="58" t="s">
        <v>552</v>
      </c>
      <c r="DY641" s="58" t="s">
        <v>578</v>
      </c>
      <c r="DZ641" s="58">
        <v>0</v>
      </c>
      <c r="EB641" s="58">
        <v>0</v>
      </c>
      <c r="EC641" s="58">
        <v>3</v>
      </c>
      <c r="ED641" s="58">
        <v>10</v>
      </c>
      <c r="EE641" s="58">
        <v>2</v>
      </c>
      <c r="EF641" s="58">
        <v>1</v>
      </c>
      <c r="EI641" s="58" t="s">
        <v>74</v>
      </c>
      <c r="EJ641" s="58" t="s">
        <v>552</v>
      </c>
      <c r="EK641" s="58" t="s">
        <v>578</v>
      </c>
      <c r="EL641" s="58">
        <v>0</v>
      </c>
      <c r="EN641" s="58">
        <v>0</v>
      </c>
      <c r="EO641" s="58">
        <v>3</v>
      </c>
      <c r="EP641" s="58">
        <v>10</v>
      </c>
      <c r="EQ641" s="58">
        <v>1</v>
      </c>
      <c r="ER641" s="58">
        <v>1</v>
      </c>
      <c r="EU641" s="58" t="str">
        <f t="shared" si="1012"/>
        <v>Yes</v>
      </c>
      <c r="EV641" s="58" t="str">
        <f t="shared" si="1013"/>
        <v>Progression free survival</v>
      </c>
      <c r="EW641" s="58" t="str">
        <f t="shared" si="1014"/>
        <v>Apply HR to</v>
      </c>
      <c r="EX641" s="58">
        <f t="shared" si="1015"/>
        <v>0</v>
      </c>
      <c r="EZ641" s="58">
        <f t="shared" si="1016"/>
        <v>0</v>
      </c>
      <c r="FA641" s="58">
        <f t="shared" si="1017"/>
        <v>3</v>
      </c>
      <c r="FB641" s="58">
        <f>IF(i_eff_inputs_based_on_num=2,ED641,(INDEX(Lists!$L$51:$L$85,MATCH(BF284,Lists!$K$51:$K$85,0))))</f>
        <v>10</v>
      </c>
      <c r="FC641" s="58">
        <f>IF(i_eff_inputs_based_on_num=2,EE641,(INDEX(Lists!$L$51:$L$85,MATCH(BG284,Lists!$K$51:$K$85,0))))</f>
        <v>2</v>
      </c>
      <c r="FD641" s="58">
        <f>IF(i_eff_inputs_based_on_num=2,EF641,(INDEX(Lists!$L$51:$L$85,MATCH(BH284,Lists!$K$51:$K$85,0))))</f>
        <v>1</v>
      </c>
      <c r="FG641" s="58" t="str">
        <f t="shared" si="1018"/>
        <v>Yes</v>
      </c>
      <c r="FH641" s="58" t="str">
        <f t="shared" si="1019"/>
        <v>Progression free survival</v>
      </c>
      <c r="FI641" s="58" t="str">
        <f t="shared" si="1020"/>
        <v>Apply HR to</v>
      </c>
      <c r="FJ641" s="58">
        <f t="shared" si="1021"/>
        <v>0</v>
      </c>
      <c r="FL641" s="58">
        <f t="shared" si="1022"/>
        <v>0</v>
      </c>
      <c r="FM641" s="58">
        <f t="shared" si="1023"/>
        <v>3</v>
      </c>
      <c r="FN641" s="58">
        <f>IF(i_eff_inputs_based_on_num=2,EP641,(INDEX(Lists!$L$51:$L$85,MATCH(BF284,Lists!$K$51:$K$85,0))))</f>
        <v>10</v>
      </c>
      <c r="FO641" s="58">
        <f>IF(i_eff_inputs_based_on_num=2,EQ641,(INDEX(Lists!$L$51:$L$85,MATCH(BG284,Lists!$K$51:$K$85,0))))</f>
        <v>1</v>
      </c>
      <c r="FP641" s="58">
        <f>IF(i_eff_inputs_based_on_num=2,ER641,(INDEX(Lists!$L$51:$L$85,MATCH(BH284,Lists!$K$51:$K$85,0))))</f>
        <v>1</v>
      </c>
      <c r="FT641" s="58">
        <f t="shared" si="960"/>
        <v>0</v>
      </c>
      <c r="FW641" s="58" t="str">
        <f>IF(i_baseline_risk_from=2,'Effectiveness settings'!EW641,'Effectiveness settings'!FI641)</f>
        <v>Apply HR to</v>
      </c>
      <c r="FX641" s="58" t="str">
        <f t="shared" si="961"/>
        <v>Apply HR to</v>
      </c>
      <c r="FY641" s="58" t="str">
        <f t="shared" si="962"/>
        <v>Apply HR to</v>
      </c>
      <c r="FZ641" s="58" t="str">
        <f t="shared" si="963"/>
        <v>Apply HR to</v>
      </c>
      <c r="GA641" s="58" t="str">
        <f t="shared" si="964"/>
        <v>Apply HR to</v>
      </c>
      <c r="GB641" s="58" t="str">
        <f t="shared" si="965"/>
        <v>Apply HR to</v>
      </c>
      <c r="GC641" s="58" t="str">
        <f t="shared" si="966"/>
        <v>Apply HR to</v>
      </c>
      <c r="GD641" s="58" t="str">
        <f t="shared" si="967"/>
        <v>Apply HR to</v>
      </c>
      <c r="GE641" s="58" t="str">
        <f>IF(AND(dd_CheckMate214_TTD="Yes",'Effectiveness settings'!BU641=2,'Effectiveness settings'!BX641=2),"Apply HR to",GD641)</f>
        <v>Apply HR to</v>
      </c>
      <c r="GF641" s="58" t="str">
        <f t="shared" si="968"/>
        <v>Apply HR to</v>
      </c>
      <c r="GG641" s="58" t="str">
        <f t="shared" si="969"/>
        <v>Apply HR to</v>
      </c>
      <c r="GH641" s="58" t="str">
        <f t="shared" si="970"/>
        <v>Apply HR to</v>
      </c>
      <c r="GI641" s="58" t="str">
        <f t="shared" si="957"/>
        <v>Apply HR to</v>
      </c>
      <c r="GK641" s="58">
        <f>IF(i_baseline_risk_from=2,'Effectiveness settings'!FA641,'Effectiveness settings'!FM641)</f>
        <v>3</v>
      </c>
      <c r="GL641" s="58">
        <f>IF(i_baseline_risk_from=2,'Effectiveness settings'!FB641,'Effectiveness settings'!FN641)</f>
        <v>10</v>
      </c>
      <c r="GM641" s="58">
        <f>IF(i_baseline_risk_from=2,'Effectiveness settings'!FC641,'Effectiveness settings'!FO641)</f>
        <v>2</v>
      </c>
      <c r="GN641" s="58">
        <f>IF(i_baseline_risk_from=2,'Effectiveness settings'!FD641,'Effectiveness settings'!FP641)</f>
        <v>1</v>
      </c>
      <c r="GQ641" s="58">
        <f t="shared" si="971"/>
        <v>10</v>
      </c>
      <c r="GR641" s="58">
        <f t="shared" si="972"/>
        <v>10</v>
      </c>
      <c r="GS641" s="58">
        <f t="shared" si="973"/>
        <v>10</v>
      </c>
      <c r="GT641" s="58">
        <f t="shared" si="974"/>
        <v>10</v>
      </c>
      <c r="GU641" s="58">
        <f>IF(AND(dd_CheckMate214_TTD="Yes",'Effectiveness settings'!BU641=2,'Effectiveness settings'!BX641=2),2,GT641)</f>
        <v>10</v>
      </c>
      <c r="GV641" s="58">
        <f t="shared" si="975"/>
        <v>10</v>
      </c>
      <c r="GW641" s="58">
        <f t="shared" si="976"/>
        <v>10</v>
      </c>
      <c r="GY641" s="58">
        <f>IF(AND(dd_CheckMate214_TTD="Yes",'Effectiveness settings'!BU641=2,'Effectiveness settings'!BX641=2),1,GN641)</f>
        <v>1</v>
      </c>
      <c r="GZ641" s="58">
        <f t="shared" si="977"/>
        <v>1</v>
      </c>
      <c r="HB641" s="58">
        <f t="shared" si="978"/>
        <v>0</v>
      </c>
      <c r="HD641" s="58">
        <f t="shared" si="952"/>
        <v>0</v>
      </c>
      <c r="HE641" s="58">
        <f t="shared" si="953"/>
        <v>3</v>
      </c>
      <c r="HF641" s="58">
        <f t="shared" si="954"/>
        <v>10</v>
      </c>
      <c r="HG641" s="58">
        <f t="shared" si="955"/>
        <v>2</v>
      </c>
      <c r="HH641" s="58">
        <f t="shared" si="956"/>
        <v>1</v>
      </c>
    </row>
    <row r="642" spans="69:216" ht="15.75" x14ac:dyDescent="0.25">
      <c r="BQ642" s="58">
        <f t="shared" si="958"/>
        <v>376</v>
      </c>
      <c r="BR642" s="61">
        <v>0</v>
      </c>
      <c r="BS642" s="61" t="s">
        <v>31</v>
      </c>
      <c r="BT642" s="17">
        <v>4</v>
      </c>
      <c r="BU642" s="17">
        <v>11</v>
      </c>
      <c r="BV642" s="252" t="str">
        <f t="shared" si="1003"/>
        <v>axitinib</v>
      </c>
      <c r="BW642" s="1006" t="str" cm="1">
        <f t="array" ref="BW642">IF(AZ285="No",AZ285,INDEX(List_incl_anal_4L_all,IF(BU642=999,35,BU642+1)))</f>
        <v>Yes</v>
      </c>
      <c r="BX642" s="61">
        <f t="shared" si="1004"/>
        <v>1</v>
      </c>
      <c r="BY642" s="532" t="str">
        <f t="shared" si="1028"/>
        <v>Progression free survival</v>
      </c>
      <c r="BZ642" s="530" t="str">
        <f t="shared" si="1005"/>
        <v>Apply HR to</v>
      </c>
      <c r="CA642" s="531">
        <f t="shared" si="1024"/>
        <v>0</v>
      </c>
      <c r="CB642" s="530">
        <f t="shared" si="1006"/>
        <v>0</v>
      </c>
      <c r="CC642" s="530">
        <f t="shared" si="1007"/>
        <v>3</v>
      </c>
      <c r="CD642" s="530">
        <f t="shared" si="1008"/>
        <v>11</v>
      </c>
      <c r="CE642" s="1295">
        <f t="shared" si="1009"/>
        <v>2</v>
      </c>
      <c r="CF642" s="1301">
        <f t="shared" si="1010"/>
        <v>1</v>
      </c>
      <c r="CG642" s="530" t="str">
        <f t="shared" si="1011"/>
        <v/>
      </c>
      <c r="CH642" s="505">
        <f t="shared" si="1025"/>
        <v>1.7410000000000001</v>
      </c>
      <c r="CI642" s="505">
        <f t="shared" si="1026"/>
        <v>1.208</v>
      </c>
      <c r="CJ642" s="505">
        <f t="shared" si="1027"/>
        <v>2.5099999999999998</v>
      </c>
      <c r="DK642" s="58" t="str" cm="1">
        <f t="array" ref="DK642">IF(AND($BT642=4,$BX642=4,$BU642=999),$DB$36,_xlfn.IFNA(INDEX(DB$13:DB$70,MATCH(1,($BR642=$CV$13:$CV$70)*($BT642=$CX$13:$CX$70)*($CE642=$CY$13:$CY$70)*($BY642=$DA$13:$DA$70)*($CD642=$DH$13:$DH$70),0)),""))</f>
        <v/>
      </c>
      <c r="DL642" s="58" t="str" cm="1">
        <f t="array" ref="DL642">IF(AND($BT642=4,$BX642=4,$BU642=999),$DC$36,_xlfn.IFNA(INDEX(CHOOSE(DP642,DB$13:DB$70,DC$13:DC$70,DD$13:DD$70,DE$13:DE$70),MATCH(1,($BR642=$CV$13:$CV$70)*($BT642=$CX$13:$CX$70)*($CE642=$CY$13:$CY$70)*($BY642=$DA$13:$DA$70)*($CD642=$DH$13:$DH$70),0)),""))</f>
        <v/>
      </c>
      <c r="DM642" s="740" t="str" cm="1">
        <f t="array" ref="DM642">IF(AND($BT642=4,$BX642=4,$BU642=999),$DD$36,_xlfn.IFNA(INDEX(DD$13:DD$68,MATCH(1,($BR642=$CV$13:$CV$68)*($BT642=$CX$13:$CX$68)*($CE642=$CY$13:$CY$68)*($BY642=$DA$13:$DA$68)*($CD642=$DH$13:$DH$68),0)),""))</f>
        <v/>
      </c>
      <c r="DN642" s="740" t="str" cm="1">
        <f t="array" ref="DN642">IF(AND($BT642=4,$BX642=4,$BU642=999),$DD$36,_xlfn.IFNA(INDEX(DE$13:DE$68,MATCH(1,($BR642=$CV$13:$CV$68)*($BT642=$CX$13:$CX$68)*($CE642=$CY$13:$CY$68)*($BY642=$DA$13:$DA$68)*($CD642=$DH$13:$DH$68),0)),""))</f>
        <v/>
      </c>
      <c r="DO642" s="58" t="str" cm="1">
        <f t="array" ref="DO642">IF(AND($BT642=4,$BX642=4,$BU642=999),$DF$36,_xlfn.IFNA(INDEX(DF$13:DF$70,MATCH(1,($BR642=$CV$13:$CV$70)*($BT642=$CX$13:$CX$70)*($CE642=$CY$13:$CY$70)*($BY642=$DA$13:$DA$70)*($CD642=$DH$13:$DH$70),0)),""))</f>
        <v/>
      </c>
      <c r="DP642" s="58" t="e">
        <f t="shared" si="959"/>
        <v>#N/A</v>
      </c>
      <c r="DW642" s="58" t="s">
        <v>74</v>
      </c>
      <c r="DX642" s="58" t="s">
        <v>552</v>
      </c>
      <c r="DY642" s="58" t="s">
        <v>578</v>
      </c>
      <c r="DZ642" s="58">
        <v>0</v>
      </c>
      <c r="EB642" s="58">
        <v>0</v>
      </c>
      <c r="EC642" s="58">
        <v>3</v>
      </c>
      <c r="ED642" s="58">
        <v>11</v>
      </c>
      <c r="EE642" s="58">
        <v>2</v>
      </c>
      <c r="EF642" s="58">
        <v>1</v>
      </c>
      <c r="EI642" s="58" t="s">
        <v>74</v>
      </c>
      <c r="EJ642" s="58" t="s">
        <v>552</v>
      </c>
      <c r="EK642" s="58" t="s">
        <v>578</v>
      </c>
      <c r="EL642" s="58">
        <v>0</v>
      </c>
      <c r="EN642" s="58">
        <v>0</v>
      </c>
      <c r="EO642" s="58">
        <v>3</v>
      </c>
      <c r="EP642" s="58">
        <v>11</v>
      </c>
      <c r="EQ642" s="58">
        <v>1</v>
      </c>
      <c r="ER642" s="58">
        <v>1</v>
      </c>
      <c r="EU642" s="58" t="str">
        <f t="shared" si="1012"/>
        <v>Yes</v>
      </c>
      <c r="EV642" s="58" t="str">
        <f t="shared" si="1013"/>
        <v>Progression free survival</v>
      </c>
      <c r="EW642" s="58" t="str">
        <f t="shared" si="1014"/>
        <v>Apply HR to</v>
      </c>
      <c r="EX642" s="58">
        <f t="shared" si="1015"/>
        <v>0</v>
      </c>
      <c r="EZ642" s="58">
        <f t="shared" si="1016"/>
        <v>0</v>
      </c>
      <c r="FA642" s="58">
        <f t="shared" si="1017"/>
        <v>3</v>
      </c>
      <c r="FB642" s="58">
        <f>IF(i_eff_inputs_based_on_num=2,ED642,(INDEX(Lists!$L$51:$L$85,MATCH(BF285,Lists!$K$51:$K$85,0))))</f>
        <v>11</v>
      </c>
      <c r="FC642" s="58">
        <f>IF(i_eff_inputs_based_on_num=2,EE642,(INDEX(Lists!$L$51:$L$85,MATCH(BG285,Lists!$K$51:$K$85,0))))</f>
        <v>2</v>
      </c>
      <c r="FD642" s="58">
        <f>IF(i_eff_inputs_based_on_num=2,EF642,(INDEX(Lists!$L$51:$L$85,MATCH(BH285,Lists!$K$51:$K$85,0))))</f>
        <v>1</v>
      </c>
      <c r="FG642" s="58" t="str">
        <f t="shared" si="1018"/>
        <v>Yes</v>
      </c>
      <c r="FH642" s="58" t="str">
        <f t="shared" si="1019"/>
        <v>Progression free survival</v>
      </c>
      <c r="FI642" s="58" t="str">
        <f t="shared" si="1020"/>
        <v>Apply HR to</v>
      </c>
      <c r="FJ642" s="58">
        <f t="shared" si="1021"/>
        <v>0</v>
      </c>
      <c r="FL642" s="58">
        <f t="shared" si="1022"/>
        <v>0</v>
      </c>
      <c r="FM642" s="58">
        <f t="shared" si="1023"/>
        <v>3</v>
      </c>
      <c r="FN642" s="58">
        <f>IF(i_eff_inputs_based_on_num=2,EP642,(INDEX(Lists!$L$51:$L$85,MATCH(BF285,Lists!$K$51:$K$85,0))))</f>
        <v>11</v>
      </c>
      <c r="FO642" s="58">
        <f>IF(i_eff_inputs_based_on_num=2,EQ642,(INDEX(Lists!$L$51:$L$85,MATCH(BG285,Lists!$K$51:$K$85,0))))</f>
        <v>1</v>
      </c>
      <c r="FP642" s="58">
        <f>IF(i_eff_inputs_based_on_num=2,ER642,(INDEX(Lists!$L$51:$L$85,MATCH(BH285,Lists!$K$51:$K$85,0))))</f>
        <v>1</v>
      </c>
      <c r="FT642" s="58">
        <f t="shared" si="960"/>
        <v>0</v>
      </c>
      <c r="FW642" s="58" t="str">
        <f>IF(i_baseline_risk_from=2,'Effectiveness settings'!EW642,'Effectiveness settings'!FI642)</f>
        <v>Apply HR to</v>
      </c>
      <c r="FX642" s="58" t="str">
        <f t="shared" si="961"/>
        <v>Apply HR to</v>
      </c>
      <c r="FY642" s="58" t="str">
        <f t="shared" si="962"/>
        <v>Apply HR to</v>
      </c>
      <c r="FZ642" s="58" t="str">
        <f t="shared" si="963"/>
        <v>Apply HR to</v>
      </c>
      <c r="GA642" s="58" t="str">
        <f t="shared" si="964"/>
        <v>Apply HR to</v>
      </c>
      <c r="GB642" s="58" t="str">
        <f t="shared" si="965"/>
        <v>Apply HR to</v>
      </c>
      <c r="GC642" s="58" t="str">
        <f t="shared" si="966"/>
        <v>Apply HR to</v>
      </c>
      <c r="GD642" s="58" t="str">
        <f t="shared" si="967"/>
        <v>Apply HR to</v>
      </c>
      <c r="GE642" s="58" t="str">
        <f>IF(AND(dd_CheckMate214_TTD="Yes",'Effectiveness settings'!BU642=2,'Effectiveness settings'!BX642=2),"Apply HR to",GD642)</f>
        <v>Apply HR to</v>
      </c>
      <c r="GF642" s="58" t="str">
        <f t="shared" si="968"/>
        <v>Apply HR to</v>
      </c>
      <c r="GG642" s="58" t="str">
        <f t="shared" si="969"/>
        <v>Apply HR to</v>
      </c>
      <c r="GH642" s="58" t="str">
        <f t="shared" si="970"/>
        <v>Apply HR to</v>
      </c>
      <c r="GI642" s="58" t="str">
        <f t="shared" si="957"/>
        <v>Apply HR to</v>
      </c>
      <c r="GK642" s="58">
        <f>IF(i_baseline_risk_from=2,'Effectiveness settings'!FA642,'Effectiveness settings'!FM642)</f>
        <v>3</v>
      </c>
      <c r="GL642" s="58">
        <f>IF(i_baseline_risk_from=2,'Effectiveness settings'!FB642,'Effectiveness settings'!FN642)</f>
        <v>11</v>
      </c>
      <c r="GM642" s="58">
        <f>IF(i_baseline_risk_from=2,'Effectiveness settings'!FC642,'Effectiveness settings'!FO642)</f>
        <v>2</v>
      </c>
      <c r="GN642" s="58">
        <f>IF(i_baseline_risk_from=2,'Effectiveness settings'!FD642,'Effectiveness settings'!FP642)</f>
        <v>1</v>
      </c>
      <c r="GQ642" s="58">
        <f t="shared" si="971"/>
        <v>11</v>
      </c>
      <c r="GR642" s="58">
        <f t="shared" si="972"/>
        <v>11</v>
      </c>
      <c r="GS642" s="58">
        <f t="shared" si="973"/>
        <v>11</v>
      </c>
      <c r="GT642" s="58">
        <f t="shared" si="974"/>
        <v>11</v>
      </c>
      <c r="GU642" s="58">
        <f>IF(AND(dd_CheckMate214_TTD="Yes",'Effectiveness settings'!BU642=2,'Effectiveness settings'!BX642=2),2,GT642)</f>
        <v>11</v>
      </c>
      <c r="GV642" s="58">
        <f t="shared" si="975"/>
        <v>11</v>
      </c>
      <c r="GW642" s="58">
        <f t="shared" si="976"/>
        <v>11</v>
      </c>
      <c r="GY642" s="58">
        <f>IF(AND(dd_CheckMate214_TTD="Yes",'Effectiveness settings'!BU642=2,'Effectiveness settings'!BX642=2),1,GN642)</f>
        <v>1</v>
      </c>
      <c r="GZ642" s="58">
        <f t="shared" si="977"/>
        <v>1</v>
      </c>
      <c r="HB642" s="58">
        <f t="shared" si="978"/>
        <v>0</v>
      </c>
      <c r="HD642" s="58">
        <f t="shared" ref="HD642:HD689" si="1029">HB642</f>
        <v>0</v>
      </c>
      <c r="HE642" s="58">
        <f t="shared" ref="HE642:HE689" si="1030">GK642</f>
        <v>3</v>
      </c>
      <c r="HF642" s="58">
        <f t="shared" ref="HF642:HF689" si="1031">GW642</f>
        <v>11</v>
      </c>
      <c r="HG642" s="58">
        <f t="shared" ref="HG642:HG689" si="1032">GM642</f>
        <v>2</v>
      </c>
      <c r="HH642" s="58">
        <f t="shared" ref="HH642:HH689" si="1033">GZ642</f>
        <v>1</v>
      </c>
    </row>
    <row r="643" spans="69:216" ht="15.75" x14ac:dyDescent="0.25">
      <c r="BQ643" s="58">
        <f t="shared" si="958"/>
        <v>377</v>
      </c>
      <c r="BR643" s="61">
        <v>0</v>
      </c>
      <c r="BS643" s="61" t="s">
        <v>31</v>
      </c>
      <c r="BT643" s="17">
        <v>4</v>
      </c>
      <c r="BU643" s="17">
        <v>12</v>
      </c>
      <c r="BV643" s="252" t="str">
        <f t="shared" si="1003"/>
        <v>sorafenib</v>
      </c>
      <c r="BW643" s="1006" t="str" cm="1">
        <f t="array" ref="BW643">IF(AZ286="No",AZ286,INDEX(List_incl_anal_4L_all,IF(BU643=999,35,BU643+1)))</f>
        <v>No</v>
      </c>
      <c r="BX643" s="61">
        <f t="shared" si="1004"/>
        <v>1</v>
      </c>
      <c r="BY643" s="532" t="str">
        <f t="shared" si="1028"/>
        <v>Progression free survival</v>
      </c>
      <c r="BZ643" s="530">
        <f t="shared" si="1005"/>
        <v>0</v>
      </c>
      <c r="CA643" s="531">
        <f t="shared" si="1024"/>
        <v>0</v>
      </c>
      <c r="CB643" s="530">
        <f t="shared" si="1006"/>
        <v>0</v>
      </c>
      <c r="CC643" s="530">
        <f t="shared" si="1007"/>
        <v>3</v>
      </c>
      <c r="CD643" s="530">
        <f t="shared" si="1008"/>
        <v>12</v>
      </c>
      <c r="CE643" s="1295">
        <f t="shared" si="1009"/>
        <v>2</v>
      </c>
      <c r="CF643" s="1301">
        <f t="shared" si="1010"/>
        <v>1</v>
      </c>
      <c r="CG643" s="530" t="str">
        <f t="shared" si="1011"/>
        <v/>
      </c>
      <c r="CH643" s="505">
        <f t="shared" si="1025"/>
        <v>1</v>
      </c>
      <c r="CI643" s="505">
        <f t="shared" si="1026"/>
        <v>0</v>
      </c>
      <c r="CJ643" s="505">
        <f t="shared" si="1027"/>
        <v>0</v>
      </c>
      <c r="DK643" s="58" t="str" cm="1">
        <f t="array" ref="DK643">IF(AND($BT643=4,$BX643=4,$BU643=999),$DB$36,_xlfn.IFNA(INDEX(DB$13:DB$70,MATCH(1,($BR643=$CV$13:$CV$70)*($BT643=$CX$13:$CX$70)*($CE643=$CY$13:$CY$70)*($BY643=$DA$13:$DA$70)*($CD643=$DH$13:$DH$70),0)),""))</f>
        <v/>
      </c>
      <c r="DL643" s="58" t="str" cm="1">
        <f t="array" ref="DL643">IF(AND($BT643=4,$BX643=4,$BU643=999),$DC$36,_xlfn.IFNA(INDEX(CHOOSE(DP643,DB$13:DB$70,DC$13:DC$70,DD$13:DD$70,DE$13:DE$70),MATCH(1,($BR643=$CV$13:$CV$70)*($BT643=$CX$13:$CX$70)*($CE643=$CY$13:$CY$70)*($BY643=$DA$13:$DA$70)*($CD643=$DH$13:$DH$70),0)),""))</f>
        <v/>
      </c>
      <c r="DM643" s="740" t="str" cm="1">
        <f t="array" ref="DM643">IF(AND($BT643=4,$BX643=4,$BU643=999),$DD$36,_xlfn.IFNA(INDEX(DD$13:DD$68,MATCH(1,($BR643=$CV$13:$CV$68)*($BT643=$CX$13:$CX$68)*($CE643=$CY$13:$CY$68)*($BY643=$DA$13:$DA$68)*($CD643=$DH$13:$DH$68),0)),""))</f>
        <v/>
      </c>
      <c r="DN643" s="740" t="str" cm="1">
        <f t="array" ref="DN643">IF(AND($BT643=4,$BX643=4,$BU643=999),$DD$36,_xlfn.IFNA(INDEX(DE$13:DE$68,MATCH(1,($BR643=$CV$13:$CV$68)*($BT643=$CX$13:$CX$68)*($CE643=$CY$13:$CY$68)*($BY643=$DA$13:$DA$68)*($CD643=$DH$13:$DH$68),0)),""))</f>
        <v/>
      </c>
      <c r="DO643" s="58" t="str" cm="1">
        <f t="array" ref="DO643">IF(AND($BT643=4,$BX643=4,$BU643=999),$DF$36,_xlfn.IFNA(INDEX(DF$13:DF$70,MATCH(1,($BR643=$CV$13:$CV$70)*($BT643=$CX$13:$CX$70)*($CE643=$CY$13:$CY$70)*($BY643=$DA$13:$DA$70)*($CD643=$DH$13:$DH$70),0)),""))</f>
        <v/>
      </c>
      <c r="DP643" s="58" t="e">
        <f t="shared" si="959"/>
        <v>#N/A</v>
      </c>
      <c r="DW643" s="58" t="s">
        <v>58</v>
      </c>
      <c r="DX643" s="58" t="s">
        <v>552</v>
      </c>
      <c r="DY643" s="58">
        <v>0</v>
      </c>
      <c r="DZ643" s="58">
        <v>0</v>
      </c>
      <c r="EB643" s="58">
        <v>0</v>
      </c>
      <c r="EC643" s="58">
        <v>3</v>
      </c>
      <c r="ED643" s="58">
        <v>12</v>
      </c>
      <c r="EE643" s="58">
        <v>2</v>
      </c>
      <c r="EF643" s="58">
        <v>1</v>
      </c>
      <c r="EI643" s="58" t="s">
        <v>58</v>
      </c>
      <c r="EJ643" s="58" t="s">
        <v>552</v>
      </c>
      <c r="EK643" s="58">
        <v>0</v>
      </c>
      <c r="EL643" s="58">
        <v>0</v>
      </c>
      <c r="EN643" s="58">
        <v>0</v>
      </c>
      <c r="EO643" s="58">
        <v>3</v>
      </c>
      <c r="EP643" s="58">
        <v>12</v>
      </c>
      <c r="EQ643" s="58">
        <v>1</v>
      </c>
      <c r="ER643" s="58">
        <v>1</v>
      </c>
      <c r="EU643" s="58" t="str">
        <f t="shared" si="1012"/>
        <v>No</v>
      </c>
      <c r="EV643" s="58" t="str">
        <f t="shared" si="1013"/>
        <v>Progression free survival</v>
      </c>
      <c r="EW643" s="58">
        <f t="shared" si="1014"/>
        <v>0</v>
      </c>
      <c r="EX643" s="58">
        <f t="shared" si="1015"/>
        <v>0</v>
      </c>
      <c r="EZ643" s="58">
        <f t="shared" si="1016"/>
        <v>0</v>
      </c>
      <c r="FA643" s="58">
        <f t="shared" si="1017"/>
        <v>3</v>
      </c>
      <c r="FB643" s="58">
        <f>IF(i_eff_inputs_based_on_num=2,ED643,(INDEX(Lists!$L$51:$L$85,MATCH(BF286,Lists!$K$51:$K$85,0))))</f>
        <v>12</v>
      </c>
      <c r="FC643" s="58">
        <f>IF(i_eff_inputs_based_on_num=2,EE643,(INDEX(Lists!$L$51:$L$85,MATCH(BG286,Lists!$K$51:$K$85,0))))</f>
        <v>2</v>
      </c>
      <c r="FD643" s="58">
        <f>IF(i_eff_inputs_based_on_num=2,EF643,(INDEX(Lists!$L$51:$L$85,MATCH(BH286,Lists!$K$51:$K$85,0))))</f>
        <v>1</v>
      </c>
      <c r="FG643" s="58" t="str">
        <f t="shared" si="1018"/>
        <v>No</v>
      </c>
      <c r="FH643" s="58" t="str">
        <f t="shared" si="1019"/>
        <v>Progression free survival</v>
      </c>
      <c r="FI643" s="58">
        <f t="shared" si="1020"/>
        <v>0</v>
      </c>
      <c r="FJ643" s="58">
        <f t="shared" si="1021"/>
        <v>0</v>
      </c>
      <c r="FL643" s="58">
        <f t="shared" si="1022"/>
        <v>0</v>
      </c>
      <c r="FM643" s="58">
        <f t="shared" si="1023"/>
        <v>3</v>
      </c>
      <c r="FN643" s="58">
        <f>IF(i_eff_inputs_based_on_num=2,EP643,(INDEX(Lists!$L$51:$L$85,MATCH(BF286,Lists!$K$51:$K$85,0))))</f>
        <v>12</v>
      </c>
      <c r="FO643" s="58">
        <f>IF(i_eff_inputs_based_on_num=2,EQ643,(INDEX(Lists!$L$51:$L$85,MATCH(BG286,Lists!$K$51:$K$85,0))))</f>
        <v>1</v>
      </c>
      <c r="FP643" s="58">
        <f>IF(i_eff_inputs_based_on_num=2,ER643,(INDEX(Lists!$L$51:$L$85,MATCH(BH286,Lists!$K$51:$K$85,0))))</f>
        <v>1</v>
      </c>
      <c r="FT643" s="58">
        <f t="shared" si="960"/>
        <v>0</v>
      </c>
      <c r="FW643" s="58">
        <f>IF(i_baseline_risk_from=2,'Effectiveness settings'!EW643,'Effectiveness settings'!FI643)</f>
        <v>0</v>
      </c>
      <c r="FX643" s="58">
        <f t="shared" si="961"/>
        <v>0</v>
      </c>
      <c r="FY643" s="58">
        <f t="shared" si="962"/>
        <v>0</v>
      </c>
      <c r="FZ643" s="58">
        <f t="shared" si="963"/>
        <v>0</v>
      </c>
      <c r="GA643" s="58">
        <f t="shared" si="964"/>
        <v>0</v>
      </c>
      <c r="GB643" s="58">
        <f t="shared" si="965"/>
        <v>0</v>
      </c>
      <c r="GC643" s="58">
        <f t="shared" si="966"/>
        <v>0</v>
      </c>
      <c r="GD643" s="58">
        <f t="shared" si="967"/>
        <v>0</v>
      </c>
      <c r="GE643" s="58">
        <f>IF(AND(dd_CheckMate214_TTD="Yes",'Effectiveness settings'!BU643=2,'Effectiveness settings'!BX643=2),"Apply HR to",GD643)</f>
        <v>0</v>
      </c>
      <c r="GF643" s="58">
        <f t="shared" si="968"/>
        <v>0</v>
      </c>
      <c r="GG643" s="58">
        <f t="shared" si="969"/>
        <v>0</v>
      </c>
      <c r="GH643" s="58">
        <f t="shared" si="970"/>
        <v>0</v>
      </c>
      <c r="GI643" s="58">
        <f t="shared" ref="GI643:GI689" si="1034">GH643</f>
        <v>0</v>
      </c>
      <c r="GK643" s="58">
        <f>IF(i_baseline_risk_from=2,'Effectiveness settings'!FA643,'Effectiveness settings'!FM643)</f>
        <v>3</v>
      </c>
      <c r="GL643" s="58">
        <f>IF(i_baseline_risk_from=2,'Effectiveness settings'!FB643,'Effectiveness settings'!FN643)</f>
        <v>12</v>
      </c>
      <c r="GM643" s="58">
        <f>IF(i_baseline_risk_from=2,'Effectiveness settings'!FC643,'Effectiveness settings'!FO643)</f>
        <v>2</v>
      </c>
      <c r="GN643" s="58">
        <f>IF(i_baseline_risk_from=2,'Effectiveness settings'!FD643,'Effectiveness settings'!FP643)</f>
        <v>1</v>
      </c>
      <c r="GQ643" s="58">
        <f t="shared" si="971"/>
        <v>12</v>
      </c>
      <c r="GR643" s="58">
        <f t="shared" si="972"/>
        <v>12</v>
      </c>
      <c r="GS643" s="58">
        <f t="shared" si="973"/>
        <v>12</v>
      </c>
      <c r="GT643" s="58">
        <f t="shared" si="974"/>
        <v>12</v>
      </c>
      <c r="GU643" s="58">
        <f>IF(AND(dd_CheckMate214_TTD="Yes",'Effectiveness settings'!BU643=2,'Effectiveness settings'!BX643=2),2,GT643)</f>
        <v>12</v>
      </c>
      <c r="GV643" s="58">
        <f t="shared" si="975"/>
        <v>12</v>
      </c>
      <c r="GW643" s="58">
        <f t="shared" si="976"/>
        <v>12</v>
      </c>
      <c r="GY643" s="58">
        <f>IF(AND(dd_CheckMate214_TTD="Yes",'Effectiveness settings'!BU643=2,'Effectiveness settings'!BX643=2),1,GN643)</f>
        <v>1</v>
      </c>
      <c r="GZ643" s="58">
        <f t="shared" si="977"/>
        <v>1</v>
      </c>
      <c r="HB643" s="58">
        <f t="shared" si="978"/>
        <v>0</v>
      </c>
      <c r="HD643" s="58">
        <f t="shared" si="1029"/>
        <v>0</v>
      </c>
      <c r="HE643" s="58">
        <f t="shared" si="1030"/>
        <v>3</v>
      </c>
      <c r="HF643" s="58">
        <f t="shared" si="1031"/>
        <v>12</v>
      </c>
      <c r="HG643" s="58">
        <f t="shared" si="1032"/>
        <v>2</v>
      </c>
      <c r="HH643" s="58">
        <f t="shared" si="1033"/>
        <v>1</v>
      </c>
    </row>
    <row r="644" spans="69:216" ht="15.75" x14ac:dyDescent="0.25">
      <c r="BQ644" s="58">
        <f t="shared" si="958"/>
        <v>378</v>
      </c>
      <c r="BR644" s="61">
        <v>0</v>
      </c>
      <c r="BS644" s="61" t="s">
        <v>31</v>
      </c>
      <c r="BT644" s="17">
        <v>4</v>
      </c>
      <c r="BU644" s="17">
        <v>999</v>
      </c>
      <c r="BV644" s="252" t="str">
        <f t="shared" si="1003"/>
        <v>placebo_BSC</v>
      </c>
      <c r="BW644" s="1006" t="str" cm="1">
        <f t="array" ref="BW644">IF(AZ287="No",AZ287,INDEX(List_incl_anal_4L_all,IF(BU644=999,35,BU644+1)))</f>
        <v>No</v>
      </c>
      <c r="BX644" s="61">
        <f t="shared" si="1004"/>
        <v>1</v>
      </c>
      <c r="BY644" s="532" t="str">
        <f t="shared" si="1028"/>
        <v>Progression free survival</v>
      </c>
      <c r="BZ644" s="530">
        <f t="shared" si="1005"/>
        <v>0</v>
      </c>
      <c r="CA644" s="531">
        <f t="shared" si="1024"/>
        <v>0</v>
      </c>
      <c r="CB644" s="530">
        <f t="shared" si="1006"/>
        <v>0</v>
      </c>
      <c r="CC644" s="530">
        <f t="shared" si="1007"/>
        <v>4</v>
      </c>
      <c r="CD644" s="530">
        <f t="shared" si="1008"/>
        <v>999</v>
      </c>
      <c r="CE644" s="1295">
        <f t="shared" si="1009"/>
        <v>2</v>
      </c>
      <c r="CF644" s="1301">
        <f t="shared" si="1010"/>
        <v>4</v>
      </c>
      <c r="CG644" s="530" t="str">
        <f t="shared" si="1011"/>
        <v/>
      </c>
      <c r="CH644" s="505">
        <f t="shared" si="1025"/>
        <v>1</v>
      </c>
      <c r="CI644" s="505">
        <f t="shared" si="1026"/>
        <v>0</v>
      </c>
      <c r="CJ644" s="505">
        <f t="shared" si="1027"/>
        <v>0</v>
      </c>
      <c r="DK644" s="58" t="str" cm="1">
        <f t="array" ref="DK644">IF(AND($BT644=4,$BX644=4,$BU644=999),$DB$36,_xlfn.IFNA(INDEX(DB$13:DB$70,MATCH(1,($BR644=$CV$13:$CV$70)*($BT644=$CX$13:$CX$70)*($CE644=$CY$13:$CY$70)*($BY644=$DA$13:$DA$70)*($CD644=$DH$13:$DH$70),0)),""))</f>
        <v/>
      </c>
      <c r="DL644" s="58" t="str" cm="1">
        <f t="array" ref="DL644">IF(AND($BT644=4,$BX644=4,$BU644=999),$DC$36,_xlfn.IFNA(INDEX(CHOOSE(DP644,DB$13:DB$70,DC$13:DC$70,DD$13:DD$70,DE$13:DE$70),MATCH(1,($BR644=$CV$13:$CV$70)*($BT644=$CX$13:$CX$70)*($CE644=$CY$13:$CY$70)*($BY644=$DA$13:$DA$70)*($CD644=$DH$13:$DH$70),0)),""))</f>
        <v/>
      </c>
      <c r="DM644" s="740" t="str" cm="1">
        <f t="array" ref="DM644">IF(AND($BT644=4,$BX644=4,$BU644=999),$DD$36,_xlfn.IFNA(INDEX(DD$13:DD$68,MATCH(1,($BR644=$CV$13:$CV$68)*($BT644=$CX$13:$CX$68)*($CE644=$CY$13:$CY$68)*($BY644=$DA$13:$DA$68)*($CD644=$DH$13:$DH$68),0)),""))</f>
        <v/>
      </c>
      <c r="DN644" s="740" t="str" cm="1">
        <f t="array" ref="DN644">IF(AND($BT644=4,$BX644=4,$BU644=999),$DD$36,_xlfn.IFNA(INDEX(DE$13:DE$68,MATCH(1,($BR644=$CV$13:$CV$68)*($BT644=$CX$13:$CX$68)*($CE644=$CY$13:$CY$68)*($BY644=$DA$13:$DA$68)*($CD644=$DH$13:$DH$68),0)),""))</f>
        <v/>
      </c>
      <c r="DO644" s="58" t="str" cm="1">
        <f t="array" ref="DO644">IF(AND($BT644=4,$BX644=4,$BU644=999),$DF$36,_xlfn.IFNA(INDEX(DF$13:DF$70,MATCH(1,($BR644=$CV$13:$CV$70)*($BT644=$CX$13:$CX$70)*($CE644=$CY$13:$CY$70)*($BY644=$DA$13:$DA$70)*($CD644=$DH$13:$DH$70),0)),""))</f>
        <v/>
      </c>
      <c r="DP644" s="58" t="e">
        <f t="shared" si="959"/>
        <v>#N/A</v>
      </c>
      <c r="DW644" s="58" t="s">
        <v>58</v>
      </c>
      <c r="DX644" s="58" t="s">
        <v>552</v>
      </c>
      <c r="DY644" s="58">
        <v>0</v>
      </c>
      <c r="DZ644" s="58">
        <v>0</v>
      </c>
      <c r="EB644" s="58">
        <v>0</v>
      </c>
      <c r="EC644" s="58">
        <v>4</v>
      </c>
      <c r="ED644" s="58">
        <v>999</v>
      </c>
      <c r="EE644" s="58">
        <v>2</v>
      </c>
      <c r="EF644" s="58">
        <v>4</v>
      </c>
      <c r="EI644" s="58" t="s">
        <v>58</v>
      </c>
      <c r="EJ644" s="58" t="s">
        <v>552</v>
      </c>
      <c r="EK644" s="58">
        <v>0</v>
      </c>
      <c r="EL644" s="58">
        <v>0</v>
      </c>
      <c r="EN644" s="58">
        <v>0</v>
      </c>
      <c r="EO644" s="58">
        <v>4</v>
      </c>
      <c r="EP644" s="58">
        <v>999</v>
      </c>
      <c r="EQ644" s="58">
        <v>2</v>
      </c>
      <c r="ER644" s="58">
        <v>4</v>
      </c>
      <c r="EU644" s="58" t="str">
        <f t="shared" si="1012"/>
        <v>No</v>
      </c>
      <c r="EV644" s="58" t="str">
        <f t="shared" si="1013"/>
        <v>Progression free survival</v>
      </c>
      <c r="EW644" s="58">
        <f t="shared" si="1014"/>
        <v>0</v>
      </c>
      <c r="EX644" s="58">
        <f t="shared" si="1015"/>
        <v>0</v>
      </c>
      <c r="EZ644" s="58">
        <f t="shared" si="1016"/>
        <v>0</v>
      </c>
      <c r="FA644" s="58">
        <f t="shared" si="1017"/>
        <v>4</v>
      </c>
      <c r="FB644" s="58">
        <f>IF(i_eff_inputs_based_on_num=2,ED644,(INDEX(Lists!$L$51:$L$85,MATCH(BF287,Lists!$K$51:$K$85,0))))</f>
        <v>999</v>
      </c>
      <c r="FC644" s="58">
        <f>IF(i_eff_inputs_based_on_num=2,EE644,(INDEX(Lists!$L$51:$L$85,MATCH(BG287,Lists!$K$51:$K$85,0))))</f>
        <v>2</v>
      </c>
      <c r="FD644" s="58">
        <f>IF(i_eff_inputs_based_on_num=2,EF644,(INDEX(Lists!$L$51:$L$85,MATCH(BH287,Lists!$K$51:$K$85,0))))</f>
        <v>4</v>
      </c>
      <c r="FG644" s="58" t="str">
        <f t="shared" si="1018"/>
        <v>No</v>
      </c>
      <c r="FH644" s="58" t="str">
        <f t="shared" si="1019"/>
        <v>Progression free survival</v>
      </c>
      <c r="FI644" s="58">
        <f t="shared" si="1020"/>
        <v>0</v>
      </c>
      <c r="FJ644" s="58">
        <f t="shared" si="1021"/>
        <v>0</v>
      </c>
      <c r="FL644" s="58">
        <f t="shared" si="1022"/>
        <v>0</v>
      </c>
      <c r="FM644" s="58">
        <f t="shared" si="1023"/>
        <v>4</v>
      </c>
      <c r="FN644" s="58">
        <f>IF(i_eff_inputs_based_on_num=2,EP644,(INDEX(Lists!$L$51:$L$85,MATCH(BF287,Lists!$K$51:$K$85,0))))</f>
        <v>999</v>
      </c>
      <c r="FO644" s="58">
        <f>IF(i_eff_inputs_based_on_num=2,EQ644,(INDEX(Lists!$L$51:$L$85,MATCH(BG287,Lists!$K$51:$K$85,0))))</f>
        <v>2</v>
      </c>
      <c r="FP644" s="58">
        <f>IF(i_eff_inputs_based_on_num=2,ER644,(INDEX(Lists!$L$51:$L$85,MATCH(BH287,Lists!$K$51:$K$85,0))))</f>
        <v>4</v>
      </c>
      <c r="FT644" s="58">
        <f t="shared" si="960"/>
        <v>0</v>
      </c>
      <c r="FW644" s="58">
        <f>IF(i_baseline_risk_from=2,'Effectiveness settings'!EW644,'Effectiveness settings'!FI644)</f>
        <v>0</v>
      </c>
      <c r="FX644" s="58">
        <f t="shared" si="961"/>
        <v>0</v>
      </c>
      <c r="FY644" s="58">
        <f t="shared" si="962"/>
        <v>0</v>
      </c>
      <c r="FZ644" s="58">
        <f t="shared" si="963"/>
        <v>0</v>
      </c>
      <c r="GA644" s="58">
        <f t="shared" si="964"/>
        <v>0</v>
      </c>
      <c r="GB644" s="58">
        <f t="shared" si="965"/>
        <v>0</v>
      </c>
      <c r="GC644" s="58">
        <f t="shared" si="966"/>
        <v>0</v>
      </c>
      <c r="GD644" s="58">
        <f t="shared" si="967"/>
        <v>0</v>
      </c>
      <c r="GE644" s="58">
        <f>IF(AND(dd_CheckMate214_TTD="Yes",'Effectiveness settings'!BU644=2,'Effectiveness settings'!BX644=2),"Apply HR to",GD644)</f>
        <v>0</v>
      </c>
      <c r="GF644" s="58">
        <f t="shared" si="968"/>
        <v>0</v>
      </c>
      <c r="GG644" s="58">
        <f t="shared" si="969"/>
        <v>0</v>
      </c>
      <c r="GH644" s="58">
        <f t="shared" si="970"/>
        <v>0</v>
      </c>
      <c r="GI644" s="58">
        <f t="shared" si="1034"/>
        <v>0</v>
      </c>
      <c r="GK644" s="58">
        <f>IF(i_baseline_risk_from=2,'Effectiveness settings'!FA644,'Effectiveness settings'!FM644)</f>
        <v>4</v>
      </c>
      <c r="GL644" s="58">
        <f>IF(i_baseline_risk_from=2,'Effectiveness settings'!FB644,'Effectiveness settings'!FN644)</f>
        <v>999</v>
      </c>
      <c r="GM644" s="58">
        <f>IF(i_baseline_risk_from=2,'Effectiveness settings'!FC644,'Effectiveness settings'!FO644)</f>
        <v>2</v>
      </c>
      <c r="GN644" s="58">
        <f>IF(i_baseline_risk_from=2,'Effectiveness settings'!FD644,'Effectiveness settings'!FP644)</f>
        <v>4</v>
      </c>
      <c r="GQ644" s="58">
        <f t="shared" si="971"/>
        <v>999</v>
      </c>
      <c r="GR644" s="58">
        <f t="shared" si="972"/>
        <v>999</v>
      </c>
      <c r="GS644" s="58">
        <f t="shared" si="973"/>
        <v>999</v>
      </c>
      <c r="GT644" s="58">
        <f t="shared" si="974"/>
        <v>999</v>
      </c>
      <c r="GU644" s="58">
        <f>IF(AND(dd_CheckMate214_TTD="Yes",'Effectiveness settings'!BU644=2,'Effectiveness settings'!BX644=2),2,GT644)</f>
        <v>999</v>
      </c>
      <c r="GV644" s="58">
        <f t="shared" si="975"/>
        <v>999</v>
      </c>
      <c r="GW644" s="58">
        <f t="shared" si="976"/>
        <v>999</v>
      </c>
      <c r="GY644" s="58">
        <f>IF(AND(dd_CheckMate214_TTD="Yes",'Effectiveness settings'!BU644=2,'Effectiveness settings'!BX644=2),1,GN644)</f>
        <v>4</v>
      </c>
      <c r="GZ644" s="58">
        <f t="shared" si="977"/>
        <v>4</v>
      </c>
      <c r="HB644" s="58">
        <f t="shared" si="978"/>
        <v>0</v>
      </c>
      <c r="HD644" s="58">
        <f t="shared" si="1029"/>
        <v>0</v>
      </c>
      <c r="HE644" s="58">
        <f t="shared" si="1030"/>
        <v>4</v>
      </c>
      <c r="HF644" s="58">
        <f t="shared" si="1031"/>
        <v>999</v>
      </c>
      <c r="HG644" s="58">
        <f t="shared" si="1032"/>
        <v>2</v>
      </c>
      <c r="HH644" s="58">
        <f t="shared" si="1033"/>
        <v>4</v>
      </c>
    </row>
    <row r="645" spans="69:216" ht="15.75" x14ac:dyDescent="0.25">
      <c r="BQ645" s="58">
        <f t="shared" si="958"/>
        <v>378</v>
      </c>
      <c r="BR645" s="61"/>
      <c r="BS645" s="61"/>
      <c r="BT645" s="17"/>
      <c r="BU645" s="61"/>
      <c r="BV645" s="252"/>
      <c r="BW645" s="252"/>
      <c r="BX645" s="61"/>
      <c r="BY645" s="532"/>
      <c r="BZ645" s="529"/>
      <c r="CA645" s="532"/>
      <c r="CB645" s="529"/>
      <c r="CC645" s="529"/>
      <c r="CD645" s="529"/>
      <c r="CE645" s="515"/>
      <c r="CF645" s="1303"/>
      <c r="CG645" s="529"/>
      <c r="CH645" s="505"/>
      <c r="CI645" s="505"/>
      <c r="CJ645" s="505"/>
      <c r="DK645" s="58" t="str" cm="1">
        <f t="array" ref="DK645">IF(AND($BT645=4,$BX645=4,$BU645=999),$DB$36,_xlfn.IFNA(INDEX(DB$13:DB$70,MATCH(1,($BR645=$CV$13:$CV$70)*($BT645=$CX$13:$CX$70)*($CE645=$CY$13:$CY$70)*($BY645=$DA$13:$DA$70)*($CD645=$DH$13:$DH$70),0)),""))</f>
        <v/>
      </c>
      <c r="DL645" s="58" t="str" cm="1">
        <f t="array" ref="DL645">IF(AND($BT645=4,$BX645=4,$BU645=999),$DC$36,_xlfn.IFNA(INDEX(CHOOSE(DP645,DB$13:DB$70,DC$13:DC$70,DD$13:DD$70,DE$13:DE$70),MATCH(1,($BR645=$CV$13:$CV$70)*($BT645=$CX$13:$CX$70)*($CE645=$CY$13:$CY$70)*($BY645=$DA$13:$DA$70)*($CD645=$DH$13:$DH$70),0)),""))</f>
        <v/>
      </c>
      <c r="DM645" s="740" t="str" cm="1">
        <f t="array" ref="DM645">IF(AND($BT645=4,$BX645=4,$BU645=999),$DD$36,_xlfn.IFNA(INDEX(DD$13:DD$68,MATCH(1,($BR645=$CV$13:$CV$68)*($BT645=$CX$13:$CX$68)*($CE645=$CY$13:$CY$68)*($BY645=$DA$13:$DA$68)*($CD645=$DH$13:$DH$68),0)),""))</f>
        <v/>
      </c>
      <c r="DN645" s="740" t="str" cm="1">
        <f t="array" ref="DN645">IF(AND($BT645=4,$BX645=4,$BU645=999),$DD$36,_xlfn.IFNA(INDEX(DE$13:DE$68,MATCH(1,($BR645=$CV$13:$CV$68)*($BT645=$CX$13:$CX$68)*($CE645=$CY$13:$CY$68)*($BY645=$DA$13:$DA$68)*($CD645=$DH$13:$DH$68),0)),""))</f>
        <v/>
      </c>
      <c r="DO645" s="58" t="str" cm="1">
        <f t="array" ref="DO645">IF(AND($BT645=4,$BX645=4,$BU645=999),$DF$36,_xlfn.IFNA(INDEX(DF$13:DF$70,MATCH(1,($BR645=$CV$13:$CV$70)*($BT645=$CX$13:$CX$70)*($CE645=$CY$13:$CY$70)*($BY645=$DA$13:$DA$70)*($CD645=$DH$13:$DH$70),0)),""))</f>
        <v/>
      </c>
      <c r="DP645" s="58" t="e">
        <f t="shared" si="959"/>
        <v>#N/A</v>
      </c>
      <c r="FT645" s="58">
        <f t="shared" si="960"/>
        <v>0</v>
      </c>
      <c r="FW645" s="58">
        <f>IF(i_baseline_risk_from=2,'Effectiveness settings'!EW645,'Effectiveness settings'!FI645)</f>
        <v>0</v>
      </c>
      <c r="FX645" s="58">
        <f t="shared" si="961"/>
        <v>0</v>
      </c>
      <c r="FY645" s="58">
        <f t="shared" si="962"/>
        <v>0</v>
      </c>
      <c r="FZ645" s="58">
        <f t="shared" si="963"/>
        <v>0</v>
      </c>
      <c r="GA645" s="58">
        <f t="shared" si="964"/>
        <v>0</v>
      </c>
      <c r="GB645" s="58">
        <f t="shared" si="965"/>
        <v>0</v>
      </c>
      <c r="GC645" s="58">
        <f t="shared" si="966"/>
        <v>0</v>
      </c>
      <c r="GD645" s="58">
        <f t="shared" si="967"/>
        <v>0</v>
      </c>
      <c r="GE645" s="58">
        <f>IF(AND(dd_CheckMate214_TTD="Yes",'Effectiveness settings'!BU645=2,'Effectiveness settings'!BX645=2),"Apply HR to",GD645)</f>
        <v>0</v>
      </c>
      <c r="GF645" s="58">
        <f t="shared" si="968"/>
        <v>0</v>
      </c>
      <c r="GG645" s="58">
        <f t="shared" si="969"/>
        <v>0</v>
      </c>
      <c r="GH645" s="58">
        <f t="shared" si="970"/>
        <v>0</v>
      </c>
      <c r="GI645" s="58">
        <f t="shared" si="1034"/>
        <v>0</v>
      </c>
      <c r="GK645" s="58">
        <f>IF(i_baseline_risk_from=2,'Effectiveness settings'!FA645,'Effectiveness settings'!FM645)</f>
        <v>0</v>
      </c>
      <c r="GL645" s="58">
        <f>IF(i_baseline_risk_from=2,'Effectiveness settings'!FB645,'Effectiveness settings'!FN645)</f>
        <v>0</v>
      </c>
      <c r="GM645" s="58">
        <f>IF(i_baseline_risk_from=2,'Effectiveness settings'!FC645,'Effectiveness settings'!FO645)</f>
        <v>0</v>
      </c>
      <c r="GN645" s="58">
        <f>IF(i_baseline_risk_from=2,'Effectiveness settings'!FD645,'Effectiveness settings'!FP645)</f>
        <v>0</v>
      </c>
      <c r="GQ645" s="58">
        <f t="shared" si="971"/>
        <v>0</v>
      </c>
      <c r="GR645" s="58">
        <f t="shared" si="972"/>
        <v>0</v>
      </c>
      <c r="GS645" s="58">
        <f t="shared" si="973"/>
        <v>0</v>
      </c>
      <c r="GT645" s="58">
        <f t="shared" si="974"/>
        <v>0</v>
      </c>
      <c r="GU645" s="58">
        <f>IF(AND(dd_CheckMate214_TTD="Yes",'Effectiveness settings'!BU645=2,'Effectiveness settings'!BX645=2),2,GT645)</f>
        <v>0</v>
      </c>
      <c r="GV645" s="58">
        <f t="shared" si="975"/>
        <v>0</v>
      </c>
      <c r="GW645" s="58">
        <f t="shared" si="976"/>
        <v>0</v>
      </c>
      <c r="GY645" s="58">
        <f>IF(AND(dd_CheckMate214_TTD="Yes",'Effectiveness settings'!BU645=2,'Effectiveness settings'!BX645=2),1,GN645)</f>
        <v>0</v>
      </c>
      <c r="GZ645" s="58">
        <f t="shared" si="977"/>
        <v>0</v>
      </c>
      <c r="HB645" s="58">
        <f t="shared" si="978"/>
        <v>0</v>
      </c>
      <c r="HD645" s="58">
        <f t="shared" si="1029"/>
        <v>0</v>
      </c>
      <c r="HE645" s="58">
        <f t="shared" si="1030"/>
        <v>0</v>
      </c>
      <c r="HF645" s="58">
        <f t="shared" si="1031"/>
        <v>0</v>
      </c>
      <c r="HG645" s="58">
        <f t="shared" si="1032"/>
        <v>0</v>
      </c>
      <c r="HH645" s="58">
        <f t="shared" si="1033"/>
        <v>0</v>
      </c>
    </row>
    <row r="646" spans="69:216" ht="15.75" x14ac:dyDescent="0.25">
      <c r="BQ646" s="58">
        <f t="shared" si="958"/>
        <v>379</v>
      </c>
      <c r="BR646" s="61">
        <v>0</v>
      </c>
      <c r="BS646" s="61" t="s">
        <v>31</v>
      </c>
      <c r="BT646" s="17">
        <v>4</v>
      </c>
      <c r="BU646" s="17">
        <v>0</v>
      </c>
      <c r="BV646" s="252" t="str">
        <f t="shared" ref="BV646:BV659" si="1035">D289</f>
        <v>nivolumab_monotherapy</v>
      </c>
      <c r="BW646" s="1006" t="str" cm="1">
        <f t="array" ref="BW646">IF(AZ289="No",AZ289,INDEX(List_incl_anal_4L_all,IF(BU646=999,35,BU646+1)))</f>
        <v>Yes</v>
      </c>
      <c r="BX646" s="61">
        <f t="shared" ref="BX646:BX659" si="1036">MATCH(BY646,List_eff_endpoints,0)-1</f>
        <v>2</v>
      </c>
      <c r="BY646" s="532" t="str">
        <f>BA289</f>
        <v>Time to treatment discontinuation</v>
      </c>
      <c r="BZ646" s="530" t="str">
        <f t="shared" ref="BZ646:BZ659" si="1037">GI646</f>
        <v>Apply HR to</v>
      </c>
      <c r="CA646" s="531">
        <f>FT646</f>
        <v>0</v>
      </c>
      <c r="CB646" s="530">
        <f t="shared" ref="CB646:CB659" si="1038">IF(i_baseline_risk_from=2,EZ646,FL646)</f>
        <v>0</v>
      </c>
      <c r="CC646" s="530">
        <f t="shared" ref="CC646:CC659" si="1039">IF(i_baseline_risk_from=2,FA646,FM646)</f>
        <v>3</v>
      </c>
      <c r="CD646" s="530">
        <f t="shared" ref="CD646:CD659" si="1040">IF(i_baseline_risk_from=2,FB646,FN646)</f>
        <v>0</v>
      </c>
      <c r="CE646" s="1295">
        <f t="shared" ref="CE646:CE659" si="1041">IF(i_baseline_risk_from=2,FC646,FO646)</f>
        <v>2</v>
      </c>
      <c r="CF646" s="1301">
        <f t="shared" ref="CF646:CF659" si="1042">IF(i_baseline_risk_from=2,FD646,FP646)</f>
        <v>2</v>
      </c>
      <c r="CG646" s="530" t="str">
        <f t="shared" ref="CG646:CG659" si="1043">IF(i_surv_cur=1,DK646,DL646)</f>
        <v/>
      </c>
      <c r="CH646" s="505">
        <f t="shared" si="1025"/>
        <v>1.7410000000000001</v>
      </c>
      <c r="CI646" s="505">
        <f t="shared" si="1026"/>
        <v>1.208</v>
      </c>
      <c r="CJ646" s="505">
        <f t="shared" si="1027"/>
        <v>2.5099999999999998</v>
      </c>
      <c r="DK646" s="58" t="str" cm="1">
        <f t="array" ref="DK646">IF(AND($BT646=4,$BX646=4,$BU646=999),$DB$36,_xlfn.IFNA(INDEX(DB$13:DB$70,MATCH(1,($BR646=$CV$13:$CV$70)*($BT646=$CX$13:$CX$70)*($CE646=$CY$13:$CY$70)*($BY646=$DA$13:$DA$70)*($CD646=$DH$13:$DH$70),0)),""))</f>
        <v/>
      </c>
      <c r="DL646" s="58" t="str" cm="1">
        <f t="array" ref="DL646">IF(AND($BT646=4,$BX646=4,$BU646=999),$DC$36,_xlfn.IFNA(INDEX(CHOOSE(DP646,DB$13:DB$70,DC$13:DC$70,DD$13:DD$70,DE$13:DE$70),MATCH(1,($BR646=$CV$13:$CV$70)*($BT646=$CX$13:$CX$70)*($CE646=$CY$13:$CY$70)*($BY646=$DA$13:$DA$70)*($CD646=$DH$13:$DH$70),0)),""))</f>
        <v/>
      </c>
      <c r="DM646" s="740" t="str" cm="1">
        <f t="array" ref="DM646">IF(AND($BT646=4,$BX646=4,$BU646=999),$DD$36,_xlfn.IFNA(INDEX(DD$13:DD$68,MATCH(1,($BR646=$CV$13:$CV$68)*($BT646=$CX$13:$CX$68)*($CE646=$CY$13:$CY$68)*($BY646=$DA$13:$DA$68)*($CD646=$DH$13:$DH$68),0)),""))</f>
        <v/>
      </c>
      <c r="DN646" s="740" t="str" cm="1">
        <f t="array" ref="DN646">IF(AND($BT646=4,$BX646=4,$BU646=999),$DD$36,_xlfn.IFNA(INDEX(DE$13:DE$68,MATCH(1,($BR646=$CV$13:$CV$68)*($BT646=$CX$13:$CX$68)*($CE646=$CY$13:$CY$68)*($BY646=$DA$13:$DA$68)*($CD646=$DH$13:$DH$68),0)),""))</f>
        <v/>
      </c>
      <c r="DO646" s="58" t="str" cm="1">
        <f t="array" ref="DO646">IF(AND($BT646=4,$BX646=4,$BU646=999),$DF$36,_xlfn.IFNA(INDEX(DF$13:DF$70,MATCH(1,($BR646=$CV$13:$CV$70)*($BT646=$CX$13:$CX$70)*($CE646=$CY$13:$CY$70)*($BY646=$DA$13:$DA$70)*($CD646=$DH$13:$DH$70),0)),""))</f>
        <v/>
      </c>
      <c r="DP646" s="58" t="e">
        <f t="shared" si="959"/>
        <v>#N/A</v>
      </c>
      <c r="DW646" s="58" t="s">
        <v>74</v>
      </c>
      <c r="DX646" s="58" t="s">
        <v>554</v>
      </c>
      <c r="DY646" s="58" t="s">
        <v>578</v>
      </c>
      <c r="DZ646" s="58">
        <v>0</v>
      </c>
      <c r="EB646" s="58">
        <v>0</v>
      </c>
      <c r="EC646" s="58">
        <v>3</v>
      </c>
      <c r="ED646" s="58">
        <v>0</v>
      </c>
      <c r="EE646" s="58">
        <v>2</v>
      </c>
      <c r="EF646" s="58">
        <v>2</v>
      </c>
      <c r="EI646" s="58" t="s">
        <v>74</v>
      </c>
      <c r="EJ646" s="58" t="s">
        <v>554</v>
      </c>
      <c r="EK646" s="58" t="s">
        <v>578</v>
      </c>
      <c r="EL646" s="58">
        <v>0</v>
      </c>
      <c r="EN646" s="58">
        <v>0</v>
      </c>
      <c r="EO646" s="58">
        <v>3</v>
      </c>
      <c r="EP646" s="58">
        <v>0</v>
      </c>
      <c r="EQ646" s="58">
        <v>1</v>
      </c>
      <c r="ER646" s="58">
        <v>2</v>
      </c>
      <c r="EU646" s="58" t="str">
        <f t="shared" ref="EU646:EU659" si="1044">IF(i_eff_inputs_based_on_num=2,DW646,AZ289)</f>
        <v>Yes</v>
      </c>
      <c r="EV646" s="58" t="str">
        <f t="shared" ref="EV646:EV659" si="1045">IF(i_eff_inputs_based_on_num=2,DX646,BA289)</f>
        <v>Time to treatment discontinuation</v>
      </c>
      <c r="EW646" s="58" t="str">
        <f t="shared" ref="EW646:EW659" si="1046">IF(i_eff_inputs_based_on_num=2,DY646,BB289)</f>
        <v>Apply HR to</v>
      </c>
      <c r="EX646" s="58">
        <f t="shared" ref="EX646:EX659" si="1047">IF(i_eff_inputs_based_on_num=2,DZ646,BC289)</f>
        <v>0</v>
      </c>
      <c r="EZ646" s="58">
        <f t="shared" ref="EZ646:EZ659" si="1048">IF(i_eff_inputs_based_on_num=2,EB646,VLOOKUP(BD289,r_pld_lookup_line,3,FALSE))</f>
        <v>0</v>
      </c>
      <c r="FA646" s="58">
        <f t="shared" ref="FA646:FA659" si="1049">IF(i_eff_inputs_based_on_num=2,EC646,VLOOKUP(BE289,r_pld_lookup_line,3,FALSE))</f>
        <v>3</v>
      </c>
      <c r="FB646" s="58">
        <f>IF(i_eff_inputs_based_on_num=2,ED646,(INDEX(Lists!$L$51:$L$85,MATCH(BF289,Lists!$K$51:$K$85,0))))</f>
        <v>0</v>
      </c>
      <c r="FC646" s="58">
        <f>IF(i_eff_inputs_based_on_num=2,EE646,(INDEX(Lists!$L$51:$L$85,MATCH(BG289,Lists!$K$51:$K$85,0))))</f>
        <v>2</v>
      </c>
      <c r="FD646" s="58">
        <f>IF(i_eff_inputs_based_on_num=2,EF646,(INDEX(Lists!$L$51:$L$85,MATCH(BH289,Lists!$K$51:$K$85,0))))</f>
        <v>2</v>
      </c>
      <c r="FG646" s="58" t="str">
        <f t="shared" ref="FG646:FG659" si="1050">IF(i_eff_inputs_based_on_num=2,EI646,AZ289)</f>
        <v>Yes</v>
      </c>
      <c r="FH646" s="58" t="str">
        <f t="shared" ref="FH646:FH659" si="1051">IF(i_eff_inputs_based_on_num=2,EJ646,BA289)</f>
        <v>Time to treatment discontinuation</v>
      </c>
      <c r="FI646" s="58" t="str">
        <f t="shared" ref="FI646:FI659" si="1052">IF(i_eff_inputs_based_on_num=2,EK646,BB289)</f>
        <v>Apply HR to</v>
      </c>
      <c r="FJ646" s="58">
        <f t="shared" ref="FJ646:FJ659" si="1053">IF(i_eff_inputs_based_on_num=2,EL646,BC289)</f>
        <v>0</v>
      </c>
      <c r="FL646" s="58">
        <f t="shared" ref="FL646:FL659" si="1054">IF(i_eff_inputs_based_on_num=2,EN646,VLOOKUP(BD289,r_pld_lookup_line,3,FALSE))</f>
        <v>0</v>
      </c>
      <c r="FM646" s="58">
        <f t="shared" ref="FM646:FM659" si="1055">IF(i_eff_inputs_based_on_num=2,EO646,VLOOKUP(BE289,r_pld_lookup_line,3,FALSE))</f>
        <v>3</v>
      </c>
      <c r="FN646" s="58">
        <f>IF(i_eff_inputs_based_on_num=2,EP646,(INDEX(Lists!$L$51:$L$85,MATCH(BF289,Lists!$K$51:$K$85,0))))</f>
        <v>0</v>
      </c>
      <c r="FO646" s="58">
        <f>IF(i_eff_inputs_based_on_num=2,EQ646,(INDEX(Lists!$L$51:$L$85,MATCH(BG289,Lists!$K$51:$K$85,0))))</f>
        <v>1</v>
      </c>
      <c r="FP646" s="58">
        <f>IF(i_eff_inputs_based_on_num=2,ER646,(INDEX(Lists!$L$51:$L$85,MATCH(BH289,Lists!$K$51:$K$85,0))))</f>
        <v>2</v>
      </c>
      <c r="FT646" s="58">
        <f t="shared" si="960"/>
        <v>0</v>
      </c>
      <c r="FW646" s="58" t="str">
        <f>IF(i_baseline_risk_from=2,'Effectiveness settings'!EW646,'Effectiveness settings'!FI646)</f>
        <v>Apply HR to</v>
      </c>
      <c r="FX646" s="58" t="str">
        <f t="shared" si="961"/>
        <v>Apply HR to</v>
      </c>
      <c r="FY646" s="58" t="str">
        <f t="shared" si="962"/>
        <v>Apply HR to</v>
      </c>
      <c r="FZ646" s="58" t="str">
        <f t="shared" si="963"/>
        <v>Apply HR to</v>
      </c>
      <c r="GA646" s="58" t="str">
        <f t="shared" si="964"/>
        <v>Apply HR to</v>
      </c>
      <c r="GB646" s="58" t="str">
        <f t="shared" si="965"/>
        <v>Apply HR to</v>
      </c>
      <c r="GC646" s="58" t="str">
        <f t="shared" si="966"/>
        <v>Apply HR to</v>
      </c>
      <c r="GD646" s="58" t="str">
        <f t="shared" si="967"/>
        <v>Apply HR to</v>
      </c>
      <c r="GE646" s="58" t="str">
        <f>IF(AND(dd_CheckMate214_TTD="Yes",'Effectiveness settings'!BU646=2,'Effectiveness settings'!BX646=2),"Apply HR to",GD646)</f>
        <v>Apply HR to</v>
      </c>
      <c r="GF646" s="58" t="str">
        <f t="shared" si="968"/>
        <v>Apply HR to</v>
      </c>
      <c r="GG646" s="58" t="str">
        <f t="shared" si="969"/>
        <v>Apply HR to</v>
      </c>
      <c r="GH646" s="58" t="str">
        <f t="shared" si="970"/>
        <v>Apply HR to</v>
      </c>
      <c r="GI646" s="58" t="str">
        <f t="shared" si="1034"/>
        <v>Apply HR to</v>
      </c>
      <c r="GK646" s="58">
        <f>IF(i_baseline_risk_from=2,'Effectiveness settings'!FA646,'Effectiveness settings'!FM646)</f>
        <v>3</v>
      </c>
      <c r="GL646" s="58">
        <f>IF(i_baseline_risk_from=2,'Effectiveness settings'!FB646,'Effectiveness settings'!FN646)</f>
        <v>0</v>
      </c>
      <c r="GM646" s="58">
        <f>IF(i_baseline_risk_from=2,'Effectiveness settings'!FC646,'Effectiveness settings'!FO646)</f>
        <v>2</v>
      </c>
      <c r="GN646" s="58">
        <f>IF(i_baseline_risk_from=2,'Effectiveness settings'!FD646,'Effectiveness settings'!FP646)</f>
        <v>2</v>
      </c>
      <c r="GQ646" s="58">
        <f t="shared" si="971"/>
        <v>0</v>
      </c>
      <c r="GR646" s="58">
        <f t="shared" si="972"/>
        <v>0</v>
      </c>
      <c r="GS646" s="58">
        <f t="shared" si="973"/>
        <v>0</v>
      </c>
      <c r="GT646" s="58">
        <f t="shared" si="974"/>
        <v>0</v>
      </c>
      <c r="GU646" s="58">
        <f>IF(AND(dd_CheckMate214_TTD="Yes",'Effectiveness settings'!BU646=2,'Effectiveness settings'!BX646=2),2,GT646)</f>
        <v>0</v>
      </c>
      <c r="GV646" s="58">
        <f t="shared" si="975"/>
        <v>0</v>
      </c>
      <c r="GW646" s="58">
        <f t="shared" si="976"/>
        <v>0</v>
      </c>
      <c r="GY646" s="58">
        <f>IF(AND(dd_CheckMate214_TTD="Yes",'Effectiveness settings'!BU646=2,'Effectiveness settings'!BX646=2),1,GN646)</f>
        <v>2</v>
      </c>
      <c r="GZ646" s="58">
        <f t="shared" si="977"/>
        <v>2</v>
      </c>
      <c r="HB646" s="58">
        <f t="shared" si="978"/>
        <v>0</v>
      </c>
      <c r="HD646" s="58">
        <f t="shared" si="1029"/>
        <v>0</v>
      </c>
      <c r="HE646" s="58">
        <f t="shared" si="1030"/>
        <v>3</v>
      </c>
      <c r="HF646" s="58">
        <f t="shared" si="1031"/>
        <v>0</v>
      </c>
      <c r="HG646" s="58">
        <f t="shared" si="1032"/>
        <v>2</v>
      </c>
      <c r="HH646" s="58">
        <f t="shared" si="1033"/>
        <v>2</v>
      </c>
    </row>
    <row r="647" spans="69:216" ht="15.75" x14ac:dyDescent="0.25">
      <c r="BQ647" s="58">
        <f t="shared" si="958"/>
        <v>380</v>
      </c>
      <c r="BR647" s="61">
        <v>0</v>
      </c>
      <c r="BS647" s="61" t="s">
        <v>31</v>
      </c>
      <c r="BT647" s="17">
        <v>4</v>
      </c>
      <c r="BU647" s="17">
        <v>1</v>
      </c>
      <c r="BV647" s="252" t="str">
        <f t="shared" si="1035"/>
        <v>cabozantinib_plus_nivolumab</v>
      </c>
      <c r="BW647" s="1006" t="str" cm="1">
        <f t="array" ref="BW647">IF(AZ290="No",AZ290,INDEX(List_incl_anal_4L_all,IF(BU647=999,35,BU647+1)))</f>
        <v>No</v>
      </c>
      <c r="BX647" s="61">
        <f t="shared" si="1036"/>
        <v>2</v>
      </c>
      <c r="BY647" s="532" t="str">
        <f>BA290</f>
        <v>Time to treatment discontinuation</v>
      </c>
      <c r="BZ647" s="530">
        <f t="shared" si="1037"/>
        <v>0</v>
      </c>
      <c r="CA647" s="531">
        <f t="shared" ref="CA647:CA659" si="1056">FT647</f>
        <v>0</v>
      </c>
      <c r="CB647" s="530">
        <f t="shared" si="1038"/>
        <v>0</v>
      </c>
      <c r="CC647" s="530">
        <f t="shared" si="1039"/>
        <v>3</v>
      </c>
      <c r="CD647" s="530">
        <f t="shared" si="1040"/>
        <v>1</v>
      </c>
      <c r="CE647" s="1295">
        <f t="shared" si="1041"/>
        <v>2</v>
      </c>
      <c r="CF647" s="1301">
        <f t="shared" si="1042"/>
        <v>2</v>
      </c>
      <c r="CG647" s="530" t="str">
        <f t="shared" si="1043"/>
        <v/>
      </c>
      <c r="CH647" s="505">
        <f t="shared" si="1025"/>
        <v>1</v>
      </c>
      <c r="CI647" s="505">
        <f t="shared" si="1026"/>
        <v>0</v>
      </c>
      <c r="CJ647" s="505">
        <f t="shared" si="1027"/>
        <v>0</v>
      </c>
      <c r="DK647" s="58" t="str" cm="1">
        <f t="array" ref="DK647">IF(AND($BT647=4,$BX647=4,$BU647=999),$DB$36,_xlfn.IFNA(INDEX(DB$13:DB$70,MATCH(1,($BR647=$CV$13:$CV$70)*($BT647=$CX$13:$CX$70)*($CE647=$CY$13:$CY$70)*($BY647=$DA$13:$DA$70)*($CD647=$DH$13:$DH$70),0)),""))</f>
        <v/>
      </c>
      <c r="DL647" s="58" t="str" cm="1">
        <f t="array" ref="DL647">IF(AND($BT647=4,$BX647=4,$BU647=999),$DC$36,_xlfn.IFNA(INDEX(CHOOSE(DP647,DB$13:DB$70,DC$13:DC$70,DD$13:DD$70,DE$13:DE$70),MATCH(1,($BR647=$CV$13:$CV$70)*($BT647=$CX$13:$CX$70)*($CE647=$CY$13:$CY$70)*($BY647=$DA$13:$DA$70)*($CD647=$DH$13:$DH$70),0)),""))</f>
        <v/>
      </c>
      <c r="DM647" s="740" t="str" cm="1">
        <f t="array" ref="DM647">IF(AND($BT647=4,$BX647=4,$BU647=999),$DD$36,_xlfn.IFNA(INDEX(DD$13:DD$68,MATCH(1,($BR647=$CV$13:$CV$68)*($BT647=$CX$13:$CX$68)*($CE647=$CY$13:$CY$68)*($BY647=$DA$13:$DA$68)*($CD647=$DH$13:$DH$68),0)),""))</f>
        <v/>
      </c>
      <c r="DN647" s="740" t="str" cm="1">
        <f t="array" ref="DN647">IF(AND($BT647=4,$BX647=4,$BU647=999),$DD$36,_xlfn.IFNA(INDEX(DE$13:DE$68,MATCH(1,($BR647=$CV$13:$CV$68)*($BT647=$CX$13:$CX$68)*($CE647=$CY$13:$CY$68)*($BY647=$DA$13:$DA$68)*($CD647=$DH$13:$DH$68),0)),""))</f>
        <v/>
      </c>
      <c r="DO647" s="58" t="str" cm="1">
        <f t="array" ref="DO647">IF(AND($BT647=4,$BX647=4,$BU647=999),$DF$36,_xlfn.IFNA(INDEX(DF$13:DF$70,MATCH(1,($BR647=$CV$13:$CV$70)*($BT647=$CX$13:$CX$70)*($CE647=$CY$13:$CY$70)*($BY647=$DA$13:$DA$70)*($CD647=$DH$13:$DH$70),0)),""))</f>
        <v/>
      </c>
      <c r="DP647" s="58" t="e">
        <f t="shared" si="959"/>
        <v>#N/A</v>
      </c>
      <c r="DW647" s="58" t="s">
        <v>58</v>
      </c>
      <c r="DX647" s="58" t="s">
        <v>554</v>
      </c>
      <c r="DY647" s="58">
        <v>0</v>
      </c>
      <c r="DZ647" s="58">
        <v>0</v>
      </c>
      <c r="EB647" s="58">
        <v>0</v>
      </c>
      <c r="EC647" s="58">
        <v>3</v>
      </c>
      <c r="ED647" s="58">
        <v>1</v>
      </c>
      <c r="EE647" s="58">
        <v>2</v>
      </c>
      <c r="EF647" s="58">
        <v>2</v>
      </c>
      <c r="EI647" s="58" t="s">
        <v>58</v>
      </c>
      <c r="EJ647" s="58" t="s">
        <v>554</v>
      </c>
      <c r="EK647" s="58">
        <v>0</v>
      </c>
      <c r="EL647" s="58">
        <v>0</v>
      </c>
      <c r="EN647" s="58">
        <v>0</v>
      </c>
      <c r="EO647" s="58">
        <v>3</v>
      </c>
      <c r="EP647" s="58">
        <v>1</v>
      </c>
      <c r="EQ647" s="58">
        <v>1</v>
      </c>
      <c r="ER647" s="58">
        <v>2</v>
      </c>
      <c r="EU647" s="58" t="str">
        <f t="shared" si="1044"/>
        <v>No</v>
      </c>
      <c r="EV647" s="58" t="str">
        <f t="shared" si="1045"/>
        <v>Time to treatment discontinuation</v>
      </c>
      <c r="EW647" s="58">
        <f t="shared" si="1046"/>
        <v>0</v>
      </c>
      <c r="EX647" s="58">
        <f t="shared" si="1047"/>
        <v>0</v>
      </c>
      <c r="EZ647" s="58">
        <f t="shared" si="1048"/>
        <v>0</v>
      </c>
      <c r="FA647" s="58">
        <f t="shared" si="1049"/>
        <v>3</v>
      </c>
      <c r="FB647" s="58">
        <f>IF(i_eff_inputs_based_on_num=2,ED647,(INDEX(Lists!$L$51:$L$85,MATCH(BF290,Lists!$K$51:$K$85,0))))</f>
        <v>1</v>
      </c>
      <c r="FC647" s="58">
        <f>IF(i_eff_inputs_based_on_num=2,EE647,(INDEX(Lists!$L$51:$L$85,MATCH(BG290,Lists!$K$51:$K$85,0))))</f>
        <v>2</v>
      </c>
      <c r="FD647" s="58">
        <f>IF(i_eff_inputs_based_on_num=2,EF647,(INDEX(Lists!$L$51:$L$85,MATCH(BH290,Lists!$K$51:$K$85,0))))</f>
        <v>2</v>
      </c>
      <c r="FG647" s="58" t="str">
        <f t="shared" si="1050"/>
        <v>No</v>
      </c>
      <c r="FH647" s="58" t="str">
        <f t="shared" si="1051"/>
        <v>Time to treatment discontinuation</v>
      </c>
      <c r="FI647" s="58">
        <f t="shared" si="1052"/>
        <v>0</v>
      </c>
      <c r="FJ647" s="58">
        <f t="shared" si="1053"/>
        <v>0</v>
      </c>
      <c r="FL647" s="58">
        <f t="shared" si="1054"/>
        <v>0</v>
      </c>
      <c r="FM647" s="58">
        <f t="shared" si="1055"/>
        <v>3</v>
      </c>
      <c r="FN647" s="58">
        <f>IF(i_eff_inputs_based_on_num=2,EP647,(INDEX(Lists!$L$51:$L$85,MATCH(BF290,Lists!$K$51:$K$85,0))))</f>
        <v>1</v>
      </c>
      <c r="FO647" s="58">
        <f>IF(i_eff_inputs_based_on_num=2,EQ647,(INDEX(Lists!$L$51:$L$85,MATCH(BG290,Lists!$K$51:$K$85,0))))</f>
        <v>1</v>
      </c>
      <c r="FP647" s="58">
        <f>IF(i_eff_inputs_based_on_num=2,ER647,(INDEX(Lists!$L$51:$L$85,MATCH(BH290,Lists!$K$51:$K$85,0))))</f>
        <v>2</v>
      </c>
      <c r="FT647" s="58">
        <f t="shared" si="960"/>
        <v>0</v>
      </c>
      <c r="FW647" s="58">
        <f>IF(i_baseline_risk_from=2,'Effectiveness settings'!EW647,'Effectiveness settings'!FI647)</f>
        <v>0</v>
      </c>
      <c r="FX647" s="58">
        <f t="shared" si="961"/>
        <v>0</v>
      </c>
      <c r="FY647" s="58">
        <f t="shared" si="962"/>
        <v>0</v>
      </c>
      <c r="FZ647" s="58">
        <f t="shared" si="963"/>
        <v>0</v>
      </c>
      <c r="GA647" s="58">
        <f t="shared" si="964"/>
        <v>0</v>
      </c>
      <c r="GB647" s="58">
        <f t="shared" si="965"/>
        <v>0</v>
      </c>
      <c r="GC647" s="58">
        <f t="shared" si="966"/>
        <v>0</v>
      </c>
      <c r="GD647" s="58">
        <f t="shared" si="967"/>
        <v>0</v>
      </c>
      <c r="GE647" s="58">
        <f>IF(AND(dd_CheckMate214_TTD="Yes",'Effectiveness settings'!BU647=2,'Effectiveness settings'!BX647=2),"Apply HR to",GD647)</f>
        <v>0</v>
      </c>
      <c r="GF647" s="58">
        <f t="shared" si="968"/>
        <v>0</v>
      </c>
      <c r="GG647" s="58">
        <f t="shared" si="969"/>
        <v>0</v>
      </c>
      <c r="GH647" s="58">
        <f t="shared" si="970"/>
        <v>0</v>
      </c>
      <c r="GI647" s="58">
        <f t="shared" si="1034"/>
        <v>0</v>
      </c>
      <c r="GK647" s="58">
        <f>IF(i_baseline_risk_from=2,'Effectiveness settings'!FA647,'Effectiveness settings'!FM647)</f>
        <v>3</v>
      </c>
      <c r="GL647" s="58">
        <f>IF(i_baseline_risk_from=2,'Effectiveness settings'!FB647,'Effectiveness settings'!FN647)</f>
        <v>1</v>
      </c>
      <c r="GM647" s="58">
        <f>IF(i_baseline_risk_from=2,'Effectiveness settings'!FC647,'Effectiveness settings'!FO647)</f>
        <v>2</v>
      </c>
      <c r="GN647" s="58">
        <f>IF(i_baseline_risk_from=2,'Effectiveness settings'!FD647,'Effectiveness settings'!FP647)</f>
        <v>2</v>
      </c>
      <c r="GQ647" s="58">
        <f t="shared" si="971"/>
        <v>1</v>
      </c>
      <c r="GR647" s="58">
        <f t="shared" si="972"/>
        <v>1</v>
      </c>
      <c r="GS647" s="58">
        <f t="shared" si="973"/>
        <v>1</v>
      </c>
      <c r="GT647" s="58">
        <f t="shared" si="974"/>
        <v>1</v>
      </c>
      <c r="GU647" s="58">
        <f>IF(AND(dd_CheckMate214_TTD="Yes",'Effectiveness settings'!BU647=2,'Effectiveness settings'!BX647=2),2,GT647)</f>
        <v>1</v>
      </c>
      <c r="GV647" s="58">
        <f t="shared" si="975"/>
        <v>1</v>
      </c>
      <c r="GW647" s="58">
        <f t="shared" si="976"/>
        <v>1</v>
      </c>
      <c r="GY647" s="58">
        <f>IF(AND(dd_CheckMate214_TTD="Yes",'Effectiveness settings'!BU647=2,'Effectiveness settings'!BX647=2),1,GN647)</f>
        <v>2</v>
      </c>
      <c r="GZ647" s="58">
        <f t="shared" si="977"/>
        <v>2</v>
      </c>
      <c r="HB647" s="58">
        <f t="shared" si="978"/>
        <v>0</v>
      </c>
      <c r="HD647" s="58">
        <f t="shared" si="1029"/>
        <v>0</v>
      </c>
      <c r="HE647" s="58">
        <f t="shared" si="1030"/>
        <v>3</v>
      </c>
      <c r="HF647" s="58">
        <f t="shared" si="1031"/>
        <v>1</v>
      </c>
      <c r="HG647" s="58">
        <f t="shared" si="1032"/>
        <v>2</v>
      </c>
      <c r="HH647" s="58">
        <f t="shared" si="1033"/>
        <v>2</v>
      </c>
    </row>
    <row r="648" spans="69:216" ht="15.75" x14ac:dyDescent="0.25">
      <c r="BQ648" s="58">
        <f t="shared" si="958"/>
        <v>381</v>
      </c>
      <c r="BR648" s="61">
        <v>0</v>
      </c>
      <c r="BS648" s="61" t="s">
        <v>31</v>
      </c>
      <c r="BT648" s="17">
        <v>4</v>
      </c>
      <c r="BU648" s="17">
        <v>2</v>
      </c>
      <c r="BV648" s="252" t="str">
        <f t="shared" si="1035"/>
        <v>nivolumab_plus_ipilimumab</v>
      </c>
      <c r="BW648" s="1006" t="str" cm="1">
        <f t="array" ref="BW648">IF(AZ291="No",AZ291,INDEX(List_incl_anal_4L_all,IF(BU648=999,35,BU648+1)))</f>
        <v>No</v>
      </c>
      <c r="BX648" s="61">
        <f t="shared" si="1036"/>
        <v>2</v>
      </c>
      <c r="BY648" s="532" t="str">
        <f>BA291</f>
        <v>Time to treatment discontinuation</v>
      </c>
      <c r="BZ648" s="530">
        <f t="shared" si="1037"/>
        <v>0</v>
      </c>
      <c r="CA648" s="531">
        <f t="shared" si="1056"/>
        <v>0</v>
      </c>
      <c r="CB648" s="530">
        <f t="shared" si="1038"/>
        <v>0</v>
      </c>
      <c r="CC648" s="530">
        <f t="shared" si="1039"/>
        <v>3</v>
      </c>
      <c r="CD648" s="530">
        <f t="shared" si="1040"/>
        <v>2</v>
      </c>
      <c r="CE648" s="1295">
        <f t="shared" si="1041"/>
        <v>2</v>
      </c>
      <c r="CF648" s="1301">
        <f t="shared" si="1042"/>
        <v>2</v>
      </c>
      <c r="CG648" s="530" t="str">
        <f t="shared" si="1043"/>
        <v/>
      </c>
      <c r="CH648" s="505">
        <f t="shared" si="1025"/>
        <v>1</v>
      </c>
      <c r="CI648" s="505">
        <f t="shared" si="1026"/>
        <v>0</v>
      </c>
      <c r="CJ648" s="505">
        <f t="shared" si="1027"/>
        <v>0</v>
      </c>
      <c r="DK648" s="58" t="str" cm="1">
        <f t="array" ref="DK648">IF(AND($BT648=4,$BX648=4,$BU648=999),$DB$36,_xlfn.IFNA(INDEX(DB$13:DB$70,MATCH(1,($BR648=$CV$13:$CV$70)*($BT648=$CX$13:$CX$70)*($CE648=$CY$13:$CY$70)*($BY648=$DA$13:$DA$70)*($CD648=$DH$13:$DH$70),0)),""))</f>
        <v/>
      </c>
      <c r="DL648" s="58" t="str" cm="1">
        <f t="array" ref="DL648">IF(AND($BT648=4,$BX648=4,$BU648=999),$DC$36,_xlfn.IFNA(INDEX(CHOOSE(DP648,DB$13:DB$70,DC$13:DC$70,DD$13:DD$70,DE$13:DE$70),MATCH(1,($BR648=$CV$13:$CV$70)*($BT648=$CX$13:$CX$70)*($CE648=$CY$13:$CY$70)*($BY648=$DA$13:$DA$70)*($CD648=$DH$13:$DH$70),0)),""))</f>
        <v/>
      </c>
      <c r="DM648" s="740" t="str" cm="1">
        <f t="array" ref="DM648">IF(AND($BT648=4,$BX648=4,$BU648=999),$DD$36,_xlfn.IFNA(INDEX(DD$13:DD$68,MATCH(1,($BR648=$CV$13:$CV$68)*($BT648=$CX$13:$CX$68)*($CE648=$CY$13:$CY$68)*($BY648=$DA$13:$DA$68)*($CD648=$DH$13:$DH$68),0)),""))</f>
        <v/>
      </c>
      <c r="DN648" s="740" t="str" cm="1">
        <f t="array" ref="DN648">IF(AND($BT648=4,$BX648=4,$BU648=999),$DD$36,_xlfn.IFNA(INDEX(DE$13:DE$68,MATCH(1,($BR648=$CV$13:$CV$68)*($BT648=$CX$13:$CX$68)*($CE648=$CY$13:$CY$68)*($BY648=$DA$13:$DA$68)*($CD648=$DH$13:$DH$68),0)),""))</f>
        <v/>
      </c>
      <c r="DO648" s="58" t="str" cm="1">
        <f t="array" ref="DO648">IF(AND($BT648=4,$BX648=4,$BU648=999),$DF$36,_xlfn.IFNA(INDEX(DF$13:DF$70,MATCH(1,($BR648=$CV$13:$CV$70)*($BT648=$CX$13:$CX$70)*($CE648=$CY$13:$CY$70)*($BY648=$DA$13:$DA$70)*($CD648=$DH$13:$DH$70),0)),""))</f>
        <v/>
      </c>
      <c r="DP648" s="58" t="e">
        <f t="shared" si="959"/>
        <v>#N/A</v>
      </c>
      <c r="DW648" s="58" t="s">
        <v>58</v>
      </c>
      <c r="DX648" s="58" t="s">
        <v>554</v>
      </c>
      <c r="DY648" s="58">
        <v>0</v>
      </c>
      <c r="DZ648" s="58">
        <v>0</v>
      </c>
      <c r="EB648" s="58">
        <v>0</v>
      </c>
      <c r="EC648" s="58">
        <v>3</v>
      </c>
      <c r="ED648" s="58">
        <v>2</v>
      </c>
      <c r="EE648" s="58">
        <v>2</v>
      </c>
      <c r="EF648" s="58">
        <v>2</v>
      </c>
      <c r="EI648" s="58" t="s">
        <v>58</v>
      </c>
      <c r="EJ648" s="58" t="s">
        <v>554</v>
      </c>
      <c r="EK648" s="58">
        <v>0</v>
      </c>
      <c r="EL648" s="58">
        <v>0</v>
      </c>
      <c r="EN648" s="58">
        <v>0</v>
      </c>
      <c r="EO648" s="58">
        <v>3</v>
      </c>
      <c r="EP648" s="58">
        <v>2</v>
      </c>
      <c r="EQ648" s="58">
        <v>1</v>
      </c>
      <c r="ER648" s="58">
        <v>2</v>
      </c>
      <c r="EU648" s="58" t="str">
        <f t="shared" si="1044"/>
        <v>No</v>
      </c>
      <c r="EV648" s="58" t="str">
        <f t="shared" si="1045"/>
        <v>Time to treatment discontinuation</v>
      </c>
      <c r="EW648" s="58">
        <f t="shared" si="1046"/>
        <v>0</v>
      </c>
      <c r="EX648" s="58">
        <f t="shared" si="1047"/>
        <v>0</v>
      </c>
      <c r="EZ648" s="58">
        <f t="shared" si="1048"/>
        <v>0</v>
      </c>
      <c r="FA648" s="58">
        <f t="shared" si="1049"/>
        <v>3</v>
      </c>
      <c r="FB648" s="58">
        <f>IF(i_eff_inputs_based_on_num=2,ED648,(INDEX(Lists!$L$51:$L$85,MATCH(BF291,Lists!$K$51:$K$85,0))))</f>
        <v>2</v>
      </c>
      <c r="FC648" s="58">
        <f>IF(i_eff_inputs_based_on_num=2,EE648,(INDEX(Lists!$L$51:$L$85,MATCH(BG291,Lists!$K$51:$K$85,0))))</f>
        <v>2</v>
      </c>
      <c r="FD648" s="58">
        <f>IF(i_eff_inputs_based_on_num=2,EF648,(INDEX(Lists!$L$51:$L$85,MATCH(BH291,Lists!$K$51:$K$85,0))))</f>
        <v>2</v>
      </c>
      <c r="FG648" s="58" t="str">
        <f t="shared" si="1050"/>
        <v>No</v>
      </c>
      <c r="FH648" s="58" t="str">
        <f t="shared" si="1051"/>
        <v>Time to treatment discontinuation</v>
      </c>
      <c r="FI648" s="58">
        <f t="shared" si="1052"/>
        <v>0</v>
      </c>
      <c r="FJ648" s="58">
        <f t="shared" si="1053"/>
        <v>0</v>
      </c>
      <c r="FL648" s="58">
        <f t="shared" si="1054"/>
        <v>0</v>
      </c>
      <c r="FM648" s="58">
        <f t="shared" si="1055"/>
        <v>3</v>
      </c>
      <c r="FN648" s="58">
        <f>IF(i_eff_inputs_based_on_num=2,EP648,(INDEX(Lists!$L$51:$L$85,MATCH(BF291,Lists!$K$51:$K$85,0))))</f>
        <v>2</v>
      </c>
      <c r="FO648" s="58">
        <f>IF(i_eff_inputs_based_on_num=2,EQ648,(INDEX(Lists!$L$51:$L$85,MATCH(BG291,Lists!$K$51:$K$85,0))))</f>
        <v>1</v>
      </c>
      <c r="FP648" s="58">
        <f>IF(i_eff_inputs_based_on_num=2,ER648,(INDEX(Lists!$L$51:$L$85,MATCH(BH291,Lists!$K$51:$K$85,0))))</f>
        <v>2</v>
      </c>
      <c r="FT648" s="58">
        <f t="shared" si="960"/>
        <v>0</v>
      </c>
      <c r="FW648" s="58">
        <f>IF(i_baseline_risk_from=2,'Effectiveness settings'!EW648,'Effectiveness settings'!FI648)</f>
        <v>0</v>
      </c>
      <c r="FX648" s="58">
        <f t="shared" si="961"/>
        <v>0</v>
      </c>
      <c r="FY648" s="58">
        <f t="shared" si="962"/>
        <v>0</v>
      </c>
      <c r="FZ648" s="58">
        <f t="shared" si="963"/>
        <v>0</v>
      </c>
      <c r="GA648" s="58">
        <f t="shared" si="964"/>
        <v>0</v>
      </c>
      <c r="GB648" s="58">
        <f t="shared" si="965"/>
        <v>0</v>
      </c>
      <c r="GC648" s="58">
        <f t="shared" si="966"/>
        <v>0</v>
      </c>
      <c r="GD648" s="58">
        <f t="shared" si="967"/>
        <v>0</v>
      </c>
      <c r="GE648" s="58">
        <f>IF(AND(dd_CheckMate214_TTD="Yes",'Effectiveness settings'!BU648=2,'Effectiveness settings'!BX648=2),"Apply HR to",GD648)</f>
        <v>0</v>
      </c>
      <c r="GF648" s="58">
        <f t="shared" si="968"/>
        <v>0</v>
      </c>
      <c r="GG648" s="58">
        <f t="shared" si="969"/>
        <v>0</v>
      </c>
      <c r="GH648" s="58">
        <f t="shared" si="970"/>
        <v>0</v>
      </c>
      <c r="GI648" s="58">
        <f t="shared" si="1034"/>
        <v>0</v>
      </c>
      <c r="GK648" s="58">
        <f>IF(i_baseline_risk_from=2,'Effectiveness settings'!FA648,'Effectiveness settings'!FM648)</f>
        <v>3</v>
      </c>
      <c r="GL648" s="58">
        <f>IF(i_baseline_risk_from=2,'Effectiveness settings'!FB648,'Effectiveness settings'!FN648)</f>
        <v>2</v>
      </c>
      <c r="GM648" s="58">
        <f>IF(i_baseline_risk_from=2,'Effectiveness settings'!FC648,'Effectiveness settings'!FO648)</f>
        <v>2</v>
      </c>
      <c r="GN648" s="58">
        <f>IF(i_baseline_risk_from=2,'Effectiveness settings'!FD648,'Effectiveness settings'!FP648)</f>
        <v>2</v>
      </c>
      <c r="GQ648" s="58">
        <f t="shared" si="971"/>
        <v>2</v>
      </c>
      <c r="GR648" s="58">
        <f t="shared" si="972"/>
        <v>2</v>
      </c>
      <c r="GS648" s="58">
        <f t="shared" si="973"/>
        <v>2</v>
      </c>
      <c r="GT648" s="58">
        <f t="shared" si="974"/>
        <v>2</v>
      </c>
      <c r="GU648" s="58">
        <f>IF(AND(dd_CheckMate214_TTD="Yes",'Effectiveness settings'!BU648=2,'Effectiveness settings'!BX648=2),2,GT648)</f>
        <v>2</v>
      </c>
      <c r="GV648" s="58">
        <f t="shared" si="975"/>
        <v>2</v>
      </c>
      <c r="GW648" s="58">
        <f t="shared" si="976"/>
        <v>2</v>
      </c>
      <c r="GY648" s="58">
        <f>IF(AND(dd_CheckMate214_TTD="Yes",'Effectiveness settings'!BU648=2,'Effectiveness settings'!BX648=2),1,GN648)</f>
        <v>2</v>
      </c>
      <c r="GZ648" s="58">
        <f t="shared" si="977"/>
        <v>2</v>
      </c>
      <c r="HB648" s="58">
        <f t="shared" si="978"/>
        <v>0</v>
      </c>
      <c r="HD648" s="58">
        <f t="shared" si="1029"/>
        <v>0</v>
      </c>
      <c r="HE648" s="58">
        <f t="shared" si="1030"/>
        <v>3</v>
      </c>
      <c r="HF648" s="58">
        <f t="shared" si="1031"/>
        <v>2</v>
      </c>
      <c r="HG648" s="58">
        <f t="shared" si="1032"/>
        <v>2</v>
      </c>
      <c r="HH648" s="58">
        <f t="shared" si="1033"/>
        <v>2</v>
      </c>
    </row>
    <row r="649" spans="69:216" ht="15.75" x14ac:dyDescent="0.25">
      <c r="BQ649" s="58">
        <f t="shared" si="958"/>
        <v>382</v>
      </c>
      <c r="BR649" s="61">
        <v>0</v>
      </c>
      <c r="BS649" s="61" t="s">
        <v>31</v>
      </c>
      <c r="BT649" s="17">
        <v>4</v>
      </c>
      <c r="BU649" s="17">
        <v>3</v>
      </c>
      <c r="BV649" s="252" t="str">
        <f t="shared" si="1035"/>
        <v>lenvatinib_plus_pembrolizumab</v>
      </c>
      <c r="BW649" s="1006" t="str" cm="1">
        <f t="array" ref="BW649">IF(AZ292="No",AZ292,INDEX(List_incl_anal_4L_all,IF(BU649=999,35,BU649+1)))</f>
        <v>No</v>
      </c>
      <c r="BX649" s="61">
        <f t="shared" si="1036"/>
        <v>2</v>
      </c>
      <c r="BY649" s="532" t="str">
        <f>BA292</f>
        <v>Time to treatment discontinuation</v>
      </c>
      <c r="BZ649" s="530">
        <f t="shared" si="1037"/>
        <v>0</v>
      </c>
      <c r="CA649" s="531">
        <f t="shared" si="1056"/>
        <v>0</v>
      </c>
      <c r="CB649" s="530">
        <f t="shared" si="1038"/>
        <v>0</v>
      </c>
      <c r="CC649" s="530">
        <f t="shared" si="1039"/>
        <v>3</v>
      </c>
      <c r="CD649" s="530">
        <f t="shared" si="1040"/>
        <v>3</v>
      </c>
      <c r="CE649" s="1295">
        <f t="shared" si="1041"/>
        <v>2</v>
      </c>
      <c r="CF649" s="1301">
        <f t="shared" si="1042"/>
        <v>2</v>
      </c>
      <c r="CG649" s="530" t="str">
        <f t="shared" si="1043"/>
        <v/>
      </c>
      <c r="CH649" s="505">
        <f t="shared" si="1025"/>
        <v>1</v>
      </c>
      <c r="CI649" s="505">
        <f t="shared" si="1026"/>
        <v>0</v>
      </c>
      <c r="CJ649" s="505">
        <f t="shared" si="1027"/>
        <v>0</v>
      </c>
      <c r="DK649" s="58" t="str" cm="1">
        <f t="array" ref="DK649">IF(AND($BT649=4,$BX649=4,$BU649=999),$DB$36,_xlfn.IFNA(INDEX(DB$13:DB$70,MATCH(1,($BR649=$CV$13:$CV$70)*($BT649=$CX$13:$CX$70)*($CE649=$CY$13:$CY$70)*($BY649=$DA$13:$DA$70)*($CD649=$DH$13:$DH$70),0)),""))</f>
        <v/>
      </c>
      <c r="DL649" s="58" t="str" cm="1">
        <f t="array" ref="DL649">IF(AND($BT649=4,$BX649=4,$BU649=999),$DC$36,_xlfn.IFNA(INDEX(CHOOSE(DP649,DB$13:DB$70,DC$13:DC$70,DD$13:DD$70,DE$13:DE$70),MATCH(1,($BR649=$CV$13:$CV$70)*($BT649=$CX$13:$CX$70)*($CE649=$CY$13:$CY$70)*($BY649=$DA$13:$DA$70)*($CD649=$DH$13:$DH$70),0)),""))</f>
        <v/>
      </c>
      <c r="DM649" s="740" t="str" cm="1">
        <f t="array" ref="DM649">IF(AND($BT649=4,$BX649=4,$BU649=999),$DD$36,_xlfn.IFNA(INDEX(DD$13:DD$68,MATCH(1,($BR649=$CV$13:$CV$68)*($BT649=$CX$13:$CX$68)*($CE649=$CY$13:$CY$68)*($BY649=$DA$13:$DA$68)*($CD649=$DH$13:$DH$68),0)),""))</f>
        <v/>
      </c>
      <c r="DN649" s="740" t="str" cm="1">
        <f t="array" ref="DN649">IF(AND($BT649=4,$BX649=4,$BU649=999),$DD$36,_xlfn.IFNA(INDEX(DE$13:DE$68,MATCH(1,($BR649=$CV$13:$CV$68)*($BT649=$CX$13:$CX$68)*($CE649=$CY$13:$CY$68)*($BY649=$DA$13:$DA$68)*($CD649=$DH$13:$DH$68),0)),""))</f>
        <v/>
      </c>
      <c r="DO649" s="58" t="str" cm="1">
        <f t="array" ref="DO649">IF(AND($BT649=4,$BX649=4,$BU649=999),$DF$36,_xlfn.IFNA(INDEX(DF$13:DF$70,MATCH(1,($BR649=$CV$13:$CV$70)*($BT649=$CX$13:$CX$70)*($CE649=$CY$13:$CY$70)*($BY649=$DA$13:$DA$70)*($CD649=$DH$13:$DH$70),0)),""))</f>
        <v/>
      </c>
      <c r="DP649" s="58" t="e">
        <f t="shared" si="959"/>
        <v>#N/A</v>
      </c>
      <c r="DW649" s="58" t="s">
        <v>58</v>
      </c>
      <c r="DX649" s="58" t="s">
        <v>554</v>
      </c>
      <c r="DY649" s="58">
        <v>0</v>
      </c>
      <c r="DZ649" s="58">
        <v>0</v>
      </c>
      <c r="EB649" s="58">
        <v>0</v>
      </c>
      <c r="EC649" s="58">
        <v>3</v>
      </c>
      <c r="ED649" s="58">
        <v>3</v>
      </c>
      <c r="EE649" s="58">
        <v>2</v>
      </c>
      <c r="EF649" s="58">
        <v>2</v>
      </c>
      <c r="EI649" s="58" t="s">
        <v>58</v>
      </c>
      <c r="EJ649" s="58" t="s">
        <v>554</v>
      </c>
      <c r="EK649" s="58">
        <v>0</v>
      </c>
      <c r="EL649" s="58">
        <v>0</v>
      </c>
      <c r="EN649" s="58">
        <v>0</v>
      </c>
      <c r="EO649" s="58">
        <v>3</v>
      </c>
      <c r="EP649" s="58">
        <v>3</v>
      </c>
      <c r="EQ649" s="58">
        <v>1</v>
      </c>
      <c r="ER649" s="58">
        <v>2</v>
      </c>
      <c r="EU649" s="58" t="str">
        <f t="shared" si="1044"/>
        <v>No</v>
      </c>
      <c r="EV649" s="58" t="str">
        <f t="shared" si="1045"/>
        <v>Time to treatment discontinuation</v>
      </c>
      <c r="EW649" s="58">
        <f t="shared" si="1046"/>
        <v>0</v>
      </c>
      <c r="EX649" s="58">
        <f t="shared" si="1047"/>
        <v>0</v>
      </c>
      <c r="EZ649" s="58">
        <f t="shared" si="1048"/>
        <v>0</v>
      </c>
      <c r="FA649" s="58">
        <f t="shared" si="1049"/>
        <v>3</v>
      </c>
      <c r="FB649" s="58">
        <f>IF(i_eff_inputs_based_on_num=2,ED649,(INDEX(Lists!$L$51:$L$85,MATCH(BF292,Lists!$K$51:$K$85,0))))</f>
        <v>3</v>
      </c>
      <c r="FC649" s="58">
        <f>IF(i_eff_inputs_based_on_num=2,EE649,(INDEX(Lists!$L$51:$L$85,MATCH(BG292,Lists!$K$51:$K$85,0))))</f>
        <v>2</v>
      </c>
      <c r="FD649" s="58">
        <f>IF(i_eff_inputs_based_on_num=2,EF649,(INDEX(Lists!$L$51:$L$85,MATCH(BH292,Lists!$K$51:$K$85,0))))</f>
        <v>2</v>
      </c>
      <c r="FG649" s="58" t="str">
        <f t="shared" si="1050"/>
        <v>No</v>
      </c>
      <c r="FH649" s="58" t="str">
        <f t="shared" si="1051"/>
        <v>Time to treatment discontinuation</v>
      </c>
      <c r="FI649" s="58">
        <f t="shared" si="1052"/>
        <v>0</v>
      </c>
      <c r="FJ649" s="58">
        <f t="shared" si="1053"/>
        <v>0</v>
      </c>
      <c r="FL649" s="58">
        <f t="shared" si="1054"/>
        <v>0</v>
      </c>
      <c r="FM649" s="58">
        <f t="shared" si="1055"/>
        <v>3</v>
      </c>
      <c r="FN649" s="58">
        <f>IF(i_eff_inputs_based_on_num=2,EP649,(INDEX(Lists!$L$51:$L$85,MATCH(BF292,Lists!$K$51:$K$85,0))))</f>
        <v>3</v>
      </c>
      <c r="FO649" s="58">
        <f>IF(i_eff_inputs_based_on_num=2,EQ649,(INDEX(Lists!$L$51:$L$85,MATCH(BG292,Lists!$K$51:$K$85,0))))</f>
        <v>1</v>
      </c>
      <c r="FP649" s="58">
        <f>IF(i_eff_inputs_based_on_num=2,ER649,(INDEX(Lists!$L$51:$L$85,MATCH(BH292,Lists!$K$51:$K$85,0))))</f>
        <v>2</v>
      </c>
      <c r="FT649" s="58">
        <f t="shared" si="960"/>
        <v>0</v>
      </c>
      <c r="FW649" s="58">
        <f>IF(i_baseline_risk_from=2,'Effectiveness settings'!EW649,'Effectiveness settings'!FI649)</f>
        <v>0</v>
      </c>
      <c r="FX649" s="58">
        <f t="shared" si="961"/>
        <v>0</v>
      </c>
      <c r="FY649" s="58">
        <f t="shared" si="962"/>
        <v>0</v>
      </c>
      <c r="FZ649" s="58">
        <f t="shared" si="963"/>
        <v>0</v>
      </c>
      <c r="GA649" s="58">
        <f t="shared" si="964"/>
        <v>0</v>
      </c>
      <c r="GB649" s="58">
        <f t="shared" si="965"/>
        <v>0</v>
      </c>
      <c r="GC649" s="58">
        <f t="shared" si="966"/>
        <v>0</v>
      </c>
      <c r="GD649" s="58">
        <f t="shared" si="967"/>
        <v>0</v>
      </c>
      <c r="GE649" s="58">
        <f>IF(AND(dd_CheckMate214_TTD="Yes",'Effectiveness settings'!BU649=2,'Effectiveness settings'!BX649=2),"Apply HR to",GD649)</f>
        <v>0</v>
      </c>
      <c r="GF649" s="58">
        <f t="shared" si="968"/>
        <v>0</v>
      </c>
      <c r="GG649" s="58">
        <f t="shared" si="969"/>
        <v>0</v>
      </c>
      <c r="GH649" s="58">
        <f t="shared" si="970"/>
        <v>0</v>
      </c>
      <c r="GI649" s="58">
        <f t="shared" si="1034"/>
        <v>0</v>
      </c>
      <c r="GK649" s="58">
        <f>IF(i_baseline_risk_from=2,'Effectiveness settings'!FA649,'Effectiveness settings'!FM649)</f>
        <v>3</v>
      </c>
      <c r="GL649" s="58">
        <f>IF(i_baseline_risk_from=2,'Effectiveness settings'!FB649,'Effectiveness settings'!FN649)</f>
        <v>3</v>
      </c>
      <c r="GM649" s="58">
        <f>IF(i_baseline_risk_from=2,'Effectiveness settings'!FC649,'Effectiveness settings'!FO649)</f>
        <v>2</v>
      </c>
      <c r="GN649" s="58">
        <f>IF(i_baseline_risk_from=2,'Effectiveness settings'!FD649,'Effectiveness settings'!FP649)</f>
        <v>2</v>
      </c>
      <c r="GQ649" s="58">
        <f t="shared" si="971"/>
        <v>3</v>
      </c>
      <c r="GR649" s="58">
        <f t="shared" si="972"/>
        <v>3</v>
      </c>
      <c r="GS649" s="58">
        <f t="shared" si="973"/>
        <v>3</v>
      </c>
      <c r="GT649" s="58">
        <f t="shared" si="974"/>
        <v>3</v>
      </c>
      <c r="GU649" s="58">
        <f>IF(AND(dd_CheckMate214_TTD="Yes",'Effectiveness settings'!BU649=2,'Effectiveness settings'!BX649=2),2,GT649)</f>
        <v>3</v>
      </c>
      <c r="GV649" s="58">
        <f t="shared" si="975"/>
        <v>3</v>
      </c>
      <c r="GW649" s="58">
        <f t="shared" si="976"/>
        <v>3</v>
      </c>
      <c r="GY649" s="58">
        <f>IF(AND(dd_CheckMate214_TTD="Yes",'Effectiveness settings'!BU649=2,'Effectiveness settings'!BX649=2),1,GN649)</f>
        <v>2</v>
      </c>
      <c r="GZ649" s="58">
        <f t="shared" si="977"/>
        <v>2</v>
      </c>
      <c r="HB649" s="58">
        <f t="shared" si="978"/>
        <v>0</v>
      </c>
      <c r="HD649" s="58">
        <f t="shared" si="1029"/>
        <v>0</v>
      </c>
      <c r="HE649" s="58">
        <f t="shared" si="1030"/>
        <v>3</v>
      </c>
      <c r="HF649" s="58">
        <f t="shared" si="1031"/>
        <v>3</v>
      </c>
      <c r="HG649" s="58">
        <f t="shared" si="1032"/>
        <v>2</v>
      </c>
      <c r="HH649" s="58">
        <f t="shared" si="1033"/>
        <v>2</v>
      </c>
    </row>
    <row r="650" spans="69:216" ht="15.75" x14ac:dyDescent="0.25">
      <c r="BQ650" s="58">
        <f t="shared" si="958"/>
        <v>383</v>
      </c>
      <c r="BR650" s="61">
        <v>0</v>
      </c>
      <c r="BS650" s="61" t="s">
        <v>31</v>
      </c>
      <c r="BT650" s="17">
        <v>4</v>
      </c>
      <c r="BU650" s="17">
        <v>4</v>
      </c>
      <c r="BV650" s="252" t="str">
        <f t="shared" si="1035"/>
        <v>avelumab_plus_axitinib</v>
      </c>
      <c r="BW650" s="1006" t="str" cm="1">
        <f t="array" ref="BW650">IF(AZ293="No",AZ293,INDEX(List_incl_anal_4L_all,IF(BU650=999,35,BU650+1)))</f>
        <v>No</v>
      </c>
      <c r="BX650" s="61">
        <f t="shared" si="1036"/>
        <v>2</v>
      </c>
      <c r="BY650" s="532" t="str">
        <f>BA293</f>
        <v>Time to treatment discontinuation</v>
      </c>
      <c r="BZ650" s="530">
        <f t="shared" si="1037"/>
        <v>0</v>
      </c>
      <c r="CA650" s="531">
        <f t="shared" si="1056"/>
        <v>0</v>
      </c>
      <c r="CB650" s="530">
        <f t="shared" si="1038"/>
        <v>0</v>
      </c>
      <c r="CC650" s="530">
        <f t="shared" si="1039"/>
        <v>3</v>
      </c>
      <c r="CD650" s="530">
        <f t="shared" si="1040"/>
        <v>4</v>
      </c>
      <c r="CE650" s="1295">
        <f t="shared" si="1041"/>
        <v>2</v>
      </c>
      <c r="CF650" s="1301">
        <f t="shared" si="1042"/>
        <v>2</v>
      </c>
      <c r="CG650" s="530" t="str">
        <f t="shared" si="1043"/>
        <v/>
      </c>
      <c r="CH650" s="505">
        <f t="shared" si="1025"/>
        <v>1</v>
      </c>
      <c r="CI650" s="505">
        <f t="shared" si="1026"/>
        <v>0</v>
      </c>
      <c r="CJ650" s="505">
        <f t="shared" si="1027"/>
        <v>0</v>
      </c>
      <c r="DK650" s="58" t="str" cm="1">
        <f t="array" ref="DK650">IF(AND($BT650=4,$BX650=4,$BU650=999),$DB$36,_xlfn.IFNA(INDEX(DB$13:DB$70,MATCH(1,($BR650=$CV$13:$CV$70)*($BT650=$CX$13:$CX$70)*($CE650=$CY$13:$CY$70)*($BY650=$DA$13:$DA$70)*($CD650=$DH$13:$DH$70),0)),""))</f>
        <v/>
      </c>
      <c r="DL650" s="58" t="str" cm="1">
        <f t="array" ref="DL650">IF(AND($BT650=4,$BX650=4,$BU650=999),$DC$36,_xlfn.IFNA(INDEX(CHOOSE(DP650,DB$13:DB$70,DC$13:DC$70,DD$13:DD$70,DE$13:DE$70),MATCH(1,($BR650=$CV$13:$CV$70)*($BT650=$CX$13:$CX$70)*($CE650=$CY$13:$CY$70)*($BY650=$DA$13:$DA$70)*($CD650=$DH$13:$DH$70),0)),""))</f>
        <v/>
      </c>
      <c r="DM650" s="740" t="str" cm="1">
        <f t="array" ref="DM650">IF(AND($BT650=4,$BX650=4,$BU650=999),$DD$36,_xlfn.IFNA(INDEX(DD$13:DD$68,MATCH(1,($BR650=$CV$13:$CV$68)*($BT650=$CX$13:$CX$68)*($CE650=$CY$13:$CY$68)*($BY650=$DA$13:$DA$68)*($CD650=$DH$13:$DH$68),0)),""))</f>
        <v/>
      </c>
      <c r="DN650" s="740" t="str" cm="1">
        <f t="array" ref="DN650">IF(AND($BT650=4,$BX650=4,$BU650=999),$DD$36,_xlfn.IFNA(INDEX(DE$13:DE$68,MATCH(1,($BR650=$CV$13:$CV$68)*($BT650=$CX$13:$CX$68)*($CE650=$CY$13:$CY$68)*($BY650=$DA$13:$DA$68)*($CD650=$DH$13:$DH$68),0)),""))</f>
        <v/>
      </c>
      <c r="DO650" s="58" t="str" cm="1">
        <f t="array" ref="DO650">IF(AND($BT650=4,$BX650=4,$BU650=999),$DF$36,_xlfn.IFNA(INDEX(DF$13:DF$70,MATCH(1,($BR650=$CV$13:$CV$70)*($BT650=$CX$13:$CX$70)*($CE650=$CY$13:$CY$70)*($BY650=$DA$13:$DA$70)*($CD650=$DH$13:$DH$70),0)),""))</f>
        <v/>
      </c>
      <c r="DP650" s="58" t="e">
        <f t="shared" si="959"/>
        <v>#N/A</v>
      </c>
      <c r="DW650" s="58" t="s">
        <v>58</v>
      </c>
      <c r="DX650" s="58" t="s">
        <v>554</v>
      </c>
      <c r="DY650" s="58">
        <v>0</v>
      </c>
      <c r="DZ650" s="58">
        <v>0</v>
      </c>
      <c r="EB650" s="58">
        <v>0</v>
      </c>
      <c r="EC650" s="58">
        <v>3</v>
      </c>
      <c r="ED650" s="58">
        <v>4</v>
      </c>
      <c r="EE650" s="58">
        <v>2</v>
      </c>
      <c r="EF650" s="58">
        <v>2</v>
      </c>
      <c r="EI650" s="58" t="s">
        <v>58</v>
      </c>
      <c r="EJ650" s="58" t="s">
        <v>554</v>
      </c>
      <c r="EK650" s="58">
        <v>0</v>
      </c>
      <c r="EL650" s="58">
        <v>0</v>
      </c>
      <c r="EN650" s="58">
        <v>0</v>
      </c>
      <c r="EO650" s="58">
        <v>3</v>
      </c>
      <c r="EP650" s="58">
        <v>4</v>
      </c>
      <c r="EQ650" s="58">
        <v>1</v>
      </c>
      <c r="ER650" s="58">
        <v>2</v>
      </c>
      <c r="EU650" s="58" t="str">
        <f t="shared" si="1044"/>
        <v>No</v>
      </c>
      <c r="EV650" s="58" t="str">
        <f t="shared" si="1045"/>
        <v>Time to treatment discontinuation</v>
      </c>
      <c r="EW650" s="58">
        <f t="shared" si="1046"/>
        <v>0</v>
      </c>
      <c r="EX650" s="58">
        <f t="shared" si="1047"/>
        <v>0</v>
      </c>
      <c r="EZ650" s="58">
        <f t="shared" si="1048"/>
        <v>0</v>
      </c>
      <c r="FA650" s="58">
        <f t="shared" si="1049"/>
        <v>3</v>
      </c>
      <c r="FB650" s="58">
        <f>IF(i_eff_inputs_based_on_num=2,ED650,(INDEX(Lists!$L$51:$L$85,MATCH(BF293,Lists!$K$51:$K$85,0))))</f>
        <v>4</v>
      </c>
      <c r="FC650" s="58">
        <f>IF(i_eff_inputs_based_on_num=2,EE650,(INDEX(Lists!$L$51:$L$85,MATCH(BG293,Lists!$K$51:$K$85,0))))</f>
        <v>2</v>
      </c>
      <c r="FD650" s="58">
        <f>IF(i_eff_inputs_based_on_num=2,EF650,(INDEX(Lists!$L$51:$L$85,MATCH(BH293,Lists!$K$51:$K$85,0))))</f>
        <v>2</v>
      </c>
      <c r="FG650" s="58" t="str">
        <f t="shared" si="1050"/>
        <v>No</v>
      </c>
      <c r="FH650" s="58" t="str">
        <f t="shared" si="1051"/>
        <v>Time to treatment discontinuation</v>
      </c>
      <c r="FI650" s="58">
        <f t="shared" si="1052"/>
        <v>0</v>
      </c>
      <c r="FJ650" s="58">
        <f t="shared" si="1053"/>
        <v>0</v>
      </c>
      <c r="FL650" s="58">
        <f t="shared" si="1054"/>
        <v>0</v>
      </c>
      <c r="FM650" s="58">
        <f t="shared" si="1055"/>
        <v>3</v>
      </c>
      <c r="FN650" s="58">
        <f>IF(i_eff_inputs_based_on_num=2,EP650,(INDEX(Lists!$L$51:$L$85,MATCH(BF293,Lists!$K$51:$K$85,0))))</f>
        <v>4</v>
      </c>
      <c r="FO650" s="58">
        <f>IF(i_eff_inputs_based_on_num=2,EQ650,(INDEX(Lists!$L$51:$L$85,MATCH(BG293,Lists!$K$51:$K$85,0))))</f>
        <v>1</v>
      </c>
      <c r="FP650" s="58">
        <f>IF(i_eff_inputs_based_on_num=2,ER650,(INDEX(Lists!$L$51:$L$85,MATCH(BH293,Lists!$K$51:$K$85,0))))</f>
        <v>2</v>
      </c>
      <c r="FT650" s="58">
        <f t="shared" si="960"/>
        <v>0</v>
      </c>
      <c r="FW650" s="58">
        <f>IF(i_baseline_risk_from=2,'Effectiveness settings'!EW650,'Effectiveness settings'!FI650)</f>
        <v>0</v>
      </c>
      <c r="FX650" s="58">
        <f t="shared" si="961"/>
        <v>0</v>
      </c>
      <c r="FY650" s="58">
        <f t="shared" si="962"/>
        <v>0</v>
      </c>
      <c r="FZ650" s="58">
        <f t="shared" si="963"/>
        <v>0</v>
      </c>
      <c r="GA650" s="58">
        <f t="shared" si="964"/>
        <v>0</v>
      </c>
      <c r="GB650" s="58">
        <f t="shared" si="965"/>
        <v>0</v>
      </c>
      <c r="GC650" s="58">
        <f t="shared" si="966"/>
        <v>0</v>
      </c>
      <c r="GD650" s="58">
        <f t="shared" si="967"/>
        <v>0</v>
      </c>
      <c r="GE650" s="58">
        <f>IF(AND(dd_CheckMate214_TTD="Yes",'Effectiveness settings'!BU650=2,'Effectiveness settings'!BX650=2),"Apply HR to",GD650)</f>
        <v>0</v>
      </c>
      <c r="GF650" s="58">
        <f t="shared" si="968"/>
        <v>0</v>
      </c>
      <c r="GG650" s="58">
        <f t="shared" si="969"/>
        <v>0</v>
      </c>
      <c r="GH650" s="58">
        <f t="shared" si="970"/>
        <v>0</v>
      </c>
      <c r="GI650" s="58">
        <f t="shared" si="1034"/>
        <v>0</v>
      </c>
      <c r="GK650" s="58">
        <f>IF(i_baseline_risk_from=2,'Effectiveness settings'!FA650,'Effectiveness settings'!FM650)</f>
        <v>3</v>
      </c>
      <c r="GL650" s="58">
        <f>IF(i_baseline_risk_from=2,'Effectiveness settings'!FB650,'Effectiveness settings'!FN650)</f>
        <v>4</v>
      </c>
      <c r="GM650" s="58">
        <f>IF(i_baseline_risk_from=2,'Effectiveness settings'!FC650,'Effectiveness settings'!FO650)</f>
        <v>2</v>
      </c>
      <c r="GN650" s="58">
        <f>IF(i_baseline_risk_from=2,'Effectiveness settings'!FD650,'Effectiveness settings'!FP650)</f>
        <v>2</v>
      </c>
      <c r="GQ650" s="58">
        <f t="shared" si="971"/>
        <v>4</v>
      </c>
      <c r="GR650" s="58">
        <f t="shared" si="972"/>
        <v>4</v>
      </c>
      <c r="GS650" s="58">
        <f t="shared" si="973"/>
        <v>4</v>
      </c>
      <c r="GT650" s="58">
        <f t="shared" si="974"/>
        <v>4</v>
      </c>
      <c r="GU650" s="58">
        <f>IF(AND(dd_CheckMate214_TTD="Yes",'Effectiveness settings'!BU650=2,'Effectiveness settings'!BX650=2),2,GT650)</f>
        <v>4</v>
      </c>
      <c r="GV650" s="58">
        <f t="shared" si="975"/>
        <v>4</v>
      </c>
      <c r="GW650" s="58">
        <f t="shared" si="976"/>
        <v>4</v>
      </c>
      <c r="GY650" s="58">
        <f>IF(AND(dd_CheckMate214_TTD="Yes",'Effectiveness settings'!BU650=2,'Effectiveness settings'!BX650=2),1,GN650)</f>
        <v>2</v>
      </c>
      <c r="GZ650" s="58">
        <f t="shared" si="977"/>
        <v>2</v>
      </c>
      <c r="HB650" s="58">
        <f t="shared" si="978"/>
        <v>0</v>
      </c>
      <c r="HD650" s="58">
        <f t="shared" si="1029"/>
        <v>0</v>
      </c>
      <c r="HE650" s="58">
        <f t="shared" si="1030"/>
        <v>3</v>
      </c>
      <c r="HF650" s="58">
        <f t="shared" si="1031"/>
        <v>4</v>
      </c>
      <c r="HG650" s="58">
        <f t="shared" si="1032"/>
        <v>2</v>
      </c>
      <c r="HH650" s="58">
        <f t="shared" si="1033"/>
        <v>2</v>
      </c>
    </row>
    <row r="651" spans="69:216" ht="15.75" x14ac:dyDescent="0.25">
      <c r="BQ651" s="58">
        <f t="shared" si="958"/>
        <v>384</v>
      </c>
      <c r="BR651" s="61">
        <v>0</v>
      </c>
      <c r="BS651" s="61" t="s">
        <v>31</v>
      </c>
      <c r="BT651" s="17">
        <v>4</v>
      </c>
      <c r="BU651" s="17">
        <v>5</v>
      </c>
      <c r="BV651" s="252" t="str">
        <f t="shared" si="1035"/>
        <v>pazopanib</v>
      </c>
      <c r="BW651" s="1006" t="str" cm="1">
        <f t="array" ref="BW651">IF(AZ294="No",AZ294,INDEX(List_incl_anal_4L_all,IF(BU651=999,35,BU651+1)))</f>
        <v>Yes</v>
      </c>
      <c r="BX651" s="61">
        <f t="shared" si="1036"/>
        <v>2</v>
      </c>
      <c r="BY651" s="532" t="str">
        <f t="shared" ref="BY651:BY659" si="1057">BA294</f>
        <v>Time to treatment discontinuation</v>
      </c>
      <c r="BZ651" s="530" t="str">
        <f t="shared" si="1037"/>
        <v>Apply HR to</v>
      </c>
      <c r="CA651" s="531">
        <f t="shared" si="1056"/>
        <v>0</v>
      </c>
      <c r="CB651" s="530">
        <f t="shared" si="1038"/>
        <v>0</v>
      </c>
      <c r="CC651" s="530">
        <f t="shared" si="1039"/>
        <v>3</v>
      </c>
      <c r="CD651" s="530">
        <f t="shared" si="1040"/>
        <v>5</v>
      </c>
      <c r="CE651" s="1295">
        <f t="shared" si="1041"/>
        <v>2</v>
      </c>
      <c r="CF651" s="1301">
        <f t="shared" si="1042"/>
        <v>2</v>
      </c>
      <c r="CG651" s="530" t="str">
        <f t="shared" si="1043"/>
        <v/>
      </c>
      <c r="CH651" s="505">
        <f t="shared" si="1025"/>
        <v>1.7410000000000001</v>
      </c>
      <c r="CI651" s="505">
        <f t="shared" si="1026"/>
        <v>1.208</v>
      </c>
      <c r="CJ651" s="505">
        <f t="shared" si="1027"/>
        <v>2.5099999999999998</v>
      </c>
      <c r="DK651" s="58" t="str" cm="1">
        <f t="array" ref="DK651">IF(AND($BT651=4,$BX651=4,$BU651=999),$DB$36,_xlfn.IFNA(INDEX(DB$13:DB$70,MATCH(1,($BR651=$CV$13:$CV$70)*($BT651=$CX$13:$CX$70)*($CE651=$CY$13:$CY$70)*($BY651=$DA$13:$DA$70)*($CD651=$DH$13:$DH$70),0)),""))</f>
        <v/>
      </c>
      <c r="DL651" s="58" t="str" cm="1">
        <f t="array" ref="DL651">IF(AND($BT651=4,$BX651=4,$BU651=999),$DC$36,_xlfn.IFNA(INDEX(CHOOSE(DP651,DB$13:DB$70,DC$13:DC$70,DD$13:DD$70,DE$13:DE$70),MATCH(1,($BR651=$CV$13:$CV$70)*($BT651=$CX$13:$CX$70)*($CE651=$CY$13:$CY$70)*($BY651=$DA$13:$DA$70)*($CD651=$DH$13:$DH$70),0)),""))</f>
        <v/>
      </c>
      <c r="DM651" s="740" t="str" cm="1">
        <f t="array" ref="DM651">IF(AND($BT651=4,$BX651=4,$BU651=999),$DD$36,_xlfn.IFNA(INDEX(DD$13:DD$68,MATCH(1,($BR651=$CV$13:$CV$68)*($BT651=$CX$13:$CX$68)*($CE651=$CY$13:$CY$68)*($BY651=$DA$13:$DA$68)*($CD651=$DH$13:$DH$68),0)),""))</f>
        <v/>
      </c>
      <c r="DN651" s="740" t="str" cm="1">
        <f t="array" ref="DN651">IF(AND($BT651=4,$BX651=4,$BU651=999),$DD$36,_xlfn.IFNA(INDEX(DE$13:DE$68,MATCH(1,($BR651=$CV$13:$CV$68)*($BT651=$CX$13:$CX$68)*($CE651=$CY$13:$CY$68)*($BY651=$DA$13:$DA$68)*($CD651=$DH$13:$DH$68),0)),""))</f>
        <v/>
      </c>
      <c r="DO651" s="58" t="str" cm="1">
        <f t="array" ref="DO651">IF(AND($BT651=4,$BX651=4,$BU651=999),$DF$36,_xlfn.IFNA(INDEX(DF$13:DF$70,MATCH(1,($BR651=$CV$13:$CV$70)*($BT651=$CX$13:$CX$70)*($CE651=$CY$13:$CY$70)*($BY651=$DA$13:$DA$70)*($CD651=$DH$13:$DH$70),0)),""))</f>
        <v/>
      </c>
      <c r="DP651" s="58" t="e">
        <f t="shared" si="959"/>
        <v>#N/A</v>
      </c>
      <c r="DW651" s="58" t="s">
        <v>74</v>
      </c>
      <c r="DX651" s="58" t="s">
        <v>554</v>
      </c>
      <c r="DY651" s="58" t="s">
        <v>578</v>
      </c>
      <c r="DZ651" s="58">
        <v>0</v>
      </c>
      <c r="EB651" s="58">
        <v>0</v>
      </c>
      <c r="EC651" s="58">
        <v>3</v>
      </c>
      <c r="ED651" s="58">
        <v>5</v>
      </c>
      <c r="EE651" s="58">
        <v>2</v>
      </c>
      <c r="EF651" s="58">
        <v>2</v>
      </c>
      <c r="EI651" s="58" t="s">
        <v>74</v>
      </c>
      <c r="EJ651" s="58" t="s">
        <v>554</v>
      </c>
      <c r="EK651" s="58" t="s">
        <v>578</v>
      </c>
      <c r="EL651" s="58">
        <v>0</v>
      </c>
      <c r="EN651" s="58">
        <v>0</v>
      </c>
      <c r="EO651" s="58">
        <v>3</v>
      </c>
      <c r="EP651" s="58">
        <v>7</v>
      </c>
      <c r="EQ651" s="58">
        <v>1</v>
      </c>
      <c r="ER651" s="58">
        <v>2</v>
      </c>
      <c r="EU651" s="58" t="str">
        <f t="shared" si="1044"/>
        <v>Yes</v>
      </c>
      <c r="EV651" s="58" t="str">
        <f t="shared" si="1045"/>
        <v>Time to treatment discontinuation</v>
      </c>
      <c r="EW651" s="58" t="str">
        <f t="shared" si="1046"/>
        <v>Apply HR to</v>
      </c>
      <c r="EX651" s="58">
        <f t="shared" si="1047"/>
        <v>0</v>
      </c>
      <c r="EZ651" s="58">
        <f t="shared" si="1048"/>
        <v>0</v>
      </c>
      <c r="FA651" s="58">
        <f t="shared" si="1049"/>
        <v>3</v>
      </c>
      <c r="FB651" s="58">
        <f>IF(i_eff_inputs_based_on_num=2,ED651,(INDEX(Lists!$L$51:$L$85,MATCH(BF294,Lists!$K$51:$K$85,0))))</f>
        <v>5</v>
      </c>
      <c r="FC651" s="58">
        <f>IF(i_eff_inputs_based_on_num=2,EE651,(INDEX(Lists!$L$51:$L$85,MATCH(BG294,Lists!$K$51:$K$85,0))))</f>
        <v>2</v>
      </c>
      <c r="FD651" s="58">
        <f>IF(i_eff_inputs_based_on_num=2,EF651,(INDEX(Lists!$L$51:$L$85,MATCH(BH294,Lists!$K$51:$K$85,0))))</f>
        <v>2</v>
      </c>
      <c r="FG651" s="58" t="str">
        <f t="shared" si="1050"/>
        <v>Yes</v>
      </c>
      <c r="FH651" s="58" t="str">
        <f t="shared" si="1051"/>
        <v>Time to treatment discontinuation</v>
      </c>
      <c r="FI651" s="58" t="str">
        <f t="shared" si="1052"/>
        <v>Apply HR to</v>
      </c>
      <c r="FJ651" s="58">
        <f t="shared" si="1053"/>
        <v>0</v>
      </c>
      <c r="FL651" s="58">
        <f t="shared" si="1054"/>
        <v>0</v>
      </c>
      <c r="FM651" s="58">
        <f t="shared" si="1055"/>
        <v>3</v>
      </c>
      <c r="FN651" s="58">
        <f>IF(i_eff_inputs_based_on_num=2,EP651,(INDEX(Lists!$L$51:$L$85,MATCH(BF294,Lists!$K$51:$K$85,0))))</f>
        <v>7</v>
      </c>
      <c r="FO651" s="58">
        <f>IF(i_eff_inputs_based_on_num=2,EQ651,(INDEX(Lists!$L$51:$L$85,MATCH(BG294,Lists!$K$51:$K$85,0))))</f>
        <v>1</v>
      </c>
      <c r="FP651" s="58">
        <f>IF(i_eff_inputs_based_on_num=2,ER651,(INDEX(Lists!$L$51:$L$85,MATCH(BH294,Lists!$K$51:$K$85,0))))</f>
        <v>2</v>
      </c>
      <c r="FT651" s="58">
        <f t="shared" si="960"/>
        <v>0</v>
      </c>
      <c r="FW651" s="58" t="str">
        <f>IF(i_baseline_risk_from=2,'Effectiveness settings'!EW651,'Effectiveness settings'!FI651)</f>
        <v>Apply HR to</v>
      </c>
      <c r="FX651" s="58" t="str">
        <f t="shared" si="961"/>
        <v>Apply HR to</v>
      </c>
      <c r="FY651" s="58" t="str">
        <f t="shared" si="962"/>
        <v>Apply HR to</v>
      </c>
      <c r="FZ651" s="58" t="str">
        <f t="shared" si="963"/>
        <v>Apply HR to</v>
      </c>
      <c r="GA651" s="58" t="str">
        <f t="shared" si="964"/>
        <v>Apply HR to</v>
      </c>
      <c r="GB651" s="58" t="str">
        <f t="shared" si="965"/>
        <v>Apply HR to</v>
      </c>
      <c r="GC651" s="58" t="str">
        <f t="shared" si="966"/>
        <v>Apply HR to</v>
      </c>
      <c r="GD651" s="58" t="str">
        <f t="shared" si="967"/>
        <v>Apply HR to</v>
      </c>
      <c r="GE651" s="58" t="str">
        <f>IF(AND(dd_CheckMate214_TTD="Yes",'Effectiveness settings'!BU651=2,'Effectiveness settings'!BX651=2),"Apply HR to",GD651)</f>
        <v>Apply HR to</v>
      </c>
      <c r="GF651" s="58" t="str">
        <f t="shared" si="968"/>
        <v>Apply HR to</v>
      </c>
      <c r="GG651" s="58" t="str">
        <f t="shared" si="969"/>
        <v>Apply HR to</v>
      </c>
      <c r="GH651" s="58" t="str">
        <f t="shared" si="970"/>
        <v>Apply HR to</v>
      </c>
      <c r="GI651" s="58" t="str">
        <f t="shared" si="1034"/>
        <v>Apply HR to</v>
      </c>
      <c r="GK651" s="58">
        <f>IF(i_baseline_risk_from=2,'Effectiveness settings'!FA651,'Effectiveness settings'!FM651)</f>
        <v>3</v>
      </c>
      <c r="GL651" s="58">
        <f>IF(i_baseline_risk_from=2,'Effectiveness settings'!FB651,'Effectiveness settings'!FN651)</f>
        <v>5</v>
      </c>
      <c r="GM651" s="58">
        <f>IF(i_baseline_risk_from=2,'Effectiveness settings'!FC651,'Effectiveness settings'!FO651)</f>
        <v>2</v>
      </c>
      <c r="GN651" s="58">
        <f>IF(i_baseline_risk_from=2,'Effectiveness settings'!FD651,'Effectiveness settings'!FP651)</f>
        <v>2</v>
      </c>
      <c r="GQ651" s="58">
        <f t="shared" si="971"/>
        <v>5</v>
      </c>
      <c r="GR651" s="58">
        <f t="shared" si="972"/>
        <v>5</v>
      </c>
      <c r="GS651" s="58">
        <f t="shared" si="973"/>
        <v>5</v>
      </c>
      <c r="GT651" s="58">
        <f t="shared" si="974"/>
        <v>5</v>
      </c>
      <c r="GU651" s="58">
        <f>IF(AND(dd_CheckMate214_TTD="Yes",'Effectiveness settings'!BU651=2,'Effectiveness settings'!BX651=2),2,GT651)</f>
        <v>5</v>
      </c>
      <c r="GV651" s="58">
        <f t="shared" si="975"/>
        <v>5</v>
      </c>
      <c r="GW651" s="58">
        <f t="shared" si="976"/>
        <v>5</v>
      </c>
      <c r="GY651" s="58">
        <f>IF(AND(dd_CheckMate214_TTD="Yes",'Effectiveness settings'!BU651=2,'Effectiveness settings'!BX651=2),1,GN651)</f>
        <v>2</v>
      </c>
      <c r="GZ651" s="58">
        <f t="shared" si="977"/>
        <v>2</v>
      </c>
      <c r="HB651" s="58">
        <f t="shared" si="978"/>
        <v>0</v>
      </c>
      <c r="HD651" s="58">
        <f t="shared" si="1029"/>
        <v>0</v>
      </c>
      <c r="HE651" s="58">
        <f t="shared" si="1030"/>
        <v>3</v>
      </c>
      <c r="HF651" s="58">
        <f t="shared" si="1031"/>
        <v>5</v>
      </c>
      <c r="HG651" s="58">
        <f t="shared" si="1032"/>
        <v>2</v>
      </c>
      <c r="HH651" s="58">
        <f t="shared" si="1033"/>
        <v>2</v>
      </c>
    </row>
    <row r="652" spans="69:216" ht="15.75" x14ac:dyDescent="0.25">
      <c r="BQ652" s="58">
        <f t="shared" si="958"/>
        <v>385</v>
      </c>
      <c r="BR652" s="61">
        <v>0</v>
      </c>
      <c r="BS652" s="61" t="s">
        <v>31</v>
      </c>
      <c r="BT652" s="17">
        <v>4</v>
      </c>
      <c r="BU652" s="17">
        <v>6</v>
      </c>
      <c r="BV652" s="252" t="str">
        <f t="shared" si="1035"/>
        <v>tivozanib</v>
      </c>
      <c r="BW652" s="1006" t="str" cm="1">
        <f t="array" ref="BW652">IF(AZ295="No",AZ295,INDEX(List_incl_anal_4L_all,IF(BU652=999,35,BU652+1)))</f>
        <v>Yes</v>
      </c>
      <c r="BX652" s="61">
        <f t="shared" si="1036"/>
        <v>2</v>
      </c>
      <c r="BY652" s="532" t="str">
        <f t="shared" si="1057"/>
        <v>Time to treatment discontinuation</v>
      </c>
      <c r="BZ652" s="530" t="str">
        <f t="shared" si="1037"/>
        <v>Apply HR to</v>
      </c>
      <c r="CA652" s="531">
        <f t="shared" si="1056"/>
        <v>0</v>
      </c>
      <c r="CB652" s="530">
        <f t="shared" si="1038"/>
        <v>0</v>
      </c>
      <c r="CC652" s="530">
        <f t="shared" si="1039"/>
        <v>3</v>
      </c>
      <c r="CD652" s="530">
        <f t="shared" si="1040"/>
        <v>6</v>
      </c>
      <c r="CE652" s="1295">
        <f t="shared" si="1041"/>
        <v>2</v>
      </c>
      <c r="CF652" s="1301">
        <f t="shared" si="1042"/>
        <v>2</v>
      </c>
      <c r="CG652" s="530" t="str">
        <f t="shared" si="1043"/>
        <v/>
      </c>
      <c r="CH652" s="505">
        <f t="shared" si="1025"/>
        <v>1.7410000000000001</v>
      </c>
      <c r="CI652" s="505">
        <f t="shared" si="1026"/>
        <v>1.208</v>
      </c>
      <c r="CJ652" s="505">
        <f t="shared" si="1027"/>
        <v>2.5099999999999998</v>
      </c>
      <c r="DK652" s="58" t="str" cm="1">
        <f t="array" ref="DK652">IF(AND($BT652=4,$BX652=4,$BU652=999),$DB$36,_xlfn.IFNA(INDEX(DB$13:DB$70,MATCH(1,($BR652=$CV$13:$CV$70)*($BT652=$CX$13:$CX$70)*($CE652=$CY$13:$CY$70)*($BY652=$DA$13:$DA$70)*($CD652=$DH$13:$DH$70),0)),""))</f>
        <v/>
      </c>
      <c r="DL652" s="58" t="str" cm="1">
        <f t="array" ref="DL652">IF(AND($BT652=4,$BX652=4,$BU652=999),$DC$36,_xlfn.IFNA(INDEX(CHOOSE(DP652,DB$13:DB$70,DC$13:DC$70,DD$13:DD$70,DE$13:DE$70),MATCH(1,($BR652=$CV$13:$CV$70)*($BT652=$CX$13:$CX$70)*($CE652=$CY$13:$CY$70)*($BY652=$DA$13:$DA$70)*($CD652=$DH$13:$DH$70),0)),""))</f>
        <v/>
      </c>
      <c r="DM652" s="740" t="str" cm="1">
        <f t="array" ref="DM652">IF(AND($BT652=4,$BX652=4,$BU652=999),$DD$36,_xlfn.IFNA(INDEX(DD$13:DD$68,MATCH(1,($BR652=$CV$13:$CV$68)*($BT652=$CX$13:$CX$68)*($CE652=$CY$13:$CY$68)*($BY652=$DA$13:$DA$68)*($CD652=$DH$13:$DH$68),0)),""))</f>
        <v/>
      </c>
      <c r="DN652" s="740" t="str" cm="1">
        <f t="array" ref="DN652">IF(AND($BT652=4,$BX652=4,$BU652=999),$DD$36,_xlfn.IFNA(INDEX(DE$13:DE$68,MATCH(1,($BR652=$CV$13:$CV$68)*($BT652=$CX$13:$CX$68)*($CE652=$CY$13:$CY$68)*($BY652=$DA$13:$DA$68)*($CD652=$DH$13:$DH$68),0)),""))</f>
        <v/>
      </c>
      <c r="DO652" s="58" t="str" cm="1">
        <f t="array" ref="DO652">IF(AND($BT652=4,$BX652=4,$BU652=999),$DF$36,_xlfn.IFNA(INDEX(DF$13:DF$70,MATCH(1,($BR652=$CV$13:$CV$70)*($BT652=$CX$13:$CX$70)*($CE652=$CY$13:$CY$70)*($BY652=$DA$13:$DA$70)*($CD652=$DH$13:$DH$70),0)),""))</f>
        <v/>
      </c>
      <c r="DP652" s="58" t="e">
        <f t="shared" si="959"/>
        <v>#N/A</v>
      </c>
      <c r="DW652" s="58" t="s">
        <v>74</v>
      </c>
      <c r="DX652" s="58" t="s">
        <v>554</v>
      </c>
      <c r="DY652" s="58" t="s">
        <v>578</v>
      </c>
      <c r="DZ652" s="58">
        <v>0</v>
      </c>
      <c r="EB652" s="58">
        <v>0</v>
      </c>
      <c r="EC652" s="58">
        <v>3</v>
      </c>
      <c r="ED652" s="58">
        <v>6</v>
      </c>
      <c r="EE652" s="58">
        <v>2</v>
      </c>
      <c r="EF652" s="58">
        <v>2</v>
      </c>
      <c r="EI652" s="58" t="s">
        <v>74</v>
      </c>
      <c r="EJ652" s="58" t="s">
        <v>554</v>
      </c>
      <c r="EK652" s="58" t="s">
        <v>578</v>
      </c>
      <c r="EL652" s="58">
        <v>0</v>
      </c>
      <c r="EN652" s="58">
        <v>0</v>
      </c>
      <c r="EO652" s="58">
        <v>3</v>
      </c>
      <c r="EP652" s="58">
        <v>6</v>
      </c>
      <c r="EQ652" s="58">
        <v>1</v>
      </c>
      <c r="ER652" s="58">
        <v>2</v>
      </c>
      <c r="EU652" s="58" t="str">
        <f t="shared" si="1044"/>
        <v>Yes</v>
      </c>
      <c r="EV652" s="58" t="str">
        <f t="shared" si="1045"/>
        <v>Time to treatment discontinuation</v>
      </c>
      <c r="EW652" s="58" t="str">
        <f t="shared" si="1046"/>
        <v>Apply HR to</v>
      </c>
      <c r="EX652" s="58">
        <f t="shared" si="1047"/>
        <v>0</v>
      </c>
      <c r="EZ652" s="58">
        <f t="shared" si="1048"/>
        <v>0</v>
      </c>
      <c r="FA652" s="58">
        <f t="shared" si="1049"/>
        <v>3</v>
      </c>
      <c r="FB652" s="58">
        <f>IF(i_eff_inputs_based_on_num=2,ED652,(INDEX(Lists!$L$51:$L$85,MATCH(BF295,Lists!$K$51:$K$85,0))))</f>
        <v>6</v>
      </c>
      <c r="FC652" s="58">
        <f>IF(i_eff_inputs_based_on_num=2,EE652,(INDEX(Lists!$L$51:$L$85,MATCH(BG295,Lists!$K$51:$K$85,0))))</f>
        <v>2</v>
      </c>
      <c r="FD652" s="58">
        <f>IF(i_eff_inputs_based_on_num=2,EF652,(INDEX(Lists!$L$51:$L$85,MATCH(BH295,Lists!$K$51:$K$85,0))))</f>
        <v>2</v>
      </c>
      <c r="FG652" s="58" t="str">
        <f t="shared" si="1050"/>
        <v>Yes</v>
      </c>
      <c r="FH652" s="58" t="str">
        <f t="shared" si="1051"/>
        <v>Time to treatment discontinuation</v>
      </c>
      <c r="FI652" s="58" t="str">
        <f t="shared" si="1052"/>
        <v>Apply HR to</v>
      </c>
      <c r="FJ652" s="58">
        <f t="shared" si="1053"/>
        <v>0</v>
      </c>
      <c r="FL652" s="58">
        <f t="shared" si="1054"/>
        <v>0</v>
      </c>
      <c r="FM652" s="58">
        <f t="shared" si="1055"/>
        <v>3</v>
      </c>
      <c r="FN652" s="58">
        <f>IF(i_eff_inputs_based_on_num=2,EP652,(INDEX(Lists!$L$51:$L$85,MATCH(BF295,Lists!$K$51:$K$85,0))))</f>
        <v>6</v>
      </c>
      <c r="FO652" s="58">
        <f>IF(i_eff_inputs_based_on_num=2,EQ652,(INDEX(Lists!$L$51:$L$85,MATCH(BG295,Lists!$K$51:$K$85,0))))</f>
        <v>1</v>
      </c>
      <c r="FP652" s="58">
        <f>IF(i_eff_inputs_based_on_num=2,ER652,(INDEX(Lists!$L$51:$L$85,MATCH(BH295,Lists!$K$51:$K$85,0))))</f>
        <v>2</v>
      </c>
      <c r="FT652" s="58">
        <f t="shared" si="960"/>
        <v>0</v>
      </c>
      <c r="FW652" s="58" t="str">
        <f>IF(i_baseline_risk_from=2,'Effectiveness settings'!EW652,'Effectiveness settings'!FI652)</f>
        <v>Apply HR to</v>
      </c>
      <c r="FX652" s="58" t="str">
        <f t="shared" si="961"/>
        <v>Apply HR to</v>
      </c>
      <c r="FY652" s="58" t="str">
        <f t="shared" si="962"/>
        <v>Apply HR to</v>
      </c>
      <c r="FZ652" s="58" t="str">
        <f t="shared" si="963"/>
        <v>Apply HR to</v>
      </c>
      <c r="GA652" s="58" t="str">
        <f t="shared" si="964"/>
        <v>Apply HR to</v>
      </c>
      <c r="GB652" s="58" t="str">
        <f t="shared" si="965"/>
        <v>Apply HR to</v>
      </c>
      <c r="GC652" s="58" t="str">
        <f t="shared" si="966"/>
        <v>Apply HR to</v>
      </c>
      <c r="GD652" s="58" t="str">
        <f t="shared" si="967"/>
        <v>Apply HR to</v>
      </c>
      <c r="GE652" s="58" t="str">
        <f>IF(AND(dd_CheckMate214_TTD="Yes",'Effectiveness settings'!BU652=2,'Effectiveness settings'!BX652=2),"Apply HR to",GD652)</f>
        <v>Apply HR to</v>
      </c>
      <c r="GF652" s="58" t="str">
        <f t="shared" si="968"/>
        <v>Apply HR to</v>
      </c>
      <c r="GG652" s="58" t="str">
        <f t="shared" si="969"/>
        <v>Apply HR to</v>
      </c>
      <c r="GH652" s="58" t="str">
        <f t="shared" si="970"/>
        <v>Apply HR to</v>
      </c>
      <c r="GI652" s="58" t="str">
        <f t="shared" si="1034"/>
        <v>Apply HR to</v>
      </c>
      <c r="GK652" s="58">
        <f>IF(i_baseline_risk_from=2,'Effectiveness settings'!FA652,'Effectiveness settings'!FM652)</f>
        <v>3</v>
      </c>
      <c r="GL652" s="58">
        <f>IF(i_baseline_risk_from=2,'Effectiveness settings'!FB652,'Effectiveness settings'!FN652)</f>
        <v>6</v>
      </c>
      <c r="GM652" s="58">
        <f>IF(i_baseline_risk_from=2,'Effectiveness settings'!FC652,'Effectiveness settings'!FO652)</f>
        <v>2</v>
      </c>
      <c r="GN652" s="58">
        <f>IF(i_baseline_risk_from=2,'Effectiveness settings'!FD652,'Effectiveness settings'!FP652)</f>
        <v>2</v>
      </c>
      <c r="GQ652" s="58">
        <f t="shared" si="971"/>
        <v>6</v>
      </c>
      <c r="GR652" s="58">
        <f t="shared" si="972"/>
        <v>6</v>
      </c>
      <c r="GS652" s="58">
        <f t="shared" si="973"/>
        <v>6</v>
      </c>
      <c r="GT652" s="58">
        <f t="shared" si="974"/>
        <v>6</v>
      </c>
      <c r="GU652" s="58">
        <f>IF(AND(dd_CheckMate214_TTD="Yes",'Effectiveness settings'!BU652=2,'Effectiveness settings'!BX652=2),2,GT652)</f>
        <v>6</v>
      </c>
      <c r="GV652" s="58">
        <f t="shared" si="975"/>
        <v>6</v>
      </c>
      <c r="GW652" s="58">
        <f t="shared" si="976"/>
        <v>6</v>
      </c>
      <c r="GY652" s="58">
        <f>IF(AND(dd_CheckMate214_TTD="Yes",'Effectiveness settings'!BU652=2,'Effectiveness settings'!BX652=2),1,GN652)</f>
        <v>2</v>
      </c>
      <c r="GZ652" s="58">
        <f t="shared" si="977"/>
        <v>2</v>
      </c>
      <c r="HB652" s="58">
        <f t="shared" si="978"/>
        <v>0</v>
      </c>
      <c r="HD652" s="58">
        <f t="shared" si="1029"/>
        <v>0</v>
      </c>
      <c r="HE652" s="58">
        <f t="shared" si="1030"/>
        <v>3</v>
      </c>
      <c r="HF652" s="58">
        <f t="shared" si="1031"/>
        <v>6</v>
      </c>
      <c r="HG652" s="58">
        <f t="shared" si="1032"/>
        <v>2</v>
      </c>
      <c r="HH652" s="58">
        <f t="shared" si="1033"/>
        <v>2</v>
      </c>
    </row>
    <row r="653" spans="69:216" ht="15.75" x14ac:dyDescent="0.25">
      <c r="BQ653" s="58">
        <f t="shared" ref="BQ653:BQ689" si="1058">BQ652+IF(ISBLANK(BR653),0,1)</f>
        <v>386</v>
      </c>
      <c r="BR653" s="61">
        <v>0</v>
      </c>
      <c r="BS653" s="61" t="s">
        <v>31</v>
      </c>
      <c r="BT653" s="17">
        <v>4</v>
      </c>
      <c r="BU653" s="17">
        <v>7</v>
      </c>
      <c r="BV653" s="252" t="str">
        <f t="shared" si="1035"/>
        <v>sunitinib</v>
      </c>
      <c r="BW653" s="1006" t="str" cm="1">
        <f t="array" ref="BW653">IF(AZ296="No",AZ296,INDEX(List_incl_anal_4L_all,IF(BU653=999,35,BU653+1)))</f>
        <v>Yes</v>
      </c>
      <c r="BX653" s="61">
        <f t="shared" si="1036"/>
        <v>2</v>
      </c>
      <c r="BY653" s="532" t="str">
        <f t="shared" si="1057"/>
        <v>Time to treatment discontinuation</v>
      </c>
      <c r="BZ653" s="530" t="str">
        <f t="shared" si="1037"/>
        <v>Apply HR to</v>
      </c>
      <c r="CA653" s="531">
        <f t="shared" si="1056"/>
        <v>0</v>
      </c>
      <c r="CB653" s="530">
        <f t="shared" si="1038"/>
        <v>0</v>
      </c>
      <c r="CC653" s="530">
        <f t="shared" si="1039"/>
        <v>3</v>
      </c>
      <c r="CD653" s="530">
        <f t="shared" si="1040"/>
        <v>7</v>
      </c>
      <c r="CE653" s="1295">
        <f t="shared" si="1041"/>
        <v>2</v>
      </c>
      <c r="CF653" s="1301">
        <f t="shared" si="1042"/>
        <v>2</v>
      </c>
      <c r="CG653" s="530" t="str">
        <f t="shared" si="1043"/>
        <v/>
      </c>
      <c r="CH653" s="505">
        <f t="shared" si="1025"/>
        <v>1.7410000000000001</v>
      </c>
      <c r="CI653" s="505">
        <f t="shared" si="1026"/>
        <v>1.208</v>
      </c>
      <c r="CJ653" s="505">
        <f t="shared" si="1027"/>
        <v>2.5099999999999998</v>
      </c>
      <c r="DK653" s="58" t="str" cm="1">
        <f t="array" ref="DK653">IF(AND($BT653=4,$BX653=4,$BU653=999),$DB$36,_xlfn.IFNA(INDEX(DB$13:DB$70,MATCH(1,($BR653=$CV$13:$CV$70)*($BT653=$CX$13:$CX$70)*($CE653=$CY$13:$CY$70)*($BY653=$DA$13:$DA$70)*($CD653=$DH$13:$DH$70),0)),""))</f>
        <v/>
      </c>
      <c r="DL653" s="58" t="str" cm="1">
        <f t="array" ref="DL653">IF(AND($BT653=4,$BX653=4,$BU653=999),$DC$36,_xlfn.IFNA(INDEX(CHOOSE(DP653,DB$13:DB$70,DC$13:DC$70,DD$13:DD$70,DE$13:DE$70),MATCH(1,($BR653=$CV$13:$CV$70)*($BT653=$CX$13:$CX$70)*($CE653=$CY$13:$CY$70)*($BY653=$DA$13:$DA$70)*($CD653=$DH$13:$DH$70),0)),""))</f>
        <v/>
      </c>
      <c r="DM653" s="740" t="str" cm="1">
        <f t="array" ref="DM653">IF(AND($BT653=4,$BX653=4,$BU653=999),$DD$36,_xlfn.IFNA(INDEX(DD$13:DD$68,MATCH(1,($BR653=$CV$13:$CV$68)*($BT653=$CX$13:$CX$68)*($CE653=$CY$13:$CY$68)*($BY653=$DA$13:$DA$68)*($CD653=$DH$13:$DH$68),0)),""))</f>
        <v/>
      </c>
      <c r="DN653" s="740" t="str" cm="1">
        <f t="array" ref="DN653">IF(AND($BT653=4,$BX653=4,$BU653=999),$DD$36,_xlfn.IFNA(INDEX(DE$13:DE$68,MATCH(1,($BR653=$CV$13:$CV$68)*($BT653=$CX$13:$CX$68)*($CE653=$CY$13:$CY$68)*($BY653=$DA$13:$DA$68)*($CD653=$DH$13:$DH$68),0)),""))</f>
        <v/>
      </c>
      <c r="DO653" s="58" t="str" cm="1">
        <f t="array" ref="DO653">IF(AND($BT653=4,$BX653=4,$BU653=999),$DF$36,_xlfn.IFNA(INDEX(DF$13:DF$70,MATCH(1,($BR653=$CV$13:$CV$70)*($BT653=$CX$13:$CX$70)*($CE653=$CY$13:$CY$70)*($BY653=$DA$13:$DA$70)*($CD653=$DH$13:$DH$70),0)),""))</f>
        <v/>
      </c>
      <c r="DP653" s="58" t="e">
        <f t="shared" ref="DP653:DP689" si="1059">MATCH(DO653,List_surv_cur_ext,0)</f>
        <v>#N/A</v>
      </c>
      <c r="DW653" s="58" t="s">
        <v>74</v>
      </c>
      <c r="DX653" s="58" t="s">
        <v>554</v>
      </c>
      <c r="DY653" s="58" t="s">
        <v>578</v>
      </c>
      <c r="DZ653" s="58">
        <v>0</v>
      </c>
      <c r="EB653" s="58">
        <v>0</v>
      </c>
      <c r="EC653" s="58">
        <v>3</v>
      </c>
      <c r="ED653" s="58">
        <v>7</v>
      </c>
      <c r="EE653" s="58">
        <v>2</v>
      </c>
      <c r="EF653" s="58">
        <v>2</v>
      </c>
      <c r="EI653" s="58" t="s">
        <v>74</v>
      </c>
      <c r="EJ653" s="58" t="s">
        <v>554</v>
      </c>
      <c r="EK653" s="58" t="s">
        <v>578</v>
      </c>
      <c r="EL653" s="58">
        <v>0</v>
      </c>
      <c r="EN653" s="58">
        <v>0</v>
      </c>
      <c r="EO653" s="58">
        <v>3</v>
      </c>
      <c r="EP653" s="58">
        <v>7</v>
      </c>
      <c r="EQ653" s="58">
        <v>1</v>
      </c>
      <c r="ER653" s="58">
        <v>2</v>
      </c>
      <c r="EU653" s="58" t="str">
        <f t="shared" si="1044"/>
        <v>Yes</v>
      </c>
      <c r="EV653" s="58" t="str">
        <f t="shared" si="1045"/>
        <v>Time to treatment discontinuation</v>
      </c>
      <c r="EW653" s="58" t="str">
        <f t="shared" si="1046"/>
        <v>Apply HR to</v>
      </c>
      <c r="EX653" s="58">
        <f t="shared" si="1047"/>
        <v>0</v>
      </c>
      <c r="EZ653" s="58">
        <f t="shared" si="1048"/>
        <v>0</v>
      </c>
      <c r="FA653" s="58">
        <f t="shared" si="1049"/>
        <v>3</v>
      </c>
      <c r="FB653" s="58">
        <f>IF(i_eff_inputs_based_on_num=2,ED653,(INDEX(Lists!$L$51:$L$85,MATCH(BF296,Lists!$K$51:$K$85,0))))</f>
        <v>7</v>
      </c>
      <c r="FC653" s="58">
        <f>IF(i_eff_inputs_based_on_num=2,EE653,(INDEX(Lists!$L$51:$L$85,MATCH(BG296,Lists!$K$51:$K$85,0))))</f>
        <v>2</v>
      </c>
      <c r="FD653" s="58">
        <f>IF(i_eff_inputs_based_on_num=2,EF653,(INDEX(Lists!$L$51:$L$85,MATCH(BH296,Lists!$K$51:$K$85,0))))</f>
        <v>2</v>
      </c>
      <c r="FG653" s="58" t="str">
        <f t="shared" si="1050"/>
        <v>Yes</v>
      </c>
      <c r="FH653" s="58" t="str">
        <f t="shared" si="1051"/>
        <v>Time to treatment discontinuation</v>
      </c>
      <c r="FI653" s="58" t="str">
        <f t="shared" si="1052"/>
        <v>Apply HR to</v>
      </c>
      <c r="FJ653" s="58">
        <f t="shared" si="1053"/>
        <v>0</v>
      </c>
      <c r="FL653" s="58">
        <f t="shared" si="1054"/>
        <v>0</v>
      </c>
      <c r="FM653" s="58">
        <f t="shared" si="1055"/>
        <v>3</v>
      </c>
      <c r="FN653" s="58">
        <f>IF(i_eff_inputs_based_on_num=2,EP653,(INDEX(Lists!$L$51:$L$85,MATCH(BF296,Lists!$K$51:$K$85,0))))</f>
        <v>7</v>
      </c>
      <c r="FO653" s="58">
        <f>IF(i_eff_inputs_based_on_num=2,EQ653,(INDEX(Lists!$L$51:$L$85,MATCH(BG296,Lists!$K$51:$K$85,0))))</f>
        <v>1</v>
      </c>
      <c r="FP653" s="58">
        <f>IF(i_eff_inputs_based_on_num=2,ER653,(INDEX(Lists!$L$51:$L$85,MATCH(BH296,Lists!$K$51:$K$85,0))))</f>
        <v>2</v>
      </c>
      <c r="FT653" s="58">
        <f t="shared" ref="FT653:FT689" si="1060">IF(AND(BZ653="Trial survival analysis",CE653=0),INDEX(List_trials,1),IF(AND(BZ653="Trial survival analysis",CE653=1),INDEX(List_trials,2),IF(AND(BZ653="Trial survival analysis",OR(CE653=2,CC653=4)),INDEX(List_trials,3),0)))</f>
        <v>0</v>
      </c>
      <c r="FW653" s="58" t="str">
        <f>IF(i_baseline_risk_from=2,'Effectiveness settings'!EW653,'Effectiveness settings'!FI653)</f>
        <v>Apply HR to</v>
      </c>
      <c r="FX653" s="58" t="str">
        <f t="shared" ref="FX653:FX689" si="1061">IF(AND(BT653&gt;1,FW653="FP_NMA",dd_2ndline_NMA="PH_NMA"),"PH_NMA",FW653)</f>
        <v>Apply HR to</v>
      </c>
      <c r="FY653" s="58" t="str">
        <f t="shared" ref="FY653:FY689" si="1062">IF(AND(BU653=1,OR(FX653="PH_NMA",FX653="FP_NMA",FX653="Trial survival analysis")),IF(dd_cabo_nivo_outcome_from="FP_NMA",FX653,dd_cabo_nivo_outcome_from),FX653)</f>
        <v>Apply HR to</v>
      </c>
      <c r="FZ653" s="58" t="str">
        <f t="shared" ref="FZ653:FZ689" si="1063">IF(AND(dd_eq_eff_pazo_suni="Yes",BX653&lt;4,$BU653=5,BT653&lt;4,FY653&lt;&gt;"Apply HR to"),"Assume equal to",FY653)</f>
        <v>Apply HR to</v>
      </c>
      <c r="GA653" s="58" t="str">
        <f t="shared" ref="GA653:GA689" si="1064">IF(AND(dd_eq_eff_tivo_suni="Yes",BX653&lt;4,$BU653=6,BT653=1,FZ653&lt;&gt;"Apply HR to"),"Assume equal to",FZ653)</f>
        <v>Apply HR to</v>
      </c>
      <c r="GB653" s="58" t="str">
        <f t="shared" ref="GB653:GB689" si="1065">IF(AND(dd_eq_eff_evero_axi="Yes",BX653&lt;4,$BU653=11,BT653&lt;4,GA653&lt;&gt;"Apply HR to"),"Assume equal to",GA653)</f>
        <v>Apply HR to</v>
      </c>
      <c r="GC653" s="58" t="str">
        <f t="shared" ref="GC653:GC689" si="1066">IF(AND(BX653=4,BR653=1),GB653,(IF(AND(OR(GB653="PH_NMA",GB653="FP_NMA"),BU653=3,BR653&lt;&gt;2),dd_pemlen_NMA,GB653)))</f>
        <v>Apply HR to</v>
      </c>
      <c r="GD653" s="58" t="str">
        <f t="shared" ref="GD653:GD689" si="1067">IF(AND(BU653=3,dd_pemlen_equal = "Yes"),"Assume equal to",GC653)</f>
        <v>Apply HR to</v>
      </c>
      <c r="GE653" s="58" t="str">
        <f>IF(AND(dd_CheckMate214_TTD="Yes",'Effectiveness settings'!BU653=2,'Effectiveness settings'!BX653=2),"Apply HR to",GD653)</f>
        <v>Apply HR to</v>
      </c>
      <c r="GF653" s="58" t="str">
        <f t="shared" ref="GF653:GF689" si="1068">IF(AND(dd_TTD_same_as_PFS="Yes",BX653=2),"Assume equal to", GE653)</f>
        <v>Apply HR to</v>
      </c>
      <c r="GG653" s="58" t="str">
        <f t="shared" ref="GG653:GG689" si="1069">IF(AND(dd_nivoipiPFS="TTNT",BR653=1,BT653=1,BU653=2,BX653=1,dd_use_PHnma_for_FPnma="Yes"),"Apply HR to",GF653)</f>
        <v>Apply HR to</v>
      </c>
      <c r="GH653" s="58" t="str">
        <f t="shared" ref="GH653:GH689" si="1070">IF(AND(dd_eq_eff_cabo_suni="Yes",$BX653&lt;4,$BU653=8,$BT653=1,$BR653=1,$GG653&lt;&gt;"Apply HR to"),"Assume equal to",GG653)</f>
        <v>Apply HR to</v>
      </c>
      <c r="GI653" s="58" t="str">
        <f t="shared" si="1034"/>
        <v>Apply HR to</v>
      </c>
      <c r="GK653" s="58">
        <f>IF(i_baseline_risk_from=2,'Effectiveness settings'!FA653,'Effectiveness settings'!FM653)</f>
        <v>3</v>
      </c>
      <c r="GL653" s="58">
        <f>IF(i_baseline_risk_from=2,'Effectiveness settings'!FB653,'Effectiveness settings'!FN653)</f>
        <v>7</v>
      </c>
      <c r="GM653" s="58">
        <f>IF(i_baseline_risk_from=2,'Effectiveness settings'!FC653,'Effectiveness settings'!FO653)</f>
        <v>2</v>
      </c>
      <c r="GN653" s="58">
        <f>IF(i_baseline_risk_from=2,'Effectiveness settings'!FD653,'Effectiveness settings'!FP653)</f>
        <v>2</v>
      </c>
      <c r="GQ653" s="58">
        <f t="shared" ref="GQ653:GQ689" si="1071">IF(AND(dd_eq_eff_pazo_suni="Yes",BX653&lt;4,$BU653=5,BT653&lt;4,FY653&lt;&gt;"Apply HR to"),7,GL653)</f>
        <v>7</v>
      </c>
      <c r="GR653" s="58">
        <f t="shared" ref="GR653:GR689" si="1072">IF(AND(dd_eq_eff_tivo_suni="Yes",BX653&lt;4,$BU653=6,BT653=1,FY653&lt;&gt;"Apply HR to"),7,IF(AND(BX653&lt;4,$BU653=7,BT653&gt;1,FY653&lt;&gt;"Apply HR to"),6,GQ653))</f>
        <v>7</v>
      </c>
      <c r="GS653" s="58">
        <f t="shared" ref="GS653:GS689" si="1073">IF(AND(dd_eq_eff_evero_axi="Yes",BX653&lt;4,$BU653=11,BT653&lt;4,FY653&lt;&gt;"Apply HR to"),10,GR653)</f>
        <v>7</v>
      </c>
      <c r="GT653" s="58">
        <f t="shared" ref="GT653:GT689" si="1074">IF(AND(BU653=3,dd_pemlen_equal = "Yes"),1,GS653)</f>
        <v>7</v>
      </c>
      <c r="GU653" s="58">
        <f>IF(AND(dd_CheckMate214_TTD="Yes",'Effectiveness settings'!BU653=2,'Effectiveness settings'!BX653=2),2,GT653)</f>
        <v>7</v>
      </c>
      <c r="GV653" s="58">
        <f t="shared" ref="GV653:GV689" si="1075">IF(AND(BY653="Time to treatment discontinuation",dd_TTD_same_as_PFS="Yes"),BU653,GU653)</f>
        <v>7</v>
      </c>
      <c r="GW653" s="58">
        <f t="shared" ref="GW653:GW689" si="1076">IF(AND(dd_eq_eff_cabo_suni="Yes",$BX653&lt;4,$BU653=8,$BT653=1,$BR653=1,$GG653&lt;&gt;"Apply HR to"),7,GV653)</f>
        <v>7</v>
      </c>
      <c r="GY653" s="58">
        <f>IF(AND(dd_CheckMate214_TTD="Yes",'Effectiveness settings'!BU653=2,'Effectiveness settings'!BX653=2),1,GN653)</f>
        <v>2</v>
      </c>
      <c r="GZ653" s="58">
        <f t="shared" ref="GZ653:GZ689" si="1077">IF(AND(dd_TTD_same_as_PFS="Yes",BX653=2),1, GY653)</f>
        <v>2</v>
      </c>
      <c r="HB653" s="58">
        <f t="shared" ref="HB653:HB689" si="1078">IF(i_baseline_risk_from=2,EZ653,FL653)</f>
        <v>0</v>
      </c>
      <c r="HD653" s="58">
        <f t="shared" si="1029"/>
        <v>0</v>
      </c>
      <c r="HE653" s="58">
        <f t="shared" si="1030"/>
        <v>3</v>
      </c>
      <c r="HF653" s="58">
        <f t="shared" si="1031"/>
        <v>7</v>
      </c>
      <c r="HG653" s="58">
        <f t="shared" si="1032"/>
        <v>2</v>
      </c>
      <c r="HH653" s="58">
        <f t="shared" si="1033"/>
        <v>2</v>
      </c>
    </row>
    <row r="654" spans="69:216" ht="15.75" x14ac:dyDescent="0.25">
      <c r="BQ654" s="58">
        <f t="shared" si="1058"/>
        <v>387</v>
      </c>
      <c r="BR654" s="61">
        <v>0</v>
      </c>
      <c r="BS654" s="61" t="s">
        <v>31</v>
      </c>
      <c r="BT654" s="17">
        <v>4</v>
      </c>
      <c r="BU654" s="17">
        <v>8</v>
      </c>
      <c r="BV654" s="252" t="str">
        <f t="shared" si="1035"/>
        <v>cabozantinib</v>
      </c>
      <c r="BW654" s="1006" t="str" cm="1">
        <f t="array" ref="BW654">IF(AZ297="No",AZ297,INDEX(List_incl_anal_4L_all,IF(BU654=999,35,BU654+1)))</f>
        <v>Yes</v>
      </c>
      <c r="BX654" s="61">
        <f t="shared" si="1036"/>
        <v>2</v>
      </c>
      <c r="BY654" s="532" t="str">
        <f t="shared" si="1057"/>
        <v>Time to treatment discontinuation</v>
      </c>
      <c r="BZ654" s="530" t="str">
        <f t="shared" si="1037"/>
        <v>Apply HR to</v>
      </c>
      <c r="CA654" s="531">
        <f t="shared" si="1056"/>
        <v>0</v>
      </c>
      <c r="CB654" s="530">
        <f t="shared" si="1038"/>
        <v>0</v>
      </c>
      <c r="CC654" s="530">
        <f t="shared" si="1039"/>
        <v>3</v>
      </c>
      <c r="CD654" s="530">
        <f t="shared" si="1040"/>
        <v>8</v>
      </c>
      <c r="CE654" s="1295">
        <f t="shared" si="1041"/>
        <v>2</v>
      </c>
      <c r="CF654" s="1301">
        <f t="shared" si="1042"/>
        <v>2</v>
      </c>
      <c r="CG654" s="530" t="str">
        <f t="shared" si="1043"/>
        <v/>
      </c>
      <c r="CH654" s="505">
        <f t="shared" si="1025"/>
        <v>1.7410000000000001</v>
      </c>
      <c r="CI654" s="505">
        <f t="shared" si="1026"/>
        <v>1.208</v>
      </c>
      <c r="CJ654" s="505">
        <f t="shared" si="1027"/>
        <v>2.5099999999999998</v>
      </c>
      <c r="DK654" s="58" t="str" cm="1">
        <f t="array" ref="DK654">IF(AND($BT654=4,$BX654=4,$BU654=999),$DB$36,_xlfn.IFNA(INDEX(DB$13:DB$70,MATCH(1,($BR654=$CV$13:$CV$70)*($BT654=$CX$13:$CX$70)*($CE654=$CY$13:$CY$70)*($BY654=$DA$13:$DA$70)*($CD654=$DH$13:$DH$70),0)),""))</f>
        <v/>
      </c>
      <c r="DL654" s="58" t="str" cm="1">
        <f t="array" ref="DL654">IF(AND($BT654=4,$BX654=4,$BU654=999),$DC$36,_xlfn.IFNA(INDEX(CHOOSE(DP654,DB$13:DB$70,DC$13:DC$70,DD$13:DD$70,DE$13:DE$70),MATCH(1,($BR654=$CV$13:$CV$70)*($BT654=$CX$13:$CX$70)*($CE654=$CY$13:$CY$70)*($BY654=$DA$13:$DA$70)*($CD654=$DH$13:$DH$70),0)),""))</f>
        <v/>
      </c>
      <c r="DM654" s="740" t="str" cm="1">
        <f t="array" ref="DM654">IF(AND($BT654=4,$BX654=4,$BU654=999),$DD$36,_xlfn.IFNA(INDEX(DD$13:DD$68,MATCH(1,($BR654=$CV$13:$CV$68)*($BT654=$CX$13:$CX$68)*($CE654=$CY$13:$CY$68)*($BY654=$DA$13:$DA$68)*($CD654=$DH$13:$DH$68),0)),""))</f>
        <v/>
      </c>
      <c r="DN654" s="740" t="str" cm="1">
        <f t="array" ref="DN654">IF(AND($BT654=4,$BX654=4,$BU654=999),$DD$36,_xlfn.IFNA(INDEX(DE$13:DE$68,MATCH(1,($BR654=$CV$13:$CV$68)*($BT654=$CX$13:$CX$68)*($CE654=$CY$13:$CY$68)*($BY654=$DA$13:$DA$68)*($CD654=$DH$13:$DH$68),0)),""))</f>
        <v/>
      </c>
      <c r="DO654" s="58" t="str" cm="1">
        <f t="array" ref="DO654">IF(AND($BT654=4,$BX654=4,$BU654=999),$DF$36,_xlfn.IFNA(INDEX(DF$13:DF$70,MATCH(1,($BR654=$CV$13:$CV$70)*($BT654=$CX$13:$CX$70)*($CE654=$CY$13:$CY$70)*($BY654=$DA$13:$DA$70)*($CD654=$DH$13:$DH$70),0)),""))</f>
        <v/>
      </c>
      <c r="DP654" s="58" t="e">
        <f t="shared" si="1059"/>
        <v>#N/A</v>
      </c>
      <c r="DW654" s="58" t="s">
        <v>74</v>
      </c>
      <c r="DX654" s="58" t="s">
        <v>554</v>
      </c>
      <c r="DY654" s="58" t="s">
        <v>578</v>
      </c>
      <c r="DZ654" s="58">
        <v>0</v>
      </c>
      <c r="EB654" s="58">
        <v>0</v>
      </c>
      <c r="EC654" s="58">
        <v>3</v>
      </c>
      <c r="ED654" s="58">
        <v>8</v>
      </c>
      <c r="EE654" s="58">
        <v>2</v>
      </c>
      <c r="EF654" s="58">
        <v>2</v>
      </c>
      <c r="EI654" s="58" t="s">
        <v>74</v>
      </c>
      <c r="EJ654" s="58" t="s">
        <v>554</v>
      </c>
      <c r="EK654" s="58" t="s">
        <v>578</v>
      </c>
      <c r="EL654" s="58">
        <v>0</v>
      </c>
      <c r="EN654" s="58">
        <v>0</v>
      </c>
      <c r="EO654" s="58">
        <v>3</v>
      </c>
      <c r="EP654" s="58">
        <v>8</v>
      </c>
      <c r="EQ654" s="58">
        <v>1</v>
      </c>
      <c r="ER654" s="58">
        <v>2</v>
      </c>
      <c r="EU654" s="58" t="str">
        <f t="shared" si="1044"/>
        <v>Yes</v>
      </c>
      <c r="EV654" s="58" t="str">
        <f t="shared" si="1045"/>
        <v>Time to treatment discontinuation</v>
      </c>
      <c r="EW654" s="58" t="str">
        <f t="shared" si="1046"/>
        <v>Apply HR to</v>
      </c>
      <c r="EX654" s="58">
        <f t="shared" si="1047"/>
        <v>0</v>
      </c>
      <c r="EZ654" s="58">
        <f t="shared" si="1048"/>
        <v>0</v>
      </c>
      <c r="FA654" s="58">
        <f t="shared" si="1049"/>
        <v>3</v>
      </c>
      <c r="FB654" s="58">
        <f>IF(i_eff_inputs_based_on_num=2,ED654,(INDEX(Lists!$L$51:$L$85,MATCH(BF297,Lists!$K$51:$K$85,0))))</f>
        <v>8</v>
      </c>
      <c r="FC654" s="58">
        <f>IF(i_eff_inputs_based_on_num=2,EE654,(INDEX(Lists!$L$51:$L$85,MATCH(BG297,Lists!$K$51:$K$85,0))))</f>
        <v>2</v>
      </c>
      <c r="FD654" s="58">
        <f>IF(i_eff_inputs_based_on_num=2,EF654,(INDEX(Lists!$L$51:$L$85,MATCH(BH297,Lists!$K$51:$K$85,0))))</f>
        <v>2</v>
      </c>
      <c r="FG654" s="58" t="str">
        <f t="shared" si="1050"/>
        <v>Yes</v>
      </c>
      <c r="FH654" s="58" t="str">
        <f t="shared" si="1051"/>
        <v>Time to treatment discontinuation</v>
      </c>
      <c r="FI654" s="58" t="str">
        <f t="shared" si="1052"/>
        <v>Apply HR to</v>
      </c>
      <c r="FJ654" s="58">
        <f t="shared" si="1053"/>
        <v>0</v>
      </c>
      <c r="FL654" s="58">
        <f t="shared" si="1054"/>
        <v>0</v>
      </c>
      <c r="FM654" s="58">
        <f t="shared" si="1055"/>
        <v>3</v>
      </c>
      <c r="FN654" s="58">
        <f>IF(i_eff_inputs_based_on_num=2,EP654,(INDEX(Lists!$L$51:$L$85,MATCH(BF297,Lists!$K$51:$K$85,0))))</f>
        <v>8</v>
      </c>
      <c r="FO654" s="58">
        <f>IF(i_eff_inputs_based_on_num=2,EQ654,(INDEX(Lists!$L$51:$L$85,MATCH(BG297,Lists!$K$51:$K$85,0))))</f>
        <v>1</v>
      </c>
      <c r="FP654" s="58">
        <f>IF(i_eff_inputs_based_on_num=2,ER654,(INDEX(Lists!$L$51:$L$85,MATCH(BH297,Lists!$K$51:$K$85,0))))</f>
        <v>2</v>
      </c>
      <c r="FT654" s="58">
        <f t="shared" si="1060"/>
        <v>0</v>
      </c>
      <c r="FW654" s="58" t="str">
        <f>IF(i_baseline_risk_from=2,'Effectiveness settings'!EW654,'Effectiveness settings'!FI654)</f>
        <v>Apply HR to</v>
      </c>
      <c r="FX654" s="58" t="str">
        <f t="shared" si="1061"/>
        <v>Apply HR to</v>
      </c>
      <c r="FY654" s="58" t="str">
        <f t="shared" si="1062"/>
        <v>Apply HR to</v>
      </c>
      <c r="FZ654" s="58" t="str">
        <f t="shared" si="1063"/>
        <v>Apply HR to</v>
      </c>
      <c r="GA654" s="58" t="str">
        <f t="shared" si="1064"/>
        <v>Apply HR to</v>
      </c>
      <c r="GB654" s="58" t="str">
        <f t="shared" si="1065"/>
        <v>Apply HR to</v>
      </c>
      <c r="GC654" s="58" t="str">
        <f t="shared" si="1066"/>
        <v>Apply HR to</v>
      </c>
      <c r="GD654" s="58" t="str">
        <f t="shared" si="1067"/>
        <v>Apply HR to</v>
      </c>
      <c r="GE654" s="58" t="str">
        <f>IF(AND(dd_CheckMate214_TTD="Yes",'Effectiveness settings'!BU654=2,'Effectiveness settings'!BX654=2),"Apply HR to",GD654)</f>
        <v>Apply HR to</v>
      </c>
      <c r="GF654" s="58" t="str">
        <f t="shared" si="1068"/>
        <v>Apply HR to</v>
      </c>
      <c r="GG654" s="58" t="str">
        <f t="shared" si="1069"/>
        <v>Apply HR to</v>
      </c>
      <c r="GH654" s="58" t="str">
        <f t="shared" si="1070"/>
        <v>Apply HR to</v>
      </c>
      <c r="GI654" s="58" t="str">
        <f t="shared" si="1034"/>
        <v>Apply HR to</v>
      </c>
      <c r="GK654" s="58">
        <f>IF(i_baseline_risk_from=2,'Effectiveness settings'!FA654,'Effectiveness settings'!FM654)</f>
        <v>3</v>
      </c>
      <c r="GL654" s="58">
        <f>IF(i_baseline_risk_from=2,'Effectiveness settings'!FB654,'Effectiveness settings'!FN654)</f>
        <v>8</v>
      </c>
      <c r="GM654" s="58">
        <f>IF(i_baseline_risk_from=2,'Effectiveness settings'!FC654,'Effectiveness settings'!FO654)</f>
        <v>2</v>
      </c>
      <c r="GN654" s="58">
        <f>IF(i_baseline_risk_from=2,'Effectiveness settings'!FD654,'Effectiveness settings'!FP654)</f>
        <v>2</v>
      </c>
      <c r="GQ654" s="58">
        <f t="shared" si="1071"/>
        <v>8</v>
      </c>
      <c r="GR654" s="58">
        <f t="shared" si="1072"/>
        <v>8</v>
      </c>
      <c r="GS654" s="58">
        <f t="shared" si="1073"/>
        <v>8</v>
      </c>
      <c r="GT654" s="58">
        <f t="shared" si="1074"/>
        <v>8</v>
      </c>
      <c r="GU654" s="58">
        <f>IF(AND(dd_CheckMate214_TTD="Yes",'Effectiveness settings'!BU654=2,'Effectiveness settings'!BX654=2),2,GT654)</f>
        <v>8</v>
      </c>
      <c r="GV654" s="58">
        <f t="shared" si="1075"/>
        <v>8</v>
      </c>
      <c r="GW654" s="58">
        <f t="shared" si="1076"/>
        <v>8</v>
      </c>
      <c r="GY654" s="58">
        <f>IF(AND(dd_CheckMate214_TTD="Yes",'Effectiveness settings'!BU654=2,'Effectiveness settings'!BX654=2),1,GN654)</f>
        <v>2</v>
      </c>
      <c r="GZ654" s="58">
        <f t="shared" si="1077"/>
        <v>2</v>
      </c>
      <c r="HB654" s="58">
        <f t="shared" si="1078"/>
        <v>0</v>
      </c>
      <c r="HD654" s="58">
        <f t="shared" si="1029"/>
        <v>0</v>
      </c>
      <c r="HE654" s="58">
        <f t="shared" si="1030"/>
        <v>3</v>
      </c>
      <c r="HF654" s="58">
        <f t="shared" si="1031"/>
        <v>8</v>
      </c>
      <c r="HG654" s="58">
        <f t="shared" si="1032"/>
        <v>2</v>
      </c>
      <c r="HH654" s="58">
        <f t="shared" si="1033"/>
        <v>2</v>
      </c>
    </row>
    <row r="655" spans="69:216" ht="15.75" x14ac:dyDescent="0.25">
      <c r="BQ655" s="58">
        <f t="shared" si="1058"/>
        <v>388</v>
      </c>
      <c r="BR655" s="61">
        <v>0</v>
      </c>
      <c r="BS655" s="61" t="s">
        <v>31</v>
      </c>
      <c r="BT655" s="17">
        <v>4</v>
      </c>
      <c r="BU655" s="17">
        <v>9</v>
      </c>
      <c r="BV655" s="252" t="str">
        <f t="shared" si="1035"/>
        <v>lenvatinib_plus_everolimus</v>
      </c>
      <c r="BW655" s="1006" t="str" cm="1">
        <f t="array" ref="BW655">IF(AZ298="No",AZ298,INDEX(List_incl_anal_4L_all,IF(BU655=999,35,BU655+1)))</f>
        <v>Yes</v>
      </c>
      <c r="BX655" s="61">
        <f t="shared" si="1036"/>
        <v>2</v>
      </c>
      <c r="BY655" s="532" t="str">
        <f t="shared" si="1057"/>
        <v>Time to treatment discontinuation</v>
      </c>
      <c r="BZ655" s="530" t="str">
        <f t="shared" si="1037"/>
        <v>Apply HR to</v>
      </c>
      <c r="CA655" s="531">
        <f t="shared" si="1056"/>
        <v>0</v>
      </c>
      <c r="CB655" s="530">
        <f t="shared" si="1038"/>
        <v>0</v>
      </c>
      <c r="CC655" s="530">
        <f t="shared" si="1039"/>
        <v>3</v>
      </c>
      <c r="CD655" s="530">
        <f t="shared" si="1040"/>
        <v>9</v>
      </c>
      <c r="CE655" s="1295">
        <f t="shared" si="1041"/>
        <v>2</v>
      </c>
      <c r="CF655" s="1301">
        <f t="shared" si="1042"/>
        <v>2</v>
      </c>
      <c r="CG655" s="530" t="str">
        <f t="shared" si="1043"/>
        <v/>
      </c>
      <c r="CH655" s="505">
        <f t="shared" si="1025"/>
        <v>1.7410000000000001</v>
      </c>
      <c r="CI655" s="505">
        <f t="shared" si="1026"/>
        <v>1.208</v>
      </c>
      <c r="CJ655" s="505">
        <f t="shared" si="1027"/>
        <v>2.5099999999999998</v>
      </c>
      <c r="DK655" s="58" t="str" cm="1">
        <f t="array" ref="DK655">IF(AND($BT655=4,$BX655=4,$BU655=999),$DB$36,_xlfn.IFNA(INDEX(DB$13:DB$70,MATCH(1,($BR655=$CV$13:$CV$70)*($BT655=$CX$13:$CX$70)*($CE655=$CY$13:$CY$70)*($BY655=$DA$13:$DA$70)*($CD655=$DH$13:$DH$70),0)),""))</f>
        <v/>
      </c>
      <c r="DL655" s="58" t="str" cm="1">
        <f t="array" ref="DL655">IF(AND($BT655=4,$BX655=4,$BU655=999),$DC$36,_xlfn.IFNA(INDEX(CHOOSE(DP655,DB$13:DB$70,DC$13:DC$70,DD$13:DD$70,DE$13:DE$70),MATCH(1,($BR655=$CV$13:$CV$70)*($BT655=$CX$13:$CX$70)*($CE655=$CY$13:$CY$70)*($BY655=$DA$13:$DA$70)*($CD655=$DH$13:$DH$70),0)),""))</f>
        <v/>
      </c>
      <c r="DM655" s="740" t="str" cm="1">
        <f t="array" ref="DM655">IF(AND($BT655=4,$BX655=4,$BU655=999),$DD$36,_xlfn.IFNA(INDEX(DD$13:DD$68,MATCH(1,($BR655=$CV$13:$CV$68)*($BT655=$CX$13:$CX$68)*($CE655=$CY$13:$CY$68)*($BY655=$DA$13:$DA$68)*($CD655=$DH$13:$DH$68),0)),""))</f>
        <v/>
      </c>
      <c r="DN655" s="740" t="str" cm="1">
        <f t="array" ref="DN655">IF(AND($BT655=4,$BX655=4,$BU655=999),$DD$36,_xlfn.IFNA(INDEX(DE$13:DE$68,MATCH(1,($BR655=$CV$13:$CV$68)*($BT655=$CX$13:$CX$68)*($CE655=$CY$13:$CY$68)*($BY655=$DA$13:$DA$68)*($CD655=$DH$13:$DH$68),0)),""))</f>
        <v/>
      </c>
      <c r="DO655" s="58" t="str" cm="1">
        <f t="array" ref="DO655">IF(AND($BT655=4,$BX655=4,$BU655=999),$DF$36,_xlfn.IFNA(INDEX(DF$13:DF$70,MATCH(1,($BR655=$CV$13:$CV$70)*($BT655=$CX$13:$CX$70)*($CE655=$CY$13:$CY$70)*($BY655=$DA$13:$DA$70)*($CD655=$DH$13:$DH$70),0)),""))</f>
        <v/>
      </c>
      <c r="DP655" s="58" t="e">
        <f t="shared" si="1059"/>
        <v>#N/A</v>
      </c>
      <c r="DW655" s="58" t="s">
        <v>74</v>
      </c>
      <c r="DX655" s="58" t="s">
        <v>554</v>
      </c>
      <c r="DY655" s="58" t="s">
        <v>578</v>
      </c>
      <c r="DZ655" s="58">
        <v>0</v>
      </c>
      <c r="EB655" s="58">
        <v>0</v>
      </c>
      <c r="EC655" s="58">
        <v>3</v>
      </c>
      <c r="ED655" s="58">
        <v>9</v>
      </c>
      <c r="EE655" s="58">
        <v>2</v>
      </c>
      <c r="EF655" s="58">
        <v>2</v>
      </c>
      <c r="EI655" s="58" t="s">
        <v>74</v>
      </c>
      <c r="EJ655" s="58" t="s">
        <v>554</v>
      </c>
      <c r="EK655" s="58" t="s">
        <v>578</v>
      </c>
      <c r="EL655" s="58">
        <v>0</v>
      </c>
      <c r="EN655" s="58">
        <v>0</v>
      </c>
      <c r="EO655" s="58">
        <v>3</v>
      </c>
      <c r="EP655" s="58">
        <v>9</v>
      </c>
      <c r="EQ655" s="58">
        <v>1</v>
      </c>
      <c r="ER655" s="58">
        <v>2</v>
      </c>
      <c r="EU655" s="58" t="str">
        <f t="shared" si="1044"/>
        <v>Yes</v>
      </c>
      <c r="EV655" s="58" t="str">
        <f t="shared" si="1045"/>
        <v>Time to treatment discontinuation</v>
      </c>
      <c r="EW655" s="58" t="str">
        <f t="shared" si="1046"/>
        <v>Apply HR to</v>
      </c>
      <c r="EX655" s="58">
        <f t="shared" si="1047"/>
        <v>0</v>
      </c>
      <c r="EZ655" s="58">
        <f t="shared" si="1048"/>
        <v>0</v>
      </c>
      <c r="FA655" s="58">
        <f t="shared" si="1049"/>
        <v>3</v>
      </c>
      <c r="FB655" s="58">
        <f>IF(i_eff_inputs_based_on_num=2,ED655,(INDEX(Lists!$L$51:$L$85,MATCH(BF298,Lists!$K$51:$K$85,0))))</f>
        <v>9</v>
      </c>
      <c r="FC655" s="58">
        <f>IF(i_eff_inputs_based_on_num=2,EE655,(INDEX(Lists!$L$51:$L$85,MATCH(BG298,Lists!$K$51:$K$85,0))))</f>
        <v>2</v>
      </c>
      <c r="FD655" s="58">
        <f>IF(i_eff_inputs_based_on_num=2,EF655,(INDEX(Lists!$L$51:$L$85,MATCH(BH298,Lists!$K$51:$K$85,0))))</f>
        <v>2</v>
      </c>
      <c r="FG655" s="58" t="str">
        <f t="shared" si="1050"/>
        <v>Yes</v>
      </c>
      <c r="FH655" s="58" t="str">
        <f t="shared" si="1051"/>
        <v>Time to treatment discontinuation</v>
      </c>
      <c r="FI655" s="58" t="str">
        <f t="shared" si="1052"/>
        <v>Apply HR to</v>
      </c>
      <c r="FJ655" s="58">
        <f t="shared" si="1053"/>
        <v>0</v>
      </c>
      <c r="FL655" s="58">
        <f t="shared" si="1054"/>
        <v>0</v>
      </c>
      <c r="FM655" s="58">
        <f t="shared" si="1055"/>
        <v>3</v>
      </c>
      <c r="FN655" s="58">
        <f>IF(i_eff_inputs_based_on_num=2,EP655,(INDEX(Lists!$L$51:$L$85,MATCH(BF298,Lists!$K$51:$K$85,0))))</f>
        <v>9</v>
      </c>
      <c r="FO655" s="58">
        <f>IF(i_eff_inputs_based_on_num=2,EQ655,(INDEX(Lists!$L$51:$L$85,MATCH(BG298,Lists!$K$51:$K$85,0))))</f>
        <v>1</v>
      </c>
      <c r="FP655" s="58">
        <f>IF(i_eff_inputs_based_on_num=2,ER655,(INDEX(Lists!$L$51:$L$85,MATCH(BH298,Lists!$K$51:$K$85,0))))</f>
        <v>2</v>
      </c>
      <c r="FT655" s="58">
        <f t="shared" si="1060"/>
        <v>0</v>
      </c>
      <c r="FW655" s="58" t="str">
        <f>IF(i_baseline_risk_from=2,'Effectiveness settings'!EW655,'Effectiveness settings'!FI655)</f>
        <v>Apply HR to</v>
      </c>
      <c r="FX655" s="58" t="str">
        <f t="shared" si="1061"/>
        <v>Apply HR to</v>
      </c>
      <c r="FY655" s="58" t="str">
        <f t="shared" si="1062"/>
        <v>Apply HR to</v>
      </c>
      <c r="FZ655" s="58" t="str">
        <f t="shared" si="1063"/>
        <v>Apply HR to</v>
      </c>
      <c r="GA655" s="58" t="str">
        <f t="shared" si="1064"/>
        <v>Apply HR to</v>
      </c>
      <c r="GB655" s="58" t="str">
        <f t="shared" si="1065"/>
        <v>Apply HR to</v>
      </c>
      <c r="GC655" s="58" t="str">
        <f t="shared" si="1066"/>
        <v>Apply HR to</v>
      </c>
      <c r="GD655" s="58" t="str">
        <f t="shared" si="1067"/>
        <v>Apply HR to</v>
      </c>
      <c r="GE655" s="58" t="str">
        <f>IF(AND(dd_CheckMate214_TTD="Yes",'Effectiveness settings'!BU655=2,'Effectiveness settings'!BX655=2),"Apply HR to",GD655)</f>
        <v>Apply HR to</v>
      </c>
      <c r="GF655" s="58" t="str">
        <f t="shared" si="1068"/>
        <v>Apply HR to</v>
      </c>
      <c r="GG655" s="58" t="str">
        <f t="shared" si="1069"/>
        <v>Apply HR to</v>
      </c>
      <c r="GH655" s="58" t="str">
        <f t="shared" si="1070"/>
        <v>Apply HR to</v>
      </c>
      <c r="GI655" s="58" t="str">
        <f t="shared" si="1034"/>
        <v>Apply HR to</v>
      </c>
      <c r="GK655" s="58">
        <f>IF(i_baseline_risk_from=2,'Effectiveness settings'!FA655,'Effectiveness settings'!FM655)</f>
        <v>3</v>
      </c>
      <c r="GL655" s="58">
        <f>IF(i_baseline_risk_from=2,'Effectiveness settings'!FB655,'Effectiveness settings'!FN655)</f>
        <v>9</v>
      </c>
      <c r="GM655" s="58">
        <f>IF(i_baseline_risk_from=2,'Effectiveness settings'!FC655,'Effectiveness settings'!FO655)</f>
        <v>2</v>
      </c>
      <c r="GN655" s="58">
        <f>IF(i_baseline_risk_from=2,'Effectiveness settings'!FD655,'Effectiveness settings'!FP655)</f>
        <v>2</v>
      </c>
      <c r="GQ655" s="58">
        <f t="shared" si="1071"/>
        <v>9</v>
      </c>
      <c r="GR655" s="58">
        <f t="shared" si="1072"/>
        <v>9</v>
      </c>
      <c r="GS655" s="58">
        <f t="shared" si="1073"/>
        <v>9</v>
      </c>
      <c r="GT655" s="58">
        <f t="shared" si="1074"/>
        <v>9</v>
      </c>
      <c r="GU655" s="58">
        <f>IF(AND(dd_CheckMate214_TTD="Yes",'Effectiveness settings'!BU655=2,'Effectiveness settings'!BX655=2),2,GT655)</f>
        <v>9</v>
      </c>
      <c r="GV655" s="58">
        <f t="shared" si="1075"/>
        <v>9</v>
      </c>
      <c r="GW655" s="58">
        <f t="shared" si="1076"/>
        <v>9</v>
      </c>
      <c r="GY655" s="58">
        <f>IF(AND(dd_CheckMate214_TTD="Yes",'Effectiveness settings'!BU655=2,'Effectiveness settings'!BX655=2),1,GN655)</f>
        <v>2</v>
      </c>
      <c r="GZ655" s="58">
        <f t="shared" si="1077"/>
        <v>2</v>
      </c>
      <c r="HB655" s="58">
        <f t="shared" si="1078"/>
        <v>0</v>
      </c>
      <c r="HD655" s="58">
        <f t="shared" si="1029"/>
        <v>0</v>
      </c>
      <c r="HE655" s="58">
        <f t="shared" si="1030"/>
        <v>3</v>
      </c>
      <c r="HF655" s="58">
        <f t="shared" si="1031"/>
        <v>9</v>
      </c>
      <c r="HG655" s="58">
        <f t="shared" si="1032"/>
        <v>2</v>
      </c>
      <c r="HH655" s="58">
        <f t="shared" si="1033"/>
        <v>2</v>
      </c>
    </row>
    <row r="656" spans="69:216" ht="15.75" x14ac:dyDescent="0.25">
      <c r="BQ656" s="58">
        <f t="shared" si="1058"/>
        <v>389</v>
      </c>
      <c r="BR656" s="61">
        <v>0</v>
      </c>
      <c r="BS656" s="61" t="s">
        <v>31</v>
      </c>
      <c r="BT656" s="17">
        <v>4</v>
      </c>
      <c r="BU656" s="17">
        <v>10</v>
      </c>
      <c r="BV656" s="252" t="str">
        <f t="shared" si="1035"/>
        <v>everolimus</v>
      </c>
      <c r="BW656" s="1006" t="str" cm="1">
        <f t="array" ref="BW656">IF(AZ299="No",AZ299,INDEX(List_incl_anal_4L_all,IF(BU656=999,35,BU656+1)))</f>
        <v>Yes</v>
      </c>
      <c r="BX656" s="61">
        <f t="shared" si="1036"/>
        <v>2</v>
      </c>
      <c r="BY656" s="532" t="str">
        <f t="shared" si="1057"/>
        <v>Time to treatment discontinuation</v>
      </c>
      <c r="BZ656" s="530" t="str">
        <f t="shared" si="1037"/>
        <v>Apply HR to</v>
      </c>
      <c r="CA656" s="531">
        <f t="shared" si="1056"/>
        <v>0</v>
      </c>
      <c r="CB656" s="530">
        <f t="shared" si="1038"/>
        <v>0</v>
      </c>
      <c r="CC656" s="530">
        <f t="shared" si="1039"/>
        <v>3</v>
      </c>
      <c r="CD656" s="530">
        <f t="shared" si="1040"/>
        <v>10</v>
      </c>
      <c r="CE656" s="1295">
        <f t="shared" si="1041"/>
        <v>2</v>
      </c>
      <c r="CF656" s="1301">
        <f t="shared" si="1042"/>
        <v>2</v>
      </c>
      <c r="CG656" s="530" t="str">
        <f t="shared" si="1043"/>
        <v/>
      </c>
      <c r="CH656" s="505">
        <f t="shared" si="1025"/>
        <v>1.7410000000000001</v>
      </c>
      <c r="CI656" s="505">
        <f t="shared" si="1026"/>
        <v>1.208</v>
      </c>
      <c r="CJ656" s="505">
        <f t="shared" si="1027"/>
        <v>2.5099999999999998</v>
      </c>
      <c r="DK656" s="58" t="str" cm="1">
        <f t="array" ref="DK656">IF(AND($BT656=4,$BX656=4,$BU656=999),$DB$36,_xlfn.IFNA(INDEX(DB$13:DB$70,MATCH(1,($BR656=$CV$13:$CV$70)*($BT656=$CX$13:$CX$70)*($CE656=$CY$13:$CY$70)*($BY656=$DA$13:$DA$70)*($CD656=$DH$13:$DH$70),0)),""))</f>
        <v/>
      </c>
      <c r="DL656" s="58" t="str" cm="1">
        <f t="array" ref="DL656">IF(AND($BT656=4,$BX656=4,$BU656=999),$DC$36,_xlfn.IFNA(INDEX(CHOOSE(DP656,DB$13:DB$70,DC$13:DC$70,DD$13:DD$70,DE$13:DE$70),MATCH(1,($BR656=$CV$13:$CV$70)*($BT656=$CX$13:$CX$70)*($CE656=$CY$13:$CY$70)*($BY656=$DA$13:$DA$70)*($CD656=$DH$13:$DH$70),0)),""))</f>
        <v/>
      </c>
      <c r="DM656" s="740" t="str" cm="1">
        <f t="array" ref="DM656">IF(AND($BT656=4,$BX656=4,$BU656=999),$DD$36,_xlfn.IFNA(INDEX(DD$13:DD$68,MATCH(1,($BR656=$CV$13:$CV$68)*($BT656=$CX$13:$CX$68)*($CE656=$CY$13:$CY$68)*($BY656=$DA$13:$DA$68)*($CD656=$DH$13:$DH$68),0)),""))</f>
        <v/>
      </c>
      <c r="DN656" s="740" t="str" cm="1">
        <f t="array" ref="DN656">IF(AND($BT656=4,$BX656=4,$BU656=999),$DD$36,_xlfn.IFNA(INDEX(DE$13:DE$68,MATCH(1,($BR656=$CV$13:$CV$68)*($BT656=$CX$13:$CX$68)*($CE656=$CY$13:$CY$68)*($BY656=$DA$13:$DA$68)*($CD656=$DH$13:$DH$68),0)),""))</f>
        <v/>
      </c>
      <c r="DO656" s="58" t="str" cm="1">
        <f t="array" ref="DO656">IF(AND($BT656=4,$BX656=4,$BU656=999),$DF$36,_xlfn.IFNA(INDEX(DF$13:DF$70,MATCH(1,($BR656=$CV$13:$CV$70)*($BT656=$CX$13:$CX$70)*($CE656=$CY$13:$CY$70)*($BY656=$DA$13:$DA$70)*($CD656=$DH$13:$DH$70),0)),""))</f>
        <v/>
      </c>
      <c r="DP656" s="58" t="e">
        <f t="shared" si="1059"/>
        <v>#N/A</v>
      </c>
      <c r="DW656" s="58" t="s">
        <v>74</v>
      </c>
      <c r="DX656" s="58" t="s">
        <v>554</v>
      </c>
      <c r="DY656" s="58" t="s">
        <v>578</v>
      </c>
      <c r="DZ656" s="58">
        <v>0</v>
      </c>
      <c r="EB656" s="58">
        <v>0</v>
      </c>
      <c r="EC656" s="58">
        <v>3</v>
      </c>
      <c r="ED656" s="58">
        <v>10</v>
      </c>
      <c r="EE656" s="58">
        <v>2</v>
      </c>
      <c r="EF656" s="58">
        <v>2</v>
      </c>
      <c r="EI656" s="58" t="s">
        <v>74</v>
      </c>
      <c r="EJ656" s="58" t="s">
        <v>554</v>
      </c>
      <c r="EK656" s="58" t="s">
        <v>578</v>
      </c>
      <c r="EL656" s="58">
        <v>0</v>
      </c>
      <c r="EN656" s="58">
        <v>0</v>
      </c>
      <c r="EO656" s="58">
        <v>3</v>
      </c>
      <c r="EP656" s="58">
        <v>10</v>
      </c>
      <c r="EQ656" s="58">
        <v>1</v>
      </c>
      <c r="ER656" s="58">
        <v>2</v>
      </c>
      <c r="EU656" s="58" t="str">
        <f t="shared" si="1044"/>
        <v>Yes</v>
      </c>
      <c r="EV656" s="58" t="str">
        <f t="shared" si="1045"/>
        <v>Time to treatment discontinuation</v>
      </c>
      <c r="EW656" s="58" t="str">
        <f t="shared" si="1046"/>
        <v>Apply HR to</v>
      </c>
      <c r="EX656" s="58">
        <f t="shared" si="1047"/>
        <v>0</v>
      </c>
      <c r="EZ656" s="58">
        <f t="shared" si="1048"/>
        <v>0</v>
      </c>
      <c r="FA656" s="58">
        <f t="shared" si="1049"/>
        <v>3</v>
      </c>
      <c r="FB656" s="58">
        <f>IF(i_eff_inputs_based_on_num=2,ED656,(INDEX(Lists!$L$51:$L$85,MATCH(BF299,Lists!$K$51:$K$85,0))))</f>
        <v>10</v>
      </c>
      <c r="FC656" s="58">
        <f>IF(i_eff_inputs_based_on_num=2,EE656,(INDEX(Lists!$L$51:$L$85,MATCH(BG299,Lists!$K$51:$K$85,0))))</f>
        <v>2</v>
      </c>
      <c r="FD656" s="58">
        <f>IF(i_eff_inputs_based_on_num=2,EF656,(INDEX(Lists!$L$51:$L$85,MATCH(BH299,Lists!$K$51:$K$85,0))))</f>
        <v>2</v>
      </c>
      <c r="FG656" s="58" t="str">
        <f t="shared" si="1050"/>
        <v>Yes</v>
      </c>
      <c r="FH656" s="58" t="str">
        <f t="shared" si="1051"/>
        <v>Time to treatment discontinuation</v>
      </c>
      <c r="FI656" s="58" t="str">
        <f t="shared" si="1052"/>
        <v>Apply HR to</v>
      </c>
      <c r="FJ656" s="58">
        <f t="shared" si="1053"/>
        <v>0</v>
      </c>
      <c r="FL656" s="58">
        <f t="shared" si="1054"/>
        <v>0</v>
      </c>
      <c r="FM656" s="58">
        <f t="shared" si="1055"/>
        <v>3</v>
      </c>
      <c r="FN656" s="58">
        <f>IF(i_eff_inputs_based_on_num=2,EP656,(INDEX(Lists!$L$51:$L$85,MATCH(BF299,Lists!$K$51:$K$85,0))))</f>
        <v>10</v>
      </c>
      <c r="FO656" s="58">
        <f>IF(i_eff_inputs_based_on_num=2,EQ656,(INDEX(Lists!$L$51:$L$85,MATCH(BG299,Lists!$K$51:$K$85,0))))</f>
        <v>1</v>
      </c>
      <c r="FP656" s="58">
        <f>IF(i_eff_inputs_based_on_num=2,ER656,(INDEX(Lists!$L$51:$L$85,MATCH(BH299,Lists!$K$51:$K$85,0))))</f>
        <v>2</v>
      </c>
      <c r="FT656" s="58">
        <f t="shared" si="1060"/>
        <v>0</v>
      </c>
      <c r="FW656" s="58" t="str">
        <f>IF(i_baseline_risk_from=2,'Effectiveness settings'!EW656,'Effectiveness settings'!FI656)</f>
        <v>Apply HR to</v>
      </c>
      <c r="FX656" s="58" t="str">
        <f t="shared" si="1061"/>
        <v>Apply HR to</v>
      </c>
      <c r="FY656" s="58" t="str">
        <f t="shared" si="1062"/>
        <v>Apply HR to</v>
      </c>
      <c r="FZ656" s="58" t="str">
        <f t="shared" si="1063"/>
        <v>Apply HR to</v>
      </c>
      <c r="GA656" s="58" t="str">
        <f t="shared" si="1064"/>
        <v>Apply HR to</v>
      </c>
      <c r="GB656" s="58" t="str">
        <f t="shared" si="1065"/>
        <v>Apply HR to</v>
      </c>
      <c r="GC656" s="58" t="str">
        <f t="shared" si="1066"/>
        <v>Apply HR to</v>
      </c>
      <c r="GD656" s="58" t="str">
        <f t="shared" si="1067"/>
        <v>Apply HR to</v>
      </c>
      <c r="GE656" s="58" t="str">
        <f>IF(AND(dd_CheckMate214_TTD="Yes",'Effectiveness settings'!BU656=2,'Effectiveness settings'!BX656=2),"Apply HR to",GD656)</f>
        <v>Apply HR to</v>
      </c>
      <c r="GF656" s="58" t="str">
        <f t="shared" si="1068"/>
        <v>Apply HR to</v>
      </c>
      <c r="GG656" s="58" t="str">
        <f t="shared" si="1069"/>
        <v>Apply HR to</v>
      </c>
      <c r="GH656" s="58" t="str">
        <f t="shared" si="1070"/>
        <v>Apply HR to</v>
      </c>
      <c r="GI656" s="58" t="str">
        <f t="shared" si="1034"/>
        <v>Apply HR to</v>
      </c>
      <c r="GK656" s="58">
        <f>IF(i_baseline_risk_from=2,'Effectiveness settings'!FA656,'Effectiveness settings'!FM656)</f>
        <v>3</v>
      </c>
      <c r="GL656" s="58">
        <f>IF(i_baseline_risk_from=2,'Effectiveness settings'!FB656,'Effectiveness settings'!FN656)</f>
        <v>10</v>
      </c>
      <c r="GM656" s="58">
        <f>IF(i_baseline_risk_from=2,'Effectiveness settings'!FC656,'Effectiveness settings'!FO656)</f>
        <v>2</v>
      </c>
      <c r="GN656" s="58">
        <f>IF(i_baseline_risk_from=2,'Effectiveness settings'!FD656,'Effectiveness settings'!FP656)</f>
        <v>2</v>
      </c>
      <c r="GQ656" s="58">
        <f t="shared" si="1071"/>
        <v>10</v>
      </c>
      <c r="GR656" s="58">
        <f t="shared" si="1072"/>
        <v>10</v>
      </c>
      <c r="GS656" s="58">
        <f t="shared" si="1073"/>
        <v>10</v>
      </c>
      <c r="GT656" s="58">
        <f t="shared" si="1074"/>
        <v>10</v>
      </c>
      <c r="GU656" s="58">
        <f>IF(AND(dd_CheckMate214_TTD="Yes",'Effectiveness settings'!BU656=2,'Effectiveness settings'!BX656=2),2,GT656)</f>
        <v>10</v>
      </c>
      <c r="GV656" s="58">
        <f t="shared" si="1075"/>
        <v>10</v>
      </c>
      <c r="GW656" s="58">
        <f t="shared" si="1076"/>
        <v>10</v>
      </c>
      <c r="GY656" s="58">
        <f>IF(AND(dd_CheckMate214_TTD="Yes",'Effectiveness settings'!BU656=2,'Effectiveness settings'!BX656=2),1,GN656)</f>
        <v>2</v>
      </c>
      <c r="GZ656" s="58">
        <f t="shared" si="1077"/>
        <v>2</v>
      </c>
      <c r="HB656" s="58">
        <f t="shared" si="1078"/>
        <v>0</v>
      </c>
      <c r="HD656" s="58">
        <f t="shared" si="1029"/>
        <v>0</v>
      </c>
      <c r="HE656" s="58">
        <f t="shared" si="1030"/>
        <v>3</v>
      </c>
      <c r="HF656" s="58">
        <f t="shared" si="1031"/>
        <v>10</v>
      </c>
      <c r="HG656" s="58">
        <f t="shared" si="1032"/>
        <v>2</v>
      </c>
      <c r="HH656" s="58">
        <f t="shared" si="1033"/>
        <v>2</v>
      </c>
    </row>
    <row r="657" spans="69:216" ht="15.75" x14ac:dyDescent="0.25">
      <c r="BQ657" s="58">
        <f t="shared" si="1058"/>
        <v>390</v>
      </c>
      <c r="BR657" s="61">
        <v>0</v>
      </c>
      <c r="BS657" s="61" t="s">
        <v>31</v>
      </c>
      <c r="BT657" s="17">
        <v>4</v>
      </c>
      <c r="BU657" s="17">
        <v>11</v>
      </c>
      <c r="BV657" s="252" t="str">
        <f t="shared" si="1035"/>
        <v>axitinib</v>
      </c>
      <c r="BW657" s="1006" t="str" cm="1">
        <f t="array" ref="BW657">IF(AZ300="No",AZ300,INDEX(List_incl_anal_4L_all,IF(BU657=999,35,BU657+1)))</f>
        <v>Yes</v>
      </c>
      <c r="BX657" s="61">
        <f t="shared" si="1036"/>
        <v>2</v>
      </c>
      <c r="BY657" s="532" t="str">
        <f t="shared" si="1057"/>
        <v>Time to treatment discontinuation</v>
      </c>
      <c r="BZ657" s="530" t="str">
        <f t="shared" si="1037"/>
        <v>Apply HR to</v>
      </c>
      <c r="CA657" s="531">
        <f t="shared" si="1056"/>
        <v>0</v>
      </c>
      <c r="CB657" s="530">
        <f t="shared" si="1038"/>
        <v>0</v>
      </c>
      <c r="CC657" s="530">
        <f t="shared" si="1039"/>
        <v>3</v>
      </c>
      <c r="CD657" s="530">
        <f t="shared" si="1040"/>
        <v>11</v>
      </c>
      <c r="CE657" s="1295">
        <f t="shared" si="1041"/>
        <v>2</v>
      </c>
      <c r="CF657" s="1301">
        <f t="shared" si="1042"/>
        <v>2</v>
      </c>
      <c r="CG657" s="530" t="str">
        <f t="shared" si="1043"/>
        <v/>
      </c>
      <c r="CH657" s="505">
        <f t="shared" si="1025"/>
        <v>1.7410000000000001</v>
      </c>
      <c r="CI657" s="505">
        <f t="shared" si="1026"/>
        <v>1.208</v>
      </c>
      <c r="CJ657" s="505">
        <f t="shared" si="1027"/>
        <v>2.5099999999999998</v>
      </c>
      <c r="DK657" s="58" t="str" cm="1">
        <f t="array" ref="DK657">IF(AND($BT657=4,$BX657=4,$BU657=999),$DB$36,_xlfn.IFNA(INDEX(DB$13:DB$70,MATCH(1,($BR657=$CV$13:$CV$70)*($BT657=$CX$13:$CX$70)*($CE657=$CY$13:$CY$70)*($BY657=$DA$13:$DA$70)*($CD657=$DH$13:$DH$70),0)),""))</f>
        <v/>
      </c>
      <c r="DL657" s="58" t="str" cm="1">
        <f t="array" ref="DL657">IF(AND($BT657=4,$BX657=4,$BU657=999),$DC$36,_xlfn.IFNA(INDEX(CHOOSE(DP657,DB$13:DB$70,DC$13:DC$70,DD$13:DD$70,DE$13:DE$70),MATCH(1,($BR657=$CV$13:$CV$70)*($BT657=$CX$13:$CX$70)*($CE657=$CY$13:$CY$70)*($BY657=$DA$13:$DA$70)*($CD657=$DH$13:$DH$70),0)),""))</f>
        <v/>
      </c>
      <c r="DM657" s="740" t="str" cm="1">
        <f t="array" ref="DM657">IF(AND($BT657=4,$BX657=4,$BU657=999),$DD$36,_xlfn.IFNA(INDEX(DD$13:DD$68,MATCH(1,($BR657=$CV$13:$CV$68)*($BT657=$CX$13:$CX$68)*($CE657=$CY$13:$CY$68)*($BY657=$DA$13:$DA$68)*($CD657=$DH$13:$DH$68),0)),""))</f>
        <v/>
      </c>
      <c r="DN657" s="740" t="str" cm="1">
        <f t="array" ref="DN657">IF(AND($BT657=4,$BX657=4,$BU657=999),$DD$36,_xlfn.IFNA(INDEX(DE$13:DE$68,MATCH(1,($BR657=$CV$13:$CV$68)*($BT657=$CX$13:$CX$68)*($CE657=$CY$13:$CY$68)*($BY657=$DA$13:$DA$68)*($CD657=$DH$13:$DH$68),0)),""))</f>
        <v/>
      </c>
      <c r="DO657" s="58" t="str" cm="1">
        <f t="array" ref="DO657">IF(AND($BT657=4,$BX657=4,$BU657=999),$DF$36,_xlfn.IFNA(INDEX(DF$13:DF$70,MATCH(1,($BR657=$CV$13:$CV$70)*($BT657=$CX$13:$CX$70)*($CE657=$CY$13:$CY$70)*($BY657=$DA$13:$DA$70)*($CD657=$DH$13:$DH$70),0)),""))</f>
        <v/>
      </c>
      <c r="DP657" s="58" t="e">
        <f t="shared" si="1059"/>
        <v>#N/A</v>
      </c>
      <c r="DW657" s="58" t="s">
        <v>74</v>
      </c>
      <c r="DX657" s="58" t="s">
        <v>554</v>
      </c>
      <c r="DY657" s="58" t="s">
        <v>578</v>
      </c>
      <c r="DZ657" s="58">
        <v>0</v>
      </c>
      <c r="EB657" s="58">
        <v>0</v>
      </c>
      <c r="EC657" s="58">
        <v>3</v>
      </c>
      <c r="ED657" s="58">
        <v>11</v>
      </c>
      <c r="EE657" s="58">
        <v>2</v>
      </c>
      <c r="EF657" s="58">
        <v>2</v>
      </c>
      <c r="EI657" s="58" t="s">
        <v>74</v>
      </c>
      <c r="EJ657" s="58" t="s">
        <v>554</v>
      </c>
      <c r="EK657" s="58" t="s">
        <v>578</v>
      </c>
      <c r="EL657" s="58">
        <v>0</v>
      </c>
      <c r="EN657" s="58">
        <v>0</v>
      </c>
      <c r="EO657" s="58">
        <v>3</v>
      </c>
      <c r="EP657" s="58">
        <v>11</v>
      </c>
      <c r="EQ657" s="58">
        <v>1</v>
      </c>
      <c r="ER657" s="58">
        <v>2</v>
      </c>
      <c r="EU657" s="58" t="str">
        <f t="shared" si="1044"/>
        <v>Yes</v>
      </c>
      <c r="EV657" s="58" t="str">
        <f t="shared" si="1045"/>
        <v>Time to treatment discontinuation</v>
      </c>
      <c r="EW657" s="58" t="str">
        <f t="shared" si="1046"/>
        <v>Apply HR to</v>
      </c>
      <c r="EX657" s="58">
        <f t="shared" si="1047"/>
        <v>0</v>
      </c>
      <c r="EZ657" s="58">
        <f t="shared" si="1048"/>
        <v>0</v>
      </c>
      <c r="FA657" s="58">
        <f t="shared" si="1049"/>
        <v>3</v>
      </c>
      <c r="FB657" s="58">
        <f>IF(i_eff_inputs_based_on_num=2,ED657,(INDEX(Lists!$L$51:$L$85,MATCH(BF300,Lists!$K$51:$K$85,0))))</f>
        <v>11</v>
      </c>
      <c r="FC657" s="58">
        <f>IF(i_eff_inputs_based_on_num=2,EE657,(INDEX(Lists!$L$51:$L$85,MATCH(BG300,Lists!$K$51:$K$85,0))))</f>
        <v>2</v>
      </c>
      <c r="FD657" s="58">
        <f>IF(i_eff_inputs_based_on_num=2,EF657,(INDEX(Lists!$L$51:$L$85,MATCH(BH300,Lists!$K$51:$K$85,0))))</f>
        <v>2</v>
      </c>
      <c r="FG657" s="58" t="str">
        <f t="shared" si="1050"/>
        <v>Yes</v>
      </c>
      <c r="FH657" s="58" t="str">
        <f t="shared" si="1051"/>
        <v>Time to treatment discontinuation</v>
      </c>
      <c r="FI657" s="58" t="str">
        <f t="shared" si="1052"/>
        <v>Apply HR to</v>
      </c>
      <c r="FJ657" s="58">
        <f t="shared" si="1053"/>
        <v>0</v>
      </c>
      <c r="FL657" s="58">
        <f t="shared" si="1054"/>
        <v>0</v>
      </c>
      <c r="FM657" s="58">
        <f t="shared" si="1055"/>
        <v>3</v>
      </c>
      <c r="FN657" s="58">
        <f>IF(i_eff_inputs_based_on_num=2,EP657,(INDEX(Lists!$L$51:$L$85,MATCH(BF300,Lists!$K$51:$K$85,0))))</f>
        <v>11</v>
      </c>
      <c r="FO657" s="58">
        <f>IF(i_eff_inputs_based_on_num=2,EQ657,(INDEX(Lists!$L$51:$L$85,MATCH(BG300,Lists!$K$51:$K$85,0))))</f>
        <v>1</v>
      </c>
      <c r="FP657" s="58">
        <f>IF(i_eff_inputs_based_on_num=2,ER657,(INDEX(Lists!$L$51:$L$85,MATCH(BH300,Lists!$K$51:$K$85,0))))</f>
        <v>2</v>
      </c>
      <c r="FT657" s="58">
        <f t="shared" si="1060"/>
        <v>0</v>
      </c>
      <c r="FW657" s="58" t="str">
        <f>IF(i_baseline_risk_from=2,'Effectiveness settings'!EW657,'Effectiveness settings'!FI657)</f>
        <v>Apply HR to</v>
      </c>
      <c r="FX657" s="58" t="str">
        <f t="shared" si="1061"/>
        <v>Apply HR to</v>
      </c>
      <c r="FY657" s="58" t="str">
        <f t="shared" si="1062"/>
        <v>Apply HR to</v>
      </c>
      <c r="FZ657" s="58" t="str">
        <f t="shared" si="1063"/>
        <v>Apply HR to</v>
      </c>
      <c r="GA657" s="58" t="str">
        <f t="shared" si="1064"/>
        <v>Apply HR to</v>
      </c>
      <c r="GB657" s="58" t="str">
        <f t="shared" si="1065"/>
        <v>Apply HR to</v>
      </c>
      <c r="GC657" s="58" t="str">
        <f t="shared" si="1066"/>
        <v>Apply HR to</v>
      </c>
      <c r="GD657" s="58" t="str">
        <f t="shared" si="1067"/>
        <v>Apply HR to</v>
      </c>
      <c r="GE657" s="58" t="str">
        <f>IF(AND(dd_CheckMate214_TTD="Yes",'Effectiveness settings'!BU657=2,'Effectiveness settings'!BX657=2),"Apply HR to",GD657)</f>
        <v>Apply HR to</v>
      </c>
      <c r="GF657" s="58" t="str">
        <f t="shared" si="1068"/>
        <v>Apply HR to</v>
      </c>
      <c r="GG657" s="58" t="str">
        <f t="shared" si="1069"/>
        <v>Apply HR to</v>
      </c>
      <c r="GH657" s="58" t="str">
        <f t="shared" si="1070"/>
        <v>Apply HR to</v>
      </c>
      <c r="GI657" s="58" t="str">
        <f t="shared" si="1034"/>
        <v>Apply HR to</v>
      </c>
      <c r="GK657" s="58">
        <f>IF(i_baseline_risk_from=2,'Effectiveness settings'!FA657,'Effectiveness settings'!FM657)</f>
        <v>3</v>
      </c>
      <c r="GL657" s="58">
        <f>IF(i_baseline_risk_from=2,'Effectiveness settings'!FB657,'Effectiveness settings'!FN657)</f>
        <v>11</v>
      </c>
      <c r="GM657" s="58">
        <f>IF(i_baseline_risk_from=2,'Effectiveness settings'!FC657,'Effectiveness settings'!FO657)</f>
        <v>2</v>
      </c>
      <c r="GN657" s="58">
        <f>IF(i_baseline_risk_from=2,'Effectiveness settings'!FD657,'Effectiveness settings'!FP657)</f>
        <v>2</v>
      </c>
      <c r="GQ657" s="58">
        <f t="shared" si="1071"/>
        <v>11</v>
      </c>
      <c r="GR657" s="58">
        <f t="shared" si="1072"/>
        <v>11</v>
      </c>
      <c r="GS657" s="58">
        <f t="shared" si="1073"/>
        <v>11</v>
      </c>
      <c r="GT657" s="58">
        <f t="shared" si="1074"/>
        <v>11</v>
      </c>
      <c r="GU657" s="58">
        <f>IF(AND(dd_CheckMate214_TTD="Yes",'Effectiveness settings'!BU657=2,'Effectiveness settings'!BX657=2),2,GT657)</f>
        <v>11</v>
      </c>
      <c r="GV657" s="58">
        <f t="shared" si="1075"/>
        <v>11</v>
      </c>
      <c r="GW657" s="58">
        <f t="shared" si="1076"/>
        <v>11</v>
      </c>
      <c r="GY657" s="58">
        <f>IF(AND(dd_CheckMate214_TTD="Yes",'Effectiveness settings'!BU657=2,'Effectiveness settings'!BX657=2),1,GN657)</f>
        <v>2</v>
      </c>
      <c r="GZ657" s="58">
        <f t="shared" si="1077"/>
        <v>2</v>
      </c>
      <c r="HB657" s="58">
        <f t="shared" si="1078"/>
        <v>0</v>
      </c>
      <c r="HD657" s="58">
        <f t="shared" si="1029"/>
        <v>0</v>
      </c>
      <c r="HE657" s="58">
        <f t="shared" si="1030"/>
        <v>3</v>
      </c>
      <c r="HF657" s="58">
        <f t="shared" si="1031"/>
        <v>11</v>
      </c>
      <c r="HG657" s="58">
        <f t="shared" si="1032"/>
        <v>2</v>
      </c>
      <c r="HH657" s="58">
        <f t="shared" si="1033"/>
        <v>2</v>
      </c>
    </row>
    <row r="658" spans="69:216" ht="15.75" x14ac:dyDescent="0.25">
      <c r="BQ658" s="58">
        <f t="shared" si="1058"/>
        <v>391</v>
      </c>
      <c r="BR658" s="61">
        <v>0</v>
      </c>
      <c r="BS658" s="61" t="s">
        <v>31</v>
      </c>
      <c r="BT658" s="17">
        <v>4</v>
      </c>
      <c r="BU658" s="17">
        <v>12</v>
      </c>
      <c r="BV658" s="252" t="str">
        <f t="shared" si="1035"/>
        <v>sorafenib</v>
      </c>
      <c r="BW658" s="1006" t="str" cm="1">
        <f t="array" ref="BW658">IF(AZ301="No",AZ301,INDEX(List_incl_anal_4L_all,IF(BU658=999,35,BU658+1)))</f>
        <v>No</v>
      </c>
      <c r="BX658" s="61">
        <f t="shared" si="1036"/>
        <v>2</v>
      </c>
      <c r="BY658" s="532" t="str">
        <f t="shared" si="1057"/>
        <v>Time to treatment discontinuation</v>
      </c>
      <c r="BZ658" s="530">
        <f t="shared" si="1037"/>
        <v>0</v>
      </c>
      <c r="CA658" s="531">
        <f t="shared" si="1056"/>
        <v>0</v>
      </c>
      <c r="CB658" s="530">
        <f t="shared" si="1038"/>
        <v>0</v>
      </c>
      <c r="CC658" s="530">
        <f t="shared" si="1039"/>
        <v>3</v>
      </c>
      <c r="CD658" s="530">
        <f t="shared" si="1040"/>
        <v>12</v>
      </c>
      <c r="CE658" s="1295">
        <f t="shared" si="1041"/>
        <v>2</v>
      </c>
      <c r="CF658" s="1301">
        <f t="shared" si="1042"/>
        <v>2</v>
      </c>
      <c r="CG658" s="530" t="str">
        <f t="shared" si="1043"/>
        <v/>
      </c>
      <c r="CH658" s="505">
        <f t="shared" si="1025"/>
        <v>1</v>
      </c>
      <c r="CI658" s="505">
        <f t="shared" si="1026"/>
        <v>0</v>
      </c>
      <c r="CJ658" s="505">
        <f t="shared" si="1027"/>
        <v>0</v>
      </c>
      <c r="DK658" s="58" t="str" cm="1">
        <f t="array" ref="DK658">IF(AND($BT658=4,$BX658=4,$BU658=999),$DB$36,_xlfn.IFNA(INDEX(DB$13:DB$70,MATCH(1,($BR658=$CV$13:$CV$70)*($BT658=$CX$13:$CX$70)*($CE658=$CY$13:$CY$70)*($BY658=$DA$13:$DA$70)*($CD658=$DH$13:$DH$70),0)),""))</f>
        <v/>
      </c>
      <c r="DL658" s="58" t="str" cm="1">
        <f t="array" ref="DL658">IF(AND($BT658=4,$BX658=4,$BU658=999),$DC$36,_xlfn.IFNA(INDEX(CHOOSE(DP658,DB$13:DB$70,DC$13:DC$70,DD$13:DD$70,DE$13:DE$70),MATCH(1,($BR658=$CV$13:$CV$70)*($BT658=$CX$13:$CX$70)*($CE658=$CY$13:$CY$70)*($BY658=$DA$13:$DA$70)*($CD658=$DH$13:$DH$70),0)),""))</f>
        <v/>
      </c>
      <c r="DM658" s="740" t="str" cm="1">
        <f t="array" ref="DM658">IF(AND($BT658=4,$BX658=4,$BU658=999),$DD$36,_xlfn.IFNA(INDEX(DD$13:DD$68,MATCH(1,($BR658=$CV$13:$CV$68)*($BT658=$CX$13:$CX$68)*($CE658=$CY$13:$CY$68)*($BY658=$DA$13:$DA$68)*($CD658=$DH$13:$DH$68),0)),""))</f>
        <v/>
      </c>
      <c r="DN658" s="740" t="str" cm="1">
        <f t="array" ref="DN658">IF(AND($BT658=4,$BX658=4,$BU658=999),$DD$36,_xlfn.IFNA(INDEX(DE$13:DE$68,MATCH(1,($BR658=$CV$13:$CV$68)*($BT658=$CX$13:$CX$68)*($CE658=$CY$13:$CY$68)*($BY658=$DA$13:$DA$68)*($CD658=$DH$13:$DH$68),0)),""))</f>
        <v/>
      </c>
      <c r="DO658" s="58" t="str" cm="1">
        <f t="array" ref="DO658">IF(AND($BT658=4,$BX658=4,$BU658=999),$DF$36,_xlfn.IFNA(INDEX(DF$13:DF$70,MATCH(1,($BR658=$CV$13:$CV$70)*($BT658=$CX$13:$CX$70)*($CE658=$CY$13:$CY$70)*($BY658=$DA$13:$DA$70)*($CD658=$DH$13:$DH$70),0)),""))</f>
        <v/>
      </c>
      <c r="DP658" s="58" t="e">
        <f t="shared" si="1059"/>
        <v>#N/A</v>
      </c>
      <c r="DW658" s="58" t="s">
        <v>58</v>
      </c>
      <c r="DX658" s="58" t="s">
        <v>554</v>
      </c>
      <c r="DY658" s="58">
        <v>0</v>
      </c>
      <c r="DZ658" s="58">
        <v>0</v>
      </c>
      <c r="EB658" s="58">
        <v>0</v>
      </c>
      <c r="EC658" s="58">
        <v>3</v>
      </c>
      <c r="ED658" s="58">
        <v>12</v>
      </c>
      <c r="EE658" s="58">
        <v>2</v>
      </c>
      <c r="EF658" s="58">
        <v>2</v>
      </c>
      <c r="EI658" s="58" t="s">
        <v>58</v>
      </c>
      <c r="EJ658" s="58" t="s">
        <v>554</v>
      </c>
      <c r="EK658" s="58">
        <v>0</v>
      </c>
      <c r="EL658" s="58">
        <v>0</v>
      </c>
      <c r="EN658" s="58">
        <v>0</v>
      </c>
      <c r="EO658" s="58">
        <v>3</v>
      </c>
      <c r="EP658" s="58">
        <v>12</v>
      </c>
      <c r="EQ658" s="58">
        <v>1</v>
      </c>
      <c r="ER658" s="58">
        <v>2</v>
      </c>
      <c r="EU658" s="58" t="str">
        <f t="shared" si="1044"/>
        <v>No</v>
      </c>
      <c r="EV658" s="58" t="str">
        <f t="shared" si="1045"/>
        <v>Time to treatment discontinuation</v>
      </c>
      <c r="EW658" s="58">
        <f t="shared" si="1046"/>
        <v>0</v>
      </c>
      <c r="EX658" s="58">
        <f t="shared" si="1047"/>
        <v>0</v>
      </c>
      <c r="EZ658" s="58">
        <f t="shared" si="1048"/>
        <v>0</v>
      </c>
      <c r="FA658" s="58">
        <f t="shared" si="1049"/>
        <v>3</v>
      </c>
      <c r="FB658" s="58">
        <f>IF(i_eff_inputs_based_on_num=2,ED658,(INDEX(Lists!$L$51:$L$85,MATCH(BF301,Lists!$K$51:$K$85,0))))</f>
        <v>12</v>
      </c>
      <c r="FC658" s="58">
        <f>IF(i_eff_inputs_based_on_num=2,EE658,(INDEX(Lists!$L$51:$L$85,MATCH(BG301,Lists!$K$51:$K$85,0))))</f>
        <v>2</v>
      </c>
      <c r="FD658" s="58">
        <f>IF(i_eff_inputs_based_on_num=2,EF658,(INDEX(Lists!$L$51:$L$85,MATCH(BH301,Lists!$K$51:$K$85,0))))</f>
        <v>2</v>
      </c>
      <c r="FG658" s="58" t="str">
        <f t="shared" si="1050"/>
        <v>No</v>
      </c>
      <c r="FH658" s="58" t="str">
        <f t="shared" si="1051"/>
        <v>Time to treatment discontinuation</v>
      </c>
      <c r="FI658" s="58">
        <f t="shared" si="1052"/>
        <v>0</v>
      </c>
      <c r="FJ658" s="58">
        <f t="shared" si="1053"/>
        <v>0</v>
      </c>
      <c r="FL658" s="58">
        <f t="shared" si="1054"/>
        <v>0</v>
      </c>
      <c r="FM658" s="58">
        <f t="shared" si="1055"/>
        <v>3</v>
      </c>
      <c r="FN658" s="58">
        <f>IF(i_eff_inputs_based_on_num=2,EP658,(INDEX(Lists!$L$51:$L$85,MATCH(BF301,Lists!$K$51:$K$85,0))))</f>
        <v>12</v>
      </c>
      <c r="FO658" s="58">
        <f>IF(i_eff_inputs_based_on_num=2,EQ658,(INDEX(Lists!$L$51:$L$85,MATCH(BG301,Lists!$K$51:$K$85,0))))</f>
        <v>1</v>
      </c>
      <c r="FP658" s="58">
        <f>IF(i_eff_inputs_based_on_num=2,ER658,(INDEX(Lists!$L$51:$L$85,MATCH(BH301,Lists!$K$51:$K$85,0))))</f>
        <v>2</v>
      </c>
      <c r="FT658" s="58">
        <f t="shared" si="1060"/>
        <v>0</v>
      </c>
      <c r="FW658" s="58">
        <f>IF(i_baseline_risk_from=2,'Effectiveness settings'!EW658,'Effectiveness settings'!FI658)</f>
        <v>0</v>
      </c>
      <c r="FX658" s="58">
        <f t="shared" si="1061"/>
        <v>0</v>
      </c>
      <c r="FY658" s="58">
        <f t="shared" si="1062"/>
        <v>0</v>
      </c>
      <c r="FZ658" s="58">
        <f t="shared" si="1063"/>
        <v>0</v>
      </c>
      <c r="GA658" s="58">
        <f t="shared" si="1064"/>
        <v>0</v>
      </c>
      <c r="GB658" s="58">
        <f t="shared" si="1065"/>
        <v>0</v>
      </c>
      <c r="GC658" s="58">
        <f t="shared" si="1066"/>
        <v>0</v>
      </c>
      <c r="GD658" s="58">
        <f t="shared" si="1067"/>
        <v>0</v>
      </c>
      <c r="GE658" s="58">
        <f>IF(AND(dd_CheckMate214_TTD="Yes",'Effectiveness settings'!BU658=2,'Effectiveness settings'!BX658=2),"Apply HR to",GD658)</f>
        <v>0</v>
      </c>
      <c r="GF658" s="58">
        <f t="shared" si="1068"/>
        <v>0</v>
      </c>
      <c r="GG658" s="58">
        <f t="shared" si="1069"/>
        <v>0</v>
      </c>
      <c r="GH658" s="58">
        <f t="shared" si="1070"/>
        <v>0</v>
      </c>
      <c r="GI658" s="58">
        <f t="shared" si="1034"/>
        <v>0</v>
      </c>
      <c r="GK658" s="58">
        <f>IF(i_baseline_risk_from=2,'Effectiveness settings'!FA658,'Effectiveness settings'!FM658)</f>
        <v>3</v>
      </c>
      <c r="GL658" s="58">
        <f>IF(i_baseline_risk_from=2,'Effectiveness settings'!FB658,'Effectiveness settings'!FN658)</f>
        <v>12</v>
      </c>
      <c r="GM658" s="58">
        <f>IF(i_baseline_risk_from=2,'Effectiveness settings'!FC658,'Effectiveness settings'!FO658)</f>
        <v>2</v>
      </c>
      <c r="GN658" s="58">
        <f>IF(i_baseline_risk_from=2,'Effectiveness settings'!FD658,'Effectiveness settings'!FP658)</f>
        <v>2</v>
      </c>
      <c r="GQ658" s="58">
        <f t="shared" si="1071"/>
        <v>12</v>
      </c>
      <c r="GR658" s="58">
        <f t="shared" si="1072"/>
        <v>12</v>
      </c>
      <c r="GS658" s="58">
        <f t="shared" si="1073"/>
        <v>12</v>
      </c>
      <c r="GT658" s="58">
        <f t="shared" si="1074"/>
        <v>12</v>
      </c>
      <c r="GU658" s="58">
        <f>IF(AND(dd_CheckMate214_TTD="Yes",'Effectiveness settings'!BU658=2,'Effectiveness settings'!BX658=2),2,GT658)</f>
        <v>12</v>
      </c>
      <c r="GV658" s="58">
        <f t="shared" si="1075"/>
        <v>12</v>
      </c>
      <c r="GW658" s="58">
        <f t="shared" si="1076"/>
        <v>12</v>
      </c>
      <c r="GY658" s="58">
        <f>IF(AND(dd_CheckMate214_TTD="Yes",'Effectiveness settings'!BU658=2,'Effectiveness settings'!BX658=2),1,GN658)</f>
        <v>2</v>
      </c>
      <c r="GZ658" s="58">
        <f t="shared" si="1077"/>
        <v>2</v>
      </c>
      <c r="HB658" s="58">
        <f t="shared" si="1078"/>
        <v>0</v>
      </c>
      <c r="HD658" s="58">
        <f t="shared" si="1029"/>
        <v>0</v>
      </c>
      <c r="HE658" s="58">
        <f t="shared" si="1030"/>
        <v>3</v>
      </c>
      <c r="HF658" s="58">
        <f t="shared" si="1031"/>
        <v>12</v>
      </c>
      <c r="HG658" s="58">
        <f t="shared" si="1032"/>
        <v>2</v>
      </c>
      <c r="HH658" s="58">
        <f t="shared" si="1033"/>
        <v>2</v>
      </c>
    </row>
    <row r="659" spans="69:216" ht="15.75" x14ac:dyDescent="0.25">
      <c r="BQ659" s="58">
        <f t="shared" si="1058"/>
        <v>392</v>
      </c>
      <c r="BR659" s="61">
        <v>0</v>
      </c>
      <c r="BS659" s="61" t="s">
        <v>31</v>
      </c>
      <c r="BT659" s="17">
        <v>4</v>
      </c>
      <c r="BU659" s="17">
        <v>999</v>
      </c>
      <c r="BV659" s="252" t="str">
        <f t="shared" si="1035"/>
        <v>placebo_BSC</v>
      </c>
      <c r="BW659" s="1006" t="str" cm="1">
        <f t="array" ref="BW659">IF(AZ302="No",AZ302,INDEX(List_incl_anal_4L_all,IF(BU659=999,35,BU659+1)))</f>
        <v>No</v>
      </c>
      <c r="BX659" s="61">
        <f t="shared" si="1036"/>
        <v>2</v>
      </c>
      <c r="BY659" s="532" t="str">
        <f t="shared" si="1057"/>
        <v>Time to treatment discontinuation</v>
      </c>
      <c r="BZ659" s="530">
        <f t="shared" si="1037"/>
        <v>0</v>
      </c>
      <c r="CA659" s="531">
        <f t="shared" si="1056"/>
        <v>0</v>
      </c>
      <c r="CB659" s="530">
        <f t="shared" si="1038"/>
        <v>0</v>
      </c>
      <c r="CC659" s="530">
        <f t="shared" si="1039"/>
        <v>4</v>
      </c>
      <c r="CD659" s="530">
        <f t="shared" si="1040"/>
        <v>999</v>
      </c>
      <c r="CE659" s="1295">
        <f t="shared" si="1041"/>
        <v>2</v>
      </c>
      <c r="CF659" s="1301">
        <f t="shared" si="1042"/>
        <v>4</v>
      </c>
      <c r="CG659" s="530" t="str">
        <f t="shared" si="1043"/>
        <v/>
      </c>
      <c r="CH659" s="505">
        <f t="shared" si="1025"/>
        <v>1</v>
      </c>
      <c r="CI659" s="505">
        <f t="shared" si="1026"/>
        <v>0</v>
      </c>
      <c r="CJ659" s="505">
        <f t="shared" si="1027"/>
        <v>0</v>
      </c>
      <c r="DK659" s="58" t="str" cm="1">
        <f t="array" ref="DK659">IF(AND($BT659=4,$BX659=4,$BU659=999),$DB$36,_xlfn.IFNA(INDEX(DB$13:DB$70,MATCH(1,($BR659=$CV$13:$CV$70)*($BT659=$CX$13:$CX$70)*($CE659=$CY$13:$CY$70)*($BY659=$DA$13:$DA$70)*($CD659=$DH$13:$DH$70),0)),""))</f>
        <v/>
      </c>
      <c r="DL659" s="58" t="str" cm="1">
        <f t="array" ref="DL659">IF(AND($BT659=4,$BX659=4,$BU659=999),$DC$36,_xlfn.IFNA(INDEX(CHOOSE(DP659,DB$13:DB$70,DC$13:DC$70,DD$13:DD$70,DE$13:DE$70),MATCH(1,($BR659=$CV$13:$CV$70)*($BT659=$CX$13:$CX$70)*($CE659=$CY$13:$CY$70)*($BY659=$DA$13:$DA$70)*($CD659=$DH$13:$DH$70),0)),""))</f>
        <v/>
      </c>
      <c r="DM659" s="740" t="str" cm="1">
        <f t="array" ref="DM659">IF(AND($BT659=4,$BX659=4,$BU659=999),$DD$36,_xlfn.IFNA(INDEX(DD$13:DD$68,MATCH(1,($BR659=$CV$13:$CV$68)*($BT659=$CX$13:$CX$68)*($CE659=$CY$13:$CY$68)*($BY659=$DA$13:$DA$68)*($CD659=$DH$13:$DH$68),0)),""))</f>
        <v/>
      </c>
      <c r="DN659" s="740" t="str" cm="1">
        <f t="array" ref="DN659">IF(AND($BT659=4,$BX659=4,$BU659=999),$DD$36,_xlfn.IFNA(INDEX(DE$13:DE$68,MATCH(1,($BR659=$CV$13:$CV$68)*($BT659=$CX$13:$CX$68)*($CE659=$CY$13:$CY$68)*($BY659=$DA$13:$DA$68)*($CD659=$DH$13:$DH$68),0)),""))</f>
        <v/>
      </c>
      <c r="DO659" s="58" t="str" cm="1">
        <f t="array" ref="DO659">IF(AND($BT659=4,$BX659=4,$BU659=999),$DF$36,_xlfn.IFNA(INDEX(DF$13:DF$70,MATCH(1,($BR659=$CV$13:$CV$70)*($BT659=$CX$13:$CX$70)*($CE659=$CY$13:$CY$70)*($BY659=$DA$13:$DA$70)*($CD659=$DH$13:$DH$70),0)),""))</f>
        <v/>
      </c>
      <c r="DP659" s="58" t="e">
        <f t="shared" si="1059"/>
        <v>#N/A</v>
      </c>
      <c r="DW659" s="58" t="s">
        <v>58</v>
      </c>
      <c r="DX659" s="58" t="s">
        <v>554</v>
      </c>
      <c r="DY659" s="58">
        <v>0</v>
      </c>
      <c r="DZ659" s="58">
        <v>0</v>
      </c>
      <c r="EB659" s="58">
        <v>0</v>
      </c>
      <c r="EC659" s="58">
        <v>4</v>
      </c>
      <c r="ED659" s="58">
        <v>999</v>
      </c>
      <c r="EE659" s="58">
        <v>2</v>
      </c>
      <c r="EF659" s="58">
        <v>4</v>
      </c>
      <c r="EI659" s="58" t="s">
        <v>58</v>
      </c>
      <c r="EJ659" s="58" t="s">
        <v>554</v>
      </c>
      <c r="EK659" s="58">
        <v>0</v>
      </c>
      <c r="EL659" s="58">
        <v>0</v>
      </c>
      <c r="EN659" s="58">
        <v>0</v>
      </c>
      <c r="EO659" s="58">
        <v>4</v>
      </c>
      <c r="EP659" s="58">
        <v>999</v>
      </c>
      <c r="EQ659" s="58">
        <v>2</v>
      </c>
      <c r="ER659" s="58">
        <v>4</v>
      </c>
      <c r="EU659" s="58" t="str">
        <f t="shared" si="1044"/>
        <v>No</v>
      </c>
      <c r="EV659" s="58" t="str">
        <f t="shared" si="1045"/>
        <v>Time to treatment discontinuation</v>
      </c>
      <c r="EW659" s="58">
        <f t="shared" si="1046"/>
        <v>0</v>
      </c>
      <c r="EX659" s="58">
        <f t="shared" si="1047"/>
        <v>0</v>
      </c>
      <c r="EZ659" s="58">
        <f t="shared" si="1048"/>
        <v>0</v>
      </c>
      <c r="FA659" s="58">
        <f t="shared" si="1049"/>
        <v>4</v>
      </c>
      <c r="FB659" s="58">
        <f>IF(i_eff_inputs_based_on_num=2,ED659,(INDEX(Lists!$L$51:$L$85,MATCH(BF302,Lists!$K$51:$K$85,0))))</f>
        <v>999</v>
      </c>
      <c r="FC659" s="58">
        <f>IF(i_eff_inputs_based_on_num=2,EE659,(INDEX(Lists!$L$51:$L$85,MATCH(BG302,Lists!$K$51:$K$85,0))))</f>
        <v>2</v>
      </c>
      <c r="FD659" s="58">
        <f>IF(i_eff_inputs_based_on_num=2,EF659,(INDEX(Lists!$L$51:$L$85,MATCH(BH302,Lists!$K$51:$K$85,0))))</f>
        <v>4</v>
      </c>
      <c r="FG659" s="58" t="str">
        <f t="shared" si="1050"/>
        <v>No</v>
      </c>
      <c r="FH659" s="58" t="str">
        <f t="shared" si="1051"/>
        <v>Time to treatment discontinuation</v>
      </c>
      <c r="FI659" s="58">
        <f t="shared" si="1052"/>
        <v>0</v>
      </c>
      <c r="FJ659" s="58">
        <f t="shared" si="1053"/>
        <v>0</v>
      </c>
      <c r="FL659" s="58">
        <f t="shared" si="1054"/>
        <v>0</v>
      </c>
      <c r="FM659" s="58">
        <f t="shared" si="1055"/>
        <v>4</v>
      </c>
      <c r="FN659" s="58">
        <f>IF(i_eff_inputs_based_on_num=2,EP659,(INDEX(Lists!$L$51:$L$85,MATCH(BF302,Lists!$K$51:$K$85,0))))</f>
        <v>999</v>
      </c>
      <c r="FO659" s="58">
        <f>IF(i_eff_inputs_based_on_num=2,EQ659,(INDEX(Lists!$L$51:$L$85,MATCH(BG302,Lists!$K$51:$K$85,0))))</f>
        <v>2</v>
      </c>
      <c r="FP659" s="58">
        <f>IF(i_eff_inputs_based_on_num=2,ER659,(INDEX(Lists!$L$51:$L$85,MATCH(BH302,Lists!$K$51:$K$85,0))))</f>
        <v>4</v>
      </c>
      <c r="FT659" s="58">
        <f t="shared" si="1060"/>
        <v>0</v>
      </c>
      <c r="FW659" s="58">
        <f>IF(i_baseline_risk_from=2,'Effectiveness settings'!EW659,'Effectiveness settings'!FI659)</f>
        <v>0</v>
      </c>
      <c r="FX659" s="58">
        <f t="shared" si="1061"/>
        <v>0</v>
      </c>
      <c r="FY659" s="58">
        <f t="shared" si="1062"/>
        <v>0</v>
      </c>
      <c r="FZ659" s="58">
        <f t="shared" si="1063"/>
        <v>0</v>
      </c>
      <c r="GA659" s="58">
        <f t="shared" si="1064"/>
        <v>0</v>
      </c>
      <c r="GB659" s="58">
        <f t="shared" si="1065"/>
        <v>0</v>
      </c>
      <c r="GC659" s="58">
        <f t="shared" si="1066"/>
        <v>0</v>
      </c>
      <c r="GD659" s="58">
        <f t="shared" si="1067"/>
        <v>0</v>
      </c>
      <c r="GE659" s="58">
        <f>IF(AND(dd_CheckMate214_TTD="Yes",'Effectiveness settings'!BU659=2,'Effectiveness settings'!BX659=2),"Apply HR to",GD659)</f>
        <v>0</v>
      </c>
      <c r="GF659" s="58">
        <f t="shared" si="1068"/>
        <v>0</v>
      </c>
      <c r="GG659" s="58">
        <f t="shared" si="1069"/>
        <v>0</v>
      </c>
      <c r="GH659" s="58">
        <f t="shared" si="1070"/>
        <v>0</v>
      </c>
      <c r="GI659" s="58">
        <f t="shared" si="1034"/>
        <v>0</v>
      </c>
      <c r="GK659" s="58">
        <f>IF(i_baseline_risk_from=2,'Effectiveness settings'!FA659,'Effectiveness settings'!FM659)</f>
        <v>4</v>
      </c>
      <c r="GL659" s="58">
        <f>IF(i_baseline_risk_from=2,'Effectiveness settings'!FB659,'Effectiveness settings'!FN659)</f>
        <v>999</v>
      </c>
      <c r="GM659" s="58">
        <f>IF(i_baseline_risk_from=2,'Effectiveness settings'!FC659,'Effectiveness settings'!FO659)</f>
        <v>2</v>
      </c>
      <c r="GN659" s="58">
        <f>IF(i_baseline_risk_from=2,'Effectiveness settings'!FD659,'Effectiveness settings'!FP659)</f>
        <v>4</v>
      </c>
      <c r="GQ659" s="58">
        <f t="shared" si="1071"/>
        <v>999</v>
      </c>
      <c r="GR659" s="58">
        <f t="shared" si="1072"/>
        <v>999</v>
      </c>
      <c r="GS659" s="58">
        <f t="shared" si="1073"/>
        <v>999</v>
      </c>
      <c r="GT659" s="58">
        <f t="shared" si="1074"/>
        <v>999</v>
      </c>
      <c r="GU659" s="58">
        <f>IF(AND(dd_CheckMate214_TTD="Yes",'Effectiveness settings'!BU659=2,'Effectiveness settings'!BX659=2),2,GT659)</f>
        <v>999</v>
      </c>
      <c r="GV659" s="58">
        <f t="shared" si="1075"/>
        <v>999</v>
      </c>
      <c r="GW659" s="58">
        <f t="shared" si="1076"/>
        <v>999</v>
      </c>
      <c r="GY659" s="58">
        <f>IF(AND(dd_CheckMate214_TTD="Yes",'Effectiveness settings'!BU659=2,'Effectiveness settings'!BX659=2),1,GN659)</f>
        <v>4</v>
      </c>
      <c r="GZ659" s="58">
        <f t="shared" si="1077"/>
        <v>4</v>
      </c>
      <c r="HB659" s="58">
        <f t="shared" si="1078"/>
        <v>0</v>
      </c>
      <c r="HD659" s="58">
        <f t="shared" si="1029"/>
        <v>0</v>
      </c>
      <c r="HE659" s="58">
        <f t="shared" si="1030"/>
        <v>4</v>
      </c>
      <c r="HF659" s="58">
        <f t="shared" si="1031"/>
        <v>999</v>
      </c>
      <c r="HG659" s="58">
        <f t="shared" si="1032"/>
        <v>2</v>
      </c>
      <c r="HH659" s="58">
        <f t="shared" si="1033"/>
        <v>4</v>
      </c>
    </row>
    <row r="660" spans="69:216" ht="15.75" x14ac:dyDescent="0.25">
      <c r="BQ660" s="58">
        <f t="shared" si="1058"/>
        <v>392</v>
      </c>
      <c r="BR660" s="61"/>
      <c r="BS660" s="61"/>
      <c r="BT660" s="17"/>
      <c r="BU660" s="61"/>
      <c r="BV660" s="252"/>
      <c r="BW660" s="252"/>
      <c r="BX660" s="61"/>
      <c r="BY660" s="532"/>
      <c r="BZ660" s="529"/>
      <c r="CA660" s="532"/>
      <c r="CB660" s="529"/>
      <c r="CC660" s="529"/>
      <c r="CD660" s="529"/>
      <c r="CE660" s="515"/>
      <c r="CF660" s="1303"/>
      <c r="CG660" s="529"/>
      <c r="CH660" s="505"/>
      <c r="CI660" s="505"/>
      <c r="CJ660" s="505"/>
      <c r="DK660" s="58" t="str" cm="1">
        <f t="array" ref="DK660">IF(AND($BT660=4,$BX660=4,$BU660=999),$DB$36,_xlfn.IFNA(INDEX(DB$13:DB$70,MATCH(1,($BR660=$CV$13:$CV$70)*($BT660=$CX$13:$CX$70)*($CE660=$CY$13:$CY$70)*($BY660=$DA$13:$DA$70)*($CD660=$DH$13:$DH$70),0)),""))</f>
        <v/>
      </c>
      <c r="DL660" s="58" t="str" cm="1">
        <f t="array" ref="DL660">IF(AND($BT660=4,$BX660=4,$BU660=999),$DC$36,_xlfn.IFNA(INDEX(CHOOSE(DP660,DB$13:DB$70,DC$13:DC$70,DD$13:DD$70,DE$13:DE$70),MATCH(1,($BR660=$CV$13:$CV$70)*($BT660=$CX$13:$CX$70)*($CE660=$CY$13:$CY$70)*($BY660=$DA$13:$DA$70)*($CD660=$DH$13:$DH$70),0)),""))</f>
        <v/>
      </c>
      <c r="DM660" s="740" t="str" cm="1">
        <f t="array" ref="DM660">IF(AND($BT660=4,$BX660=4,$BU660=999),$DD$36,_xlfn.IFNA(INDEX(DD$13:DD$68,MATCH(1,($BR660=$CV$13:$CV$68)*($BT660=$CX$13:$CX$68)*($CE660=$CY$13:$CY$68)*($BY660=$DA$13:$DA$68)*($CD660=$DH$13:$DH$68),0)),""))</f>
        <v/>
      </c>
      <c r="DN660" s="740" t="str" cm="1">
        <f t="array" ref="DN660">IF(AND($BT660=4,$BX660=4,$BU660=999),$DD$36,_xlfn.IFNA(INDEX(DE$13:DE$68,MATCH(1,($BR660=$CV$13:$CV$68)*($BT660=$CX$13:$CX$68)*($CE660=$CY$13:$CY$68)*($BY660=$DA$13:$DA$68)*($CD660=$DH$13:$DH$68),0)),""))</f>
        <v/>
      </c>
      <c r="DO660" s="58" t="str" cm="1">
        <f t="array" ref="DO660">IF(AND($BT660=4,$BX660=4,$BU660=999),$DF$36,_xlfn.IFNA(INDEX(DF$13:DF$70,MATCH(1,($BR660=$CV$13:$CV$70)*($BT660=$CX$13:$CX$70)*($CE660=$CY$13:$CY$70)*($BY660=$DA$13:$DA$70)*($CD660=$DH$13:$DH$70),0)),""))</f>
        <v/>
      </c>
      <c r="DP660" s="58" t="e">
        <f t="shared" si="1059"/>
        <v>#N/A</v>
      </c>
      <c r="FT660" s="58">
        <f t="shared" si="1060"/>
        <v>0</v>
      </c>
      <c r="FW660" s="58">
        <f>IF(i_baseline_risk_from=2,'Effectiveness settings'!EW660,'Effectiveness settings'!FI660)</f>
        <v>0</v>
      </c>
      <c r="FX660" s="58">
        <f t="shared" si="1061"/>
        <v>0</v>
      </c>
      <c r="FY660" s="58">
        <f t="shared" si="1062"/>
        <v>0</v>
      </c>
      <c r="FZ660" s="58">
        <f t="shared" si="1063"/>
        <v>0</v>
      </c>
      <c r="GA660" s="58">
        <f t="shared" si="1064"/>
        <v>0</v>
      </c>
      <c r="GB660" s="58">
        <f t="shared" si="1065"/>
        <v>0</v>
      </c>
      <c r="GC660" s="58">
        <f t="shared" si="1066"/>
        <v>0</v>
      </c>
      <c r="GD660" s="58">
        <f t="shared" si="1067"/>
        <v>0</v>
      </c>
      <c r="GE660" s="58">
        <f>IF(AND(dd_CheckMate214_TTD="Yes",'Effectiveness settings'!BU660=2,'Effectiveness settings'!BX660=2),"Apply HR to",GD660)</f>
        <v>0</v>
      </c>
      <c r="GF660" s="58">
        <f t="shared" si="1068"/>
        <v>0</v>
      </c>
      <c r="GG660" s="58">
        <f t="shared" si="1069"/>
        <v>0</v>
      </c>
      <c r="GH660" s="58">
        <f t="shared" si="1070"/>
        <v>0</v>
      </c>
      <c r="GI660" s="58">
        <f t="shared" si="1034"/>
        <v>0</v>
      </c>
      <c r="GK660" s="58">
        <f>IF(i_baseline_risk_from=2,'Effectiveness settings'!FA660,'Effectiveness settings'!FM660)</f>
        <v>0</v>
      </c>
      <c r="GL660" s="58">
        <f>IF(i_baseline_risk_from=2,'Effectiveness settings'!FB660,'Effectiveness settings'!FN660)</f>
        <v>0</v>
      </c>
      <c r="GM660" s="58">
        <f>IF(i_baseline_risk_from=2,'Effectiveness settings'!FC660,'Effectiveness settings'!FO660)</f>
        <v>0</v>
      </c>
      <c r="GN660" s="58">
        <f>IF(i_baseline_risk_from=2,'Effectiveness settings'!FD660,'Effectiveness settings'!FP660)</f>
        <v>0</v>
      </c>
      <c r="GQ660" s="58">
        <f t="shared" si="1071"/>
        <v>0</v>
      </c>
      <c r="GR660" s="58">
        <f t="shared" si="1072"/>
        <v>0</v>
      </c>
      <c r="GS660" s="58">
        <f t="shared" si="1073"/>
        <v>0</v>
      </c>
      <c r="GT660" s="58">
        <f t="shared" si="1074"/>
        <v>0</v>
      </c>
      <c r="GU660" s="58">
        <f>IF(AND(dd_CheckMate214_TTD="Yes",'Effectiveness settings'!BU660=2,'Effectiveness settings'!BX660=2),2,GT660)</f>
        <v>0</v>
      </c>
      <c r="GV660" s="58">
        <f t="shared" si="1075"/>
        <v>0</v>
      </c>
      <c r="GW660" s="58">
        <f t="shared" si="1076"/>
        <v>0</v>
      </c>
      <c r="GY660" s="58">
        <f>IF(AND(dd_CheckMate214_TTD="Yes",'Effectiveness settings'!BU660=2,'Effectiveness settings'!BX660=2),1,GN660)</f>
        <v>0</v>
      </c>
      <c r="GZ660" s="58">
        <f t="shared" si="1077"/>
        <v>0</v>
      </c>
      <c r="HB660" s="58">
        <f t="shared" si="1078"/>
        <v>0</v>
      </c>
      <c r="HD660" s="58">
        <f t="shared" si="1029"/>
        <v>0</v>
      </c>
      <c r="HE660" s="58">
        <f t="shared" si="1030"/>
        <v>0</v>
      </c>
      <c r="HF660" s="58">
        <f t="shared" si="1031"/>
        <v>0</v>
      </c>
      <c r="HG660" s="58">
        <f t="shared" si="1032"/>
        <v>0</v>
      </c>
      <c r="HH660" s="58">
        <f t="shared" si="1033"/>
        <v>0</v>
      </c>
    </row>
    <row r="661" spans="69:216" ht="15.75" x14ac:dyDescent="0.25">
      <c r="BQ661" s="58">
        <f t="shared" si="1058"/>
        <v>393</v>
      </c>
      <c r="BR661" s="61">
        <v>0</v>
      </c>
      <c r="BS661" s="61" t="s">
        <v>31</v>
      </c>
      <c r="BT661" s="17">
        <v>4</v>
      </c>
      <c r="BU661" s="17">
        <v>0</v>
      </c>
      <c r="BV661" s="252" t="str">
        <f t="shared" ref="BV661:BV674" si="1079">D304</f>
        <v>nivolumab_monotherapy</v>
      </c>
      <c r="BW661" s="1006" t="str" cm="1">
        <f t="array" ref="BW661">IF(AZ304="No",AZ304,INDEX(List_incl_anal_4L_all,IF(BU661=999,35,BU661+1)))</f>
        <v>Yes</v>
      </c>
      <c r="BX661" s="61">
        <f t="shared" ref="BX661:BX674" si="1080">MATCH(BY661,List_eff_endpoints,0)-1</f>
        <v>3</v>
      </c>
      <c r="BY661" s="532" t="str">
        <f>BA304</f>
        <v>Time to progression</v>
      </c>
      <c r="BZ661" s="530" t="str">
        <f t="shared" ref="BZ661:BZ674" si="1081">GI661</f>
        <v>Apply HR to</v>
      </c>
      <c r="CA661" s="531">
        <f>FT661</f>
        <v>0</v>
      </c>
      <c r="CB661" s="530">
        <f t="shared" ref="CB661:CB674" si="1082">IF(i_baseline_risk_from=2,EZ661,FL661)</f>
        <v>0</v>
      </c>
      <c r="CC661" s="530">
        <f t="shared" ref="CC661:CC674" si="1083">IF(i_baseline_risk_from=2,FA661,FM661)</f>
        <v>4</v>
      </c>
      <c r="CD661" s="530">
        <f t="shared" ref="CD661:CD674" si="1084">IF(i_baseline_risk_from=2,FB661,FN661)</f>
        <v>0</v>
      </c>
      <c r="CE661" s="1295">
        <f t="shared" ref="CE661:CE674" si="1085">IF(i_baseline_risk_from=2,FC661,FO661)</f>
        <v>2</v>
      </c>
      <c r="CF661" s="1301">
        <f t="shared" ref="CF661:CF674" si="1086">IF(i_baseline_risk_from=2,FD661,FP661)</f>
        <v>1</v>
      </c>
      <c r="CG661" s="530" t="str">
        <f t="shared" ref="CG661:CG674" si="1087">IF(i_surv_cur=1,DK661,DL661)</f>
        <v/>
      </c>
      <c r="CH661" s="505">
        <f t="shared" si="1025"/>
        <v>0.82</v>
      </c>
      <c r="CI661" s="505">
        <f t="shared" si="1026"/>
        <v>0.8</v>
      </c>
      <c r="CJ661" s="505">
        <f t="shared" si="1027"/>
        <v>0.84</v>
      </c>
      <c r="DK661" s="58" t="str" cm="1">
        <f t="array" ref="DK661">IF(AND($BT661=4,$BX661=4,$BU661=999),$DB$36,_xlfn.IFNA(INDEX(DB$13:DB$70,MATCH(1,($BR661=$CV$13:$CV$70)*($BT661=$CX$13:$CX$70)*($CE661=$CY$13:$CY$70)*($BY661=$DA$13:$DA$70)*($CD661=$DH$13:$DH$70),0)),""))</f>
        <v/>
      </c>
      <c r="DL661" s="58" t="str" cm="1">
        <f t="array" ref="DL661">IF(AND($BT661=4,$BX661=4,$BU661=999),$DC$36,_xlfn.IFNA(INDEX(CHOOSE(DP661,DB$13:DB$70,DC$13:DC$70,DD$13:DD$70,DE$13:DE$70),MATCH(1,($BR661=$CV$13:$CV$70)*($BT661=$CX$13:$CX$70)*($CE661=$CY$13:$CY$70)*($BY661=$DA$13:$DA$70)*($CD661=$DH$13:$DH$70),0)),""))</f>
        <v/>
      </c>
      <c r="DM661" s="740" t="str" cm="1">
        <f t="array" ref="DM661">IF(AND($BT661=4,$BX661=4,$BU661=999),$DD$36,_xlfn.IFNA(INDEX(DD$13:DD$68,MATCH(1,($BR661=$CV$13:$CV$68)*($BT661=$CX$13:$CX$68)*($CE661=$CY$13:$CY$68)*($BY661=$DA$13:$DA$68)*($CD661=$DH$13:$DH$68),0)),""))</f>
        <v/>
      </c>
      <c r="DN661" s="740" t="str" cm="1">
        <f t="array" ref="DN661">IF(AND($BT661=4,$BX661=4,$BU661=999),$DD$36,_xlfn.IFNA(INDEX(DE$13:DE$68,MATCH(1,($BR661=$CV$13:$CV$68)*($BT661=$CX$13:$CX$68)*($CE661=$CY$13:$CY$68)*($BY661=$DA$13:$DA$68)*($CD661=$DH$13:$DH$68),0)),""))</f>
        <v/>
      </c>
      <c r="DO661" s="58" t="str" cm="1">
        <f t="array" ref="DO661">IF(AND($BT661=4,$BX661=4,$BU661=999),$DF$36,_xlfn.IFNA(INDEX(DF$13:DF$70,MATCH(1,($BR661=$CV$13:$CV$70)*($BT661=$CX$13:$CX$70)*($CE661=$CY$13:$CY$70)*($BY661=$DA$13:$DA$70)*($CD661=$DH$13:$DH$70),0)),""))</f>
        <v/>
      </c>
      <c r="DP661" s="58" t="e">
        <f t="shared" si="1059"/>
        <v>#N/A</v>
      </c>
      <c r="DW661" s="58" t="s">
        <v>74</v>
      </c>
      <c r="DX661" s="58" t="s">
        <v>555</v>
      </c>
      <c r="DY661" s="58" t="s">
        <v>578</v>
      </c>
      <c r="DZ661" s="58">
        <v>0</v>
      </c>
      <c r="EB661" s="58">
        <v>0</v>
      </c>
      <c r="EC661" s="58">
        <v>4</v>
      </c>
      <c r="ED661" s="58">
        <v>0</v>
      </c>
      <c r="EE661" s="58">
        <v>2</v>
      </c>
      <c r="EF661" s="58">
        <v>1</v>
      </c>
      <c r="EI661" s="58" t="s">
        <v>74</v>
      </c>
      <c r="EJ661" s="58" t="s">
        <v>555</v>
      </c>
      <c r="EK661" s="58" t="s">
        <v>578</v>
      </c>
      <c r="EL661" s="58">
        <v>0</v>
      </c>
      <c r="EN661" s="58">
        <v>0</v>
      </c>
      <c r="EO661" s="58">
        <v>4</v>
      </c>
      <c r="EP661" s="58">
        <v>0</v>
      </c>
      <c r="EQ661" s="58">
        <v>1</v>
      </c>
      <c r="ER661" s="58">
        <v>1</v>
      </c>
      <c r="EU661" s="58" t="str">
        <f t="shared" ref="EU661:EU674" si="1088">IF(i_eff_inputs_based_on_num=2,DW661,AZ304)</f>
        <v>Yes</v>
      </c>
      <c r="EV661" s="58" t="str">
        <f t="shared" ref="EV661:EV674" si="1089">IF(i_eff_inputs_based_on_num=2,DX661,BA304)</f>
        <v>Time to progression</v>
      </c>
      <c r="EW661" s="58" t="str">
        <f t="shared" ref="EW661:EW674" si="1090">IF(i_eff_inputs_based_on_num=2,DY661,BB304)</f>
        <v>Apply HR to</v>
      </c>
      <c r="EX661" s="58">
        <f t="shared" ref="EX661:EX674" si="1091">IF(i_eff_inputs_based_on_num=2,DZ661,BC304)</f>
        <v>0</v>
      </c>
      <c r="EZ661" s="58">
        <f t="shared" ref="EZ661:EZ674" si="1092">IF(i_eff_inputs_based_on_num=2,EB661,VLOOKUP(BD304,r_pld_lookup_line,3,FALSE))</f>
        <v>0</v>
      </c>
      <c r="FA661" s="58">
        <f t="shared" ref="FA661:FA674" si="1093">IF(i_eff_inputs_based_on_num=2,EC661,VLOOKUP(BE304,r_pld_lookup_line,3,FALSE))</f>
        <v>4</v>
      </c>
      <c r="FB661" s="58">
        <f>IF(i_eff_inputs_based_on_num=2,ED661,(INDEX(Lists!$L$51:$L$85,MATCH(BF304,Lists!$K$51:$K$85,0))))</f>
        <v>0</v>
      </c>
      <c r="FC661" s="58">
        <f>IF(i_eff_inputs_based_on_num=2,EE661,(INDEX(Lists!$L$51:$L$85,MATCH(BG304,Lists!$K$51:$K$85,0))))</f>
        <v>2</v>
      </c>
      <c r="FD661" s="58">
        <f>IF(i_eff_inputs_based_on_num=2,EF661,(INDEX(Lists!$L$51:$L$85,MATCH(BH304,Lists!$K$51:$K$85,0))))</f>
        <v>1</v>
      </c>
      <c r="FG661" s="58" t="str">
        <f t="shared" ref="FG661:FG674" si="1094">IF(i_eff_inputs_based_on_num=2,EI661,AZ304)</f>
        <v>Yes</v>
      </c>
      <c r="FH661" s="58" t="str">
        <f t="shared" ref="FH661:FH674" si="1095">IF(i_eff_inputs_based_on_num=2,EJ661,BA304)</f>
        <v>Time to progression</v>
      </c>
      <c r="FI661" s="58" t="str">
        <f t="shared" ref="FI661:FI674" si="1096">IF(i_eff_inputs_based_on_num=2,EK661,BB304)</f>
        <v>Apply HR to</v>
      </c>
      <c r="FJ661" s="58">
        <f t="shared" ref="FJ661:FJ674" si="1097">IF(i_eff_inputs_based_on_num=2,EL661,BC304)</f>
        <v>0</v>
      </c>
      <c r="FL661" s="58">
        <f t="shared" ref="FL661:FL674" si="1098">IF(i_eff_inputs_based_on_num=2,EN661,VLOOKUP(BD304,r_pld_lookup_line,3,FALSE))</f>
        <v>0</v>
      </c>
      <c r="FM661" s="58">
        <f t="shared" ref="FM661:FM674" si="1099">IF(i_eff_inputs_based_on_num=2,EO661,VLOOKUP(BE304,r_pld_lookup_line,3,FALSE))</f>
        <v>4</v>
      </c>
      <c r="FN661" s="58">
        <f>IF(i_eff_inputs_based_on_num=2,EP661,(INDEX(Lists!$L$51:$L$85,MATCH(BF304,Lists!$K$51:$K$85,0))))</f>
        <v>0</v>
      </c>
      <c r="FO661" s="58">
        <f>IF(i_eff_inputs_based_on_num=2,EQ661,(INDEX(Lists!$L$51:$L$85,MATCH(BG304,Lists!$K$51:$K$85,0))))</f>
        <v>1</v>
      </c>
      <c r="FP661" s="58">
        <f>IF(i_eff_inputs_based_on_num=2,ER661,(INDEX(Lists!$L$51:$L$85,MATCH(BH304,Lists!$K$51:$K$85,0))))</f>
        <v>1</v>
      </c>
      <c r="FT661" s="58">
        <f t="shared" si="1060"/>
        <v>0</v>
      </c>
      <c r="FW661" s="58" t="str">
        <f>IF(i_baseline_risk_from=2,'Effectiveness settings'!EW661,'Effectiveness settings'!FI661)</f>
        <v>Apply HR to</v>
      </c>
      <c r="FX661" s="58" t="str">
        <f t="shared" si="1061"/>
        <v>Apply HR to</v>
      </c>
      <c r="FY661" s="58" t="str">
        <f t="shared" si="1062"/>
        <v>Apply HR to</v>
      </c>
      <c r="FZ661" s="58" t="str">
        <f t="shared" si="1063"/>
        <v>Apply HR to</v>
      </c>
      <c r="GA661" s="58" t="str">
        <f t="shared" si="1064"/>
        <v>Apply HR to</v>
      </c>
      <c r="GB661" s="58" t="str">
        <f t="shared" si="1065"/>
        <v>Apply HR to</v>
      </c>
      <c r="GC661" s="58" t="str">
        <f t="shared" si="1066"/>
        <v>Apply HR to</v>
      </c>
      <c r="GD661" s="58" t="str">
        <f t="shared" si="1067"/>
        <v>Apply HR to</v>
      </c>
      <c r="GE661" s="58" t="str">
        <f>IF(AND(dd_CheckMate214_TTD="Yes",'Effectiveness settings'!BU661=2,'Effectiveness settings'!BX661=2),"Apply HR to",GD661)</f>
        <v>Apply HR to</v>
      </c>
      <c r="GF661" s="58" t="str">
        <f t="shared" si="1068"/>
        <v>Apply HR to</v>
      </c>
      <c r="GG661" s="58" t="str">
        <f t="shared" si="1069"/>
        <v>Apply HR to</v>
      </c>
      <c r="GH661" s="58" t="str">
        <f t="shared" si="1070"/>
        <v>Apply HR to</v>
      </c>
      <c r="GI661" s="58" t="str">
        <f t="shared" si="1034"/>
        <v>Apply HR to</v>
      </c>
      <c r="GK661" s="58">
        <f>IF(i_baseline_risk_from=2,'Effectiveness settings'!FA661,'Effectiveness settings'!FM661)</f>
        <v>4</v>
      </c>
      <c r="GL661" s="58">
        <f>IF(i_baseline_risk_from=2,'Effectiveness settings'!FB661,'Effectiveness settings'!FN661)</f>
        <v>0</v>
      </c>
      <c r="GM661" s="58">
        <f>IF(i_baseline_risk_from=2,'Effectiveness settings'!FC661,'Effectiveness settings'!FO661)</f>
        <v>2</v>
      </c>
      <c r="GN661" s="58">
        <f>IF(i_baseline_risk_from=2,'Effectiveness settings'!FD661,'Effectiveness settings'!FP661)</f>
        <v>1</v>
      </c>
      <c r="GQ661" s="58">
        <f t="shared" si="1071"/>
        <v>0</v>
      </c>
      <c r="GR661" s="58">
        <f t="shared" si="1072"/>
        <v>0</v>
      </c>
      <c r="GS661" s="58">
        <f t="shared" si="1073"/>
        <v>0</v>
      </c>
      <c r="GT661" s="58">
        <f t="shared" si="1074"/>
        <v>0</v>
      </c>
      <c r="GU661" s="58">
        <f>IF(AND(dd_CheckMate214_TTD="Yes",'Effectiveness settings'!BU661=2,'Effectiveness settings'!BX661=2),2,GT661)</f>
        <v>0</v>
      </c>
      <c r="GV661" s="58">
        <f t="shared" si="1075"/>
        <v>0</v>
      </c>
      <c r="GW661" s="58">
        <f t="shared" si="1076"/>
        <v>0</v>
      </c>
      <c r="GY661" s="58">
        <f>IF(AND(dd_CheckMate214_TTD="Yes",'Effectiveness settings'!BU661=2,'Effectiveness settings'!BX661=2),1,GN661)</f>
        <v>1</v>
      </c>
      <c r="GZ661" s="58">
        <f t="shared" si="1077"/>
        <v>1</v>
      </c>
      <c r="HB661" s="58">
        <f t="shared" si="1078"/>
        <v>0</v>
      </c>
      <c r="HD661" s="58">
        <f t="shared" si="1029"/>
        <v>0</v>
      </c>
      <c r="HE661" s="58">
        <f t="shared" si="1030"/>
        <v>4</v>
      </c>
      <c r="HF661" s="58">
        <f t="shared" si="1031"/>
        <v>0</v>
      </c>
      <c r="HG661" s="58">
        <f t="shared" si="1032"/>
        <v>2</v>
      </c>
      <c r="HH661" s="58">
        <f t="shared" si="1033"/>
        <v>1</v>
      </c>
    </row>
    <row r="662" spans="69:216" ht="15.75" x14ac:dyDescent="0.25">
      <c r="BQ662" s="58">
        <f t="shared" si="1058"/>
        <v>394</v>
      </c>
      <c r="BR662" s="61">
        <v>0</v>
      </c>
      <c r="BS662" s="61" t="s">
        <v>31</v>
      </c>
      <c r="BT662" s="17">
        <v>4</v>
      </c>
      <c r="BU662" s="17">
        <v>1</v>
      </c>
      <c r="BV662" s="252" t="str">
        <f t="shared" si="1079"/>
        <v>cabozantinib_plus_nivolumab</v>
      </c>
      <c r="BW662" s="1006" t="str" cm="1">
        <f t="array" ref="BW662">IF(AZ305="No",AZ305,INDEX(List_incl_anal_4L_all,IF(BU662=999,35,BU662+1)))</f>
        <v>No</v>
      </c>
      <c r="BX662" s="61">
        <f t="shared" si="1080"/>
        <v>3</v>
      </c>
      <c r="BY662" s="532" t="str">
        <f>BA305</f>
        <v>Time to progression</v>
      </c>
      <c r="BZ662" s="530">
        <f t="shared" si="1081"/>
        <v>0</v>
      </c>
      <c r="CA662" s="531">
        <f t="shared" ref="CA662:CA674" si="1100">FT662</f>
        <v>0</v>
      </c>
      <c r="CB662" s="530">
        <f t="shared" si="1082"/>
        <v>0</v>
      </c>
      <c r="CC662" s="530">
        <f t="shared" si="1083"/>
        <v>4</v>
      </c>
      <c r="CD662" s="530">
        <f t="shared" si="1084"/>
        <v>1</v>
      </c>
      <c r="CE662" s="1295">
        <f t="shared" si="1085"/>
        <v>2</v>
      </c>
      <c r="CF662" s="1301">
        <f t="shared" si="1086"/>
        <v>1</v>
      </c>
      <c r="CG662" s="530" t="str">
        <f t="shared" si="1087"/>
        <v/>
      </c>
      <c r="CH662" s="505">
        <f t="shared" si="1025"/>
        <v>1</v>
      </c>
      <c r="CI662" s="505">
        <f t="shared" si="1026"/>
        <v>0</v>
      </c>
      <c r="CJ662" s="505">
        <f t="shared" si="1027"/>
        <v>0</v>
      </c>
      <c r="DK662" s="58" t="str" cm="1">
        <f t="array" ref="DK662">IF(AND($BT662=4,$BX662=4,$BU662=999),$DB$36,_xlfn.IFNA(INDEX(DB$13:DB$70,MATCH(1,($BR662=$CV$13:$CV$70)*($BT662=$CX$13:$CX$70)*($CE662=$CY$13:$CY$70)*($BY662=$DA$13:$DA$70)*($CD662=$DH$13:$DH$70),0)),""))</f>
        <v/>
      </c>
      <c r="DL662" s="58" t="str" cm="1">
        <f t="array" ref="DL662">IF(AND($BT662=4,$BX662=4,$BU662=999),$DC$36,_xlfn.IFNA(INDEX(CHOOSE(DP662,DB$13:DB$70,DC$13:DC$70,DD$13:DD$70,DE$13:DE$70),MATCH(1,($BR662=$CV$13:$CV$70)*($BT662=$CX$13:$CX$70)*($CE662=$CY$13:$CY$70)*($BY662=$DA$13:$DA$70)*($CD662=$DH$13:$DH$70),0)),""))</f>
        <v/>
      </c>
      <c r="DM662" s="740" t="str" cm="1">
        <f t="array" ref="DM662">IF(AND($BT662=4,$BX662=4,$BU662=999),$DD$36,_xlfn.IFNA(INDEX(DD$13:DD$68,MATCH(1,($BR662=$CV$13:$CV$68)*($BT662=$CX$13:$CX$68)*($CE662=$CY$13:$CY$68)*($BY662=$DA$13:$DA$68)*($CD662=$DH$13:$DH$68),0)),""))</f>
        <v/>
      </c>
      <c r="DN662" s="740" t="str" cm="1">
        <f t="array" ref="DN662">IF(AND($BT662=4,$BX662=4,$BU662=999),$DD$36,_xlfn.IFNA(INDEX(DE$13:DE$68,MATCH(1,($BR662=$CV$13:$CV$68)*($BT662=$CX$13:$CX$68)*($CE662=$CY$13:$CY$68)*($BY662=$DA$13:$DA$68)*($CD662=$DH$13:$DH$68),0)),""))</f>
        <v/>
      </c>
      <c r="DO662" s="58" t="str" cm="1">
        <f t="array" ref="DO662">IF(AND($BT662=4,$BX662=4,$BU662=999),$DF$36,_xlfn.IFNA(INDEX(DF$13:DF$70,MATCH(1,($BR662=$CV$13:$CV$70)*($BT662=$CX$13:$CX$70)*($CE662=$CY$13:$CY$70)*($BY662=$DA$13:$DA$70)*($CD662=$DH$13:$DH$70),0)),""))</f>
        <v/>
      </c>
      <c r="DP662" s="58" t="e">
        <f t="shared" si="1059"/>
        <v>#N/A</v>
      </c>
      <c r="DW662" s="58" t="s">
        <v>58</v>
      </c>
      <c r="DX662" s="58" t="s">
        <v>555</v>
      </c>
      <c r="DY662" s="58">
        <v>0</v>
      </c>
      <c r="DZ662" s="58">
        <v>0</v>
      </c>
      <c r="EB662" s="58">
        <v>0</v>
      </c>
      <c r="EC662" s="58">
        <v>4</v>
      </c>
      <c r="ED662" s="58">
        <v>1</v>
      </c>
      <c r="EE662" s="58">
        <v>2</v>
      </c>
      <c r="EF662" s="58">
        <v>1</v>
      </c>
      <c r="EI662" s="58" t="s">
        <v>58</v>
      </c>
      <c r="EJ662" s="58" t="s">
        <v>555</v>
      </c>
      <c r="EK662" s="58">
        <v>0</v>
      </c>
      <c r="EL662" s="58">
        <v>0</v>
      </c>
      <c r="EN662" s="58">
        <v>0</v>
      </c>
      <c r="EO662" s="58">
        <v>4</v>
      </c>
      <c r="EP662" s="58">
        <v>1</v>
      </c>
      <c r="EQ662" s="58">
        <v>1</v>
      </c>
      <c r="ER662" s="58">
        <v>1</v>
      </c>
      <c r="EU662" s="58" t="str">
        <f t="shared" si="1088"/>
        <v>No</v>
      </c>
      <c r="EV662" s="58" t="str">
        <f t="shared" si="1089"/>
        <v>Time to progression</v>
      </c>
      <c r="EW662" s="58">
        <f t="shared" si="1090"/>
        <v>0</v>
      </c>
      <c r="EX662" s="58">
        <f t="shared" si="1091"/>
        <v>0</v>
      </c>
      <c r="EZ662" s="58">
        <f t="shared" si="1092"/>
        <v>0</v>
      </c>
      <c r="FA662" s="58">
        <f t="shared" si="1093"/>
        <v>4</v>
      </c>
      <c r="FB662" s="58">
        <f>IF(i_eff_inputs_based_on_num=2,ED662,(INDEX(Lists!$L$51:$L$85,MATCH(BF305,Lists!$K$51:$K$85,0))))</f>
        <v>1</v>
      </c>
      <c r="FC662" s="58">
        <f>IF(i_eff_inputs_based_on_num=2,EE662,(INDEX(Lists!$L$51:$L$85,MATCH(BG305,Lists!$K$51:$K$85,0))))</f>
        <v>2</v>
      </c>
      <c r="FD662" s="58">
        <f>IF(i_eff_inputs_based_on_num=2,EF662,(INDEX(Lists!$L$51:$L$85,MATCH(BH305,Lists!$K$51:$K$85,0))))</f>
        <v>1</v>
      </c>
      <c r="FG662" s="58" t="str">
        <f t="shared" si="1094"/>
        <v>No</v>
      </c>
      <c r="FH662" s="58" t="str">
        <f t="shared" si="1095"/>
        <v>Time to progression</v>
      </c>
      <c r="FI662" s="58">
        <f t="shared" si="1096"/>
        <v>0</v>
      </c>
      <c r="FJ662" s="58">
        <f t="shared" si="1097"/>
        <v>0</v>
      </c>
      <c r="FL662" s="58">
        <f t="shared" si="1098"/>
        <v>0</v>
      </c>
      <c r="FM662" s="58">
        <f t="shared" si="1099"/>
        <v>4</v>
      </c>
      <c r="FN662" s="58">
        <f>IF(i_eff_inputs_based_on_num=2,EP662,(INDEX(Lists!$L$51:$L$85,MATCH(BF305,Lists!$K$51:$K$85,0))))</f>
        <v>1</v>
      </c>
      <c r="FO662" s="58">
        <f>IF(i_eff_inputs_based_on_num=2,EQ662,(INDEX(Lists!$L$51:$L$85,MATCH(BG305,Lists!$K$51:$K$85,0))))</f>
        <v>1</v>
      </c>
      <c r="FP662" s="58">
        <f>IF(i_eff_inputs_based_on_num=2,ER662,(INDEX(Lists!$L$51:$L$85,MATCH(BH305,Lists!$K$51:$K$85,0))))</f>
        <v>1</v>
      </c>
      <c r="FT662" s="58">
        <f t="shared" si="1060"/>
        <v>0</v>
      </c>
      <c r="FW662" s="58">
        <f>IF(i_baseline_risk_from=2,'Effectiveness settings'!EW662,'Effectiveness settings'!FI662)</f>
        <v>0</v>
      </c>
      <c r="FX662" s="58">
        <f t="shared" si="1061"/>
        <v>0</v>
      </c>
      <c r="FY662" s="58">
        <f t="shared" si="1062"/>
        <v>0</v>
      </c>
      <c r="FZ662" s="58">
        <f t="shared" si="1063"/>
        <v>0</v>
      </c>
      <c r="GA662" s="58">
        <f t="shared" si="1064"/>
        <v>0</v>
      </c>
      <c r="GB662" s="58">
        <f t="shared" si="1065"/>
        <v>0</v>
      </c>
      <c r="GC662" s="58">
        <f t="shared" si="1066"/>
        <v>0</v>
      </c>
      <c r="GD662" s="58">
        <f t="shared" si="1067"/>
        <v>0</v>
      </c>
      <c r="GE662" s="58">
        <f>IF(AND(dd_CheckMate214_TTD="Yes",'Effectiveness settings'!BU662=2,'Effectiveness settings'!BX662=2),"Apply HR to",GD662)</f>
        <v>0</v>
      </c>
      <c r="GF662" s="58">
        <f t="shared" si="1068"/>
        <v>0</v>
      </c>
      <c r="GG662" s="58">
        <f t="shared" si="1069"/>
        <v>0</v>
      </c>
      <c r="GH662" s="58">
        <f t="shared" si="1070"/>
        <v>0</v>
      </c>
      <c r="GI662" s="58">
        <f t="shared" si="1034"/>
        <v>0</v>
      </c>
      <c r="GK662" s="58">
        <f>IF(i_baseline_risk_from=2,'Effectiveness settings'!FA662,'Effectiveness settings'!FM662)</f>
        <v>4</v>
      </c>
      <c r="GL662" s="58">
        <f>IF(i_baseline_risk_from=2,'Effectiveness settings'!FB662,'Effectiveness settings'!FN662)</f>
        <v>1</v>
      </c>
      <c r="GM662" s="58">
        <f>IF(i_baseline_risk_from=2,'Effectiveness settings'!FC662,'Effectiveness settings'!FO662)</f>
        <v>2</v>
      </c>
      <c r="GN662" s="58">
        <f>IF(i_baseline_risk_from=2,'Effectiveness settings'!FD662,'Effectiveness settings'!FP662)</f>
        <v>1</v>
      </c>
      <c r="GQ662" s="58">
        <f t="shared" si="1071"/>
        <v>1</v>
      </c>
      <c r="GR662" s="58">
        <f t="shared" si="1072"/>
        <v>1</v>
      </c>
      <c r="GS662" s="58">
        <f t="shared" si="1073"/>
        <v>1</v>
      </c>
      <c r="GT662" s="58">
        <f t="shared" si="1074"/>
        <v>1</v>
      </c>
      <c r="GU662" s="58">
        <f>IF(AND(dd_CheckMate214_TTD="Yes",'Effectiveness settings'!BU662=2,'Effectiveness settings'!BX662=2),2,GT662)</f>
        <v>1</v>
      </c>
      <c r="GV662" s="58">
        <f t="shared" si="1075"/>
        <v>1</v>
      </c>
      <c r="GW662" s="58">
        <f t="shared" si="1076"/>
        <v>1</v>
      </c>
      <c r="GY662" s="58">
        <f>IF(AND(dd_CheckMate214_TTD="Yes",'Effectiveness settings'!BU662=2,'Effectiveness settings'!BX662=2),1,GN662)</f>
        <v>1</v>
      </c>
      <c r="GZ662" s="58">
        <f t="shared" si="1077"/>
        <v>1</v>
      </c>
      <c r="HB662" s="58">
        <f t="shared" si="1078"/>
        <v>0</v>
      </c>
      <c r="HD662" s="58">
        <f t="shared" si="1029"/>
        <v>0</v>
      </c>
      <c r="HE662" s="58">
        <f t="shared" si="1030"/>
        <v>4</v>
      </c>
      <c r="HF662" s="58">
        <f t="shared" si="1031"/>
        <v>1</v>
      </c>
      <c r="HG662" s="58">
        <f t="shared" si="1032"/>
        <v>2</v>
      </c>
      <c r="HH662" s="58">
        <f t="shared" si="1033"/>
        <v>1</v>
      </c>
    </row>
    <row r="663" spans="69:216" ht="15.75" x14ac:dyDescent="0.25">
      <c r="BQ663" s="58">
        <f t="shared" si="1058"/>
        <v>395</v>
      </c>
      <c r="BR663" s="61">
        <v>0</v>
      </c>
      <c r="BS663" s="61" t="s">
        <v>31</v>
      </c>
      <c r="BT663" s="17">
        <v>4</v>
      </c>
      <c r="BU663" s="17">
        <v>2</v>
      </c>
      <c r="BV663" s="252" t="str">
        <f t="shared" si="1079"/>
        <v>nivolumab_plus_ipilimumab</v>
      </c>
      <c r="BW663" s="1006" t="str" cm="1">
        <f t="array" ref="BW663">IF(AZ306="No",AZ306,INDEX(List_incl_anal_4L_all,IF(BU663=999,35,BU663+1)))</f>
        <v>No</v>
      </c>
      <c r="BX663" s="61">
        <f t="shared" si="1080"/>
        <v>3</v>
      </c>
      <c r="BY663" s="532" t="str">
        <f>BA306</f>
        <v>Time to progression</v>
      </c>
      <c r="BZ663" s="530">
        <f t="shared" si="1081"/>
        <v>0</v>
      </c>
      <c r="CA663" s="531">
        <f t="shared" si="1100"/>
        <v>0</v>
      </c>
      <c r="CB663" s="530">
        <f t="shared" si="1082"/>
        <v>0</v>
      </c>
      <c r="CC663" s="530">
        <f t="shared" si="1083"/>
        <v>4</v>
      </c>
      <c r="CD663" s="530">
        <f t="shared" si="1084"/>
        <v>2</v>
      </c>
      <c r="CE663" s="1295">
        <f t="shared" si="1085"/>
        <v>2</v>
      </c>
      <c r="CF663" s="1301">
        <f t="shared" si="1086"/>
        <v>1</v>
      </c>
      <c r="CG663" s="530" t="str">
        <f t="shared" si="1087"/>
        <v/>
      </c>
      <c r="CH663" s="505">
        <f t="shared" si="1025"/>
        <v>1</v>
      </c>
      <c r="CI663" s="505">
        <f t="shared" si="1026"/>
        <v>0</v>
      </c>
      <c r="CJ663" s="505">
        <f t="shared" si="1027"/>
        <v>0</v>
      </c>
      <c r="DK663" s="58" t="str" cm="1">
        <f t="array" ref="DK663">IF(AND($BT663=4,$BX663=4,$BU663=999),$DB$36,_xlfn.IFNA(INDEX(DB$13:DB$70,MATCH(1,($BR663=$CV$13:$CV$70)*($BT663=$CX$13:$CX$70)*($CE663=$CY$13:$CY$70)*($BY663=$DA$13:$DA$70)*($CD663=$DH$13:$DH$70),0)),""))</f>
        <v/>
      </c>
      <c r="DL663" s="58" t="str" cm="1">
        <f t="array" ref="DL663">IF(AND($BT663=4,$BX663=4,$BU663=999),$DC$36,_xlfn.IFNA(INDEX(CHOOSE(DP663,DB$13:DB$70,DC$13:DC$70,DD$13:DD$70,DE$13:DE$70),MATCH(1,($BR663=$CV$13:$CV$70)*($BT663=$CX$13:$CX$70)*($CE663=$CY$13:$CY$70)*($BY663=$DA$13:$DA$70)*($CD663=$DH$13:$DH$70),0)),""))</f>
        <v/>
      </c>
      <c r="DM663" s="740" t="str" cm="1">
        <f t="array" ref="DM663">IF(AND($BT663=4,$BX663=4,$BU663=999),$DD$36,_xlfn.IFNA(INDEX(DD$13:DD$68,MATCH(1,($BR663=$CV$13:$CV$68)*($BT663=$CX$13:$CX$68)*($CE663=$CY$13:$CY$68)*($BY663=$DA$13:$DA$68)*($CD663=$DH$13:$DH$68),0)),""))</f>
        <v/>
      </c>
      <c r="DN663" s="740" t="str" cm="1">
        <f t="array" ref="DN663">IF(AND($BT663=4,$BX663=4,$BU663=999),$DD$36,_xlfn.IFNA(INDEX(DE$13:DE$68,MATCH(1,($BR663=$CV$13:$CV$68)*($BT663=$CX$13:$CX$68)*($CE663=$CY$13:$CY$68)*($BY663=$DA$13:$DA$68)*($CD663=$DH$13:$DH$68),0)),""))</f>
        <v/>
      </c>
      <c r="DO663" s="58" t="str" cm="1">
        <f t="array" ref="DO663">IF(AND($BT663=4,$BX663=4,$BU663=999),$DF$36,_xlfn.IFNA(INDEX(DF$13:DF$70,MATCH(1,($BR663=$CV$13:$CV$70)*($BT663=$CX$13:$CX$70)*($CE663=$CY$13:$CY$70)*($BY663=$DA$13:$DA$70)*($CD663=$DH$13:$DH$70),0)),""))</f>
        <v/>
      </c>
      <c r="DP663" s="58" t="e">
        <f t="shared" si="1059"/>
        <v>#N/A</v>
      </c>
      <c r="DW663" s="58" t="s">
        <v>58</v>
      </c>
      <c r="DX663" s="58" t="s">
        <v>555</v>
      </c>
      <c r="DY663" s="58">
        <v>0</v>
      </c>
      <c r="DZ663" s="58">
        <v>0</v>
      </c>
      <c r="EB663" s="58">
        <v>0</v>
      </c>
      <c r="EC663" s="58">
        <v>4</v>
      </c>
      <c r="ED663" s="58">
        <v>2</v>
      </c>
      <c r="EE663" s="58">
        <v>2</v>
      </c>
      <c r="EF663" s="58">
        <v>1</v>
      </c>
      <c r="EI663" s="58" t="s">
        <v>58</v>
      </c>
      <c r="EJ663" s="58" t="s">
        <v>555</v>
      </c>
      <c r="EK663" s="58">
        <v>0</v>
      </c>
      <c r="EL663" s="58">
        <v>0</v>
      </c>
      <c r="EN663" s="58">
        <v>0</v>
      </c>
      <c r="EO663" s="58">
        <v>4</v>
      </c>
      <c r="EP663" s="58">
        <v>2</v>
      </c>
      <c r="EQ663" s="58">
        <v>1</v>
      </c>
      <c r="ER663" s="58">
        <v>1</v>
      </c>
      <c r="EU663" s="58" t="str">
        <f t="shared" si="1088"/>
        <v>No</v>
      </c>
      <c r="EV663" s="58" t="str">
        <f t="shared" si="1089"/>
        <v>Time to progression</v>
      </c>
      <c r="EW663" s="58">
        <f t="shared" si="1090"/>
        <v>0</v>
      </c>
      <c r="EX663" s="58">
        <f t="shared" si="1091"/>
        <v>0</v>
      </c>
      <c r="EZ663" s="58">
        <f t="shared" si="1092"/>
        <v>0</v>
      </c>
      <c r="FA663" s="58">
        <f t="shared" si="1093"/>
        <v>4</v>
      </c>
      <c r="FB663" s="58">
        <f>IF(i_eff_inputs_based_on_num=2,ED663,(INDEX(Lists!$L$51:$L$85,MATCH(BF306,Lists!$K$51:$K$85,0))))</f>
        <v>2</v>
      </c>
      <c r="FC663" s="58">
        <f>IF(i_eff_inputs_based_on_num=2,EE663,(INDEX(Lists!$L$51:$L$85,MATCH(BG306,Lists!$K$51:$K$85,0))))</f>
        <v>2</v>
      </c>
      <c r="FD663" s="58">
        <f>IF(i_eff_inputs_based_on_num=2,EF663,(INDEX(Lists!$L$51:$L$85,MATCH(BH306,Lists!$K$51:$K$85,0))))</f>
        <v>1</v>
      </c>
      <c r="FG663" s="58" t="str">
        <f t="shared" si="1094"/>
        <v>No</v>
      </c>
      <c r="FH663" s="58" t="str">
        <f t="shared" si="1095"/>
        <v>Time to progression</v>
      </c>
      <c r="FI663" s="58">
        <f t="shared" si="1096"/>
        <v>0</v>
      </c>
      <c r="FJ663" s="58">
        <f t="shared" si="1097"/>
        <v>0</v>
      </c>
      <c r="FL663" s="58">
        <f t="shared" si="1098"/>
        <v>0</v>
      </c>
      <c r="FM663" s="58">
        <f t="shared" si="1099"/>
        <v>4</v>
      </c>
      <c r="FN663" s="58">
        <f>IF(i_eff_inputs_based_on_num=2,EP663,(INDEX(Lists!$L$51:$L$85,MATCH(BF306,Lists!$K$51:$K$85,0))))</f>
        <v>2</v>
      </c>
      <c r="FO663" s="58">
        <f>IF(i_eff_inputs_based_on_num=2,EQ663,(INDEX(Lists!$L$51:$L$85,MATCH(BG306,Lists!$K$51:$K$85,0))))</f>
        <v>1</v>
      </c>
      <c r="FP663" s="58">
        <f>IF(i_eff_inputs_based_on_num=2,ER663,(INDEX(Lists!$L$51:$L$85,MATCH(BH306,Lists!$K$51:$K$85,0))))</f>
        <v>1</v>
      </c>
      <c r="FT663" s="58">
        <f t="shared" si="1060"/>
        <v>0</v>
      </c>
      <c r="FW663" s="58">
        <f>IF(i_baseline_risk_from=2,'Effectiveness settings'!EW663,'Effectiveness settings'!FI663)</f>
        <v>0</v>
      </c>
      <c r="FX663" s="58">
        <f t="shared" si="1061"/>
        <v>0</v>
      </c>
      <c r="FY663" s="58">
        <f t="shared" si="1062"/>
        <v>0</v>
      </c>
      <c r="FZ663" s="58">
        <f t="shared" si="1063"/>
        <v>0</v>
      </c>
      <c r="GA663" s="58">
        <f t="shared" si="1064"/>
        <v>0</v>
      </c>
      <c r="GB663" s="58">
        <f t="shared" si="1065"/>
        <v>0</v>
      </c>
      <c r="GC663" s="58">
        <f t="shared" si="1066"/>
        <v>0</v>
      </c>
      <c r="GD663" s="58">
        <f t="shared" si="1067"/>
        <v>0</v>
      </c>
      <c r="GE663" s="58">
        <f>IF(AND(dd_CheckMate214_TTD="Yes",'Effectiveness settings'!BU663=2,'Effectiveness settings'!BX663=2),"Apply HR to",GD663)</f>
        <v>0</v>
      </c>
      <c r="GF663" s="58">
        <f t="shared" si="1068"/>
        <v>0</v>
      </c>
      <c r="GG663" s="58">
        <f t="shared" si="1069"/>
        <v>0</v>
      </c>
      <c r="GH663" s="58">
        <f t="shared" si="1070"/>
        <v>0</v>
      </c>
      <c r="GI663" s="58">
        <f t="shared" si="1034"/>
        <v>0</v>
      </c>
      <c r="GK663" s="58">
        <f>IF(i_baseline_risk_from=2,'Effectiveness settings'!FA663,'Effectiveness settings'!FM663)</f>
        <v>4</v>
      </c>
      <c r="GL663" s="58">
        <f>IF(i_baseline_risk_from=2,'Effectiveness settings'!FB663,'Effectiveness settings'!FN663)</f>
        <v>2</v>
      </c>
      <c r="GM663" s="58">
        <f>IF(i_baseline_risk_from=2,'Effectiveness settings'!FC663,'Effectiveness settings'!FO663)</f>
        <v>2</v>
      </c>
      <c r="GN663" s="58">
        <f>IF(i_baseline_risk_from=2,'Effectiveness settings'!FD663,'Effectiveness settings'!FP663)</f>
        <v>1</v>
      </c>
      <c r="GQ663" s="58">
        <f t="shared" si="1071"/>
        <v>2</v>
      </c>
      <c r="GR663" s="58">
        <f t="shared" si="1072"/>
        <v>2</v>
      </c>
      <c r="GS663" s="58">
        <f t="shared" si="1073"/>
        <v>2</v>
      </c>
      <c r="GT663" s="58">
        <f t="shared" si="1074"/>
        <v>2</v>
      </c>
      <c r="GU663" s="58">
        <f>IF(AND(dd_CheckMate214_TTD="Yes",'Effectiveness settings'!BU663=2,'Effectiveness settings'!BX663=2),2,GT663)</f>
        <v>2</v>
      </c>
      <c r="GV663" s="58">
        <f t="shared" si="1075"/>
        <v>2</v>
      </c>
      <c r="GW663" s="58">
        <f t="shared" si="1076"/>
        <v>2</v>
      </c>
      <c r="GY663" s="58">
        <f>IF(AND(dd_CheckMate214_TTD="Yes",'Effectiveness settings'!BU663=2,'Effectiveness settings'!BX663=2),1,GN663)</f>
        <v>1</v>
      </c>
      <c r="GZ663" s="58">
        <f t="shared" si="1077"/>
        <v>1</v>
      </c>
      <c r="HB663" s="58">
        <f t="shared" si="1078"/>
        <v>0</v>
      </c>
      <c r="HD663" s="58">
        <f t="shared" si="1029"/>
        <v>0</v>
      </c>
      <c r="HE663" s="58">
        <f t="shared" si="1030"/>
        <v>4</v>
      </c>
      <c r="HF663" s="58">
        <f t="shared" si="1031"/>
        <v>2</v>
      </c>
      <c r="HG663" s="58">
        <f t="shared" si="1032"/>
        <v>2</v>
      </c>
      <c r="HH663" s="58">
        <f t="shared" si="1033"/>
        <v>1</v>
      </c>
    </row>
    <row r="664" spans="69:216" ht="15.75" x14ac:dyDescent="0.25">
      <c r="BQ664" s="58">
        <f t="shared" si="1058"/>
        <v>396</v>
      </c>
      <c r="BR664" s="61">
        <v>0</v>
      </c>
      <c r="BS664" s="61" t="s">
        <v>31</v>
      </c>
      <c r="BT664" s="17">
        <v>4</v>
      </c>
      <c r="BU664" s="17">
        <v>3</v>
      </c>
      <c r="BV664" s="252" t="str">
        <f t="shared" si="1079"/>
        <v>lenvatinib_plus_pembrolizumab</v>
      </c>
      <c r="BW664" s="1006" t="str" cm="1">
        <f t="array" ref="BW664">IF(AZ307="No",AZ307,INDEX(List_incl_anal_4L_all,IF(BU664=999,35,BU664+1)))</f>
        <v>No</v>
      </c>
      <c r="BX664" s="61">
        <f t="shared" si="1080"/>
        <v>3</v>
      </c>
      <c r="BY664" s="532" t="str">
        <f>BA307</f>
        <v>Time to progression</v>
      </c>
      <c r="BZ664" s="530">
        <f t="shared" si="1081"/>
        <v>0</v>
      </c>
      <c r="CA664" s="531">
        <f t="shared" si="1100"/>
        <v>0</v>
      </c>
      <c r="CB664" s="530">
        <f t="shared" si="1082"/>
        <v>0</v>
      </c>
      <c r="CC664" s="530">
        <f t="shared" si="1083"/>
        <v>4</v>
      </c>
      <c r="CD664" s="530">
        <f t="shared" si="1084"/>
        <v>3</v>
      </c>
      <c r="CE664" s="1295">
        <f t="shared" si="1085"/>
        <v>2</v>
      </c>
      <c r="CF664" s="1301">
        <f t="shared" si="1086"/>
        <v>1</v>
      </c>
      <c r="CG664" s="530" t="str">
        <f t="shared" si="1087"/>
        <v/>
      </c>
      <c r="CH664" s="505">
        <f t="shared" si="1025"/>
        <v>1</v>
      </c>
      <c r="CI664" s="505">
        <f t="shared" si="1026"/>
        <v>0</v>
      </c>
      <c r="CJ664" s="505">
        <f t="shared" si="1027"/>
        <v>0</v>
      </c>
      <c r="DK664" s="58" t="str" cm="1">
        <f t="array" ref="DK664">IF(AND($BT664=4,$BX664=4,$BU664=999),$DB$36,_xlfn.IFNA(INDEX(DB$13:DB$70,MATCH(1,($BR664=$CV$13:$CV$70)*($BT664=$CX$13:$CX$70)*($CE664=$CY$13:$CY$70)*($BY664=$DA$13:$DA$70)*($CD664=$DH$13:$DH$70),0)),""))</f>
        <v/>
      </c>
      <c r="DL664" s="58" t="str" cm="1">
        <f t="array" ref="DL664">IF(AND($BT664=4,$BX664=4,$BU664=999),$DC$36,_xlfn.IFNA(INDEX(CHOOSE(DP664,DB$13:DB$70,DC$13:DC$70,DD$13:DD$70,DE$13:DE$70),MATCH(1,($BR664=$CV$13:$CV$70)*($BT664=$CX$13:$CX$70)*($CE664=$CY$13:$CY$70)*($BY664=$DA$13:$DA$70)*($CD664=$DH$13:$DH$70),0)),""))</f>
        <v/>
      </c>
      <c r="DM664" s="740" t="str" cm="1">
        <f t="array" ref="DM664">IF(AND($BT664=4,$BX664=4,$BU664=999),$DD$36,_xlfn.IFNA(INDEX(DD$13:DD$68,MATCH(1,($BR664=$CV$13:$CV$68)*($BT664=$CX$13:$CX$68)*($CE664=$CY$13:$CY$68)*($BY664=$DA$13:$DA$68)*($CD664=$DH$13:$DH$68),0)),""))</f>
        <v/>
      </c>
      <c r="DN664" s="740" t="str" cm="1">
        <f t="array" ref="DN664">IF(AND($BT664=4,$BX664=4,$BU664=999),$DD$36,_xlfn.IFNA(INDEX(DE$13:DE$68,MATCH(1,($BR664=$CV$13:$CV$68)*($BT664=$CX$13:$CX$68)*($CE664=$CY$13:$CY$68)*($BY664=$DA$13:$DA$68)*($CD664=$DH$13:$DH$68),0)),""))</f>
        <v/>
      </c>
      <c r="DO664" s="58" t="str" cm="1">
        <f t="array" ref="DO664">IF(AND($BT664=4,$BX664=4,$BU664=999),$DF$36,_xlfn.IFNA(INDEX(DF$13:DF$70,MATCH(1,($BR664=$CV$13:$CV$70)*($BT664=$CX$13:$CX$70)*($CE664=$CY$13:$CY$70)*($BY664=$DA$13:$DA$70)*($CD664=$DH$13:$DH$70),0)),""))</f>
        <v/>
      </c>
      <c r="DP664" s="58" t="e">
        <f t="shared" si="1059"/>
        <v>#N/A</v>
      </c>
      <c r="DW664" s="58" t="s">
        <v>58</v>
      </c>
      <c r="DX664" s="58" t="s">
        <v>555</v>
      </c>
      <c r="DY664" s="58">
        <v>0</v>
      </c>
      <c r="DZ664" s="58">
        <v>0</v>
      </c>
      <c r="EB664" s="58">
        <v>0</v>
      </c>
      <c r="EC664" s="58">
        <v>4</v>
      </c>
      <c r="ED664" s="58">
        <v>3</v>
      </c>
      <c r="EE664" s="58">
        <v>2</v>
      </c>
      <c r="EF664" s="58">
        <v>1</v>
      </c>
      <c r="EI664" s="58" t="s">
        <v>58</v>
      </c>
      <c r="EJ664" s="58" t="s">
        <v>555</v>
      </c>
      <c r="EK664" s="58">
        <v>0</v>
      </c>
      <c r="EL664" s="58">
        <v>0</v>
      </c>
      <c r="EN664" s="58">
        <v>0</v>
      </c>
      <c r="EO664" s="58">
        <v>4</v>
      </c>
      <c r="EP664" s="58">
        <v>3</v>
      </c>
      <c r="EQ664" s="58">
        <v>1</v>
      </c>
      <c r="ER664" s="58">
        <v>1</v>
      </c>
      <c r="EU664" s="58" t="str">
        <f t="shared" si="1088"/>
        <v>No</v>
      </c>
      <c r="EV664" s="58" t="str">
        <f t="shared" si="1089"/>
        <v>Time to progression</v>
      </c>
      <c r="EW664" s="58">
        <f t="shared" si="1090"/>
        <v>0</v>
      </c>
      <c r="EX664" s="58">
        <f t="shared" si="1091"/>
        <v>0</v>
      </c>
      <c r="EZ664" s="58">
        <f t="shared" si="1092"/>
        <v>0</v>
      </c>
      <c r="FA664" s="58">
        <f t="shared" si="1093"/>
        <v>4</v>
      </c>
      <c r="FB664" s="58">
        <f>IF(i_eff_inputs_based_on_num=2,ED664,(INDEX(Lists!$L$51:$L$85,MATCH(BF307,Lists!$K$51:$K$85,0))))</f>
        <v>3</v>
      </c>
      <c r="FC664" s="58">
        <f>IF(i_eff_inputs_based_on_num=2,EE664,(INDEX(Lists!$L$51:$L$85,MATCH(BG307,Lists!$K$51:$K$85,0))))</f>
        <v>2</v>
      </c>
      <c r="FD664" s="58">
        <f>IF(i_eff_inputs_based_on_num=2,EF664,(INDEX(Lists!$L$51:$L$85,MATCH(BH307,Lists!$K$51:$K$85,0))))</f>
        <v>1</v>
      </c>
      <c r="FG664" s="58" t="str">
        <f t="shared" si="1094"/>
        <v>No</v>
      </c>
      <c r="FH664" s="58" t="str">
        <f t="shared" si="1095"/>
        <v>Time to progression</v>
      </c>
      <c r="FI664" s="58">
        <f t="shared" si="1096"/>
        <v>0</v>
      </c>
      <c r="FJ664" s="58">
        <f t="shared" si="1097"/>
        <v>0</v>
      </c>
      <c r="FL664" s="58">
        <f t="shared" si="1098"/>
        <v>0</v>
      </c>
      <c r="FM664" s="58">
        <f t="shared" si="1099"/>
        <v>4</v>
      </c>
      <c r="FN664" s="58">
        <f>IF(i_eff_inputs_based_on_num=2,EP664,(INDEX(Lists!$L$51:$L$85,MATCH(BF307,Lists!$K$51:$K$85,0))))</f>
        <v>3</v>
      </c>
      <c r="FO664" s="58">
        <f>IF(i_eff_inputs_based_on_num=2,EQ664,(INDEX(Lists!$L$51:$L$85,MATCH(BG307,Lists!$K$51:$K$85,0))))</f>
        <v>1</v>
      </c>
      <c r="FP664" s="58">
        <f>IF(i_eff_inputs_based_on_num=2,ER664,(INDEX(Lists!$L$51:$L$85,MATCH(BH307,Lists!$K$51:$K$85,0))))</f>
        <v>1</v>
      </c>
      <c r="FT664" s="58">
        <f t="shared" si="1060"/>
        <v>0</v>
      </c>
      <c r="FW664" s="58">
        <f>IF(i_baseline_risk_from=2,'Effectiveness settings'!EW664,'Effectiveness settings'!FI664)</f>
        <v>0</v>
      </c>
      <c r="FX664" s="58">
        <f t="shared" si="1061"/>
        <v>0</v>
      </c>
      <c r="FY664" s="58">
        <f t="shared" si="1062"/>
        <v>0</v>
      </c>
      <c r="FZ664" s="58">
        <f t="shared" si="1063"/>
        <v>0</v>
      </c>
      <c r="GA664" s="58">
        <f t="shared" si="1064"/>
        <v>0</v>
      </c>
      <c r="GB664" s="58">
        <f t="shared" si="1065"/>
        <v>0</v>
      </c>
      <c r="GC664" s="58">
        <f t="shared" si="1066"/>
        <v>0</v>
      </c>
      <c r="GD664" s="58">
        <f t="shared" si="1067"/>
        <v>0</v>
      </c>
      <c r="GE664" s="58">
        <f>IF(AND(dd_CheckMate214_TTD="Yes",'Effectiveness settings'!BU664=2,'Effectiveness settings'!BX664=2),"Apply HR to",GD664)</f>
        <v>0</v>
      </c>
      <c r="GF664" s="58">
        <f t="shared" si="1068"/>
        <v>0</v>
      </c>
      <c r="GG664" s="58">
        <f t="shared" si="1069"/>
        <v>0</v>
      </c>
      <c r="GH664" s="58">
        <f t="shared" si="1070"/>
        <v>0</v>
      </c>
      <c r="GI664" s="58">
        <f t="shared" si="1034"/>
        <v>0</v>
      </c>
      <c r="GK664" s="58">
        <f>IF(i_baseline_risk_from=2,'Effectiveness settings'!FA664,'Effectiveness settings'!FM664)</f>
        <v>4</v>
      </c>
      <c r="GL664" s="58">
        <f>IF(i_baseline_risk_from=2,'Effectiveness settings'!FB664,'Effectiveness settings'!FN664)</f>
        <v>3</v>
      </c>
      <c r="GM664" s="58">
        <f>IF(i_baseline_risk_from=2,'Effectiveness settings'!FC664,'Effectiveness settings'!FO664)</f>
        <v>2</v>
      </c>
      <c r="GN664" s="58">
        <f>IF(i_baseline_risk_from=2,'Effectiveness settings'!FD664,'Effectiveness settings'!FP664)</f>
        <v>1</v>
      </c>
      <c r="GQ664" s="58">
        <f t="shared" si="1071"/>
        <v>3</v>
      </c>
      <c r="GR664" s="58">
        <f t="shared" si="1072"/>
        <v>3</v>
      </c>
      <c r="GS664" s="58">
        <f t="shared" si="1073"/>
        <v>3</v>
      </c>
      <c r="GT664" s="58">
        <f t="shared" si="1074"/>
        <v>3</v>
      </c>
      <c r="GU664" s="58">
        <f>IF(AND(dd_CheckMate214_TTD="Yes",'Effectiveness settings'!BU664=2,'Effectiveness settings'!BX664=2),2,GT664)</f>
        <v>3</v>
      </c>
      <c r="GV664" s="58">
        <f t="shared" si="1075"/>
        <v>3</v>
      </c>
      <c r="GW664" s="58">
        <f t="shared" si="1076"/>
        <v>3</v>
      </c>
      <c r="GY664" s="58">
        <f>IF(AND(dd_CheckMate214_TTD="Yes",'Effectiveness settings'!BU664=2,'Effectiveness settings'!BX664=2),1,GN664)</f>
        <v>1</v>
      </c>
      <c r="GZ664" s="58">
        <f t="shared" si="1077"/>
        <v>1</v>
      </c>
      <c r="HB664" s="58">
        <f t="shared" si="1078"/>
        <v>0</v>
      </c>
      <c r="HD664" s="58">
        <f t="shared" si="1029"/>
        <v>0</v>
      </c>
      <c r="HE664" s="58">
        <f t="shared" si="1030"/>
        <v>4</v>
      </c>
      <c r="HF664" s="58">
        <f t="shared" si="1031"/>
        <v>3</v>
      </c>
      <c r="HG664" s="58">
        <f t="shared" si="1032"/>
        <v>2</v>
      </c>
      <c r="HH664" s="58">
        <f t="shared" si="1033"/>
        <v>1</v>
      </c>
    </row>
    <row r="665" spans="69:216" ht="15.75" x14ac:dyDescent="0.25">
      <c r="BQ665" s="58">
        <f t="shared" si="1058"/>
        <v>397</v>
      </c>
      <c r="BR665" s="61">
        <v>0</v>
      </c>
      <c r="BS665" s="61" t="s">
        <v>31</v>
      </c>
      <c r="BT665" s="17">
        <v>4</v>
      </c>
      <c r="BU665" s="17">
        <v>4</v>
      </c>
      <c r="BV665" s="252" t="str">
        <f t="shared" si="1079"/>
        <v>avelumab_plus_axitinib</v>
      </c>
      <c r="BW665" s="1006" t="str" cm="1">
        <f t="array" ref="BW665">IF(AZ308="No",AZ308,INDEX(List_incl_anal_4L_all,IF(BU665=999,35,BU665+1)))</f>
        <v>No</v>
      </c>
      <c r="BX665" s="61">
        <f t="shared" si="1080"/>
        <v>3</v>
      </c>
      <c r="BY665" s="532" t="str">
        <f>BA308</f>
        <v>Time to progression</v>
      </c>
      <c r="BZ665" s="530">
        <f t="shared" si="1081"/>
        <v>0</v>
      </c>
      <c r="CA665" s="531">
        <f t="shared" si="1100"/>
        <v>0</v>
      </c>
      <c r="CB665" s="530">
        <f t="shared" si="1082"/>
        <v>0</v>
      </c>
      <c r="CC665" s="530">
        <f t="shared" si="1083"/>
        <v>4</v>
      </c>
      <c r="CD665" s="530">
        <f t="shared" si="1084"/>
        <v>4</v>
      </c>
      <c r="CE665" s="1295">
        <f t="shared" si="1085"/>
        <v>2</v>
      </c>
      <c r="CF665" s="1301">
        <f t="shared" si="1086"/>
        <v>1</v>
      </c>
      <c r="CG665" s="530" t="str">
        <f t="shared" si="1087"/>
        <v/>
      </c>
      <c r="CH665" s="505">
        <f t="shared" si="1025"/>
        <v>1</v>
      </c>
      <c r="CI665" s="505">
        <f t="shared" si="1026"/>
        <v>0</v>
      </c>
      <c r="CJ665" s="505">
        <f t="shared" si="1027"/>
        <v>0</v>
      </c>
      <c r="DK665" s="58" t="str" cm="1">
        <f t="array" ref="DK665">IF(AND($BT665=4,$BX665=4,$BU665=999),$DB$36,_xlfn.IFNA(INDEX(DB$13:DB$70,MATCH(1,($BR665=$CV$13:$CV$70)*($BT665=$CX$13:$CX$70)*($CE665=$CY$13:$CY$70)*($BY665=$DA$13:$DA$70)*($CD665=$DH$13:$DH$70),0)),""))</f>
        <v/>
      </c>
      <c r="DL665" s="58" t="str" cm="1">
        <f t="array" ref="DL665">IF(AND($BT665=4,$BX665=4,$BU665=999),$DC$36,_xlfn.IFNA(INDEX(CHOOSE(DP665,DB$13:DB$70,DC$13:DC$70,DD$13:DD$70,DE$13:DE$70),MATCH(1,($BR665=$CV$13:$CV$70)*($BT665=$CX$13:$CX$70)*($CE665=$CY$13:$CY$70)*($BY665=$DA$13:$DA$70)*($CD665=$DH$13:$DH$70),0)),""))</f>
        <v/>
      </c>
      <c r="DM665" s="740" t="str" cm="1">
        <f t="array" ref="DM665">IF(AND($BT665=4,$BX665=4,$BU665=999),$DD$36,_xlfn.IFNA(INDEX(DD$13:DD$68,MATCH(1,($BR665=$CV$13:$CV$68)*($BT665=$CX$13:$CX$68)*($CE665=$CY$13:$CY$68)*($BY665=$DA$13:$DA$68)*($CD665=$DH$13:$DH$68),0)),""))</f>
        <v/>
      </c>
      <c r="DN665" s="740" t="str" cm="1">
        <f t="array" ref="DN665">IF(AND($BT665=4,$BX665=4,$BU665=999),$DD$36,_xlfn.IFNA(INDEX(DE$13:DE$68,MATCH(1,($BR665=$CV$13:$CV$68)*($BT665=$CX$13:$CX$68)*($CE665=$CY$13:$CY$68)*($BY665=$DA$13:$DA$68)*($CD665=$DH$13:$DH$68),0)),""))</f>
        <v/>
      </c>
      <c r="DO665" s="58" t="str" cm="1">
        <f t="array" ref="DO665">IF(AND($BT665=4,$BX665=4,$BU665=999),$DF$36,_xlfn.IFNA(INDEX(DF$13:DF$70,MATCH(1,($BR665=$CV$13:$CV$70)*($BT665=$CX$13:$CX$70)*($CE665=$CY$13:$CY$70)*($BY665=$DA$13:$DA$70)*($CD665=$DH$13:$DH$70),0)),""))</f>
        <v/>
      </c>
      <c r="DP665" s="58" t="e">
        <f t="shared" si="1059"/>
        <v>#N/A</v>
      </c>
      <c r="DW665" s="58" t="s">
        <v>58</v>
      </c>
      <c r="DX665" s="58" t="s">
        <v>555</v>
      </c>
      <c r="DY665" s="58">
        <v>0</v>
      </c>
      <c r="DZ665" s="58">
        <v>0</v>
      </c>
      <c r="EB665" s="58">
        <v>0</v>
      </c>
      <c r="EC665" s="58">
        <v>4</v>
      </c>
      <c r="ED665" s="58">
        <v>4</v>
      </c>
      <c r="EE665" s="58">
        <v>2</v>
      </c>
      <c r="EF665" s="58">
        <v>1</v>
      </c>
      <c r="EI665" s="58" t="s">
        <v>58</v>
      </c>
      <c r="EJ665" s="58" t="s">
        <v>555</v>
      </c>
      <c r="EK665" s="58">
        <v>0</v>
      </c>
      <c r="EL665" s="58">
        <v>0</v>
      </c>
      <c r="EN665" s="58">
        <v>0</v>
      </c>
      <c r="EO665" s="58">
        <v>4</v>
      </c>
      <c r="EP665" s="58">
        <v>4</v>
      </c>
      <c r="EQ665" s="58">
        <v>1</v>
      </c>
      <c r="ER665" s="58">
        <v>1</v>
      </c>
      <c r="EU665" s="58" t="str">
        <f t="shared" si="1088"/>
        <v>No</v>
      </c>
      <c r="EV665" s="58" t="str">
        <f t="shared" si="1089"/>
        <v>Time to progression</v>
      </c>
      <c r="EW665" s="58">
        <f t="shared" si="1090"/>
        <v>0</v>
      </c>
      <c r="EX665" s="58">
        <f t="shared" si="1091"/>
        <v>0</v>
      </c>
      <c r="EZ665" s="58">
        <f t="shared" si="1092"/>
        <v>0</v>
      </c>
      <c r="FA665" s="58">
        <f t="shared" si="1093"/>
        <v>4</v>
      </c>
      <c r="FB665" s="58">
        <f>IF(i_eff_inputs_based_on_num=2,ED665,(INDEX(Lists!$L$51:$L$85,MATCH(BF308,Lists!$K$51:$K$85,0))))</f>
        <v>4</v>
      </c>
      <c r="FC665" s="58">
        <f>IF(i_eff_inputs_based_on_num=2,EE665,(INDEX(Lists!$L$51:$L$85,MATCH(BG308,Lists!$K$51:$K$85,0))))</f>
        <v>2</v>
      </c>
      <c r="FD665" s="58">
        <f>IF(i_eff_inputs_based_on_num=2,EF665,(INDEX(Lists!$L$51:$L$85,MATCH(BH308,Lists!$K$51:$K$85,0))))</f>
        <v>1</v>
      </c>
      <c r="FG665" s="58" t="str">
        <f t="shared" si="1094"/>
        <v>No</v>
      </c>
      <c r="FH665" s="58" t="str">
        <f t="shared" si="1095"/>
        <v>Time to progression</v>
      </c>
      <c r="FI665" s="58">
        <f t="shared" si="1096"/>
        <v>0</v>
      </c>
      <c r="FJ665" s="58">
        <f t="shared" si="1097"/>
        <v>0</v>
      </c>
      <c r="FL665" s="58">
        <f t="shared" si="1098"/>
        <v>0</v>
      </c>
      <c r="FM665" s="58">
        <f t="shared" si="1099"/>
        <v>4</v>
      </c>
      <c r="FN665" s="58">
        <f>IF(i_eff_inputs_based_on_num=2,EP665,(INDEX(Lists!$L$51:$L$85,MATCH(BF308,Lists!$K$51:$K$85,0))))</f>
        <v>4</v>
      </c>
      <c r="FO665" s="58">
        <f>IF(i_eff_inputs_based_on_num=2,EQ665,(INDEX(Lists!$L$51:$L$85,MATCH(BG308,Lists!$K$51:$K$85,0))))</f>
        <v>1</v>
      </c>
      <c r="FP665" s="58">
        <f>IF(i_eff_inputs_based_on_num=2,ER665,(INDEX(Lists!$L$51:$L$85,MATCH(BH308,Lists!$K$51:$K$85,0))))</f>
        <v>1</v>
      </c>
      <c r="FT665" s="58">
        <f t="shared" si="1060"/>
        <v>0</v>
      </c>
      <c r="FW665" s="58">
        <f>IF(i_baseline_risk_from=2,'Effectiveness settings'!EW665,'Effectiveness settings'!FI665)</f>
        <v>0</v>
      </c>
      <c r="FX665" s="58">
        <f t="shared" si="1061"/>
        <v>0</v>
      </c>
      <c r="FY665" s="58">
        <f t="shared" si="1062"/>
        <v>0</v>
      </c>
      <c r="FZ665" s="58">
        <f t="shared" si="1063"/>
        <v>0</v>
      </c>
      <c r="GA665" s="58">
        <f t="shared" si="1064"/>
        <v>0</v>
      </c>
      <c r="GB665" s="58">
        <f t="shared" si="1065"/>
        <v>0</v>
      </c>
      <c r="GC665" s="58">
        <f t="shared" si="1066"/>
        <v>0</v>
      </c>
      <c r="GD665" s="58">
        <f t="shared" si="1067"/>
        <v>0</v>
      </c>
      <c r="GE665" s="58">
        <f>IF(AND(dd_CheckMate214_TTD="Yes",'Effectiveness settings'!BU665=2,'Effectiveness settings'!BX665=2),"Apply HR to",GD665)</f>
        <v>0</v>
      </c>
      <c r="GF665" s="58">
        <f t="shared" si="1068"/>
        <v>0</v>
      </c>
      <c r="GG665" s="58">
        <f t="shared" si="1069"/>
        <v>0</v>
      </c>
      <c r="GH665" s="58">
        <f t="shared" si="1070"/>
        <v>0</v>
      </c>
      <c r="GI665" s="58">
        <f t="shared" si="1034"/>
        <v>0</v>
      </c>
      <c r="GK665" s="58">
        <f>IF(i_baseline_risk_from=2,'Effectiveness settings'!FA665,'Effectiveness settings'!FM665)</f>
        <v>4</v>
      </c>
      <c r="GL665" s="58">
        <f>IF(i_baseline_risk_from=2,'Effectiveness settings'!FB665,'Effectiveness settings'!FN665)</f>
        <v>4</v>
      </c>
      <c r="GM665" s="58">
        <f>IF(i_baseline_risk_from=2,'Effectiveness settings'!FC665,'Effectiveness settings'!FO665)</f>
        <v>2</v>
      </c>
      <c r="GN665" s="58">
        <f>IF(i_baseline_risk_from=2,'Effectiveness settings'!FD665,'Effectiveness settings'!FP665)</f>
        <v>1</v>
      </c>
      <c r="GQ665" s="58">
        <f t="shared" si="1071"/>
        <v>4</v>
      </c>
      <c r="GR665" s="58">
        <f t="shared" si="1072"/>
        <v>4</v>
      </c>
      <c r="GS665" s="58">
        <f t="shared" si="1073"/>
        <v>4</v>
      </c>
      <c r="GT665" s="58">
        <f t="shared" si="1074"/>
        <v>4</v>
      </c>
      <c r="GU665" s="58">
        <f>IF(AND(dd_CheckMate214_TTD="Yes",'Effectiveness settings'!BU665=2,'Effectiveness settings'!BX665=2),2,GT665)</f>
        <v>4</v>
      </c>
      <c r="GV665" s="58">
        <f t="shared" si="1075"/>
        <v>4</v>
      </c>
      <c r="GW665" s="58">
        <f t="shared" si="1076"/>
        <v>4</v>
      </c>
      <c r="GY665" s="58">
        <f>IF(AND(dd_CheckMate214_TTD="Yes",'Effectiveness settings'!BU665=2,'Effectiveness settings'!BX665=2),1,GN665)</f>
        <v>1</v>
      </c>
      <c r="GZ665" s="58">
        <f t="shared" si="1077"/>
        <v>1</v>
      </c>
      <c r="HB665" s="58">
        <f t="shared" si="1078"/>
        <v>0</v>
      </c>
      <c r="HD665" s="58">
        <f t="shared" si="1029"/>
        <v>0</v>
      </c>
      <c r="HE665" s="58">
        <f t="shared" si="1030"/>
        <v>4</v>
      </c>
      <c r="HF665" s="58">
        <f t="shared" si="1031"/>
        <v>4</v>
      </c>
      <c r="HG665" s="58">
        <f t="shared" si="1032"/>
        <v>2</v>
      </c>
      <c r="HH665" s="58">
        <f t="shared" si="1033"/>
        <v>1</v>
      </c>
    </row>
    <row r="666" spans="69:216" ht="15.75" x14ac:dyDescent="0.25">
      <c r="BQ666" s="58">
        <f t="shared" si="1058"/>
        <v>398</v>
      </c>
      <c r="BR666" s="61">
        <v>0</v>
      </c>
      <c r="BS666" s="61" t="s">
        <v>31</v>
      </c>
      <c r="BT666" s="17">
        <v>4</v>
      </c>
      <c r="BU666" s="17">
        <v>5</v>
      </c>
      <c r="BV666" s="252" t="str">
        <f t="shared" si="1079"/>
        <v>pazopanib</v>
      </c>
      <c r="BW666" s="1006" t="str" cm="1">
        <f t="array" ref="BW666">IF(AZ309="No",AZ309,INDEX(List_incl_anal_4L_all,IF(BU666=999,35,BU666+1)))</f>
        <v>Yes</v>
      </c>
      <c r="BX666" s="61">
        <f t="shared" si="1080"/>
        <v>3</v>
      </c>
      <c r="BY666" s="532" t="str">
        <f t="shared" ref="BY666:BY674" si="1101">BA309</f>
        <v>Time to progression</v>
      </c>
      <c r="BZ666" s="530" t="str">
        <f t="shared" si="1081"/>
        <v>Apply HR to</v>
      </c>
      <c r="CA666" s="531">
        <f t="shared" si="1100"/>
        <v>0</v>
      </c>
      <c r="CB666" s="530">
        <f t="shared" si="1082"/>
        <v>0</v>
      </c>
      <c r="CC666" s="530">
        <f t="shared" si="1083"/>
        <v>4</v>
      </c>
      <c r="CD666" s="530">
        <f t="shared" si="1084"/>
        <v>5</v>
      </c>
      <c r="CE666" s="1295">
        <f t="shared" si="1085"/>
        <v>2</v>
      </c>
      <c r="CF666" s="1301">
        <f t="shared" si="1086"/>
        <v>1</v>
      </c>
      <c r="CG666" s="530" t="str">
        <f t="shared" si="1087"/>
        <v/>
      </c>
      <c r="CH666" s="505">
        <f t="shared" si="1025"/>
        <v>0.82</v>
      </c>
      <c r="CI666" s="505">
        <f t="shared" si="1026"/>
        <v>0.8</v>
      </c>
      <c r="CJ666" s="505">
        <f t="shared" si="1027"/>
        <v>0.84</v>
      </c>
      <c r="DK666" s="58" t="str" cm="1">
        <f t="array" ref="DK666">IF(AND($BT666=4,$BX666=4,$BU666=999),$DB$36,_xlfn.IFNA(INDEX(DB$13:DB$70,MATCH(1,($BR666=$CV$13:$CV$70)*($BT666=$CX$13:$CX$70)*($CE666=$CY$13:$CY$70)*($BY666=$DA$13:$DA$70)*($CD666=$DH$13:$DH$70),0)),""))</f>
        <v/>
      </c>
      <c r="DL666" s="58" t="str" cm="1">
        <f t="array" ref="DL666">IF(AND($BT666=4,$BX666=4,$BU666=999),$DC$36,_xlfn.IFNA(INDEX(CHOOSE(DP666,DB$13:DB$70,DC$13:DC$70,DD$13:DD$70,DE$13:DE$70),MATCH(1,($BR666=$CV$13:$CV$70)*($BT666=$CX$13:$CX$70)*($CE666=$CY$13:$CY$70)*($BY666=$DA$13:$DA$70)*($CD666=$DH$13:$DH$70),0)),""))</f>
        <v/>
      </c>
      <c r="DM666" s="740" t="str" cm="1">
        <f t="array" ref="DM666">IF(AND($BT666=4,$BX666=4,$BU666=999),$DD$36,_xlfn.IFNA(INDEX(DD$13:DD$68,MATCH(1,($BR666=$CV$13:$CV$68)*($BT666=$CX$13:$CX$68)*($CE666=$CY$13:$CY$68)*($BY666=$DA$13:$DA$68)*($CD666=$DH$13:$DH$68),0)),""))</f>
        <v/>
      </c>
      <c r="DN666" s="740" t="str" cm="1">
        <f t="array" ref="DN666">IF(AND($BT666=4,$BX666=4,$BU666=999),$DD$36,_xlfn.IFNA(INDEX(DE$13:DE$68,MATCH(1,($BR666=$CV$13:$CV$68)*($BT666=$CX$13:$CX$68)*($CE666=$CY$13:$CY$68)*($BY666=$DA$13:$DA$68)*($CD666=$DH$13:$DH$68),0)),""))</f>
        <v/>
      </c>
      <c r="DO666" s="58" t="str" cm="1">
        <f t="array" ref="DO666">IF(AND($BT666=4,$BX666=4,$BU666=999),$DF$36,_xlfn.IFNA(INDEX(DF$13:DF$70,MATCH(1,($BR666=$CV$13:$CV$70)*($BT666=$CX$13:$CX$70)*($CE666=$CY$13:$CY$70)*($BY666=$DA$13:$DA$70)*($CD666=$DH$13:$DH$70),0)),""))</f>
        <v/>
      </c>
      <c r="DP666" s="58" t="e">
        <f t="shared" si="1059"/>
        <v>#N/A</v>
      </c>
      <c r="DW666" s="58" t="s">
        <v>74</v>
      </c>
      <c r="DX666" s="58" t="s">
        <v>555</v>
      </c>
      <c r="DY666" s="58" t="s">
        <v>578</v>
      </c>
      <c r="DZ666" s="58">
        <v>0</v>
      </c>
      <c r="EB666" s="58">
        <v>0</v>
      </c>
      <c r="EC666" s="58">
        <v>4</v>
      </c>
      <c r="ED666" s="58">
        <v>5</v>
      </c>
      <c r="EE666" s="58">
        <v>2</v>
      </c>
      <c r="EF666" s="58">
        <v>1</v>
      </c>
      <c r="EI666" s="58" t="s">
        <v>74</v>
      </c>
      <c r="EJ666" s="58" t="s">
        <v>555</v>
      </c>
      <c r="EK666" s="58" t="s">
        <v>578</v>
      </c>
      <c r="EL666" s="58">
        <v>0</v>
      </c>
      <c r="EN666" s="58">
        <v>0</v>
      </c>
      <c r="EO666" s="58">
        <v>4</v>
      </c>
      <c r="EP666" s="58">
        <v>7</v>
      </c>
      <c r="EQ666" s="58">
        <v>1</v>
      </c>
      <c r="ER666" s="58">
        <v>1</v>
      </c>
      <c r="EU666" s="58" t="str">
        <f t="shared" si="1088"/>
        <v>Yes</v>
      </c>
      <c r="EV666" s="58" t="str">
        <f t="shared" si="1089"/>
        <v>Time to progression</v>
      </c>
      <c r="EW666" s="58" t="str">
        <f t="shared" si="1090"/>
        <v>Apply HR to</v>
      </c>
      <c r="EX666" s="58">
        <f t="shared" si="1091"/>
        <v>0</v>
      </c>
      <c r="EZ666" s="58">
        <f t="shared" si="1092"/>
        <v>0</v>
      </c>
      <c r="FA666" s="58">
        <f t="shared" si="1093"/>
        <v>4</v>
      </c>
      <c r="FB666" s="58">
        <f>IF(i_eff_inputs_based_on_num=2,ED666,(INDEX(Lists!$L$51:$L$85,MATCH(BF309,Lists!$K$51:$K$85,0))))</f>
        <v>5</v>
      </c>
      <c r="FC666" s="58">
        <f>IF(i_eff_inputs_based_on_num=2,EE666,(INDEX(Lists!$L$51:$L$85,MATCH(BG309,Lists!$K$51:$K$85,0))))</f>
        <v>2</v>
      </c>
      <c r="FD666" s="58">
        <f>IF(i_eff_inputs_based_on_num=2,EF666,(INDEX(Lists!$L$51:$L$85,MATCH(BH309,Lists!$K$51:$K$85,0))))</f>
        <v>1</v>
      </c>
      <c r="FG666" s="58" t="str">
        <f t="shared" si="1094"/>
        <v>Yes</v>
      </c>
      <c r="FH666" s="58" t="str">
        <f t="shared" si="1095"/>
        <v>Time to progression</v>
      </c>
      <c r="FI666" s="58" t="str">
        <f t="shared" si="1096"/>
        <v>Apply HR to</v>
      </c>
      <c r="FJ666" s="58">
        <f t="shared" si="1097"/>
        <v>0</v>
      </c>
      <c r="FL666" s="58">
        <f t="shared" si="1098"/>
        <v>0</v>
      </c>
      <c r="FM666" s="58">
        <f t="shared" si="1099"/>
        <v>4</v>
      </c>
      <c r="FN666" s="58">
        <f>IF(i_eff_inputs_based_on_num=2,EP666,(INDEX(Lists!$L$51:$L$85,MATCH(BF309,Lists!$K$51:$K$85,0))))</f>
        <v>7</v>
      </c>
      <c r="FO666" s="58">
        <f>IF(i_eff_inputs_based_on_num=2,EQ666,(INDEX(Lists!$L$51:$L$85,MATCH(BG309,Lists!$K$51:$K$85,0))))</f>
        <v>1</v>
      </c>
      <c r="FP666" s="58">
        <f>IF(i_eff_inputs_based_on_num=2,ER666,(INDEX(Lists!$L$51:$L$85,MATCH(BH309,Lists!$K$51:$K$85,0))))</f>
        <v>1</v>
      </c>
      <c r="FT666" s="58">
        <f t="shared" si="1060"/>
        <v>0</v>
      </c>
      <c r="FW666" s="58" t="str">
        <f>IF(i_baseline_risk_from=2,'Effectiveness settings'!EW666,'Effectiveness settings'!FI666)</f>
        <v>Apply HR to</v>
      </c>
      <c r="FX666" s="58" t="str">
        <f t="shared" si="1061"/>
        <v>Apply HR to</v>
      </c>
      <c r="FY666" s="58" t="str">
        <f t="shared" si="1062"/>
        <v>Apply HR to</v>
      </c>
      <c r="FZ666" s="58" t="str">
        <f t="shared" si="1063"/>
        <v>Apply HR to</v>
      </c>
      <c r="GA666" s="58" t="str">
        <f t="shared" si="1064"/>
        <v>Apply HR to</v>
      </c>
      <c r="GB666" s="58" t="str">
        <f t="shared" si="1065"/>
        <v>Apply HR to</v>
      </c>
      <c r="GC666" s="58" t="str">
        <f t="shared" si="1066"/>
        <v>Apply HR to</v>
      </c>
      <c r="GD666" s="58" t="str">
        <f t="shared" si="1067"/>
        <v>Apply HR to</v>
      </c>
      <c r="GE666" s="58" t="str">
        <f>IF(AND(dd_CheckMate214_TTD="Yes",'Effectiveness settings'!BU666=2,'Effectiveness settings'!BX666=2),"Apply HR to",GD666)</f>
        <v>Apply HR to</v>
      </c>
      <c r="GF666" s="58" t="str">
        <f t="shared" si="1068"/>
        <v>Apply HR to</v>
      </c>
      <c r="GG666" s="58" t="str">
        <f t="shared" si="1069"/>
        <v>Apply HR to</v>
      </c>
      <c r="GH666" s="58" t="str">
        <f t="shared" si="1070"/>
        <v>Apply HR to</v>
      </c>
      <c r="GI666" s="58" t="str">
        <f t="shared" si="1034"/>
        <v>Apply HR to</v>
      </c>
      <c r="GK666" s="58">
        <f>IF(i_baseline_risk_from=2,'Effectiveness settings'!FA666,'Effectiveness settings'!FM666)</f>
        <v>4</v>
      </c>
      <c r="GL666" s="58">
        <f>IF(i_baseline_risk_from=2,'Effectiveness settings'!FB666,'Effectiveness settings'!FN666)</f>
        <v>5</v>
      </c>
      <c r="GM666" s="58">
        <f>IF(i_baseline_risk_from=2,'Effectiveness settings'!FC666,'Effectiveness settings'!FO666)</f>
        <v>2</v>
      </c>
      <c r="GN666" s="58">
        <f>IF(i_baseline_risk_from=2,'Effectiveness settings'!FD666,'Effectiveness settings'!FP666)</f>
        <v>1</v>
      </c>
      <c r="GQ666" s="58">
        <f t="shared" si="1071"/>
        <v>5</v>
      </c>
      <c r="GR666" s="58">
        <f t="shared" si="1072"/>
        <v>5</v>
      </c>
      <c r="GS666" s="58">
        <f t="shared" si="1073"/>
        <v>5</v>
      </c>
      <c r="GT666" s="58">
        <f t="shared" si="1074"/>
        <v>5</v>
      </c>
      <c r="GU666" s="58">
        <f>IF(AND(dd_CheckMate214_TTD="Yes",'Effectiveness settings'!BU666=2,'Effectiveness settings'!BX666=2),2,GT666)</f>
        <v>5</v>
      </c>
      <c r="GV666" s="58">
        <f t="shared" si="1075"/>
        <v>5</v>
      </c>
      <c r="GW666" s="58">
        <f t="shared" si="1076"/>
        <v>5</v>
      </c>
      <c r="GY666" s="58">
        <f>IF(AND(dd_CheckMate214_TTD="Yes",'Effectiveness settings'!BU666=2,'Effectiveness settings'!BX666=2),1,GN666)</f>
        <v>1</v>
      </c>
      <c r="GZ666" s="58">
        <f t="shared" si="1077"/>
        <v>1</v>
      </c>
      <c r="HB666" s="58">
        <f t="shared" si="1078"/>
        <v>0</v>
      </c>
      <c r="HD666" s="58">
        <f t="shared" si="1029"/>
        <v>0</v>
      </c>
      <c r="HE666" s="58">
        <f t="shared" si="1030"/>
        <v>4</v>
      </c>
      <c r="HF666" s="58">
        <f t="shared" si="1031"/>
        <v>5</v>
      </c>
      <c r="HG666" s="58">
        <f t="shared" si="1032"/>
        <v>2</v>
      </c>
      <c r="HH666" s="58">
        <f t="shared" si="1033"/>
        <v>1</v>
      </c>
    </row>
    <row r="667" spans="69:216" ht="15.75" x14ac:dyDescent="0.25">
      <c r="BQ667" s="58">
        <f t="shared" si="1058"/>
        <v>399</v>
      </c>
      <c r="BR667" s="61">
        <v>0</v>
      </c>
      <c r="BS667" s="61" t="s">
        <v>31</v>
      </c>
      <c r="BT667" s="17">
        <v>4</v>
      </c>
      <c r="BU667" s="17">
        <v>6</v>
      </c>
      <c r="BV667" s="252" t="str">
        <f t="shared" si="1079"/>
        <v>tivozanib</v>
      </c>
      <c r="BW667" s="1006" t="str" cm="1">
        <f t="array" ref="BW667">IF(AZ310="No",AZ310,INDEX(List_incl_anal_4L_all,IF(BU667=999,35,BU667+1)))</f>
        <v>Yes</v>
      </c>
      <c r="BX667" s="61">
        <f t="shared" si="1080"/>
        <v>3</v>
      </c>
      <c r="BY667" s="532" t="str">
        <f t="shared" si="1101"/>
        <v>Time to progression</v>
      </c>
      <c r="BZ667" s="530" t="str">
        <f t="shared" si="1081"/>
        <v>Apply HR to</v>
      </c>
      <c r="CA667" s="531">
        <f t="shared" si="1100"/>
        <v>0</v>
      </c>
      <c r="CB667" s="530">
        <f t="shared" si="1082"/>
        <v>0</v>
      </c>
      <c r="CC667" s="530">
        <f t="shared" si="1083"/>
        <v>4</v>
      </c>
      <c r="CD667" s="530">
        <f t="shared" si="1084"/>
        <v>6</v>
      </c>
      <c r="CE667" s="1295">
        <f t="shared" si="1085"/>
        <v>2</v>
      </c>
      <c r="CF667" s="1301">
        <f t="shared" si="1086"/>
        <v>1</v>
      </c>
      <c r="CG667" s="530" t="str">
        <f t="shared" si="1087"/>
        <v/>
      </c>
      <c r="CH667" s="505">
        <f t="shared" si="1025"/>
        <v>0.82</v>
      </c>
      <c r="CI667" s="505">
        <f t="shared" si="1026"/>
        <v>0.8</v>
      </c>
      <c r="CJ667" s="505">
        <f t="shared" si="1027"/>
        <v>0.84</v>
      </c>
      <c r="DK667" s="58" t="str" cm="1">
        <f t="array" ref="DK667">IF(AND($BT667=4,$BX667=4,$BU667=999),$DB$36,_xlfn.IFNA(INDEX(DB$13:DB$70,MATCH(1,($BR667=$CV$13:$CV$70)*($BT667=$CX$13:$CX$70)*($CE667=$CY$13:$CY$70)*($BY667=$DA$13:$DA$70)*($CD667=$DH$13:$DH$70),0)),""))</f>
        <v/>
      </c>
      <c r="DL667" s="58" t="str" cm="1">
        <f t="array" ref="DL667">IF(AND($BT667=4,$BX667=4,$BU667=999),$DC$36,_xlfn.IFNA(INDEX(CHOOSE(DP667,DB$13:DB$70,DC$13:DC$70,DD$13:DD$70,DE$13:DE$70),MATCH(1,($BR667=$CV$13:$CV$70)*($BT667=$CX$13:$CX$70)*($CE667=$CY$13:$CY$70)*($BY667=$DA$13:$DA$70)*($CD667=$DH$13:$DH$70),0)),""))</f>
        <v/>
      </c>
      <c r="DM667" s="740" t="str" cm="1">
        <f t="array" ref="DM667">IF(AND($BT667=4,$BX667=4,$BU667=999),$DD$36,_xlfn.IFNA(INDEX(DD$13:DD$68,MATCH(1,($BR667=$CV$13:$CV$68)*($BT667=$CX$13:$CX$68)*($CE667=$CY$13:$CY$68)*($BY667=$DA$13:$DA$68)*($CD667=$DH$13:$DH$68),0)),""))</f>
        <v/>
      </c>
      <c r="DN667" s="740" t="str" cm="1">
        <f t="array" ref="DN667">IF(AND($BT667=4,$BX667=4,$BU667=999),$DD$36,_xlfn.IFNA(INDEX(DE$13:DE$68,MATCH(1,($BR667=$CV$13:$CV$68)*($BT667=$CX$13:$CX$68)*($CE667=$CY$13:$CY$68)*($BY667=$DA$13:$DA$68)*($CD667=$DH$13:$DH$68),0)),""))</f>
        <v/>
      </c>
      <c r="DO667" s="58" t="str" cm="1">
        <f t="array" ref="DO667">IF(AND($BT667=4,$BX667=4,$BU667=999),$DF$36,_xlfn.IFNA(INDEX(DF$13:DF$70,MATCH(1,($BR667=$CV$13:$CV$70)*($BT667=$CX$13:$CX$70)*($CE667=$CY$13:$CY$70)*($BY667=$DA$13:$DA$70)*($CD667=$DH$13:$DH$70),0)),""))</f>
        <v/>
      </c>
      <c r="DP667" s="58" t="e">
        <f t="shared" si="1059"/>
        <v>#N/A</v>
      </c>
      <c r="DW667" s="58" t="s">
        <v>74</v>
      </c>
      <c r="DX667" s="58" t="s">
        <v>555</v>
      </c>
      <c r="DY667" s="58" t="s">
        <v>578</v>
      </c>
      <c r="DZ667" s="58">
        <v>0</v>
      </c>
      <c r="EB667" s="58">
        <v>0</v>
      </c>
      <c r="EC667" s="58">
        <v>4</v>
      </c>
      <c r="ED667" s="58">
        <v>6</v>
      </c>
      <c r="EE667" s="58">
        <v>2</v>
      </c>
      <c r="EF667" s="58">
        <v>1</v>
      </c>
      <c r="EI667" s="58" t="s">
        <v>74</v>
      </c>
      <c r="EJ667" s="58" t="s">
        <v>555</v>
      </c>
      <c r="EK667" s="58" t="s">
        <v>578</v>
      </c>
      <c r="EL667" s="58">
        <v>0</v>
      </c>
      <c r="EN667" s="58">
        <v>0</v>
      </c>
      <c r="EO667" s="58">
        <v>4</v>
      </c>
      <c r="EP667" s="58">
        <v>6</v>
      </c>
      <c r="EQ667" s="58">
        <v>1</v>
      </c>
      <c r="ER667" s="58">
        <v>1</v>
      </c>
      <c r="EU667" s="58" t="str">
        <f t="shared" si="1088"/>
        <v>Yes</v>
      </c>
      <c r="EV667" s="58" t="str">
        <f t="shared" si="1089"/>
        <v>Time to progression</v>
      </c>
      <c r="EW667" s="58" t="str">
        <f t="shared" si="1090"/>
        <v>Apply HR to</v>
      </c>
      <c r="EX667" s="58">
        <f t="shared" si="1091"/>
        <v>0</v>
      </c>
      <c r="EZ667" s="58">
        <f t="shared" si="1092"/>
        <v>0</v>
      </c>
      <c r="FA667" s="58">
        <f t="shared" si="1093"/>
        <v>4</v>
      </c>
      <c r="FB667" s="58">
        <f>IF(i_eff_inputs_based_on_num=2,ED667,(INDEX(Lists!$L$51:$L$85,MATCH(BF310,Lists!$K$51:$K$85,0))))</f>
        <v>6</v>
      </c>
      <c r="FC667" s="58">
        <f>IF(i_eff_inputs_based_on_num=2,EE667,(INDEX(Lists!$L$51:$L$85,MATCH(BG310,Lists!$K$51:$K$85,0))))</f>
        <v>2</v>
      </c>
      <c r="FD667" s="58">
        <f>IF(i_eff_inputs_based_on_num=2,EF667,(INDEX(Lists!$L$51:$L$85,MATCH(BH310,Lists!$K$51:$K$85,0))))</f>
        <v>1</v>
      </c>
      <c r="FG667" s="58" t="str">
        <f t="shared" si="1094"/>
        <v>Yes</v>
      </c>
      <c r="FH667" s="58" t="str">
        <f t="shared" si="1095"/>
        <v>Time to progression</v>
      </c>
      <c r="FI667" s="58" t="str">
        <f t="shared" si="1096"/>
        <v>Apply HR to</v>
      </c>
      <c r="FJ667" s="58">
        <f t="shared" si="1097"/>
        <v>0</v>
      </c>
      <c r="FL667" s="58">
        <f t="shared" si="1098"/>
        <v>0</v>
      </c>
      <c r="FM667" s="58">
        <f t="shared" si="1099"/>
        <v>4</v>
      </c>
      <c r="FN667" s="58">
        <f>IF(i_eff_inputs_based_on_num=2,EP667,(INDEX(Lists!$L$51:$L$85,MATCH(BF310,Lists!$K$51:$K$85,0))))</f>
        <v>6</v>
      </c>
      <c r="FO667" s="58">
        <f>IF(i_eff_inputs_based_on_num=2,EQ667,(INDEX(Lists!$L$51:$L$85,MATCH(BG310,Lists!$K$51:$K$85,0))))</f>
        <v>1</v>
      </c>
      <c r="FP667" s="58">
        <f>IF(i_eff_inputs_based_on_num=2,ER667,(INDEX(Lists!$L$51:$L$85,MATCH(BH310,Lists!$K$51:$K$85,0))))</f>
        <v>1</v>
      </c>
      <c r="FT667" s="58">
        <f t="shared" si="1060"/>
        <v>0</v>
      </c>
      <c r="FW667" s="58" t="str">
        <f>IF(i_baseline_risk_from=2,'Effectiveness settings'!EW667,'Effectiveness settings'!FI667)</f>
        <v>Apply HR to</v>
      </c>
      <c r="FX667" s="58" t="str">
        <f t="shared" si="1061"/>
        <v>Apply HR to</v>
      </c>
      <c r="FY667" s="58" t="str">
        <f t="shared" si="1062"/>
        <v>Apply HR to</v>
      </c>
      <c r="FZ667" s="58" t="str">
        <f t="shared" si="1063"/>
        <v>Apply HR to</v>
      </c>
      <c r="GA667" s="58" t="str">
        <f t="shared" si="1064"/>
        <v>Apply HR to</v>
      </c>
      <c r="GB667" s="58" t="str">
        <f t="shared" si="1065"/>
        <v>Apply HR to</v>
      </c>
      <c r="GC667" s="58" t="str">
        <f t="shared" si="1066"/>
        <v>Apply HR to</v>
      </c>
      <c r="GD667" s="58" t="str">
        <f t="shared" si="1067"/>
        <v>Apply HR to</v>
      </c>
      <c r="GE667" s="58" t="str">
        <f>IF(AND(dd_CheckMate214_TTD="Yes",'Effectiveness settings'!BU667=2,'Effectiveness settings'!BX667=2),"Apply HR to",GD667)</f>
        <v>Apply HR to</v>
      </c>
      <c r="GF667" s="58" t="str">
        <f t="shared" si="1068"/>
        <v>Apply HR to</v>
      </c>
      <c r="GG667" s="58" t="str">
        <f t="shared" si="1069"/>
        <v>Apply HR to</v>
      </c>
      <c r="GH667" s="58" t="str">
        <f t="shared" si="1070"/>
        <v>Apply HR to</v>
      </c>
      <c r="GI667" s="58" t="str">
        <f t="shared" si="1034"/>
        <v>Apply HR to</v>
      </c>
      <c r="GK667" s="58">
        <f>IF(i_baseline_risk_from=2,'Effectiveness settings'!FA667,'Effectiveness settings'!FM667)</f>
        <v>4</v>
      </c>
      <c r="GL667" s="58">
        <f>IF(i_baseline_risk_from=2,'Effectiveness settings'!FB667,'Effectiveness settings'!FN667)</f>
        <v>6</v>
      </c>
      <c r="GM667" s="58">
        <f>IF(i_baseline_risk_from=2,'Effectiveness settings'!FC667,'Effectiveness settings'!FO667)</f>
        <v>2</v>
      </c>
      <c r="GN667" s="58">
        <f>IF(i_baseline_risk_from=2,'Effectiveness settings'!FD667,'Effectiveness settings'!FP667)</f>
        <v>1</v>
      </c>
      <c r="GQ667" s="58">
        <f t="shared" si="1071"/>
        <v>6</v>
      </c>
      <c r="GR667" s="58">
        <f t="shared" si="1072"/>
        <v>6</v>
      </c>
      <c r="GS667" s="58">
        <f t="shared" si="1073"/>
        <v>6</v>
      </c>
      <c r="GT667" s="58">
        <f t="shared" si="1074"/>
        <v>6</v>
      </c>
      <c r="GU667" s="58">
        <f>IF(AND(dd_CheckMate214_TTD="Yes",'Effectiveness settings'!BU667=2,'Effectiveness settings'!BX667=2),2,GT667)</f>
        <v>6</v>
      </c>
      <c r="GV667" s="58">
        <f t="shared" si="1075"/>
        <v>6</v>
      </c>
      <c r="GW667" s="58">
        <f t="shared" si="1076"/>
        <v>6</v>
      </c>
      <c r="GY667" s="58">
        <f>IF(AND(dd_CheckMate214_TTD="Yes",'Effectiveness settings'!BU667=2,'Effectiveness settings'!BX667=2),1,GN667)</f>
        <v>1</v>
      </c>
      <c r="GZ667" s="58">
        <f t="shared" si="1077"/>
        <v>1</v>
      </c>
      <c r="HB667" s="58">
        <f t="shared" si="1078"/>
        <v>0</v>
      </c>
      <c r="HD667" s="58">
        <f t="shared" si="1029"/>
        <v>0</v>
      </c>
      <c r="HE667" s="58">
        <f t="shared" si="1030"/>
        <v>4</v>
      </c>
      <c r="HF667" s="58">
        <f t="shared" si="1031"/>
        <v>6</v>
      </c>
      <c r="HG667" s="58">
        <f t="shared" si="1032"/>
        <v>2</v>
      </c>
      <c r="HH667" s="58">
        <f t="shared" si="1033"/>
        <v>1</v>
      </c>
    </row>
    <row r="668" spans="69:216" ht="15.75" x14ac:dyDescent="0.25">
      <c r="BQ668" s="58">
        <f t="shared" si="1058"/>
        <v>400</v>
      </c>
      <c r="BR668" s="61">
        <v>0</v>
      </c>
      <c r="BS668" s="61" t="s">
        <v>31</v>
      </c>
      <c r="BT668" s="17">
        <v>4</v>
      </c>
      <c r="BU668" s="17">
        <v>7</v>
      </c>
      <c r="BV668" s="252" t="str">
        <f t="shared" si="1079"/>
        <v>sunitinib</v>
      </c>
      <c r="BW668" s="1006" t="str" cm="1">
        <f t="array" ref="BW668">IF(AZ311="No",AZ311,INDEX(List_incl_anal_4L_all,IF(BU668=999,35,BU668+1)))</f>
        <v>Yes</v>
      </c>
      <c r="BX668" s="61">
        <f t="shared" si="1080"/>
        <v>3</v>
      </c>
      <c r="BY668" s="532" t="str">
        <f t="shared" si="1101"/>
        <v>Time to progression</v>
      </c>
      <c r="BZ668" s="530" t="str">
        <f t="shared" si="1081"/>
        <v>Apply HR to</v>
      </c>
      <c r="CA668" s="531">
        <f t="shared" si="1100"/>
        <v>0</v>
      </c>
      <c r="CB668" s="530">
        <f t="shared" si="1082"/>
        <v>0</v>
      </c>
      <c r="CC668" s="530">
        <f t="shared" si="1083"/>
        <v>4</v>
      </c>
      <c r="CD668" s="530">
        <f t="shared" si="1084"/>
        <v>7</v>
      </c>
      <c r="CE668" s="1295">
        <f t="shared" si="1085"/>
        <v>2</v>
      </c>
      <c r="CF668" s="1301">
        <f t="shared" si="1086"/>
        <v>1</v>
      </c>
      <c r="CG668" s="530" t="str">
        <f t="shared" si="1087"/>
        <v/>
      </c>
      <c r="CH668" s="505">
        <f t="shared" si="1025"/>
        <v>0.82</v>
      </c>
      <c r="CI668" s="505">
        <f t="shared" si="1026"/>
        <v>0.8</v>
      </c>
      <c r="CJ668" s="505">
        <f t="shared" si="1027"/>
        <v>0.84</v>
      </c>
      <c r="DK668" s="58" t="str" cm="1">
        <f t="array" ref="DK668">IF(AND($BT668=4,$BX668=4,$BU668=999),$DB$36,_xlfn.IFNA(INDEX(DB$13:DB$70,MATCH(1,($BR668=$CV$13:$CV$70)*($BT668=$CX$13:$CX$70)*($CE668=$CY$13:$CY$70)*($BY668=$DA$13:$DA$70)*($CD668=$DH$13:$DH$70),0)),""))</f>
        <v/>
      </c>
      <c r="DL668" s="58" t="str" cm="1">
        <f t="array" ref="DL668">IF(AND($BT668=4,$BX668=4,$BU668=999),$DC$36,_xlfn.IFNA(INDEX(CHOOSE(DP668,DB$13:DB$70,DC$13:DC$70,DD$13:DD$70,DE$13:DE$70),MATCH(1,($BR668=$CV$13:$CV$70)*($BT668=$CX$13:$CX$70)*($CE668=$CY$13:$CY$70)*($BY668=$DA$13:$DA$70)*($CD668=$DH$13:$DH$70),0)),""))</f>
        <v/>
      </c>
      <c r="DM668" s="740" t="str" cm="1">
        <f t="array" ref="DM668">IF(AND($BT668=4,$BX668=4,$BU668=999),$DD$36,_xlfn.IFNA(INDEX(DD$13:DD$68,MATCH(1,($BR668=$CV$13:$CV$68)*($BT668=$CX$13:$CX$68)*($CE668=$CY$13:$CY$68)*($BY668=$DA$13:$DA$68)*($CD668=$DH$13:$DH$68),0)),""))</f>
        <v/>
      </c>
      <c r="DN668" s="740" t="str" cm="1">
        <f t="array" ref="DN668">IF(AND($BT668=4,$BX668=4,$BU668=999),$DD$36,_xlfn.IFNA(INDEX(DE$13:DE$68,MATCH(1,($BR668=$CV$13:$CV$68)*($BT668=$CX$13:$CX$68)*($CE668=$CY$13:$CY$68)*($BY668=$DA$13:$DA$68)*($CD668=$DH$13:$DH$68),0)),""))</f>
        <v/>
      </c>
      <c r="DO668" s="58" t="str" cm="1">
        <f t="array" ref="DO668">IF(AND($BT668=4,$BX668=4,$BU668=999),$DF$36,_xlfn.IFNA(INDEX(DF$13:DF$70,MATCH(1,($BR668=$CV$13:$CV$70)*($BT668=$CX$13:$CX$70)*($CE668=$CY$13:$CY$70)*($BY668=$DA$13:$DA$70)*($CD668=$DH$13:$DH$70),0)),""))</f>
        <v/>
      </c>
      <c r="DP668" s="58" t="e">
        <f t="shared" si="1059"/>
        <v>#N/A</v>
      </c>
      <c r="DW668" s="58" t="s">
        <v>74</v>
      </c>
      <c r="DX668" s="58" t="s">
        <v>555</v>
      </c>
      <c r="DY668" s="58" t="s">
        <v>578</v>
      </c>
      <c r="DZ668" s="58">
        <v>0</v>
      </c>
      <c r="EB668" s="58">
        <v>0</v>
      </c>
      <c r="EC668" s="58">
        <v>4</v>
      </c>
      <c r="ED668" s="58">
        <v>7</v>
      </c>
      <c r="EE668" s="58">
        <v>2</v>
      </c>
      <c r="EF668" s="58">
        <v>1</v>
      </c>
      <c r="EI668" s="58" t="s">
        <v>74</v>
      </c>
      <c r="EJ668" s="58" t="s">
        <v>555</v>
      </c>
      <c r="EK668" s="58" t="s">
        <v>578</v>
      </c>
      <c r="EL668" s="58">
        <v>0</v>
      </c>
      <c r="EN668" s="58">
        <v>0</v>
      </c>
      <c r="EO668" s="58">
        <v>4</v>
      </c>
      <c r="EP668" s="58">
        <v>7</v>
      </c>
      <c r="EQ668" s="58">
        <v>1</v>
      </c>
      <c r="ER668" s="58">
        <v>1</v>
      </c>
      <c r="EU668" s="58" t="str">
        <f t="shared" si="1088"/>
        <v>Yes</v>
      </c>
      <c r="EV668" s="58" t="str">
        <f t="shared" si="1089"/>
        <v>Time to progression</v>
      </c>
      <c r="EW668" s="58" t="str">
        <f t="shared" si="1090"/>
        <v>Apply HR to</v>
      </c>
      <c r="EX668" s="58">
        <f t="shared" si="1091"/>
        <v>0</v>
      </c>
      <c r="EZ668" s="58">
        <f t="shared" si="1092"/>
        <v>0</v>
      </c>
      <c r="FA668" s="58">
        <f t="shared" si="1093"/>
        <v>4</v>
      </c>
      <c r="FB668" s="58">
        <f>IF(i_eff_inputs_based_on_num=2,ED668,(INDEX(Lists!$L$51:$L$85,MATCH(BF311,Lists!$K$51:$K$85,0))))</f>
        <v>7</v>
      </c>
      <c r="FC668" s="58">
        <f>IF(i_eff_inputs_based_on_num=2,EE668,(INDEX(Lists!$L$51:$L$85,MATCH(BG311,Lists!$K$51:$K$85,0))))</f>
        <v>2</v>
      </c>
      <c r="FD668" s="58">
        <f>IF(i_eff_inputs_based_on_num=2,EF668,(INDEX(Lists!$L$51:$L$85,MATCH(BH311,Lists!$K$51:$K$85,0))))</f>
        <v>1</v>
      </c>
      <c r="FG668" s="58" t="str">
        <f t="shared" si="1094"/>
        <v>Yes</v>
      </c>
      <c r="FH668" s="58" t="str">
        <f t="shared" si="1095"/>
        <v>Time to progression</v>
      </c>
      <c r="FI668" s="58" t="str">
        <f t="shared" si="1096"/>
        <v>Apply HR to</v>
      </c>
      <c r="FJ668" s="58">
        <f t="shared" si="1097"/>
        <v>0</v>
      </c>
      <c r="FL668" s="58">
        <f t="shared" si="1098"/>
        <v>0</v>
      </c>
      <c r="FM668" s="58">
        <f t="shared" si="1099"/>
        <v>4</v>
      </c>
      <c r="FN668" s="58">
        <f>IF(i_eff_inputs_based_on_num=2,EP668,(INDEX(Lists!$L$51:$L$85,MATCH(BF311,Lists!$K$51:$K$85,0))))</f>
        <v>7</v>
      </c>
      <c r="FO668" s="58">
        <f>IF(i_eff_inputs_based_on_num=2,EQ668,(INDEX(Lists!$L$51:$L$85,MATCH(BG311,Lists!$K$51:$K$85,0))))</f>
        <v>1</v>
      </c>
      <c r="FP668" s="58">
        <f>IF(i_eff_inputs_based_on_num=2,ER668,(INDEX(Lists!$L$51:$L$85,MATCH(BH311,Lists!$K$51:$K$85,0))))</f>
        <v>1</v>
      </c>
      <c r="FT668" s="58">
        <f t="shared" si="1060"/>
        <v>0</v>
      </c>
      <c r="FW668" s="58" t="str">
        <f>IF(i_baseline_risk_from=2,'Effectiveness settings'!EW668,'Effectiveness settings'!FI668)</f>
        <v>Apply HR to</v>
      </c>
      <c r="FX668" s="58" t="str">
        <f t="shared" si="1061"/>
        <v>Apply HR to</v>
      </c>
      <c r="FY668" s="58" t="str">
        <f t="shared" si="1062"/>
        <v>Apply HR to</v>
      </c>
      <c r="FZ668" s="58" t="str">
        <f t="shared" si="1063"/>
        <v>Apply HR to</v>
      </c>
      <c r="GA668" s="58" t="str">
        <f t="shared" si="1064"/>
        <v>Apply HR to</v>
      </c>
      <c r="GB668" s="58" t="str">
        <f t="shared" si="1065"/>
        <v>Apply HR to</v>
      </c>
      <c r="GC668" s="58" t="str">
        <f t="shared" si="1066"/>
        <v>Apply HR to</v>
      </c>
      <c r="GD668" s="58" t="str">
        <f t="shared" si="1067"/>
        <v>Apply HR to</v>
      </c>
      <c r="GE668" s="58" t="str">
        <f>IF(AND(dd_CheckMate214_TTD="Yes",'Effectiveness settings'!BU668=2,'Effectiveness settings'!BX668=2),"Apply HR to",GD668)</f>
        <v>Apply HR to</v>
      </c>
      <c r="GF668" s="58" t="str">
        <f t="shared" si="1068"/>
        <v>Apply HR to</v>
      </c>
      <c r="GG668" s="58" t="str">
        <f t="shared" si="1069"/>
        <v>Apply HR to</v>
      </c>
      <c r="GH668" s="58" t="str">
        <f t="shared" si="1070"/>
        <v>Apply HR to</v>
      </c>
      <c r="GI668" s="58" t="str">
        <f t="shared" si="1034"/>
        <v>Apply HR to</v>
      </c>
      <c r="GK668" s="58">
        <f>IF(i_baseline_risk_from=2,'Effectiveness settings'!FA668,'Effectiveness settings'!FM668)</f>
        <v>4</v>
      </c>
      <c r="GL668" s="58">
        <f>IF(i_baseline_risk_from=2,'Effectiveness settings'!FB668,'Effectiveness settings'!FN668)</f>
        <v>7</v>
      </c>
      <c r="GM668" s="58">
        <f>IF(i_baseline_risk_from=2,'Effectiveness settings'!FC668,'Effectiveness settings'!FO668)</f>
        <v>2</v>
      </c>
      <c r="GN668" s="58">
        <f>IF(i_baseline_risk_from=2,'Effectiveness settings'!FD668,'Effectiveness settings'!FP668)</f>
        <v>1</v>
      </c>
      <c r="GQ668" s="58">
        <f t="shared" si="1071"/>
        <v>7</v>
      </c>
      <c r="GR668" s="58">
        <f t="shared" si="1072"/>
        <v>7</v>
      </c>
      <c r="GS668" s="58">
        <f t="shared" si="1073"/>
        <v>7</v>
      </c>
      <c r="GT668" s="58">
        <f t="shared" si="1074"/>
        <v>7</v>
      </c>
      <c r="GU668" s="58">
        <f>IF(AND(dd_CheckMate214_TTD="Yes",'Effectiveness settings'!BU668=2,'Effectiveness settings'!BX668=2),2,GT668)</f>
        <v>7</v>
      </c>
      <c r="GV668" s="58">
        <f t="shared" si="1075"/>
        <v>7</v>
      </c>
      <c r="GW668" s="58">
        <f t="shared" si="1076"/>
        <v>7</v>
      </c>
      <c r="GY668" s="58">
        <f>IF(AND(dd_CheckMate214_TTD="Yes",'Effectiveness settings'!BU668=2,'Effectiveness settings'!BX668=2),1,GN668)</f>
        <v>1</v>
      </c>
      <c r="GZ668" s="58">
        <f t="shared" si="1077"/>
        <v>1</v>
      </c>
      <c r="HB668" s="58">
        <f t="shared" si="1078"/>
        <v>0</v>
      </c>
      <c r="HD668" s="58">
        <f t="shared" si="1029"/>
        <v>0</v>
      </c>
      <c r="HE668" s="58">
        <f t="shared" si="1030"/>
        <v>4</v>
      </c>
      <c r="HF668" s="58">
        <f t="shared" si="1031"/>
        <v>7</v>
      </c>
      <c r="HG668" s="58">
        <f t="shared" si="1032"/>
        <v>2</v>
      </c>
      <c r="HH668" s="58">
        <f t="shared" si="1033"/>
        <v>1</v>
      </c>
    </row>
    <row r="669" spans="69:216" ht="15.75" x14ac:dyDescent="0.25">
      <c r="BQ669" s="58">
        <f t="shared" si="1058"/>
        <v>401</v>
      </c>
      <c r="BR669" s="61">
        <v>0</v>
      </c>
      <c r="BS669" s="61" t="s">
        <v>31</v>
      </c>
      <c r="BT669" s="17">
        <v>4</v>
      </c>
      <c r="BU669" s="17">
        <v>8</v>
      </c>
      <c r="BV669" s="252" t="str">
        <f t="shared" si="1079"/>
        <v>cabozantinib</v>
      </c>
      <c r="BW669" s="1006" t="str" cm="1">
        <f t="array" ref="BW669">IF(AZ312="No",AZ312,INDEX(List_incl_anal_4L_all,IF(BU669=999,35,BU669+1)))</f>
        <v>Yes</v>
      </c>
      <c r="BX669" s="61">
        <f t="shared" si="1080"/>
        <v>3</v>
      </c>
      <c r="BY669" s="532" t="str">
        <f t="shared" si="1101"/>
        <v>Time to progression</v>
      </c>
      <c r="BZ669" s="530" t="str">
        <f t="shared" si="1081"/>
        <v>Apply HR to</v>
      </c>
      <c r="CA669" s="531">
        <f t="shared" si="1100"/>
        <v>0</v>
      </c>
      <c r="CB669" s="530">
        <f t="shared" si="1082"/>
        <v>0</v>
      </c>
      <c r="CC669" s="530">
        <f t="shared" si="1083"/>
        <v>4</v>
      </c>
      <c r="CD669" s="530">
        <f t="shared" si="1084"/>
        <v>8</v>
      </c>
      <c r="CE669" s="1295">
        <f t="shared" si="1085"/>
        <v>2</v>
      </c>
      <c r="CF669" s="1301">
        <f t="shared" si="1086"/>
        <v>1</v>
      </c>
      <c r="CG669" s="530" t="str">
        <f t="shared" si="1087"/>
        <v/>
      </c>
      <c r="CH669" s="505">
        <f t="shared" si="1025"/>
        <v>0.82</v>
      </c>
      <c r="CI669" s="505">
        <f t="shared" si="1026"/>
        <v>0.8</v>
      </c>
      <c r="CJ669" s="505">
        <f t="shared" si="1027"/>
        <v>0.84</v>
      </c>
      <c r="DK669" s="58" t="str" cm="1">
        <f t="array" ref="DK669">IF(AND($BT669=4,$BX669=4,$BU669=999),$DB$36,_xlfn.IFNA(INDEX(DB$13:DB$70,MATCH(1,($BR669=$CV$13:$CV$70)*($BT669=$CX$13:$CX$70)*($CE669=$CY$13:$CY$70)*($BY669=$DA$13:$DA$70)*($CD669=$DH$13:$DH$70),0)),""))</f>
        <v/>
      </c>
      <c r="DL669" s="58" t="str" cm="1">
        <f t="array" ref="DL669">IF(AND($BT669=4,$BX669=4,$BU669=999),$DC$36,_xlfn.IFNA(INDEX(CHOOSE(DP669,DB$13:DB$70,DC$13:DC$70,DD$13:DD$70,DE$13:DE$70),MATCH(1,($BR669=$CV$13:$CV$70)*($BT669=$CX$13:$CX$70)*($CE669=$CY$13:$CY$70)*($BY669=$DA$13:$DA$70)*($CD669=$DH$13:$DH$70),0)),""))</f>
        <v/>
      </c>
      <c r="DM669" s="740" t="str" cm="1">
        <f t="array" ref="DM669">IF(AND($BT669=4,$BX669=4,$BU669=999),$DD$36,_xlfn.IFNA(INDEX(DD$13:DD$68,MATCH(1,($BR669=$CV$13:$CV$68)*($BT669=$CX$13:$CX$68)*($CE669=$CY$13:$CY$68)*($BY669=$DA$13:$DA$68)*($CD669=$DH$13:$DH$68),0)),""))</f>
        <v/>
      </c>
      <c r="DN669" s="740" t="str" cm="1">
        <f t="array" ref="DN669">IF(AND($BT669=4,$BX669=4,$BU669=999),$DD$36,_xlfn.IFNA(INDEX(DE$13:DE$68,MATCH(1,($BR669=$CV$13:$CV$68)*($BT669=$CX$13:$CX$68)*($CE669=$CY$13:$CY$68)*($BY669=$DA$13:$DA$68)*($CD669=$DH$13:$DH$68),0)),""))</f>
        <v/>
      </c>
      <c r="DO669" s="58" t="str" cm="1">
        <f t="array" ref="DO669">IF(AND($BT669=4,$BX669=4,$BU669=999),$DF$36,_xlfn.IFNA(INDEX(DF$13:DF$70,MATCH(1,($BR669=$CV$13:$CV$70)*($BT669=$CX$13:$CX$70)*($CE669=$CY$13:$CY$70)*($BY669=$DA$13:$DA$70)*($CD669=$DH$13:$DH$70),0)),""))</f>
        <v/>
      </c>
      <c r="DP669" s="58" t="e">
        <f t="shared" si="1059"/>
        <v>#N/A</v>
      </c>
      <c r="DW669" s="58" t="s">
        <v>74</v>
      </c>
      <c r="DX669" s="58" t="s">
        <v>555</v>
      </c>
      <c r="DY669" s="58" t="s">
        <v>578</v>
      </c>
      <c r="DZ669" s="58">
        <v>0</v>
      </c>
      <c r="EB669" s="58">
        <v>0</v>
      </c>
      <c r="EC669" s="58">
        <v>4</v>
      </c>
      <c r="ED669" s="58">
        <v>8</v>
      </c>
      <c r="EE669" s="58">
        <v>2</v>
      </c>
      <c r="EF669" s="58">
        <v>1</v>
      </c>
      <c r="EI669" s="58" t="s">
        <v>74</v>
      </c>
      <c r="EJ669" s="58" t="s">
        <v>555</v>
      </c>
      <c r="EK669" s="58" t="s">
        <v>578</v>
      </c>
      <c r="EL669" s="58">
        <v>0</v>
      </c>
      <c r="EN669" s="58">
        <v>0</v>
      </c>
      <c r="EO669" s="58">
        <v>4</v>
      </c>
      <c r="EP669" s="58">
        <v>8</v>
      </c>
      <c r="EQ669" s="58">
        <v>1</v>
      </c>
      <c r="ER669" s="58">
        <v>1</v>
      </c>
      <c r="EU669" s="58" t="str">
        <f t="shared" si="1088"/>
        <v>Yes</v>
      </c>
      <c r="EV669" s="58" t="str">
        <f t="shared" si="1089"/>
        <v>Time to progression</v>
      </c>
      <c r="EW669" s="58" t="str">
        <f t="shared" si="1090"/>
        <v>Apply HR to</v>
      </c>
      <c r="EX669" s="58">
        <f t="shared" si="1091"/>
        <v>0</v>
      </c>
      <c r="EZ669" s="58">
        <f t="shared" si="1092"/>
        <v>0</v>
      </c>
      <c r="FA669" s="58">
        <f t="shared" si="1093"/>
        <v>4</v>
      </c>
      <c r="FB669" s="58">
        <f>IF(i_eff_inputs_based_on_num=2,ED669,(INDEX(Lists!$L$51:$L$85,MATCH(BF312,Lists!$K$51:$K$85,0))))</f>
        <v>8</v>
      </c>
      <c r="FC669" s="58">
        <f>IF(i_eff_inputs_based_on_num=2,EE669,(INDEX(Lists!$L$51:$L$85,MATCH(BG312,Lists!$K$51:$K$85,0))))</f>
        <v>2</v>
      </c>
      <c r="FD669" s="58">
        <f>IF(i_eff_inputs_based_on_num=2,EF669,(INDEX(Lists!$L$51:$L$85,MATCH(BH312,Lists!$K$51:$K$85,0))))</f>
        <v>1</v>
      </c>
      <c r="FG669" s="58" t="str">
        <f t="shared" si="1094"/>
        <v>Yes</v>
      </c>
      <c r="FH669" s="58" t="str">
        <f t="shared" si="1095"/>
        <v>Time to progression</v>
      </c>
      <c r="FI669" s="58" t="str">
        <f t="shared" si="1096"/>
        <v>Apply HR to</v>
      </c>
      <c r="FJ669" s="58">
        <f t="shared" si="1097"/>
        <v>0</v>
      </c>
      <c r="FL669" s="58">
        <f t="shared" si="1098"/>
        <v>0</v>
      </c>
      <c r="FM669" s="58">
        <f t="shared" si="1099"/>
        <v>4</v>
      </c>
      <c r="FN669" s="58">
        <f>IF(i_eff_inputs_based_on_num=2,EP669,(INDEX(Lists!$L$51:$L$85,MATCH(BF312,Lists!$K$51:$K$85,0))))</f>
        <v>8</v>
      </c>
      <c r="FO669" s="58">
        <f>IF(i_eff_inputs_based_on_num=2,EQ669,(INDEX(Lists!$L$51:$L$85,MATCH(BG312,Lists!$K$51:$K$85,0))))</f>
        <v>1</v>
      </c>
      <c r="FP669" s="58">
        <f>IF(i_eff_inputs_based_on_num=2,ER669,(INDEX(Lists!$L$51:$L$85,MATCH(BH312,Lists!$K$51:$K$85,0))))</f>
        <v>1</v>
      </c>
      <c r="FT669" s="58">
        <f t="shared" si="1060"/>
        <v>0</v>
      </c>
      <c r="FW669" s="58" t="str">
        <f>IF(i_baseline_risk_from=2,'Effectiveness settings'!EW669,'Effectiveness settings'!FI669)</f>
        <v>Apply HR to</v>
      </c>
      <c r="FX669" s="58" t="str">
        <f t="shared" si="1061"/>
        <v>Apply HR to</v>
      </c>
      <c r="FY669" s="58" t="str">
        <f t="shared" si="1062"/>
        <v>Apply HR to</v>
      </c>
      <c r="FZ669" s="58" t="str">
        <f t="shared" si="1063"/>
        <v>Apply HR to</v>
      </c>
      <c r="GA669" s="58" t="str">
        <f t="shared" si="1064"/>
        <v>Apply HR to</v>
      </c>
      <c r="GB669" s="58" t="str">
        <f t="shared" si="1065"/>
        <v>Apply HR to</v>
      </c>
      <c r="GC669" s="58" t="str">
        <f t="shared" si="1066"/>
        <v>Apply HR to</v>
      </c>
      <c r="GD669" s="58" t="str">
        <f t="shared" si="1067"/>
        <v>Apply HR to</v>
      </c>
      <c r="GE669" s="58" t="str">
        <f>IF(AND(dd_CheckMate214_TTD="Yes",'Effectiveness settings'!BU669=2,'Effectiveness settings'!BX669=2),"Apply HR to",GD669)</f>
        <v>Apply HR to</v>
      </c>
      <c r="GF669" s="58" t="str">
        <f t="shared" si="1068"/>
        <v>Apply HR to</v>
      </c>
      <c r="GG669" s="58" t="str">
        <f t="shared" si="1069"/>
        <v>Apply HR to</v>
      </c>
      <c r="GH669" s="58" t="str">
        <f t="shared" si="1070"/>
        <v>Apply HR to</v>
      </c>
      <c r="GI669" s="58" t="str">
        <f t="shared" si="1034"/>
        <v>Apply HR to</v>
      </c>
      <c r="GK669" s="58">
        <f>IF(i_baseline_risk_from=2,'Effectiveness settings'!FA669,'Effectiveness settings'!FM669)</f>
        <v>4</v>
      </c>
      <c r="GL669" s="58">
        <f>IF(i_baseline_risk_from=2,'Effectiveness settings'!FB669,'Effectiveness settings'!FN669)</f>
        <v>8</v>
      </c>
      <c r="GM669" s="58">
        <f>IF(i_baseline_risk_from=2,'Effectiveness settings'!FC669,'Effectiveness settings'!FO669)</f>
        <v>2</v>
      </c>
      <c r="GN669" s="58">
        <f>IF(i_baseline_risk_from=2,'Effectiveness settings'!FD669,'Effectiveness settings'!FP669)</f>
        <v>1</v>
      </c>
      <c r="GQ669" s="58">
        <f t="shared" si="1071"/>
        <v>8</v>
      </c>
      <c r="GR669" s="58">
        <f t="shared" si="1072"/>
        <v>8</v>
      </c>
      <c r="GS669" s="58">
        <f t="shared" si="1073"/>
        <v>8</v>
      </c>
      <c r="GT669" s="58">
        <f t="shared" si="1074"/>
        <v>8</v>
      </c>
      <c r="GU669" s="58">
        <f>IF(AND(dd_CheckMate214_TTD="Yes",'Effectiveness settings'!BU669=2,'Effectiveness settings'!BX669=2),2,GT669)</f>
        <v>8</v>
      </c>
      <c r="GV669" s="58">
        <f t="shared" si="1075"/>
        <v>8</v>
      </c>
      <c r="GW669" s="58">
        <f t="shared" si="1076"/>
        <v>8</v>
      </c>
      <c r="GY669" s="58">
        <f>IF(AND(dd_CheckMate214_TTD="Yes",'Effectiveness settings'!BU669=2,'Effectiveness settings'!BX669=2),1,GN669)</f>
        <v>1</v>
      </c>
      <c r="GZ669" s="58">
        <f t="shared" si="1077"/>
        <v>1</v>
      </c>
      <c r="HB669" s="58">
        <f t="shared" si="1078"/>
        <v>0</v>
      </c>
      <c r="HD669" s="58">
        <f t="shared" si="1029"/>
        <v>0</v>
      </c>
      <c r="HE669" s="58">
        <f t="shared" si="1030"/>
        <v>4</v>
      </c>
      <c r="HF669" s="58">
        <f t="shared" si="1031"/>
        <v>8</v>
      </c>
      <c r="HG669" s="58">
        <f t="shared" si="1032"/>
        <v>2</v>
      </c>
      <c r="HH669" s="58">
        <f t="shared" si="1033"/>
        <v>1</v>
      </c>
    </row>
    <row r="670" spans="69:216" ht="15.75" x14ac:dyDescent="0.25">
      <c r="BQ670" s="58">
        <f t="shared" si="1058"/>
        <v>402</v>
      </c>
      <c r="BR670" s="61">
        <v>0</v>
      </c>
      <c r="BS670" s="61" t="s">
        <v>31</v>
      </c>
      <c r="BT670" s="17">
        <v>4</v>
      </c>
      <c r="BU670" s="17">
        <v>9</v>
      </c>
      <c r="BV670" s="252" t="str">
        <f t="shared" si="1079"/>
        <v>lenvatinib_plus_everolimus</v>
      </c>
      <c r="BW670" s="1006" t="str" cm="1">
        <f t="array" ref="BW670">IF(AZ313="No",AZ313,INDEX(List_incl_anal_4L_all,IF(BU670=999,35,BU670+1)))</f>
        <v>Yes</v>
      </c>
      <c r="BX670" s="61">
        <f t="shared" si="1080"/>
        <v>3</v>
      </c>
      <c r="BY670" s="532" t="str">
        <f t="shared" si="1101"/>
        <v>Time to progression</v>
      </c>
      <c r="BZ670" s="530" t="str">
        <f t="shared" si="1081"/>
        <v>Apply HR to</v>
      </c>
      <c r="CA670" s="531">
        <f t="shared" si="1100"/>
        <v>0</v>
      </c>
      <c r="CB670" s="530">
        <f t="shared" si="1082"/>
        <v>0</v>
      </c>
      <c r="CC670" s="530">
        <f t="shared" si="1083"/>
        <v>4</v>
      </c>
      <c r="CD670" s="530">
        <f t="shared" si="1084"/>
        <v>9</v>
      </c>
      <c r="CE670" s="1295">
        <f t="shared" si="1085"/>
        <v>2</v>
      </c>
      <c r="CF670" s="1301">
        <f t="shared" si="1086"/>
        <v>1</v>
      </c>
      <c r="CG670" s="530" t="str">
        <f t="shared" si="1087"/>
        <v/>
      </c>
      <c r="CH670" s="505">
        <f t="shared" si="1025"/>
        <v>0.82</v>
      </c>
      <c r="CI670" s="505">
        <f t="shared" si="1026"/>
        <v>0.8</v>
      </c>
      <c r="CJ670" s="505">
        <f t="shared" si="1027"/>
        <v>0.84</v>
      </c>
      <c r="DK670" s="58" t="str" cm="1">
        <f t="array" ref="DK670">IF(AND($BT670=4,$BX670=4,$BU670=999),$DB$36,_xlfn.IFNA(INDEX(DB$13:DB$70,MATCH(1,($BR670=$CV$13:$CV$70)*($BT670=$CX$13:$CX$70)*($CE670=$CY$13:$CY$70)*($BY670=$DA$13:$DA$70)*($CD670=$DH$13:$DH$70),0)),""))</f>
        <v/>
      </c>
      <c r="DL670" s="58" t="str" cm="1">
        <f t="array" ref="DL670">IF(AND($BT670=4,$BX670=4,$BU670=999),$DC$36,_xlfn.IFNA(INDEX(CHOOSE(DP670,DB$13:DB$70,DC$13:DC$70,DD$13:DD$70,DE$13:DE$70),MATCH(1,($BR670=$CV$13:$CV$70)*($BT670=$CX$13:$CX$70)*($CE670=$CY$13:$CY$70)*($BY670=$DA$13:$DA$70)*($CD670=$DH$13:$DH$70),0)),""))</f>
        <v/>
      </c>
      <c r="DM670" s="740" t="str" cm="1">
        <f t="array" ref="DM670">IF(AND($BT670=4,$BX670=4,$BU670=999),$DD$36,_xlfn.IFNA(INDEX(DD$13:DD$68,MATCH(1,($BR670=$CV$13:$CV$68)*($BT670=$CX$13:$CX$68)*($CE670=$CY$13:$CY$68)*($BY670=$DA$13:$DA$68)*($CD670=$DH$13:$DH$68),0)),""))</f>
        <v/>
      </c>
      <c r="DN670" s="740" t="str" cm="1">
        <f t="array" ref="DN670">IF(AND($BT670=4,$BX670=4,$BU670=999),$DD$36,_xlfn.IFNA(INDEX(DE$13:DE$68,MATCH(1,($BR670=$CV$13:$CV$68)*($BT670=$CX$13:$CX$68)*($CE670=$CY$13:$CY$68)*($BY670=$DA$13:$DA$68)*($CD670=$DH$13:$DH$68),0)),""))</f>
        <v/>
      </c>
      <c r="DO670" s="58" t="str" cm="1">
        <f t="array" ref="DO670">IF(AND($BT670=4,$BX670=4,$BU670=999),$DF$36,_xlfn.IFNA(INDEX(DF$13:DF$70,MATCH(1,($BR670=$CV$13:$CV$70)*($BT670=$CX$13:$CX$70)*($CE670=$CY$13:$CY$70)*($BY670=$DA$13:$DA$70)*($CD670=$DH$13:$DH$70),0)),""))</f>
        <v/>
      </c>
      <c r="DP670" s="58" t="e">
        <f t="shared" si="1059"/>
        <v>#N/A</v>
      </c>
      <c r="DW670" s="58" t="s">
        <v>74</v>
      </c>
      <c r="DX670" s="58" t="s">
        <v>555</v>
      </c>
      <c r="DY670" s="58" t="s">
        <v>578</v>
      </c>
      <c r="DZ670" s="58">
        <v>0</v>
      </c>
      <c r="EB670" s="58">
        <v>0</v>
      </c>
      <c r="EC670" s="58">
        <v>4</v>
      </c>
      <c r="ED670" s="58">
        <v>9</v>
      </c>
      <c r="EE670" s="58">
        <v>2</v>
      </c>
      <c r="EF670" s="58">
        <v>1</v>
      </c>
      <c r="EI670" s="58" t="s">
        <v>74</v>
      </c>
      <c r="EJ670" s="58" t="s">
        <v>555</v>
      </c>
      <c r="EK670" s="58" t="s">
        <v>578</v>
      </c>
      <c r="EL670" s="58">
        <v>0</v>
      </c>
      <c r="EN670" s="58">
        <v>0</v>
      </c>
      <c r="EO670" s="58">
        <v>4</v>
      </c>
      <c r="EP670" s="58">
        <v>9</v>
      </c>
      <c r="EQ670" s="58">
        <v>1</v>
      </c>
      <c r="ER670" s="58">
        <v>1</v>
      </c>
      <c r="EU670" s="58" t="str">
        <f t="shared" si="1088"/>
        <v>Yes</v>
      </c>
      <c r="EV670" s="58" t="str">
        <f t="shared" si="1089"/>
        <v>Time to progression</v>
      </c>
      <c r="EW670" s="58" t="str">
        <f t="shared" si="1090"/>
        <v>Apply HR to</v>
      </c>
      <c r="EX670" s="58">
        <f t="shared" si="1091"/>
        <v>0</v>
      </c>
      <c r="EZ670" s="58">
        <f t="shared" si="1092"/>
        <v>0</v>
      </c>
      <c r="FA670" s="58">
        <f t="shared" si="1093"/>
        <v>4</v>
      </c>
      <c r="FB670" s="58">
        <f>IF(i_eff_inputs_based_on_num=2,ED670,(INDEX(Lists!$L$51:$L$85,MATCH(BF313,Lists!$K$51:$K$85,0))))</f>
        <v>9</v>
      </c>
      <c r="FC670" s="58">
        <f>IF(i_eff_inputs_based_on_num=2,EE670,(INDEX(Lists!$L$51:$L$85,MATCH(BG313,Lists!$K$51:$K$85,0))))</f>
        <v>2</v>
      </c>
      <c r="FD670" s="58">
        <f>IF(i_eff_inputs_based_on_num=2,EF670,(INDEX(Lists!$L$51:$L$85,MATCH(BH313,Lists!$K$51:$K$85,0))))</f>
        <v>1</v>
      </c>
      <c r="FG670" s="58" t="str">
        <f t="shared" si="1094"/>
        <v>Yes</v>
      </c>
      <c r="FH670" s="58" t="str">
        <f t="shared" si="1095"/>
        <v>Time to progression</v>
      </c>
      <c r="FI670" s="58" t="str">
        <f t="shared" si="1096"/>
        <v>Apply HR to</v>
      </c>
      <c r="FJ670" s="58">
        <f t="shared" si="1097"/>
        <v>0</v>
      </c>
      <c r="FL670" s="58">
        <f t="shared" si="1098"/>
        <v>0</v>
      </c>
      <c r="FM670" s="58">
        <f t="shared" si="1099"/>
        <v>4</v>
      </c>
      <c r="FN670" s="58">
        <f>IF(i_eff_inputs_based_on_num=2,EP670,(INDEX(Lists!$L$51:$L$85,MATCH(BF313,Lists!$K$51:$K$85,0))))</f>
        <v>9</v>
      </c>
      <c r="FO670" s="58">
        <f>IF(i_eff_inputs_based_on_num=2,EQ670,(INDEX(Lists!$L$51:$L$85,MATCH(BG313,Lists!$K$51:$K$85,0))))</f>
        <v>1</v>
      </c>
      <c r="FP670" s="58">
        <f>IF(i_eff_inputs_based_on_num=2,ER670,(INDEX(Lists!$L$51:$L$85,MATCH(BH313,Lists!$K$51:$K$85,0))))</f>
        <v>1</v>
      </c>
      <c r="FT670" s="58">
        <f t="shared" si="1060"/>
        <v>0</v>
      </c>
      <c r="FW670" s="58" t="str">
        <f>IF(i_baseline_risk_from=2,'Effectiveness settings'!EW670,'Effectiveness settings'!FI670)</f>
        <v>Apply HR to</v>
      </c>
      <c r="FX670" s="58" t="str">
        <f t="shared" si="1061"/>
        <v>Apply HR to</v>
      </c>
      <c r="FY670" s="58" t="str">
        <f t="shared" si="1062"/>
        <v>Apply HR to</v>
      </c>
      <c r="FZ670" s="58" t="str">
        <f t="shared" si="1063"/>
        <v>Apply HR to</v>
      </c>
      <c r="GA670" s="58" t="str">
        <f t="shared" si="1064"/>
        <v>Apply HR to</v>
      </c>
      <c r="GB670" s="58" t="str">
        <f t="shared" si="1065"/>
        <v>Apply HR to</v>
      </c>
      <c r="GC670" s="58" t="str">
        <f t="shared" si="1066"/>
        <v>Apply HR to</v>
      </c>
      <c r="GD670" s="58" t="str">
        <f t="shared" si="1067"/>
        <v>Apply HR to</v>
      </c>
      <c r="GE670" s="58" t="str">
        <f>IF(AND(dd_CheckMate214_TTD="Yes",'Effectiveness settings'!BU670=2,'Effectiveness settings'!BX670=2),"Apply HR to",GD670)</f>
        <v>Apply HR to</v>
      </c>
      <c r="GF670" s="58" t="str">
        <f t="shared" si="1068"/>
        <v>Apply HR to</v>
      </c>
      <c r="GG670" s="58" t="str">
        <f t="shared" si="1069"/>
        <v>Apply HR to</v>
      </c>
      <c r="GH670" s="58" t="str">
        <f t="shared" si="1070"/>
        <v>Apply HR to</v>
      </c>
      <c r="GI670" s="58" t="str">
        <f t="shared" si="1034"/>
        <v>Apply HR to</v>
      </c>
      <c r="GK670" s="58">
        <f>IF(i_baseline_risk_from=2,'Effectiveness settings'!FA670,'Effectiveness settings'!FM670)</f>
        <v>4</v>
      </c>
      <c r="GL670" s="58">
        <f>IF(i_baseline_risk_from=2,'Effectiveness settings'!FB670,'Effectiveness settings'!FN670)</f>
        <v>9</v>
      </c>
      <c r="GM670" s="58">
        <f>IF(i_baseline_risk_from=2,'Effectiveness settings'!FC670,'Effectiveness settings'!FO670)</f>
        <v>2</v>
      </c>
      <c r="GN670" s="58">
        <f>IF(i_baseline_risk_from=2,'Effectiveness settings'!FD670,'Effectiveness settings'!FP670)</f>
        <v>1</v>
      </c>
      <c r="GQ670" s="58">
        <f t="shared" si="1071"/>
        <v>9</v>
      </c>
      <c r="GR670" s="58">
        <f t="shared" si="1072"/>
        <v>9</v>
      </c>
      <c r="GS670" s="58">
        <f t="shared" si="1073"/>
        <v>9</v>
      </c>
      <c r="GT670" s="58">
        <f t="shared" si="1074"/>
        <v>9</v>
      </c>
      <c r="GU670" s="58">
        <f>IF(AND(dd_CheckMate214_TTD="Yes",'Effectiveness settings'!BU670=2,'Effectiveness settings'!BX670=2),2,GT670)</f>
        <v>9</v>
      </c>
      <c r="GV670" s="58">
        <f t="shared" si="1075"/>
        <v>9</v>
      </c>
      <c r="GW670" s="58">
        <f t="shared" si="1076"/>
        <v>9</v>
      </c>
      <c r="GY670" s="58">
        <f>IF(AND(dd_CheckMate214_TTD="Yes",'Effectiveness settings'!BU670=2,'Effectiveness settings'!BX670=2),1,GN670)</f>
        <v>1</v>
      </c>
      <c r="GZ670" s="58">
        <f t="shared" si="1077"/>
        <v>1</v>
      </c>
      <c r="HB670" s="58">
        <f t="shared" si="1078"/>
        <v>0</v>
      </c>
      <c r="HD670" s="58">
        <f t="shared" si="1029"/>
        <v>0</v>
      </c>
      <c r="HE670" s="58">
        <f t="shared" si="1030"/>
        <v>4</v>
      </c>
      <c r="HF670" s="58">
        <f t="shared" si="1031"/>
        <v>9</v>
      </c>
      <c r="HG670" s="58">
        <f t="shared" si="1032"/>
        <v>2</v>
      </c>
      <c r="HH670" s="58">
        <f t="shared" si="1033"/>
        <v>1</v>
      </c>
    </row>
    <row r="671" spans="69:216" ht="15.75" x14ac:dyDescent="0.25">
      <c r="BQ671" s="58">
        <f t="shared" si="1058"/>
        <v>403</v>
      </c>
      <c r="BR671" s="61">
        <v>0</v>
      </c>
      <c r="BS671" s="61" t="s">
        <v>31</v>
      </c>
      <c r="BT671" s="17">
        <v>4</v>
      </c>
      <c r="BU671" s="17">
        <v>10</v>
      </c>
      <c r="BV671" s="252" t="str">
        <f t="shared" si="1079"/>
        <v>everolimus</v>
      </c>
      <c r="BW671" s="1006" t="str" cm="1">
        <f t="array" ref="BW671">IF(AZ314="No",AZ314,INDEX(List_incl_anal_4L_all,IF(BU671=999,35,BU671+1)))</f>
        <v>Yes</v>
      </c>
      <c r="BX671" s="61">
        <f t="shared" si="1080"/>
        <v>3</v>
      </c>
      <c r="BY671" s="532" t="str">
        <f t="shared" si="1101"/>
        <v>Time to progression</v>
      </c>
      <c r="BZ671" s="530" t="str">
        <f t="shared" si="1081"/>
        <v>Apply HR to</v>
      </c>
      <c r="CA671" s="531">
        <f t="shared" si="1100"/>
        <v>0</v>
      </c>
      <c r="CB671" s="530">
        <f t="shared" si="1082"/>
        <v>0</v>
      </c>
      <c r="CC671" s="530">
        <f t="shared" si="1083"/>
        <v>4</v>
      </c>
      <c r="CD671" s="530">
        <f t="shared" si="1084"/>
        <v>10</v>
      </c>
      <c r="CE671" s="1295">
        <f t="shared" si="1085"/>
        <v>2</v>
      </c>
      <c r="CF671" s="1301">
        <f t="shared" si="1086"/>
        <v>1</v>
      </c>
      <c r="CG671" s="530" t="str">
        <f t="shared" si="1087"/>
        <v/>
      </c>
      <c r="CH671" s="505">
        <f t="shared" si="1025"/>
        <v>0.82</v>
      </c>
      <c r="CI671" s="505">
        <f t="shared" si="1026"/>
        <v>0.8</v>
      </c>
      <c r="CJ671" s="505">
        <f t="shared" si="1027"/>
        <v>0.84</v>
      </c>
      <c r="DK671" s="58" t="str" cm="1">
        <f t="array" ref="DK671">IF(AND($BT671=4,$BX671=4,$BU671=999),$DB$36,_xlfn.IFNA(INDEX(DB$13:DB$70,MATCH(1,($BR671=$CV$13:$CV$70)*($BT671=$CX$13:$CX$70)*($CE671=$CY$13:$CY$70)*($BY671=$DA$13:$DA$70)*($CD671=$DH$13:$DH$70),0)),""))</f>
        <v/>
      </c>
      <c r="DL671" s="58" t="str" cm="1">
        <f t="array" ref="DL671">IF(AND($BT671=4,$BX671=4,$BU671=999),$DC$36,_xlfn.IFNA(INDEX(CHOOSE(DP671,DB$13:DB$70,DC$13:DC$70,DD$13:DD$70,DE$13:DE$70),MATCH(1,($BR671=$CV$13:$CV$70)*($BT671=$CX$13:$CX$70)*($CE671=$CY$13:$CY$70)*($BY671=$DA$13:$DA$70)*($CD671=$DH$13:$DH$70),0)),""))</f>
        <v/>
      </c>
      <c r="DM671" s="740" t="str" cm="1">
        <f t="array" ref="DM671">IF(AND($BT671=4,$BX671=4,$BU671=999),$DD$36,_xlfn.IFNA(INDEX(DD$13:DD$68,MATCH(1,($BR671=$CV$13:$CV$68)*($BT671=$CX$13:$CX$68)*($CE671=$CY$13:$CY$68)*($BY671=$DA$13:$DA$68)*($CD671=$DH$13:$DH$68),0)),""))</f>
        <v/>
      </c>
      <c r="DN671" s="740" t="str" cm="1">
        <f t="array" ref="DN671">IF(AND($BT671=4,$BX671=4,$BU671=999),$DD$36,_xlfn.IFNA(INDEX(DE$13:DE$68,MATCH(1,($BR671=$CV$13:$CV$68)*($BT671=$CX$13:$CX$68)*($CE671=$CY$13:$CY$68)*($BY671=$DA$13:$DA$68)*($CD671=$DH$13:$DH$68),0)),""))</f>
        <v/>
      </c>
      <c r="DO671" s="58" t="str" cm="1">
        <f t="array" ref="DO671">IF(AND($BT671=4,$BX671=4,$BU671=999),$DF$36,_xlfn.IFNA(INDEX(DF$13:DF$70,MATCH(1,($BR671=$CV$13:$CV$70)*($BT671=$CX$13:$CX$70)*($CE671=$CY$13:$CY$70)*($BY671=$DA$13:$DA$70)*($CD671=$DH$13:$DH$70),0)),""))</f>
        <v/>
      </c>
      <c r="DP671" s="58" t="e">
        <f t="shared" si="1059"/>
        <v>#N/A</v>
      </c>
      <c r="DW671" s="58" t="s">
        <v>74</v>
      </c>
      <c r="DX671" s="58" t="s">
        <v>555</v>
      </c>
      <c r="DY671" s="58" t="s">
        <v>578</v>
      </c>
      <c r="DZ671" s="58">
        <v>0</v>
      </c>
      <c r="EB671" s="58">
        <v>0</v>
      </c>
      <c r="EC671" s="58">
        <v>4</v>
      </c>
      <c r="ED671" s="58">
        <v>10</v>
      </c>
      <c r="EE671" s="58">
        <v>2</v>
      </c>
      <c r="EF671" s="58">
        <v>1</v>
      </c>
      <c r="EI671" s="58" t="s">
        <v>74</v>
      </c>
      <c r="EJ671" s="58" t="s">
        <v>555</v>
      </c>
      <c r="EK671" s="58" t="s">
        <v>578</v>
      </c>
      <c r="EL671" s="58">
        <v>0</v>
      </c>
      <c r="EN671" s="58">
        <v>0</v>
      </c>
      <c r="EO671" s="58">
        <v>4</v>
      </c>
      <c r="EP671" s="58">
        <v>10</v>
      </c>
      <c r="EQ671" s="58">
        <v>1</v>
      </c>
      <c r="ER671" s="58">
        <v>1</v>
      </c>
      <c r="EU671" s="58" t="str">
        <f t="shared" si="1088"/>
        <v>Yes</v>
      </c>
      <c r="EV671" s="58" t="str">
        <f t="shared" si="1089"/>
        <v>Time to progression</v>
      </c>
      <c r="EW671" s="58" t="str">
        <f t="shared" si="1090"/>
        <v>Apply HR to</v>
      </c>
      <c r="EX671" s="58">
        <f t="shared" si="1091"/>
        <v>0</v>
      </c>
      <c r="EZ671" s="58">
        <f t="shared" si="1092"/>
        <v>0</v>
      </c>
      <c r="FA671" s="58">
        <f t="shared" si="1093"/>
        <v>4</v>
      </c>
      <c r="FB671" s="58">
        <f>IF(i_eff_inputs_based_on_num=2,ED671,(INDEX(Lists!$L$51:$L$85,MATCH(BF314,Lists!$K$51:$K$85,0))))</f>
        <v>10</v>
      </c>
      <c r="FC671" s="58">
        <f>IF(i_eff_inputs_based_on_num=2,EE671,(INDEX(Lists!$L$51:$L$85,MATCH(BG314,Lists!$K$51:$K$85,0))))</f>
        <v>2</v>
      </c>
      <c r="FD671" s="58">
        <f>IF(i_eff_inputs_based_on_num=2,EF671,(INDEX(Lists!$L$51:$L$85,MATCH(BH314,Lists!$K$51:$K$85,0))))</f>
        <v>1</v>
      </c>
      <c r="FG671" s="58" t="str">
        <f t="shared" si="1094"/>
        <v>Yes</v>
      </c>
      <c r="FH671" s="58" t="str">
        <f t="shared" si="1095"/>
        <v>Time to progression</v>
      </c>
      <c r="FI671" s="58" t="str">
        <f t="shared" si="1096"/>
        <v>Apply HR to</v>
      </c>
      <c r="FJ671" s="58">
        <f t="shared" si="1097"/>
        <v>0</v>
      </c>
      <c r="FL671" s="58">
        <f t="shared" si="1098"/>
        <v>0</v>
      </c>
      <c r="FM671" s="58">
        <f t="shared" si="1099"/>
        <v>4</v>
      </c>
      <c r="FN671" s="58">
        <f>IF(i_eff_inputs_based_on_num=2,EP671,(INDEX(Lists!$L$51:$L$85,MATCH(BF314,Lists!$K$51:$K$85,0))))</f>
        <v>10</v>
      </c>
      <c r="FO671" s="58">
        <f>IF(i_eff_inputs_based_on_num=2,EQ671,(INDEX(Lists!$L$51:$L$85,MATCH(BG314,Lists!$K$51:$K$85,0))))</f>
        <v>1</v>
      </c>
      <c r="FP671" s="58">
        <f>IF(i_eff_inputs_based_on_num=2,ER671,(INDEX(Lists!$L$51:$L$85,MATCH(BH314,Lists!$K$51:$K$85,0))))</f>
        <v>1</v>
      </c>
      <c r="FT671" s="58">
        <f t="shared" si="1060"/>
        <v>0</v>
      </c>
      <c r="FW671" s="58" t="str">
        <f>IF(i_baseline_risk_from=2,'Effectiveness settings'!EW671,'Effectiveness settings'!FI671)</f>
        <v>Apply HR to</v>
      </c>
      <c r="FX671" s="58" t="str">
        <f t="shared" si="1061"/>
        <v>Apply HR to</v>
      </c>
      <c r="FY671" s="58" t="str">
        <f t="shared" si="1062"/>
        <v>Apply HR to</v>
      </c>
      <c r="FZ671" s="58" t="str">
        <f t="shared" si="1063"/>
        <v>Apply HR to</v>
      </c>
      <c r="GA671" s="58" t="str">
        <f t="shared" si="1064"/>
        <v>Apply HR to</v>
      </c>
      <c r="GB671" s="58" t="str">
        <f t="shared" si="1065"/>
        <v>Apply HR to</v>
      </c>
      <c r="GC671" s="58" t="str">
        <f t="shared" si="1066"/>
        <v>Apply HR to</v>
      </c>
      <c r="GD671" s="58" t="str">
        <f t="shared" si="1067"/>
        <v>Apply HR to</v>
      </c>
      <c r="GE671" s="58" t="str">
        <f>IF(AND(dd_CheckMate214_TTD="Yes",'Effectiveness settings'!BU671=2,'Effectiveness settings'!BX671=2),"Apply HR to",GD671)</f>
        <v>Apply HR to</v>
      </c>
      <c r="GF671" s="58" t="str">
        <f t="shared" si="1068"/>
        <v>Apply HR to</v>
      </c>
      <c r="GG671" s="58" t="str">
        <f t="shared" si="1069"/>
        <v>Apply HR to</v>
      </c>
      <c r="GH671" s="58" t="str">
        <f t="shared" si="1070"/>
        <v>Apply HR to</v>
      </c>
      <c r="GI671" s="58" t="str">
        <f t="shared" si="1034"/>
        <v>Apply HR to</v>
      </c>
      <c r="GK671" s="58">
        <f>IF(i_baseline_risk_from=2,'Effectiveness settings'!FA671,'Effectiveness settings'!FM671)</f>
        <v>4</v>
      </c>
      <c r="GL671" s="58">
        <f>IF(i_baseline_risk_from=2,'Effectiveness settings'!FB671,'Effectiveness settings'!FN671)</f>
        <v>10</v>
      </c>
      <c r="GM671" s="58">
        <f>IF(i_baseline_risk_from=2,'Effectiveness settings'!FC671,'Effectiveness settings'!FO671)</f>
        <v>2</v>
      </c>
      <c r="GN671" s="58">
        <f>IF(i_baseline_risk_from=2,'Effectiveness settings'!FD671,'Effectiveness settings'!FP671)</f>
        <v>1</v>
      </c>
      <c r="GQ671" s="58">
        <f t="shared" si="1071"/>
        <v>10</v>
      </c>
      <c r="GR671" s="58">
        <f t="shared" si="1072"/>
        <v>10</v>
      </c>
      <c r="GS671" s="58">
        <f t="shared" si="1073"/>
        <v>10</v>
      </c>
      <c r="GT671" s="58">
        <f t="shared" si="1074"/>
        <v>10</v>
      </c>
      <c r="GU671" s="58">
        <f>IF(AND(dd_CheckMate214_TTD="Yes",'Effectiveness settings'!BU671=2,'Effectiveness settings'!BX671=2),2,GT671)</f>
        <v>10</v>
      </c>
      <c r="GV671" s="58">
        <f t="shared" si="1075"/>
        <v>10</v>
      </c>
      <c r="GW671" s="58">
        <f t="shared" si="1076"/>
        <v>10</v>
      </c>
      <c r="GY671" s="58">
        <f>IF(AND(dd_CheckMate214_TTD="Yes",'Effectiveness settings'!BU671=2,'Effectiveness settings'!BX671=2),1,GN671)</f>
        <v>1</v>
      </c>
      <c r="GZ671" s="58">
        <f t="shared" si="1077"/>
        <v>1</v>
      </c>
      <c r="HB671" s="58">
        <f t="shared" si="1078"/>
        <v>0</v>
      </c>
      <c r="HD671" s="58">
        <f t="shared" si="1029"/>
        <v>0</v>
      </c>
      <c r="HE671" s="58">
        <f t="shared" si="1030"/>
        <v>4</v>
      </c>
      <c r="HF671" s="58">
        <f t="shared" si="1031"/>
        <v>10</v>
      </c>
      <c r="HG671" s="58">
        <f t="shared" si="1032"/>
        <v>2</v>
      </c>
      <c r="HH671" s="58">
        <f t="shared" si="1033"/>
        <v>1</v>
      </c>
    </row>
    <row r="672" spans="69:216" ht="15.75" x14ac:dyDescent="0.25">
      <c r="BQ672" s="58">
        <f t="shared" si="1058"/>
        <v>404</v>
      </c>
      <c r="BR672" s="61">
        <v>0</v>
      </c>
      <c r="BS672" s="61" t="s">
        <v>31</v>
      </c>
      <c r="BT672" s="17">
        <v>4</v>
      </c>
      <c r="BU672" s="17">
        <v>11</v>
      </c>
      <c r="BV672" s="252" t="str">
        <f t="shared" si="1079"/>
        <v>axitinib</v>
      </c>
      <c r="BW672" s="1006" t="str" cm="1">
        <f t="array" ref="BW672">IF(AZ315="No",AZ315,INDEX(List_incl_anal_4L_all,IF(BU672=999,35,BU672+1)))</f>
        <v>Yes</v>
      </c>
      <c r="BX672" s="61">
        <f t="shared" si="1080"/>
        <v>3</v>
      </c>
      <c r="BY672" s="532" t="str">
        <f t="shared" si="1101"/>
        <v>Time to progression</v>
      </c>
      <c r="BZ672" s="530" t="str">
        <f t="shared" si="1081"/>
        <v>Apply HR to</v>
      </c>
      <c r="CA672" s="531">
        <f t="shared" si="1100"/>
        <v>0</v>
      </c>
      <c r="CB672" s="530">
        <f t="shared" si="1082"/>
        <v>0</v>
      </c>
      <c r="CC672" s="530">
        <f t="shared" si="1083"/>
        <v>4</v>
      </c>
      <c r="CD672" s="530">
        <f t="shared" si="1084"/>
        <v>11</v>
      </c>
      <c r="CE672" s="1295">
        <f t="shared" si="1085"/>
        <v>2</v>
      </c>
      <c r="CF672" s="1301">
        <f t="shared" si="1086"/>
        <v>1</v>
      </c>
      <c r="CG672" s="530" t="str">
        <f t="shared" si="1087"/>
        <v/>
      </c>
      <c r="CH672" s="505">
        <f t="shared" si="1025"/>
        <v>0.82</v>
      </c>
      <c r="CI672" s="505">
        <f t="shared" si="1026"/>
        <v>0.8</v>
      </c>
      <c r="CJ672" s="505">
        <f t="shared" si="1027"/>
        <v>0.84</v>
      </c>
      <c r="DK672" s="58" t="str" cm="1">
        <f t="array" ref="DK672">IF(AND($BT672=4,$BX672=4,$BU672=999),$DB$36,_xlfn.IFNA(INDEX(DB$13:DB$70,MATCH(1,($BR672=$CV$13:$CV$70)*($BT672=$CX$13:$CX$70)*($CE672=$CY$13:$CY$70)*($BY672=$DA$13:$DA$70)*($CD672=$DH$13:$DH$70),0)),""))</f>
        <v/>
      </c>
      <c r="DL672" s="58" t="str" cm="1">
        <f t="array" ref="DL672">IF(AND($BT672=4,$BX672=4,$BU672=999),$DC$36,_xlfn.IFNA(INDEX(CHOOSE(DP672,DB$13:DB$70,DC$13:DC$70,DD$13:DD$70,DE$13:DE$70),MATCH(1,($BR672=$CV$13:$CV$70)*($BT672=$CX$13:$CX$70)*($CE672=$CY$13:$CY$70)*($BY672=$DA$13:$DA$70)*($CD672=$DH$13:$DH$70),0)),""))</f>
        <v/>
      </c>
      <c r="DM672" s="740" t="str" cm="1">
        <f t="array" ref="DM672">IF(AND($BT672=4,$BX672=4,$BU672=999),$DD$36,_xlfn.IFNA(INDEX(DD$13:DD$68,MATCH(1,($BR672=$CV$13:$CV$68)*($BT672=$CX$13:$CX$68)*($CE672=$CY$13:$CY$68)*($BY672=$DA$13:$DA$68)*($CD672=$DH$13:$DH$68),0)),""))</f>
        <v/>
      </c>
      <c r="DN672" s="740" t="str" cm="1">
        <f t="array" ref="DN672">IF(AND($BT672=4,$BX672=4,$BU672=999),$DD$36,_xlfn.IFNA(INDEX(DE$13:DE$68,MATCH(1,($BR672=$CV$13:$CV$68)*($BT672=$CX$13:$CX$68)*($CE672=$CY$13:$CY$68)*($BY672=$DA$13:$DA$68)*($CD672=$DH$13:$DH$68),0)),""))</f>
        <v/>
      </c>
      <c r="DO672" s="58" t="str" cm="1">
        <f t="array" ref="DO672">IF(AND($BT672=4,$BX672=4,$BU672=999),$DF$36,_xlfn.IFNA(INDEX(DF$13:DF$70,MATCH(1,($BR672=$CV$13:$CV$70)*($BT672=$CX$13:$CX$70)*($CE672=$CY$13:$CY$70)*($BY672=$DA$13:$DA$70)*($CD672=$DH$13:$DH$70),0)),""))</f>
        <v/>
      </c>
      <c r="DP672" s="58" t="e">
        <f t="shared" si="1059"/>
        <v>#N/A</v>
      </c>
      <c r="DW672" s="58" t="s">
        <v>74</v>
      </c>
      <c r="DX672" s="58" t="s">
        <v>555</v>
      </c>
      <c r="DY672" s="58" t="s">
        <v>578</v>
      </c>
      <c r="DZ672" s="58">
        <v>0</v>
      </c>
      <c r="EB672" s="58">
        <v>0</v>
      </c>
      <c r="EC672" s="58">
        <v>4</v>
      </c>
      <c r="ED672" s="58">
        <v>11</v>
      </c>
      <c r="EE672" s="58">
        <v>2</v>
      </c>
      <c r="EF672" s="58">
        <v>1</v>
      </c>
      <c r="EI672" s="58" t="s">
        <v>74</v>
      </c>
      <c r="EJ672" s="58" t="s">
        <v>555</v>
      </c>
      <c r="EK672" s="58" t="s">
        <v>578</v>
      </c>
      <c r="EL672" s="58">
        <v>0</v>
      </c>
      <c r="EN672" s="58">
        <v>0</v>
      </c>
      <c r="EO672" s="58">
        <v>4</v>
      </c>
      <c r="EP672" s="58">
        <v>11</v>
      </c>
      <c r="EQ672" s="58">
        <v>1</v>
      </c>
      <c r="ER672" s="58">
        <v>1</v>
      </c>
      <c r="EU672" s="58" t="str">
        <f t="shared" si="1088"/>
        <v>Yes</v>
      </c>
      <c r="EV672" s="58" t="str">
        <f t="shared" si="1089"/>
        <v>Time to progression</v>
      </c>
      <c r="EW672" s="58" t="str">
        <f t="shared" si="1090"/>
        <v>Apply HR to</v>
      </c>
      <c r="EX672" s="58">
        <f t="shared" si="1091"/>
        <v>0</v>
      </c>
      <c r="EZ672" s="58">
        <f t="shared" si="1092"/>
        <v>0</v>
      </c>
      <c r="FA672" s="58">
        <f t="shared" si="1093"/>
        <v>4</v>
      </c>
      <c r="FB672" s="58">
        <f>IF(i_eff_inputs_based_on_num=2,ED672,(INDEX(Lists!$L$51:$L$85,MATCH(BF315,Lists!$K$51:$K$85,0))))</f>
        <v>11</v>
      </c>
      <c r="FC672" s="58">
        <f>IF(i_eff_inputs_based_on_num=2,EE672,(INDEX(Lists!$L$51:$L$85,MATCH(BG315,Lists!$K$51:$K$85,0))))</f>
        <v>2</v>
      </c>
      <c r="FD672" s="58">
        <f>IF(i_eff_inputs_based_on_num=2,EF672,(INDEX(Lists!$L$51:$L$85,MATCH(BH315,Lists!$K$51:$K$85,0))))</f>
        <v>1</v>
      </c>
      <c r="FG672" s="58" t="str">
        <f t="shared" si="1094"/>
        <v>Yes</v>
      </c>
      <c r="FH672" s="58" t="str">
        <f t="shared" si="1095"/>
        <v>Time to progression</v>
      </c>
      <c r="FI672" s="58" t="str">
        <f t="shared" si="1096"/>
        <v>Apply HR to</v>
      </c>
      <c r="FJ672" s="58">
        <f t="shared" si="1097"/>
        <v>0</v>
      </c>
      <c r="FL672" s="58">
        <f t="shared" si="1098"/>
        <v>0</v>
      </c>
      <c r="FM672" s="58">
        <f t="shared" si="1099"/>
        <v>4</v>
      </c>
      <c r="FN672" s="58">
        <f>IF(i_eff_inputs_based_on_num=2,EP672,(INDEX(Lists!$L$51:$L$85,MATCH(BF315,Lists!$K$51:$K$85,0))))</f>
        <v>11</v>
      </c>
      <c r="FO672" s="58">
        <f>IF(i_eff_inputs_based_on_num=2,EQ672,(INDEX(Lists!$L$51:$L$85,MATCH(BG315,Lists!$K$51:$K$85,0))))</f>
        <v>1</v>
      </c>
      <c r="FP672" s="58">
        <f>IF(i_eff_inputs_based_on_num=2,ER672,(INDEX(Lists!$L$51:$L$85,MATCH(BH315,Lists!$K$51:$K$85,0))))</f>
        <v>1</v>
      </c>
      <c r="FT672" s="58">
        <f t="shared" si="1060"/>
        <v>0</v>
      </c>
      <c r="FW672" s="58" t="str">
        <f>IF(i_baseline_risk_from=2,'Effectiveness settings'!EW672,'Effectiveness settings'!FI672)</f>
        <v>Apply HR to</v>
      </c>
      <c r="FX672" s="58" t="str">
        <f t="shared" si="1061"/>
        <v>Apply HR to</v>
      </c>
      <c r="FY672" s="58" t="str">
        <f t="shared" si="1062"/>
        <v>Apply HR to</v>
      </c>
      <c r="FZ672" s="58" t="str">
        <f t="shared" si="1063"/>
        <v>Apply HR to</v>
      </c>
      <c r="GA672" s="58" t="str">
        <f t="shared" si="1064"/>
        <v>Apply HR to</v>
      </c>
      <c r="GB672" s="58" t="str">
        <f t="shared" si="1065"/>
        <v>Apply HR to</v>
      </c>
      <c r="GC672" s="58" t="str">
        <f t="shared" si="1066"/>
        <v>Apply HR to</v>
      </c>
      <c r="GD672" s="58" t="str">
        <f t="shared" si="1067"/>
        <v>Apply HR to</v>
      </c>
      <c r="GE672" s="58" t="str">
        <f>IF(AND(dd_CheckMate214_TTD="Yes",'Effectiveness settings'!BU672=2,'Effectiveness settings'!BX672=2),"Apply HR to",GD672)</f>
        <v>Apply HR to</v>
      </c>
      <c r="GF672" s="58" t="str">
        <f t="shared" si="1068"/>
        <v>Apply HR to</v>
      </c>
      <c r="GG672" s="58" t="str">
        <f t="shared" si="1069"/>
        <v>Apply HR to</v>
      </c>
      <c r="GH672" s="58" t="str">
        <f t="shared" si="1070"/>
        <v>Apply HR to</v>
      </c>
      <c r="GI672" s="58" t="str">
        <f t="shared" si="1034"/>
        <v>Apply HR to</v>
      </c>
      <c r="GK672" s="58">
        <f>IF(i_baseline_risk_from=2,'Effectiveness settings'!FA672,'Effectiveness settings'!FM672)</f>
        <v>4</v>
      </c>
      <c r="GL672" s="58">
        <f>IF(i_baseline_risk_from=2,'Effectiveness settings'!FB672,'Effectiveness settings'!FN672)</f>
        <v>11</v>
      </c>
      <c r="GM672" s="58">
        <f>IF(i_baseline_risk_from=2,'Effectiveness settings'!FC672,'Effectiveness settings'!FO672)</f>
        <v>2</v>
      </c>
      <c r="GN672" s="58">
        <f>IF(i_baseline_risk_from=2,'Effectiveness settings'!FD672,'Effectiveness settings'!FP672)</f>
        <v>1</v>
      </c>
      <c r="GQ672" s="58">
        <f t="shared" si="1071"/>
        <v>11</v>
      </c>
      <c r="GR672" s="58">
        <f t="shared" si="1072"/>
        <v>11</v>
      </c>
      <c r="GS672" s="58">
        <f t="shared" si="1073"/>
        <v>11</v>
      </c>
      <c r="GT672" s="58">
        <f t="shared" si="1074"/>
        <v>11</v>
      </c>
      <c r="GU672" s="58">
        <f>IF(AND(dd_CheckMate214_TTD="Yes",'Effectiveness settings'!BU672=2,'Effectiveness settings'!BX672=2),2,GT672)</f>
        <v>11</v>
      </c>
      <c r="GV672" s="58">
        <f t="shared" si="1075"/>
        <v>11</v>
      </c>
      <c r="GW672" s="58">
        <f t="shared" si="1076"/>
        <v>11</v>
      </c>
      <c r="GY672" s="58">
        <f>IF(AND(dd_CheckMate214_TTD="Yes",'Effectiveness settings'!BU672=2,'Effectiveness settings'!BX672=2),1,GN672)</f>
        <v>1</v>
      </c>
      <c r="GZ672" s="58">
        <f t="shared" si="1077"/>
        <v>1</v>
      </c>
      <c r="HB672" s="58">
        <f t="shared" si="1078"/>
        <v>0</v>
      </c>
      <c r="HD672" s="58">
        <f t="shared" si="1029"/>
        <v>0</v>
      </c>
      <c r="HE672" s="58">
        <f t="shared" si="1030"/>
        <v>4</v>
      </c>
      <c r="HF672" s="58">
        <f t="shared" si="1031"/>
        <v>11</v>
      </c>
      <c r="HG672" s="58">
        <f t="shared" si="1032"/>
        <v>2</v>
      </c>
      <c r="HH672" s="58">
        <f t="shared" si="1033"/>
        <v>1</v>
      </c>
    </row>
    <row r="673" spans="69:216" ht="15.75" x14ac:dyDescent="0.25">
      <c r="BQ673" s="58">
        <f t="shared" si="1058"/>
        <v>405</v>
      </c>
      <c r="BR673" s="61">
        <v>0</v>
      </c>
      <c r="BS673" s="61" t="s">
        <v>31</v>
      </c>
      <c r="BT673" s="17">
        <v>4</v>
      </c>
      <c r="BU673" s="17">
        <v>12</v>
      </c>
      <c r="BV673" s="252" t="str">
        <f t="shared" si="1079"/>
        <v>sorafenib</v>
      </c>
      <c r="BW673" s="1006" t="str" cm="1">
        <f t="array" ref="BW673">IF(AZ316="No",AZ316,INDEX(List_incl_anal_4L_all,IF(BU673=999,35,BU673+1)))</f>
        <v>No</v>
      </c>
      <c r="BX673" s="61">
        <f t="shared" si="1080"/>
        <v>3</v>
      </c>
      <c r="BY673" s="532" t="str">
        <f t="shared" si="1101"/>
        <v>Time to progression</v>
      </c>
      <c r="BZ673" s="530">
        <f t="shared" si="1081"/>
        <v>0</v>
      </c>
      <c r="CA673" s="531">
        <f t="shared" si="1100"/>
        <v>0</v>
      </c>
      <c r="CB673" s="530">
        <f t="shared" si="1082"/>
        <v>0</v>
      </c>
      <c r="CC673" s="530">
        <f t="shared" si="1083"/>
        <v>4</v>
      </c>
      <c r="CD673" s="530">
        <f t="shared" si="1084"/>
        <v>12</v>
      </c>
      <c r="CE673" s="1295">
        <f t="shared" si="1085"/>
        <v>2</v>
      </c>
      <c r="CF673" s="1301">
        <f t="shared" si="1086"/>
        <v>1</v>
      </c>
      <c r="CG673" s="530" t="str">
        <f t="shared" si="1087"/>
        <v/>
      </c>
      <c r="CH673" s="505">
        <f t="shared" si="1025"/>
        <v>1</v>
      </c>
      <c r="CI673" s="505">
        <f t="shared" si="1026"/>
        <v>0</v>
      </c>
      <c r="CJ673" s="505">
        <f t="shared" si="1027"/>
        <v>0</v>
      </c>
      <c r="DK673" s="58" t="str" cm="1">
        <f t="array" ref="DK673">IF(AND($BT673=4,$BX673=4,$BU673=999),$DB$36,_xlfn.IFNA(INDEX(DB$13:DB$70,MATCH(1,($BR673=$CV$13:$CV$70)*($BT673=$CX$13:$CX$70)*($CE673=$CY$13:$CY$70)*($BY673=$DA$13:$DA$70)*($CD673=$DH$13:$DH$70),0)),""))</f>
        <v/>
      </c>
      <c r="DL673" s="58" t="str" cm="1">
        <f t="array" ref="DL673">IF(AND($BT673=4,$BX673=4,$BU673=999),$DC$36,_xlfn.IFNA(INDEX(CHOOSE(DP673,DB$13:DB$70,DC$13:DC$70,DD$13:DD$70,DE$13:DE$70),MATCH(1,($BR673=$CV$13:$CV$70)*($BT673=$CX$13:$CX$70)*($CE673=$CY$13:$CY$70)*($BY673=$DA$13:$DA$70)*($CD673=$DH$13:$DH$70),0)),""))</f>
        <v/>
      </c>
      <c r="DM673" s="740" t="str" cm="1">
        <f t="array" ref="DM673">IF(AND($BT673=4,$BX673=4,$BU673=999),$DD$36,_xlfn.IFNA(INDEX(DD$13:DD$68,MATCH(1,($BR673=$CV$13:$CV$68)*($BT673=$CX$13:$CX$68)*($CE673=$CY$13:$CY$68)*($BY673=$DA$13:$DA$68)*($CD673=$DH$13:$DH$68),0)),""))</f>
        <v/>
      </c>
      <c r="DN673" s="740" t="str" cm="1">
        <f t="array" ref="DN673">IF(AND($BT673=4,$BX673=4,$BU673=999),$DD$36,_xlfn.IFNA(INDEX(DE$13:DE$68,MATCH(1,($BR673=$CV$13:$CV$68)*($BT673=$CX$13:$CX$68)*($CE673=$CY$13:$CY$68)*($BY673=$DA$13:$DA$68)*($CD673=$DH$13:$DH$68),0)),""))</f>
        <v/>
      </c>
      <c r="DO673" s="58" t="str" cm="1">
        <f t="array" ref="DO673">IF(AND($BT673=4,$BX673=4,$BU673=999),$DF$36,_xlfn.IFNA(INDEX(DF$13:DF$70,MATCH(1,($BR673=$CV$13:$CV$70)*($BT673=$CX$13:$CX$70)*($CE673=$CY$13:$CY$70)*($BY673=$DA$13:$DA$70)*($CD673=$DH$13:$DH$70),0)),""))</f>
        <v/>
      </c>
      <c r="DP673" s="58" t="e">
        <f t="shared" si="1059"/>
        <v>#N/A</v>
      </c>
      <c r="DW673" s="58" t="s">
        <v>58</v>
      </c>
      <c r="DX673" s="58" t="s">
        <v>555</v>
      </c>
      <c r="DY673" s="58">
        <v>0</v>
      </c>
      <c r="DZ673" s="58">
        <v>0</v>
      </c>
      <c r="EB673" s="58">
        <v>0</v>
      </c>
      <c r="EC673" s="58">
        <v>4</v>
      </c>
      <c r="ED673" s="58">
        <v>12</v>
      </c>
      <c r="EE673" s="58">
        <v>2</v>
      </c>
      <c r="EF673" s="58">
        <v>1</v>
      </c>
      <c r="EI673" s="58" t="s">
        <v>58</v>
      </c>
      <c r="EJ673" s="58" t="s">
        <v>555</v>
      </c>
      <c r="EK673" s="58">
        <v>0</v>
      </c>
      <c r="EL673" s="58">
        <v>0</v>
      </c>
      <c r="EN673" s="58">
        <v>0</v>
      </c>
      <c r="EO673" s="58">
        <v>4</v>
      </c>
      <c r="EP673" s="58">
        <v>12</v>
      </c>
      <c r="EQ673" s="58">
        <v>1</v>
      </c>
      <c r="ER673" s="58">
        <v>1</v>
      </c>
      <c r="EU673" s="58" t="str">
        <f t="shared" si="1088"/>
        <v>No</v>
      </c>
      <c r="EV673" s="58" t="str">
        <f t="shared" si="1089"/>
        <v>Time to progression</v>
      </c>
      <c r="EW673" s="58">
        <f t="shared" si="1090"/>
        <v>0</v>
      </c>
      <c r="EX673" s="58">
        <f t="shared" si="1091"/>
        <v>0</v>
      </c>
      <c r="EZ673" s="58">
        <f t="shared" si="1092"/>
        <v>0</v>
      </c>
      <c r="FA673" s="58">
        <f t="shared" si="1093"/>
        <v>4</v>
      </c>
      <c r="FB673" s="58">
        <f>IF(i_eff_inputs_based_on_num=2,ED673,(INDEX(Lists!$L$51:$L$85,MATCH(BF316,Lists!$K$51:$K$85,0))))</f>
        <v>12</v>
      </c>
      <c r="FC673" s="58">
        <f>IF(i_eff_inputs_based_on_num=2,EE673,(INDEX(Lists!$L$51:$L$85,MATCH(BG316,Lists!$K$51:$K$85,0))))</f>
        <v>2</v>
      </c>
      <c r="FD673" s="58">
        <f>IF(i_eff_inputs_based_on_num=2,EF673,(INDEX(Lists!$L$51:$L$85,MATCH(BH316,Lists!$K$51:$K$85,0))))</f>
        <v>1</v>
      </c>
      <c r="FG673" s="58" t="str">
        <f t="shared" si="1094"/>
        <v>No</v>
      </c>
      <c r="FH673" s="58" t="str">
        <f t="shared" si="1095"/>
        <v>Time to progression</v>
      </c>
      <c r="FI673" s="58">
        <f t="shared" si="1096"/>
        <v>0</v>
      </c>
      <c r="FJ673" s="58">
        <f t="shared" si="1097"/>
        <v>0</v>
      </c>
      <c r="FL673" s="58">
        <f t="shared" si="1098"/>
        <v>0</v>
      </c>
      <c r="FM673" s="58">
        <f t="shared" si="1099"/>
        <v>4</v>
      </c>
      <c r="FN673" s="58">
        <f>IF(i_eff_inputs_based_on_num=2,EP673,(INDEX(Lists!$L$51:$L$85,MATCH(BF316,Lists!$K$51:$K$85,0))))</f>
        <v>12</v>
      </c>
      <c r="FO673" s="58">
        <f>IF(i_eff_inputs_based_on_num=2,EQ673,(INDEX(Lists!$L$51:$L$85,MATCH(BG316,Lists!$K$51:$K$85,0))))</f>
        <v>1</v>
      </c>
      <c r="FP673" s="58">
        <f>IF(i_eff_inputs_based_on_num=2,ER673,(INDEX(Lists!$L$51:$L$85,MATCH(BH316,Lists!$K$51:$K$85,0))))</f>
        <v>1</v>
      </c>
      <c r="FT673" s="58">
        <f t="shared" si="1060"/>
        <v>0</v>
      </c>
      <c r="FW673" s="58">
        <f>IF(i_baseline_risk_from=2,'Effectiveness settings'!EW673,'Effectiveness settings'!FI673)</f>
        <v>0</v>
      </c>
      <c r="FX673" s="58">
        <f t="shared" si="1061"/>
        <v>0</v>
      </c>
      <c r="FY673" s="58">
        <f t="shared" si="1062"/>
        <v>0</v>
      </c>
      <c r="FZ673" s="58">
        <f t="shared" si="1063"/>
        <v>0</v>
      </c>
      <c r="GA673" s="58">
        <f t="shared" si="1064"/>
        <v>0</v>
      </c>
      <c r="GB673" s="58">
        <f t="shared" si="1065"/>
        <v>0</v>
      </c>
      <c r="GC673" s="58">
        <f t="shared" si="1066"/>
        <v>0</v>
      </c>
      <c r="GD673" s="58">
        <f t="shared" si="1067"/>
        <v>0</v>
      </c>
      <c r="GE673" s="58">
        <f>IF(AND(dd_CheckMate214_TTD="Yes",'Effectiveness settings'!BU673=2,'Effectiveness settings'!BX673=2),"Apply HR to",GD673)</f>
        <v>0</v>
      </c>
      <c r="GF673" s="58">
        <f t="shared" si="1068"/>
        <v>0</v>
      </c>
      <c r="GG673" s="58">
        <f t="shared" si="1069"/>
        <v>0</v>
      </c>
      <c r="GH673" s="58">
        <f t="shared" si="1070"/>
        <v>0</v>
      </c>
      <c r="GI673" s="58">
        <f t="shared" si="1034"/>
        <v>0</v>
      </c>
      <c r="GK673" s="58">
        <f>IF(i_baseline_risk_from=2,'Effectiveness settings'!FA673,'Effectiveness settings'!FM673)</f>
        <v>4</v>
      </c>
      <c r="GL673" s="58">
        <f>IF(i_baseline_risk_from=2,'Effectiveness settings'!FB673,'Effectiveness settings'!FN673)</f>
        <v>12</v>
      </c>
      <c r="GM673" s="58">
        <f>IF(i_baseline_risk_from=2,'Effectiveness settings'!FC673,'Effectiveness settings'!FO673)</f>
        <v>2</v>
      </c>
      <c r="GN673" s="58">
        <f>IF(i_baseline_risk_from=2,'Effectiveness settings'!FD673,'Effectiveness settings'!FP673)</f>
        <v>1</v>
      </c>
      <c r="GQ673" s="58">
        <f t="shared" si="1071"/>
        <v>12</v>
      </c>
      <c r="GR673" s="58">
        <f t="shared" si="1072"/>
        <v>12</v>
      </c>
      <c r="GS673" s="58">
        <f t="shared" si="1073"/>
        <v>12</v>
      </c>
      <c r="GT673" s="58">
        <f t="shared" si="1074"/>
        <v>12</v>
      </c>
      <c r="GU673" s="58">
        <f>IF(AND(dd_CheckMate214_TTD="Yes",'Effectiveness settings'!BU673=2,'Effectiveness settings'!BX673=2),2,GT673)</f>
        <v>12</v>
      </c>
      <c r="GV673" s="58">
        <f t="shared" si="1075"/>
        <v>12</v>
      </c>
      <c r="GW673" s="58">
        <f t="shared" si="1076"/>
        <v>12</v>
      </c>
      <c r="GY673" s="58">
        <f>IF(AND(dd_CheckMate214_TTD="Yes",'Effectiveness settings'!BU673=2,'Effectiveness settings'!BX673=2),1,GN673)</f>
        <v>1</v>
      </c>
      <c r="GZ673" s="58">
        <f t="shared" si="1077"/>
        <v>1</v>
      </c>
      <c r="HB673" s="58">
        <f t="shared" si="1078"/>
        <v>0</v>
      </c>
      <c r="HD673" s="58">
        <f t="shared" si="1029"/>
        <v>0</v>
      </c>
      <c r="HE673" s="58">
        <f t="shared" si="1030"/>
        <v>4</v>
      </c>
      <c r="HF673" s="58">
        <f t="shared" si="1031"/>
        <v>12</v>
      </c>
      <c r="HG673" s="58">
        <f t="shared" si="1032"/>
        <v>2</v>
      </c>
      <c r="HH673" s="58">
        <f t="shared" si="1033"/>
        <v>1</v>
      </c>
    </row>
    <row r="674" spans="69:216" ht="15.75" x14ac:dyDescent="0.25">
      <c r="BQ674" s="58">
        <f t="shared" si="1058"/>
        <v>406</v>
      </c>
      <c r="BR674" s="61">
        <v>0</v>
      </c>
      <c r="BS674" s="61" t="s">
        <v>31</v>
      </c>
      <c r="BT674" s="17">
        <v>4</v>
      </c>
      <c r="BU674" s="17">
        <v>999</v>
      </c>
      <c r="BV674" s="252" t="str">
        <f t="shared" si="1079"/>
        <v>placebo_BSC</v>
      </c>
      <c r="BW674" s="1006" t="str" cm="1">
        <f t="array" ref="BW674">IF(AZ317="No",AZ317,INDEX(List_incl_anal_4L_all,IF(BU674=999,35,BU674+1)))</f>
        <v>No</v>
      </c>
      <c r="BX674" s="61">
        <f t="shared" si="1080"/>
        <v>3</v>
      </c>
      <c r="BY674" s="532" t="str">
        <f t="shared" si="1101"/>
        <v>Time to progression</v>
      </c>
      <c r="BZ674" s="530">
        <f t="shared" si="1081"/>
        <v>0</v>
      </c>
      <c r="CA674" s="531">
        <f t="shared" si="1100"/>
        <v>0</v>
      </c>
      <c r="CB674" s="530">
        <f t="shared" si="1082"/>
        <v>0</v>
      </c>
      <c r="CC674" s="530">
        <f t="shared" si="1083"/>
        <v>4</v>
      </c>
      <c r="CD674" s="530">
        <f t="shared" si="1084"/>
        <v>999</v>
      </c>
      <c r="CE674" s="1295">
        <f t="shared" si="1085"/>
        <v>2</v>
      </c>
      <c r="CF674" s="1301">
        <f t="shared" si="1086"/>
        <v>4</v>
      </c>
      <c r="CG674" s="530" t="str">
        <f t="shared" si="1087"/>
        <v/>
      </c>
      <c r="CH674" s="505">
        <f t="shared" si="1025"/>
        <v>1</v>
      </c>
      <c r="CI674" s="505">
        <f t="shared" si="1026"/>
        <v>0</v>
      </c>
      <c r="CJ674" s="505">
        <f t="shared" si="1027"/>
        <v>0</v>
      </c>
      <c r="DK674" s="58" t="str" cm="1">
        <f t="array" ref="DK674">IF(AND($BT674=4,$BX674=4,$BU674=999),$DB$36,_xlfn.IFNA(INDEX(DB$13:DB$70,MATCH(1,($BR674=$CV$13:$CV$70)*($BT674=$CX$13:$CX$70)*($CE674=$CY$13:$CY$70)*($BY674=$DA$13:$DA$70)*($CD674=$DH$13:$DH$70),0)),""))</f>
        <v/>
      </c>
      <c r="DL674" s="58" t="str" cm="1">
        <f t="array" ref="DL674">IF(AND($BT674=4,$BX674=4,$BU674=999),$DC$36,_xlfn.IFNA(INDEX(CHOOSE(DP674,DB$13:DB$70,DC$13:DC$70,DD$13:DD$70,DE$13:DE$70),MATCH(1,($BR674=$CV$13:$CV$70)*($BT674=$CX$13:$CX$70)*($CE674=$CY$13:$CY$70)*($BY674=$DA$13:$DA$70)*($CD674=$DH$13:$DH$70),0)),""))</f>
        <v/>
      </c>
      <c r="DM674" s="740" t="str" cm="1">
        <f t="array" ref="DM674">IF(AND($BT674=4,$BX674=4,$BU674=999),$DD$36,_xlfn.IFNA(INDEX(DD$13:DD$68,MATCH(1,($BR674=$CV$13:$CV$68)*($BT674=$CX$13:$CX$68)*($CE674=$CY$13:$CY$68)*($BY674=$DA$13:$DA$68)*($CD674=$DH$13:$DH$68),0)),""))</f>
        <v/>
      </c>
      <c r="DN674" s="740" t="str" cm="1">
        <f t="array" ref="DN674">IF(AND($BT674=4,$BX674=4,$BU674=999),$DD$36,_xlfn.IFNA(INDEX(DE$13:DE$68,MATCH(1,($BR674=$CV$13:$CV$68)*($BT674=$CX$13:$CX$68)*($CE674=$CY$13:$CY$68)*($BY674=$DA$13:$DA$68)*($CD674=$DH$13:$DH$68),0)),""))</f>
        <v/>
      </c>
      <c r="DO674" s="58" t="str" cm="1">
        <f t="array" ref="DO674">IF(AND($BT674=4,$BX674=4,$BU674=999),$DF$36,_xlfn.IFNA(INDEX(DF$13:DF$70,MATCH(1,($BR674=$CV$13:$CV$70)*($BT674=$CX$13:$CX$70)*($CE674=$CY$13:$CY$70)*($BY674=$DA$13:$DA$70)*($CD674=$DH$13:$DH$70),0)),""))</f>
        <v/>
      </c>
      <c r="DP674" s="58" t="e">
        <f t="shared" si="1059"/>
        <v>#N/A</v>
      </c>
      <c r="DW674" s="58" t="s">
        <v>58</v>
      </c>
      <c r="DX674" s="58" t="s">
        <v>555</v>
      </c>
      <c r="DY674" s="58">
        <v>0</v>
      </c>
      <c r="DZ674" s="58">
        <v>0</v>
      </c>
      <c r="EB674" s="58">
        <v>0</v>
      </c>
      <c r="EC674" s="58">
        <v>4</v>
      </c>
      <c r="ED674" s="58">
        <v>999</v>
      </c>
      <c r="EE674" s="58">
        <v>2</v>
      </c>
      <c r="EF674" s="58">
        <v>4</v>
      </c>
      <c r="EI674" s="58" t="s">
        <v>58</v>
      </c>
      <c r="EJ674" s="58" t="s">
        <v>555</v>
      </c>
      <c r="EK674" s="58">
        <v>0</v>
      </c>
      <c r="EL674" s="58">
        <v>0</v>
      </c>
      <c r="EN674" s="58">
        <v>0</v>
      </c>
      <c r="EO674" s="58">
        <v>4</v>
      </c>
      <c r="EP674" s="58">
        <v>999</v>
      </c>
      <c r="EQ674" s="58">
        <v>2</v>
      </c>
      <c r="ER674" s="58">
        <v>4</v>
      </c>
      <c r="EU674" s="58" t="str">
        <f t="shared" si="1088"/>
        <v>No</v>
      </c>
      <c r="EV674" s="58" t="str">
        <f t="shared" si="1089"/>
        <v>Time to progression</v>
      </c>
      <c r="EW674" s="58">
        <f t="shared" si="1090"/>
        <v>0</v>
      </c>
      <c r="EX674" s="58">
        <f t="shared" si="1091"/>
        <v>0</v>
      </c>
      <c r="EZ674" s="58">
        <f t="shared" si="1092"/>
        <v>0</v>
      </c>
      <c r="FA674" s="58">
        <f t="shared" si="1093"/>
        <v>4</v>
      </c>
      <c r="FB674" s="58">
        <f>IF(i_eff_inputs_based_on_num=2,ED674,(INDEX(Lists!$L$51:$L$85,MATCH(BF317,Lists!$K$51:$K$85,0))))</f>
        <v>999</v>
      </c>
      <c r="FC674" s="58">
        <f>IF(i_eff_inputs_based_on_num=2,EE674,(INDEX(Lists!$L$51:$L$85,MATCH(BG317,Lists!$K$51:$K$85,0))))</f>
        <v>2</v>
      </c>
      <c r="FD674" s="58">
        <f>IF(i_eff_inputs_based_on_num=2,EF674,(INDEX(Lists!$L$51:$L$85,MATCH(BH317,Lists!$K$51:$K$85,0))))</f>
        <v>4</v>
      </c>
      <c r="FG674" s="58" t="str">
        <f t="shared" si="1094"/>
        <v>No</v>
      </c>
      <c r="FH674" s="58" t="str">
        <f t="shared" si="1095"/>
        <v>Time to progression</v>
      </c>
      <c r="FI674" s="58">
        <f t="shared" si="1096"/>
        <v>0</v>
      </c>
      <c r="FJ674" s="58">
        <f t="shared" si="1097"/>
        <v>0</v>
      </c>
      <c r="FL674" s="58">
        <f t="shared" si="1098"/>
        <v>0</v>
      </c>
      <c r="FM674" s="58">
        <f t="shared" si="1099"/>
        <v>4</v>
      </c>
      <c r="FN674" s="58">
        <f>IF(i_eff_inputs_based_on_num=2,EP674,(INDEX(Lists!$L$51:$L$85,MATCH(BF317,Lists!$K$51:$K$85,0))))</f>
        <v>999</v>
      </c>
      <c r="FO674" s="58">
        <f>IF(i_eff_inputs_based_on_num=2,EQ674,(INDEX(Lists!$L$51:$L$85,MATCH(BG317,Lists!$K$51:$K$85,0))))</f>
        <v>2</v>
      </c>
      <c r="FP674" s="58">
        <f>IF(i_eff_inputs_based_on_num=2,ER674,(INDEX(Lists!$L$51:$L$85,MATCH(BH317,Lists!$K$51:$K$85,0))))</f>
        <v>4</v>
      </c>
      <c r="FT674" s="58">
        <f t="shared" si="1060"/>
        <v>0</v>
      </c>
      <c r="FW674" s="58">
        <f>IF(i_baseline_risk_from=2,'Effectiveness settings'!EW674,'Effectiveness settings'!FI674)</f>
        <v>0</v>
      </c>
      <c r="FX674" s="58">
        <f t="shared" si="1061"/>
        <v>0</v>
      </c>
      <c r="FY674" s="58">
        <f t="shared" si="1062"/>
        <v>0</v>
      </c>
      <c r="FZ674" s="58">
        <f t="shared" si="1063"/>
        <v>0</v>
      </c>
      <c r="GA674" s="58">
        <f t="shared" si="1064"/>
        <v>0</v>
      </c>
      <c r="GB674" s="58">
        <f t="shared" si="1065"/>
        <v>0</v>
      </c>
      <c r="GC674" s="58">
        <f t="shared" si="1066"/>
        <v>0</v>
      </c>
      <c r="GD674" s="58">
        <f t="shared" si="1067"/>
        <v>0</v>
      </c>
      <c r="GE674" s="58">
        <f>IF(AND(dd_CheckMate214_TTD="Yes",'Effectiveness settings'!BU674=2,'Effectiveness settings'!BX674=2),"Apply HR to",GD674)</f>
        <v>0</v>
      </c>
      <c r="GF674" s="58">
        <f t="shared" si="1068"/>
        <v>0</v>
      </c>
      <c r="GG674" s="58">
        <f t="shared" si="1069"/>
        <v>0</v>
      </c>
      <c r="GH674" s="58">
        <f t="shared" si="1070"/>
        <v>0</v>
      </c>
      <c r="GI674" s="58">
        <f t="shared" si="1034"/>
        <v>0</v>
      </c>
      <c r="GK674" s="58">
        <f>IF(i_baseline_risk_from=2,'Effectiveness settings'!FA674,'Effectiveness settings'!FM674)</f>
        <v>4</v>
      </c>
      <c r="GL674" s="58">
        <f>IF(i_baseline_risk_from=2,'Effectiveness settings'!FB674,'Effectiveness settings'!FN674)</f>
        <v>999</v>
      </c>
      <c r="GM674" s="58">
        <f>IF(i_baseline_risk_from=2,'Effectiveness settings'!FC674,'Effectiveness settings'!FO674)</f>
        <v>2</v>
      </c>
      <c r="GN674" s="58">
        <f>IF(i_baseline_risk_from=2,'Effectiveness settings'!FD674,'Effectiveness settings'!FP674)</f>
        <v>4</v>
      </c>
      <c r="GQ674" s="58">
        <f t="shared" si="1071"/>
        <v>999</v>
      </c>
      <c r="GR674" s="58">
        <f t="shared" si="1072"/>
        <v>999</v>
      </c>
      <c r="GS674" s="58">
        <f t="shared" si="1073"/>
        <v>999</v>
      </c>
      <c r="GT674" s="58">
        <f t="shared" si="1074"/>
        <v>999</v>
      </c>
      <c r="GU674" s="58">
        <f>IF(AND(dd_CheckMate214_TTD="Yes",'Effectiveness settings'!BU674=2,'Effectiveness settings'!BX674=2),2,GT674)</f>
        <v>999</v>
      </c>
      <c r="GV674" s="58">
        <f t="shared" si="1075"/>
        <v>999</v>
      </c>
      <c r="GW674" s="58">
        <f t="shared" si="1076"/>
        <v>999</v>
      </c>
      <c r="GY674" s="58">
        <f>IF(AND(dd_CheckMate214_TTD="Yes",'Effectiveness settings'!BU674=2,'Effectiveness settings'!BX674=2),1,GN674)</f>
        <v>4</v>
      </c>
      <c r="GZ674" s="58">
        <f t="shared" si="1077"/>
        <v>4</v>
      </c>
      <c r="HB674" s="58">
        <f t="shared" si="1078"/>
        <v>0</v>
      </c>
      <c r="HD674" s="58">
        <f t="shared" si="1029"/>
        <v>0</v>
      </c>
      <c r="HE674" s="58">
        <f t="shared" si="1030"/>
        <v>4</v>
      </c>
      <c r="HF674" s="58">
        <f t="shared" si="1031"/>
        <v>999</v>
      </c>
      <c r="HG674" s="58">
        <f t="shared" si="1032"/>
        <v>2</v>
      </c>
      <c r="HH674" s="58">
        <f t="shared" si="1033"/>
        <v>4</v>
      </c>
    </row>
    <row r="675" spans="69:216" ht="15.75" x14ac:dyDescent="0.25">
      <c r="BQ675" s="58">
        <f t="shared" si="1058"/>
        <v>406</v>
      </c>
      <c r="BR675" s="61"/>
      <c r="BS675" s="61"/>
      <c r="BT675" s="17"/>
      <c r="BU675" s="61"/>
      <c r="BV675" s="252"/>
      <c r="BW675" s="252"/>
      <c r="BX675" s="61"/>
      <c r="BY675" s="532"/>
      <c r="BZ675" s="529"/>
      <c r="CA675" s="532"/>
      <c r="CB675" s="529"/>
      <c r="CC675" s="529"/>
      <c r="CD675" s="529"/>
      <c r="CE675" s="515"/>
      <c r="CF675" s="1303"/>
      <c r="CG675" s="529"/>
      <c r="CH675" s="505"/>
      <c r="CI675" s="505"/>
      <c r="CJ675" s="505"/>
      <c r="DK675" s="58" t="str" cm="1">
        <f t="array" ref="DK675">IF(AND($BT675=4,$BX675=4,$BU675=999),$DB$36,_xlfn.IFNA(INDEX(DB$13:DB$70,MATCH(1,($BR675=$CV$13:$CV$70)*($BT675=$CX$13:$CX$70)*($CE675=$CY$13:$CY$70)*($BY675=$DA$13:$DA$70)*($CD675=$DH$13:$DH$70),0)),""))</f>
        <v/>
      </c>
      <c r="DL675" s="58" t="str" cm="1">
        <f t="array" ref="DL675">IF(AND($BT675=4,$BX675=4,$BU675=999),$DC$36,_xlfn.IFNA(INDEX(CHOOSE(DP675,DB$13:DB$70,DC$13:DC$70,DD$13:DD$70,DE$13:DE$70),MATCH(1,($BR675=$CV$13:$CV$70)*($BT675=$CX$13:$CX$70)*($CE675=$CY$13:$CY$70)*($BY675=$DA$13:$DA$70)*($CD675=$DH$13:$DH$70),0)),""))</f>
        <v/>
      </c>
      <c r="DM675" s="740" t="str" cm="1">
        <f t="array" ref="DM675">IF(AND($BT675=4,$BX675=4,$BU675=999),$DD$36,_xlfn.IFNA(INDEX(DD$13:DD$68,MATCH(1,($BR675=$CV$13:$CV$68)*($BT675=$CX$13:$CX$68)*($CE675=$CY$13:$CY$68)*($BY675=$DA$13:$DA$68)*($CD675=$DH$13:$DH$68),0)),""))</f>
        <v/>
      </c>
      <c r="DN675" s="740" t="str" cm="1">
        <f t="array" ref="DN675">IF(AND($BT675=4,$BX675=4,$BU675=999),$DD$36,_xlfn.IFNA(INDEX(DE$13:DE$68,MATCH(1,($BR675=$CV$13:$CV$68)*($BT675=$CX$13:$CX$68)*($CE675=$CY$13:$CY$68)*($BY675=$DA$13:$DA$68)*($CD675=$DH$13:$DH$68),0)),""))</f>
        <v/>
      </c>
      <c r="DO675" s="58" t="str" cm="1">
        <f t="array" ref="DO675">IF(AND($BT675=4,$BX675=4,$BU675=999),$DF$36,_xlfn.IFNA(INDEX(DF$13:DF$70,MATCH(1,($BR675=$CV$13:$CV$70)*($BT675=$CX$13:$CX$70)*($CE675=$CY$13:$CY$70)*($BY675=$DA$13:$DA$70)*($CD675=$DH$13:$DH$70),0)),""))</f>
        <v/>
      </c>
      <c r="DP675" s="58" t="e">
        <f t="shared" si="1059"/>
        <v>#N/A</v>
      </c>
      <c r="FT675" s="58">
        <f t="shared" si="1060"/>
        <v>0</v>
      </c>
      <c r="FW675" s="58">
        <f>IF(i_baseline_risk_from=2,'Effectiveness settings'!EW675,'Effectiveness settings'!FI675)</f>
        <v>0</v>
      </c>
      <c r="FX675" s="58">
        <f t="shared" si="1061"/>
        <v>0</v>
      </c>
      <c r="FY675" s="58">
        <f t="shared" si="1062"/>
        <v>0</v>
      </c>
      <c r="FZ675" s="58">
        <f t="shared" si="1063"/>
        <v>0</v>
      </c>
      <c r="GA675" s="58">
        <f t="shared" si="1064"/>
        <v>0</v>
      </c>
      <c r="GB675" s="58">
        <f t="shared" si="1065"/>
        <v>0</v>
      </c>
      <c r="GC675" s="58">
        <f t="shared" si="1066"/>
        <v>0</v>
      </c>
      <c r="GD675" s="58">
        <f t="shared" si="1067"/>
        <v>0</v>
      </c>
      <c r="GE675" s="58">
        <f>IF(AND(dd_CheckMate214_TTD="Yes",'Effectiveness settings'!BU675=2,'Effectiveness settings'!BX675=2),"Apply HR to",GD675)</f>
        <v>0</v>
      </c>
      <c r="GF675" s="58">
        <f t="shared" si="1068"/>
        <v>0</v>
      </c>
      <c r="GG675" s="58">
        <f t="shared" si="1069"/>
        <v>0</v>
      </c>
      <c r="GH675" s="58">
        <f t="shared" si="1070"/>
        <v>0</v>
      </c>
      <c r="GI675" s="58">
        <f t="shared" si="1034"/>
        <v>0</v>
      </c>
      <c r="GK675" s="58">
        <f>IF(i_baseline_risk_from=2,'Effectiveness settings'!FA675,'Effectiveness settings'!FM675)</f>
        <v>0</v>
      </c>
      <c r="GL675" s="58">
        <f>IF(i_baseline_risk_from=2,'Effectiveness settings'!FB675,'Effectiveness settings'!FN675)</f>
        <v>0</v>
      </c>
      <c r="GM675" s="58">
        <f>IF(i_baseline_risk_from=2,'Effectiveness settings'!FC675,'Effectiveness settings'!FO675)</f>
        <v>0</v>
      </c>
      <c r="GN675" s="58">
        <f>IF(i_baseline_risk_from=2,'Effectiveness settings'!FD675,'Effectiveness settings'!FP675)</f>
        <v>0</v>
      </c>
      <c r="GQ675" s="58">
        <f t="shared" si="1071"/>
        <v>0</v>
      </c>
      <c r="GR675" s="58">
        <f t="shared" si="1072"/>
        <v>0</v>
      </c>
      <c r="GS675" s="58">
        <f t="shared" si="1073"/>
        <v>0</v>
      </c>
      <c r="GT675" s="58">
        <f t="shared" si="1074"/>
        <v>0</v>
      </c>
      <c r="GU675" s="58">
        <f>IF(AND(dd_CheckMate214_TTD="Yes",'Effectiveness settings'!BU675=2,'Effectiveness settings'!BX675=2),2,GT675)</f>
        <v>0</v>
      </c>
      <c r="GV675" s="58">
        <f t="shared" si="1075"/>
        <v>0</v>
      </c>
      <c r="GW675" s="58">
        <f t="shared" si="1076"/>
        <v>0</v>
      </c>
      <c r="GY675" s="58">
        <f>IF(AND(dd_CheckMate214_TTD="Yes",'Effectiveness settings'!BU675=2,'Effectiveness settings'!BX675=2),1,GN675)</f>
        <v>0</v>
      </c>
      <c r="GZ675" s="58">
        <f t="shared" si="1077"/>
        <v>0</v>
      </c>
      <c r="HB675" s="58">
        <f t="shared" si="1078"/>
        <v>0</v>
      </c>
      <c r="HD675" s="58">
        <f t="shared" si="1029"/>
        <v>0</v>
      </c>
      <c r="HE675" s="58">
        <f t="shared" si="1030"/>
        <v>0</v>
      </c>
      <c r="HF675" s="58">
        <f t="shared" si="1031"/>
        <v>0</v>
      </c>
      <c r="HG675" s="58">
        <f t="shared" si="1032"/>
        <v>0</v>
      </c>
      <c r="HH675" s="58">
        <f t="shared" si="1033"/>
        <v>0</v>
      </c>
    </row>
    <row r="676" spans="69:216" ht="15.75" x14ac:dyDescent="0.25">
      <c r="BQ676" s="58">
        <f t="shared" si="1058"/>
        <v>407</v>
      </c>
      <c r="BR676" s="61">
        <v>0</v>
      </c>
      <c r="BS676" s="61" t="s">
        <v>31</v>
      </c>
      <c r="BT676" s="17">
        <v>4</v>
      </c>
      <c r="BU676" s="17">
        <v>0</v>
      </c>
      <c r="BV676" s="252" t="str">
        <f t="shared" ref="BV676:BV689" si="1102">D319</f>
        <v>nivolumab_monotherapy</v>
      </c>
      <c r="BW676" s="1006" t="str" cm="1">
        <f t="array" ref="BW676">IF(AZ319="No",AZ319,INDEX(List_incl_anal_4L_all,IF(BU676=999,35,BU676+1)))</f>
        <v>No</v>
      </c>
      <c r="BX676" s="61">
        <f t="shared" ref="BX676:BX689" si="1103">MATCH(BY676,List_eff_endpoints,0)-1</f>
        <v>4</v>
      </c>
      <c r="BY676" s="532" t="str">
        <f>BA319</f>
        <v>Post progression survival</v>
      </c>
      <c r="BZ676" s="530">
        <f t="shared" ref="BZ676:BZ689" si="1104">GI676</f>
        <v>0</v>
      </c>
      <c r="CA676" s="531">
        <f>FT676</f>
        <v>0</v>
      </c>
      <c r="CB676" s="530">
        <f t="shared" ref="CB676:CB689" si="1105">IF(i_baseline_risk_from=2,EZ676,FL676)</f>
        <v>0</v>
      </c>
      <c r="CC676" s="530">
        <f t="shared" ref="CC676:CC689" si="1106">IF(i_baseline_risk_from=2,FA676,FM676)</f>
        <v>4</v>
      </c>
      <c r="CD676" s="530">
        <f t="shared" ref="CD676:CD689" si="1107">IF(i_baseline_risk_from=2,FB676,FN676)</f>
        <v>999</v>
      </c>
      <c r="CE676" s="1295">
        <f t="shared" ref="CE676:CE689" si="1108">IF(i_baseline_risk_from=2,FC676,FO676)</f>
        <v>2</v>
      </c>
      <c r="CF676" s="1301">
        <f t="shared" ref="CF676:CF689" si="1109">IF(i_baseline_risk_from=2,FD676,FP676)</f>
        <v>4</v>
      </c>
      <c r="CG676" s="530" t="str">
        <f t="shared" ref="CG676:CG689" si="1110">IF(i_surv_cur=1,DK676,DL676)</f>
        <v>Log-normal</v>
      </c>
      <c r="CH676" s="505">
        <f t="shared" si="1025"/>
        <v>0</v>
      </c>
      <c r="CI676" s="505">
        <f t="shared" si="1026"/>
        <v>0</v>
      </c>
      <c r="CJ676" s="505">
        <f t="shared" si="1027"/>
        <v>0</v>
      </c>
      <c r="DK676" s="58" t="str" cm="1">
        <f t="array" ref="DK676">IF(AND($BT676=4,$BX676=4,$BU676=999),$DB$36,_xlfn.IFNA(INDEX(DB$13:DB$70,MATCH(1,($BR676=$CV$13:$CV$70)*($BT676=$CX$13:$CX$70)*($CE676=$CY$13:$CY$70)*($BY676=$DA$13:$DA$70)*($CD676=$DH$13:$DH$70),0)),""))</f>
        <v>Log-normal</v>
      </c>
      <c r="DL676" s="58" t="str" cm="1">
        <f t="array" ref="DL676">IF(AND($BT676=4,$BX676=4,$BU676=999),$DC$36,_xlfn.IFNA(INDEX(CHOOSE(DP676,DB$13:DB$70,DC$13:DC$70,DD$13:DD$70,DE$13:DE$70),MATCH(1,($BR676=$CV$13:$CV$70)*($BT676=$CX$13:$CX$70)*($CE676=$CY$13:$CY$70)*($BY676=$DA$13:$DA$70)*($CD676=$DH$13:$DH$70),0)),""))</f>
        <v>Log-normal</v>
      </c>
      <c r="DM676" s="740" cm="1">
        <f t="array" ref="DM676">IF(AND($BT676=4,$BX676=4,$BU676=999),$DD$36,_xlfn.IFNA(INDEX(DD$13:DD$68,MATCH(1,($BR676=$CV$13:$CV$68)*($BT676=$CX$13:$CX$68)*($CE676=$CY$13:$CY$68)*($BY676=$DA$13:$DA$68)*($CD676=$DH$13:$DH$68),0)),""))</f>
        <v>0</v>
      </c>
      <c r="DN676" s="740" cm="1">
        <f t="array" ref="DN676">IF(AND($BT676=4,$BX676=4,$BU676=999),$DD$36,_xlfn.IFNA(INDEX(DE$13:DE$68,MATCH(1,($BR676=$CV$13:$CV$68)*($BT676=$CX$13:$CX$68)*($CE676=$CY$13:$CY$68)*($BY676=$DA$13:$DA$68)*($CD676=$DH$13:$DH$68),0)),""))</f>
        <v>0</v>
      </c>
      <c r="DO676" s="58" t="str" cm="1">
        <f t="array" ref="DO676">IF(AND($BT676=4,$BX676=4,$BU676=999),$DF$36,_xlfn.IFNA(INDEX(DF$13:DF$70,MATCH(1,($BR676=$CV$13:$CV$70)*($BT676=$CX$13:$CX$70)*($CE676=$CY$13:$CY$70)*($BY676=$DA$13:$DA$70)*($CD676=$DH$13:$DH$70),0)),""))</f>
        <v>Base case</v>
      </c>
      <c r="DP676" s="58">
        <f t="shared" si="1059"/>
        <v>1</v>
      </c>
      <c r="DW676" s="58" t="s">
        <v>58</v>
      </c>
      <c r="DX676" s="58" t="s">
        <v>617</v>
      </c>
      <c r="DY676" s="58">
        <v>0</v>
      </c>
      <c r="DZ676" s="58">
        <v>0</v>
      </c>
      <c r="EB676" s="58">
        <v>0</v>
      </c>
      <c r="EC676" s="58">
        <v>4</v>
      </c>
      <c r="ED676" s="58">
        <v>999</v>
      </c>
      <c r="EE676" s="58">
        <v>2</v>
      </c>
      <c r="EF676" s="58">
        <v>4</v>
      </c>
      <c r="EI676" s="58" t="s">
        <v>58</v>
      </c>
      <c r="EJ676" s="58" t="s">
        <v>617</v>
      </c>
      <c r="EK676" s="58">
        <v>0</v>
      </c>
      <c r="EL676" s="58">
        <v>0</v>
      </c>
      <c r="EN676" s="58">
        <v>0</v>
      </c>
      <c r="EO676" s="58">
        <v>4</v>
      </c>
      <c r="EP676" s="58">
        <v>999</v>
      </c>
      <c r="EQ676" s="58">
        <v>2</v>
      </c>
      <c r="ER676" s="58">
        <v>4</v>
      </c>
      <c r="EU676" s="58" t="str">
        <f t="shared" ref="EU676:EU689" si="1111">IF(i_eff_inputs_based_on_num=2,DW676,AZ319)</f>
        <v>No</v>
      </c>
      <c r="EV676" s="58" t="str">
        <f t="shared" ref="EV676:EV689" si="1112">IF(i_eff_inputs_based_on_num=2,DX676,BA319)</f>
        <v xml:space="preserve">Post progression survival </v>
      </c>
      <c r="EW676" s="58">
        <f t="shared" ref="EW676:EW689" si="1113">IF(i_eff_inputs_based_on_num=2,DY676,BB319)</f>
        <v>0</v>
      </c>
      <c r="EX676" s="58">
        <f t="shared" ref="EX676:EX689" si="1114">IF(i_eff_inputs_based_on_num=2,DZ676,BC319)</f>
        <v>0</v>
      </c>
      <c r="EZ676" s="58">
        <f t="shared" ref="EZ676:EZ689" si="1115">IF(i_eff_inputs_based_on_num=2,EB676,VLOOKUP(BD319,r_pld_lookup_line,3,FALSE))</f>
        <v>0</v>
      </c>
      <c r="FA676" s="58">
        <f t="shared" ref="FA676:FA689" si="1116">IF(i_eff_inputs_based_on_num=2,EC676,VLOOKUP(BE319,r_pld_lookup_line,3,FALSE))</f>
        <v>4</v>
      </c>
      <c r="FB676" s="58">
        <f>IF(i_eff_inputs_based_on_num=2,ED676,(INDEX(Lists!$L$51:$L$85,MATCH(BF319,Lists!$K$51:$K$85,0))))</f>
        <v>999</v>
      </c>
      <c r="FC676" s="58">
        <f>IF(i_eff_inputs_based_on_num=2,EE676,(INDEX(Lists!$L$51:$L$85,MATCH(BG319,Lists!$K$51:$K$85,0))))</f>
        <v>2</v>
      </c>
      <c r="FD676" s="58">
        <f>IF(i_eff_inputs_based_on_num=2,EF676,(INDEX(Lists!$L$51:$L$85,MATCH(BH319,Lists!$K$51:$K$85,0))))</f>
        <v>4</v>
      </c>
      <c r="FG676" s="58" t="str">
        <f t="shared" ref="FG676:FG689" si="1117">IF(i_eff_inputs_based_on_num=2,EI676,AZ319)</f>
        <v>No</v>
      </c>
      <c r="FH676" s="58" t="str">
        <f t="shared" ref="FH676:FH689" si="1118">IF(i_eff_inputs_based_on_num=2,EJ676,BA319)</f>
        <v xml:space="preserve">Post progression survival </v>
      </c>
      <c r="FI676" s="58">
        <f t="shared" ref="FI676:FI689" si="1119">IF(i_eff_inputs_based_on_num=2,EK676,BB319)</f>
        <v>0</v>
      </c>
      <c r="FJ676" s="58">
        <f t="shared" ref="FJ676:FJ689" si="1120">IF(i_eff_inputs_based_on_num=2,EL676,BC319)</f>
        <v>0</v>
      </c>
      <c r="FL676" s="58">
        <f t="shared" ref="FL676:FL689" si="1121">IF(i_eff_inputs_based_on_num=2,EN676,VLOOKUP(BD319,r_pld_lookup_line,3,FALSE))</f>
        <v>0</v>
      </c>
      <c r="FM676" s="58">
        <f t="shared" ref="FM676:FM689" si="1122">IF(i_eff_inputs_based_on_num=2,EO676,VLOOKUP(BE319,r_pld_lookup_line,3,FALSE))</f>
        <v>4</v>
      </c>
      <c r="FN676" s="58">
        <f>IF(i_eff_inputs_based_on_num=2,EP676,(INDEX(Lists!$L$51:$L$85,MATCH(BF319,Lists!$K$51:$K$85,0))))</f>
        <v>999</v>
      </c>
      <c r="FO676" s="58">
        <f>IF(i_eff_inputs_based_on_num=2,EQ676,(INDEX(Lists!$L$51:$L$85,MATCH(BG319,Lists!$K$51:$K$85,0))))</f>
        <v>2</v>
      </c>
      <c r="FP676" s="58">
        <f>IF(i_eff_inputs_based_on_num=2,ER676,(INDEX(Lists!$L$51:$L$85,MATCH(BH319,Lists!$K$51:$K$85,0))))</f>
        <v>4</v>
      </c>
      <c r="FT676" s="58">
        <f t="shared" si="1060"/>
        <v>0</v>
      </c>
      <c r="FW676" s="58">
        <f>IF(i_baseline_risk_from=2,'Effectiveness settings'!EW676,'Effectiveness settings'!FI676)</f>
        <v>0</v>
      </c>
      <c r="FX676" s="58">
        <f t="shared" si="1061"/>
        <v>0</v>
      </c>
      <c r="FY676" s="58">
        <f t="shared" si="1062"/>
        <v>0</v>
      </c>
      <c r="FZ676" s="58">
        <f t="shared" si="1063"/>
        <v>0</v>
      </c>
      <c r="GA676" s="58">
        <f t="shared" si="1064"/>
        <v>0</v>
      </c>
      <c r="GB676" s="58">
        <f t="shared" si="1065"/>
        <v>0</v>
      </c>
      <c r="GC676" s="58">
        <f t="shared" si="1066"/>
        <v>0</v>
      </c>
      <c r="GD676" s="58">
        <f t="shared" si="1067"/>
        <v>0</v>
      </c>
      <c r="GE676" s="58">
        <f>IF(AND(dd_CheckMate214_TTD="Yes",'Effectiveness settings'!BU676=2,'Effectiveness settings'!BX676=2),"Apply HR to",GD676)</f>
        <v>0</v>
      </c>
      <c r="GF676" s="58">
        <f t="shared" si="1068"/>
        <v>0</v>
      </c>
      <c r="GG676" s="58">
        <f t="shared" si="1069"/>
        <v>0</v>
      </c>
      <c r="GH676" s="58">
        <f t="shared" si="1070"/>
        <v>0</v>
      </c>
      <c r="GI676" s="58">
        <f t="shared" si="1034"/>
        <v>0</v>
      </c>
      <c r="GK676" s="58">
        <f>IF(i_baseline_risk_from=2,'Effectiveness settings'!FA676,'Effectiveness settings'!FM676)</f>
        <v>4</v>
      </c>
      <c r="GL676" s="58">
        <f>IF(i_baseline_risk_from=2,'Effectiveness settings'!FB676,'Effectiveness settings'!FN676)</f>
        <v>999</v>
      </c>
      <c r="GM676" s="58">
        <f>IF(i_baseline_risk_from=2,'Effectiveness settings'!FC676,'Effectiveness settings'!FO676)</f>
        <v>2</v>
      </c>
      <c r="GN676" s="58">
        <f>IF(i_baseline_risk_from=2,'Effectiveness settings'!FD676,'Effectiveness settings'!FP676)</f>
        <v>4</v>
      </c>
      <c r="GQ676" s="58">
        <f t="shared" si="1071"/>
        <v>999</v>
      </c>
      <c r="GR676" s="58">
        <f t="shared" si="1072"/>
        <v>999</v>
      </c>
      <c r="GS676" s="58">
        <f t="shared" si="1073"/>
        <v>999</v>
      </c>
      <c r="GT676" s="58">
        <f t="shared" si="1074"/>
        <v>999</v>
      </c>
      <c r="GU676" s="58">
        <f>IF(AND(dd_CheckMate214_TTD="Yes",'Effectiveness settings'!BU676=2,'Effectiveness settings'!BX676=2),2,GT676)</f>
        <v>999</v>
      </c>
      <c r="GV676" s="58">
        <f t="shared" si="1075"/>
        <v>999</v>
      </c>
      <c r="GW676" s="58">
        <f t="shared" si="1076"/>
        <v>999</v>
      </c>
      <c r="GY676" s="58">
        <f>IF(AND(dd_CheckMate214_TTD="Yes",'Effectiveness settings'!BU676=2,'Effectiveness settings'!BX676=2),1,GN676)</f>
        <v>4</v>
      </c>
      <c r="GZ676" s="58">
        <f t="shared" si="1077"/>
        <v>4</v>
      </c>
      <c r="HB676" s="58">
        <f t="shared" si="1078"/>
        <v>0</v>
      </c>
      <c r="HD676" s="58">
        <f t="shared" si="1029"/>
        <v>0</v>
      </c>
      <c r="HE676" s="58">
        <f t="shared" si="1030"/>
        <v>4</v>
      </c>
      <c r="HF676" s="58">
        <f t="shared" si="1031"/>
        <v>999</v>
      </c>
      <c r="HG676" s="58">
        <f t="shared" si="1032"/>
        <v>2</v>
      </c>
      <c r="HH676" s="58">
        <f t="shared" si="1033"/>
        <v>4</v>
      </c>
    </row>
    <row r="677" spans="69:216" ht="15.75" x14ac:dyDescent="0.25">
      <c r="BQ677" s="58">
        <f t="shared" si="1058"/>
        <v>408</v>
      </c>
      <c r="BR677" s="61">
        <v>0</v>
      </c>
      <c r="BS677" s="61" t="s">
        <v>31</v>
      </c>
      <c r="BT677" s="17">
        <v>4</v>
      </c>
      <c r="BU677" s="17">
        <v>1</v>
      </c>
      <c r="BV677" s="252" t="str">
        <f t="shared" si="1102"/>
        <v>cabozantinib_plus_nivolumab</v>
      </c>
      <c r="BW677" s="1006" t="str" cm="1">
        <f t="array" ref="BW677">IF(AZ320="No",AZ320,INDEX(List_incl_anal_4L_all,IF(BU677=999,35,BU677+1)))</f>
        <v>No</v>
      </c>
      <c r="BX677" s="61">
        <f t="shared" si="1103"/>
        <v>4</v>
      </c>
      <c r="BY677" s="532" t="str">
        <f>BA320</f>
        <v>Post progression survival</v>
      </c>
      <c r="BZ677" s="530">
        <f t="shared" si="1104"/>
        <v>0</v>
      </c>
      <c r="CA677" s="531">
        <f t="shared" ref="CA677:CA689" si="1123">FT677</f>
        <v>0</v>
      </c>
      <c r="CB677" s="530">
        <f t="shared" si="1105"/>
        <v>0</v>
      </c>
      <c r="CC677" s="530">
        <f t="shared" si="1106"/>
        <v>4</v>
      </c>
      <c r="CD677" s="530">
        <f t="shared" si="1107"/>
        <v>999</v>
      </c>
      <c r="CE677" s="1295">
        <f t="shared" si="1108"/>
        <v>2</v>
      </c>
      <c r="CF677" s="1301">
        <f t="shared" si="1109"/>
        <v>4</v>
      </c>
      <c r="CG677" s="530" t="str">
        <f t="shared" si="1110"/>
        <v>Log-normal</v>
      </c>
      <c r="CH677" s="505">
        <f t="shared" si="1025"/>
        <v>0</v>
      </c>
      <c r="CI677" s="505">
        <f t="shared" si="1026"/>
        <v>0</v>
      </c>
      <c r="CJ677" s="505">
        <f t="shared" si="1027"/>
        <v>0</v>
      </c>
      <c r="DK677" s="58" t="str" cm="1">
        <f t="array" ref="DK677">IF(AND($BT677=4,$BX677=4,$BU677=999),$DB$36,_xlfn.IFNA(INDEX(DB$13:DB$70,MATCH(1,($BR677=$CV$13:$CV$70)*($BT677=$CX$13:$CX$70)*($CE677=$CY$13:$CY$70)*($BY677=$DA$13:$DA$70)*($CD677=$DH$13:$DH$70),0)),""))</f>
        <v>Log-normal</v>
      </c>
      <c r="DL677" s="58" t="str" cm="1">
        <f t="array" ref="DL677">IF(AND($BT677=4,$BX677=4,$BU677=999),$DC$36,_xlfn.IFNA(INDEX(CHOOSE(DP677,DB$13:DB$70,DC$13:DC$70,DD$13:DD$70,DE$13:DE$70),MATCH(1,($BR677=$CV$13:$CV$70)*($BT677=$CX$13:$CX$70)*($CE677=$CY$13:$CY$70)*($BY677=$DA$13:$DA$70)*($CD677=$DH$13:$DH$70),0)),""))</f>
        <v>Log-normal</v>
      </c>
      <c r="DM677" s="740" cm="1">
        <f t="array" ref="DM677">IF(AND($BT677=4,$BX677=4,$BU677=999),$DD$36,_xlfn.IFNA(INDEX(DD$13:DD$68,MATCH(1,($BR677=$CV$13:$CV$68)*($BT677=$CX$13:$CX$68)*($CE677=$CY$13:$CY$68)*($BY677=$DA$13:$DA$68)*($CD677=$DH$13:$DH$68),0)),""))</f>
        <v>0</v>
      </c>
      <c r="DN677" s="740" cm="1">
        <f t="array" ref="DN677">IF(AND($BT677=4,$BX677=4,$BU677=999),$DD$36,_xlfn.IFNA(INDEX(DE$13:DE$68,MATCH(1,($BR677=$CV$13:$CV$68)*($BT677=$CX$13:$CX$68)*($CE677=$CY$13:$CY$68)*($BY677=$DA$13:$DA$68)*($CD677=$DH$13:$DH$68),0)),""))</f>
        <v>0</v>
      </c>
      <c r="DO677" s="58" t="str" cm="1">
        <f t="array" ref="DO677">IF(AND($BT677=4,$BX677=4,$BU677=999),$DF$36,_xlfn.IFNA(INDEX(DF$13:DF$70,MATCH(1,($BR677=$CV$13:$CV$70)*($BT677=$CX$13:$CX$70)*($CE677=$CY$13:$CY$70)*($BY677=$DA$13:$DA$70)*($CD677=$DH$13:$DH$70),0)),""))</f>
        <v>Base case</v>
      </c>
      <c r="DP677" s="58">
        <f t="shared" si="1059"/>
        <v>1</v>
      </c>
      <c r="DW677" s="58" t="s">
        <v>58</v>
      </c>
      <c r="DX677" s="58" t="s">
        <v>617</v>
      </c>
      <c r="DY677" s="58">
        <v>0</v>
      </c>
      <c r="DZ677" s="58">
        <v>0</v>
      </c>
      <c r="EB677" s="58">
        <v>0</v>
      </c>
      <c r="EC677" s="58">
        <v>4</v>
      </c>
      <c r="ED677" s="58">
        <v>999</v>
      </c>
      <c r="EE677" s="58">
        <v>2</v>
      </c>
      <c r="EF677" s="58">
        <v>4</v>
      </c>
      <c r="EI677" s="58" t="s">
        <v>58</v>
      </c>
      <c r="EJ677" s="58" t="s">
        <v>617</v>
      </c>
      <c r="EK677" s="58">
        <v>0</v>
      </c>
      <c r="EL677" s="58">
        <v>0</v>
      </c>
      <c r="EN677" s="58">
        <v>0</v>
      </c>
      <c r="EO677" s="58">
        <v>4</v>
      </c>
      <c r="EP677" s="58">
        <v>999</v>
      </c>
      <c r="EQ677" s="58">
        <v>2</v>
      </c>
      <c r="ER677" s="58">
        <v>4</v>
      </c>
      <c r="EU677" s="58" t="str">
        <f t="shared" si="1111"/>
        <v>No</v>
      </c>
      <c r="EV677" s="58" t="str">
        <f t="shared" si="1112"/>
        <v xml:space="preserve">Post progression survival </v>
      </c>
      <c r="EW677" s="58">
        <f t="shared" si="1113"/>
        <v>0</v>
      </c>
      <c r="EX677" s="58">
        <f t="shared" si="1114"/>
        <v>0</v>
      </c>
      <c r="EZ677" s="58">
        <f t="shared" si="1115"/>
        <v>0</v>
      </c>
      <c r="FA677" s="58">
        <f t="shared" si="1116"/>
        <v>4</v>
      </c>
      <c r="FB677" s="58">
        <f>IF(i_eff_inputs_based_on_num=2,ED677,(INDEX(Lists!$L$51:$L$85,MATCH(BF320,Lists!$K$51:$K$85,0))))</f>
        <v>999</v>
      </c>
      <c r="FC677" s="58">
        <f>IF(i_eff_inputs_based_on_num=2,EE677,(INDEX(Lists!$L$51:$L$85,MATCH(BG320,Lists!$K$51:$K$85,0))))</f>
        <v>2</v>
      </c>
      <c r="FD677" s="58">
        <f>IF(i_eff_inputs_based_on_num=2,EF677,(INDEX(Lists!$L$51:$L$85,MATCH(BH320,Lists!$K$51:$K$85,0))))</f>
        <v>4</v>
      </c>
      <c r="FG677" s="58" t="str">
        <f t="shared" si="1117"/>
        <v>No</v>
      </c>
      <c r="FH677" s="58" t="str">
        <f t="shared" si="1118"/>
        <v xml:space="preserve">Post progression survival </v>
      </c>
      <c r="FI677" s="58">
        <f t="shared" si="1119"/>
        <v>0</v>
      </c>
      <c r="FJ677" s="58">
        <f t="shared" si="1120"/>
        <v>0</v>
      </c>
      <c r="FL677" s="58">
        <f t="shared" si="1121"/>
        <v>0</v>
      </c>
      <c r="FM677" s="58">
        <f t="shared" si="1122"/>
        <v>4</v>
      </c>
      <c r="FN677" s="58">
        <f>IF(i_eff_inputs_based_on_num=2,EP677,(INDEX(Lists!$L$51:$L$85,MATCH(BF320,Lists!$K$51:$K$85,0))))</f>
        <v>999</v>
      </c>
      <c r="FO677" s="58">
        <f>IF(i_eff_inputs_based_on_num=2,EQ677,(INDEX(Lists!$L$51:$L$85,MATCH(BG320,Lists!$K$51:$K$85,0))))</f>
        <v>2</v>
      </c>
      <c r="FP677" s="58">
        <f>IF(i_eff_inputs_based_on_num=2,ER677,(INDEX(Lists!$L$51:$L$85,MATCH(BH320,Lists!$K$51:$K$85,0))))</f>
        <v>4</v>
      </c>
      <c r="FT677" s="58">
        <f t="shared" si="1060"/>
        <v>0</v>
      </c>
      <c r="FW677" s="58">
        <f>IF(i_baseline_risk_from=2,'Effectiveness settings'!EW677,'Effectiveness settings'!FI677)</f>
        <v>0</v>
      </c>
      <c r="FX677" s="58">
        <f t="shared" si="1061"/>
        <v>0</v>
      </c>
      <c r="FY677" s="58">
        <f t="shared" si="1062"/>
        <v>0</v>
      </c>
      <c r="FZ677" s="58">
        <f t="shared" si="1063"/>
        <v>0</v>
      </c>
      <c r="GA677" s="58">
        <f t="shared" si="1064"/>
        <v>0</v>
      </c>
      <c r="GB677" s="58">
        <f t="shared" si="1065"/>
        <v>0</v>
      </c>
      <c r="GC677" s="58">
        <f t="shared" si="1066"/>
        <v>0</v>
      </c>
      <c r="GD677" s="58">
        <f t="shared" si="1067"/>
        <v>0</v>
      </c>
      <c r="GE677" s="58">
        <f>IF(AND(dd_CheckMate214_TTD="Yes",'Effectiveness settings'!BU677=2,'Effectiveness settings'!BX677=2),"Apply HR to",GD677)</f>
        <v>0</v>
      </c>
      <c r="GF677" s="58">
        <f t="shared" si="1068"/>
        <v>0</v>
      </c>
      <c r="GG677" s="58">
        <f t="shared" si="1069"/>
        <v>0</v>
      </c>
      <c r="GH677" s="58">
        <f t="shared" si="1070"/>
        <v>0</v>
      </c>
      <c r="GI677" s="58">
        <f t="shared" si="1034"/>
        <v>0</v>
      </c>
      <c r="GK677" s="58">
        <f>IF(i_baseline_risk_from=2,'Effectiveness settings'!FA677,'Effectiveness settings'!FM677)</f>
        <v>4</v>
      </c>
      <c r="GL677" s="58">
        <f>IF(i_baseline_risk_from=2,'Effectiveness settings'!FB677,'Effectiveness settings'!FN677)</f>
        <v>999</v>
      </c>
      <c r="GM677" s="58">
        <f>IF(i_baseline_risk_from=2,'Effectiveness settings'!FC677,'Effectiveness settings'!FO677)</f>
        <v>2</v>
      </c>
      <c r="GN677" s="58">
        <f>IF(i_baseline_risk_from=2,'Effectiveness settings'!FD677,'Effectiveness settings'!FP677)</f>
        <v>4</v>
      </c>
      <c r="GQ677" s="58">
        <f t="shared" si="1071"/>
        <v>999</v>
      </c>
      <c r="GR677" s="58">
        <f t="shared" si="1072"/>
        <v>999</v>
      </c>
      <c r="GS677" s="58">
        <f t="shared" si="1073"/>
        <v>999</v>
      </c>
      <c r="GT677" s="58">
        <f t="shared" si="1074"/>
        <v>999</v>
      </c>
      <c r="GU677" s="58">
        <f>IF(AND(dd_CheckMate214_TTD="Yes",'Effectiveness settings'!BU677=2,'Effectiveness settings'!BX677=2),2,GT677)</f>
        <v>999</v>
      </c>
      <c r="GV677" s="58">
        <f t="shared" si="1075"/>
        <v>999</v>
      </c>
      <c r="GW677" s="58">
        <f t="shared" si="1076"/>
        <v>999</v>
      </c>
      <c r="GY677" s="58">
        <f>IF(AND(dd_CheckMate214_TTD="Yes",'Effectiveness settings'!BU677=2,'Effectiveness settings'!BX677=2),1,GN677)</f>
        <v>4</v>
      </c>
      <c r="GZ677" s="58">
        <f t="shared" si="1077"/>
        <v>4</v>
      </c>
      <c r="HB677" s="58">
        <f t="shared" si="1078"/>
        <v>0</v>
      </c>
      <c r="HD677" s="58">
        <f t="shared" si="1029"/>
        <v>0</v>
      </c>
      <c r="HE677" s="58">
        <f t="shared" si="1030"/>
        <v>4</v>
      </c>
      <c r="HF677" s="58">
        <f t="shared" si="1031"/>
        <v>999</v>
      </c>
      <c r="HG677" s="58">
        <f t="shared" si="1032"/>
        <v>2</v>
      </c>
      <c r="HH677" s="58">
        <f t="shared" si="1033"/>
        <v>4</v>
      </c>
    </row>
    <row r="678" spans="69:216" ht="15.75" x14ac:dyDescent="0.25">
      <c r="BQ678" s="58">
        <f t="shared" si="1058"/>
        <v>409</v>
      </c>
      <c r="BR678" s="61">
        <v>0</v>
      </c>
      <c r="BS678" s="61" t="s">
        <v>31</v>
      </c>
      <c r="BT678" s="17">
        <v>4</v>
      </c>
      <c r="BU678" s="17">
        <v>2</v>
      </c>
      <c r="BV678" s="252" t="str">
        <f t="shared" si="1102"/>
        <v>nivolumab_plus_ipilimumab</v>
      </c>
      <c r="BW678" s="1006" t="str" cm="1">
        <f t="array" ref="BW678">IF(AZ321="No",AZ321,INDEX(List_incl_anal_4L_all,IF(BU678=999,35,BU678+1)))</f>
        <v>No</v>
      </c>
      <c r="BX678" s="61">
        <f t="shared" si="1103"/>
        <v>4</v>
      </c>
      <c r="BY678" s="532" t="str">
        <f>BA321</f>
        <v>Post progression survival</v>
      </c>
      <c r="BZ678" s="530">
        <f t="shared" si="1104"/>
        <v>0</v>
      </c>
      <c r="CA678" s="531">
        <f t="shared" si="1123"/>
        <v>0</v>
      </c>
      <c r="CB678" s="530">
        <f t="shared" si="1105"/>
        <v>0</v>
      </c>
      <c r="CC678" s="530">
        <f t="shared" si="1106"/>
        <v>4</v>
      </c>
      <c r="CD678" s="530">
        <f t="shared" si="1107"/>
        <v>999</v>
      </c>
      <c r="CE678" s="1295">
        <f t="shared" si="1108"/>
        <v>2</v>
      </c>
      <c r="CF678" s="1301">
        <f t="shared" si="1109"/>
        <v>4</v>
      </c>
      <c r="CG678" s="530" t="str">
        <f t="shared" si="1110"/>
        <v>Log-normal</v>
      </c>
      <c r="CH678" s="505">
        <f t="shared" si="1025"/>
        <v>0</v>
      </c>
      <c r="CI678" s="505">
        <f t="shared" si="1026"/>
        <v>0</v>
      </c>
      <c r="CJ678" s="505">
        <f t="shared" si="1027"/>
        <v>0</v>
      </c>
      <c r="DK678" s="58" t="str" cm="1">
        <f t="array" ref="DK678">IF(AND($BT678=4,$BX678=4,$BU678=999),$DB$36,_xlfn.IFNA(INDEX(DB$13:DB$70,MATCH(1,($BR678=$CV$13:$CV$70)*($BT678=$CX$13:$CX$70)*($CE678=$CY$13:$CY$70)*($BY678=$DA$13:$DA$70)*($CD678=$DH$13:$DH$70),0)),""))</f>
        <v>Log-normal</v>
      </c>
      <c r="DL678" s="58" t="str" cm="1">
        <f t="array" ref="DL678">IF(AND($BT678=4,$BX678=4,$BU678=999),$DC$36,_xlfn.IFNA(INDEX(CHOOSE(DP678,DB$13:DB$70,DC$13:DC$70,DD$13:DD$70,DE$13:DE$70),MATCH(1,($BR678=$CV$13:$CV$70)*($BT678=$CX$13:$CX$70)*($CE678=$CY$13:$CY$70)*($BY678=$DA$13:$DA$70)*($CD678=$DH$13:$DH$70),0)),""))</f>
        <v>Log-normal</v>
      </c>
      <c r="DM678" s="740" cm="1">
        <f t="array" ref="DM678">IF(AND($BT678=4,$BX678=4,$BU678=999),$DD$36,_xlfn.IFNA(INDEX(DD$13:DD$68,MATCH(1,($BR678=$CV$13:$CV$68)*($BT678=$CX$13:$CX$68)*($CE678=$CY$13:$CY$68)*($BY678=$DA$13:$DA$68)*($CD678=$DH$13:$DH$68),0)),""))</f>
        <v>0</v>
      </c>
      <c r="DN678" s="740" cm="1">
        <f t="array" ref="DN678">IF(AND($BT678=4,$BX678=4,$BU678=999),$DD$36,_xlfn.IFNA(INDEX(DE$13:DE$68,MATCH(1,($BR678=$CV$13:$CV$68)*($BT678=$CX$13:$CX$68)*($CE678=$CY$13:$CY$68)*($BY678=$DA$13:$DA$68)*($CD678=$DH$13:$DH$68),0)),""))</f>
        <v>0</v>
      </c>
      <c r="DO678" s="58" t="str" cm="1">
        <f t="array" ref="DO678">IF(AND($BT678=4,$BX678=4,$BU678=999),$DF$36,_xlfn.IFNA(INDEX(DF$13:DF$70,MATCH(1,($BR678=$CV$13:$CV$70)*($BT678=$CX$13:$CX$70)*($CE678=$CY$13:$CY$70)*($BY678=$DA$13:$DA$70)*($CD678=$DH$13:$DH$70),0)),""))</f>
        <v>Base case</v>
      </c>
      <c r="DP678" s="58">
        <f t="shared" si="1059"/>
        <v>1</v>
      </c>
      <c r="DW678" s="58" t="s">
        <v>58</v>
      </c>
      <c r="DX678" s="58" t="s">
        <v>617</v>
      </c>
      <c r="DY678" s="58">
        <v>0</v>
      </c>
      <c r="DZ678" s="58">
        <v>0</v>
      </c>
      <c r="EB678" s="58">
        <v>0</v>
      </c>
      <c r="EC678" s="58">
        <v>4</v>
      </c>
      <c r="ED678" s="58">
        <v>999</v>
      </c>
      <c r="EE678" s="58">
        <v>2</v>
      </c>
      <c r="EF678" s="58">
        <v>4</v>
      </c>
      <c r="EI678" s="58" t="s">
        <v>58</v>
      </c>
      <c r="EJ678" s="58" t="s">
        <v>617</v>
      </c>
      <c r="EK678" s="58">
        <v>0</v>
      </c>
      <c r="EL678" s="58">
        <v>0</v>
      </c>
      <c r="EN678" s="58">
        <v>0</v>
      </c>
      <c r="EO678" s="58">
        <v>4</v>
      </c>
      <c r="EP678" s="58">
        <v>999</v>
      </c>
      <c r="EQ678" s="58">
        <v>2</v>
      </c>
      <c r="ER678" s="58">
        <v>4</v>
      </c>
      <c r="EU678" s="58" t="str">
        <f t="shared" si="1111"/>
        <v>No</v>
      </c>
      <c r="EV678" s="58" t="str">
        <f t="shared" si="1112"/>
        <v xml:space="preserve">Post progression survival </v>
      </c>
      <c r="EW678" s="58">
        <f t="shared" si="1113"/>
        <v>0</v>
      </c>
      <c r="EX678" s="58">
        <f t="shared" si="1114"/>
        <v>0</v>
      </c>
      <c r="EZ678" s="58">
        <f t="shared" si="1115"/>
        <v>0</v>
      </c>
      <c r="FA678" s="58">
        <f t="shared" si="1116"/>
        <v>4</v>
      </c>
      <c r="FB678" s="58">
        <f>IF(i_eff_inputs_based_on_num=2,ED678,(INDEX(Lists!$L$51:$L$85,MATCH(BF321,Lists!$K$51:$K$85,0))))</f>
        <v>999</v>
      </c>
      <c r="FC678" s="58">
        <f>IF(i_eff_inputs_based_on_num=2,EE678,(INDEX(Lists!$L$51:$L$85,MATCH(BG321,Lists!$K$51:$K$85,0))))</f>
        <v>2</v>
      </c>
      <c r="FD678" s="58">
        <f>IF(i_eff_inputs_based_on_num=2,EF678,(INDEX(Lists!$L$51:$L$85,MATCH(BH321,Lists!$K$51:$K$85,0))))</f>
        <v>4</v>
      </c>
      <c r="FG678" s="58" t="str">
        <f t="shared" si="1117"/>
        <v>No</v>
      </c>
      <c r="FH678" s="58" t="str">
        <f t="shared" si="1118"/>
        <v xml:space="preserve">Post progression survival </v>
      </c>
      <c r="FI678" s="58">
        <f t="shared" si="1119"/>
        <v>0</v>
      </c>
      <c r="FJ678" s="58">
        <f t="shared" si="1120"/>
        <v>0</v>
      </c>
      <c r="FL678" s="58">
        <f t="shared" si="1121"/>
        <v>0</v>
      </c>
      <c r="FM678" s="58">
        <f t="shared" si="1122"/>
        <v>4</v>
      </c>
      <c r="FN678" s="58">
        <f>IF(i_eff_inputs_based_on_num=2,EP678,(INDEX(Lists!$L$51:$L$85,MATCH(BF321,Lists!$K$51:$K$85,0))))</f>
        <v>999</v>
      </c>
      <c r="FO678" s="58">
        <f>IF(i_eff_inputs_based_on_num=2,EQ678,(INDEX(Lists!$L$51:$L$85,MATCH(BG321,Lists!$K$51:$K$85,0))))</f>
        <v>2</v>
      </c>
      <c r="FP678" s="58">
        <f>IF(i_eff_inputs_based_on_num=2,ER678,(INDEX(Lists!$L$51:$L$85,MATCH(BH321,Lists!$K$51:$K$85,0))))</f>
        <v>4</v>
      </c>
      <c r="FT678" s="58">
        <f t="shared" si="1060"/>
        <v>0</v>
      </c>
      <c r="FW678" s="58">
        <f>IF(i_baseline_risk_from=2,'Effectiveness settings'!EW678,'Effectiveness settings'!FI678)</f>
        <v>0</v>
      </c>
      <c r="FX678" s="58">
        <f t="shared" si="1061"/>
        <v>0</v>
      </c>
      <c r="FY678" s="58">
        <f t="shared" si="1062"/>
        <v>0</v>
      </c>
      <c r="FZ678" s="58">
        <f t="shared" si="1063"/>
        <v>0</v>
      </c>
      <c r="GA678" s="58">
        <f t="shared" si="1064"/>
        <v>0</v>
      </c>
      <c r="GB678" s="58">
        <f t="shared" si="1065"/>
        <v>0</v>
      </c>
      <c r="GC678" s="58">
        <f t="shared" si="1066"/>
        <v>0</v>
      </c>
      <c r="GD678" s="58">
        <f t="shared" si="1067"/>
        <v>0</v>
      </c>
      <c r="GE678" s="58">
        <f>IF(AND(dd_CheckMate214_TTD="Yes",'Effectiveness settings'!BU678=2,'Effectiveness settings'!BX678=2),"Apply HR to",GD678)</f>
        <v>0</v>
      </c>
      <c r="GF678" s="58">
        <f t="shared" si="1068"/>
        <v>0</v>
      </c>
      <c r="GG678" s="58">
        <f t="shared" si="1069"/>
        <v>0</v>
      </c>
      <c r="GH678" s="58">
        <f t="shared" si="1070"/>
        <v>0</v>
      </c>
      <c r="GI678" s="58">
        <f t="shared" si="1034"/>
        <v>0</v>
      </c>
      <c r="GK678" s="58">
        <f>IF(i_baseline_risk_from=2,'Effectiveness settings'!FA678,'Effectiveness settings'!FM678)</f>
        <v>4</v>
      </c>
      <c r="GL678" s="58">
        <f>IF(i_baseline_risk_from=2,'Effectiveness settings'!FB678,'Effectiveness settings'!FN678)</f>
        <v>999</v>
      </c>
      <c r="GM678" s="58">
        <f>IF(i_baseline_risk_from=2,'Effectiveness settings'!FC678,'Effectiveness settings'!FO678)</f>
        <v>2</v>
      </c>
      <c r="GN678" s="58">
        <f>IF(i_baseline_risk_from=2,'Effectiveness settings'!FD678,'Effectiveness settings'!FP678)</f>
        <v>4</v>
      </c>
      <c r="GQ678" s="58">
        <f t="shared" si="1071"/>
        <v>999</v>
      </c>
      <c r="GR678" s="58">
        <f t="shared" si="1072"/>
        <v>999</v>
      </c>
      <c r="GS678" s="58">
        <f t="shared" si="1073"/>
        <v>999</v>
      </c>
      <c r="GT678" s="58">
        <f t="shared" si="1074"/>
        <v>999</v>
      </c>
      <c r="GU678" s="58">
        <f>IF(AND(dd_CheckMate214_TTD="Yes",'Effectiveness settings'!BU678=2,'Effectiveness settings'!BX678=2),2,GT678)</f>
        <v>999</v>
      </c>
      <c r="GV678" s="58">
        <f t="shared" si="1075"/>
        <v>999</v>
      </c>
      <c r="GW678" s="58">
        <f t="shared" si="1076"/>
        <v>999</v>
      </c>
      <c r="GY678" s="58">
        <f>IF(AND(dd_CheckMate214_TTD="Yes",'Effectiveness settings'!BU678=2,'Effectiveness settings'!BX678=2),1,GN678)</f>
        <v>4</v>
      </c>
      <c r="GZ678" s="58">
        <f t="shared" si="1077"/>
        <v>4</v>
      </c>
      <c r="HB678" s="58">
        <f t="shared" si="1078"/>
        <v>0</v>
      </c>
      <c r="HD678" s="58">
        <f t="shared" si="1029"/>
        <v>0</v>
      </c>
      <c r="HE678" s="58">
        <f t="shared" si="1030"/>
        <v>4</v>
      </c>
      <c r="HF678" s="58">
        <f t="shared" si="1031"/>
        <v>999</v>
      </c>
      <c r="HG678" s="58">
        <f t="shared" si="1032"/>
        <v>2</v>
      </c>
      <c r="HH678" s="58">
        <f t="shared" si="1033"/>
        <v>4</v>
      </c>
    </row>
    <row r="679" spans="69:216" ht="15.75" x14ac:dyDescent="0.25">
      <c r="BQ679" s="58">
        <f t="shared" si="1058"/>
        <v>410</v>
      </c>
      <c r="BR679" s="61">
        <v>0</v>
      </c>
      <c r="BS679" s="61" t="s">
        <v>31</v>
      </c>
      <c r="BT679" s="17">
        <v>4</v>
      </c>
      <c r="BU679" s="17">
        <v>3</v>
      </c>
      <c r="BV679" s="252" t="str">
        <f t="shared" si="1102"/>
        <v>lenvatinib_plus_pembrolizumab</v>
      </c>
      <c r="BW679" s="1006" t="str" cm="1">
        <f t="array" ref="BW679">IF(AZ322="No",AZ322,INDEX(List_incl_anal_4L_all,IF(BU679=999,35,BU679+1)))</f>
        <v>No</v>
      </c>
      <c r="BX679" s="61">
        <f t="shared" si="1103"/>
        <v>4</v>
      </c>
      <c r="BY679" s="532" t="str">
        <f>BA322</f>
        <v>Post progression survival</v>
      </c>
      <c r="BZ679" s="530">
        <f t="shared" si="1104"/>
        <v>0</v>
      </c>
      <c r="CA679" s="531">
        <f t="shared" si="1123"/>
        <v>0</v>
      </c>
      <c r="CB679" s="530">
        <f t="shared" si="1105"/>
        <v>0</v>
      </c>
      <c r="CC679" s="530">
        <f t="shared" si="1106"/>
        <v>4</v>
      </c>
      <c r="CD679" s="530">
        <f t="shared" si="1107"/>
        <v>999</v>
      </c>
      <c r="CE679" s="1295">
        <f t="shared" si="1108"/>
        <v>2</v>
      </c>
      <c r="CF679" s="1301">
        <f t="shared" si="1109"/>
        <v>4</v>
      </c>
      <c r="CG679" s="530" t="str">
        <f t="shared" si="1110"/>
        <v>Log-normal</v>
      </c>
      <c r="CH679" s="505">
        <f t="shared" si="1025"/>
        <v>0</v>
      </c>
      <c r="CI679" s="505">
        <f t="shared" si="1026"/>
        <v>0</v>
      </c>
      <c r="CJ679" s="505">
        <f t="shared" si="1027"/>
        <v>0</v>
      </c>
      <c r="DK679" s="58" t="str" cm="1">
        <f t="array" ref="DK679">IF(AND($BT679=4,$BX679=4,$BU679=999),$DB$36,_xlfn.IFNA(INDEX(DB$13:DB$70,MATCH(1,($BR679=$CV$13:$CV$70)*($BT679=$CX$13:$CX$70)*($CE679=$CY$13:$CY$70)*($BY679=$DA$13:$DA$70)*($CD679=$DH$13:$DH$70),0)),""))</f>
        <v>Log-normal</v>
      </c>
      <c r="DL679" s="58" t="str" cm="1">
        <f t="array" ref="DL679">IF(AND($BT679=4,$BX679=4,$BU679=999),$DC$36,_xlfn.IFNA(INDEX(CHOOSE(DP679,DB$13:DB$70,DC$13:DC$70,DD$13:DD$70,DE$13:DE$70),MATCH(1,($BR679=$CV$13:$CV$70)*($BT679=$CX$13:$CX$70)*($CE679=$CY$13:$CY$70)*($BY679=$DA$13:$DA$70)*($CD679=$DH$13:$DH$70),0)),""))</f>
        <v>Log-normal</v>
      </c>
      <c r="DM679" s="740" cm="1">
        <f t="array" ref="DM679">IF(AND($BT679=4,$BX679=4,$BU679=999),$DD$36,_xlfn.IFNA(INDEX(DD$13:DD$68,MATCH(1,($BR679=$CV$13:$CV$68)*($BT679=$CX$13:$CX$68)*($CE679=$CY$13:$CY$68)*($BY679=$DA$13:$DA$68)*($CD679=$DH$13:$DH$68),0)),""))</f>
        <v>0</v>
      </c>
      <c r="DN679" s="740" cm="1">
        <f t="array" ref="DN679">IF(AND($BT679=4,$BX679=4,$BU679=999),$DD$36,_xlfn.IFNA(INDEX(DE$13:DE$68,MATCH(1,($BR679=$CV$13:$CV$68)*($BT679=$CX$13:$CX$68)*($CE679=$CY$13:$CY$68)*($BY679=$DA$13:$DA$68)*($CD679=$DH$13:$DH$68),0)),""))</f>
        <v>0</v>
      </c>
      <c r="DO679" s="58" t="str" cm="1">
        <f t="array" ref="DO679">IF(AND($BT679=4,$BX679=4,$BU679=999),$DF$36,_xlfn.IFNA(INDEX(DF$13:DF$70,MATCH(1,($BR679=$CV$13:$CV$70)*($BT679=$CX$13:$CX$70)*($CE679=$CY$13:$CY$70)*($BY679=$DA$13:$DA$70)*($CD679=$DH$13:$DH$70),0)),""))</f>
        <v>Base case</v>
      </c>
      <c r="DP679" s="58">
        <f t="shared" si="1059"/>
        <v>1</v>
      </c>
      <c r="DW679" s="58" t="s">
        <v>58</v>
      </c>
      <c r="DX679" s="58" t="s">
        <v>617</v>
      </c>
      <c r="DY679" s="58">
        <v>0</v>
      </c>
      <c r="DZ679" s="58">
        <v>0</v>
      </c>
      <c r="EB679" s="58">
        <v>0</v>
      </c>
      <c r="EC679" s="58">
        <v>4</v>
      </c>
      <c r="ED679" s="58">
        <v>999</v>
      </c>
      <c r="EE679" s="58">
        <v>2</v>
      </c>
      <c r="EF679" s="58">
        <v>4</v>
      </c>
      <c r="EI679" s="58" t="s">
        <v>58</v>
      </c>
      <c r="EJ679" s="58" t="s">
        <v>617</v>
      </c>
      <c r="EK679" s="58">
        <v>0</v>
      </c>
      <c r="EL679" s="58">
        <v>0</v>
      </c>
      <c r="EN679" s="58">
        <v>0</v>
      </c>
      <c r="EO679" s="58">
        <v>4</v>
      </c>
      <c r="EP679" s="58">
        <v>999</v>
      </c>
      <c r="EQ679" s="58">
        <v>2</v>
      </c>
      <c r="ER679" s="58">
        <v>4</v>
      </c>
      <c r="EU679" s="58" t="str">
        <f t="shared" si="1111"/>
        <v>No</v>
      </c>
      <c r="EV679" s="58" t="str">
        <f t="shared" si="1112"/>
        <v xml:space="preserve">Post progression survival </v>
      </c>
      <c r="EW679" s="58">
        <f t="shared" si="1113"/>
        <v>0</v>
      </c>
      <c r="EX679" s="58">
        <f t="shared" si="1114"/>
        <v>0</v>
      </c>
      <c r="EZ679" s="58">
        <f t="shared" si="1115"/>
        <v>0</v>
      </c>
      <c r="FA679" s="58">
        <f t="shared" si="1116"/>
        <v>4</v>
      </c>
      <c r="FB679" s="58">
        <f>IF(i_eff_inputs_based_on_num=2,ED679,(INDEX(Lists!$L$51:$L$85,MATCH(BF322,Lists!$K$51:$K$85,0))))</f>
        <v>999</v>
      </c>
      <c r="FC679" s="58">
        <f>IF(i_eff_inputs_based_on_num=2,EE679,(INDEX(Lists!$L$51:$L$85,MATCH(BG322,Lists!$K$51:$K$85,0))))</f>
        <v>2</v>
      </c>
      <c r="FD679" s="58">
        <f>IF(i_eff_inputs_based_on_num=2,EF679,(INDEX(Lists!$L$51:$L$85,MATCH(BH322,Lists!$K$51:$K$85,0))))</f>
        <v>4</v>
      </c>
      <c r="FG679" s="58" t="str">
        <f t="shared" si="1117"/>
        <v>No</v>
      </c>
      <c r="FH679" s="58" t="str">
        <f t="shared" si="1118"/>
        <v xml:space="preserve">Post progression survival </v>
      </c>
      <c r="FI679" s="58">
        <f t="shared" si="1119"/>
        <v>0</v>
      </c>
      <c r="FJ679" s="58">
        <f t="shared" si="1120"/>
        <v>0</v>
      </c>
      <c r="FL679" s="58">
        <f t="shared" si="1121"/>
        <v>0</v>
      </c>
      <c r="FM679" s="58">
        <f t="shared" si="1122"/>
        <v>4</v>
      </c>
      <c r="FN679" s="58">
        <f>IF(i_eff_inputs_based_on_num=2,EP679,(INDEX(Lists!$L$51:$L$85,MATCH(BF322,Lists!$K$51:$K$85,0))))</f>
        <v>999</v>
      </c>
      <c r="FO679" s="58">
        <f>IF(i_eff_inputs_based_on_num=2,EQ679,(INDEX(Lists!$L$51:$L$85,MATCH(BG322,Lists!$K$51:$K$85,0))))</f>
        <v>2</v>
      </c>
      <c r="FP679" s="58">
        <f>IF(i_eff_inputs_based_on_num=2,ER679,(INDEX(Lists!$L$51:$L$85,MATCH(BH322,Lists!$K$51:$K$85,0))))</f>
        <v>4</v>
      </c>
      <c r="FT679" s="58">
        <f t="shared" si="1060"/>
        <v>0</v>
      </c>
      <c r="FW679" s="58">
        <f>IF(i_baseline_risk_from=2,'Effectiveness settings'!EW679,'Effectiveness settings'!FI679)</f>
        <v>0</v>
      </c>
      <c r="FX679" s="58">
        <f t="shared" si="1061"/>
        <v>0</v>
      </c>
      <c r="FY679" s="58">
        <f t="shared" si="1062"/>
        <v>0</v>
      </c>
      <c r="FZ679" s="58">
        <f t="shared" si="1063"/>
        <v>0</v>
      </c>
      <c r="GA679" s="58">
        <f t="shared" si="1064"/>
        <v>0</v>
      </c>
      <c r="GB679" s="58">
        <f t="shared" si="1065"/>
        <v>0</v>
      </c>
      <c r="GC679" s="58">
        <f t="shared" si="1066"/>
        <v>0</v>
      </c>
      <c r="GD679" s="58">
        <f t="shared" si="1067"/>
        <v>0</v>
      </c>
      <c r="GE679" s="58">
        <f>IF(AND(dd_CheckMate214_TTD="Yes",'Effectiveness settings'!BU679=2,'Effectiveness settings'!BX679=2),"Apply HR to",GD679)</f>
        <v>0</v>
      </c>
      <c r="GF679" s="58">
        <f t="shared" si="1068"/>
        <v>0</v>
      </c>
      <c r="GG679" s="58">
        <f t="shared" si="1069"/>
        <v>0</v>
      </c>
      <c r="GH679" s="58">
        <f t="shared" si="1070"/>
        <v>0</v>
      </c>
      <c r="GI679" s="58">
        <f t="shared" si="1034"/>
        <v>0</v>
      </c>
      <c r="GK679" s="58">
        <f>IF(i_baseline_risk_from=2,'Effectiveness settings'!FA679,'Effectiveness settings'!FM679)</f>
        <v>4</v>
      </c>
      <c r="GL679" s="58">
        <f>IF(i_baseline_risk_from=2,'Effectiveness settings'!FB679,'Effectiveness settings'!FN679)</f>
        <v>999</v>
      </c>
      <c r="GM679" s="58">
        <f>IF(i_baseline_risk_from=2,'Effectiveness settings'!FC679,'Effectiveness settings'!FO679)</f>
        <v>2</v>
      </c>
      <c r="GN679" s="58">
        <f>IF(i_baseline_risk_from=2,'Effectiveness settings'!FD679,'Effectiveness settings'!FP679)</f>
        <v>4</v>
      </c>
      <c r="GQ679" s="58">
        <f t="shared" si="1071"/>
        <v>999</v>
      </c>
      <c r="GR679" s="58">
        <f t="shared" si="1072"/>
        <v>999</v>
      </c>
      <c r="GS679" s="58">
        <f t="shared" si="1073"/>
        <v>999</v>
      </c>
      <c r="GT679" s="58">
        <f t="shared" si="1074"/>
        <v>999</v>
      </c>
      <c r="GU679" s="58">
        <f>IF(AND(dd_CheckMate214_TTD="Yes",'Effectiveness settings'!BU679=2,'Effectiveness settings'!BX679=2),2,GT679)</f>
        <v>999</v>
      </c>
      <c r="GV679" s="58">
        <f t="shared" si="1075"/>
        <v>999</v>
      </c>
      <c r="GW679" s="58">
        <f t="shared" si="1076"/>
        <v>999</v>
      </c>
      <c r="GY679" s="58">
        <f>IF(AND(dd_CheckMate214_TTD="Yes",'Effectiveness settings'!BU679=2,'Effectiveness settings'!BX679=2),1,GN679)</f>
        <v>4</v>
      </c>
      <c r="GZ679" s="58">
        <f t="shared" si="1077"/>
        <v>4</v>
      </c>
      <c r="HB679" s="58">
        <f t="shared" si="1078"/>
        <v>0</v>
      </c>
      <c r="HD679" s="58">
        <f t="shared" si="1029"/>
        <v>0</v>
      </c>
      <c r="HE679" s="58">
        <f t="shared" si="1030"/>
        <v>4</v>
      </c>
      <c r="HF679" s="58">
        <f t="shared" si="1031"/>
        <v>999</v>
      </c>
      <c r="HG679" s="58">
        <f t="shared" si="1032"/>
        <v>2</v>
      </c>
      <c r="HH679" s="58">
        <f t="shared" si="1033"/>
        <v>4</v>
      </c>
    </row>
    <row r="680" spans="69:216" ht="15.75" x14ac:dyDescent="0.25">
      <c r="BQ680" s="58">
        <f t="shared" si="1058"/>
        <v>411</v>
      </c>
      <c r="BR680" s="61">
        <v>0</v>
      </c>
      <c r="BS680" s="61" t="s">
        <v>31</v>
      </c>
      <c r="BT680" s="17">
        <v>4</v>
      </c>
      <c r="BU680" s="17">
        <v>4</v>
      </c>
      <c r="BV680" s="252" t="str">
        <f t="shared" si="1102"/>
        <v>avelumab_plus_axitinib</v>
      </c>
      <c r="BW680" s="1006" t="str" cm="1">
        <f t="array" ref="BW680">IF(AZ323="No",AZ323,INDEX(List_incl_anal_4L_all,IF(BU680=999,35,BU680+1)))</f>
        <v>No</v>
      </c>
      <c r="BX680" s="61">
        <f t="shared" si="1103"/>
        <v>4</v>
      </c>
      <c r="BY680" s="532" t="str">
        <f>BA323</f>
        <v>Post progression survival</v>
      </c>
      <c r="BZ680" s="530">
        <f t="shared" si="1104"/>
        <v>0</v>
      </c>
      <c r="CA680" s="531">
        <f t="shared" si="1123"/>
        <v>0</v>
      </c>
      <c r="CB680" s="530">
        <f t="shared" si="1105"/>
        <v>0</v>
      </c>
      <c r="CC680" s="530">
        <f t="shared" si="1106"/>
        <v>4</v>
      </c>
      <c r="CD680" s="530">
        <f t="shared" si="1107"/>
        <v>999</v>
      </c>
      <c r="CE680" s="1295">
        <f t="shared" si="1108"/>
        <v>2</v>
      </c>
      <c r="CF680" s="1301">
        <f t="shared" si="1109"/>
        <v>4</v>
      </c>
      <c r="CG680" s="530" t="str">
        <f t="shared" si="1110"/>
        <v>Log-normal</v>
      </c>
      <c r="CH680" s="505">
        <f t="shared" si="1025"/>
        <v>0</v>
      </c>
      <c r="CI680" s="505">
        <f t="shared" si="1026"/>
        <v>0</v>
      </c>
      <c r="CJ680" s="505">
        <f t="shared" si="1027"/>
        <v>0</v>
      </c>
      <c r="DK680" s="58" t="str" cm="1">
        <f t="array" ref="DK680">IF(AND($BT680=4,$BX680=4,$BU680=999),$DB$36,_xlfn.IFNA(INDEX(DB$13:DB$70,MATCH(1,($BR680=$CV$13:$CV$70)*($BT680=$CX$13:$CX$70)*($CE680=$CY$13:$CY$70)*($BY680=$DA$13:$DA$70)*($CD680=$DH$13:$DH$70),0)),""))</f>
        <v>Log-normal</v>
      </c>
      <c r="DL680" s="58" t="str" cm="1">
        <f t="array" ref="DL680">IF(AND($BT680=4,$BX680=4,$BU680=999),$DC$36,_xlfn.IFNA(INDEX(CHOOSE(DP680,DB$13:DB$70,DC$13:DC$70,DD$13:DD$70,DE$13:DE$70),MATCH(1,($BR680=$CV$13:$CV$70)*($BT680=$CX$13:$CX$70)*($CE680=$CY$13:$CY$70)*($BY680=$DA$13:$DA$70)*($CD680=$DH$13:$DH$70),0)),""))</f>
        <v>Log-normal</v>
      </c>
      <c r="DM680" s="740" cm="1">
        <f t="array" ref="DM680">IF(AND($BT680=4,$BX680=4,$BU680=999),$DD$36,_xlfn.IFNA(INDEX(DD$13:DD$68,MATCH(1,($BR680=$CV$13:$CV$68)*($BT680=$CX$13:$CX$68)*($CE680=$CY$13:$CY$68)*($BY680=$DA$13:$DA$68)*($CD680=$DH$13:$DH$68),0)),""))</f>
        <v>0</v>
      </c>
      <c r="DN680" s="740" cm="1">
        <f t="array" ref="DN680">IF(AND($BT680=4,$BX680=4,$BU680=999),$DD$36,_xlfn.IFNA(INDEX(DE$13:DE$68,MATCH(1,($BR680=$CV$13:$CV$68)*($BT680=$CX$13:$CX$68)*($CE680=$CY$13:$CY$68)*($BY680=$DA$13:$DA$68)*($CD680=$DH$13:$DH$68),0)),""))</f>
        <v>0</v>
      </c>
      <c r="DO680" s="58" t="str" cm="1">
        <f t="array" ref="DO680">IF(AND($BT680=4,$BX680=4,$BU680=999),$DF$36,_xlfn.IFNA(INDEX(DF$13:DF$70,MATCH(1,($BR680=$CV$13:$CV$70)*($BT680=$CX$13:$CX$70)*($CE680=$CY$13:$CY$70)*($BY680=$DA$13:$DA$70)*($CD680=$DH$13:$DH$70),0)),""))</f>
        <v>Base case</v>
      </c>
      <c r="DP680" s="58">
        <f t="shared" si="1059"/>
        <v>1</v>
      </c>
      <c r="DW680" s="58" t="s">
        <v>58</v>
      </c>
      <c r="DX680" s="58" t="s">
        <v>617</v>
      </c>
      <c r="DY680" s="58">
        <v>0</v>
      </c>
      <c r="DZ680" s="58">
        <v>0</v>
      </c>
      <c r="EB680" s="58">
        <v>0</v>
      </c>
      <c r="EC680" s="58">
        <v>4</v>
      </c>
      <c r="ED680" s="58">
        <v>999</v>
      </c>
      <c r="EE680" s="58">
        <v>2</v>
      </c>
      <c r="EF680" s="58">
        <v>4</v>
      </c>
      <c r="EI680" s="58" t="s">
        <v>58</v>
      </c>
      <c r="EJ680" s="58" t="s">
        <v>617</v>
      </c>
      <c r="EK680" s="58">
        <v>0</v>
      </c>
      <c r="EL680" s="58">
        <v>0</v>
      </c>
      <c r="EN680" s="58">
        <v>0</v>
      </c>
      <c r="EO680" s="58">
        <v>4</v>
      </c>
      <c r="EP680" s="58">
        <v>999</v>
      </c>
      <c r="EQ680" s="58">
        <v>2</v>
      </c>
      <c r="ER680" s="58">
        <v>4</v>
      </c>
      <c r="EU680" s="58" t="str">
        <f t="shared" si="1111"/>
        <v>No</v>
      </c>
      <c r="EV680" s="58" t="str">
        <f t="shared" si="1112"/>
        <v xml:space="preserve">Post progression survival </v>
      </c>
      <c r="EW680" s="58">
        <f t="shared" si="1113"/>
        <v>0</v>
      </c>
      <c r="EX680" s="58">
        <f t="shared" si="1114"/>
        <v>0</v>
      </c>
      <c r="EZ680" s="58">
        <f t="shared" si="1115"/>
        <v>0</v>
      </c>
      <c r="FA680" s="58">
        <f t="shared" si="1116"/>
        <v>4</v>
      </c>
      <c r="FB680" s="58">
        <f>IF(i_eff_inputs_based_on_num=2,ED680,(INDEX(Lists!$L$51:$L$85,MATCH(BF323,Lists!$K$51:$K$85,0))))</f>
        <v>999</v>
      </c>
      <c r="FC680" s="58">
        <f>IF(i_eff_inputs_based_on_num=2,EE680,(INDEX(Lists!$L$51:$L$85,MATCH(BG323,Lists!$K$51:$K$85,0))))</f>
        <v>2</v>
      </c>
      <c r="FD680" s="58">
        <f>IF(i_eff_inputs_based_on_num=2,EF680,(INDEX(Lists!$L$51:$L$85,MATCH(BH323,Lists!$K$51:$K$85,0))))</f>
        <v>4</v>
      </c>
      <c r="FG680" s="58" t="str">
        <f t="shared" si="1117"/>
        <v>No</v>
      </c>
      <c r="FH680" s="58" t="str">
        <f t="shared" si="1118"/>
        <v xml:space="preserve">Post progression survival </v>
      </c>
      <c r="FI680" s="58">
        <f t="shared" si="1119"/>
        <v>0</v>
      </c>
      <c r="FJ680" s="58">
        <f t="shared" si="1120"/>
        <v>0</v>
      </c>
      <c r="FL680" s="58">
        <f t="shared" si="1121"/>
        <v>0</v>
      </c>
      <c r="FM680" s="58">
        <f t="shared" si="1122"/>
        <v>4</v>
      </c>
      <c r="FN680" s="58">
        <f>IF(i_eff_inputs_based_on_num=2,EP680,(INDEX(Lists!$L$51:$L$85,MATCH(BF323,Lists!$K$51:$K$85,0))))</f>
        <v>999</v>
      </c>
      <c r="FO680" s="58">
        <f>IF(i_eff_inputs_based_on_num=2,EQ680,(INDEX(Lists!$L$51:$L$85,MATCH(BG323,Lists!$K$51:$K$85,0))))</f>
        <v>2</v>
      </c>
      <c r="FP680" s="58">
        <f>IF(i_eff_inputs_based_on_num=2,ER680,(INDEX(Lists!$L$51:$L$85,MATCH(BH323,Lists!$K$51:$K$85,0))))</f>
        <v>4</v>
      </c>
      <c r="FT680" s="58">
        <f t="shared" si="1060"/>
        <v>0</v>
      </c>
      <c r="FW680" s="58">
        <f>IF(i_baseline_risk_from=2,'Effectiveness settings'!EW680,'Effectiveness settings'!FI680)</f>
        <v>0</v>
      </c>
      <c r="FX680" s="58">
        <f t="shared" si="1061"/>
        <v>0</v>
      </c>
      <c r="FY680" s="58">
        <f t="shared" si="1062"/>
        <v>0</v>
      </c>
      <c r="FZ680" s="58">
        <f t="shared" si="1063"/>
        <v>0</v>
      </c>
      <c r="GA680" s="58">
        <f t="shared" si="1064"/>
        <v>0</v>
      </c>
      <c r="GB680" s="58">
        <f t="shared" si="1065"/>
        <v>0</v>
      </c>
      <c r="GC680" s="58">
        <f t="shared" si="1066"/>
        <v>0</v>
      </c>
      <c r="GD680" s="58">
        <f t="shared" si="1067"/>
        <v>0</v>
      </c>
      <c r="GE680" s="58">
        <f>IF(AND(dd_CheckMate214_TTD="Yes",'Effectiveness settings'!BU680=2,'Effectiveness settings'!BX680=2),"Apply HR to",GD680)</f>
        <v>0</v>
      </c>
      <c r="GF680" s="58">
        <f t="shared" si="1068"/>
        <v>0</v>
      </c>
      <c r="GG680" s="58">
        <f t="shared" si="1069"/>
        <v>0</v>
      </c>
      <c r="GH680" s="58">
        <f t="shared" si="1070"/>
        <v>0</v>
      </c>
      <c r="GI680" s="58">
        <f t="shared" si="1034"/>
        <v>0</v>
      </c>
      <c r="GK680" s="58">
        <f>IF(i_baseline_risk_from=2,'Effectiveness settings'!FA680,'Effectiveness settings'!FM680)</f>
        <v>4</v>
      </c>
      <c r="GL680" s="58">
        <f>IF(i_baseline_risk_from=2,'Effectiveness settings'!FB680,'Effectiveness settings'!FN680)</f>
        <v>999</v>
      </c>
      <c r="GM680" s="58">
        <f>IF(i_baseline_risk_from=2,'Effectiveness settings'!FC680,'Effectiveness settings'!FO680)</f>
        <v>2</v>
      </c>
      <c r="GN680" s="58">
        <f>IF(i_baseline_risk_from=2,'Effectiveness settings'!FD680,'Effectiveness settings'!FP680)</f>
        <v>4</v>
      </c>
      <c r="GQ680" s="58">
        <f t="shared" si="1071"/>
        <v>999</v>
      </c>
      <c r="GR680" s="58">
        <f t="shared" si="1072"/>
        <v>999</v>
      </c>
      <c r="GS680" s="58">
        <f t="shared" si="1073"/>
        <v>999</v>
      </c>
      <c r="GT680" s="58">
        <f t="shared" si="1074"/>
        <v>999</v>
      </c>
      <c r="GU680" s="58">
        <f>IF(AND(dd_CheckMate214_TTD="Yes",'Effectiveness settings'!BU680=2,'Effectiveness settings'!BX680=2),2,GT680)</f>
        <v>999</v>
      </c>
      <c r="GV680" s="58">
        <f t="shared" si="1075"/>
        <v>999</v>
      </c>
      <c r="GW680" s="58">
        <f t="shared" si="1076"/>
        <v>999</v>
      </c>
      <c r="GY680" s="58">
        <f>IF(AND(dd_CheckMate214_TTD="Yes",'Effectiveness settings'!BU680=2,'Effectiveness settings'!BX680=2),1,GN680)</f>
        <v>4</v>
      </c>
      <c r="GZ680" s="58">
        <f t="shared" si="1077"/>
        <v>4</v>
      </c>
      <c r="HB680" s="58">
        <f t="shared" si="1078"/>
        <v>0</v>
      </c>
      <c r="HD680" s="58">
        <f t="shared" si="1029"/>
        <v>0</v>
      </c>
      <c r="HE680" s="58">
        <f t="shared" si="1030"/>
        <v>4</v>
      </c>
      <c r="HF680" s="58">
        <f t="shared" si="1031"/>
        <v>999</v>
      </c>
      <c r="HG680" s="58">
        <f t="shared" si="1032"/>
        <v>2</v>
      </c>
      <c r="HH680" s="58">
        <f t="shared" si="1033"/>
        <v>4</v>
      </c>
    </row>
    <row r="681" spans="69:216" ht="15.75" x14ac:dyDescent="0.25">
      <c r="BQ681" s="58">
        <f t="shared" si="1058"/>
        <v>412</v>
      </c>
      <c r="BR681" s="61">
        <v>0</v>
      </c>
      <c r="BS681" s="61" t="s">
        <v>31</v>
      </c>
      <c r="BT681" s="17">
        <v>4</v>
      </c>
      <c r="BU681" s="17">
        <v>5</v>
      </c>
      <c r="BV681" s="252" t="str">
        <f t="shared" si="1102"/>
        <v>pazopanib</v>
      </c>
      <c r="BW681" s="1006" t="str" cm="1">
        <f t="array" ref="BW681">IF(AZ324="No",AZ324,INDEX(List_incl_anal_4L_all,IF(BU681=999,35,BU681+1)))</f>
        <v>No</v>
      </c>
      <c r="BX681" s="61">
        <f t="shared" si="1103"/>
        <v>4</v>
      </c>
      <c r="BY681" s="532" t="str">
        <f t="shared" ref="BY681:BY689" si="1124">BA324</f>
        <v>Post progression survival</v>
      </c>
      <c r="BZ681" s="530">
        <f t="shared" si="1104"/>
        <v>0</v>
      </c>
      <c r="CA681" s="531">
        <f t="shared" si="1123"/>
        <v>0</v>
      </c>
      <c r="CB681" s="530">
        <f t="shared" si="1105"/>
        <v>0</v>
      </c>
      <c r="CC681" s="530">
        <f t="shared" si="1106"/>
        <v>4</v>
      </c>
      <c r="CD681" s="530">
        <f t="shared" si="1107"/>
        <v>999</v>
      </c>
      <c r="CE681" s="1295">
        <f t="shared" si="1108"/>
        <v>2</v>
      </c>
      <c r="CF681" s="1301">
        <f t="shared" si="1109"/>
        <v>4</v>
      </c>
      <c r="CG681" s="530" t="str">
        <f t="shared" si="1110"/>
        <v>Log-normal</v>
      </c>
      <c r="CH681" s="505">
        <f t="shared" si="1025"/>
        <v>0</v>
      </c>
      <c r="CI681" s="505">
        <f t="shared" si="1026"/>
        <v>0</v>
      </c>
      <c r="CJ681" s="505">
        <f t="shared" si="1027"/>
        <v>0</v>
      </c>
      <c r="DK681" s="58" t="str" cm="1">
        <f t="array" ref="DK681">IF(AND($BT681=4,$BX681=4,$BU681=999),$DB$36,_xlfn.IFNA(INDEX(DB$13:DB$70,MATCH(1,($BR681=$CV$13:$CV$70)*($BT681=$CX$13:$CX$70)*($CE681=$CY$13:$CY$70)*($BY681=$DA$13:$DA$70)*($CD681=$DH$13:$DH$70),0)),""))</f>
        <v>Log-normal</v>
      </c>
      <c r="DL681" s="58" t="str" cm="1">
        <f t="array" ref="DL681">IF(AND($BT681=4,$BX681=4,$BU681=999),$DC$36,_xlfn.IFNA(INDEX(CHOOSE(DP681,DB$13:DB$70,DC$13:DC$70,DD$13:DD$70,DE$13:DE$70),MATCH(1,($BR681=$CV$13:$CV$70)*($BT681=$CX$13:$CX$70)*($CE681=$CY$13:$CY$70)*($BY681=$DA$13:$DA$70)*($CD681=$DH$13:$DH$70),0)),""))</f>
        <v>Log-normal</v>
      </c>
      <c r="DM681" s="740" cm="1">
        <f t="array" ref="DM681">IF(AND($BT681=4,$BX681=4,$BU681=999),$DD$36,_xlfn.IFNA(INDEX(DD$13:DD$68,MATCH(1,($BR681=$CV$13:$CV$68)*($BT681=$CX$13:$CX$68)*($CE681=$CY$13:$CY$68)*($BY681=$DA$13:$DA$68)*($CD681=$DH$13:$DH$68),0)),""))</f>
        <v>0</v>
      </c>
      <c r="DN681" s="740" cm="1">
        <f t="array" ref="DN681">IF(AND($BT681=4,$BX681=4,$BU681=999),$DD$36,_xlfn.IFNA(INDEX(DE$13:DE$68,MATCH(1,($BR681=$CV$13:$CV$68)*($BT681=$CX$13:$CX$68)*($CE681=$CY$13:$CY$68)*($BY681=$DA$13:$DA$68)*($CD681=$DH$13:$DH$68),0)),""))</f>
        <v>0</v>
      </c>
      <c r="DO681" s="58" t="str" cm="1">
        <f t="array" ref="DO681">IF(AND($BT681=4,$BX681=4,$BU681=999),$DF$36,_xlfn.IFNA(INDEX(DF$13:DF$70,MATCH(1,($BR681=$CV$13:$CV$70)*($BT681=$CX$13:$CX$70)*($CE681=$CY$13:$CY$70)*($BY681=$DA$13:$DA$70)*($CD681=$DH$13:$DH$70),0)),""))</f>
        <v>Base case</v>
      </c>
      <c r="DP681" s="58">
        <f t="shared" si="1059"/>
        <v>1</v>
      </c>
      <c r="DW681" s="58" t="s">
        <v>58</v>
      </c>
      <c r="DX681" s="58" t="s">
        <v>617</v>
      </c>
      <c r="DY681" s="58">
        <v>0</v>
      </c>
      <c r="DZ681" s="58">
        <v>0</v>
      </c>
      <c r="EB681" s="58">
        <v>0</v>
      </c>
      <c r="EC681" s="58">
        <v>4</v>
      </c>
      <c r="ED681" s="58">
        <v>999</v>
      </c>
      <c r="EE681" s="58">
        <v>2</v>
      </c>
      <c r="EF681" s="58">
        <v>4</v>
      </c>
      <c r="EI681" s="58" t="s">
        <v>58</v>
      </c>
      <c r="EJ681" s="58" t="s">
        <v>617</v>
      </c>
      <c r="EK681" s="58">
        <v>0</v>
      </c>
      <c r="EL681" s="58">
        <v>0</v>
      </c>
      <c r="EN681" s="58">
        <v>0</v>
      </c>
      <c r="EO681" s="58">
        <v>4</v>
      </c>
      <c r="EP681" s="58">
        <v>999</v>
      </c>
      <c r="EQ681" s="58">
        <v>2</v>
      </c>
      <c r="ER681" s="58">
        <v>4</v>
      </c>
      <c r="EU681" s="58" t="str">
        <f t="shared" si="1111"/>
        <v>No</v>
      </c>
      <c r="EV681" s="58" t="str">
        <f t="shared" si="1112"/>
        <v xml:space="preserve">Post progression survival </v>
      </c>
      <c r="EW681" s="58">
        <f t="shared" si="1113"/>
        <v>0</v>
      </c>
      <c r="EX681" s="58">
        <f t="shared" si="1114"/>
        <v>0</v>
      </c>
      <c r="EZ681" s="58">
        <f t="shared" si="1115"/>
        <v>0</v>
      </c>
      <c r="FA681" s="58">
        <f t="shared" si="1116"/>
        <v>4</v>
      </c>
      <c r="FB681" s="58">
        <f>IF(i_eff_inputs_based_on_num=2,ED681,(INDEX(Lists!$L$51:$L$85,MATCH(BF324,Lists!$K$51:$K$85,0))))</f>
        <v>999</v>
      </c>
      <c r="FC681" s="58">
        <f>IF(i_eff_inputs_based_on_num=2,EE681,(INDEX(Lists!$L$51:$L$85,MATCH(BG324,Lists!$K$51:$K$85,0))))</f>
        <v>2</v>
      </c>
      <c r="FD681" s="58">
        <f>IF(i_eff_inputs_based_on_num=2,EF681,(INDEX(Lists!$L$51:$L$85,MATCH(BH324,Lists!$K$51:$K$85,0))))</f>
        <v>4</v>
      </c>
      <c r="FG681" s="58" t="str">
        <f t="shared" si="1117"/>
        <v>No</v>
      </c>
      <c r="FH681" s="58" t="str">
        <f t="shared" si="1118"/>
        <v xml:space="preserve">Post progression survival </v>
      </c>
      <c r="FI681" s="58">
        <f t="shared" si="1119"/>
        <v>0</v>
      </c>
      <c r="FJ681" s="58">
        <f t="shared" si="1120"/>
        <v>0</v>
      </c>
      <c r="FL681" s="58">
        <f t="shared" si="1121"/>
        <v>0</v>
      </c>
      <c r="FM681" s="58">
        <f t="shared" si="1122"/>
        <v>4</v>
      </c>
      <c r="FN681" s="58">
        <f>IF(i_eff_inputs_based_on_num=2,EP681,(INDEX(Lists!$L$51:$L$85,MATCH(BF324,Lists!$K$51:$K$85,0))))</f>
        <v>999</v>
      </c>
      <c r="FO681" s="58">
        <f>IF(i_eff_inputs_based_on_num=2,EQ681,(INDEX(Lists!$L$51:$L$85,MATCH(BG324,Lists!$K$51:$K$85,0))))</f>
        <v>2</v>
      </c>
      <c r="FP681" s="58">
        <f>IF(i_eff_inputs_based_on_num=2,ER681,(INDEX(Lists!$L$51:$L$85,MATCH(BH324,Lists!$K$51:$K$85,0))))</f>
        <v>4</v>
      </c>
      <c r="FT681" s="58">
        <f t="shared" si="1060"/>
        <v>0</v>
      </c>
      <c r="FW681" s="58">
        <f>IF(i_baseline_risk_from=2,'Effectiveness settings'!EW681,'Effectiveness settings'!FI681)</f>
        <v>0</v>
      </c>
      <c r="FX681" s="58">
        <f t="shared" si="1061"/>
        <v>0</v>
      </c>
      <c r="FY681" s="58">
        <f t="shared" si="1062"/>
        <v>0</v>
      </c>
      <c r="FZ681" s="58">
        <f t="shared" si="1063"/>
        <v>0</v>
      </c>
      <c r="GA681" s="58">
        <f t="shared" si="1064"/>
        <v>0</v>
      </c>
      <c r="GB681" s="58">
        <f t="shared" si="1065"/>
        <v>0</v>
      </c>
      <c r="GC681" s="58">
        <f t="shared" si="1066"/>
        <v>0</v>
      </c>
      <c r="GD681" s="58">
        <f t="shared" si="1067"/>
        <v>0</v>
      </c>
      <c r="GE681" s="58">
        <f>IF(AND(dd_CheckMate214_TTD="Yes",'Effectiveness settings'!BU681=2,'Effectiveness settings'!BX681=2),"Apply HR to",GD681)</f>
        <v>0</v>
      </c>
      <c r="GF681" s="58">
        <f t="shared" si="1068"/>
        <v>0</v>
      </c>
      <c r="GG681" s="58">
        <f t="shared" si="1069"/>
        <v>0</v>
      </c>
      <c r="GH681" s="58">
        <f t="shared" si="1070"/>
        <v>0</v>
      </c>
      <c r="GI681" s="58">
        <f t="shared" si="1034"/>
        <v>0</v>
      </c>
      <c r="GK681" s="58">
        <f>IF(i_baseline_risk_from=2,'Effectiveness settings'!FA681,'Effectiveness settings'!FM681)</f>
        <v>4</v>
      </c>
      <c r="GL681" s="58">
        <f>IF(i_baseline_risk_from=2,'Effectiveness settings'!FB681,'Effectiveness settings'!FN681)</f>
        <v>999</v>
      </c>
      <c r="GM681" s="58">
        <f>IF(i_baseline_risk_from=2,'Effectiveness settings'!FC681,'Effectiveness settings'!FO681)</f>
        <v>2</v>
      </c>
      <c r="GN681" s="58">
        <f>IF(i_baseline_risk_from=2,'Effectiveness settings'!FD681,'Effectiveness settings'!FP681)</f>
        <v>4</v>
      </c>
      <c r="GQ681" s="58">
        <f t="shared" si="1071"/>
        <v>999</v>
      </c>
      <c r="GR681" s="58">
        <f t="shared" si="1072"/>
        <v>999</v>
      </c>
      <c r="GS681" s="58">
        <f t="shared" si="1073"/>
        <v>999</v>
      </c>
      <c r="GT681" s="58">
        <f t="shared" si="1074"/>
        <v>999</v>
      </c>
      <c r="GU681" s="58">
        <f>IF(AND(dd_CheckMate214_TTD="Yes",'Effectiveness settings'!BU681=2,'Effectiveness settings'!BX681=2),2,GT681)</f>
        <v>999</v>
      </c>
      <c r="GV681" s="58">
        <f t="shared" si="1075"/>
        <v>999</v>
      </c>
      <c r="GW681" s="58">
        <f t="shared" si="1076"/>
        <v>999</v>
      </c>
      <c r="GY681" s="58">
        <f>IF(AND(dd_CheckMate214_TTD="Yes",'Effectiveness settings'!BU681=2,'Effectiveness settings'!BX681=2),1,GN681)</f>
        <v>4</v>
      </c>
      <c r="GZ681" s="58">
        <f t="shared" si="1077"/>
        <v>4</v>
      </c>
      <c r="HB681" s="58">
        <f t="shared" si="1078"/>
        <v>0</v>
      </c>
      <c r="HD681" s="58">
        <f t="shared" si="1029"/>
        <v>0</v>
      </c>
      <c r="HE681" s="58">
        <f t="shared" si="1030"/>
        <v>4</v>
      </c>
      <c r="HF681" s="58">
        <f t="shared" si="1031"/>
        <v>999</v>
      </c>
      <c r="HG681" s="58">
        <f t="shared" si="1032"/>
        <v>2</v>
      </c>
      <c r="HH681" s="58">
        <f t="shared" si="1033"/>
        <v>4</v>
      </c>
    </row>
    <row r="682" spans="69:216" ht="15.75" x14ac:dyDescent="0.25">
      <c r="BQ682" s="58">
        <f t="shared" si="1058"/>
        <v>413</v>
      </c>
      <c r="BR682" s="61">
        <v>0</v>
      </c>
      <c r="BS682" s="61" t="s">
        <v>31</v>
      </c>
      <c r="BT682" s="17">
        <v>4</v>
      </c>
      <c r="BU682" s="17">
        <v>6</v>
      </c>
      <c r="BV682" s="252" t="str">
        <f t="shared" si="1102"/>
        <v>tivozanib</v>
      </c>
      <c r="BW682" s="1006" t="str" cm="1">
        <f t="array" ref="BW682">IF(AZ325="No",AZ325,INDEX(List_incl_anal_4L_all,IF(BU682=999,35,BU682+1)))</f>
        <v>No</v>
      </c>
      <c r="BX682" s="61">
        <f t="shared" si="1103"/>
        <v>4</v>
      </c>
      <c r="BY682" s="532" t="str">
        <f t="shared" si="1124"/>
        <v>Post progression survival</v>
      </c>
      <c r="BZ682" s="530">
        <f t="shared" si="1104"/>
        <v>0</v>
      </c>
      <c r="CA682" s="531">
        <f t="shared" si="1123"/>
        <v>0</v>
      </c>
      <c r="CB682" s="530">
        <f t="shared" si="1105"/>
        <v>0</v>
      </c>
      <c r="CC682" s="530">
        <f t="shared" si="1106"/>
        <v>4</v>
      </c>
      <c r="CD682" s="530">
        <f t="shared" si="1107"/>
        <v>999</v>
      </c>
      <c r="CE682" s="1295">
        <f t="shared" si="1108"/>
        <v>2</v>
      </c>
      <c r="CF682" s="1301">
        <f t="shared" si="1109"/>
        <v>4</v>
      </c>
      <c r="CG682" s="530" t="str">
        <f t="shared" si="1110"/>
        <v>Log-normal</v>
      </c>
      <c r="CH682" s="505">
        <f t="shared" si="1025"/>
        <v>0</v>
      </c>
      <c r="CI682" s="505">
        <f t="shared" si="1026"/>
        <v>0</v>
      </c>
      <c r="CJ682" s="505">
        <f t="shared" si="1027"/>
        <v>0</v>
      </c>
      <c r="DK682" s="58" t="str" cm="1">
        <f t="array" ref="DK682">IF(AND($BT682=4,$BX682=4,$BU682=999),$DB$36,_xlfn.IFNA(INDEX(DB$13:DB$70,MATCH(1,($BR682=$CV$13:$CV$70)*($BT682=$CX$13:$CX$70)*($CE682=$CY$13:$CY$70)*($BY682=$DA$13:$DA$70)*($CD682=$DH$13:$DH$70),0)),""))</f>
        <v>Log-normal</v>
      </c>
      <c r="DL682" s="58" t="str" cm="1">
        <f t="array" ref="DL682">IF(AND($BT682=4,$BX682=4,$BU682=999),$DC$36,_xlfn.IFNA(INDEX(CHOOSE(DP682,DB$13:DB$70,DC$13:DC$70,DD$13:DD$70,DE$13:DE$70),MATCH(1,($BR682=$CV$13:$CV$70)*($BT682=$CX$13:$CX$70)*($CE682=$CY$13:$CY$70)*($BY682=$DA$13:$DA$70)*($CD682=$DH$13:$DH$70),0)),""))</f>
        <v>Log-normal</v>
      </c>
      <c r="DM682" s="740" cm="1">
        <f t="array" ref="DM682">IF(AND($BT682=4,$BX682=4,$BU682=999),$DD$36,_xlfn.IFNA(INDEX(DD$13:DD$68,MATCH(1,($BR682=$CV$13:$CV$68)*($BT682=$CX$13:$CX$68)*($CE682=$CY$13:$CY$68)*($BY682=$DA$13:$DA$68)*($CD682=$DH$13:$DH$68),0)),""))</f>
        <v>0</v>
      </c>
      <c r="DN682" s="740" cm="1">
        <f t="array" ref="DN682">IF(AND($BT682=4,$BX682=4,$BU682=999),$DD$36,_xlfn.IFNA(INDEX(DE$13:DE$68,MATCH(1,($BR682=$CV$13:$CV$68)*($BT682=$CX$13:$CX$68)*($CE682=$CY$13:$CY$68)*($BY682=$DA$13:$DA$68)*($CD682=$DH$13:$DH$68),0)),""))</f>
        <v>0</v>
      </c>
      <c r="DO682" s="58" t="str" cm="1">
        <f t="array" ref="DO682">IF(AND($BT682=4,$BX682=4,$BU682=999),$DF$36,_xlfn.IFNA(INDEX(DF$13:DF$70,MATCH(1,($BR682=$CV$13:$CV$70)*($BT682=$CX$13:$CX$70)*($CE682=$CY$13:$CY$70)*($BY682=$DA$13:$DA$70)*($CD682=$DH$13:$DH$70),0)),""))</f>
        <v>Base case</v>
      </c>
      <c r="DP682" s="58">
        <f t="shared" si="1059"/>
        <v>1</v>
      </c>
      <c r="DW682" s="58" t="s">
        <v>58</v>
      </c>
      <c r="DX682" s="58" t="s">
        <v>617</v>
      </c>
      <c r="DY682" s="58">
        <v>0</v>
      </c>
      <c r="DZ682" s="58">
        <v>0</v>
      </c>
      <c r="EB682" s="58">
        <v>0</v>
      </c>
      <c r="EC682" s="58">
        <v>4</v>
      </c>
      <c r="ED682" s="58">
        <v>999</v>
      </c>
      <c r="EE682" s="58">
        <v>2</v>
      </c>
      <c r="EF682" s="58">
        <v>4</v>
      </c>
      <c r="EI682" s="58" t="s">
        <v>58</v>
      </c>
      <c r="EJ682" s="58" t="s">
        <v>617</v>
      </c>
      <c r="EK682" s="58">
        <v>0</v>
      </c>
      <c r="EL682" s="58">
        <v>0</v>
      </c>
      <c r="EN682" s="58">
        <v>0</v>
      </c>
      <c r="EO682" s="58">
        <v>4</v>
      </c>
      <c r="EP682" s="58">
        <v>999</v>
      </c>
      <c r="EQ682" s="58">
        <v>2</v>
      </c>
      <c r="ER682" s="58">
        <v>4</v>
      </c>
      <c r="EU682" s="58" t="str">
        <f t="shared" si="1111"/>
        <v>No</v>
      </c>
      <c r="EV682" s="58" t="str">
        <f t="shared" si="1112"/>
        <v xml:space="preserve">Post progression survival </v>
      </c>
      <c r="EW682" s="58">
        <f t="shared" si="1113"/>
        <v>0</v>
      </c>
      <c r="EX682" s="58">
        <f t="shared" si="1114"/>
        <v>0</v>
      </c>
      <c r="EZ682" s="58">
        <f t="shared" si="1115"/>
        <v>0</v>
      </c>
      <c r="FA682" s="58">
        <f t="shared" si="1116"/>
        <v>4</v>
      </c>
      <c r="FB682" s="58">
        <f>IF(i_eff_inputs_based_on_num=2,ED682,(INDEX(Lists!$L$51:$L$85,MATCH(BF325,Lists!$K$51:$K$85,0))))</f>
        <v>999</v>
      </c>
      <c r="FC682" s="58">
        <f>IF(i_eff_inputs_based_on_num=2,EE682,(INDEX(Lists!$L$51:$L$85,MATCH(BG325,Lists!$K$51:$K$85,0))))</f>
        <v>2</v>
      </c>
      <c r="FD682" s="58">
        <f>IF(i_eff_inputs_based_on_num=2,EF682,(INDEX(Lists!$L$51:$L$85,MATCH(BH325,Lists!$K$51:$K$85,0))))</f>
        <v>4</v>
      </c>
      <c r="FG682" s="58" t="str">
        <f t="shared" si="1117"/>
        <v>No</v>
      </c>
      <c r="FH682" s="58" t="str">
        <f t="shared" si="1118"/>
        <v xml:space="preserve">Post progression survival </v>
      </c>
      <c r="FI682" s="58">
        <f t="shared" si="1119"/>
        <v>0</v>
      </c>
      <c r="FJ682" s="58">
        <f t="shared" si="1120"/>
        <v>0</v>
      </c>
      <c r="FL682" s="58">
        <f t="shared" si="1121"/>
        <v>0</v>
      </c>
      <c r="FM682" s="58">
        <f t="shared" si="1122"/>
        <v>4</v>
      </c>
      <c r="FN682" s="58">
        <f>IF(i_eff_inputs_based_on_num=2,EP682,(INDEX(Lists!$L$51:$L$85,MATCH(BF325,Lists!$K$51:$K$85,0))))</f>
        <v>999</v>
      </c>
      <c r="FO682" s="58">
        <f>IF(i_eff_inputs_based_on_num=2,EQ682,(INDEX(Lists!$L$51:$L$85,MATCH(BG325,Lists!$K$51:$K$85,0))))</f>
        <v>2</v>
      </c>
      <c r="FP682" s="58">
        <f>IF(i_eff_inputs_based_on_num=2,ER682,(INDEX(Lists!$L$51:$L$85,MATCH(BH325,Lists!$K$51:$K$85,0))))</f>
        <v>4</v>
      </c>
      <c r="FT682" s="58">
        <f t="shared" si="1060"/>
        <v>0</v>
      </c>
      <c r="FW682" s="58">
        <f>IF(i_baseline_risk_from=2,'Effectiveness settings'!EW682,'Effectiveness settings'!FI682)</f>
        <v>0</v>
      </c>
      <c r="FX682" s="58">
        <f t="shared" si="1061"/>
        <v>0</v>
      </c>
      <c r="FY682" s="58">
        <f t="shared" si="1062"/>
        <v>0</v>
      </c>
      <c r="FZ682" s="58">
        <f t="shared" si="1063"/>
        <v>0</v>
      </c>
      <c r="GA682" s="58">
        <f t="shared" si="1064"/>
        <v>0</v>
      </c>
      <c r="GB682" s="58">
        <f t="shared" si="1065"/>
        <v>0</v>
      </c>
      <c r="GC682" s="58">
        <f t="shared" si="1066"/>
        <v>0</v>
      </c>
      <c r="GD682" s="58">
        <f t="shared" si="1067"/>
        <v>0</v>
      </c>
      <c r="GE682" s="58">
        <f>IF(AND(dd_CheckMate214_TTD="Yes",'Effectiveness settings'!BU682=2,'Effectiveness settings'!BX682=2),"Apply HR to",GD682)</f>
        <v>0</v>
      </c>
      <c r="GF682" s="58">
        <f t="shared" si="1068"/>
        <v>0</v>
      </c>
      <c r="GG682" s="58">
        <f t="shared" si="1069"/>
        <v>0</v>
      </c>
      <c r="GH682" s="58">
        <f t="shared" si="1070"/>
        <v>0</v>
      </c>
      <c r="GI682" s="58">
        <f t="shared" si="1034"/>
        <v>0</v>
      </c>
      <c r="GK682" s="58">
        <f>IF(i_baseline_risk_from=2,'Effectiveness settings'!FA682,'Effectiveness settings'!FM682)</f>
        <v>4</v>
      </c>
      <c r="GL682" s="58">
        <f>IF(i_baseline_risk_from=2,'Effectiveness settings'!FB682,'Effectiveness settings'!FN682)</f>
        <v>999</v>
      </c>
      <c r="GM682" s="58">
        <f>IF(i_baseline_risk_from=2,'Effectiveness settings'!FC682,'Effectiveness settings'!FO682)</f>
        <v>2</v>
      </c>
      <c r="GN682" s="58">
        <f>IF(i_baseline_risk_from=2,'Effectiveness settings'!FD682,'Effectiveness settings'!FP682)</f>
        <v>4</v>
      </c>
      <c r="GQ682" s="58">
        <f t="shared" si="1071"/>
        <v>999</v>
      </c>
      <c r="GR682" s="58">
        <f t="shared" si="1072"/>
        <v>999</v>
      </c>
      <c r="GS682" s="58">
        <f t="shared" si="1073"/>
        <v>999</v>
      </c>
      <c r="GT682" s="58">
        <f t="shared" si="1074"/>
        <v>999</v>
      </c>
      <c r="GU682" s="58">
        <f>IF(AND(dd_CheckMate214_TTD="Yes",'Effectiveness settings'!BU682=2,'Effectiveness settings'!BX682=2),2,GT682)</f>
        <v>999</v>
      </c>
      <c r="GV682" s="58">
        <f t="shared" si="1075"/>
        <v>999</v>
      </c>
      <c r="GW682" s="58">
        <f t="shared" si="1076"/>
        <v>999</v>
      </c>
      <c r="GY682" s="58">
        <f>IF(AND(dd_CheckMate214_TTD="Yes",'Effectiveness settings'!BU682=2,'Effectiveness settings'!BX682=2),1,GN682)</f>
        <v>4</v>
      </c>
      <c r="GZ682" s="58">
        <f t="shared" si="1077"/>
        <v>4</v>
      </c>
      <c r="HB682" s="58">
        <f t="shared" si="1078"/>
        <v>0</v>
      </c>
      <c r="HD682" s="58">
        <f t="shared" si="1029"/>
        <v>0</v>
      </c>
      <c r="HE682" s="58">
        <f t="shared" si="1030"/>
        <v>4</v>
      </c>
      <c r="HF682" s="58">
        <f t="shared" si="1031"/>
        <v>999</v>
      </c>
      <c r="HG682" s="58">
        <f t="shared" si="1032"/>
        <v>2</v>
      </c>
      <c r="HH682" s="58">
        <f t="shared" si="1033"/>
        <v>4</v>
      </c>
    </row>
    <row r="683" spans="69:216" ht="15.75" x14ac:dyDescent="0.25">
      <c r="BQ683" s="58">
        <f t="shared" si="1058"/>
        <v>414</v>
      </c>
      <c r="BR683" s="61">
        <v>0</v>
      </c>
      <c r="BS683" s="61" t="s">
        <v>31</v>
      </c>
      <c r="BT683" s="17">
        <v>4</v>
      </c>
      <c r="BU683" s="17">
        <v>7</v>
      </c>
      <c r="BV683" s="252" t="str">
        <f t="shared" si="1102"/>
        <v>sunitinib</v>
      </c>
      <c r="BW683" s="1006" t="str" cm="1">
        <f t="array" ref="BW683">IF(AZ326="No",AZ326,INDEX(List_incl_anal_4L_all,IF(BU683=999,35,BU683+1)))</f>
        <v>No</v>
      </c>
      <c r="BX683" s="61">
        <f t="shared" si="1103"/>
        <v>4</v>
      </c>
      <c r="BY683" s="532" t="str">
        <f t="shared" si="1124"/>
        <v>Post progression survival</v>
      </c>
      <c r="BZ683" s="530">
        <f t="shared" si="1104"/>
        <v>0</v>
      </c>
      <c r="CA683" s="531">
        <f t="shared" si="1123"/>
        <v>0</v>
      </c>
      <c r="CB683" s="530">
        <f t="shared" si="1105"/>
        <v>0</v>
      </c>
      <c r="CC683" s="530">
        <f t="shared" si="1106"/>
        <v>4</v>
      </c>
      <c r="CD683" s="530">
        <f t="shared" si="1107"/>
        <v>999</v>
      </c>
      <c r="CE683" s="1295">
        <f t="shared" si="1108"/>
        <v>2</v>
      </c>
      <c r="CF683" s="1301">
        <f t="shared" si="1109"/>
        <v>4</v>
      </c>
      <c r="CG683" s="530" t="str">
        <f t="shared" si="1110"/>
        <v>Log-normal</v>
      </c>
      <c r="CH683" s="505">
        <f t="shared" si="1025"/>
        <v>0</v>
      </c>
      <c r="CI683" s="505">
        <f t="shared" si="1026"/>
        <v>0</v>
      </c>
      <c r="CJ683" s="505">
        <f t="shared" si="1027"/>
        <v>0</v>
      </c>
      <c r="DK683" s="58" t="str" cm="1">
        <f t="array" ref="DK683">IF(AND($BT683=4,$BX683=4,$BU683=999),$DB$36,_xlfn.IFNA(INDEX(DB$13:DB$70,MATCH(1,($BR683=$CV$13:$CV$70)*($BT683=$CX$13:$CX$70)*($CE683=$CY$13:$CY$70)*($BY683=$DA$13:$DA$70)*($CD683=$DH$13:$DH$70),0)),""))</f>
        <v>Log-normal</v>
      </c>
      <c r="DL683" s="58" t="str" cm="1">
        <f t="array" ref="DL683">IF(AND($BT683=4,$BX683=4,$BU683=999),$DC$36,_xlfn.IFNA(INDEX(CHOOSE(DP683,DB$13:DB$70,DC$13:DC$70,DD$13:DD$70,DE$13:DE$70),MATCH(1,($BR683=$CV$13:$CV$70)*($BT683=$CX$13:$CX$70)*($CE683=$CY$13:$CY$70)*($BY683=$DA$13:$DA$70)*($CD683=$DH$13:$DH$70),0)),""))</f>
        <v>Log-normal</v>
      </c>
      <c r="DM683" s="740" cm="1">
        <f t="array" ref="DM683">IF(AND($BT683=4,$BX683=4,$BU683=999),$DD$36,_xlfn.IFNA(INDEX(DD$13:DD$68,MATCH(1,($BR683=$CV$13:$CV$68)*($BT683=$CX$13:$CX$68)*($CE683=$CY$13:$CY$68)*($BY683=$DA$13:$DA$68)*($CD683=$DH$13:$DH$68),0)),""))</f>
        <v>0</v>
      </c>
      <c r="DN683" s="740" cm="1">
        <f t="array" ref="DN683">IF(AND($BT683=4,$BX683=4,$BU683=999),$DD$36,_xlfn.IFNA(INDEX(DE$13:DE$68,MATCH(1,($BR683=$CV$13:$CV$68)*($BT683=$CX$13:$CX$68)*($CE683=$CY$13:$CY$68)*($BY683=$DA$13:$DA$68)*($CD683=$DH$13:$DH$68),0)),""))</f>
        <v>0</v>
      </c>
      <c r="DO683" s="58" t="str" cm="1">
        <f t="array" ref="DO683">IF(AND($BT683=4,$BX683=4,$BU683=999),$DF$36,_xlfn.IFNA(INDEX(DF$13:DF$70,MATCH(1,($BR683=$CV$13:$CV$70)*($BT683=$CX$13:$CX$70)*($CE683=$CY$13:$CY$70)*($BY683=$DA$13:$DA$70)*($CD683=$DH$13:$DH$70),0)),""))</f>
        <v>Base case</v>
      </c>
      <c r="DP683" s="58">
        <f t="shared" si="1059"/>
        <v>1</v>
      </c>
      <c r="DW683" s="58" t="s">
        <v>58</v>
      </c>
      <c r="DX683" s="58" t="s">
        <v>617</v>
      </c>
      <c r="DY683" s="58">
        <v>0</v>
      </c>
      <c r="DZ683" s="58">
        <v>0</v>
      </c>
      <c r="EB683" s="58">
        <v>0</v>
      </c>
      <c r="EC683" s="58">
        <v>4</v>
      </c>
      <c r="ED683" s="58">
        <v>999</v>
      </c>
      <c r="EE683" s="58">
        <v>2</v>
      </c>
      <c r="EF683" s="58">
        <v>4</v>
      </c>
      <c r="EI683" s="58" t="s">
        <v>58</v>
      </c>
      <c r="EJ683" s="58" t="s">
        <v>617</v>
      </c>
      <c r="EK683" s="58">
        <v>0</v>
      </c>
      <c r="EL683" s="58">
        <v>0</v>
      </c>
      <c r="EN683" s="58">
        <v>0</v>
      </c>
      <c r="EO683" s="58">
        <v>4</v>
      </c>
      <c r="EP683" s="58">
        <v>999</v>
      </c>
      <c r="EQ683" s="58">
        <v>2</v>
      </c>
      <c r="ER683" s="58">
        <v>4</v>
      </c>
      <c r="EU683" s="58" t="str">
        <f t="shared" si="1111"/>
        <v>No</v>
      </c>
      <c r="EV683" s="58" t="str">
        <f t="shared" si="1112"/>
        <v xml:space="preserve">Post progression survival </v>
      </c>
      <c r="EW683" s="58">
        <f t="shared" si="1113"/>
        <v>0</v>
      </c>
      <c r="EX683" s="58">
        <f t="shared" si="1114"/>
        <v>0</v>
      </c>
      <c r="EZ683" s="58">
        <f t="shared" si="1115"/>
        <v>0</v>
      </c>
      <c r="FA683" s="58">
        <f t="shared" si="1116"/>
        <v>4</v>
      </c>
      <c r="FB683" s="58">
        <f>IF(i_eff_inputs_based_on_num=2,ED683,(INDEX(Lists!$L$51:$L$85,MATCH(BF326,Lists!$K$51:$K$85,0))))</f>
        <v>999</v>
      </c>
      <c r="FC683" s="58">
        <f>IF(i_eff_inputs_based_on_num=2,EE683,(INDEX(Lists!$L$51:$L$85,MATCH(BG326,Lists!$K$51:$K$85,0))))</f>
        <v>2</v>
      </c>
      <c r="FD683" s="58">
        <f>IF(i_eff_inputs_based_on_num=2,EF683,(INDEX(Lists!$L$51:$L$85,MATCH(BH326,Lists!$K$51:$K$85,0))))</f>
        <v>4</v>
      </c>
      <c r="FG683" s="58" t="str">
        <f t="shared" si="1117"/>
        <v>No</v>
      </c>
      <c r="FH683" s="58" t="str">
        <f t="shared" si="1118"/>
        <v xml:space="preserve">Post progression survival </v>
      </c>
      <c r="FI683" s="58">
        <f t="shared" si="1119"/>
        <v>0</v>
      </c>
      <c r="FJ683" s="58">
        <f t="shared" si="1120"/>
        <v>0</v>
      </c>
      <c r="FL683" s="58">
        <f t="shared" si="1121"/>
        <v>0</v>
      </c>
      <c r="FM683" s="58">
        <f t="shared" si="1122"/>
        <v>4</v>
      </c>
      <c r="FN683" s="58">
        <f>IF(i_eff_inputs_based_on_num=2,EP683,(INDEX(Lists!$L$51:$L$85,MATCH(BF326,Lists!$K$51:$K$85,0))))</f>
        <v>999</v>
      </c>
      <c r="FO683" s="58">
        <f>IF(i_eff_inputs_based_on_num=2,EQ683,(INDEX(Lists!$L$51:$L$85,MATCH(BG326,Lists!$K$51:$K$85,0))))</f>
        <v>2</v>
      </c>
      <c r="FP683" s="58">
        <f>IF(i_eff_inputs_based_on_num=2,ER683,(INDEX(Lists!$L$51:$L$85,MATCH(BH326,Lists!$K$51:$K$85,0))))</f>
        <v>4</v>
      </c>
      <c r="FT683" s="58">
        <f t="shared" si="1060"/>
        <v>0</v>
      </c>
      <c r="FW683" s="58">
        <f>IF(i_baseline_risk_from=2,'Effectiveness settings'!EW683,'Effectiveness settings'!FI683)</f>
        <v>0</v>
      </c>
      <c r="FX683" s="58">
        <f t="shared" si="1061"/>
        <v>0</v>
      </c>
      <c r="FY683" s="58">
        <f t="shared" si="1062"/>
        <v>0</v>
      </c>
      <c r="FZ683" s="58">
        <f t="shared" si="1063"/>
        <v>0</v>
      </c>
      <c r="GA683" s="58">
        <f t="shared" si="1064"/>
        <v>0</v>
      </c>
      <c r="GB683" s="58">
        <f t="shared" si="1065"/>
        <v>0</v>
      </c>
      <c r="GC683" s="58">
        <f t="shared" si="1066"/>
        <v>0</v>
      </c>
      <c r="GD683" s="58">
        <f t="shared" si="1067"/>
        <v>0</v>
      </c>
      <c r="GE683" s="58">
        <f>IF(AND(dd_CheckMate214_TTD="Yes",'Effectiveness settings'!BU683=2,'Effectiveness settings'!BX683=2),"Apply HR to",GD683)</f>
        <v>0</v>
      </c>
      <c r="GF683" s="58">
        <f t="shared" si="1068"/>
        <v>0</v>
      </c>
      <c r="GG683" s="58">
        <f t="shared" si="1069"/>
        <v>0</v>
      </c>
      <c r="GH683" s="58">
        <f t="shared" si="1070"/>
        <v>0</v>
      </c>
      <c r="GI683" s="58">
        <f t="shared" si="1034"/>
        <v>0</v>
      </c>
      <c r="GK683" s="58">
        <f>IF(i_baseline_risk_from=2,'Effectiveness settings'!FA683,'Effectiveness settings'!FM683)</f>
        <v>4</v>
      </c>
      <c r="GL683" s="58">
        <f>IF(i_baseline_risk_from=2,'Effectiveness settings'!FB683,'Effectiveness settings'!FN683)</f>
        <v>999</v>
      </c>
      <c r="GM683" s="58">
        <f>IF(i_baseline_risk_from=2,'Effectiveness settings'!FC683,'Effectiveness settings'!FO683)</f>
        <v>2</v>
      </c>
      <c r="GN683" s="58">
        <f>IF(i_baseline_risk_from=2,'Effectiveness settings'!FD683,'Effectiveness settings'!FP683)</f>
        <v>4</v>
      </c>
      <c r="GQ683" s="58">
        <f t="shared" si="1071"/>
        <v>999</v>
      </c>
      <c r="GR683" s="58">
        <f t="shared" si="1072"/>
        <v>999</v>
      </c>
      <c r="GS683" s="58">
        <f t="shared" si="1073"/>
        <v>999</v>
      </c>
      <c r="GT683" s="58">
        <f t="shared" si="1074"/>
        <v>999</v>
      </c>
      <c r="GU683" s="58">
        <f>IF(AND(dd_CheckMate214_TTD="Yes",'Effectiveness settings'!BU683=2,'Effectiveness settings'!BX683=2),2,GT683)</f>
        <v>999</v>
      </c>
      <c r="GV683" s="58">
        <f t="shared" si="1075"/>
        <v>999</v>
      </c>
      <c r="GW683" s="58">
        <f t="shared" si="1076"/>
        <v>999</v>
      </c>
      <c r="GY683" s="58">
        <f>IF(AND(dd_CheckMate214_TTD="Yes",'Effectiveness settings'!BU683=2,'Effectiveness settings'!BX683=2),1,GN683)</f>
        <v>4</v>
      </c>
      <c r="GZ683" s="58">
        <f t="shared" si="1077"/>
        <v>4</v>
      </c>
      <c r="HB683" s="58">
        <f t="shared" si="1078"/>
        <v>0</v>
      </c>
      <c r="HD683" s="58">
        <f t="shared" si="1029"/>
        <v>0</v>
      </c>
      <c r="HE683" s="58">
        <f t="shared" si="1030"/>
        <v>4</v>
      </c>
      <c r="HF683" s="58">
        <f t="shared" si="1031"/>
        <v>999</v>
      </c>
      <c r="HG683" s="58">
        <f t="shared" si="1032"/>
        <v>2</v>
      </c>
      <c r="HH683" s="58">
        <f t="shared" si="1033"/>
        <v>4</v>
      </c>
    </row>
    <row r="684" spans="69:216" ht="15.75" x14ac:dyDescent="0.25">
      <c r="BQ684" s="58">
        <f t="shared" si="1058"/>
        <v>415</v>
      </c>
      <c r="BR684" s="61">
        <v>0</v>
      </c>
      <c r="BS684" s="61" t="s">
        <v>31</v>
      </c>
      <c r="BT684" s="17">
        <v>4</v>
      </c>
      <c r="BU684" s="17">
        <v>8</v>
      </c>
      <c r="BV684" s="252" t="str">
        <f t="shared" si="1102"/>
        <v>cabozantinib</v>
      </c>
      <c r="BW684" s="1006" t="str" cm="1">
        <f t="array" ref="BW684">IF(AZ327="No",AZ327,INDEX(List_incl_anal_4L_all,IF(BU684=999,35,BU684+1)))</f>
        <v>No</v>
      </c>
      <c r="BX684" s="61">
        <f t="shared" si="1103"/>
        <v>4</v>
      </c>
      <c r="BY684" s="532" t="str">
        <f t="shared" si="1124"/>
        <v>Post progression survival</v>
      </c>
      <c r="BZ684" s="530">
        <f t="shared" si="1104"/>
        <v>0</v>
      </c>
      <c r="CA684" s="531">
        <f t="shared" si="1123"/>
        <v>0</v>
      </c>
      <c r="CB684" s="530">
        <f t="shared" si="1105"/>
        <v>0</v>
      </c>
      <c r="CC684" s="530">
        <f t="shared" si="1106"/>
        <v>4</v>
      </c>
      <c r="CD684" s="530">
        <f t="shared" si="1107"/>
        <v>999</v>
      </c>
      <c r="CE684" s="1295">
        <f t="shared" si="1108"/>
        <v>2</v>
      </c>
      <c r="CF684" s="1301">
        <f t="shared" si="1109"/>
        <v>4</v>
      </c>
      <c r="CG684" s="530" t="str">
        <f t="shared" si="1110"/>
        <v>Log-normal</v>
      </c>
      <c r="CH684" s="505">
        <f t="shared" si="1025"/>
        <v>0</v>
      </c>
      <c r="CI684" s="505">
        <f t="shared" si="1026"/>
        <v>0</v>
      </c>
      <c r="CJ684" s="505">
        <f t="shared" si="1027"/>
        <v>0</v>
      </c>
      <c r="DK684" s="58" t="str" cm="1">
        <f t="array" ref="DK684">IF(AND($BT684=4,$BX684=4,$BU684=999),$DB$36,_xlfn.IFNA(INDEX(DB$13:DB$70,MATCH(1,($BR684=$CV$13:$CV$70)*($BT684=$CX$13:$CX$70)*($CE684=$CY$13:$CY$70)*($BY684=$DA$13:$DA$70)*($CD684=$DH$13:$DH$70),0)),""))</f>
        <v>Log-normal</v>
      </c>
      <c r="DL684" s="58" t="str" cm="1">
        <f t="array" ref="DL684">IF(AND($BT684=4,$BX684=4,$BU684=999),$DC$36,_xlfn.IFNA(INDEX(CHOOSE(DP684,DB$13:DB$70,DC$13:DC$70,DD$13:DD$70,DE$13:DE$70),MATCH(1,($BR684=$CV$13:$CV$70)*($BT684=$CX$13:$CX$70)*($CE684=$CY$13:$CY$70)*($BY684=$DA$13:$DA$70)*($CD684=$DH$13:$DH$70),0)),""))</f>
        <v>Log-normal</v>
      </c>
      <c r="DM684" s="740" cm="1">
        <f t="array" ref="DM684">IF(AND($BT684=4,$BX684=4,$BU684=999),$DD$36,_xlfn.IFNA(INDEX(DD$13:DD$68,MATCH(1,($BR684=$CV$13:$CV$68)*($BT684=$CX$13:$CX$68)*($CE684=$CY$13:$CY$68)*($BY684=$DA$13:$DA$68)*($CD684=$DH$13:$DH$68),0)),""))</f>
        <v>0</v>
      </c>
      <c r="DN684" s="740" cm="1">
        <f t="array" ref="DN684">IF(AND($BT684=4,$BX684=4,$BU684=999),$DD$36,_xlfn.IFNA(INDEX(DE$13:DE$68,MATCH(1,($BR684=$CV$13:$CV$68)*($BT684=$CX$13:$CX$68)*($CE684=$CY$13:$CY$68)*($BY684=$DA$13:$DA$68)*($CD684=$DH$13:$DH$68),0)),""))</f>
        <v>0</v>
      </c>
      <c r="DO684" s="58" t="str" cm="1">
        <f t="array" ref="DO684">IF(AND($BT684=4,$BX684=4,$BU684=999),$DF$36,_xlfn.IFNA(INDEX(DF$13:DF$70,MATCH(1,($BR684=$CV$13:$CV$70)*($BT684=$CX$13:$CX$70)*($CE684=$CY$13:$CY$70)*($BY684=$DA$13:$DA$70)*($CD684=$DH$13:$DH$70),0)),""))</f>
        <v>Base case</v>
      </c>
      <c r="DP684" s="58">
        <f t="shared" si="1059"/>
        <v>1</v>
      </c>
      <c r="DW684" s="58" t="s">
        <v>58</v>
      </c>
      <c r="DX684" s="58" t="s">
        <v>617</v>
      </c>
      <c r="DY684" s="58">
        <v>0</v>
      </c>
      <c r="DZ684" s="58">
        <v>0</v>
      </c>
      <c r="EB684" s="58">
        <v>0</v>
      </c>
      <c r="EC684" s="58">
        <v>4</v>
      </c>
      <c r="ED684" s="58">
        <v>999</v>
      </c>
      <c r="EE684" s="58">
        <v>2</v>
      </c>
      <c r="EF684" s="58">
        <v>4</v>
      </c>
      <c r="EI684" s="58" t="s">
        <v>58</v>
      </c>
      <c r="EJ684" s="58" t="s">
        <v>617</v>
      </c>
      <c r="EK684" s="58">
        <v>0</v>
      </c>
      <c r="EL684" s="58">
        <v>0</v>
      </c>
      <c r="EN684" s="58">
        <v>0</v>
      </c>
      <c r="EO684" s="58">
        <v>4</v>
      </c>
      <c r="EP684" s="58">
        <v>999</v>
      </c>
      <c r="EQ684" s="58">
        <v>2</v>
      </c>
      <c r="ER684" s="58">
        <v>4</v>
      </c>
      <c r="EU684" s="58" t="str">
        <f t="shared" si="1111"/>
        <v>No</v>
      </c>
      <c r="EV684" s="58" t="str">
        <f t="shared" si="1112"/>
        <v xml:space="preserve">Post progression survival </v>
      </c>
      <c r="EW684" s="58">
        <f t="shared" si="1113"/>
        <v>0</v>
      </c>
      <c r="EX684" s="58">
        <f t="shared" si="1114"/>
        <v>0</v>
      </c>
      <c r="EZ684" s="58">
        <f t="shared" si="1115"/>
        <v>0</v>
      </c>
      <c r="FA684" s="58">
        <f t="shared" si="1116"/>
        <v>4</v>
      </c>
      <c r="FB684" s="58">
        <f>IF(i_eff_inputs_based_on_num=2,ED684,(INDEX(Lists!$L$51:$L$85,MATCH(BF327,Lists!$K$51:$K$85,0))))</f>
        <v>999</v>
      </c>
      <c r="FC684" s="58">
        <f>IF(i_eff_inputs_based_on_num=2,EE684,(INDEX(Lists!$L$51:$L$85,MATCH(BG327,Lists!$K$51:$K$85,0))))</f>
        <v>2</v>
      </c>
      <c r="FD684" s="58">
        <f>IF(i_eff_inputs_based_on_num=2,EF684,(INDEX(Lists!$L$51:$L$85,MATCH(BH327,Lists!$K$51:$K$85,0))))</f>
        <v>4</v>
      </c>
      <c r="FG684" s="58" t="str">
        <f t="shared" si="1117"/>
        <v>No</v>
      </c>
      <c r="FH684" s="58" t="str">
        <f t="shared" si="1118"/>
        <v xml:space="preserve">Post progression survival </v>
      </c>
      <c r="FI684" s="58">
        <f t="shared" si="1119"/>
        <v>0</v>
      </c>
      <c r="FJ684" s="58">
        <f t="shared" si="1120"/>
        <v>0</v>
      </c>
      <c r="FL684" s="58">
        <f t="shared" si="1121"/>
        <v>0</v>
      </c>
      <c r="FM684" s="58">
        <f t="shared" si="1122"/>
        <v>4</v>
      </c>
      <c r="FN684" s="58">
        <f>IF(i_eff_inputs_based_on_num=2,EP684,(INDEX(Lists!$L$51:$L$85,MATCH(BF327,Lists!$K$51:$K$85,0))))</f>
        <v>999</v>
      </c>
      <c r="FO684" s="58">
        <f>IF(i_eff_inputs_based_on_num=2,EQ684,(INDEX(Lists!$L$51:$L$85,MATCH(BG327,Lists!$K$51:$K$85,0))))</f>
        <v>2</v>
      </c>
      <c r="FP684" s="58">
        <f>IF(i_eff_inputs_based_on_num=2,ER684,(INDEX(Lists!$L$51:$L$85,MATCH(BH327,Lists!$K$51:$K$85,0))))</f>
        <v>4</v>
      </c>
      <c r="FT684" s="58">
        <f t="shared" si="1060"/>
        <v>0</v>
      </c>
      <c r="FW684" s="58">
        <f>IF(i_baseline_risk_from=2,'Effectiveness settings'!EW684,'Effectiveness settings'!FI684)</f>
        <v>0</v>
      </c>
      <c r="FX684" s="58">
        <f t="shared" si="1061"/>
        <v>0</v>
      </c>
      <c r="FY684" s="58">
        <f t="shared" si="1062"/>
        <v>0</v>
      </c>
      <c r="FZ684" s="58">
        <f t="shared" si="1063"/>
        <v>0</v>
      </c>
      <c r="GA684" s="58">
        <f t="shared" si="1064"/>
        <v>0</v>
      </c>
      <c r="GB684" s="58">
        <f t="shared" si="1065"/>
        <v>0</v>
      </c>
      <c r="GC684" s="58">
        <f t="shared" si="1066"/>
        <v>0</v>
      </c>
      <c r="GD684" s="58">
        <f t="shared" si="1067"/>
        <v>0</v>
      </c>
      <c r="GE684" s="58">
        <f>IF(AND(dd_CheckMate214_TTD="Yes",'Effectiveness settings'!BU684=2,'Effectiveness settings'!BX684=2),"Apply HR to",GD684)</f>
        <v>0</v>
      </c>
      <c r="GF684" s="58">
        <f t="shared" si="1068"/>
        <v>0</v>
      </c>
      <c r="GG684" s="58">
        <f t="shared" si="1069"/>
        <v>0</v>
      </c>
      <c r="GH684" s="58">
        <f t="shared" si="1070"/>
        <v>0</v>
      </c>
      <c r="GI684" s="58">
        <f t="shared" si="1034"/>
        <v>0</v>
      </c>
      <c r="GK684" s="58">
        <f>IF(i_baseline_risk_from=2,'Effectiveness settings'!FA684,'Effectiveness settings'!FM684)</f>
        <v>4</v>
      </c>
      <c r="GL684" s="58">
        <f>IF(i_baseline_risk_from=2,'Effectiveness settings'!FB684,'Effectiveness settings'!FN684)</f>
        <v>999</v>
      </c>
      <c r="GM684" s="58">
        <f>IF(i_baseline_risk_from=2,'Effectiveness settings'!FC684,'Effectiveness settings'!FO684)</f>
        <v>2</v>
      </c>
      <c r="GN684" s="58">
        <f>IF(i_baseline_risk_from=2,'Effectiveness settings'!FD684,'Effectiveness settings'!FP684)</f>
        <v>4</v>
      </c>
      <c r="GQ684" s="58">
        <f t="shared" si="1071"/>
        <v>999</v>
      </c>
      <c r="GR684" s="58">
        <f t="shared" si="1072"/>
        <v>999</v>
      </c>
      <c r="GS684" s="58">
        <f t="shared" si="1073"/>
        <v>999</v>
      </c>
      <c r="GT684" s="58">
        <f t="shared" si="1074"/>
        <v>999</v>
      </c>
      <c r="GU684" s="58">
        <f>IF(AND(dd_CheckMate214_TTD="Yes",'Effectiveness settings'!BU684=2,'Effectiveness settings'!BX684=2),2,GT684)</f>
        <v>999</v>
      </c>
      <c r="GV684" s="58">
        <f t="shared" si="1075"/>
        <v>999</v>
      </c>
      <c r="GW684" s="58">
        <f t="shared" si="1076"/>
        <v>999</v>
      </c>
      <c r="GY684" s="58">
        <f>IF(AND(dd_CheckMate214_TTD="Yes",'Effectiveness settings'!BU684=2,'Effectiveness settings'!BX684=2),1,GN684)</f>
        <v>4</v>
      </c>
      <c r="GZ684" s="58">
        <f t="shared" si="1077"/>
        <v>4</v>
      </c>
      <c r="HB684" s="58">
        <f t="shared" si="1078"/>
        <v>0</v>
      </c>
      <c r="HD684" s="58">
        <f t="shared" si="1029"/>
        <v>0</v>
      </c>
      <c r="HE684" s="58">
        <f t="shared" si="1030"/>
        <v>4</v>
      </c>
      <c r="HF684" s="58">
        <f t="shared" si="1031"/>
        <v>999</v>
      </c>
      <c r="HG684" s="58">
        <f t="shared" si="1032"/>
        <v>2</v>
      </c>
      <c r="HH684" s="58">
        <f t="shared" si="1033"/>
        <v>4</v>
      </c>
    </row>
    <row r="685" spans="69:216" ht="15.75" x14ac:dyDescent="0.25">
      <c r="BQ685" s="58">
        <f t="shared" si="1058"/>
        <v>416</v>
      </c>
      <c r="BR685" s="61">
        <v>0</v>
      </c>
      <c r="BS685" s="61" t="s">
        <v>31</v>
      </c>
      <c r="BT685" s="17">
        <v>4</v>
      </c>
      <c r="BU685" s="17">
        <v>9</v>
      </c>
      <c r="BV685" s="252" t="str">
        <f t="shared" si="1102"/>
        <v>lenvatinib_plus_everolimus</v>
      </c>
      <c r="BW685" s="1006" t="str" cm="1">
        <f t="array" ref="BW685">IF(AZ328="No",AZ328,INDEX(List_incl_anal_4L_all,IF(BU685=999,35,BU685+1)))</f>
        <v>No</v>
      </c>
      <c r="BX685" s="61">
        <f t="shared" si="1103"/>
        <v>4</v>
      </c>
      <c r="BY685" s="532" t="str">
        <f t="shared" si="1124"/>
        <v>Post progression survival</v>
      </c>
      <c r="BZ685" s="530">
        <f t="shared" si="1104"/>
        <v>0</v>
      </c>
      <c r="CA685" s="531">
        <f t="shared" si="1123"/>
        <v>0</v>
      </c>
      <c r="CB685" s="530">
        <f t="shared" si="1105"/>
        <v>0</v>
      </c>
      <c r="CC685" s="530">
        <f t="shared" si="1106"/>
        <v>4</v>
      </c>
      <c r="CD685" s="530">
        <f t="shared" si="1107"/>
        <v>999</v>
      </c>
      <c r="CE685" s="1295">
        <f t="shared" si="1108"/>
        <v>2</v>
      </c>
      <c r="CF685" s="1301">
        <f t="shared" si="1109"/>
        <v>4</v>
      </c>
      <c r="CG685" s="530" t="str">
        <f t="shared" si="1110"/>
        <v>Log-normal</v>
      </c>
      <c r="CH685" s="505">
        <f t="shared" si="1025"/>
        <v>0</v>
      </c>
      <c r="CI685" s="505">
        <f t="shared" si="1026"/>
        <v>0</v>
      </c>
      <c r="CJ685" s="505">
        <f t="shared" si="1027"/>
        <v>0</v>
      </c>
      <c r="DK685" s="58" t="str" cm="1">
        <f t="array" ref="DK685">IF(AND($BT685=4,$BX685=4,$BU685=999),$DB$36,_xlfn.IFNA(INDEX(DB$13:DB$70,MATCH(1,($BR685=$CV$13:$CV$70)*($BT685=$CX$13:$CX$70)*($CE685=$CY$13:$CY$70)*($BY685=$DA$13:$DA$70)*($CD685=$DH$13:$DH$70),0)),""))</f>
        <v>Log-normal</v>
      </c>
      <c r="DL685" s="58" t="str" cm="1">
        <f t="array" ref="DL685">IF(AND($BT685=4,$BX685=4,$BU685=999),$DC$36,_xlfn.IFNA(INDEX(CHOOSE(DP685,DB$13:DB$70,DC$13:DC$70,DD$13:DD$70,DE$13:DE$70),MATCH(1,($BR685=$CV$13:$CV$70)*($BT685=$CX$13:$CX$70)*($CE685=$CY$13:$CY$70)*($BY685=$DA$13:$DA$70)*($CD685=$DH$13:$DH$70),0)),""))</f>
        <v>Log-normal</v>
      </c>
      <c r="DM685" s="740" cm="1">
        <f t="array" ref="DM685">IF(AND($BT685=4,$BX685=4,$BU685=999),$DD$36,_xlfn.IFNA(INDEX(DD$13:DD$68,MATCH(1,($BR685=$CV$13:$CV$68)*($BT685=$CX$13:$CX$68)*($CE685=$CY$13:$CY$68)*($BY685=$DA$13:$DA$68)*($CD685=$DH$13:$DH$68),0)),""))</f>
        <v>0</v>
      </c>
      <c r="DN685" s="740" cm="1">
        <f t="array" ref="DN685">IF(AND($BT685=4,$BX685=4,$BU685=999),$DD$36,_xlfn.IFNA(INDEX(DE$13:DE$68,MATCH(1,($BR685=$CV$13:$CV$68)*($BT685=$CX$13:$CX$68)*($CE685=$CY$13:$CY$68)*($BY685=$DA$13:$DA$68)*($CD685=$DH$13:$DH$68),0)),""))</f>
        <v>0</v>
      </c>
      <c r="DO685" s="58" t="str" cm="1">
        <f t="array" ref="DO685">IF(AND($BT685=4,$BX685=4,$BU685=999),$DF$36,_xlfn.IFNA(INDEX(DF$13:DF$70,MATCH(1,($BR685=$CV$13:$CV$70)*($BT685=$CX$13:$CX$70)*($CE685=$CY$13:$CY$70)*($BY685=$DA$13:$DA$70)*($CD685=$DH$13:$DH$70),0)),""))</f>
        <v>Base case</v>
      </c>
      <c r="DP685" s="58">
        <f t="shared" si="1059"/>
        <v>1</v>
      </c>
      <c r="DW685" s="58" t="s">
        <v>58</v>
      </c>
      <c r="DX685" s="58" t="s">
        <v>617</v>
      </c>
      <c r="DY685" s="58">
        <v>0</v>
      </c>
      <c r="DZ685" s="58">
        <v>0</v>
      </c>
      <c r="EB685" s="58">
        <v>0</v>
      </c>
      <c r="EC685" s="58">
        <v>4</v>
      </c>
      <c r="ED685" s="58">
        <v>999</v>
      </c>
      <c r="EE685" s="58">
        <v>2</v>
      </c>
      <c r="EF685" s="58">
        <v>4</v>
      </c>
      <c r="EI685" s="58" t="s">
        <v>58</v>
      </c>
      <c r="EJ685" s="58" t="s">
        <v>617</v>
      </c>
      <c r="EK685" s="58">
        <v>0</v>
      </c>
      <c r="EL685" s="58">
        <v>0</v>
      </c>
      <c r="EN685" s="58">
        <v>0</v>
      </c>
      <c r="EO685" s="58">
        <v>4</v>
      </c>
      <c r="EP685" s="58">
        <v>999</v>
      </c>
      <c r="EQ685" s="58">
        <v>2</v>
      </c>
      <c r="ER685" s="58">
        <v>4</v>
      </c>
      <c r="EU685" s="58" t="str">
        <f t="shared" si="1111"/>
        <v>No</v>
      </c>
      <c r="EV685" s="58" t="str">
        <f t="shared" si="1112"/>
        <v xml:space="preserve">Post progression survival </v>
      </c>
      <c r="EW685" s="58">
        <f t="shared" si="1113"/>
        <v>0</v>
      </c>
      <c r="EX685" s="58">
        <f t="shared" si="1114"/>
        <v>0</v>
      </c>
      <c r="EZ685" s="58">
        <f t="shared" si="1115"/>
        <v>0</v>
      </c>
      <c r="FA685" s="58">
        <f t="shared" si="1116"/>
        <v>4</v>
      </c>
      <c r="FB685" s="58">
        <f>IF(i_eff_inputs_based_on_num=2,ED685,(INDEX(Lists!$L$51:$L$85,MATCH(BF328,Lists!$K$51:$K$85,0))))</f>
        <v>999</v>
      </c>
      <c r="FC685" s="58">
        <f>IF(i_eff_inputs_based_on_num=2,EE685,(INDEX(Lists!$L$51:$L$85,MATCH(BG328,Lists!$K$51:$K$85,0))))</f>
        <v>2</v>
      </c>
      <c r="FD685" s="58">
        <f>IF(i_eff_inputs_based_on_num=2,EF685,(INDEX(Lists!$L$51:$L$85,MATCH(BH328,Lists!$K$51:$K$85,0))))</f>
        <v>4</v>
      </c>
      <c r="FG685" s="58" t="str">
        <f t="shared" si="1117"/>
        <v>No</v>
      </c>
      <c r="FH685" s="58" t="str">
        <f t="shared" si="1118"/>
        <v xml:space="preserve">Post progression survival </v>
      </c>
      <c r="FI685" s="58">
        <f t="shared" si="1119"/>
        <v>0</v>
      </c>
      <c r="FJ685" s="58">
        <f t="shared" si="1120"/>
        <v>0</v>
      </c>
      <c r="FL685" s="58">
        <f t="shared" si="1121"/>
        <v>0</v>
      </c>
      <c r="FM685" s="58">
        <f t="shared" si="1122"/>
        <v>4</v>
      </c>
      <c r="FN685" s="58">
        <f>IF(i_eff_inputs_based_on_num=2,EP685,(INDEX(Lists!$L$51:$L$85,MATCH(BF328,Lists!$K$51:$K$85,0))))</f>
        <v>999</v>
      </c>
      <c r="FO685" s="58">
        <f>IF(i_eff_inputs_based_on_num=2,EQ685,(INDEX(Lists!$L$51:$L$85,MATCH(BG328,Lists!$K$51:$K$85,0))))</f>
        <v>2</v>
      </c>
      <c r="FP685" s="58">
        <f>IF(i_eff_inputs_based_on_num=2,ER685,(INDEX(Lists!$L$51:$L$85,MATCH(BH328,Lists!$K$51:$K$85,0))))</f>
        <v>4</v>
      </c>
      <c r="FT685" s="58">
        <f t="shared" si="1060"/>
        <v>0</v>
      </c>
      <c r="FW685" s="58">
        <f>IF(i_baseline_risk_from=2,'Effectiveness settings'!EW685,'Effectiveness settings'!FI685)</f>
        <v>0</v>
      </c>
      <c r="FX685" s="58">
        <f t="shared" si="1061"/>
        <v>0</v>
      </c>
      <c r="FY685" s="58">
        <f t="shared" si="1062"/>
        <v>0</v>
      </c>
      <c r="FZ685" s="58">
        <f t="shared" si="1063"/>
        <v>0</v>
      </c>
      <c r="GA685" s="58">
        <f t="shared" si="1064"/>
        <v>0</v>
      </c>
      <c r="GB685" s="58">
        <f t="shared" si="1065"/>
        <v>0</v>
      </c>
      <c r="GC685" s="58">
        <f t="shared" si="1066"/>
        <v>0</v>
      </c>
      <c r="GD685" s="58">
        <f t="shared" si="1067"/>
        <v>0</v>
      </c>
      <c r="GE685" s="58">
        <f>IF(AND(dd_CheckMate214_TTD="Yes",'Effectiveness settings'!BU685=2,'Effectiveness settings'!BX685=2),"Apply HR to",GD685)</f>
        <v>0</v>
      </c>
      <c r="GF685" s="58">
        <f t="shared" si="1068"/>
        <v>0</v>
      </c>
      <c r="GG685" s="58">
        <f t="shared" si="1069"/>
        <v>0</v>
      </c>
      <c r="GH685" s="58">
        <f t="shared" si="1070"/>
        <v>0</v>
      </c>
      <c r="GI685" s="58">
        <f t="shared" si="1034"/>
        <v>0</v>
      </c>
      <c r="GK685" s="58">
        <f>IF(i_baseline_risk_from=2,'Effectiveness settings'!FA685,'Effectiveness settings'!FM685)</f>
        <v>4</v>
      </c>
      <c r="GL685" s="58">
        <f>IF(i_baseline_risk_from=2,'Effectiveness settings'!FB685,'Effectiveness settings'!FN685)</f>
        <v>999</v>
      </c>
      <c r="GM685" s="58">
        <f>IF(i_baseline_risk_from=2,'Effectiveness settings'!FC685,'Effectiveness settings'!FO685)</f>
        <v>2</v>
      </c>
      <c r="GN685" s="58">
        <f>IF(i_baseline_risk_from=2,'Effectiveness settings'!FD685,'Effectiveness settings'!FP685)</f>
        <v>4</v>
      </c>
      <c r="GQ685" s="58">
        <f t="shared" si="1071"/>
        <v>999</v>
      </c>
      <c r="GR685" s="58">
        <f t="shared" si="1072"/>
        <v>999</v>
      </c>
      <c r="GS685" s="58">
        <f t="shared" si="1073"/>
        <v>999</v>
      </c>
      <c r="GT685" s="58">
        <f t="shared" si="1074"/>
        <v>999</v>
      </c>
      <c r="GU685" s="58">
        <f>IF(AND(dd_CheckMate214_TTD="Yes",'Effectiveness settings'!BU685=2,'Effectiveness settings'!BX685=2),2,GT685)</f>
        <v>999</v>
      </c>
      <c r="GV685" s="58">
        <f t="shared" si="1075"/>
        <v>999</v>
      </c>
      <c r="GW685" s="58">
        <f t="shared" si="1076"/>
        <v>999</v>
      </c>
      <c r="GY685" s="58">
        <f>IF(AND(dd_CheckMate214_TTD="Yes",'Effectiveness settings'!BU685=2,'Effectiveness settings'!BX685=2),1,GN685)</f>
        <v>4</v>
      </c>
      <c r="GZ685" s="58">
        <f t="shared" si="1077"/>
        <v>4</v>
      </c>
      <c r="HB685" s="58">
        <f t="shared" si="1078"/>
        <v>0</v>
      </c>
      <c r="HD685" s="58">
        <f t="shared" si="1029"/>
        <v>0</v>
      </c>
      <c r="HE685" s="58">
        <f t="shared" si="1030"/>
        <v>4</v>
      </c>
      <c r="HF685" s="58">
        <f t="shared" si="1031"/>
        <v>999</v>
      </c>
      <c r="HG685" s="58">
        <f t="shared" si="1032"/>
        <v>2</v>
      </c>
      <c r="HH685" s="58">
        <f t="shared" si="1033"/>
        <v>4</v>
      </c>
    </row>
    <row r="686" spans="69:216" ht="15.75" x14ac:dyDescent="0.25">
      <c r="BQ686" s="58">
        <f t="shared" si="1058"/>
        <v>417</v>
      </c>
      <c r="BR686" s="61">
        <v>0</v>
      </c>
      <c r="BS686" s="61" t="s">
        <v>31</v>
      </c>
      <c r="BT686" s="17">
        <v>4</v>
      </c>
      <c r="BU686" s="17">
        <v>10</v>
      </c>
      <c r="BV686" s="252" t="str">
        <f t="shared" si="1102"/>
        <v>everolimus</v>
      </c>
      <c r="BW686" s="1006" t="str" cm="1">
        <f t="array" ref="BW686">IF(AZ329="No",AZ329,INDEX(List_incl_anal_4L_all,IF(BU686=999,35,BU686+1)))</f>
        <v>No</v>
      </c>
      <c r="BX686" s="61">
        <f t="shared" si="1103"/>
        <v>4</v>
      </c>
      <c r="BY686" s="532" t="str">
        <f t="shared" si="1124"/>
        <v>Post progression survival</v>
      </c>
      <c r="BZ686" s="530">
        <f t="shared" si="1104"/>
        <v>0</v>
      </c>
      <c r="CA686" s="531">
        <f t="shared" si="1123"/>
        <v>0</v>
      </c>
      <c r="CB686" s="530">
        <f t="shared" si="1105"/>
        <v>0</v>
      </c>
      <c r="CC686" s="530">
        <f t="shared" si="1106"/>
        <v>4</v>
      </c>
      <c r="CD686" s="530">
        <f t="shared" si="1107"/>
        <v>999</v>
      </c>
      <c r="CE686" s="1295">
        <f t="shared" si="1108"/>
        <v>2</v>
      </c>
      <c r="CF686" s="1301">
        <f t="shared" si="1109"/>
        <v>4</v>
      </c>
      <c r="CG686" s="530" t="str">
        <f t="shared" si="1110"/>
        <v>Log-normal</v>
      </c>
      <c r="CH686" s="505">
        <f t="shared" si="1025"/>
        <v>0</v>
      </c>
      <c r="CI686" s="505">
        <f t="shared" si="1026"/>
        <v>0</v>
      </c>
      <c r="CJ686" s="505">
        <f t="shared" si="1027"/>
        <v>0</v>
      </c>
      <c r="DK686" s="58" t="str" cm="1">
        <f t="array" ref="DK686">IF(AND($BT686=4,$BX686=4,$BU686=999),$DB$36,_xlfn.IFNA(INDEX(DB$13:DB$70,MATCH(1,($BR686=$CV$13:$CV$70)*($BT686=$CX$13:$CX$70)*($CE686=$CY$13:$CY$70)*($BY686=$DA$13:$DA$70)*($CD686=$DH$13:$DH$70),0)),""))</f>
        <v>Log-normal</v>
      </c>
      <c r="DL686" s="58" t="str" cm="1">
        <f t="array" ref="DL686">IF(AND($BT686=4,$BX686=4,$BU686=999),$DC$36,_xlfn.IFNA(INDEX(CHOOSE(DP686,DB$13:DB$70,DC$13:DC$70,DD$13:DD$70,DE$13:DE$70),MATCH(1,($BR686=$CV$13:$CV$70)*($BT686=$CX$13:$CX$70)*($CE686=$CY$13:$CY$70)*($BY686=$DA$13:$DA$70)*($CD686=$DH$13:$DH$70),0)),""))</f>
        <v>Log-normal</v>
      </c>
      <c r="DM686" s="740" cm="1">
        <f t="array" ref="DM686">IF(AND($BT686=4,$BX686=4,$BU686=999),$DD$36,_xlfn.IFNA(INDEX(DD$13:DD$68,MATCH(1,($BR686=$CV$13:$CV$68)*($BT686=$CX$13:$CX$68)*($CE686=$CY$13:$CY$68)*($BY686=$DA$13:$DA$68)*($CD686=$DH$13:$DH$68),0)),""))</f>
        <v>0</v>
      </c>
      <c r="DN686" s="740" cm="1">
        <f t="array" ref="DN686">IF(AND($BT686=4,$BX686=4,$BU686=999),$DD$36,_xlfn.IFNA(INDEX(DE$13:DE$68,MATCH(1,($BR686=$CV$13:$CV$68)*($BT686=$CX$13:$CX$68)*($CE686=$CY$13:$CY$68)*($BY686=$DA$13:$DA$68)*($CD686=$DH$13:$DH$68),0)),""))</f>
        <v>0</v>
      </c>
      <c r="DO686" s="58" t="str" cm="1">
        <f t="array" ref="DO686">IF(AND($BT686=4,$BX686=4,$BU686=999),$DF$36,_xlfn.IFNA(INDEX(DF$13:DF$70,MATCH(1,($BR686=$CV$13:$CV$70)*($BT686=$CX$13:$CX$70)*($CE686=$CY$13:$CY$70)*($BY686=$DA$13:$DA$70)*($CD686=$DH$13:$DH$70),0)),""))</f>
        <v>Base case</v>
      </c>
      <c r="DP686" s="58">
        <f t="shared" si="1059"/>
        <v>1</v>
      </c>
      <c r="DW686" s="58" t="s">
        <v>58</v>
      </c>
      <c r="DX686" s="58" t="s">
        <v>617</v>
      </c>
      <c r="DY686" s="58">
        <v>0</v>
      </c>
      <c r="DZ686" s="58">
        <v>0</v>
      </c>
      <c r="EB686" s="58">
        <v>0</v>
      </c>
      <c r="EC686" s="58">
        <v>4</v>
      </c>
      <c r="ED686" s="58">
        <v>999</v>
      </c>
      <c r="EE686" s="58">
        <v>2</v>
      </c>
      <c r="EF686" s="58">
        <v>4</v>
      </c>
      <c r="EI686" s="58" t="s">
        <v>58</v>
      </c>
      <c r="EJ686" s="58" t="s">
        <v>617</v>
      </c>
      <c r="EK686" s="58">
        <v>0</v>
      </c>
      <c r="EL686" s="58">
        <v>0</v>
      </c>
      <c r="EN686" s="58">
        <v>0</v>
      </c>
      <c r="EO686" s="58">
        <v>4</v>
      </c>
      <c r="EP686" s="58">
        <v>999</v>
      </c>
      <c r="EQ686" s="58">
        <v>2</v>
      </c>
      <c r="ER686" s="58">
        <v>4</v>
      </c>
      <c r="EU686" s="58" t="str">
        <f t="shared" si="1111"/>
        <v>No</v>
      </c>
      <c r="EV686" s="58" t="str">
        <f t="shared" si="1112"/>
        <v xml:space="preserve">Post progression survival </v>
      </c>
      <c r="EW686" s="58">
        <f t="shared" si="1113"/>
        <v>0</v>
      </c>
      <c r="EX686" s="58">
        <f t="shared" si="1114"/>
        <v>0</v>
      </c>
      <c r="EZ686" s="58">
        <f t="shared" si="1115"/>
        <v>0</v>
      </c>
      <c r="FA686" s="58">
        <f t="shared" si="1116"/>
        <v>4</v>
      </c>
      <c r="FB686" s="58">
        <f>IF(i_eff_inputs_based_on_num=2,ED686,(INDEX(Lists!$L$51:$L$85,MATCH(BF329,Lists!$K$51:$K$85,0))))</f>
        <v>999</v>
      </c>
      <c r="FC686" s="58">
        <f>IF(i_eff_inputs_based_on_num=2,EE686,(INDEX(Lists!$L$51:$L$85,MATCH(BG329,Lists!$K$51:$K$85,0))))</f>
        <v>2</v>
      </c>
      <c r="FD686" s="58">
        <f>IF(i_eff_inputs_based_on_num=2,EF686,(INDEX(Lists!$L$51:$L$85,MATCH(BH329,Lists!$K$51:$K$85,0))))</f>
        <v>4</v>
      </c>
      <c r="FG686" s="58" t="str">
        <f t="shared" si="1117"/>
        <v>No</v>
      </c>
      <c r="FH686" s="58" t="str">
        <f t="shared" si="1118"/>
        <v xml:space="preserve">Post progression survival </v>
      </c>
      <c r="FI686" s="58">
        <f t="shared" si="1119"/>
        <v>0</v>
      </c>
      <c r="FJ686" s="58">
        <f t="shared" si="1120"/>
        <v>0</v>
      </c>
      <c r="FL686" s="58">
        <f t="shared" si="1121"/>
        <v>0</v>
      </c>
      <c r="FM686" s="58">
        <f t="shared" si="1122"/>
        <v>4</v>
      </c>
      <c r="FN686" s="58">
        <f>IF(i_eff_inputs_based_on_num=2,EP686,(INDEX(Lists!$L$51:$L$85,MATCH(BF329,Lists!$K$51:$K$85,0))))</f>
        <v>999</v>
      </c>
      <c r="FO686" s="58">
        <f>IF(i_eff_inputs_based_on_num=2,EQ686,(INDEX(Lists!$L$51:$L$85,MATCH(BG329,Lists!$K$51:$K$85,0))))</f>
        <v>2</v>
      </c>
      <c r="FP686" s="58">
        <f>IF(i_eff_inputs_based_on_num=2,ER686,(INDEX(Lists!$L$51:$L$85,MATCH(BH329,Lists!$K$51:$K$85,0))))</f>
        <v>4</v>
      </c>
      <c r="FT686" s="58">
        <f t="shared" si="1060"/>
        <v>0</v>
      </c>
      <c r="FW686" s="58">
        <f>IF(i_baseline_risk_from=2,'Effectiveness settings'!EW686,'Effectiveness settings'!FI686)</f>
        <v>0</v>
      </c>
      <c r="FX686" s="58">
        <f t="shared" si="1061"/>
        <v>0</v>
      </c>
      <c r="FY686" s="58">
        <f t="shared" si="1062"/>
        <v>0</v>
      </c>
      <c r="FZ686" s="58">
        <f t="shared" si="1063"/>
        <v>0</v>
      </c>
      <c r="GA686" s="58">
        <f t="shared" si="1064"/>
        <v>0</v>
      </c>
      <c r="GB686" s="58">
        <f t="shared" si="1065"/>
        <v>0</v>
      </c>
      <c r="GC686" s="58">
        <f t="shared" si="1066"/>
        <v>0</v>
      </c>
      <c r="GD686" s="58">
        <f t="shared" si="1067"/>
        <v>0</v>
      </c>
      <c r="GE686" s="58">
        <f>IF(AND(dd_CheckMate214_TTD="Yes",'Effectiveness settings'!BU686=2,'Effectiveness settings'!BX686=2),"Apply HR to",GD686)</f>
        <v>0</v>
      </c>
      <c r="GF686" s="58">
        <f t="shared" si="1068"/>
        <v>0</v>
      </c>
      <c r="GG686" s="58">
        <f t="shared" si="1069"/>
        <v>0</v>
      </c>
      <c r="GH686" s="58">
        <f t="shared" si="1070"/>
        <v>0</v>
      </c>
      <c r="GI686" s="58">
        <f t="shared" si="1034"/>
        <v>0</v>
      </c>
      <c r="GK686" s="58">
        <f>IF(i_baseline_risk_from=2,'Effectiveness settings'!FA686,'Effectiveness settings'!FM686)</f>
        <v>4</v>
      </c>
      <c r="GL686" s="58">
        <f>IF(i_baseline_risk_from=2,'Effectiveness settings'!FB686,'Effectiveness settings'!FN686)</f>
        <v>999</v>
      </c>
      <c r="GM686" s="58">
        <f>IF(i_baseline_risk_from=2,'Effectiveness settings'!FC686,'Effectiveness settings'!FO686)</f>
        <v>2</v>
      </c>
      <c r="GN686" s="58">
        <f>IF(i_baseline_risk_from=2,'Effectiveness settings'!FD686,'Effectiveness settings'!FP686)</f>
        <v>4</v>
      </c>
      <c r="GQ686" s="58">
        <f t="shared" si="1071"/>
        <v>999</v>
      </c>
      <c r="GR686" s="58">
        <f t="shared" si="1072"/>
        <v>999</v>
      </c>
      <c r="GS686" s="58">
        <f t="shared" si="1073"/>
        <v>999</v>
      </c>
      <c r="GT686" s="58">
        <f t="shared" si="1074"/>
        <v>999</v>
      </c>
      <c r="GU686" s="58">
        <f>IF(AND(dd_CheckMate214_TTD="Yes",'Effectiveness settings'!BU686=2,'Effectiveness settings'!BX686=2),2,GT686)</f>
        <v>999</v>
      </c>
      <c r="GV686" s="58">
        <f t="shared" si="1075"/>
        <v>999</v>
      </c>
      <c r="GW686" s="58">
        <f t="shared" si="1076"/>
        <v>999</v>
      </c>
      <c r="GY686" s="58">
        <f>IF(AND(dd_CheckMate214_TTD="Yes",'Effectiveness settings'!BU686=2,'Effectiveness settings'!BX686=2),1,GN686)</f>
        <v>4</v>
      </c>
      <c r="GZ686" s="58">
        <f t="shared" si="1077"/>
        <v>4</v>
      </c>
      <c r="HB686" s="58">
        <f t="shared" si="1078"/>
        <v>0</v>
      </c>
      <c r="HD686" s="58">
        <f t="shared" si="1029"/>
        <v>0</v>
      </c>
      <c r="HE686" s="58">
        <f t="shared" si="1030"/>
        <v>4</v>
      </c>
      <c r="HF686" s="58">
        <f t="shared" si="1031"/>
        <v>999</v>
      </c>
      <c r="HG686" s="58">
        <f t="shared" si="1032"/>
        <v>2</v>
      </c>
      <c r="HH686" s="58">
        <f t="shared" si="1033"/>
        <v>4</v>
      </c>
    </row>
    <row r="687" spans="69:216" ht="15.75" x14ac:dyDescent="0.25">
      <c r="BQ687" s="58">
        <f t="shared" si="1058"/>
        <v>418</v>
      </c>
      <c r="BR687" s="61">
        <v>0</v>
      </c>
      <c r="BS687" s="61" t="s">
        <v>31</v>
      </c>
      <c r="BT687" s="17">
        <v>4</v>
      </c>
      <c r="BU687" s="17">
        <v>11</v>
      </c>
      <c r="BV687" s="252" t="str">
        <f t="shared" si="1102"/>
        <v>axitinib</v>
      </c>
      <c r="BW687" s="1006" t="str" cm="1">
        <f t="array" ref="BW687">IF(AZ330="No",AZ330,INDEX(List_incl_anal_4L_all,IF(BU687=999,35,BU687+1)))</f>
        <v>No</v>
      </c>
      <c r="BX687" s="61">
        <f t="shared" si="1103"/>
        <v>4</v>
      </c>
      <c r="BY687" s="532" t="str">
        <f t="shared" si="1124"/>
        <v>Post progression survival</v>
      </c>
      <c r="BZ687" s="530">
        <f t="shared" si="1104"/>
        <v>0</v>
      </c>
      <c r="CA687" s="531">
        <f t="shared" si="1123"/>
        <v>0</v>
      </c>
      <c r="CB687" s="530">
        <f t="shared" si="1105"/>
        <v>0</v>
      </c>
      <c r="CC687" s="530">
        <f t="shared" si="1106"/>
        <v>4</v>
      </c>
      <c r="CD687" s="530">
        <f t="shared" si="1107"/>
        <v>999</v>
      </c>
      <c r="CE687" s="1295">
        <f t="shared" si="1108"/>
        <v>2</v>
      </c>
      <c r="CF687" s="1301">
        <f t="shared" si="1109"/>
        <v>4</v>
      </c>
      <c r="CG687" s="530" t="str">
        <f t="shared" si="1110"/>
        <v>Log-normal</v>
      </c>
      <c r="CH687" s="505">
        <f t="shared" si="1025"/>
        <v>0</v>
      </c>
      <c r="CI687" s="505">
        <f t="shared" si="1026"/>
        <v>0</v>
      </c>
      <c r="CJ687" s="505">
        <f t="shared" si="1027"/>
        <v>0</v>
      </c>
      <c r="DK687" s="58" t="str" cm="1">
        <f t="array" ref="DK687">IF(AND($BT687=4,$BX687=4,$BU687=999),$DB$36,_xlfn.IFNA(INDEX(DB$13:DB$70,MATCH(1,($BR687=$CV$13:$CV$70)*($BT687=$CX$13:$CX$70)*($CE687=$CY$13:$CY$70)*($BY687=$DA$13:$DA$70)*($CD687=$DH$13:$DH$70),0)),""))</f>
        <v>Log-normal</v>
      </c>
      <c r="DL687" s="58" t="str" cm="1">
        <f t="array" ref="DL687">IF(AND($BT687=4,$BX687=4,$BU687=999),$DC$36,_xlfn.IFNA(INDEX(CHOOSE(DP687,DB$13:DB$70,DC$13:DC$70,DD$13:DD$70,DE$13:DE$70),MATCH(1,($BR687=$CV$13:$CV$70)*($BT687=$CX$13:$CX$70)*($CE687=$CY$13:$CY$70)*($BY687=$DA$13:$DA$70)*($CD687=$DH$13:$DH$70),0)),""))</f>
        <v>Log-normal</v>
      </c>
      <c r="DM687" s="740" cm="1">
        <f t="array" ref="DM687">IF(AND($BT687=4,$BX687=4,$BU687=999),$DD$36,_xlfn.IFNA(INDEX(DD$13:DD$68,MATCH(1,($BR687=$CV$13:$CV$68)*($BT687=$CX$13:$CX$68)*($CE687=$CY$13:$CY$68)*($BY687=$DA$13:$DA$68)*($CD687=$DH$13:$DH$68),0)),""))</f>
        <v>0</v>
      </c>
      <c r="DN687" s="740" cm="1">
        <f t="array" ref="DN687">IF(AND($BT687=4,$BX687=4,$BU687=999),$DD$36,_xlfn.IFNA(INDEX(DE$13:DE$68,MATCH(1,($BR687=$CV$13:$CV$68)*($BT687=$CX$13:$CX$68)*($CE687=$CY$13:$CY$68)*($BY687=$DA$13:$DA$68)*($CD687=$DH$13:$DH$68),0)),""))</f>
        <v>0</v>
      </c>
      <c r="DO687" s="58" t="str" cm="1">
        <f t="array" ref="DO687">IF(AND($BT687=4,$BX687=4,$BU687=999),$DF$36,_xlfn.IFNA(INDEX(DF$13:DF$70,MATCH(1,($BR687=$CV$13:$CV$70)*($BT687=$CX$13:$CX$70)*($CE687=$CY$13:$CY$70)*($BY687=$DA$13:$DA$70)*($CD687=$DH$13:$DH$70),0)),""))</f>
        <v>Base case</v>
      </c>
      <c r="DP687" s="58">
        <f t="shared" si="1059"/>
        <v>1</v>
      </c>
      <c r="DW687" s="58" t="s">
        <v>58</v>
      </c>
      <c r="DX687" s="58" t="s">
        <v>617</v>
      </c>
      <c r="DY687" s="58">
        <v>0</v>
      </c>
      <c r="DZ687" s="58">
        <v>0</v>
      </c>
      <c r="EB687" s="58">
        <v>0</v>
      </c>
      <c r="EC687" s="58">
        <v>4</v>
      </c>
      <c r="ED687" s="58">
        <v>999</v>
      </c>
      <c r="EE687" s="58">
        <v>2</v>
      </c>
      <c r="EF687" s="58">
        <v>4</v>
      </c>
      <c r="EI687" s="58" t="s">
        <v>58</v>
      </c>
      <c r="EJ687" s="58" t="s">
        <v>617</v>
      </c>
      <c r="EK687" s="58">
        <v>0</v>
      </c>
      <c r="EL687" s="58">
        <v>0</v>
      </c>
      <c r="EN687" s="58">
        <v>0</v>
      </c>
      <c r="EO687" s="58">
        <v>4</v>
      </c>
      <c r="EP687" s="58">
        <v>999</v>
      </c>
      <c r="EQ687" s="58">
        <v>2</v>
      </c>
      <c r="ER687" s="58">
        <v>4</v>
      </c>
      <c r="EU687" s="58" t="str">
        <f t="shared" si="1111"/>
        <v>No</v>
      </c>
      <c r="EV687" s="58" t="str">
        <f t="shared" si="1112"/>
        <v xml:space="preserve">Post progression survival </v>
      </c>
      <c r="EW687" s="58">
        <f t="shared" si="1113"/>
        <v>0</v>
      </c>
      <c r="EX687" s="58">
        <f t="shared" si="1114"/>
        <v>0</v>
      </c>
      <c r="EZ687" s="58">
        <f t="shared" si="1115"/>
        <v>0</v>
      </c>
      <c r="FA687" s="58">
        <f t="shared" si="1116"/>
        <v>4</v>
      </c>
      <c r="FB687" s="58">
        <f>IF(i_eff_inputs_based_on_num=2,ED687,(INDEX(Lists!$L$51:$L$85,MATCH(BF330,Lists!$K$51:$K$85,0))))</f>
        <v>999</v>
      </c>
      <c r="FC687" s="58">
        <f>IF(i_eff_inputs_based_on_num=2,EE687,(INDEX(Lists!$L$51:$L$85,MATCH(BG330,Lists!$K$51:$K$85,0))))</f>
        <v>2</v>
      </c>
      <c r="FD687" s="58">
        <f>IF(i_eff_inputs_based_on_num=2,EF687,(INDEX(Lists!$L$51:$L$85,MATCH(BH330,Lists!$K$51:$K$85,0))))</f>
        <v>4</v>
      </c>
      <c r="FG687" s="58" t="str">
        <f t="shared" si="1117"/>
        <v>No</v>
      </c>
      <c r="FH687" s="58" t="str">
        <f t="shared" si="1118"/>
        <v xml:space="preserve">Post progression survival </v>
      </c>
      <c r="FI687" s="58">
        <f t="shared" si="1119"/>
        <v>0</v>
      </c>
      <c r="FJ687" s="58">
        <f t="shared" si="1120"/>
        <v>0</v>
      </c>
      <c r="FL687" s="58">
        <f t="shared" si="1121"/>
        <v>0</v>
      </c>
      <c r="FM687" s="58">
        <f t="shared" si="1122"/>
        <v>4</v>
      </c>
      <c r="FN687" s="58">
        <f>IF(i_eff_inputs_based_on_num=2,EP687,(INDEX(Lists!$L$51:$L$85,MATCH(BF330,Lists!$K$51:$K$85,0))))</f>
        <v>999</v>
      </c>
      <c r="FO687" s="58">
        <f>IF(i_eff_inputs_based_on_num=2,EQ687,(INDEX(Lists!$L$51:$L$85,MATCH(BG330,Lists!$K$51:$K$85,0))))</f>
        <v>2</v>
      </c>
      <c r="FP687" s="58">
        <f>IF(i_eff_inputs_based_on_num=2,ER687,(INDEX(Lists!$L$51:$L$85,MATCH(BH330,Lists!$K$51:$K$85,0))))</f>
        <v>4</v>
      </c>
      <c r="FT687" s="58">
        <f t="shared" si="1060"/>
        <v>0</v>
      </c>
      <c r="FW687" s="58">
        <f>IF(i_baseline_risk_from=2,'Effectiveness settings'!EW687,'Effectiveness settings'!FI687)</f>
        <v>0</v>
      </c>
      <c r="FX687" s="58">
        <f t="shared" si="1061"/>
        <v>0</v>
      </c>
      <c r="FY687" s="58">
        <f t="shared" si="1062"/>
        <v>0</v>
      </c>
      <c r="FZ687" s="58">
        <f t="shared" si="1063"/>
        <v>0</v>
      </c>
      <c r="GA687" s="58">
        <f t="shared" si="1064"/>
        <v>0</v>
      </c>
      <c r="GB687" s="58">
        <f t="shared" si="1065"/>
        <v>0</v>
      </c>
      <c r="GC687" s="58">
        <f t="shared" si="1066"/>
        <v>0</v>
      </c>
      <c r="GD687" s="58">
        <f t="shared" si="1067"/>
        <v>0</v>
      </c>
      <c r="GE687" s="58">
        <f>IF(AND(dd_CheckMate214_TTD="Yes",'Effectiveness settings'!BU687=2,'Effectiveness settings'!BX687=2),"Apply HR to",GD687)</f>
        <v>0</v>
      </c>
      <c r="GF687" s="58">
        <f t="shared" si="1068"/>
        <v>0</v>
      </c>
      <c r="GG687" s="58">
        <f t="shared" si="1069"/>
        <v>0</v>
      </c>
      <c r="GH687" s="58">
        <f t="shared" si="1070"/>
        <v>0</v>
      </c>
      <c r="GI687" s="58">
        <f t="shared" si="1034"/>
        <v>0</v>
      </c>
      <c r="GK687" s="58">
        <f>IF(i_baseline_risk_from=2,'Effectiveness settings'!FA687,'Effectiveness settings'!FM687)</f>
        <v>4</v>
      </c>
      <c r="GL687" s="58">
        <f>IF(i_baseline_risk_from=2,'Effectiveness settings'!FB687,'Effectiveness settings'!FN687)</f>
        <v>999</v>
      </c>
      <c r="GM687" s="58">
        <f>IF(i_baseline_risk_from=2,'Effectiveness settings'!FC687,'Effectiveness settings'!FO687)</f>
        <v>2</v>
      </c>
      <c r="GN687" s="58">
        <f>IF(i_baseline_risk_from=2,'Effectiveness settings'!FD687,'Effectiveness settings'!FP687)</f>
        <v>4</v>
      </c>
      <c r="GQ687" s="58">
        <f t="shared" si="1071"/>
        <v>999</v>
      </c>
      <c r="GR687" s="58">
        <f t="shared" si="1072"/>
        <v>999</v>
      </c>
      <c r="GS687" s="58">
        <f t="shared" si="1073"/>
        <v>999</v>
      </c>
      <c r="GT687" s="58">
        <f t="shared" si="1074"/>
        <v>999</v>
      </c>
      <c r="GU687" s="58">
        <f>IF(AND(dd_CheckMate214_TTD="Yes",'Effectiveness settings'!BU687=2,'Effectiveness settings'!BX687=2),2,GT687)</f>
        <v>999</v>
      </c>
      <c r="GV687" s="58">
        <f t="shared" si="1075"/>
        <v>999</v>
      </c>
      <c r="GW687" s="58">
        <f t="shared" si="1076"/>
        <v>999</v>
      </c>
      <c r="GY687" s="58">
        <f>IF(AND(dd_CheckMate214_TTD="Yes",'Effectiveness settings'!BU687=2,'Effectiveness settings'!BX687=2),1,GN687)</f>
        <v>4</v>
      </c>
      <c r="GZ687" s="58">
        <f t="shared" si="1077"/>
        <v>4</v>
      </c>
      <c r="HB687" s="58">
        <f t="shared" si="1078"/>
        <v>0</v>
      </c>
      <c r="HD687" s="58">
        <f t="shared" si="1029"/>
        <v>0</v>
      </c>
      <c r="HE687" s="58">
        <f t="shared" si="1030"/>
        <v>4</v>
      </c>
      <c r="HF687" s="58">
        <f t="shared" si="1031"/>
        <v>999</v>
      </c>
      <c r="HG687" s="58">
        <f t="shared" si="1032"/>
        <v>2</v>
      </c>
      <c r="HH687" s="58">
        <f t="shared" si="1033"/>
        <v>4</v>
      </c>
    </row>
    <row r="688" spans="69:216" ht="15.75" x14ac:dyDescent="0.25">
      <c r="BQ688" s="58">
        <f t="shared" si="1058"/>
        <v>419</v>
      </c>
      <c r="BR688" s="61">
        <v>0</v>
      </c>
      <c r="BS688" s="61" t="s">
        <v>31</v>
      </c>
      <c r="BT688" s="17">
        <v>4</v>
      </c>
      <c r="BU688" s="17">
        <v>12</v>
      </c>
      <c r="BV688" s="252" t="str">
        <f t="shared" si="1102"/>
        <v>sorafenib</v>
      </c>
      <c r="BW688" s="1006" t="str" cm="1">
        <f t="array" ref="BW688">IF(AZ331="No",AZ331,INDEX(List_incl_anal_4L_all,IF(BU688=999,35,BU688+1)))</f>
        <v>No</v>
      </c>
      <c r="BX688" s="61">
        <f t="shared" si="1103"/>
        <v>4</v>
      </c>
      <c r="BY688" s="532" t="str">
        <f t="shared" si="1124"/>
        <v>Post progression survival</v>
      </c>
      <c r="BZ688" s="530">
        <f t="shared" si="1104"/>
        <v>0</v>
      </c>
      <c r="CA688" s="531">
        <f t="shared" si="1123"/>
        <v>0</v>
      </c>
      <c r="CB688" s="530">
        <f t="shared" si="1105"/>
        <v>0</v>
      </c>
      <c r="CC688" s="530">
        <f t="shared" si="1106"/>
        <v>4</v>
      </c>
      <c r="CD688" s="530">
        <f t="shared" si="1107"/>
        <v>999</v>
      </c>
      <c r="CE688" s="1295">
        <f t="shared" si="1108"/>
        <v>2</v>
      </c>
      <c r="CF688" s="1301">
        <f t="shared" si="1109"/>
        <v>4</v>
      </c>
      <c r="CG688" s="530" t="str">
        <f t="shared" si="1110"/>
        <v>Log-normal</v>
      </c>
      <c r="CH688" s="505">
        <f t="shared" si="1025"/>
        <v>0</v>
      </c>
      <c r="CI688" s="505">
        <f t="shared" si="1026"/>
        <v>0</v>
      </c>
      <c r="CJ688" s="505">
        <f t="shared" si="1027"/>
        <v>0</v>
      </c>
      <c r="DK688" s="58" t="str" cm="1">
        <f t="array" ref="DK688">IF(AND($BT688=4,$BX688=4,$BU688=999),$DB$36,_xlfn.IFNA(INDEX(DB$13:DB$70,MATCH(1,($BR688=$CV$13:$CV$70)*($BT688=$CX$13:$CX$70)*($CE688=$CY$13:$CY$70)*($BY688=$DA$13:$DA$70)*($CD688=$DH$13:$DH$70),0)),""))</f>
        <v>Log-normal</v>
      </c>
      <c r="DL688" s="58" t="str" cm="1">
        <f t="array" ref="DL688">IF(AND($BT688=4,$BX688=4,$BU688=999),$DC$36,_xlfn.IFNA(INDEX(CHOOSE(DP688,DB$13:DB$70,DC$13:DC$70,DD$13:DD$70,DE$13:DE$70),MATCH(1,($BR688=$CV$13:$CV$70)*($BT688=$CX$13:$CX$70)*($CE688=$CY$13:$CY$70)*($BY688=$DA$13:$DA$70)*($CD688=$DH$13:$DH$70),0)),""))</f>
        <v>Log-normal</v>
      </c>
      <c r="DM688" s="740" cm="1">
        <f t="array" ref="DM688">IF(AND($BT688=4,$BX688=4,$BU688=999),$DD$36,_xlfn.IFNA(INDEX(DD$13:DD$68,MATCH(1,($BR688=$CV$13:$CV$68)*($BT688=$CX$13:$CX$68)*($CE688=$CY$13:$CY$68)*($BY688=$DA$13:$DA$68)*($CD688=$DH$13:$DH$68),0)),""))</f>
        <v>0</v>
      </c>
      <c r="DN688" s="740" cm="1">
        <f t="array" ref="DN688">IF(AND($BT688=4,$BX688=4,$BU688=999),$DD$36,_xlfn.IFNA(INDEX(DE$13:DE$68,MATCH(1,($BR688=$CV$13:$CV$68)*($BT688=$CX$13:$CX$68)*($CE688=$CY$13:$CY$68)*($BY688=$DA$13:$DA$68)*($CD688=$DH$13:$DH$68),0)),""))</f>
        <v>0</v>
      </c>
      <c r="DO688" s="58" t="str" cm="1">
        <f t="array" ref="DO688">IF(AND($BT688=4,$BX688=4,$BU688=999),$DF$36,_xlfn.IFNA(INDEX(DF$13:DF$70,MATCH(1,($BR688=$CV$13:$CV$70)*($BT688=$CX$13:$CX$70)*($CE688=$CY$13:$CY$70)*($BY688=$DA$13:$DA$70)*($CD688=$DH$13:$DH$70),0)),""))</f>
        <v>Base case</v>
      </c>
      <c r="DP688" s="58">
        <f t="shared" si="1059"/>
        <v>1</v>
      </c>
      <c r="DW688" s="58" t="s">
        <v>58</v>
      </c>
      <c r="DX688" s="58" t="s">
        <v>617</v>
      </c>
      <c r="DY688" s="58">
        <v>0</v>
      </c>
      <c r="DZ688" s="58">
        <v>0</v>
      </c>
      <c r="EB688" s="58">
        <v>0</v>
      </c>
      <c r="EC688" s="58">
        <v>4</v>
      </c>
      <c r="ED688" s="58">
        <v>999</v>
      </c>
      <c r="EE688" s="58">
        <v>2</v>
      </c>
      <c r="EF688" s="58">
        <v>4</v>
      </c>
      <c r="EI688" s="58" t="s">
        <v>58</v>
      </c>
      <c r="EJ688" s="58" t="s">
        <v>617</v>
      </c>
      <c r="EK688" s="58">
        <v>0</v>
      </c>
      <c r="EL688" s="58">
        <v>0</v>
      </c>
      <c r="EN688" s="58">
        <v>0</v>
      </c>
      <c r="EO688" s="58">
        <v>4</v>
      </c>
      <c r="EP688" s="58">
        <v>999</v>
      </c>
      <c r="EQ688" s="58">
        <v>2</v>
      </c>
      <c r="ER688" s="58">
        <v>4</v>
      </c>
      <c r="EU688" s="58" t="str">
        <f t="shared" si="1111"/>
        <v>No</v>
      </c>
      <c r="EV688" s="58" t="str">
        <f t="shared" si="1112"/>
        <v xml:space="preserve">Post progression survival </v>
      </c>
      <c r="EW688" s="58">
        <f t="shared" si="1113"/>
        <v>0</v>
      </c>
      <c r="EX688" s="58">
        <f t="shared" si="1114"/>
        <v>0</v>
      </c>
      <c r="EZ688" s="58">
        <f t="shared" si="1115"/>
        <v>0</v>
      </c>
      <c r="FA688" s="58">
        <f t="shared" si="1116"/>
        <v>4</v>
      </c>
      <c r="FB688" s="58">
        <f>IF(i_eff_inputs_based_on_num=2,ED688,(INDEX(Lists!$L$51:$L$85,MATCH(BF331,Lists!$K$51:$K$85,0))))</f>
        <v>999</v>
      </c>
      <c r="FC688" s="58">
        <f>IF(i_eff_inputs_based_on_num=2,EE688,(INDEX(Lists!$L$51:$L$85,MATCH(BG331,Lists!$K$51:$K$85,0))))</f>
        <v>2</v>
      </c>
      <c r="FD688" s="58">
        <f>IF(i_eff_inputs_based_on_num=2,EF688,(INDEX(Lists!$L$51:$L$85,MATCH(BH331,Lists!$K$51:$K$85,0))))</f>
        <v>4</v>
      </c>
      <c r="FG688" s="58" t="str">
        <f t="shared" si="1117"/>
        <v>No</v>
      </c>
      <c r="FH688" s="58" t="str">
        <f t="shared" si="1118"/>
        <v xml:space="preserve">Post progression survival </v>
      </c>
      <c r="FI688" s="58">
        <f t="shared" si="1119"/>
        <v>0</v>
      </c>
      <c r="FJ688" s="58">
        <f t="shared" si="1120"/>
        <v>0</v>
      </c>
      <c r="FL688" s="58">
        <f t="shared" si="1121"/>
        <v>0</v>
      </c>
      <c r="FM688" s="58">
        <f t="shared" si="1122"/>
        <v>4</v>
      </c>
      <c r="FN688" s="58">
        <f>IF(i_eff_inputs_based_on_num=2,EP688,(INDEX(Lists!$L$51:$L$85,MATCH(BF331,Lists!$K$51:$K$85,0))))</f>
        <v>999</v>
      </c>
      <c r="FO688" s="58">
        <f>IF(i_eff_inputs_based_on_num=2,EQ688,(INDEX(Lists!$L$51:$L$85,MATCH(BG331,Lists!$K$51:$K$85,0))))</f>
        <v>2</v>
      </c>
      <c r="FP688" s="58">
        <f>IF(i_eff_inputs_based_on_num=2,ER688,(INDEX(Lists!$L$51:$L$85,MATCH(BH331,Lists!$K$51:$K$85,0))))</f>
        <v>4</v>
      </c>
      <c r="FT688" s="58">
        <f t="shared" si="1060"/>
        <v>0</v>
      </c>
      <c r="FW688" s="58">
        <f>IF(i_baseline_risk_from=2,'Effectiveness settings'!EW688,'Effectiveness settings'!FI688)</f>
        <v>0</v>
      </c>
      <c r="FX688" s="58">
        <f t="shared" si="1061"/>
        <v>0</v>
      </c>
      <c r="FY688" s="58">
        <f t="shared" si="1062"/>
        <v>0</v>
      </c>
      <c r="FZ688" s="58">
        <f t="shared" si="1063"/>
        <v>0</v>
      </c>
      <c r="GA688" s="58">
        <f t="shared" si="1064"/>
        <v>0</v>
      </c>
      <c r="GB688" s="58">
        <f t="shared" si="1065"/>
        <v>0</v>
      </c>
      <c r="GC688" s="58">
        <f t="shared" si="1066"/>
        <v>0</v>
      </c>
      <c r="GD688" s="58">
        <f t="shared" si="1067"/>
        <v>0</v>
      </c>
      <c r="GE688" s="58">
        <f>IF(AND(dd_CheckMate214_TTD="Yes",'Effectiveness settings'!BU688=2,'Effectiveness settings'!BX688=2),"Apply HR to",GD688)</f>
        <v>0</v>
      </c>
      <c r="GF688" s="58">
        <f t="shared" si="1068"/>
        <v>0</v>
      </c>
      <c r="GG688" s="58">
        <f t="shared" si="1069"/>
        <v>0</v>
      </c>
      <c r="GH688" s="58">
        <f t="shared" si="1070"/>
        <v>0</v>
      </c>
      <c r="GI688" s="58">
        <f t="shared" si="1034"/>
        <v>0</v>
      </c>
      <c r="GK688" s="58">
        <f>IF(i_baseline_risk_from=2,'Effectiveness settings'!FA688,'Effectiveness settings'!FM688)</f>
        <v>4</v>
      </c>
      <c r="GL688" s="58">
        <f>IF(i_baseline_risk_from=2,'Effectiveness settings'!FB688,'Effectiveness settings'!FN688)</f>
        <v>999</v>
      </c>
      <c r="GM688" s="58">
        <f>IF(i_baseline_risk_from=2,'Effectiveness settings'!FC688,'Effectiveness settings'!FO688)</f>
        <v>2</v>
      </c>
      <c r="GN688" s="58">
        <f>IF(i_baseline_risk_from=2,'Effectiveness settings'!FD688,'Effectiveness settings'!FP688)</f>
        <v>4</v>
      </c>
      <c r="GQ688" s="58">
        <f t="shared" si="1071"/>
        <v>999</v>
      </c>
      <c r="GR688" s="58">
        <f t="shared" si="1072"/>
        <v>999</v>
      </c>
      <c r="GS688" s="58">
        <f t="shared" si="1073"/>
        <v>999</v>
      </c>
      <c r="GT688" s="58">
        <f t="shared" si="1074"/>
        <v>999</v>
      </c>
      <c r="GU688" s="58">
        <f>IF(AND(dd_CheckMate214_TTD="Yes",'Effectiveness settings'!BU688=2,'Effectiveness settings'!BX688=2),2,GT688)</f>
        <v>999</v>
      </c>
      <c r="GV688" s="58">
        <f t="shared" si="1075"/>
        <v>999</v>
      </c>
      <c r="GW688" s="58">
        <f t="shared" si="1076"/>
        <v>999</v>
      </c>
      <c r="GY688" s="58">
        <f>IF(AND(dd_CheckMate214_TTD="Yes",'Effectiveness settings'!BU688=2,'Effectiveness settings'!BX688=2),1,GN688)</f>
        <v>4</v>
      </c>
      <c r="GZ688" s="58">
        <f t="shared" si="1077"/>
        <v>4</v>
      </c>
      <c r="HB688" s="58">
        <f t="shared" si="1078"/>
        <v>0</v>
      </c>
      <c r="HD688" s="58">
        <f t="shared" si="1029"/>
        <v>0</v>
      </c>
      <c r="HE688" s="58">
        <f t="shared" si="1030"/>
        <v>4</v>
      </c>
      <c r="HF688" s="58">
        <f t="shared" si="1031"/>
        <v>999</v>
      </c>
      <c r="HG688" s="58">
        <f t="shared" si="1032"/>
        <v>2</v>
      </c>
      <c r="HH688" s="58">
        <f t="shared" si="1033"/>
        <v>4</v>
      </c>
    </row>
    <row r="689" spans="69:216" ht="15.75" x14ac:dyDescent="0.25">
      <c r="BQ689" s="58">
        <f t="shared" si="1058"/>
        <v>420</v>
      </c>
      <c r="BR689" s="61">
        <v>0</v>
      </c>
      <c r="BS689" s="61" t="s">
        <v>31</v>
      </c>
      <c r="BT689" s="17">
        <v>4</v>
      </c>
      <c r="BU689" s="17">
        <v>999</v>
      </c>
      <c r="BV689" s="252" t="str">
        <f t="shared" si="1102"/>
        <v>placebo_BSC</v>
      </c>
      <c r="BW689" s="1006" t="str" cm="1">
        <f t="array" ref="BW689">IF(AZ332="No",AZ332,INDEX(List_incl_anal_4L_all,IF(BU689=999,35,BU689+1)))</f>
        <v>Yes</v>
      </c>
      <c r="BX689" s="61">
        <f t="shared" si="1103"/>
        <v>4</v>
      </c>
      <c r="BY689" s="532" t="str">
        <f t="shared" si="1124"/>
        <v>Post progression survival</v>
      </c>
      <c r="BZ689" s="530" t="str">
        <f t="shared" si="1104"/>
        <v>Trial survival analysis</v>
      </c>
      <c r="CA689" s="531" t="str">
        <f t="shared" si="1123"/>
        <v>Real world evidence</v>
      </c>
      <c r="CB689" s="530">
        <f t="shared" si="1105"/>
        <v>0</v>
      </c>
      <c r="CC689" s="530">
        <f t="shared" si="1106"/>
        <v>4</v>
      </c>
      <c r="CD689" s="530">
        <f t="shared" si="1107"/>
        <v>999</v>
      </c>
      <c r="CE689" s="1295">
        <f t="shared" si="1108"/>
        <v>2</v>
      </c>
      <c r="CF689" s="1301">
        <f t="shared" si="1109"/>
        <v>4</v>
      </c>
      <c r="CG689" s="530" t="str">
        <f t="shared" si="1110"/>
        <v>Log-normal</v>
      </c>
      <c r="CH689" s="505">
        <f t="shared" si="1025"/>
        <v>0</v>
      </c>
      <c r="CI689" s="505">
        <f t="shared" si="1026"/>
        <v>0</v>
      </c>
      <c r="CJ689" s="505">
        <f t="shared" si="1027"/>
        <v>0</v>
      </c>
      <c r="DK689" s="58" t="str" cm="1">
        <f t="array" ref="DK689">IF(AND($BT689=4,$BX689=4,$BU689=999),$DB$36,_xlfn.IFNA(INDEX(DB$13:DB$70,MATCH(1,($BR689=$CV$13:$CV$70)*($BT689=$CX$13:$CX$70)*($CE689=$CY$13:$CY$70)*($BY689=$DA$13:$DA$70)*($CD689=$DH$13:$DH$70),0)),""))</f>
        <v>Log-normal</v>
      </c>
      <c r="DL689" s="58" t="str" cm="1">
        <f t="array" ref="DL689">IF(AND($BT689=4,$BX689=4,$BU689=999),$DC$36,_xlfn.IFNA(INDEX(CHOOSE(DP689,DB$13:DB$70,DC$13:DC$70,DD$13:DD$70,DE$13:DE$70),MATCH(1,($BR689=$CV$13:$CV$70)*($BT689=$CX$13:$CX$70)*($CE689=$CY$13:$CY$70)*($BY689=$DA$13:$DA$70)*($CD689=$DH$13:$DH$70),0)),""))</f>
        <v>Exponential</v>
      </c>
      <c r="DM689" s="740" cm="1">
        <f t="array" ref="DM689">IF(AND($BT689=4,$BX689=4,$BU689=999),$DD$36,_xlfn.IFNA(INDEX(DD$13:DD$68,MATCH(1,($BR689=$CV$13:$CV$68)*($BT689=$CX$13:$CX$68)*($CE689=$CY$13:$CY$68)*($BY689=$DA$13:$DA$68)*($CD689=$DH$13:$DH$68),0)),""))</f>
        <v>0</v>
      </c>
      <c r="DN689" s="740" cm="1">
        <f t="array" ref="DN689">IF(AND($BT689=4,$BX689=4,$BU689=999),$DD$36,_xlfn.IFNA(INDEX(DE$13:DE$68,MATCH(1,($BR689=$CV$13:$CV$68)*($BT689=$CX$13:$CX$68)*($CE689=$CY$13:$CY$68)*($BY689=$DA$13:$DA$68)*($CD689=$DH$13:$DH$68),0)),""))</f>
        <v>0</v>
      </c>
      <c r="DO689" s="58" t="str" cm="1">
        <f t="array" ref="DO689">IF(AND($BT689=4,$BX689=4,$BU689=999),$DF$36,_xlfn.IFNA(INDEX(DF$13:DF$70,MATCH(1,($BR689=$CV$13:$CV$70)*($BT689=$CX$13:$CX$70)*($CE689=$CY$13:$CY$70)*($BY689=$DA$13:$DA$70)*($CD689=$DH$13:$DH$70),0)),""))</f>
        <v>Base case</v>
      </c>
      <c r="DP689" s="58">
        <f t="shared" si="1059"/>
        <v>1</v>
      </c>
      <c r="DW689" s="58" t="s">
        <v>74</v>
      </c>
      <c r="DX689" s="58" t="s">
        <v>617</v>
      </c>
      <c r="DY689" s="58" t="s">
        <v>562</v>
      </c>
      <c r="DZ689" s="58" t="s">
        <v>547</v>
      </c>
      <c r="EB689" s="58">
        <v>0</v>
      </c>
      <c r="EC689" s="58">
        <v>4</v>
      </c>
      <c r="ED689" s="58">
        <v>999</v>
      </c>
      <c r="EE689" s="58">
        <v>2</v>
      </c>
      <c r="EF689" s="58">
        <v>4</v>
      </c>
      <c r="EI689" s="58" t="s">
        <v>74</v>
      </c>
      <c r="EJ689" s="58" t="s">
        <v>617</v>
      </c>
      <c r="EK689" s="58" t="s">
        <v>562</v>
      </c>
      <c r="EL689" s="58" t="s">
        <v>547</v>
      </c>
      <c r="EN689" s="58">
        <v>0</v>
      </c>
      <c r="EO689" s="58">
        <v>4</v>
      </c>
      <c r="EP689" s="58">
        <v>999</v>
      </c>
      <c r="EQ689" s="58">
        <v>2</v>
      </c>
      <c r="ER689" s="58">
        <v>4</v>
      </c>
      <c r="EU689" s="58" t="str">
        <f t="shared" si="1111"/>
        <v>Yes</v>
      </c>
      <c r="EV689" s="58" t="str">
        <f t="shared" si="1112"/>
        <v xml:space="preserve">Post progression survival </v>
      </c>
      <c r="EW689" s="58" t="str">
        <f t="shared" si="1113"/>
        <v>Trial survival analysis</v>
      </c>
      <c r="EX689" s="58" t="str">
        <f t="shared" si="1114"/>
        <v>Real world evidence</v>
      </c>
      <c r="EZ689" s="58">
        <f t="shared" si="1115"/>
        <v>0</v>
      </c>
      <c r="FA689" s="58">
        <f t="shared" si="1116"/>
        <v>4</v>
      </c>
      <c r="FB689" s="58">
        <f>IF(i_eff_inputs_based_on_num=2,ED689,(INDEX(Lists!$L$51:$L$85,MATCH(BF332,Lists!$K$51:$K$85,0))))</f>
        <v>999</v>
      </c>
      <c r="FC689" s="58">
        <f>IF(i_eff_inputs_based_on_num=2,EE689,(INDEX(Lists!$L$51:$L$85,MATCH(BG332,Lists!$K$51:$K$85,0))))</f>
        <v>2</v>
      </c>
      <c r="FD689" s="58">
        <f>IF(i_eff_inputs_based_on_num=2,EF689,(INDEX(Lists!$L$51:$L$85,MATCH(BH332,Lists!$K$51:$K$85,0))))</f>
        <v>4</v>
      </c>
      <c r="FG689" s="58" t="str">
        <f t="shared" si="1117"/>
        <v>Yes</v>
      </c>
      <c r="FH689" s="58" t="str">
        <f t="shared" si="1118"/>
        <v xml:space="preserve">Post progression survival </v>
      </c>
      <c r="FI689" s="58" t="str">
        <f t="shared" si="1119"/>
        <v>Trial survival analysis</v>
      </c>
      <c r="FJ689" s="58" t="str">
        <f t="shared" si="1120"/>
        <v>Real world evidence</v>
      </c>
      <c r="FL689" s="58">
        <f t="shared" si="1121"/>
        <v>0</v>
      </c>
      <c r="FM689" s="58">
        <f t="shared" si="1122"/>
        <v>4</v>
      </c>
      <c r="FN689" s="58">
        <f>IF(i_eff_inputs_based_on_num=2,EP689,(INDEX(Lists!$L$51:$L$85,MATCH(BF332,Lists!$K$51:$K$85,0))))</f>
        <v>999</v>
      </c>
      <c r="FO689" s="58">
        <f>IF(i_eff_inputs_based_on_num=2,EQ689,(INDEX(Lists!$L$51:$L$85,MATCH(BG332,Lists!$K$51:$K$85,0))))</f>
        <v>2</v>
      </c>
      <c r="FP689" s="58">
        <f>IF(i_eff_inputs_based_on_num=2,ER689,(INDEX(Lists!$L$51:$L$85,MATCH(BH332,Lists!$K$51:$K$85,0))))</f>
        <v>4</v>
      </c>
      <c r="FT689" s="58" t="str">
        <f t="shared" si="1060"/>
        <v>Real world evidence</v>
      </c>
      <c r="FW689" s="58" t="str">
        <f>IF(i_baseline_risk_from=2,'Effectiveness settings'!EW689,'Effectiveness settings'!FI689)</f>
        <v>Trial survival analysis</v>
      </c>
      <c r="FX689" s="58" t="str">
        <f t="shared" si="1061"/>
        <v>Trial survival analysis</v>
      </c>
      <c r="FY689" s="58" t="str">
        <f t="shared" si="1062"/>
        <v>Trial survival analysis</v>
      </c>
      <c r="FZ689" s="58" t="str">
        <f t="shared" si="1063"/>
        <v>Trial survival analysis</v>
      </c>
      <c r="GA689" s="58" t="str">
        <f t="shared" si="1064"/>
        <v>Trial survival analysis</v>
      </c>
      <c r="GB689" s="58" t="str">
        <f t="shared" si="1065"/>
        <v>Trial survival analysis</v>
      </c>
      <c r="GC689" s="58" t="str">
        <f t="shared" si="1066"/>
        <v>Trial survival analysis</v>
      </c>
      <c r="GD689" s="58" t="str">
        <f t="shared" si="1067"/>
        <v>Trial survival analysis</v>
      </c>
      <c r="GE689" s="58" t="str">
        <f>IF(AND(dd_CheckMate214_TTD="Yes",'Effectiveness settings'!BU689=2,'Effectiveness settings'!BX689=2),"Apply HR to",GD689)</f>
        <v>Trial survival analysis</v>
      </c>
      <c r="GF689" s="58" t="str">
        <f t="shared" si="1068"/>
        <v>Trial survival analysis</v>
      </c>
      <c r="GG689" s="58" t="str">
        <f t="shared" si="1069"/>
        <v>Trial survival analysis</v>
      </c>
      <c r="GH689" s="58" t="str">
        <f t="shared" si="1070"/>
        <v>Trial survival analysis</v>
      </c>
      <c r="GI689" s="58" t="str">
        <f t="shared" si="1034"/>
        <v>Trial survival analysis</v>
      </c>
      <c r="GK689" s="58">
        <f>IF(i_baseline_risk_from=2,'Effectiveness settings'!FA689,'Effectiveness settings'!FM689)</f>
        <v>4</v>
      </c>
      <c r="GL689" s="58">
        <f>IF(i_baseline_risk_from=2,'Effectiveness settings'!FB689,'Effectiveness settings'!FN689)</f>
        <v>999</v>
      </c>
      <c r="GM689" s="58">
        <f>IF(i_baseline_risk_from=2,'Effectiveness settings'!FC689,'Effectiveness settings'!FO689)</f>
        <v>2</v>
      </c>
      <c r="GN689" s="58">
        <f>IF(i_baseline_risk_from=2,'Effectiveness settings'!FD689,'Effectiveness settings'!FP689)</f>
        <v>4</v>
      </c>
      <c r="GQ689" s="58">
        <f t="shared" si="1071"/>
        <v>999</v>
      </c>
      <c r="GR689" s="58">
        <f t="shared" si="1072"/>
        <v>999</v>
      </c>
      <c r="GS689" s="58">
        <f t="shared" si="1073"/>
        <v>999</v>
      </c>
      <c r="GT689" s="58">
        <f t="shared" si="1074"/>
        <v>999</v>
      </c>
      <c r="GU689" s="58">
        <f>IF(AND(dd_CheckMate214_TTD="Yes",'Effectiveness settings'!BU689=2,'Effectiveness settings'!BX689=2),2,GT689)</f>
        <v>999</v>
      </c>
      <c r="GV689" s="58">
        <f t="shared" si="1075"/>
        <v>999</v>
      </c>
      <c r="GW689" s="58">
        <f t="shared" si="1076"/>
        <v>999</v>
      </c>
      <c r="GY689" s="58">
        <f>IF(AND(dd_CheckMate214_TTD="Yes",'Effectiveness settings'!BU689=2,'Effectiveness settings'!BX689=2),1,GN689)</f>
        <v>4</v>
      </c>
      <c r="GZ689" s="58">
        <f t="shared" si="1077"/>
        <v>4</v>
      </c>
      <c r="HB689" s="58">
        <f t="shared" si="1078"/>
        <v>0</v>
      </c>
      <c r="HD689" s="58">
        <f t="shared" si="1029"/>
        <v>0</v>
      </c>
      <c r="HE689" s="58">
        <f t="shared" si="1030"/>
        <v>4</v>
      </c>
      <c r="HF689" s="58">
        <f t="shared" si="1031"/>
        <v>999</v>
      </c>
      <c r="HG689" s="58">
        <f t="shared" si="1032"/>
        <v>2</v>
      </c>
      <c r="HH689" s="58">
        <f t="shared" si="1033"/>
        <v>4</v>
      </c>
    </row>
    <row r="690" spans="69:216" ht="15.75" x14ac:dyDescent="0.25">
      <c r="BR690" s="61"/>
      <c r="BS690" s="61"/>
      <c r="BT690" s="17"/>
      <c r="BU690" s="61"/>
      <c r="BV690" s="252"/>
      <c r="BW690" s="252"/>
      <c r="BX690" s="61"/>
      <c r="BY690" s="532"/>
      <c r="BZ690" s="529"/>
      <c r="CA690" s="532"/>
      <c r="CB690" s="529"/>
      <c r="CC690" s="529"/>
      <c r="CD690" s="529"/>
      <c r="CE690" s="529"/>
      <c r="CF690" s="532"/>
      <c r="CG690" s="505"/>
      <c r="CH690" s="505"/>
      <c r="CI690" s="505"/>
      <c r="CJ690" s="505"/>
    </row>
    <row r="691" spans="69:216" ht="15.75" x14ac:dyDescent="0.25">
      <c r="BR691" s="61"/>
      <c r="BS691" s="61"/>
      <c r="BT691" s="17"/>
      <c r="BU691" s="17"/>
      <c r="BV691" s="252"/>
      <c r="BW691" s="252"/>
      <c r="BX691" s="61"/>
      <c r="BY691" s="532"/>
      <c r="BZ691" s="529"/>
      <c r="CA691" s="532"/>
      <c r="CB691" s="529"/>
      <c r="CC691" s="529"/>
      <c r="CD691" s="529"/>
      <c r="CE691" s="529"/>
      <c r="CF691" s="532"/>
      <c r="CG691" s="505"/>
      <c r="CH691" s="505"/>
      <c r="CI691" s="505"/>
      <c r="CJ691" s="505"/>
    </row>
    <row r="692" spans="69:216" ht="15.75" x14ac:dyDescent="0.25">
      <c r="BR692" s="61"/>
      <c r="BS692" s="61"/>
      <c r="BT692" s="17"/>
      <c r="BU692" s="17"/>
      <c r="BV692" s="252"/>
      <c r="BW692" s="252"/>
      <c r="BX692" s="61"/>
      <c r="BY692" s="532"/>
      <c r="BZ692" s="529"/>
      <c r="CA692" s="532"/>
      <c r="CB692" s="529"/>
      <c r="CC692" s="529"/>
      <c r="CD692" s="529"/>
      <c r="CE692" s="529"/>
      <c r="CF692" s="532"/>
      <c r="CG692" s="505"/>
      <c r="CH692" s="505"/>
      <c r="CI692" s="505"/>
      <c r="CJ692" s="505"/>
    </row>
    <row r="693" spans="69:216" ht="15.75" x14ac:dyDescent="0.25">
      <c r="BR693" s="61"/>
      <c r="BS693" s="61"/>
      <c r="BT693" s="17"/>
      <c r="BU693" s="17"/>
      <c r="BV693" s="252"/>
      <c r="BW693" s="252"/>
      <c r="BX693" s="61"/>
      <c r="BY693" s="532"/>
      <c r="BZ693" s="529"/>
      <c r="CA693" s="532"/>
      <c r="CB693" s="529"/>
      <c r="CC693" s="529"/>
      <c r="CD693" s="529"/>
      <c r="CE693" s="529"/>
      <c r="CF693" s="532"/>
      <c r="CG693" s="505"/>
      <c r="CH693" s="505"/>
      <c r="CI693" s="505"/>
      <c r="CJ693" s="505"/>
    </row>
    <row r="694" spans="69:216" ht="15.75" x14ac:dyDescent="0.25">
      <c r="BR694" s="61"/>
      <c r="BS694" s="61"/>
      <c r="BT694" s="17"/>
      <c r="BU694" s="17"/>
      <c r="BV694" s="252"/>
      <c r="BW694" s="252"/>
      <c r="BX694" s="61"/>
      <c r="BY694" s="532"/>
      <c r="BZ694" s="529"/>
      <c r="CA694" s="532"/>
      <c r="CB694" s="529"/>
      <c r="CC694" s="529"/>
      <c r="CD694" s="529"/>
      <c r="CE694" s="529"/>
      <c r="CF694" s="532"/>
      <c r="CG694" s="505"/>
      <c r="CH694" s="505"/>
      <c r="CI694" s="505"/>
      <c r="CJ694" s="505"/>
    </row>
    <row r="695" spans="69:216" ht="15.75" x14ac:dyDescent="0.25">
      <c r="BR695" s="61"/>
      <c r="BS695" s="61"/>
      <c r="BT695" s="17"/>
      <c r="BU695" s="17"/>
      <c r="BV695" s="252"/>
      <c r="BW695" s="252"/>
      <c r="BX695" s="61"/>
      <c r="BY695" s="532"/>
      <c r="BZ695" s="529"/>
      <c r="CA695" s="532"/>
      <c r="CB695" s="529"/>
      <c r="CC695" s="529"/>
      <c r="CD695" s="529"/>
      <c r="CE695" s="529"/>
      <c r="CF695" s="532"/>
      <c r="CG695" s="505"/>
      <c r="CH695" s="505"/>
      <c r="CI695" s="505"/>
      <c r="CJ695" s="505"/>
    </row>
    <row r="696" spans="69:216" ht="15.75" x14ac:dyDescent="0.25">
      <c r="BR696" s="61"/>
      <c r="BS696" s="61"/>
      <c r="BT696" s="17"/>
      <c r="BU696" s="17"/>
      <c r="BV696" s="252"/>
      <c r="BW696" s="252"/>
      <c r="BX696" s="61"/>
      <c r="BY696" s="532"/>
      <c r="BZ696" s="529"/>
      <c r="CA696" s="532"/>
      <c r="CB696" s="529"/>
      <c r="CC696" s="529"/>
      <c r="CD696" s="529"/>
      <c r="CE696" s="529"/>
      <c r="CF696" s="532"/>
      <c r="CG696" s="505"/>
      <c r="CH696" s="505"/>
      <c r="CI696" s="505"/>
      <c r="CJ696" s="505"/>
    </row>
    <row r="697" spans="69:216" ht="15.75" x14ac:dyDescent="0.25">
      <c r="BR697" s="61"/>
      <c r="BS697" s="61"/>
      <c r="BT697" s="17"/>
      <c r="BU697" s="17"/>
      <c r="BV697" s="252"/>
      <c r="BW697" s="252"/>
      <c r="BX697" s="61"/>
      <c r="BY697" s="532"/>
      <c r="BZ697" s="529"/>
      <c r="CA697" s="532"/>
      <c r="CB697" s="529"/>
      <c r="CC697" s="529"/>
      <c r="CD697" s="529"/>
      <c r="CE697" s="529"/>
      <c r="CF697" s="532"/>
      <c r="CG697" s="505"/>
      <c r="CH697" s="505"/>
      <c r="CI697" s="505"/>
      <c r="CJ697" s="505"/>
    </row>
    <row r="698" spans="69:216" ht="15.75" x14ac:dyDescent="0.25">
      <c r="BR698" s="61"/>
      <c r="BS698" s="61"/>
      <c r="BT698" s="17"/>
      <c r="BU698" s="17"/>
      <c r="BV698" s="252"/>
      <c r="BW698" s="252"/>
      <c r="BX698" s="61"/>
      <c r="BY698" s="532"/>
      <c r="BZ698" s="529"/>
      <c r="CA698" s="532"/>
      <c r="CB698" s="529"/>
      <c r="CC698" s="529"/>
      <c r="CD698" s="529"/>
      <c r="CE698" s="529"/>
      <c r="CF698" s="532"/>
      <c r="CG698" s="505"/>
      <c r="CH698" s="505"/>
      <c r="CI698" s="505"/>
      <c r="CJ698" s="505"/>
    </row>
    <row r="699" spans="69:216" ht="15.75" x14ac:dyDescent="0.25">
      <c r="BR699" s="61"/>
      <c r="BS699" s="61"/>
      <c r="BT699" s="17"/>
      <c r="BU699" s="17"/>
      <c r="BV699" s="252"/>
      <c r="BW699" s="252"/>
      <c r="BX699" s="61"/>
      <c r="BY699" s="532"/>
      <c r="BZ699" s="529"/>
      <c r="CA699" s="532"/>
      <c r="CB699" s="529"/>
      <c r="CC699" s="529"/>
      <c r="CD699" s="529"/>
      <c r="CE699" s="529"/>
      <c r="CF699" s="532"/>
      <c r="CG699" s="505"/>
      <c r="CH699" s="505"/>
      <c r="CI699" s="505"/>
      <c r="CJ699" s="505"/>
    </row>
    <row r="700" spans="69:216" ht="15.75" x14ac:dyDescent="0.25">
      <c r="BR700" s="61"/>
      <c r="BS700" s="61"/>
      <c r="BT700" s="17"/>
      <c r="BU700" s="17"/>
      <c r="BV700" s="252"/>
      <c r="BW700" s="252"/>
      <c r="BX700" s="61"/>
      <c r="BY700" s="532"/>
      <c r="BZ700" s="529"/>
      <c r="CA700" s="532"/>
      <c r="CB700" s="529"/>
      <c r="CC700" s="529"/>
      <c r="CD700" s="529"/>
      <c r="CE700" s="529"/>
      <c r="CF700" s="532"/>
      <c r="CG700" s="505"/>
      <c r="CH700" s="505"/>
      <c r="CI700" s="505"/>
      <c r="CJ700" s="505"/>
    </row>
    <row r="701" spans="69:216" ht="15.75" x14ac:dyDescent="0.25">
      <c r="BR701" s="61"/>
      <c r="BS701" s="61"/>
      <c r="BT701" s="17"/>
      <c r="BU701" s="17"/>
      <c r="BV701" s="252"/>
      <c r="BW701" s="252"/>
      <c r="BX701" s="61"/>
      <c r="BY701" s="532"/>
      <c r="BZ701" s="529"/>
      <c r="CA701" s="532"/>
      <c r="CB701" s="529"/>
      <c r="CC701" s="529"/>
      <c r="CD701" s="529"/>
      <c r="CE701" s="529"/>
      <c r="CF701" s="532"/>
      <c r="CG701" s="505"/>
      <c r="CH701" s="505"/>
      <c r="CI701" s="505"/>
      <c r="CJ701" s="505"/>
    </row>
    <row r="702" spans="69:216" ht="15.75" x14ac:dyDescent="0.25">
      <c r="BR702" s="61"/>
      <c r="BS702" s="61"/>
      <c r="BT702" s="17"/>
      <c r="BU702" s="17"/>
      <c r="BV702" s="252"/>
      <c r="BW702" s="252"/>
      <c r="BX702" s="61"/>
      <c r="BY702" s="532"/>
      <c r="BZ702" s="529"/>
      <c r="CA702" s="532"/>
      <c r="CB702" s="529"/>
      <c r="CC702" s="529"/>
      <c r="CD702" s="529"/>
      <c r="CE702" s="529"/>
      <c r="CF702" s="532"/>
      <c r="CG702" s="505"/>
      <c r="CH702" s="505"/>
      <c r="CI702" s="505"/>
      <c r="CJ702" s="505"/>
    </row>
    <row r="703" spans="69:216" ht="15.75" x14ac:dyDescent="0.25">
      <c r="BR703" s="61"/>
      <c r="BS703" s="61"/>
      <c r="BT703" s="17"/>
      <c r="BU703" s="17"/>
      <c r="BV703" s="252"/>
      <c r="BW703" s="252"/>
      <c r="BX703" s="61"/>
      <c r="BY703" s="532"/>
      <c r="BZ703" s="529"/>
      <c r="CA703" s="532"/>
      <c r="CB703" s="529"/>
      <c r="CC703" s="529"/>
      <c r="CD703" s="529"/>
      <c r="CE703" s="529"/>
      <c r="CF703" s="532"/>
      <c r="CG703" s="505"/>
      <c r="CH703" s="505"/>
      <c r="CI703" s="505"/>
      <c r="CJ703" s="505"/>
    </row>
    <row r="704" spans="69:216" ht="15.75" x14ac:dyDescent="0.25">
      <c r="BR704" s="61"/>
      <c r="BS704" s="61"/>
      <c r="BT704" s="17"/>
      <c r="BU704" s="17"/>
      <c r="BV704" s="252"/>
      <c r="BW704" s="252"/>
      <c r="BX704" s="61"/>
      <c r="BY704" s="532"/>
      <c r="BZ704" s="529"/>
      <c r="CA704" s="532"/>
      <c r="CB704" s="529"/>
      <c r="CC704" s="529"/>
      <c r="CD704" s="529"/>
      <c r="CE704" s="529"/>
      <c r="CF704" s="532"/>
      <c r="CG704" s="505"/>
      <c r="CH704" s="505"/>
      <c r="CI704" s="505"/>
      <c r="CJ704" s="505"/>
    </row>
    <row r="705" spans="70:88" ht="15.75" x14ac:dyDescent="0.25">
      <c r="BR705" s="61"/>
      <c r="BS705" s="61"/>
      <c r="BT705" s="17"/>
      <c r="BU705" s="61"/>
      <c r="BV705" s="252"/>
      <c r="BW705" s="252"/>
      <c r="BX705" s="61"/>
      <c r="BY705" s="532"/>
      <c r="BZ705" s="529"/>
      <c r="CA705" s="532"/>
      <c r="CB705" s="529"/>
      <c r="CC705" s="529"/>
      <c r="CD705" s="529"/>
      <c r="CE705" s="529"/>
      <c r="CF705" s="532"/>
      <c r="CG705" s="505"/>
      <c r="CH705" s="505"/>
      <c r="CI705" s="505"/>
      <c r="CJ705" s="505"/>
    </row>
    <row r="706" spans="70:88" ht="15.75" x14ac:dyDescent="0.25">
      <c r="BR706" s="61"/>
      <c r="BS706" s="61"/>
      <c r="BT706" s="17"/>
      <c r="BU706" s="17"/>
      <c r="BV706" s="252"/>
      <c r="BW706" s="252"/>
      <c r="BX706" s="61"/>
      <c r="BY706" s="532"/>
      <c r="BZ706" s="529"/>
      <c r="CA706" s="532"/>
      <c r="CB706" s="529"/>
      <c r="CC706" s="529"/>
      <c r="CD706" s="529"/>
      <c r="CE706" s="529"/>
      <c r="CF706" s="532"/>
      <c r="CG706" s="505"/>
      <c r="CH706" s="505"/>
      <c r="CI706" s="505"/>
      <c r="CJ706" s="505"/>
    </row>
    <row r="707" spans="70:88" ht="15.75" x14ac:dyDescent="0.25">
      <c r="BR707" s="61"/>
      <c r="BS707" s="61"/>
      <c r="BT707" s="17"/>
      <c r="BU707" s="17"/>
      <c r="BV707" s="252"/>
      <c r="BW707" s="252"/>
      <c r="BX707" s="61"/>
      <c r="BY707" s="532"/>
      <c r="BZ707" s="529"/>
      <c r="CA707" s="532"/>
      <c r="CB707" s="529"/>
      <c r="CC707" s="529"/>
      <c r="CD707" s="529"/>
      <c r="CE707" s="529"/>
      <c r="CF707" s="532"/>
      <c r="CG707" s="505"/>
      <c r="CH707" s="505"/>
      <c r="CI707" s="505"/>
      <c r="CJ707" s="505"/>
    </row>
    <row r="708" spans="70:88" ht="15.75" x14ac:dyDescent="0.25">
      <c r="BR708" s="61"/>
      <c r="BS708" s="61"/>
      <c r="BT708" s="17"/>
      <c r="BU708" s="17"/>
      <c r="BV708" s="252"/>
      <c r="BW708" s="252"/>
      <c r="BX708" s="61"/>
      <c r="BY708" s="532"/>
      <c r="BZ708" s="529"/>
      <c r="CA708" s="532"/>
      <c r="CB708" s="529"/>
      <c r="CC708" s="529"/>
      <c r="CD708" s="529"/>
      <c r="CE708" s="529"/>
      <c r="CF708" s="532"/>
      <c r="CG708" s="505"/>
      <c r="CH708" s="505"/>
      <c r="CI708" s="505"/>
      <c r="CJ708" s="505"/>
    </row>
    <row r="709" spans="70:88" ht="15.75" x14ac:dyDescent="0.25">
      <c r="BR709" s="61"/>
      <c r="BS709" s="61"/>
      <c r="BT709" s="17"/>
      <c r="BU709" s="17"/>
      <c r="BV709" s="252"/>
      <c r="BW709" s="252"/>
      <c r="BX709" s="61"/>
      <c r="BY709" s="532"/>
      <c r="BZ709" s="529"/>
      <c r="CA709" s="532"/>
      <c r="CB709" s="529"/>
      <c r="CC709" s="529"/>
      <c r="CD709" s="529"/>
      <c r="CE709" s="529"/>
      <c r="CF709" s="532"/>
      <c r="CG709" s="505"/>
      <c r="CH709" s="505"/>
      <c r="CI709" s="505"/>
      <c r="CJ709" s="505"/>
    </row>
    <row r="710" spans="70:88" ht="15.75" x14ac:dyDescent="0.25">
      <c r="BR710" s="61"/>
      <c r="BS710" s="61"/>
      <c r="BT710" s="17"/>
      <c r="BU710" s="17"/>
      <c r="BV710" s="252"/>
      <c r="BW710" s="252"/>
      <c r="BX710" s="61"/>
      <c r="BY710" s="532"/>
      <c r="BZ710" s="529"/>
      <c r="CA710" s="532"/>
      <c r="CB710" s="529"/>
      <c r="CC710" s="529"/>
      <c r="CD710" s="529"/>
      <c r="CE710" s="529"/>
      <c r="CF710" s="532"/>
      <c r="CG710" s="505"/>
      <c r="CH710" s="505"/>
      <c r="CI710" s="505"/>
      <c r="CJ710" s="505"/>
    </row>
    <row r="711" spans="70:88" ht="15.75" x14ac:dyDescent="0.25">
      <c r="BR711" s="61"/>
      <c r="BS711" s="61"/>
      <c r="BT711" s="17"/>
      <c r="BU711" s="17"/>
      <c r="BV711" s="252"/>
      <c r="BW711" s="252"/>
      <c r="BX711" s="61"/>
      <c r="BY711" s="532"/>
      <c r="BZ711" s="529"/>
      <c r="CA711" s="532"/>
      <c r="CB711" s="529"/>
      <c r="CC711" s="529"/>
      <c r="CD711" s="529"/>
      <c r="CE711" s="529"/>
      <c r="CF711" s="532"/>
      <c r="CG711" s="505"/>
      <c r="CH711" s="505"/>
      <c r="CI711" s="505"/>
      <c r="CJ711" s="505"/>
    </row>
    <row r="712" spans="70:88" ht="15.75" x14ac:dyDescent="0.25">
      <c r="BR712" s="61"/>
      <c r="BS712" s="61"/>
      <c r="BT712" s="17"/>
      <c r="BU712" s="17"/>
      <c r="BV712" s="252"/>
      <c r="BW712" s="252"/>
      <c r="BX712" s="61"/>
      <c r="BY712" s="532"/>
      <c r="BZ712" s="529"/>
      <c r="CA712" s="532"/>
      <c r="CB712" s="529"/>
      <c r="CC712" s="529"/>
      <c r="CD712" s="529"/>
      <c r="CE712" s="529"/>
      <c r="CF712" s="532"/>
      <c r="CG712" s="505"/>
      <c r="CH712" s="505"/>
      <c r="CI712" s="505"/>
      <c r="CJ712" s="505"/>
    </row>
    <row r="713" spans="70:88" ht="15.75" x14ac:dyDescent="0.25">
      <c r="BR713" s="61"/>
      <c r="BS713" s="61"/>
      <c r="BT713" s="17"/>
      <c r="BU713" s="17"/>
      <c r="BV713" s="252"/>
      <c r="BW713" s="252"/>
      <c r="BX713" s="61"/>
      <c r="BY713" s="532"/>
      <c r="BZ713" s="529"/>
      <c r="CA713" s="532"/>
      <c r="CB713" s="529"/>
      <c r="CC713" s="529"/>
      <c r="CD713" s="529"/>
      <c r="CE713" s="529"/>
      <c r="CF713" s="532"/>
      <c r="CG713" s="505"/>
      <c r="CH713" s="505"/>
      <c r="CI713" s="505"/>
      <c r="CJ713" s="505"/>
    </row>
    <row r="714" spans="70:88" ht="15.75" x14ac:dyDescent="0.25">
      <c r="BR714" s="61"/>
      <c r="BS714" s="61"/>
      <c r="BT714" s="17"/>
      <c r="BU714" s="17"/>
      <c r="BV714" s="252"/>
      <c r="BW714" s="252"/>
      <c r="BX714" s="61"/>
      <c r="BY714" s="532"/>
      <c r="BZ714" s="529"/>
      <c r="CA714" s="532"/>
      <c r="CB714" s="529"/>
      <c r="CC714" s="529"/>
      <c r="CD714" s="529"/>
      <c r="CE714" s="529"/>
      <c r="CF714" s="532"/>
      <c r="CG714" s="505"/>
      <c r="CH714" s="505"/>
      <c r="CI714" s="505"/>
      <c r="CJ714" s="505"/>
    </row>
    <row r="715" spans="70:88" ht="15.75" x14ac:dyDescent="0.25">
      <c r="BR715" s="61"/>
      <c r="BS715" s="61"/>
      <c r="BT715" s="17"/>
      <c r="BU715" s="17"/>
      <c r="BV715" s="252"/>
      <c r="BW715" s="252"/>
      <c r="BX715" s="61"/>
      <c r="BY715" s="532"/>
      <c r="BZ715" s="529"/>
      <c r="CA715" s="532"/>
      <c r="CB715" s="529"/>
      <c r="CC715" s="529"/>
      <c r="CD715" s="529"/>
      <c r="CE715" s="529"/>
      <c r="CF715" s="532"/>
      <c r="CG715" s="505"/>
      <c r="CH715" s="505"/>
      <c r="CI715" s="505"/>
      <c r="CJ715" s="505"/>
    </row>
    <row r="716" spans="70:88" ht="15.75" x14ac:dyDescent="0.25">
      <c r="BR716" s="61"/>
      <c r="BS716" s="61"/>
      <c r="BT716" s="17"/>
      <c r="BU716" s="17"/>
      <c r="BV716" s="252"/>
      <c r="BW716" s="252"/>
      <c r="BX716" s="61"/>
      <c r="BY716" s="532"/>
      <c r="BZ716" s="529"/>
      <c r="CA716" s="532"/>
      <c r="CB716" s="529"/>
      <c r="CC716" s="529"/>
      <c r="CD716" s="529"/>
      <c r="CE716" s="529"/>
      <c r="CF716" s="532"/>
      <c r="CG716" s="505"/>
      <c r="CH716" s="505"/>
      <c r="CI716" s="505"/>
      <c r="CJ716" s="505"/>
    </row>
    <row r="717" spans="70:88" ht="15.75" x14ac:dyDescent="0.25">
      <c r="BR717" s="61"/>
      <c r="BS717" s="61"/>
      <c r="BT717" s="17"/>
      <c r="BU717" s="17"/>
      <c r="BV717" s="252"/>
      <c r="BW717" s="252"/>
      <c r="BX717" s="61"/>
      <c r="BY717" s="532"/>
      <c r="BZ717" s="529"/>
      <c r="CA717" s="532"/>
      <c r="CB717" s="529"/>
      <c r="CC717" s="529"/>
      <c r="CD717" s="529"/>
      <c r="CE717" s="529"/>
      <c r="CF717" s="532"/>
      <c r="CG717" s="505"/>
      <c r="CH717" s="505"/>
      <c r="CI717" s="505"/>
      <c r="CJ717" s="505"/>
    </row>
    <row r="718" spans="70:88" ht="15.75" x14ac:dyDescent="0.25">
      <c r="BR718" s="61"/>
      <c r="BS718" s="61"/>
      <c r="BT718" s="17"/>
      <c r="BU718" s="17"/>
      <c r="BV718" s="252"/>
      <c r="BW718" s="252"/>
      <c r="BX718" s="61"/>
      <c r="BY718" s="532"/>
      <c r="BZ718" s="529"/>
      <c r="CA718" s="532"/>
      <c r="CB718" s="529"/>
      <c r="CC718" s="529"/>
      <c r="CD718" s="529"/>
      <c r="CE718" s="529"/>
      <c r="CF718" s="532"/>
      <c r="CG718" s="505"/>
      <c r="CH718" s="505"/>
      <c r="CI718" s="505"/>
      <c r="CJ718" s="505"/>
    </row>
    <row r="719" spans="70:88" ht="15.75" x14ac:dyDescent="0.25">
      <c r="BR719" s="61"/>
      <c r="BS719" s="61"/>
      <c r="BT719" s="17"/>
      <c r="BU719" s="17"/>
      <c r="BV719" s="252"/>
      <c r="BW719" s="252"/>
      <c r="BX719" s="61"/>
      <c r="BY719" s="532"/>
      <c r="BZ719" s="529"/>
      <c r="CA719" s="532"/>
      <c r="CB719" s="529"/>
      <c r="CC719" s="529"/>
      <c r="CD719" s="529"/>
      <c r="CE719" s="529"/>
      <c r="CF719" s="532"/>
      <c r="CG719" s="505"/>
      <c r="CH719" s="505"/>
      <c r="CI719" s="505"/>
      <c r="CJ719" s="505"/>
    </row>
    <row r="720" spans="70:88" ht="15.75" x14ac:dyDescent="0.25">
      <c r="BR720" s="61"/>
      <c r="BS720" s="61"/>
      <c r="BT720" s="17"/>
      <c r="BU720" s="61"/>
      <c r="BV720" s="252"/>
      <c r="BW720" s="252"/>
      <c r="BX720" s="61"/>
      <c r="BY720" s="532"/>
      <c r="BZ720" s="529"/>
      <c r="CA720" s="532"/>
      <c r="CB720" s="529"/>
      <c r="CC720" s="529"/>
      <c r="CD720" s="529"/>
      <c r="CE720" s="529"/>
      <c r="CF720" s="532"/>
      <c r="CG720" s="505"/>
      <c r="CH720" s="505"/>
      <c r="CI720" s="505"/>
      <c r="CJ720" s="505"/>
    </row>
    <row r="721" spans="70:88" ht="15.75" x14ac:dyDescent="0.25">
      <c r="BR721" s="61"/>
      <c r="BS721" s="61"/>
      <c r="BT721" s="17"/>
      <c r="BU721" s="17"/>
      <c r="BV721" s="252"/>
      <c r="BW721" s="252"/>
      <c r="BX721" s="61"/>
      <c r="BY721" s="532"/>
      <c r="BZ721" s="529"/>
      <c r="CA721" s="532"/>
      <c r="CB721" s="529"/>
      <c r="CC721" s="529"/>
      <c r="CD721" s="529"/>
      <c r="CE721" s="529"/>
      <c r="CF721" s="532"/>
      <c r="CG721" s="505"/>
      <c r="CH721" s="505"/>
      <c r="CI721" s="505"/>
      <c r="CJ721" s="505"/>
    </row>
    <row r="722" spans="70:88" ht="15.75" x14ac:dyDescent="0.25">
      <c r="BR722" s="61"/>
      <c r="BS722" s="61"/>
      <c r="BT722" s="17"/>
      <c r="BU722" s="17"/>
      <c r="BV722" s="252"/>
      <c r="BW722" s="252"/>
      <c r="BX722" s="61"/>
      <c r="BY722" s="532"/>
      <c r="BZ722" s="529"/>
      <c r="CA722" s="532"/>
      <c r="CB722" s="529"/>
      <c r="CC722" s="529"/>
      <c r="CD722" s="529"/>
      <c r="CE722" s="529"/>
      <c r="CF722" s="532"/>
      <c r="CG722" s="505"/>
      <c r="CH722" s="505"/>
      <c r="CI722" s="505"/>
      <c r="CJ722" s="505"/>
    </row>
    <row r="723" spans="70:88" ht="15.75" x14ac:dyDescent="0.25">
      <c r="BR723" s="61"/>
      <c r="BS723" s="61"/>
      <c r="BT723" s="17"/>
      <c r="BU723" s="17"/>
      <c r="BV723" s="252"/>
      <c r="BW723" s="252"/>
      <c r="BX723" s="61"/>
      <c r="BY723" s="532"/>
      <c r="BZ723" s="529"/>
      <c r="CA723" s="532"/>
      <c r="CB723" s="529"/>
      <c r="CC723" s="529"/>
      <c r="CD723" s="529"/>
      <c r="CE723" s="529"/>
      <c r="CF723" s="532"/>
      <c r="CG723" s="505"/>
      <c r="CH723" s="505"/>
      <c r="CI723" s="505"/>
      <c r="CJ723" s="505"/>
    </row>
    <row r="724" spans="70:88" ht="15.75" x14ac:dyDescent="0.25">
      <c r="BR724" s="61"/>
      <c r="BS724" s="61"/>
      <c r="BT724" s="17"/>
      <c r="BU724" s="17"/>
      <c r="BV724" s="252"/>
      <c r="BW724" s="252"/>
      <c r="BX724" s="61"/>
      <c r="BY724" s="532"/>
      <c r="BZ724" s="529"/>
      <c r="CA724" s="532"/>
      <c r="CB724" s="529"/>
      <c r="CC724" s="529"/>
      <c r="CD724" s="529"/>
      <c r="CE724" s="529"/>
      <c r="CF724" s="532"/>
      <c r="CG724" s="505"/>
      <c r="CH724" s="505"/>
      <c r="CI724" s="505"/>
      <c r="CJ724" s="505"/>
    </row>
    <row r="725" spans="70:88" ht="15.75" x14ac:dyDescent="0.25">
      <c r="BR725" s="61"/>
      <c r="BS725" s="61"/>
      <c r="BT725" s="17"/>
      <c r="BU725" s="17"/>
      <c r="BV725" s="252"/>
      <c r="BW725" s="252"/>
      <c r="BX725" s="61"/>
      <c r="BY725" s="532"/>
      <c r="BZ725" s="529"/>
      <c r="CA725" s="532"/>
      <c r="CB725" s="529"/>
      <c r="CC725" s="529"/>
      <c r="CD725" s="529"/>
      <c r="CE725" s="529"/>
      <c r="CF725" s="532"/>
      <c r="CG725" s="505"/>
      <c r="CH725" s="505"/>
      <c r="CI725" s="505"/>
      <c r="CJ725" s="505"/>
    </row>
    <row r="726" spans="70:88" ht="15.75" x14ac:dyDescent="0.25">
      <c r="BR726" s="61"/>
      <c r="BS726" s="61"/>
      <c r="BT726" s="17"/>
      <c r="BU726" s="17"/>
      <c r="BV726" s="252"/>
      <c r="BW726" s="252"/>
      <c r="BX726" s="61"/>
      <c r="BY726" s="532"/>
      <c r="BZ726" s="529"/>
      <c r="CA726" s="532"/>
      <c r="CB726" s="529"/>
      <c r="CC726" s="529"/>
      <c r="CD726" s="529"/>
      <c r="CE726" s="529"/>
      <c r="CF726" s="532"/>
      <c r="CG726" s="505"/>
      <c r="CH726" s="505"/>
      <c r="CI726" s="505"/>
      <c r="CJ726" s="505"/>
    </row>
    <row r="727" spans="70:88" ht="15.75" x14ac:dyDescent="0.25">
      <c r="BR727" s="61"/>
      <c r="BS727" s="61"/>
      <c r="BT727" s="17"/>
      <c r="BU727" s="17"/>
      <c r="BV727" s="252"/>
      <c r="BW727" s="252"/>
      <c r="BX727" s="61"/>
      <c r="BY727" s="532"/>
      <c r="BZ727" s="529"/>
      <c r="CA727" s="532"/>
      <c r="CB727" s="529"/>
      <c r="CC727" s="529"/>
      <c r="CD727" s="529"/>
      <c r="CE727" s="529"/>
      <c r="CF727" s="532"/>
      <c r="CG727" s="505"/>
      <c r="CH727" s="505"/>
      <c r="CI727" s="505"/>
      <c r="CJ727" s="505"/>
    </row>
    <row r="728" spans="70:88" ht="15.75" x14ac:dyDescent="0.25">
      <c r="BR728" s="61"/>
      <c r="BS728" s="61"/>
      <c r="BT728" s="17"/>
      <c r="BU728" s="17"/>
      <c r="BV728" s="252"/>
      <c r="BW728" s="252"/>
      <c r="BX728" s="61"/>
      <c r="BY728" s="532"/>
      <c r="BZ728" s="529"/>
      <c r="CA728" s="532"/>
      <c r="CB728" s="529"/>
      <c r="CC728" s="529"/>
      <c r="CD728" s="529"/>
      <c r="CE728" s="529"/>
      <c r="CF728" s="532"/>
      <c r="CG728" s="505"/>
      <c r="CH728" s="505"/>
      <c r="CI728" s="505"/>
      <c r="CJ728" s="505"/>
    </row>
    <row r="729" spans="70:88" ht="15.75" x14ac:dyDescent="0.25">
      <c r="BR729" s="61"/>
      <c r="BS729" s="61"/>
      <c r="BT729" s="17"/>
      <c r="BU729" s="17"/>
      <c r="BV729" s="252"/>
      <c r="BW729" s="252"/>
      <c r="BX729" s="61"/>
      <c r="BY729" s="532"/>
      <c r="BZ729" s="529"/>
      <c r="CA729" s="532"/>
      <c r="CB729" s="529"/>
      <c r="CC729" s="529"/>
      <c r="CD729" s="529"/>
      <c r="CE729" s="529"/>
      <c r="CF729" s="532"/>
      <c r="CG729" s="505"/>
      <c r="CH729" s="505"/>
      <c r="CI729" s="505"/>
      <c r="CJ729" s="505"/>
    </row>
    <row r="730" spans="70:88" ht="15.75" x14ac:dyDescent="0.25">
      <c r="BR730" s="61"/>
      <c r="BS730" s="61"/>
      <c r="BT730" s="17"/>
      <c r="BU730" s="17"/>
      <c r="BV730" s="252"/>
      <c r="BW730" s="252"/>
      <c r="BX730" s="61"/>
      <c r="BY730" s="532"/>
      <c r="BZ730" s="529"/>
      <c r="CA730" s="532"/>
      <c r="CB730" s="529"/>
      <c r="CC730" s="529"/>
      <c r="CD730" s="529"/>
      <c r="CE730" s="529"/>
      <c r="CF730" s="532"/>
      <c r="CG730" s="505"/>
      <c r="CH730" s="505"/>
      <c r="CI730" s="505"/>
      <c r="CJ730" s="505"/>
    </row>
    <row r="731" spans="70:88" ht="15.75" x14ac:dyDescent="0.25">
      <c r="BR731" s="61"/>
      <c r="BS731" s="61"/>
      <c r="BT731" s="17"/>
      <c r="BU731" s="17"/>
      <c r="BV731" s="252"/>
      <c r="BW731" s="252"/>
      <c r="BX731" s="61"/>
      <c r="BY731" s="532"/>
      <c r="BZ731" s="529"/>
      <c r="CA731" s="532"/>
      <c r="CB731" s="529"/>
      <c r="CC731" s="529"/>
      <c r="CD731" s="529"/>
      <c r="CE731" s="529"/>
      <c r="CF731" s="532"/>
      <c r="CG731" s="505"/>
      <c r="CH731" s="505"/>
      <c r="CI731" s="505"/>
      <c r="CJ731" s="505"/>
    </row>
    <row r="732" spans="70:88" ht="15.75" x14ac:dyDescent="0.25">
      <c r="BR732" s="61"/>
      <c r="BS732" s="61"/>
      <c r="BT732" s="17"/>
      <c r="BU732" s="17"/>
      <c r="BV732" s="252"/>
      <c r="BW732" s="252"/>
      <c r="BX732" s="61"/>
      <c r="BY732" s="532"/>
      <c r="BZ732" s="529"/>
      <c r="CA732" s="532"/>
      <c r="CB732" s="529"/>
      <c r="CC732" s="529"/>
      <c r="CD732" s="529"/>
      <c r="CE732" s="529"/>
      <c r="CF732" s="532"/>
      <c r="CG732" s="505"/>
      <c r="CH732" s="505"/>
      <c r="CI732" s="505"/>
      <c r="CJ732" s="505"/>
    </row>
    <row r="733" spans="70:88" ht="15.75" x14ac:dyDescent="0.25">
      <c r="BR733" s="61"/>
      <c r="BS733" s="61"/>
      <c r="BT733" s="17"/>
      <c r="BU733" s="17"/>
      <c r="BV733" s="252"/>
      <c r="BW733" s="252"/>
      <c r="BX733" s="61"/>
      <c r="BY733" s="532"/>
      <c r="BZ733" s="529"/>
      <c r="CA733" s="532"/>
      <c r="CB733" s="529"/>
      <c r="CC733" s="529"/>
      <c r="CD733" s="529"/>
      <c r="CE733" s="529"/>
      <c r="CF733" s="532"/>
      <c r="CG733" s="505"/>
      <c r="CH733" s="505"/>
      <c r="CI733" s="505"/>
      <c r="CJ733" s="505"/>
    </row>
    <row r="734" spans="70:88" ht="16.5" thickBot="1" x14ac:dyDescent="0.3">
      <c r="BR734" s="506"/>
      <c r="BS734" s="506"/>
      <c r="BT734" s="19"/>
      <c r="BU734" s="19"/>
      <c r="BV734" s="19"/>
      <c r="BW734" s="19"/>
      <c r="BX734" s="506"/>
      <c r="BY734" s="629"/>
      <c r="BZ734" s="630"/>
      <c r="CA734" s="629"/>
      <c r="CB734" s="630"/>
      <c r="CC734" s="630"/>
      <c r="CD734" s="630"/>
      <c r="CE734" s="630"/>
      <c r="CF734" s="629"/>
      <c r="CG734" s="506"/>
      <c r="CH734" s="506"/>
      <c r="CI734" s="506"/>
      <c r="CJ734" s="506"/>
    </row>
    <row r="735" spans="70:88" x14ac:dyDescent="0.25">
      <c r="BR735" s="505"/>
      <c r="BS735" s="505"/>
      <c r="BT735" s="505"/>
      <c r="BU735" s="505"/>
      <c r="BV735" s="505"/>
      <c r="BW735" s="505"/>
      <c r="BX735" s="505"/>
      <c r="BY735" s="505"/>
      <c r="BZ735" s="505"/>
      <c r="CA735" s="505"/>
      <c r="CB735" s="505"/>
      <c r="CC735" s="505"/>
      <c r="CD735" s="505"/>
      <c r="CE735" s="505"/>
      <c r="CF735" s="505"/>
      <c r="CG735" s="505"/>
      <c r="CH735" s="505"/>
      <c r="CI735" s="505"/>
      <c r="CJ735" s="505"/>
    </row>
    <row r="736" spans="70:88" x14ac:dyDescent="0.25">
      <c r="BR736" s="61"/>
      <c r="BS736" s="61"/>
      <c r="BT736" s="61"/>
      <c r="BU736" s="61"/>
      <c r="BV736" s="61"/>
      <c r="BW736" s="61"/>
      <c r="BX736" s="61"/>
      <c r="BY736" s="61"/>
      <c r="BZ736" s="61"/>
      <c r="CA736" s="61"/>
      <c r="CB736" s="61"/>
      <c r="CC736" s="61"/>
      <c r="CD736" s="61"/>
      <c r="CE736" s="61"/>
      <c r="CF736" s="61"/>
      <c r="CG736" s="61"/>
      <c r="CH736" s="61"/>
      <c r="CI736" s="61"/>
      <c r="CJ736" s="61"/>
    </row>
    <row r="737" spans="70:88" x14ac:dyDescent="0.25">
      <c r="BR737" s="61"/>
      <c r="BS737" s="61"/>
      <c r="BT737" s="61"/>
      <c r="BU737" s="61"/>
      <c r="BV737" s="61"/>
      <c r="BW737" s="61"/>
      <c r="BX737" s="61"/>
      <c r="BY737" s="61"/>
      <c r="BZ737" s="61"/>
      <c r="CA737" s="61"/>
      <c r="CB737" s="61"/>
      <c r="CC737" s="61"/>
      <c r="CD737" s="61"/>
      <c r="CE737" s="61"/>
      <c r="CF737" s="61"/>
      <c r="CG737" s="61"/>
      <c r="CH737" s="61"/>
      <c r="CI737" s="61"/>
      <c r="CJ737" s="61"/>
    </row>
    <row r="738" spans="70:88" x14ac:dyDescent="0.25">
      <c r="BR738" s="61"/>
      <c r="BS738" s="61"/>
      <c r="BT738" s="61"/>
      <c r="BU738" s="61"/>
      <c r="BV738" s="61"/>
      <c r="BW738" s="61"/>
      <c r="BX738" s="61"/>
      <c r="BY738" s="61"/>
      <c r="BZ738" s="61"/>
      <c r="CA738" s="61"/>
      <c r="CB738" s="61"/>
      <c r="CC738" s="61"/>
      <c r="CD738" s="61"/>
      <c r="CE738" s="61"/>
      <c r="CF738" s="61"/>
      <c r="CG738" s="61"/>
      <c r="CH738" s="61"/>
      <c r="CI738" s="61"/>
      <c r="CJ738" s="61"/>
    </row>
    <row r="739" spans="70:88" x14ac:dyDescent="0.25">
      <c r="BR739" s="61"/>
      <c r="BS739" s="61"/>
      <c r="BT739" s="61"/>
      <c r="BU739" s="61"/>
      <c r="BV739" s="61"/>
      <c r="BW739" s="61"/>
      <c r="BX739" s="61"/>
      <c r="BY739" s="61"/>
      <c r="BZ739" s="61"/>
      <c r="CA739" s="61"/>
      <c r="CB739" s="61"/>
      <c r="CC739" s="61"/>
      <c r="CD739" s="61"/>
      <c r="CE739" s="61"/>
      <c r="CF739" s="61"/>
      <c r="CG739" s="61"/>
      <c r="CH739" s="61"/>
      <c r="CI739" s="61"/>
      <c r="CJ739" s="61"/>
    </row>
    <row r="740" spans="70:88" x14ac:dyDescent="0.25">
      <c r="BR740" s="61"/>
      <c r="BS740" s="61"/>
      <c r="BT740" s="61"/>
      <c r="BU740" s="61"/>
      <c r="BV740" s="61"/>
      <c r="BW740" s="61"/>
      <c r="BX740" s="61"/>
      <c r="BY740" s="61"/>
      <c r="BZ740" s="61"/>
      <c r="CA740" s="61"/>
      <c r="CB740" s="61"/>
      <c r="CC740" s="61"/>
      <c r="CD740" s="61"/>
      <c r="CE740" s="61"/>
      <c r="CF740" s="61"/>
      <c r="CG740" s="61"/>
      <c r="CH740" s="61"/>
      <c r="CI740" s="61"/>
      <c r="CJ740" s="61"/>
    </row>
    <row r="741" spans="70:88" x14ac:dyDescent="0.25">
      <c r="BR741" s="61"/>
      <c r="BS741" s="61"/>
      <c r="BT741" s="61"/>
      <c r="BU741" s="61"/>
      <c r="BV741" s="61"/>
      <c r="BW741" s="61"/>
      <c r="BX741" s="61"/>
      <c r="BY741" s="61"/>
      <c r="BZ741" s="61"/>
      <c r="CA741" s="61"/>
      <c r="CB741" s="61"/>
      <c r="CC741" s="61"/>
      <c r="CD741" s="61"/>
      <c r="CE741" s="61"/>
      <c r="CF741" s="61"/>
      <c r="CG741" s="61"/>
      <c r="CH741" s="61"/>
      <c r="CI741" s="61"/>
      <c r="CJ741" s="61"/>
    </row>
    <row r="742" spans="70:88" x14ac:dyDescent="0.25">
      <c r="BR742" s="61"/>
      <c r="BS742" s="61"/>
      <c r="BT742" s="61"/>
      <c r="BU742" s="61"/>
      <c r="BV742" s="61"/>
      <c r="BW742" s="61"/>
      <c r="BX742" s="61"/>
      <c r="BY742" s="61"/>
      <c r="BZ742" s="61"/>
      <c r="CA742" s="61"/>
      <c r="CB742" s="61"/>
      <c r="CC742" s="61"/>
      <c r="CD742" s="61"/>
      <c r="CE742" s="61"/>
      <c r="CF742" s="61"/>
      <c r="CG742" s="61"/>
      <c r="CH742" s="61"/>
      <c r="CI742" s="61"/>
      <c r="CJ742" s="61"/>
    </row>
    <row r="743" spans="70:88" x14ac:dyDescent="0.25">
      <c r="BR743" s="61"/>
      <c r="BS743" s="61"/>
      <c r="BT743" s="61"/>
      <c r="BU743" s="61"/>
      <c r="BV743" s="61"/>
      <c r="BW743" s="61"/>
      <c r="BX743" s="61"/>
      <c r="BY743" s="61"/>
      <c r="BZ743" s="61"/>
      <c r="CA743" s="61"/>
      <c r="CB743" s="61"/>
      <c r="CC743" s="61"/>
      <c r="CD743" s="61"/>
      <c r="CE743" s="61"/>
      <c r="CF743" s="61"/>
      <c r="CG743" s="61"/>
      <c r="CH743" s="61"/>
      <c r="CI743" s="61"/>
      <c r="CJ743" s="61"/>
    </row>
    <row r="744" spans="70:88" x14ac:dyDescent="0.25">
      <c r="BR744" s="61"/>
      <c r="BS744" s="61"/>
      <c r="BT744" s="61"/>
      <c r="BU744" s="61"/>
      <c r="BV744" s="61"/>
      <c r="BW744" s="61"/>
      <c r="BX744" s="61"/>
      <c r="BY744" s="61"/>
      <c r="BZ744" s="61"/>
      <c r="CA744" s="61"/>
      <c r="CB744" s="61"/>
      <c r="CC744" s="61"/>
      <c r="CD744" s="61"/>
      <c r="CE744" s="61"/>
      <c r="CF744" s="61"/>
      <c r="CG744" s="61"/>
      <c r="CH744" s="61"/>
      <c r="CI744" s="61"/>
      <c r="CJ744" s="61"/>
    </row>
    <row r="745" spans="70:88" x14ac:dyDescent="0.25">
      <c r="BR745" s="61"/>
      <c r="BS745" s="61"/>
      <c r="BT745" s="61"/>
      <c r="BU745" s="61"/>
      <c r="BV745" s="61"/>
      <c r="BW745" s="61"/>
      <c r="BX745" s="61"/>
      <c r="BY745" s="61"/>
      <c r="BZ745" s="61"/>
      <c r="CA745" s="61"/>
      <c r="CB745" s="61"/>
      <c r="CC745" s="61"/>
      <c r="CD745" s="61"/>
      <c r="CE745" s="61"/>
      <c r="CF745" s="61"/>
      <c r="CG745" s="61"/>
      <c r="CH745" s="61"/>
      <c r="CI745" s="61"/>
      <c r="CJ745" s="61"/>
    </row>
    <row r="746" spans="70:88" x14ac:dyDescent="0.25">
      <c r="BR746" s="61"/>
      <c r="BS746" s="61"/>
      <c r="BT746" s="61"/>
      <c r="BU746" s="61"/>
      <c r="BV746" s="61"/>
      <c r="BW746" s="61"/>
      <c r="BX746" s="61"/>
      <c r="BY746" s="61"/>
      <c r="BZ746" s="61"/>
      <c r="CA746" s="61"/>
      <c r="CB746" s="61"/>
      <c r="CC746" s="61"/>
      <c r="CD746" s="61"/>
      <c r="CE746" s="61"/>
      <c r="CF746" s="61"/>
      <c r="CG746" s="61"/>
      <c r="CH746" s="61"/>
      <c r="CI746" s="61"/>
      <c r="CJ746" s="61"/>
    </row>
    <row r="747" spans="70:88" x14ac:dyDescent="0.25">
      <c r="BR747" s="61"/>
      <c r="BS747" s="61"/>
      <c r="BT747" s="61"/>
      <c r="BU747" s="61"/>
      <c r="BV747" s="61"/>
      <c r="BW747" s="61"/>
      <c r="BX747" s="61"/>
      <c r="BY747" s="61"/>
      <c r="BZ747" s="61"/>
      <c r="CA747" s="61"/>
      <c r="CB747" s="61"/>
      <c r="CC747" s="61"/>
      <c r="CD747" s="61"/>
      <c r="CE747" s="61"/>
      <c r="CF747" s="61"/>
      <c r="CG747" s="61"/>
      <c r="CH747" s="61"/>
      <c r="CI747" s="61"/>
      <c r="CJ747" s="61"/>
    </row>
    <row r="748" spans="70:88" x14ac:dyDescent="0.25">
      <c r="BR748" s="61"/>
      <c r="BS748" s="61"/>
      <c r="BT748" s="61"/>
      <c r="BU748" s="61"/>
      <c r="BV748" s="61"/>
      <c r="BW748" s="61"/>
      <c r="BX748" s="61"/>
      <c r="BY748" s="61"/>
      <c r="BZ748" s="61"/>
      <c r="CA748" s="61"/>
      <c r="CB748" s="61"/>
      <c r="CC748" s="61"/>
      <c r="CD748" s="61"/>
      <c r="CE748" s="61"/>
      <c r="CF748" s="61"/>
      <c r="CG748" s="61"/>
      <c r="CH748" s="61"/>
      <c r="CI748" s="61"/>
      <c r="CJ748" s="61"/>
    </row>
    <row r="749" spans="70:88" x14ac:dyDescent="0.25">
      <c r="BR749" s="61"/>
      <c r="BS749" s="61"/>
      <c r="BT749" s="61"/>
      <c r="BU749" s="61"/>
      <c r="BV749" s="61"/>
      <c r="BW749" s="61"/>
      <c r="BX749" s="61"/>
      <c r="BY749" s="61"/>
      <c r="BZ749" s="61"/>
      <c r="CA749" s="61"/>
      <c r="CB749" s="61"/>
      <c r="CC749" s="61"/>
      <c r="CD749" s="61"/>
      <c r="CE749" s="61"/>
      <c r="CF749" s="61"/>
      <c r="CG749" s="61"/>
      <c r="CH749" s="61"/>
      <c r="CI749" s="61"/>
      <c r="CJ749" s="61"/>
    </row>
    <row r="750" spans="70:88" x14ac:dyDescent="0.25">
      <c r="BR750" s="61"/>
      <c r="BS750" s="61"/>
      <c r="BT750" s="61"/>
      <c r="BU750" s="61"/>
      <c r="BV750" s="61"/>
      <c r="BW750" s="61"/>
      <c r="BX750" s="61"/>
      <c r="BY750" s="61"/>
      <c r="BZ750" s="61"/>
      <c r="CA750" s="61"/>
      <c r="CB750" s="61"/>
      <c r="CC750" s="61"/>
      <c r="CD750" s="61"/>
      <c r="CE750" s="61"/>
      <c r="CF750" s="61"/>
      <c r="CG750" s="61"/>
      <c r="CH750" s="61"/>
      <c r="CI750" s="61"/>
      <c r="CJ750" s="61"/>
    </row>
    <row r="751" spans="70:88" x14ac:dyDescent="0.25">
      <c r="BR751" s="61"/>
      <c r="BS751" s="61"/>
      <c r="BT751" s="61"/>
      <c r="BU751" s="61"/>
      <c r="BV751" s="61"/>
      <c r="BW751" s="61"/>
      <c r="BX751" s="61"/>
      <c r="BY751" s="61"/>
      <c r="BZ751" s="61"/>
      <c r="CA751" s="61"/>
      <c r="CB751" s="61"/>
      <c r="CC751" s="61"/>
      <c r="CD751" s="61"/>
      <c r="CE751" s="61"/>
      <c r="CF751" s="61"/>
      <c r="CG751" s="61"/>
      <c r="CH751" s="61"/>
      <c r="CI751" s="61"/>
      <c r="CJ751" s="61"/>
    </row>
    <row r="752" spans="70:88" x14ac:dyDescent="0.25">
      <c r="BR752" s="61"/>
      <c r="BS752" s="61"/>
      <c r="BT752" s="61"/>
      <c r="BU752" s="61"/>
      <c r="BV752" s="61"/>
      <c r="BW752" s="61"/>
      <c r="BX752" s="61"/>
      <c r="BY752" s="61"/>
      <c r="BZ752" s="61"/>
      <c r="CA752" s="61"/>
      <c r="CB752" s="61"/>
      <c r="CC752" s="61"/>
      <c r="CD752" s="61"/>
      <c r="CE752" s="61"/>
      <c r="CF752" s="61"/>
      <c r="CG752" s="61"/>
      <c r="CH752" s="61"/>
      <c r="CI752" s="61"/>
      <c r="CJ752" s="61"/>
    </row>
    <row r="753" spans="70:88" x14ac:dyDescent="0.25">
      <c r="BR753" s="61"/>
      <c r="BS753" s="61"/>
      <c r="BT753" s="61"/>
      <c r="BU753" s="61"/>
      <c r="BV753" s="61"/>
      <c r="BW753" s="61"/>
      <c r="BX753" s="61"/>
      <c r="BY753" s="61"/>
      <c r="BZ753" s="61"/>
      <c r="CA753" s="61"/>
      <c r="CB753" s="61"/>
      <c r="CC753" s="61"/>
      <c r="CD753" s="61"/>
      <c r="CE753" s="61"/>
      <c r="CF753" s="61"/>
      <c r="CG753" s="61"/>
      <c r="CH753" s="61"/>
      <c r="CI753" s="61"/>
      <c r="CJ753" s="61"/>
    </row>
    <row r="754" spans="70:88" x14ac:dyDescent="0.25">
      <c r="BR754" s="61"/>
      <c r="BS754" s="61"/>
      <c r="BT754" s="61"/>
      <c r="BU754" s="61"/>
      <c r="BV754" s="61"/>
      <c r="BW754" s="61"/>
      <c r="BX754" s="61"/>
      <c r="BY754" s="61"/>
      <c r="BZ754" s="61"/>
      <c r="CA754" s="61"/>
      <c r="CB754" s="61"/>
      <c r="CC754" s="61"/>
      <c r="CD754" s="61"/>
      <c r="CE754" s="61"/>
      <c r="CF754" s="61"/>
      <c r="CG754" s="61"/>
      <c r="CH754" s="61"/>
      <c r="CI754" s="61"/>
      <c r="CJ754" s="61"/>
    </row>
    <row r="755" spans="70:88" x14ac:dyDescent="0.25">
      <c r="BR755" s="61"/>
      <c r="BS755" s="61"/>
      <c r="BT755" s="61"/>
      <c r="BU755" s="61"/>
      <c r="BV755" s="61"/>
      <c r="BW755" s="61"/>
      <c r="BX755" s="61"/>
      <c r="BY755" s="61"/>
      <c r="BZ755" s="61"/>
      <c r="CA755" s="61"/>
      <c r="CB755" s="61"/>
      <c r="CC755" s="61"/>
      <c r="CD755" s="61"/>
      <c r="CE755" s="61"/>
      <c r="CF755" s="61"/>
      <c r="CG755" s="61"/>
      <c r="CH755" s="61"/>
      <c r="CI755" s="61"/>
      <c r="CJ755" s="61"/>
    </row>
    <row r="756" spans="70:88" x14ac:dyDescent="0.25">
      <c r="BR756" s="61"/>
      <c r="BS756" s="61"/>
      <c r="BT756" s="61"/>
      <c r="BU756" s="61"/>
      <c r="BV756" s="61"/>
      <c r="BW756" s="61"/>
      <c r="BX756" s="61"/>
      <c r="BY756" s="61"/>
      <c r="BZ756" s="61"/>
      <c r="CA756" s="61"/>
      <c r="CB756" s="61"/>
      <c r="CC756" s="61"/>
      <c r="CD756" s="61"/>
      <c r="CE756" s="61"/>
      <c r="CF756" s="61"/>
      <c r="CG756" s="61"/>
      <c r="CH756" s="61"/>
      <c r="CI756" s="61"/>
      <c r="CJ756" s="61"/>
    </row>
    <row r="757" spans="70:88" x14ac:dyDescent="0.25">
      <c r="BR757" s="61"/>
      <c r="BS757" s="61"/>
      <c r="BT757" s="61"/>
      <c r="BU757" s="61"/>
      <c r="BV757" s="61"/>
      <c r="BW757" s="61"/>
      <c r="BX757" s="61"/>
      <c r="BY757" s="61"/>
      <c r="BZ757" s="61"/>
      <c r="CA757" s="61"/>
      <c r="CB757" s="61"/>
      <c r="CC757" s="61"/>
      <c r="CD757" s="61"/>
      <c r="CE757" s="61"/>
      <c r="CF757" s="61"/>
      <c r="CG757" s="61"/>
      <c r="CH757" s="61"/>
      <c r="CI757" s="61"/>
      <c r="CJ757" s="61"/>
    </row>
    <row r="758" spans="70:88" x14ac:dyDescent="0.25">
      <c r="BR758" s="61"/>
      <c r="BS758" s="61"/>
      <c r="BT758" s="61"/>
      <c r="BU758" s="61"/>
      <c r="BV758" s="61"/>
      <c r="BW758" s="61"/>
      <c r="BX758" s="61"/>
      <c r="BY758" s="61"/>
      <c r="BZ758" s="61"/>
      <c r="CA758" s="61"/>
      <c r="CB758" s="61"/>
      <c r="CC758" s="61"/>
      <c r="CD758" s="61"/>
      <c r="CE758" s="61"/>
      <c r="CF758" s="61"/>
      <c r="CG758" s="61"/>
      <c r="CH758" s="61"/>
      <c r="CI758" s="61"/>
      <c r="CJ758" s="61"/>
    </row>
    <row r="759" spans="70:88" x14ac:dyDescent="0.25">
      <c r="BR759" s="61"/>
      <c r="BS759" s="61"/>
      <c r="BT759" s="61"/>
      <c r="BU759" s="61"/>
      <c r="BV759" s="61"/>
      <c r="BW759" s="61"/>
      <c r="BX759" s="61"/>
      <c r="BY759" s="61"/>
      <c r="BZ759" s="61"/>
      <c r="CA759" s="61"/>
      <c r="CB759" s="61"/>
      <c r="CC759" s="61"/>
      <c r="CD759" s="61"/>
      <c r="CE759" s="61"/>
      <c r="CF759" s="61"/>
      <c r="CG759" s="61"/>
      <c r="CH759" s="61"/>
      <c r="CI759" s="61"/>
      <c r="CJ759" s="61"/>
    </row>
    <row r="760" spans="70:88" x14ac:dyDescent="0.25">
      <c r="BR760" s="61"/>
      <c r="BS760" s="61"/>
      <c r="BT760" s="61"/>
      <c r="BU760" s="61"/>
      <c r="BV760" s="61"/>
      <c r="BW760" s="61"/>
      <c r="BX760" s="61"/>
      <c r="BY760" s="61"/>
      <c r="BZ760" s="61"/>
      <c r="CA760" s="61"/>
      <c r="CB760" s="61"/>
      <c r="CC760" s="61"/>
      <c r="CD760" s="61"/>
      <c r="CE760" s="61"/>
      <c r="CF760" s="61"/>
      <c r="CG760" s="61"/>
      <c r="CH760" s="61"/>
      <c r="CI760" s="61"/>
      <c r="CJ760" s="61"/>
    </row>
    <row r="761" spans="70:88" x14ac:dyDescent="0.25">
      <c r="BR761" s="61"/>
      <c r="BS761" s="61"/>
      <c r="BT761" s="61"/>
      <c r="BU761" s="61"/>
      <c r="BV761" s="61"/>
      <c r="BW761" s="61"/>
      <c r="BX761" s="61"/>
      <c r="BY761" s="61"/>
      <c r="BZ761" s="61"/>
      <c r="CA761" s="61"/>
      <c r="CB761" s="61"/>
      <c r="CC761" s="61"/>
      <c r="CD761" s="61"/>
      <c r="CE761" s="61"/>
      <c r="CF761" s="61"/>
      <c r="CG761" s="61"/>
      <c r="CH761" s="61"/>
      <c r="CI761" s="61"/>
      <c r="CJ761" s="61"/>
    </row>
    <row r="762" spans="70:88" x14ac:dyDescent="0.25">
      <c r="BR762" s="61"/>
      <c r="BS762" s="61"/>
      <c r="BT762" s="61"/>
      <c r="BU762" s="61"/>
      <c r="BV762" s="61"/>
      <c r="BW762" s="61"/>
      <c r="BX762" s="61"/>
      <c r="BY762" s="61"/>
      <c r="BZ762" s="61"/>
      <c r="CA762" s="61"/>
      <c r="CB762" s="61"/>
      <c r="CC762" s="61"/>
      <c r="CD762" s="61"/>
      <c r="CE762" s="61"/>
      <c r="CF762" s="61"/>
      <c r="CG762" s="61"/>
      <c r="CH762" s="61"/>
      <c r="CI762" s="61"/>
      <c r="CJ762" s="61"/>
    </row>
    <row r="763" spans="70:88" x14ac:dyDescent="0.25">
      <c r="BR763" s="61"/>
      <c r="BS763" s="61"/>
      <c r="BT763" s="61"/>
      <c r="BU763" s="61"/>
      <c r="BV763" s="61"/>
      <c r="BW763" s="61"/>
      <c r="BX763" s="61"/>
      <c r="BY763" s="61"/>
      <c r="BZ763" s="61"/>
      <c r="CA763" s="61"/>
      <c r="CB763" s="61"/>
      <c r="CC763" s="61"/>
      <c r="CD763" s="61"/>
      <c r="CE763" s="61"/>
      <c r="CF763" s="61"/>
      <c r="CG763" s="61"/>
      <c r="CH763" s="61"/>
      <c r="CI763" s="61"/>
      <c r="CJ763" s="61"/>
    </row>
    <row r="764" spans="70:88" x14ac:dyDescent="0.25">
      <c r="BR764" s="61"/>
      <c r="BS764" s="61"/>
      <c r="BT764" s="61"/>
      <c r="BU764" s="61"/>
      <c r="BV764" s="61"/>
      <c r="BW764" s="61"/>
      <c r="BX764" s="61"/>
      <c r="BY764" s="61"/>
      <c r="BZ764" s="61"/>
      <c r="CA764" s="61"/>
      <c r="CB764" s="61"/>
      <c r="CC764" s="61"/>
      <c r="CD764" s="61"/>
      <c r="CE764" s="61"/>
      <c r="CF764" s="61"/>
      <c r="CG764" s="61"/>
      <c r="CH764" s="61"/>
      <c r="CI764" s="61"/>
      <c r="CJ764" s="61"/>
    </row>
    <row r="765" spans="70:88" x14ac:dyDescent="0.25">
      <c r="BR765" s="61"/>
      <c r="BS765" s="61"/>
      <c r="BT765" s="61"/>
      <c r="BU765" s="61"/>
      <c r="BV765" s="61"/>
      <c r="BW765" s="61"/>
      <c r="BX765" s="61"/>
      <c r="BY765" s="61"/>
      <c r="BZ765" s="61"/>
      <c r="CA765" s="61"/>
      <c r="CB765" s="61"/>
      <c r="CC765" s="61"/>
      <c r="CD765" s="61"/>
      <c r="CE765" s="61"/>
      <c r="CF765" s="61"/>
      <c r="CG765" s="61"/>
      <c r="CH765" s="61"/>
      <c r="CI765" s="61"/>
      <c r="CJ765" s="61"/>
    </row>
    <row r="766" spans="70:88" x14ac:dyDescent="0.25">
      <c r="BR766" s="61"/>
      <c r="BS766" s="61"/>
      <c r="BT766" s="61"/>
      <c r="BU766" s="61"/>
      <c r="BV766" s="61"/>
      <c r="BW766" s="61"/>
      <c r="BX766" s="61"/>
      <c r="BY766" s="61"/>
      <c r="BZ766" s="61"/>
      <c r="CA766" s="61"/>
      <c r="CB766" s="61"/>
      <c r="CC766" s="61"/>
      <c r="CD766" s="61"/>
      <c r="CE766" s="61"/>
      <c r="CF766" s="61"/>
      <c r="CG766" s="61"/>
      <c r="CH766" s="61"/>
      <c r="CI766" s="61"/>
      <c r="CJ766" s="61"/>
    </row>
    <row r="767" spans="70:88" x14ac:dyDescent="0.25">
      <c r="BR767" s="61"/>
      <c r="BS767" s="61"/>
      <c r="BT767" s="61"/>
      <c r="BU767" s="61"/>
      <c r="BV767" s="61"/>
      <c r="BW767" s="61"/>
      <c r="BX767" s="61"/>
      <c r="BY767" s="61"/>
      <c r="BZ767" s="61"/>
      <c r="CA767" s="61"/>
      <c r="CB767" s="61"/>
      <c r="CC767" s="61"/>
      <c r="CD767" s="61"/>
      <c r="CE767" s="61"/>
      <c r="CF767" s="61"/>
      <c r="CG767" s="61"/>
      <c r="CH767" s="61"/>
      <c r="CI767" s="61"/>
      <c r="CJ767" s="61"/>
    </row>
    <row r="768" spans="70:88" x14ac:dyDescent="0.25">
      <c r="BR768" s="61"/>
      <c r="BS768" s="61"/>
      <c r="BT768" s="61"/>
      <c r="BU768" s="61"/>
      <c r="BV768" s="61"/>
      <c r="BW768" s="61"/>
      <c r="BX768" s="61"/>
      <c r="BY768" s="61"/>
      <c r="BZ768" s="61"/>
      <c r="CA768" s="61"/>
      <c r="CB768" s="61"/>
      <c r="CC768" s="61"/>
      <c r="CD768" s="61"/>
      <c r="CE768" s="61"/>
      <c r="CF768" s="61"/>
      <c r="CG768" s="61"/>
      <c r="CH768" s="61"/>
      <c r="CI768" s="61"/>
      <c r="CJ768" s="61"/>
    </row>
    <row r="769" spans="70:88" x14ac:dyDescent="0.25">
      <c r="BR769" s="61"/>
      <c r="BS769" s="61"/>
      <c r="BT769" s="61"/>
      <c r="BU769" s="61"/>
      <c r="BV769" s="61"/>
      <c r="BW769" s="61"/>
      <c r="BX769" s="61"/>
      <c r="BY769" s="61"/>
      <c r="BZ769" s="61"/>
      <c r="CA769" s="61"/>
      <c r="CB769" s="61"/>
      <c r="CC769" s="61"/>
      <c r="CD769" s="61"/>
      <c r="CE769" s="61"/>
      <c r="CF769" s="61"/>
      <c r="CG769" s="61"/>
      <c r="CH769" s="61"/>
      <c r="CI769" s="61"/>
      <c r="CJ769" s="61"/>
    </row>
    <row r="770" spans="70:88" x14ac:dyDescent="0.25">
      <c r="BR770" s="61"/>
      <c r="BS770" s="61"/>
      <c r="BT770" s="61"/>
      <c r="BU770" s="61"/>
      <c r="BV770" s="61"/>
      <c r="BW770" s="61"/>
      <c r="BX770" s="61"/>
      <c r="BY770" s="61"/>
      <c r="BZ770" s="61"/>
      <c r="CA770" s="61"/>
      <c r="CB770" s="61"/>
      <c r="CC770" s="61"/>
      <c r="CD770" s="61"/>
      <c r="CE770" s="61"/>
      <c r="CF770" s="61"/>
      <c r="CG770" s="61"/>
      <c r="CH770" s="61"/>
      <c r="CI770" s="61"/>
      <c r="CJ770" s="61"/>
    </row>
    <row r="771" spans="70:88" x14ac:dyDescent="0.25">
      <c r="BR771" s="61"/>
      <c r="BS771" s="61"/>
      <c r="BT771" s="61"/>
      <c r="BU771" s="61"/>
      <c r="BV771" s="61"/>
      <c r="BW771" s="61"/>
      <c r="BX771" s="61"/>
      <c r="BY771" s="61"/>
      <c r="BZ771" s="61"/>
      <c r="CA771" s="61"/>
      <c r="CB771" s="61"/>
      <c r="CC771" s="61"/>
      <c r="CD771" s="61"/>
      <c r="CE771" s="61"/>
      <c r="CF771" s="61"/>
      <c r="CG771" s="61"/>
      <c r="CH771" s="61"/>
      <c r="CI771" s="61"/>
      <c r="CJ771" s="61"/>
    </row>
    <row r="772" spans="70:88" x14ac:dyDescent="0.25">
      <c r="BR772" s="61"/>
      <c r="BS772" s="61"/>
      <c r="BT772" s="61"/>
      <c r="BU772" s="61"/>
      <c r="BV772" s="61"/>
      <c r="BW772" s="61"/>
      <c r="BX772" s="61"/>
      <c r="BY772" s="61"/>
      <c r="BZ772" s="61"/>
      <c r="CA772" s="61"/>
      <c r="CB772" s="61"/>
      <c r="CC772" s="61"/>
      <c r="CD772" s="61"/>
      <c r="CE772" s="61"/>
      <c r="CF772" s="61"/>
      <c r="CG772" s="61"/>
      <c r="CH772" s="61"/>
      <c r="CI772" s="61"/>
      <c r="CJ772" s="61"/>
    </row>
    <row r="773" spans="70:88" x14ac:dyDescent="0.25">
      <c r="BR773" s="61"/>
      <c r="BS773" s="61"/>
      <c r="BT773" s="61"/>
      <c r="BU773" s="61"/>
      <c r="BV773" s="61"/>
      <c r="BW773" s="61"/>
      <c r="BX773" s="61"/>
      <c r="BY773" s="61"/>
      <c r="BZ773" s="61"/>
      <c r="CA773" s="61"/>
      <c r="CB773" s="61"/>
      <c r="CC773" s="61"/>
      <c r="CD773" s="61"/>
      <c r="CE773" s="61"/>
      <c r="CF773" s="61"/>
      <c r="CG773" s="61"/>
      <c r="CH773" s="61"/>
      <c r="CI773" s="61"/>
      <c r="CJ773" s="61"/>
    </row>
    <row r="774" spans="70:88" x14ac:dyDescent="0.25">
      <c r="BR774" s="61"/>
      <c r="BS774" s="61"/>
      <c r="BT774" s="61"/>
      <c r="BU774" s="61"/>
      <c r="BV774" s="61"/>
      <c r="BW774" s="61"/>
      <c r="BX774" s="61"/>
      <c r="BY774" s="61"/>
      <c r="BZ774" s="61"/>
      <c r="CA774" s="61"/>
      <c r="CB774" s="61"/>
      <c r="CC774" s="61"/>
      <c r="CD774" s="61"/>
      <c r="CE774" s="61"/>
      <c r="CF774" s="61"/>
      <c r="CG774" s="61"/>
      <c r="CH774" s="61"/>
      <c r="CI774" s="61"/>
      <c r="CJ774" s="61"/>
    </row>
    <row r="775" spans="70:88" x14ac:dyDescent="0.25">
      <c r="BR775" s="61"/>
      <c r="BS775" s="61"/>
      <c r="BT775" s="61"/>
      <c r="BU775" s="61"/>
      <c r="BV775" s="61"/>
      <c r="BW775" s="61"/>
      <c r="BX775" s="61"/>
      <c r="BY775" s="61"/>
      <c r="BZ775" s="61"/>
      <c r="CA775" s="61"/>
      <c r="CB775" s="61"/>
      <c r="CC775" s="61"/>
      <c r="CD775" s="61"/>
      <c r="CE775" s="61"/>
      <c r="CF775" s="61"/>
      <c r="CG775" s="61"/>
      <c r="CH775" s="61"/>
      <c r="CI775" s="61"/>
      <c r="CJ775" s="61"/>
    </row>
    <row r="776" spans="70:88" x14ac:dyDescent="0.25">
      <c r="BR776" s="61"/>
      <c r="BS776" s="61"/>
      <c r="BT776" s="61"/>
      <c r="BU776" s="61"/>
      <c r="BV776" s="61"/>
      <c r="BW776" s="61"/>
      <c r="BX776" s="61"/>
      <c r="BY776" s="61"/>
      <c r="BZ776" s="61"/>
      <c r="CA776" s="61"/>
      <c r="CB776" s="61"/>
      <c r="CC776" s="61"/>
      <c r="CD776" s="61"/>
      <c r="CE776" s="61"/>
      <c r="CF776" s="61"/>
      <c r="CG776" s="61"/>
      <c r="CH776" s="61"/>
      <c r="CI776" s="61"/>
      <c r="CJ776" s="61"/>
    </row>
    <row r="777" spans="70:88" x14ac:dyDescent="0.25">
      <c r="BR777" s="61"/>
      <c r="BS777" s="61"/>
      <c r="BT777" s="61"/>
      <c r="BU777" s="61"/>
      <c r="BV777" s="61"/>
      <c r="BW777" s="61"/>
      <c r="BX777" s="61"/>
      <c r="BY777" s="61"/>
      <c r="BZ777" s="61"/>
      <c r="CA777" s="61"/>
      <c r="CB777" s="61"/>
      <c r="CC777" s="61"/>
      <c r="CD777" s="61"/>
      <c r="CE777" s="61"/>
      <c r="CF777" s="61"/>
      <c r="CG777" s="61"/>
      <c r="CH777" s="61"/>
      <c r="CI777" s="61"/>
      <c r="CJ777" s="61"/>
    </row>
    <row r="778" spans="70:88" x14ac:dyDescent="0.25">
      <c r="BR778" s="61"/>
      <c r="BS778" s="61"/>
      <c r="BT778" s="61"/>
      <c r="BU778" s="61"/>
      <c r="BV778" s="61"/>
      <c r="BW778" s="61"/>
      <c r="BX778" s="61"/>
      <c r="BY778" s="61"/>
      <c r="BZ778" s="61"/>
      <c r="CA778" s="61"/>
      <c r="CB778" s="61"/>
      <c r="CC778" s="61"/>
      <c r="CD778" s="61"/>
      <c r="CE778" s="61"/>
      <c r="CF778" s="61"/>
      <c r="CG778" s="61"/>
      <c r="CH778" s="61"/>
      <c r="CI778" s="61"/>
      <c r="CJ778" s="61"/>
    </row>
    <row r="779" spans="70:88" x14ac:dyDescent="0.25">
      <c r="BR779" s="61"/>
      <c r="BS779" s="61"/>
      <c r="BT779" s="61"/>
      <c r="BU779" s="61"/>
      <c r="BV779" s="61"/>
      <c r="BW779" s="61"/>
      <c r="BX779" s="61"/>
      <c r="BY779" s="61"/>
      <c r="BZ779" s="61"/>
      <c r="CA779" s="61"/>
      <c r="CB779" s="61"/>
      <c r="CC779" s="61"/>
      <c r="CD779" s="61"/>
      <c r="CE779" s="61"/>
      <c r="CF779" s="61"/>
      <c r="CG779" s="61"/>
      <c r="CH779" s="61"/>
      <c r="CI779" s="61"/>
      <c r="CJ779" s="61"/>
    </row>
    <row r="780" spans="70:88" x14ac:dyDescent="0.25">
      <c r="BR780" s="61"/>
      <c r="BS780" s="61"/>
      <c r="BT780" s="61"/>
      <c r="BU780" s="61"/>
      <c r="BV780" s="61"/>
      <c r="BW780" s="61"/>
      <c r="BX780" s="61"/>
      <c r="BY780" s="61"/>
      <c r="BZ780" s="61"/>
      <c r="CA780" s="61"/>
      <c r="CB780" s="61"/>
      <c r="CC780" s="61"/>
      <c r="CD780" s="61"/>
      <c r="CE780" s="61"/>
      <c r="CF780" s="61"/>
      <c r="CG780" s="61"/>
      <c r="CH780" s="61"/>
      <c r="CI780" s="61"/>
      <c r="CJ780" s="61"/>
    </row>
    <row r="781" spans="70:88" x14ac:dyDescent="0.25">
      <c r="BR781" s="61"/>
      <c r="BS781" s="61"/>
      <c r="BT781" s="61"/>
      <c r="BU781" s="61"/>
      <c r="BV781" s="61"/>
      <c r="BW781" s="61"/>
      <c r="BX781" s="61"/>
      <c r="BY781" s="61"/>
      <c r="BZ781" s="61"/>
      <c r="CA781" s="61"/>
      <c r="CB781" s="61"/>
      <c r="CC781" s="61"/>
      <c r="CD781" s="61"/>
      <c r="CE781" s="61"/>
      <c r="CF781" s="61"/>
      <c r="CG781" s="61"/>
      <c r="CH781" s="61"/>
      <c r="CI781" s="61"/>
      <c r="CJ781" s="61"/>
    </row>
    <row r="782" spans="70:88" x14ac:dyDescent="0.25">
      <c r="BR782" s="61"/>
      <c r="BS782" s="61"/>
      <c r="BT782" s="61"/>
      <c r="BU782" s="61"/>
      <c r="BV782" s="61"/>
      <c r="BW782" s="61"/>
      <c r="BX782" s="61"/>
      <c r="BY782" s="61"/>
      <c r="BZ782" s="61"/>
      <c r="CA782" s="61"/>
      <c r="CB782" s="61"/>
      <c r="CC782" s="61"/>
      <c r="CD782" s="61"/>
      <c r="CE782" s="61"/>
      <c r="CF782" s="61"/>
      <c r="CG782" s="61"/>
      <c r="CH782" s="61"/>
      <c r="CI782" s="61"/>
      <c r="CJ782" s="61"/>
    </row>
    <row r="783" spans="70:88" x14ac:dyDescent="0.25">
      <c r="BR783" s="61"/>
      <c r="BS783" s="61"/>
      <c r="BT783" s="61"/>
      <c r="BU783" s="61"/>
      <c r="BV783" s="61"/>
      <c r="BW783" s="61"/>
      <c r="BX783" s="61"/>
      <c r="BY783" s="61"/>
      <c r="BZ783" s="61"/>
      <c r="CA783" s="61"/>
      <c r="CB783" s="61"/>
      <c r="CC783" s="61"/>
      <c r="CD783" s="61"/>
      <c r="CE783" s="61"/>
      <c r="CF783" s="61"/>
      <c r="CG783" s="61"/>
      <c r="CH783" s="61"/>
      <c r="CI783" s="61"/>
      <c r="CJ783" s="61"/>
    </row>
    <row r="784" spans="70:88" x14ac:dyDescent="0.25">
      <c r="BR784" s="61"/>
      <c r="BS784" s="61"/>
      <c r="BT784" s="61"/>
      <c r="BU784" s="61"/>
      <c r="BV784" s="61"/>
      <c r="BW784" s="61"/>
      <c r="BX784" s="61"/>
      <c r="BY784" s="61"/>
      <c r="BZ784" s="61"/>
      <c r="CA784" s="61"/>
      <c r="CB784" s="61"/>
      <c r="CC784" s="61"/>
      <c r="CD784" s="61"/>
      <c r="CE784" s="61"/>
      <c r="CF784" s="61"/>
      <c r="CG784" s="61"/>
      <c r="CH784" s="61"/>
      <c r="CI784" s="61"/>
      <c r="CJ784" s="61"/>
    </row>
    <row r="785" spans="70:88" x14ac:dyDescent="0.25">
      <c r="BR785" s="61"/>
      <c r="BS785" s="61"/>
      <c r="BT785" s="61"/>
      <c r="BU785" s="61"/>
      <c r="BV785" s="61"/>
      <c r="BW785" s="61"/>
      <c r="BX785" s="61"/>
      <c r="BY785" s="61"/>
      <c r="BZ785" s="61"/>
      <c r="CA785" s="61"/>
      <c r="CB785" s="61"/>
      <c r="CC785" s="61"/>
      <c r="CD785" s="61"/>
      <c r="CE785" s="61"/>
      <c r="CF785" s="61"/>
      <c r="CG785" s="61"/>
      <c r="CH785" s="61"/>
      <c r="CI785" s="61"/>
      <c r="CJ785" s="61"/>
    </row>
    <row r="786" spans="70:88" x14ac:dyDescent="0.25">
      <c r="BR786" s="61"/>
      <c r="BS786" s="61"/>
      <c r="BT786" s="61"/>
      <c r="BU786" s="61"/>
      <c r="BV786" s="61"/>
      <c r="BW786" s="61"/>
      <c r="BX786" s="61"/>
      <c r="BY786" s="61"/>
      <c r="BZ786" s="61"/>
      <c r="CA786" s="61"/>
      <c r="CB786" s="61"/>
      <c r="CC786" s="61"/>
      <c r="CD786" s="61"/>
      <c r="CE786" s="61"/>
      <c r="CF786" s="61"/>
      <c r="CG786" s="61"/>
      <c r="CH786" s="61"/>
      <c r="CI786" s="61"/>
      <c r="CJ786" s="61"/>
    </row>
    <row r="787" spans="70:88" x14ac:dyDescent="0.25">
      <c r="BR787" s="61"/>
      <c r="BS787" s="61"/>
      <c r="BT787" s="61"/>
      <c r="BU787" s="61"/>
      <c r="BV787" s="61"/>
      <c r="BW787" s="61"/>
      <c r="BX787" s="61"/>
      <c r="BY787" s="61"/>
      <c r="BZ787" s="61"/>
      <c r="CA787" s="61"/>
      <c r="CB787" s="61"/>
      <c r="CC787" s="61"/>
      <c r="CD787" s="61"/>
      <c r="CE787" s="61"/>
      <c r="CF787" s="61"/>
      <c r="CG787" s="61"/>
      <c r="CH787" s="61"/>
      <c r="CI787" s="61"/>
      <c r="CJ787" s="61"/>
    </row>
    <row r="788" spans="70:88" x14ac:dyDescent="0.25">
      <c r="BR788" s="61"/>
      <c r="BS788" s="61"/>
      <c r="BT788" s="61"/>
      <c r="BU788" s="61"/>
      <c r="BV788" s="61"/>
      <c r="BW788" s="61"/>
      <c r="BX788" s="61"/>
      <c r="BY788" s="61"/>
      <c r="BZ788" s="61"/>
      <c r="CA788" s="61"/>
      <c r="CB788" s="61"/>
      <c r="CC788" s="61"/>
      <c r="CD788" s="61"/>
      <c r="CE788" s="61"/>
      <c r="CF788" s="61"/>
      <c r="CG788" s="61"/>
      <c r="CH788" s="61"/>
      <c r="CI788" s="61"/>
      <c r="CJ788" s="61"/>
    </row>
    <row r="789" spans="70:88" x14ac:dyDescent="0.25">
      <c r="BR789" s="61"/>
      <c r="BS789" s="61"/>
      <c r="BT789" s="61"/>
      <c r="BU789" s="61"/>
      <c r="BV789" s="61"/>
      <c r="BW789" s="61"/>
      <c r="BX789" s="61"/>
      <c r="BY789" s="61"/>
      <c r="BZ789" s="61"/>
      <c r="CA789" s="61"/>
      <c r="CB789" s="61"/>
      <c r="CC789" s="61"/>
      <c r="CD789" s="61"/>
      <c r="CE789" s="61"/>
      <c r="CF789" s="61"/>
      <c r="CG789" s="61"/>
      <c r="CH789" s="61"/>
      <c r="CI789" s="61"/>
      <c r="CJ789" s="61"/>
    </row>
    <row r="790" spans="70:88" x14ac:dyDescent="0.25">
      <c r="BR790" s="61"/>
      <c r="BS790" s="61"/>
      <c r="BT790" s="61"/>
      <c r="BU790" s="61"/>
      <c r="BV790" s="61"/>
      <c r="BW790" s="61"/>
      <c r="BX790" s="61"/>
      <c r="BY790" s="61"/>
      <c r="BZ790" s="61"/>
      <c r="CA790" s="61"/>
      <c r="CB790" s="61"/>
      <c r="CC790" s="61"/>
      <c r="CD790" s="61"/>
      <c r="CE790" s="61"/>
      <c r="CF790" s="61"/>
      <c r="CG790" s="61"/>
      <c r="CH790" s="61"/>
      <c r="CI790" s="61"/>
      <c r="CJ790" s="61"/>
    </row>
    <row r="791" spans="70:88" x14ac:dyDescent="0.25">
      <c r="BR791" s="61"/>
      <c r="BS791" s="61"/>
      <c r="BT791" s="61"/>
      <c r="BU791" s="61"/>
      <c r="BV791" s="61"/>
      <c r="BW791" s="61"/>
      <c r="BX791" s="61"/>
      <c r="BY791" s="61"/>
      <c r="BZ791" s="61"/>
      <c r="CA791" s="61"/>
      <c r="CB791" s="61"/>
      <c r="CC791" s="61"/>
      <c r="CD791" s="61"/>
      <c r="CE791" s="61"/>
      <c r="CF791" s="61"/>
      <c r="CG791" s="61"/>
      <c r="CH791" s="61"/>
      <c r="CI791" s="61"/>
      <c r="CJ791" s="61"/>
    </row>
    <row r="792" spans="70:88" x14ac:dyDescent="0.25">
      <c r="BR792" s="61"/>
      <c r="BS792" s="61"/>
      <c r="BT792" s="61"/>
      <c r="BU792" s="61"/>
      <c r="BV792" s="61"/>
      <c r="BW792" s="61"/>
      <c r="BX792" s="61"/>
      <c r="BY792" s="61"/>
      <c r="BZ792" s="61"/>
      <c r="CA792" s="61"/>
      <c r="CB792" s="61"/>
      <c r="CC792" s="61"/>
      <c r="CD792" s="61"/>
      <c r="CE792" s="61"/>
      <c r="CF792" s="61"/>
      <c r="CG792" s="61"/>
      <c r="CH792" s="61"/>
      <c r="CI792" s="61"/>
      <c r="CJ792" s="61"/>
    </row>
    <row r="793" spans="70:88" x14ac:dyDescent="0.25">
      <c r="BR793" s="61"/>
      <c r="BS793" s="61"/>
      <c r="BT793" s="61"/>
      <c r="BU793" s="61"/>
      <c r="BV793" s="61"/>
      <c r="BW793" s="61"/>
      <c r="BX793" s="61"/>
      <c r="BY793" s="61"/>
      <c r="BZ793" s="61"/>
      <c r="CA793" s="61"/>
      <c r="CB793" s="61"/>
      <c r="CC793" s="61"/>
      <c r="CD793" s="61"/>
      <c r="CE793" s="61"/>
      <c r="CF793" s="61"/>
      <c r="CG793" s="61"/>
      <c r="CH793" s="61"/>
      <c r="CI793" s="61"/>
      <c r="CJ793" s="61"/>
    </row>
    <row r="794" spans="70:88" x14ac:dyDescent="0.25">
      <c r="BR794" s="61"/>
      <c r="BS794" s="61"/>
      <c r="BT794" s="61"/>
      <c r="BU794" s="61"/>
      <c r="BV794" s="61"/>
      <c r="BW794" s="61"/>
      <c r="BX794" s="61"/>
      <c r="BY794" s="61"/>
      <c r="BZ794" s="61"/>
      <c r="CA794" s="61"/>
      <c r="CB794" s="61"/>
      <c r="CC794" s="61"/>
      <c r="CD794" s="61"/>
      <c r="CE794" s="61"/>
      <c r="CF794" s="61"/>
      <c r="CG794" s="61"/>
      <c r="CH794" s="61"/>
      <c r="CI794" s="61"/>
      <c r="CJ794" s="61"/>
    </row>
    <row r="795" spans="70:88" x14ac:dyDescent="0.25">
      <c r="BR795" s="61"/>
      <c r="BS795" s="61"/>
      <c r="BT795" s="61"/>
      <c r="BU795" s="61"/>
      <c r="BV795" s="61"/>
      <c r="BW795" s="61"/>
      <c r="BX795" s="61"/>
      <c r="BY795" s="61"/>
      <c r="BZ795" s="61"/>
      <c r="CA795" s="61"/>
      <c r="CB795" s="61"/>
      <c r="CC795" s="61"/>
      <c r="CD795" s="61"/>
      <c r="CE795" s="61"/>
      <c r="CF795" s="61"/>
      <c r="CG795" s="61"/>
      <c r="CH795" s="61"/>
      <c r="CI795" s="61"/>
      <c r="CJ795" s="61"/>
    </row>
    <row r="796" spans="70:88" x14ac:dyDescent="0.25">
      <c r="BR796" s="61"/>
      <c r="BS796" s="61"/>
      <c r="BT796" s="61"/>
      <c r="BU796" s="61"/>
      <c r="BV796" s="61"/>
      <c r="BW796" s="61"/>
      <c r="BX796" s="61"/>
      <c r="BY796" s="61"/>
      <c r="BZ796" s="61"/>
      <c r="CA796" s="61"/>
      <c r="CB796" s="61"/>
      <c r="CC796" s="61"/>
      <c r="CD796" s="61"/>
      <c r="CE796" s="61"/>
      <c r="CF796" s="61"/>
      <c r="CG796" s="61"/>
      <c r="CH796" s="61"/>
      <c r="CI796" s="61"/>
      <c r="CJ796" s="61"/>
    </row>
    <row r="797" spans="70:88" x14ac:dyDescent="0.25">
      <c r="BR797" s="61"/>
      <c r="BS797" s="61"/>
      <c r="BT797" s="61"/>
      <c r="BU797" s="61"/>
      <c r="BV797" s="61"/>
      <c r="BW797" s="61"/>
      <c r="BX797" s="61"/>
      <c r="BY797" s="61"/>
      <c r="BZ797" s="61"/>
      <c r="CA797" s="61"/>
      <c r="CB797" s="61"/>
      <c r="CC797" s="61"/>
      <c r="CD797" s="61"/>
      <c r="CE797" s="61"/>
      <c r="CF797" s="61"/>
      <c r="CG797" s="61"/>
      <c r="CH797" s="61"/>
      <c r="CI797" s="61"/>
      <c r="CJ797" s="61"/>
    </row>
    <row r="798" spans="70:88" x14ac:dyDescent="0.25">
      <c r="BR798" s="61"/>
      <c r="BS798" s="61"/>
      <c r="BT798" s="61"/>
      <c r="BU798" s="61"/>
      <c r="BV798" s="61"/>
      <c r="BW798" s="61"/>
      <c r="BX798" s="61"/>
      <c r="BY798" s="61"/>
      <c r="BZ798" s="61"/>
      <c r="CA798" s="61"/>
      <c r="CB798" s="61"/>
      <c r="CC798" s="61"/>
      <c r="CD798" s="61"/>
      <c r="CE798" s="61"/>
      <c r="CF798" s="61"/>
      <c r="CG798" s="61"/>
      <c r="CH798" s="61"/>
      <c r="CI798" s="61"/>
      <c r="CJ798" s="61"/>
    </row>
    <row r="799" spans="70:88" x14ac:dyDescent="0.25">
      <c r="BR799" s="61"/>
      <c r="BS799" s="61"/>
      <c r="BT799" s="61"/>
      <c r="BU799" s="61"/>
      <c r="BV799" s="61"/>
      <c r="BW799" s="61"/>
      <c r="BX799" s="61"/>
      <c r="BY799" s="61"/>
      <c r="BZ799" s="61"/>
      <c r="CA799" s="61"/>
      <c r="CB799" s="61"/>
      <c r="CC799" s="61"/>
      <c r="CD799" s="61"/>
      <c r="CE799" s="61"/>
      <c r="CF799" s="61"/>
      <c r="CG799" s="61"/>
      <c r="CH799" s="61"/>
      <c r="CI799" s="61"/>
      <c r="CJ799" s="61"/>
    </row>
    <row r="800" spans="70:88" x14ac:dyDescent="0.25">
      <c r="BR800" s="61"/>
      <c r="BS800" s="61"/>
      <c r="BT800" s="61"/>
      <c r="BU800" s="61"/>
      <c r="BV800" s="61"/>
      <c r="BW800" s="61"/>
      <c r="BX800" s="61"/>
      <c r="BY800" s="61"/>
      <c r="BZ800" s="61"/>
      <c r="CA800" s="61"/>
      <c r="CB800" s="61"/>
      <c r="CC800" s="61"/>
      <c r="CD800" s="61"/>
      <c r="CE800" s="61"/>
      <c r="CF800" s="61"/>
      <c r="CG800" s="61"/>
      <c r="CH800" s="61"/>
      <c r="CI800" s="61"/>
      <c r="CJ800" s="61"/>
    </row>
    <row r="801" spans="70:88" x14ac:dyDescent="0.25">
      <c r="BR801" s="61"/>
      <c r="BS801" s="61"/>
      <c r="BT801" s="61"/>
      <c r="BU801" s="61"/>
      <c r="BV801" s="61"/>
      <c r="BW801" s="61"/>
      <c r="BX801" s="61"/>
      <c r="BY801" s="61"/>
      <c r="BZ801" s="61"/>
      <c r="CA801" s="61"/>
      <c r="CB801" s="61"/>
      <c r="CC801" s="61"/>
      <c r="CD801" s="61"/>
      <c r="CE801" s="61"/>
      <c r="CF801" s="61"/>
      <c r="CG801" s="61"/>
      <c r="CH801" s="61"/>
      <c r="CI801" s="61"/>
      <c r="CJ801" s="61"/>
    </row>
    <row r="802" spans="70:88" x14ac:dyDescent="0.25">
      <c r="BR802" s="61"/>
      <c r="BS802" s="61"/>
      <c r="BT802" s="61"/>
      <c r="BU802" s="61"/>
      <c r="BV802" s="61"/>
      <c r="BW802" s="61"/>
      <c r="BX802" s="61"/>
      <c r="BY802" s="61"/>
      <c r="BZ802" s="61"/>
      <c r="CA802" s="61"/>
      <c r="CB802" s="61"/>
      <c r="CC802" s="61"/>
      <c r="CD802" s="61"/>
      <c r="CE802" s="61"/>
      <c r="CF802" s="61"/>
      <c r="CG802" s="61"/>
      <c r="CH802" s="61"/>
      <c r="CI802" s="61"/>
      <c r="CJ802" s="61"/>
    </row>
    <row r="803" spans="70:88" x14ac:dyDescent="0.25">
      <c r="BR803" s="61"/>
      <c r="BS803" s="61"/>
      <c r="BT803" s="61"/>
      <c r="BU803" s="61"/>
      <c r="BV803" s="61"/>
      <c r="BW803" s="61"/>
      <c r="BX803" s="61"/>
      <c r="BY803" s="61"/>
      <c r="BZ803" s="61"/>
      <c r="CA803" s="61"/>
      <c r="CB803" s="61"/>
      <c r="CC803" s="61"/>
      <c r="CD803" s="61"/>
      <c r="CE803" s="61"/>
      <c r="CF803" s="61"/>
      <c r="CG803" s="61"/>
      <c r="CH803" s="61"/>
      <c r="CI803" s="61"/>
      <c r="CJ803" s="61"/>
    </row>
    <row r="804" spans="70:88" x14ac:dyDescent="0.25">
      <c r="BR804" s="61"/>
      <c r="BS804" s="61"/>
      <c r="BT804" s="61"/>
      <c r="BU804" s="61"/>
      <c r="BV804" s="61"/>
      <c r="BW804" s="61"/>
      <c r="BX804" s="61"/>
      <c r="BY804" s="61"/>
      <c r="BZ804" s="61"/>
      <c r="CA804" s="61"/>
      <c r="CB804" s="61"/>
      <c r="CC804" s="61"/>
      <c r="CD804" s="61"/>
      <c r="CE804" s="61"/>
      <c r="CF804" s="61"/>
      <c r="CG804" s="61"/>
      <c r="CH804" s="61"/>
      <c r="CI804" s="61"/>
      <c r="CJ804" s="61"/>
    </row>
    <row r="805" spans="70:88" x14ac:dyDescent="0.25">
      <c r="BR805" s="61"/>
      <c r="BS805" s="61"/>
      <c r="BT805" s="61"/>
      <c r="BU805" s="61"/>
      <c r="BV805" s="61"/>
      <c r="BW805" s="61"/>
      <c r="BX805" s="61"/>
      <c r="BY805" s="61"/>
      <c r="BZ805" s="61"/>
      <c r="CA805" s="61"/>
      <c r="CB805" s="61"/>
      <c r="CC805" s="61"/>
      <c r="CD805" s="61"/>
      <c r="CE805" s="61"/>
      <c r="CF805" s="61"/>
      <c r="CG805" s="61"/>
      <c r="CH805" s="61"/>
      <c r="CI805" s="61"/>
      <c r="CJ805" s="61"/>
    </row>
    <row r="806" spans="70:88" x14ac:dyDescent="0.25">
      <c r="BR806" s="61"/>
      <c r="BS806" s="61"/>
      <c r="BT806" s="61"/>
      <c r="BU806" s="61"/>
      <c r="BV806" s="61"/>
      <c r="BW806" s="61"/>
      <c r="BX806" s="61"/>
      <c r="BY806" s="61"/>
      <c r="BZ806" s="61"/>
      <c r="CA806" s="61"/>
      <c r="CB806" s="61"/>
      <c r="CC806" s="61"/>
      <c r="CD806" s="61"/>
      <c r="CE806" s="61"/>
      <c r="CF806" s="61"/>
      <c r="CG806" s="61"/>
      <c r="CH806" s="61"/>
      <c r="CI806" s="61"/>
      <c r="CJ806" s="61"/>
    </row>
    <row r="807" spans="70:88" x14ac:dyDescent="0.25">
      <c r="BR807" s="61"/>
      <c r="BS807" s="61"/>
      <c r="BT807" s="61"/>
      <c r="BU807" s="61"/>
      <c r="BV807" s="61"/>
      <c r="BW807" s="61"/>
      <c r="BX807" s="61"/>
      <c r="BY807" s="61"/>
      <c r="BZ807" s="61"/>
      <c r="CA807" s="61"/>
      <c r="CB807" s="61"/>
      <c r="CC807" s="61"/>
      <c r="CD807" s="61"/>
      <c r="CE807" s="61"/>
      <c r="CF807" s="61"/>
      <c r="CG807" s="61"/>
      <c r="CH807" s="61"/>
      <c r="CI807" s="61"/>
      <c r="CJ807" s="61"/>
    </row>
    <row r="808" spans="70:88" x14ac:dyDescent="0.25">
      <c r="BR808" s="61"/>
      <c r="BS808" s="61"/>
      <c r="BT808" s="61"/>
      <c r="BU808" s="61"/>
      <c r="BV808" s="61"/>
      <c r="BW808" s="61"/>
      <c r="BX808" s="61"/>
      <c r="BY808" s="61"/>
      <c r="BZ808" s="61"/>
      <c r="CA808" s="61"/>
      <c r="CB808" s="61"/>
      <c r="CC808" s="61"/>
      <c r="CD808" s="61"/>
      <c r="CE808" s="61"/>
      <c r="CF808" s="61"/>
      <c r="CG808" s="61"/>
      <c r="CH808" s="61"/>
      <c r="CI808" s="61"/>
      <c r="CJ808" s="61"/>
    </row>
    <row r="809" spans="70:88" x14ac:dyDescent="0.25">
      <c r="BR809" s="61"/>
      <c r="BS809" s="61"/>
      <c r="BT809" s="61"/>
      <c r="BU809" s="61"/>
      <c r="BV809" s="61"/>
      <c r="BW809" s="61"/>
      <c r="BX809" s="61"/>
      <c r="BY809" s="61"/>
      <c r="BZ809" s="61"/>
      <c r="CA809" s="61"/>
      <c r="CB809" s="61"/>
      <c r="CC809" s="61"/>
      <c r="CD809" s="61"/>
      <c r="CE809" s="61"/>
      <c r="CF809" s="61"/>
      <c r="CG809" s="61"/>
      <c r="CH809" s="61"/>
      <c r="CI809" s="61"/>
      <c r="CJ809" s="61"/>
    </row>
    <row r="810" spans="70:88" x14ac:dyDescent="0.25">
      <c r="BR810" s="61"/>
      <c r="BS810" s="61"/>
      <c r="BT810" s="61"/>
      <c r="BU810" s="61"/>
      <c r="BV810" s="61"/>
      <c r="BW810" s="61"/>
      <c r="BX810" s="61"/>
      <c r="BY810" s="61"/>
      <c r="BZ810" s="61"/>
      <c r="CA810" s="61"/>
      <c r="CB810" s="61"/>
      <c r="CC810" s="61"/>
      <c r="CD810" s="61"/>
      <c r="CE810" s="61"/>
      <c r="CF810" s="61"/>
      <c r="CG810" s="61"/>
      <c r="CH810" s="61"/>
      <c r="CI810" s="61"/>
      <c r="CJ810" s="61"/>
    </row>
    <row r="811" spans="70:88" x14ac:dyDescent="0.25">
      <c r="BR811" s="61"/>
      <c r="BS811" s="61"/>
      <c r="BT811" s="61"/>
      <c r="BU811" s="61"/>
      <c r="BV811" s="61"/>
      <c r="BW811" s="61"/>
      <c r="BX811" s="61"/>
      <c r="BY811" s="61"/>
      <c r="BZ811" s="61"/>
      <c r="CA811" s="61"/>
      <c r="CB811" s="61"/>
      <c r="CC811" s="61"/>
      <c r="CD811" s="61"/>
      <c r="CE811" s="61"/>
      <c r="CF811" s="61"/>
      <c r="CG811" s="61"/>
      <c r="CH811" s="61"/>
      <c r="CI811" s="61"/>
      <c r="CJ811" s="61"/>
    </row>
    <row r="812" spans="70:88" x14ac:dyDescent="0.25">
      <c r="BR812" s="61"/>
      <c r="BS812" s="61"/>
      <c r="BT812" s="61"/>
      <c r="BU812" s="61"/>
      <c r="BV812" s="61"/>
      <c r="BW812" s="61"/>
      <c r="BX812" s="61"/>
      <c r="BY812" s="61"/>
      <c r="BZ812" s="61"/>
      <c r="CA812" s="61"/>
      <c r="CB812" s="61"/>
      <c r="CC812" s="61"/>
      <c r="CD812" s="61"/>
      <c r="CE812" s="61"/>
      <c r="CF812" s="61"/>
      <c r="CG812" s="61"/>
      <c r="CH812" s="61"/>
      <c r="CI812" s="61"/>
      <c r="CJ812" s="61"/>
    </row>
    <row r="813" spans="70:88" x14ac:dyDescent="0.25">
      <c r="BR813" s="61"/>
      <c r="BS813" s="61"/>
      <c r="BT813" s="61"/>
      <c r="BU813" s="61"/>
      <c r="BV813" s="61"/>
      <c r="BW813" s="61"/>
      <c r="BX813" s="61"/>
      <c r="BY813" s="61"/>
      <c r="BZ813" s="61"/>
      <c r="CA813" s="61"/>
      <c r="CB813" s="61"/>
      <c r="CC813" s="61"/>
      <c r="CD813" s="61"/>
      <c r="CE813" s="61"/>
      <c r="CF813" s="61"/>
      <c r="CG813" s="61"/>
      <c r="CH813" s="61"/>
      <c r="CI813" s="61"/>
      <c r="CJ813" s="61"/>
    </row>
    <row r="814" spans="70:88" x14ac:dyDescent="0.25">
      <c r="BR814" s="61"/>
      <c r="BS814" s="61"/>
      <c r="BT814" s="61"/>
      <c r="BU814" s="61"/>
      <c r="BV814" s="61"/>
      <c r="BW814" s="61"/>
      <c r="BX814" s="61"/>
      <c r="BY814" s="61"/>
      <c r="BZ814" s="61"/>
      <c r="CA814" s="61"/>
      <c r="CB814" s="61"/>
      <c r="CC814" s="61"/>
      <c r="CD814" s="61"/>
      <c r="CE814" s="61"/>
      <c r="CF814" s="61"/>
      <c r="CG814" s="61"/>
      <c r="CH814" s="61"/>
      <c r="CI814" s="61"/>
      <c r="CJ814" s="61"/>
    </row>
    <row r="815" spans="70:88" x14ac:dyDescent="0.25">
      <c r="BR815" s="61"/>
      <c r="BS815" s="61"/>
      <c r="BT815" s="61"/>
      <c r="BU815" s="61"/>
      <c r="BV815" s="61"/>
      <c r="BW815" s="61"/>
      <c r="BX815" s="61"/>
      <c r="BY815" s="61"/>
      <c r="BZ815" s="61"/>
      <c r="CA815" s="61"/>
      <c r="CB815" s="61"/>
      <c r="CC815" s="61"/>
      <c r="CD815" s="61"/>
      <c r="CE815" s="61"/>
      <c r="CF815" s="61"/>
      <c r="CG815" s="61"/>
      <c r="CH815" s="61"/>
      <c r="CI815" s="61"/>
      <c r="CJ815" s="61"/>
    </row>
    <row r="816" spans="70:88" x14ac:dyDescent="0.25">
      <c r="BR816" s="61"/>
      <c r="BS816" s="61"/>
      <c r="BT816" s="61"/>
      <c r="BU816" s="61"/>
      <c r="BV816" s="61"/>
      <c r="BW816" s="61"/>
      <c r="BX816" s="61"/>
      <c r="BY816" s="61"/>
      <c r="BZ816" s="61"/>
      <c r="CA816" s="61"/>
      <c r="CB816" s="61"/>
      <c r="CC816" s="61"/>
      <c r="CD816" s="61"/>
      <c r="CE816" s="61"/>
      <c r="CF816" s="61"/>
      <c r="CG816" s="61"/>
      <c r="CH816" s="61"/>
      <c r="CI816" s="61"/>
      <c r="CJ816" s="61"/>
    </row>
    <row r="817" spans="70:88" x14ac:dyDescent="0.25">
      <c r="BR817" s="61"/>
      <c r="BS817" s="61"/>
      <c r="BT817" s="61"/>
      <c r="BU817" s="61"/>
      <c r="BV817" s="61"/>
      <c r="BW817" s="61"/>
      <c r="BX817" s="61"/>
      <c r="BY817" s="61"/>
      <c r="BZ817" s="61"/>
      <c r="CA817" s="61"/>
      <c r="CB817" s="61"/>
      <c r="CC817" s="61"/>
      <c r="CD817" s="61"/>
      <c r="CE817" s="61"/>
      <c r="CF817" s="61"/>
      <c r="CG817" s="61"/>
      <c r="CH817" s="61"/>
      <c r="CI817" s="61"/>
      <c r="CJ817" s="61"/>
    </row>
    <row r="818" spans="70:88" x14ac:dyDescent="0.25">
      <c r="BR818" s="61"/>
      <c r="BS818" s="61"/>
      <c r="BT818" s="61"/>
      <c r="BU818" s="61"/>
      <c r="BV818" s="61"/>
      <c r="BW818" s="61"/>
      <c r="BX818" s="61"/>
      <c r="BY818" s="61"/>
      <c r="BZ818" s="61"/>
      <c r="CA818" s="61"/>
      <c r="CB818" s="61"/>
      <c r="CC818" s="61"/>
      <c r="CD818" s="61"/>
      <c r="CE818" s="61"/>
      <c r="CF818" s="61"/>
      <c r="CG818" s="61"/>
      <c r="CH818" s="61"/>
      <c r="CI818" s="61"/>
      <c r="CJ818" s="61"/>
    </row>
    <row r="819" spans="70:88" x14ac:dyDescent="0.25">
      <c r="BR819" s="61"/>
      <c r="BS819" s="61"/>
      <c r="BT819" s="61"/>
      <c r="BU819" s="61"/>
      <c r="BV819" s="61"/>
      <c r="BW819" s="61"/>
      <c r="BX819" s="61"/>
      <c r="BY819" s="61"/>
      <c r="BZ819" s="61"/>
      <c r="CA819" s="61"/>
      <c r="CB819" s="61"/>
      <c r="CC819" s="61"/>
      <c r="CD819" s="61"/>
      <c r="CE819" s="61"/>
      <c r="CF819" s="61"/>
      <c r="CG819" s="61"/>
      <c r="CH819" s="61"/>
      <c r="CI819" s="61"/>
      <c r="CJ819" s="61"/>
    </row>
    <row r="820" spans="70:88" x14ac:dyDescent="0.25">
      <c r="BR820" s="61"/>
      <c r="BS820" s="61"/>
      <c r="BT820" s="61"/>
      <c r="BU820" s="61"/>
      <c r="BV820" s="61"/>
      <c r="BW820" s="61"/>
      <c r="BX820" s="61"/>
      <c r="BY820" s="61"/>
      <c r="BZ820" s="61"/>
      <c r="CA820" s="61"/>
      <c r="CB820" s="61"/>
      <c r="CC820" s="61"/>
      <c r="CD820" s="61"/>
      <c r="CE820" s="61"/>
      <c r="CF820" s="61"/>
      <c r="CG820" s="61"/>
      <c r="CH820" s="61"/>
      <c r="CI820" s="61"/>
      <c r="CJ820" s="61"/>
    </row>
    <row r="821" spans="70:88" x14ac:dyDescent="0.25">
      <c r="BR821" s="61"/>
      <c r="BS821" s="61"/>
      <c r="BT821" s="61"/>
      <c r="BU821" s="61"/>
      <c r="BV821" s="61"/>
      <c r="BW821" s="61"/>
      <c r="BX821" s="61"/>
      <c r="BY821" s="61"/>
      <c r="BZ821" s="61"/>
      <c r="CA821" s="61"/>
      <c r="CB821" s="61"/>
      <c r="CC821" s="61"/>
      <c r="CD821" s="61"/>
      <c r="CE821" s="61"/>
      <c r="CF821" s="61"/>
      <c r="CG821" s="61"/>
      <c r="CH821" s="61"/>
      <c r="CI821" s="61"/>
      <c r="CJ821" s="61"/>
    </row>
    <row r="822" spans="70:88" x14ac:dyDescent="0.25">
      <c r="BR822" s="61"/>
      <c r="BS822" s="61"/>
      <c r="BT822" s="61"/>
      <c r="BU822" s="61"/>
      <c r="BV822" s="61"/>
      <c r="BW822" s="61"/>
      <c r="BX822" s="61"/>
      <c r="BY822" s="61"/>
      <c r="BZ822" s="61"/>
      <c r="CA822" s="61"/>
      <c r="CB822" s="61"/>
      <c r="CC822" s="61"/>
      <c r="CD822" s="61"/>
      <c r="CE822" s="61"/>
      <c r="CF822" s="61"/>
      <c r="CG822" s="61"/>
      <c r="CH822" s="61"/>
      <c r="CI822" s="61"/>
      <c r="CJ822" s="61"/>
    </row>
    <row r="823" spans="70:88" x14ac:dyDescent="0.25">
      <c r="BR823" s="61"/>
      <c r="BS823" s="61"/>
      <c r="BT823" s="61"/>
      <c r="BU823" s="61"/>
      <c r="BV823" s="61"/>
      <c r="BW823" s="61"/>
      <c r="BX823" s="61"/>
      <c r="BY823" s="61"/>
      <c r="BZ823" s="61"/>
      <c r="CA823" s="61"/>
      <c r="CB823" s="61"/>
      <c r="CC823" s="61"/>
      <c r="CD823" s="61"/>
      <c r="CE823" s="61"/>
      <c r="CF823" s="61"/>
      <c r="CG823" s="61"/>
      <c r="CH823" s="61"/>
      <c r="CI823" s="61"/>
      <c r="CJ823" s="61"/>
    </row>
    <row r="824" spans="70:88" x14ac:dyDescent="0.25">
      <c r="BR824" s="61"/>
      <c r="BS824" s="61"/>
      <c r="BT824" s="61"/>
      <c r="BU824" s="61"/>
      <c r="BV824" s="61"/>
      <c r="BW824" s="61"/>
      <c r="BX824" s="61"/>
      <c r="BY824" s="61"/>
      <c r="BZ824" s="61"/>
      <c r="CA824" s="61"/>
      <c r="CB824" s="61"/>
      <c r="CC824" s="61"/>
      <c r="CD824" s="61"/>
      <c r="CE824" s="61"/>
      <c r="CF824" s="61"/>
      <c r="CG824" s="61"/>
      <c r="CH824" s="61"/>
      <c r="CI824" s="61"/>
      <c r="CJ824" s="61"/>
    </row>
    <row r="825" spans="70:88" x14ac:dyDescent="0.25">
      <c r="BR825" s="61"/>
      <c r="BS825" s="61"/>
      <c r="BT825" s="61"/>
      <c r="BU825" s="61"/>
      <c r="BV825" s="61"/>
      <c r="BW825" s="61"/>
      <c r="BX825" s="61"/>
      <c r="BY825" s="61"/>
      <c r="BZ825" s="61"/>
      <c r="CA825" s="61"/>
      <c r="CB825" s="61"/>
      <c r="CC825" s="61"/>
      <c r="CD825" s="61"/>
      <c r="CE825" s="61"/>
      <c r="CF825" s="61"/>
      <c r="CG825" s="61"/>
      <c r="CH825" s="61"/>
      <c r="CI825" s="61"/>
      <c r="CJ825" s="61"/>
    </row>
    <row r="826" spans="70:88" x14ac:dyDescent="0.25">
      <c r="BR826" s="61"/>
      <c r="BS826" s="61"/>
      <c r="BT826" s="61"/>
      <c r="BU826" s="61"/>
      <c r="BV826" s="61"/>
      <c r="BW826" s="61"/>
      <c r="BX826" s="61"/>
      <c r="BY826" s="61"/>
      <c r="BZ826" s="61"/>
      <c r="CA826" s="61"/>
      <c r="CB826" s="61"/>
      <c r="CC826" s="61"/>
      <c r="CD826" s="61"/>
      <c r="CE826" s="61"/>
      <c r="CF826" s="61"/>
      <c r="CG826" s="61"/>
      <c r="CH826" s="61"/>
      <c r="CI826" s="61"/>
      <c r="CJ826" s="61"/>
    </row>
    <row r="827" spans="70:88" x14ac:dyDescent="0.25">
      <c r="BR827" s="61"/>
      <c r="BS827" s="61"/>
      <c r="BT827" s="61"/>
      <c r="BU827" s="61"/>
      <c r="BV827" s="61"/>
      <c r="BW827" s="61"/>
      <c r="BX827" s="61"/>
      <c r="BY827" s="61"/>
      <c r="BZ827" s="61"/>
      <c r="CA827" s="61"/>
      <c r="CB827" s="61"/>
      <c r="CC827" s="61"/>
      <c r="CD827" s="61"/>
      <c r="CE827" s="61"/>
      <c r="CF827" s="61"/>
      <c r="CG827" s="61"/>
      <c r="CH827" s="61"/>
      <c r="CI827" s="61"/>
      <c r="CJ827" s="61"/>
    </row>
    <row r="828" spans="70:88" x14ac:dyDescent="0.25">
      <c r="BR828" s="61"/>
      <c r="BS828" s="61"/>
      <c r="BT828" s="61"/>
      <c r="BU828" s="61"/>
      <c r="BV828" s="61"/>
      <c r="BW828" s="61"/>
      <c r="BX828" s="61"/>
      <c r="BY828" s="61"/>
      <c r="BZ828" s="61"/>
      <c r="CA828" s="61"/>
      <c r="CB828" s="61"/>
      <c r="CC828" s="61"/>
      <c r="CD828" s="61"/>
      <c r="CE828" s="61"/>
      <c r="CF828" s="61"/>
      <c r="CG828" s="61"/>
      <c r="CH828" s="61"/>
      <c r="CI828" s="61"/>
      <c r="CJ828" s="61"/>
    </row>
    <row r="829" spans="70:88" x14ac:dyDescent="0.25">
      <c r="BR829" s="61"/>
      <c r="BS829" s="61"/>
      <c r="BT829" s="61"/>
      <c r="BU829" s="61"/>
      <c r="BV829" s="61"/>
      <c r="BW829" s="61"/>
      <c r="BX829" s="61"/>
      <c r="BY829" s="61"/>
      <c r="BZ829" s="61"/>
      <c r="CA829" s="61"/>
      <c r="CB829" s="61"/>
      <c r="CC829" s="61"/>
      <c r="CD829" s="61"/>
      <c r="CE829" s="61"/>
      <c r="CF829" s="61"/>
      <c r="CG829" s="61"/>
      <c r="CH829" s="61"/>
      <c r="CI829" s="61"/>
      <c r="CJ829" s="61"/>
    </row>
    <row r="830" spans="70:88" x14ac:dyDescent="0.25">
      <c r="BR830" s="61"/>
      <c r="BS830" s="61"/>
      <c r="BT830" s="61"/>
      <c r="BU830" s="61"/>
      <c r="BV830" s="61"/>
      <c r="BW830" s="61"/>
      <c r="BX830" s="61"/>
      <c r="BY830" s="61"/>
      <c r="BZ830" s="61"/>
      <c r="CA830" s="61"/>
      <c r="CB830" s="61"/>
      <c r="CC830" s="61"/>
      <c r="CD830" s="61"/>
      <c r="CE830" s="61"/>
      <c r="CF830" s="61"/>
      <c r="CG830" s="61"/>
      <c r="CH830" s="61"/>
      <c r="CI830" s="61"/>
      <c r="CJ830" s="61"/>
    </row>
    <row r="831" spans="70:88" x14ac:dyDescent="0.25">
      <c r="BR831" s="61"/>
      <c r="BS831" s="61"/>
      <c r="BT831" s="61"/>
      <c r="BU831" s="61"/>
      <c r="BV831" s="61"/>
      <c r="BW831" s="61"/>
      <c r="BX831" s="61"/>
      <c r="BY831" s="61"/>
      <c r="BZ831" s="61"/>
      <c r="CA831" s="61"/>
      <c r="CB831" s="61"/>
      <c r="CC831" s="61"/>
      <c r="CD831" s="61"/>
      <c r="CE831" s="61"/>
      <c r="CF831" s="61"/>
      <c r="CG831" s="61"/>
      <c r="CH831" s="61"/>
      <c r="CI831" s="61"/>
      <c r="CJ831" s="61"/>
    </row>
    <row r="832" spans="70:88" x14ac:dyDescent="0.25">
      <c r="BR832" s="61"/>
      <c r="BS832" s="61"/>
      <c r="BT832" s="61"/>
      <c r="BU832" s="61"/>
      <c r="BV832" s="61"/>
      <c r="BW832" s="61"/>
      <c r="BX832" s="61"/>
      <c r="BY832" s="61"/>
      <c r="BZ832" s="61"/>
      <c r="CA832" s="61"/>
      <c r="CB832" s="61"/>
      <c r="CC832" s="61"/>
      <c r="CD832" s="61"/>
      <c r="CE832" s="61"/>
      <c r="CF832" s="61"/>
      <c r="CG832" s="61"/>
      <c r="CH832" s="61"/>
      <c r="CI832" s="61"/>
      <c r="CJ832" s="61"/>
    </row>
    <row r="833" spans="70:88" x14ac:dyDescent="0.25">
      <c r="BR833" s="61"/>
      <c r="BS833" s="61"/>
      <c r="BT833" s="61"/>
      <c r="BU833" s="61"/>
      <c r="BV833" s="61"/>
      <c r="BW833" s="61"/>
      <c r="BX833" s="61"/>
      <c r="BY833" s="61"/>
      <c r="BZ833" s="61"/>
      <c r="CA833" s="61"/>
      <c r="CB833" s="61"/>
      <c r="CC833" s="61"/>
      <c r="CD833" s="61"/>
      <c r="CE833" s="61"/>
      <c r="CF833" s="61"/>
      <c r="CG833" s="61"/>
      <c r="CH833" s="61"/>
      <c r="CI833" s="61"/>
      <c r="CJ833" s="61"/>
    </row>
    <row r="834" spans="70:88" x14ac:dyDescent="0.25">
      <c r="BR834" s="61"/>
      <c r="BS834" s="61"/>
      <c r="BT834" s="61"/>
      <c r="BU834" s="61"/>
      <c r="BV834" s="61"/>
      <c r="BW834" s="61"/>
      <c r="BX834" s="61"/>
      <c r="BY834" s="61"/>
      <c r="BZ834" s="61"/>
      <c r="CA834" s="61"/>
      <c r="CB834" s="61"/>
      <c r="CC834" s="61"/>
      <c r="CD834" s="61"/>
      <c r="CE834" s="61"/>
      <c r="CF834" s="61"/>
      <c r="CG834" s="61"/>
      <c r="CH834" s="61"/>
      <c r="CI834" s="61"/>
      <c r="CJ834" s="61"/>
    </row>
    <row r="835" spans="70:88" x14ac:dyDescent="0.25">
      <c r="BR835" s="61"/>
      <c r="BS835" s="61"/>
      <c r="BT835" s="61"/>
      <c r="BU835" s="61"/>
      <c r="BV835" s="61"/>
      <c r="BW835" s="61"/>
      <c r="BX835" s="61"/>
      <c r="BY835" s="61"/>
      <c r="BZ835" s="61"/>
      <c r="CA835" s="61"/>
      <c r="CB835" s="61"/>
      <c r="CC835" s="61"/>
      <c r="CD835" s="61"/>
      <c r="CE835" s="61"/>
      <c r="CF835" s="61"/>
      <c r="CG835" s="61"/>
      <c r="CH835" s="61"/>
      <c r="CI835" s="61"/>
      <c r="CJ835" s="61"/>
    </row>
    <row r="836" spans="70:88" x14ac:dyDescent="0.25">
      <c r="BR836" s="61"/>
      <c r="BS836" s="61"/>
      <c r="BT836" s="61"/>
      <c r="BU836" s="61"/>
      <c r="BV836" s="61"/>
      <c r="BW836" s="61"/>
      <c r="BX836" s="61"/>
      <c r="BY836" s="61"/>
      <c r="BZ836" s="61"/>
      <c r="CA836" s="61"/>
      <c r="CB836" s="61"/>
      <c r="CC836" s="61"/>
      <c r="CD836" s="61"/>
      <c r="CE836" s="61"/>
      <c r="CF836" s="61"/>
      <c r="CG836" s="61"/>
      <c r="CH836" s="61"/>
      <c r="CI836" s="61"/>
      <c r="CJ836" s="61"/>
    </row>
    <row r="837" spans="70:88" x14ac:dyDescent="0.25">
      <c r="BR837" s="61"/>
      <c r="BS837" s="61"/>
      <c r="BT837" s="61"/>
      <c r="BU837" s="61"/>
      <c r="BV837" s="61"/>
      <c r="BW837" s="61"/>
      <c r="BX837" s="61"/>
      <c r="BY837" s="61"/>
      <c r="BZ837" s="61"/>
      <c r="CA837" s="61"/>
      <c r="CB837" s="61"/>
      <c r="CC837" s="61"/>
      <c r="CD837" s="61"/>
      <c r="CE837" s="61"/>
      <c r="CF837" s="61"/>
      <c r="CG837" s="61"/>
      <c r="CH837" s="61"/>
      <c r="CI837" s="61"/>
      <c r="CJ837" s="61"/>
    </row>
    <row r="838" spans="70:88" x14ac:dyDescent="0.25">
      <c r="BR838" s="61"/>
      <c r="BS838" s="61"/>
      <c r="BT838" s="61"/>
      <c r="BU838" s="61"/>
      <c r="BV838" s="61"/>
      <c r="BW838" s="61"/>
      <c r="BX838" s="61"/>
      <c r="BY838" s="61"/>
      <c r="BZ838" s="61"/>
      <c r="CA838" s="61"/>
      <c r="CB838" s="61"/>
      <c r="CC838" s="61"/>
      <c r="CD838" s="61"/>
      <c r="CE838" s="61"/>
      <c r="CF838" s="61"/>
      <c r="CG838" s="61"/>
      <c r="CH838" s="61"/>
      <c r="CI838" s="61"/>
      <c r="CJ838" s="61"/>
    </row>
    <row r="839" spans="70:88" x14ac:dyDescent="0.25">
      <c r="BR839" s="61"/>
      <c r="BS839" s="61"/>
      <c r="BT839" s="61"/>
      <c r="BU839" s="61"/>
      <c r="BV839" s="61"/>
      <c r="BW839" s="61"/>
      <c r="BX839" s="61"/>
      <c r="BY839" s="61"/>
      <c r="BZ839" s="61"/>
      <c r="CA839" s="61"/>
      <c r="CB839" s="61"/>
      <c r="CC839" s="61"/>
      <c r="CD839" s="61"/>
      <c r="CE839" s="61"/>
      <c r="CF839" s="61"/>
      <c r="CG839" s="61"/>
      <c r="CH839" s="61"/>
      <c r="CI839" s="61"/>
      <c r="CJ839" s="61"/>
    </row>
    <row r="840" spans="70:88" x14ac:dyDescent="0.25">
      <c r="BR840" s="61"/>
      <c r="BS840" s="61"/>
      <c r="BT840" s="61"/>
      <c r="BU840" s="61"/>
      <c r="BV840" s="61"/>
      <c r="BW840" s="61"/>
      <c r="BX840" s="61"/>
      <c r="BY840" s="61"/>
      <c r="BZ840" s="61"/>
      <c r="CA840" s="61"/>
      <c r="CB840" s="61"/>
      <c r="CC840" s="61"/>
      <c r="CD840" s="61"/>
      <c r="CE840" s="61"/>
      <c r="CF840" s="61"/>
      <c r="CG840" s="61"/>
      <c r="CH840" s="61"/>
      <c r="CI840" s="61"/>
      <c r="CJ840" s="61"/>
    </row>
    <row r="841" spans="70:88" x14ac:dyDescent="0.25">
      <c r="BR841" s="61"/>
      <c r="BS841" s="61"/>
      <c r="BT841" s="61"/>
      <c r="BU841" s="61"/>
      <c r="BV841" s="61"/>
      <c r="BW841" s="61"/>
      <c r="BX841" s="61"/>
      <c r="BY841" s="61"/>
      <c r="BZ841" s="61"/>
      <c r="CA841" s="61"/>
      <c r="CB841" s="61"/>
      <c r="CC841" s="61"/>
      <c r="CD841" s="61"/>
      <c r="CE841" s="61"/>
      <c r="CF841" s="61"/>
      <c r="CG841" s="61"/>
      <c r="CH841" s="61"/>
      <c r="CI841" s="61"/>
      <c r="CJ841" s="61"/>
    </row>
    <row r="842" spans="70:88" x14ac:dyDescent="0.25">
      <c r="BR842" s="61"/>
      <c r="BS842" s="61"/>
      <c r="BT842" s="61"/>
      <c r="BU842" s="61"/>
      <c r="BV842" s="61"/>
      <c r="BW842" s="61"/>
      <c r="BX842" s="61"/>
      <c r="BY842" s="61"/>
      <c r="BZ842" s="61"/>
      <c r="CA842" s="61"/>
      <c r="CB842" s="61"/>
      <c r="CC842" s="61"/>
      <c r="CD842" s="61"/>
      <c r="CE842" s="61"/>
      <c r="CF842" s="61"/>
      <c r="CG842" s="61"/>
      <c r="CH842" s="61"/>
      <c r="CI842" s="61"/>
      <c r="CJ842" s="61"/>
    </row>
    <row r="843" spans="70:88" x14ac:dyDescent="0.25">
      <c r="BR843" s="61"/>
      <c r="BS843" s="61"/>
      <c r="BT843" s="61"/>
      <c r="BU843" s="61"/>
      <c r="BV843" s="61"/>
      <c r="BW843" s="61"/>
      <c r="BX843" s="61"/>
      <c r="BY843" s="61"/>
      <c r="BZ843" s="61"/>
      <c r="CA843" s="61"/>
      <c r="CB843" s="61"/>
      <c r="CC843" s="61"/>
      <c r="CD843" s="61"/>
      <c r="CE843" s="61"/>
      <c r="CF843" s="61"/>
      <c r="CG843" s="61"/>
      <c r="CH843" s="61"/>
      <c r="CI843" s="61"/>
      <c r="CJ843" s="61"/>
    </row>
    <row r="844" spans="70:88" x14ac:dyDescent="0.25">
      <c r="BR844" s="61"/>
      <c r="BS844" s="61"/>
      <c r="BT844" s="61"/>
      <c r="BU844" s="61"/>
      <c r="BV844" s="61"/>
      <c r="BW844" s="61"/>
      <c r="BX844" s="61"/>
      <c r="BY844" s="61"/>
      <c r="BZ844" s="61"/>
      <c r="CA844" s="61"/>
      <c r="CB844" s="61"/>
      <c r="CC844" s="61"/>
      <c r="CD844" s="61"/>
      <c r="CE844" s="61"/>
      <c r="CF844" s="61"/>
      <c r="CG844" s="61"/>
      <c r="CH844" s="61"/>
      <c r="CI844" s="61"/>
      <c r="CJ844" s="61"/>
    </row>
    <row r="845" spans="70:88" x14ac:dyDescent="0.25">
      <c r="BR845" s="61"/>
      <c r="BS845" s="61"/>
      <c r="BT845" s="61"/>
      <c r="BU845" s="61"/>
      <c r="BV845" s="61"/>
      <c r="BW845" s="61"/>
      <c r="BX845" s="61"/>
      <c r="BY845" s="61"/>
      <c r="BZ845" s="61"/>
      <c r="CA845" s="61"/>
      <c r="CB845" s="61"/>
      <c r="CC845" s="61"/>
      <c r="CD845" s="61"/>
      <c r="CE845" s="61"/>
      <c r="CF845" s="61"/>
      <c r="CG845" s="61"/>
      <c r="CH845" s="61"/>
      <c r="CI845" s="61"/>
      <c r="CJ845" s="61"/>
    </row>
    <row r="846" spans="70:88" x14ac:dyDescent="0.25">
      <c r="BR846" s="61"/>
      <c r="BS846" s="61"/>
      <c r="BT846" s="61"/>
      <c r="BU846" s="61"/>
      <c r="BV846" s="61"/>
      <c r="BW846" s="61"/>
      <c r="BX846" s="61"/>
      <c r="BY846" s="61"/>
      <c r="BZ846" s="61"/>
      <c r="CA846" s="61"/>
      <c r="CB846" s="61"/>
      <c r="CC846" s="61"/>
      <c r="CD846" s="61"/>
      <c r="CE846" s="61"/>
      <c r="CF846" s="61"/>
      <c r="CG846" s="61"/>
      <c r="CH846" s="61"/>
      <c r="CI846" s="61"/>
      <c r="CJ846" s="61"/>
    </row>
    <row r="847" spans="70:88" x14ac:dyDescent="0.25">
      <c r="BR847" s="61"/>
      <c r="BS847" s="61"/>
      <c r="BT847" s="61"/>
      <c r="BU847" s="61"/>
      <c r="BV847" s="61"/>
      <c r="BW847" s="61"/>
      <c r="BX847" s="61"/>
      <c r="BY847" s="61"/>
      <c r="BZ847" s="61"/>
      <c r="CA847" s="61"/>
      <c r="CB847" s="61"/>
      <c r="CC847" s="61"/>
      <c r="CD847" s="61"/>
      <c r="CE847" s="61"/>
      <c r="CF847" s="61"/>
      <c r="CG847" s="61"/>
      <c r="CH847" s="61"/>
      <c r="CI847" s="61"/>
      <c r="CJ847" s="61"/>
    </row>
    <row r="848" spans="70:88" x14ac:dyDescent="0.25">
      <c r="BR848" s="61"/>
      <c r="BS848" s="61"/>
      <c r="BT848" s="61"/>
      <c r="BU848" s="61"/>
      <c r="BV848" s="61"/>
      <c r="BW848" s="61"/>
      <c r="BX848" s="61"/>
      <c r="BY848" s="61"/>
      <c r="BZ848" s="61"/>
      <c r="CA848" s="61"/>
      <c r="CB848" s="61"/>
      <c r="CC848" s="61"/>
      <c r="CD848" s="61"/>
      <c r="CE848" s="61"/>
      <c r="CF848" s="61"/>
      <c r="CG848" s="61"/>
      <c r="CH848" s="61"/>
      <c r="CI848" s="61"/>
      <c r="CJ848" s="61"/>
    </row>
    <row r="849" spans="70:88" x14ac:dyDescent="0.25">
      <c r="BR849" s="61"/>
      <c r="BS849" s="61"/>
      <c r="BT849" s="61"/>
      <c r="BU849" s="61"/>
      <c r="BV849" s="61"/>
      <c r="BW849" s="61"/>
      <c r="BX849" s="61"/>
      <c r="BY849" s="61"/>
      <c r="BZ849" s="61"/>
      <c r="CA849" s="61"/>
      <c r="CB849" s="61"/>
      <c r="CC849" s="61"/>
      <c r="CD849" s="61"/>
      <c r="CE849" s="61"/>
      <c r="CF849" s="61"/>
      <c r="CG849" s="61"/>
      <c r="CH849" s="61"/>
      <c r="CI849" s="61"/>
      <c r="CJ849" s="61"/>
    </row>
    <row r="850" spans="70:88" x14ac:dyDescent="0.25">
      <c r="BR850" s="61"/>
      <c r="BS850" s="61"/>
      <c r="BT850" s="61"/>
      <c r="BU850" s="61"/>
      <c r="BV850" s="61"/>
      <c r="BW850" s="61"/>
      <c r="BX850" s="61"/>
      <c r="BY850" s="61"/>
      <c r="BZ850" s="61"/>
      <c r="CA850" s="61"/>
      <c r="CB850" s="61"/>
      <c r="CC850" s="61"/>
      <c r="CD850" s="61"/>
      <c r="CE850" s="61"/>
      <c r="CF850" s="61"/>
      <c r="CG850" s="61"/>
      <c r="CH850" s="61"/>
      <c r="CI850" s="61"/>
      <c r="CJ850" s="61"/>
    </row>
    <row r="851" spans="70:88" x14ac:dyDescent="0.25">
      <c r="BR851" s="61"/>
      <c r="BS851" s="61"/>
      <c r="BT851" s="61"/>
      <c r="BU851" s="61"/>
      <c r="BV851" s="61"/>
      <c r="BW851" s="61"/>
      <c r="BX851" s="61"/>
      <c r="BY851" s="61"/>
      <c r="BZ851" s="61"/>
      <c r="CA851" s="61"/>
      <c r="CB851" s="61"/>
      <c r="CC851" s="61"/>
      <c r="CD851" s="61"/>
      <c r="CE851" s="61"/>
      <c r="CF851" s="61"/>
      <c r="CG851" s="61"/>
      <c r="CH851" s="61"/>
      <c r="CI851" s="61"/>
      <c r="CJ851" s="61"/>
    </row>
    <row r="852" spans="70:88" x14ac:dyDescent="0.25">
      <c r="BR852" s="61"/>
      <c r="BS852" s="61"/>
      <c r="BT852" s="61"/>
      <c r="BU852" s="61"/>
      <c r="BV852" s="61"/>
      <c r="BW852" s="61"/>
      <c r="BX852" s="61"/>
      <c r="BY852" s="61"/>
      <c r="BZ852" s="61"/>
      <c r="CA852" s="61"/>
      <c r="CB852" s="61"/>
      <c r="CC852" s="61"/>
      <c r="CD852" s="61"/>
      <c r="CE852" s="61"/>
      <c r="CF852" s="61"/>
      <c r="CG852" s="61"/>
      <c r="CH852" s="61"/>
      <c r="CI852" s="61"/>
      <c r="CJ852" s="61"/>
    </row>
    <row r="853" spans="70:88" x14ac:dyDescent="0.25">
      <c r="BR853" s="61"/>
      <c r="BS853" s="61"/>
      <c r="BT853" s="61"/>
      <c r="BU853" s="61"/>
      <c r="BV853" s="61"/>
      <c r="BW853" s="61"/>
      <c r="BX853" s="61"/>
      <c r="BY853" s="61"/>
      <c r="BZ853" s="61"/>
      <c r="CA853" s="61"/>
      <c r="CB853" s="61"/>
      <c r="CC853" s="61"/>
      <c r="CD853" s="61"/>
      <c r="CE853" s="61"/>
      <c r="CF853" s="61"/>
      <c r="CG853" s="61"/>
      <c r="CH853" s="61"/>
      <c r="CI853" s="61"/>
      <c r="CJ853" s="61"/>
    </row>
    <row r="854" spans="70:88" x14ac:dyDescent="0.25">
      <c r="BR854" s="61"/>
      <c r="BS854" s="61"/>
      <c r="BT854" s="61"/>
      <c r="BU854" s="61"/>
      <c r="BV854" s="61"/>
      <c r="BW854" s="61"/>
      <c r="BX854" s="61"/>
      <c r="BY854" s="61"/>
      <c r="BZ854" s="61"/>
      <c r="CA854" s="61"/>
      <c r="CB854" s="61"/>
      <c r="CC854" s="61"/>
      <c r="CD854" s="61"/>
      <c r="CE854" s="61"/>
      <c r="CF854" s="61"/>
      <c r="CG854" s="61"/>
      <c r="CH854" s="61"/>
      <c r="CI854" s="61"/>
      <c r="CJ854" s="61"/>
    </row>
    <row r="855" spans="70:88" x14ac:dyDescent="0.25">
      <c r="BR855" s="61"/>
      <c r="BS855" s="61"/>
      <c r="BT855" s="61"/>
      <c r="BU855" s="61"/>
      <c r="BV855" s="61"/>
      <c r="BW855" s="61"/>
      <c r="BX855" s="61"/>
      <c r="BY855" s="61"/>
      <c r="BZ855" s="61"/>
      <c r="CA855" s="61"/>
      <c r="CB855" s="61"/>
      <c r="CC855" s="61"/>
      <c r="CD855" s="61"/>
      <c r="CE855" s="61"/>
      <c r="CF855" s="61"/>
      <c r="CG855" s="61"/>
      <c r="CH855" s="61"/>
      <c r="CI855" s="61"/>
      <c r="CJ855" s="61"/>
    </row>
    <row r="856" spans="70:88" x14ac:dyDescent="0.25">
      <c r="BR856" s="61"/>
      <c r="BS856" s="61"/>
      <c r="BT856" s="61"/>
      <c r="BU856" s="61"/>
      <c r="BV856" s="61"/>
      <c r="BW856" s="61"/>
      <c r="BX856" s="61"/>
      <c r="BY856" s="61"/>
      <c r="BZ856" s="61"/>
      <c r="CA856" s="61"/>
      <c r="CB856" s="61"/>
      <c r="CC856" s="61"/>
      <c r="CD856" s="61"/>
      <c r="CE856" s="61"/>
      <c r="CF856" s="61"/>
      <c r="CG856" s="61"/>
      <c r="CH856" s="61"/>
      <c r="CI856" s="61"/>
      <c r="CJ856" s="61"/>
    </row>
    <row r="857" spans="70:88" x14ac:dyDescent="0.25">
      <c r="BR857" s="61"/>
      <c r="BS857" s="61"/>
      <c r="BT857" s="61"/>
      <c r="BU857" s="61"/>
      <c r="BV857" s="61"/>
      <c r="BW857" s="61"/>
      <c r="BX857" s="61"/>
      <c r="BY857" s="61"/>
      <c r="BZ857" s="61"/>
      <c r="CA857" s="61"/>
      <c r="CB857" s="61"/>
      <c r="CC857" s="61"/>
      <c r="CD857" s="61"/>
      <c r="CE857" s="61"/>
      <c r="CF857" s="61"/>
      <c r="CG857" s="61"/>
      <c r="CH857" s="61"/>
      <c r="CI857" s="61"/>
      <c r="CJ857" s="61"/>
    </row>
    <row r="858" spans="70:88" x14ac:dyDescent="0.25">
      <c r="BR858" s="61"/>
      <c r="BS858" s="61"/>
      <c r="BT858" s="61"/>
      <c r="BU858" s="61"/>
      <c r="BV858" s="61"/>
      <c r="BW858" s="61"/>
      <c r="BX858" s="61"/>
      <c r="BY858" s="61"/>
      <c r="BZ858" s="61"/>
      <c r="CA858" s="61"/>
      <c r="CB858" s="61"/>
      <c r="CC858" s="61"/>
      <c r="CD858" s="61"/>
      <c r="CE858" s="61"/>
      <c r="CF858" s="61"/>
      <c r="CG858" s="61"/>
      <c r="CH858" s="61"/>
      <c r="CI858" s="61"/>
      <c r="CJ858" s="61"/>
    </row>
    <row r="859" spans="70:88" x14ac:dyDescent="0.25">
      <c r="BR859" s="61"/>
      <c r="BS859" s="61"/>
      <c r="BT859" s="61"/>
      <c r="BU859" s="61"/>
      <c r="BV859" s="61"/>
      <c r="BW859" s="61"/>
      <c r="BX859" s="61"/>
      <c r="BY859" s="61"/>
      <c r="BZ859" s="61"/>
      <c r="CA859" s="61"/>
      <c r="CB859" s="61"/>
      <c r="CC859" s="61"/>
      <c r="CD859" s="61"/>
      <c r="CE859" s="61"/>
      <c r="CF859" s="61"/>
      <c r="CG859" s="61"/>
      <c r="CH859" s="61"/>
      <c r="CI859" s="61"/>
      <c r="CJ859" s="61"/>
    </row>
    <row r="860" spans="70:88" x14ac:dyDescent="0.25">
      <c r="BR860" s="61"/>
      <c r="BS860" s="61"/>
      <c r="BT860" s="61"/>
      <c r="BU860" s="61"/>
      <c r="BV860" s="61"/>
      <c r="BW860" s="61"/>
      <c r="BX860" s="61"/>
      <c r="BY860" s="61"/>
      <c r="BZ860" s="61"/>
      <c r="CA860" s="61"/>
      <c r="CB860" s="61"/>
      <c r="CC860" s="61"/>
      <c r="CD860" s="61"/>
      <c r="CE860" s="61"/>
      <c r="CF860" s="61"/>
      <c r="CG860" s="61"/>
      <c r="CH860" s="61"/>
      <c r="CI860" s="61"/>
      <c r="CJ860" s="61"/>
    </row>
    <row r="861" spans="70:88" x14ac:dyDescent="0.25">
      <c r="BR861" s="61"/>
      <c r="BS861" s="61"/>
      <c r="BT861" s="61"/>
      <c r="BU861" s="61"/>
      <c r="BV861" s="61"/>
      <c r="BW861" s="61"/>
      <c r="BX861" s="61"/>
      <c r="BY861" s="61"/>
      <c r="BZ861" s="61"/>
      <c r="CA861" s="61"/>
      <c r="CB861" s="61"/>
      <c r="CC861" s="61"/>
      <c r="CD861" s="61"/>
      <c r="CE861" s="61"/>
      <c r="CF861" s="61"/>
      <c r="CG861" s="61"/>
      <c r="CH861" s="61"/>
      <c r="CI861" s="61"/>
      <c r="CJ861" s="61"/>
    </row>
    <row r="862" spans="70:88" x14ac:dyDescent="0.25">
      <c r="BR862" s="61"/>
      <c r="BS862" s="61"/>
      <c r="BT862" s="61"/>
      <c r="BU862" s="61"/>
      <c r="BV862" s="61"/>
      <c r="BW862" s="61"/>
      <c r="BX862" s="61"/>
      <c r="BY862" s="61"/>
      <c r="BZ862" s="61"/>
      <c r="CA862" s="61"/>
      <c r="CB862" s="61"/>
      <c r="CC862" s="61"/>
      <c r="CD862" s="61"/>
      <c r="CE862" s="61"/>
      <c r="CF862" s="61"/>
      <c r="CG862" s="61"/>
      <c r="CH862" s="61"/>
      <c r="CI862" s="61"/>
      <c r="CJ862" s="61"/>
    </row>
    <row r="863" spans="70:88" x14ac:dyDescent="0.25">
      <c r="BR863" s="61"/>
      <c r="BS863" s="61"/>
      <c r="BT863" s="61"/>
      <c r="BU863" s="61"/>
      <c r="BV863" s="61"/>
      <c r="BW863" s="61"/>
      <c r="BX863" s="61"/>
      <c r="BY863" s="61"/>
      <c r="BZ863" s="61"/>
      <c r="CA863" s="61"/>
      <c r="CB863" s="61"/>
      <c r="CC863" s="61"/>
      <c r="CD863" s="61"/>
      <c r="CE863" s="61"/>
      <c r="CF863" s="61"/>
      <c r="CG863" s="61"/>
      <c r="CH863" s="61"/>
      <c r="CI863" s="61"/>
      <c r="CJ863" s="61"/>
    </row>
    <row r="864" spans="70:88" x14ac:dyDescent="0.25">
      <c r="BR864" s="61"/>
      <c r="BS864" s="61"/>
      <c r="BT864" s="61"/>
      <c r="BU864" s="61"/>
      <c r="BV864" s="61"/>
      <c r="BW864" s="61"/>
      <c r="BX864" s="61"/>
      <c r="BY864" s="61"/>
      <c r="BZ864" s="61"/>
      <c r="CA864" s="61"/>
      <c r="CB864" s="61"/>
      <c r="CC864" s="61"/>
      <c r="CD864" s="61"/>
      <c r="CE864" s="61"/>
      <c r="CF864" s="61"/>
      <c r="CG864" s="61"/>
      <c r="CH864" s="61"/>
      <c r="CI864" s="61"/>
      <c r="CJ864" s="61"/>
    </row>
    <row r="865" spans="70:88" x14ac:dyDescent="0.25">
      <c r="BR865" s="61"/>
      <c r="BS865" s="61"/>
      <c r="BT865" s="61"/>
      <c r="BU865" s="61"/>
      <c r="BV865" s="61"/>
      <c r="BW865" s="61"/>
      <c r="BX865" s="61"/>
      <c r="BY865" s="61"/>
      <c r="BZ865" s="61"/>
      <c r="CA865" s="61"/>
      <c r="CB865" s="61"/>
      <c r="CC865" s="61"/>
      <c r="CD865" s="61"/>
      <c r="CE865" s="61"/>
      <c r="CF865" s="61"/>
      <c r="CG865" s="61"/>
      <c r="CH865" s="61"/>
      <c r="CI865" s="61"/>
      <c r="CJ865" s="61"/>
    </row>
    <row r="866" spans="70:88" x14ac:dyDescent="0.25">
      <c r="BR866" s="61"/>
      <c r="BS866" s="61"/>
      <c r="BT866" s="61"/>
      <c r="BU866" s="61"/>
      <c r="BV866" s="61"/>
      <c r="BW866" s="61"/>
      <c r="BX866" s="61"/>
      <c r="BY866" s="61"/>
      <c r="BZ866" s="61"/>
      <c r="CA866" s="61"/>
      <c r="CB866" s="61"/>
      <c r="CC866" s="61"/>
      <c r="CD866" s="61"/>
      <c r="CE866" s="61"/>
      <c r="CF866" s="61"/>
      <c r="CG866" s="61"/>
      <c r="CH866" s="61"/>
      <c r="CI866" s="61"/>
      <c r="CJ866" s="61"/>
    </row>
    <row r="867" spans="70:88" x14ac:dyDescent="0.25">
      <c r="BR867" s="61"/>
      <c r="BS867" s="61"/>
      <c r="BT867" s="61"/>
      <c r="BU867" s="61"/>
      <c r="BV867" s="61"/>
      <c r="BW867" s="61"/>
      <c r="BX867" s="61"/>
      <c r="BY867" s="61"/>
      <c r="BZ867" s="61"/>
      <c r="CA867" s="61"/>
      <c r="CB867" s="61"/>
      <c r="CC867" s="61"/>
      <c r="CD867" s="61"/>
      <c r="CE867" s="61"/>
      <c r="CF867" s="61"/>
      <c r="CG867" s="61"/>
      <c r="CH867" s="61"/>
      <c r="CI867" s="61"/>
      <c r="CJ867" s="61"/>
    </row>
    <row r="868" spans="70:88" x14ac:dyDescent="0.25">
      <c r="BR868" s="61"/>
      <c r="BS868" s="61"/>
      <c r="BT868" s="61"/>
      <c r="BU868" s="61"/>
      <c r="BV868" s="61"/>
      <c r="BW868" s="61"/>
      <c r="BX868" s="61"/>
      <c r="BY868" s="61"/>
      <c r="BZ868" s="61"/>
      <c r="CA868" s="61"/>
      <c r="CB868" s="61"/>
      <c r="CC868" s="61"/>
      <c r="CD868" s="61"/>
      <c r="CE868" s="61"/>
      <c r="CF868" s="61"/>
      <c r="CG868" s="61"/>
      <c r="CH868" s="61"/>
      <c r="CI868" s="61"/>
      <c r="CJ868" s="61"/>
    </row>
    <row r="869" spans="70:88" x14ac:dyDescent="0.25">
      <c r="BR869" s="61"/>
      <c r="BS869" s="61"/>
      <c r="BT869" s="61"/>
      <c r="BU869" s="61"/>
      <c r="BV869" s="61"/>
      <c r="BW869" s="61"/>
      <c r="BX869" s="61"/>
      <c r="BY869" s="61"/>
      <c r="BZ869" s="61"/>
      <c r="CA869" s="61"/>
      <c r="CB869" s="61"/>
      <c r="CC869" s="61"/>
      <c r="CD869" s="61"/>
      <c r="CE869" s="61"/>
      <c r="CF869" s="61"/>
      <c r="CG869" s="61"/>
      <c r="CH869" s="61"/>
      <c r="CI869" s="61"/>
      <c r="CJ869" s="61"/>
    </row>
    <row r="870" spans="70:88" x14ac:dyDescent="0.25">
      <c r="BR870" s="61"/>
      <c r="BS870" s="61"/>
      <c r="BT870" s="61"/>
      <c r="BU870" s="61"/>
      <c r="BV870" s="61"/>
      <c r="BW870" s="61"/>
      <c r="BX870" s="61"/>
      <c r="BY870" s="61"/>
      <c r="BZ870" s="61"/>
      <c r="CA870" s="61"/>
      <c r="CB870" s="61"/>
      <c r="CC870" s="61"/>
      <c r="CD870" s="61"/>
      <c r="CE870" s="61"/>
      <c r="CF870" s="61"/>
      <c r="CG870" s="61"/>
      <c r="CH870" s="61"/>
      <c r="CI870" s="61"/>
      <c r="CJ870" s="61"/>
    </row>
    <row r="871" spans="70:88" x14ac:dyDescent="0.25">
      <c r="BR871" s="61"/>
      <c r="BS871" s="61"/>
      <c r="BT871" s="61"/>
      <c r="BU871" s="61"/>
      <c r="BV871" s="61"/>
      <c r="BW871" s="61"/>
      <c r="BX871" s="61"/>
      <c r="BY871" s="61"/>
      <c r="BZ871" s="61"/>
      <c r="CA871" s="61"/>
      <c r="CB871" s="61"/>
      <c r="CC871" s="61"/>
      <c r="CD871" s="61"/>
      <c r="CE871" s="61"/>
      <c r="CF871" s="61"/>
      <c r="CG871" s="61"/>
      <c r="CH871" s="61"/>
      <c r="CI871" s="61"/>
      <c r="CJ871" s="61"/>
    </row>
    <row r="872" spans="70:88" x14ac:dyDescent="0.25">
      <c r="BR872" s="61"/>
      <c r="BS872" s="61"/>
      <c r="BT872" s="61"/>
      <c r="BU872" s="61"/>
      <c r="BV872" s="61"/>
      <c r="BW872" s="61"/>
      <c r="BX872" s="61"/>
      <c r="BY872" s="61"/>
      <c r="BZ872" s="61"/>
      <c r="CA872" s="61"/>
      <c r="CB872" s="61"/>
      <c r="CC872" s="61"/>
      <c r="CD872" s="61"/>
      <c r="CE872" s="61"/>
      <c r="CF872" s="61"/>
      <c r="CG872" s="61"/>
      <c r="CH872" s="61"/>
      <c r="CI872" s="61"/>
      <c r="CJ872" s="61"/>
    </row>
    <row r="873" spans="70:88" x14ac:dyDescent="0.25">
      <c r="BR873" s="61"/>
      <c r="BS873" s="61"/>
      <c r="BT873" s="61"/>
      <c r="BU873" s="61"/>
      <c r="BV873" s="61"/>
      <c r="BW873" s="61"/>
      <c r="BX873" s="61"/>
      <c r="BY873" s="61"/>
      <c r="BZ873" s="61"/>
      <c r="CA873" s="61"/>
      <c r="CB873" s="61"/>
      <c r="CC873" s="61"/>
      <c r="CD873" s="61"/>
      <c r="CE873" s="61"/>
      <c r="CF873" s="61"/>
      <c r="CG873" s="61"/>
      <c r="CH873" s="61"/>
      <c r="CI873" s="61"/>
      <c r="CJ873" s="61"/>
    </row>
    <row r="874" spans="70:88" x14ac:dyDescent="0.25">
      <c r="BR874" s="61"/>
      <c r="BS874" s="61"/>
      <c r="BT874" s="61"/>
      <c r="BU874" s="61"/>
      <c r="BV874" s="61"/>
      <c r="BW874" s="61"/>
      <c r="BX874" s="61"/>
      <c r="BY874" s="61"/>
      <c r="BZ874" s="61"/>
      <c r="CA874" s="61"/>
      <c r="CB874" s="61"/>
      <c r="CC874" s="61"/>
      <c r="CD874" s="61"/>
      <c r="CE874" s="61"/>
      <c r="CF874" s="61"/>
      <c r="CG874" s="61"/>
      <c r="CH874" s="61"/>
      <c r="CI874" s="61"/>
      <c r="CJ874" s="61"/>
    </row>
    <row r="875" spans="70:88" x14ac:dyDescent="0.25">
      <c r="BR875" s="61"/>
      <c r="BS875" s="61"/>
      <c r="BT875" s="61"/>
      <c r="BU875" s="61"/>
      <c r="BV875" s="61"/>
      <c r="BW875" s="61"/>
      <c r="BX875" s="61"/>
      <c r="BY875" s="61"/>
      <c r="BZ875" s="61"/>
      <c r="CA875" s="61"/>
      <c r="CB875" s="61"/>
      <c r="CC875" s="61"/>
      <c r="CD875" s="61"/>
      <c r="CE875" s="61"/>
      <c r="CF875" s="61"/>
      <c r="CG875" s="61"/>
      <c r="CH875" s="61"/>
      <c r="CI875" s="61"/>
      <c r="CJ875" s="61"/>
    </row>
    <row r="876" spans="70:88" x14ac:dyDescent="0.25">
      <c r="BR876" s="61"/>
      <c r="BS876" s="61"/>
      <c r="BT876" s="61"/>
      <c r="BU876" s="61"/>
      <c r="BV876" s="61"/>
      <c r="BW876" s="61"/>
      <c r="BX876" s="61"/>
      <c r="BY876" s="61"/>
      <c r="BZ876" s="61"/>
      <c r="CA876" s="61"/>
      <c r="CB876" s="61"/>
      <c r="CC876" s="61"/>
      <c r="CD876" s="61"/>
      <c r="CE876" s="61"/>
      <c r="CF876" s="61"/>
      <c r="CG876" s="61"/>
      <c r="CH876" s="61"/>
      <c r="CI876" s="61"/>
      <c r="CJ876" s="61"/>
    </row>
    <row r="877" spans="70:88" x14ac:dyDescent="0.25">
      <c r="BR877" s="61"/>
      <c r="BS877" s="61"/>
      <c r="BT877" s="61"/>
      <c r="BU877" s="61"/>
      <c r="BV877" s="61"/>
      <c r="BW877" s="61"/>
      <c r="BX877" s="61"/>
      <c r="BY877" s="61"/>
      <c r="BZ877" s="61"/>
      <c r="CA877" s="61"/>
      <c r="CB877" s="61"/>
      <c r="CC877" s="61"/>
      <c r="CD877" s="61"/>
      <c r="CE877" s="61"/>
      <c r="CF877" s="61"/>
      <c r="CG877" s="61"/>
      <c r="CH877" s="61"/>
      <c r="CI877" s="61"/>
      <c r="CJ877" s="61"/>
    </row>
    <row r="878" spans="70:88" x14ac:dyDescent="0.25">
      <c r="BR878" s="61"/>
      <c r="BS878" s="61"/>
      <c r="BT878" s="61"/>
      <c r="BU878" s="61"/>
      <c r="BV878" s="61"/>
      <c r="BW878" s="61"/>
      <c r="BX878" s="61"/>
      <c r="BY878" s="61"/>
      <c r="BZ878" s="61"/>
      <c r="CA878" s="61"/>
      <c r="CB878" s="61"/>
      <c r="CC878" s="61"/>
      <c r="CD878" s="61"/>
      <c r="CE878" s="61"/>
      <c r="CF878" s="61"/>
      <c r="CG878" s="61"/>
      <c r="CH878" s="61"/>
      <c r="CI878" s="61"/>
      <c r="CJ878" s="61"/>
    </row>
    <row r="879" spans="70:88" x14ac:dyDescent="0.25">
      <c r="BR879" s="61"/>
      <c r="BS879" s="61"/>
      <c r="BT879" s="61"/>
      <c r="BU879" s="61"/>
      <c r="BV879" s="61"/>
      <c r="BW879" s="61"/>
      <c r="BX879" s="61"/>
      <c r="BY879" s="61"/>
      <c r="BZ879" s="61"/>
      <c r="CA879" s="61"/>
      <c r="CB879" s="61"/>
      <c r="CC879" s="61"/>
      <c r="CD879" s="61"/>
      <c r="CE879" s="61"/>
      <c r="CF879" s="61"/>
      <c r="CG879" s="61"/>
      <c r="CH879" s="61"/>
      <c r="CI879" s="61"/>
      <c r="CJ879" s="61"/>
    </row>
    <row r="880" spans="70:88" x14ac:dyDescent="0.25">
      <c r="BR880" s="61"/>
      <c r="BS880" s="61"/>
      <c r="BT880" s="61"/>
      <c r="BU880" s="61"/>
      <c r="BV880" s="61"/>
      <c r="BW880" s="61"/>
      <c r="BX880" s="61"/>
      <c r="BY880" s="61"/>
      <c r="BZ880" s="61"/>
      <c r="CA880" s="61"/>
      <c r="CB880" s="61"/>
      <c r="CC880" s="61"/>
      <c r="CD880" s="61"/>
      <c r="CE880" s="61"/>
      <c r="CF880" s="61"/>
      <c r="CG880" s="61"/>
      <c r="CH880" s="61"/>
      <c r="CI880" s="61"/>
      <c r="CJ880" s="61"/>
    </row>
    <row r="881" spans="70:88" x14ac:dyDescent="0.25">
      <c r="BR881" s="61"/>
      <c r="BS881" s="61"/>
      <c r="BT881" s="61"/>
      <c r="BU881" s="61"/>
      <c r="BV881" s="61"/>
      <c r="BW881" s="61"/>
      <c r="BX881" s="61"/>
      <c r="BY881" s="61"/>
      <c r="BZ881" s="61"/>
      <c r="CA881" s="61"/>
      <c r="CB881" s="61"/>
      <c r="CC881" s="61"/>
      <c r="CD881" s="61"/>
      <c r="CE881" s="61"/>
      <c r="CF881" s="61"/>
      <c r="CG881" s="61"/>
      <c r="CH881" s="61"/>
      <c r="CI881" s="61"/>
      <c r="CJ881" s="61"/>
    </row>
    <row r="882" spans="70:88" x14ac:dyDescent="0.25">
      <c r="BR882" s="61"/>
      <c r="BS882" s="61"/>
      <c r="BT882" s="61"/>
      <c r="BU882" s="61"/>
      <c r="BV882" s="61"/>
      <c r="BW882" s="61"/>
      <c r="BX882" s="61"/>
      <c r="BY882" s="61"/>
      <c r="BZ882" s="61"/>
      <c r="CA882" s="61"/>
      <c r="CB882" s="61"/>
      <c r="CC882" s="61"/>
      <c r="CD882" s="61"/>
      <c r="CE882" s="61"/>
      <c r="CF882" s="61"/>
      <c r="CG882" s="61"/>
      <c r="CH882" s="61"/>
      <c r="CI882" s="61"/>
      <c r="CJ882" s="61"/>
    </row>
    <row r="883" spans="70:88" x14ac:dyDescent="0.25">
      <c r="BR883" s="61"/>
      <c r="BS883" s="61"/>
      <c r="BT883" s="61"/>
      <c r="BU883" s="61"/>
      <c r="BV883" s="61"/>
      <c r="BW883" s="61"/>
      <c r="BX883" s="61"/>
      <c r="BY883" s="61"/>
      <c r="BZ883" s="61"/>
      <c r="CA883" s="61"/>
      <c r="CB883" s="61"/>
      <c r="CC883" s="61"/>
      <c r="CD883" s="61"/>
      <c r="CE883" s="61"/>
      <c r="CF883" s="61"/>
      <c r="CG883" s="61"/>
      <c r="CH883" s="61"/>
      <c r="CI883" s="61"/>
      <c r="CJ883" s="61"/>
    </row>
    <row r="884" spans="70:88" x14ac:dyDescent="0.25">
      <c r="BR884" s="61"/>
      <c r="BS884" s="61"/>
      <c r="BT884" s="61"/>
      <c r="BU884" s="61"/>
      <c r="BV884" s="61"/>
      <c r="BW884" s="61"/>
      <c r="BX884" s="61"/>
      <c r="BY884" s="61"/>
      <c r="BZ884" s="61"/>
      <c r="CA884" s="61"/>
      <c r="CB884" s="61"/>
      <c r="CC884" s="61"/>
      <c r="CD884" s="61"/>
      <c r="CE884" s="61"/>
      <c r="CF884" s="61"/>
      <c r="CG884" s="61"/>
      <c r="CH884" s="61"/>
      <c r="CI884" s="61"/>
      <c r="CJ884" s="61"/>
    </row>
    <row r="885" spans="70:88" x14ac:dyDescent="0.25">
      <c r="BR885" s="61"/>
      <c r="BS885" s="61"/>
      <c r="BT885" s="61"/>
      <c r="BU885" s="61"/>
      <c r="BV885" s="61"/>
      <c r="BW885" s="61"/>
      <c r="BX885" s="61"/>
      <c r="BY885" s="61"/>
      <c r="BZ885" s="61"/>
      <c r="CA885" s="61"/>
      <c r="CB885" s="61"/>
      <c r="CC885" s="61"/>
      <c r="CD885" s="61"/>
      <c r="CE885" s="61"/>
      <c r="CF885" s="61"/>
      <c r="CG885" s="61"/>
      <c r="CH885" s="61"/>
      <c r="CI885" s="61"/>
      <c r="CJ885" s="61"/>
    </row>
    <row r="886" spans="70:88" x14ac:dyDescent="0.25">
      <c r="BR886" s="61"/>
      <c r="BS886" s="61"/>
      <c r="BT886" s="61"/>
      <c r="BU886" s="61"/>
      <c r="BV886" s="61"/>
      <c r="BW886" s="61"/>
      <c r="BX886" s="61"/>
      <c r="BY886" s="61"/>
      <c r="BZ886" s="61"/>
      <c r="CA886" s="61"/>
      <c r="CB886" s="61"/>
      <c r="CC886" s="61"/>
      <c r="CD886" s="61"/>
      <c r="CE886" s="61"/>
      <c r="CF886" s="61"/>
      <c r="CG886" s="61"/>
      <c r="CH886" s="61"/>
      <c r="CI886" s="61"/>
      <c r="CJ886" s="61"/>
    </row>
    <row r="887" spans="70:88" x14ac:dyDescent="0.25">
      <c r="BR887" s="61"/>
      <c r="BS887" s="61"/>
      <c r="BT887" s="61"/>
      <c r="BU887" s="61"/>
      <c r="BV887" s="61"/>
      <c r="BW887" s="61"/>
      <c r="BX887" s="61"/>
      <c r="BY887" s="61"/>
      <c r="BZ887" s="61"/>
      <c r="CA887" s="61"/>
      <c r="CB887" s="61"/>
      <c r="CC887" s="61"/>
      <c r="CD887" s="61"/>
      <c r="CE887" s="61"/>
      <c r="CF887" s="61"/>
      <c r="CG887" s="61"/>
      <c r="CH887" s="61"/>
      <c r="CI887" s="61"/>
      <c r="CJ887" s="61"/>
    </row>
    <row r="888" spans="70:88" x14ac:dyDescent="0.25">
      <c r="BR888" s="61"/>
      <c r="BS888" s="61"/>
      <c r="BT888" s="61"/>
      <c r="BU888" s="61"/>
      <c r="BV888" s="61"/>
      <c r="BW888" s="61"/>
      <c r="BX888" s="61"/>
      <c r="BY888" s="61"/>
      <c r="BZ888" s="61"/>
      <c r="CA888" s="61"/>
      <c r="CB888" s="61"/>
      <c r="CC888" s="61"/>
      <c r="CD888" s="61"/>
      <c r="CE888" s="61"/>
      <c r="CF888" s="61"/>
      <c r="CG888" s="61"/>
      <c r="CH888" s="61"/>
      <c r="CI888" s="61"/>
      <c r="CJ888" s="61"/>
    </row>
    <row r="889" spans="70:88" x14ac:dyDescent="0.25">
      <c r="BR889" s="61"/>
      <c r="BS889" s="61"/>
      <c r="BT889" s="61"/>
      <c r="BU889" s="61"/>
      <c r="BV889" s="61"/>
      <c r="BW889" s="61"/>
      <c r="BX889" s="61"/>
      <c r="BY889" s="61"/>
      <c r="BZ889" s="61"/>
      <c r="CA889" s="61"/>
      <c r="CB889" s="61"/>
      <c r="CC889" s="61"/>
      <c r="CD889" s="61"/>
      <c r="CE889" s="61"/>
      <c r="CF889" s="61"/>
      <c r="CG889" s="61"/>
      <c r="CH889" s="61"/>
      <c r="CI889" s="61"/>
      <c r="CJ889" s="61"/>
    </row>
    <row r="890" spans="70:88" x14ac:dyDescent="0.25">
      <c r="BR890" s="61"/>
      <c r="BS890" s="61"/>
      <c r="BT890" s="61"/>
      <c r="BU890" s="61"/>
      <c r="BV890" s="61"/>
      <c r="BW890" s="61"/>
      <c r="BX890" s="61"/>
      <c r="BY890" s="61"/>
      <c r="BZ890" s="61"/>
      <c r="CA890" s="61"/>
      <c r="CB890" s="61"/>
      <c r="CC890" s="61"/>
      <c r="CD890" s="61"/>
      <c r="CE890" s="61"/>
      <c r="CF890" s="61"/>
      <c r="CG890" s="61"/>
      <c r="CH890" s="61"/>
      <c r="CI890" s="61"/>
      <c r="CJ890" s="61"/>
    </row>
    <row r="891" spans="70:88" x14ac:dyDescent="0.25">
      <c r="BR891" s="61"/>
      <c r="BS891" s="61"/>
      <c r="BT891" s="61"/>
      <c r="BU891" s="61"/>
      <c r="BV891" s="61"/>
      <c r="BW891" s="61"/>
      <c r="BX891" s="61"/>
      <c r="BY891" s="61"/>
      <c r="BZ891" s="61"/>
      <c r="CA891" s="61"/>
      <c r="CB891" s="61"/>
      <c r="CC891" s="61"/>
      <c r="CD891" s="61"/>
      <c r="CE891" s="61"/>
      <c r="CF891" s="61"/>
      <c r="CG891" s="61"/>
      <c r="CH891" s="61"/>
      <c r="CI891" s="61"/>
      <c r="CJ891" s="61"/>
    </row>
    <row r="892" spans="70:88" x14ac:dyDescent="0.25">
      <c r="BR892" s="61"/>
      <c r="BS892" s="61"/>
      <c r="BT892" s="61"/>
      <c r="BU892" s="61"/>
      <c r="BV892" s="61"/>
      <c r="BW892" s="61"/>
      <c r="BX892" s="61"/>
      <c r="BY892" s="61"/>
      <c r="BZ892" s="61"/>
      <c r="CA892" s="61"/>
      <c r="CB892" s="61"/>
      <c r="CC892" s="61"/>
      <c r="CD892" s="61"/>
      <c r="CE892" s="61"/>
      <c r="CF892" s="61"/>
      <c r="CG892" s="61"/>
      <c r="CH892" s="61"/>
      <c r="CI892" s="61"/>
      <c r="CJ892" s="61"/>
    </row>
    <row r="893" spans="70:88" x14ac:dyDescent="0.25">
      <c r="BR893" s="61"/>
      <c r="BS893" s="61"/>
      <c r="BT893" s="61"/>
      <c r="BU893" s="61"/>
      <c r="BV893" s="61"/>
      <c r="BW893" s="61"/>
      <c r="BX893" s="61"/>
      <c r="BY893" s="61"/>
      <c r="BZ893" s="61"/>
      <c r="CA893" s="61"/>
      <c r="CB893" s="61"/>
      <c r="CC893" s="61"/>
      <c r="CD893" s="61"/>
      <c r="CE893" s="61"/>
      <c r="CF893" s="61"/>
      <c r="CG893" s="61"/>
      <c r="CH893" s="61"/>
      <c r="CI893" s="61"/>
      <c r="CJ893" s="61"/>
    </row>
    <row r="894" spans="70:88" x14ac:dyDescent="0.25">
      <c r="BR894" s="61"/>
      <c r="BS894" s="61"/>
      <c r="BT894" s="61"/>
      <c r="BU894" s="61"/>
      <c r="BV894" s="61"/>
      <c r="BW894" s="61"/>
      <c r="BX894" s="61"/>
      <c r="BY894" s="61"/>
      <c r="BZ894" s="61"/>
      <c r="CA894" s="61"/>
      <c r="CB894" s="61"/>
      <c r="CC894" s="61"/>
      <c r="CD894" s="61"/>
      <c r="CE894" s="61"/>
      <c r="CF894" s="61"/>
      <c r="CG894" s="61"/>
      <c r="CH894" s="61"/>
      <c r="CI894" s="61"/>
      <c r="CJ894" s="61"/>
    </row>
    <row r="895" spans="70:88" x14ac:dyDescent="0.25">
      <c r="BR895" s="61"/>
      <c r="BS895" s="61"/>
      <c r="BT895" s="61"/>
      <c r="BU895" s="61"/>
      <c r="BV895" s="61"/>
      <c r="BW895" s="61"/>
      <c r="BX895" s="61"/>
      <c r="BY895" s="61"/>
      <c r="BZ895" s="61"/>
      <c r="CA895" s="61"/>
      <c r="CB895" s="61"/>
      <c r="CC895" s="61"/>
      <c r="CD895" s="61"/>
      <c r="CE895" s="61"/>
      <c r="CF895" s="61"/>
      <c r="CG895" s="61"/>
      <c r="CH895" s="61"/>
      <c r="CI895" s="61"/>
      <c r="CJ895" s="61"/>
    </row>
    <row r="896" spans="70:88" x14ac:dyDescent="0.25">
      <c r="BR896" s="61"/>
      <c r="BS896" s="61"/>
      <c r="BT896" s="61"/>
      <c r="BU896" s="61"/>
      <c r="BV896" s="61"/>
      <c r="BW896" s="61"/>
      <c r="BX896" s="61"/>
      <c r="BY896" s="61"/>
      <c r="BZ896" s="61"/>
      <c r="CA896" s="61"/>
      <c r="CB896" s="61"/>
      <c r="CC896" s="61"/>
      <c r="CD896" s="61"/>
      <c r="CE896" s="61"/>
      <c r="CF896" s="61"/>
      <c r="CG896" s="61"/>
      <c r="CH896" s="61"/>
      <c r="CI896" s="61"/>
      <c r="CJ896" s="61"/>
    </row>
    <row r="897" spans="70:88" x14ac:dyDescent="0.25">
      <c r="BR897" s="61"/>
      <c r="BS897" s="61"/>
      <c r="BT897" s="61"/>
      <c r="BU897" s="61"/>
      <c r="BV897" s="61"/>
      <c r="BW897" s="61"/>
      <c r="BX897" s="61"/>
      <c r="BY897" s="61"/>
      <c r="BZ897" s="61"/>
      <c r="CA897" s="61"/>
      <c r="CB897" s="61"/>
      <c r="CC897" s="61"/>
      <c r="CD897" s="61"/>
      <c r="CE897" s="61"/>
      <c r="CF897" s="61"/>
      <c r="CG897" s="61"/>
      <c r="CH897" s="61"/>
      <c r="CI897" s="61"/>
      <c r="CJ897" s="61"/>
    </row>
    <row r="898" spans="70:88" x14ac:dyDescent="0.25">
      <c r="BR898" s="61"/>
      <c r="BS898" s="61"/>
      <c r="BT898" s="61"/>
      <c r="BU898" s="61"/>
      <c r="BV898" s="61"/>
      <c r="BW898" s="61"/>
      <c r="BX898" s="61"/>
      <c r="BY898" s="61"/>
      <c r="BZ898" s="61"/>
      <c r="CA898" s="61"/>
      <c r="CB898" s="61"/>
      <c r="CC898" s="61"/>
      <c r="CD898" s="61"/>
      <c r="CE898" s="61"/>
      <c r="CF898" s="61"/>
      <c r="CG898" s="61"/>
      <c r="CH898" s="61"/>
      <c r="CI898" s="61"/>
      <c r="CJ898" s="61"/>
    </row>
    <row r="899" spans="70:88" x14ac:dyDescent="0.25">
      <c r="BR899" s="61"/>
      <c r="BS899" s="61"/>
      <c r="BT899" s="61"/>
      <c r="BU899" s="61"/>
      <c r="BV899" s="61"/>
      <c r="BW899" s="61"/>
      <c r="BX899" s="61"/>
      <c r="BY899" s="61"/>
      <c r="BZ899" s="61"/>
      <c r="CA899" s="61"/>
      <c r="CB899" s="61"/>
      <c r="CC899" s="61"/>
      <c r="CD899" s="61"/>
      <c r="CE899" s="61"/>
      <c r="CF899" s="61"/>
      <c r="CG899" s="61"/>
      <c r="CH899" s="61"/>
      <c r="CI899" s="61"/>
      <c r="CJ899" s="61"/>
    </row>
    <row r="900" spans="70:88" x14ac:dyDescent="0.25">
      <c r="BR900" s="61"/>
      <c r="BS900" s="61"/>
      <c r="BT900" s="61"/>
      <c r="BU900" s="61"/>
      <c r="BV900" s="61"/>
      <c r="BW900" s="61"/>
      <c r="BX900" s="61"/>
      <c r="BY900" s="61"/>
      <c r="BZ900" s="61"/>
      <c r="CA900" s="61"/>
      <c r="CB900" s="61"/>
      <c r="CC900" s="61"/>
      <c r="CD900" s="61"/>
      <c r="CE900" s="61"/>
      <c r="CF900" s="61"/>
      <c r="CG900" s="61"/>
      <c r="CH900" s="61"/>
      <c r="CI900" s="61"/>
      <c r="CJ900" s="61"/>
    </row>
    <row r="901" spans="70:88" x14ac:dyDescent="0.25">
      <c r="BR901" s="61"/>
      <c r="BS901" s="61"/>
      <c r="BT901" s="61"/>
      <c r="BU901" s="61"/>
      <c r="BV901" s="61"/>
      <c r="BW901" s="61"/>
      <c r="BX901" s="61"/>
      <c r="BY901" s="61"/>
      <c r="BZ901" s="61"/>
      <c r="CA901" s="61"/>
      <c r="CB901" s="61"/>
      <c r="CC901" s="61"/>
      <c r="CD901" s="61"/>
      <c r="CE901" s="61"/>
      <c r="CF901" s="61"/>
      <c r="CG901" s="61"/>
      <c r="CH901" s="61"/>
      <c r="CI901" s="61"/>
      <c r="CJ901" s="61"/>
    </row>
    <row r="902" spans="70:88" x14ac:dyDescent="0.25">
      <c r="BR902" s="61"/>
      <c r="BS902" s="61"/>
      <c r="BT902" s="61"/>
      <c r="BU902" s="61"/>
      <c r="BV902" s="61"/>
      <c r="BW902" s="61"/>
      <c r="BX902" s="61"/>
      <c r="BY902" s="61"/>
      <c r="BZ902" s="61"/>
      <c r="CA902" s="61"/>
      <c r="CB902" s="61"/>
      <c r="CC902" s="61"/>
      <c r="CD902" s="61"/>
      <c r="CE902" s="61"/>
      <c r="CF902" s="61"/>
      <c r="CG902" s="61"/>
      <c r="CH902" s="61"/>
      <c r="CI902" s="61"/>
      <c r="CJ902" s="61"/>
    </row>
    <row r="903" spans="70:88" x14ac:dyDescent="0.25">
      <c r="BR903" s="61"/>
      <c r="BS903" s="61"/>
      <c r="BT903" s="61"/>
      <c r="BU903" s="61"/>
      <c r="BV903" s="61"/>
      <c r="BW903" s="61"/>
      <c r="BX903" s="61"/>
      <c r="BY903" s="61"/>
      <c r="BZ903" s="61"/>
      <c r="CA903" s="61"/>
      <c r="CB903" s="61"/>
      <c r="CC903" s="61"/>
      <c r="CD903" s="61"/>
      <c r="CE903" s="61"/>
      <c r="CF903" s="61"/>
      <c r="CG903" s="61"/>
      <c r="CH903" s="61"/>
      <c r="CI903" s="61"/>
      <c r="CJ903" s="61"/>
    </row>
    <row r="904" spans="70:88" x14ac:dyDescent="0.25">
      <c r="BR904" s="61"/>
      <c r="BS904" s="61"/>
      <c r="BT904" s="61"/>
      <c r="BU904" s="61"/>
      <c r="BV904" s="61"/>
      <c r="BW904" s="61"/>
      <c r="BX904" s="61"/>
      <c r="BY904" s="61"/>
      <c r="BZ904" s="61"/>
      <c r="CA904" s="61"/>
      <c r="CB904" s="61"/>
      <c r="CC904" s="61"/>
      <c r="CD904" s="61"/>
      <c r="CE904" s="61"/>
      <c r="CF904" s="61"/>
      <c r="CG904" s="61"/>
      <c r="CH904" s="61"/>
      <c r="CI904" s="61"/>
      <c r="CJ904" s="61"/>
    </row>
    <row r="905" spans="70:88" x14ac:dyDescent="0.25">
      <c r="BR905" s="61"/>
      <c r="BS905" s="61"/>
      <c r="BT905" s="61"/>
      <c r="BU905" s="61"/>
      <c r="BV905" s="61"/>
      <c r="BW905" s="61"/>
      <c r="BX905" s="61"/>
      <c r="BY905" s="61"/>
      <c r="BZ905" s="61"/>
      <c r="CA905" s="61"/>
      <c r="CB905" s="61"/>
      <c r="CC905" s="61"/>
      <c r="CD905" s="61"/>
      <c r="CE905" s="61"/>
      <c r="CF905" s="61"/>
      <c r="CG905" s="61"/>
      <c r="CH905" s="61"/>
      <c r="CI905" s="61"/>
      <c r="CJ905" s="61"/>
    </row>
    <row r="906" spans="70:88" x14ac:dyDescent="0.25">
      <c r="BR906" s="61"/>
      <c r="BS906" s="61"/>
      <c r="BT906" s="61"/>
      <c r="BU906" s="61"/>
      <c r="BV906" s="61"/>
      <c r="BW906" s="61"/>
      <c r="BX906" s="61"/>
      <c r="BY906" s="61"/>
      <c r="BZ906" s="61"/>
      <c r="CA906" s="61"/>
      <c r="CB906" s="61"/>
      <c r="CC906" s="61"/>
      <c r="CD906" s="61"/>
      <c r="CE906" s="61"/>
      <c r="CF906" s="61"/>
      <c r="CG906" s="61"/>
      <c r="CH906" s="61"/>
      <c r="CI906" s="61"/>
      <c r="CJ906" s="61"/>
    </row>
    <row r="907" spans="70:88" x14ac:dyDescent="0.25">
      <c r="BR907" s="61"/>
      <c r="BS907" s="61"/>
      <c r="BT907" s="61"/>
      <c r="BU907" s="61"/>
      <c r="BV907" s="61"/>
      <c r="BW907" s="61"/>
      <c r="BX907" s="61"/>
      <c r="BY907" s="61"/>
      <c r="BZ907" s="61"/>
      <c r="CA907" s="61"/>
      <c r="CB907" s="61"/>
      <c r="CC907" s="61"/>
      <c r="CD907" s="61"/>
      <c r="CE907" s="61"/>
      <c r="CF907" s="61"/>
      <c r="CG907" s="61"/>
      <c r="CH907" s="61"/>
      <c r="CI907" s="61"/>
      <c r="CJ907" s="61"/>
    </row>
    <row r="908" spans="70:88" x14ac:dyDescent="0.25">
      <c r="BR908" s="61"/>
      <c r="BS908" s="61"/>
      <c r="BT908" s="61"/>
      <c r="BU908" s="61"/>
      <c r="BV908" s="61"/>
      <c r="BW908" s="61"/>
      <c r="BX908" s="61"/>
      <c r="BY908" s="61"/>
      <c r="BZ908" s="61"/>
      <c r="CA908" s="61"/>
      <c r="CB908" s="61"/>
      <c r="CC908" s="61"/>
      <c r="CD908" s="61"/>
      <c r="CE908" s="61"/>
      <c r="CF908" s="61"/>
      <c r="CG908" s="61"/>
      <c r="CH908" s="61"/>
      <c r="CI908" s="61"/>
      <c r="CJ908" s="61"/>
    </row>
    <row r="909" spans="70:88" x14ac:dyDescent="0.25">
      <c r="BR909" s="61"/>
      <c r="BS909" s="61"/>
      <c r="BT909" s="61"/>
      <c r="BU909" s="61"/>
      <c r="BV909" s="61"/>
      <c r="BW909" s="61"/>
      <c r="BX909" s="61"/>
      <c r="BY909" s="61"/>
      <c r="BZ909" s="61"/>
      <c r="CA909" s="61"/>
      <c r="CB909" s="61"/>
      <c r="CC909" s="61"/>
      <c r="CD909" s="61"/>
      <c r="CE909" s="61"/>
      <c r="CF909" s="61"/>
      <c r="CG909" s="61"/>
      <c r="CH909" s="61"/>
      <c r="CI909" s="61"/>
      <c r="CJ909" s="61"/>
    </row>
    <row r="910" spans="70:88" x14ac:dyDescent="0.25">
      <c r="BR910" s="61"/>
      <c r="BS910" s="61"/>
      <c r="BT910" s="61"/>
      <c r="BU910" s="61"/>
      <c r="BV910" s="61"/>
      <c r="BW910" s="61"/>
      <c r="BX910" s="61"/>
      <c r="BY910" s="61"/>
      <c r="BZ910" s="61"/>
      <c r="CA910" s="61"/>
      <c r="CB910" s="61"/>
      <c r="CC910" s="61"/>
      <c r="CD910" s="61"/>
      <c r="CE910" s="61"/>
      <c r="CF910" s="61"/>
      <c r="CG910" s="61"/>
      <c r="CH910" s="61"/>
      <c r="CI910" s="61"/>
      <c r="CJ910" s="61"/>
    </row>
    <row r="911" spans="70:88" x14ac:dyDescent="0.25">
      <c r="BR911" s="61"/>
      <c r="BS911" s="61"/>
      <c r="BT911" s="61"/>
      <c r="BU911" s="61"/>
      <c r="BV911" s="61"/>
      <c r="BW911" s="61"/>
      <c r="BX911" s="61"/>
      <c r="BY911" s="61"/>
      <c r="BZ911" s="61"/>
      <c r="CA911" s="61"/>
      <c r="CB911" s="61"/>
      <c r="CC911" s="61"/>
      <c r="CD911" s="61"/>
      <c r="CE911" s="61"/>
      <c r="CF911" s="61"/>
      <c r="CG911" s="61"/>
      <c r="CH911" s="61"/>
      <c r="CI911" s="61"/>
      <c r="CJ911" s="61"/>
    </row>
    <row r="912" spans="70:88" x14ac:dyDescent="0.25">
      <c r="BR912" s="61"/>
      <c r="BS912" s="61"/>
      <c r="BT912" s="61"/>
      <c r="BU912" s="61"/>
      <c r="BV912" s="61"/>
      <c r="BW912" s="61"/>
      <c r="BX912" s="61"/>
      <c r="BY912" s="61"/>
      <c r="BZ912" s="61"/>
      <c r="CA912" s="61"/>
      <c r="CB912" s="61"/>
      <c r="CC912" s="61"/>
      <c r="CD912" s="61"/>
      <c r="CE912" s="61"/>
      <c r="CF912" s="61"/>
      <c r="CG912" s="61"/>
      <c r="CH912" s="61"/>
      <c r="CI912" s="61"/>
      <c r="CJ912" s="61"/>
    </row>
    <row r="913" spans="70:88" x14ac:dyDescent="0.25">
      <c r="BR913" s="61"/>
      <c r="BS913" s="61"/>
      <c r="BT913" s="61"/>
      <c r="BU913" s="61"/>
      <c r="BV913" s="61"/>
      <c r="BW913" s="61"/>
      <c r="BX913" s="61"/>
      <c r="BY913" s="61"/>
      <c r="BZ913" s="61"/>
      <c r="CA913" s="61"/>
      <c r="CB913" s="61"/>
      <c r="CC913" s="61"/>
      <c r="CD913" s="61"/>
      <c r="CE913" s="61"/>
      <c r="CF913" s="61"/>
      <c r="CG913" s="61"/>
      <c r="CH913" s="61"/>
      <c r="CI913" s="61"/>
      <c r="CJ913" s="61"/>
    </row>
    <row r="914" spans="70:88" x14ac:dyDescent="0.25">
      <c r="BR914" s="61"/>
      <c r="BS914" s="61"/>
      <c r="BT914" s="61"/>
      <c r="BU914" s="61"/>
      <c r="BV914" s="61"/>
      <c r="BW914" s="61"/>
      <c r="BX914" s="61"/>
      <c r="BY914" s="61"/>
      <c r="BZ914" s="61"/>
      <c r="CA914" s="61"/>
      <c r="CB914" s="61"/>
      <c r="CC914" s="61"/>
      <c r="CD914" s="61"/>
      <c r="CE914" s="61"/>
      <c r="CF914" s="61"/>
      <c r="CG914" s="61"/>
      <c r="CH914" s="61"/>
      <c r="CI914" s="61"/>
      <c r="CJ914" s="61"/>
    </row>
    <row r="915" spans="70:88" x14ac:dyDescent="0.25">
      <c r="BR915" s="61"/>
      <c r="BS915" s="61"/>
      <c r="BT915" s="61"/>
      <c r="BU915" s="61"/>
      <c r="BV915" s="61"/>
      <c r="BW915" s="61"/>
      <c r="BX915" s="61"/>
      <c r="BY915" s="61"/>
      <c r="BZ915" s="61"/>
      <c r="CA915" s="61"/>
      <c r="CB915" s="61"/>
      <c r="CC915" s="61"/>
      <c r="CD915" s="61"/>
      <c r="CE915" s="61"/>
      <c r="CF915" s="61"/>
      <c r="CG915" s="61"/>
      <c r="CH915" s="61"/>
      <c r="CI915" s="61"/>
      <c r="CJ915" s="61"/>
    </row>
    <row r="916" spans="70:88" x14ac:dyDescent="0.25">
      <c r="BR916" s="61"/>
      <c r="BS916" s="61"/>
      <c r="BT916" s="61"/>
      <c r="BU916" s="61"/>
      <c r="BV916" s="61"/>
      <c r="BW916" s="61"/>
      <c r="BX916" s="61"/>
      <c r="BY916" s="61"/>
      <c r="BZ916" s="61"/>
      <c r="CA916" s="61"/>
      <c r="CB916" s="61"/>
      <c r="CC916" s="61"/>
      <c r="CD916" s="61"/>
      <c r="CE916" s="61"/>
      <c r="CF916" s="61"/>
      <c r="CG916" s="61"/>
      <c r="CH916" s="61"/>
      <c r="CI916" s="61"/>
      <c r="CJ916" s="61"/>
    </row>
    <row r="917" spans="70:88" x14ac:dyDescent="0.25">
      <c r="BR917" s="61"/>
      <c r="BS917" s="61"/>
      <c r="BT917" s="61"/>
      <c r="BU917" s="61"/>
      <c r="BV917" s="61"/>
      <c r="BW917" s="61"/>
      <c r="BX917" s="61"/>
      <c r="BY917" s="61"/>
      <c r="BZ917" s="61"/>
      <c r="CA917" s="61"/>
      <c r="CB917" s="61"/>
      <c r="CC917" s="61"/>
      <c r="CD917" s="61"/>
      <c r="CE917" s="61"/>
      <c r="CF917" s="61"/>
      <c r="CG917" s="61"/>
      <c r="CH917" s="61"/>
      <c r="CI917" s="61"/>
      <c r="CJ917" s="61"/>
    </row>
    <row r="918" spans="70:88" x14ac:dyDescent="0.25">
      <c r="BR918" s="61"/>
      <c r="BS918" s="61"/>
      <c r="BT918" s="61"/>
      <c r="BU918" s="61"/>
      <c r="BV918" s="61"/>
      <c r="BW918" s="61"/>
      <c r="BX918" s="61"/>
      <c r="BY918" s="61"/>
      <c r="BZ918" s="61"/>
      <c r="CA918" s="61"/>
      <c r="CB918" s="61"/>
      <c r="CC918" s="61"/>
      <c r="CD918" s="61"/>
      <c r="CE918" s="61"/>
      <c r="CF918" s="61"/>
      <c r="CG918" s="61"/>
      <c r="CH918" s="61"/>
      <c r="CI918" s="61"/>
      <c r="CJ918" s="61"/>
    </row>
    <row r="919" spans="70:88" x14ac:dyDescent="0.25">
      <c r="BR919" s="61"/>
      <c r="BS919" s="61"/>
      <c r="BT919" s="61"/>
      <c r="BU919" s="61"/>
      <c r="BV919" s="61"/>
      <c r="BW919" s="61"/>
      <c r="BX919" s="61"/>
      <c r="BY919" s="61"/>
      <c r="BZ919" s="61"/>
      <c r="CA919" s="61"/>
      <c r="CB919" s="61"/>
      <c r="CC919" s="61"/>
      <c r="CD919" s="61"/>
      <c r="CE919" s="61"/>
      <c r="CF919" s="61"/>
      <c r="CG919" s="61"/>
      <c r="CH919" s="61"/>
      <c r="CI919" s="61"/>
      <c r="CJ919" s="61"/>
    </row>
    <row r="920" spans="70:88" x14ac:dyDescent="0.25">
      <c r="BR920" s="61"/>
      <c r="BS920" s="61"/>
      <c r="BT920" s="61"/>
      <c r="BU920" s="61"/>
      <c r="BV920" s="61"/>
      <c r="BW920" s="61"/>
      <c r="BX920" s="61"/>
      <c r="BY920" s="61"/>
      <c r="BZ920" s="61"/>
      <c r="CA920" s="61"/>
      <c r="CB920" s="61"/>
      <c r="CC920" s="61"/>
      <c r="CD920" s="61"/>
      <c r="CE920" s="61"/>
      <c r="CF920" s="61"/>
      <c r="CG920" s="61"/>
      <c r="CH920" s="61"/>
      <c r="CI920" s="61"/>
      <c r="CJ920" s="61"/>
    </row>
    <row r="921" spans="70:88" x14ac:dyDescent="0.25">
      <c r="BR921" s="61"/>
      <c r="BS921" s="61"/>
      <c r="BT921" s="61"/>
      <c r="BU921" s="61"/>
      <c r="BV921" s="61"/>
      <c r="BW921" s="61"/>
      <c r="BX921" s="61"/>
      <c r="BY921" s="61"/>
      <c r="BZ921" s="61"/>
      <c r="CA921" s="61"/>
      <c r="CB921" s="61"/>
      <c r="CC921" s="61"/>
      <c r="CD921" s="61"/>
      <c r="CE921" s="61"/>
      <c r="CF921" s="61"/>
      <c r="CG921" s="61"/>
      <c r="CH921" s="61"/>
      <c r="CI921" s="61"/>
      <c r="CJ921" s="61"/>
    </row>
    <row r="922" spans="70:88" x14ac:dyDescent="0.25">
      <c r="BR922" s="61"/>
      <c r="BS922" s="61"/>
      <c r="BT922" s="61"/>
      <c r="BU922" s="61"/>
      <c r="BV922" s="61"/>
      <c r="BW922" s="61"/>
      <c r="BX922" s="61"/>
      <c r="BY922" s="61"/>
      <c r="BZ922" s="61"/>
      <c r="CA922" s="61"/>
      <c r="CB922" s="61"/>
      <c r="CC922" s="61"/>
      <c r="CD922" s="61"/>
      <c r="CE922" s="61"/>
      <c r="CF922" s="61"/>
      <c r="CG922" s="61"/>
      <c r="CH922" s="61"/>
      <c r="CI922" s="61"/>
      <c r="CJ922" s="61"/>
    </row>
    <row r="923" spans="70:88" x14ac:dyDescent="0.25">
      <c r="BR923" s="61"/>
      <c r="BS923" s="61"/>
      <c r="BT923" s="61"/>
      <c r="BU923" s="61"/>
      <c r="BV923" s="61"/>
      <c r="BW923" s="61"/>
      <c r="BX923" s="61"/>
      <c r="BY923" s="61"/>
      <c r="BZ923" s="61"/>
      <c r="CA923" s="61"/>
      <c r="CB923" s="61"/>
      <c r="CC923" s="61"/>
      <c r="CD923" s="61"/>
      <c r="CE923" s="61"/>
      <c r="CF923" s="61"/>
      <c r="CG923" s="61"/>
      <c r="CH923" s="61"/>
      <c r="CI923" s="61"/>
      <c r="CJ923" s="61"/>
    </row>
    <row r="924" spans="70:88" x14ac:dyDescent="0.25">
      <c r="BR924" s="61"/>
      <c r="BS924" s="61"/>
      <c r="BT924" s="61"/>
      <c r="BU924" s="61"/>
      <c r="BV924" s="61"/>
      <c r="BW924" s="61"/>
      <c r="BX924" s="61"/>
      <c r="BY924" s="61"/>
      <c r="BZ924" s="61"/>
      <c r="CA924" s="61"/>
      <c r="CB924" s="61"/>
      <c r="CC924" s="61"/>
      <c r="CD924" s="61"/>
      <c r="CE924" s="61"/>
      <c r="CF924" s="61"/>
      <c r="CG924" s="61"/>
      <c r="CH924" s="61"/>
      <c r="CI924" s="61"/>
      <c r="CJ924" s="61"/>
    </row>
    <row r="925" spans="70:88" x14ac:dyDescent="0.25">
      <c r="BR925" s="61"/>
      <c r="BS925" s="61"/>
      <c r="BT925" s="61"/>
      <c r="BU925" s="61"/>
      <c r="BV925" s="61"/>
      <c r="BW925" s="61"/>
      <c r="BX925" s="61"/>
      <c r="BY925" s="61"/>
      <c r="BZ925" s="61"/>
      <c r="CA925" s="61"/>
      <c r="CB925" s="61"/>
      <c r="CC925" s="61"/>
      <c r="CD925" s="61"/>
      <c r="CE925" s="61"/>
      <c r="CF925" s="61"/>
      <c r="CG925" s="61"/>
      <c r="CH925" s="61"/>
      <c r="CI925" s="61"/>
      <c r="CJ925" s="61"/>
    </row>
    <row r="926" spans="70:88" x14ac:dyDescent="0.25">
      <c r="BR926" s="61"/>
      <c r="BS926" s="61"/>
      <c r="BT926" s="61"/>
      <c r="BU926" s="61"/>
      <c r="BV926" s="61"/>
      <c r="BW926" s="61"/>
      <c r="BX926" s="61"/>
      <c r="BY926" s="61"/>
      <c r="BZ926" s="61"/>
      <c r="CA926" s="61"/>
      <c r="CB926" s="61"/>
      <c r="CC926" s="61"/>
      <c r="CD926" s="61"/>
      <c r="CE926" s="61"/>
      <c r="CF926" s="61"/>
      <c r="CG926" s="61"/>
      <c r="CH926" s="61"/>
      <c r="CI926" s="61"/>
      <c r="CJ926" s="61"/>
    </row>
    <row r="927" spans="70:88" x14ac:dyDescent="0.25">
      <c r="BR927" s="61"/>
      <c r="BS927" s="61"/>
      <c r="BT927" s="61"/>
      <c r="BU927" s="61"/>
      <c r="BV927" s="61"/>
      <c r="BW927" s="61"/>
      <c r="BX927" s="61"/>
      <c r="BY927" s="61"/>
      <c r="BZ927" s="61"/>
      <c r="CA927" s="61"/>
      <c r="CB927" s="61"/>
      <c r="CC927" s="61"/>
      <c r="CD927" s="61"/>
      <c r="CE927" s="61"/>
      <c r="CF927" s="61"/>
      <c r="CG927" s="61"/>
      <c r="CH927" s="61"/>
      <c r="CI927" s="61"/>
      <c r="CJ927" s="61"/>
    </row>
    <row r="928" spans="70:88" x14ac:dyDescent="0.25">
      <c r="BR928" s="61"/>
      <c r="BS928" s="61"/>
      <c r="BT928" s="61"/>
      <c r="BU928" s="61"/>
      <c r="BV928" s="61"/>
      <c r="BW928" s="61"/>
      <c r="BX928" s="61"/>
      <c r="BY928" s="61"/>
      <c r="BZ928" s="61"/>
      <c r="CA928" s="61"/>
      <c r="CB928" s="61"/>
      <c r="CC928" s="61"/>
      <c r="CD928" s="61"/>
      <c r="CE928" s="61"/>
      <c r="CF928" s="61"/>
      <c r="CG928" s="61"/>
      <c r="CH928" s="61"/>
      <c r="CI928" s="61"/>
      <c r="CJ928" s="61"/>
    </row>
    <row r="929" spans="70:88" x14ac:dyDescent="0.25">
      <c r="BR929" s="61"/>
      <c r="BS929" s="61"/>
      <c r="BT929" s="61"/>
      <c r="BU929" s="61"/>
      <c r="BV929" s="61"/>
      <c r="BW929" s="61"/>
      <c r="BX929" s="61"/>
      <c r="BY929" s="61"/>
      <c r="BZ929" s="61"/>
      <c r="CA929" s="61"/>
      <c r="CB929" s="61"/>
      <c r="CC929" s="61"/>
      <c r="CD929" s="61"/>
      <c r="CE929" s="61"/>
      <c r="CF929" s="61"/>
      <c r="CG929" s="61"/>
      <c r="CH929" s="61"/>
      <c r="CI929" s="61"/>
      <c r="CJ929" s="61"/>
    </row>
    <row r="930" spans="70:88" x14ac:dyDescent="0.25">
      <c r="BR930" s="61"/>
      <c r="BS930" s="61"/>
      <c r="BT930" s="61"/>
      <c r="BU930" s="61"/>
      <c r="BV930" s="61"/>
      <c r="BW930" s="61"/>
      <c r="BX930" s="61"/>
      <c r="BY930" s="61"/>
      <c r="BZ930" s="61"/>
      <c r="CA930" s="61"/>
      <c r="CB930" s="61"/>
      <c r="CC930" s="61"/>
      <c r="CD930" s="61"/>
      <c r="CE930" s="61"/>
      <c r="CF930" s="61"/>
      <c r="CG930" s="61"/>
      <c r="CH930" s="61"/>
      <c r="CI930" s="61"/>
      <c r="CJ930" s="61"/>
    </row>
    <row r="931" spans="70:88" x14ac:dyDescent="0.25">
      <c r="BR931" s="61"/>
      <c r="BS931" s="61"/>
      <c r="BT931" s="61"/>
      <c r="BU931" s="61"/>
      <c r="BV931" s="61"/>
      <c r="BW931" s="61"/>
      <c r="BX931" s="61"/>
      <c r="BY931" s="61"/>
      <c r="BZ931" s="61"/>
      <c r="CA931" s="61"/>
      <c r="CB931" s="61"/>
      <c r="CC931" s="61"/>
      <c r="CD931" s="61"/>
      <c r="CE931" s="61"/>
      <c r="CF931" s="61"/>
      <c r="CG931" s="61"/>
      <c r="CH931" s="61"/>
      <c r="CI931" s="61"/>
      <c r="CJ931" s="61"/>
    </row>
    <row r="932" spans="70:88" x14ac:dyDescent="0.25">
      <c r="BR932" s="61"/>
      <c r="BS932" s="61"/>
      <c r="BT932" s="61"/>
      <c r="BU932" s="61"/>
      <c r="BV932" s="61"/>
      <c r="BW932" s="61"/>
      <c r="BX932" s="61"/>
      <c r="BY932" s="61"/>
      <c r="BZ932" s="61"/>
      <c r="CA932" s="61"/>
      <c r="CB932" s="61"/>
      <c r="CC932" s="61"/>
      <c r="CD932" s="61"/>
      <c r="CE932" s="61"/>
      <c r="CF932" s="61"/>
      <c r="CG932" s="61"/>
      <c r="CH932" s="61"/>
      <c r="CI932" s="61"/>
      <c r="CJ932" s="61"/>
    </row>
    <row r="933" spans="70:88" x14ac:dyDescent="0.25">
      <c r="BR933" s="61"/>
      <c r="BS933" s="61"/>
      <c r="BT933" s="61"/>
      <c r="BU933" s="61"/>
      <c r="BV933" s="61"/>
      <c r="BW933" s="61"/>
      <c r="BX933" s="61"/>
      <c r="BY933" s="61"/>
      <c r="BZ933" s="61"/>
      <c r="CA933" s="61"/>
      <c r="CB933" s="61"/>
      <c r="CC933" s="61"/>
      <c r="CD933" s="61"/>
      <c r="CE933" s="61"/>
      <c r="CF933" s="61"/>
      <c r="CG933" s="61"/>
      <c r="CH933" s="61"/>
      <c r="CI933" s="61"/>
      <c r="CJ933" s="61"/>
    </row>
    <row r="934" spans="70:88" x14ac:dyDescent="0.25">
      <c r="BR934" s="61"/>
      <c r="BS934" s="61"/>
      <c r="BT934" s="61"/>
      <c r="BU934" s="61"/>
      <c r="BV934" s="61"/>
      <c r="BW934" s="61"/>
      <c r="BX934" s="61"/>
      <c r="BY934" s="61"/>
      <c r="BZ934" s="61"/>
      <c r="CA934" s="61"/>
      <c r="CB934" s="61"/>
      <c r="CC934" s="61"/>
      <c r="CD934" s="61"/>
      <c r="CE934" s="61"/>
      <c r="CF934" s="61"/>
      <c r="CG934" s="61"/>
      <c r="CH934" s="61"/>
      <c r="CI934" s="61"/>
      <c r="CJ934" s="61"/>
    </row>
    <row r="935" spans="70:88" x14ac:dyDescent="0.25">
      <c r="BR935" s="61"/>
      <c r="BS935" s="61"/>
      <c r="BT935" s="61"/>
      <c r="BU935" s="61"/>
      <c r="BV935" s="61"/>
      <c r="BW935" s="61"/>
      <c r="BX935" s="61"/>
      <c r="BY935" s="61"/>
      <c r="BZ935" s="61"/>
      <c r="CA935" s="61"/>
      <c r="CB935" s="61"/>
      <c r="CC935" s="61"/>
      <c r="CD935" s="61"/>
      <c r="CE935" s="61"/>
      <c r="CF935" s="61"/>
      <c r="CG935" s="61"/>
      <c r="CH935" s="61"/>
      <c r="CI935" s="61"/>
      <c r="CJ935" s="61"/>
    </row>
    <row r="936" spans="70:88" x14ac:dyDescent="0.25">
      <c r="BR936" s="61"/>
      <c r="BS936" s="61"/>
      <c r="BT936" s="61"/>
      <c r="BU936" s="61"/>
      <c r="BV936" s="61"/>
      <c r="BW936" s="61"/>
      <c r="BX936" s="61"/>
      <c r="BY936" s="61"/>
      <c r="BZ936" s="61"/>
      <c r="CA936" s="61"/>
      <c r="CB936" s="61"/>
      <c r="CC936" s="61"/>
      <c r="CD936" s="61"/>
      <c r="CE936" s="61"/>
      <c r="CF936" s="61"/>
      <c r="CG936" s="61"/>
      <c r="CH936" s="61"/>
      <c r="CI936" s="61"/>
      <c r="CJ936" s="61"/>
    </row>
    <row r="937" spans="70:88" x14ac:dyDescent="0.25">
      <c r="BR937" s="61"/>
      <c r="BS937" s="61"/>
      <c r="BT937" s="61"/>
      <c r="BU937" s="61"/>
      <c r="BV937" s="61"/>
      <c r="BW937" s="61"/>
      <c r="BX937" s="61"/>
      <c r="BY937" s="61"/>
      <c r="BZ937" s="61"/>
      <c r="CA937" s="61"/>
      <c r="CB937" s="61"/>
      <c r="CC937" s="61"/>
      <c r="CD937" s="61"/>
      <c r="CE937" s="61"/>
      <c r="CF937" s="61"/>
      <c r="CG937" s="61"/>
      <c r="CH937" s="61"/>
      <c r="CI937" s="61"/>
      <c r="CJ937" s="61"/>
    </row>
    <row r="938" spans="70:88" x14ac:dyDescent="0.25">
      <c r="BR938" s="61"/>
      <c r="BS938" s="61"/>
      <c r="BT938" s="61"/>
      <c r="BU938" s="61"/>
      <c r="BV938" s="61"/>
      <c r="BW938" s="61"/>
      <c r="BX938" s="61"/>
      <c r="BY938" s="61"/>
      <c r="BZ938" s="61"/>
      <c r="CA938" s="61"/>
      <c r="CB938" s="61"/>
      <c r="CC938" s="61"/>
      <c r="CD938" s="61"/>
      <c r="CE938" s="61"/>
      <c r="CF938" s="61"/>
      <c r="CG938" s="61"/>
      <c r="CH938" s="61"/>
      <c r="CI938" s="61"/>
      <c r="CJ938" s="61"/>
    </row>
    <row r="939" spans="70:88" x14ac:dyDescent="0.25">
      <c r="BR939" s="61"/>
      <c r="BS939" s="61"/>
      <c r="BT939" s="61"/>
      <c r="BU939" s="61"/>
      <c r="BV939" s="61"/>
      <c r="BW939" s="61"/>
      <c r="BX939" s="61"/>
      <c r="BY939" s="61"/>
      <c r="BZ939" s="61"/>
      <c r="CA939" s="61"/>
      <c r="CB939" s="61"/>
      <c r="CC939" s="61"/>
      <c r="CD939" s="61"/>
      <c r="CE939" s="61"/>
      <c r="CF939" s="61"/>
      <c r="CG939" s="61"/>
      <c r="CH939" s="61"/>
      <c r="CI939" s="61"/>
      <c r="CJ939" s="61"/>
    </row>
    <row r="940" spans="70:88" x14ac:dyDescent="0.25">
      <c r="BR940" s="61"/>
      <c r="BS940" s="61"/>
      <c r="BT940" s="61"/>
      <c r="BU940" s="61"/>
      <c r="BV940" s="61"/>
      <c r="BW940" s="61"/>
      <c r="BX940" s="61"/>
      <c r="BY940" s="61"/>
      <c r="BZ940" s="61"/>
      <c r="CA940" s="61"/>
      <c r="CB940" s="61"/>
      <c r="CC940" s="61"/>
      <c r="CD940" s="61"/>
      <c r="CE940" s="61"/>
      <c r="CF940" s="61"/>
      <c r="CG940" s="61"/>
      <c r="CH940" s="61"/>
      <c r="CI940" s="61"/>
      <c r="CJ940" s="61"/>
    </row>
    <row r="941" spans="70:88" x14ac:dyDescent="0.25">
      <c r="BR941" s="61"/>
      <c r="BS941" s="61"/>
      <c r="BT941" s="61"/>
      <c r="BU941" s="61"/>
      <c r="BV941" s="61"/>
      <c r="BW941" s="61"/>
      <c r="BX941" s="61"/>
      <c r="BY941" s="61"/>
      <c r="BZ941" s="61"/>
      <c r="CA941" s="61"/>
      <c r="CB941" s="61"/>
      <c r="CC941" s="61"/>
      <c r="CD941" s="61"/>
      <c r="CE941" s="61"/>
      <c r="CF941" s="61"/>
      <c r="CG941" s="61"/>
      <c r="CH941" s="61"/>
      <c r="CI941" s="61"/>
      <c r="CJ941" s="61"/>
    </row>
    <row r="942" spans="70:88" x14ac:dyDescent="0.25">
      <c r="BR942" s="61"/>
      <c r="BS942" s="61"/>
      <c r="BT942" s="61"/>
      <c r="BU942" s="61"/>
      <c r="BV942" s="61"/>
      <c r="BW942" s="61"/>
      <c r="BX942" s="61"/>
      <c r="BY942" s="61"/>
      <c r="BZ942" s="61"/>
      <c r="CA942" s="61"/>
      <c r="CB942" s="61"/>
      <c r="CC942" s="61"/>
      <c r="CD942" s="61"/>
      <c r="CE942" s="61"/>
      <c r="CF942" s="61"/>
      <c r="CG942" s="61"/>
      <c r="CH942" s="61"/>
      <c r="CI942" s="61"/>
      <c r="CJ942" s="61"/>
    </row>
    <row r="943" spans="70:88" x14ac:dyDescent="0.25">
      <c r="BR943" s="61"/>
      <c r="BS943" s="61"/>
      <c r="BT943" s="61"/>
      <c r="BU943" s="61"/>
      <c r="BV943" s="61"/>
      <c r="BW943" s="61"/>
      <c r="BX943" s="61"/>
      <c r="BY943" s="61"/>
      <c r="BZ943" s="61"/>
      <c r="CA943" s="61"/>
      <c r="CB943" s="61"/>
      <c r="CC943" s="61"/>
      <c r="CD943" s="61"/>
      <c r="CE943" s="61"/>
      <c r="CF943" s="61"/>
      <c r="CG943" s="61"/>
      <c r="CH943" s="61"/>
      <c r="CI943" s="61"/>
      <c r="CJ943" s="61"/>
    </row>
    <row r="944" spans="70:88" x14ac:dyDescent="0.25">
      <c r="BR944" s="61"/>
      <c r="BS944" s="61"/>
      <c r="BT944" s="61"/>
      <c r="BU944" s="61"/>
      <c r="BV944" s="61"/>
      <c r="BW944" s="61"/>
      <c r="BX944" s="61"/>
      <c r="BY944" s="61"/>
      <c r="BZ944" s="61"/>
      <c r="CA944" s="61"/>
      <c r="CB944" s="61"/>
      <c r="CC944" s="61"/>
      <c r="CD944" s="61"/>
      <c r="CE944" s="61"/>
      <c r="CF944" s="61"/>
      <c r="CG944" s="61"/>
      <c r="CH944" s="61"/>
      <c r="CI944" s="61"/>
      <c r="CJ944" s="61"/>
    </row>
    <row r="945" spans="70:88" x14ac:dyDescent="0.25">
      <c r="BR945" s="61"/>
      <c r="BS945" s="61"/>
      <c r="BT945" s="61"/>
      <c r="BU945" s="61"/>
      <c r="BV945" s="61"/>
      <c r="BW945" s="61"/>
      <c r="BX945" s="61"/>
      <c r="BY945" s="61"/>
      <c r="BZ945" s="61"/>
      <c r="CA945" s="61"/>
      <c r="CB945" s="61"/>
      <c r="CC945" s="61"/>
      <c r="CD945" s="61"/>
      <c r="CE945" s="61"/>
      <c r="CF945" s="61"/>
      <c r="CG945" s="61"/>
      <c r="CH945" s="61"/>
      <c r="CI945" s="61"/>
      <c r="CJ945" s="61"/>
    </row>
    <row r="946" spans="70:88" x14ac:dyDescent="0.25">
      <c r="BR946" s="61"/>
      <c r="BS946" s="61"/>
      <c r="BT946" s="61"/>
      <c r="BU946" s="61"/>
      <c r="BV946" s="61"/>
      <c r="BW946" s="61"/>
      <c r="BX946" s="61"/>
      <c r="BY946" s="61"/>
      <c r="BZ946" s="61"/>
      <c r="CA946" s="61"/>
      <c r="CB946" s="61"/>
      <c r="CC946" s="61"/>
      <c r="CD946" s="61"/>
      <c r="CE946" s="61"/>
      <c r="CF946" s="61"/>
      <c r="CG946" s="61"/>
      <c r="CH946" s="61"/>
      <c r="CI946" s="61"/>
      <c r="CJ946" s="61"/>
    </row>
    <row r="947" spans="70:88" x14ac:dyDescent="0.25">
      <c r="BR947" s="61"/>
      <c r="BS947" s="61"/>
      <c r="BT947" s="61"/>
      <c r="BU947" s="61"/>
      <c r="BV947" s="61"/>
      <c r="BW947" s="61"/>
      <c r="BX947" s="61"/>
      <c r="BY947" s="61"/>
      <c r="BZ947" s="61"/>
      <c r="CA947" s="61"/>
      <c r="CB947" s="61"/>
      <c r="CC947" s="61"/>
      <c r="CD947" s="61"/>
      <c r="CE947" s="61"/>
      <c r="CF947" s="61"/>
      <c r="CG947" s="61"/>
      <c r="CH947" s="61"/>
      <c r="CI947" s="61"/>
      <c r="CJ947" s="61"/>
    </row>
    <row r="948" spans="70:88" x14ac:dyDescent="0.25">
      <c r="BR948" s="61"/>
      <c r="BS948" s="61"/>
      <c r="BT948" s="61"/>
      <c r="BU948" s="61"/>
      <c r="BV948" s="61"/>
      <c r="BW948" s="61"/>
      <c r="BX948" s="61"/>
      <c r="BY948" s="61"/>
      <c r="BZ948" s="61"/>
      <c r="CA948" s="61"/>
      <c r="CB948" s="61"/>
      <c r="CC948" s="61"/>
      <c r="CD948" s="61"/>
      <c r="CE948" s="61"/>
      <c r="CF948" s="61"/>
      <c r="CG948" s="61"/>
      <c r="CH948" s="61"/>
      <c r="CI948" s="61"/>
      <c r="CJ948" s="61"/>
    </row>
    <row r="949" spans="70:88" x14ac:dyDescent="0.25">
      <c r="BR949" s="61"/>
      <c r="BS949" s="61"/>
      <c r="BT949" s="61"/>
      <c r="BU949" s="61"/>
      <c r="BV949" s="61"/>
      <c r="BW949" s="61"/>
      <c r="BX949" s="61"/>
      <c r="BY949" s="61"/>
      <c r="BZ949" s="61"/>
      <c r="CA949" s="61"/>
      <c r="CB949" s="61"/>
      <c r="CC949" s="61"/>
      <c r="CD949" s="61"/>
      <c r="CE949" s="61"/>
      <c r="CF949" s="61"/>
      <c r="CG949" s="61"/>
      <c r="CH949" s="61"/>
      <c r="CI949" s="61"/>
      <c r="CJ949" s="61"/>
    </row>
    <row r="950" spans="70:88" x14ac:dyDescent="0.25">
      <c r="BR950" s="61"/>
      <c r="BS950" s="61"/>
      <c r="BT950" s="61"/>
      <c r="BU950" s="61"/>
      <c r="BV950" s="61"/>
      <c r="BW950" s="61"/>
      <c r="BX950" s="61"/>
      <c r="BY950" s="61"/>
      <c r="BZ950" s="61"/>
      <c r="CA950" s="61"/>
      <c r="CB950" s="61"/>
      <c r="CC950" s="61"/>
      <c r="CD950" s="61"/>
      <c r="CE950" s="61"/>
      <c r="CF950" s="61"/>
      <c r="CG950" s="61"/>
      <c r="CH950" s="61"/>
      <c r="CI950" s="61"/>
      <c r="CJ950" s="61"/>
    </row>
    <row r="951" spans="70:88" x14ac:dyDescent="0.25">
      <c r="BR951" s="61"/>
      <c r="BS951" s="61"/>
      <c r="BT951" s="61"/>
      <c r="BU951" s="61"/>
      <c r="BV951" s="61"/>
      <c r="BW951" s="61"/>
      <c r="BX951" s="61"/>
      <c r="BY951" s="61"/>
      <c r="BZ951" s="61"/>
      <c r="CA951" s="61"/>
      <c r="CB951" s="61"/>
      <c r="CC951" s="61"/>
      <c r="CD951" s="61"/>
      <c r="CE951" s="61"/>
      <c r="CF951" s="61"/>
      <c r="CG951" s="61"/>
      <c r="CH951" s="61"/>
      <c r="CI951" s="61"/>
      <c r="CJ951" s="61"/>
    </row>
    <row r="952" spans="70:88" x14ac:dyDescent="0.25">
      <c r="BR952" s="61"/>
      <c r="BS952" s="61"/>
      <c r="BT952" s="61"/>
      <c r="BU952" s="61"/>
      <c r="BV952" s="61"/>
      <c r="BW952" s="61"/>
      <c r="BX952" s="61"/>
      <c r="BY952" s="61"/>
      <c r="BZ952" s="61"/>
      <c r="CA952" s="61"/>
      <c r="CB952" s="61"/>
      <c r="CC952" s="61"/>
      <c r="CD952" s="61"/>
      <c r="CE952" s="61"/>
      <c r="CF952" s="61"/>
      <c r="CG952" s="61"/>
      <c r="CH952" s="61"/>
      <c r="CI952" s="61"/>
      <c r="CJ952" s="61"/>
    </row>
    <row r="953" spans="70:88" x14ac:dyDescent="0.25">
      <c r="BR953" s="61"/>
      <c r="BS953" s="61"/>
      <c r="BT953" s="61"/>
      <c r="BU953" s="61"/>
      <c r="BV953" s="61"/>
      <c r="BW953" s="61"/>
      <c r="BX953" s="61"/>
      <c r="BY953" s="61"/>
      <c r="BZ953" s="61"/>
      <c r="CA953" s="61"/>
      <c r="CB953" s="61"/>
      <c r="CC953" s="61"/>
      <c r="CD953" s="61"/>
      <c r="CE953" s="61"/>
      <c r="CF953" s="61"/>
      <c r="CG953" s="61"/>
      <c r="CH953" s="61"/>
      <c r="CI953" s="61"/>
      <c r="CJ953" s="61"/>
    </row>
    <row r="954" spans="70:88" x14ac:dyDescent="0.25">
      <c r="BR954" s="61"/>
      <c r="BS954" s="61"/>
      <c r="BT954" s="61"/>
      <c r="BU954" s="61"/>
      <c r="BV954" s="61"/>
      <c r="BW954" s="61"/>
      <c r="BX954" s="61"/>
      <c r="BY954" s="61"/>
      <c r="BZ954" s="61"/>
      <c r="CA954" s="61"/>
      <c r="CB954" s="61"/>
      <c r="CC954" s="61"/>
      <c r="CD954" s="61"/>
      <c r="CE954" s="61"/>
      <c r="CF954" s="61"/>
      <c r="CG954" s="61"/>
      <c r="CH954" s="61"/>
      <c r="CI954" s="61"/>
      <c r="CJ954" s="61"/>
    </row>
    <row r="955" spans="70:88" x14ac:dyDescent="0.25">
      <c r="BR955" s="61"/>
      <c r="BS955" s="61"/>
      <c r="BT955" s="61"/>
      <c r="BU955" s="61"/>
      <c r="BV955" s="61"/>
      <c r="BW955" s="61"/>
      <c r="BX955" s="61"/>
      <c r="BY955" s="61"/>
      <c r="BZ955" s="61"/>
      <c r="CA955" s="61"/>
      <c r="CB955" s="61"/>
      <c r="CC955" s="61"/>
      <c r="CD955" s="61"/>
      <c r="CE955" s="61"/>
      <c r="CF955" s="61"/>
      <c r="CG955" s="61"/>
      <c r="CH955" s="61"/>
      <c r="CI955" s="61"/>
      <c r="CJ955" s="61"/>
    </row>
    <row r="956" spans="70:88" x14ac:dyDescent="0.25">
      <c r="BR956" s="61"/>
      <c r="BS956" s="61"/>
      <c r="BT956" s="61"/>
      <c r="BU956" s="61"/>
      <c r="BV956" s="61"/>
      <c r="BW956" s="61"/>
      <c r="BX956" s="61"/>
      <c r="BY956" s="61"/>
      <c r="BZ956" s="61"/>
      <c r="CA956" s="61"/>
      <c r="CB956" s="61"/>
      <c r="CC956" s="61"/>
      <c r="CD956" s="61"/>
      <c r="CE956" s="61"/>
      <c r="CF956" s="61"/>
      <c r="CG956" s="61"/>
      <c r="CH956" s="61"/>
      <c r="CI956" s="61"/>
      <c r="CJ956" s="61"/>
    </row>
    <row r="957" spans="70:88" x14ac:dyDescent="0.25">
      <c r="BR957" s="61"/>
      <c r="BS957" s="61"/>
      <c r="BT957" s="61"/>
      <c r="BU957" s="61"/>
      <c r="BV957" s="61"/>
      <c r="BW957" s="61"/>
      <c r="BX957" s="61"/>
      <c r="BY957" s="61"/>
      <c r="BZ957" s="61"/>
      <c r="CA957" s="61"/>
      <c r="CB957" s="61"/>
      <c r="CC957" s="61"/>
      <c r="CD957" s="61"/>
      <c r="CE957" s="61"/>
      <c r="CF957" s="61"/>
      <c r="CG957" s="61"/>
      <c r="CH957" s="61"/>
      <c r="CI957" s="61"/>
      <c r="CJ957" s="61"/>
    </row>
    <row r="958" spans="70:88" x14ac:dyDescent="0.25">
      <c r="BR958" s="61"/>
      <c r="BS958" s="61"/>
      <c r="BT958" s="61"/>
      <c r="BU958" s="61"/>
      <c r="BV958" s="61"/>
      <c r="BW958" s="61"/>
      <c r="BX958" s="61"/>
      <c r="BY958" s="61"/>
      <c r="BZ958" s="61"/>
      <c r="CA958" s="61"/>
      <c r="CB958" s="61"/>
      <c r="CC958" s="61"/>
      <c r="CD958" s="61"/>
      <c r="CE958" s="61"/>
      <c r="CF958" s="61"/>
      <c r="CG958" s="61"/>
      <c r="CH958" s="61"/>
      <c r="CI958" s="61"/>
      <c r="CJ958" s="61"/>
    </row>
    <row r="959" spans="70:88" x14ac:dyDescent="0.25">
      <c r="BR959" s="61"/>
      <c r="BS959" s="61"/>
      <c r="BT959" s="61"/>
      <c r="BU959" s="61"/>
      <c r="BV959" s="61"/>
      <c r="BW959" s="61"/>
      <c r="BX959" s="61"/>
      <c r="BY959" s="61"/>
      <c r="BZ959" s="61"/>
      <c r="CA959" s="61"/>
      <c r="CB959" s="61"/>
      <c r="CC959" s="61"/>
      <c r="CD959" s="61"/>
      <c r="CE959" s="61"/>
      <c r="CF959" s="61"/>
      <c r="CG959" s="61"/>
      <c r="CH959" s="61"/>
      <c r="CI959" s="61"/>
      <c r="CJ959" s="61"/>
    </row>
    <row r="960" spans="70:88" x14ac:dyDescent="0.25">
      <c r="BR960" s="61"/>
      <c r="BS960" s="61"/>
      <c r="BT960" s="61"/>
      <c r="BU960" s="61"/>
      <c r="BV960" s="61"/>
      <c r="BW960" s="61"/>
      <c r="BX960" s="61"/>
      <c r="BY960" s="61"/>
      <c r="BZ960" s="61"/>
      <c r="CA960" s="61"/>
      <c r="CB960" s="61"/>
      <c r="CC960" s="61"/>
      <c r="CD960" s="61"/>
      <c r="CE960" s="61"/>
      <c r="CF960" s="61"/>
      <c r="CG960" s="61"/>
      <c r="CH960" s="61"/>
      <c r="CI960" s="61"/>
      <c r="CJ960" s="61"/>
    </row>
    <row r="961" spans="70:88" x14ac:dyDescent="0.25">
      <c r="BR961" s="61"/>
      <c r="BS961" s="61"/>
      <c r="BT961" s="61"/>
      <c r="BU961" s="61"/>
      <c r="BV961" s="61"/>
      <c r="BW961" s="61"/>
      <c r="BX961" s="61"/>
      <c r="BY961" s="61"/>
      <c r="BZ961" s="61"/>
      <c r="CA961" s="61"/>
      <c r="CB961" s="61"/>
      <c r="CC961" s="61"/>
      <c r="CD961" s="61"/>
      <c r="CE961" s="61"/>
      <c r="CF961" s="61"/>
      <c r="CG961" s="61"/>
      <c r="CH961" s="61"/>
      <c r="CI961" s="61"/>
      <c r="CJ961" s="61"/>
    </row>
    <row r="962" spans="70:88" x14ac:dyDescent="0.25">
      <c r="BR962" s="61"/>
      <c r="BS962" s="61"/>
      <c r="BT962" s="61"/>
      <c r="BU962" s="61"/>
      <c r="BV962" s="61"/>
      <c r="BW962" s="61"/>
      <c r="BX962" s="61"/>
      <c r="BY962" s="61"/>
      <c r="BZ962" s="61"/>
      <c r="CA962" s="61"/>
      <c r="CB962" s="61"/>
      <c r="CC962" s="61"/>
      <c r="CD962" s="61"/>
      <c r="CE962" s="61"/>
      <c r="CF962" s="61"/>
      <c r="CG962" s="61"/>
      <c r="CH962" s="61"/>
      <c r="CI962" s="61"/>
      <c r="CJ962" s="61"/>
    </row>
    <row r="963" spans="70:88" x14ac:dyDescent="0.25">
      <c r="BR963" s="61"/>
      <c r="BS963" s="61"/>
      <c r="BT963" s="61"/>
      <c r="BU963" s="61"/>
      <c r="BV963" s="61"/>
      <c r="BW963" s="61"/>
      <c r="BX963" s="61"/>
      <c r="BY963" s="61"/>
      <c r="BZ963" s="61"/>
      <c r="CA963" s="61"/>
      <c r="CB963" s="61"/>
      <c r="CC963" s="61"/>
      <c r="CD963" s="61"/>
      <c r="CE963" s="61"/>
      <c r="CF963" s="61"/>
      <c r="CG963" s="61"/>
      <c r="CH963" s="61"/>
      <c r="CI963" s="61"/>
      <c r="CJ963" s="61"/>
    </row>
    <row r="964" spans="70:88" x14ac:dyDescent="0.25">
      <c r="BR964" s="61"/>
      <c r="BS964" s="61"/>
      <c r="BT964" s="61"/>
      <c r="BU964" s="61"/>
      <c r="BV964" s="61"/>
      <c r="BW964" s="61"/>
      <c r="BX964" s="61"/>
      <c r="BY964" s="61"/>
      <c r="BZ964" s="61"/>
      <c r="CA964" s="61"/>
      <c r="CB964" s="61"/>
      <c r="CC964" s="61"/>
      <c r="CD964" s="61"/>
      <c r="CE964" s="61"/>
      <c r="CF964" s="61"/>
      <c r="CG964" s="61"/>
      <c r="CH964" s="61"/>
      <c r="CI964" s="61"/>
      <c r="CJ964" s="61"/>
    </row>
    <row r="965" spans="70:88" x14ac:dyDescent="0.25">
      <c r="BR965" s="61"/>
      <c r="BS965" s="61"/>
      <c r="BT965" s="61"/>
      <c r="BU965" s="61"/>
      <c r="BV965" s="61"/>
      <c r="BW965" s="61"/>
      <c r="BX965" s="61"/>
      <c r="BY965" s="61"/>
      <c r="BZ965" s="61"/>
      <c r="CA965" s="61"/>
      <c r="CB965" s="61"/>
      <c r="CC965" s="61"/>
      <c r="CD965" s="61"/>
      <c r="CE965" s="61"/>
      <c r="CF965" s="61"/>
      <c r="CG965" s="61"/>
      <c r="CH965" s="61"/>
      <c r="CI965" s="61"/>
      <c r="CJ965" s="61"/>
    </row>
    <row r="966" spans="70:88" x14ac:dyDescent="0.25">
      <c r="BR966" s="61"/>
      <c r="BS966" s="61"/>
      <c r="BT966" s="61"/>
      <c r="BU966" s="61"/>
      <c r="BV966" s="61"/>
      <c r="BW966" s="61"/>
      <c r="BX966" s="61"/>
      <c r="BY966" s="61"/>
      <c r="BZ966" s="61"/>
      <c r="CA966" s="61"/>
      <c r="CB966" s="61"/>
      <c r="CC966" s="61"/>
      <c r="CD966" s="61"/>
      <c r="CE966" s="61"/>
      <c r="CF966" s="61"/>
      <c r="CG966" s="61"/>
      <c r="CH966" s="61"/>
      <c r="CI966" s="61"/>
      <c r="CJ966" s="61"/>
    </row>
    <row r="967" spans="70:88" x14ac:dyDescent="0.25">
      <c r="BR967" s="61"/>
      <c r="BS967" s="61"/>
      <c r="BT967" s="61"/>
      <c r="BU967" s="61"/>
      <c r="BV967" s="61"/>
      <c r="BW967" s="61"/>
      <c r="BX967" s="61"/>
      <c r="BY967" s="61"/>
      <c r="BZ967" s="61"/>
      <c r="CA967" s="61"/>
      <c r="CB967" s="61"/>
      <c r="CC967" s="61"/>
      <c r="CD967" s="61"/>
      <c r="CE967" s="61"/>
      <c r="CF967" s="61"/>
      <c r="CG967" s="61"/>
      <c r="CH967" s="61"/>
      <c r="CI967" s="61"/>
      <c r="CJ967" s="61"/>
    </row>
    <row r="968" spans="70:88" x14ac:dyDescent="0.25">
      <c r="BR968" s="61"/>
      <c r="BS968" s="61"/>
      <c r="BT968" s="61"/>
      <c r="BU968" s="61"/>
      <c r="BV968" s="61"/>
      <c r="BW968" s="61"/>
      <c r="BX968" s="61"/>
      <c r="BY968" s="61"/>
      <c r="BZ968" s="61"/>
      <c r="CA968" s="61"/>
      <c r="CB968" s="61"/>
      <c r="CC968" s="61"/>
      <c r="CD968" s="61"/>
      <c r="CE968" s="61"/>
      <c r="CF968" s="61"/>
      <c r="CG968" s="61"/>
      <c r="CH968" s="61"/>
      <c r="CI968" s="61"/>
      <c r="CJ968" s="61"/>
    </row>
    <row r="969" spans="70:88" x14ac:dyDescent="0.25">
      <c r="BR969" s="61"/>
      <c r="BS969" s="61"/>
      <c r="BT969" s="61"/>
      <c r="BU969" s="61"/>
      <c r="BV969" s="61"/>
      <c r="BW969" s="61"/>
      <c r="BX969" s="61"/>
      <c r="BY969" s="61"/>
      <c r="BZ969" s="61"/>
      <c r="CA969" s="61"/>
      <c r="CB969" s="61"/>
      <c r="CC969" s="61"/>
      <c r="CD969" s="61"/>
      <c r="CE969" s="61"/>
      <c r="CF969" s="61"/>
      <c r="CG969" s="61"/>
      <c r="CH969" s="61"/>
      <c r="CI969" s="61"/>
      <c r="CJ969" s="61"/>
    </row>
    <row r="970" spans="70:88" x14ac:dyDescent="0.25">
      <c r="BR970" s="61"/>
      <c r="BS970" s="61"/>
      <c r="BT970" s="61"/>
      <c r="BU970" s="61"/>
      <c r="BV970" s="61"/>
      <c r="BW970" s="61"/>
      <c r="BX970" s="61"/>
      <c r="BY970" s="61"/>
      <c r="BZ970" s="61"/>
      <c r="CA970" s="61"/>
      <c r="CB970" s="61"/>
      <c r="CC970" s="61"/>
      <c r="CD970" s="61"/>
      <c r="CE970" s="61"/>
      <c r="CF970" s="61"/>
      <c r="CG970" s="61"/>
      <c r="CH970" s="61"/>
      <c r="CI970" s="61"/>
      <c r="CJ970" s="61"/>
    </row>
    <row r="971" spans="70:88" x14ac:dyDescent="0.25">
      <c r="BR971" s="61"/>
      <c r="BS971" s="61"/>
      <c r="BT971" s="61"/>
      <c r="BU971" s="61"/>
      <c r="BV971" s="61"/>
      <c r="BW971" s="61"/>
      <c r="BX971" s="61"/>
      <c r="BY971" s="61"/>
      <c r="BZ971" s="61"/>
      <c r="CA971" s="61"/>
      <c r="CB971" s="61"/>
      <c r="CC971" s="61"/>
      <c r="CD971" s="61"/>
      <c r="CE971" s="61"/>
      <c r="CF971" s="61"/>
      <c r="CG971" s="61"/>
      <c r="CH971" s="61"/>
      <c r="CI971" s="61"/>
      <c r="CJ971" s="61"/>
    </row>
    <row r="972" spans="70:88" x14ac:dyDescent="0.25">
      <c r="BR972" s="61"/>
      <c r="BS972" s="61"/>
      <c r="BT972" s="61"/>
      <c r="BU972" s="61"/>
      <c r="BV972" s="61"/>
      <c r="BW972" s="61"/>
      <c r="BX972" s="61"/>
      <c r="BY972" s="61"/>
      <c r="BZ972" s="61"/>
      <c r="CA972" s="61"/>
      <c r="CB972" s="61"/>
      <c r="CC972" s="61"/>
      <c r="CD972" s="61"/>
      <c r="CE972" s="61"/>
      <c r="CF972" s="61"/>
      <c r="CG972" s="61"/>
      <c r="CH972" s="61"/>
      <c r="CI972" s="61"/>
      <c r="CJ972" s="61"/>
    </row>
    <row r="973" spans="70:88" x14ac:dyDescent="0.25">
      <c r="BR973" s="61"/>
      <c r="BS973" s="61"/>
      <c r="BT973" s="61"/>
      <c r="BU973" s="61"/>
      <c r="BV973" s="61"/>
      <c r="BW973" s="61"/>
      <c r="BX973" s="61"/>
      <c r="BY973" s="61"/>
      <c r="BZ973" s="61"/>
      <c r="CA973" s="61"/>
      <c r="CB973" s="61"/>
      <c r="CC973" s="61"/>
      <c r="CD973" s="61"/>
      <c r="CE973" s="61"/>
      <c r="CF973" s="61"/>
      <c r="CG973" s="61"/>
      <c r="CH973" s="61"/>
      <c r="CI973" s="61"/>
      <c r="CJ973" s="61"/>
    </row>
    <row r="974" spans="70:88" x14ac:dyDescent="0.25">
      <c r="BR974" s="61"/>
      <c r="BS974" s="61"/>
      <c r="BT974" s="61"/>
      <c r="BU974" s="61"/>
      <c r="BV974" s="61"/>
      <c r="BW974" s="61"/>
      <c r="BX974" s="61"/>
      <c r="BY974" s="61"/>
      <c r="BZ974" s="61"/>
      <c r="CA974" s="61"/>
      <c r="CB974" s="61"/>
      <c r="CC974" s="61"/>
      <c r="CD974" s="61"/>
      <c r="CE974" s="61"/>
      <c r="CF974" s="61"/>
      <c r="CG974" s="61"/>
      <c r="CH974" s="61"/>
      <c r="CI974" s="61"/>
      <c r="CJ974" s="61"/>
    </row>
    <row r="975" spans="70:88" x14ac:dyDescent="0.25">
      <c r="BR975" s="61"/>
      <c r="BS975" s="61"/>
      <c r="BT975" s="61"/>
      <c r="BU975" s="61"/>
      <c r="BV975" s="61"/>
      <c r="BW975" s="61"/>
      <c r="BX975" s="61"/>
      <c r="BY975" s="61"/>
      <c r="BZ975" s="61"/>
      <c r="CA975" s="61"/>
      <c r="CB975" s="61"/>
      <c r="CC975" s="61"/>
      <c r="CD975" s="61"/>
      <c r="CE975" s="61"/>
      <c r="CF975" s="61"/>
      <c r="CG975" s="61"/>
      <c r="CH975" s="61"/>
      <c r="CI975" s="61"/>
      <c r="CJ975" s="61"/>
    </row>
    <row r="976" spans="70:88" x14ac:dyDescent="0.25">
      <c r="BR976" s="61"/>
      <c r="BS976" s="61"/>
      <c r="BT976" s="61"/>
      <c r="BU976" s="61"/>
      <c r="BV976" s="61"/>
      <c r="BW976" s="61"/>
      <c r="BX976" s="61"/>
      <c r="BY976" s="61"/>
      <c r="BZ976" s="61"/>
      <c r="CA976" s="61"/>
      <c r="CB976" s="61"/>
      <c r="CC976" s="61"/>
      <c r="CD976" s="61"/>
      <c r="CE976" s="61"/>
      <c r="CF976" s="61"/>
      <c r="CG976" s="61"/>
      <c r="CH976" s="61"/>
      <c r="CI976" s="61"/>
      <c r="CJ976" s="61"/>
    </row>
    <row r="977" spans="70:88" x14ac:dyDescent="0.25">
      <c r="BR977" s="61"/>
      <c r="BS977" s="61"/>
      <c r="BT977" s="61"/>
      <c r="BU977" s="61"/>
      <c r="BV977" s="61"/>
      <c r="BW977" s="61"/>
      <c r="BX977" s="61"/>
      <c r="BY977" s="61"/>
      <c r="BZ977" s="61"/>
      <c r="CA977" s="61"/>
      <c r="CB977" s="61"/>
      <c r="CC977" s="61"/>
      <c r="CD977" s="61"/>
      <c r="CE977" s="61"/>
      <c r="CF977" s="61"/>
      <c r="CG977" s="61"/>
      <c r="CH977" s="61"/>
      <c r="CI977" s="61"/>
      <c r="CJ977" s="61"/>
    </row>
    <row r="978" spans="70:88" x14ac:dyDescent="0.25">
      <c r="BR978" s="61"/>
      <c r="BS978" s="61"/>
      <c r="BT978" s="61"/>
      <c r="BU978" s="61"/>
      <c r="BV978" s="61"/>
      <c r="BW978" s="61"/>
      <c r="BX978" s="61"/>
      <c r="BY978" s="61"/>
      <c r="BZ978" s="61"/>
      <c r="CA978" s="61"/>
      <c r="CB978" s="61"/>
      <c r="CC978" s="61"/>
      <c r="CD978" s="61"/>
      <c r="CE978" s="61"/>
      <c r="CF978" s="61"/>
      <c r="CG978" s="61"/>
      <c r="CH978" s="61"/>
      <c r="CI978" s="61"/>
      <c r="CJ978" s="61"/>
    </row>
    <row r="979" spans="70:88" x14ac:dyDescent="0.25">
      <c r="BR979" s="61"/>
      <c r="BS979" s="61"/>
      <c r="BT979" s="61"/>
      <c r="BU979" s="61"/>
      <c r="BV979" s="61"/>
      <c r="BW979" s="61"/>
      <c r="BX979" s="61"/>
      <c r="BY979" s="61"/>
      <c r="BZ979" s="61"/>
      <c r="CA979" s="61"/>
      <c r="CB979" s="61"/>
      <c r="CC979" s="61"/>
      <c r="CD979" s="61"/>
      <c r="CE979" s="61"/>
      <c r="CF979" s="61"/>
      <c r="CG979" s="61"/>
      <c r="CH979" s="61"/>
      <c r="CI979" s="61"/>
      <c r="CJ979" s="61"/>
    </row>
    <row r="980" spans="70:88" x14ac:dyDescent="0.25">
      <c r="BR980" s="61"/>
      <c r="BS980" s="61"/>
      <c r="BT980" s="61"/>
      <c r="BU980" s="61"/>
      <c r="BV980" s="61"/>
      <c r="BW980" s="61"/>
      <c r="BX980" s="61"/>
      <c r="BY980" s="61"/>
      <c r="BZ980" s="61"/>
      <c r="CA980" s="61"/>
      <c r="CB980" s="61"/>
      <c r="CC980" s="61"/>
      <c r="CD980" s="61"/>
      <c r="CE980" s="61"/>
      <c r="CF980" s="61"/>
      <c r="CG980" s="61"/>
      <c r="CH980" s="61"/>
      <c r="CI980" s="61"/>
      <c r="CJ980" s="61"/>
    </row>
    <row r="981" spans="70:88" x14ac:dyDescent="0.25">
      <c r="BR981" s="61"/>
      <c r="BS981" s="61"/>
      <c r="BT981" s="61"/>
      <c r="BU981" s="61"/>
      <c r="BV981" s="61"/>
      <c r="BW981" s="61"/>
      <c r="BX981" s="61"/>
      <c r="BY981" s="61"/>
      <c r="BZ981" s="61"/>
      <c r="CA981" s="61"/>
      <c r="CB981" s="61"/>
      <c r="CC981" s="61"/>
      <c r="CD981" s="61"/>
      <c r="CE981" s="61"/>
      <c r="CF981" s="61"/>
      <c r="CG981" s="61"/>
      <c r="CH981" s="61"/>
      <c r="CI981" s="61"/>
      <c r="CJ981" s="61"/>
    </row>
    <row r="982" spans="70:88" x14ac:dyDescent="0.25">
      <c r="BR982" s="61"/>
      <c r="BS982" s="61"/>
      <c r="BT982" s="61"/>
      <c r="BU982" s="61"/>
      <c r="BV982" s="61"/>
      <c r="BW982" s="61"/>
      <c r="BX982" s="61"/>
      <c r="BY982" s="61"/>
      <c r="BZ982" s="61"/>
      <c r="CA982" s="61"/>
      <c r="CB982" s="61"/>
      <c r="CC982" s="61"/>
      <c r="CD982" s="61"/>
      <c r="CE982" s="61"/>
      <c r="CF982" s="61"/>
      <c r="CG982" s="61"/>
      <c r="CH982" s="61"/>
      <c r="CI982" s="61"/>
      <c r="CJ982" s="61"/>
    </row>
    <row r="983" spans="70:88" x14ac:dyDescent="0.25">
      <c r="BR983" s="61"/>
      <c r="BS983" s="61"/>
      <c r="BT983" s="61"/>
      <c r="BU983" s="61"/>
      <c r="BV983" s="61"/>
      <c r="BW983" s="61"/>
      <c r="BX983" s="61"/>
      <c r="BY983" s="61"/>
      <c r="BZ983" s="61"/>
      <c r="CA983" s="61"/>
      <c r="CB983" s="61"/>
      <c r="CC983" s="61"/>
      <c r="CD983" s="61"/>
      <c r="CE983" s="61"/>
      <c r="CF983" s="61"/>
      <c r="CG983" s="61"/>
      <c r="CH983" s="61"/>
      <c r="CI983" s="61"/>
      <c r="CJ983" s="61"/>
    </row>
    <row r="984" spans="70:88" x14ac:dyDescent="0.25">
      <c r="BR984" s="61"/>
      <c r="BS984" s="61"/>
      <c r="BT984" s="61"/>
      <c r="BU984" s="61"/>
      <c r="BV984" s="61"/>
      <c r="BW984" s="61"/>
      <c r="BX984" s="61"/>
      <c r="BY984" s="61"/>
      <c r="BZ984" s="61"/>
      <c r="CA984" s="61"/>
      <c r="CB984" s="61"/>
      <c r="CC984" s="61"/>
      <c r="CD984" s="61"/>
      <c r="CE984" s="61"/>
      <c r="CF984" s="61"/>
      <c r="CG984" s="61"/>
      <c r="CH984" s="61"/>
      <c r="CI984" s="61"/>
      <c r="CJ984" s="61"/>
    </row>
    <row r="985" spans="70:88" x14ac:dyDescent="0.25">
      <c r="BR985" s="61"/>
      <c r="BS985" s="61"/>
      <c r="BT985" s="61"/>
      <c r="BU985" s="61"/>
      <c r="BV985" s="61"/>
      <c r="BW985" s="61"/>
      <c r="BX985" s="61"/>
      <c r="BY985" s="61"/>
      <c r="BZ985" s="61"/>
      <c r="CA985" s="61"/>
      <c r="CB985" s="61"/>
      <c r="CC985" s="61"/>
      <c r="CD985" s="61"/>
      <c r="CE985" s="61"/>
      <c r="CF985" s="61"/>
      <c r="CG985" s="61"/>
      <c r="CH985" s="61"/>
      <c r="CI985" s="61"/>
      <c r="CJ985" s="61"/>
    </row>
    <row r="986" spans="70:88" x14ac:dyDescent="0.25">
      <c r="BR986" s="61"/>
      <c r="BS986" s="61"/>
      <c r="BT986" s="61"/>
      <c r="BU986" s="61"/>
      <c r="BV986" s="61"/>
      <c r="BW986" s="61"/>
      <c r="BX986" s="61"/>
      <c r="BY986" s="61"/>
      <c r="BZ986" s="61"/>
      <c r="CA986" s="61"/>
      <c r="CB986" s="61"/>
      <c r="CC986" s="61"/>
      <c r="CD986" s="61"/>
      <c r="CE986" s="61"/>
      <c r="CF986" s="61"/>
      <c r="CG986" s="61"/>
      <c r="CH986" s="61"/>
      <c r="CI986" s="61"/>
      <c r="CJ986" s="61"/>
    </row>
    <row r="987" spans="70:88" x14ac:dyDescent="0.25">
      <c r="BR987" s="61"/>
      <c r="BS987" s="61"/>
      <c r="BT987" s="61"/>
      <c r="BU987" s="61"/>
      <c r="BV987" s="61"/>
      <c r="BW987" s="61"/>
      <c r="BX987" s="61"/>
      <c r="BY987" s="61"/>
      <c r="BZ987" s="61"/>
      <c r="CA987" s="61"/>
      <c r="CB987" s="61"/>
      <c r="CC987" s="61"/>
      <c r="CD987" s="61"/>
      <c r="CE987" s="61"/>
      <c r="CF987" s="61"/>
      <c r="CG987" s="61"/>
      <c r="CH987" s="61"/>
      <c r="CI987" s="61"/>
      <c r="CJ987" s="61"/>
    </row>
    <row r="988" spans="70:88" x14ac:dyDescent="0.25">
      <c r="BR988" s="61"/>
      <c r="BS988" s="61"/>
      <c r="BT988" s="61"/>
      <c r="BU988" s="61"/>
      <c r="BV988" s="61"/>
      <c r="BW988" s="61"/>
      <c r="BX988" s="61"/>
      <c r="BY988" s="61"/>
      <c r="BZ988" s="61"/>
      <c r="CA988" s="61"/>
      <c r="CB988" s="61"/>
      <c r="CC988" s="61"/>
      <c r="CD988" s="61"/>
      <c r="CE988" s="61"/>
      <c r="CF988" s="61"/>
      <c r="CG988" s="61"/>
      <c r="CH988" s="61"/>
      <c r="CI988" s="61"/>
      <c r="CJ988" s="61"/>
    </row>
    <row r="989" spans="70:88" x14ac:dyDescent="0.25">
      <c r="BR989" s="61"/>
      <c r="BS989" s="61"/>
      <c r="BT989" s="61"/>
      <c r="BU989" s="61"/>
      <c r="BV989" s="61"/>
      <c r="BW989" s="61"/>
      <c r="BX989" s="61"/>
      <c r="BY989" s="61"/>
      <c r="BZ989" s="61"/>
      <c r="CA989" s="61"/>
      <c r="CB989" s="61"/>
      <c r="CC989" s="61"/>
      <c r="CD989" s="61"/>
      <c r="CE989" s="61"/>
      <c r="CF989" s="61"/>
      <c r="CG989" s="61"/>
      <c r="CH989" s="61"/>
      <c r="CI989" s="61"/>
      <c r="CJ989" s="61"/>
    </row>
    <row r="990" spans="70:88" x14ac:dyDescent="0.25">
      <c r="BR990" s="61"/>
      <c r="BS990" s="61"/>
      <c r="BT990" s="61"/>
      <c r="BU990" s="61"/>
      <c r="BV990" s="61"/>
      <c r="BW990" s="61"/>
      <c r="BX990" s="61"/>
      <c r="BY990" s="61"/>
      <c r="BZ990" s="61"/>
      <c r="CA990" s="61"/>
      <c r="CB990" s="61"/>
      <c r="CC990" s="61"/>
      <c r="CD990" s="61"/>
      <c r="CE990" s="61"/>
      <c r="CF990" s="61"/>
      <c r="CG990" s="61"/>
      <c r="CH990" s="61"/>
      <c r="CI990" s="61"/>
      <c r="CJ990" s="61"/>
    </row>
    <row r="991" spans="70:88" x14ac:dyDescent="0.25">
      <c r="BR991" s="61"/>
      <c r="BS991" s="61"/>
      <c r="BT991" s="61"/>
      <c r="BU991" s="61"/>
      <c r="BV991" s="61"/>
      <c r="BW991" s="61"/>
      <c r="BX991" s="61"/>
      <c r="BY991" s="61"/>
      <c r="BZ991" s="61"/>
      <c r="CA991" s="61"/>
      <c r="CB991" s="61"/>
      <c r="CC991" s="61"/>
      <c r="CD991" s="61"/>
      <c r="CE991" s="61"/>
      <c r="CF991" s="61"/>
      <c r="CG991" s="61"/>
      <c r="CH991" s="61"/>
      <c r="CI991" s="61"/>
      <c r="CJ991" s="61"/>
    </row>
    <row r="992" spans="70:88" x14ac:dyDescent="0.25">
      <c r="BR992" s="61"/>
      <c r="BS992" s="61"/>
      <c r="BT992" s="61"/>
      <c r="BU992" s="61"/>
      <c r="BV992" s="61"/>
      <c r="BW992" s="61"/>
      <c r="BX992" s="61"/>
      <c r="BY992" s="61"/>
      <c r="BZ992" s="61"/>
      <c r="CA992" s="61"/>
      <c r="CB992" s="61"/>
      <c r="CC992" s="61"/>
      <c r="CD992" s="61"/>
      <c r="CE992" s="61"/>
      <c r="CF992" s="61"/>
      <c r="CG992" s="61"/>
      <c r="CH992" s="61"/>
      <c r="CI992" s="61"/>
      <c r="CJ992" s="61"/>
    </row>
    <row r="993" spans="70:88" x14ac:dyDescent="0.25">
      <c r="BR993" s="61"/>
      <c r="BS993" s="61"/>
      <c r="BT993" s="61"/>
      <c r="BU993" s="61"/>
      <c r="BV993" s="61"/>
      <c r="BW993" s="61"/>
      <c r="BX993" s="61"/>
      <c r="BY993" s="61"/>
      <c r="BZ993" s="61"/>
      <c r="CA993" s="61"/>
      <c r="CB993" s="61"/>
      <c r="CC993" s="61"/>
      <c r="CD993" s="61"/>
      <c r="CE993" s="61"/>
      <c r="CF993" s="61"/>
      <c r="CG993" s="61"/>
      <c r="CH993" s="61"/>
      <c r="CI993" s="61"/>
      <c r="CJ993" s="61"/>
    </row>
    <row r="994" spans="70:88" x14ac:dyDescent="0.25">
      <c r="BR994" s="61"/>
      <c r="BS994" s="61"/>
      <c r="BT994" s="61"/>
      <c r="BU994" s="61"/>
      <c r="BV994" s="61"/>
      <c r="BW994" s="61"/>
      <c r="BX994" s="61"/>
      <c r="BY994" s="61"/>
      <c r="BZ994" s="61"/>
      <c r="CA994" s="61"/>
      <c r="CB994" s="61"/>
      <c r="CC994" s="61"/>
      <c r="CD994" s="61"/>
      <c r="CE994" s="61"/>
      <c r="CF994" s="61"/>
      <c r="CG994" s="61"/>
      <c r="CH994" s="61"/>
      <c r="CI994" s="61"/>
      <c r="CJ994" s="61"/>
    </row>
    <row r="995" spans="70:88" x14ac:dyDescent="0.25">
      <c r="BR995" s="61"/>
      <c r="BS995" s="61"/>
      <c r="BT995" s="61"/>
      <c r="BU995" s="61"/>
      <c r="BV995" s="61"/>
      <c r="BW995" s="61"/>
      <c r="BX995" s="61"/>
      <c r="BY995" s="61"/>
      <c r="BZ995" s="61"/>
      <c r="CA995" s="61"/>
      <c r="CB995" s="61"/>
      <c r="CC995" s="61"/>
      <c r="CD995" s="61"/>
      <c r="CE995" s="61"/>
      <c r="CF995" s="61"/>
      <c r="CG995" s="61"/>
      <c r="CH995" s="61"/>
      <c r="CI995" s="61"/>
      <c r="CJ995" s="61"/>
    </row>
    <row r="996" spans="70:88" x14ac:dyDescent="0.25">
      <c r="BR996" s="61"/>
      <c r="BS996" s="61"/>
      <c r="BT996" s="61"/>
      <c r="BU996" s="61"/>
      <c r="BV996" s="61"/>
      <c r="BW996" s="61"/>
      <c r="BX996" s="61"/>
      <c r="BY996" s="61"/>
      <c r="BZ996" s="61"/>
      <c r="CA996" s="61"/>
      <c r="CB996" s="61"/>
      <c r="CC996" s="61"/>
      <c r="CD996" s="61"/>
      <c r="CE996" s="61"/>
      <c r="CF996" s="61"/>
      <c r="CG996" s="61"/>
      <c r="CH996" s="61"/>
      <c r="CI996" s="61"/>
      <c r="CJ996" s="61"/>
    </row>
    <row r="997" spans="70:88" x14ac:dyDescent="0.25">
      <c r="BR997" s="61"/>
      <c r="BS997" s="61"/>
      <c r="BT997" s="61"/>
      <c r="BU997" s="61"/>
      <c r="BV997" s="61"/>
      <c r="BW997" s="61"/>
      <c r="BX997" s="61"/>
      <c r="BY997" s="61"/>
      <c r="BZ997" s="61"/>
      <c r="CA997" s="61"/>
      <c r="CB997" s="61"/>
      <c r="CC997" s="61"/>
      <c r="CD997" s="61"/>
      <c r="CE997" s="61"/>
      <c r="CF997" s="61"/>
      <c r="CG997" s="61"/>
      <c r="CH997" s="61"/>
      <c r="CI997" s="61"/>
      <c r="CJ997" s="61"/>
    </row>
    <row r="998" spans="70:88" x14ac:dyDescent="0.25">
      <c r="BR998" s="61"/>
      <c r="BS998" s="61"/>
      <c r="BT998" s="61"/>
      <c r="BU998" s="61"/>
      <c r="BV998" s="61"/>
      <c r="BW998" s="61"/>
      <c r="BX998" s="61"/>
      <c r="BY998" s="61"/>
      <c r="BZ998" s="61"/>
      <c r="CA998" s="61"/>
      <c r="CB998" s="61"/>
      <c r="CC998" s="61"/>
      <c r="CD998" s="61"/>
      <c r="CE998" s="61"/>
      <c r="CF998" s="61"/>
      <c r="CG998" s="61"/>
      <c r="CH998" s="61"/>
      <c r="CI998" s="61"/>
      <c r="CJ998" s="61"/>
    </row>
    <row r="999" spans="70:88" x14ac:dyDescent="0.25">
      <c r="BR999" s="61"/>
      <c r="BS999" s="61"/>
      <c r="BT999" s="61"/>
      <c r="BU999" s="61"/>
      <c r="BV999" s="61"/>
      <c r="BW999" s="61"/>
      <c r="BX999" s="61"/>
      <c r="BY999" s="61"/>
      <c r="BZ999" s="61"/>
      <c r="CA999" s="61"/>
      <c r="CB999" s="61"/>
      <c r="CC999" s="61"/>
      <c r="CD999" s="61"/>
      <c r="CE999" s="61"/>
      <c r="CF999" s="61"/>
      <c r="CG999" s="61"/>
      <c r="CH999" s="61"/>
      <c r="CI999" s="61"/>
      <c r="CJ999" s="61"/>
    </row>
    <row r="1000" spans="70:88" x14ac:dyDescent="0.25">
      <c r="BR1000" s="61"/>
      <c r="BS1000" s="61"/>
      <c r="BT1000" s="61"/>
      <c r="BU1000" s="61"/>
      <c r="BV1000" s="61"/>
      <c r="BW1000" s="61"/>
      <c r="BX1000" s="61"/>
      <c r="BY1000" s="61"/>
      <c r="BZ1000" s="61"/>
      <c r="CA1000" s="61"/>
      <c r="CB1000" s="61"/>
      <c r="CC1000" s="61"/>
      <c r="CD1000" s="61"/>
      <c r="CE1000" s="61"/>
      <c r="CF1000" s="61"/>
      <c r="CG1000" s="61"/>
      <c r="CH1000" s="61"/>
      <c r="CI1000" s="61"/>
      <c r="CJ1000" s="61"/>
    </row>
  </sheetData>
  <mergeCells count="26">
    <mergeCell ref="I7:T7"/>
    <mergeCell ref="X7:AI7"/>
    <mergeCell ref="AL7:AW7"/>
    <mergeCell ref="AZ7:BK7"/>
    <mergeCell ref="I382:J382"/>
    <mergeCell ref="T10:U10"/>
    <mergeCell ref="K9:L9"/>
    <mergeCell ref="B9:J9"/>
    <mergeCell ref="M9:Q9"/>
    <mergeCell ref="AW10:AX10"/>
    <mergeCell ref="BB9:BC9"/>
    <mergeCell ref="BD9:BH9"/>
    <mergeCell ref="BK10:BL10"/>
    <mergeCell ref="Z9:AA9"/>
    <mergeCell ref="AB9:AF9"/>
    <mergeCell ref="HE10:HH10"/>
    <mergeCell ref="FG9:FP9"/>
    <mergeCell ref="AI10:AJ10"/>
    <mergeCell ref="AN9:AO9"/>
    <mergeCell ref="AP9:AT9"/>
    <mergeCell ref="CB9:CF9"/>
    <mergeCell ref="DW9:EG9"/>
    <mergeCell ref="EI9:ER9"/>
    <mergeCell ref="EU9:FD9"/>
    <mergeCell ref="BZ9:CA9"/>
    <mergeCell ref="BR9:BY9"/>
  </mergeCells>
  <phoneticPr fontId="41" type="noConversion"/>
  <conditionalFormatting sqref="D6">
    <cfRule type="expression" dxfId="127" priority="1">
      <formula>$I6="No"</formula>
    </cfRule>
  </conditionalFormatting>
  <conditionalFormatting sqref="J13:U15 J17:U26 J16:R16">
    <cfRule type="expression" dxfId="126" priority="81">
      <formula>$I13="No"</formula>
    </cfRule>
  </conditionalFormatting>
  <conditionalFormatting sqref="J28:U29 J31:U41 J30:R30">
    <cfRule type="expression" dxfId="125" priority="79">
      <formula>$I28="No"</formula>
    </cfRule>
  </conditionalFormatting>
  <conditionalFormatting sqref="J43:U56">
    <cfRule type="expression" dxfId="124" priority="31">
      <formula>$I43="No"</formula>
    </cfRule>
  </conditionalFormatting>
  <conditionalFormatting sqref="J58:U71">
    <cfRule type="expression" dxfId="123" priority="30">
      <formula>$I58="No"</formula>
    </cfRule>
  </conditionalFormatting>
  <conditionalFormatting sqref="J73:U86">
    <cfRule type="expression" dxfId="122" priority="73">
      <formula>$I73="No"</formula>
    </cfRule>
  </conditionalFormatting>
  <conditionalFormatting sqref="J135:U148">
    <cfRule type="expression" dxfId="121" priority="71">
      <formula>$I135="No"</formula>
    </cfRule>
  </conditionalFormatting>
  <conditionalFormatting sqref="J150:U163">
    <cfRule type="expression" dxfId="120" priority="16">
      <formula>$I150="No"</formula>
    </cfRule>
  </conditionalFormatting>
  <conditionalFormatting sqref="J165:U178">
    <cfRule type="expression" dxfId="119" priority="15">
      <formula>$I165="No"</formula>
    </cfRule>
  </conditionalFormatting>
  <conditionalFormatting sqref="J180:U193">
    <cfRule type="expression" dxfId="118" priority="14">
      <formula>$I180="No"</formula>
    </cfRule>
  </conditionalFormatting>
  <conditionalFormatting sqref="J195:U208">
    <cfRule type="expression" dxfId="117" priority="63">
      <formula>$I195="No"</formula>
    </cfRule>
  </conditionalFormatting>
  <conditionalFormatting sqref="J259:U272">
    <cfRule type="expression" dxfId="116" priority="61">
      <formula>$I259="No"</formula>
    </cfRule>
  </conditionalFormatting>
  <conditionalFormatting sqref="J274:U287">
    <cfRule type="expression" dxfId="115" priority="59">
      <formula>$I274="No"</formula>
    </cfRule>
  </conditionalFormatting>
  <conditionalFormatting sqref="J289:U302">
    <cfRule type="expression" dxfId="114" priority="27">
      <formula>$I289="No"</formula>
    </cfRule>
  </conditionalFormatting>
  <conditionalFormatting sqref="J304:U317">
    <cfRule type="expression" dxfId="113" priority="17">
      <formula>$I304="No"</formula>
    </cfRule>
  </conditionalFormatting>
  <conditionalFormatting sqref="J319:U332">
    <cfRule type="expression" dxfId="112" priority="53">
      <formula>$I319="No"</formula>
    </cfRule>
  </conditionalFormatting>
  <conditionalFormatting sqref="Y304:AG317">
    <cfRule type="expression" dxfId="111" priority="25">
      <formula>$X304="No"</formula>
    </cfRule>
  </conditionalFormatting>
  <conditionalFormatting sqref="Y259:AJ272">
    <cfRule type="expression" dxfId="110" priority="52">
      <formula>$X259="No"</formula>
    </cfRule>
  </conditionalFormatting>
  <conditionalFormatting sqref="Y274:AJ287">
    <cfRule type="expression" dxfId="109" priority="51">
      <formula>$X274="No"</formula>
    </cfRule>
  </conditionalFormatting>
  <conditionalFormatting sqref="Y289:AJ302">
    <cfRule type="expression" dxfId="108" priority="50">
      <formula>$X289="No"</formula>
    </cfRule>
  </conditionalFormatting>
  <conditionalFormatting sqref="Y319:AJ332">
    <cfRule type="expression" dxfId="107" priority="48">
      <formula>$X319="No"</formula>
    </cfRule>
  </conditionalFormatting>
  <conditionalFormatting sqref="AH304:AJ315">
    <cfRule type="expression" dxfId="106" priority="5">
      <formula>$X304="No"</formula>
    </cfRule>
  </conditionalFormatting>
  <conditionalFormatting sqref="AH316:AJ317">
    <cfRule type="expression" dxfId="105" priority="6">
      <formula>$AZ316="No"</formula>
    </cfRule>
  </conditionalFormatting>
  <conditionalFormatting sqref="AM289:AU302">
    <cfRule type="expression" dxfId="104" priority="45">
      <formula>$AL289="No"</formula>
    </cfRule>
  </conditionalFormatting>
  <conditionalFormatting sqref="AM304:AU317">
    <cfRule type="expression" dxfId="103" priority="24">
      <formula>$AL304="No"</formula>
    </cfRule>
  </conditionalFormatting>
  <conditionalFormatting sqref="AM259:AX272">
    <cfRule type="expression" dxfId="102" priority="47">
      <formula>$AL259="No"</formula>
    </cfRule>
  </conditionalFormatting>
  <conditionalFormatting sqref="AM274:AX287">
    <cfRule type="expression" dxfId="101" priority="46">
      <formula>$AL274="No"</formula>
    </cfRule>
  </conditionalFormatting>
  <conditionalFormatting sqref="AM319:AX332">
    <cfRule type="expression" dxfId="100" priority="43">
      <formula>$AL319="No"</formula>
    </cfRule>
  </conditionalFormatting>
  <conditionalFormatting sqref="AV289:AX302">
    <cfRule type="expression" dxfId="99" priority="11">
      <formula>$X289="No"</formula>
    </cfRule>
  </conditionalFormatting>
  <conditionalFormatting sqref="AV304:AX315">
    <cfRule type="expression" dxfId="98" priority="7">
      <formula>$X304="No"</formula>
    </cfRule>
  </conditionalFormatting>
  <conditionalFormatting sqref="AV316:AX317">
    <cfRule type="expression" dxfId="97" priority="8">
      <formula>$AZ316="No"</formula>
    </cfRule>
  </conditionalFormatting>
  <conditionalFormatting sqref="BA304:BI315 BA316:BL317">
    <cfRule type="expression" dxfId="96" priority="34">
      <formula>$AZ304="No"</formula>
    </cfRule>
  </conditionalFormatting>
  <conditionalFormatting sqref="BA259:BL272">
    <cfRule type="expression" dxfId="95" priority="41">
      <formula>$AZ259="No"</formula>
    </cfRule>
  </conditionalFormatting>
  <conditionalFormatting sqref="BA274:BL287">
    <cfRule type="expression" dxfId="94" priority="38">
      <formula>$AZ274="No"</formula>
    </cfRule>
  </conditionalFormatting>
  <conditionalFormatting sqref="BA289:BL302">
    <cfRule type="expression" dxfId="93" priority="9">
      <formula>$AZ289="No"</formula>
    </cfRule>
  </conditionalFormatting>
  <conditionalFormatting sqref="BA319:BL332">
    <cfRule type="expression" dxfId="92" priority="32">
      <formula>$AZ319="No"</formula>
    </cfRule>
  </conditionalFormatting>
  <conditionalFormatting sqref="BJ304:BL315">
    <cfRule type="expression" dxfId="91" priority="20">
      <formula>$X304="No"</formula>
    </cfRule>
  </conditionalFormatting>
  <conditionalFormatting sqref="DP13:DP689">
    <cfRule type="expression" dxfId="90" priority="4">
      <formula>ISNA(DP13)</formula>
    </cfRule>
  </conditionalFormatting>
  <dataValidations count="14">
    <dataValidation type="list" allowBlank="1" showInputMessage="1" showErrorMessage="1" sqref="AM333:AM377 J13:J132 J135:J254 Y333:Y377 Q13:Q132 BA333:BA377 Q135:Q254 DA13:DA70 Q259:Q377 DA244:DA245 DA210:DA215 J259:J377" xr:uid="{1717C268-CEC7-4CA9-908E-0D141DB3714F}">
      <formula1>List_eff_endpoints</formula1>
    </dataValidation>
    <dataValidation type="list" allowBlank="1" showInputMessage="1" showErrorMessage="1" sqref="Z320:Z377 AN318 K60:K132 K261:K274 AN273 AN288 BB273 BB288 BB303 BB320:BB377 BB318 AN303 K13 K15:K28 AN320:AN377 K259 K306:K378 K30:K43 K45:K58 K276:K289 K291:K304 K135:K254" xr:uid="{82B9C462-15FA-4A50-A387-45BE59ABA0CE}">
      <formula1>List_eff_datasources</formula1>
    </dataValidation>
    <dataValidation type="list" allowBlank="1" showInputMessage="1" showErrorMessage="1" sqref="P240:P253 L274:L287 P274:P287 P289:P302 L118:L131 P334:P347 L13:L26 L28:L41 L259:L272 P58:P71 BG319:BG332 P88:P101 P103:P116 P118:P131 L349:L362 L135:L148 P150:P163 P225:P238 P210:P223 P43:P56 L73:L86 P364:P377 P13:P26 AA334:AA347 AA349:AA362 P349:P362 AA364:AA377 BC320:BC332 L150:L163 L58:L71 L165:L178 L195:L208 L240:L253 L225:L238 L210:L223 P73:P86 P28:P41 L88:L101 L103:L116 L364:L377 P259:P272 P135:P148 L180:L193 L289:L302 P319:P332 L334:L347 P165:P178 P195:P208 P180:P193 L319:L332 AA320:AA332 AE319:AE332 AS319:AS332 AO320:AO332 L43:L56 L304:L317 P304:P317" xr:uid="{EE9B11F7-5330-4134-92DC-33972EC5F17F}">
      <formula1>List_trials</formula1>
    </dataValidation>
    <dataValidation type="list" allowBlank="1" showInputMessage="1" showErrorMessage="1" sqref="R240:R253 R165:R178 R274:R287 R195:R208 R289:R302 R319:R332 R334:R347 R349:R362 AU364:AU377 R13:R26 R28:R41 R259:R272 R58:R71 R73:R86 R88:R101 R103:R116 R118:R131 BI349:BI362 R150:R163 R135:R148 R180:R193 R43:R56 R210:R223 R225:R238 AG364:AG377 AG259:AG272 AG274:AG287 AG289:AG302 AG304:AG317 AG319:AG332 AG334:AG347 AG349:AG362 R364:R377 AU259:AU272 AU274:AU287 AU289:AU302 AU304:AU317 AU319:AU332 AU334:AU347 AU349:AU362 BI364:BI377 BI259:BI272 BI274:BI287 BI289:BI302 BI304:BI317 BI319:BI332 BI334:BI347 R304:R317 DB244:DF245 DB210:DF215 DB13:DE70" xr:uid="{6F879FAE-4162-400E-B7C5-D61E7AC07344}">
      <formula1>List_para_curves</formula1>
    </dataValidation>
    <dataValidation type="list" allowBlank="1" showInputMessage="1" showErrorMessage="1" sqref="M364:M377 M13:M26 M28:M41 M43:M56 M58:M71 M88:M101 M103:M116 M118:M131 M73:M86 M150:M163 M165:M178 M180:M193 M195:M208 M210:M223 M225:M238 M240:M253 M135:M148 M274:M287 M289:M302 M259:M272 M319:M332 M334:M347 M349:M362 M304:M317" xr:uid="{9392168F-CF90-4A8B-A66A-44CC975A8863}">
      <formula1>List_pop</formula1>
    </dataValidation>
    <dataValidation type="list" allowBlank="1" showInputMessage="1" showErrorMessage="1" sqref="O364:O377 O73:O86 O13:O26 O28:O41 BF319:BF332 O88:O101 O103:O116 O118:O131 O259:O272 O58:O71 O319:O332 O150:O163 O165:O178 O210:O223 O225:O238 O240:O253 O43:O56 O195:O208 O135:O148 O274:O287 O289:O302 O334:O347 O349:O362 O180:O193 AD319:AD332 AR319:AR332 O304:O317 DG244:DG245 DG13:DG70 DG210:DG215" xr:uid="{37812415-4A7E-44CA-A477-A0504FBDB33C}">
      <formula1>List_comparators</formula1>
    </dataValidation>
    <dataValidation type="list" allowBlank="1" showInputMessage="1" showErrorMessage="1" sqref="N13:N26 N28:N41 N43:N56 N58:N71 N73:N86 N88:N101 N103:N116 N118:N131 N135:N148 N150:N163 N165:N178 BE364:BE377 BE334:BE347 N210:N223 N225:N238 N240:N253 BE319:BE332 N274:N287 N289:N302 BE274:BE287 N319:N332 N334:N347 N349:N362 N364:N377 AC259:AC272 AC274:AC287 AC289:AC302 AC304:AC317 AC319:AC332 AC334:AC347 AC349:AC362 AC364:AC377 AQ259:AQ272 AQ274:AQ287 AQ289:AQ302 AQ304:AQ317 AQ319:AQ332 AQ334:AQ347 AQ349:AQ362 AQ364:AQ377 BE349:BE362 N259:N272 BE259:BE272 N304:N317 BE304:BE317 N180:N193 N195:N208 BE289:BE302" xr:uid="{A1744BEC-F99D-463B-AC55-DABFB06D0019}">
      <formula1>List_txt_lines</formula1>
    </dataValidation>
    <dataValidation type="list" allowBlank="1" showInputMessage="1" showErrorMessage="1" sqref="AB259:AB272 AB274:AB287 AB289:AB302 AB304:AB317 AB319:AB332 AB334:AB347 AB349:AB362 AB364:AB377 AP259:AP272 AP274:AP287 AP289:AP302 AP304:AP317 AP319:AP332 AP334:AP347 AP349:AP362 AP364:AP377 BD259:BD272 BD364:BD377 BD289:BD302 BD304:BD317 BD319:BD332 BD334:BD347 BD349:BD362 BD274:BD287" xr:uid="{9C7E9B3A-735F-4E8D-AE2C-1BE61363EC44}">
      <formula1>List_pop</formula1>
      <formula2>0</formula2>
    </dataValidation>
    <dataValidation type="list" allowBlank="1" showInputMessage="1" showErrorMessage="1" sqref="AA259:AA272 AE259:AE272 BG259:BG272 BC274:BC287 BG304:BG317 AS349:AS362 BG364:BG377 AA274:AA287 AE274:AE287 AE289:AE302 AA319 AE334:AE347 AE349:AE362 AO364:AO377 AE364:AE377 AO349:AO362 AO274:AO287 AS274:AS287 AS289:AS302 BC334:BC347 AS334:AS347 AE304:AE317 AO259:AO272 AS259:AS272 AO289:AO302 AA304:AA317 AO319 AO334:AO347 AS364:AS377 BG349:BG362 BC364:BC377 BC349:BC362 BC259:BC272 BC289:BC302 BG289:BG302 BC319 BG334:BG347 AA289:AA302 AS304:AS317 BC304:BC317 BG274:BG287 AO304:AO317" xr:uid="{60914CC8-F4AF-4812-856A-75005E28F192}">
      <formula1>List_trials</formula1>
      <formula2>0</formula2>
    </dataValidation>
    <dataValidation type="list" allowBlank="1" showInputMessage="1" showErrorMessage="1" sqref="BB304:BB317 AN289:AN302 AN259:AN272 AN274:AN287 BB289:BB302 Z259:Z319 BB274:BB287 BB259:BB272 AN319 BB319 AN304:AN317" xr:uid="{C4BCDC18-B879-47A7-823A-263257D9AB31}">
      <formula1>List_eff_datasources</formula1>
      <formula2>0</formula2>
    </dataValidation>
    <dataValidation type="list" allowBlank="1" showInputMessage="1" showErrorMessage="1" sqref="AT259:AT332 AM259:AM332 AF349:AF362 AF334:AF347 AF364:AF377 BH364:BH377 AF259:AF332 AT349:AT362 AT334:AT347 AT364:AT377 BH259:BH332 Y259:Y332 BH349:BH362 BH334:BH347 BA259:BA332" xr:uid="{758FFAA4-1328-40AF-AA69-027AE7951C8E}">
      <formula1>List_eff_endpoints</formula1>
      <formula2>0</formula2>
    </dataValidation>
    <dataValidation type="list" allowBlank="1" showInputMessage="1" showErrorMessage="1" sqref="BF364:BF377 AD259:AD272 AD289:AD302 AD274:AD287 BF304:BF317 AD334:AD347 AD349:AD362 AD364:AD377 BF274:BF287 AR259:AR272 AR274:AR287 AR289:AR302 BF349:BF362 AR334:AR347 AR349:AR362 AR364:AR377 AD304:AD317 BF289:BF302 BF334:BF347 BF259:BF272 AR304:AR317" xr:uid="{0A6AC74F-918C-4936-BAA4-FAFA8AA0425D}">
      <formula1>List_comparators</formula1>
      <formula2>0</formula2>
    </dataValidation>
    <dataValidation type="list" allowBlank="1" showInputMessage="1" showErrorMessage="1" sqref="I199" xr:uid="{3B6C6FC9-71E0-4BBC-BDCA-FF122C1ED8A1}">
      <formula1>dd_incl_ave_plus_axi</formula1>
    </dataValidation>
    <dataValidation type="list" allowBlank="1" showInputMessage="1" showErrorMessage="1" sqref="DF13:DF70" xr:uid="{DD722D1C-EBA3-4AD5-861A-06CDF2B2C2DC}">
      <formula1>List_surv_cur_ext</formula1>
    </dataValidation>
  </dataValidations>
  <hyperlinks>
    <hyperlink ref="D2" location="'Navigation control'!A1" display="Navigation control" xr:uid="{9FB249B5-16E0-4D26-B157-CCE3E14C791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4EE70489-7C7B-4368-8427-F0F0DD5174BB}">
          <x14:formula1>
            <xm:f>Lists!$H$11:$H$12</xm:f>
          </x14:formula1>
          <x14:formula2>
            <xm:f>0</xm:f>
          </x14:formula2>
          <xm:sqref>X319:X377 I279:I292 I13:I16 I18:I31 I33:I46 I48:I61 AL319:AL377 I204:I254 I309:I377 I63:I132 I155:I168 I170:I183 I185:I196 I200:I202 I140:I153 AZ319:AZ377 I135:I138 I259:I262 I264:I277 X259:X272 X274:X287 X289:X302 X304:X317 AL259:AL272 AL274:AL287 AL289:AL302 AL304:AL317 AZ259:AZ272 AZ274:AZ287 AZ289:AZ302 AZ304:AZ317 I294:I307</xm:sqref>
        </x14:dataValidation>
        <x14:dataValidation type="list" allowBlank="1" showInputMessage="1" showErrorMessage="1" xr:uid="{C2F42735-0E3E-4B82-B312-50FE6714B46A}">
          <x14:formula1>
            <xm:f>INDIRECT(Lists!$W$9)</xm:f>
          </x14:formula1>
          <xm:sqref>K14 K29 K305 K290 K260 K275 K44 K59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F99CA"/>
  </sheetPr>
  <dimension ref="B1:N28"/>
  <sheetViews>
    <sheetView showGridLines="0" zoomScale="80" zoomScaleNormal="80" workbookViewId="0">
      <pane ySplit="5" topLeftCell="A6" activePane="bottomLeft" state="frozen"/>
      <selection pane="bottomLeft"/>
    </sheetView>
  </sheetViews>
  <sheetFormatPr defaultColWidth="8.5703125" defaultRowHeight="14.25" x14ac:dyDescent="0.2"/>
  <cols>
    <col min="1" max="9" width="8.5703125" style="58"/>
    <col min="10" max="10" width="20.28515625" style="58" customWidth="1"/>
    <col min="11" max="11" width="18.28515625" style="58" customWidth="1"/>
    <col min="12" max="13" width="20.28515625" style="58" customWidth="1"/>
    <col min="14" max="14" width="17.7109375" style="58" customWidth="1"/>
    <col min="15" max="15" width="19.5703125" style="58" customWidth="1"/>
    <col min="16" max="16384" width="8.5703125" style="58"/>
  </cols>
  <sheetData>
    <row r="1" spans="2:14" s="53" customFormat="1" ht="15" x14ac:dyDescent="0.2"/>
    <row r="2" spans="2:14" s="57" customFormat="1" ht="18" x14ac:dyDescent="0.25">
      <c r="B2" s="54"/>
      <c r="C2" s="55"/>
      <c r="D2" s="56" t="s">
        <v>11</v>
      </c>
      <c r="E2" s="55"/>
      <c r="F2" s="55"/>
      <c r="G2" s="54"/>
      <c r="H2" s="55"/>
      <c r="I2" s="55"/>
      <c r="J2" s="54"/>
      <c r="K2" s="55"/>
      <c r="L2" s="55"/>
      <c r="M2" s="54"/>
      <c r="N2" s="55"/>
    </row>
    <row r="3" spans="2:14" s="57" customFormat="1" ht="15.75" x14ac:dyDescent="0.25"/>
    <row r="8" spans="2:14" ht="45" x14ac:dyDescent="0.25">
      <c r="D8" s="60"/>
      <c r="J8" s="62" t="s">
        <v>618</v>
      </c>
      <c r="K8" s="62" t="s">
        <v>619</v>
      </c>
      <c r="L8" s="62" t="s">
        <v>620</v>
      </c>
      <c r="M8" s="62" t="s">
        <v>621</v>
      </c>
      <c r="N8" s="58" t="s">
        <v>162</v>
      </c>
    </row>
    <row r="9" spans="2:14" ht="15" x14ac:dyDescent="0.2">
      <c r="C9" s="534">
        <v>1</v>
      </c>
      <c r="D9" s="58" t="str" cm="1">
        <f t="array" ref="D9">INDEX(List_comparators,C9)</f>
        <v>nivolumab_monotherapy</v>
      </c>
      <c r="J9" s="64" t="s">
        <v>58</v>
      </c>
      <c r="K9" s="61"/>
      <c r="L9" s="61"/>
      <c r="M9" s="61"/>
    </row>
    <row r="10" spans="2:14" ht="15" x14ac:dyDescent="0.2">
      <c r="C10" s="534">
        <v>2</v>
      </c>
      <c r="D10" s="58" t="str" cm="1">
        <f t="array" ref="D10">INDEX(List_comparators,C10)</f>
        <v>cabozantinib_plus_nivolumab</v>
      </c>
      <c r="J10" s="561"/>
      <c r="K10" s="562"/>
      <c r="L10" s="562"/>
      <c r="M10" s="61"/>
    </row>
    <row r="11" spans="2:14" ht="15" x14ac:dyDescent="0.2">
      <c r="C11" s="534"/>
      <c r="D11" s="535" t="s">
        <v>118</v>
      </c>
      <c r="J11" s="64" t="s">
        <v>58</v>
      </c>
      <c r="K11" s="562"/>
      <c r="L11" s="562"/>
      <c r="M11" s="61"/>
    </row>
    <row r="12" spans="2:14" ht="15" x14ac:dyDescent="0.2">
      <c r="C12" s="534"/>
      <c r="D12" s="535" t="s">
        <v>312</v>
      </c>
      <c r="J12" s="64" t="s">
        <v>74</v>
      </c>
      <c r="K12" s="504">
        <f>24*i_mon_to_weeks</f>
        <v>104.35714285714286</v>
      </c>
      <c r="L12" s="1408">
        <v>10</v>
      </c>
      <c r="M12" s="1409">
        <v>0.1</v>
      </c>
      <c r="N12" s="58" t="s">
        <v>622</v>
      </c>
    </row>
    <row r="13" spans="2:14" ht="15" x14ac:dyDescent="0.2">
      <c r="C13" s="534">
        <v>3</v>
      </c>
      <c r="D13" s="58" t="str" cm="1">
        <f t="array" ref="D13">INDEX(List_comparators,C13)</f>
        <v>nivolumab_plus_ipilimumab</v>
      </c>
      <c r="J13" s="561"/>
      <c r="K13" s="61"/>
      <c r="L13" s="61"/>
      <c r="M13" s="61"/>
    </row>
    <row r="14" spans="2:14" ht="15" x14ac:dyDescent="0.2">
      <c r="C14" s="534"/>
      <c r="D14" s="535" t="s">
        <v>312</v>
      </c>
      <c r="J14" s="64" t="s">
        <v>58</v>
      </c>
      <c r="K14" s="562"/>
      <c r="L14" s="562"/>
      <c r="M14" s="562"/>
      <c r="N14" s="58" t="s">
        <v>623</v>
      </c>
    </row>
    <row r="15" spans="2:14" ht="15" x14ac:dyDescent="0.2">
      <c r="C15" s="534"/>
      <c r="D15" s="535" t="s">
        <v>290</v>
      </c>
      <c r="J15" s="64" t="s">
        <v>74</v>
      </c>
      <c r="K15" s="504">
        <v>12</v>
      </c>
      <c r="L15" s="504"/>
      <c r="M15" s="504"/>
      <c r="N15" s="58" t="s">
        <v>624</v>
      </c>
    </row>
    <row r="16" spans="2:14" ht="15" x14ac:dyDescent="0.2">
      <c r="C16" s="534">
        <v>4</v>
      </c>
      <c r="D16" s="58" t="str" cm="1">
        <f t="array" ref="D16">INDEX(List_comparators,C16)</f>
        <v>lenvatinib_plus_pembrolizumab</v>
      </c>
      <c r="J16" s="561"/>
      <c r="K16" s="61"/>
      <c r="L16" s="61"/>
      <c r="M16" s="61"/>
    </row>
    <row r="17" spans="3:14" ht="15" x14ac:dyDescent="0.2">
      <c r="C17" s="534"/>
      <c r="D17" s="535" t="s">
        <v>301</v>
      </c>
      <c r="J17" s="64" t="s">
        <v>58</v>
      </c>
      <c r="K17" s="61"/>
      <c r="L17" s="61"/>
      <c r="M17" s="61"/>
    </row>
    <row r="18" spans="3:14" ht="15" x14ac:dyDescent="0.2">
      <c r="C18" s="534"/>
      <c r="D18" s="535" t="s">
        <v>294</v>
      </c>
      <c r="J18" s="64" t="s">
        <v>74</v>
      </c>
      <c r="K18" s="504">
        <f>35*3</f>
        <v>105</v>
      </c>
      <c r="L18" s="504">
        <f>(17*i_mon_to_weeks)/'Resource use and costs'!AA23</f>
        <v>12.319940476190476</v>
      </c>
      <c r="M18" s="685">
        <f>L18*i_SE_util</f>
        <v>1.2319940476190476</v>
      </c>
      <c r="N18" s="58" t="s">
        <v>625</v>
      </c>
    </row>
    <row r="19" spans="3:14" ht="15" x14ac:dyDescent="0.2">
      <c r="C19" s="534">
        <v>5</v>
      </c>
      <c r="D19" s="58" t="str" cm="1">
        <f t="array" ref="D19">INDEX(List_comparators,C19)</f>
        <v>avelumab_plus_axitinib</v>
      </c>
      <c r="J19" s="64" t="s">
        <v>58</v>
      </c>
      <c r="K19" s="61"/>
      <c r="L19" s="61"/>
      <c r="M19" s="61"/>
    </row>
    <row r="20" spans="3:14" ht="15" x14ac:dyDescent="0.2">
      <c r="C20" s="534">
        <v>6</v>
      </c>
      <c r="D20" s="58" t="str" cm="1">
        <f t="array" ref="D20">INDEX(List_comparators,C20)</f>
        <v>pazopanib</v>
      </c>
      <c r="J20" s="64" t="s">
        <v>58</v>
      </c>
      <c r="K20" s="61"/>
      <c r="L20" s="61"/>
      <c r="M20" s="61"/>
    </row>
    <row r="21" spans="3:14" ht="15" x14ac:dyDescent="0.2">
      <c r="C21" s="534">
        <v>7</v>
      </c>
      <c r="D21" s="58" t="str" cm="1">
        <f t="array" ref="D21">INDEX(List_comparators,C21)</f>
        <v>tivozanib</v>
      </c>
      <c r="J21" s="64" t="s">
        <v>58</v>
      </c>
      <c r="K21" s="61"/>
      <c r="L21" s="61"/>
      <c r="M21" s="61"/>
    </row>
    <row r="22" spans="3:14" ht="15" x14ac:dyDescent="0.2">
      <c r="C22" s="534">
        <v>8</v>
      </c>
      <c r="D22" s="58" t="str" cm="1">
        <f t="array" ref="D22">INDEX(List_comparators,C22)</f>
        <v>sunitinib</v>
      </c>
      <c r="J22" s="64" t="s">
        <v>58</v>
      </c>
      <c r="K22" s="562"/>
      <c r="L22" s="562"/>
      <c r="M22" s="61"/>
    </row>
    <row r="23" spans="3:14" ht="15" x14ac:dyDescent="0.2">
      <c r="C23" s="534">
        <v>9</v>
      </c>
      <c r="D23" s="58" t="str" cm="1">
        <f t="array" ref="D23">INDEX(List_comparators,C23)</f>
        <v>cabozantinib</v>
      </c>
      <c r="J23" s="64" t="s">
        <v>58</v>
      </c>
      <c r="K23" s="61"/>
      <c r="L23" s="61"/>
      <c r="M23" s="61"/>
    </row>
    <row r="24" spans="3:14" ht="15" x14ac:dyDescent="0.2">
      <c r="C24" s="534">
        <v>10</v>
      </c>
      <c r="D24" s="58" t="str" cm="1">
        <f t="array" ref="D24">INDEX(List_comparators,C24)</f>
        <v>lenvatinib_plus_everolimus</v>
      </c>
      <c r="J24" s="64" t="s">
        <v>58</v>
      </c>
      <c r="K24" s="61"/>
      <c r="L24" s="61"/>
      <c r="M24" s="61"/>
    </row>
    <row r="25" spans="3:14" ht="15" x14ac:dyDescent="0.2">
      <c r="C25" s="534">
        <v>11</v>
      </c>
      <c r="D25" s="58" t="str" cm="1">
        <f t="array" ref="D25">INDEX(List_comparators,C25)</f>
        <v>everolimus</v>
      </c>
      <c r="J25" s="64" t="s">
        <v>58</v>
      </c>
      <c r="K25" s="61"/>
      <c r="L25" s="61"/>
      <c r="M25" s="61"/>
    </row>
    <row r="26" spans="3:14" ht="15" x14ac:dyDescent="0.2">
      <c r="C26" s="534">
        <v>12</v>
      </c>
      <c r="D26" s="58" t="str" cm="1">
        <f t="array" ref="D26">INDEX(List_comparators,C26)</f>
        <v>axitinib</v>
      </c>
      <c r="J26" s="64" t="s">
        <v>58</v>
      </c>
      <c r="K26" s="61"/>
      <c r="L26" s="61"/>
      <c r="M26" s="61"/>
    </row>
    <row r="27" spans="3:14" ht="15" x14ac:dyDescent="0.2">
      <c r="C27" s="534">
        <v>13</v>
      </c>
      <c r="D27" s="58" t="str" cm="1">
        <f t="array" ref="D27">INDEX(List_comparators,C27)</f>
        <v>sorafenib</v>
      </c>
      <c r="J27" s="64" t="s">
        <v>58</v>
      </c>
      <c r="K27" s="61"/>
      <c r="L27" s="61"/>
      <c r="M27" s="61"/>
    </row>
    <row r="28" spans="3:14" ht="15" x14ac:dyDescent="0.2">
      <c r="C28" s="534">
        <v>14</v>
      </c>
      <c r="D28" s="58" t="str" cm="1">
        <f t="array" ref="D28">INDEX(List_comparators,C28)</f>
        <v>placebo_BSC</v>
      </c>
      <c r="J28" s="64" t="s">
        <v>58</v>
      </c>
      <c r="K28" s="61"/>
      <c r="L28" s="61"/>
      <c r="M28" s="61"/>
    </row>
  </sheetData>
  <hyperlinks>
    <hyperlink ref="D2" location="'Navigation control'!A1" display="Navigation control" xr:uid="{0BC4BC4C-AFD2-4446-AFF3-C2952CF45F9D}"/>
  </hyperlinks>
  <pageMargins left="0.7" right="0.7" top="0.75" bottom="0.75"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7D40316F-6D9B-4AA7-B687-6FF00FA86028}">
          <x14:formula1>
            <xm:f>Lists!$H$11:$H$12</xm:f>
          </x14:formula1>
          <x14:formula2>
            <xm:f>0</xm:f>
          </x14:formula2>
          <xm:sqref>J9:J28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F99CA"/>
  </sheetPr>
  <dimension ref="B1:X113"/>
  <sheetViews>
    <sheetView showGridLines="0" zoomScale="80" zoomScaleNormal="80" workbookViewId="0">
      <selection activeCell="M19" sqref="M19"/>
    </sheetView>
  </sheetViews>
  <sheetFormatPr defaultColWidth="8.5703125" defaultRowHeight="15" x14ac:dyDescent="0.25"/>
  <cols>
    <col min="4" max="4" width="9" customWidth="1"/>
    <col min="5" max="5" width="11.28515625" customWidth="1"/>
    <col min="6" max="6" width="13.28515625" customWidth="1"/>
    <col min="7" max="9" width="9" customWidth="1"/>
    <col min="11" max="11" width="9" customWidth="1"/>
    <col min="12" max="13" width="11" customWidth="1"/>
    <col min="14" max="16" width="9" customWidth="1"/>
  </cols>
  <sheetData>
    <row r="1" spans="2:24" s="37" customFormat="1" x14ac:dyDescent="0.2"/>
    <row r="2" spans="2:24" s="41" customFormat="1" ht="18" x14ac:dyDescent="0.25">
      <c r="B2" s="38"/>
      <c r="C2" s="39"/>
      <c r="D2" s="40" t="s">
        <v>11</v>
      </c>
      <c r="E2" s="39"/>
      <c r="F2" s="39"/>
      <c r="G2" s="38"/>
      <c r="H2" s="39"/>
      <c r="I2" s="39"/>
      <c r="J2" s="38"/>
      <c r="K2" s="39"/>
      <c r="L2" s="39"/>
      <c r="M2" s="38"/>
      <c r="N2" s="39"/>
      <c r="O2" s="38"/>
      <c r="P2" s="38"/>
      <c r="Q2" s="39"/>
      <c r="R2" s="39"/>
      <c r="S2" s="38"/>
      <c r="T2" s="39"/>
    </row>
    <row r="3" spans="2:24" s="41" customFormat="1" ht="15.75" x14ac:dyDescent="0.25"/>
    <row r="9" spans="2:24" ht="15.75" x14ac:dyDescent="0.25">
      <c r="D9" s="12" t="s">
        <v>626</v>
      </c>
      <c r="E9" s="6"/>
      <c r="F9" s="6"/>
      <c r="G9" s="6"/>
      <c r="H9" s="6"/>
      <c r="I9" s="6"/>
      <c r="J9" s="6"/>
      <c r="K9" s="6"/>
      <c r="L9" s="6"/>
      <c r="M9" s="6"/>
      <c r="N9" s="6"/>
      <c r="O9" s="6"/>
      <c r="P9" s="6"/>
      <c r="Q9" s="6"/>
      <c r="X9" t="s">
        <v>162</v>
      </c>
    </row>
    <row r="10" spans="2:24" ht="15.75" x14ac:dyDescent="0.25">
      <c r="D10" s="6"/>
      <c r="E10" s="6"/>
      <c r="F10" s="6"/>
      <c r="G10" s="6"/>
      <c r="H10" s="6"/>
      <c r="I10" s="6"/>
      <c r="J10" s="6"/>
      <c r="K10" s="6"/>
      <c r="L10" s="6"/>
      <c r="M10" s="6"/>
      <c r="N10" s="6"/>
      <c r="O10" s="6"/>
      <c r="P10" s="6"/>
      <c r="Q10" s="6"/>
    </row>
    <row r="11" spans="2:24" ht="15.75" x14ac:dyDescent="0.25">
      <c r="D11" s="6" t="s">
        <v>627</v>
      </c>
      <c r="E11" s="6"/>
      <c r="F11" s="6"/>
      <c r="G11" s="6"/>
      <c r="H11" s="6"/>
      <c r="I11" s="6"/>
      <c r="J11" s="6"/>
      <c r="K11" s="6"/>
      <c r="L11" s="6"/>
      <c r="M11" s="6"/>
      <c r="N11" s="6"/>
      <c r="O11" s="6"/>
      <c r="P11" s="6"/>
      <c r="Q11" s="6"/>
      <c r="X11" s="88" t="s">
        <v>628</v>
      </c>
    </row>
    <row r="12" spans="2:24" ht="15.75" x14ac:dyDescent="0.25">
      <c r="D12" s="3" t="s">
        <v>629</v>
      </c>
      <c r="E12" s="3" t="s">
        <v>630</v>
      </c>
      <c r="F12" s="3" t="s">
        <v>631</v>
      </c>
      <c r="G12" s="1"/>
      <c r="H12" s="1"/>
      <c r="I12" s="1"/>
      <c r="J12" s="6"/>
      <c r="K12" s="1"/>
      <c r="L12" s="1"/>
      <c r="M12" s="1"/>
      <c r="N12" s="1"/>
      <c r="O12" s="1"/>
      <c r="P12" s="1"/>
      <c r="Q12" s="6"/>
    </row>
    <row r="13" spans="2:24" ht="15.75" x14ac:dyDescent="0.25">
      <c r="D13" s="3">
        <v>0</v>
      </c>
      <c r="E13" s="3">
        <v>4.2240000000000003E-3</v>
      </c>
      <c r="F13" s="3">
        <v>3.503E-3</v>
      </c>
      <c r="G13" s="1"/>
      <c r="H13" s="1"/>
      <c r="I13" s="1"/>
      <c r="J13" s="6"/>
      <c r="K13" s="1"/>
      <c r="L13" s="1"/>
      <c r="M13" s="1"/>
      <c r="N13" s="1"/>
      <c r="O13" s="1"/>
      <c r="P13" s="1"/>
      <c r="Q13" s="6"/>
    </row>
    <row r="14" spans="2:24" ht="15.75" x14ac:dyDescent="0.25">
      <c r="D14" s="3">
        <v>1</v>
      </c>
      <c r="E14" s="3">
        <v>2.2900000000000001E-4</v>
      </c>
      <c r="F14" s="3">
        <v>2.14E-4</v>
      </c>
      <c r="G14" s="1"/>
      <c r="H14" s="1"/>
      <c r="I14" s="1"/>
      <c r="J14" s="6"/>
      <c r="K14" s="1"/>
      <c r="L14" s="1"/>
      <c r="M14" s="1"/>
      <c r="N14" s="1"/>
      <c r="O14" s="1"/>
      <c r="P14" s="1"/>
      <c r="Q14" s="6"/>
    </row>
    <row r="15" spans="2:24" ht="15.75" x14ac:dyDescent="0.25">
      <c r="D15" s="3">
        <v>2</v>
      </c>
      <c r="E15" s="3">
        <v>1.27E-4</v>
      </c>
      <c r="F15" s="3">
        <v>1.1400000000000001E-4</v>
      </c>
      <c r="G15" s="1"/>
      <c r="H15" s="1"/>
      <c r="I15" s="1"/>
      <c r="J15" s="6"/>
      <c r="K15" s="1"/>
      <c r="L15" s="1"/>
      <c r="M15" s="1"/>
      <c r="N15" s="1"/>
      <c r="O15" s="1"/>
      <c r="P15" s="1"/>
      <c r="Q15" s="6"/>
    </row>
    <row r="16" spans="2:24" ht="15.75" x14ac:dyDescent="0.25">
      <c r="D16" s="3">
        <v>3</v>
      </c>
      <c r="E16" s="3">
        <v>1.02E-4</v>
      </c>
      <c r="F16" s="3">
        <v>9.5000000000000005E-5</v>
      </c>
      <c r="G16" s="1"/>
      <c r="H16" s="1"/>
      <c r="I16" s="1"/>
      <c r="J16" s="6"/>
      <c r="K16" s="1"/>
      <c r="L16" s="1"/>
      <c r="M16" s="1"/>
      <c r="N16" s="1"/>
      <c r="O16" s="1"/>
      <c r="P16" s="1"/>
      <c r="Q16" s="6"/>
    </row>
    <row r="17" spans="4:17" ht="15.75" x14ac:dyDescent="0.25">
      <c r="D17" s="3">
        <v>4</v>
      </c>
      <c r="E17" s="3">
        <v>8.6000000000000003E-5</v>
      </c>
      <c r="F17" s="3">
        <v>6.3999999999999997E-5</v>
      </c>
      <c r="G17" s="1"/>
      <c r="H17" s="1"/>
      <c r="I17" s="1"/>
      <c r="J17" s="6"/>
      <c r="K17" s="1"/>
      <c r="L17" s="1"/>
      <c r="M17" s="1"/>
      <c r="N17" s="1"/>
      <c r="O17" s="1"/>
      <c r="P17" s="1"/>
      <c r="Q17" s="6"/>
    </row>
    <row r="18" spans="4:17" ht="15.75" x14ac:dyDescent="0.25">
      <c r="D18" s="3">
        <v>5</v>
      </c>
      <c r="E18" s="3">
        <v>7.3999999999999996E-5</v>
      </c>
      <c r="F18" s="3">
        <v>7.3999999999999996E-5</v>
      </c>
      <c r="G18" s="1"/>
      <c r="H18" s="1"/>
      <c r="I18" s="1"/>
      <c r="J18" s="6"/>
      <c r="K18" s="1"/>
      <c r="L18" s="1"/>
      <c r="M18" s="1"/>
      <c r="N18" s="1"/>
      <c r="O18" s="1"/>
      <c r="P18" s="1"/>
      <c r="Q18" s="6"/>
    </row>
    <row r="19" spans="4:17" ht="15.75" x14ac:dyDescent="0.25">
      <c r="D19" s="3">
        <v>6</v>
      </c>
      <c r="E19" s="3">
        <v>8.5000000000000006E-5</v>
      </c>
      <c r="F19" s="3">
        <v>7.1000000000000005E-5</v>
      </c>
      <c r="G19" s="1"/>
      <c r="H19" s="1"/>
      <c r="I19" s="1"/>
      <c r="J19" s="6"/>
      <c r="K19" s="1"/>
      <c r="L19" s="1"/>
      <c r="M19" s="1"/>
      <c r="N19" s="1"/>
      <c r="O19" s="1"/>
      <c r="P19" s="1"/>
      <c r="Q19" s="6"/>
    </row>
    <row r="20" spans="4:17" ht="15.75" x14ac:dyDescent="0.25">
      <c r="D20" s="3">
        <v>7</v>
      </c>
      <c r="E20" s="3">
        <v>6.7000000000000002E-5</v>
      </c>
      <c r="F20" s="3">
        <v>5.5000000000000002E-5</v>
      </c>
      <c r="G20" s="1"/>
      <c r="H20" s="1"/>
      <c r="I20" s="1"/>
      <c r="J20" s="6"/>
      <c r="K20" s="1"/>
      <c r="L20" s="1"/>
      <c r="M20" s="1"/>
      <c r="N20" s="1"/>
      <c r="O20" s="1"/>
      <c r="P20" s="1"/>
      <c r="Q20" s="6"/>
    </row>
    <row r="21" spans="4:17" ht="15.75" x14ac:dyDescent="0.25">
      <c r="D21" s="3">
        <v>8</v>
      </c>
      <c r="E21" s="3">
        <v>6.8999999999999997E-5</v>
      </c>
      <c r="F21" s="3">
        <v>5.8E-5</v>
      </c>
      <c r="G21" s="1"/>
      <c r="H21" s="1"/>
      <c r="I21" s="1"/>
      <c r="J21" s="6"/>
      <c r="K21" s="1"/>
      <c r="L21" s="1"/>
      <c r="M21" s="1"/>
      <c r="N21" s="1"/>
      <c r="O21" s="1"/>
      <c r="P21" s="1"/>
      <c r="Q21" s="6"/>
    </row>
    <row r="22" spans="4:17" ht="15.75" x14ac:dyDescent="0.25">
      <c r="D22" s="3">
        <v>9</v>
      </c>
      <c r="E22" s="3">
        <v>6.0000000000000002E-5</v>
      </c>
      <c r="F22" s="3">
        <v>5.1E-5</v>
      </c>
      <c r="G22" s="1"/>
      <c r="H22" s="1"/>
      <c r="I22" s="1"/>
      <c r="J22" s="6"/>
      <c r="K22" s="1"/>
      <c r="L22" s="1"/>
      <c r="M22" s="1"/>
      <c r="N22" s="1"/>
      <c r="O22" s="1"/>
      <c r="P22" s="1"/>
      <c r="Q22" s="6"/>
    </row>
    <row r="23" spans="4:17" ht="15.75" x14ac:dyDescent="0.25">
      <c r="D23" s="3">
        <v>10</v>
      </c>
      <c r="E23" s="3">
        <v>7.7999999999999999E-5</v>
      </c>
      <c r="F23" s="3">
        <v>6.6000000000000005E-5</v>
      </c>
      <c r="G23" s="1"/>
      <c r="H23" s="1"/>
      <c r="I23" s="1"/>
      <c r="J23" s="6"/>
      <c r="K23" s="1"/>
      <c r="L23" s="1"/>
      <c r="M23" s="1"/>
      <c r="N23" s="1"/>
      <c r="O23" s="1"/>
      <c r="P23" s="1"/>
      <c r="Q23" s="6"/>
    </row>
    <row r="24" spans="4:17" ht="15.75" x14ac:dyDescent="0.25">
      <c r="D24" s="3">
        <v>11</v>
      </c>
      <c r="E24" s="3">
        <v>7.7000000000000001E-5</v>
      </c>
      <c r="F24" s="3">
        <v>5.5000000000000002E-5</v>
      </c>
      <c r="G24" s="1"/>
      <c r="H24" s="1"/>
      <c r="I24" s="1"/>
      <c r="J24" s="6"/>
      <c r="K24" s="1"/>
      <c r="L24" s="1"/>
      <c r="M24" s="1"/>
      <c r="N24" s="1"/>
      <c r="O24" s="1"/>
      <c r="P24" s="1"/>
      <c r="Q24" s="6"/>
    </row>
    <row r="25" spans="4:17" ht="15.75" x14ac:dyDescent="0.25">
      <c r="D25" s="3">
        <v>12</v>
      </c>
      <c r="E25" s="3">
        <v>1.02E-4</v>
      </c>
      <c r="F25" s="3">
        <v>5.7000000000000003E-5</v>
      </c>
      <c r="G25" s="1"/>
      <c r="H25" s="1"/>
      <c r="I25" s="1"/>
      <c r="J25" s="6"/>
      <c r="K25" s="1"/>
      <c r="L25" s="1"/>
      <c r="M25" s="1"/>
      <c r="N25" s="1"/>
      <c r="O25" s="1"/>
      <c r="P25" s="1"/>
      <c r="Q25" s="6"/>
    </row>
    <row r="26" spans="4:17" ht="15.75" x14ac:dyDescent="0.25">
      <c r="D26" s="3">
        <v>13</v>
      </c>
      <c r="E26" s="3">
        <v>1.16E-4</v>
      </c>
      <c r="F26" s="3">
        <v>8.7000000000000001E-5</v>
      </c>
      <c r="G26" s="1"/>
      <c r="H26" s="1"/>
      <c r="I26" s="1"/>
      <c r="J26" s="6"/>
      <c r="K26" s="1"/>
      <c r="L26" s="1"/>
      <c r="M26" s="1"/>
      <c r="N26" s="1"/>
      <c r="O26" s="1"/>
      <c r="P26" s="1"/>
      <c r="Q26" s="6"/>
    </row>
    <row r="27" spans="4:17" ht="15.75" x14ac:dyDescent="0.25">
      <c r="D27" s="3">
        <v>14</v>
      </c>
      <c r="E27" s="3">
        <v>1.2899999999999999E-4</v>
      </c>
      <c r="F27" s="3">
        <v>9.6000000000000002E-5</v>
      </c>
      <c r="G27" s="1"/>
      <c r="H27" s="1"/>
      <c r="I27" s="1"/>
      <c r="J27" s="6"/>
      <c r="K27" s="1"/>
      <c r="L27" s="1"/>
      <c r="M27" s="1"/>
      <c r="N27" s="1"/>
      <c r="O27" s="1"/>
      <c r="P27" s="1"/>
      <c r="Q27" s="6"/>
    </row>
    <row r="28" spans="4:17" ht="15.75" x14ac:dyDescent="0.25">
      <c r="D28" s="3">
        <v>15</v>
      </c>
      <c r="E28" s="3">
        <v>1.7200000000000001E-4</v>
      </c>
      <c r="F28" s="3">
        <v>1.13E-4</v>
      </c>
      <c r="G28" s="1"/>
      <c r="H28" s="1"/>
      <c r="I28" s="1"/>
      <c r="J28" s="6"/>
      <c r="K28" s="1"/>
      <c r="L28" s="1"/>
      <c r="M28" s="1"/>
      <c r="N28" s="1"/>
      <c r="O28" s="1"/>
      <c r="P28" s="1"/>
      <c r="Q28" s="6"/>
    </row>
    <row r="29" spans="4:17" ht="15.75" x14ac:dyDescent="0.25">
      <c r="D29" s="3">
        <v>16</v>
      </c>
      <c r="E29" s="3">
        <v>2.05E-4</v>
      </c>
      <c r="F29" s="3">
        <v>1.3100000000000001E-4</v>
      </c>
      <c r="G29" s="1"/>
      <c r="H29" s="1"/>
      <c r="I29" s="1"/>
      <c r="J29" s="6"/>
      <c r="K29" s="1"/>
      <c r="L29" s="1"/>
      <c r="M29" s="1"/>
      <c r="N29" s="1"/>
      <c r="O29" s="1"/>
      <c r="P29" s="1"/>
      <c r="Q29" s="6"/>
    </row>
    <row r="30" spans="4:17" ht="15.75" x14ac:dyDescent="0.25">
      <c r="D30" s="3">
        <v>17</v>
      </c>
      <c r="E30" s="3">
        <v>3.1100000000000002E-4</v>
      </c>
      <c r="F30" s="3">
        <v>1.5799999999999999E-4</v>
      </c>
      <c r="G30" s="1"/>
      <c r="H30" s="1"/>
      <c r="I30" s="1"/>
      <c r="J30" s="6"/>
      <c r="K30" s="1"/>
      <c r="L30" s="1"/>
      <c r="M30" s="1"/>
      <c r="N30" s="1"/>
      <c r="O30" s="1"/>
      <c r="P30" s="1"/>
      <c r="Q30" s="6"/>
    </row>
    <row r="31" spans="4:17" ht="15.75" x14ac:dyDescent="0.25">
      <c r="D31" s="3">
        <v>18</v>
      </c>
      <c r="E31" s="3">
        <v>4.0200000000000001E-4</v>
      </c>
      <c r="F31" s="3">
        <v>2.1800000000000001E-4</v>
      </c>
      <c r="G31" s="1"/>
      <c r="H31" s="1"/>
      <c r="I31" s="1"/>
      <c r="J31" s="6"/>
      <c r="K31" s="1"/>
      <c r="L31" s="1"/>
      <c r="M31" s="1"/>
      <c r="N31" s="1"/>
      <c r="O31" s="1"/>
      <c r="P31" s="1"/>
      <c r="Q31" s="6"/>
    </row>
    <row r="32" spans="4:17" ht="15.75" x14ac:dyDescent="0.25">
      <c r="D32" s="3">
        <v>19</v>
      </c>
      <c r="E32" s="3">
        <v>4.5399999999999998E-4</v>
      </c>
      <c r="F32" s="3">
        <v>2.12E-4</v>
      </c>
      <c r="G32" s="1"/>
      <c r="H32" s="1"/>
      <c r="I32" s="1"/>
      <c r="J32" s="6"/>
      <c r="K32" s="1"/>
      <c r="L32" s="1"/>
      <c r="M32" s="1"/>
      <c r="N32" s="1"/>
      <c r="O32" s="1"/>
      <c r="P32" s="1"/>
      <c r="Q32" s="6"/>
    </row>
    <row r="33" spans="4:17" ht="15.75" x14ac:dyDescent="0.25">
      <c r="D33" s="3">
        <v>20</v>
      </c>
      <c r="E33" s="3">
        <v>5.2499999999999997E-4</v>
      </c>
      <c r="F33" s="3">
        <v>1.8699999999999999E-4</v>
      </c>
      <c r="G33" s="1"/>
      <c r="H33" s="1"/>
      <c r="I33" s="1"/>
      <c r="J33" s="6"/>
      <c r="K33" s="1"/>
      <c r="L33" s="1"/>
      <c r="M33" s="1"/>
      <c r="N33" s="1"/>
      <c r="O33" s="1"/>
      <c r="P33" s="1"/>
      <c r="Q33" s="6"/>
    </row>
    <row r="34" spans="4:17" ht="15.75" x14ac:dyDescent="0.25">
      <c r="D34" s="3">
        <v>21</v>
      </c>
      <c r="E34" s="3">
        <v>5.0699999999999996E-4</v>
      </c>
      <c r="F34" s="3">
        <v>2.1100000000000001E-4</v>
      </c>
      <c r="G34" s="1"/>
      <c r="H34" s="1"/>
      <c r="I34" s="1"/>
      <c r="J34" s="6"/>
      <c r="K34" s="1"/>
      <c r="L34" s="1"/>
      <c r="M34" s="1"/>
      <c r="N34" s="1"/>
      <c r="O34" s="1"/>
      <c r="P34" s="1"/>
      <c r="Q34" s="6"/>
    </row>
    <row r="35" spans="4:17" ht="15.75" x14ac:dyDescent="0.25">
      <c r="D35" s="3">
        <v>22</v>
      </c>
      <c r="E35" s="3">
        <v>4.9700000000000005E-4</v>
      </c>
      <c r="F35" s="3">
        <v>2.4499999999999999E-4</v>
      </c>
      <c r="G35" s="1"/>
      <c r="H35" s="1"/>
      <c r="I35" s="1"/>
      <c r="J35" s="6"/>
      <c r="K35" s="1"/>
      <c r="L35" s="1"/>
      <c r="M35" s="1"/>
      <c r="N35" s="1"/>
      <c r="O35" s="1"/>
      <c r="P35" s="1"/>
      <c r="Q35" s="6"/>
    </row>
    <row r="36" spans="4:17" ht="15.75" x14ac:dyDescent="0.25">
      <c r="D36" s="3">
        <v>23</v>
      </c>
      <c r="E36" s="3">
        <v>5.2400000000000005E-4</v>
      </c>
      <c r="F36" s="3">
        <v>2.1499999999999999E-4</v>
      </c>
      <c r="G36" s="1"/>
      <c r="H36" s="1"/>
      <c r="I36" s="1"/>
      <c r="J36" s="6"/>
      <c r="K36" s="1"/>
      <c r="L36" s="1"/>
      <c r="M36" s="1"/>
      <c r="N36" s="1"/>
      <c r="O36" s="1"/>
      <c r="P36" s="1"/>
      <c r="Q36" s="6"/>
    </row>
    <row r="37" spans="4:17" ht="15.75" x14ac:dyDescent="0.25">
      <c r="D37" s="3">
        <v>24</v>
      </c>
      <c r="E37" s="3">
        <v>5.5599999999999996E-4</v>
      </c>
      <c r="F37" s="3">
        <v>2.23E-4</v>
      </c>
      <c r="G37" s="1"/>
      <c r="H37" s="1"/>
      <c r="I37" s="1"/>
      <c r="J37" s="6"/>
      <c r="K37" s="1"/>
      <c r="L37" s="1"/>
      <c r="M37" s="1"/>
      <c r="N37" s="1"/>
      <c r="O37" s="1"/>
      <c r="P37" s="1"/>
      <c r="Q37" s="6"/>
    </row>
    <row r="38" spans="4:17" ht="15.75" x14ac:dyDescent="0.25">
      <c r="D38" s="3">
        <v>25</v>
      </c>
      <c r="E38" s="3">
        <v>6.0099999999999997E-4</v>
      </c>
      <c r="F38" s="3">
        <v>2.5999999999999998E-4</v>
      </c>
      <c r="G38" s="1"/>
      <c r="H38" s="1"/>
      <c r="I38" s="1"/>
      <c r="J38" s="6"/>
      <c r="K38" s="1"/>
      <c r="L38" s="1"/>
      <c r="M38" s="1"/>
      <c r="N38" s="1"/>
      <c r="O38" s="1"/>
      <c r="P38" s="1"/>
      <c r="Q38" s="6"/>
    </row>
    <row r="39" spans="4:17" ht="15.75" x14ac:dyDescent="0.25">
      <c r="D39" s="3">
        <v>26</v>
      </c>
      <c r="E39" s="3">
        <v>6.0700000000000001E-4</v>
      </c>
      <c r="F39" s="3">
        <v>2.5700000000000001E-4</v>
      </c>
      <c r="G39" s="1"/>
      <c r="H39" s="1"/>
      <c r="I39" s="1"/>
      <c r="J39" s="6"/>
      <c r="K39" s="1"/>
      <c r="L39" s="1"/>
      <c r="M39" s="1"/>
      <c r="N39" s="1"/>
      <c r="O39" s="1"/>
      <c r="P39" s="1"/>
      <c r="Q39" s="6"/>
    </row>
    <row r="40" spans="4:17" ht="15.75" x14ac:dyDescent="0.25">
      <c r="D40" s="3">
        <v>27</v>
      </c>
      <c r="E40" s="3">
        <v>6.29E-4</v>
      </c>
      <c r="F40" s="3">
        <v>3.1E-4</v>
      </c>
      <c r="G40" s="1"/>
      <c r="H40" s="1"/>
      <c r="I40" s="1"/>
      <c r="J40" s="6"/>
      <c r="K40" s="1"/>
      <c r="L40" s="1"/>
      <c r="M40" s="1"/>
      <c r="N40" s="1"/>
      <c r="O40" s="1"/>
      <c r="P40" s="1"/>
      <c r="Q40" s="6"/>
    </row>
    <row r="41" spans="4:17" ht="15.75" x14ac:dyDescent="0.25">
      <c r="D41" s="3">
        <v>28</v>
      </c>
      <c r="E41" s="3">
        <v>6.8099999999999996E-4</v>
      </c>
      <c r="F41" s="3">
        <v>3.1399999999999999E-4</v>
      </c>
      <c r="G41" s="1"/>
      <c r="H41" s="1"/>
      <c r="I41" s="1"/>
      <c r="J41" s="6"/>
      <c r="K41" s="1"/>
      <c r="L41" s="1"/>
      <c r="M41" s="1"/>
      <c r="N41" s="1"/>
      <c r="O41" s="1"/>
      <c r="P41" s="1"/>
      <c r="Q41" s="6"/>
    </row>
    <row r="42" spans="4:17" ht="15.75" x14ac:dyDescent="0.25">
      <c r="D42" s="3">
        <v>29</v>
      </c>
      <c r="E42" s="3">
        <v>7.2800000000000002E-4</v>
      </c>
      <c r="F42" s="3">
        <v>3.3799999999999998E-4</v>
      </c>
      <c r="G42" s="1"/>
      <c r="H42" s="1"/>
      <c r="I42" s="1"/>
      <c r="J42" s="6"/>
      <c r="K42" s="1"/>
      <c r="L42" s="1"/>
      <c r="M42" s="1"/>
      <c r="N42" s="1"/>
      <c r="O42" s="1"/>
      <c r="P42" s="1"/>
      <c r="Q42" s="6"/>
    </row>
    <row r="43" spans="4:17" ht="15.75" x14ac:dyDescent="0.25">
      <c r="D43" s="3">
        <v>30</v>
      </c>
      <c r="E43" s="3">
        <v>7.7099999999999998E-4</v>
      </c>
      <c r="F43" s="3">
        <v>3.8699999999999997E-4</v>
      </c>
      <c r="G43" s="1"/>
      <c r="H43" s="1"/>
      <c r="I43" s="1"/>
      <c r="J43" s="6"/>
      <c r="K43" s="1"/>
      <c r="L43" s="1"/>
      <c r="M43" s="1"/>
      <c r="N43" s="1"/>
      <c r="O43" s="1"/>
      <c r="P43" s="1"/>
      <c r="Q43" s="6"/>
    </row>
    <row r="44" spans="4:17" ht="15.75" x14ac:dyDescent="0.25">
      <c r="D44" s="3">
        <v>31</v>
      </c>
      <c r="E44" s="3">
        <v>8.3500000000000002E-4</v>
      </c>
      <c r="F44" s="3">
        <v>3.9399999999999998E-4</v>
      </c>
      <c r="G44" s="1"/>
      <c r="H44" s="1"/>
      <c r="I44" s="1"/>
      <c r="J44" s="6"/>
      <c r="K44" s="1"/>
      <c r="L44" s="1"/>
      <c r="M44" s="1"/>
      <c r="N44" s="1"/>
      <c r="O44" s="1"/>
      <c r="P44" s="1"/>
      <c r="Q44" s="6"/>
    </row>
    <row r="45" spans="4:17" ht="15.75" x14ac:dyDescent="0.25">
      <c r="D45" s="3">
        <v>32</v>
      </c>
      <c r="E45" s="3">
        <v>8.5800000000000004E-4</v>
      </c>
      <c r="F45" s="3">
        <v>4.6799999999999999E-4</v>
      </c>
      <c r="G45" s="1"/>
      <c r="H45" s="1"/>
      <c r="I45" s="1"/>
      <c r="J45" s="6"/>
      <c r="K45" s="1"/>
      <c r="L45" s="1"/>
      <c r="M45" s="1"/>
      <c r="N45" s="1"/>
      <c r="O45" s="1"/>
      <c r="P45" s="1"/>
      <c r="Q45" s="6"/>
    </row>
    <row r="46" spans="4:17" ht="15.75" x14ac:dyDescent="0.25">
      <c r="D46" s="3">
        <v>33</v>
      </c>
      <c r="E46" s="3">
        <v>9.5699999999999995E-4</v>
      </c>
      <c r="F46" s="3">
        <v>4.9299999999999995E-4</v>
      </c>
      <c r="G46" s="1"/>
      <c r="H46" s="1"/>
      <c r="I46" s="1"/>
      <c r="J46" s="6"/>
      <c r="K46" s="1"/>
      <c r="L46" s="1"/>
      <c r="M46" s="1"/>
      <c r="N46" s="1"/>
      <c r="O46" s="1"/>
      <c r="P46" s="1"/>
      <c r="Q46" s="6"/>
    </row>
    <row r="47" spans="4:17" ht="15.75" x14ac:dyDescent="0.25">
      <c r="D47" s="3">
        <v>34</v>
      </c>
      <c r="E47" s="3">
        <v>9.8900000000000008E-4</v>
      </c>
      <c r="F47" s="3">
        <v>5.8500000000000002E-4</v>
      </c>
      <c r="G47" s="1"/>
      <c r="H47" s="1"/>
      <c r="I47" s="1"/>
      <c r="J47" s="6"/>
      <c r="K47" s="1"/>
      <c r="L47" s="1"/>
      <c r="M47" s="1"/>
      <c r="N47" s="1"/>
      <c r="O47" s="1"/>
      <c r="P47" s="1"/>
      <c r="Q47" s="6"/>
    </row>
    <row r="48" spans="4:17" ht="15.75" x14ac:dyDescent="0.25">
      <c r="D48" s="3">
        <v>35</v>
      </c>
      <c r="E48" s="3">
        <v>1.1000000000000001E-3</v>
      </c>
      <c r="F48" s="3">
        <v>5.9199999999999997E-4</v>
      </c>
      <c r="G48" s="1"/>
      <c r="H48" s="1"/>
      <c r="I48" s="1"/>
      <c r="J48" s="6"/>
      <c r="K48" s="1"/>
      <c r="L48" s="1"/>
      <c r="M48" s="1"/>
      <c r="N48" s="1"/>
      <c r="O48" s="1"/>
      <c r="P48" s="1"/>
      <c r="Q48" s="6"/>
    </row>
    <row r="49" spans="4:17" ht="15.75" x14ac:dyDescent="0.25">
      <c r="D49" s="3">
        <v>36</v>
      </c>
      <c r="E49" s="3">
        <v>1.155E-3</v>
      </c>
      <c r="F49" s="3">
        <v>6.78E-4</v>
      </c>
      <c r="G49" s="1"/>
      <c r="H49" s="1"/>
      <c r="I49" s="1"/>
      <c r="J49" s="6"/>
      <c r="K49" s="1"/>
      <c r="L49" s="1"/>
      <c r="M49" s="1"/>
      <c r="N49" s="1"/>
      <c r="O49" s="1"/>
      <c r="P49" s="1"/>
      <c r="Q49" s="6"/>
    </row>
    <row r="50" spans="4:17" ht="15.75" x14ac:dyDescent="0.25">
      <c r="D50" s="3">
        <v>37</v>
      </c>
      <c r="E50" s="3">
        <v>1.351E-3</v>
      </c>
      <c r="F50" s="3">
        <v>7.6099999999999996E-4</v>
      </c>
      <c r="G50" s="1"/>
      <c r="H50" s="1"/>
      <c r="I50" s="1"/>
      <c r="J50" s="6"/>
      <c r="K50" s="1"/>
      <c r="L50" s="1"/>
      <c r="M50" s="1"/>
      <c r="N50" s="1"/>
      <c r="O50" s="1"/>
      <c r="P50" s="1"/>
      <c r="Q50" s="6"/>
    </row>
    <row r="51" spans="4:17" ht="15.75" x14ac:dyDescent="0.25">
      <c r="D51" s="3">
        <v>38</v>
      </c>
      <c r="E51" s="3">
        <v>1.317E-3</v>
      </c>
      <c r="F51" s="3">
        <v>7.9199999999999995E-4</v>
      </c>
      <c r="G51" s="1"/>
      <c r="H51" s="1"/>
      <c r="I51" s="1"/>
      <c r="J51" s="6"/>
      <c r="K51" s="1"/>
      <c r="L51" s="1"/>
      <c r="M51" s="1"/>
      <c r="N51" s="1"/>
      <c r="O51" s="1"/>
      <c r="P51" s="1"/>
      <c r="Q51" s="6"/>
    </row>
    <row r="52" spans="4:17" ht="15.75" x14ac:dyDescent="0.25">
      <c r="D52" s="3">
        <v>39</v>
      </c>
      <c r="E52" s="3">
        <v>1.457E-3</v>
      </c>
      <c r="F52" s="3">
        <v>8.6799999999999996E-4</v>
      </c>
      <c r="G52" s="1"/>
      <c r="H52" s="1"/>
      <c r="I52" s="1"/>
      <c r="J52" s="6"/>
      <c r="K52" s="1"/>
      <c r="L52" s="1"/>
      <c r="M52" s="1"/>
      <c r="N52" s="1"/>
      <c r="O52" s="1"/>
      <c r="P52" s="1"/>
      <c r="Q52" s="6"/>
    </row>
    <row r="53" spans="4:17" ht="15.75" x14ac:dyDescent="0.25">
      <c r="D53" s="3">
        <v>40</v>
      </c>
      <c r="E53" s="3">
        <v>1.606E-3</v>
      </c>
      <c r="F53" s="3">
        <v>9.2400000000000002E-4</v>
      </c>
      <c r="G53" s="1"/>
      <c r="H53" s="1"/>
      <c r="I53" s="1"/>
      <c r="J53" s="6"/>
      <c r="K53" s="1"/>
      <c r="L53" s="1"/>
      <c r="M53" s="1"/>
      <c r="N53" s="1"/>
      <c r="O53" s="1"/>
      <c r="P53" s="1"/>
      <c r="Q53" s="6"/>
    </row>
    <row r="54" spans="4:17" ht="15.75" x14ac:dyDescent="0.25">
      <c r="D54" s="3">
        <v>41</v>
      </c>
      <c r="E54" s="3">
        <v>1.6999999999999999E-3</v>
      </c>
      <c r="F54" s="3">
        <v>1.0039999999999999E-3</v>
      </c>
      <c r="G54" s="1"/>
      <c r="H54" s="1"/>
      <c r="I54" s="1"/>
      <c r="J54" s="6"/>
      <c r="K54" s="1"/>
      <c r="L54" s="1"/>
      <c r="M54" s="1"/>
      <c r="N54" s="1"/>
      <c r="O54" s="1"/>
      <c r="P54" s="1"/>
      <c r="Q54" s="6"/>
    </row>
    <row r="55" spans="4:17" ht="15.75" x14ac:dyDescent="0.25">
      <c r="D55" s="3">
        <v>42</v>
      </c>
      <c r="E55" s="3">
        <v>1.848E-3</v>
      </c>
      <c r="F55" s="3">
        <v>1.1019999999999999E-3</v>
      </c>
      <c r="G55" s="1"/>
      <c r="H55" s="1"/>
      <c r="I55" s="1"/>
      <c r="J55" s="6"/>
      <c r="K55" s="1"/>
      <c r="L55" s="1"/>
      <c r="M55" s="1"/>
      <c r="N55" s="1"/>
      <c r="O55" s="1"/>
      <c r="P55" s="1"/>
      <c r="Q55" s="6"/>
    </row>
    <row r="56" spans="4:17" ht="15.75" x14ac:dyDescent="0.25">
      <c r="D56" s="3">
        <v>43</v>
      </c>
      <c r="E56" s="3">
        <v>2.0149999999999999E-3</v>
      </c>
      <c r="F56" s="3">
        <v>1.2390000000000001E-3</v>
      </c>
      <c r="G56" s="1"/>
      <c r="H56" s="1"/>
      <c r="I56" s="1"/>
      <c r="J56" s="6"/>
      <c r="K56" s="1"/>
      <c r="L56" s="1"/>
      <c r="M56" s="1"/>
      <c r="N56" s="1"/>
      <c r="O56" s="1"/>
      <c r="P56" s="1"/>
      <c r="Q56" s="6"/>
    </row>
    <row r="57" spans="4:17" ht="15.75" x14ac:dyDescent="0.25">
      <c r="D57" s="3">
        <v>44</v>
      </c>
      <c r="E57" s="3">
        <v>2.2100000000000002E-3</v>
      </c>
      <c r="F57" s="3">
        <v>1.3450000000000001E-3</v>
      </c>
      <c r="G57" s="1"/>
      <c r="H57" s="1"/>
      <c r="I57" s="1"/>
      <c r="J57" s="6"/>
      <c r="K57" s="1"/>
      <c r="L57" s="1"/>
      <c r="M57" s="1"/>
      <c r="N57" s="1"/>
      <c r="O57" s="1"/>
      <c r="P57" s="1"/>
      <c r="Q57" s="6"/>
    </row>
    <row r="58" spans="4:17" ht="15.75" x14ac:dyDescent="0.25">
      <c r="D58" s="3">
        <v>45</v>
      </c>
      <c r="E58" s="3">
        <v>2.467E-3</v>
      </c>
      <c r="F58" s="3">
        <v>1.4840000000000001E-3</v>
      </c>
      <c r="G58" s="1"/>
      <c r="H58" s="1"/>
      <c r="I58" s="1"/>
      <c r="J58" s="6"/>
      <c r="K58" s="1"/>
      <c r="L58" s="1"/>
      <c r="M58" s="1"/>
      <c r="N58" s="1"/>
      <c r="O58" s="1"/>
      <c r="P58" s="1"/>
      <c r="Q58" s="6"/>
    </row>
    <row r="59" spans="4:17" ht="15.75" x14ac:dyDescent="0.25">
      <c r="D59" s="3">
        <v>46</v>
      </c>
      <c r="E59" s="3">
        <v>2.6459999999999999E-3</v>
      </c>
      <c r="F59" s="3">
        <v>1.6249999999999999E-3</v>
      </c>
      <c r="G59" s="1"/>
      <c r="H59" s="1"/>
      <c r="I59" s="1"/>
      <c r="J59" s="6"/>
      <c r="K59" s="1"/>
      <c r="L59" s="1"/>
      <c r="M59" s="1"/>
      <c r="N59" s="1"/>
      <c r="O59" s="1"/>
      <c r="P59" s="1"/>
      <c r="Q59" s="6"/>
    </row>
    <row r="60" spans="4:17" ht="15.75" x14ac:dyDescent="0.25">
      <c r="D60" s="3">
        <v>47</v>
      </c>
      <c r="E60" s="3">
        <v>2.7430000000000002E-3</v>
      </c>
      <c r="F60" s="3">
        <v>1.7440000000000001E-3</v>
      </c>
      <c r="G60" s="1"/>
      <c r="H60" s="1"/>
      <c r="I60" s="1"/>
      <c r="J60" s="6"/>
      <c r="K60" s="1"/>
      <c r="L60" s="1"/>
      <c r="M60" s="1"/>
      <c r="N60" s="1"/>
      <c r="O60" s="1"/>
      <c r="P60" s="1"/>
      <c r="Q60" s="6"/>
    </row>
    <row r="61" spans="4:17" ht="15.75" x14ac:dyDescent="0.25">
      <c r="D61" s="3">
        <v>48</v>
      </c>
      <c r="E61" s="3">
        <v>2.96E-3</v>
      </c>
      <c r="F61" s="3">
        <v>1.9659999999999999E-3</v>
      </c>
      <c r="G61" s="1"/>
      <c r="H61" s="1"/>
      <c r="I61" s="1"/>
      <c r="J61" s="6"/>
      <c r="K61" s="1"/>
      <c r="L61" s="1"/>
      <c r="M61" s="1"/>
      <c r="N61" s="1"/>
      <c r="O61" s="1"/>
      <c r="P61" s="1"/>
      <c r="Q61" s="6"/>
    </row>
    <row r="62" spans="4:17" ht="15.75" x14ac:dyDescent="0.25">
      <c r="D62" s="3">
        <v>49</v>
      </c>
      <c r="E62" s="3">
        <v>3.297E-3</v>
      </c>
      <c r="F62" s="3">
        <v>2.0509999999999999E-3</v>
      </c>
      <c r="G62" s="1"/>
      <c r="H62" s="1"/>
      <c r="I62" s="1"/>
      <c r="J62" s="6"/>
      <c r="K62" s="1"/>
      <c r="L62" s="1"/>
      <c r="M62" s="1"/>
      <c r="N62" s="1"/>
      <c r="O62" s="1"/>
      <c r="P62" s="1"/>
      <c r="Q62" s="6"/>
    </row>
    <row r="63" spans="4:17" ht="15.75" x14ac:dyDescent="0.25">
      <c r="D63" s="3">
        <v>50</v>
      </c>
      <c r="E63" s="3">
        <v>3.5769999999999999E-3</v>
      </c>
      <c r="F63" s="3">
        <v>2.2339999999999999E-3</v>
      </c>
      <c r="G63" s="1"/>
      <c r="H63" s="1"/>
      <c r="I63" s="1"/>
      <c r="J63" s="6"/>
      <c r="K63" s="1"/>
      <c r="L63" s="1"/>
      <c r="M63" s="1"/>
      <c r="N63" s="1"/>
      <c r="O63" s="1"/>
      <c r="P63" s="1"/>
      <c r="Q63" s="6"/>
    </row>
    <row r="64" spans="4:17" ht="15.75" x14ac:dyDescent="0.25">
      <c r="D64" s="3">
        <v>51</v>
      </c>
      <c r="E64" s="3">
        <v>3.8210000000000002E-3</v>
      </c>
      <c r="F64" s="3">
        <v>2.4520000000000002E-3</v>
      </c>
      <c r="G64" s="1"/>
      <c r="H64" s="1"/>
      <c r="I64" s="1"/>
      <c r="J64" s="6"/>
      <c r="K64" s="1"/>
      <c r="L64" s="1"/>
      <c r="M64" s="1"/>
      <c r="N64" s="1"/>
      <c r="O64" s="1"/>
      <c r="P64" s="1"/>
      <c r="Q64" s="6"/>
    </row>
    <row r="65" spans="4:17" ht="15.75" x14ac:dyDescent="0.25">
      <c r="D65" s="3">
        <v>52</v>
      </c>
      <c r="E65" s="3">
        <v>4.0749999999999996E-3</v>
      </c>
      <c r="F65" s="3">
        <v>2.581E-3</v>
      </c>
      <c r="G65" s="1"/>
      <c r="H65" s="1"/>
      <c r="I65" s="1"/>
      <c r="J65" s="6"/>
      <c r="K65" s="1"/>
      <c r="L65" s="1"/>
      <c r="M65" s="1"/>
      <c r="N65" s="1"/>
      <c r="O65" s="1"/>
      <c r="P65" s="1"/>
      <c r="Q65" s="6"/>
    </row>
    <row r="66" spans="4:17" ht="15.75" x14ac:dyDescent="0.25">
      <c r="D66" s="3">
        <v>53</v>
      </c>
      <c r="E66" s="3">
        <v>4.4019999999999997E-3</v>
      </c>
      <c r="F66" s="3">
        <v>2.764E-3</v>
      </c>
      <c r="G66" s="1"/>
      <c r="H66" s="1"/>
      <c r="I66" s="1"/>
      <c r="J66" s="6"/>
      <c r="K66" s="1"/>
      <c r="L66" s="1"/>
      <c r="M66" s="1"/>
      <c r="N66" s="1"/>
      <c r="O66" s="1"/>
      <c r="P66" s="1"/>
      <c r="Q66" s="6"/>
    </row>
    <row r="67" spans="4:17" ht="15.75" x14ac:dyDescent="0.25">
      <c r="D67" s="3">
        <v>54</v>
      </c>
      <c r="E67" s="3">
        <v>4.7200000000000002E-3</v>
      </c>
      <c r="F67" s="3">
        <v>2.9640000000000001E-3</v>
      </c>
      <c r="G67" s="1"/>
      <c r="H67" s="1"/>
      <c r="I67" s="1"/>
      <c r="J67" s="6"/>
      <c r="K67" s="1"/>
      <c r="L67" s="1"/>
      <c r="M67" s="1"/>
      <c r="N67" s="1"/>
      <c r="O67" s="1"/>
      <c r="P67" s="1"/>
      <c r="Q67" s="6"/>
    </row>
    <row r="68" spans="4:17" ht="15.75" x14ac:dyDescent="0.25">
      <c r="D68" s="3">
        <v>55</v>
      </c>
      <c r="E68" s="3">
        <v>5.0460000000000001E-3</v>
      </c>
      <c r="F68" s="3">
        <v>3.2829999999999999E-3</v>
      </c>
      <c r="G68" s="1"/>
      <c r="H68" s="1"/>
      <c r="I68" s="1"/>
      <c r="J68" s="6"/>
      <c r="K68" s="1"/>
      <c r="L68" s="1"/>
      <c r="M68" s="1"/>
      <c r="N68" s="1"/>
      <c r="O68" s="1"/>
      <c r="P68" s="1"/>
      <c r="Q68" s="6"/>
    </row>
    <row r="69" spans="4:17" ht="15.75" x14ac:dyDescent="0.25">
      <c r="D69" s="3">
        <v>56</v>
      </c>
      <c r="E69" s="3">
        <v>5.5929999999999999E-3</v>
      </c>
      <c r="F69" s="3">
        <v>3.637E-3</v>
      </c>
      <c r="G69" s="1"/>
      <c r="H69" s="1"/>
      <c r="I69" s="1"/>
      <c r="J69" s="6"/>
      <c r="K69" s="1"/>
      <c r="L69" s="1"/>
      <c r="M69" s="1"/>
      <c r="N69" s="1"/>
      <c r="O69" s="1"/>
      <c r="P69" s="1"/>
      <c r="Q69" s="6"/>
    </row>
    <row r="70" spans="4:17" ht="15.75" x14ac:dyDescent="0.25">
      <c r="D70" s="3">
        <v>57</v>
      </c>
      <c r="E70" s="3">
        <v>6.0600000000000003E-3</v>
      </c>
      <c r="F70" s="3">
        <v>3.9280000000000001E-3</v>
      </c>
      <c r="G70" s="1"/>
      <c r="H70" s="1"/>
      <c r="I70" s="1"/>
      <c r="J70" s="6"/>
      <c r="K70" s="1"/>
      <c r="L70" s="1"/>
      <c r="M70" s="1"/>
      <c r="N70" s="1"/>
      <c r="O70" s="1"/>
      <c r="P70" s="1"/>
      <c r="Q70" s="6"/>
    </row>
    <row r="71" spans="4:17" ht="15.75" x14ac:dyDescent="0.25">
      <c r="D71" s="3">
        <v>58</v>
      </c>
      <c r="E71" s="3">
        <v>6.6950000000000004E-3</v>
      </c>
      <c r="F71" s="3">
        <v>4.3670000000000002E-3</v>
      </c>
      <c r="G71" s="1"/>
      <c r="H71" s="1"/>
      <c r="I71" s="1"/>
      <c r="J71" s="6"/>
      <c r="K71" s="1"/>
      <c r="L71" s="1"/>
      <c r="M71" s="1"/>
      <c r="N71" s="1"/>
      <c r="O71" s="1"/>
      <c r="P71" s="1"/>
      <c r="Q71" s="6"/>
    </row>
    <row r="72" spans="4:17" ht="15.75" x14ac:dyDescent="0.25">
      <c r="D72" s="3">
        <v>59</v>
      </c>
      <c r="E72" s="3">
        <v>7.2389999999999998E-3</v>
      </c>
      <c r="F72" s="3">
        <v>4.7070000000000002E-3</v>
      </c>
      <c r="G72" s="1"/>
      <c r="H72" s="1"/>
      <c r="I72" s="1"/>
      <c r="J72" s="6"/>
      <c r="K72" s="1"/>
      <c r="L72" s="1"/>
      <c r="M72" s="1"/>
      <c r="N72" s="1"/>
      <c r="O72" s="1"/>
      <c r="P72" s="1"/>
      <c r="Q72" s="6"/>
    </row>
    <row r="73" spans="4:17" ht="15.75" x14ac:dyDescent="0.25">
      <c r="D73" s="3">
        <v>60</v>
      </c>
      <c r="E73" s="3">
        <v>7.9120000000000006E-3</v>
      </c>
      <c r="F73" s="3">
        <v>5.2469999999999999E-3</v>
      </c>
      <c r="G73" s="1"/>
      <c r="H73" s="1"/>
      <c r="I73" s="1"/>
      <c r="J73" s="6"/>
      <c r="K73" s="1"/>
      <c r="L73" s="1"/>
      <c r="M73" s="1"/>
      <c r="N73" s="1"/>
      <c r="O73" s="1"/>
      <c r="P73" s="1"/>
      <c r="Q73" s="6"/>
    </row>
    <row r="74" spans="4:17" ht="15.75" x14ac:dyDescent="0.25">
      <c r="D74" s="3">
        <v>61</v>
      </c>
      <c r="E74" s="3">
        <v>8.6359999999999996E-3</v>
      </c>
      <c r="F74" s="3">
        <v>5.6360000000000004E-3</v>
      </c>
      <c r="G74" s="1"/>
      <c r="H74" s="1"/>
      <c r="I74" s="1"/>
      <c r="J74" s="6"/>
      <c r="K74" s="1"/>
      <c r="L74" s="1"/>
      <c r="M74" s="1"/>
      <c r="N74" s="1"/>
      <c r="O74" s="1"/>
      <c r="P74" s="1"/>
      <c r="Q74" s="6"/>
    </row>
    <row r="75" spans="4:17" ht="15.75" x14ac:dyDescent="0.25">
      <c r="D75" s="3">
        <v>62</v>
      </c>
      <c r="E75" s="3">
        <v>9.6010000000000002E-3</v>
      </c>
      <c r="F75" s="3">
        <v>6.4510000000000001E-3</v>
      </c>
      <c r="G75" s="1"/>
      <c r="H75" s="1"/>
      <c r="I75" s="1"/>
      <c r="J75" s="6"/>
      <c r="K75" s="1"/>
      <c r="L75" s="1"/>
      <c r="M75" s="1"/>
      <c r="N75" s="1"/>
      <c r="O75" s="1"/>
      <c r="P75" s="1"/>
      <c r="Q75" s="6"/>
    </row>
    <row r="76" spans="4:17" ht="15.75" x14ac:dyDescent="0.25">
      <c r="D76" s="3">
        <v>63</v>
      </c>
      <c r="E76" s="3">
        <v>1.0552000000000001E-2</v>
      </c>
      <c r="F76" s="3">
        <v>6.8180000000000003E-3</v>
      </c>
      <c r="G76" s="1"/>
      <c r="H76" s="1"/>
      <c r="I76" s="1"/>
      <c r="J76" s="6"/>
      <c r="K76" s="1"/>
      <c r="L76" s="1"/>
      <c r="M76" s="1"/>
      <c r="N76" s="1"/>
      <c r="O76" s="1"/>
      <c r="P76" s="1"/>
      <c r="Q76" s="6"/>
    </row>
    <row r="77" spans="4:17" ht="15.75" x14ac:dyDescent="0.25">
      <c r="D77" s="3">
        <v>64</v>
      </c>
      <c r="E77" s="3">
        <v>1.1171E-2</v>
      </c>
      <c r="F77" s="3">
        <v>7.3790000000000001E-3</v>
      </c>
      <c r="G77" s="1"/>
      <c r="H77" s="1"/>
      <c r="I77" s="1"/>
      <c r="J77" s="6"/>
      <c r="K77" s="1"/>
      <c r="L77" s="1"/>
      <c r="M77" s="1"/>
      <c r="N77" s="1"/>
      <c r="O77" s="1"/>
      <c r="P77" s="1"/>
      <c r="Q77" s="6"/>
    </row>
    <row r="78" spans="4:17" ht="15.75" x14ac:dyDescent="0.25">
      <c r="D78" s="3">
        <v>65</v>
      </c>
      <c r="E78" s="3">
        <v>1.2460000000000001E-2</v>
      </c>
      <c r="F78" s="3">
        <v>8.1130000000000004E-3</v>
      </c>
      <c r="G78" s="1"/>
      <c r="H78" s="1"/>
      <c r="I78" s="1"/>
      <c r="J78" s="6"/>
      <c r="K78" s="1"/>
      <c r="L78" s="1"/>
      <c r="M78" s="1"/>
      <c r="N78" s="1"/>
      <c r="O78" s="1"/>
      <c r="P78" s="1"/>
      <c r="Q78" s="6"/>
    </row>
    <row r="79" spans="4:17" ht="15.75" x14ac:dyDescent="0.25">
      <c r="D79" s="3">
        <v>66</v>
      </c>
      <c r="E79" s="3">
        <v>1.3853000000000001E-2</v>
      </c>
      <c r="F79" s="3">
        <v>8.77E-3</v>
      </c>
      <c r="G79" s="1"/>
      <c r="H79" s="1"/>
      <c r="I79" s="1"/>
      <c r="J79" s="6"/>
      <c r="K79" s="1"/>
      <c r="L79" s="1"/>
      <c r="M79" s="1"/>
      <c r="N79" s="1"/>
      <c r="O79" s="1"/>
      <c r="P79" s="1"/>
      <c r="Q79" s="6"/>
    </row>
    <row r="80" spans="4:17" ht="15.75" x14ac:dyDescent="0.25">
      <c r="D80" s="3">
        <v>67</v>
      </c>
      <c r="E80" s="3">
        <v>1.4782E-2</v>
      </c>
      <c r="F80" s="3">
        <v>9.554E-3</v>
      </c>
      <c r="G80" s="1"/>
      <c r="H80" s="1"/>
      <c r="I80" s="1"/>
      <c r="J80" s="6"/>
      <c r="K80" s="1"/>
      <c r="L80" s="1"/>
      <c r="M80" s="1"/>
      <c r="N80" s="1"/>
      <c r="O80" s="1"/>
      <c r="P80" s="1"/>
      <c r="Q80" s="6"/>
    </row>
    <row r="81" spans="4:17" ht="15.75" x14ac:dyDescent="0.25">
      <c r="D81" s="3">
        <v>68</v>
      </c>
      <c r="E81" s="3">
        <v>1.6348000000000001E-2</v>
      </c>
      <c r="F81" s="3">
        <v>1.0602E-2</v>
      </c>
      <c r="G81" s="1"/>
      <c r="H81" s="1"/>
      <c r="I81" s="1"/>
      <c r="J81" s="6"/>
      <c r="K81" s="1"/>
      <c r="L81" s="1"/>
      <c r="M81" s="1"/>
      <c r="N81" s="1"/>
      <c r="O81" s="1"/>
      <c r="P81" s="1"/>
      <c r="Q81" s="6"/>
    </row>
    <row r="82" spans="4:17" ht="15.75" x14ac:dyDescent="0.25">
      <c r="D82" s="3">
        <v>69</v>
      </c>
      <c r="E82" s="3">
        <v>1.7949E-2</v>
      </c>
      <c r="F82" s="3">
        <v>1.1457999999999999E-2</v>
      </c>
      <c r="G82" s="1"/>
      <c r="H82" s="1"/>
      <c r="I82" s="1"/>
      <c r="J82" s="6"/>
      <c r="K82" s="1"/>
      <c r="L82" s="1"/>
      <c r="M82" s="1"/>
      <c r="N82" s="1"/>
      <c r="O82" s="1"/>
      <c r="P82" s="1"/>
      <c r="Q82" s="6"/>
    </row>
    <row r="83" spans="4:17" ht="15.75" x14ac:dyDescent="0.25">
      <c r="D83" s="3">
        <v>70</v>
      </c>
      <c r="E83" s="3">
        <v>1.9238000000000002E-2</v>
      </c>
      <c r="F83" s="3">
        <v>1.2895E-2</v>
      </c>
      <c r="G83" s="1"/>
      <c r="H83" s="1"/>
      <c r="I83" s="1"/>
      <c r="J83" s="6"/>
      <c r="K83" s="1"/>
      <c r="L83" s="1"/>
      <c r="M83" s="1"/>
      <c r="N83" s="1"/>
      <c r="O83" s="1"/>
      <c r="P83" s="1"/>
      <c r="Q83" s="6"/>
    </row>
    <row r="84" spans="4:17" ht="15.75" x14ac:dyDescent="0.25">
      <c r="D84" s="3">
        <v>71</v>
      </c>
      <c r="E84" s="3">
        <v>2.0795000000000001E-2</v>
      </c>
      <c r="F84" s="3">
        <v>1.3637E-2</v>
      </c>
      <c r="G84" s="1"/>
      <c r="H84" s="1"/>
      <c r="I84" s="1"/>
      <c r="J84" s="6"/>
      <c r="K84" s="1"/>
      <c r="L84" s="1"/>
      <c r="M84" s="1"/>
      <c r="N84" s="1"/>
      <c r="O84" s="1"/>
      <c r="P84" s="1"/>
      <c r="Q84" s="6"/>
    </row>
    <row r="85" spans="4:17" ht="15.75" x14ac:dyDescent="0.25">
      <c r="D85" s="3">
        <v>72</v>
      </c>
      <c r="E85" s="3">
        <v>2.2782E-2</v>
      </c>
      <c r="F85" s="3">
        <v>1.5499000000000001E-2</v>
      </c>
      <c r="G85" s="1"/>
      <c r="H85" s="1"/>
      <c r="I85" s="1"/>
      <c r="J85" s="6"/>
      <c r="K85" s="1"/>
      <c r="L85" s="1"/>
      <c r="M85" s="1"/>
      <c r="N85" s="1"/>
      <c r="O85" s="1"/>
      <c r="P85" s="1"/>
      <c r="Q85" s="6"/>
    </row>
    <row r="86" spans="4:17" ht="15.75" x14ac:dyDescent="0.25">
      <c r="D86" s="3">
        <v>73</v>
      </c>
      <c r="E86" s="3">
        <v>2.5798999999999999E-2</v>
      </c>
      <c r="F86" s="3">
        <v>1.7288999999999999E-2</v>
      </c>
      <c r="G86" s="1"/>
      <c r="H86" s="1"/>
      <c r="I86" s="1"/>
      <c r="J86" s="6"/>
      <c r="K86" s="1"/>
      <c r="L86" s="1"/>
      <c r="M86" s="1"/>
      <c r="N86" s="1"/>
      <c r="O86" s="1"/>
      <c r="P86" s="1"/>
      <c r="Q86" s="6"/>
    </row>
    <row r="87" spans="4:17" ht="15.75" x14ac:dyDescent="0.25">
      <c r="D87" s="3">
        <v>74</v>
      </c>
      <c r="E87" s="3">
        <v>2.8775999999999999E-2</v>
      </c>
      <c r="F87" s="3">
        <v>1.9688000000000001E-2</v>
      </c>
      <c r="G87" s="1"/>
      <c r="H87" s="1"/>
      <c r="I87" s="1"/>
      <c r="J87" s="6"/>
      <c r="K87" s="1"/>
      <c r="L87" s="1"/>
      <c r="M87" s="1"/>
      <c r="N87" s="1"/>
      <c r="O87" s="1"/>
      <c r="P87" s="1"/>
      <c r="Q87" s="6"/>
    </row>
    <row r="88" spans="4:17" ht="15.75" x14ac:dyDescent="0.25">
      <c r="D88" s="3">
        <v>75</v>
      </c>
      <c r="E88" s="3">
        <v>3.2300000000000002E-2</v>
      </c>
      <c r="F88" s="3">
        <v>2.1766000000000001E-2</v>
      </c>
      <c r="G88" s="1"/>
      <c r="H88" s="1"/>
      <c r="I88" s="1"/>
      <c r="J88" s="6"/>
      <c r="K88" s="1"/>
      <c r="L88" s="1"/>
      <c r="M88" s="1"/>
      <c r="N88" s="1"/>
      <c r="O88" s="1"/>
      <c r="P88" s="1"/>
      <c r="Q88" s="6"/>
    </row>
    <row r="89" spans="4:17" ht="15.75" x14ac:dyDescent="0.25">
      <c r="D89" s="3">
        <v>76</v>
      </c>
      <c r="E89" s="3">
        <v>3.5729999999999998E-2</v>
      </c>
      <c r="F89" s="3">
        <v>2.4396999999999999E-2</v>
      </c>
      <c r="G89" s="1"/>
      <c r="H89" s="1"/>
      <c r="I89" s="1"/>
      <c r="J89" s="6"/>
      <c r="K89" s="1"/>
      <c r="L89" s="1"/>
      <c r="M89" s="1"/>
      <c r="N89" s="1"/>
      <c r="O89" s="1"/>
      <c r="P89" s="1"/>
      <c r="Q89" s="6"/>
    </row>
    <row r="90" spans="4:17" ht="15.75" x14ac:dyDescent="0.25">
      <c r="D90" s="3">
        <v>77</v>
      </c>
      <c r="E90" s="3">
        <v>4.0135999999999998E-2</v>
      </c>
      <c r="F90" s="3">
        <v>2.7917999999999998E-2</v>
      </c>
      <c r="G90" s="1"/>
      <c r="H90" s="1"/>
      <c r="I90" s="1"/>
      <c r="J90" s="6"/>
      <c r="K90" s="1"/>
      <c r="L90" s="1"/>
      <c r="M90" s="1"/>
      <c r="N90" s="1"/>
      <c r="O90" s="1"/>
      <c r="P90" s="1"/>
      <c r="Q90" s="6"/>
    </row>
    <row r="91" spans="4:17" ht="15.75" x14ac:dyDescent="0.25">
      <c r="D91" s="3">
        <v>78</v>
      </c>
      <c r="E91" s="3">
        <v>4.5187999999999999E-2</v>
      </c>
      <c r="F91" s="3">
        <v>3.1419999999999997E-2</v>
      </c>
      <c r="G91" s="1"/>
      <c r="H91" s="1"/>
      <c r="I91" s="1"/>
      <c r="J91" s="6"/>
      <c r="K91" s="1"/>
      <c r="L91" s="1"/>
      <c r="M91" s="1"/>
      <c r="N91" s="1"/>
      <c r="O91" s="1"/>
      <c r="P91" s="1"/>
      <c r="Q91" s="6"/>
    </row>
    <row r="92" spans="4:17" ht="15.75" x14ac:dyDescent="0.25">
      <c r="D92" s="3">
        <v>79</v>
      </c>
      <c r="E92" s="3">
        <v>5.0258999999999998E-2</v>
      </c>
      <c r="F92" s="3">
        <v>3.5713000000000002E-2</v>
      </c>
      <c r="G92" s="1"/>
      <c r="H92" s="1"/>
      <c r="I92" s="1"/>
      <c r="J92" s="6"/>
      <c r="K92" s="1"/>
      <c r="L92" s="1"/>
      <c r="M92" s="1"/>
      <c r="N92" s="1"/>
      <c r="O92" s="1"/>
      <c r="P92" s="1"/>
      <c r="Q92" s="6"/>
    </row>
    <row r="93" spans="4:17" ht="15.75" x14ac:dyDescent="0.25">
      <c r="D93" s="3">
        <v>80</v>
      </c>
      <c r="E93" s="3">
        <v>5.6142999999999998E-2</v>
      </c>
      <c r="F93" s="3">
        <v>3.9611E-2</v>
      </c>
      <c r="G93" s="1"/>
      <c r="H93" s="1"/>
      <c r="I93" s="1"/>
      <c r="J93" s="6"/>
      <c r="K93" s="1"/>
      <c r="L93" s="1"/>
      <c r="M93" s="1"/>
      <c r="N93" s="1"/>
      <c r="O93" s="1"/>
      <c r="P93" s="1"/>
      <c r="Q93" s="6"/>
    </row>
    <row r="94" spans="4:17" ht="15.75" x14ac:dyDescent="0.25">
      <c r="D94" s="3">
        <v>81</v>
      </c>
      <c r="E94" s="3">
        <v>6.2030000000000002E-2</v>
      </c>
      <c r="F94" s="3">
        <v>4.5127E-2</v>
      </c>
      <c r="G94" s="1"/>
      <c r="H94" s="1"/>
      <c r="I94" s="1"/>
      <c r="J94" s="6"/>
      <c r="K94" s="1"/>
      <c r="L94" s="1"/>
      <c r="M94" s="1"/>
      <c r="N94" s="1"/>
      <c r="O94" s="1"/>
      <c r="P94" s="1"/>
      <c r="Q94" s="6"/>
    </row>
    <row r="95" spans="4:17" ht="15.75" x14ac:dyDescent="0.25">
      <c r="D95" s="3">
        <v>82</v>
      </c>
      <c r="E95" s="3">
        <v>6.9196999999999995E-2</v>
      </c>
      <c r="F95" s="3">
        <v>5.0196999999999999E-2</v>
      </c>
      <c r="G95" s="1"/>
      <c r="H95" s="1"/>
      <c r="I95" s="1"/>
      <c r="J95" s="6"/>
      <c r="K95" s="1"/>
      <c r="L95" s="1"/>
      <c r="M95" s="1"/>
      <c r="N95" s="1"/>
      <c r="O95" s="1"/>
      <c r="P95" s="1"/>
      <c r="Q95" s="6"/>
    </row>
    <row r="96" spans="4:17" ht="15.75" x14ac:dyDescent="0.25">
      <c r="D96" s="3">
        <v>83</v>
      </c>
      <c r="E96" s="3">
        <v>7.7485999999999999E-2</v>
      </c>
      <c r="F96" s="3">
        <v>5.7154999999999997E-2</v>
      </c>
      <c r="G96" s="1"/>
      <c r="H96" s="1"/>
      <c r="I96" s="1"/>
      <c r="J96" s="6"/>
      <c r="K96" s="1"/>
      <c r="L96" s="1"/>
      <c r="M96" s="1"/>
      <c r="N96" s="1"/>
      <c r="O96" s="1"/>
      <c r="P96" s="1"/>
      <c r="Q96" s="6"/>
    </row>
    <row r="97" spans="4:17" ht="15.75" x14ac:dyDescent="0.25">
      <c r="D97" s="3">
        <v>84</v>
      </c>
      <c r="E97" s="3">
        <v>8.7295999999999999E-2</v>
      </c>
      <c r="F97" s="3">
        <v>6.5142000000000005E-2</v>
      </c>
      <c r="G97" s="1"/>
      <c r="H97" s="1"/>
      <c r="I97" s="1"/>
      <c r="J97" s="6"/>
      <c r="K97" s="1"/>
      <c r="L97" s="1"/>
      <c r="M97" s="1"/>
      <c r="N97" s="1"/>
      <c r="O97" s="1"/>
      <c r="P97" s="1"/>
      <c r="Q97" s="6"/>
    </row>
    <row r="98" spans="4:17" ht="15.75" x14ac:dyDescent="0.25">
      <c r="D98" s="3">
        <v>85</v>
      </c>
      <c r="E98" s="3">
        <v>9.7475999999999993E-2</v>
      </c>
      <c r="F98" s="3">
        <v>7.3747999999999994E-2</v>
      </c>
      <c r="G98" s="1"/>
      <c r="H98" s="1"/>
      <c r="I98" s="1"/>
      <c r="J98" s="6"/>
      <c r="K98" s="1"/>
      <c r="L98" s="1"/>
      <c r="M98" s="1"/>
      <c r="N98" s="1"/>
      <c r="O98" s="1"/>
      <c r="P98" s="1"/>
      <c r="Q98" s="6"/>
    </row>
    <row r="99" spans="4:17" ht="15.75" x14ac:dyDescent="0.25">
      <c r="D99" s="3">
        <v>86</v>
      </c>
      <c r="E99" s="3">
        <v>0.110221</v>
      </c>
      <c r="F99" s="3">
        <v>8.4519999999999998E-2</v>
      </c>
      <c r="G99" s="1"/>
      <c r="H99" s="1"/>
      <c r="I99" s="1"/>
      <c r="J99" s="6"/>
      <c r="K99" s="1"/>
      <c r="L99" s="1"/>
      <c r="M99" s="1"/>
      <c r="N99" s="1"/>
      <c r="O99" s="1"/>
      <c r="P99" s="1"/>
      <c r="Q99" s="6"/>
    </row>
    <row r="100" spans="4:17" ht="15.75" x14ac:dyDescent="0.25">
      <c r="D100" s="3">
        <v>87</v>
      </c>
      <c r="E100" s="3">
        <v>0.122808</v>
      </c>
      <c r="F100" s="3">
        <v>9.5918000000000003E-2</v>
      </c>
      <c r="G100" s="1"/>
      <c r="H100" s="1"/>
      <c r="I100" s="1"/>
      <c r="J100" s="6"/>
      <c r="K100" s="1"/>
      <c r="L100" s="1"/>
      <c r="M100" s="1"/>
      <c r="N100" s="1"/>
      <c r="O100" s="1"/>
      <c r="P100" s="1"/>
      <c r="Q100" s="6"/>
    </row>
    <row r="101" spans="4:17" ht="15.75" x14ac:dyDescent="0.25">
      <c r="D101" s="3">
        <v>88</v>
      </c>
      <c r="E101" s="3">
        <v>0.137654</v>
      </c>
      <c r="F101" s="3">
        <v>0.107798</v>
      </c>
      <c r="G101" s="1"/>
      <c r="H101" s="1"/>
      <c r="I101" s="1"/>
      <c r="J101" s="6"/>
      <c r="K101" s="1"/>
      <c r="L101" s="1"/>
      <c r="M101" s="1"/>
      <c r="N101" s="1"/>
      <c r="O101" s="1"/>
      <c r="P101" s="1"/>
      <c r="Q101" s="6"/>
    </row>
    <row r="102" spans="4:17" ht="15.75" x14ac:dyDescent="0.25">
      <c r="D102" s="3">
        <v>89</v>
      </c>
      <c r="E102" s="3">
        <v>0.15451300000000001</v>
      </c>
      <c r="F102" s="3">
        <v>0.12160899999999999</v>
      </c>
      <c r="G102" s="1"/>
      <c r="H102" s="1"/>
      <c r="I102" s="1"/>
      <c r="J102" s="6"/>
      <c r="K102" s="1"/>
      <c r="L102" s="1"/>
      <c r="M102" s="1"/>
      <c r="N102" s="1"/>
      <c r="O102" s="1"/>
      <c r="P102" s="1"/>
      <c r="Q102" s="6"/>
    </row>
    <row r="103" spans="4:17" ht="15.75" x14ac:dyDescent="0.25">
      <c r="D103" s="3">
        <v>90</v>
      </c>
      <c r="E103" s="3">
        <v>0.163489</v>
      </c>
      <c r="F103" s="3">
        <v>0.136466</v>
      </c>
      <c r="G103" s="1"/>
      <c r="H103" s="1"/>
      <c r="I103" s="1"/>
      <c r="J103" s="6"/>
      <c r="K103" s="1"/>
      <c r="L103" s="1"/>
      <c r="M103" s="1"/>
      <c r="N103" s="1"/>
      <c r="O103" s="1"/>
      <c r="P103" s="1"/>
      <c r="Q103" s="6"/>
    </row>
    <row r="104" spans="4:17" ht="15.75" x14ac:dyDescent="0.25">
      <c r="D104" s="3">
        <v>91</v>
      </c>
      <c r="E104" s="3">
        <v>0.18332499999999999</v>
      </c>
      <c r="F104" s="3">
        <v>0.15343799999999999</v>
      </c>
      <c r="G104" s="1"/>
      <c r="H104" s="1"/>
      <c r="I104" s="1"/>
      <c r="J104" s="6"/>
      <c r="K104" s="1"/>
      <c r="L104" s="1"/>
      <c r="M104" s="1"/>
      <c r="N104" s="1"/>
      <c r="O104" s="1"/>
      <c r="P104" s="1"/>
      <c r="Q104" s="6"/>
    </row>
    <row r="105" spans="4:17" ht="15.75" x14ac:dyDescent="0.25">
      <c r="D105" s="3">
        <v>92</v>
      </c>
      <c r="E105" s="3">
        <v>0.20086899999999999</v>
      </c>
      <c r="F105" s="3">
        <v>0.17102600000000001</v>
      </c>
      <c r="G105" s="1"/>
      <c r="H105" s="1"/>
      <c r="I105" s="1"/>
      <c r="J105" s="6"/>
      <c r="K105" s="1"/>
      <c r="L105" s="1"/>
      <c r="M105" s="1"/>
      <c r="N105" s="1"/>
      <c r="O105" s="1"/>
      <c r="P105" s="1"/>
      <c r="Q105" s="6"/>
    </row>
    <row r="106" spans="4:17" ht="15.75" x14ac:dyDescent="0.25">
      <c r="D106" s="3">
        <v>93</v>
      </c>
      <c r="E106" s="3">
        <v>0.22298100000000001</v>
      </c>
      <c r="F106" s="3">
        <v>0.18956799999999999</v>
      </c>
      <c r="G106" s="1"/>
      <c r="H106" s="1"/>
      <c r="I106" s="1"/>
      <c r="J106" s="6"/>
      <c r="K106" s="1"/>
      <c r="L106" s="1"/>
      <c r="M106" s="1"/>
      <c r="N106" s="1"/>
      <c r="O106" s="1"/>
      <c r="P106" s="1"/>
      <c r="Q106" s="6"/>
    </row>
    <row r="107" spans="4:17" ht="15.75" x14ac:dyDescent="0.25">
      <c r="D107" s="3">
        <v>94</v>
      </c>
      <c r="E107" s="3">
        <v>0.24460599999999999</v>
      </c>
      <c r="F107" s="3">
        <v>0.20787</v>
      </c>
      <c r="G107" s="1"/>
      <c r="H107" s="1"/>
      <c r="I107" s="1"/>
      <c r="J107" s="6"/>
      <c r="K107" s="1"/>
      <c r="L107" s="1"/>
      <c r="M107" s="1"/>
      <c r="N107" s="1"/>
      <c r="O107" s="1"/>
      <c r="P107" s="1"/>
      <c r="Q107" s="6"/>
    </row>
    <row r="108" spans="4:17" ht="15.75" x14ac:dyDescent="0.25">
      <c r="D108" s="3">
        <v>95</v>
      </c>
      <c r="E108" s="3">
        <v>0.268951</v>
      </c>
      <c r="F108" s="3">
        <v>0.23022699999999999</v>
      </c>
      <c r="G108" s="1"/>
      <c r="H108" s="1"/>
      <c r="I108" s="1"/>
      <c r="J108" s="6"/>
      <c r="K108" s="1"/>
      <c r="L108" s="1"/>
      <c r="M108" s="1"/>
      <c r="N108" s="1"/>
      <c r="O108" s="1"/>
      <c r="P108" s="1"/>
      <c r="Q108" s="6"/>
    </row>
    <row r="109" spans="4:17" ht="15.75" x14ac:dyDescent="0.25">
      <c r="D109" s="3">
        <v>96</v>
      </c>
      <c r="E109" s="3">
        <v>0.29049399999999997</v>
      </c>
      <c r="F109" s="3">
        <v>0.25317099999999998</v>
      </c>
      <c r="G109" s="1"/>
      <c r="H109" s="1"/>
      <c r="I109" s="1"/>
      <c r="J109" s="6"/>
      <c r="K109" s="1"/>
      <c r="L109" s="1"/>
      <c r="M109" s="1"/>
      <c r="N109" s="1"/>
      <c r="O109" s="1"/>
      <c r="P109" s="1"/>
      <c r="Q109" s="6"/>
    </row>
    <row r="110" spans="4:17" ht="15.75" x14ac:dyDescent="0.25">
      <c r="D110" s="3">
        <v>97</v>
      </c>
      <c r="E110" s="3">
        <v>0.31405</v>
      </c>
      <c r="F110" s="3">
        <v>0.27793899999999999</v>
      </c>
      <c r="G110" s="1"/>
      <c r="H110" s="1"/>
      <c r="I110" s="1"/>
      <c r="J110" s="6"/>
      <c r="K110" s="1"/>
      <c r="L110" s="1"/>
      <c r="M110" s="1"/>
      <c r="N110" s="1"/>
      <c r="O110" s="1"/>
      <c r="P110" s="1"/>
      <c r="Q110" s="6"/>
    </row>
    <row r="111" spans="4:17" ht="15.75" x14ac:dyDescent="0.25">
      <c r="D111" s="3">
        <v>98</v>
      </c>
      <c r="E111" s="3">
        <v>0.335507</v>
      </c>
      <c r="F111" s="3">
        <v>0.299649</v>
      </c>
      <c r="G111" s="1"/>
      <c r="H111" s="1"/>
      <c r="I111" s="1"/>
      <c r="J111" s="6"/>
      <c r="K111" s="1"/>
      <c r="L111" s="1"/>
      <c r="M111" s="1"/>
      <c r="N111" s="1"/>
      <c r="O111" s="1"/>
      <c r="P111" s="1"/>
      <c r="Q111" s="6"/>
    </row>
    <row r="112" spans="4:17" ht="15.75" x14ac:dyDescent="0.25">
      <c r="D112" s="3">
        <v>99</v>
      </c>
      <c r="E112" s="3">
        <v>0.36994199999999999</v>
      </c>
      <c r="F112" s="3">
        <v>0.31991000000000003</v>
      </c>
      <c r="G112" s="1"/>
      <c r="H112" s="1"/>
      <c r="I112" s="1"/>
      <c r="J112" s="6"/>
      <c r="K112" s="1"/>
      <c r="L112" s="1"/>
      <c r="M112" s="1"/>
      <c r="N112" s="1"/>
      <c r="O112" s="1"/>
      <c r="P112" s="1"/>
      <c r="Q112" s="6"/>
    </row>
    <row r="113" spans="4:17" ht="15.75" x14ac:dyDescent="0.25">
      <c r="D113" s="3">
        <v>100</v>
      </c>
      <c r="E113" s="3">
        <v>0.39050600000000002</v>
      </c>
      <c r="F113" s="3">
        <v>0.350742</v>
      </c>
      <c r="G113" s="1"/>
      <c r="H113" s="1"/>
      <c r="I113" s="1"/>
      <c r="J113" s="6"/>
      <c r="K113" s="1"/>
      <c r="L113" s="1"/>
      <c r="M113" s="1"/>
      <c r="N113" s="1"/>
      <c r="O113" s="1"/>
      <c r="P113" s="1"/>
      <c r="Q113" s="6"/>
    </row>
  </sheetData>
  <hyperlinks>
    <hyperlink ref="X11" r:id="rId1" xr:uid="{00000000-0004-0000-0700-000001000000}"/>
    <hyperlink ref="D2" location="'Navigation control'!A1" display="Navigation control" xr:uid="{0010DFBB-17B2-4E5A-BD70-EE5C3104F7C3}"/>
  </hyperlinks>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5F99CA"/>
  </sheetPr>
  <dimension ref="B1:DZ458"/>
  <sheetViews>
    <sheetView showGridLines="0" zoomScale="80" zoomScaleNormal="80" workbookViewId="0">
      <pane ySplit="5" topLeftCell="A6" activePane="bottomLeft" state="frozen"/>
      <selection pane="bottomLeft"/>
    </sheetView>
  </sheetViews>
  <sheetFormatPr defaultColWidth="8.7109375" defaultRowHeight="15" x14ac:dyDescent="0.2"/>
  <cols>
    <col min="1" max="3" width="8.7109375" style="6"/>
    <col min="4" max="4" width="46.5703125" style="6" bestFit="1" customWidth="1"/>
    <col min="5" max="5" width="14.7109375" style="6" customWidth="1"/>
    <col min="6" max="6" width="16.28515625" style="6" customWidth="1"/>
    <col min="7" max="7" width="14.7109375" style="6" customWidth="1"/>
    <col min="8" max="8" width="15.5703125" style="6" customWidth="1"/>
    <col min="9" max="13" width="14.7109375" style="6" customWidth="1"/>
    <col min="14" max="14" width="16.28515625" style="6" customWidth="1"/>
    <col min="15" max="16" width="14.7109375" style="6" customWidth="1"/>
    <col min="17" max="18" width="16.28515625" style="6" bestFit="1" customWidth="1"/>
    <col min="19" max="31" width="16.28515625" style="6" customWidth="1"/>
    <col min="32" max="32" width="25.5703125" style="6" bestFit="1" customWidth="1"/>
    <col min="33" max="45" width="14.7109375" style="6" customWidth="1"/>
    <col min="46" max="46" width="16.28515625" style="6" bestFit="1" customWidth="1"/>
    <col min="47" max="48" width="13.28515625" style="6" customWidth="1"/>
    <col min="49" max="78" width="8.7109375" style="6"/>
    <col min="79" max="79" width="29.42578125" style="6" hidden="1" customWidth="1"/>
    <col min="80" max="80" width="10.28515625" style="6" hidden="1" customWidth="1"/>
    <col min="81" max="81" width="30" style="6" hidden="1" customWidth="1"/>
    <col min="82" max="82" width="23.42578125" style="6" hidden="1" customWidth="1"/>
    <col min="83" max="87" width="25" style="6" hidden="1" customWidth="1"/>
    <col min="88" max="88" width="23.7109375" style="6" hidden="1" customWidth="1"/>
    <col min="89" max="89" width="21.28515625" style="6" hidden="1" customWidth="1"/>
    <col min="90" max="90" width="46.7109375" style="6" hidden="1" customWidth="1"/>
    <col min="91" max="91" width="25" style="6" hidden="1" customWidth="1"/>
    <col min="92" max="92" width="26.5703125" style="6" hidden="1" customWidth="1"/>
    <col min="93" max="93" width="25.5703125" style="6" hidden="1" customWidth="1"/>
    <col min="94" max="94" width="39.7109375" style="6" hidden="1" customWidth="1"/>
    <col min="95" max="95" width="28.28515625" style="6" hidden="1" customWidth="1"/>
    <col min="96" max="97" width="39.5703125" style="6" hidden="1" customWidth="1"/>
    <col min="98" max="99" width="18.5703125" style="6" hidden="1" customWidth="1"/>
    <col min="100" max="101" width="36.7109375" style="6" hidden="1" customWidth="1"/>
    <col min="102" max="102" width="25.28515625" style="6" bestFit="1" customWidth="1"/>
    <col min="103" max="103" width="25.28515625" style="657" bestFit="1" customWidth="1"/>
    <col min="104" max="106" width="25.28515625" style="6" customWidth="1"/>
    <col min="107" max="107" width="55.5703125" style="6" bestFit="1" customWidth="1"/>
    <col min="108" max="108" width="27.7109375" style="6" bestFit="1" customWidth="1"/>
    <col min="109" max="109" width="29.5703125" style="954" bestFit="1" customWidth="1"/>
    <col min="110" max="110" width="31.5703125" style="6" bestFit="1" customWidth="1"/>
    <col min="111" max="111" width="37.28515625" style="6" bestFit="1" customWidth="1"/>
    <col min="112" max="113" width="37.28515625" style="6" customWidth="1"/>
    <col min="114" max="114" width="32.7109375" style="1097" bestFit="1" customWidth="1"/>
    <col min="115" max="115" width="33.28515625" style="6" bestFit="1" customWidth="1"/>
    <col min="116" max="116" width="33.28515625" style="6" customWidth="1"/>
    <col min="117" max="117" width="28.42578125" style="6" customWidth="1"/>
    <col min="118" max="118" width="21.7109375" style="6" bestFit="1" customWidth="1"/>
    <col min="119" max="119" width="30" style="6" bestFit="1" customWidth="1"/>
    <col min="120" max="120" width="18.28515625" style="6" customWidth="1"/>
    <col min="121" max="121" width="64" style="6" bestFit="1" customWidth="1"/>
    <col min="122" max="122" width="10.28515625" style="6" bestFit="1" customWidth="1"/>
    <col min="123" max="123" width="8.7109375" style="6"/>
    <col min="124" max="124" width="9.28515625" style="6" bestFit="1" customWidth="1"/>
    <col min="125" max="16384" width="8.7109375" style="6"/>
  </cols>
  <sheetData>
    <row r="1" spans="2:130" s="37" customFormat="1" x14ac:dyDescent="0.2">
      <c r="CY1" s="952"/>
      <c r="DE1" s="906"/>
      <c r="DJ1" s="1026"/>
    </row>
    <row r="2" spans="2:130" s="41" customFormat="1" ht="18" x14ac:dyDescent="0.25">
      <c r="B2" s="38"/>
      <c r="C2" s="39"/>
      <c r="D2" s="40" t="s">
        <v>11</v>
      </c>
      <c r="E2" s="39"/>
      <c r="F2" s="39"/>
      <c r="G2" s="38"/>
      <c r="H2" s="39"/>
      <c r="I2" s="39"/>
      <c r="J2" s="38"/>
      <c r="K2" s="39"/>
      <c r="L2" s="39"/>
      <c r="M2" s="39"/>
      <c r="N2" s="39"/>
      <c r="O2" s="39"/>
      <c r="P2" s="39"/>
      <c r="Q2" s="39"/>
      <c r="R2" s="38"/>
      <c r="S2" s="38"/>
      <c r="T2" s="38"/>
      <c r="U2" s="38"/>
      <c r="V2" s="38"/>
      <c r="W2" s="38"/>
      <c r="X2" s="38"/>
      <c r="Y2" s="38"/>
      <c r="Z2" s="38"/>
      <c r="AA2" s="38"/>
      <c r="AB2" s="38"/>
      <c r="AC2" s="38"/>
      <c r="AD2" s="38"/>
      <c r="AE2" s="38"/>
      <c r="AF2" s="38"/>
      <c r="AG2" s="39"/>
      <c r="AH2" s="38"/>
      <c r="AI2" s="38"/>
      <c r="AJ2" s="39"/>
      <c r="AK2" s="39"/>
      <c r="AL2" s="38"/>
      <c r="AM2" s="39"/>
      <c r="CY2" s="953"/>
      <c r="DE2" s="907"/>
      <c r="DJ2" s="1027"/>
    </row>
    <row r="3" spans="2:130" s="41" customFormat="1" ht="15.75" x14ac:dyDescent="0.25">
      <c r="CY3" s="953"/>
      <c r="DE3" s="907"/>
      <c r="DJ3" s="1027"/>
    </row>
    <row r="4" spans="2:130" ht="15.75" x14ac:dyDescent="0.25">
      <c r="DK4" s="12" t="s">
        <v>632</v>
      </c>
    </row>
    <row r="5" spans="2:130" ht="15.75" x14ac:dyDescent="0.25">
      <c r="CA5" s="17" t="s">
        <v>140</v>
      </c>
      <c r="CB5" s="17" t="s">
        <v>202</v>
      </c>
      <c r="CC5" s="17" t="s">
        <v>129</v>
      </c>
      <c r="CD5" s="17" t="s">
        <v>633</v>
      </c>
      <c r="CE5" s="17" t="s">
        <v>634</v>
      </c>
      <c r="CF5" s="17" t="s">
        <v>635</v>
      </c>
      <c r="CG5" s="17" t="s">
        <v>636</v>
      </c>
      <c r="CH5" s="17" t="s">
        <v>637</v>
      </c>
      <c r="CI5" s="17" t="s">
        <v>638</v>
      </c>
      <c r="CJ5" s="17" t="s">
        <v>639</v>
      </c>
      <c r="CK5" s="17" t="s">
        <v>640</v>
      </c>
      <c r="CL5" s="17" t="s">
        <v>641</v>
      </c>
      <c r="CM5" s="17" t="s">
        <v>642</v>
      </c>
      <c r="CN5" s="17" t="s">
        <v>643</v>
      </c>
      <c r="CO5" s="17" t="s">
        <v>644</v>
      </c>
      <c r="CP5" s="17" t="s">
        <v>645</v>
      </c>
      <c r="CQ5" s="17" t="s">
        <v>646</v>
      </c>
      <c r="CR5" s="17" t="s">
        <v>647</v>
      </c>
      <c r="CS5" s="17" t="s">
        <v>648</v>
      </c>
      <c r="CT5" s="17" t="s">
        <v>649</v>
      </c>
      <c r="CU5" s="17" t="s">
        <v>650</v>
      </c>
      <c r="CV5" s="17" t="s">
        <v>651</v>
      </c>
      <c r="CW5" s="17" t="s">
        <v>652</v>
      </c>
      <c r="CZ5" s="17" t="s">
        <v>140</v>
      </c>
      <c r="DA5" s="17" t="s">
        <v>202</v>
      </c>
      <c r="DB5" s="17" t="s">
        <v>129</v>
      </c>
      <c r="DC5" s="1006" t="s">
        <v>451</v>
      </c>
      <c r="DD5" s="17" t="s">
        <v>653</v>
      </c>
      <c r="DE5" s="955" t="s">
        <v>654</v>
      </c>
      <c r="DG5" s="46" t="s">
        <v>655</v>
      </c>
      <c r="DH5" s="17" t="s">
        <v>656</v>
      </c>
      <c r="DI5" s="1006" t="s">
        <v>657</v>
      </c>
      <c r="DL5" s="66" t="s">
        <v>129</v>
      </c>
      <c r="DM5" s="66" t="s">
        <v>658</v>
      </c>
      <c r="DN5" s="66" t="s">
        <v>659</v>
      </c>
      <c r="DO5" s="59" t="s">
        <v>660</v>
      </c>
    </row>
    <row r="6" spans="2:130" x14ac:dyDescent="0.2">
      <c r="CA6" s="17" t="str" cm="1">
        <f t="array" ref="CA6">INDEX(List_comparators,CB6+1)</f>
        <v>nivolumab_monotherapy</v>
      </c>
      <c r="CB6" s="17">
        <v>0</v>
      </c>
      <c r="CC6" s="17">
        <v>2</v>
      </c>
      <c r="CD6" s="17">
        <f ca="1">OFFSET($E$16,0,CB6)</f>
        <v>406</v>
      </c>
      <c r="CE6" s="17">
        <f ca="1">OFFSET($E$28,0,CB6)</f>
        <v>406</v>
      </c>
      <c r="CF6" s="17">
        <f ca="1">OFFSET($S$16,0,CB6)</f>
        <v>9709.5625</v>
      </c>
      <c r="CG6" s="17">
        <f ca="1">OFFSET($S$28,0,CB6)</f>
        <v>9709.5625</v>
      </c>
      <c r="CH6" s="17">
        <f ca="1">OFFSET($AG$16,0,CB6)</f>
        <v>4.1814448385290276E-2</v>
      </c>
      <c r="CI6" s="17">
        <f ca="1">OFFSET($AG$28,0,CB6)</f>
        <v>4.1814448385290276E-2</v>
      </c>
      <c r="CJ6" s="583">
        <f>AU16</f>
        <v>3</v>
      </c>
      <c r="CK6" s="583">
        <f>AV16</f>
        <v>0.6</v>
      </c>
      <c r="CL6" s="17" t="str" cm="1">
        <f t="array" ref="CL6:CL8">List_AEs_all_grade</f>
        <v>Diarrhoea</v>
      </c>
      <c r="CM6" s="17">
        <v>1</v>
      </c>
      <c r="CN6" s="17">
        <f ca="1">OFFSET($E$18,$CM6-1,$CB6)</f>
        <v>50</v>
      </c>
      <c r="CO6" s="17">
        <f t="shared" ref="CO6:CO69" ca="1" si="0">OFFSET($E$30,$CM6-1,$CB6)</f>
        <v>0</v>
      </c>
      <c r="CP6" s="17">
        <f ca="1">OFFSET($S$18,$CM6-1,$CB6)</f>
        <v>9709.5625</v>
      </c>
      <c r="CQ6" s="17">
        <v>0</v>
      </c>
      <c r="CR6" s="17">
        <f ca="1">OFFSET($AG$18,$CM6-1,$CB6)</f>
        <v>4.6346063481233057E-3</v>
      </c>
      <c r="CS6" s="17">
        <v>0</v>
      </c>
      <c r="CT6" s="17" t="str">
        <f>dd_apply_AE_options</f>
        <v>one-off</v>
      </c>
      <c r="CU6" s="17" t="str">
        <f>G7</f>
        <v>Yes</v>
      </c>
      <c r="CV6" s="17">
        <f ca="1">OFFSET($E$86,$CM6-1,$CB6)</f>
        <v>1</v>
      </c>
      <c r="CW6" s="17">
        <f ca="1">OFFSET($S$86,$CM6-1,$CB6)</f>
        <v>4.6346063481233057E-3</v>
      </c>
      <c r="CY6" s="657">
        <v>1</v>
      </c>
      <c r="CZ6" s="17" t="str">
        <f>CA6</f>
        <v>nivolumab_monotherapy</v>
      </c>
      <c r="DA6" s="17">
        <f>CB6</f>
        <v>0</v>
      </c>
      <c r="DB6" s="17">
        <f>CC6</f>
        <v>2</v>
      </c>
      <c r="DC6" s="17" t="str">
        <f>"G3+ "&amp;$D$30</f>
        <v>G3+ ALT increased</v>
      </c>
      <c r="DD6" s="17">
        <f t="shared" ref="DD6:DD27" ca="1" si="1">CHOOSE(i_AE_NMA_option_num,OFFSET($S$63,$CY6-1,$DA6),OFFSET($AG$30,$CY6-1,$DA6))</f>
        <v>0</v>
      </c>
      <c r="DE6" s="956">
        <f t="shared" ref="DE6:DE27" ca="1" si="2">OFFSET($S$30,$CY6-1,$DA6)/INDEX($DS$14:$DS$27,MATCH(DA6,$DR$14:$DR$27,0))</f>
        <v>23.915178571428573</v>
      </c>
      <c r="DG6" s="1008">
        <f>'Resource use and costs'!$BD$171</f>
        <v>0</v>
      </c>
      <c r="DH6" s="1009">
        <f>Utilities!$BB$320</f>
        <v>-0.1</v>
      </c>
      <c r="DI6" s="1178">
        <f>Utilities!I312</f>
        <v>3</v>
      </c>
      <c r="DJ6" s="1097">
        <v>1</v>
      </c>
      <c r="DK6" s="17" t="str" cm="1">
        <f t="array" ref="DK6">INDEX(List_comparators,DJ6)</f>
        <v>nivolumab_monotherapy</v>
      </c>
      <c r="DL6" s="17">
        <v>2</v>
      </c>
      <c r="DM6" s="1179" cm="1">
        <f t="array" aca="1" ref="DM6" ca="1">SUMPRODUCT(($DK6=$CZ$6:$CZ$430)*($DB$6:$DB$430=$DL6),$DD$6:$DD$430,$DE$6:$DE$430,$DG$6:$DG$430)</f>
        <v>161.1337489904144</v>
      </c>
      <c r="DN6" s="1180" cm="1">
        <f t="array" aca="1" ref="DN6" ca="1">SUMPRODUCT(($DK6=$CZ$6:$CZ$430)*($DB$6:$DB$430=$DL6),$DD$6:$DD$430,$DG$6:$DG$430)</f>
        <v>6.7377188302880011</v>
      </c>
      <c r="DO6" s="1181" cm="1">
        <f t="array" aca="1" ref="DO6" ca="1">SUMPRODUCT(($DK6=$CZ$6:$CZ$430)*($DB$6:$DB$430=$DL6),$DD$6:$DD$430,$DE$6:$DE$430,$DH$6:$DH$430,$DI$6:$DI$430)*7/365.25</f>
        <v>-1.5970841976847864E-3</v>
      </c>
      <c r="DP6" s="1005"/>
    </row>
    <row r="7" spans="2:130" x14ac:dyDescent="0.2">
      <c r="D7" s="6" t="s">
        <v>661</v>
      </c>
      <c r="G7" s="42" t="s">
        <v>74</v>
      </c>
      <c r="H7" s="419">
        <f>MATCH(G7,List_YesorNo,0)</f>
        <v>1</v>
      </c>
      <c r="CA7" s="17" t="str" cm="1">
        <f t="array" ref="CA7">INDEX(List_comparators,CB7+1)</f>
        <v>nivolumab_monotherapy</v>
      </c>
      <c r="CB7" s="17">
        <v>0</v>
      </c>
      <c r="CC7" s="17">
        <v>2</v>
      </c>
      <c r="CD7" s="17"/>
      <c r="CE7" s="17"/>
      <c r="CF7" s="17"/>
      <c r="CG7" s="17"/>
      <c r="CH7" s="17"/>
      <c r="CI7" s="17"/>
      <c r="CJ7" s="583"/>
      <c r="CK7" s="583"/>
      <c r="CL7" s="17" t="str">
        <v>Fatigue</v>
      </c>
      <c r="CM7" s="17">
        <v>2</v>
      </c>
      <c r="CN7" s="17">
        <f ca="1">OFFSET($E$18,$CM7-1,$CB7)</f>
        <v>134</v>
      </c>
      <c r="CO7" s="17">
        <f t="shared" ca="1" si="0"/>
        <v>0</v>
      </c>
      <c r="CP7" s="17">
        <f ca="1">OFFSET($S$18,$CM7-1,$CB7)</f>
        <v>9709.5625</v>
      </c>
      <c r="CQ7" s="17">
        <v>0</v>
      </c>
      <c r="CR7" s="17">
        <f ca="1">OFFSET($AG$18,$CM7-1,$CB7)</f>
        <v>1.2770915270384221E-2</v>
      </c>
      <c r="CS7" s="17">
        <v>0</v>
      </c>
      <c r="CT7" s="17" t="str">
        <f>$CT$6</f>
        <v>one-off</v>
      </c>
      <c r="CU7" s="17" t="str">
        <f>$CU$6</f>
        <v>Yes</v>
      </c>
      <c r="CV7" s="17">
        <f ca="1">OFFSET($E$86,$CM7-1,$CB7)</f>
        <v>0.5</v>
      </c>
      <c r="CW7" s="17">
        <f ca="1">OFFSET($S$86,$CM7-1,$CB7)</f>
        <v>6.3854576351921105E-3</v>
      </c>
      <c r="CY7" s="657">
        <v>2</v>
      </c>
      <c r="CZ7" s="17" t="str">
        <f t="shared" ref="CZ7:CZ26" si="3">CA7</f>
        <v>nivolumab_monotherapy</v>
      </c>
      <c r="DA7" s="17">
        <f t="shared" ref="DA7:DA26" si="4">CB7</f>
        <v>0</v>
      </c>
      <c r="DB7" s="17">
        <f t="shared" ref="DB7:DB26" si="5">CC7</f>
        <v>2</v>
      </c>
      <c r="DC7" s="17" t="str">
        <f>"G3+ "&amp;$D$31</f>
        <v>G3+ Anaemia</v>
      </c>
      <c r="DD7" s="17">
        <f t="shared" ca="1" si="1"/>
        <v>2.8247597029891344E-3</v>
      </c>
      <c r="DE7" s="956">
        <f t="shared" ca="1" si="2"/>
        <v>23.915178571428573</v>
      </c>
      <c r="DG7" s="1008">
        <f>'Resource use and costs'!$BD$172</f>
        <v>655.75</v>
      </c>
      <c r="DH7" s="1009">
        <f>Utilities!$BB$321</f>
        <v>-0.1</v>
      </c>
      <c r="DI7" s="1178">
        <f>Utilities!I313</f>
        <v>3</v>
      </c>
      <c r="DJ7" s="1097">
        <v>2</v>
      </c>
      <c r="DK7" s="1006" t="str" cm="1">
        <f t="array" ref="DK7">INDEX(List_comparators,DJ7)</f>
        <v>cabozantinib_plus_nivolumab</v>
      </c>
      <c r="DL7" s="17">
        <v>1</v>
      </c>
      <c r="DM7" s="1179" cm="1">
        <f t="array" aca="1" ref="DM7" ca="1">SUMPRODUCT(($DK7=$CZ$6:$CZ$430)*($DB$6:$DB$430=$DL7),$DD$6:$DD$430,$DE$6:$DE$430,$DG$6:$DG$430)</f>
        <v>1126.8076103237358</v>
      </c>
      <c r="DN7" s="1180" cm="1">
        <f t="array" aca="1" ref="DN7" ca="1">SUMPRODUCT(($DK7=$CZ$6:$CZ$430)*($DB$6:$DB$430=$DL7),$DD$6:$DD$430,$DG$6:$DG$430)</f>
        <v>11.887275809228795</v>
      </c>
      <c r="DO7" s="1181" cm="1">
        <f t="array" aca="1" ref="DO7" ca="1">SUMPRODUCT(($DK7=$CZ$6:$CZ$430)*($DB$6:$DB$430=$DL7),$DD$6:$DD$430,$DE$6:$DE$430,$DH$6:$DH$430,$DI$6:$DI$430)*7/365.25</f>
        <v>-1.1378460189650001E-2</v>
      </c>
      <c r="DP7" s="1182"/>
    </row>
    <row r="8" spans="2:130" ht="15.75" thickBot="1" x14ac:dyDescent="0.25">
      <c r="CA8" s="19" t="str" cm="1">
        <f t="array" ref="CA8">INDEX(List_comparators,CB8+1)</f>
        <v>nivolumab_monotherapy</v>
      </c>
      <c r="CB8" s="19">
        <v>0</v>
      </c>
      <c r="CC8" s="19">
        <v>2</v>
      </c>
      <c r="CD8" s="19"/>
      <c r="CE8" s="19"/>
      <c r="CF8" s="19"/>
      <c r="CG8" s="19"/>
      <c r="CH8" s="19"/>
      <c r="CI8" s="19"/>
      <c r="CJ8" s="743"/>
      <c r="CK8" s="743"/>
      <c r="CL8" s="19" t="str">
        <v>Palmar-plantar erythrodysaesthesia syndrome</v>
      </c>
      <c r="CM8" s="19">
        <v>3</v>
      </c>
      <c r="CN8" s="19">
        <f ca="1">OFFSET($E$18,$CM8-1,$CB8)</f>
        <v>0</v>
      </c>
      <c r="CO8" s="19">
        <f t="shared" ca="1" si="0"/>
        <v>0</v>
      </c>
      <c r="CP8" s="19">
        <f ca="1">OFFSET($S$18,$CM8-1,$CB8)</f>
        <v>9709.5625</v>
      </c>
      <c r="CQ8" s="19">
        <v>0</v>
      </c>
      <c r="CR8" s="19">
        <f ca="1">OFFSET($AG$18,$CM8-1,$CB8)</f>
        <v>0</v>
      </c>
      <c r="CS8" s="19">
        <v>0</v>
      </c>
      <c r="CT8" s="19" t="str">
        <f t="shared" ref="CT8:CT29" si="6">$CT$6</f>
        <v>one-off</v>
      </c>
      <c r="CU8" s="19" t="str">
        <f t="shared" ref="CU8:CU29" si="7">$CU$6</f>
        <v>Yes</v>
      </c>
      <c r="CV8" s="19">
        <f ca="1">OFFSET($E$86,$CM8-1,$CB8)</f>
        <v>0</v>
      </c>
      <c r="CW8" s="19">
        <f ca="1">OFFSET($S$86,$CM8-1,$CB8)</f>
        <v>0</v>
      </c>
      <c r="CY8" s="657">
        <v>3</v>
      </c>
      <c r="CZ8" s="17" t="str">
        <f t="shared" si="3"/>
        <v>nivolumab_monotherapy</v>
      </c>
      <c r="DA8" s="17">
        <f t="shared" si="4"/>
        <v>0</v>
      </c>
      <c r="DB8" s="17">
        <f t="shared" si="5"/>
        <v>2</v>
      </c>
      <c r="DC8" s="17" t="str">
        <f>"G3+ "&amp;$D$32</f>
        <v>G3+ Decreased appetite</v>
      </c>
      <c r="DD8" s="17">
        <f t="shared" ca="1" si="1"/>
        <v>0</v>
      </c>
      <c r="DE8" s="956">
        <f t="shared" ca="1" si="2"/>
        <v>23.915178571428573</v>
      </c>
      <c r="DG8" s="1008">
        <f>'Resource use and costs'!$BD$173</f>
        <v>0</v>
      </c>
      <c r="DH8" s="1009">
        <f>Utilities!$BB$322</f>
        <v>-0.1</v>
      </c>
      <c r="DI8" s="1178">
        <f>Utilities!I314</f>
        <v>3</v>
      </c>
      <c r="DJ8" s="1097">
        <v>3</v>
      </c>
      <c r="DK8" s="1006" t="str" cm="1">
        <f t="array" ref="DK8">INDEX(List_comparators,DJ8)</f>
        <v>nivolumab_plus_ipilimumab</v>
      </c>
      <c r="DL8" s="17">
        <v>1</v>
      </c>
      <c r="DM8" s="1179" cm="1">
        <f t="array" aca="1" ref="DM8" ca="1">SUMPRODUCT(($DK8=$CZ$6:$CZ$430)*($DB$6:$DB$430=$DL8),$DD$6:$DD$430,$DE$6:$DE$430,$DG$6:$DG$430)</f>
        <v>334.75910497603633</v>
      </c>
      <c r="DN8" s="1180" cm="1">
        <f t="array" aca="1" ref="DN8" ca="1">SUMPRODUCT(($DK8=$CZ$6:$CZ$430)*($DB$6:$DB$430=$DL8),$DD$6:$DD$430,$DG$6:$DG$430)</f>
        <v>9.7452810431513193</v>
      </c>
      <c r="DO8" s="1181" cm="1">
        <f t="array" aca="1" ref="DO8" ca="1">SUMPRODUCT(($DK8=$CZ$6:$CZ$430)*($DB$6:$DB$430=$DL8),$DD$6:$DD$430,$DE$6:$DE$430,$DH$6:$DH$430,$DI$6:$DI$430)*7/365.25</f>
        <v>-3.0359842030249617E-3</v>
      </c>
      <c r="DP8" s="1182"/>
    </row>
    <row r="9" spans="2:130" x14ac:dyDescent="0.2">
      <c r="D9" s="6" t="s">
        <v>662</v>
      </c>
      <c r="G9" s="48">
        <v>0.05</v>
      </c>
      <c r="CA9" s="252" t="str" cm="1">
        <f t="array" ref="CA9">INDEX(List_comparators,CB9+1)</f>
        <v>nivolumab_monotherapy</v>
      </c>
      <c r="CB9" s="252">
        <v>0</v>
      </c>
      <c r="CC9" s="252">
        <v>2</v>
      </c>
      <c r="CD9" s="252"/>
      <c r="CE9" s="252"/>
      <c r="CF9" s="252"/>
      <c r="CG9" s="252"/>
      <c r="CH9" s="252"/>
      <c r="CI9" s="252"/>
      <c r="CJ9" s="742"/>
      <c r="CK9" s="742"/>
      <c r="CL9" s="252" t="str" cm="1">
        <f t="array" ref="CL9:CL30">List_AEs_g3</f>
        <v>ALT increased</v>
      </c>
      <c r="CM9" s="252">
        <v>1</v>
      </c>
      <c r="CN9" s="252">
        <v>0</v>
      </c>
      <c r="CO9" s="252">
        <f t="shared" ca="1" si="0"/>
        <v>0</v>
      </c>
      <c r="CP9" s="252"/>
      <c r="CQ9" s="252">
        <f t="shared" ref="CQ9:CQ29" ca="1" si="8">OFFSET($S$30,$CM9-1,$CB9)</f>
        <v>9709.5625</v>
      </c>
      <c r="CR9" s="252">
        <v>0</v>
      </c>
      <c r="CS9" s="252">
        <f t="shared" ref="CS9:CS29" ca="1" si="9">OFFSET($AG$30,$CM9-1,$CB9)</f>
        <v>0</v>
      </c>
      <c r="CT9" s="252" t="str">
        <f t="shared" si="6"/>
        <v>one-off</v>
      </c>
      <c r="CU9" s="252" t="str">
        <f t="shared" si="7"/>
        <v>Yes</v>
      </c>
      <c r="CV9" s="252">
        <f ca="1">OFFSET($E$63,$CM9-1,$CB9)</f>
        <v>0.58199999999999996</v>
      </c>
      <c r="CW9" s="252">
        <f ca="1">OFFSET($S$63,$CM9-1,$CB9)</f>
        <v>0</v>
      </c>
      <c r="CY9" s="657">
        <v>4</v>
      </c>
      <c r="CZ9" s="17" t="str">
        <f t="shared" si="3"/>
        <v>nivolumab_monotherapy</v>
      </c>
      <c r="DA9" s="17">
        <f t="shared" si="4"/>
        <v>0</v>
      </c>
      <c r="DB9" s="17">
        <f t="shared" si="5"/>
        <v>2</v>
      </c>
      <c r="DC9" s="17" t="str">
        <f>"G3+ "&amp;$D$33</f>
        <v>G3+ Diarrhoea _TKI induced</v>
      </c>
      <c r="DD9" s="17">
        <f t="shared" ca="1" si="1"/>
        <v>4.5560640370792478E-4</v>
      </c>
      <c r="DE9" s="956">
        <f t="shared" ca="1" si="2"/>
        <v>23.915178571428573</v>
      </c>
      <c r="DG9" s="1008">
        <f>'Resource use and costs'!$BD$174</f>
        <v>827.18</v>
      </c>
      <c r="DH9" s="1009">
        <f>Utilities!$BB$323</f>
        <v>-0.1</v>
      </c>
      <c r="DI9" s="1178">
        <f>Utilities!I315</f>
        <v>3</v>
      </c>
      <c r="DJ9" s="1097">
        <v>4</v>
      </c>
      <c r="DK9" s="1006" t="str" cm="1">
        <f t="array" ref="DK9">INDEX(List_comparators,DJ9)</f>
        <v>lenvatinib_plus_pembrolizumab</v>
      </c>
      <c r="DL9" s="17">
        <v>1</v>
      </c>
      <c r="DM9" s="1179" cm="1">
        <f t="array" aca="1" ref="DM9" ca="1">SUMPRODUCT(($DK9=$CZ$6:$CZ$430)*($DB$6:$DB$430=$DL9),$DD$6:$DD$430,$DE$6:$DE$430,$DG$6:$DG$430)</f>
        <v>1061.7527092868709</v>
      </c>
      <c r="DN9" s="1180" cm="1">
        <f t="array" aca="1" ref="DN9" ca="1">SUMPRODUCT(($DK9=$CZ$6:$CZ$430)*($DB$6:$DB$430=$DL9),$DD$6:$DD$430,$DG$6:$DG$430)</f>
        <v>14.363607131311696</v>
      </c>
      <c r="DO9" s="1181" cm="1">
        <f t="array" aca="1" ref="DO9" ca="1">SUMPRODUCT(($DK9=$CZ$6:$CZ$430)*($DB$6:$DB$430=$DL9),$DD$6:$DD$430,$DE$6:$DE$430,$DH$6:$DH$430,$DI$6:$DI$430)*7/365.25</f>
        <v>-1.0510408272201344E-2</v>
      </c>
      <c r="DP9" s="1182"/>
    </row>
    <row r="10" spans="2:130" x14ac:dyDescent="0.2">
      <c r="CA10" s="17" t="str" cm="1">
        <f t="array" ref="CA10">INDEX(List_comparators,CB10+1)</f>
        <v>nivolumab_monotherapy</v>
      </c>
      <c r="CB10" s="17">
        <v>0</v>
      </c>
      <c r="CC10" s="17">
        <v>2</v>
      </c>
      <c r="CD10" s="17"/>
      <c r="CE10" s="17"/>
      <c r="CF10" s="17"/>
      <c r="CG10" s="17"/>
      <c r="CH10" s="17"/>
      <c r="CI10" s="17"/>
      <c r="CJ10" s="583"/>
      <c r="CK10" s="583"/>
      <c r="CL10" s="17" t="str">
        <v>Anaemia</v>
      </c>
      <c r="CM10" s="17">
        <v>2</v>
      </c>
      <c r="CN10" s="17">
        <v>0</v>
      </c>
      <c r="CO10" s="17">
        <f t="shared" ca="1" si="0"/>
        <v>0</v>
      </c>
      <c r="CP10" s="17"/>
      <c r="CQ10" s="17">
        <f t="shared" ca="1" si="8"/>
        <v>9709.5625</v>
      </c>
      <c r="CR10" s="17">
        <v>0</v>
      </c>
      <c r="CS10" s="17">
        <f t="shared" ca="1" si="9"/>
        <v>0</v>
      </c>
      <c r="CT10" s="17" t="str">
        <f t="shared" si="6"/>
        <v>one-off</v>
      </c>
      <c r="CU10" s="17" t="str">
        <f t="shared" si="7"/>
        <v>Yes</v>
      </c>
      <c r="CV10" s="17">
        <f t="shared" ref="CV10:CV29" ca="1" si="10">OFFSET($E$63,$CM10-1,$CB10)</f>
        <v>0.58199999999999996</v>
      </c>
      <c r="CW10" s="17">
        <f t="shared" ref="CW10:CW29" ca="1" si="11">OFFSET($S$63,$CM10-1,$CB10)</f>
        <v>2.8247597029891344E-3</v>
      </c>
      <c r="CY10" s="657">
        <v>5</v>
      </c>
      <c r="CZ10" s="17" t="str">
        <f t="shared" si="3"/>
        <v>nivolumab_monotherapy</v>
      </c>
      <c r="DA10" s="17">
        <f t="shared" si="4"/>
        <v>0</v>
      </c>
      <c r="DB10" s="17">
        <f t="shared" si="5"/>
        <v>2</v>
      </c>
      <c r="DC10" s="17" t="str">
        <f>"G3+ "&amp;$D$34</f>
        <v>G3+ Diarrhoea _IO induced</v>
      </c>
      <c r="DD10" s="17">
        <f t="shared" ca="1" si="1"/>
        <v>0</v>
      </c>
      <c r="DE10" s="956">
        <f t="shared" ca="1" si="2"/>
        <v>23.915178571428573</v>
      </c>
      <c r="DG10" s="1008">
        <f>'Resource use and costs'!$BD$175</f>
        <v>4321.12</v>
      </c>
      <c r="DH10" s="1009">
        <f>Utilities!$BB$324</f>
        <v>-0.1</v>
      </c>
      <c r="DI10" s="1178">
        <f>Utilities!I316</f>
        <v>3</v>
      </c>
      <c r="DJ10" s="1097">
        <v>5</v>
      </c>
      <c r="DK10" s="1006" t="str" cm="1">
        <f t="array" ref="DK10">INDEX(List_comparators,DJ10)</f>
        <v>avelumab_plus_axitinib</v>
      </c>
      <c r="DL10" s="17">
        <v>1</v>
      </c>
      <c r="DM10" s="1179" cm="1">
        <f t="array" aca="1" ref="DM10" ca="1">SUMPRODUCT(($DK10=$CZ$6:$CZ$430)*($DB$6:$DB$430=$DL10),$DD$6:$DD$430,$DE$6:$DE$430,$DG$6:$DG$430)</f>
        <v>1035.5115355308251</v>
      </c>
      <c r="DN10" s="1180" cm="1">
        <f t="array" aca="1" ref="DN10" ca="1">SUMPRODUCT(($DK10=$CZ$6:$CZ$430)*($DB$6:$DB$430=$DL10),$DD$6:$DD$430,$DG$6:$DG$430)</f>
        <v>17.905743616657517</v>
      </c>
      <c r="DO10" s="1181" cm="1">
        <f t="array" aca="1" ref="DO10" ca="1">SUMPRODUCT(($DK10=$CZ$6:$CZ$430)*($DB$6:$DB$430=$DL10),$DD$6:$DD$430,$DE$6:$DE$430,$DH$6:$DH$430,$DI$6:$DI$430)*7/365.25</f>
        <v>-1.0244648960895299E-2</v>
      </c>
      <c r="DP10" s="1182"/>
    </row>
    <row r="11" spans="2:130" x14ac:dyDescent="0.2">
      <c r="D11" s="6" t="s">
        <v>663</v>
      </c>
      <c r="G11" s="42" t="s">
        <v>287</v>
      </c>
      <c r="CA11" s="17" t="str" cm="1">
        <f t="array" ref="CA11">INDEX(List_comparators,CB11+1)</f>
        <v>nivolumab_monotherapy</v>
      </c>
      <c r="CB11" s="17">
        <v>0</v>
      </c>
      <c r="CC11" s="17">
        <v>2</v>
      </c>
      <c r="CD11" s="17"/>
      <c r="CE11" s="17"/>
      <c r="CF11" s="17"/>
      <c r="CG11" s="17"/>
      <c r="CH11" s="17"/>
      <c r="CI11" s="17"/>
      <c r="CJ11" s="583"/>
      <c r="CK11" s="583"/>
      <c r="CL11" s="17" t="str">
        <v>Decreased appetite</v>
      </c>
      <c r="CM11" s="17">
        <v>3</v>
      </c>
      <c r="CN11" s="17">
        <v>0</v>
      </c>
      <c r="CO11" s="17">
        <f t="shared" ca="1" si="0"/>
        <v>0</v>
      </c>
      <c r="CP11" s="17"/>
      <c r="CQ11" s="17">
        <f t="shared" ca="1" si="8"/>
        <v>9709.5625</v>
      </c>
      <c r="CR11" s="17">
        <v>0</v>
      </c>
      <c r="CS11" s="17">
        <f t="shared" ca="1" si="9"/>
        <v>0</v>
      </c>
      <c r="CT11" s="17" t="str">
        <f t="shared" si="6"/>
        <v>one-off</v>
      </c>
      <c r="CU11" s="17" t="str">
        <f t="shared" si="7"/>
        <v>Yes</v>
      </c>
      <c r="CV11" s="17">
        <f t="shared" ca="1" si="10"/>
        <v>0.58199999999999996</v>
      </c>
      <c r="CW11" s="17">
        <f t="shared" ca="1" si="11"/>
        <v>0</v>
      </c>
      <c r="CY11" s="657">
        <v>6</v>
      </c>
      <c r="CZ11" s="17" t="str">
        <f t="shared" si="3"/>
        <v>nivolumab_monotherapy</v>
      </c>
      <c r="DA11" s="17">
        <f t="shared" si="4"/>
        <v>0</v>
      </c>
      <c r="DB11" s="17">
        <f t="shared" si="5"/>
        <v>2</v>
      </c>
      <c r="DC11" s="17" t="str">
        <f>"G3+ "&amp;$D$35</f>
        <v>G3+ Fatigue</v>
      </c>
      <c r="DD11" s="17">
        <f t="shared" ca="1" si="1"/>
        <v>1.0023340881574346E-3</v>
      </c>
      <c r="DE11" s="956">
        <f t="shared" ca="1" si="2"/>
        <v>23.915178571428573</v>
      </c>
      <c r="DG11" s="1008">
        <f>'Resource use and costs'!$BD$176</f>
        <v>662.61</v>
      </c>
      <c r="DH11" s="1009">
        <f>Utilities!$BB$325</f>
        <v>-0.1</v>
      </c>
      <c r="DI11" s="1178">
        <f>Utilities!I317</f>
        <v>3</v>
      </c>
      <c r="DJ11" s="1097">
        <v>6</v>
      </c>
      <c r="DK11" s="1006" t="str" cm="1">
        <f t="array" ref="DK11">INDEX(List_comparators,DJ11)</f>
        <v>pazopanib</v>
      </c>
      <c r="DL11" s="17">
        <v>1</v>
      </c>
      <c r="DM11" s="1179" cm="1">
        <f t="array" aca="1" ref="DM11" ca="1">SUMPRODUCT(($DK11=$CZ$6:$CZ$430)*($DB$6:$DB$430=$DL11),$DD$6:$DD$430,$DE$6:$DE$430,$DG$6:$DG$430)</f>
        <v>511.60827353266905</v>
      </c>
      <c r="DN11" s="1180" cm="1">
        <f t="array" aca="1" ref="DN11" ca="1">SUMPRODUCT(($DK11=$CZ$6:$CZ$430)*($DB$6:$DB$430=$DL11),$DD$6:$DD$430,$DG$6:$DG$430)</f>
        <v>14.707424701144491</v>
      </c>
      <c r="DO11" s="1181" cm="1">
        <f t="array" aca="1" ref="DO11" ca="1">SUMPRODUCT(($DK11=$CZ$6:$CZ$430)*($DB$6:$DB$430=$DL11),$DD$6:$DD$430,$DE$6:$DE$430,$DH$6:$DH$430,$DI$6:$DI$430)*7/365.25</f>
        <v>-5.0447816550466236E-3</v>
      </c>
      <c r="DP11" s="1182"/>
    </row>
    <row r="12" spans="2:130" x14ac:dyDescent="0.2">
      <c r="CA12" s="17" t="str" cm="1">
        <f t="array" ref="CA12">INDEX(List_comparators,CB12+1)</f>
        <v>nivolumab_monotherapy</v>
      </c>
      <c r="CB12" s="17">
        <v>0</v>
      </c>
      <c r="CC12" s="17">
        <v>2</v>
      </c>
      <c r="CD12" s="17"/>
      <c r="CE12" s="17"/>
      <c r="CF12" s="17"/>
      <c r="CG12" s="17"/>
      <c r="CH12" s="17"/>
      <c r="CI12" s="17"/>
      <c r="CJ12" s="583"/>
      <c r="CK12" s="583"/>
      <c r="CL12" s="17" t="str">
        <v>Diarrhoea _TKI induced</v>
      </c>
      <c r="CM12" s="17">
        <v>4</v>
      </c>
      <c r="CN12" s="17">
        <v>0</v>
      </c>
      <c r="CO12" s="17">
        <f t="shared" ca="1" si="0"/>
        <v>0</v>
      </c>
      <c r="CP12" s="17"/>
      <c r="CQ12" s="17">
        <f t="shared" ca="1" si="8"/>
        <v>9709.5625</v>
      </c>
      <c r="CR12" s="17">
        <v>0</v>
      </c>
      <c r="CS12" s="17">
        <f t="shared" ca="1" si="9"/>
        <v>0</v>
      </c>
      <c r="CT12" s="17" t="str">
        <f t="shared" si="6"/>
        <v>one-off</v>
      </c>
      <c r="CU12" s="17" t="str">
        <f t="shared" si="7"/>
        <v>Yes</v>
      </c>
      <c r="CV12" s="17">
        <f t="shared" ca="1" si="10"/>
        <v>0.58199999999999996</v>
      </c>
      <c r="CW12" s="17">
        <f t="shared" ca="1" si="11"/>
        <v>4.5560640370792478E-4</v>
      </c>
      <c r="CY12" s="657">
        <v>7</v>
      </c>
      <c r="CZ12" s="17" t="str">
        <f t="shared" si="3"/>
        <v>nivolumab_monotherapy</v>
      </c>
      <c r="DA12" s="17">
        <f t="shared" si="4"/>
        <v>0</v>
      </c>
      <c r="DB12" s="17">
        <f t="shared" si="5"/>
        <v>2</v>
      </c>
      <c r="DC12" s="17" t="str">
        <f>"G3+ "&amp;$D$36</f>
        <v>G3+ HFS</v>
      </c>
      <c r="DD12" s="17">
        <f t="shared" ca="1" si="1"/>
        <v>0</v>
      </c>
      <c r="DE12" s="956">
        <f t="shared" ca="1" si="2"/>
        <v>23.915178571428573</v>
      </c>
      <c r="DG12" s="1008">
        <f>'Resource use and costs'!$BD$177</f>
        <v>621.42499999999995</v>
      </c>
      <c r="DH12" s="1009">
        <f>Utilities!$BB$326</f>
        <v>-0.1</v>
      </c>
      <c r="DI12" s="1178">
        <f>Utilities!I318</f>
        <v>3</v>
      </c>
      <c r="DJ12" s="1097">
        <v>7</v>
      </c>
      <c r="DK12" s="1006" t="str" cm="1">
        <f t="array" ref="DK12">INDEX(List_comparators,DJ12)</f>
        <v>tivozanib</v>
      </c>
      <c r="DL12" s="17">
        <v>1</v>
      </c>
      <c r="DM12" s="1179" cm="1">
        <f t="array" aca="1" ref="DM12" ca="1">SUMPRODUCT(($DK12=$CZ$6:$CZ$430)*($DB$6:$DB$430=$DL12),$DD$6:$DD$430,$DE$6:$DE$430,$DG$6:$DG$430)</f>
        <v>407.93605269805306</v>
      </c>
      <c r="DN12" s="1180" cm="1">
        <f t="array" aca="1" ref="DN12" ca="1">SUMPRODUCT(($DK12=$CZ$6:$CZ$430)*($DB$6:$DB$430=$DL12),$DD$6:$DD$430,$DG$6:$DG$430)</f>
        <v>14.495189689778536</v>
      </c>
      <c r="DO12" s="1181" cm="1">
        <f t="array" aca="1" ref="DO12" ca="1">SUMPRODUCT(($DK12=$CZ$6:$CZ$430)*($DB$6:$DB$430=$DL12),$DD$6:$DD$430,$DE$6:$DE$430,$DH$6:$DH$430,$DI$6:$DI$430)*7/365.25</f>
        <v>-3.453954640319298E-3</v>
      </c>
      <c r="DP12" s="1182"/>
    </row>
    <row r="13" spans="2:130" ht="16.5" thickBot="1" x14ac:dyDescent="0.3">
      <c r="D13" s="490"/>
      <c r="CA13" s="17" t="str" cm="1">
        <f t="array" ref="CA13">INDEX(List_comparators,CB13+1)</f>
        <v>nivolumab_monotherapy</v>
      </c>
      <c r="CB13" s="17">
        <v>0</v>
      </c>
      <c r="CC13" s="17">
        <v>2</v>
      </c>
      <c r="CD13" s="17"/>
      <c r="CE13" s="17"/>
      <c r="CF13" s="17"/>
      <c r="CG13" s="17"/>
      <c r="CH13" s="17"/>
      <c r="CI13" s="17"/>
      <c r="CJ13" s="583"/>
      <c r="CK13" s="583"/>
      <c r="CL13" s="17" t="str">
        <v>Diarrhoea _IO induced</v>
      </c>
      <c r="CM13" s="17">
        <v>5</v>
      </c>
      <c r="CN13" s="17">
        <v>0</v>
      </c>
      <c r="CO13" s="17">
        <f t="shared" ca="1" si="0"/>
        <v>5</v>
      </c>
      <c r="CP13" s="17"/>
      <c r="CQ13" s="17">
        <f t="shared" ca="1" si="8"/>
        <v>9709.5625</v>
      </c>
      <c r="CR13" s="17">
        <v>0</v>
      </c>
      <c r="CS13" s="17">
        <f t="shared" ca="1" si="9"/>
        <v>5.1495626090258958E-4</v>
      </c>
      <c r="CT13" s="17" t="str">
        <f t="shared" si="6"/>
        <v>one-off</v>
      </c>
      <c r="CU13" s="17" t="str">
        <f t="shared" si="7"/>
        <v>Yes</v>
      </c>
      <c r="CV13" s="17">
        <f t="shared" ca="1" si="10"/>
        <v>0.58199999999999996</v>
      </c>
      <c r="CW13" s="17">
        <f t="shared" ca="1" si="11"/>
        <v>0</v>
      </c>
      <c r="CY13" s="657">
        <v>8</v>
      </c>
      <c r="CZ13" s="17" t="str">
        <f t="shared" si="3"/>
        <v>nivolumab_monotherapy</v>
      </c>
      <c r="DA13" s="17">
        <f t="shared" si="4"/>
        <v>0</v>
      </c>
      <c r="DB13" s="17">
        <f t="shared" si="5"/>
        <v>2</v>
      </c>
      <c r="DC13" s="17" t="str">
        <f>"G3+ "&amp;$D$37</f>
        <v>G3+ Hypertension</v>
      </c>
      <c r="DD13" s="17">
        <f t="shared" ca="1" si="1"/>
        <v>0</v>
      </c>
      <c r="DE13" s="956">
        <f t="shared" ca="1" si="2"/>
        <v>23.915178571428573</v>
      </c>
      <c r="DG13" s="1008">
        <f>'Resource use and costs'!$BD$178</f>
        <v>424.6</v>
      </c>
      <c r="DH13" s="1009">
        <f>Utilities!$BB$327</f>
        <v>-0.1</v>
      </c>
      <c r="DI13" s="1178">
        <f>Utilities!I319</f>
        <v>3</v>
      </c>
      <c r="DJ13" s="1097">
        <v>8</v>
      </c>
      <c r="DK13" s="1006" t="str" cm="1">
        <f t="array" ref="DK13">INDEX(List_comparators,DJ13)</f>
        <v>sunitinib</v>
      </c>
      <c r="DL13" s="17">
        <v>1</v>
      </c>
      <c r="DM13" s="1179" cm="1">
        <f t="array" aca="1" ref="DM13" ca="1">SUMPRODUCT(($DK13=$CZ$6:$CZ$430)*($DB$6:$DB$430=$DL13),$DD$6:$DD$430,$DE$6:$DE$430,$DG$6:$DG$430)</f>
        <v>603.81337500000006</v>
      </c>
      <c r="DN13" s="1180" cm="1">
        <f t="array" aca="1" ref="DN13" ca="1">SUMPRODUCT(($DK13=$CZ$6:$CZ$430)*($DB$6:$DB$430=$DL13),$DD$6:$DD$430,$DG$6:$DG$430)</f>
        <v>15.602772766075262</v>
      </c>
      <c r="DO13" s="1181" cm="1">
        <f t="array" aca="1" ref="DO13" ca="1">SUMPRODUCT(($DK13=$CZ$6:$CZ$430)*($DB$6:$DB$430=$DL13),$DD$6:$DD$430,$DE$6:$DE$430,$DH$6:$DH$430,$DI$6:$DI$430)*7/365.25</f>
        <v>-5.4260780287474324E-3</v>
      </c>
      <c r="DP13" s="1182"/>
      <c r="DQ13" s="17"/>
      <c r="DR13" s="17" t="s">
        <v>202</v>
      </c>
      <c r="DS13" s="3" t="s">
        <v>664</v>
      </c>
      <c r="DT13" s="3" t="s">
        <v>665</v>
      </c>
      <c r="DW13" s="1720" t="s">
        <v>666</v>
      </c>
      <c r="DX13" s="1721"/>
      <c r="DY13" s="1721"/>
      <c r="DZ13" s="1722"/>
    </row>
    <row r="14" spans="2:130" ht="16.5" thickBot="1" x14ac:dyDescent="0.3">
      <c r="D14" s="1707" t="s">
        <v>667</v>
      </c>
      <c r="E14" s="1712" t="s">
        <v>668</v>
      </c>
      <c r="F14" s="1712"/>
      <c r="G14" s="1712"/>
      <c r="H14" s="1712"/>
      <c r="I14" s="1712"/>
      <c r="J14" s="1712"/>
      <c r="K14" s="1712"/>
      <c r="L14" s="1712"/>
      <c r="M14" s="1712"/>
      <c r="N14" s="1712"/>
      <c r="O14" s="1712"/>
      <c r="P14" s="1712"/>
      <c r="Q14" s="1712"/>
      <c r="R14" s="1724"/>
      <c r="S14" s="1725" t="s">
        <v>669</v>
      </c>
      <c r="T14" s="1715"/>
      <c r="U14" s="1715"/>
      <c r="V14" s="1715"/>
      <c r="W14" s="1715"/>
      <c r="X14" s="1715"/>
      <c r="Y14" s="1715"/>
      <c r="Z14" s="1715"/>
      <c r="AA14" s="1715"/>
      <c r="AB14" s="1715"/>
      <c r="AC14" s="1715"/>
      <c r="AD14" s="1715"/>
      <c r="AE14" s="1715"/>
      <c r="AF14" s="1716"/>
      <c r="AG14" s="1717" t="s">
        <v>670</v>
      </c>
      <c r="AH14" s="1712"/>
      <c r="AI14" s="1712"/>
      <c r="AJ14" s="1712"/>
      <c r="AK14" s="1712"/>
      <c r="AL14" s="1712"/>
      <c r="AM14" s="1712"/>
      <c r="AN14" s="1712"/>
      <c r="AO14" s="1712"/>
      <c r="AP14" s="1712"/>
      <c r="AQ14" s="1712"/>
      <c r="AR14" s="1712"/>
      <c r="AS14" s="1712"/>
      <c r="AT14" s="1718"/>
      <c r="AU14" s="1723" t="s">
        <v>671</v>
      </c>
      <c r="AV14" s="1718"/>
      <c r="CA14" s="17" t="str" cm="1">
        <f t="array" ref="CA14">INDEX(List_comparators,CB14+1)</f>
        <v>nivolumab_monotherapy</v>
      </c>
      <c r="CB14" s="17">
        <v>0</v>
      </c>
      <c r="CC14" s="17">
        <v>2</v>
      </c>
      <c r="CD14" s="17"/>
      <c r="CE14" s="17"/>
      <c r="CF14" s="17"/>
      <c r="CG14" s="17"/>
      <c r="CH14" s="17"/>
      <c r="CI14" s="17"/>
      <c r="CJ14" s="583"/>
      <c r="CK14" s="583"/>
      <c r="CL14" s="17" t="str">
        <v>Fatigue</v>
      </c>
      <c r="CM14" s="17">
        <v>6</v>
      </c>
      <c r="CN14" s="17">
        <v>0</v>
      </c>
      <c r="CO14" s="17">
        <f t="shared" ca="1" si="0"/>
        <v>10</v>
      </c>
      <c r="CP14" s="17"/>
      <c r="CQ14" s="17">
        <f t="shared" ca="1" si="8"/>
        <v>9709.5625</v>
      </c>
      <c r="CR14" s="17">
        <v>0</v>
      </c>
      <c r="CS14" s="17">
        <f t="shared" ca="1" si="9"/>
        <v>1.0299125218051792E-3</v>
      </c>
      <c r="CT14" s="17" t="str">
        <f t="shared" si="6"/>
        <v>one-off</v>
      </c>
      <c r="CU14" s="17" t="str">
        <f t="shared" si="7"/>
        <v>Yes</v>
      </c>
      <c r="CV14" s="17">
        <f t="shared" ca="1" si="10"/>
        <v>0.58199999999999996</v>
      </c>
      <c r="CW14" s="17">
        <f t="shared" ca="1" si="11"/>
        <v>1.0023340881574346E-3</v>
      </c>
      <c r="CY14" s="657">
        <v>9</v>
      </c>
      <c r="CZ14" s="17" t="str">
        <f t="shared" si="3"/>
        <v>nivolumab_monotherapy</v>
      </c>
      <c r="DA14" s="17">
        <f t="shared" si="4"/>
        <v>0</v>
      </c>
      <c r="DB14" s="17">
        <f t="shared" si="5"/>
        <v>2</v>
      </c>
      <c r="DC14" s="17" t="str">
        <f>"G3+ "&amp;$D$38</f>
        <v>G3+ Hypertriglyceridemia</v>
      </c>
      <c r="DD14" s="17">
        <f t="shared" ca="1" si="1"/>
        <v>1.8224256148316991E-3</v>
      </c>
      <c r="DE14" s="956">
        <f t="shared" ca="1" si="2"/>
        <v>23.915178571428573</v>
      </c>
      <c r="DG14" s="1008">
        <f>'Resource use and costs'!$BD$179</f>
        <v>0</v>
      </c>
      <c r="DH14" s="1009">
        <f>Utilities!$BB$328</f>
        <v>-0.1</v>
      </c>
      <c r="DI14" s="1178">
        <f>Utilities!I320</f>
        <v>3</v>
      </c>
      <c r="DJ14" s="1097">
        <v>9</v>
      </c>
      <c r="DK14" s="1006" t="str" cm="1">
        <f t="array" ref="DK14">INDEX(List_comparators,DJ14)</f>
        <v>cabozantinib</v>
      </c>
      <c r="DL14" s="17">
        <v>1</v>
      </c>
      <c r="DM14" s="1179" cm="1">
        <f t="array" aca="1" ref="DM14" ca="1">SUMPRODUCT(($DK14=$CZ$6:$CZ$430)*($DB$6:$DB$430=$DL14),$DD$6:$DD$430,$DE$6:$DE$430,$DG$6:$DG$430)</f>
        <v>731.82916268415761</v>
      </c>
      <c r="DN14" s="1180" cm="1">
        <f t="array" aca="1" ref="DN14" ca="1">SUMPRODUCT(($DK14=$CZ$6:$CZ$430)*($DB$6:$DB$430=$DL14),$DD$6:$DD$430,$DG$6:$DG$430)</f>
        <v>20.277792786082895</v>
      </c>
      <c r="DO14" s="1181" cm="1">
        <f t="array" aca="1" ref="DO14" ca="1">SUMPRODUCT(($DK14=$CZ$6:$CZ$430)*($DB$6:$DB$430=$DL14),$DD$6:$DD$430,$DE$6:$DE$430,$DH$6:$DH$430,$DI$6:$DI$430)*7/365.25</f>
        <v>-6.5169895084747891E-3</v>
      </c>
      <c r="DP14" s="1182"/>
      <c r="DQ14" s="17" t="str" cm="1">
        <f t="array" ref="DQ14:DQ27">List_comparators</f>
        <v>nivolumab_monotherapy</v>
      </c>
      <c r="DR14" s="17">
        <v>0</v>
      </c>
      <c r="DS14" s="3">
        <v>406</v>
      </c>
      <c r="DT14" s="3">
        <v>406</v>
      </c>
      <c r="DW14" s="1006"/>
      <c r="DX14" s="1006" t="s">
        <v>672</v>
      </c>
      <c r="DY14" s="1006"/>
      <c r="DZ14" s="1006"/>
    </row>
    <row r="15" spans="2:130" ht="15.75" thickBot="1" x14ac:dyDescent="0.25">
      <c r="D15" s="1707"/>
      <c r="E15" s="19" t="str" cm="1">
        <f t="array" ref="E15:R15">TRANSPOSE(List_comparators)</f>
        <v>nivolumab_monotherapy</v>
      </c>
      <c r="F15" s="19" t="str">
        <v>cabozantinib_plus_nivolumab</v>
      </c>
      <c r="G15" s="19" t="str">
        <v>nivolumab_plus_ipilimumab</v>
      </c>
      <c r="H15" s="19" t="str">
        <v>lenvatinib_plus_pembrolizumab</v>
      </c>
      <c r="I15" s="19" t="str">
        <v>avelumab_plus_axitinib</v>
      </c>
      <c r="J15" s="19" t="str">
        <v>pazopanib</v>
      </c>
      <c r="K15" s="19" t="str">
        <v>tivozanib</v>
      </c>
      <c r="L15" s="19" t="str">
        <v>sunitinib</v>
      </c>
      <c r="M15" s="19" t="str">
        <v>cabozantinib</v>
      </c>
      <c r="N15" s="19" t="str">
        <v>lenvatinib_plus_everolimus</v>
      </c>
      <c r="O15" s="19" t="str">
        <v>everolimus</v>
      </c>
      <c r="P15" s="19" t="str">
        <v>axitinib</v>
      </c>
      <c r="Q15" s="19" t="str">
        <v>sorafenib</v>
      </c>
      <c r="R15" s="712" t="str">
        <v>placebo_BSC</v>
      </c>
      <c r="S15" s="1183" t="str" cm="1">
        <f t="array" ref="S15:AF15">TRANSPOSE(List_comparators)</f>
        <v>nivolumab_monotherapy</v>
      </c>
      <c r="T15" s="536" t="str">
        <v>cabozantinib_plus_nivolumab</v>
      </c>
      <c r="U15" s="536" t="str">
        <v>nivolumab_plus_ipilimumab</v>
      </c>
      <c r="V15" s="536" t="str">
        <v>lenvatinib_plus_pembrolizumab</v>
      </c>
      <c r="W15" s="536" t="str">
        <v>avelumab_plus_axitinib</v>
      </c>
      <c r="X15" s="536" t="str">
        <v>pazopanib</v>
      </c>
      <c r="Y15" s="536" t="str">
        <v>tivozanib</v>
      </c>
      <c r="Z15" s="536" t="str">
        <v>sunitinib</v>
      </c>
      <c r="AA15" s="536" t="str">
        <v>cabozantinib</v>
      </c>
      <c r="AB15" s="536" t="str">
        <v>lenvatinib_plus_everolimus</v>
      </c>
      <c r="AC15" s="536" t="str">
        <v>everolimus</v>
      </c>
      <c r="AD15" s="536" t="str">
        <v>axitinib</v>
      </c>
      <c r="AE15" s="536" t="str">
        <v>sorafenib</v>
      </c>
      <c r="AF15" s="592" t="str">
        <v>placebo_BSC</v>
      </c>
      <c r="AG15" s="1010" t="str" cm="1">
        <f t="array" ref="AG15:AT15">TRANSPOSE(List_comparators)</f>
        <v>nivolumab_monotherapy</v>
      </c>
      <c r="AH15" s="536" t="str">
        <v>cabozantinib_plus_nivolumab</v>
      </c>
      <c r="AI15" s="536" t="str">
        <v>nivolumab_plus_ipilimumab</v>
      </c>
      <c r="AJ15" s="536" t="str">
        <v>lenvatinib_plus_pembrolizumab</v>
      </c>
      <c r="AK15" s="536" t="str">
        <v>avelumab_plus_axitinib</v>
      </c>
      <c r="AL15" s="536" t="str">
        <v>pazopanib</v>
      </c>
      <c r="AM15" s="536" t="str">
        <v>tivozanib</v>
      </c>
      <c r="AN15" s="536" t="str">
        <v>sunitinib</v>
      </c>
      <c r="AO15" s="536" t="str">
        <v>cabozantinib</v>
      </c>
      <c r="AP15" s="536" t="str">
        <v>lenvatinib_plus_everolimus</v>
      </c>
      <c r="AQ15" s="536" t="str">
        <v>everolimus</v>
      </c>
      <c r="AR15" s="536" t="str">
        <v>axitinib</v>
      </c>
      <c r="AS15" s="536" t="str">
        <v>sorafenib</v>
      </c>
      <c r="AT15" s="713" t="str">
        <v>placebo_BSC</v>
      </c>
      <c r="AU15" s="271" t="s">
        <v>428</v>
      </c>
      <c r="AV15" s="20" t="s">
        <v>161</v>
      </c>
      <c r="CA15" s="17" t="str" cm="1">
        <f t="array" ref="CA15">INDEX(List_comparators,CB15+1)</f>
        <v>nivolumab_monotherapy</v>
      </c>
      <c r="CB15" s="17">
        <v>0</v>
      </c>
      <c r="CC15" s="17">
        <v>2</v>
      </c>
      <c r="CD15" s="17"/>
      <c r="CE15" s="17"/>
      <c r="CF15" s="17"/>
      <c r="CG15" s="17"/>
      <c r="CH15" s="17"/>
      <c r="CI15" s="17"/>
      <c r="CJ15" s="583"/>
      <c r="CK15" s="583"/>
      <c r="CL15" s="17" t="str">
        <v>HFS</v>
      </c>
      <c r="CM15" s="17">
        <v>7</v>
      </c>
      <c r="CN15" s="17">
        <v>0</v>
      </c>
      <c r="CO15" s="17">
        <f t="shared" ca="1" si="0"/>
        <v>0</v>
      </c>
      <c r="CP15" s="17"/>
      <c r="CQ15" s="17">
        <f t="shared" ca="1" si="8"/>
        <v>9709.5625</v>
      </c>
      <c r="CR15" s="17">
        <v>0</v>
      </c>
      <c r="CS15" s="17">
        <f t="shared" ca="1" si="9"/>
        <v>0</v>
      </c>
      <c r="CT15" s="17" t="str">
        <f t="shared" si="6"/>
        <v>one-off</v>
      </c>
      <c r="CU15" s="17" t="str">
        <f t="shared" si="7"/>
        <v>Yes</v>
      </c>
      <c r="CV15" s="17">
        <f t="shared" ca="1" si="10"/>
        <v>0.58199999999999996</v>
      </c>
      <c r="CW15" s="17">
        <f t="shared" ca="1" si="11"/>
        <v>0</v>
      </c>
      <c r="CY15" s="657">
        <v>10</v>
      </c>
      <c r="CZ15" s="17" t="str">
        <f t="shared" si="3"/>
        <v>nivolumab_monotherapy</v>
      </c>
      <c r="DA15" s="17">
        <f t="shared" si="4"/>
        <v>0</v>
      </c>
      <c r="DB15" s="17">
        <f t="shared" si="5"/>
        <v>2</v>
      </c>
      <c r="DC15" s="17" t="str">
        <f>"G3+ "&amp;$D$39</f>
        <v>G3+ Hyponatraemia</v>
      </c>
      <c r="DD15" s="17">
        <f t="shared" ca="1" si="1"/>
        <v>0</v>
      </c>
      <c r="DE15" s="956">
        <f t="shared" ca="1" si="2"/>
        <v>23.915178571428573</v>
      </c>
      <c r="DG15" s="1008">
        <f>'Resource use and costs'!$BD$180</f>
        <v>574.71</v>
      </c>
      <c r="DH15" s="1009">
        <f>Utilities!$BB$329</f>
        <v>-0.1</v>
      </c>
      <c r="DI15" s="1178">
        <f>Utilities!I321</f>
        <v>3</v>
      </c>
      <c r="DJ15" s="1097">
        <v>10</v>
      </c>
      <c r="DK15" s="1006" t="str" cm="1">
        <f t="array" ref="DK15">INDEX(List_comparators,DJ15)</f>
        <v>lenvatinib_plus_everolimus</v>
      </c>
      <c r="DL15" s="17">
        <v>2</v>
      </c>
      <c r="DM15" s="1179" cm="1">
        <f t="array" aca="1" ref="DM15" ca="1">SUMPRODUCT(($DK15=$CZ$6:$CZ$430)*($DB$6:$DB$430=$DL15),$DD$6:$DD$430,$DE$6:$DE$430,$DG$6:$DG$430)</f>
        <v>942.87062078300573</v>
      </c>
      <c r="DN15" s="1180" cm="1">
        <f t="array" aca="1" ref="DN15" ca="1">SUMPRODUCT(($DK15=$CZ$6:$CZ$430)*($DB$6:$DB$430=$DL15),$DD$6:$DD$430,$DG$6:$DG$430)</f>
        <v>28.531694998296942</v>
      </c>
      <c r="DO15" s="1181" cm="1">
        <f t="array" aca="1" ref="DO15" ca="1">SUMPRODUCT(($DK15=$CZ$6:$CZ$430)*($DB$6:$DB$430=$DL15),$DD$6:$DD$430,$DE$6:$DE$430,$DH$6:$DH$430,$DI$6:$DI$430)*7/365.25</f>
        <v>-9.6427506816154883E-3</v>
      </c>
      <c r="DP15" s="1182"/>
      <c r="DQ15" s="17" t="str">
        <v>cabozantinib_plus_nivolumab</v>
      </c>
      <c r="DR15" s="17">
        <v>1</v>
      </c>
      <c r="DS15" s="3">
        <v>320</v>
      </c>
      <c r="DT15" s="3">
        <v>320</v>
      </c>
      <c r="DW15" s="1006"/>
      <c r="DX15" s="1006" t="s">
        <v>673</v>
      </c>
      <c r="DY15" s="1006" t="s">
        <v>674</v>
      </c>
      <c r="DZ15" s="1006" t="s">
        <v>675</v>
      </c>
    </row>
    <row r="16" spans="2:130" ht="15.75" x14ac:dyDescent="0.2">
      <c r="D16" s="491" t="s">
        <v>676</v>
      </c>
      <c r="E16" s="565">
        <v>406</v>
      </c>
      <c r="F16" s="565">
        <v>320</v>
      </c>
      <c r="G16" s="565">
        <v>550</v>
      </c>
      <c r="H16" s="565">
        <v>355</v>
      </c>
      <c r="I16" s="275">
        <v>442</v>
      </c>
      <c r="J16" s="275">
        <v>557</v>
      </c>
      <c r="K16" s="275">
        <v>175</v>
      </c>
      <c r="L16" s="565">
        <v>320</v>
      </c>
      <c r="M16" s="275">
        <v>79</v>
      </c>
      <c r="N16" s="275">
        <v>51</v>
      </c>
      <c r="O16" s="1184">
        <v>397</v>
      </c>
      <c r="P16" s="275">
        <v>359</v>
      </c>
      <c r="Q16" s="275">
        <v>182</v>
      </c>
      <c r="R16" s="591"/>
      <c r="S16" s="703">
        <f>406*5.5*i_mon_to_weeks</f>
        <v>9709.5625</v>
      </c>
      <c r="T16" s="704">
        <f>320*21.8*i_mon_to_weeks</f>
        <v>30333.142857142855</v>
      </c>
      <c r="U16" s="704">
        <f>550*7.9*i_mon_to_weeks</f>
        <v>18892.991071428572</v>
      </c>
      <c r="V16" s="704">
        <f>355*17*i_mon_to_weeks</f>
        <v>26241.473214285714</v>
      </c>
      <c r="W16" s="704">
        <f>442*13.3*i_mon_to_weeks</f>
        <v>25561.412500000002</v>
      </c>
      <c r="X16" s="704">
        <f>557*8*i_mon_to_weeks</f>
        <v>19375.642857142855</v>
      </c>
      <c r="Y16" s="705">
        <f>175*197*i_days_to_weeks</f>
        <v>4925</v>
      </c>
      <c r="Z16" s="704">
        <f>320*8.9*i_mon_to_weeks</f>
        <v>12383.714285714286</v>
      </c>
      <c r="AA16" s="704">
        <f>79*8.3*i_mon_to_weeks</f>
        <v>2851.1241071428572</v>
      </c>
      <c r="AB16" s="704">
        <f>51*7.6*i_mon_to_weeks</f>
        <v>1685.367857142857</v>
      </c>
      <c r="AC16" s="704">
        <f>397*3.7*i_mon_to_weeks</f>
        <v>6387.0919642857143</v>
      </c>
      <c r="AD16" s="704">
        <f>359*6.4*i_mon_to_weeks</f>
        <v>9990.4571428571417</v>
      </c>
      <c r="AE16" s="705">
        <f>182*16</f>
        <v>2912</v>
      </c>
      <c r="AF16" s="591"/>
      <c r="AG16" s="716">
        <f t="shared" ref="AG16:AS16" si="12">E16/S16</f>
        <v>4.1814448385290276E-2</v>
      </c>
      <c r="AH16" s="1185">
        <f t="shared" si="12"/>
        <v>1.054951679445397E-2</v>
      </c>
      <c r="AI16" s="1185">
        <f t="shared" si="12"/>
        <v>2.9111324825202088E-2</v>
      </c>
      <c r="AJ16" s="1185">
        <f t="shared" si="12"/>
        <v>1.3528203889358619E-2</v>
      </c>
      <c r="AK16" s="1185">
        <f t="shared" si="12"/>
        <v>1.7291689181886952E-2</v>
      </c>
      <c r="AL16" s="1185">
        <f t="shared" si="12"/>
        <v>2.8747433264887066E-2</v>
      </c>
      <c r="AM16" s="1185">
        <f t="shared" si="12"/>
        <v>3.553299492385787E-2</v>
      </c>
      <c r="AN16" s="1185">
        <f t="shared" si="12"/>
        <v>2.5840389451583876E-2</v>
      </c>
      <c r="AO16" s="1185">
        <f t="shared" si="12"/>
        <v>2.7708369411939337E-2</v>
      </c>
      <c r="AP16" s="1185">
        <f t="shared" si="12"/>
        <v>3.0260456068302174E-2</v>
      </c>
      <c r="AQ16" s="1185">
        <f t="shared" si="12"/>
        <v>6.2156612464620675E-2</v>
      </c>
      <c r="AR16" s="1185">
        <f t="shared" si="12"/>
        <v>3.5934291581108835E-2</v>
      </c>
      <c r="AS16" s="1185">
        <f t="shared" si="12"/>
        <v>6.25E-2</v>
      </c>
      <c r="AT16" s="1186">
        <v>0</v>
      </c>
      <c r="AU16" s="1410">
        <v>3</v>
      </c>
      <c r="AV16" s="1411">
        <v>0.6</v>
      </c>
      <c r="CA16" s="17" t="str" cm="1">
        <f t="array" ref="CA16">INDEX(List_comparators,CB16+1)</f>
        <v>nivolumab_monotherapy</v>
      </c>
      <c r="CB16" s="17">
        <v>0</v>
      </c>
      <c r="CC16" s="17">
        <v>2</v>
      </c>
      <c r="CD16" s="17"/>
      <c r="CE16" s="17"/>
      <c r="CF16" s="17"/>
      <c r="CG16" s="17"/>
      <c r="CH16" s="17"/>
      <c r="CI16" s="17"/>
      <c r="CJ16" s="583"/>
      <c r="CK16" s="583"/>
      <c r="CL16" s="17" t="str">
        <v>Hypertension</v>
      </c>
      <c r="CM16" s="17">
        <v>8</v>
      </c>
      <c r="CN16" s="17">
        <v>0</v>
      </c>
      <c r="CO16" s="17">
        <f t="shared" ca="1" si="0"/>
        <v>0</v>
      </c>
      <c r="CP16" s="17"/>
      <c r="CQ16" s="17">
        <f t="shared" ca="1" si="8"/>
        <v>9709.5625</v>
      </c>
      <c r="CR16" s="17">
        <v>0</v>
      </c>
      <c r="CS16" s="17">
        <f t="shared" ca="1" si="9"/>
        <v>0</v>
      </c>
      <c r="CT16" s="17" t="str">
        <f t="shared" si="6"/>
        <v>one-off</v>
      </c>
      <c r="CU16" s="17" t="str">
        <f t="shared" si="7"/>
        <v>Yes</v>
      </c>
      <c r="CV16" s="17">
        <f t="shared" ca="1" si="10"/>
        <v>0.58199999999999996</v>
      </c>
      <c r="CW16" s="17">
        <f t="shared" ca="1" si="11"/>
        <v>0</v>
      </c>
      <c r="CY16" s="657">
        <v>11</v>
      </c>
      <c r="CZ16" s="17" t="str">
        <f t="shared" si="3"/>
        <v>nivolumab_monotherapy</v>
      </c>
      <c r="DA16" s="17">
        <f t="shared" si="4"/>
        <v>0</v>
      </c>
      <c r="DB16" s="17">
        <f t="shared" si="5"/>
        <v>2</v>
      </c>
      <c r="DC16" s="17" t="str">
        <f>"G3+ "&amp;$D$40</f>
        <v>G3+ Hypophosphatemia</v>
      </c>
      <c r="DD16" s="17">
        <f t="shared" ca="1" si="1"/>
        <v>0</v>
      </c>
      <c r="DE16" s="956">
        <f t="shared" ca="1" si="2"/>
        <v>23.915178571428573</v>
      </c>
      <c r="DG16" s="1008">
        <f>'Resource use and costs'!$BD$181</f>
        <v>0</v>
      </c>
      <c r="DH16" s="1009">
        <f>Utilities!$BB$330</f>
        <v>-0.1</v>
      </c>
      <c r="DI16" s="1178">
        <f>Utilities!I322</f>
        <v>3</v>
      </c>
      <c r="DJ16" s="1097">
        <v>11</v>
      </c>
      <c r="DK16" s="1006" t="str" cm="1">
        <f t="array" ref="DK16">INDEX(List_comparators,DJ16)</f>
        <v>everolimus</v>
      </c>
      <c r="DL16" s="17">
        <v>2</v>
      </c>
      <c r="DM16" s="1179" cm="1">
        <f t="array" aca="1" ref="DM16" ca="1">SUMPRODUCT(($DK16=$CZ$6:$CZ$430)*($DB$6:$DB$430=$DL16),$DD$6:$DD$430,$DE$6:$DE$430,$DG$6:$DG$430)</f>
        <v>332.87538337531487</v>
      </c>
      <c r="DN16" s="1180" cm="1">
        <f t="array" aca="1" ref="DN16" ca="1">SUMPRODUCT(($DK16=$CZ$6:$CZ$430)*($DB$6:$DB$430=$DL16),$DD$6:$DD$430,$DG$6:$DG$430)</f>
        <v>20.690406203471483</v>
      </c>
      <c r="DO16" s="1181" cm="1">
        <f t="array" aca="1" ref="DO16" ca="1">SUMPRODUCT(($DK16=$CZ$6:$CZ$430)*($DB$6:$DB$430=$DL16),$DD$6:$DD$430,$DE$6:$DE$430,$DH$6:$DH$430,$DI$6:$DI$430)*7/365.25</f>
        <v>-2.6675735366377194E-3</v>
      </c>
      <c r="DP16" s="1182"/>
      <c r="DQ16" s="17" t="str">
        <v>nivolumab_plus_ipilimumab</v>
      </c>
      <c r="DR16" s="17">
        <v>2</v>
      </c>
      <c r="DS16" s="3">
        <v>515</v>
      </c>
      <c r="DT16" s="3">
        <v>550</v>
      </c>
      <c r="DW16" s="1006" t="s">
        <v>677</v>
      </c>
      <c r="DX16" s="1007">
        <f>(155-21)/550</f>
        <v>0.24363636363636362</v>
      </c>
      <c r="DY16" s="1007">
        <f>(209-24)/550</f>
        <v>0.33636363636363636</v>
      </c>
      <c r="DZ16" s="1007">
        <f>(6-1)/550</f>
        <v>9.0909090909090905E-3</v>
      </c>
    </row>
    <row r="17" spans="4:130" ht="15.75" x14ac:dyDescent="0.2">
      <c r="D17" s="484" t="s">
        <v>678</v>
      </c>
      <c r="E17" s="564"/>
      <c r="F17" s="566"/>
      <c r="G17" s="564"/>
      <c r="H17" s="564"/>
      <c r="I17" s="564"/>
      <c r="J17" s="564"/>
      <c r="K17" s="564"/>
      <c r="L17" s="566"/>
      <c r="M17" s="564"/>
      <c r="N17" s="564"/>
      <c r="O17" s="1187"/>
      <c r="P17" s="564"/>
      <c r="Q17" s="564"/>
      <c r="R17" s="570"/>
      <c r="S17" s="586"/>
      <c r="T17" s="585"/>
      <c r="U17" s="584"/>
      <c r="V17" s="584"/>
      <c r="W17" s="584"/>
      <c r="X17" s="585"/>
      <c r="Y17" s="584"/>
      <c r="Z17" s="585"/>
      <c r="AA17" s="584"/>
      <c r="AB17" s="584"/>
      <c r="AC17" s="584"/>
      <c r="AD17" s="584"/>
      <c r="AE17" s="584"/>
      <c r="AF17" s="589"/>
      <c r="AG17" s="1188"/>
      <c r="AH17" s="1189"/>
      <c r="AI17" s="1189"/>
      <c r="AJ17" s="1189"/>
      <c r="AK17" s="1189"/>
      <c r="AL17" s="1189"/>
      <c r="AM17" s="1189"/>
      <c r="AN17" s="1189"/>
      <c r="AO17" s="1189"/>
      <c r="AP17" s="1189"/>
      <c r="AQ17" s="1189"/>
      <c r="AR17" s="1189"/>
      <c r="AS17" s="1189"/>
      <c r="AT17" s="1190"/>
      <c r="AU17" s="1412"/>
      <c r="AV17" s="1413"/>
      <c r="CA17" s="17" t="str" cm="1">
        <f t="array" ref="CA17">INDEX(List_comparators,CB17+1)</f>
        <v>nivolumab_monotherapy</v>
      </c>
      <c r="CB17" s="17">
        <v>0</v>
      </c>
      <c r="CC17" s="17">
        <v>2</v>
      </c>
      <c r="CD17" s="17"/>
      <c r="CE17" s="17"/>
      <c r="CF17" s="17"/>
      <c r="CG17" s="17"/>
      <c r="CH17" s="17"/>
      <c r="CI17" s="17"/>
      <c r="CJ17" s="583"/>
      <c r="CK17" s="583"/>
      <c r="CL17" s="17" t="str">
        <v>Hypertriglyceridemia</v>
      </c>
      <c r="CM17" s="17">
        <v>9</v>
      </c>
      <c r="CN17" s="17">
        <v>0</v>
      </c>
      <c r="CO17" s="17">
        <f t="shared" ca="1" si="0"/>
        <v>0</v>
      </c>
      <c r="CP17" s="17"/>
      <c r="CQ17" s="17">
        <f t="shared" ca="1" si="8"/>
        <v>9709.5625</v>
      </c>
      <c r="CR17" s="17">
        <v>0</v>
      </c>
      <c r="CS17" s="17">
        <f t="shared" ca="1" si="9"/>
        <v>0</v>
      </c>
      <c r="CT17" s="17" t="str">
        <f t="shared" si="6"/>
        <v>one-off</v>
      </c>
      <c r="CU17" s="17" t="str">
        <f t="shared" si="7"/>
        <v>Yes</v>
      </c>
      <c r="CV17" s="17">
        <f t="shared" ca="1" si="10"/>
        <v>0.58199999999999996</v>
      </c>
      <c r="CW17" s="17">
        <f t="shared" ca="1" si="11"/>
        <v>1.8224256148316991E-3</v>
      </c>
      <c r="CY17" s="657">
        <v>12</v>
      </c>
      <c r="CZ17" s="17" t="str">
        <f t="shared" si="3"/>
        <v>nivolumab_monotherapy</v>
      </c>
      <c r="DA17" s="17">
        <f t="shared" si="4"/>
        <v>0</v>
      </c>
      <c r="DB17" s="17">
        <f t="shared" si="5"/>
        <v>2</v>
      </c>
      <c r="DC17" s="17" t="str">
        <f>"G3+ "&amp;$D$41</f>
        <v>G3+ Increase in lipase</v>
      </c>
      <c r="DD17" s="17">
        <f t="shared" ca="1" si="1"/>
        <v>0</v>
      </c>
      <c r="DE17" s="956">
        <f t="shared" ca="1" si="2"/>
        <v>23.915178571428573</v>
      </c>
      <c r="DG17" s="1008">
        <f>'Resource use and costs'!$BD$182</f>
        <v>655.75</v>
      </c>
      <c r="DH17" s="1009">
        <f>Utilities!$BB$331</f>
        <v>-0.1</v>
      </c>
      <c r="DI17" s="1178">
        <f>Utilities!I323</f>
        <v>3</v>
      </c>
      <c r="DJ17" s="1097">
        <v>12</v>
      </c>
      <c r="DK17" s="1006" t="str" cm="1">
        <f t="array" ref="DK17">INDEX(List_comparators,DJ17)</f>
        <v>axitinib</v>
      </c>
      <c r="DL17" s="17">
        <v>2</v>
      </c>
      <c r="DM17" s="1179" cm="1">
        <f t="array" aca="1" ref="DM17" ca="1">SUMPRODUCT(($DK17=$CZ$6:$CZ$430)*($DB$6:$DB$430=$DL17),$DD$6:$DD$430,$DE$6:$DE$430,$DG$6:$DG$430)</f>
        <v>1634.2286735654598</v>
      </c>
      <c r="DN17" s="1180" cm="1">
        <f t="array" aca="1" ref="DN17" ca="1">SUMPRODUCT(($DK17=$CZ$6:$CZ$430)*($DB$6:$DB$430=$DL17),$DD$6:$DD$430,$DG$6:$DG$430)</f>
        <v>58.724849666109954</v>
      </c>
      <c r="DO17" s="1181" cm="1">
        <f t="array" aca="1" ref="DO17" ca="1">SUMPRODUCT(($DK17=$CZ$6:$CZ$430)*($DB$6:$DB$430=$DL17),$DD$6:$DD$430,$DE$6:$DE$430,$DH$6:$DH$430,$DI$6:$DI$430)*7/365.25</f>
        <v>-1.4741924007481429E-2</v>
      </c>
      <c r="DP17" s="1182"/>
      <c r="DQ17" s="17" t="str">
        <v>lenvatinib_plus_pembrolizumab</v>
      </c>
      <c r="DR17" s="17">
        <v>3</v>
      </c>
      <c r="DS17" s="3">
        <v>354</v>
      </c>
      <c r="DT17" s="3">
        <v>355</v>
      </c>
      <c r="DW17" s="1006" t="s">
        <v>679</v>
      </c>
      <c r="DX17" s="1007">
        <f>(285-31)/547</f>
        <v>0.46435100548446068</v>
      </c>
      <c r="DY17" s="1007">
        <f>(266-51)/547</f>
        <v>0.39305301645338209</v>
      </c>
      <c r="DZ17" s="1007">
        <f>(234-50)/547</f>
        <v>0.33638025594149906</v>
      </c>
    </row>
    <row r="18" spans="4:130" x14ac:dyDescent="0.2">
      <c r="D18" s="492" t="str" cm="1">
        <f t="array" ref="D18:D20">List_AEs_all_grade</f>
        <v>Diarrhoea</v>
      </c>
      <c r="E18" s="567">
        <v>50</v>
      </c>
      <c r="F18" s="567">
        <v>210</v>
      </c>
      <c r="G18" s="567">
        <v>155</v>
      </c>
      <c r="H18" s="567">
        <v>216</v>
      </c>
      <c r="I18" s="567">
        <v>304</v>
      </c>
      <c r="J18" s="567">
        <v>348</v>
      </c>
      <c r="K18" s="567">
        <v>60</v>
      </c>
      <c r="L18" s="567">
        <v>161</v>
      </c>
      <c r="M18" s="567">
        <v>56</v>
      </c>
      <c r="N18" s="567">
        <v>43</v>
      </c>
      <c r="O18" s="1191">
        <v>84</v>
      </c>
      <c r="P18" s="567">
        <v>193</v>
      </c>
      <c r="Q18" s="567">
        <v>96</v>
      </c>
      <c r="R18" s="571"/>
      <c r="S18" s="707">
        <f>406*5.5*i_mon_to_weeks</f>
        <v>9709.5625</v>
      </c>
      <c r="T18" s="706">
        <f>320*21.8*i_mon_to_weeks</f>
        <v>30333.142857142855</v>
      </c>
      <c r="U18" s="698">
        <f>550*7.9*i_mon_to_weeks</f>
        <v>18892.991071428572</v>
      </c>
      <c r="V18" s="698">
        <f>355*17*i_mon_to_weeks</f>
        <v>26241.473214285714</v>
      </c>
      <c r="W18" s="698">
        <f>442*13.3*i_mon_to_weeks</f>
        <v>25561.412500000002</v>
      </c>
      <c r="X18" s="706">
        <f>557*8*i_mon_to_weeks</f>
        <v>19375.642857142855</v>
      </c>
      <c r="Y18" s="699">
        <f>175*197*i_days_to_weeks</f>
        <v>4925</v>
      </c>
      <c r="Z18" s="706">
        <f>320*8.9*i_mon_to_weeks</f>
        <v>12383.714285714286</v>
      </c>
      <c r="AA18" s="698">
        <f>79*8.3*i_mon_to_weeks</f>
        <v>2851.1241071428572</v>
      </c>
      <c r="AB18" s="698">
        <f>51*7.6*i_mon_to_weeks</f>
        <v>1685.367857142857</v>
      </c>
      <c r="AC18" s="706">
        <f>397*3.7*i_mon_to_weeks</f>
        <v>6387.0919642857143</v>
      </c>
      <c r="AD18" s="698">
        <f>359*6.4*i_mon_to_weeks</f>
        <v>9990.4571428571417</v>
      </c>
      <c r="AE18" s="699">
        <f>182*16</f>
        <v>2912</v>
      </c>
      <c r="AF18" s="590"/>
      <c r="AG18" s="1192">
        <f ca="1">MAX((E18/S18)-SUM(AG33:AG34),0)</f>
        <v>4.6346063481233057E-3</v>
      </c>
      <c r="AH18" s="1193">
        <f t="shared" ref="AH18:AS18" ca="1" si="13">MAX((F18/T18)-SUM(AH33:AH34),0)</f>
        <v>6.1648738767590382E-3</v>
      </c>
      <c r="AI18" s="1193">
        <f t="shared" ca="1" si="13"/>
        <v>8.2041006325569519E-3</v>
      </c>
      <c r="AJ18" s="1193">
        <f t="shared" ca="1" si="13"/>
        <v>6.9319261657623853E-3</v>
      </c>
      <c r="AK18" s="1193">
        <f t="shared" ca="1" si="13"/>
        <v>1.0116383087041469E-2</v>
      </c>
      <c r="AL18" s="1193">
        <f t="shared" ca="1" si="13"/>
        <v>1.5431746043449253E-2</v>
      </c>
      <c r="AM18" s="1193">
        <f t="shared" ca="1" si="13"/>
        <v>1.2182741116751269E-2</v>
      </c>
      <c r="AN18" s="1193">
        <f t="shared" ca="1" si="13"/>
        <v>1.073991186581455E-2</v>
      </c>
      <c r="AO18" s="1193">
        <f t="shared" ca="1" si="13"/>
        <v>1.6835464959153015E-2</v>
      </c>
      <c r="AP18" s="1193">
        <f t="shared" ca="1" si="13"/>
        <v>1.9580295103019056E-2</v>
      </c>
      <c r="AQ18" s="1193">
        <f t="shared" ca="1" si="13"/>
        <v>1.2368696183136105E-2</v>
      </c>
      <c r="AR18" s="1193">
        <f t="shared" ca="1" si="13"/>
        <v>1.5314614517854184E-2</v>
      </c>
      <c r="AS18" s="1193">
        <f t="shared" ca="1" si="13"/>
        <v>2.9210202365940071E-2</v>
      </c>
      <c r="AT18" s="1194">
        <v>0</v>
      </c>
      <c r="AU18" s="1414">
        <v>3</v>
      </c>
      <c r="AV18" s="1415">
        <v>0.6</v>
      </c>
      <c r="CA18" s="17" t="str" cm="1">
        <f t="array" ref="CA18">INDEX(List_comparators,CB18+1)</f>
        <v>nivolumab_monotherapy</v>
      </c>
      <c r="CB18" s="17">
        <v>0</v>
      </c>
      <c r="CC18" s="17">
        <v>2</v>
      </c>
      <c r="CD18" s="17"/>
      <c r="CE18" s="17"/>
      <c r="CF18" s="17"/>
      <c r="CG18" s="17"/>
      <c r="CH18" s="17"/>
      <c r="CI18" s="17"/>
      <c r="CJ18" s="583"/>
      <c r="CK18" s="583"/>
      <c r="CL18" s="17" t="str">
        <v>Hyponatraemia</v>
      </c>
      <c r="CM18" s="17">
        <v>10</v>
      </c>
      <c r="CN18" s="17">
        <v>0</v>
      </c>
      <c r="CO18" s="17">
        <f t="shared" ca="1" si="0"/>
        <v>0</v>
      </c>
      <c r="CP18" s="17"/>
      <c r="CQ18" s="17">
        <f t="shared" ca="1" si="8"/>
        <v>9709.5625</v>
      </c>
      <c r="CR18" s="17">
        <v>0</v>
      </c>
      <c r="CS18" s="17">
        <f t="shared" ca="1" si="9"/>
        <v>0</v>
      </c>
      <c r="CT18" s="17" t="str">
        <f t="shared" si="6"/>
        <v>one-off</v>
      </c>
      <c r="CU18" s="17" t="str">
        <f t="shared" si="7"/>
        <v>Yes</v>
      </c>
      <c r="CV18" s="17">
        <f t="shared" ca="1" si="10"/>
        <v>0.58199999999999996</v>
      </c>
      <c r="CW18" s="17">
        <f t="shared" ca="1" si="11"/>
        <v>0</v>
      </c>
      <c r="CY18" s="657">
        <v>13</v>
      </c>
      <c r="CZ18" s="17" t="str">
        <f t="shared" si="3"/>
        <v>nivolumab_monotherapy</v>
      </c>
      <c r="DA18" s="17">
        <f t="shared" si="4"/>
        <v>0</v>
      </c>
      <c r="DB18" s="17">
        <f t="shared" si="5"/>
        <v>2</v>
      </c>
      <c r="DC18" s="17" t="str">
        <f>"G3+ "&amp;$D$42</f>
        <v>G3+ Increased AST</v>
      </c>
      <c r="DD18" s="17">
        <f t="shared" ca="1" si="1"/>
        <v>0</v>
      </c>
      <c r="DE18" s="956">
        <f t="shared" ca="1" si="2"/>
        <v>23.915178571428573</v>
      </c>
      <c r="DG18" s="1008">
        <f>'Resource use and costs'!$BD$183</f>
        <v>0</v>
      </c>
      <c r="DH18" s="1009">
        <f>Utilities!$BB$332</f>
        <v>-0.1</v>
      </c>
      <c r="DI18" s="1178">
        <f>Utilities!I324</f>
        <v>3</v>
      </c>
      <c r="DJ18" s="1097">
        <v>9</v>
      </c>
      <c r="DK18" s="1195" t="str" cm="1">
        <f t="array" ref="DK18">INDEX(List_comparators,DJ18)</f>
        <v>cabozantinib</v>
      </c>
      <c r="DL18" s="536">
        <v>2</v>
      </c>
      <c r="DM18" s="1179" cm="1">
        <f t="array" aca="1" ref="DM18" ca="1">SUMPRODUCT(($DK18=$CZ$6:$CZ$430)*($DB$6:$DB$430=$DL18),$DD$6:$DD$430,$DE$6:$DE$430,$DG$6:$DG$430)</f>
        <v>743.64929980338343</v>
      </c>
      <c r="DN18" s="1180" cm="1">
        <f t="array" aca="1" ref="DN18" ca="1">SUMPRODUCT(($DK18=$CZ$6:$CZ$430)*($DB$6:$DB$430=$DL18),$DD$6:$DD$430,$DG$6:$DG$430)</f>
        <v>20.605309511882176</v>
      </c>
      <c r="DO18" s="1181" cm="1">
        <f t="array" aca="1" ref="DO18" ca="1">SUMPRODUCT(($DK18=$CZ$6:$CZ$430)*($DB$6:$DB$430=$DL18),$DD$6:$DD$430,$DE$6:$DE$430,$DH$6:$DH$430,$DI$6:$DI$430)*7/365.25</f>
        <v>-7.0223263562359372E-3</v>
      </c>
      <c r="DP18" s="1182"/>
      <c r="DQ18" s="17" t="str">
        <v>avelumab_plus_axitinib</v>
      </c>
      <c r="DR18" s="17">
        <v>4</v>
      </c>
      <c r="DS18" s="3">
        <v>438</v>
      </c>
      <c r="DT18" s="3">
        <v>442</v>
      </c>
      <c r="DW18" s="1006"/>
      <c r="DX18" s="1006"/>
      <c r="DY18" s="1006"/>
      <c r="DZ18" s="1006"/>
    </row>
    <row r="19" spans="4:130" x14ac:dyDescent="0.2">
      <c r="D19" s="272" t="str">
        <v>Fatigue</v>
      </c>
      <c r="E19" s="568">
        <v>134</v>
      </c>
      <c r="F19" s="568">
        <v>109</v>
      </c>
      <c r="G19" s="568">
        <v>209</v>
      </c>
      <c r="H19" s="568">
        <v>141</v>
      </c>
      <c r="I19" s="568">
        <v>201</v>
      </c>
      <c r="J19" s="568">
        <v>302</v>
      </c>
      <c r="K19" s="568">
        <v>56</v>
      </c>
      <c r="L19" s="568">
        <v>114</v>
      </c>
      <c r="M19" s="568">
        <v>50</v>
      </c>
      <c r="N19" s="568">
        <v>30</v>
      </c>
      <c r="O19" s="1196">
        <v>134</v>
      </c>
      <c r="P19" s="568">
        <v>133</v>
      </c>
      <c r="Q19" s="568">
        <v>56</v>
      </c>
      <c r="R19" s="571"/>
      <c r="S19" s="707">
        <f>406*5.5*i_mon_to_weeks</f>
        <v>9709.5625</v>
      </c>
      <c r="T19" s="706">
        <f>320*21.8*i_mon_to_weeks</f>
        <v>30333.142857142855</v>
      </c>
      <c r="U19" s="698">
        <f>550*7.9*i_mon_to_weeks</f>
        <v>18892.991071428572</v>
      </c>
      <c r="V19" s="698">
        <f>355*17*i_mon_to_weeks</f>
        <v>26241.473214285714</v>
      </c>
      <c r="W19" s="698">
        <f>442*13.3*i_mon_to_weeks</f>
        <v>25561.412500000002</v>
      </c>
      <c r="X19" s="706">
        <f>557*8*i_mon_to_weeks</f>
        <v>19375.642857142855</v>
      </c>
      <c r="Y19" s="699">
        <f>175*197*i_days_to_weeks</f>
        <v>4925</v>
      </c>
      <c r="Z19" s="706">
        <f>320*8.9*i_mon_to_weeks</f>
        <v>12383.714285714286</v>
      </c>
      <c r="AA19" s="698">
        <f>79*8.3*i_mon_to_weeks</f>
        <v>2851.1241071428572</v>
      </c>
      <c r="AB19" s="698">
        <f>51*7.6*i_mon_to_weeks</f>
        <v>1685.367857142857</v>
      </c>
      <c r="AC19" s="706">
        <f>397*3.7*i_mon_to_weeks</f>
        <v>6387.0919642857143</v>
      </c>
      <c r="AD19" s="698">
        <f>359*6.4*i_mon_to_weeks</f>
        <v>9990.4571428571417</v>
      </c>
      <c r="AE19" s="699">
        <f>182*16</f>
        <v>2912</v>
      </c>
      <c r="AF19" s="590"/>
      <c r="AG19" s="1192">
        <f t="shared" ref="AG19:AS19" si="14">MAX((E19/S19)-AG35,0)</f>
        <v>1.2770915270384221E-2</v>
      </c>
      <c r="AH19" s="1193">
        <f t="shared" si="14"/>
        <v>3.5934291581108833E-3</v>
      </c>
      <c r="AI19" s="1193">
        <f t="shared" si="14"/>
        <v>1.1062303433576793E-2</v>
      </c>
      <c r="AJ19" s="1193">
        <f t="shared" si="14"/>
        <v>5.3731739391537046E-3</v>
      </c>
      <c r="AK19" s="1193">
        <f t="shared" si="14"/>
        <v>7.8634152161974613E-3</v>
      </c>
      <c r="AL19" s="1193">
        <f t="shared" si="14"/>
        <v>1.2541519359726314E-2</v>
      </c>
      <c r="AM19" s="1193">
        <f t="shared" si="14"/>
        <v>1.1370558375634518E-2</v>
      </c>
      <c r="AN19" s="1193">
        <f t="shared" si="14"/>
        <v>8.3173753547285609E-3</v>
      </c>
      <c r="AO19" s="1193">
        <f t="shared" si="14"/>
        <v>1.5783248399205953E-2</v>
      </c>
      <c r="AP19" s="1193">
        <f t="shared" si="14"/>
        <v>1.3646872344528433E-2</v>
      </c>
      <c r="AQ19" s="1193">
        <f t="shared" si="14"/>
        <v>1.9257590259819504E-2</v>
      </c>
      <c r="AR19" s="1193">
        <f t="shared" si="14"/>
        <v>9.6091698935555653E-3</v>
      </c>
      <c r="AS19" s="1193">
        <f t="shared" si="14"/>
        <v>1.9230769230769232E-2</v>
      </c>
      <c r="AT19" s="1194">
        <v>0</v>
      </c>
      <c r="AU19" s="1414">
        <v>3</v>
      </c>
      <c r="AV19" s="1415">
        <v>0.6</v>
      </c>
      <c r="CA19" s="17" t="str" cm="1">
        <f t="array" ref="CA19">INDEX(List_comparators,CB19+1)</f>
        <v>nivolumab_monotherapy</v>
      </c>
      <c r="CB19" s="17">
        <v>0</v>
      </c>
      <c r="CC19" s="17">
        <v>2</v>
      </c>
      <c r="CD19" s="17"/>
      <c r="CE19" s="17"/>
      <c r="CF19" s="17"/>
      <c r="CG19" s="17"/>
      <c r="CH19" s="17"/>
      <c r="CI19" s="17"/>
      <c r="CJ19" s="583"/>
      <c r="CK19" s="583"/>
      <c r="CL19" s="17" t="str">
        <v>Hypophosphatemia</v>
      </c>
      <c r="CM19" s="17">
        <v>11</v>
      </c>
      <c r="CN19" s="17">
        <v>0</v>
      </c>
      <c r="CO19" s="17">
        <f t="shared" ca="1" si="0"/>
        <v>0</v>
      </c>
      <c r="CP19" s="17"/>
      <c r="CQ19" s="17">
        <f t="shared" ca="1" si="8"/>
        <v>9709.5625</v>
      </c>
      <c r="CR19" s="17">
        <v>0</v>
      </c>
      <c r="CS19" s="17">
        <f t="shared" ca="1" si="9"/>
        <v>0</v>
      </c>
      <c r="CT19" s="17" t="str">
        <f t="shared" si="6"/>
        <v>one-off</v>
      </c>
      <c r="CU19" s="17" t="str">
        <f t="shared" si="7"/>
        <v>Yes</v>
      </c>
      <c r="CV19" s="17">
        <f t="shared" ca="1" si="10"/>
        <v>0.58199999999999996</v>
      </c>
      <c r="CW19" s="17">
        <f t="shared" ca="1" si="11"/>
        <v>0</v>
      </c>
      <c r="CY19" s="657">
        <v>14</v>
      </c>
      <c r="CZ19" s="17" t="str">
        <f t="shared" si="3"/>
        <v>nivolumab_monotherapy</v>
      </c>
      <c r="DA19" s="17">
        <f t="shared" si="4"/>
        <v>0</v>
      </c>
      <c r="DB19" s="17">
        <f t="shared" si="5"/>
        <v>2</v>
      </c>
      <c r="DC19" s="17" t="str">
        <f>"G3+ "&amp;$D$43</f>
        <v>G3+ Leukopenia</v>
      </c>
      <c r="DD19" s="17">
        <f t="shared" ca="1" si="1"/>
        <v>0</v>
      </c>
      <c r="DE19" s="956">
        <f t="shared" ca="1" si="2"/>
        <v>23.915178571428573</v>
      </c>
      <c r="DG19" s="1008">
        <f>'Resource use and costs'!$BD$184</f>
        <v>0</v>
      </c>
      <c r="DH19" s="1009">
        <f>Utilities!$BB$333</f>
        <v>-0.1</v>
      </c>
      <c r="DI19" s="1178">
        <f>Utilities!I325</f>
        <v>3</v>
      </c>
      <c r="DK19" s="1006"/>
      <c r="DL19" s="17"/>
      <c r="DM19" s="1179"/>
      <c r="DN19" s="1180"/>
      <c r="DO19" s="1197"/>
      <c r="DP19" s="1182"/>
      <c r="DQ19" s="17" t="str">
        <v>pazopanib</v>
      </c>
      <c r="DR19" s="17">
        <v>5</v>
      </c>
      <c r="DS19" s="3">
        <v>557</v>
      </c>
      <c r="DT19" s="3">
        <v>557</v>
      </c>
      <c r="DW19" s="1006" t="s">
        <v>680</v>
      </c>
      <c r="DX19" s="1007">
        <f>DX16/DX17</f>
        <v>0.52468146027201146</v>
      </c>
      <c r="DY19" s="1007">
        <f>DY16/DY17</f>
        <v>0.85577167019027489</v>
      </c>
      <c r="DZ19" s="1007">
        <f>DZ16/DZ17</f>
        <v>2.7025691699604743E-2</v>
      </c>
    </row>
    <row r="20" spans="4:130" x14ac:dyDescent="0.2">
      <c r="D20" s="694" t="str">
        <v>Palmar-plantar erythrodysaesthesia syndrome</v>
      </c>
      <c r="E20" s="568">
        <v>0</v>
      </c>
      <c r="F20" s="568">
        <v>130</v>
      </c>
      <c r="G20" s="43">
        <v>6</v>
      </c>
      <c r="H20" s="43">
        <v>101</v>
      </c>
      <c r="I20" s="43">
        <v>158</v>
      </c>
      <c r="J20" s="43">
        <v>163</v>
      </c>
      <c r="K20" s="43">
        <v>28</v>
      </c>
      <c r="L20" s="568">
        <v>134</v>
      </c>
      <c r="M20" s="43">
        <v>33</v>
      </c>
      <c r="N20" s="43">
        <v>4</v>
      </c>
      <c r="O20" s="1146">
        <v>0</v>
      </c>
      <c r="P20" s="43">
        <v>100</v>
      </c>
      <c r="Q20" s="43">
        <v>69</v>
      </c>
      <c r="R20" s="571"/>
      <c r="S20" s="707">
        <f>406*5.5*i_mon_to_weeks</f>
        <v>9709.5625</v>
      </c>
      <c r="T20" s="706">
        <f>320*21.8*i_mon_to_weeks</f>
        <v>30333.142857142855</v>
      </c>
      <c r="U20" s="698">
        <f>550*7.9*i_mon_to_weeks</f>
        <v>18892.991071428572</v>
      </c>
      <c r="V20" s="698">
        <f>355*17*i_mon_to_weeks</f>
        <v>26241.473214285714</v>
      </c>
      <c r="W20" s="698">
        <f>442*13.3*i_mon_to_weeks</f>
        <v>25561.412500000002</v>
      </c>
      <c r="X20" s="706">
        <f>557*8*i_mon_to_weeks</f>
        <v>19375.642857142855</v>
      </c>
      <c r="Y20" s="699">
        <f>175*197*i_days_to_weeks</f>
        <v>4925</v>
      </c>
      <c r="Z20" s="706">
        <f>320*8.9*i_mon_to_weeks</f>
        <v>12383.714285714286</v>
      </c>
      <c r="AA20" s="698">
        <f>79*8.3*i_mon_to_weeks</f>
        <v>2851.1241071428572</v>
      </c>
      <c r="AB20" s="698">
        <f>51*7.6*i_mon_to_weeks</f>
        <v>1685.367857142857</v>
      </c>
      <c r="AC20" s="706">
        <f>397*3.7*i_mon_to_weeks</f>
        <v>6387.0919642857143</v>
      </c>
      <c r="AD20" s="698">
        <f>359*6.4*i_mon_to_weeks</f>
        <v>9990.4571428571417</v>
      </c>
      <c r="AE20" s="699">
        <f>182*16</f>
        <v>2912</v>
      </c>
      <c r="AF20" s="590"/>
      <c r="AG20" s="1192">
        <f>MAX((E20/S20)-AG36,0)</f>
        <v>0</v>
      </c>
      <c r="AH20" s="1193">
        <f t="shared" ref="AH20:AS20" si="15">MAX((F20/T20)-AH36,0)</f>
        <v>3.4615601981802082E-3</v>
      </c>
      <c r="AI20" s="1193">
        <f t="shared" si="15"/>
        <v>3.1757808900220459E-4</v>
      </c>
      <c r="AJ20" s="1193">
        <f t="shared" si="15"/>
        <v>3.8488692755640013E-3</v>
      </c>
      <c r="AK20" s="1193">
        <f t="shared" si="15"/>
        <v>5.0757872726103423E-3</v>
      </c>
      <c r="AL20" s="1193">
        <f t="shared" si="15"/>
        <v>6.7610659922804411E-3</v>
      </c>
      <c r="AM20" s="1193">
        <f t="shared" si="15"/>
        <v>5.6852791878172588E-3</v>
      </c>
      <c r="AN20" s="1193">
        <f t="shared" si="15"/>
        <v>8.7211314399095585E-3</v>
      </c>
      <c r="AO20" s="1193">
        <f t="shared" si="15"/>
        <v>9.469949039523572E-3</v>
      </c>
      <c r="AP20" s="1193">
        <f t="shared" si="15"/>
        <v>2.3733691033962488E-3</v>
      </c>
      <c r="AQ20" s="1193">
        <f t="shared" si="15"/>
        <v>0</v>
      </c>
      <c r="AR20" s="1193">
        <f t="shared" si="15"/>
        <v>8.007641577962972E-3</v>
      </c>
      <c r="AS20" s="1193">
        <f t="shared" si="15"/>
        <v>1.3107623251065873E-2</v>
      </c>
      <c r="AT20" s="1194">
        <v>0</v>
      </c>
      <c r="AU20" s="1414">
        <v>3</v>
      </c>
      <c r="AV20" s="1415">
        <v>0.6</v>
      </c>
      <c r="CA20" s="17" t="str" cm="1">
        <f t="array" ref="CA20">INDEX(List_comparators,CB20+1)</f>
        <v>nivolumab_monotherapy</v>
      </c>
      <c r="CB20" s="17">
        <v>0</v>
      </c>
      <c r="CC20" s="17">
        <v>2</v>
      </c>
      <c r="CD20" s="17"/>
      <c r="CE20" s="17"/>
      <c r="CF20" s="17"/>
      <c r="CG20" s="17"/>
      <c r="CH20" s="17"/>
      <c r="CI20" s="17"/>
      <c r="CJ20" s="583"/>
      <c r="CK20" s="583"/>
      <c r="CL20" s="17" t="str">
        <v>Increase in lipase</v>
      </c>
      <c r="CM20" s="17">
        <v>12</v>
      </c>
      <c r="CN20" s="17">
        <v>0</v>
      </c>
      <c r="CO20" s="17">
        <f t="shared" ca="1" si="0"/>
        <v>0</v>
      </c>
      <c r="CP20" s="17"/>
      <c r="CQ20" s="17">
        <f t="shared" ca="1" si="8"/>
        <v>9709.5625</v>
      </c>
      <c r="CR20" s="17">
        <v>0</v>
      </c>
      <c r="CS20" s="17">
        <f t="shared" ca="1" si="9"/>
        <v>0</v>
      </c>
      <c r="CT20" s="17" t="str">
        <f t="shared" si="6"/>
        <v>one-off</v>
      </c>
      <c r="CU20" s="17" t="str">
        <f t="shared" si="7"/>
        <v>Yes</v>
      </c>
      <c r="CV20" s="17">
        <f t="shared" ca="1" si="10"/>
        <v>0.58199999999999996</v>
      </c>
      <c r="CW20" s="17">
        <f t="shared" ca="1" si="11"/>
        <v>0</v>
      </c>
      <c r="CY20" s="657">
        <v>15</v>
      </c>
      <c r="CZ20" s="17" t="str">
        <f t="shared" si="3"/>
        <v>nivolumab_monotherapy</v>
      </c>
      <c r="DA20" s="17">
        <f t="shared" si="4"/>
        <v>0</v>
      </c>
      <c r="DB20" s="17">
        <f t="shared" si="5"/>
        <v>2</v>
      </c>
      <c r="DC20" s="17" t="str">
        <f>"G3+ "&amp;$D$44</f>
        <v>G3+ Lymphopenia</v>
      </c>
      <c r="DD20" s="17">
        <f t="shared" ca="1" si="1"/>
        <v>0</v>
      </c>
      <c r="DE20" s="956">
        <f t="shared" ca="1" si="2"/>
        <v>23.915178571428573</v>
      </c>
      <c r="DG20" s="1008">
        <f>'Resource use and costs'!$BD$185</f>
        <v>679.97</v>
      </c>
      <c r="DH20" s="1009">
        <f>Utilities!$BB$334</f>
        <v>-0.1</v>
      </c>
      <c r="DI20" s="1178">
        <f>Utilities!I326</f>
        <v>3</v>
      </c>
      <c r="DK20" s="274"/>
      <c r="DL20" s="274"/>
      <c r="DM20" s="1198"/>
      <c r="DN20" s="1182"/>
      <c r="DO20" s="1182"/>
      <c r="DQ20" s="17" t="str">
        <v>tivozanib</v>
      </c>
      <c r="DR20" s="17">
        <v>6</v>
      </c>
      <c r="DS20" s="3">
        <v>175</v>
      </c>
      <c r="DT20" s="3">
        <v>175</v>
      </c>
    </row>
    <row r="21" spans="4:130" ht="15.75" thickBot="1" x14ac:dyDescent="0.25">
      <c r="D21" s="493"/>
      <c r="E21" s="19"/>
      <c r="F21" s="708"/>
      <c r="G21" s="19"/>
      <c r="H21" s="19"/>
      <c r="I21" s="19"/>
      <c r="J21" s="19"/>
      <c r="K21" s="19"/>
      <c r="L21" s="708"/>
      <c r="M21" s="19"/>
      <c r="N21" s="19"/>
      <c r="O21" s="19"/>
      <c r="P21" s="19"/>
      <c r="Q21" s="19"/>
      <c r="R21" s="709"/>
      <c r="S21" s="714"/>
      <c r="T21" s="708"/>
      <c r="U21" s="715"/>
      <c r="V21" s="715"/>
      <c r="W21" s="715"/>
      <c r="X21" s="708"/>
      <c r="Y21" s="715"/>
      <c r="Z21" s="708"/>
      <c r="AA21" s="715"/>
      <c r="AB21" s="715"/>
      <c r="AC21" s="710"/>
      <c r="AD21" s="715"/>
      <c r="AE21" s="715"/>
      <c r="AF21" s="709"/>
      <c r="AG21" s="1199"/>
      <c r="AH21" s="1200"/>
      <c r="AI21" s="1200"/>
      <c r="AJ21" s="1200"/>
      <c r="AK21" s="1200"/>
      <c r="AL21" s="1200"/>
      <c r="AM21" s="1200"/>
      <c r="AN21" s="1200"/>
      <c r="AO21" s="1200"/>
      <c r="AP21" s="1200"/>
      <c r="AQ21" s="1200"/>
      <c r="AR21" s="1200"/>
      <c r="AS21" s="1200"/>
      <c r="AT21" s="1201"/>
      <c r="AU21" s="711"/>
      <c r="AV21" s="580"/>
      <c r="CA21" s="17" t="str" cm="1">
        <f t="array" ref="CA21">INDEX(List_comparators,CB21+1)</f>
        <v>nivolumab_monotherapy</v>
      </c>
      <c r="CB21" s="17">
        <v>0</v>
      </c>
      <c r="CC21" s="17">
        <v>2</v>
      </c>
      <c r="CD21" s="17"/>
      <c r="CE21" s="17"/>
      <c r="CF21" s="17"/>
      <c r="CG21" s="17"/>
      <c r="CH21" s="17"/>
      <c r="CI21" s="17"/>
      <c r="CJ21" s="583"/>
      <c r="CK21" s="583"/>
      <c r="CL21" s="17" t="str">
        <v>Increased AST</v>
      </c>
      <c r="CM21" s="17">
        <v>13</v>
      </c>
      <c r="CN21" s="17">
        <v>0</v>
      </c>
      <c r="CO21" s="17">
        <f t="shared" ca="1" si="0"/>
        <v>0</v>
      </c>
      <c r="CP21" s="17"/>
      <c r="CQ21" s="17">
        <f t="shared" ca="1" si="8"/>
        <v>9709.5625</v>
      </c>
      <c r="CR21" s="17">
        <v>0</v>
      </c>
      <c r="CS21" s="17">
        <f t="shared" ca="1" si="9"/>
        <v>0</v>
      </c>
      <c r="CT21" s="17" t="str">
        <f t="shared" si="6"/>
        <v>one-off</v>
      </c>
      <c r="CU21" s="17" t="str">
        <f t="shared" si="7"/>
        <v>Yes</v>
      </c>
      <c r="CV21" s="17">
        <f t="shared" ca="1" si="10"/>
        <v>0.58199999999999996</v>
      </c>
      <c r="CW21" s="17">
        <f t="shared" ca="1" si="11"/>
        <v>0</v>
      </c>
      <c r="CY21" s="657">
        <v>16</v>
      </c>
      <c r="CZ21" s="17" t="str">
        <f t="shared" si="3"/>
        <v>nivolumab_monotherapy</v>
      </c>
      <c r="DA21" s="17">
        <f t="shared" si="4"/>
        <v>0</v>
      </c>
      <c r="DB21" s="17">
        <f t="shared" si="5"/>
        <v>2</v>
      </c>
      <c r="DC21" s="17" t="str">
        <f>"G3+ "&amp;$D$45</f>
        <v>G3+ Nausea</v>
      </c>
      <c r="DD21" s="17">
        <f t="shared" ca="1" si="1"/>
        <v>0</v>
      </c>
      <c r="DE21" s="956">
        <f t="shared" ca="1" si="2"/>
        <v>23.915178571428573</v>
      </c>
      <c r="DG21" s="1008">
        <f>'Resource use and costs'!$BD$186</f>
        <v>801.11</v>
      </c>
      <c r="DH21" s="1009">
        <f>Utilities!$BB$335</f>
        <v>-0.1</v>
      </c>
      <c r="DI21" s="1178">
        <f>Utilities!I327</f>
        <v>3</v>
      </c>
      <c r="DK21" s="274"/>
      <c r="DL21" s="274"/>
      <c r="DM21" s="1198"/>
      <c r="DN21" s="1182"/>
      <c r="DO21" s="1182"/>
      <c r="DQ21" s="17" t="str">
        <v>sunitinib</v>
      </c>
      <c r="DR21" s="17">
        <v>7</v>
      </c>
      <c r="DS21" s="3">
        <v>320</v>
      </c>
      <c r="DT21" s="3">
        <v>320</v>
      </c>
    </row>
    <row r="22" spans="4:130" x14ac:dyDescent="0.2">
      <c r="CA22" s="17" t="str" cm="1">
        <f t="array" ref="CA22">INDEX(List_comparators,CB22+1)</f>
        <v>nivolumab_monotherapy</v>
      </c>
      <c r="CB22" s="17">
        <v>0</v>
      </c>
      <c r="CC22" s="17">
        <v>2</v>
      </c>
      <c r="CD22" s="17"/>
      <c r="CE22" s="17"/>
      <c r="CF22" s="17"/>
      <c r="CG22" s="17"/>
      <c r="CH22" s="17"/>
      <c r="CI22" s="17"/>
      <c r="CJ22" s="583"/>
      <c r="CK22" s="583"/>
      <c r="CL22" s="17" t="str">
        <v>Leukopenia</v>
      </c>
      <c r="CM22" s="17">
        <v>14</v>
      </c>
      <c r="CN22" s="17">
        <v>0</v>
      </c>
      <c r="CO22" s="17">
        <f t="shared" ca="1" si="0"/>
        <v>0</v>
      </c>
      <c r="CP22" s="17"/>
      <c r="CQ22" s="17">
        <f t="shared" ca="1" si="8"/>
        <v>9709.5625</v>
      </c>
      <c r="CR22" s="17">
        <v>0</v>
      </c>
      <c r="CS22" s="17">
        <f t="shared" ca="1" si="9"/>
        <v>0</v>
      </c>
      <c r="CT22" s="17" t="str">
        <f t="shared" si="6"/>
        <v>one-off</v>
      </c>
      <c r="CU22" s="17" t="str">
        <f t="shared" si="7"/>
        <v>Yes</v>
      </c>
      <c r="CV22" s="17">
        <f t="shared" ca="1" si="10"/>
        <v>0.58199999999999996</v>
      </c>
      <c r="CW22" s="17">
        <f t="shared" ca="1" si="11"/>
        <v>0</v>
      </c>
      <c r="CY22" s="657">
        <v>17</v>
      </c>
      <c r="CZ22" s="17" t="str">
        <f t="shared" si="3"/>
        <v>nivolumab_monotherapy</v>
      </c>
      <c r="DA22" s="17">
        <f t="shared" si="4"/>
        <v>0</v>
      </c>
      <c r="DB22" s="17">
        <f t="shared" si="5"/>
        <v>2</v>
      </c>
      <c r="DC22" s="17" t="str">
        <f>"G3+ "&amp;$D$46</f>
        <v>G3+ Neutropenia</v>
      </c>
      <c r="DD22" s="17">
        <f t="shared" ca="1" si="1"/>
        <v>0</v>
      </c>
      <c r="DE22" s="956">
        <f t="shared" ca="1" si="2"/>
        <v>23.915178571428573</v>
      </c>
      <c r="DG22" s="1008">
        <f>'Resource use and costs'!$BD$187</f>
        <v>655.75</v>
      </c>
      <c r="DH22" s="1009">
        <f>Utilities!$BB$336</f>
        <v>-0.1</v>
      </c>
      <c r="DI22" s="1178">
        <f>Utilities!I328</f>
        <v>3</v>
      </c>
      <c r="DJ22" s="1098"/>
      <c r="DK22" s="1098" t="s">
        <v>681</v>
      </c>
      <c r="DL22" s="1098"/>
      <c r="DM22" s="1098"/>
      <c r="DN22" s="1098"/>
      <c r="DO22" s="1098"/>
      <c r="DQ22" s="17" t="str">
        <v>cabozantinib</v>
      </c>
      <c r="DR22" s="17">
        <v>8</v>
      </c>
      <c r="DS22" s="3">
        <v>79</v>
      </c>
      <c r="DT22" s="3">
        <v>79</v>
      </c>
    </row>
    <row r="23" spans="4:130" ht="30.75" customHeight="1" x14ac:dyDescent="0.2">
      <c r="D23" s="569" t="s">
        <v>162</v>
      </c>
      <c r="E23" s="18" t="s">
        <v>606</v>
      </c>
      <c r="F23" s="18" t="s">
        <v>682</v>
      </c>
      <c r="G23" s="18" t="s">
        <v>683</v>
      </c>
      <c r="H23" s="18" t="s">
        <v>684</v>
      </c>
      <c r="I23" s="18" t="s">
        <v>685</v>
      </c>
      <c r="J23" s="18" t="s">
        <v>686</v>
      </c>
      <c r="K23" s="18" t="s">
        <v>687</v>
      </c>
      <c r="L23" s="18" t="s">
        <v>688</v>
      </c>
      <c r="M23" s="18" t="s">
        <v>689</v>
      </c>
      <c r="N23" s="18" t="s">
        <v>690</v>
      </c>
      <c r="O23" s="18" t="s">
        <v>606</v>
      </c>
      <c r="P23" s="18" t="s">
        <v>691</v>
      </c>
      <c r="Q23" s="18" t="s">
        <v>692</v>
      </c>
      <c r="R23" s="18"/>
      <c r="S23" s="18" t="s">
        <v>606</v>
      </c>
      <c r="T23" s="18" t="s">
        <v>564</v>
      </c>
      <c r="U23" s="18" t="s">
        <v>683</v>
      </c>
      <c r="V23" s="18" t="s">
        <v>684</v>
      </c>
      <c r="W23" s="18" t="s">
        <v>685</v>
      </c>
      <c r="X23" s="18" t="s">
        <v>686</v>
      </c>
      <c r="Y23" s="18" t="s">
        <v>687</v>
      </c>
      <c r="Z23" s="18" t="s">
        <v>564</v>
      </c>
      <c r="AA23" s="18" t="s">
        <v>689</v>
      </c>
      <c r="AB23" s="18" t="s">
        <v>690</v>
      </c>
      <c r="AC23" s="18" t="s">
        <v>606</v>
      </c>
      <c r="AD23" s="18" t="s">
        <v>691</v>
      </c>
      <c r="AE23" s="18" t="s">
        <v>692</v>
      </c>
      <c r="AF23" s="18"/>
      <c r="AG23" s="18"/>
      <c r="AH23" s="18"/>
      <c r="AI23" s="18"/>
      <c r="AJ23" s="18"/>
      <c r="AK23" s="18"/>
      <c r="AL23" s="18"/>
      <c r="AM23" s="18"/>
      <c r="AN23" s="18"/>
      <c r="AO23" s="18"/>
      <c r="AP23" s="18"/>
      <c r="AQ23" s="18"/>
      <c r="AR23" s="18"/>
      <c r="AS23" s="18"/>
      <c r="AT23" s="18"/>
      <c r="AU23" s="18" t="s">
        <v>693</v>
      </c>
      <c r="AV23" s="18" t="s">
        <v>694</v>
      </c>
      <c r="CA23" s="17" t="str" cm="1">
        <f t="array" ref="CA23">INDEX(List_comparators,CB23+1)</f>
        <v>nivolumab_monotherapy</v>
      </c>
      <c r="CB23" s="17">
        <v>0</v>
      </c>
      <c r="CC23" s="17">
        <v>2</v>
      </c>
      <c r="CD23" s="17"/>
      <c r="CE23" s="17"/>
      <c r="CF23" s="17"/>
      <c r="CG23" s="17"/>
      <c r="CH23" s="17"/>
      <c r="CI23" s="17"/>
      <c r="CJ23" s="583"/>
      <c r="CK23" s="583"/>
      <c r="CL23" s="17" t="str">
        <v>Lymphopenia</v>
      </c>
      <c r="CM23" s="17">
        <v>15</v>
      </c>
      <c r="CN23" s="17">
        <v>0</v>
      </c>
      <c r="CO23" s="17">
        <f t="shared" ca="1" si="0"/>
        <v>0</v>
      </c>
      <c r="CP23" s="17"/>
      <c r="CQ23" s="17">
        <f t="shared" ca="1" si="8"/>
        <v>9709.5625</v>
      </c>
      <c r="CR23" s="17">
        <v>0</v>
      </c>
      <c r="CS23" s="17">
        <f t="shared" ca="1" si="9"/>
        <v>0</v>
      </c>
      <c r="CT23" s="17" t="str">
        <f t="shared" si="6"/>
        <v>one-off</v>
      </c>
      <c r="CU23" s="17" t="str">
        <f t="shared" si="7"/>
        <v>Yes</v>
      </c>
      <c r="CV23" s="17">
        <f t="shared" ca="1" si="10"/>
        <v>0.58199999999999996</v>
      </c>
      <c r="CW23" s="17">
        <f t="shared" ca="1" si="11"/>
        <v>0</v>
      </c>
      <c r="CY23" s="657">
        <v>18</v>
      </c>
      <c r="CZ23" s="17" t="str">
        <f t="shared" si="3"/>
        <v>nivolumab_monotherapy</v>
      </c>
      <c r="DA23" s="17">
        <f t="shared" si="4"/>
        <v>0</v>
      </c>
      <c r="DB23" s="17">
        <f t="shared" si="5"/>
        <v>2</v>
      </c>
      <c r="DC23" s="17" t="str">
        <f>"G3+ "&amp;$D$47</f>
        <v>G3+ Platelets count decreased</v>
      </c>
      <c r="DD23" s="17">
        <f t="shared" ca="1" si="1"/>
        <v>0</v>
      </c>
      <c r="DE23" s="956">
        <f t="shared" ca="1" si="2"/>
        <v>23.915178571428573</v>
      </c>
      <c r="DG23" s="1008">
        <f>'Resource use and costs'!$BD$188</f>
        <v>801.11</v>
      </c>
      <c r="DH23" s="1009">
        <f>Utilities!$BB$337</f>
        <v>-0.1</v>
      </c>
      <c r="DI23" s="1178">
        <f>Utilities!I329</f>
        <v>3</v>
      </c>
      <c r="DJ23" s="1098">
        <v>1</v>
      </c>
      <c r="DK23" s="1099" t="s">
        <v>579</v>
      </c>
      <c r="DL23" s="1099">
        <v>2</v>
      </c>
      <c r="DM23" s="1100">
        <v>322.26749798082881</v>
      </c>
      <c r="DN23" s="1101">
        <v>13.475437660576002</v>
      </c>
      <c r="DO23" s="1102">
        <v>-6.6970313503577662E-3</v>
      </c>
      <c r="DQ23" s="17" t="str">
        <v>lenvatinib_plus_everolimus</v>
      </c>
      <c r="DR23" s="17">
        <v>9</v>
      </c>
      <c r="DS23" s="3">
        <v>51</v>
      </c>
      <c r="DT23" s="3">
        <v>51</v>
      </c>
    </row>
    <row r="24" spans="4:130" x14ac:dyDescent="0.2">
      <c r="CA24" s="17" t="str" cm="1">
        <f t="array" ref="CA24">INDEX(List_comparators,CB24+1)</f>
        <v>nivolumab_monotherapy</v>
      </c>
      <c r="CB24" s="17">
        <v>0</v>
      </c>
      <c r="CC24" s="17">
        <v>2</v>
      </c>
      <c r="CD24" s="17"/>
      <c r="CE24" s="17"/>
      <c r="CF24" s="17"/>
      <c r="CG24" s="17"/>
      <c r="CH24" s="17"/>
      <c r="CI24" s="17"/>
      <c r="CJ24" s="583"/>
      <c r="CK24" s="583"/>
      <c r="CL24" s="17" t="str">
        <v>Nausea</v>
      </c>
      <c r="CM24" s="17">
        <v>16</v>
      </c>
      <c r="CN24" s="17">
        <v>0</v>
      </c>
      <c r="CO24" s="17">
        <f t="shared" ca="1" si="0"/>
        <v>0</v>
      </c>
      <c r="CP24" s="17"/>
      <c r="CQ24" s="17">
        <f t="shared" ca="1" si="8"/>
        <v>9709.5625</v>
      </c>
      <c r="CR24" s="17">
        <v>0</v>
      </c>
      <c r="CS24" s="17">
        <f t="shared" ca="1" si="9"/>
        <v>0</v>
      </c>
      <c r="CT24" s="17" t="str">
        <f t="shared" si="6"/>
        <v>one-off</v>
      </c>
      <c r="CU24" s="17" t="str">
        <f t="shared" si="7"/>
        <v>Yes</v>
      </c>
      <c r="CV24" s="17">
        <f t="shared" ca="1" si="10"/>
        <v>0.58199999999999996</v>
      </c>
      <c r="CW24" s="17">
        <f t="shared" ca="1" si="11"/>
        <v>0</v>
      </c>
      <c r="CY24" s="657">
        <v>19</v>
      </c>
      <c r="CZ24" s="17" t="str">
        <f t="shared" si="3"/>
        <v>nivolumab_monotherapy</v>
      </c>
      <c r="DA24" s="17">
        <f t="shared" si="4"/>
        <v>0</v>
      </c>
      <c r="DB24" s="17">
        <f t="shared" si="5"/>
        <v>2</v>
      </c>
      <c r="DC24" s="17" t="str">
        <f>"G3+ "&amp;$D$48</f>
        <v>G3+ Proteinuria</v>
      </c>
      <c r="DD24" s="17">
        <f t="shared" ca="1" si="1"/>
        <v>0</v>
      </c>
      <c r="DE24" s="956">
        <f t="shared" ca="1" si="2"/>
        <v>23.915178571428573</v>
      </c>
      <c r="DG24" s="1008">
        <f>'Resource use and costs'!$BD$189</f>
        <v>220.87</v>
      </c>
      <c r="DH24" s="1009">
        <f>Utilities!$BB$338</f>
        <v>-0.1</v>
      </c>
      <c r="DI24" s="1178">
        <f>Utilities!I330</f>
        <v>3</v>
      </c>
      <c r="DJ24" s="1098">
        <v>2</v>
      </c>
      <c r="DK24" s="1099" t="s">
        <v>571</v>
      </c>
      <c r="DL24" s="1099">
        <v>1</v>
      </c>
      <c r="DM24" s="1100">
        <v>2253.6152206474717</v>
      </c>
      <c r="DN24" s="1101">
        <v>23.77455161845759</v>
      </c>
      <c r="DO24" s="1102">
        <v>-5.7819186298508789E-2</v>
      </c>
      <c r="DQ24" s="17" t="str">
        <v>everolimus</v>
      </c>
      <c r="DR24" s="17">
        <v>10</v>
      </c>
      <c r="DS24" s="3">
        <v>397</v>
      </c>
      <c r="DT24" s="3">
        <v>397</v>
      </c>
    </row>
    <row r="25" spans="4:130" ht="15.75" thickBot="1" x14ac:dyDescent="0.25">
      <c r="CA25" s="17" t="str" cm="1">
        <f t="array" ref="CA25">INDEX(List_comparators,CB25+1)</f>
        <v>nivolumab_monotherapy</v>
      </c>
      <c r="CB25" s="17">
        <v>0</v>
      </c>
      <c r="CC25" s="17">
        <v>2</v>
      </c>
      <c r="CD25" s="17"/>
      <c r="CE25" s="17"/>
      <c r="CF25" s="17"/>
      <c r="CG25" s="17"/>
      <c r="CH25" s="17"/>
      <c r="CI25" s="17"/>
      <c r="CJ25" s="583"/>
      <c r="CK25" s="583"/>
      <c r="CL25" s="17" t="str">
        <v>Neutropenia</v>
      </c>
      <c r="CM25" s="17">
        <v>17</v>
      </c>
      <c r="CN25" s="17">
        <v>0</v>
      </c>
      <c r="CO25" s="17">
        <f t="shared" ca="1" si="0"/>
        <v>0</v>
      </c>
      <c r="CP25" s="17"/>
      <c r="CQ25" s="17">
        <f t="shared" ca="1" si="8"/>
        <v>9709.5625</v>
      </c>
      <c r="CR25" s="17">
        <v>0</v>
      </c>
      <c r="CS25" s="17">
        <f t="shared" ca="1" si="9"/>
        <v>0</v>
      </c>
      <c r="CT25" s="17" t="str">
        <f t="shared" si="6"/>
        <v>one-off</v>
      </c>
      <c r="CU25" s="17" t="str">
        <f t="shared" si="7"/>
        <v>Yes</v>
      </c>
      <c r="CV25" s="17">
        <f t="shared" ca="1" si="10"/>
        <v>0.58199999999999996</v>
      </c>
      <c r="CW25" s="17">
        <f t="shared" ca="1" si="11"/>
        <v>0</v>
      </c>
      <c r="CY25" s="657">
        <v>20</v>
      </c>
      <c r="CZ25" s="17" t="str">
        <f t="shared" si="3"/>
        <v>nivolumab_monotherapy</v>
      </c>
      <c r="DA25" s="17">
        <f t="shared" si="4"/>
        <v>0</v>
      </c>
      <c r="DB25" s="17">
        <f t="shared" si="5"/>
        <v>2</v>
      </c>
      <c r="DC25" s="17" t="str">
        <f>"G3+ "&amp;$D$49</f>
        <v>G3+ Stomatitis</v>
      </c>
      <c r="DD25" s="17">
        <f t="shared" ca="1" si="1"/>
        <v>0</v>
      </c>
      <c r="DE25" s="956">
        <f t="shared" ca="1" si="2"/>
        <v>23.915178571428573</v>
      </c>
      <c r="DG25" s="1008">
        <f>'Resource use and costs'!$BD$190</f>
        <v>801.11</v>
      </c>
      <c r="DH25" s="1009">
        <f>Utilities!$BB$339</f>
        <v>-0.1</v>
      </c>
      <c r="DI25" s="1178">
        <f>Utilities!I331</f>
        <v>3</v>
      </c>
      <c r="DJ25" s="1098">
        <v>3</v>
      </c>
      <c r="DK25" s="1099" t="s">
        <v>581</v>
      </c>
      <c r="DL25" s="1099">
        <v>1</v>
      </c>
      <c r="DM25" s="1100">
        <v>669.51820995207265</v>
      </c>
      <c r="DN25" s="1101">
        <v>19.490562086302639</v>
      </c>
      <c r="DO25" s="1102">
        <v>-1.2426816272484422E-2</v>
      </c>
      <c r="DQ25" s="17" t="str">
        <v>axitinib</v>
      </c>
      <c r="DR25" s="17">
        <v>11</v>
      </c>
      <c r="DS25" s="3">
        <v>359</v>
      </c>
      <c r="DT25" s="3">
        <v>359</v>
      </c>
    </row>
    <row r="26" spans="4:130" ht="16.5" thickBot="1" x14ac:dyDescent="0.3">
      <c r="D26" s="1707" t="s">
        <v>695</v>
      </c>
      <c r="E26" s="1712" t="s">
        <v>668</v>
      </c>
      <c r="F26" s="1712"/>
      <c r="G26" s="1712"/>
      <c r="H26" s="1712"/>
      <c r="I26" s="1712"/>
      <c r="J26" s="1712"/>
      <c r="K26" s="1712"/>
      <c r="L26" s="1712"/>
      <c r="M26" s="1712"/>
      <c r="N26" s="1712"/>
      <c r="O26" s="1712"/>
      <c r="P26" s="1712"/>
      <c r="Q26" s="1712"/>
      <c r="R26" s="1713"/>
      <c r="S26" s="1714" t="s">
        <v>669</v>
      </c>
      <c r="T26" s="1715"/>
      <c r="U26" s="1715"/>
      <c r="V26" s="1715"/>
      <c r="W26" s="1715"/>
      <c r="X26" s="1715"/>
      <c r="Y26" s="1715"/>
      <c r="Z26" s="1715"/>
      <c r="AA26" s="1715"/>
      <c r="AB26" s="1715"/>
      <c r="AC26" s="1715"/>
      <c r="AD26" s="1715"/>
      <c r="AE26" s="1715"/>
      <c r="AF26" s="1716"/>
      <c r="AG26" s="1717" t="s">
        <v>670</v>
      </c>
      <c r="AH26" s="1712"/>
      <c r="AI26" s="1712"/>
      <c r="AJ26" s="1712"/>
      <c r="AK26" s="1712"/>
      <c r="AL26" s="1712"/>
      <c r="AM26" s="1712"/>
      <c r="AN26" s="1712"/>
      <c r="AO26" s="1712"/>
      <c r="AP26" s="1712"/>
      <c r="AQ26" s="1712"/>
      <c r="AR26" s="1712"/>
      <c r="AS26" s="1712"/>
      <c r="AT26" s="1718"/>
      <c r="AU26" s="1719" t="s">
        <v>671</v>
      </c>
      <c r="AV26" s="1719"/>
      <c r="CA26" s="17" t="str" cm="1">
        <f t="array" ref="CA26">INDEX(List_comparators,CB26+1)</f>
        <v>nivolumab_monotherapy</v>
      </c>
      <c r="CB26" s="17">
        <v>0</v>
      </c>
      <c r="CC26" s="17">
        <v>2</v>
      </c>
      <c r="CD26" s="17"/>
      <c r="CE26" s="17"/>
      <c r="CF26" s="17"/>
      <c r="CG26" s="17"/>
      <c r="CH26" s="17"/>
      <c r="CI26" s="17"/>
      <c r="CJ26" s="583"/>
      <c r="CK26" s="583"/>
      <c r="CL26" s="17" t="str">
        <v>Platelets count decreased</v>
      </c>
      <c r="CM26" s="17">
        <v>18</v>
      </c>
      <c r="CN26" s="17">
        <v>0</v>
      </c>
      <c r="CO26" s="17">
        <f t="shared" ca="1" si="0"/>
        <v>0</v>
      </c>
      <c r="CP26" s="17"/>
      <c r="CQ26" s="17">
        <f t="shared" ca="1" si="8"/>
        <v>9709.5625</v>
      </c>
      <c r="CR26" s="17">
        <v>0</v>
      </c>
      <c r="CS26" s="17">
        <f t="shared" ca="1" si="9"/>
        <v>0</v>
      </c>
      <c r="CT26" s="17" t="str">
        <f t="shared" si="6"/>
        <v>one-off</v>
      </c>
      <c r="CU26" s="17" t="str">
        <f t="shared" si="7"/>
        <v>Yes</v>
      </c>
      <c r="CV26" s="17">
        <f t="shared" ca="1" si="10"/>
        <v>0.58199999999999996</v>
      </c>
      <c r="CW26" s="17">
        <f t="shared" ca="1" si="11"/>
        <v>0</v>
      </c>
      <c r="CY26" s="657">
        <v>21</v>
      </c>
      <c r="CZ26" s="17" t="str">
        <f t="shared" si="3"/>
        <v>nivolumab_monotherapy</v>
      </c>
      <c r="DA26" s="17">
        <f t="shared" si="4"/>
        <v>0</v>
      </c>
      <c r="DB26" s="17">
        <f t="shared" si="5"/>
        <v>2</v>
      </c>
      <c r="DC26" s="17" t="str">
        <f>"G3+ "&amp;$D$50</f>
        <v>G3+ Vomiting</v>
      </c>
      <c r="DD26" s="17">
        <f t="shared" ca="1" si="1"/>
        <v>0</v>
      </c>
      <c r="DE26" s="956">
        <f t="shared" ca="1" si="2"/>
        <v>23.915178571428573</v>
      </c>
      <c r="DG26" s="1008">
        <f>'Resource use and costs'!$BD$191</f>
        <v>801.11</v>
      </c>
      <c r="DH26" s="1009">
        <f>Utilities!$BB$340</f>
        <v>-0.1</v>
      </c>
      <c r="DI26" s="1178">
        <f>Utilities!I332</f>
        <v>3</v>
      </c>
      <c r="DJ26" s="1098">
        <v>4</v>
      </c>
      <c r="DK26" s="1099" t="s">
        <v>582</v>
      </c>
      <c r="DL26" s="1099">
        <v>1</v>
      </c>
      <c r="DM26" s="1100">
        <v>2123.5054185737417</v>
      </c>
      <c r="DN26" s="1101">
        <v>28.727214262623392</v>
      </c>
      <c r="DO26" s="1102">
        <v>-5.3101862883854732E-2</v>
      </c>
      <c r="DQ26" s="17" t="str">
        <v>sorafenib</v>
      </c>
      <c r="DR26" s="17">
        <v>12</v>
      </c>
      <c r="DS26" s="3">
        <v>183</v>
      </c>
      <c r="DT26" s="3">
        <v>182</v>
      </c>
    </row>
    <row r="27" spans="4:130" ht="15.75" thickBot="1" x14ac:dyDescent="0.25">
      <c r="D27" s="1707"/>
      <c r="E27" s="19" t="str" cm="1">
        <f t="array" ref="E27:R27">TRANSPOSE(List_comparators)</f>
        <v>nivolumab_monotherapy</v>
      </c>
      <c r="F27" s="19" t="str">
        <v>cabozantinib_plus_nivolumab</v>
      </c>
      <c r="G27" s="19" t="str">
        <v>nivolumab_plus_ipilimumab</v>
      </c>
      <c r="H27" s="19" t="str">
        <v>lenvatinib_plus_pembrolizumab</v>
      </c>
      <c r="I27" s="19" t="str">
        <v>avelumab_plus_axitinib</v>
      </c>
      <c r="J27" s="19" t="str">
        <v>pazopanib</v>
      </c>
      <c r="K27" s="19" t="str">
        <v>tivozanib</v>
      </c>
      <c r="L27" s="19" t="str">
        <v>sunitinib</v>
      </c>
      <c r="M27" s="19" t="str">
        <v>cabozantinib</v>
      </c>
      <c r="N27" s="19" t="str">
        <v>lenvatinib_plus_everolimus</v>
      </c>
      <c r="O27" s="19" t="str">
        <v>everolimus</v>
      </c>
      <c r="P27" s="19" t="str">
        <v>axitinib</v>
      </c>
      <c r="Q27" s="19" t="str">
        <v>sorafenib</v>
      </c>
      <c r="R27" s="494" t="str">
        <v>placebo_BSC</v>
      </c>
      <c r="S27" s="1202" t="str" cm="1">
        <f t="array" ref="S27:AF27">TRANSPOSE(List_comparators)</f>
        <v>nivolumab_monotherapy</v>
      </c>
      <c r="T27" s="536" t="str">
        <v>cabozantinib_plus_nivolumab</v>
      </c>
      <c r="U27" s="536" t="str">
        <v>nivolumab_plus_ipilimumab</v>
      </c>
      <c r="V27" s="536" t="str">
        <v>lenvatinib_plus_pembrolizumab</v>
      </c>
      <c r="W27" s="536" t="str">
        <v>avelumab_plus_axitinib</v>
      </c>
      <c r="X27" s="536" t="str">
        <v>pazopanib</v>
      </c>
      <c r="Y27" s="536" t="str">
        <v>tivozanib</v>
      </c>
      <c r="Z27" s="536" t="str">
        <v>sunitinib</v>
      </c>
      <c r="AA27" s="536" t="str">
        <v>cabozantinib</v>
      </c>
      <c r="AB27" s="536" t="str">
        <v>lenvatinib_plus_everolimus</v>
      </c>
      <c r="AC27" s="536" t="str">
        <v>everolimus</v>
      </c>
      <c r="AD27" s="536" t="str">
        <v>axitinib</v>
      </c>
      <c r="AE27" s="536" t="str">
        <v>sorafenib</v>
      </c>
      <c r="AF27" s="592" t="str">
        <v>placebo_BSC</v>
      </c>
      <c r="AG27" s="579" t="str" cm="1">
        <f t="array" ref="AG27:AT27">TRANSPOSE(List_comparators)</f>
        <v>nivolumab_monotherapy</v>
      </c>
      <c r="AH27" s="19" t="str">
        <v>cabozantinib_plus_nivolumab</v>
      </c>
      <c r="AI27" s="19" t="str">
        <v>nivolumab_plus_ipilimumab</v>
      </c>
      <c r="AJ27" s="19" t="str">
        <v>lenvatinib_plus_pembrolizumab</v>
      </c>
      <c r="AK27" s="19" t="str">
        <v>avelumab_plus_axitinib</v>
      </c>
      <c r="AL27" s="19" t="str">
        <v>pazopanib</v>
      </c>
      <c r="AM27" s="19" t="str">
        <v>tivozanib</v>
      </c>
      <c r="AN27" s="19" t="str">
        <v>sunitinib</v>
      </c>
      <c r="AO27" s="19" t="str">
        <v>cabozantinib</v>
      </c>
      <c r="AP27" s="19" t="str">
        <v>lenvatinib_plus_everolimus</v>
      </c>
      <c r="AQ27" s="19" t="str">
        <v>everolimus</v>
      </c>
      <c r="AR27" s="19" t="str">
        <v>axitinib</v>
      </c>
      <c r="AS27" s="19" t="str">
        <v>sorafenib</v>
      </c>
      <c r="AT27" s="580" t="str">
        <v>placebo_BSC</v>
      </c>
      <c r="AU27" s="271" t="s">
        <v>428</v>
      </c>
      <c r="AV27" s="20" t="s">
        <v>161</v>
      </c>
      <c r="CA27" s="17" t="str" cm="1">
        <f t="array" ref="CA27">INDEX(List_comparators,CB27+1)</f>
        <v>nivolumab_monotherapy</v>
      </c>
      <c r="CB27" s="17">
        <v>0</v>
      </c>
      <c r="CC27" s="17">
        <v>2</v>
      </c>
      <c r="CD27" s="17"/>
      <c r="CE27" s="17"/>
      <c r="CF27" s="17"/>
      <c r="CG27" s="17"/>
      <c r="CH27" s="17"/>
      <c r="CI27" s="17"/>
      <c r="CJ27" s="583"/>
      <c r="CK27" s="583"/>
      <c r="CL27" s="17" t="str">
        <v>Proteinuria</v>
      </c>
      <c r="CM27" s="17">
        <v>19</v>
      </c>
      <c r="CN27" s="17">
        <v>0</v>
      </c>
      <c r="CO27" s="17">
        <f t="shared" ca="1" si="0"/>
        <v>0</v>
      </c>
      <c r="CP27" s="17"/>
      <c r="CQ27" s="17">
        <f t="shared" ca="1" si="8"/>
        <v>9709.5625</v>
      </c>
      <c r="CR27" s="17">
        <v>0</v>
      </c>
      <c r="CS27" s="17">
        <f t="shared" ca="1" si="9"/>
        <v>0</v>
      </c>
      <c r="CT27" s="17" t="str">
        <f t="shared" si="6"/>
        <v>one-off</v>
      </c>
      <c r="CU27" s="17" t="str">
        <f t="shared" si="7"/>
        <v>Yes</v>
      </c>
      <c r="CV27" s="17">
        <f t="shared" ca="1" si="10"/>
        <v>0.58199999999999996</v>
      </c>
      <c r="CW27" s="17">
        <f t="shared" ca="1" si="11"/>
        <v>0</v>
      </c>
      <c r="CY27" s="657">
        <v>22</v>
      </c>
      <c r="CZ27" s="17" t="str">
        <f>CA27</f>
        <v>nivolumab_monotherapy</v>
      </c>
      <c r="DA27" s="17">
        <f>CB27</f>
        <v>0</v>
      </c>
      <c r="DB27" s="17">
        <f>CC27</f>
        <v>2</v>
      </c>
      <c r="DC27" s="17" t="str">
        <f>"G3+ "&amp;$D$51</f>
        <v>G3+ Weight loss</v>
      </c>
      <c r="DD27" s="17">
        <f t="shared" ca="1" si="1"/>
        <v>0</v>
      </c>
      <c r="DE27" s="956">
        <f t="shared" ca="1" si="2"/>
        <v>23.915178571428573</v>
      </c>
      <c r="DG27" s="1008">
        <f>'Resource use and costs'!$BD$192</f>
        <v>801.11</v>
      </c>
      <c r="DH27" s="1009">
        <f>Utilities!$BB$341</f>
        <v>-0.1</v>
      </c>
      <c r="DI27" s="1178">
        <f>Utilities!I333</f>
        <v>3</v>
      </c>
      <c r="DJ27" s="1098">
        <v>5</v>
      </c>
      <c r="DK27" s="1099" t="s">
        <v>583</v>
      </c>
      <c r="DL27" s="1099">
        <v>1</v>
      </c>
      <c r="DM27" s="1100">
        <v>2071.0230710616502</v>
      </c>
      <c r="DN27" s="1101">
        <v>35.811487233315034</v>
      </c>
      <c r="DO27" s="1102">
        <v>-5.670406820032689E-2</v>
      </c>
      <c r="DQ27" s="17" t="str">
        <v>placebo_BSC</v>
      </c>
      <c r="DR27" s="17">
        <v>999</v>
      </c>
      <c r="DS27" s="3">
        <v>0</v>
      </c>
      <c r="DT27" s="3">
        <v>0</v>
      </c>
    </row>
    <row r="28" spans="4:130" ht="16.5" thickBot="1" x14ac:dyDescent="0.25">
      <c r="D28" s="491" t="s">
        <v>676</v>
      </c>
      <c r="E28" s="696">
        <v>406</v>
      </c>
      <c r="F28" s="695">
        <v>320</v>
      </c>
      <c r="G28" s="695">
        <v>515</v>
      </c>
      <c r="H28" s="695">
        <v>354</v>
      </c>
      <c r="I28" s="695">
        <f>438</f>
        <v>438</v>
      </c>
      <c r="J28" s="695">
        <v>557</v>
      </c>
      <c r="K28" s="565">
        <v>175</v>
      </c>
      <c r="L28" s="695">
        <f>320</f>
        <v>320</v>
      </c>
      <c r="M28" s="695">
        <f>79</f>
        <v>79</v>
      </c>
      <c r="N28" s="695">
        <f>51</f>
        <v>51</v>
      </c>
      <c r="O28" s="695">
        <v>397</v>
      </c>
      <c r="P28" s="695">
        <f>359</f>
        <v>359</v>
      </c>
      <c r="Q28" s="565">
        <f>183</f>
        <v>183</v>
      </c>
      <c r="R28" s="674"/>
      <c r="S28" s="703">
        <f>406*5.5*i_mon_to_weeks</f>
        <v>9709.5625</v>
      </c>
      <c r="T28" s="704">
        <f>320*21.8*i_mon_to_weeks</f>
        <v>30333.142857142855</v>
      </c>
      <c r="U28" s="704">
        <f>515*7.9*i_mon_to_weeks</f>
        <v>17690.709821428572</v>
      </c>
      <c r="V28" s="704">
        <f>354*17*i_mon_to_weeks</f>
        <v>26167.553571428572</v>
      </c>
      <c r="W28" s="704">
        <f>438*13.3*i_mon_to_weeks</f>
        <v>25330.087500000001</v>
      </c>
      <c r="X28" s="704">
        <f>557*8*i_mon_to_weeks</f>
        <v>19375.642857142855</v>
      </c>
      <c r="Y28" s="705">
        <f>175*197*i_days_to_weeks</f>
        <v>4925</v>
      </c>
      <c r="Z28" s="704">
        <f>320*8.9*i_mon_to_weeks</f>
        <v>12383.714285714286</v>
      </c>
      <c r="AA28" s="704">
        <f>79*8.3*i_mon_to_weeks</f>
        <v>2851.1241071428572</v>
      </c>
      <c r="AB28" s="704">
        <f>51*7.6*i_mon_to_weeks</f>
        <v>1685.367857142857</v>
      </c>
      <c r="AC28" s="704">
        <f>397*3.7*i_mon_to_weeks</f>
        <v>6387.0919642857143</v>
      </c>
      <c r="AD28" s="704">
        <f>359*6.4*i_mon_to_weeks</f>
        <v>9990.4571428571417</v>
      </c>
      <c r="AE28" s="705">
        <f>183*16</f>
        <v>2928</v>
      </c>
      <c r="AF28" s="591"/>
      <c r="AG28" s="716">
        <f t="shared" ref="AG28:AS28" si="16">E28/S28</f>
        <v>4.1814448385290276E-2</v>
      </c>
      <c r="AH28" s="1203">
        <f t="shared" si="16"/>
        <v>1.054951679445397E-2</v>
      </c>
      <c r="AI28" s="1203">
        <f t="shared" si="16"/>
        <v>2.9111324825202088E-2</v>
      </c>
      <c r="AJ28" s="1203">
        <f t="shared" si="16"/>
        <v>1.3528203889358617E-2</v>
      </c>
      <c r="AK28" s="1203">
        <f t="shared" si="16"/>
        <v>1.7291689181886956E-2</v>
      </c>
      <c r="AL28" s="1203">
        <f t="shared" si="16"/>
        <v>2.8747433264887066E-2</v>
      </c>
      <c r="AM28" s="1203">
        <f t="shared" si="16"/>
        <v>3.553299492385787E-2</v>
      </c>
      <c r="AN28" s="1203">
        <f t="shared" si="16"/>
        <v>2.5840389451583876E-2</v>
      </c>
      <c r="AO28" s="1203">
        <f t="shared" si="16"/>
        <v>2.7708369411939337E-2</v>
      </c>
      <c r="AP28" s="1203">
        <f t="shared" si="16"/>
        <v>3.0260456068302174E-2</v>
      </c>
      <c r="AQ28" s="1203">
        <f t="shared" si="16"/>
        <v>6.2156612464620675E-2</v>
      </c>
      <c r="AR28" s="1203">
        <f t="shared" si="16"/>
        <v>3.5934291581108835E-2</v>
      </c>
      <c r="AS28" s="1203">
        <f t="shared" si="16"/>
        <v>6.25E-2</v>
      </c>
      <c r="AT28" s="1204">
        <v>0</v>
      </c>
      <c r="AU28" s="1410">
        <v>3</v>
      </c>
      <c r="AV28" s="1411">
        <v>0.6</v>
      </c>
      <c r="CA28" s="17" t="str" cm="1">
        <f t="array" ref="CA28">INDEX(List_comparators,CB28+1)</f>
        <v>nivolumab_monotherapy</v>
      </c>
      <c r="CB28" s="17">
        <v>0</v>
      </c>
      <c r="CC28" s="17">
        <v>2</v>
      </c>
      <c r="CD28" s="17"/>
      <c r="CE28" s="17"/>
      <c r="CF28" s="17"/>
      <c r="CG28" s="17"/>
      <c r="CH28" s="17"/>
      <c r="CI28" s="17"/>
      <c r="CJ28" s="583"/>
      <c r="CK28" s="583"/>
      <c r="CL28" s="17" t="str">
        <v>Stomatitis</v>
      </c>
      <c r="CM28" s="17">
        <v>20</v>
      </c>
      <c r="CN28" s="17">
        <v>0</v>
      </c>
      <c r="CO28" s="17">
        <f t="shared" ca="1" si="0"/>
        <v>0</v>
      </c>
      <c r="CP28" s="17"/>
      <c r="CQ28" s="17">
        <f t="shared" ca="1" si="8"/>
        <v>9709.5625</v>
      </c>
      <c r="CR28" s="17">
        <v>0</v>
      </c>
      <c r="CS28" s="17">
        <f t="shared" ca="1" si="9"/>
        <v>0</v>
      </c>
      <c r="CT28" s="17" t="str">
        <f t="shared" si="6"/>
        <v>one-off</v>
      </c>
      <c r="CU28" s="17" t="str">
        <f t="shared" si="7"/>
        <v>Yes</v>
      </c>
      <c r="CV28" s="17">
        <f t="shared" ca="1" si="10"/>
        <v>0.58199999999999996</v>
      </c>
      <c r="CW28" s="17">
        <f t="shared" ca="1" si="11"/>
        <v>0</v>
      </c>
      <c r="CY28" s="657">
        <v>1</v>
      </c>
      <c r="CZ28" s="17" t="str">
        <f t="shared" ref="CZ28:DB30" si="17">CA27</f>
        <v>nivolumab_monotherapy</v>
      </c>
      <c r="DA28" s="17">
        <f t="shared" si="17"/>
        <v>0</v>
      </c>
      <c r="DB28" s="17">
        <f t="shared" si="17"/>
        <v>2</v>
      </c>
      <c r="DC28" s="17" t="str">
        <f>"G1&amp;2 "&amp;$D$18</f>
        <v>G1&amp;2 Diarrhoea</v>
      </c>
      <c r="DD28" s="17">
        <f ca="1">CHOOSE(i_AE_NMA_option_num,OFFSET($S$86,$CY28-1,$DA28),OFFSET($AG$18,$CY28-1,$DA28))</f>
        <v>4.6346063481233057E-3</v>
      </c>
      <c r="DE28" s="956">
        <f ca="1">OFFSET($S$18,$CY28-1,$DA28)/INDEX($DT$14:$DT$27,MATCH(DA28,$DR$14:$DR$27,0))</f>
        <v>23.915178571428573</v>
      </c>
      <c r="DF28" s="13" t="s">
        <v>696</v>
      </c>
      <c r="DG28" s="1008">
        <f>'Resource use and costs'!$BD$193</f>
        <v>220.87</v>
      </c>
      <c r="DH28" s="1009">
        <f>Utilities!$BB$342</f>
        <v>-0.05</v>
      </c>
      <c r="DI28" s="1178">
        <f>Utilities!I335</f>
        <v>3</v>
      </c>
      <c r="DJ28" s="1098">
        <v>6</v>
      </c>
      <c r="DK28" s="1099" t="s">
        <v>585</v>
      </c>
      <c r="DL28" s="1099">
        <v>1</v>
      </c>
      <c r="DM28" s="1100">
        <v>1023.2165470653381</v>
      </c>
      <c r="DN28" s="1101">
        <v>29.414849402288983</v>
      </c>
      <c r="DO28" s="1102">
        <v>-2.6468782435916865E-2</v>
      </c>
    </row>
    <row r="29" spans="4:130" ht="16.5" thickBot="1" x14ac:dyDescent="0.25">
      <c r="D29" s="484" t="s">
        <v>678</v>
      </c>
      <c r="E29" s="675"/>
      <c r="F29" s="675"/>
      <c r="G29" s="675"/>
      <c r="H29" s="675"/>
      <c r="I29" s="675"/>
      <c r="J29" s="675"/>
      <c r="K29" s="675"/>
      <c r="L29" s="675"/>
      <c r="M29" s="675"/>
      <c r="N29" s="675"/>
      <c r="O29" s="675"/>
      <c r="P29" s="675"/>
      <c r="Q29" s="675"/>
      <c r="R29" s="676"/>
      <c r="S29" s="586"/>
      <c r="T29" s="585"/>
      <c r="U29" s="584"/>
      <c r="V29" s="584"/>
      <c r="W29" s="584"/>
      <c r="X29" s="584"/>
      <c r="Y29" s="584"/>
      <c r="Z29" s="585"/>
      <c r="AA29" s="584"/>
      <c r="AB29" s="584"/>
      <c r="AC29" s="584"/>
      <c r="AD29" s="584"/>
      <c r="AE29" s="584"/>
      <c r="AF29" s="589"/>
      <c r="AG29" s="1205"/>
      <c r="AH29" s="1206"/>
      <c r="AI29" s="1206"/>
      <c r="AJ29" s="1206"/>
      <c r="AK29" s="1206"/>
      <c r="AL29" s="1206"/>
      <c r="AM29" s="1206"/>
      <c r="AN29" s="1206"/>
      <c r="AO29" s="1206"/>
      <c r="AP29" s="1206"/>
      <c r="AQ29" s="1206"/>
      <c r="AR29" s="1206"/>
      <c r="AS29" s="1206"/>
      <c r="AT29" s="1207"/>
      <c r="AU29" s="1412"/>
      <c r="AV29" s="1413"/>
      <c r="CA29" s="622" t="str" cm="1">
        <f t="array" ref="CA29">INDEX(List_comparators,CB29+1)</f>
        <v>nivolumab_monotherapy</v>
      </c>
      <c r="CB29" s="622">
        <v>0</v>
      </c>
      <c r="CC29" s="622">
        <v>2</v>
      </c>
      <c r="CD29" s="622"/>
      <c r="CE29" s="622"/>
      <c r="CF29" s="622"/>
      <c r="CG29" s="622"/>
      <c r="CH29" s="622"/>
      <c r="CI29" s="622"/>
      <c r="CJ29" s="744"/>
      <c r="CK29" s="744"/>
      <c r="CL29" s="622" t="str">
        <v>Vomiting</v>
      </c>
      <c r="CM29" s="622">
        <v>21</v>
      </c>
      <c r="CN29" s="622">
        <v>0</v>
      </c>
      <c r="CO29" s="622">
        <f t="shared" ca="1" si="0"/>
        <v>0</v>
      </c>
      <c r="CP29" s="622"/>
      <c r="CQ29" s="622">
        <f t="shared" ca="1" si="8"/>
        <v>9709.5625</v>
      </c>
      <c r="CR29" s="622">
        <v>0</v>
      </c>
      <c r="CS29" s="622">
        <f t="shared" ca="1" si="9"/>
        <v>0</v>
      </c>
      <c r="CT29" s="622" t="str">
        <f t="shared" si="6"/>
        <v>one-off</v>
      </c>
      <c r="CU29" s="622" t="str">
        <f t="shared" si="7"/>
        <v>Yes</v>
      </c>
      <c r="CV29" s="622">
        <f t="shared" ca="1" si="10"/>
        <v>0.58199999999999996</v>
      </c>
      <c r="CW29" s="622">
        <f t="shared" ca="1" si="11"/>
        <v>0</v>
      </c>
      <c r="CY29" s="657">
        <v>2</v>
      </c>
      <c r="CZ29" s="17" t="str">
        <f t="shared" si="17"/>
        <v>nivolumab_monotherapy</v>
      </c>
      <c r="DA29" s="17">
        <f t="shared" si="17"/>
        <v>0</v>
      </c>
      <c r="DB29" s="17">
        <f t="shared" si="17"/>
        <v>2</v>
      </c>
      <c r="DC29" s="17" t="str">
        <f>"G1&amp;2 "&amp;$D$19</f>
        <v>G1&amp;2 Fatigue</v>
      </c>
      <c r="DD29" s="17">
        <f ca="1">CHOOSE(i_AE_NMA_option_num,OFFSET($S$86,$CY29-1,$DA29),OFFSET($AG$18,$CY29-1,$DA29))</f>
        <v>6.3854576351921105E-3</v>
      </c>
      <c r="DE29" s="956">
        <f ca="1">OFFSET($S$18,$CY28-1,$DA29)/INDEX($DT$14:$DT$27,MATCH(DA29,$DR$14:$DR$27,0))</f>
        <v>23.915178571428573</v>
      </c>
      <c r="DG29" s="1008">
        <f>'Resource use and costs'!$BD$194</f>
        <v>441.74</v>
      </c>
      <c r="DH29" s="1009">
        <f>Utilities!$BB$343</f>
        <v>-0.05</v>
      </c>
      <c r="DI29" s="1178">
        <f>Utilities!I336</f>
        <v>3</v>
      </c>
      <c r="DJ29" s="1098">
        <v>7</v>
      </c>
      <c r="DK29" s="1099" t="s">
        <v>319</v>
      </c>
      <c r="DL29" s="1099">
        <v>1</v>
      </c>
      <c r="DM29" s="1100">
        <v>815.87210539610612</v>
      </c>
      <c r="DN29" s="1101">
        <v>28.990379379557073</v>
      </c>
      <c r="DO29" s="1102">
        <v>-1.410605778293926E-2</v>
      </c>
    </row>
    <row r="30" spans="4:130" ht="15.75" thickTop="1" x14ac:dyDescent="0.2">
      <c r="D30" s="672" t="str" cm="1">
        <f t="array" ref="D30:D51">List_AEs_g3</f>
        <v>ALT increased</v>
      </c>
      <c r="E30" s="677"/>
      <c r="F30" s="677"/>
      <c r="G30" s="677"/>
      <c r="H30" s="677"/>
      <c r="I30" s="677">
        <v>30</v>
      </c>
      <c r="J30" s="677">
        <v>96</v>
      </c>
      <c r="K30" s="677"/>
      <c r="L30" s="677"/>
      <c r="M30" s="677">
        <v>4</v>
      </c>
      <c r="N30" s="677"/>
      <c r="O30" s="677"/>
      <c r="P30" s="677"/>
      <c r="Q30" s="677"/>
      <c r="R30" s="678"/>
      <c r="S30" s="697">
        <f t="shared" ref="S30:S51" si="18">406*5.5*i_mon_to_weeks</f>
        <v>9709.5625</v>
      </c>
      <c r="T30" s="698">
        <f t="shared" ref="T30:T51" si="19">320*21.8*i_mon_to_weeks</f>
        <v>30333.142857142855</v>
      </c>
      <c r="U30" s="698">
        <f t="shared" ref="U30:U51" si="20">515*7.9*i_mon_to_weeks</f>
        <v>17690.709821428572</v>
      </c>
      <c r="V30" s="698">
        <f t="shared" ref="V30:V51" si="21">354*17*i_mon_to_weeks</f>
        <v>26167.553571428572</v>
      </c>
      <c r="W30" s="698">
        <f t="shared" ref="W30:W51" si="22">438*13.3*i_mon_to_weeks</f>
        <v>25330.087500000001</v>
      </c>
      <c r="X30" s="698">
        <f t="shared" ref="X30:X51" si="23">557*8*i_mon_to_weeks</f>
        <v>19375.642857142855</v>
      </c>
      <c r="Y30" s="699">
        <f t="shared" ref="Y30:Y51" si="24">175*197*i_days_to_weeks</f>
        <v>4925</v>
      </c>
      <c r="Z30" s="698">
        <f t="shared" ref="Z30:Z51" si="25">320*8.9*i_mon_to_weeks</f>
        <v>12383.714285714286</v>
      </c>
      <c r="AA30" s="698">
        <f t="shared" ref="AA30:AA51" si="26">79*8.3*i_mon_to_weeks</f>
        <v>2851.1241071428572</v>
      </c>
      <c r="AB30" s="698">
        <f t="shared" ref="AB30:AB51" si="27">51*7.6*i_mon_to_weeks</f>
        <v>1685.367857142857</v>
      </c>
      <c r="AC30" s="698">
        <f t="shared" ref="AC30:AC51" si="28">397*3.7*i_mon_to_weeks</f>
        <v>6387.0919642857143</v>
      </c>
      <c r="AD30" s="698">
        <f t="shared" ref="AD30:AD51" si="29">359*6.4*i_mon_to_weeks</f>
        <v>9990.4571428571417</v>
      </c>
      <c r="AE30" s="699">
        <f>183*16</f>
        <v>2928</v>
      </c>
      <c r="AF30" s="681"/>
      <c r="AG30" s="1208">
        <f t="shared" ref="AG30:AG49" si="30">IFERROR(E30/S30,0)</f>
        <v>0</v>
      </c>
      <c r="AH30" s="1209">
        <f t="shared" ref="AH30:AH49" si="31">IFERROR(F30/T30,0)</f>
        <v>0</v>
      </c>
      <c r="AI30" s="1209">
        <f t="shared" ref="AI30:AI49" si="32">IFERROR(G30/U30,0)</f>
        <v>0</v>
      </c>
      <c r="AJ30" s="1209">
        <f t="shared" ref="AJ30:AJ49" si="33">IFERROR(H30/V30,0)</f>
        <v>0</v>
      </c>
      <c r="AK30" s="1209">
        <f t="shared" ref="AK30:AK49" si="34">IFERROR(I30/W30,0)</f>
        <v>1.1843622727319833E-3</v>
      </c>
      <c r="AL30" s="1209">
        <f t="shared" ref="AL30:AL49" si="35">IFERROR(J30/X30,0)</f>
        <v>4.9546743149536058E-3</v>
      </c>
      <c r="AM30" s="1209">
        <f t="shared" ref="AM30:AM49" si="36">IFERROR(K30/Y30,0)</f>
        <v>0</v>
      </c>
      <c r="AN30" s="1209">
        <f t="shared" ref="AN30:AN49" si="37">IFERROR(L30/Z30,0)</f>
        <v>0</v>
      </c>
      <c r="AO30" s="1209">
        <f t="shared" ref="AO30:AO49" si="38">IFERROR(M30/AA30,0)</f>
        <v>1.4029554132627513E-3</v>
      </c>
      <c r="AP30" s="1209">
        <f t="shared" ref="AP30:AP49" si="39">IFERROR(N30/AB30,0)</f>
        <v>0</v>
      </c>
      <c r="AQ30" s="1209">
        <f t="shared" ref="AQ30:AQ49" si="40">IFERROR(O30/AC30,0)</f>
        <v>0</v>
      </c>
      <c r="AR30" s="1209">
        <f t="shared" ref="AR30:AR49" si="41">IFERROR(P30/AD30,0)</f>
        <v>0</v>
      </c>
      <c r="AS30" s="1209">
        <f t="shared" ref="AS30:AS49" si="42">IFERROR(Q30/AE30,0)</f>
        <v>0</v>
      </c>
      <c r="AT30" s="1194">
        <f>IFERROR(R30/AF30,0)</f>
        <v>0</v>
      </c>
      <c r="AU30" s="1414">
        <v>3</v>
      </c>
      <c r="AV30" s="1415">
        <v>0.6</v>
      </c>
      <c r="CA30" s="17"/>
      <c r="CB30" s="17"/>
      <c r="CC30" s="17"/>
      <c r="CD30" s="17"/>
      <c r="CE30" s="17"/>
      <c r="CF30" s="17"/>
      <c r="CG30" s="17"/>
      <c r="CH30" s="17"/>
      <c r="CI30" s="17"/>
      <c r="CJ30" s="17"/>
      <c r="CK30" s="17"/>
      <c r="CL30" s="17" t="str">
        <v>Weight loss</v>
      </c>
      <c r="CM30" s="17"/>
      <c r="CN30" s="17"/>
      <c r="CO30" s="17"/>
      <c r="CP30" s="17"/>
      <c r="CQ30" s="17"/>
      <c r="CR30" s="17"/>
      <c r="CS30" s="17"/>
      <c r="CT30" s="17"/>
      <c r="CU30" s="17"/>
      <c r="CV30" s="17"/>
      <c r="CW30" s="17"/>
      <c r="CY30" s="657">
        <v>3</v>
      </c>
      <c r="CZ30" s="17" t="str">
        <f t="shared" si="17"/>
        <v>nivolumab_monotherapy</v>
      </c>
      <c r="DA30" s="17">
        <f t="shared" si="17"/>
        <v>0</v>
      </c>
      <c r="DB30" s="17">
        <f t="shared" si="17"/>
        <v>2</v>
      </c>
      <c r="DC30" s="17" t="str">
        <f>"G1&amp;2 "&amp;$D$20</f>
        <v>G1&amp;2 Palmar-plantar erythrodysaesthesia syndrome</v>
      </c>
      <c r="DD30" s="17">
        <f ca="1">CHOOSE(i_AE_NMA_option_num,OFFSET($S$86,$CY30-1,$DA30),OFFSET($AG$18,$CY30-1,$DA30))</f>
        <v>0</v>
      </c>
      <c r="DE30" s="956">
        <f ca="1">OFFSET($S$18,$CY29-1,$DA30)/INDEX($DT$14:$DT$27,MATCH(DA30,$DR$14:$DR$27,0))</f>
        <v>23.915178571428573</v>
      </c>
      <c r="DG30" s="1008">
        <f>'Resource use and costs'!$BD$195</f>
        <v>441.74</v>
      </c>
      <c r="DH30" s="1009">
        <f>Utilities!$BB$344</f>
        <v>-0.05</v>
      </c>
      <c r="DI30" s="1178">
        <f>Utilities!I337</f>
        <v>3</v>
      </c>
      <c r="DJ30" s="1098">
        <v>8</v>
      </c>
      <c r="DK30" s="1099" t="s">
        <v>117</v>
      </c>
      <c r="DL30" s="1099">
        <v>1</v>
      </c>
      <c r="DM30" s="1100">
        <v>1207.6267500000001</v>
      </c>
      <c r="DN30" s="1101">
        <v>31.205545532150524</v>
      </c>
      <c r="DO30" s="1102">
        <v>-2.5950563021902809E-2</v>
      </c>
    </row>
    <row r="31" spans="4:130" x14ac:dyDescent="0.2">
      <c r="D31" s="673" t="str">
        <v>Anaemia</v>
      </c>
      <c r="E31" s="679"/>
      <c r="F31" s="679"/>
      <c r="G31" s="679"/>
      <c r="H31" s="679"/>
      <c r="I31" s="679"/>
      <c r="J31" s="679"/>
      <c r="K31" s="679"/>
      <c r="L31" s="679"/>
      <c r="M31" s="679"/>
      <c r="N31" s="679"/>
      <c r="O31" s="677">
        <v>31</v>
      </c>
      <c r="P31" s="679"/>
      <c r="Q31" s="679"/>
      <c r="R31" s="680"/>
      <c r="S31" s="697">
        <f t="shared" si="18"/>
        <v>9709.5625</v>
      </c>
      <c r="T31" s="698">
        <f t="shared" si="19"/>
        <v>30333.142857142855</v>
      </c>
      <c r="U31" s="698">
        <f t="shared" si="20"/>
        <v>17690.709821428572</v>
      </c>
      <c r="V31" s="698">
        <f t="shared" si="21"/>
        <v>26167.553571428572</v>
      </c>
      <c r="W31" s="698">
        <f t="shared" si="22"/>
        <v>25330.087500000001</v>
      </c>
      <c r="X31" s="698">
        <f t="shared" si="23"/>
        <v>19375.642857142855</v>
      </c>
      <c r="Y31" s="699">
        <f t="shared" si="24"/>
        <v>4925</v>
      </c>
      <c r="Z31" s="698">
        <f t="shared" si="25"/>
        <v>12383.714285714286</v>
      </c>
      <c r="AA31" s="698">
        <f t="shared" si="26"/>
        <v>2851.1241071428572</v>
      </c>
      <c r="AB31" s="698">
        <f t="shared" si="27"/>
        <v>1685.367857142857</v>
      </c>
      <c r="AC31" s="698">
        <f t="shared" si="28"/>
        <v>6387.0919642857143</v>
      </c>
      <c r="AD31" s="698">
        <f t="shared" si="29"/>
        <v>9990.4571428571417</v>
      </c>
      <c r="AE31" s="699">
        <f t="shared" ref="AE31:AE51" si="43">183*16</f>
        <v>2928</v>
      </c>
      <c r="AF31" s="681"/>
      <c r="AG31" s="1208">
        <f t="shared" si="30"/>
        <v>0</v>
      </c>
      <c r="AH31" s="1209">
        <f t="shared" si="31"/>
        <v>0</v>
      </c>
      <c r="AI31" s="1209">
        <f t="shared" si="32"/>
        <v>0</v>
      </c>
      <c r="AJ31" s="1209">
        <f t="shared" si="33"/>
        <v>0</v>
      </c>
      <c r="AK31" s="1209">
        <f t="shared" si="34"/>
        <v>0</v>
      </c>
      <c r="AL31" s="1209">
        <f t="shared" si="35"/>
        <v>0</v>
      </c>
      <c r="AM31" s="1209">
        <f t="shared" si="36"/>
        <v>0</v>
      </c>
      <c r="AN31" s="1209">
        <f t="shared" si="37"/>
        <v>0</v>
      </c>
      <c r="AO31" s="1209">
        <f t="shared" si="38"/>
        <v>0</v>
      </c>
      <c r="AP31" s="1209">
        <f t="shared" si="39"/>
        <v>0</v>
      </c>
      <c r="AQ31" s="1209">
        <f t="shared" si="40"/>
        <v>4.8535390085723959E-3</v>
      </c>
      <c r="AR31" s="1209">
        <f t="shared" si="41"/>
        <v>0</v>
      </c>
      <c r="AS31" s="1209">
        <f t="shared" si="42"/>
        <v>0</v>
      </c>
      <c r="AT31" s="1194">
        <f>IFERROR(R31/AF31,0)</f>
        <v>0</v>
      </c>
      <c r="AU31" s="1414">
        <v>3</v>
      </c>
      <c r="AV31" s="1415">
        <v>0.6</v>
      </c>
      <c r="CA31" s="17" t="str" cm="1">
        <f t="array" ref="CA31">INDEX(List_comparators,CB31+1)</f>
        <v>cabozantinib_plus_nivolumab</v>
      </c>
      <c r="CB31" s="17">
        <v>1</v>
      </c>
      <c r="CC31" s="17">
        <v>1</v>
      </c>
      <c r="CD31" s="17">
        <f ca="1">OFFSET($E$16,0,CB31)</f>
        <v>320</v>
      </c>
      <c r="CE31" s="17">
        <f ca="1">OFFSET($E$28,0,CB31)</f>
        <v>320</v>
      </c>
      <c r="CF31" s="17">
        <f ca="1">OFFSET($S$16,0,CB31)</f>
        <v>30333.142857142855</v>
      </c>
      <c r="CG31" s="17">
        <f ca="1">OFFSET($S$28,0,CB31)</f>
        <v>30333.142857142855</v>
      </c>
      <c r="CH31" s="17">
        <f ca="1">OFFSET($AG$16,0,CB31)</f>
        <v>1.054951679445397E-2</v>
      </c>
      <c r="CI31" s="17">
        <f ca="1">OFFSET($AG$28,0,CB31)</f>
        <v>1.054951679445397E-2</v>
      </c>
      <c r="CJ31" s="583">
        <f>$CJ$6</f>
        <v>3</v>
      </c>
      <c r="CK31" s="583">
        <f>$CK$6</f>
        <v>0.6</v>
      </c>
      <c r="CL31" s="17" t="str" cm="1">
        <f t="array" ref="CL31:CL33">List_AEs_all_grade</f>
        <v>Diarrhoea</v>
      </c>
      <c r="CM31" s="17">
        <v>1</v>
      </c>
      <c r="CN31" s="17">
        <f ca="1">OFFSET($E$18,$CM31-1,$CB31)</f>
        <v>210</v>
      </c>
      <c r="CO31" s="17">
        <f t="shared" ca="1" si="0"/>
        <v>0</v>
      </c>
      <c r="CP31" s="17">
        <f ca="1">OFFSET($S$18,$CM31-1,$CB31)</f>
        <v>30333.142857142855</v>
      </c>
      <c r="CQ31" s="17">
        <v>0</v>
      </c>
      <c r="CR31" s="17">
        <f ca="1">OFFSET($AG$18,$CM31-1,$CB31)</f>
        <v>6.1648738767590382E-3</v>
      </c>
      <c r="CS31" s="17">
        <v>0</v>
      </c>
      <c r="CT31" s="17" t="str">
        <f>dd_apply_AE_options</f>
        <v>one-off</v>
      </c>
      <c r="CU31" s="17" t="str">
        <f>$CU$6</f>
        <v>Yes</v>
      </c>
      <c r="CV31" s="17">
        <f ca="1">OFFSET($E$86,$CM31-1,$CB31)</f>
        <v>1.57</v>
      </c>
      <c r="CW31" s="17">
        <f ca="1">OFFSET($S$86,$CM31-1,$CB31)</f>
        <v>9.6788519865116905E-3</v>
      </c>
      <c r="CY31" s="657">
        <v>1</v>
      </c>
      <c r="CZ31" s="17" t="str">
        <f t="shared" ref="CZ31:CZ52" si="44">CA31</f>
        <v>cabozantinib_plus_nivolumab</v>
      </c>
      <c r="DA31" s="17">
        <f t="shared" ref="DA31:DA52" si="45">CB31</f>
        <v>1</v>
      </c>
      <c r="DB31" s="17">
        <f t="shared" ref="DB31:DB52" si="46">CC31</f>
        <v>1</v>
      </c>
      <c r="DC31" s="17" t="str">
        <f>"G3+ "&amp;$D$30</f>
        <v>G3+ ALT increased</v>
      </c>
      <c r="DD31" s="17">
        <f t="shared" ref="DD31:DD52" ca="1" si="47">CHOOSE(i_AE_NMA_option_num,OFFSET($S$63,$CY31-1,$DA31),OFFSET($AG$30,$CY31-1,$DA31))</f>
        <v>0</v>
      </c>
      <c r="DE31" s="956">
        <f t="shared" ref="DE31:DE52" ca="1" si="48">OFFSET($S$30,$CY31-1,$DA31)/INDEX($DS$14:$DS$27,MATCH(DA31,$DR$14:$DR$27,0))</f>
        <v>94.791071428571428</v>
      </c>
      <c r="DG31" s="1008">
        <f>$DG6</f>
        <v>0</v>
      </c>
      <c r="DH31" s="1009">
        <f>$DH6</f>
        <v>-0.1</v>
      </c>
      <c r="DI31" s="1007">
        <f t="shared" ref="DI31:DI94" si="49">DI6</f>
        <v>3</v>
      </c>
      <c r="DJ31" s="1098">
        <v>9</v>
      </c>
      <c r="DK31" s="1099" t="s">
        <v>118</v>
      </c>
      <c r="DL31" s="1099">
        <v>1</v>
      </c>
      <c r="DM31" s="1100">
        <v>1463.6583253683152</v>
      </c>
      <c r="DN31" s="1101">
        <v>40.555585572165789</v>
      </c>
      <c r="DO31" s="1102">
        <v>-3.3222833956449954E-2</v>
      </c>
    </row>
    <row r="32" spans="4:130" s="569" customFormat="1" ht="42" customHeight="1" x14ac:dyDescent="0.2">
      <c r="D32" s="673" t="str">
        <v>Decreased appetite</v>
      </c>
      <c r="E32" s="679"/>
      <c r="F32" s="679"/>
      <c r="G32" s="679"/>
      <c r="H32" s="679"/>
      <c r="I32" s="679"/>
      <c r="J32" s="679"/>
      <c r="K32" s="679"/>
      <c r="L32" s="679"/>
      <c r="M32" s="679"/>
      <c r="N32" s="679">
        <v>3</v>
      </c>
      <c r="O32" s="679"/>
      <c r="P32" s="679"/>
      <c r="Q32" s="679"/>
      <c r="R32" s="680"/>
      <c r="S32" s="697">
        <f t="shared" si="18"/>
        <v>9709.5625</v>
      </c>
      <c r="T32" s="698">
        <f t="shared" si="19"/>
        <v>30333.142857142855</v>
      </c>
      <c r="U32" s="698">
        <f t="shared" si="20"/>
        <v>17690.709821428572</v>
      </c>
      <c r="V32" s="698">
        <f t="shared" si="21"/>
        <v>26167.553571428572</v>
      </c>
      <c r="W32" s="698">
        <f t="shared" si="22"/>
        <v>25330.087500000001</v>
      </c>
      <c r="X32" s="698">
        <f t="shared" si="23"/>
        <v>19375.642857142855</v>
      </c>
      <c r="Y32" s="699">
        <f t="shared" si="24"/>
        <v>4925</v>
      </c>
      <c r="Z32" s="698">
        <f t="shared" si="25"/>
        <v>12383.714285714286</v>
      </c>
      <c r="AA32" s="698">
        <f t="shared" si="26"/>
        <v>2851.1241071428572</v>
      </c>
      <c r="AB32" s="698">
        <f t="shared" si="27"/>
        <v>1685.367857142857</v>
      </c>
      <c r="AC32" s="698">
        <f t="shared" si="28"/>
        <v>6387.0919642857143</v>
      </c>
      <c r="AD32" s="698">
        <f t="shared" si="29"/>
        <v>9990.4571428571417</v>
      </c>
      <c r="AE32" s="699">
        <f t="shared" si="43"/>
        <v>2928</v>
      </c>
      <c r="AF32" s="681"/>
      <c r="AG32" s="1208">
        <f t="shared" si="30"/>
        <v>0</v>
      </c>
      <c r="AH32" s="1209">
        <f t="shared" si="31"/>
        <v>0</v>
      </c>
      <c r="AI32" s="1209">
        <f t="shared" si="32"/>
        <v>0</v>
      </c>
      <c r="AJ32" s="1209">
        <f t="shared" si="33"/>
        <v>0</v>
      </c>
      <c r="AK32" s="1209">
        <f t="shared" si="34"/>
        <v>0</v>
      </c>
      <c r="AL32" s="1209">
        <f t="shared" si="35"/>
        <v>0</v>
      </c>
      <c r="AM32" s="1209">
        <f t="shared" si="36"/>
        <v>0</v>
      </c>
      <c r="AN32" s="1209">
        <f t="shared" si="37"/>
        <v>0</v>
      </c>
      <c r="AO32" s="1209">
        <f t="shared" si="38"/>
        <v>0</v>
      </c>
      <c r="AP32" s="1209">
        <f t="shared" si="39"/>
        <v>1.7800268275471867E-3</v>
      </c>
      <c r="AQ32" s="1209">
        <f t="shared" si="40"/>
        <v>0</v>
      </c>
      <c r="AR32" s="1209">
        <f t="shared" si="41"/>
        <v>0</v>
      </c>
      <c r="AS32" s="1209">
        <f t="shared" si="42"/>
        <v>0</v>
      </c>
      <c r="AT32" s="1194">
        <f>IFERROR(R32/AF32,0)</f>
        <v>0</v>
      </c>
      <c r="AU32" s="1414">
        <v>3</v>
      </c>
      <c r="AV32" s="1415">
        <v>0.6</v>
      </c>
      <c r="CA32" s="17" t="str" cm="1">
        <f t="array" ref="CA32">INDEX(List_comparators,CB32+1)</f>
        <v>cabozantinib_plus_nivolumab</v>
      </c>
      <c r="CB32" s="17">
        <v>1</v>
      </c>
      <c r="CC32" s="17">
        <v>1</v>
      </c>
      <c r="CD32" s="17"/>
      <c r="CE32" s="17"/>
      <c r="CF32" s="17"/>
      <c r="CG32" s="17"/>
      <c r="CH32" s="17"/>
      <c r="CI32" s="17"/>
      <c r="CJ32" s="583"/>
      <c r="CK32" s="583"/>
      <c r="CL32" s="17" t="str">
        <v>Fatigue</v>
      </c>
      <c r="CM32" s="17">
        <v>2</v>
      </c>
      <c r="CN32" s="17">
        <f ca="1">OFFSET($E$18,$CM32-1,$CB32)</f>
        <v>109</v>
      </c>
      <c r="CO32" s="17">
        <f t="shared" ca="1" si="0"/>
        <v>0</v>
      </c>
      <c r="CP32" s="17">
        <f ca="1">OFFSET($S$18,$CM32-1,$CB32)</f>
        <v>30333.142857142855</v>
      </c>
      <c r="CQ32" s="17">
        <v>0</v>
      </c>
      <c r="CR32" s="17">
        <f ca="1">OFFSET($AG$18,$CM32-1,$CB32)</f>
        <v>3.5934291581108833E-3</v>
      </c>
      <c r="CS32" s="17">
        <v>0</v>
      </c>
      <c r="CT32" s="17" t="str">
        <f>$CT$6</f>
        <v>one-off</v>
      </c>
      <c r="CU32" s="17" t="str">
        <f>$CU$6</f>
        <v>Yes</v>
      </c>
      <c r="CV32" s="17">
        <f ca="1">OFFSET($E$86,$CM32-1,$CB32)</f>
        <v>0.73</v>
      </c>
      <c r="CW32" s="17">
        <f ca="1">OFFSET($S$86,$CM32-1,$CB32)</f>
        <v>2.6232032854209449E-3</v>
      </c>
      <c r="CY32" s="657">
        <v>2</v>
      </c>
      <c r="CZ32" s="17" t="str">
        <f t="shared" si="44"/>
        <v>cabozantinib_plus_nivolumab</v>
      </c>
      <c r="DA32" s="17">
        <f t="shared" si="45"/>
        <v>1</v>
      </c>
      <c r="DB32" s="17">
        <f t="shared" si="46"/>
        <v>1</v>
      </c>
      <c r="DC32" s="17" t="str">
        <f>"G3+ "&amp;$D$31</f>
        <v>G3+ Anaemia</v>
      </c>
      <c r="DD32" s="17">
        <f t="shared" ca="1" si="47"/>
        <v>0</v>
      </c>
      <c r="DE32" s="956">
        <f t="shared" ca="1" si="48"/>
        <v>94.791071428571428</v>
      </c>
      <c r="DG32" s="1008">
        <f t="shared" ref="DG32:DG95" si="50">$DG7</f>
        <v>655.75</v>
      </c>
      <c r="DH32" s="1009">
        <f t="shared" ref="DH32:DH95" si="51">$DH7</f>
        <v>-0.1</v>
      </c>
      <c r="DI32" s="1007">
        <f t="shared" si="49"/>
        <v>3</v>
      </c>
      <c r="DJ32" s="1103">
        <v>10</v>
      </c>
      <c r="DK32" s="1099" t="s">
        <v>333</v>
      </c>
      <c r="DL32" s="1099">
        <v>2</v>
      </c>
      <c r="DM32" s="1100">
        <v>1885.7412415660115</v>
      </c>
      <c r="DN32" s="1101">
        <v>57.063389996593884</v>
      </c>
      <c r="DO32" s="1102">
        <v>-4.9856101644223168E-2</v>
      </c>
    </row>
    <row r="33" spans="4:119" ht="15.75" thickBot="1" x14ac:dyDescent="0.25">
      <c r="D33" s="673" t="str">
        <v>Diarrhoea _TKI induced</v>
      </c>
      <c r="E33" s="957">
        <f ca="1">E$55*OFFSET('Resource use and costs'!$AP$153,E58-1,0)</f>
        <v>0</v>
      </c>
      <c r="F33" s="957">
        <f ca="1">F$55*OFFSET('Resource use and costs'!$AP$153,F58-1,0)</f>
        <v>11.5</v>
      </c>
      <c r="G33" s="957">
        <f ca="1">G$55*OFFSET('Resource use and costs'!$AP$153,G58-1,0)</f>
        <v>0</v>
      </c>
      <c r="H33" s="957">
        <f ca="1">H$55*OFFSET('Resource use and costs'!$AP$153,H58-1,0)</f>
        <v>17</v>
      </c>
      <c r="I33" s="957">
        <f ca="1">I$55*OFFSET('Resource use and costs'!$AP$153,I58-1,0)</f>
        <v>22.5</v>
      </c>
      <c r="J33" s="957">
        <f ca="1">J$55*OFFSET('Resource use and costs'!$AP$153,J58-1,0)</f>
        <v>49</v>
      </c>
      <c r="K33" s="957">
        <f ca="1">K$55*OFFSET('Resource use and costs'!$AP$153,K58-1,0)</f>
        <v>0</v>
      </c>
      <c r="L33" s="957">
        <f ca="1">L$55*OFFSET('Resource use and costs'!$AP$153,L58-1,0)</f>
        <v>28</v>
      </c>
      <c r="M33" s="957">
        <f ca="1">M$55*OFFSET('Resource use and costs'!$AP$153,M58-1,0)</f>
        <v>8</v>
      </c>
      <c r="N33" s="957">
        <f ca="1">N$55*OFFSET('Resource use and costs'!$AP$153,N58-1,0)</f>
        <v>10</v>
      </c>
      <c r="O33" s="957">
        <f ca="1">O$55*OFFSET('Resource use and costs'!$AP$153,O58-1,0)</f>
        <v>5</v>
      </c>
      <c r="P33" s="957">
        <f ca="1">P$55*OFFSET('Resource use and costs'!$AP$153,P58-1,0)</f>
        <v>40</v>
      </c>
      <c r="Q33" s="957">
        <f ca="1">Q$55*OFFSET('Resource use and costs'!$AP$153,Q58-1,0)</f>
        <v>11</v>
      </c>
      <c r="R33" s="680"/>
      <c r="S33" s="697">
        <f t="shared" si="18"/>
        <v>9709.5625</v>
      </c>
      <c r="T33" s="698">
        <f t="shared" si="19"/>
        <v>30333.142857142855</v>
      </c>
      <c r="U33" s="698">
        <f t="shared" si="20"/>
        <v>17690.709821428572</v>
      </c>
      <c r="V33" s="698">
        <f t="shared" si="21"/>
        <v>26167.553571428572</v>
      </c>
      <c r="W33" s="698">
        <f t="shared" si="22"/>
        <v>25330.087500000001</v>
      </c>
      <c r="X33" s="698">
        <f t="shared" si="23"/>
        <v>19375.642857142855</v>
      </c>
      <c r="Y33" s="699">
        <f t="shared" si="24"/>
        <v>4925</v>
      </c>
      <c r="Z33" s="698">
        <f t="shared" si="25"/>
        <v>12383.714285714286</v>
      </c>
      <c r="AA33" s="698">
        <f t="shared" si="26"/>
        <v>2851.1241071428572</v>
      </c>
      <c r="AB33" s="698">
        <f t="shared" si="27"/>
        <v>1685.367857142857</v>
      </c>
      <c r="AC33" s="698">
        <f t="shared" si="28"/>
        <v>6387.0919642857143</v>
      </c>
      <c r="AD33" s="698">
        <f t="shared" si="29"/>
        <v>9990.4571428571417</v>
      </c>
      <c r="AE33" s="699">
        <f t="shared" si="43"/>
        <v>2928</v>
      </c>
      <c r="AF33" s="681"/>
      <c r="AG33" s="1208">
        <f t="shared" ca="1" si="30"/>
        <v>0</v>
      </c>
      <c r="AH33" s="1209">
        <f t="shared" ca="1" si="31"/>
        <v>3.7912325980068952E-4</v>
      </c>
      <c r="AI33" s="1209">
        <f t="shared" ca="1" si="32"/>
        <v>0</v>
      </c>
      <c r="AJ33" s="1209">
        <f t="shared" ca="1" si="33"/>
        <v>6.4965950881100702E-4</v>
      </c>
      <c r="AK33" s="1209">
        <f t="shared" ca="1" si="34"/>
        <v>8.8827170454898734E-4</v>
      </c>
      <c r="AL33" s="1209">
        <f t="shared" ca="1" si="35"/>
        <v>2.5289483482575695E-3</v>
      </c>
      <c r="AM33" s="1209">
        <f t="shared" ca="1" si="36"/>
        <v>0</v>
      </c>
      <c r="AN33" s="1209">
        <f t="shared" ca="1" si="37"/>
        <v>2.2610340770135894E-3</v>
      </c>
      <c r="AO33" s="1209">
        <f t="shared" ca="1" si="38"/>
        <v>2.8059108265255026E-3</v>
      </c>
      <c r="AP33" s="1209">
        <f t="shared" ca="1" si="39"/>
        <v>5.9334227584906226E-3</v>
      </c>
      <c r="AQ33" s="1209">
        <f t="shared" ca="1" si="40"/>
        <v>7.8282887235038632E-4</v>
      </c>
      <c r="AR33" s="1209">
        <f t="shared" ca="1" si="41"/>
        <v>4.003820788981486E-3</v>
      </c>
      <c r="AS33" s="1209">
        <f t="shared" ca="1" si="42"/>
        <v>3.756830601092896E-3</v>
      </c>
      <c r="AT33" s="1194">
        <f>IFERROR(R33/AF33,0)</f>
        <v>0</v>
      </c>
      <c r="AU33" s="1414">
        <v>3</v>
      </c>
      <c r="AV33" s="1415">
        <v>0.6</v>
      </c>
      <c r="CA33" s="19" t="str" cm="1">
        <f t="array" ref="CA33">INDEX(List_comparators,CB33+1)</f>
        <v>cabozantinib_plus_nivolumab</v>
      </c>
      <c r="CB33" s="19">
        <v>1</v>
      </c>
      <c r="CC33" s="19">
        <v>1</v>
      </c>
      <c r="CD33" s="19"/>
      <c r="CE33" s="19"/>
      <c r="CF33" s="19"/>
      <c r="CG33" s="19"/>
      <c r="CH33" s="19"/>
      <c r="CI33" s="19"/>
      <c r="CJ33" s="743"/>
      <c r="CK33" s="743"/>
      <c r="CL33" s="19" t="str">
        <v>Palmar-plantar erythrodysaesthesia syndrome</v>
      </c>
      <c r="CM33" s="19">
        <v>3</v>
      </c>
      <c r="CN33" s="19">
        <f ca="1">OFFSET($E$18,$CM33-1,$CB33)</f>
        <v>130</v>
      </c>
      <c r="CO33" s="19">
        <f t="shared" ca="1" si="0"/>
        <v>0</v>
      </c>
      <c r="CP33" s="19">
        <f ca="1">OFFSET($S$18,$CM33-1,$CB33)</f>
        <v>30333.142857142855</v>
      </c>
      <c r="CQ33" s="19">
        <v>0</v>
      </c>
      <c r="CR33" s="19">
        <f ca="1">OFFSET($AG$18,$CM33-1,$CB33)</f>
        <v>3.4615601981802082E-3</v>
      </c>
      <c r="CS33" s="19">
        <v>0</v>
      </c>
      <c r="CT33" s="19" t="str">
        <f t="shared" ref="CT33:CT54" si="52">$CT$6</f>
        <v>one-off</v>
      </c>
      <c r="CU33" s="19" t="str">
        <f t="shared" ref="CU33:CU54" si="53">$CU$6</f>
        <v>Yes</v>
      </c>
      <c r="CV33" s="19">
        <f ca="1">OFFSET($E$86,$CM33-1,$CB33)</f>
        <v>1</v>
      </c>
      <c r="CW33" s="19">
        <f ca="1">OFFSET($S$86,$CM33-1,$CB33)</f>
        <v>3.4615601981802082E-3</v>
      </c>
      <c r="CY33" s="657">
        <v>3</v>
      </c>
      <c r="CZ33" s="17" t="str">
        <f t="shared" si="44"/>
        <v>cabozantinib_plus_nivolumab</v>
      </c>
      <c r="DA33" s="17">
        <f t="shared" si="45"/>
        <v>1</v>
      </c>
      <c r="DB33" s="17">
        <f t="shared" si="46"/>
        <v>1</v>
      </c>
      <c r="DC33" s="17" t="str">
        <f>"G3+ "&amp;$D$32</f>
        <v>G3+ Decreased appetite</v>
      </c>
      <c r="DD33" s="17">
        <f t="shared" ca="1" si="47"/>
        <v>0</v>
      </c>
      <c r="DE33" s="956">
        <f t="shared" ca="1" si="48"/>
        <v>94.791071428571428</v>
      </c>
      <c r="DG33" s="1008">
        <f t="shared" si="50"/>
        <v>0</v>
      </c>
      <c r="DH33" s="1009">
        <f t="shared" si="51"/>
        <v>-0.1</v>
      </c>
      <c r="DI33" s="1007">
        <f t="shared" si="49"/>
        <v>3</v>
      </c>
      <c r="DJ33" s="1098">
        <v>11</v>
      </c>
      <c r="DK33" s="1099" t="s">
        <v>119</v>
      </c>
      <c r="DL33" s="1099">
        <v>2</v>
      </c>
      <c r="DM33" s="1100">
        <v>665.75076675062974</v>
      </c>
      <c r="DN33" s="1101">
        <v>41.380812406942965</v>
      </c>
      <c r="DO33" s="1102">
        <v>-7.5701319209609368E-3</v>
      </c>
    </row>
    <row r="34" spans="4:119" x14ac:dyDescent="0.2">
      <c r="D34" s="673" t="str">
        <v>Diarrhoea _IO induced</v>
      </c>
      <c r="E34" s="957">
        <f ca="1">E$55*OFFSET('Resource use and costs'!$AO$153,E$58-1,0)</f>
        <v>5</v>
      </c>
      <c r="F34" s="957">
        <f ca="1">F$55*OFFSET('Resource use and costs'!$AO$153,F$58-1,0)</f>
        <v>11.5</v>
      </c>
      <c r="G34" s="957">
        <f ca="1">G$55*OFFSET('Resource use and costs'!$AO$153,G$58-1,0)</f>
        <v>0</v>
      </c>
      <c r="H34" s="957">
        <f ca="1">H$55*OFFSET('Resource use and costs'!$AO$153,H$58-1,0)</f>
        <v>17</v>
      </c>
      <c r="I34" s="957">
        <f ca="1">I$55*OFFSET('Resource use and costs'!$AO$153,I$58-1,0)</f>
        <v>22.5</v>
      </c>
      <c r="J34" s="957">
        <f ca="1">J$55*OFFSET('Resource use and costs'!$AO$153,J$58-1,0)</f>
        <v>0</v>
      </c>
      <c r="K34" s="957">
        <f ca="1">K$55*OFFSET('Resource use and costs'!$AO$153,K$58-1,0)</f>
        <v>0</v>
      </c>
      <c r="L34" s="957">
        <f ca="1">L$55*OFFSET('Resource use and costs'!$AO$153,L$58-1,0)</f>
        <v>0</v>
      </c>
      <c r="M34" s="957">
        <f ca="1">M$55*OFFSET('Resource use and costs'!$AO$153,M$58-1,0)</f>
        <v>0</v>
      </c>
      <c r="N34" s="957">
        <f ca="1">N$55*OFFSET('Resource use and costs'!$AO$153,N$58-1,0)</f>
        <v>0</v>
      </c>
      <c r="O34" s="957">
        <f ca="1">O$55*OFFSET('Resource use and costs'!$AO$153,O$58-1,0)</f>
        <v>0</v>
      </c>
      <c r="P34" s="957">
        <f ca="1">P$55*OFFSET('Resource use and costs'!$AO$153,P$58-1,0)</f>
        <v>0</v>
      </c>
      <c r="Q34" s="957">
        <f ca="1">Q$55*OFFSET('Resource use and costs'!$AO$153,Q$58-1,0)</f>
        <v>0</v>
      </c>
      <c r="R34" s="680"/>
      <c r="S34" s="697">
        <f t="shared" si="18"/>
        <v>9709.5625</v>
      </c>
      <c r="T34" s="698">
        <f t="shared" si="19"/>
        <v>30333.142857142855</v>
      </c>
      <c r="U34" s="698">
        <f t="shared" si="20"/>
        <v>17690.709821428572</v>
      </c>
      <c r="V34" s="698">
        <f t="shared" si="21"/>
        <v>26167.553571428572</v>
      </c>
      <c r="W34" s="698">
        <f t="shared" si="22"/>
        <v>25330.087500000001</v>
      </c>
      <c r="X34" s="698">
        <f t="shared" si="23"/>
        <v>19375.642857142855</v>
      </c>
      <c r="Y34" s="699">
        <f t="shared" si="24"/>
        <v>4925</v>
      </c>
      <c r="Z34" s="698">
        <f t="shared" si="25"/>
        <v>12383.714285714286</v>
      </c>
      <c r="AA34" s="698">
        <f t="shared" si="26"/>
        <v>2851.1241071428572</v>
      </c>
      <c r="AB34" s="698">
        <f t="shared" si="27"/>
        <v>1685.367857142857</v>
      </c>
      <c r="AC34" s="698">
        <f t="shared" si="28"/>
        <v>6387.0919642857143</v>
      </c>
      <c r="AD34" s="698">
        <f t="shared" si="29"/>
        <v>9990.4571428571417</v>
      </c>
      <c r="AE34" s="699">
        <f t="shared" si="43"/>
        <v>2928</v>
      </c>
      <c r="AF34" s="681"/>
      <c r="AG34" s="1208">
        <f t="shared" ca="1" si="30"/>
        <v>5.1495626090258958E-4</v>
      </c>
      <c r="AH34" s="1209">
        <f t="shared" ca="1" si="31"/>
        <v>3.7912325980068952E-4</v>
      </c>
      <c r="AI34" s="1209">
        <f t="shared" ca="1" si="32"/>
        <v>0</v>
      </c>
      <c r="AJ34" s="1209">
        <f t="shared" ca="1" si="33"/>
        <v>6.4965950881100702E-4</v>
      </c>
      <c r="AK34" s="1209">
        <f t="shared" ca="1" si="34"/>
        <v>8.8827170454898734E-4</v>
      </c>
      <c r="AL34" s="1209">
        <f t="shared" ca="1" si="35"/>
        <v>0</v>
      </c>
      <c r="AM34" s="1209">
        <f t="shared" ca="1" si="36"/>
        <v>0</v>
      </c>
      <c r="AN34" s="1209">
        <f t="shared" ca="1" si="37"/>
        <v>0</v>
      </c>
      <c r="AO34" s="1209">
        <f t="shared" ca="1" si="38"/>
        <v>0</v>
      </c>
      <c r="AP34" s="1209">
        <f t="shared" ca="1" si="39"/>
        <v>0</v>
      </c>
      <c r="AQ34" s="1209">
        <f t="shared" ca="1" si="40"/>
        <v>0</v>
      </c>
      <c r="AR34" s="1209">
        <f t="shared" ca="1" si="41"/>
        <v>0</v>
      </c>
      <c r="AS34" s="1209">
        <f t="shared" ca="1" si="42"/>
        <v>0</v>
      </c>
      <c r="AT34" s="1194">
        <f>IFERROR(R34/AF34,0)</f>
        <v>0</v>
      </c>
      <c r="AU34" s="1414">
        <v>3</v>
      </c>
      <c r="AV34" s="1415">
        <v>0.6</v>
      </c>
      <c r="CA34" s="252" t="str" cm="1">
        <f t="array" ref="CA34">INDEX(List_comparators,CB34+1)</f>
        <v>cabozantinib_plus_nivolumab</v>
      </c>
      <c r="CB34" s="252">
        <v>1</v>
      </c>
      <c r="CC34" s="252">
        <v>1</v>
      </c>
      <c r="CD34" s="252"/>
      <c r="CE34" s="252"/>
      <c r="CF34" s="252"/>
      <c r="CG34" s="252"/>
      <c r="CH34" s="252"/>
      <c r="CI34" s="252"/>
      <c r="CJ34" s="742"/>
      <c r="CK34" s="742"/>
      <c r="CL34" s="252" t="str" cm="1">
        <f t="array" ref="CL34:CL55">List_AEs_g3</f>
        <v>ALT increased</v>
      </c>
      <c r="CM34" s="252">
        <v>1</v>
      </c>
      <c r="CN34" s="252">
        <v>0</v>
      </c>
      <c r="CO34" s="252">
        <f t="shared" ca="1" si="0"/>
        <v>0</v>
      </c>
      <c r="CP34" s="252"/>
      <c r="CQ34" s="252">
        <f t="shared" ref="CQ34:CQ54" ca="1" si="54">OFFSET($S$30,$CM34-1,$CB34)</f>
        <v>30333.142857142855</v>
      </c>
      <c r="CR34" s="252">
        <v>0</v>
      </c>
      <c r="CS34" s="252">
        <f t="shared" ref="CS34:CS54" ca="1" si="55">OFFSET($AG$30,$CM34-1,$CB34)</f>
        <v>0</v>
      </c>
      <c r="CT34" s="252" t="str">
        <f t="shared" si="52"/>
        <v>one-off</v>
      </c>
      <c r="CU34" s="252" t="str">
        <f t="shared" si="53"/>
        <v>Yes</v>
      </c>
      <c r="CV34" s="252">
        <f ca="1">OFFSET($E$63,$CM34-1,$CB34)</f>
        <v>1.238</v>
      </c>
      <c r="CW34" s="252">
        <f ca="1">OFFSET($S$63,$CM34-1,$CB34)</f>
        <v>0</v>
      </c>
      <c r="CY34" s="657">
        <v>4</v>
      </c>
      <c r="CZ34" s="17" t="str">
        <f t="shared" si="44"/>
        <v>cabozantinib_plus_nivolumab</v>
      </c>
      <c r="DA34" s="17">
        <f t="shared" si="45"/>
        <v>1</v>
      </c>
      <c r="DB34" s="17">
        <f t="shared" si="46"/>
        <v>1</v>
      </c>
      <c r="DC34" s="17" t="str">
        <f>"G3+ "&amp;$D$33</f>
        <v>G3+ Diarrhoea _TKI induced</v>
      </c>
      <c r="DD34" s="17">
        <f t="shared" ca="1" si="47"/>
        <v>2.7991601873428237E-3</v>
      </c>
      <c r="DE34" s="956">
        <f t="shared" ca="1" si="48"/>
        <v>94.791071428571428</v>
      </c>
      <c r="DG34" s="1008">
        <f t="shared" si="50"/>
        <v>827.18</v>
      </c>
      <c r="DH34" s="1009">
        <f t="shared" si="51"/>
        <v>-0.1</v>
      </c>
      <c r="DI34" s="1007">
        <f t="shared" si="49"/>
        <v>3</v>
      </c>
      <c r="DJ34" s="1098">
        <v>12</v>
      </c>
      <c r="DK34" s="1099" t="s">
        <v>327</v>
      </c>
      <c r="DL34" s="1099">
        <v>2</v>
      </c>
      <c r="DM34" s="1100">
        <v>3268.4573471309195</v>
      </c>
      <c r="DN34" s="1101">
        <v>117.44969933221991</v>
      </c>
      <c r="DO34" s="1102">
        <v>-7.6075524326871924E-2</v>
      </c>
    </row>
    <row r="35" spans="4:119" x14ac:dyDescent="0.2">
      <c r="D35" s="673" t="str">
        <v>Fatigue</v>
      </c>
      <c r="E35" s="679">
        <v>10</v>
      </c>
      <c r="F35" s="679"/>
      <c r="G35" s="679"/>
      <c r="H35" s="679"/>
      <c r="I35" s="679"/>
      <c r="J35" s="679">
        <v>59</v>
      </c>
      <c r="K35" s="679"/>
      <c r="L35" s="679">
        <v>11</v>
      </c>
      <c r="M35" s="679">
        <v>5</v>
      </c>
      <c r="N35" s="679">
        <v>7</v>
      </c>
      <c r="O35" s="679">
        <v>11</v>
      </c>
      <c r="P35" s="679">
        <v>37</v>
      </c>
      <c r="Q35" s="679"/>
      <c r="R35" s="680"/>
      <c r="S35" s="697">
        <f t="shared" si="18"/>
        <v>9709.5625</v>
      </c>
      <c r="T35" s="698">
        <f t="shared" si="19"/>
        <v>30333.142857142855</v>
      </c>
      <c r="U35" s="698">
        <f t="shared" si="20"/>
        <v>17690.709821428572</v>
      </c>
      <c r="V35" s="698">
        <f t="shared" si="21"/>
        <v>26167.553571428572</v>
      </c>
      <c r="W35" s="698">
        <f t="shared" si="22"/>
        <v>25330.087500000001</v>
      </c>
      <c r="X35" s="698">
        <f t="shared" si="23"/>
        <v>19375.642857142855</v>
      </c>
      <c r="Y35" s="699">
        <f t="shared" si="24"/>
        <v>4925</v>
      </c>
      <c r="Z35" s="698">
        <f t="shared" si="25"/>
        <v>12383.714285714286</v>
      </c>
      <c r="AA35" s="698">
        <f t="shared" si="26"/>
        <v>2851.1241071428572</v>
      </c>
      <c r="AB35" s="698">
        <f t="shared" si="27"/>
        <v>1685.367857142857</v>
      </c>
      <c r="AC35" s="698">
        <f t="shared" si="28"/>
        <v>6387.0919642857143</v>
      </c>
      <c r="AD35" s="698">
        <f t="shared" si="29"/>
        <v>9990.4571428571417</v>
      </c>
      <c r="AE35" s="699">
        <f t="shared" si="43"/>
        <v>2928</v>
      </c>
      <c r="AF35" s="681"/>
      <c r="AG35" s="1208">
        <f t="shared" si="30"/>
        <v>1.0299125218051792E-3</v>
      </c>
      <c r="AH35" s="1209">
        <f t="shared" si="31"/>
        <v>0</v>
      </c>
      <c r="AI35" s="1209">
        <f t="shared" si="32"/>
        <v>0</v>
      </c>
      <c r="AJ35" s="1209">
        <f t="shared" si="33"/>
        <v>0</v>
      </c>
      <c r="AK35" s="1209">
        <f t="shared" si="34"/>
        <v>0</v>
      </c>
      <c r="AL35" s="1209">
        <f t="shared" si="35"/>
        <v>3.0450602560652368E-3</v>
      </c>
      <c r="AM35" s="1209">
        <f t="shared" si="36"/>
        <v>0</v>
      </c>
      <c r="AN35" s="1209">
        <f t="shared" si="37"/>
        <v>8.882633873981958E-4</v>
      </c>
      <c r="AO35" s="1209">
        <f t="shared" si="38"/>
        <v>1.7536942665784391E-3</v>
      </c>
      <c r="AP35" s="1209">
        <f t="shared" si="39"/>
        <v>4.1533959309434359E-3</v>
      </c>
      <c r="AQ35" s="1209">
        <f t="shared" si="40"/>
        <v>1.7222235191708499E-3</v>
      </c>
      <c r="AR35" s="1209">
        <f t="shared" si="41"/>
        <v>3.7035342298078742E-3</v>
      </c>
      <c r="AS35" s="1209">
        <f t="shared" si="42"/>
        <v>0</v>
      </c>
      <c r="AT35" s="1194">
        <f t="shared" ref="AT35:AT51" si="56">IFERROR(R35/AF35,0)</f>
        <v>0</v>
      </c>
      <c r="AU35" s="1414">
        <v>3</v>
      </c>
      <c r="AV35" s="1415">
        <v>0.6</v>
      </c>
      <c r="CA35" s="17" t="str" cm="1">
        <f t="array" ref="CA35">INDEX(List_comparators,CB35+1)</f>
        <v>cabozantinib_plus_nivolumab</v>
      </c>
      <c r="CB35" s="17">
        <v>1</v>
      </c>
      <c r="CC35" s="17">
        <v>1</v>
      </c>
      <c r="CD35" s="17"/>
      <c r="CE35" s="17"/>
      <c r="CF35" s="17"/>
      <c r="CG35" s="17"/>
      <c r="CH35" s="17"/>
      <c r="CI35" s="17"/>
      <c r="CJ35" s="583"/>
      <c r="CK35" s="583"/>
      <c r="CL35" s="17" t="str">
        <v>Anaemia</v>
      </c>
      <c r="CM35" s="17">
        <v>2</v>
      </c>
      <c r="CN35" s="17">
        <v>0</v>
      </c>
      <c r="CO35" s="17">
        <f t="shared" ca="1" si="0"/>
        <v>0</v>
      </c>
      <c r="CP35" s="17"/>
      <c r="CQ35" s="17">
        <f t="shared" ca="1" si="54"/>
        <v>30333.142857142855</v>
      </c>
      <c r="CR35" s="17">
        <v>0</v>
      </c>
      <c r="CS35" s="17">
        <f t="shared" ca="1" si="55"/>
        <v>0</v>
      </c>
      <c r="CT35" s="17" t="str">
        <f t="shared" si="52"/>
        <v>one-off</v>
      </c>
      <c r="CU35" s="17" t="str">
        <f t="shared" si="53"/>
        <v>Yes</v>
      </c>
      <c r="CV35" s="17">
        <f t="shared" ref="CV35:CV54" ca="1" si="57">OFFSET($E$63,$CM35-1,$CB35)</f>
        <v>1.238</v>
      </c>
      <c r="CW35" s="17">
        <f t="shared" ref="CW35:CW54" ca="1" si="58">OFFSET($S$63,$CM35-1,$CB35)</f>
        <v>0</v>
      </c>
      <c r="CY35" s="657">
        <v>5</v>
      </c>
      <c r="CZ35" s="17" t="str">
        <f t="shared" si="44"/>
        <v>cabozantinib_plus_nivolumab</v>
      </c>
      <c r="DA35" s="17">
        <f t="shared" si="45"/>
        <v>1</v>
      </c>
      <c r="DB35" s="17">
        <f t="shared" si="46"/>
        <v>1</v>
      </c>
      <c r="DC35" s="17" t="str">
        <f>"G3+ "&amp;$D$34</f>
        <v>G3+ Diarrhoea _IO induced</v>
      </c>
      <c r="DD35" s="17">
        <f t="shared" ca="1" si="47"/>
        <v>0</v>
      </c>
      <c r="DE35" s="956">
        <f t="shared" ca="1" si="48"/>
        <v>94.791071428571428</v>
      </c>
      <c r="DG35" s="1008">
        <f t="shared" si="50"/>
        <v>4321.12</v>
      </c>
      <c r="DH35" s="1009">
        <f t="shared" si="51"/>
        <v>-0.1</v>
      </c>
      <c r="DI35" s="1007">
        <f t="shared" si="49"/>
        <v>3</v>
      </c>
      <c r="DJ35" s="1098">
        <v>9</v>
      </c>
      <c r="DK35" s="1099" t="s">
        <v>118</v>
      </c>
      <c r="DL35" s="1099">
        <v>2</v>
      </c>
      <c r="DM35" s="1100">
        <v>1487.2985996067669</v>
      </c>
      <c r="DN35" s="1101">
        <v>41.210619023764352</v>
      </c>
      <c r="DO35" s="1102">
        <v>-3.4327984936101202E-2</v>
      </c>
    </row>
    <row r="36" spans="4:119" x14ac:dyDescent="0.2">
      <c r="D36" s="673" t="str">
        <v>HFS</v>
      </c>
      <c r="E36" s="679"/>
      <c r="F36" s="679">
        <v>25</v>
      </c>
      <c r="G36" s="679"/>
      <c r="H36" s="679"/>
      <c r="I36" s="679">
        <v>28</v>
      </c>
      <c r="J36" s="679">
        <v>32</v>
      </c>
      <c r="K36" s="679"/>
      <c r="L36" s="679">
        <v>26</v>
      </c>
      <c r="M36" s="679">
        <v>6</v>
      </c>
      <c r="N36" s="679"/>
      <c r="O36" s="679"/>
      <c r="P36" s="679">
        <v>20</v>
      </c>
      <c r="Q36" s="679">
        <v>31</v>
      </c>
      <c r="R36" s="680"/>
      <c r="S36" s="697">
        <f t="shared" si="18"/>
        <v>9709.5625</v>
      </c>
      <c r="T36" s="698">
        <f t="shared" si="19"/>
        <v>30333.142857142855</v>
      </c>
      <c r="U36" s="698">
        <f t="shared" si="20"/>
        <v>17690.709821428572</v>
      </c>
      <c r="V36" s="698">
        <f t="shared" si="21"/>
        <v>26167.553571428572</v>
      </c>
      <c r="W36" s="698">
        <f t="shared" si="22"/>
        <v>25330.087500000001</v>
      </c>
      <c r="X36" s="698">
        <f t="shared" si="23"/>
        <v>19375.642857142855</v>
      </c>
      <c r="Y36" s="699">
        <f t="shared" si="24"/>
        <v>4925</v>
      </c>
      <c r="Z36" s="698">
        <f t="shared" si="25"/>
        <v>12383.714285714286</v>
      </c>
      <c r="AA36" s="698">
        <f t="shared" si="26"/>
        <v>2851.1241071428572</v>
      </c>
      <c r="AB36" s="698">
        <f t="shared" si="27"/>
        <v>1685.367857142857</v>
      </c>
      <c r="AC36" s="698">
        <f t="shared" si="28"/>
        <v>6387.0919642857143</v>
      </c>
      <c r="AD36" s="698">
        <f t="shared" si="29"/>
        <v>9990.4571428571417</v>
      </c>
      <c r="AE36" s="699">
        <f t="shared" si="43"/>
        <v>2928</v>
      </c>
      <c r="AF36" s="681"/>
      <c r="AG36" s="1208">
        <f t="shared" si="30"/>
        <v>0</v>
      </c>
      <c r="AH36" s="1209">
        <f t="shared" si="31"/>
        <v>8.2418099956671638E-4</v>
      </c>
      <c r="AI36" s="1209">
        <f t="shared" si="32"/>
        <v>0</v>
      </c>
      <c r="AJ36" s="1209">
        <f t="shared" si="33"/>
        <v>0</v>
      </c>
      <c r="AK36" s="1209">
        <f t="shared" si="34"/>
        <v>1.1054047878831844E-3</v>
      </c>
      <c r="AL36" s="1209">
        <f t="shared" si="35"/>
        <v>1.6515581049845352E-3</v>
      </c>
      <c r="AM36" s="1209">
        <f t="shared" si="36"/>
        <v>0</v>
      </c>
      <c r="AN36" s="1209">
        <f t="shared" si="37"/>
        <v>2.0995316429411898E-3</v>
      </c>
      <c r="AO36" s="1209">
        <f t="shared" si="38"/>
        <v>2.1044331198941269E-3</v>
      </c>
      <c r="AP36" s="1209">
        <f t="shared" si="39"/>
        <v>0</v>
      </c>
      <c r="AQ36" s="1209">
        <f t="shared" si="40"/>
        <v>0</v>
      </c>
      <c r="AR36" s="1209">
        <f t="shared" si="41"/>
        <v>2.001910394490743E-3</v>
      </c>
      <c r="AS36" s="1209">
        <f t="shared" si="42"/>
        <v>1.0587431693989071E-2</v>
      </c>
      <c r="AT36" s="1194">
        <f t="shared" si="56"/>
        <v>0</v>
      </c>
      <c r="AU36" s="1414">
        <v>3</v>
      </c>
      <c r="AV36" s="1415">
        <v>0.6</v>
      </c>
      <c r="CA36" s="17" t="str" cm="1">
        <f t="array" ref="CA36">INDEX(List_comparators,CB36+1)</f>
        <v>cabozantinib_plus_nivolumab</v>
      </c>
      <c r="CB36" s="17">
        <v>1</v>
      </c>
      <c r="CC36" s="17">
        <v>1</v>
      </c>
      <c r="CD36" s="17"/>
      <c r="CE36" s="17"/>
      <c r="CF36" s="17"/>
      <c r="CG36" s="17"/>
      <c r="CH36" s="17"/>
      <c r="CI36" s="17"/>
      <c r="CJ36" s="583"/>
      <c r="CK36" s="583"/>
      <c r="CL36" s="17" t="str">
        <v>Decreased appetite</v>
      </c>
      <c r="CM36" s="17">
        <v>3</v>
      </c>
      <c r="CN36" s="17">
        <v>0</v>
      </c>
      <c r="CO36" s="17">
        <f t="shared" ca="1" si="0"/>
        <v>0</v>
      </c>
      <c r="CP36" s="17"/>
      <c r="CQ36" s="17">
        <f t="shared" ca="1" si="54"/>
        <v>30333.142857142855</v>
      </c>
      <c r="CR36" s="17">
        <v>0</v>
      </c>
      <c r="CS36" s="17">
        <f t="shared" ca="1" si="55"/>
        <v>0</v>
      </c>
      <c r="CT36" s="17" t="str">
        <f t="shared" si="52"/>
        <v>one-off</v>
      </c>
      <c r="CU36" s="17" t="str">
        <f t="shared" si="53"/>
        <v>Yes</v>
      </c>
      <c r="CV36" s="17">
        <f t="shared" ca="1" si="57"/>
        <v>1.238</v>
      </c>
      <c r="CW36" s="17">
        <f t="shared" ca="1" si="58"/>
        <v>0</v>
      </c>
      <c r="CY36" s="657">
        <v>6</v>
      </c>
      <c r="CZ36" s="17" t="str">
        <f t="shared" si="44"/>
        <v>cabozantinib_plus_nivolumab</v>
      </c>
      <c r="DA36" s="17">
        <f t="shared" si="45"/>
        <v>1</v>
      </c>
      <c r="DB36" s="17">
        <f t="shared" si="46"/>
        <v>1</v>
      </c>
      <c r="DC36" s="17" t="str">
        <f>"G3+ "&amp;$D$35</f>
        <v>G3+ Fatigue</v>
      </c>
      <c r="DD36" s="17">
        <f t="shared" ca="1" si="47"/>
        <v>1.0996700735989664E-3</v>
      </c>
      <c r="DE36" s="956">
        <f t="shared" ca="1" si="48"/>
        <v>94.791071428571428</v>
      </c>
      <c r="DG36" s="1008">
        <f t="shared" si="50"/>
        <v>662.61</v>
      </c>
      <c r="DH36" s="1009">
        <f t="shared" si="51"/>
        <v>-0.1</v>
      </c>
      <c r="DI36" s="1007">
        <f t="shared" si="49"/>
        <v>3</v>
      </c>
      <c r="DJ36" s="1098"/>
      <c r="DK36" s="1098"/>
      <c r="DL36" s="1098"/>
      <c r="DM36" s="1104"/>
      <c r="DN36" s="1104"/>
      <c r="DO36" s="1105"/>
    </row>
    <row r="37" spans="4:119" x14ac:dyDescent="0.2">
      <c r="D37" s="672" t="str">
        <v>Hypertension</v>
      </c>
      <c r="E37" s="679"/>
      <c r="F37" s="679">
        <v>40</v>
      </c>
      <c r="G37" s="679"/>
      <c r="H37" s="679">
        <v>97</v>
      </c>
      <c r="I37" s="679">
        <v>124</v>
      </c>
      <c r="J37" s="679"/>
      <c r="K37" s="679">
        <v>35</v>
      </c>
      <c r="L37" s="679">
        <v>39</v>
      </c>
      <c r="M37" s="679">
        <v>22</v>
      </c>
      <c r="N37" s="679">
        <v>7</v>
      </c>
      <c r="O37" s="679"/>
      <c r="P37" s="679">
        <v>60</v>
      </c>
      <c r="Q37" s="679">
        <v>33</v>
      </c>
      <c r="R37" s="680"/>
      <c r="S37" s="697">
        <f t="shared" si="18"/>
        <v>9709.5625</v>
      </c>
      <c r="T37" s="698">
        <f t="shared" si="19"/>
        <v>30333.142857142855</v>
      </c>
      <c r="U37" s="698">
        <f t="shared" si="20"/>
        <v>17690.709821428572</v>
      </c>
      <c r="V37" s="698">
        <f t="shared" si="21"/>
        <v>26167.553571428572</v>
      </c>
      <c r="W37" s="698">
        <f t="shared" si="22"/>
        <v>25330.087500000001</v>
      </c>
      <c r="X37" s="698">
        <f t="shared" si="23"/>
        <v>19375.642857142855</v>
      </c>
      <c r="Y37" s="699">
        <f t="shared" si="24"/>
        <v>4925</v>
      </c>
      <c r="Z37" s="698">
        <f t="shared" si="25"/>
        <v>12383.714285714286</v>
      </c>
      <c r="AA37" s="698">
        <f t="shared" si="26"/>
        <v>2851.1241071428572</v>
      </c>
      <c r="AB37" s="698">
        <f t="shared" si="27"/>
        <v>1685.367857142857</v>
      </c>
      <c r="AC37" s="698">
        <f t="shared" si="28"/>
        <v>6387.0919642857143</v>
      </c>
      <c r="AD37" s="698">
        <f t="shared" si="29"/>
        <v>9990.4571428571417</v>
      </c>
      <c r="AE37" s="699">
        <f t="shared" si="43"/>
        <v>2928</v>
      </c>
      <c r="AF37" s="590"/>
      <c r="AG37" s="1208">
        <f t="shared" si="30"/>
        <v>0</v>
      </c>
      <c r="AH37" s="1209">
        <f t="shared" si="31"/>
        <v>1.3186895993067462E-3</v>
      </c>
      <c r="AI37" s="1209">
        <f t="shared" si="32"/>
        <v>0</v>
      </c>
      <c r="AJ37" s="1209">
        <f t="shared" si="33"/>
        <v>3.706880726745158E-3</v>
      </c>
      <c r="AK37" s="1209">
        <f t="shared" si="34"/>
        <v>4.8953640606255308E-3</v>
      </c>
      <c r="AL37" s="1209">
        <f t="shared" si="35"/>
        <v>0</v>
      </c>
      <c r="AM37" s="1209">
        <f t="shared" si="36"/>
        <v>7.1065989847715737E-3</v>
      </c>
      <c r="AN37" s="1209">
        <f t="shared" si="37"/>
        <v>3.1492974644117848E-3</v>
      </c>
      <c r="AO37" s="1209">
        <f t="shared" si="38"/>
        <v>7.716254772945132E-3</v>
      </c>
      <c r="AP37" s="1209">
        <f t="shared" si="39"/>
        <v>4.1533959309434359E-3</v>
      </c>
      <c r="AQ37" s="1209">
        <f t="shared" si="40"/>
        <v>0</v>
      </c>
      <c r="AR37" s="1209">
        <f t="shared" si="41"/>
        <v>6.0057311834722281E-3</v>
      </c>
      <c r="AS37" s="1209">
        <f t="shared" si="42"/>
        <v>1.1270491803278689E-2</v>
      </c>
      <c r="AT37" s="1194">
        <f t="shared" si="56"/>
        <v>0</v>
      </c>
      <c r="AU37" s="1414">
        <v>3</v>
      </c>
      <c r="AV37" s="1415">
        <v>0.6</v>
      </c>
      <c r="CA37" s="17" t="str" cm="1">
        <f t="array" ref="CA37">INDEX(List_comparators,CB37+1)</f>
        <v>cabozantinib_plus_nivolumab</v>
      </c>
      <c r="CB37" s="17">
        <v>1</v>
      </c>
      <c r="CC37" s="17">
        <v>1</v>
      </c>
      <c r="CD37" s="17"/>
      <c r="CE37" s="17"/>
      <c r="CF37" s="17"/>
      <c r="CG37" s="17"/>
      <c r="CH37" s="17"/>
      <c r="CI37" s="17"/>
      <c r="CJ37" s="583"/>
      <c r="CK37" s="583"/>
      <c r="CL37" s="17" t="str">
        <v>Diarrhoea _TKI induced</v>
      </c>
      <c r="CM37" s="17">
        <v>4</v>
      </c>
      <c r="CN37" s="17">
        <v>0</v>
      </c>
      <c r="CO37" s="17">
        <f t="shared" ca="1" si="0"/>
        <v>11.5</v>
      </c>
      <c r="CP37" s="17"/>
      <c r="CQ37" s="17">
        <f t="shared" ca="1" si="54"/>
        <v>30333.142857142855</v>
      </c>
      <c r="CR37" s="17">
        <v>0</v>
      </c>
      <c r="CS37" s="17">
        <f t="shared" ca="1" si="55"/>
        <v>3.7912325980068952E-4</v>
      </c>
      <c r="CT37" s="17" t="str">
        <f t="shared" si="52"/>
        <v>one-off</v>
      </c>
      <c r="CU37" s="17" t="str">
        <f t="shared" si="53"/>
        <v>Yes</v>
      </c>
      <c r="CV37" s="17">
        <f t="shared" ca="1" si="57"/>
        <v>1.238</v>
      </c>
      <c r="CW37" s="17">
        <f t="shared" ca="1" si="58"/>
        <v>2.7991601873428237E-3</v>
      </c>
      <c r="CY37" s="657">
        <v>7</v>
      </c>
      <c r="CZ37" s="17" t="str">
        <f t="shared" si="44"/>
        <v>cabozantinib_plus_nivolumab</v>
      </c>
      <c r="DA37" s="17">
        <f t="shared" si="45"/>
        <v>1</v>
      </c>
      <c r="DB37" s="17">
        <f t="shared" si="46"/>
        <v>1</v>
      </c>
      <c r="DC37" s="17" t="str">
        <f>"G3+ "&amp;$D$36</f>
        <v>G3+ HFS</v>
      </c>
      <c r="DD37" s="17">
        <f t="shared" ca="1" si="47"/>
        <v>2.5992201739611928E-3</v>
      </c>
      <c r="DE37" s="956">
        <f t="shared" ca="1" si="48"/>
        <v>94.791071428571428</v>
      </c>
      <c r="DG37" s="1008">
        <f t="shared" si="50"/>
        <v>621.42499999999995</v>
      </c>
      <c r="DH37" s="1009">
        <f t="shared" si="51"/>
        <v>-0.1</v>
      </c>
      <c r="DI37" s="1007">
        <f t="shared" si="49"/>
        <v>3</v>
      </c>
      <c r="DJ37" s="1098"/>
      <c r="DK37" s="1098"/>
      <c r="DL37" s="1098"/>
      <c r="DM37" s="1098"/>
      <c r="DN37" s="1098"/>
      <c r="DO37" s="1098"/>
    </row>
    <row r="38" spans="4:119" x14ac:dyDescent="0.2">
      <c r="D38" s="673" t="str">
        <v>Hypertriglyceridemia</v>
      </c>
      <c r="E38" s="679"/>
      <c r="F38" s="679"/>
      <c r="G38" s="679"/>
      <c r="H38" s="679"/>
      <c r="I38" s="679"/>
      <c r="J38" s="679"/>
      <c r="K38" s="679"/>
      <c r="L38" s="679"/>
      <c r="M38" s="679"/>
      <c r="N38" s="679">
        <v>4</v>
      </c>
      <c r="O38" s="679">
        <v>20</v>
      </c>
      <c r="P38" s="679"/>
      <c r="Q38" s="679"/>
      <c r="R38" s="680"/>
      <c r="S38" s="697">
        <f t="shared" si="18"/>
        <v>9709.5625</v>
      </c>
      <c r="T38" s="698">
        <f t="shared" si="19"/>
        <v>30333.142857142855</v>
      </c>
      <c r="U38" s="698">
        <f t="shared" si="20"/>
        <v>17690.709821428572</v>
      </c>
      <c r="V38" s="698">
        <f t="shared" si="21"/>
        <v>26167.553571428572</v>
      </c>
      <c r="W38" s="698">
        <f t="shared" si="22"/>
        <v>25330.087500000001</v>
      </c>
      <c r="X38" s="698">
        <f t="shared" si="23"/>
        <v>19375.642857142855</v>
      </c>
      <c r="Y38" s="699">
        <f t="shared" si="24"/>
        <v>4925</v>
      </c>
      <c r="Z38" s="698">
        <f t="shared" si="25"/>
        <v>12383.714285714286</v>
      </c>
      <c r="AA38" s="698">
        <f t="shared" si="26"/>
        <v>2851.1241071428572</v>
      </c>
      <c r="AB38" s="698">
        <f t="shared" si="27"/>
        <v>1685.367857142857</v>
      </c>
      <c r="AC38" s="698">
        <f t="shared" si="28"/>
        <v>6387.0919642857143</v>
      </c>
      <c r="AD38" s="698">
        <f t="shared" si="29"/>
        <v>9990.4571428571417</v>
      </c>
      <c r="AE38" s="699">
        <f t="shared" si="43"/>
        <v>2928</v>
      </c>
      <c r="AF38" s="590"/>
      <c r="AG38" s="1208">
        <f t="shared" si="30"/>
        <v>0</v>
      </c>
      <c r="AH38" s="1209">
        <f t="shared" si="31"/>
        <v>0</v>
      </c>
      <c r="AI38" s="1209">
        <f t="shared" si="32"/>
        <v>0</v>
      </c>
      <c r="AJ38" s="1209">
        <f t="shared" si="33"/>
        <v>0</v>
      </c>
      <c r="AK38" s="1209">
        <f t="shared" si="34"/>
        <v>0</v>
      </c>
      <c r="AL38" s="1209">
        <f t="shared" si="35"/>
        <v>0</v>
      </c>
      <c r="AM38" s="1209">
        <f t="shared" si="36"/>
        <v>0</v>
      </c>
      <c r="AN38" s="1209">
        <f t="shared" si="37"/>
        <v>0</v>
      </c>
      <c r="AO38" s="1209">
        <f t="shared" si="38"/>
        <v>0</v>
      </c>
      <c r="AP38" s="1209">
        <f t="shared" si="39"/>
        <v>2.3733691033962488E-3</v>
      </c>
      <c r="AQ38" s="1209">
        <f t="shared" si="40"/>
        <v>3.1313154894015453E-3</v>
      </c>
      <c r="AR38" s="1209">
        <f t="shared" si="41"/>
        <v>0</v>
      </c>
      <c r="AS38" s="1209">
        <f t="shared" si="42"/>
        <v>0</v>
      </c>
      <c r="AT38" s="1194">
        <f t="shared" si="56"/>
        <v>0</v>
      </c>
      <c r="AU38" s="1414">
        <v>3</v>
      </c>
      <c r="AV38" s="1415">
        <v>0.6</v>
      </c>
      <c r="CA38" s="17" t="str" cm="1">
        <f t="array" ref="CA38">INDEX(List_comparators,CB38+1)</f>
        <v>cabozantinib_plus_nivolumab</v>
      </c>
      <c r="CB38" s="17">
        <v>1</v>
      </c>
      <c r="CC38" s="17">
        <v>1</v>
      </c>
      <c r="CD38" s="17"/>
      <c r="CE38" s="17"/>
      <c r="CF38" s="17"/>
      <c r="CG38" s="17"/>
      <c r="CH38" s="17"/>
      <c r="CI38" s="17"/>
      <c r="CJ38" s="583"/>
      <c r="CK38" s="583"/>
      <c r="CL38" s="17" t="str">
        <v>Diarrhoea _IO induced</v>
      </c>
      <c r="CM38" s="17">
        <v>5</v>
      </c>
      <c r="CN38" s="17">
        <v>0</v>
      </c>
      <c r="CO38" s="17">
        <f t="shared" ca="1" si="0"/>
        <v>11.5</v>
      </c>
      <c r="CP38" s="17"/>
      <c r="CQ38" s="17">
        <f t="shared" ca="1" si="54"/>
        <v>30333.142857142855</v>
      </c>
      <c r="CR38" s="17">
        <v>0</v>
      </c>
      <c r="CS38" s="17">
        <f t="shared" ca="1" si="55"/>
        <v>3.7912325980068952E-4</v>
      </c>
      <c r="CT38" s="17" t="str">
        <f t="shared" si="52"/>
        <v>one-off</v>
      </c>
      <c r="CU38" s="17" t="str">
        <f t="shared" si="53"/>
        <v>Yes</v>
      </c>
      <c r="CV38" s="17">
        <f t="shared" ca="1" si="57"/>
        <v>1.238</v>
      </c>
      <c r="CW38" s="17">
        <f t="shared" ca="1" si="58"/>
        <v>0</v>
      </c>
      <c r="CY38" s="657">
        <v>8</v>
      </c>
      <c r="CZ38" s="17" t="str">
        <f t="shared" si="44"/>
        <v>cabozantinib_plus_nivolumab</v>
      </c>
      <c r="DA38" s="17">
        <f t="shared" si="45"/>
        <v>1</v>
      </c>
      <c r="DB38" s="17">
        <f t="shared" si="46"/>
        <v>1</v>
      </c>
      <c r="DC38" s="17" t="str">
        <f>"G3+ "&amp;$D$37</f>
        <v>G3+ Hypertension</v>
      </c>
      <c r="DD38" s="17">
        <f t="shared" ca="1" si="47"/>
        <v>3.8988302609417897E-3</v>
      </c>
      <c r="DE38" s="956">
        <f t="shared" ca="1" si="48"/>
        <v>94.791071428571428</v>
      </c>
      <c r="DG38" s="1008">
        <f t="shared" si="50"/>
        <v>424.6</v>
      </c>
      <c r="DH38" s="1009">
        <f t="shared" si="51"/>
        <v>-0.1</v>
      </c>
      <c r="DI38" s="1007">
        <f t="shared" si="49"/>
        <v>3</v>
      </c>
      <c r="DJ38" s="1098"/>
      <c r="DK38" s="1098" t="s">
        <v>697</v>
      </c>
      <c r="DL38" s="1098"/>
      <c r="DM38" s="1098"/>
      <c r="DN38" s="1098"/>
      <c r="DO38" s="1098"/>
    </row>
    <row r="39" spans="4:119" x14ac:dyDescent="0.2">
      <c r="D39" s="673" t="str">
        <v>Hyponatraemia</v>
      </c>
      <c r="E39" s="679"/>
      <c r="F39" s="679">
        <v>22</v>
      </c>
      <c r="G39" s="679"/>
      <c r="H39" s="679"/>
      <c r="I39" s="679"/>
      <c r="J39" s="679"/>
      <c r="K39" s="679"/>
      <c r="L39" s="679">
        <v>13</v>
      </c>
      <c r="M39" s="679"/>
      <c r="N39" s="679"/>
      <c r="O39" s="679"/>
      <c r="P39" s="679"/>
      <c r="Q39" s="679"/>
      <c r="R39" s="680"/>
      <c r="S39" s="697">
        <f t="shared" si="18"/>
        <v>9709.5625</v>
      </c>
      <c r="T39" s="698">
        <f t="shared" si="19"/>
        <v>30333.142857142855</v>
      </c>
      <c r="U39" s="698">
        <f t="shared" si="20"/>
        <v>17690.709821428572</v>
      </c>
      <c r="V39" s="698">
        <f t="shared" si="21"/>
        <v>26167.553571428572</v>
      </c>
      <c r="W39" s="698">
        <f t="shared" si="22"/>
        <v>25330.087500000001</v>
      </c>
      <c r="X39" s="698">
        <f t="shared" si="23"/>
        <v>19375.642857142855</v>
      </c>
      <c r="Y39" s="699">
        <f t="shared" si="24"/>
        <v>4925</v>
      </c>
      <c r="Z39" s="698">
        <f t="shared" si="25"/>
        <v>12383.714285714286</v>
      </c>
      <c r="AA39" s="698">
        <f t="shared" si="26"/>
        <v>2851.1241071428572</v>
      </c>
      <c r="AB39" s="698">
        <f t="shared" si="27"/>
        <v>1685.367857142857</v>
      </c>
      <c r="AC39" s="698">
        <f t="shared" si="28"/>
        <v>6387.0919642857143</v>
      </c>
      <c r="AD39" s="698">
        <f t="shared" si="29"/>
        <v>9990.4571428571417</v>
      </c>
      <c r="AE39" s="699">
        <f t="shared" si="43"/>
        <v>2928</v>
      </c>
      <c r="AF39" s="590"/>
      <c r="AG39" s="1208">
        <f t="shared" si="30"/>
        <v>0</v>
      </c>
      <c r="AH39" s="1209">
        <f t="shared" si="31"/>
        <v>7.2527927961871035E-4</v>
      </c>
      <c r="AI39" s="1209">
        <f t="shared" si="32"/>
        <v>0</v>
      </c>
      <c r="AJ39" s="1209">
        <f t="shared" si="33"/>
        <v>0</v>
      </c>
      <c r="AK39" s="1209">
        <f t="shared" si="34"/>
        <v>0</v>
      </c>
      <c r="AL39" s="1209">
        <f t="shared" si="35"/>
        <v>0</v>
      </c>
      <c r="AM39" s="1209">
        <f t="shared" si="36"/>
        <v>0</v>
      </c>
      <c r="AN39" s="1209">
        <f t="shared" si="37"/>
        <v>1.0497658214705949E-3</v>
      </c>
      <c r="AO39" s="1209">
        <f t="shared" si="38"/>
        <v>0</v>
      </c>
      <c r="AP39" s="1209">
        <f t="shared" si="39"/>
        <v>0</v>
      </c>
      <c r="AQ39" s="1209">
        <f t="shared" si="40"/>
        <v>0</v>
      </c>
      <c r="AR39" s="1209">
        <f t="shared" si="41"/>
        <v>0</v>
      </c>
      <c r="AS39" s="1209">
        <f t="shared" si="42"/>
        <v>0</v>
      </c>
      <c r="AT39" s="1194">
        <f t="shared" si="56"/>
        <v>0</v>
      </c>
      <c r="AU39" s="1414">
        <v>3</v>
      </c>
      <c r="AV39" s="1415">
        <v>0.6</v>
      </c>
      <c r="CA39" s="17" t="str" cm="1">
        <f t="array" ref="CA39">INDEX(List_comparators,CB39+1)</f>
        <v>cabozantinib_plus_nivolumab</v>
      </c>
      <c r="CB39" s="17">
        <v>1</v>
      </c>
      <c r="CC39" s="17">
        <v>1</v>
      </c>
      <c r="CD39" s="17"/>
      <c r="CE39" s="17"/>
      <c r="CF39" s="17"/>
      <c r="CG39" s="17"/>
      <c r="CH39" s="17"/>
      <c r="CI39" s="17"/>
      <c r="CJ39" s="583"/>
      <c r="CK39" s="583"/>
      <c r="CL39" s="17" t="str">
        <v>Fatigue</v>
      </c>
      <c r="CM39" s="17">
        <v>6</v>
      </c>
      <c r="CN39" s="17">
        <v>0</v>
      </c>
      <c r="CO39" s="17">
        <f t="shared" ca="1" si="0"/>
        <v>0</v>
      </c>
      <c r="CP39" s="17"/>
      <c r="CQ39" s="17">
        <f t="shared" ca="1" si="54"/>
        <v>30333.142857142855</v>
      </c>
      <c r="CR39" s="17">
        <v>0</v>
      </c>
      <c r="CS39" s="17">
        <f t="shared" ca="1" si="55"/>
        <v>0</v>
      </c>
      <c r="CT39" s="17" t="str">
        <f t="shared" si="52"/>
        <v>one-off</v>
      </c>
      <c r="CU39" s="17" t="str">
        <f t="shared" si="53"/>
        <v>Yes</v>
      </c>
      <c r="CV39" s="17">
        <f t="shared" ca="1" si="57"/>
        <v>1.238</v>
      </c>
      <c r="CW39" s="17">
        <f t="shared" ca="1" si="58"/>
        <v>1.0996700735989664E-3</v>
      </c>
      <c r="CY39" s="657">
        <v>9</v>
      </c>
      <c r="CZ39" s="17" t="str">
        <f t="shared" si="44"/>
        <v>cabozantinib_plus_nivolumab</v>
      </c>
      <c r="DA39" s="17">
        <f t="shared" si="45"/>
        <v>1</v>
      </c>
      <c r="DB39" s="17">
        <f t="shared" si="46"/>
        <v>1</v>
      </c>
      <c r="DC39" s="17" t="str">
        <f>"G3+ "&amp;$D$38</f>
        <v>G3+ Hypertriglyceridemia</v>
      </c>
      <c r="DD39" s="17">
        <f t="shared" ca="1" si="47"/>
        <v>0</v>
      </c>
      <c r="DE39" s="956">
        <f t="shared" ca="1" si="48"/>
        <v>94.791071428571428</v>
      </c>
      <c r="DG39" s="1008">
        <f t="shared" si="50"/>
        <v>0</v>
      </c>
      <c r="DH39" s="1009">
        <f t="shared" si="51"/>
        <v>-0.1</v>
      </c>
      <c r="DI39" s="1007">
        <f t="shared" si="49"/>
        <v>3</v>
      </c>
      <c r="DJ39" s="1098">
        <v>1</v>
      </c>
      <c r="DK39" s="1099" t="s">
        <v>579</v>
      </c>
      <c r="DL39" s="1099">
        <v>2</v>
      </c>
      <c r="DM39" s="1100">
        <v>161.1337489904144</v>
      </c>
      <c r="DN39" s="1101">
        <v>6.7377188302880011</v>
      </c>
      <c r="DO39" s="1102">
        <v>-3.3485156751788831E-3</v>
      </c>
    </row>
    <row r="40" spans="4:119" x14ac:dyDescent="0.2">
      <c r="D40" s="673" t="str">
        <v>Hypophosphatemia</v>
      </c>
      <c r="E40" s="679"/>
      <c r="F40" s="679">
        <v>19</v>
      </c>
      <c r="G40" s="679"/>
      <c r="H40" s="679"/>
      <c r="I40" s="679"/>
      <c r="J40" s="679"/>
      <c r="K40" s="679"/>
      <c r="L40" s="679">
        <v>13</v>
      </c>
      <c r="M40" s="679"/>
      <c r="N40" s="679"/>
      <c r="O40" s="679"/>
      <c r="P40" s="679"/>
      <c r="Q40" s="679"/>
      <c r="R40" s="680"/>
      <c r="S40" s="697">
        <f t="shared" si="18"/>
        <v>9709.5625</v>
      </c>
      <c r="T40" s="698">
        <f t="shared" si="19"/>
        <v>30333.142857142855</v>
      </c>
      <c r="U40" s="698">
        <f t="shared" si="20"/>
        <v>17690.709821428572</v>
      </c>
      <c r="V40" s="698">
        <f t="shared" si="21"/>
        <v>26167.553571428572</v>
      </c>
      <c r="W40" s="698">
        <f t="shared" si="22"/>
        <v>25330.087500000001</v>
      </c>
      <c r="X40" s="698">
        <f t="shared" si="23"/>
        <v>19375.642857142855</v>
      </c>
      <c r="Y40" s="699">
        <f t="shared" si="24"/>
        <v>4925</v>
      </c>
      <c r="Z40" s="698">
        <f t="shared" si="25"/>
        <v>12383.714285714286</v>
      </c>
      <c r="AA40" s="698">
        <f t="shared" si="26"/>
        <v>2851.1241071428572</v>
      </c>
      <c r="AB40" s="698">
        <f t="shared" si="27"/>
        <v>1685.367857142857</v>
      </c>
      <c r="AC40" s="698">
        <f t="shared" si="28"/>
        <v>6387.0919642857143</v>
      </c>
      <c r="AD40" s="698">
        <f t="shared" si="29"/>
        <v>9990.4571428571417</v>
      </c>
      <c r="AE40" s="699">
        <f t="shared" si="43"/>
        <v>2928</v>
      </c>
      <c r="AF40" s="681"/>
      <c r="AG40" s="1208">
        <f t="shared" si="30"/>
        <v>0</v>
      </c>
      <c r="AH40" s="1209">
        <f t="shared" si="31"/>
        <v>6.2637755967070443E-4</v>
      </c>
      <c r="AI40" s="1209">
        <f t="shared" si="32"/>
        <v>0</v>
      </c>
      <c r="AJ40" s="1209">
        <f t="shared" si="33"/>
        <v>0</v>
      </c>
      <c r="AK40" s="1209">
        <f t="shared" si="34"/>
        <v>0</v>
      </c>
      <c r="AL40" s="1209">
        <f t="shared" si="35"/>
        <v>0</v>
      </c>
      <c r="AM40" s="1209">
        <f t="shared" si="36"/>
        <v>0</v>
      </c>
      <c r="AN40" s="1209">
        <f t="shared" si="37"/>
        <v>1.0497658214705949E-3</v>
      </c>
      <c r="AO40" s="1209">
        <f t="shared" si="38"/>
        <v>0</v>
      </c>
      <c r="AP40" s="1209">
        <f t="shared" si="39"/>
        <v>0</v>
      </c>
      <c r="AQ40" s="1209">
        <f t="shared" si="40"/>
        <v>0</v>
      </c>
      <c r="AR40" s="1209">
        <f t="shared" si="41"/>
        <v>0</v>
      </c>
      <c r="AS40" s="1209">
        <f t="shared" si="42"/>
        <v>0</v>
      </c>
      <c r="AT40" s="1194">
        <f t="shared" si="56"/>
        <v>0</v>
      </c>
      <c r="AU40" s="1414">
        <v>3</v>
      </c>
      <c r="AV40" s="1415">
        <v>0.6</v>
      </c>
      <c r="CA40" s="17" t="str" cm="1">
        <f t="array" ref="CA40">INDEX(List_comparators,CB40+1)</f>
        <v>cabozantinib_plus_nivolumab</v>
      </c>
      <c r="CB40" s="17">
        <v>1</v>
      </c>
      <c r="CC40" s="17">
        <v>1</v>
      </c>
      <c r="CD40" s="17"/>
      <c r="CE40" s="17"/>
      <c r="CF40" s="17"/>
      <c r="CG40" s="17"/>
      <c r="CH40" s="17"/>
      <c r="CI40" s="17"/>
      <c r="CJ40" s="583"/>
      <c r="CK40" s="583"/>
      <c r="CL40" s="17" t="str">
        <v>HFS</v>
      </c>
      <c r="CM40" s="17">
        <v>7</v>
      </c>
      <c r="CN40" s="17">
        <v>0</v>
      </c>
      <c r="CO40" s="17">
        <f t="shared" ca="1" si="0"/>
        <v>25</v>
      </c>
      <c r="CP40" s="17"/>
      <c r="CQ40" s="17">
        <f t="shared" ca="1" si="54"/>
        <v>30333.142857142855</v>
      </c>
      <c r="CR40" s="17">
        <v>0</v>
      </c>
      <c r="CS40" s="17">
        <f t="shared" ca="1" si="55"/>
        <v>8.2418099956671638E-4</v>
      </c>
      <c r="CT40" s="17" t="str">
        <f t="shared" si="52"/>
        <v>one-off</v>
      </c>
      <c r="CU40" s="17" t="str">
        <f t="shared" si="53"/>
        <v>Yes</v>
      </c>
      <c r="CV40" s="17">
        <f t="shared" ca="1" si="57"/>
        <v>1.238</v>
      </c>
      <c r="CW40" s="17">
        <f t="shared" ca="1" si="58"/>
        <v>2.5992201739611928E-3</v>
      </c>
      <c r="CY40" s="657">
        <v>10</v>
      </c>
      <c r="CZ40" s="17" t="str">
        <f t="shared" si="44"/>
        <v>cabozantinib_plus_nivolumab</v>
      </c>
      <c r="DA40" s="17">
        <f t="shared" si="45"/>
        <v>1</v>
      </c>
      <c r="DB40" s="17">
        <f t="shared" si="46"/>
        <v>1</v>
      </c>
      <c r="DC40" s="17" t="str">
        <f>"G3+ "&amp;$D$39</f>
        <v>G3+ Hyponatraemia</v>
      </c>
      <c r="DD40" s="17">
        <f t="shared" ca="1" si="47"/>
        <v>1.2996100869805964E-3</v>
      </c>
      <c r="DE40" s="956">
        <f t="shared" ca="1" si="48"/>
        <v>94.791071428571428</v>
      </c>
      <c r="DG40" s="1008">
        <f t="shared" si="50"/>
        <v>574.71</v>
      </c>
      <c r="DH40" s="1009">
        <f t="shared" si="51"/>
        <v>-0.1</v>
      </c>
      <c r="DI40" s="1007">
        <f t="shared" si="49"/>
        <v>3</v>
      </c>
      <c r="DJ40" s="1098">
        <v>2</v>
      </c>
      <c r="DK40" s="1099" t="s">
        <v>571</v>
      </c>
      <c r="DL40" s="1099">
        <v>1</v>
      </c>
      <c r="DM40" s="1100">
        <v>1126.8076103237358</v>
      </c>
      <c r="DN40" s="1101">
        <v>11.887275809228795</v>
      </c>
      <c r="DO40" s="1102">
        <v>-2.8909593149254394E-2</v>
      </c>
    </row>
    <row r="41" spans="4:119" x14ac:dyDescent="0.2">
      <c r="D41" s="673" t="str">
        <v>Increase in lipase</v>
      </c>
      <c r="E41" s="679"/>
      <c r="F41" s="679"/>
      <c r="G41" s="679">
        <v>63</v>
      </c>
      <c r="H41" s="679"/>
      <c r="I41" s="679"/>
      <c r="J41" s="679"/>
      <c r="K41" s="679"/>
      <c r="L41" s="679"/>
      <c r="M41" s="679"/>
      <c r="N41" s="679"/>
      <c r="O41" s="679"/>
      <c r="P41" s="679"/>
      <c r="Q41" s="679"/>
      <c r="R41" s="680"/>
      <c r="S41" s="697">
        <f t="shared" si="18"/>
        <v>9709.5625</v>
      </c>
      <c r="T41" s="698">
        <f t="shared" si="19"/>
        <v>30333.142857142855</v>
      </c>
      <c r="U41" s="698">
        <f t="shared" si="20"/>
        <v>17690.709821428572</v>
      </c>
      <c r="V41" s="698">
        <f t="shared" si="21"/>
        <v>26167.553571428572</v>
      </c>
      <c r="W41" s="698">
        <f t="shared" si="22"/>
        <v>25330.087500000001</v>
      </c>
      <c r="X41" s="698">
        <f t="shared" si="23"/>
        <v>19375.642857142855</v>
      </c>
      <c r="Y41" s="699">
        <f t="shared" si="24"/>
        <v>4925</v>
      </c>
      <c r="Z41" s="698">
        <f t="shared" si="25"/>
        <v>12383.714285714286</v>
      </c>
      <c r="AA41" s="698">
        <f t="shared" si="26"/>
        <v>2851.1241071428572</v>
      </c>
      <c r="AB41" s="698">
        <f t="shared" si="27"/>
        <v>1685.367857142857</v>
      </c>
      <c r="AC41" s="698">
        <f t="shared" si="28"/>
        <v>6387.0919642857143</v>
      </c>
      <c r="AD41" s="698">
        <f t="shared" si="29"/>
        <v>9990.4571428571417</v>
      </c>
      <c r="AE41" s="699">
        <f t="shared" si="43"/>
        <v>2928</v>
      </c>
      <c r="AF41" s="681"/>
      <c r="AG41" s="1208">
        <f t="shared" si="30"/>
        <v>0</v>
      </c>
      <c r="AH41" s="1209">
        <f t="shared" si="31"/>
        <v>0</v>
      </c>
      <c r="AI41" s="1209">
        <f t="shared" si="32"/>
        <v>3.5611911922091874E-3</v>
      </c>
      <c r="AJ41" s="1209">
        <f t="shared" si="33"/>
        <v>0</v>
      </c>
      <c r="AK41" s="1209">
        <f t="shared" si="34"/>
        <v>0</v>
      </c>
      <c r="AL41" s="1209">
        <f t="shared" si="35"/>
        <v>0</v>
      </c>
      <c r="AM41" s="1209">
        <f t="shared" si="36"/>
        <v>0</v>
      </c>
      <c r="AN41" s="1209">
        <f t="shared" si="37"/>
        <v>0</v>
      </c>
      <c r="AO41" s="1209">
        <f t="shared" si="38"/>
        <v>0</v>
      </c>
      <c r="AP41" s="1209">
        <f t="shared" si="39"/>
        <v>0</v>
      </c>
      <c r="AQ41" s="1209">
        <f t="shared" si="40"/>
        <v>0</v>
      </c>
      <c r="AR41" s="1209">
        <f t="shared" si="41"/>
        <v>0</v>
      </c>
      <c r="AS41" s="1209">
        <f t="shared" si="42"/>
        <v>0</v>
      </c>
      <c r="AT41" s="1194">
        <f t="shared" si="56"/>
        <v>0</v>
      </c>
      <c r="AU41" s="1414">
        <v>3</v>
      </c>
      <c r="AV41" s="1415">
        <v>0.6</v>
      </c>
      <c r="CA41" s="17" t="str" cm="1">
        <f t="array" ref="CA41">INDEX(List_comparators,CB41+1)</f>
        <v>cabozantinib_plus_nivolumab</v>
      </c>
      <c r="CB41" s="17">
        <v>1</v>
      </c>
      <c r="CC41" s="17">
        <v>1</v>
      </c>
      <c r="CD41" s="17"/>
      <c r="CE41" s="17"/>
      <c r="CF41" s="17"/>
      <c r="CG41" s="17"/>
      <c r="CH41" s="17"/>
      <c r="CI41" s="17"/>
      <c r="CJ41" s="583"/>
      <c r="CK41" s="583"/>
      <c r="CL41" s="17" t="str">
        <v>Hypertension</v>
      </c>
      <c r="CM41" s="17">
        <v>8</v>
      </c>
      <c r="CN41" s="17">
        <v>0</v>
      </c>
      <c r="CO41" s="17">
        <f t="shared" ca="1" si="0"/>
        <v>40</v>
      </c>
      <c r="CP41" s="17"/>
      <c r="CQ41" s="17">
        <f t="shared" ca="1" si="54"/>
        <v>30333.142857142855</v>
      </c>
      <c r="CR41" s="17">
        <v>0</v>
      </c>
      <c r="CS41" s="17">
        <f t="shared" ca="1" si="55"/>
        <v>1.3186895993067462E-3</v>
      </c>
      <c r="CT41" s="17" t="str">
        <f t="shared" si="52"/>
        <v>one-off</v>
      </c>
      <c r="CU41" s="17" t="str">
        <f t="shared" si="53"/>
        <v>Yes</v>
      </c>
      <c r="CV41" s="17">
        <f t="shared" ca="1" si="57"/>
        <v>1.238</v>
      </c>
      <c r="CW41" s="17">
        <f t="shared" ca="1" si="58"/>
        <v>3.8988302609417897E-3</v>
      </c>
      <c r="CY41" s="657">
        <v>11</v>
      </c>
      <c r="CZ41" s="17" t="str">
        <f t="shared" si="44"/>
        <v>cabozantinib_plus_nivolumab</v>
      </c>
      <c r="DA41" s="17">
        <f t="shared" si="45"/>
        <v>1</v>
      </c>
      <c r="DB41" s="17">
        <f t="shared" si="46"/>
        <v>1</v>
      </c>
      <c r="DC41" s="17" t="str">
        <f>"G3+ "&amp;$D$40</f>
        <v>G3+ Hypophosphatemia</v>
      </c>
      <c r="DD41" s="17">
        <f t="shared" ca="1" si="47"/>
        <v>1.2996100869805964E-3</v>
      </c>
      <c r="DE41" s="956">
        <f t="shared" ca="1" si="48"/>
        <v>94.791071428571428</v>
      </c>
      <c r="DG41" s="1008">
        <f t="shared" si="50"/>
        <v>0</v>
      </c>
      <c r="DH41" s="1009">
        <f t="shared" si="51"/>
        <v>-0.1</v>
      </c>
      <c r="DI41" s="1007">
        <f t="shared" si="49"/>
        <v>3</v>
      </c>
      <c r="DJ41" s="1098">
        <v>3</v>
      </c>
      <c r="DK41" s="1099" t="s">
        <v>581</v>
      </c>
      <c r="DL41" s="1099">
        <v>1</v>
      </c>
      <c r="DM41" s="1100">
        <v>334.75910497603633</v>
      </c>
      <c r="DN41" s="1101">
        <v>9.7452810431513193</v>
      </c>
      <c r="DO41" s="1102">
        <v>-6.2134081362422112E-3</v>
      </c>
    </row>
    <row r="42" spans="4:119" x14ac:dyDescent="0.2">
      <c r="D42" s="673" t="str">
        <v>Increased AST</v>
      </c>
      <c r="E42" s="679"/>
      <c r="F42" s="679"/>
      <c r="G42" s="679"/>
      <c r="H42" s="679"/>
      <c r="I42" s="679"/>
      <c r="J42" s="679">
        <v>69</v>
      </c>
      <c r="K42" s="679"/>
      <c r="L42" s="679"/>
      <c r="M42" s="679"/>
      <c r="N42" s="679"/>
      <c r="O42" s="679"/>
      <c r="P42" s="679"/>
      <c r="Q42" s="679"/>
      <c r="R42" s="680"/>
      <c r="S42" s="697">
        <f t="shared" si="18"/>
        <v>9709.5625</v>
      </c>
      <c r="T42" s="698">
        <f t="shared" si="19"/>
        <v>30333.142857142855</v>
      </c>
      <c r="U42" s="698">
        <f t="shared" si="20"/>
        <v>17690.709821428572</v>
      </c>
      <c r="V42" s="698">
        <f t="shared" si="21"/>
        <v>26167.553571428572</v>
      </c>
      <c r="W42" s="698">
        <f t="shared" si="22"/>
        <v>25330.087500000001</v>
      </c>
      <c r="X42" s="698">
        <f t="shared" si="23"/>
        <v>19375.642857142855</v>
      </c>
      <c r="Y42" s="699">
        <f t="shared" si="24"/>
        <v>4925</v>
      </c>
      <c r="Z42" s="698">
        <f t="shared" si="25"/>
        <v>12383.714285714286</v>
      </c>
      <c r="AA42" s="698">
        <f t="shared" si="26"/>
        <v>2851.1241071428572</v>
      </c>
      <c r="AB42" s="698">
        <f t="shared" si="27"/>
        <v>1685.367857142857</v>
      </c>
      <c r="AC42" s="698">
        <f t="shared" si="28"/>
        <v>6387.0919642857143</v>
      </c>
      <c r="AD42" s="698">
        <f t="shared" si="29"/>
        <v>9990.4571428571417</v>
      </c>
      <c r="AE42" s="699">
        <f t="shared" si="43"/>
        <v>2928</v>
      </c>
      <c r="AF42" s="681"/>
      <c r="AG42" s="1208">
        <f t="shared" si="30"/>
        <v>0</v>
      </c>
      <c r="AH42" s="1209">
        <f t="shared" si="31"/>
        <v>0</v>
      </c>
      <c r="AI42" s="1209">
        <f t="shared" si="32"/>
        <v>0</v>
      </c>
      <c r="AJ42" s="1209">
        <f t="shared" si="33"/>
        <v>0</v>
      </c>
      <c r="AK42" s="1209">
        <f t="shared" si="34"/>
        <v>0</v>
      </c>
      <c r="AL42" s="1209">
        <f t="shared" si="35"/>
        <v>3.561172163872904E-3</v>
      </c>
      <c r="AM42" s="1209">
        <f t="shared" si="36"/>
        <v>0</v>
      </c>
      <c r="AN42" s="1209">
        <f t="shared" si="37"/>
        <v>0</v>
      </c>
      <c r="AO42" s="1209">
        <f t="shared" si="38"/>
        <v>0</v>
      </c>
      <c r="AP42" s="1209">
        <f t="shared" si="39"/>
        <v>0</v>
      </c>
      <c r="AQ42" s="1209">
        <f t="shared" si="40"/>
        <v>0</v>
      </c>
      <c r="AR42" s="1209">
        <f t="shared" si="41"/>
        <v>0</v>
      </c>
      <c r="AS42" s="1209">
        <f t="shared" si="42"/>
        <v>0</v>
      </c>
      <c r="AT42" s="1194">
        <f t="shared" si="56"/>
        <v>0</v>
      </c>
      <c r="AU42" s="1414">
        <v>3</v>
      </c>
      <c r="AV42" s="1415">
        <v>0.6</v>
      </c>
      <c r="CA42" s="17" t="str" cm="1">
        <f t="array" ref="CA42">INDEX(List_comparators,CB42+1)</f>
        <v>cabozantinib_plus_nivolumab</v>
      </c>
      <c r="CB42" s="17">
        <v>1</v>
      </c>
      <c r="CC42" s="17">
        <v>1</v>
      </c>
      <c r="CD42" s="17"/>
      <c r="CE42" s="17"/>
      <c r="CF42" s="17"/>
      <c r="CG42" s="17"/>
      <c r="CH42" s="17"/>
      <c r="CI42" s="17"/>
      <c r="CJ42" s="583"/>
      <c r="CK42" s="583"/>
      <c r="CL42" s="17" t="str">
        <v>Hypertriglyceridemia</v>
      </c>
      <c r="CM42" s="17">
        <v>9</v>
      </c>
      <c r="CN42" s="17">
        <v>0</v>
      </c>
      <c r="CO42" s="17">
        <f t="shared" ca="1" si="0"/>
        <v>0</v>
      </c>
      <c r="CP42" s="17"/>
      <c r="CQ42" s="17">
        <f t="shared" ca="1" si="54"/>
        <v>30333.142857142855</v>
      </c>
      <c r="CR42" s="17">
        <v>0</v>
      </c>
      <c r="CS42" s="17">
        <f t="shared" ca="1" si="55"/>
        <v>0</v>
      </c>
      <c r="CT42" s="17" t="str">
        <f t="shared" si="52"/>
        <v>one-off</v>
      </c>
      <c r="CU42" s="17" t="str">
        <f t="shared" si="53"/>
        <v>Yes</v>
      </c>
      <c r="CV42" s="17">
        <f t="shared" ca="1" si="57"/>
        <v>1.238</v>
      </c>
      <c r="CW42" s="17">
        <f t="shared" ca="1" si="58"/>
        <v>0</v>
      </c>
      <c r="CY42" s="657">
        <v>12</v>
      </c>
      <c r="CZ42" s="17" t="str">
        <f t="shared" si="44"/>
        <v>cabozantinib_plus_nivolumab</v>
      </c>
      <c r="DA42" s="17">
        <f t="shared" si="45"/>
        <v>1</v>
      </c>
      <c r="DB42" s="17">
        <f t="shared" si="46"/>
        <v>1</v>
      </c>
      <c r="DC42" s="17" t="str">
        <f>"G3+ "&amp;$D$41</f>
        <v>G3+ Increase in lipase</v>
      </c>
      <c r="DD42" s="17">
        <f t="shared" ca="1" si="47"/>
        <v>0</v>
      </c>
      <c r="DE42" s="956">
        <f t="shared" ca="1" si="48"/>
        <v>94.791071428571428</v>
      </c>
      <c r="DG42" s="1008">
        <f t="shared" si="50"/>
        <v>655.75</v>
      </c>
      <c r="DH42" s="1009">
        <f t="shared" si="51"/>
        <v>-0.1</v>
      </c>
      <c r="DI42" s="1007">
        <f t="shared" si="49"/>
        <v>3</v>
      </c>
      <c r="DJ42" s="1098">
        <v>4</v>
      </c>
      <c r="DK42" s="1099" t="s">
        <v>582</v>
      </c>
      <c r="DL42" s="1099">
        <v>1</v>
      </c>
      <c r="DM42" s="1100">
        <v>1061.7527092868709</v>
      </c>
      <c r="DN42" s="1101">
        <v>14.363607131311696</v>
      </c>
      <c r="DO42" s="1102">
        <v>-2.6550931441927366E-2</v>
      </c>
    </row>
    <row r="43" spans="4:119" x14ac:dyDescent="0.2">
      <c r="D43" s="673" t="str">
        <v>Leukopenia</v>
      </c>
      <c r="E43" s="679"/>
      <c r="F43" s="679"/>
      <c r="G43" s="679"/>
      <c r="H43" s="679"/>
      <c r="I43" s="679"/>
      <c r="J43" s="679"/>
      <c r="K43" s="679"/>
      <c r="L43" s="679"/>
      <c r="M43" s="679"/>
      <c r="N43" s="679"/>
      <c r="O43" s="679"/>
      <c r="P43" s="679"/>
      <c r="Q43" s="679"/>
      <c r="R43" s="680"/>
      <c r="S43" s="697">
        <f t="shared" si="18"/>
        <v>9709.5625</v>
      </c>
      <c r="T43" s="698">
        <f t="shared" si="19"/>
        <v>30333.142857142855</v>
      </c>
      <c r="U43" s="698">
        <f t="shared" si="20"/>
        <v>17690.709821428572</v>
      </c>
      <c r="V43" s="698">
        <f t="shared" si="21"/>
        <v>26167.553571428572</v>
      </c>
      <c r="W43" s="698">
        <f t="shared" si="22"/>
        <v>25330.087500000001</v>
      </c>
      <c r="X43" s="698">
        <f t="shared" si="23"/>
        <v>19375.642857142855</v>
      </c>
      <c r="Y43" s="699">
        <f t="shared" si="24"/>
        <v>4925</v>
      </c>
      <c r="Z43" s="698">
        <f t="shared" si="25"/>
        <v>12383.714285714286</v>
      </c>
      <c r="AA43" s="698">
        <f t="shared" si="26"/>
        <v>2851.1241071428572</v>
      </c>
      <c r="AB43" s="698">
        <f t="shared" si="27"/>
        <v>1685.367857142857</v>
      </c>
      <c r="AC43" s="698">
        <f t="shared" si="28"/>
        <v>6387.0919642857143</v>
      </c>
      <c r="AD43" s="698">
        <f t="shared" si="29"/>
        <v>9990.4571428571417</v>
      </c>
      <c r="AE43" s="699">
        <f t="shared" si="43"/>
        <v>2928</v>
      </c>
      <c r="AF43" s="681"/>
      <c r="AG43" s="1208">
        <f t="shared" si="30"/>
        <v>0</v>
      </c>
      <c r="AH43" s="1209">
        <f t="shared" si="31"/>
        <v>0</v>
      </c>
      <c r="AI43" s="1209">
        <f t="shared" si="32"/>
        <v>0</v>
      </c>
      <c r="AJ43" s="1209">
        <f t="shared" si="33"/>
        <v>0</v>
      </c>
      <c r="AK43" s="1209">
        <f t="shared" si="34"/>
        <v>0</v>
      </c>
      <c r="AL43" s="1209">
        <f t="shared" si="35"/>
        <v>0</v>
      </c>
      <c r="AM43" s="1209">
        <f t="shared" si="36"/>
        <v>0</v>
      </c>
      <c r="AN43" s="1209">
        <f t="shared" si="37"/>
        <v>0</v>
      </c>
      <c r="AO43" s="1209">
        <f t="shared" si="38"/>
        <v>0</v>
      </c>
      <c r="AP43" s="1209">
        <f t="shared" si="39"/>
        <v>0</v>
      </c>
      <c r="AQ43" s="1209">
        <f t="shared" si="40"/>
        <v>0</v>
      </c>
      <c r="AR43" s="1209">
        <f t="shared" si="41"/>
        <v>0</v>
      </c>
      <c r="AS43" s="1209">
        <f t="shared" si="42"/>
        <v>0</v>
      </c>
      <c r="AT43" s="1194">
        <f t="shared" si="56"/>
        <v>0</v>
      </c>
      <c r="AU43" s="1414">
        <v>3</v>
      </c>
      <c r="AV43" s="1415">
        <v>0.6</v>
      </c>
      <c r="CA43" s="17" t="str" cm="1">
        <f t="array" ref="CA43">INDEX(List_comparators,CB43+1)</f>
        <v>cabozantinib_plus_nivolumab</v>
      </c>
      <c r="CB43" s="17">
        <v>1</v>
      </c>
      <c r="CC43" s="17">
        <v>1</v>
      </c>
      <c r="CD43" s="17"/>
      <c r="CE43" s="17"/>
      <c r="CF43" s="17"/>
      <c r="CG43" s="17"/>
      <c r="CH43" s="17"/>
      <c r="CI43" s="17"/>
      <c r="CJ43" s="583"/>
      <c r="CK43" s="583"/>
      <c r="CL43" s="17" t="str">
        <v>Hyponatraemia</v>
      </c>
      <c r="CM43" s="17">
        <v>10</v>
      </c>
      <c r="CN43" s="17">
        <v>0</v>
      </c>
      <c r="CO43" s="17">
        <f t="shared" ca="1" si="0"/>
        <v>22</v>
      </c>
      <c r="CP43" s="17"/>
      <c r="CQ43" s="17">
        <f t="shared" ca="1" si="54"/>
        <v>30333.142857142855</v>
      </c>
      <c r="CR43" s="17">
        <v>0</v>
      </c>
      <c r="CS43" s="17">
        <f t="shared" ca="1" si="55"/>
        <v>7.2527927961871035E-4</v>
      </c>
      <c r="CT43" s="17" t="str">
        <f t="shared" si="52"/>
        <v>one-off</v>
      </c>
      <c r="CU43" s="17" t="str">
        <f t="shared" si="53"/>
        <v>Yes</v>
      </c>
      <c r="CV43" s="17">
        <f t="shared" ca="1" si="57"/>
        <v>1.238</v>
      </c>
      <c r="CW43" s="17">
        <f t="shared" ca="1" si="58"/>
        <v>1.2996100869805964E-3</v>
      </c>
      <c r="CY43" s="657">
        <v>13</v>
      </c>
      <c r="CZ43" s="17" t="str">
        <f t="shared" si="44"/>
        <v>cabozantinib_plus_nivolumab</v>
      </c>
      <c r="DA43" s="17">
        <f t="shared" si="45"/>
        <v>1</v>
      </c>
      <c r="DB43" s="17">
        <f t="shared" si="46"/>
        <v>1</v>
      </c>
      <c r="DC43" s="17" t="str">
        <f>"G3+ "&amp;$D$42</f>
        <v>G3+ Increased AST</v>
      </c>
      <c r="DD43" s="17">
        <f t="shared" ca="1" si="47"/>
        <v>0</v>
      </c>
      <c r="DE43" s="956">
        <f t="shared" ca="1" si="48"/>
        <v>94.791071428571428</v>
      </c>
      <c r="DG43" s="1008">
        <f t="shared" si="50"/>
        <v>0</v>
      </c>
      <c r="DH43" s="1009">
        <f t="shared" si="51"/>
        <v>-0.1</v>
      </c>
      <c r="DI43" s="1007">
        <f t="shared" si="49"/>
        <v>3</v>
      </c>
      <c r="DJ43" s="1098">
        <v>5</v>
      </c>
      <c r="DK43" s="1099" t="s">
        <v>583</v>
      </c>
      <c r="DL43" s="1099">
        <v>1</v>
      </c>
      <c r="DM43" s="1100">
        <v>1035.5115355308251</v>
      </c>
      <c r="DN43" s="1101">
        <v>17.905743616657517</v>
      </c>
      <c r="DO43" s="1102">
        <v>-2.8352034100163445E-2</v>
      </c>
    </row>
    <row r="44" spans="4:119" x14ac:dyDescent="0.2">
      <c r="D44" s="673" t="str">
        <v>Lymphopenia</v>
      </c>
      <c r="E44" s="679"/>
      <c r="F44" s="679"/>
      <c r="G44" s="679"/>
      <c r="H44" s="679"/>
      <c r="I44" s="679"/>
      <c r="J44" s="679">
        <v>29</v>
      </c>
      <c r="K44" s="679"/>
      <c r="L44" s="679"/>
      <c r="M44" s="679"/>
      <c r="N44" s="679"/>
      <c r="O44" s="679"/>
      <c r="P44" s="679"/>
      <c r="Q44" s="679"/>
      <c r="R44" s="680"/>
      <c r="S44" s="697">
        <f t="shared" si="18"/>
        <v>9709.5625</v>
      </c>
      <c r="T44" s="698">
        <f t="shared" si="19"/>
        <v>30333.142857142855</v>
      </c>
      <c r="U44" s="698">
        <f t="shared" si="20"/>
        <v>17690.709821428572</v>
      </c>
      <c r="V44" s="698">
        <f t="shared" si="21"/>
        <v>26167.553571428572</v>
      </c>
      <c r="W44" s="698">
        <f t="shared" si="22"/>
        <v>25330.087500000001</v>
      </c>
      <c r="X44" s="698">
        <f t="shared" si="23"/>
        <v>19375.642857142855</v>
      </c>
      <c r="Y44" s="699">
        <f t="shared" si="24"/>
        <v>4925</v>
      </c>
      <c r="Z44" s="698">
        <f t="shared" si="25"/>
        <v>12383.714285714286</v>
      </c>
      <c r="AA44" s="698">
        <f t="shared" si="26"/>
        <v>2851.1241071428572</v>
      </c>
      <c r="AB44" s="698">
        <f t="shared" si="27"/>
        <v>1685.367857142857</v>
      </c>
      <c r="AC44" s="698">
        <f t="shared" si="28"/>
        <v>6387.0919642857143</v>
      </c>
      <c r="AD44" s="698">
        <f t="shared" si="29"/>
        <v>9990.4571428571417</v>
      </c>
      <c r="AE44" s="699">
        <f t="shared" si="43"/>
        <v>2928</v>
      </c>
      <c r="AF44" s="681"/>
      <c r="AG44" s="1208">
        <f t="shared" si="30"/>
        <v>0</v>
      </c>
      <c r="AH44" s="1209">
        <f t="shared" si="31"/>
        <v>0</v>
      </c>
      <c r="AI44" s="1209">
        <f t="shared" si="32"/>
        <v>0</v>
      </c>
      <c r="AJ44" s="1209">
        <f t="shared" si="33"/>
        <v>0</v>
      </c>
      <c r="AK44" s="1209">
        <f t="shared" si="34"/>
        <v>0</v>
      </c>
      <c r="AL44" s="1209">
        <f t="shared" si="35"/>
        <v>1.4967245326422351E-3</v>
      </c>
      <c r="AM44" s="1209">
        <f t="shared" si="36"/>
        <v>0</v>
      </c>
      <c r="AN44" s="1209">
        <f t="shared" si="37"/>
        <v>0</v>
      </c>
      <c r="AO44" s="1209">
        <f t="shared" si="38"/>
        <v>0</v>
      </c>
      <c r="AP44" s="1209">
        <f t="shared" si="39"/>
        <v>0</v>
      </c>
      <c r="AQ44" s="1209">
        <f t="shared" si="40"/>
        <v>0</v>
      </c>
      <c r="AR44" s="1209">
        <f t="shared" si="41"/>
        <v>0</v>
      </c>
      <c r="AS44" s="1209">
        <f t="shared" si="42"/>
        <v>0</v>
      </c>
      <c r="AT44" s="1194">
        <f t="shared" si="56"/>
        <v>0</v>
      </c>
      <c r="AU44" s="1414">
        <v>3</v>
      </c>
      <c r="AV44" s="1415">
        <v>0.6</v>
      </c>
      <c r="CA44" s="17" t="str" cm="1">
        <f t="array" ref="CA44">INDEX(List_comparators,CB44+1)</f>
        <v>cabozantinib_plus_nivolumab</v>
      </c>
      <c r="CB44" s="17">
        <v>1</v>
      </c>
      <c r="CC44" s="17">
        <v>1</v>
      </c>
      <c r="CD44" s="17"/>
      <c r="CE44" s="17"/>
      <c r="CF44" s="17"/>
      <c r="CG44" s="17"/>
      <c r="CH44" s="17"/>
      <c r="CI44" s="17"/>
      <c r="CJ44" s="583"/>
      <c r="CK44" s="583"/>
      <c r="CL44" s="17" t="str">
        <v>Hypophosphatemia</v>
      </c>
      <c r="CM44" s="17">
        <v>11</v>
      </c>
      <c r="CN44" s="17">
        <v>0</v>
      </c>
      <c r="CO44" s="17">
        <f t="shared" ca="1" si="0"/>
        <v>19</v>
      </c>
      <c r="CP44" s="17"/>
      <c r="CQ44" s="17">
        <f t="shared" ca="1" si="54"/>
        <v>30333.142857142855</v>
      </c>
      <c r="CR44" s="17">
        <v>0</v>
      </c>
      <c r="CS44" s="17">
        <f t="shared" ca="1" si="55"/>
        <v>6.2637755967070443E-4</v>
      </c>
      <c r="CT44" s="17" t="str">
        <f t="shared" si="52"/>
        <v>one-off</v>
      </c>
      <c r="CU44" s="17" t="str">
        <f t="shared" si="53"/>
        <v>Yes</v>
      </c>
      <c r="CV44" s="17">
        <f t="shared" ca="1" si="57"/>
        <v>1.238</v>
      </c>
      <c r="CW44" s="17">
        <f t="shared" ca="1" si="58"/>
        <v>1.2996100869805964E-3</v>
      </c>
      <c r="CY44" s="657">
        <v>14</v>
      </c>
      <c r="CZ44" s="17" t="str">
        <f t="shared" si="44"/>
        <v>cabozantinib_plus_nivolumab</v>
      </c>
      <c r="DA44" s="17">
        <f t="shared" si="45"/>
        <v>1</v>
      </c>
      <c r="DB44" s="17">
        <f t="shared" si="46"/>
        <v>1</v>
      </c>
      <c r="DC44" s="17" t="str">
        <f>"G3+ "&amp;$D$43</f>
        <v>G3+ Leukopenia</v>
      </c>
      <c r="DD44" s="17">
        <f t="shared" ca="1" si="47"/>
        <v>0</v>
      </c>
      <c r="DE44" s="956">
        <f t="shared" ca="1" si="48"/>
        <v>94.791071428571428</v>
      </c>
      <c r="DG44" s="1008">
        <f t="shared" si="50"/>
        <v>0</v>
      </c>
      <c r="DH44" s="1009">
        <f t="shared" si="51"/>
        <v>-0.1</v>
      </c>
      <c r="DI44" s="1007">
        <f t="shared" si="49"/>
        <v>3</v>
      </c>
      <c r="DJ44" s="1098">
        <v>6</v>
      </c>
      <c r="DK44" s="1099" t="s">
        <v>585</v>
      </c>
      <c r="DL44" s="1099">
        <v>1</v>
      </c>
      <c r="DM44" s="1100">
        <v>511.60827353266905</v>
      </c>
      <c r="DN44" s="1101">
        <v>14.707424701144491</v>
      </c>
      <c r="DO44" s="1102">
        <v>-1.3234391217958432E-2</v>
      </c>
    </row>
    <row r="45" spans="4:119" x14ac:dyDescent="0.2">
      <c r="D45" s="672" t="str">
        <v>Nausea</v>
      </c>
      <c r="E45" s="679"/>
      <c r="F45" s="679"/>
      <c r="G45" s="679"/>
      <c r="H45" s="679"/>
      <c r="I45" s="679"/>
      <c r="J45" s="679"/>
      <c r="K45" s="679"/>
      <c r="L45" s="679"/>
      <c r="M45" s="679"/>
      <c r="N45" s="679">
        <v>3</v>
      </c>
      <c r="O45" s="679"/>
      <c r="P45" s="679"/>
      <c r="Q45" s="679"/>
      <c r="R45" s="680"/>
      <c r="S45" s="697">
        <f t="shared" si="18"/>
        <v>9709.5625</v>
      </c>
      <c r="T45" s="698">
        <f t="shared" si="19"/>
        <v>30333.142857142855</v>
      </c>
      <c r="U45" s="698">
        <f t="shared" si="20"/>
        <v>17690.709821428572</v>
      </c>
      <c r="V45" s="698">
        <f t="shared" si="21"/>
        <v>26167.553571428572</v>
      </c>
      <c r="W45" s="698">
        <f t="shared" si="22"/>
        <v>25330.087500000001</v>
      </c>
      <c r="X45" s="698">
        <f t="shared" si="23"/>
        <v>19375.642857142855</v>
      </c>
      <c r="Y45" s="699">
        <f t="shared" si="24"/>
        <v>4925</v>
      </c>
      <c r="Z45" s="698">
        <f t="shared" si="25"/>
        <v>12383.714285714286</v>
      </c>
      <c r="AA45" s="698">
        <f t="shared" si="26"/>
        <v>2851.1241071428572</v>
      </c>
      <c r="AB45" s="698">
        <f t="shared" si="27"/>
        <v>1685.367857142857</v>
      </c>
      <c r="AC45" s="698">
        <f t="shared" si="28"/>
        <v>6387.0919642857143</v>
      </c>
      <c r="AD45" s="698">
        <f t="shared" si="29"/>
        <v>9990.4571428571417</v>
      </c>
      <c r="AE45" s="699">
        <f t="shared" si="43"/>
        <v>2928</v>
      </c>
      <c r="AF45" s="681"/>
      <c r="AG45" s="1208">
        <f t="shared" si="30"/>
        <v>0</v>
      </c>
      <c r="AH45" s="1209">
        <f t="shared" si="31"/>
        <v>0</v>
      </c>
      <c r="AI45" s="1209">
        <f t="shared" si="32"/>
        <v>0</v>
      </c>
      <c r="AJ45" s="1209">
        <f t="shared" si="33"/>
        <v>0</v>
      </c>
      <c r="AK45" s="1209">
        <f t="shared" si="34"/>
        <v>0</v>
      </c>
      <c r="AL45" s="1209">
        <f t="shared" si="35"/>
        <v>0</v>
      </c>
      <c r="AM45" s="1209">
        <f t="shared" si="36"/>
        <v>0</v>
      </c>
      <c r="AN45" s="1209">
        <f t="shared" si="37"/>
        <v>0</v>
      </c>
      <c r="AO45" s="1209">
        <f t="shared" si="38"/>
        <v>0</v>
      </c>
      <c r="AP45" s="1209">
        <f t="shared" si="39"/>
        <v>1.7800268275471867E-3</v>
      </c>
      <c r="AQ45" s="1209">
        <f t="shared" si="40"/>
        <v>0</v>
      </c>
      <c r="AR45" s="1209">
        <f t="shared" si="41"/>
        <v>0</v>
      </c>
      <c r="AS45" s="1209">
        <f t="shared" si="42"/>
        <v>0</v>
      </c>
      <c r="AT45" s="1194">
        <f t="shared" si="56"/>
        <v>0</v>
      </c>
      <c r="AU45" s="1414">
        <v>3</v>
      </c>
      <c r="AV45" s="1415">
        <v>0.6</v>
      </c>
      <c r="CA45" s="17" t="str" cm="1">
        <f t="array" ref="CA45">INDEX(List_comparators,CB45+1)</f>
        <v>cabozantinib_plus_nivolumab</v>
      </c>
      <c r="CB45" s="17">
        <v>1</v>
      </c>
      <c r="CC45" s="17">
        <v>1</v>
      </c>
      <c r="CD45" s="17"/>
      <c r="CE45" s="17"/>
      <c r="CF45" s="17"/>
      <c r="CG45" s="17"/>
      <c r="CH45" s="17"/>
      <c r="CI45" s="17"/>
      <c r="CJ45" s="583"/>
      <c r="CK45" s="583"/>
      <c r="CL45" s="17" t="str">
        <v>Increase in lipase</v>
      </c>
      <c r="CM45" s="17">
        <v>12</v>
      </c>
      <c r="CN45" s="17">
        <v>0</v>
      </c>
      <c r="CO45" s="17">
        <f t="shared" ca="1" si="0"/>
        <v>0</v>
      </c>
      <c r="CP45" s="17"/>
      <c r="CQ45" s="17">
        <f t="shared" ca="1" si="54"/>
        <v>30333.142857142855</v>
      </c>
      <c r="CR45" s="17">
        <v>0</v>
      </c>
      <c r="CS45" s="17">
        <f t="shared" ca="1" si="55"/>
        <v>0</v>
      </c>
      <c r="CT45" s="17" t="str">
        <f t="shared" si="52"/>
        <v>one-off</v>
      </c>
      <c r="CU45" s="17" t="str">
        <f t="shared" si="53"/>
        <v>Yes</v>
      </c>
      <c r="CV45" s="17">
        <f t="shared" ca="1" si="57"/>
        <v>1.238</v>
      </c>
      <c r="CW45" s="17">
        <f t="shared" ca="1" si="58"/>
        <v>0</v>
      </c>
      <c r="CY45" s="657">
        <v>15</v>
      </c>
      <c r="CZ45" s="17" t="str">
        <f t="shared" si="44"/>
        <v>cabozantinib_plus_nivolumab</v>
      </c>
      <c r="DA45" s="17">
        <f t="shared" si="45"/>
        <v>1</v>
      </c>
      <c r="DB45" s="17">
        <f t="shared" si="46"/>
        <v>1</v>
      </c>
      <c r="DC45" s="17" t="str">
        <f>"G3+ "&amp;$D$44</f>
        <v>G3+ Lymphopenia</v>
      </c>
      <c r="DD45" s="17">
        <f t="shared" ca="1" si="47"/>
        <v>0</v>
      </c>
      <c r="DE45" s="956">
        <f t="shared" ca="1" si="48"/>
        <v>94.791071428571428</v>
      </c>
      <c r="DG45" s="1008">
        <f t="shared" si="50"/>
        <v>679.97</v>
      </c>
      <c r="DH45" s="1009">
        <f t="shared" si="51"/>
        <v>-0.1</v>
      </c>
      <c r="DI45" s="1007">
        <f t="shared" si="49"/>
        <v>3</v>
      </c>
      <c r="DJ45" s="1098">
        <v>7</v>
      </c>
      <c r="DK45" s="1099" t="s">
        <v>319</v>
      </c>
      <c r="DL45" s="1099">
        <v>1</v>
      </c>
      <c r="DM45" s="1100">
        <v>407.93605269805306</v>
      </c>
      <c r="DN45" s="1101">
        <v>14.495189689778536</v>
      </c>
      <c r="DO45" s="1102">
        <v>-7.0530288914696301E-3</v>
      </c>
    </row>
    <row r="46" spans="4:119" x14ac:dyDescent="0.2">
      <c r="D46" s="673" t="str">
        <v>Neutropenia</v>
      </c>
      <c r="E46" s="679"/>
      <c r="F46" s="679"/>
      <c r="G46" s="679"/>
      <c r="H46" s="679"/>
      <c r="I46" s="679"/>
      <c r="J46" s="679"/>
      <c r="K46" s="679"/>
      <c r="L46" s="679"/>
      <c r="M46" s="679"/>
      <c r="N46" s="679"/>
      <c r="O46" s="679"/>
      <c r="P46" s="679"/>
      <c r="Q46" s="679"/>
      <c r="R46" s="680"/>
      <c r="S46" s="697">
        <f t="shared" si="18"/>
        <v>9709.5625</v>
      </c>
      <c r="T46" s="698">
        <f t="shared" si="19"/>
        <v>30333.142857142855</v>
      </c>
      <c r="U46" s="698">
        <f t="shared" si="20"/>
        <v>17690.709821428572</v>
      </c>
      <c r="V46" s="698">
        <f t="shared" si="21"/>
        <v>26167.553571428572</v>
      </c>
      <c r="W46" s="698">
        <f t="shared" si="22"/>
        <v>25330.087500000001</v>
      </c>
      <c r="X46" s="698">
        <f t="shared" si="23"/>
        <v>19375.642857142855</v>
      </c>
      <c r="Y46" s="699">
        <f t="shared" si="24"/>
        <v>4925</v>
      </c>
      <c r="Z46" s="698">
        <f t="shared" si="25"/>
        <v>12383.714285714286</v>
      </c>
      <c r="AA46" s="698">
        <f t="shared" si="26"/>
        <v>2851.1241071428572</v>
      </c>
      <c r="AB46" s="698">
        <f t="shared" si="27"/>
        <v>1685.367857142857</v>
      </c>
      <c r="AC46" s="698">
        <f t="shared" si="28"/>
        <v>6387.0919642857143</v>
      </c>
      <c r="AD46" s="698">
        <f t="shared" si="29"/>
        <v>9990.4571428571417</v>
      </c>
      <c r="AE46" s="699">
        <f t="shared" si="43"/>
        <v>2928</v>
      </c>
      <c r="AF46" s="681"/>
      <c r="AG46" s="1208">
        <f t="shared" si="30"/>
        <v>0</v>
      </c>
      <c r="AH46" s="1209">
        <f t="shared" si="31"/>
        <v>0</v>
      </c>
      <c r="AI46" s="1209">
        <f t="shared" si="32"/>
        <v>0</v>
      </c>
      <c r="AJ46" s="1209">
        <f t="shared" si="33"/>
        <v>0</v>
      </c>
      <c r="AK46" s="1209">
        <f t="shared" si="34"/>
        <v>0</v>
      </c>
      <c r="AL46" s="1209">
        <f t="shared" si="35"/>
        <v>0</v>
      </c>
      <c r="AM46" s="1209">
        <f t="shared" si="36"/>
        <v>0</v>
      </c>
      <c r="AN46" s="1209">
        <f t="shared" si="37"/>
        <v>0</v>
      </c>
      <c r="AO46" s="1209">
        <f t="shared" si="38"/>
        <v>0</v>
      </c>
      <c r="AP46" s="1209">
        <f t="shared" si="39"/>
        <v>0</v>
      </c>
      <c r="AQ46" s="1209">
        <f t="shared" si="40"/>
        <v>0</v>
      </c>
      <c r="AR46" s="1209">
        <f t="shared" si="41"/>
        <v>0</v>
      </c>
      <c r="AS46" s="1209">
        <f t="shared" si="42"/>
        <v>0</v>
      </c>
      <c r="AT46" s="1194">
        <f t="shared" si="56"/>
        <v>0</v>
      </c>
      <c r="AU46" s="1414">
        <v>3</v>
      </c>
      <c r="AV46" s="1415">
        <v>0.6</v>
      </c>
      <c r="CA46" s="17" t="str" cm="1">
        <f t="array" ref="CA46">INDEX(List_comparators,CB46+1)</f>
        <v>cabozantinib_plus_nivolumab</v>
      </c>
      <c r="CB46" s="17">
        <v>1</v>
      </c>
      <c r="CC46" s="17">
        <v>1</v>
      </c>
      <c r="CD46" s="17"/>
      <c r="CE46" s="17"/>
      <c r="CF46" s="17"/>
      <c r="CG46" s="17"/>
      <c r="CH46" s="17"/>
      <c r="CI46" s="17"/>
      <c r="CJ46" s="583"/>
      <c r="CK46" s="583"/>
      <c r="CL46" s="17" t="str">
        <v>Increased AST</v>
      </c>
      <c r="CM46" s="17">
        <v>13</v>
      </c>
      <c r="CN46" s="17">
        <v>0</v>
      </c>
      <c r="CO46" s="17">
        <f t="shared" ca="1" si="0"/>
        <v>0</v>
      </c>
      <c r="CP46" s="17"/>
      <c r="CQ46" s="17">
        <f t="shared" ca="1" si="54"/>
        <v>30333.142857142855</v>
      </c>
      <c r="CR46" s="17">
        <v>0</v>
      </c>
      <c r="CS46" s="17">
        <f t="shared" ca="1" si="55"/>
        <v>0</v>
      </c>
      <c r="CT46" s="17" t="str">
        <f t="shared" si="52"/>
        <v>one-off</v>
      </c>
      <c r="CU46" s="17" t="str">
        <f t="shared" si="53"/>
        <v>Yes</v>
      </c>
      <c r="CV46" s="17">
        <f t="shared" ca="1" si="57"/>
        <v>1.238</v>
      </c>
      <c r="CW46" s="17">
        <f t="shared" ca="1" si="58"/>
        <v>0</v>
      </c>
      <c r="CY46" s="657">
        <v>16</v>
      </c>
      <c r="CZ46" s="17" t="str">
        <f t="shared" si="44"/>
        <v>cabozantinib_plus_nivolumab</v>
      </c>
      <c r="DA46" s="17">
        <f t="shared" si="45"/>
        <v>1</v>
      </c>
      <c r="DB46" s="17">
        <f t="shared" si="46"/>
        <v>1</v>
      </c>
      <c r="DC46" s="17" t="str">
        <f>"G3+ "&amp;$D$45</f>
        <v>G3+ Nausea</v>
      </c>
      <c r="DD46" s="17">
        <f t="shared" ca="1" si="47"/>
        <v>0</v>
      </c>
      <c r="DE46" s="956">
        <f t="shared" ca="1" si="48"/>
        <v>94.791071428571428</v>
      </c>
      <c r="DG46" s="1008">
        <f t="shared" si="50"/>
        <v>801.11</v>
      </c>
      <c r="DH46" s="1009">
        <f t="shared" si="51"/>
        <v>-0.1</v>
      </c>
      <c r="DI46" s="1007">
        <f t="shared" si="49"/>
        <v>3</v>
      </c>
      <c r="DJ46" s="1098">
        <v>8</v>
      </c>
      <c r="DK46" s="1099" t="s">
        <v>117</v>
      </c>
      <c r="DL46" s="1099">
        <v>1</v>
      </c>
      <c r="DM46" s="1100">
        <v>603.81337500000006</v>
      </c>
      <c r="DN46" s="1101">
        <v>15.602772766075262</v>
      </c>
      <c r="DO46" s="1102">
        <v>-1.2975281510951404E-2</v>
      </c>
    </row>
    <row r="47" spans="4:119" x14ac:dyDescent="0.2">
      <c r="D47" s="673" t="str">
        <v>Platelets count decreased</v>
      </c>
      <c r="E47" s="679"/>
      <c r="F47" s="679"/>
      <c r="G47" s="679"/>
      <c r="H47" s="679"/>
      <c r="I47" s="679"/>
      <c r="J47" s="679"/>
      <c r="K47" s="679"/>
      <c r="L47" s="679"/>
      <c r="M47" s="679"/>
      <c r="N47" s="679"/>
      <c r="O47" s="679"/>
      <c r="P47" s="679"/>
      <c r="Q47" s="679"/>
      <c r="R47" s="680"/>
      <c r="S47" s="697">
        <f t="shared" si="18"/>
        <v>9709.5625</v>
      </c>
      <c r="T47" s="698">
        <f t="shared" si="19"/>
        <v>30333.142857142855</v>
      </c>
      <c r="U47" s="698">
        <f t="shared" si="20"/>
        <v>17690.709821428572</v>
      </c>
      <c r="V47" s="698">
        <f t="shared" si="21"/>
        <v>26167.553571428572</v>
      </c>
      <c r="W47" s="698">
        <f t="shared" si="22"/>
        <v>25330.087500000001</v>
      </c>
      <c r="X47" s="698">
        <f t="shared" si="23"/>
        <v>19375.642857142855</v>
      </c>
      <c r="Y47" s="699">
        <f t="shared" si="24"/>
        <v>4925</v>
      </c>
      <c r="Z47" s="698">
        <f t="shared" si="25"/>
        <v>12383.714285714286</v>
      </c>
      <c r="AA47" s="698">
        <f t="shared" si="26"/>
        <v>2851.1241071428572</v>
      </c>
      <c r="AB47" s="698">
        <f t="shared" si="27"/>
        <v>1685.367857142857</v>
      </c>
      <c r="AC47" s="698">
        <f t="shared" si="28"/>
        <v>6387.0919642857143</v>
      </c>
      <c r="AD47" s="698">
        <f t="shared" si="29"/>
        <v>9990.4571428571417</v>
      </c>
      <c r="AE47" s="699">
        <f t="shared" si="43"/>
        <v>2928</v>
      </c>
      <c r="AF47" s="681"/>
      <c r="AG47" s="1208">
        <f t="shared" si="30"/>
        <v>0</v>
      </c>
      <c r="AH47" s="1209">
        <f t="shared" si="31"/>
        <v>0</v>
      </c>
      <c r="AI47" s="1209">
        <f t="shared" si="32"/>
        <v>0</v>
      </c>
      <c r="AJ47" s="1209">
        <f t="shared" si="33"/>
        <v>0</v>
      </c>
      <c r="AK47" s="1209">
        <f t="shared" si="34"/>
        <v>0</v>
      </c>
      <c r="AL47" s="1209">
        <f t="shared" si="35"/>
        <v>0</v>
      </c>
      <c r="AM47" s="1209">
        <f t="shared" si="36"/>
        <v>0</v>
      </c>
      <c r="AN47" s="1209">
        <f t="shared" si="37"/>
        <v>0</v>
      </c>
      <c r="AO47" s="1209">
        <f t="shared" si="38"/>
        <v>0</v>
      </c>
      <c r="AP47" s="1209">
        <f t="shared" si="39"/>
        <v>0</v>
      </c>
      <c r="AQ47" s="1209">
        <f t="shared" si="40"/>
        <v>0</v>
      </c>
      <c r="AR47" s="1209">
        <f t="shared" si="41"/>
        <v>0</v>
      </c>
      <c r="AS47" s="1209">
        <f t="shared" si="42"/>
        <v>0</v>
      </c>
      <c r="AT47" s="1194">
        <f t="shared" si="56"/>
        <v>0</v>
      </c>
      <c r="AU47" s="1414">
        <v>3</v>
      </c>
      <c r="AV47" s="1415">
        <v>0.6</v>
      </c>
      <c r="CA47" s="17" t="str" cm="1">
        <f t="array" ref="CA47">INDEX(List_comparators,CB47+1)</f>
        <v>cabozantinib_plus_nivolumab</v>
      </c>
      <c r="CB47" s="17">
        <v>1</v>
      </c>
      <c r="CC47" s="17">
        <v>1</v>
      </c>
      <c r="CD47" s="17"/>
      <c r="CE47" s="17"/>
      <c r="CF47" s="17"/>
      <c r="CG47" s="17"/>
      <c r="CH47" s="17"/>
      <c r="CI47" s="17"/>
      <c r="CJ47" s="583"/>
      <c r="CK47" s="583"/>
      <c r="CL47" s="17" t="str">
        <v>Leukopenia</v>
      </c>
      <c r="CM47" s="17">
        <v>14</v>
      </c>
      <c r="CN47" s="17">
        <v>0</v>
      </c>
      <c r="CO47" s="17">
        <f t="shared" ca="1" si="0"/>
        <v>0</v>
      </c>
      <c r="CP47" s="17"/>
      <c r="CQ47" s="17">
        <f t="shared" ca="1" si="54"/>
        <v>30333.142857142855</v>
      </c>
      <c r="CR47" s="17">
        <v>0</v>
      </c>
      <c r="CS47" s="17">
        <f t="shared" ca="1" si="55"/>
        <v>0</v>
      </c>
      <c r="CT47" s="17" t="str">
        <f t="shared" si="52"/>
        <v>one-off</v>
      </c>
      <c r="CU47" s="17" t="str">
        <f t="shared" si="53"/>
        <v>Yes</v>
      </c>
      <c r="CV47" s="17">
        <f t="shared" ca="1" si="57"/>
        <v>1.238</v>
      </c>
      <c r="CW47" s="17">
        <f t="shared" ca="1" si="58"/>
        <v>0</v>
      </c>
      <c r="CY47" s="657">
        <v>17</v>
      </c>
      <c r="CZ47" s="17" t="str">
        <f t="shared" si="44"/>
        <v>cabozantinib_plus_nivolumab</v>
      </c>
      <c r="DA47" s="17">
        <f t="shared" si="45"/>
        <v>1</v>
      </c>
      <c r="DB47" s="17">
        <f t="shared" si="46"/>
        <v>1</v>
      </c>
      <c r="DC47" s="17" t="str">
        <f>"G3+ "&amp;$D$46</f>
        <v>G3+ Neutropenia</v>
      </c>
      <c r="DD47" s="17">
        <f t="shared" ca="1" si="47"/>
        <v>0</v>
      </c>
      <c r="DE47" s="956">
        <f t="shared" ca="1" si="48"/>
        <v>94.791071428571428</v>
      </c>
      <c r="DG47" s="1008">
        <f t="shared" si="50"/>
        <v>655.75</v>
      </c>
      <c r="DH47" s="1009">
        <f t="shared" si="51"/>
        <v>-0.1</v>
      </c>
      <c r="DI47" s="1007">
        <f t="shared" si="49"/>
        <v>3</v>
      </c>
      <c r="DJ47" s="1098">
        <v>9</v>
      </c>
      <c r="DK47" s="1099" t="s">
        <v>118</v>
      </c>
      <c r="DL47" s="1099">
        <v>1</v>
      </c>
      <c r="DM47" s="1100">
        <v>731.82916268415761</v>
      </c>
      <c r="DN47" s="1101">
        <v>20.277792786082895</v>
      </c>
      <c r="DO47" s="1102">
        <v>-1.6611416978224977E-2</v>
      </c>
    </row>
    <row r="48" spans="4:119" x14ac:dyDescent="0.2">
      <c r="D48" s="673" t="str">
        <v>Proteinuria</v>
      </c>
      <c r="E48" s="679"/>
      <c r="F48" s="679"/>
      <c r="G48" s="679"/>
      <c r="H48" s="679">
        <v>28</v>
      </c>
      <c r="I48" s="679"/>
      <c r="J48" s="679"/>
      <c r="K48" s="679"/>
      <c r="L48" s="679"/>
      <c r="M48" s="679"/>
      <c r="N48" s="679"/>
      <c r="O48" s="679"/>
      <c r="P48" s="679"/>
      <c r="Q48" s="679"/>
      <c r="R48" s="680"/>
      <c r="S48" s="697">
        <f t="shared" si="18"/>
        <v>9709.5625</v>
      </c>
      <c r="T48" s="698">
        <f t="shared" si="19"/>
        <v>30333.142857142855</v>
      </c>
      <c r="U48" s="698">
        <f t="shared" si="20"/>
        <v>17690.709821428572</v>
      </c>
      <c r="V48" s="698">
        <f t="shared" si="21"/>
        <v>26167.553571428572</v>
      </c>
      <c r="W48" s="698">
        <f t="shared" si="22"/>
        <v>25330.087500000001</v>
      </c>
      <c r="X48" s="698">
        <f t="shared" si="23"/>
        <v>19375.642857142855</v>
      </c>
      <c r="Y48" s="699">
        <f t="shared" si="24"/>
        <v>4925</v>
      </c>
      <c r="Z48" s="698">
        <f t="shared" si="25"/>
        <v>12383.714285714286</v>
      </c>
      <c r="AA48" s="698">
        <f t="shared" si="26"/>
        <v>2851.1241071428572</v>
      </c>
      <c r="AB48" s="698">
        <f t="shared" si="27"/>
        <v>1685.367857142857</v>
      </c>
      <c r="AC48" s="698">
        <f t="shared" si="28"/>
        <v>6387.0919642857143</v>
      </c>
      <c r="AD48" s="698">
        <f t="shared" si="29"/>
        <v>9990.4571428571417</v>
      </c>
      <c r="AE48" s="699">
        <f t="shared" si="43"/>
        <v>2928</v>
      </c>
      <c r="AF48" s="681"/>
      <c r="AG48" s="1208">
        <f t="shared" si="30"/>
        <v>0</v>
      </c>
      <c r="AH48" s="1209">
        <f t="shared" si="31"/>
        <v>0</v>
      </c>
      <c r="AI48" s="1209">
        <f t="shared" si="32"/>
        <v>0</v>
      </c>
      <c r="AJ48" s="1209">
        <f t="shared" si="33"/>
        <v>1.0700274262769528E-3</v>
      </c>
      <c r="AK48" s="1209">
        <f t="shared" si="34"/>
        <v>0</v>
      </c>
      <c r="AL48" s="1209">
        <f t="shared" si="35"/>
        <v>0</v>
      </c>
      <c r="AM48" s="1209">
        <f t="shared" si="36"/>
        <v>0</v>
      </c>
      <c r="AN48" s="1209">
        <f t="shared" si="37"/>
        <v>0</v>
      </c>
      <c r="AO48" s="1209">
        <f t="shared" si="38"/>
        <v>0</v>
      </c>
      <c r="AP48" s="1209">
        <f t="shared" si="39"/>
        <v>0</v>
      </c>
      <c r="AQ48" s="1209">
        <f t="shared" si="40"/>
        <v>0</v>
      </c>
      <c r="AR48" s="1209">
        <f t="shared" si="41"/>
        <v>0</v>
      </c>
      <c r="AS48" s="1209">
        <f t="shared" si="42"/>
        <v>0</v>
      </c>
      <c r="AT48" s="1194">
        <f t="shared" si="56"/>
        <v>0</v>
      </c>
      <c r="AU48" s="1414">
        <v>3</v>
      </c>
      <c r="AV48" s="1415">
        <v>0.6</v>
      </c>
      <c r="CA48" s="17" t="str" cm="1">
        <f t="array" ref="CA48">INDEX(List_comparators,CB48+1)</f>
        <v>cabozantinib_plus_nivolumab</v>
      </c>
      <c r="CB48" s="17">
        <v>1</v>
      </c>
      <c r="CC48" s="17">
        <v>1</v>
      </c>
      <c r="CD48" s="17"/>
      <c r="CE48" s="17"/>
      <c r="CF48" s="17"/>
      <c r="CG48" s="17"/>
      <c r="CH48" s="17"/>
      <c r="CI48" s="17"/>
      <c r="CJ48" s="583"/>
      <c r="CK48" s="583"/>
      <c r="CL48" s="17" t="str">
        <v>Lymphopenia</v>
      </c>
      <c r="CM48" s="17">
        <v>15</v>
      </c>
      <c r="CN48" s="17">
        <v>0</v>
      </c>
      <c r="CO48" s="17">
        <f t="shared" ca="1" si="0"/>
        <v>0</v>
      </c>
      <c r="CP48" s="17"/>
      <c r="CQ48" s="17">
        <f t="shared" ca="1" si="54"/>
        <v>30333.142857142855</v>
      </c>
      <c r="CR48" s="17">
        <v>0</v>
      </c>
      <c r="CS48" s="17">
        <f t="shared" ca="1" si="55"/>
        <v>0</v>
      </c>
      <c r="CT48" s="17" t="str">
        <f t="shared" si="52"/>
        <v>one-off</v>
      </c>
      <c r="CU48" s="17" t="str">
        <f t="shared" si="53"/>
        <v>Yes</v>
      </c>
      <c r="CV48" s="17">
        <f t="shared" ca="1" si="57"/>
        <v>1.238</v>
      </c>
      <c r="CW48" s="17">
        <f t="shared" ca="1" si="58"/>
        <v>0</v>
      </c>
      <c r="CY48" s="657">
        <v>18</v>
      </c>
      <c r="CZ48" s="17" t="str">
        <f t="shared" si="44"/>
        <v>cabozantinib_plus_nivolumab</v>
      </c>
      <c r="DA48" s="17">
        <f t="shared" si="45"/>
        <v>1</v>
      </c>
      <c r="DB48" s="17">
        <f t="shared" si="46"/>
        <v>1</v>
      </c>
      <c r="DC48" s="17" t="str">
        <f>"G3+ "&amp;$D$47</f>
        <v>G3+ Platelets count decreased</v>
      </c>
      <c r="DD48" s="17">
        <f t="shared" ca="1" si="47"/>
        <v>0</v>
      </c>
      <c r="DE48" s="956">
        <f t="shared" ca="1" si="48"/>
        <v>94.791071428571428</v>
      </c>
      <c r="DG48" s="1008">
        <f t="shared" si="50"/>
        <v>801.11</v>
      </c>
      <c r="DH48" s="1009">
        <f t="shared" si="51"/>
        <v>-0.1</v>
      </c>
      <c r="DI48" s="1007">
        <f t="shared" si="49"/>
        <v>3</v>
      </c>
      <c r="DJ48" s="1103">
        <v>10</v>
      </c>
      <c r="DK48" s="1099" t="s">
        <v>333</v>
      </c>
      <c r="DL48" s="1099">
        <v>2</v>
      </c>
      <c r="DM48" s="1100">
        <v>942.87062078300573</v>
      </c>
      <c r="DN48" s="1101">
        <v>28.531694998296942</v>
      </c>
      <c r="DO48" s="1102">
        <v>-2.4928050822111584E-2</v>
      </c>
    </row>
    <row r="49" spans="4:119" x14ac:dyDescent="0.2">
      <c r="D49" s="673" t="str">
        <v>Stomatitis</v>
      </c>
      <c r="E49" s="679"/>
      <c r="F49" s="679"/>
      <c r="G49" s="679"/>
      <c r="H49" s="679"/>
      <c r="I49" s="679"/>
      <c r="J49" s="679"/>
      <c r="K49" s="679"/>
      <c r="L49" s="679"/>
      <c r="M49" s="679">
        <v>4</v>
      </c>
      <c r="N49" s="679"/>
      <c r="O49" s="679"/>
      <c r="P49" s="679"/>
      <c r="Q49" s="679"/>
      <c r="R49" s="680"/>
      <c r="S49" s="697">
        <f t="shared" si="18"/>
        <v>9709.5625</v>
      </c>
      <c r="T49" s="698">
        <f t="shared" si="19"/>
        <v>30333.142857142855</v>
      </c>
      <c r="U49" s="698">
        <f t="shared" si="20"/>
        <v>17690.709821428572</v>
      </c>
      <c r="V49" s="698">
        <f t="shared" si="21"/>
        <v>26167.553571428572</v>
      </c>
      <c r="W49" s="698">
        <f t="shared" si="22"/>
        <v>25330.087500000001</v>
      </c>
      <c r="X49" s="698">
        <f t="shared" si="23"/>
        <v>19375.642857142855</v>
      </c>
      <c r="Y49" s="699">
        <f t="shared" si="24"/>
        <v>4925</v>
      </c>
      <c r="Z49" s="698">
        <f t="shared" si="25"/>
        <v>12383.714285714286</v>
      </c>
      <c r="AA49" s="698">
        <f t="shared" si="26"/>
        <v>2851.1241071428572</v>
      </c>
      <c r="AB49" s="698">
        <f t="shared" si="27"/>
        <v>1685.367857142857</v>
      </c>
      <c r="AC49" s="698">
        <f t="shared" si="28"/>
        <v>6387.0919642857143</v>
      </c>
      <c r="AD49" s="698">
        <f t="shared" si="29"/>
        <v>9990.4571428571417</v>
      </c>
      <c r="AE49" s="699">
        <f t="shared" si="43"/>
        <v>2928</v>
      </c>
      <c r="AF49" s="681"/>
      <c r="AG49" s="1208">
        <f t="shared" si="30"/>
        <v>0</v>
      </c>
      <c r="AH49" s="1209">
        <f t="shared" si="31"/>
        <v>0</v>
      </c>
      <c r="AI49" s="1209">
        <f t="shared" si="32"/>
        <v>0</v>
      </c>
      <c r="AJ49" s="1209">
        <f t="shared" si="33"/>
        <v>0</v>
      </c>
      <c r="AK49" s="1209">
        <f t="shared" si="34"/>
        <v>0</v>
      </c>
      <c r="AL49" s="1209">
        <f t="shared" si="35"/>
        <v>0</v>
      </c>
      <c r="AM49" s="1209">
        <f t="shared" si="36"/>
        <v>0</v>
      </c>
      <c r="AN49" s="1209">
        <f t="shared" si="37"/>
        <v>0</v>
      </c>
      <c r="AO49" s="1209">
        <f t="shared" si="38"/>
        <v>1.4029554132627513E-3</v>
      </c>
      <c r="AP49" s="1209">
        <f t="shared" si="39"/>
        <v>0</v>
      </c>
      <c r="AQ49" s="1209">
        <f t="shared" si="40"/>
        <v>0</v>
      </c>
      <c r="AR49" s="1209">
        <f t="shared" si="41"/>
        <v>0</v>
      </c>
      <c r="AS49" s="1209">
        <f t="shared" si="42"/>
        <v>0</v>
      </c>
      <c r="AT49" s="1194">
        <f t="shared" si="56"/>
        <v>0</v>
      </c>
      <c r="AU49" s="1414">
        <v>3</v>
      </c>
      <c r="AV49" s="1415">
        <v>0.6</v>
      </c>
      <c r="CA49" s="17" t="str" cm="1">
        <f t="array" ref="CA49">INDEX(List_comparators,CB49+1)</f>
        <v>cabozantinib_plus_nivolumab</v>
      </c>
      <c r="CB49" s="17">
        <v>1</v>
      </c>
      <c r="CC49" s="17">
        <v>1</v>
      </c>
      <c r="CD49" s="17"/>
      <c r="CE49" s="17"/>
      <c r="CF49" s="17"/>
      <c r="CG49" s="17"/>
      <c r="CH49" s="17"/>
      <c r="CI49" s="17"/>
      <c r="CJ49" s="583"/>
      <c r="CK49" s="583"/>
      <c r="CL49" s="17" t="str">
        <v>Nausea</v>
      </c>
      <c r="CM49" s="17">
        <v>16</v>
      </c>
      <c r="CN49" s="17">
        <v>0</v>
      </c>
      <c r="CO49" s="17">
        <f t="shared" ca="1" si="0"/>
        <v>0</v>
      </c>
      <c r="CP49" s="17"/>
      <c r="CQ49" s="17">
        <f t="shared" ca="1" si="54"/>
        <v>30333.142857142855</v>
      </c>
      <c r="CR49" s="17">
        <v>0</v>
      </c>
      <c r="CS49" s="17">
        <f t="shared" ca="1" si="55"/>
        <v>0</v>
      </c>
      <c r="CT49" s="17" t="str">
        <f t="shared" si="52"/>
        <v>one-off</v>
      </c>
      <c r="CU49" s="17" t="str">
        <f t="shared" si="53"/>
        <v>Yes</v>
      </c>
      <c r="CV49" s="17">
        <f t="shared" ca="1" si="57"/>
        <v>1.238</v>
      </c>
      <c r="CW49" s="17">
        <f t="shared" ca="1" si="58"/>
        <v>0</v>
      </c>
      <c r="CY49" s="657">
        <v>19</v>
      </c>
      <c r="CZ49" s="17" t="str">
        <f t="shared" si="44"/>
        <v>cabozantinib_plus_nivolumab</v>
      </c>
      <c r="DA49" s="17">
        <f t="shared" si="45"/>
        <v>1</v>
      </c>
      <c r="DB49" s="17">
        <f t="shared" si="46"/>
        <v>1</v>
      </c>
      <c r="DC49" s="17" t="str">
        <f>"G3+ "&amp;$D$48</f>
        <v>G3+ Proteinuria</v>
      </c>
      <c r="DD49" s="17">
        <f t="shared" ca="1" si="47"/>
        <v>0</v>
      </c>
      <c r="DE49" s="956">
        <f t="shared" ca="1" si="48"/>
        <v>94.791071428571428</v>
      </c>
      <c r="DG49" s="1008">
        <f t="shared" si="50"/>
        <v>220.87</v>
      </c>
      <c r="DH49" s="1009">
        <f t="shared" si="51"/>
        <v>-0.1</v>
      </c>
      <c r="DI49" s="1007">
        <f t="shared" si="49"/>
        <v>3</v>
      </c>
      <c r="DJ49" s="1098">
        <v>11</v>
      </c>
      <c r="DK49" s="1099" t="s">
        <v>119</v>
      </c>
      <c r="DL49" s="1099">
        <v>2</v>
      </c>
      <c r="DM49" s="1100">
        <v>332.87538337531487</v>
      </c>
      <c r="DN49" s="1101">
        <v>20.690406203471483</v>
      </c>
      <c r="DO49" s="1102">
        <v>-3.7850659604804684E-3</v>
      </c>
    </row>
    <row r="50" spans="4:119" x14ac:dyDescent="0.2">
      <c r="D50" s="673" t="str">
        <v>Vomiting</v>
      </c>
      <c r="E50" s="679"/>
      <c r="F50" s="679"/>
      <c r="G50" s="679"/>
      <c r="H50" s="679"/>
      <c r="I50" s="679"/>
      <c r="J50" s="679"/>
      <c r="K50" s="679"/>
      <c r="L50" s="679"/>
      <c r="M50" s="679"/>
      <c r="N50" s="679">
        <v>3</v>
      </c>
      <c r="O50" s="679"/>
      <c r="P50" s="679"/>
      <c r="Q50" s="679"/>
      <c r="R50" s="680"/>
      <c r="S50" s="697">
        <f t="shared" si="18"/>
        <v>9709.5625</v>
      </c>
      <c r="T50" s="698">
        <f t="shared" si="19"/>
        <v>30333.142857142855</v>
      </c>
      <c r="U50" s="698">
        <f t="shared" si="20"/>
        <v>17690.709821428572</v>
      </c>
      <c r="V50" s="698">
        <f t="shared" si="21"/>
        <v>26167.553571428572</v>
      </c>
      <c r="W50" s="698">
        <f t="shared" si="22"/>
        <v>25330.087500000001</v>
      </c>
      <c r="X50" s="698">
        <f t="shared" si="23"/>
        <v>19375.642857142855</v>
      </c>
      <c r="Y50" s="699">
        <f t="shared" si="24"/>
        <v>4925</v>
      </c>
      <c r="Z50" s="698">
        <f t="shared" si="25"/>
        <v>12383.714285714286</v>
      </c>
      <c r="AA50" s="698">
        <f t="shared" si="26"/>
        <v>2851.1241071428572</v>
      </c>
      <c r="AB50" s="698">
        <f t="shared" si="27"/>
        <v>1685.367857142857</v>
      </c>
      <c r="AC50" s="698">
        <f t="shared" si="28"/>
        <v>6387.0919642857143</v>
      </c>
      <c r="AD50" s="698">
        <f t="shared" si="29"/>
        <v>9990.4571428571417</v>
      </c>
      <c r="AE50" s="699">
        <f t="shared" si="43"/>
        <v>2928</v>
      </c>
      <c r="AF50" s="681"/>
      <c r="AG50" s="1208">
        <f>IFERROR(E50/S50,0)</f>
        <v>0</v>
      </c>
      <c r="AH50" s="1209">
        <f t="shared" ref="AH50:AS50" si="59">IFERROR(F50/T50,0)</f>
        <v>0</v>
      </c>
      <c r="AI50" s="1209">
        <f t="shared" si="59"/>
        <v>0</v>
      </c>
      <c r="AJ50" s="1209">
        <f t="shared" si="59"/>
        <v>0</v>
      </c>
      <c r="AK50" s="1209">
        <f t="shared" si="59"/>
        <v>0</v>
      </c>
      <c r="AL50" s="1209">
        <f t="shared" si="59"/>
        <v>0</v>
      </c>
      <c r="AM50" s="1209">
        <f t="shared" si="59"/>
        <v>0</v>
      </c>
      <c r="AN50" s="1209">
        <f t="shared" si="59"/>
        <v>0</v>
      </c>
      <c r="AO50" s="1209">
        <f t="shared" si="59"/>
        <v>0</v>
      </c>
      <c r="AP50" s="1209">
        <f t="shared" si="59"/>
        <v>1.7800268275471867E-3</v>
      </c>
      <c r="AQ50" s="1209">
        <f t="shared" si="59"/>
        <v>0</v>
      </c>
      <c r="AR50" s="1209">
        <f t="shared" si="59"/>
        <v>0</v>
      </c>
      <c r="AS50" s="1209">
        <f t="shared" si="59"/>
        <v>0</v>
      </c>
      <c r="AT50" s="1194">
        <f t="shared" si="56"/>
        <v>0</v>
      </c>
      <c r="AU50" s="1414">
        <v>3</v>
      </c>
      <c r="AV50" s="1415">
        <v>0.6</v>
      </c>
      <c r="CA50" s="17" t="str" cm="1">
        <f t="array" ref="CA50">INDEX(List_comparators,CB50+1)</f>
        <v>cabozantinib_plus_nivolumab</v>
      </c>
      <c r="CB50" s="17">
        <v>1</v>
      </c>
      <c r="CC50" s="17">
        <v>1</v>
      </c>
      <c r="CD50" s="17"/>
      <c r="CE50" s="17"/>
      <c r="CF50" s="17"/>
      <c r="CG50" s="17"/>
      <c r="CH50" s="17"/>
      <c r="CI50" s="17"/>
      <c r="CJ50" s="583"/>
      <c r="CK50" s="583"/>
      <c r="CL50" s="17" t="str">
        <v>Neutropenia</v>
      </c>
      <c r="CM50" s="17">
        <v>17</v>
      </c>
      <c r="CN50" s="17">
        <v>0</v>
      </c>
      <c r="CO50" s="17">
        <f t="shared" ca="1" si="0"/>
        <v>0</v>
      </c>
      <c r="CP50" s="17"/>
      <c r="CQ50" s="17">
        <f t="shared" ca="1" si="54"/>
        <v>30333.142857142855</v>
      </c>
      <c r="CR50" s="17">
        <v>0</v>
      </c>
      <c r="CS50" s="17">
        <f t="shared" ca="1" si="55"/>
        <v>0</v>
      </c>
      <c r="CT50" s="17" t="str">
        <f t="shared" si="52"/>
        <v>one-off</v>
      </c>
      <c r="CU50" s="17" t="str">
        <f t="shared" si="53"/>
        <v>Yes</v>
      </c>
      <c r="CV50" s="17">
        <f t="shared" ca="1" si="57"/>
        <v>1.238</v>
      </c>
      <c r="CW50" s="17">
        <f t="shared" ca="1" si="58"/>
        <v>0</v>
      </c>
      <c r="CY50" s="657">
        <v>20</v>
      </c>
      <c r="CZ50" s="17" t="str">
        <f t="shared" si="44"/>
        <v>cabozantinib_plus_nivolumab</v>
      </c>
      <c r="DA50" s="17">
        <f t="shared" si="45"/>
        <v>1</v>
      </c>
      <c r="DB50" s="17">
        <f t="shared" si="46"/>
        <v>1</v>
      </c>
      <c r="DC50" s="17" t="str">
        <f>"G3+ "&amp;$D$49</f>
        <v>G3+ Stomatitis</v>
      </c>
      <c r="DD50" s="17">
        <f t="shared" ca="1" si="47"/>
        <v>0</v>
      </c>
      <c r="DE50" s="956">
        <f t="shared" ca="1" si="48"/>
        <v>94.791071428571428</v>
      </c>
      <c r="DG50" s="1008">
        <f t="shared" si="50"/>
        <v>801.11</v>
      </c>
      <c r="DH50" s="1009">
        <f t="shared" si="51"/>
        <v>-0.1</v>
      </c>
      <c r="DI50" s="1007">
        <f t="shared" si="49"/>
        <v>3</v>
      </c>
      <c r="DJ50" s="1098">
        <v>12</v>
      </c>
      <c r="DK50" s="1099" t="s">
        <v>327</v>
      </c>
      <c r="DL50" s="1099">
        <v>2</v>
      </c>
      <c r="DM50" s="1100">
        <v>407.93605269805306</v>
      </c>
      <c r="DN50" s="1101">
        <v>14.495189689778536</v>
      </c>
      <c r="DO50" s="1102">
        <v>-7.0530288914696301E-3</v>
      </c>
    </row>
    <row r="51" spans="4:119" x14ac:dyDescent="0.2">
      <c r="D51" s="719" t="str">
        <v>Weight loss</v>
      </c>
      <c r="E51" s="679"/>
      <c r="F51" s="679"/>
      <c r="G51" s="679"/>
      <c r="H51" s="679">
        <v>28</v>
      </c>
      <c r="I51" s="679"/>
      <c r="J51" s="679"/>
      <c r="K51" s="679"/>
      <c r="L51" s="679"/>
      <c r="M51" s="679"/>
      <c r="N51" s="679"/>
      <c r="O51" s="679"/>
      <c r="P51" s="679"/>
      <c r="Q51" s="679"/>
      <c r="R51" s="680"/>
      <c r="S51" s="697">
        <f t="shared" si="18"/>
        <v>9709.5625</v>
      </c>
      <c r="T51" s="698">
        <f t="shared" si="19"/>
        <v>30333.142857142855</v>
      </c>
      <c r="U51" s="698">
        <f t="shared" si="20"/>
        <v>17690.709821428572</v>
      </c>
      <c r="V51" s="698">
        <f t="shared" si="21"/>
        <v>26167.553571428572</v>
      </c>
      <c r="W51" s="698">
        <f t="shared" si="22"/>
        <v>25330.087500000001</v>
      </c>
      <c r="X51" s="698">
        <f t="shared" si="23"/>
        <v>19375.642857142855</v>
      </c>
      <c r="Y51" s="699">
        <f t="shared" si="24"/>
        <v>4925</v>
      </c>
      <c r="Z51" s="698">
        <f t="shared" si="25"/>
        <v>12383.714285714286</v>
      </c>
      <c r="AA51" s="698">
        <f t="shared" si="26"/>
        <v>2851.1241071428572</v>
      </c>
      <c r="AB51" s="698">
        <f t="shared" si="27"/>
        <v>1685.367857142857</v>
      </c>
      <c r="AC51" s="698">
        <f t="shared" si="28"/>
        <v>6387.0919642857143</v>
      </c>
      <c r="AD51" s="698">
        <f t="shared" si="29"/>
        <v>9990.4571428571417</v>
      </c>
      <c r="AE51" s="699">
        <f t="shared" si="43"/>
        <v>2928</v>
      </c>
      <c r="AF51" s="681"/>
      <c r="AG51" s="1192">
        <f>IFERROR(E51/S51,0)</f>
        <v>0</v>
      </c>
      <c r="AH51" s="1209">
        <f t="shared" ref="AH51:AS51" si="60">IFERROR(F51/T51,0)</f>
        <v>0</v>
      </c>
      <c r="AI51" s="1209">
        <f t="shared" si="60"/>
        <v>0</v>
      </c>
      <c r="AJ51" s="1209">
        <f t="shared" si="60"/>
        <v>1.0700274262769528E-3</v>
      </c>
      <c r="AK51" s="1209">
        <f t="shared" si="60"/>
        <v>0</v>
      </c>
      <c r="AL51" s="1209">
        <f t="shared" si="60"/>
        <v>0</v>
      </c>
      <c r="AM51" s="1209">
        <f t="shared" si="60"/>
        <v>0</v>
      </c>
      <c r="AN51" s="1209">
        <f t="shared" si="60"/>
        <v>0</v>
      </c>
      <c r="AO51" s="1209">
        <f t="shared" si="60"/>
        <v>0</v>
      </c>
      <c r="AP51" s="1209">
        <f t="shared" si="60"/>
        <v>0</v>
      </c>
      <c r="AQ51" s="1209">
        <f t="shared" si="60"/>
        <v>0</v>
      </c>
      <c r="AR51" s="1209">
        <f t="shared" si="60"/>
        <v>0</v>
      </c>
      <c r="AS51" s="1209">
        <f t="shared" si="60"/>
        <v>0</v>
      </c>
      <c r="AT51" s="1194">
        <f t="shared" si="56"/>
        <v>0</v>
      </c>
      <c r="AU51" s="1414">
        <v>3</v>
      </c>
      <c r="AV51" s="1415">
        <v>0.6</v>
      </c>
      <c r="CA51" s="17" t="str" cm="1">
        <f t="array" ref="CA51">INDEX(List_comparators,CB51+1)</f>
        <v>cabozantinib_plus_nivolumab</v>
      </c>
      <c r="CB51" s="17">
        <v>1</v>
      </c>
      <c r="CC51" s="17">
        <v>1</v>
      </c>
      <c r="CD51" s="17"/>
      <c r="CE51" s="17"/>
      <c r="CF51" s="17"/>
      <c r="CG51" s="17"/>
      <c r="CH51" s="17"/>
      <c r="CI51" s="17"/>
      <c r="CJ51" s="583"/>
      <c r="CK51" s="583"/>
      <c r="CL51" s="17" t="str">
        <v>Platelets count decreased</v>
      </c>
      <c r="CM51" s="17">
        <v>18</v>
      </c>
      <c r="CN51" s="17">
        <v>0</v>
      </c>
      <c r="CO51" s="17">
        <f t="shared" ca="1" si="0"/>
        <v>0</v>
      </c>
      <c r="CP51" s="17"/>
      <c r="CQ51" s="17">
        <f t="shared" ca="1" si="54"/>
        <v>30333.142857142855</v>
      </c>
      <c r="CR51" s="17">
        <v>0</v>
      </c>
      <c r="CS51" s="17">
        <f t="shared" ca="1" si="55"/>
        <v>0</v>
      </c>
      <c r="CT51" s="17" t="str">
        <f t="shared" si="52"/>
        <v>one-off</v>
      </c>
      <c r="CU51" s="17" t="str">
        <f t="shared" si="53"/>
        <v>Yes</v>
      </c>
      <c r="CV51" s="17">
        <f t="shared" ca="1" si="57"/>
        <v>1.238</v>
      </c>
      <c r="CW51" s="17">
        <f t="shared" ca="1" si="58"/>
        <v>0</v>
      </c>
      <c r="CY51" s="657">
        <v>21</v>
      </c>
      <c r="CZ51" s="17" t="str">
        <f t="shared" si="44"/>
        <v>cabozantinib_plus_nivolumab</v>
      </c>
      <c r="DA51" s="17">
        <f t="shared" si="45"/>
        <v>1</v>
      </c>
      <c r="DB51" s="17">
        <f t="shared" si="46"/>
        <v>1</v>
      </c>
      <c r="DC51" s="17" t="str">
        <f>"G3+ "&amp;$D$50</f>
        <v>G3+ Vomiting</v>
      </c>
      <c r="DD51" s="17">
        <f t="shared" ca="1" si="47"/>
        <v>0</v>
      </c>
      <c r="DE51" s="956">
        <f t="shared" ca="1" si="48"/>
        <v>94.791071428571428</v>
      </c>
      <c r="DG51" s="1008">
        <f t="shared" si="50"/>
        <v>801.11</v>
      </c>
      <c r="DH51" s="1009">
        <f t="shared" si="51"/>
        <v>-0.1</v>
      </c>
      <c r="DI51" s="1007">
        <f t="shared" si="49"/>
        <v>3</v>
      </c>
      <c r="DJ51" s="1098">
        <v>9</v>
      </c>
      <c r="DK51" s="1099" t="s">
        <v>118</v>
      </c>
      <c r="DL51" s="1099">
        <v>2</v>
      </c>
      <c r="DM51" s="1100">
        <v>743.64929980338343</v>
      </c>
      <c r="DN51" s="1101">
        <v>20.605309511882176</v>
      </c>
      <c r="DO51" s="1102">
        <v>-1.7163992468050601E-2</v>
      </c>
    </row>
    <row r="52" spans="4:119" ht="15.75" thickBot="1" x14ac:dyDescent="0.25">
      <c r="D52" s="493"/>
      <c r="E52" s="717"/>
      <c r="F52" s="717"/>
      <c r="G52" s="717"/>
      <c r="H52" s="717"/>
      <c r="I52" s="717"/>
      <c r="J52" s="717"/>
      <c r="K52" s="717"/>
      <c r="L52" s="717"/>
      <c r="M52" s="717"/>
      <c r="N52" s="717"/>
      <c r="O52" s="717"/>
      <c r="P52" s="717"/>
      <c r="Q52" s="717"/>
      <c r="R52" s="718"/>
      <c r="S52" s="700"/>
      <c r="T52" s="701"/>
      <c r="U52" s="702"/>
      <c r="V52" s="702"/>
      <c r="W52" s="702"/>
      <c r="X52" s="702"/>
      <c r="Y52" s="702"/>
      <c r="Z52" s="701"/>
      <c r="AA52" s="702"/>
      <c r="AB52" s="702"/>
      <c r="AC52" s="702"/>
      <c r="AD52" s="702"/>
      <c r="AE52" s="702"/>
      <c r="AF52" s="587"/>
      <c r="AG52" s="1210"/>
      <c r="AH52" s="1210"/>
      <c r="AI52" s="1210"/>
      <c r="AJ52" s="1210"/>
      <c r="AK52" s="1210"/>
      <c r="AL52" s="1210"/>
      <c r="AM52" s="1210"/>
      <c r="AN52" s="1210"/>
      <c r="AO52" s="1210"/>
      <c r="AP52" s="1210"/>
      <c r="AQ52" s="1210"/>
      <c r="AR52" s="1210"/>
      <c r="AS52" s="1210"/>
      <c r="AT52" s="1211"/>
      <c r="AU52" s="588"/>
      <c r="AV52" s="430"/>
      <c r="CA52" s="17" t="str" cm="1">
        <f t="array" ref="CA52">INDEX(List_comparators,CB52+1)</f>
        <v>cabozantinib_plus_nivolumab</v>
      </c>
      <c r="CB52" s="17">
        <v>1</v>
      </c>
      <c r="CC52" s="17">
        <v>1</v>
      </c>
      <c r="CD52" s="17"/>
      <c r="CE52" s="17"/>
      <c r="CF52" s="17"/>
      <c r="CG52" s="17"/>
      <c r="CH52" s="17"/>
      <c r="CI52" s="17"/>
      <c r="CJ52" s="583"/>
      <c r="CK52" s="583"/>
      <c r="CL52" s="17" t="str">
        <v>Proteinuria</v>
      </c>
      <c r="CM52" s="17">
        <v>19</v>
      </c>
      <c r="CN52" s="17">
        <v>0</v>
      </c>
      <c r="CO52" s="17">
        <f t="shared" ca="1" si="0"/>
        <v>0</v>
      </c>
      <c r="CP52" s="17"/>
      <c r="CQ52" s="17">
        <f t="shared" ca="1" si="54"/>
        <v>30333.142857142855</v>
      </c>
      <c r="CR52" s="17">
        <v>0</v>
      </c>
      <c r="CS52" s="17">
        <f t="shared" ca="1" si="55"/>
        <v>0</v>
      </c>
      <c r="CT52" s="17" t="str">
        <f t="shared" si="52"/>
        <v>one-off</v>
      </c>
      <c r="CU52" s="17" t="str">
        <f t="shared" si="53"/>
        <v>Yes</v>
      </c>
      <c r="CV52" s="17">
        <f t="shared" ca="1" si="57"/>
        <v>1.238</v>
      </c>
      <c r="CW52" s="17">
        <f t="shared" ca="1" si="58"/>
        <v>0</v>
      </c>
      <c r="CY52" s="657">
        <v>22</v>
      </c>
      <c r="CZ52" s="17" t="str">
        <f t="shared" si="44"/>
        <v>cabozantinib_plus_nivolumab</v>
      </c>
      <c r="DA52" s="17">
        <f t="shared" si="45"/>
        <v>1</v>
      </c>
      <c r="DB52" s="17">
        <f t="shared" si="46"/>
        <v>1</v>
      </c>
      <c r="DC52" s="17" t="str">
        <f>"G3+ "&amp;$D$51</f>
        <v>G3+ Weight loss</v>
      </c>
      <c r="DD52" s="17">
        <f t="shared" ca="1" si="47"/>
        <v>0</v>
      </c>
      <c r="DE52" s="956">
        <f t="shared" ca="1" si="48"/>
        <v>94.791071428571428</v>
      </c>
      <c r="DG52" s="1008">
        <f t="shared" si="50"/>
        <v>801.11</v>
      </c>
      <c r="DH52" s="1009">
        <f t="shared" si="51"/>
        <v>-0.1</v>
      </c>
      <c r="DI52" s="1007">
        <f t="shared" si="49"/>
        <v>3</v>
      </c>
    </row>
    <row r="53" spans="4:119" ht="16.149999999999999" customHeight="1" x14ac:dyDescent="0.2">
      <c r="CA53" s="17" t="str" cm="1">
        <f t="array" ref="CA53">INDEX(List_comparators,CB53+1)</f>
        <v>cabozantinib_plus_nivolumab</v>
      </c>
      <c r="CB53" s="17">
        <v>1</v>
      </c>
      <c r="CC53" s="17">
        <v>1</v>
      </c>
      <c r="CD53" s="17"/>
      <c r="CE53" s="17"/>
      <c r="CF53" s="17"/>
      <c r="CG53" s="17"/>
      <c r="CH53" s="17"/>
      <c r="CI53" s="17"/>
      <c r="CJ53" s="583"/>
      <c r="CK53" s="583"/>
      <c r="CL53" s="17" t="str">
        <v>Stomatitis</v>
      </c>
      <c r="CM53" s="17">
        <v>20</v>
      </c>
      <c r="CN53" s="17">
        <v>0</v>
      </c>
      <c r="CO53" s="17">
        <f t="shared" ca="1" si="0"/>
        <v>0</v>
      </c>
      <c r="CP53" s="17"/>
      <c r="CQ53" s="17">
        <f t="shared" ca="1" si="54"/>
        <v>30333.142857142855</v>
      </c>
      <c r="CR53" s="17">
        <v>0</v>
      </c>
      <c r="CS53" s="17">
        <f t="shared" ca="1" si="55"/>
        <v>0</v>
      </c>
      <c r="CT53" s="17" t="str">
        <f t="shared" si="52"/>
        <v>one-off</v>
      </c>
      <c r="CU53" s="17" t="str">
        <f t="shared" si="53"/>
        <v>Yes</v>
      </c>
      <c r="CV53" s="17">
        <f t="shared" ca="1" si="57"/>
        <v>1.238</v>
      </c>
      <c r="CW53" s="17">
        <f t="shared" ca="1" si="58"/>
        <v>0</v>
      </c>
      <c r="CY53" s="657">
        <v>1</v>
      </c>
      <c r="CZ53" s="17" t="str">
        <f t="shared" ref="CZ53:DB55" si="61">CA52</f>
        <v>cabozantinib_plus_nivolumab</v>
      </c>
      <c r="DA53" s="17">
        <f t="shared" si="61"/>
        <v>1</v>
      </c>
      <c r="DB53" s="17">
        <f t="shared" si="61"/>
        <v>1</v>
      </c>
      <c r="DC53" s="17" t="str">
        <f>"G1&amp;2 "&amp;$D$18</f>
        <v>G1&amp;2 Diarrhoea</v>
      </c>
      <c r="DD53" s="17">
        <f ca="1">CHOOSE(i_AE_NMA_option_num,OFFSET($S$86,$CY53-1,$DA53),OFFSET($AG$18,$CY53-1,$DA53))</f>
        <v>9.6788519865116905E-3</v>
      </c>
      <c r="DE53" s="956">
        <f ca="1">OFFSET($S$18,$CY53-1,$DA53)/INDEX($DT$14:$DT$27,MATCH(DA53,$DR$14:$DR$27,0))</f>
        <v>94.791071428571428</v>
      </c>
      <c r="DG53" s="1008">
        <f t="shared" si="50"/>
        <v>220.87</v>
      </c>
      <c r="DH53" s="1009">
        <f t="shared" si="51"/>
        <v>-0.05</v>
      </c>
      <c r="DI53" s="1007">
        <f t="shared" si="49"/>
        <v>3</v>
      </c>
    </row>
    <row r="54" spans="4:119" ht="34.15" customHeight="1" thickBot="1" x14ac:dyDescent="0.25">
      <c r="D54" s="569" t="s">
        <v>162</v>
      </c>
      <c r="E54" s="18" t="s">
        <v>606</v>
      </c>
      <c r="F54" s="18" t="s">
        <v>564</v>
      </c>
      <c r="G54" s="18" t="s">
        <v>683</v>
      </c>
      <c r="H54" s="18" t="s">
        <v>684</v>
      </c>
      <c r="I54" s="18" t="s">
        <v>685</v>
      </c>
      <c r="J54" s="18" t="s">
        <v>686</v>
      </c>
      <c r="K54" s="18" t="s">
        <v>687</v>
      </c>
      <c r="L54" s="18" t="s">
        <v>564</v>
      </c>
      <c r="M54" s="18" t="s">
        <v>689</v>
      </c>
      <c r="N54" s="18" t="s">
        <v>690</v>
      </c>
      <c r="O54" s="18" t="s">
        <v>698</v>
      </c>
      <c r="P54" s="18" t="s">
        <v>691</v>
      </c>
      <c r="Q54" s="18" t="s">
        <v>692</v>
      </c>
      <c r="R54" s="18"/>
      <c r="S54" s="18" t="s">
        <v>606</v>
      </c>
      <c r="T54" s="18" t="s">
        <v>564</v>
      </c>
      <c r="U54" s="18" t="s">
        <v>683</v>
      </c>
      <c r="V54" s="18" t="s">
        <v>684</v>
      </c>
      <c r="W54" s="18" t="s">
        <v>685</v>
      </c>
      <c r="X54" s="18" t="s">
        <v>686</v>
      </c>
      <c r="Y54" s="18" t="s">
        <v>687</v>
      </c>
      <c r="Z54" s="18" t="s">
        <v>564</v>
      </c>
      <c r="AA54" s="18" t="s">
        <v>689</v>
      </c>
      <c r="AB54" s="18" t="s">
        <v>690</v>
      </c>
      <c r="AC54" s="18" t="s">
        <v>698</v>
      </c>
      <c r="AD54" s="18" t="s">
        <v>699</v>
      </c>
      <c r="AE54" s="18" t="s">
        <v>692</v>
      </c>
      <c r="AF54" s="18"/>
      <c r="AG54" s="18"/>
      <c r="AH54" s="18"/>
      <c r="AI54" s="18"/>
      <c r="AJ54" s="18"/>
      <c r="AK54" s="18"/>
      <c r="AL54" s="18"/>
      <c r="AM54" s="18"/>
      <c r="AN54" s="18"/>
      <c r="AO54" s="18"/>
      <c r="AP54" s="18"/>
      <c r="AQ54" s="18"/>
      <c r="AR54" s="18"/>
      <c r="AS54" s="18"/>
      <c r="AT54" s="18"/>
      <c r="AU54" s="18" t="s">
        <v>700</v>
      </c>
      <c r="AV54" s="18" t="s">
        <v>694</v>
      </c>
      <c r="CA54" s="622" t="str" cm="1">
        <f t="array" ref="CA54">INDEX(List_comparators,CB54+1)</f>
        <v>cabozantinib_plus_nivolumab</v>
      </c>
      <c r="CB54" s="622">
        <v>1</v>
      </c>
      <c r="CC54" s="622">
        <v>1</v>
      </c>
      <c r="CD54" s="622"/>
      <c r="CE54" s="622"/>
      <c r="CF54" s="622"/>
      <c r="CG54" s="622"/>
      <c r="CH54" s="622"/>
      <c r="CI54" s="622"/>
      <c r="CJ54" s="744"/>
      <c r="CK54" s="744"/>
      <c r="CL54" s="622" t="str">
        <v>Vomiting</v>
      </c>
      <c r="CM54" s="622">
        <v>21</v>
      </c>
      <c r="CN54" s="622">
        <v>0</v>
      </c>
      <c r="CO54" s="622">
        <f t="shared" ca="1" si="0"/>
        <v>0</v>
      </c>
      <c r="CP54" s="622"/>
      <c r="CQ54" s="622">
        <f t="shared" ca="1" si="54"/>
        <v>30333.142857142855</v>
      </c>
      <c r="CR54" s="622">
        <v>0</v>
      </c>
      <c r="CS54" s="622">
        <f t="shared" ca="1" si="55"/>
        <v>0</v>
      </c>
      <c r="CT54" s="622" t="str">
        <f t="shared" si="52"/>
        <v>one-off</v>
      </c>
      <c r="CU54" s="622" t="str">
        <f t="shared" si="53"/>
        <v>Yes</v>
      </c>
      <c r="CV54" s="622">
        <f t="shared" ca="1" si="57"/>
        <v>1.238</v>
      </c>
      <c r="CW54" s="622">
        <f t="shared" ca="1" si="58"/>
        <v>0</v>
      </c>
      <c r="CY54" s="657">
        <v>2</v>
      </c>
      <c r="CZ54" s="17" t="str">
        <f t="shared" si="61"/>
        <v>cabozantinib_plus_nivolumab</v>
      </c>
      <c r="DA54" s="17">
        <f t="shared" si="61"/>
        <v>1</v>
      </c>
      <c r="DB54" s="17">
        <f t="shared" si="61"/>
        <v>1</v>
      </c>
      <c r="DC54" s="17" t="str">
        <f>"G1&amp;2 "&amp;$D$19</f>
        <v>G1&amp;2 Fatigue</v>
      </c>
      <c r="DD54" s="17">
        <f ca="1">CHOOSE(i_AE_NMA_option_num,OFFSET($S$86,$CY54-1,$DA54),OFFSET($AG$18,$CY54-1,$DA54))</f>
        <v>2.6232032854209449E-3</v>
      </c>
      <c r="DE54" s="956">
        <f ca="1">OFFSET($S$18,$CY53-1,$DA54)/INDEX($DT$14:$DT$27,MATCH(DA54,$DR$14:$DR$27,0))</f>
        <v>94.791071428571428</v>
      </c>
      <c r="DG54" s="1008">
        <f t="shared" si="50"/>
        <v>441.74</v>
      </c>
      <c r="DH54" s="1009">
        <f t="shared" si="51"/>
        <v>-0.05</v>
      </c>
      <c r="DI54" s="1007">
        <f t="shared" si="49"/>
        <v>3</v>
      </c>
    </row>
    <row r="55" spans="4:119" ht="35.65" customHeight="1" thickTop="1" x14ac:dyDescent="0.2">
      <c r="D55" s="657" t="s">
        <v>701</v>
      </c>
      <c r="E55" s="958">
        <v>5</v>
      </c>
      <c r="F55" s="958">
        <v>23</v>
      </c>
      <c r="G55" s="958">
        <v>0</v>
      </c>
      <c r="H55" s="958">
        <v>34</v>
      </c>
      <c r="I55" s="958">
        <v>45</v>
      </c>
      <c r="J55" s="958">
        <v>49</v>
      </c>
      <c r="K55" s="958">
        <v>0</v>
      </c>
      <c r="L55" s="958">
        <v>28</v>
      </c>
      <c r="M55" s="958">
        <v>8</v>
      </c>
      <c r="N55" s="958">
        <v>10</v>
      </c>
      <c r="O55" s="958">
        <v>5</v>
      </c>
      <c r="P55" s="958">
        <v>40</v>
      </c>
      <c r="Q55" s="958">
        <v>11</v>
      </c>
      <c r="CA55" s="17"/>
      <c r="CB55" s="17"/>
      <c r="CC55" s="17"/>
      <c r="CD55" s="17"/>
      <c r="CE55" s="17"/>
      <c r="CF55" s="17"/>
      <c r="CG55" s="17"/>
      <c r="CH55" s="17"/>
      <c r="CI55" s="17"/>
      <c r="CJ55" s="17"/>
      <c r="CK55" s="17"/>
      <c r="CL55" s="17" t="str">
        <v>Weight loss</v>
      </c>
      <c r="CM55" s="17"/>
      <c r="CN55" s="17"/>
      <c r="CO55" s="17"/>
      <c r="CP55" s="17"/>
      <c r="CQ55" s="17"/>
      <c r="CR55" s="17"/>
      <c r="CS55" s="17"/>
      <c r="CT55" s="17"/>
      <c r="CU55" s="17"/>
      <c r="CV55" s="17"/>
      <c r="CW55" s="17"/>
      <c r="CY55" s="657">
        <v>3</v>
      </c>
      <c r="CZ55" s="17" t="str">
        <f t="shared" si="61"/>
        <v>cabozantinib_plus_nivolumab</v>
      </c>
      <c r="DA55" s="17">
        <f t="shared" si="61"/>
        <v>1</v>
      </c>
      <c r="DB55" s="17">
        <f t="shared" si="61"/>
        <v>1</v>
      </c>
      <c r="DC55" s="17" t="str">
        <f>"G1&amp;2 "&amp;$D$20</f>
        <v>G1&amp;2 Palmar-plantar erythrodysaesthesia syndrome</v>
      </c>
      <c r="DD55" s="17">
        <f ca="1">CHOOSE(i_AE_NMA_option_num,OFFSET($S$86,$CY55-1,$DA55),OFFSET($AG$18,$CY55-1,$DA55))</f>
        <v>3.4615601981802082E-3</v>
      </c>
      <c r="DE55" s="956">
        <f ca="1">OFFSET($S$18,$CY54-1,$DA55)/INDEX($DT$14:$DT$27,MATCH(DA55,$DR$14:$DR$27,0))</f>
        <v>94.791071428571428</v>
      </c>
      <c r="DG55" s="1008">
        <f t="shared" si="50"/>
        <v>441.74</v>
      </c>
      <c r="DH55" s="1009">
        <f t="shared" si="51"/>
        <v>-0.05</v>
      </c>
      <c r="DI55" s="1007">
        <f t="shared" si="49"/>
        <v>3</v>
      </c>
    </row>
    <row r="56" spans="4:119" x14ac:dyDescent="0.2">
      <c r="D56" s="657" t="s">
        <v>701</v>
      </c>
      <c r="E56" s="959">
        <f ca="1">SUM(E33:E34)</f>
        <v>5</v>
      </c>
      <c r="F56" s="959">
        <f t="shared" ref="F56:Q56" ca="1" si="62">SUM(F33:F34)</f>
        <v>23</v>
      </c>
      <c r="G56" s="959">
        <f t="shared" ca="1" si="62"/>
        <v>0</v>
      </c>
      <c r="H56" s="959">
        <f t="shared" ca="1" si="62"/>
        <v>34</v>
      </c>
      <c r="I56" s="959">
        <f t="shared" ca="1" si="62"/>
        <v>45</v>
      </c>
      <c r="J56" s="959">
        <f t="shared" ca="1" si="62"/>
        <v>49</v>
      </c>
      <c r="K56" s="959">
        <f t="shared" ca="1" si="62"/>
        <v>0</v>
      </c>
      <c r="L56" s="959">
        <f t="shared" ca="1" si="62"/>
        <v>28</v>
      </c>
      <c r="M56" s="959">
        <f t="shared" ca="1" si="62"/>
        <v>8</v>
      </c>
      <c r="N56" s="959">
        <f t="shared" ca="1" si="62"/>
        <v>10</v>
      </c>
      <c r="O56" s="959">
        <f t="shared" ca="1" si="62"/>
        <v>5</v>
      </c>
      <c r="P56" s="959">
        <f t="shared" ca="1" si="62"/>
        <v>40</v>
      </c>
      <c r="Q56" s="959">
        <f t="shared" ca="1" si="62"/>
        <v>11</v>
      </c>
      <c r="CA56" s="17" t="str" cm="1">
        <f t="array" ref="CA56">INDEX(List_comparators,CB56+1)</f>
        <v>nivolumab_plus_ipilimumab</v>
      </c>
      <c r="CB56" s="17">
        <v>2</v>
      </c>
      <c r="CC56" s="17">
        <v>1</v>
      </c>
      <c r="CD56" s="17">
        <f ca="1">OFFSET($E$16,0,CB56)</f>
        <v>550</v>
      </c>
      <c r="CE56" s="17">
        <f ca="1">OFFSET($E$28,0,CB56)</f>
        <v>515</v>
      </c>
      <c r="CF56" s="17">
        <f ca="1">OFFSET($S$16,0,CB56)</f>
        <v>18892.991071428572</v>
      </c>
      <c r="CG56" s="17">
        <f ca="1">OFFSET($S$28,0,CB56)</f>
        <v>17690.709821428572</v>
      </c>
      <c r="CH56" s="17">
        <f ca="1">OFFSET($AG$16,0,CB56)</f>
        <v>2.9111324825202088E-2</v>
      </c>
      <c r="CI56" s="17">
        <f ca="1">OFFSET($AG$28,0,CB56)</f>
        <v>2.9111324825202088E-2</v>
      </c>
      <c r="CJ56" s="583">
        <f>$CJ$6</f>
        <v>3</v>
      </c>
      <c r="CK56" s="583">
        <f>$CK$6</f>
        <v>0.6</v>
      </c>
      <c r="CL56" s="17" t="str" cm="1">
        <f t="array" ref="CL56:CL58">List_AEs_all_grade</f>
        <v>Diarrhoea</v>
      </c>
      <c r="CM56" s="17">
        <v>1</v>
      </c>
      <c r="CN56" s="17">
        <f ca="1">OFFSET($E$18,$CM56-1,$CB56)</f>
        <v>155</v>
      </c>
      <c r="CO56" s="17">
        <f t="shared" ca="1" si="0"/>
        <v>0</v>
      </c>
      <c r="CP56" s="17">
        <f ca="1">OFFSET($S$18,$CM56-1,$CB56)</f>
        <v>18892.991071428572</v>
      </c>
      <c r="CQ56" s="17">
        <v>0</v>
      </c>
      <c r="CR56" s="17">
        <f ca="1">OFFSET($AG$18,$CM56-1,$CB56)</f>
        <v>8.2041006325569519E-3</v>
      </c>
      <c r="CS56" s="17">
        <v>0</v>
      </c>
      <c r="CT56" s="17" t="str">
        <f>dd_apply_AE_options</f>
        <v>one-off</v>
      </c>
      <c r="CU56" s="17" t="str">
        <f>$CU$6</f>
        <v>Yes</v>
      </c>
      <c r="CV56" s="17">
        <f ca="1">OFFSET($E$86,$CM56-1,$CB56)</f>
        <v>0.52468146027201146</v>
      </c>
      <c r="CW56" s="17">
        <f ca="1">OFFSET($S$86,$CM56-1,$CB56)</f>
        <v>4.3045395001085141E-3</v>
      </c>
      <c r="CY56" s="657">
        <v>1</v>
      </c>
      <c r="CZ56" s="17" t="str">
        <f t="shared" ref="CZ56:CZ77" si="63">CA56</f>
        <v>nivolumab_plus_ipilimumab</v>
      </c>
      <c r="DA56" s="17">
        <f t="shared" ref="DA56:DA77" si="64">CB56</f>
        <v>2</v>
      </c>
      <c r="DB56" s="17">
        <f t="shared" ref="DB56:DB77" si="65">CC56</f>
        <v>1</v>
      </c>
      <c r="DC56" s="17" t="str">
        <f>"G3+ "&amp;$D$30</f>
        <v>G3+ ALT increased</v>
      </c>
      <c r="DD56" s="17">
        <f t="shared" ref="DD56:DD77" ca="1" si="66">CHOOSE(i_AE_NMA_option_num,OFFSET($S$63,$CY56-1,$DA56),OFFSET($AG$30,$CY56-1,$DA56))</f>
        <v>0</v>
      </c>
      <c r="DE56" s="956">
        <f t="shared" ref="DE56:DE77" ca="1" si="67">OFFSET($S$30,$CY56-1,$DA56)/INDEX($DS$14:$DS$27,MATCH(DA56,$DR$14:$DR$27,0))</f>
        <v>34.35089285714286</v>
      </c>
      <c r="DG56" s="1008">
        <f>$DG31</f>
        <v>0</v>
      </c>
      <c r="DH56" s="1009">
        <f>$DH31</f>
        <v>-0.1</v>
      </c>
      <c r="DI56" s="1007">
        <f t="shared" si="49"/>
        <v>3</v>
      </c>
    </row>
    <row r="57" spans="4:119" x14ac:dyDescent="0.2">
      <c r="E57" s="958" t="b">
        <f ca="1">E55=E56</f>
        <v>1</v>
      </c>
      <c r="F57" s="958" t="b">
        <f t="shared" ref="F57:Q57" ca="1" si="68">F55=F56</f>
        <v>1</v>
      </c>
      <c r="G57" s="958" t="b">
        <f t="shared" ca="1" si="68"/>
        <v>1</v>
      </c>
      <c r="H57" s="958" t="b">
        <f t="shared" ca="1" si="68"/>
        <v>1</v>
      </c>
      <c r="I57" s="958" t="b">
        <f t="shared" ca="1" si="68"/>
        <v>1</v>
      </c>
      <c r="J57" s="958" t="b">
        <f t="shared" ca="1" si="68"/>
        <v>1</v>
      </c>
      <c r="K57" s="958" t="b">
        <f t="shared" ca="1" si="68"/>
        <v>1</v>
      </c>
      <c r="L57" s="958" t="b">
        <f t="shared" ca="1" si="68"/>
        <v>1</v>
      </c>
      <c r="M57" s="958" t="b">
        <f t="shared" ca="1" si="68"/>
        <v>1</v>
      </c>
      <c r="N57" s="958" t="b">
        <f t="shared" ca="1" si="68"/>
        <v>1</v>
      </c>
      <c r="O57" s="958" t="b">
        <f t="shared" ca="1" si="68"/>
        <v>1</v>
      </c>
      <c r="P57" s="958" t="b">
        <f t="shared" ca="1" si="68"/>
        <v>1</v>
      </c>
      <c r="Q57" s="958" t="b">
        <f t="shared" ca="1" si="68"/>
        <v>1</v>
      </c>
      <c r="CA57" s="17" t="str" cm="1">
        <f t="array" ref="CA57">INDEX(List_comparators,CB57+1)</f>
        <v>nivolumab_plus_ipilimumab</v>
      </c>
      <c r="CB57" s="17">
        <v>2</v>
      </c>
      <c r="CC57" s="17">
        <v>1</v>
      </c>
      <c r="CD57" s="17"/>
      <c r="CE57" s="17"/>
      <c r="CF57" s="17"/>
      <c r="CG57" s="17"/>
      <c r="CH57" s="17"/>
      <c r="CI57" s="17"/>
      <c r="CJ57" s="583"/>
      <c r="CK57" s="583"/>
      <c r="CL57" s="17" t="str">
        <v>Fatigue</v>
      </c>
      <c r="CM57" s="17">
        <v>2</v>
      </c>
      <c r="CN57" s="17">
        <f ca="1">OFFSET($E$18,$CM57-1,$CB57)</f>
        <v>209</v>
      </c>
      <c r="CO57" s="17">
        <f t="shared" ca="1" si="0"/>
        <v>0</v>
      </c>
      <c r="CP57" s="17">
        <f ca="1">OFFSET($S$18,$CM57-1,$CB57)</f>
        <v>18892.991071428572</v>
      </c>
      <c r="CQ57" s="17">
        <v>0</v>
      </c>
      <c r="CR57" s="17">
        <f ca="1">OFFSET($AG$18,$CM57-1,$CB57)</f>
        <v>1.1062303433576793E-2</v>
      </c>
      <c r="CS57" s="17">
        <v>0</v>
      </c>
      <c r="CT57" s="17" t="str">
        <f>$CT$6</f>
        <v>one-off</v>
      </c>
      <c r="CU57" s="17" t="str">
        <f>$CU$6</f>
        <v>Yes</v>
      </c>
      <c r="CV57" s="17">
        <f ca="1">OFFSET($E$86,$CM57-1,$CB57)</f>
        <v>0.85577167019027489</v>
      </c>
      <c r="CW57" s="17">
        <f ca="1">OFFSET($S$86,$CM57-1,$CB57)</f>
        <v>9.4668058855036253E-3</v>
      </c>
      <c r="CY57" s="657">
        <v>2</v>
      </c>
      <c r="CZ57" s="17" t="str">
        <f t="shared" si="63"/>
        <v>nivolumab_plus_ipilimumab</v>
      </c>
      <c r="DA57" s="17">
        <f t="shared" si="64"/>
        <v>2</v>
      </c>
      <c r="DB57" s="17">
        <f t="shared" si="65"/>
        <v>1</v>
      </c>
      <c r="DC57" s="17" t="str">
        <f>"G3+ "&amp;$D$31</f>
        <v>G3+ Anaemia</v>
      </c>
      <c r="DD57" s="17">
        <f t="shared" ca="1" si="66"/>
        <v>0</v>
      </c>
      <c r="DE57" s="956">
        <f t="shared" ca="1" si="67"/>
        <v>34.35089285714286</v>
      </c>
      <c r="DG57" s="1008">
        <f t="shared" si="50"/>
        <v>655.75</v>
      </c>
      <c r="DH57" s="1009">
        <f t="shared" si="51"/>
        <v>-0.1</v>
      </c>
      <c r="DI57" s="1007">
        <f t="shared" si="49"/>
        <v>3</v>
      </c>
    </row>
    <row r="58" spans="4:119" ht="15.75" thickBot="1" x14ac:dyDescent="0.25">
      <c r="D58" s="6" t="s">
        <v>702</v>
      </c>
      <c r="E58" s="582">
        <v>1</v>
      </c>
      <c r="F58" s="582">
        <v>2</v>
      </c>
      <c r="G58" s="582">
        <v>3</v>
      </c>
      <c r="H58" s="582">
        <v>4</v>
      </c>
      <c r="I58" s="582">
        <v>5</v>
      </c>
      <c r="J58" s="582">
        <v>6</v>
      </c>
      <c r="K58" s="582">
        <v>7</v>
      </c>
      <c r="L58" s="582">
        <v>8</v>
      </c>
      <c r="M58" s="582">
        <v>9</v>
      </c>
      <c r="N58" s="582">
        <v>10</v>
      </c>
      <c r="O58" s="582">
        <v>11</v>
      </c>
      <c r="P58" s="582">
        <v>12</v>
      </c>
      <c r="Q58" s="582">
        <v>13</v>
      </c>
      <c r="R58" s="582">
        <v>14</v>
      </c>
      <c r="S58" s="582">
        <v>1</v>
      </c>
      <c r="T58" s="582">
        <v>2</v>
      </c>
      <c r="U58" s="582">
        <v>3</v>
      </c>
      <c r="V58" s="582">
        <v>4</v>
      </c>
      <c r="W58" s="582">
        <v>5</v>
      </c>
      <c r="X58" s="582">
        <v>6</v>
      </c>
      <c r="Y58" s="582">
        <v>7</v>
      </c>
      <c r="Z58" s="582">
        <v>8</v>
      </c>
      <c r="AA58" s="582">
        <v>9</v>
      </c>
      <c r="AB58" s="582">
        <v>10</v>
      </c>
      <c r="AC58" s="582">
        <v>11</v>
      </c>
      <c r="AD58" s="582">
        <v>12</v>
      </c>
      <c r="AE58" s="582">
        <v>13</v>
      </c>
      <c r="AF58" s="582">
        <v>14</v>
      </c>
      <c r="CA58" s="19" t="str" cm="1">
        <f t="array" ref="CA58">INDEX(List_comparators,CB58+1)</f>
        <v>nivolumab_plus_ipilimumab</v>
      </c>
      <c r="CB58" s="19">
        <v>2</v>
      </c>
      <c r="CC58" s="19">
        <v>1</v>
      </c>
      <c r="CD58" s="19"/>
      <c r="CE58" s="19"/>
      <c r="CF58" s="19"/>
      <c r="CG58" s="19"/>
      <c r="CH58" s="19"/>
      <c r="CI58" s="19"/>
      <c r="CJ58" s="743"/>
      <c r="CK58" s="743"/>
      <c r="CL58" s="19" t="str">
        <v>Palmar-plantar erythrodysaesthesia syndrome</v>
      </c>
      <c r="CM58" s="19">
        <v>3</v>
      </c>
      <c r="CN58" s="19">
        <f ca="1">OFFSET($E$18,$CM58-1,$CB58)</f>
        <v>6</v>
      </c>
      <c r="CO58" s="19">
        <f t="shared" ca="1" si="0"/>
        <v>0</v>
      </c>
      <c r="CP58" s="19">
        <f ca="1">OFFSET($S$18,$CM58-1,$CB58)</f>
        <v>18892.991071428572</v>
      </c>
      <c r="CQ58" s="19">
        <v>0</v>
      </c>
      <c r="CR58" s="19">
        <f ca="1">OFFSET($AG$18,$CM58-1,$CB58)</f>
        <v>3.1757808900220459E-4</v>
      </c>
      <c r="CS58" s="19">
        <v>0</v>
      </c>
      <c r="CT58" s="19" t="str">
        <f t="shared" ref="CT58:CT79" si="69">$CT$6</f>
        <v>one-off</v>
      </c>
      <c r="CU58" s="19" t="str">
        <f t="shared" ref="CU58:CU79" si="70">$CU$6</f>
        <v>Yes</v>
      </c>
      <c r="CV58" s="19">
        <f ca="1">OFFSET($E$86,$CM58-1,$CB58)</f>
        <v>2.7025691699604743E-2</v>
      </c>
      <c r="CW58" s="19">
        <f ca="1">OFFSET($S$86,$CM58-1,$CB58)</f>
        <v>8.582767523923217E-6</v>
      </c>
      <c r="CY58" s="657">
        <v>3</v>
      </c>
      <c r="CZ58" s="17" t="str">
        <f t="shared" si="63"/>
        <v>nivolumab_plus_ipilimumab</v>
      </c>
      <c r="DA58" s="17">
        <f t="shared" si="64"/>
        <v>2</v>
      </c>
      <c r="DB58" s="17">
        <f t="shared" si="65"/>
        <v>1</v>
      </c>
      <c r="DC58" s="17" t="str">
        <f>"G3+ "&amp;$D$32</f>
        <v>G3+ Decreased appetite</v>
      </c>
      <c r="DD58" s="17">
        <f t="shared" ca="1" si="66"/>
        <v>0</v>
      </c>
      <c r="DE58" s="956">
        <f t="shared" ca="1" si="67"/>
        <v>34.35089285714286</v>
      </c>
      <c r="DG58" s="1008">
        <f t="shared" si="50"/>
        <v>0</v>
      </c>
      <c r="DH58" s="1009">
        <f t="shared" si="51"/>
        <v>-0.1</v>
      </c>
      <c r="DI58" s="1007">
        <f t="shared" si="49"/>
        <v>3</v>
      </c>
    </row>
    <row r="59" spans="4:119" ht="16.5" thickBot="1" x14ac:dyDescent="0.3">
      <c r="D59" s="1707" t="s">
        <v>703</v>
      </c>
      <c r="E59" s="686" t="s">
        <v>704</v>
      </c>
      <c r="F59" s="687"/>
      <c r="G59" s="687"/>
      <c r="H59" s="687"/>
      <c r="I59" s="687"/>
      <c r="J59" s="687"/>
      <c r="K59" s="687"/>
      <c r="L59" s="687"/>
      <c r="M59" s="687"/>
      <c r="N59" s="687"/>
      <c r="O59" s="687"/>
      <c r="P59" s="687"/>
      <c r="Q59" s="687"/>
      <c r="R59" s="688"/>
      <c r="S59" s="1709" t="s">
        <v>670</v>
      </c>
      <c r="T59" s="1710"/>
      <c r="U59" s="1710"/>
      <c r="V59" s="1710"/>
      <c r="W59" s="1710"/>
      <c r="X59" s="1710"/>
      <c r="Y59" s="1710"/>
      <c r="Z59" s="1710"/>
      <c r="AA59" s="1710"/>
      <c r="AB59" s="1710"/>
      <c r="AC59" s="1710"/>
      <c r="AD59" s="1710"/>
      <c r="AE59" s="1710"/>
      <c r="AF59" s="1711"/>
      <c r="AG59" s="1708"/>
      <c r="AH59" s="1708"/>
      <c r="AI59" s="1708"/>
      <c r="AJ59" s="1708"/>
      <c r="AK59" s="1708"/>
      <c r="AL59" s="1708"/>
      <c r="AM59" s="1708"/>
      <c r="AN59" s="1708"/>
      <c r="AO59" s="1708"/>
      <c r="AP59" s="1708"/>
      <c r="AQ59" s="1708"/>
      <c r="AR59" s="1708"/>
      <c r="AS59" s="1708"/>
      <c r="AT59" s="1708"/>
      <c r="AU59" s="1708"/>
      <c r="AV59" s="1708"/>
      <c r="CA59" s="252" t="str" cm="1">
        <f t="array" ref="CA59">INDEX(List_comparators,CB59+1)</f>
        <v>nivolumab_plus_ipilimumab</v>
      </c>
      <c r="CB59" s="252">
        <v>2</v>
      </c>
      <c r="CC59" s="252">
        <v>1</v>
      </c>
      <c r="CD59" s="252"/>
      <c r="CE59" s="252"/>
      <c r="CF59" s="252"/>
      <c r="CG59" s="252"/>
      <c r="CH59" s="252"/>
      <c r="CI59" s="252"/>
      <c r="CJ59" s="742"/>
      <c r="CK59" s="742"/>
      <c r="CL59" s="252" t="str" cm="1">
        <f t="array" ref="CL59:CL80">List_AEs_g3</f>
        <v>ALT increased</v>
      </c>
      <c r="CM59" s="252">
        <v>1</v>
      </c>
      <c r="CN59" s="252">
        <v>0</v>
      </c>
      <c r="CO59" s="252">
        <f t="shared" ca="1" si="0"/>
        <v>0</v>
      </c>
      <c r="CP59" s="252"/>
      <c r="CQ59" s="252">
        <f t="shared" ref="CQ59:CQ79" ca="1" si="71">OFFSET($S$30,$CM59-1,$CB59)</f>
        <v>17690.709821428572</v>
      </c>
      <c r="CR59" s="252">
        <v>0</v>
      </c>
      <c r="CS59" s="252">
        <f t="shared" ref="CS59:CS79" ca="1" si="72">OFFSET($AG$30,$CM59-1,$CB59)</f>
        <v>0</v>
      </c>
      <c r="CT59" s="252" t="str">
        <f t="shared" si="69"/>
        <v>one-off</v>
      </c>
      <c r="CU59" s="252" t="str">
        <f t="shared" si="70"/>
        <v>Yes</v>
      </c>
      <c r="CV59" s="252">
        <f ca="1">OFFSET($E$63,$CM59-1,$CB59)</f>
        <v>0.80800000000000005</v>
      </c>
      <c r="CW59" s="252">
        <f ca="1">OFFSET($S$63,$CM59-1,$CB59)</f>
        <v>0</v>
      </c>
      <c r="CY59" s="657">
        <v>4</v>
      </c>
      <c r="CZ59" s="17" t="str">
        <f t="shared" si="63"/>
        <v>nivolumab_plus_ipilimumab</v>
      </c>
      <c r="DA59" s="17">
        <f t="shared" si="64"/>
        <v>2</v>
      </c>
      <c r="DB59" s="17">
        <f t="shared" si="65"/>
        <v>1</v>
      </c>
      <c r="DC59" s="17" t="str">
        <f>"G3+ "&amp;$D$33</f>
        <v>G3+ Diarrhoea _TKI induced</v>
      </c>
      <c r="DD59" s="17">
        <f t="shared" ca="1" si="66"/>
        <v>1.8269155342269803E-3</v>
      </c>
      <c r="DE59" s="956">
        <f t="shared" ca="1" si="67"/>
        <v>34.35089285714286</v>
      </c>
      <c r="DG59" s="1008">
        <f t="shared" si="50"/>
        <v>827.18</v>
      </c>
      <c r="DH59" s="1009">
        <f t="shared" si="51"/>
        <v>-0.1</v>
      </c>
      <c r="DI59" s="1007">
        <f t="shared" si="49"/>
        <v>3</v>
      </c>
    </row>
    <row r="60" spans="4:119" ht="15.75" thickBot="1" x14ac:dyDescent="0.25">
      <c r="D60" s="1707"/>
      <c r="E60" s="579" t="str" cm="1">
        <f t="array" ref="E60">INDEX(List_comparators,E58)</f>
        <v>nivolumab_monotherapy</v>
      </c>
      <c r="F60" s="19" t="str" cm="1">
        <f t="array" ref="F60">INDEX(List_comparators,F58)</f>
        <v>cabozantinib_plus_nivolumab</v>
      </c>
      <c r="G60" s="19" t="str" cm="1">
        <f t="array" ref="G60">INDEX(List_comparators,G58)</f>
        <v>nivolumab_plus_ipilimumab</v>
      </c>
      <c r="H60" s="19" t="str" cm="1">
        <f t="array" ref="H60">INDEX(List_comparators,H58)</f>
        <v>lenvatinib_plus_pembrolizumab</v>
      </c>
      <c r="I60" s="19" t="str" cm="1">
        <f t="array" ref="I60">INDEX(List_comparators,I58)</f>
        <v>avelumab_plus_axitinib</v>
      </c>
      <c r="J60" s="19" t="str" cm="1">
        <f t="array" ref="J60">INDEX(List_comparators,J58)</f>
        <v>pazopanib</v>
      </c>
      <c r="K60" s="19" t="str" cm="1">
        <f t="array" ref="K60">INDEX(List_comparators,K58)</f>
        <v>tivozanib</v>
      </c>
      <c r="L60" s="19" t="str" cm="1">
        <f t="array" ref="L60">INDEX(List_comparators,L58)</f>
        <v>sunitinib</v>
      </c>
      <c r="M60" s="19" t="str" cm="1">
        <f t="array" ref="M60">INDEX(List_comparators,M58) &amp; " first line"</f>
        <v>cabozantinib first line</v>
      </c>
      <c r="N60" s="19" t="str" cm="1">
        <f t="array" ref="N60">INDEX(List_comparators,N58)</f>
        <v>lenvatinib_plus_everolimus</v>
      </c>
      <c r="O60" s="19" t="str" cm="1">
        <f t="array" ref="O60">INDEX(List_comparators,O58)</f>
        <v>everolimus</v>
      </c>
      <c r="P60" s="19" t="str" cm="1">
        <f t="array" ref="P60">INDEX(List_comparators,P58)</f>
        <v>axitinib</v>
      </c>
      <c r="Q60" s="19" t="str" cm="1">
        <f t="array" ref="Q60">INDEX(List_comparators,Q58)</f>
        <v>sorafenib</v>
      </c>
      <c r="R60" s="720" t="str" cm="1">
        <f t="array" ref="R60">INDEX(List_comparators,M58) &amp; " second line"</f>
        <v>cabozantinib second line</v>
      </c>
      <c r="S60" s="579" t="str" cm="1">
        <f t="array" ref="S60">INDEX(List_comparators,S58)</f>
        <v>nivolumab_monotherapy</v>
      </c>
      <c r="T60" s="19" t="str" cm="1">
        <f t="array" ref="T60">INDEX(List_comparators,T58)</f>
        <v>cabozantinib_plus_nivolumab</v>
      </c>
      <c r="U60" s="19" t="str" cm="1">
        <f t="array" ref="U60">INDEX(List_comparators,U58)</f>
        <v>nivolumab_plus_ipilimumab</v>
      </c>
      <c r="V60" s="19" t="str" cm="1">
        <f t="array" ref="V60">INDEX(List_comparators,V58)</f>
        <v>lenvatinib_plus_pembrolizumab</v>
      </c>
      <c r="W60" s="19" t="str" cm="1">
        <f t="array" ref="W60">INDEX(List_comparators,W58)</f>
        <v>avelumab_plus_axitinib</v>
      </c>
      <c r="X60" s="19" t="str" cm="1">
        <f t="array" ref="X60">INDEX(List_comparators,X58)</f>
        <v>pazopanib</v>
      </c>
      <c r="Y60" s="19" t="str" cm="1">
        <f t="array" ref="Y60">INDEX(List_comparators,Y58)</f>
        <v>tivozanib</v>
      </c>
      <c r="Z60" s="19" t="str" cm="1">
        <f t="array" ref="Z60">INDEX(List_comparators,Z58)</f>
        <v>sunitinib</v>
      </c>
      <c r="AA60" s="19" t="str" cm="1">
        <f t="array" ref="AA60">INDEX(List_comparators,AA58) &amp; " first line"</f>
        <v>cabozantinib first line</v>
      </c>
      <c r="AB60" s="19" t="str" cm="1">
        <f t="array" ref="AB60">INDEX(List_comparators,AB58)</f>
        <v>lenvatinib_plus_everolimus</v>
      </c>
      <c r="AC60" s="19" t="str" cm="1">
        <f t="array" ref="AC60">INDEX(List_comparators,AC58)</f>
        <v>everolimus</v>
      </c>
      <c r="AD60" s="19" t="str" cm="1">
        <f t="array" ref="AD60">INDEX(List_comparators,AD58)</f>
        <v>axitinib</v>
      </c>
      <c r="AE60" s="19" t="str" cm="1">
        <f t="array" ref="AE60">INDEX(List_comparators,AE58)</f>
        <v>sorafenib</v>
      </c>
      <c r="AF60" s="580" t="str">
        <f>R60</f>
        <v>cabozantinib second line</v>
      </c>
      <c r="AG60" s="572"/>
      <c r="AH60" s="572"/>
      <c r="AI60" s="572"/>
      <c r="AJ60" s="572"/>
      <c r="AK60" s="572"/>
      <c r="AL60" s="572"/>
      <c r="AM60" s="572"/>
      <c r="AN60" s="572"/>
      <c r="AO60" s="572"/>
      <c r="AP60" s="572"/>
      <c r="AQ60" s="572"/>
      <c r="AR60" s="572"/>
      <c r="AS60" s="572"/>
      <c r="AT60" s="572"/>
      <c r="AU60" s="574"/>
      <c r="AV60" s="574"/>
      <c r="CA60" s="17" t="str" cm="1">
        <f t="array" ref="CA60">INDEX(List_comparators,CB60+1)</f>
        <v>nivolumab_plus_ipilimumab</v>
      </c>
      <c r="CB60" s="17">
        <v>2</v>
      </c>
      <c r="CC60" s="17">
        <v>1</v>
      </c>
      <c r="CD60" s="17"/>
      <c r="CE60" s="17"/>
      <c r="CF60" s="17"/>
      <c r="CG60" s="17"/>
      <c r="CH60" s="17"/>
      <c r="CI60" s="17"/>
      <c r="CJ60" s="583"/>
      <c r="CK60" s="583"/>
      <c r="CL60" s="17" t="str">
        <v>Anaemia</v>
      </c>
      <c r="CM60" s="17">
        <v>2</v>
      </c>
      <c r="CN60" s="17">
        <v>0</v>
      </c>
      <c r="CO60" s="17">
        <f t="shared" ca="1" si="0"/>
        <v>0</v>
      </c>
      <c r="CP60" s="17"/>
      <c r="CQ60" s="17">
        <f t="shared" ca="1" si="71"/>
        <v>17690.709821428572</v>
      </c>
      <c r="CR60" s="17">
        <v>0</v>
      </c>
      <c r="CS60" s="17">
        <f t="shared" ca="1" si="72"/>
        <v>0</v>
      </c>
      <c r="CT60" s="17" t="str">
        <f t="shared" si="69"/>
        <v>one-off</v>
      </c>
      <c r="CU60" s="17" t="str">
        <f t="shared" si="70"/>
        <v>Yes</v>
      </c>
      <c r="CV60" s="17">
        <f t="shared" ref="CV60:CV79" ca="1" si="73">OFFSET($E$63,$CM60-1,$CB60)</f>
        <v>0.80800000000000005</v>
      </c>
      <c r="CW60" s="17">
        <f t="shared" ref="CW60:CW79" ca="1" si="74">OFFSET($S$63,$CM60-1,$CB60)</f>
        <v>0</v>
      </c>
      <c r="CY60" s="657">
        <v>5</v>
      </c>
      <c r="CZ60" s="17" t="str">
        <f t="shared" si="63"/>
        <v>nivolumab_plus_ipilimumab</v>
      </c>
      <c r="DA60" s="17">
        <f t="shared" si="64"/>
        <v>2</v>
      </c>
      <c r="DB60" s="17">
        <f t="shared" si="65"/>
        <v>1</v>
      </c>
      <c r="DC60" s="17" t="str">
        <f>"G3+ "&amp;$D$34</f>
        <v>G3+ Diarrhoea _IO induced</v>
      </c>
      <c r="DD60" s="17">
        <f t="shared" ca="1" si="66"/>
        <v>0</v>
      </c>
      <c r="DE60" s="956">
        <f t="shared" ca="1" si="67"/>
        <v>34.35089285714286</v>
      </c>
      <c r="DG60" s="1008">
        <f t="shared" si="50"/>
        <v>4321.12</v>
      </c>
      <c r="DH60" s="1009">
        <f t="shared" si="51"/>
        <v>-0.1</v>
      </c>
      <c r="DI60" s="1007">
        <f t="shared" si="49"/>
        <v>3</v>
      </c>
    </row>
    <row r="61" spans="4:119" ht="15.75" x14ac:dyDescent="0.2">
      <c r="D61" s="491" t="s">
        <v>676</v>
      </c>
      <c r="E61" s="693">
        <f>IF(i_AE_NMA_option_num=2,1,0.582)</f>
        <v>0.58199999999999996</v>
      </c>
      <c r="F61" s="692">
        <f>IF(i_AE_NMA_option_num=2,1,1.238)</f>
        <v>1.238</v>
      </c>
      <c r="G61" s="567">
        <f>IF(i_AE_NMA_option_num=2,1,0.808)</f>
        <v>0.80800000000000005</v>
      </c>
      <c r="H61" s="567">
        <f>IF(i_AE_NMA_option_num=2,1,1.316)</f>
        <v>1.3160000000000001</v>
      </c>
      <c r="I61" s="567">
        <f>IF(i_AE_NMA_option_num=2,1,1.082)</f>
        <v>1.0820000000000001</v>
      </c>
      <c r="J61" s="567">
        <f>IF(i_AE_NMA_option_num=2,1,1.034)</f>
        <v>1.034</v>
      </c>
      <c r="K61" s="567">
        <f>IF(i_AE_NMA_option_num=2,1,0.77)</f>
        <v>0.77</v>
      </c>
      <c r="L61" s="567">
        <f>IF(i_AE_NMA_option_num=2,1,1)</f>
        <v>1</v>
      </c>
      <c r="M61" s="567">
        <f>IF(i_AE_NMA_option_num=2,1,1.134)</f>
        <v>1.1339999999999999</v>
      </c>
      <c r="N61" s="567">
        <f>IF(i_AE_NMA_option_num=2,1,1.601)</f>
        <v>1.601</v>
      </c>
      <c r="O61" s="567">
        <f>IF(i_AE_NMA_option_num=2,1,1)</f>
        <v>1</v>
      </c>
      <c r="P61" s="567">
        <f>IF(i_AE_NMA_option_num=2,1,2.303)</f>
        <v>2.3029999999999999</v>
      </c>
      <c r="Q61" s="567">
        <f>IF(i_AE_NMA_option_num=2,1,0.944)</f>
        <v>0.94399999999999995</v>
      </c>
      <c r="R61" s="736">
        <f>IF(i_AE_NMA_option_num=2,1,1.367)</f>
        <v>1.367</v>
      </c>
      <c r="S61" s="728">
        <f>IF(i_AE_NMA_option_num=1,E61*$AQ28,E61*AG28)</f>
        <v>3.617514845440923E-2</v>
      </c>
      <c r="T61" s="1212">
        <f t="shared" ref="T61:AA61" si="75">IF(i_AE_NMA_option_num=1,F61*$AN28,F61*AH28)</f>
        <v>3.1990402141060838E-2</v>
      </c>
      <c r="U61" s="1212">
        <f t="shared" si="75"/>
        <v>2.0879034676879772E-2</v>
      </c>
      <c r="V61" s="1212">
        <f t="shared" si="75"/>
        <v>3.400595251828438E-2</v>
      </c>
      <c r="W61" s="1212">
        <f t="shared" si="75"/>
        <v>2.7959301386613757E-2</v>
      </c>
      <c r="X61" s="1212">
        <f t="shared" si="75"/>
        <v>2.671896269293773E-2</v>
      </c>
      <c r="Y61" s="1212">
        <f t="shared" si="75"/>
        <v>1.9897099877719586E-2</v>
      </c>
      <c r="Z61" s="1212">
        <f t="shared" si="75"/>
        <v>2.5840389451583876E-2</v>
      </c>
      <c r="AA61" s="1212">
        <f t="shared" si="75"/>
        <v>2.9303001638096113E-2</v>
      </c>
      <c r="AB61" s="1212">
        <f>IF(i_AE_NMA_option_num=1,N61*$AQ28,N61*AP28)</f>
        <v>9.9512736555857698E-2</v>
      </c>
      <c r="AC61" s="1212">
        <f>IF(i_AE_NMA_option_num=1,O61*$AQ28,O61*AQ28)</f>
        <v>6.2156612464620675E-2</v>
      </c>
      <c r="AD61" s="1212">
        <f>IF(i_AE_NMA_option_num=1,P61*$AQ28,P61*AR28)</f>
        <v>0.14314667850602142</v>
      </c>
      <c r="AE61" s="1212">
        <f>IF(i_AE_NMA_option_num=1,Q61*$AN28,Q61*AS28)</f>
        <v>2.4393327642295178E-2</v>
      </c>
      <c r="AF61" s="1213">
        <f>IF(i_AE_NMA_option_num=1,R61*$AQ28,R61*$AO28)</f>
        <v>8.4968089239136457E-2</v>
      </c>
      <c r="AG61" s="572"/>
      <c r="AH61" s="1214"/>
      <c r="AI61" s="1214"/>
      <c r="AJ61" s="1214"/>
      <c r="AK61" s="1214"/>
      <c r="AL61" s="1214"/>
      <c r="AM61" s="1214"/>
      <c r="AN61" s="1214"/>
      <c r="AO61" s="1214"/>
      <c r="AP61" s="1214"/>
      <c r="AQ61" s="1214"/>
      <c r="AR61" s="1214"/>
      <c r="AS61" s="1214"/>
      <c r="AT61" s="1214"/>
      <c r="AU61" s="575"/>
      <c r="AV61" s="576"/>
      <c r="CA61" s="17" t="str" cm="1">
        <f t="array" ref="CA61">INDEX(List_comparators,CB61+1)</f>
        <v>nivolumab_plus_ipilimumab</v>
      </c>
      <c r="CB61" s="17">
        <v>2</v>
      </c>
      <c r="CC61" s="17">
        <v>1</v>
      </c>
      <c r="CD61" s="17"/>
      <c r="CE61" s="17"/>
      <c r="CF61" s="17"/>
      <c r="CG61" s="17"/>
      <c r="CH61" s="17"/>
      <c r="CI61" s="17"/>
      <c r="CJ61" s="583"/>
      <c r="CK61" s="583"/>
      <c r="CL61" s="17" t="str">
        <v>Decreased appetite</v>
      </c>
      <c r="CM61" s="17">
        <v>3</v>
      </c>
      <c r="CN61" s="17">
        <v>0</v>
      </c>
      <c r="CO61" s="17">
        <f t="shared" ca="1" si="0"/>
        <v>0</v>
      </c>
      <c r="CP61" s="17"/>
      <c r="CQ61" s="17">
        <f t="shared" ca="1" si="71"/>
        <v>17690.709821428572</v>
      </c>
      <c r="CR61" s="17">
        <v>0</v>
      </c>
      <c r="CS61" s="17">
        <f t="shared" ca="1" si="72"/>
        <v>0</v>
      </c>
      <c r="CT61" s="17" t="str">
        <f t="shared" si="69"/>
        <v>one-off</v>
      </c>
      <c r="CU61" s="17" t="str">
        <f t="shared" si="70"/>
        <v>Yes</v>
      </c>
      <c r="CV61" s="17">
        <f t="shared" ca="1" si="73"/>
        <v>0.80800000000000005</v>
      </c>
      <c r="CW61" s="17">
        <f t="shared" ca="1" si="74"/>
        <v>0</v>
      </c>
      <c r="CY61" s="657">
        <v>6</v>
      </c>
      <c r="CZ61" s="17" t="str">
        <f t="shared" si="63"/>
        <v>nivolumab_plus_ipilimumab</v>
      </c>
      <c r="DA61" s="17">
        <f t="shared" si="64"/>
        <v>2</v>
      </c>
      <c r="DB61" s="17">
        <f t="shared" si="65"/>
        <v>1</v>
      </c>
      <c r="DC61" s="17" t="str">
        <f>"G3+ "&amp;$D$35</f>
        <v>G3+ Fatigue</v>
      </c>
      <c r="DD61" s="17">
        <f t="shared" ca="1" si="66"/>
        <v>7.1771681701774228E-4</v>
      </c>
      <c r="DE61" s="956">
        <f t="shared" ca="1" si="67"/>
        <v>34.35089285714286</v>
      </c>
      <c r="DG61" s="1008">
        <f t="shared" si="50"/>
        <v>662.61</v>
      </c>
      <c r="DH61" s="1009">
        <f t="shared" si="51"/>
        <v>-0.1</v>
      </c>
      <c r="DI61" s="1007">
        <f t="shared" si="49"/>
        <v>3</v>
      </c>
    </row>
    <row r="62" spans="4:119" ht="15.75" x14ac:dyDescent="0.2">
      <c r="D62" s="484" t="s">
        <v>705</v>
      </c>
      <c r="E62" s="581"/>
      <c r="F62" s="689"/>
      <c r="G62" s="566"/>
      <c r="H62" s="564"/>
      <c r="I62" s="564"/>
      <c r="J62" s="564"/>
      <c r="K62" s="564"/>
      <c r="L62" s="564"/>
      <c r="M62" s="564"/>
      <c r="N62" s="564"/>
      <c r="O62" s="564"/>
      <c r="P62" s="564"/>
      <c r="Q62" s="564"/>
      <c r="R62" s="737"/>
      <c r="S62" s="1188"/>
      <c r="T62" s="1189"/>
      <c r="U62" s="1189"/>
      <c r="V62" s="1189"/>
      <c r="W62" s="1189"/>
      <c r="X62" s="1189"/>
      <c r="Y62" s="1189"/>
      <c r="Z62" s="1189"/>
      <c r="AA62" s="1189"/>
      <c r="AB62" s="1189"/>
      <c r="AC62" s="1189"/>
      <c r="AD62" s="1189"/>
      <c r="AE62" s="1189"/>
      <c r="AF62" s="1190"/>
      <c r="AG62" s="1214"/>
      <c r="AH62" s="1214"/>
      <c r="AI62" s="1214"/>
      <c r="AJ62" s="1214"/>
      <c r="AK62" s="1214"/>
      <c r="AL62" s="1214"/>
      <c r="AM62" s="1214"/>
      <c r="AN62" s="1214"/>
      <c r="AO62" s="1214"/>
      <c r="AP62" s="1214"/>
      <c r="AQ62" s="1214"/>
      <c r="AR62" s="1214"/>
      <c r="AS62" s="1214"/>
      <c r="AT62" s="1214"/>
      <c r="AU62" s="573"/>
      <c r="AV62" s="572"/>
      <c r="CA62" s="17" t="str" cm="1">
        <f t="array" ref="CA62">INDEX(List_comparators,CB62+1)</f>
        <v>nivolumab_plus_ipilimumab</v>
      </c>
      <c r="CB62" s="17">
        <v>2</v>
      </c>
      <c r="CC62" s="17">
        <v>1</v>
      </c>
      <c r="CD62" s="17"/>
      <c r="CE62" s="17"/>
      <c r="CF62" s="17"/>
      <c r="CG62" s="17"/>
      <c r="CH62" s="17"/>
      <c r="CI62" s="17"/>
      <c r="CJ62" s="583"/>
      <c r="CK62" s="583"/>
      <c r="CL62" s="17" t="str">
        <v>Diarrhoea _TKI induced</v>
      </c>
      <c r="CM62" s="17">
        <v>4</v>
      </c>
      <c r="CN62" s="17">
        <v>0</v>
      </c>
      <c r="CO62" s="17">
        <f t="shared" ca="1" si="0"/>
        <v>0</v>
      </c>
      <c r="CP62" s="17"/>
      <c r="CQ62" s="17">
        <f t="shared" ca="1" si="71"/>
        <v>17690.709821428572</v>
      </c>
      <c r="CR62" s="17">
        <v>0</v>
      </c>
      <c r="CS62" s="17">
        <f t="shared" ca="1" si="72"/>
        <v>0</v>
      </c>
      <c r="CT62" s="17" t="str">
        <f t="shared" si="69"/>
        <v>one-off</v>
      </c>
      <c r="CU62" s="17" t="str">
        <f t="shared" si="70"/>
        <v>Yes</v>
      </c>
      <c r="CV62" s="17">
        <f t="shared" ca="1" si="73"/>
        <v>0.80800000000000005</v>
      </c>
      <c r="CW62" s="17">
        <f t="shared" ca="1" si="74"/>
        <v>1.8269155342269803E-3</v>
      </c>
      <c r="CY62" s="657">
        <v>7</v>
      </c>
      <c r="CZ62" s="17" t="str">
        <f t="shared" si="63"/>
        <v>nivolumab_plus_ipilimumab</v>
      </c>
      <c r="DA62" s="17">
        <f t="shared" si="64"/>
        <v>2</v>
      </c>
      <c r="DB62" s="17">
        <f t="shared" si="65"/>
        <v>1</v>
      </c>
      <c r="DC62" s="17" t="str">
        <f>"G3+ "&amp;$D$36</f>
        <v>G3+ HFS</v>
      </c>
      <c r="DD62" s="17">
        <f t="shared" ca="1" si="66"/>
        <v>1.6964215674964815E-3</v>
      </c>
      <c r="DE62" s="956">
        <f t="shared" ca="1" si="67"/>
        <v>34.35089285714286</v>
      </c>
      <c r="DG62" s="1008">
        <f t="shared" si="50"/>
        <v>621.42499999999995</v>
      </c>
      <c r="DH62" s="1009">
        <f t="shared" si="51"/>
        <v>-0.1</v>
      </c>
      <c r="DI62" s="1007">
        <f t="shared" si="49"/>
        <v>3</v>
      </c>
    </row>
    <row r="63" spans="4:119" x14ac:dyDescent="0.2">
      <c r="D63" s="672" t="str" cm="1">
        <f t="array" ref="D63:D84">List_AEs_g3</f>
        <v>ALT increased</v>
      </c>
      <c r="E63" s="693">
        <f t="shared" ref="E63:E84" si="76">IF(i_AE_NMA_option_num=2,1,0.582)</f>
        <v>0.58199999999999996</v>
      </c>
      <c r="F63" s="692">
        <f t="shared" ref="F63:F84" si="77">IF(i_AE_NMA_option_num=2,1,1.238)</f>
        <v>1.238</v>
      </c>
      <c r="G63" s="567">
        <f t="shared" ref="G63:G84" si="78">IF(i_AE_NMA_option_num=2,1,0.808)</f>
        <v>0.80800000000000005</v>
      </c>
      <c r="H63" s="567">
        <f t="shared" ref="H63:H84" si="79">IF(i_AE_NMA_option_num=2,1,1.316)</f>
        <v>1.3160000000000001</v>
      </c>
      <c r="I63" s="567">
        <f t="shared" ref="I63:I84" si="80">IF(i_AE_NMA_option_num=2,1,1.082)</f>
        <v>1.0820000000000001</v>
      </c>
      <c r="J63" s="567">
        <f t="shared" ref="J63:J84" si="81">IF(i_AE_NMA_option_num=2,1,1.034)</f>
        <v>1.034</v>
      </c>
      <c r="K63" s="567">
        <f t="shared" ref="K63:K84" si="82">IF(i_AE_NMA_option_num=2,1,0.77)</f>
        <v>0.77</v>
      </c>
      <c r="L63" s="567">
        <f t="shared" ref="L63:L84" si="83">IF(i_AE_NMA_option_num=2,1,1)</f>
        <v>1</v>
      </c>
      <c r="M63" s="567">
        <f t="shared" ref="M63:M84" si="84">IF(i_AE_NMA_option_num=2,1,1.134)</f>
        <v>1.1339999999999999</v>
      </c>
      <c r="N63" s="567">
        <f t="shared" ref="N63:N84" si="85">IF(i_AE_NMA_option_num=2,1,1.601)</f>
        <v>1.601</v>
      </c>
      <c r="O63" s="567">
        <f t="shared" ref="O63:O84" si="86">IF(i_AE_NMA_option_num=2,1,1)</f>
        <v>1</v>
      </c>
      <c r="P63" s="567">
        <f t="shared" ref="P63:P84" si="87">IF(i_AE_NMA_option_num=2,1,2.303)</f>
        <v>2.3029999999999999</v>
      </c>
      <c r="Q63" s="567">
        <f t="shared" ref="Q63:Q84" si="88">IF(i_AE_NMA_option_num=2,1,0.944)</f>
        <v>0.94399999999999995</v>
      </c>
      <c r="R63" s="736">
        <f t="shared" ref="R63:R84" si="89">IF(i_AE_NMA_option_num=2,1,1.367)</f>
        <v>1.367</v>
      </c>
      <c r="S63" s="729">
        <f t="shared" ref="S63:S83" si="90">IF(i_AE_NMA_option_num=1,E63*$AQ30,E63*AG30)</f>
        <v>0</v>
      </c>
      <c r="T63" s="1209">
        <f t="shared" ref="T63:T83" si="91">IF(i_AE_NMA_option_num=1,F63*$AN30,F63*AH30)</f>
        <v>0</v>
      </c>
      <c r="U63" s="1209">
        <f t="shared" ref="U63:U83" si="92">IF(i_AE_NMA_option_num=1,G63*$AN30,G63*AI30)</f>
        <v>0</v>
      </c>
      <c r="V63" s="1209">
        <f t="shared" ref="V63:V83" si="93">IF(i_AE_NMA_option_num=1,H63*$AN30,H63*AJ30)</f>
        <v>0</v>
      </c>
      <c r="W63" s="1209">
        <f t="shared" ref="W63:W83" si="94">IF(i_AE_NMA_option_num=1,I63*$AN30,I63*AK30)</f>
        <v>0</v>
      </c>
      <c r="X63" s="1209">
        <f t="shared" ref="X63:X83" si="95">IF(i_AE_NMA_option_num=1,J63*$AN30,J63*AL30)</f>
        <v>0</v>
      </c>
      <c r="Y63" s="1209">
        <f t="shared" ref="Y63:Y83" si="96">IF(i_AE_NMA_option_num=1,K63*$AN30,K63*AM30)</f>
        <v>0</v>
      </c>
      <c r="Z63" s="1209">
        <f t="shared" ref="Z63:Z83" si="97">IF(i_AE_NMA_option_num=1,L63*$AN30,L63*AN30)</f>
        <v>0</v>
      </c>
      <c r="AA63" s="1215">
        <f t="shared" ref="AA63:AA83" si="98">IF(i_AE_NMA_option_num=1,M63*$AN30,M63*AO30)</f>
        <v>0</v>
      </c>
      <c r="AB63" s="732">
        <f>IF(i_AE_NMA_option_num=1,N63*$AQ30,N63*AP30)</f>
        <v>0</v>
      </c>
      <c r="AC63" s="732">
        <f>IF(i_AE_NMA_option_num=1,O63*$AQ30,O63*AQ30)</f>
        <v>0</v>
      </c>
      <c r="AD63" s="732">
        <f>IF(i_AE_NMA_option_num=1,P63*$AQ30,P63*AR30)</f>
        <v>0</v>
      </c>
      <c r="AE63" s="732">
        <f t="shared" ref="AE63:AE83" si="99">IF(i_AE_NMA_option_num=1,Q63*$AN30,Q63*AS30)</f>
        <v>0</v>
      </c>
      <c r="AF63" s="1194">
        <f t="shared" ref="AF63:AF83" si="100">IF(i_AE_NMA_option_num=1,R63*$AQ30,R63*$AO30)</f>
        <v>0</v>
      </c>
      <c r="AG63" s="1214"/>
      <c r="AH63" s="1214"/>
      <c r="AI63" s="1214"/>
      <c r="AJ63" s="1214"/>
      <c r="AK63" s="1214"/>
      <c r="AL63" s="1214"/>
      <c r="AM63" s="1214"/>
      <c r="AN63" s="1214"/>
      <c r="AO63" s="1214"/>
      <c r="AP63" s="1214"/>
      <c r="AQ63" s="1214"/>
      <c r="AR63" s="1214"/>
      <c r="AS63" s="1214"/>
      <c r="AT63" s="1214"/>
      <c r="AU63" s="575"/>
      <c r="AV63" s="576"/>
      <c r="CA63" s="17" t="str" cm="1">
        <f t="array" ref="CA63">INDEX(List_comparators,CB63+1)</f>
        <v>nivolumab_plus_ipilimumab</v>
      </c>
      <c r="CB63" s="17">
        <v>2</v>
      </c>
      <c r="CC63" s="17">
        <v>1</v>
      </c>
      <c r="CD63" s="17"/>
      <c r="CE63" s="17"/>
      <c r="CF63" s="17"/>
      <c r="CG63" s="17"/>
      <c r="CH63" s="17"/>
      <c r="CI63" s="17"/>
      <c r="CJ63" s="583"/>
      <c r="CK63" s="583"/>
      <c r="CL63" s="17" t="str">
        <v>Diarrhoea _IO induced</v>
      </c>
      <c r="CM63" s="17">
        <v>5</v>
      </c>
      <c r="CN63" s="17">
        <v>0</v>
      </c>
      <c r="CO63" s="17">
        <f t="shared" ca="1" si="0"/>
        <v>0</v>
      </c>
      <c r="CP63" s="17"/>
      <c r="CQ63" s="17">
        <f t="shared" ca="1" si="71"/>
        <v>17690.709821428572</v>
      </c>
      <c r="CR63" s="17">
        <v>0</v>
      </c>
      <c r="CS63" s="17">
        <f t="shared" ca="1" si="72"/>
        <v>0</v>
      </c>
      <c r="CT63" s="17" t="str">
        <f t="shared" si="69"/>
        <v>one-off</v>
      </c>
      <c r="CU63" s="17" t="str">
        <f t="shared" si="70"/>
        <v>Yes</v>
      </c>
      <c r="CV63" s="17">
        <f t="shared" ca="1" si="73"/>
        <v>0.80800000000000005</v>
      </c>
      <c r="CW63" s="17">
        <f t="shared" ca="1" si="74"/>
        <v>0</v>
      </c>
      <c r="CY63" s="657">
        <v>8</v>
      </c>
      <c r="CZ63" s="17" t="str">
        <f t="shared" si="63"/>
        <v>nivolumab_plus_ipilimumab</v>
      </c>
      <c r="DA63" s="17">
        <f t="shared" si="64"/>
        <v>2</v>
      </c>
      <c r="DB63" s="17">
        <f t="shared" si="65"/>
        <v>1</v>
      </c>
      <c r="DC63" s="17" t="str">
        <f>"G3+ "&amp;$D$37</f>
        <v>G3+ Hypertension</v>
      </c>
      <c r="DD63" s="17">
        <f t="shared" ca="1" si="66"/>
        <v>2.5446323512447223E-3</v>
      </c>
      <c r="DE63" s="956">
        <f t="shared" ca="1" si="67"/>
        <v>34.35089285714286</v>
      </c>
      <c r="DG63" s="1008">
        <f t="shared" si="50"/>
        <v>424.6</v>
      </c>
      <c r="DH63" s="1009">
        <f t="shared" si="51"/>
        <v>-0.1</v>
      </c>
      <c r="DI63" s="1007">
        <f t="shared" si="49"/>
        <v>3</v>
      </c>
    </row>
    <row r="64" spans="4:119" x14ac:dyDescent="0.2">
      <c r="D64" s="673" t="str">
        <v>Anaemia</v>
      </c>
      <c r="E64" s="693">
        <f t="shared" si="76"/>
        <v>0.58199999999999996</v>
      </c>
      <c r="F64" s="692">
        <f t="shared" si="77"/>
        <v>1.238</v>
      </c>
      <c r="G64" s="567">
        <f t="shared" si="78"/>
        <v>0.80800000000000005</v>
      </c>
      <c r="H64" s="567">
        <f t="shared" si="79"/>
        <v>1.3160000000000001</v>
      </c>
      <c r="I64" s="567">
        <f t="shared" si="80"/>
        <v>1.0820000000000001</v>
      </c>
      <c r="J64" s="567">
        <f t="shared" si="81"/>
        <v>1.034</v>
      </c>
      <c r="K64" s="567">
        <f t="shared" si="82"/>
        <v>0.77</v>
      </c>
      <c r="L64" s="567">
        <f t="shared" si="83"/>
        <v>1</v>
      </c>
      <c r="M64" s="567">
        <f t="shared" si="84"/>
        <v>1.1339999999999999</v>
      </c>
      <c r="N64" s="567">
        <f t="shared" si="85"/>
        <v>1.601</v>
      </c>
      <c r="O64" s="567">
        <f t="shared" si="86"/>
        <v>1</v>
      </c>
      <c r="P64" s="567">
        <f t="shared" si="87"/>
        <v>2.3029999999999999</v>
      </c>
      <c r="Q64" s="567">
        <f t="shared" si="88"/>
        <v>0.94399999999999995</v>
      </c>
      <c r="R64" s="736">
        <f t="shared" si="89"/>
        <v>1.367</v>
      </c>
      <c r="S64" s="729">
        <f t="shared" si="90"/>
        <v>2.8247597029891344E-3</v>
      </c>
      <c r="T64" s="1209">
        <f t="shared" si="91"/>
        <v>0</v>
      </c>
      <c r="U64" s="1209">
        <f t="shared" si="92"/>
        <v>0</v>
      </c>
      <c r="V64" s="1209">
        <f t="shared" si="93"/>
        <v>0</v>
      </c>
      <c r="W64" s="1209">
        <f t="shared" si="94"/>
        <v>0</v>
      </c>
      <c r="X64" s="1209">
        <f t="shared" si="95"/>
        <v>0</v>
      </c>
      <c r="Y64" s="1209">
        <f t="shared" si="96"/>
        <v>0</v>
      </c>
      <c r="Z64" s="1209">
        <f t="shared" si="97"/>
        <v>0</v>
      </c>
      <c r="AA64" s="1215">
        <f t="shared" si="98"/>
        <v>0</v>
      </c>
      <c r="AB64" s="732">
        <f t="shared" ref="AB64:AB83" si="101">IF(i_AE_NMA_option_num=1,N64*$AQ31,N64*AP31)</f>
        <v>7.7705159527244059E-3</v>
      </c>
      <c r="AC64" s="732">
        <f t="shared" ref="AC64:AC83" si="102">IF(i_AE_NMA_option_num=1,O64*$AQ31,O64*AQ31)</f>
        <v>4.8535390085723959E-3</v>
      </c>
      <c r="AD64" s="1209">
        <f t="shared" ref="AD64:AD83" si="103">P64*AR31</f>
        <v>0</v>
      </c>
      <c r="AE64" s="1209">
        <f t="shared" si="99"/>
        <v>0</v>
      </c>
      <c r="AF64" s="1194">
        <f t="shared" si="100"/>
        <v>6.634787824718465E-3</v>
      </c>
      <c r="AG64" s="1214"/>
      <c r="AH64" s="1214"/>
      <c r="AI64" s="1214"/>
      <c r="AJ64" s="1214"/>
      <c r="AK64" s="1214"/>
      <c r="AL64" s="1214"/>
      <c r="AM64" s="1214"/>
      <c r="AN64" s="1214"/>
      <c r="AO64" s="1214"/>
      <c r="AP64" s="1214"/>
      <c r="AQ64" s="1214"/>
      <c r="AR64" s="1214"/>
      <c r="AS64" s="1214"/>
      <c r="AT64" s="1214"/>
      <c r="AU64" s="575"/>
      <c r="AV64" s="576"/>
      <c r="CA64" s="17" t="str" cm="1">
        <f t="array" ref="CA64">INDEX(List_comparators,CB64+1)</f>
        <v>nivolumab_plus_ipilimumab</v>
      </c>
      <c r="CB64" s="17">
        <v>2</v>
      </c>
      <c r="CC64" s="17">
        <v>1</v>
      </c>
      <c r="CD64" s="17"/>
      <c r="CE64" s="17"/>
      <c r="CF64" s="17"/>
      <c r="CG64" s="17"/>
      <c r="CH64" s="17"/>
      <c r="CI64" s="17"/>
      <c r="CJ64" s="583"/>
      <c r="CK64" s="583"/>
      <c r="CL64" s="17" t="str">
        <v>Fatigue</v>
      </c>
      <c r="CM64" s="17">
        <v>6</v>
      </c>
      <c r="CN64" s="17">
        <v>0</v>
      </c>
      <c r="CO64" s="17">
        <f t="shared" ca="1" si="0"/>
        <v>0</v>
      </c>
      <c r="CP64" s="17"/>
      <c r="CQ64" s="17">
        <f t="shared" ca="1" si="71"/>
        <v>17690.709821428572</v>
      </c>
      <c r="CR64" s="17">
        <v>0</v>
      </c>
      <c r="CS64" s="17">
        <f t="shared" ca="1" si="72"/>
        <v>0</v>
      </c>
      <c r="CT64" s="17" t="str">
        <f t="shared" si="69"/>
        <v>one-off</v>
      </c>
      <c r="CU64" s="17" t="str">
        <f t="shared" si="70"/>
        <v>Yes</v>
      </c>
      <c r="CV64" s="17">
        <f t="shared" ca="1" si="73"/>
        <v>0.80800000000000005</v>
      </c>
      <c r="CW64" s="17">
        <f t="shared" ca="1" si="74"/>
        <v>7.1771681701774228E-4</v>
      </c>
      <c r="CY64" s="657">
        <v>9</v>
      </c>
      <c r="CZ64" s="17" t="str">
        <f t="shared" si="63"/>
        <v>nivolumab_plus_ipilimumab</v>
      </c>
      <c r="DA64" s="17">
        <f t="shared" si="64"/>
        <v>2</v>
      </c>
      <c r="DB64" s="17">
        <f t="shared" si="65"/>
        <v>1</v>
      </c>
      <c r="DC64" s="17" t="str">
        <f>"G3+ "&amp;$D$38</f>
        <v>G3+ Hypertriglyceridemia</v>
      </c>
      <c r="DD64" s="17">
        <f t="shared" ca="1" si="66"/>
        <v>0</v>
      </c>
      <c r="DE64" s="956">
        <f t="shared" ca="1" si="67"/>
        <v>34.35089285714286</v>
      </c>
      <c r="DG64" s="1008">
        <f t="shared" si="50"/>
        <v>0</v>
      </c>
      <c r="DH64" s="1009">
        <f t="shared" si="51"/>
        <v>-0.1</v>
      </c>
      <c r="DI64" s="1007">
        <f t="shared" si="49"/>
        <v>3</v>
      </c>
    </row>
    <row r="65" spans="4:113" x14ac:dyDescent="0.2">
      <c r="D65" s="673" t="str">
        <v>Decreased appetite</v>
      </c>
      <c r="E65" s="693">
        <f t="shared" si="76"/>
        <v>0.58199999999999996</v>
      </c>
      <c r="F65" s="692">
        <f t="shared" si="77"/>
        <v>1.238</v>
      </c>
      <c r="G65" s="567">
        <f t="shared" si="78"/>
        <v>0.80800000000000005</v>
      </c>
      <c r="H65" s="567">
        <f t="shared" si="79"/>
        <v>1.3160000000000001</v>
      </c>
      <c r="I65" s="567">
        <f t="shared" si="80"/>
        <v>1.0820000000000001</v>
      </c>
      <c r="J65" s="567">
        <f t="shared" si="81"/>
        <v>1.034</v>
      </c>
      <c r="K65" s="567">
        <f t="shared" si="82"/>
        <v>0.77</v>
      </c>
      <c r="L65" s="567">
        <f t="shared" si="83"/>
        <v>1</v>
      </c>
      <c r="M65" s="567">
        <f t="shared" si="84"/>
        <v>1.1339999999999999</v>
      </c>
      <c r="N65" s="567">
        <f t="shared" si="85"/>
        <v>1.601</v>
      </c>
      <c r="O65" s="567">
        <f t="shared" si="86"/>
        <v>1</v>
      </c>
      <c r="P65" s="567">
        <f t="shared" si="87"/>
        <v>2.3029999999999999</v>
      </c>
      <c r="Q65" s="567">
        <f t="shared" si="88"/>
        <v>0.94399999999999995</v>
      </c>
      <c r="R65" s="736">
        <f t="shared" si="89"/>
        <v>1.367</v>
      </c>
      <c r="S65" s="729">
        <f t="shared" si="90"/>
        <v>0</v>
      </c>
      <c r="T65" s="1209">
        <f t="shared" si="91"/>
        <v>0</v>
      </c>
      <c r="U65" s="1209">
        <f t="shared" si="92"/>
        <v>0</v>
      </c>
      <c r="V65" s="1209">
        <f t="shared" si="93"/>
        <v>0</v>
      </c>
      <c r="W65" s="1209">
        <f t="shared" si="94"/>
        <v>0</v>
      </c>
      <c r="X65" s="1209">
        <f t="shared" si="95"/>
        <v>0</v>
      </c>
      <c r="Y65" s="1209">
        <f t="shared" si="96"/>
        <v>0</v>
      </c>
      <c r="Z65" s="1209">
        <f t="shared" si="97"/>
        <v>0</v>
      </c>
      <c r="AA65" s="1215">
        <f t="shared" si="98"/>
        <v>0</v>
      </c>
      <c r="AB65" s="732">
        <f t="shared" si="101"/>
        <v>0</v>
      </c>
      <c r="AC65" s="732">
        <f t="shared" si="102"/>
        <v>0</v>
      </c>
      <c r="AD65" s="1209">
        <f t="shared" si="103"/>
        <v>0</v>
      </c>
      <c r="AE65" s="1209">
        <f t="shared" si="99"/>
        <v>0</v>
      </c>
      <c r="AF65" s="1194">
        <f t="shared" si="100"/>
        <v>0</v>
      </c>
      <c r="AG65" s="1214"/>
      <c r="AH65" s="1214"/>
      <c r="AI65" s="1214"/>
      <c r="AJ65" s="1214"/>
      <c r="AK65" s="1214"/>
      <c r="AL65" s="1214"/>
      <c r="AM65" s="1214"/>
      <c r="AN65" s="1214"/>
      <c r="AO65" s="1214"/>
      <c r="AP65" s="1214"/>
      <c r="AQ65" s="1214"/>
      <c r="AR65" s="1214"/>
      <c r="AS65" s="1214"/>
      <c r="AT65" s="1214"/>
      <c r="AU65" s="575"/>
      <c r="AV65" s="576"/>
      <c r="CA65" s="17" t="str" cm="1">
        <f t="array" ref="CA65">INDEX(List_comparators,CB65+1)</f>
        <v>nivolumab_plus_ipilimumab</v>
      </c>
      <c r="CB65" s="17">
        <v>2</v>
      </c>
      <c r="CC65" s="17">
        <v>1</v>
      </c>
      <c r="CD65" s="17"/>
      <c r="CE65" s="17"/>
      <c r="CF65" s="17"/>
      <c r="CG65" s="17"/>
      <c r="CH65" s="17"/>
      <c r="CI65" s="17"/>
      <c r="CJ65" s="583"/>
      <c r="CK65" s="583"/>
      <c r="CL65" s="17" t="str">
        <v>HFS</v>
      </c>
      <c r="CM65" s="17">
        <v>7</v>
      </c>
      <c r="CN65" s="17">
        <v>0</v>
      </c>
      <c r="CO65" s="17">
        <f t="shared" ca="1" si="0"/>
        <v>0</v>
      </c>
      <c r="CP65" s="17"/>
      <c r="CQ65" s="17">
        <f t="shared" ca="1" si="71"/>
        <v>17690.709821428572</v>
      </c>
      <c r="CR65" s="17">
        <v>0</v>
      </c>
      <c r="CS65" s="17">
        <f t="shared" ca="1" si="72"/>
        <v>0</v>
      </c>
      <c r="CT65" s="17" t="str">
        <f t="shared" si="69"/>
        <v>one-off</v>
      </c>
      <c r="CU65" s="17" t="str">
        <f t="shared" si="70"/>
        <v>Yes</v>
      </c>
      <c r="CV65" s="17">
        <f t="shared" ca="1" si="73"/>
        <v>0.80800000000000005</v>
      </c>
      <c r="CW65" s="17">
        <f t="shared" ca="1" si="74"/>
        <v>1.6964215674964815E-3</v>
      </c>
      <c r="CY65" s="657">
        <v>10</v>
      </c>
      <c r="CZ65" s="17" t="str">
        <f t="shared" si="63"/>
        <v>nivolumab_plus_ipilimumab</v>
      </c>
      <c r="DA65" s="17">
        <f t="shared" si="64"/>
        <v>2</v>
      </c>
      <c r="DB65" s="17">
        <f t="shared" si="65"/>
        <v>1</v>
      </c>
      <c r="DC65" s="17" t="str">
        <f>"G3+ "&amp;$D$39</f>
        <v>G3+ Hyponatraemia</v>
      </c>
      <c r="DD65" s="17">
        <f t="shared" ca="1" si="66"/>
        <v>8.4821078374824074E-4</v>
      </c>
      <c r="DE65" s="956">
        <f t="shared" ca="1" si="67"/>
        <v>34.35089285714286</v>
      </c>
      <c r="DG65" s="1008">
        <f t="shared" si="50"/>
        <v>574.71</v>
      </c>
      <c r="DH65" s="1009">
        <f t="shared" si="51"/>
        <v>-0.1</v>
      </c>
      <c r="DI65" s="1007">
        <f t="shared" si="49"/>
        <v>3</v>
      </c>
    </row>
    <row r="66" spans="4:113" x14ac:dyDescent="0.2">
      <c r="D66" s="673" t="str">
        <v>Diarrhoea _TKI induced</v>
      </c>
      <c r="E66" s="693">
        <f t="shared" si="76"/>
        <v>0.58199999999999996</v>
      </c>
      <c r="F66" s="692">
        <f t="shared" si="77"/>
        <v>1.238</v>
      </c>
      <c r="G66" s="567">
        <f t="shared" si="78"/>
        <v>0.80800000000000005</v>
      </c>
      <c r="H66" s="567">
        <f t="shared" si="79"/>
        <v>1.3160000000000001</v>
      </c>
      <c r="I66" s="567">
        <f t="shared" si="80"/>
        <v>1.0820000000000001</v>
      </c>
      <c r="J66" s="567">
        <f t="shared" si="81"/>
        <v>1.034</v>
      </c>
      <c r="K66" s="567">
        <f t="shared" si="82"/>
        <v>0.77</v>
      </c>
      <c r="L66" s="567">
        <f t="shared" si="83"/>
        <v>1</v>
      </c>
      <c r="M66" s="567">
        <f t="shared" si="84"/>
        <v>1.1339999999999999</v>
      </c>
      <c r="N66" s="567">
        <f t="shared" si="85"/>
        <v>1.601</v>
      </c>
      <c r="O66" s="567">
        <f t="shared" si="86"/>
        <v>1</v>
      </c>
      <c r="P66" s="567">
        <f t="shared" si="87"/>
        <v>2.3029999999999999</v>
      </c>
      <c r="Q66" s="567">
        <f t="shared" si="88"/>
        <v>0.94399999999999995</v>
      </c>
      <c r="R66" s="736">
        <f t="shared" si="89"/>
        <v>1.367</v>
      </c>
      <c r="S66" s="729">
        <f t="shared" ca="1" si="90"/>
        <v>4.5560640370792478E-4</v>
      </c>
      <c r="T66" s="1209">
        <f t="shared" ca="1" si="91"/>
        <v>2.7991601873428237E-3</v>
      </c>
      <c r="U66" s="1209">
        <f t="shared" ca="1" si="92"/>
        <v>1.8269155342269803E-3</v>
      </c>
      <c r="V66" s="1209">
        <f t="shared" ca="1" si="93"/>
        <v>2.9755208453498836E-3</v>
      </c>
      <c r="W66" s="1209">
        <f t="shared" ca="1" si="94"/>
        <v>2.4464388713287041E-3</v>
      </c>
      <c r="X66" s="1209">
        <f t="shared" ca="1" si="95"/>
        <v>2.3379092356320516E-3</v>
      </c>
      <c r="Y66" s="1209">
        <f t="shared" ca="1" si="96"/>
        <v>1.7409962393004639E-3</v>
      </c>
      <c r="Z66" s="1209">
        <f t="shared" ca="1" si="97"/>
        <v>2.2610340770135894E-3</v>
      </c>
      <c r="AA66" s="1215">
        <f t="shared" ca="1" si="98"/>
        <v>2.56401264333341E-3</v>
      </c>
      <c r="AB66" s="732">
        <f t="shared" ca="1" si="101"/>
        <v>1.2533090246329684E-3</v>
      </c>
      <c r="AC66" s="732">
        <f t="shared" ca="1" si="102"/>
        <v>7.8282887235038632E-4</v>
      </c>
      <c r="AD66" s="1209">
        <f t="shared" ca="1" si="103"/>
        <v>9.2207992770243618E-3</v>
      </c>
      <c r="AE66" s="1209">
        <f t="shared" ca="1" si="99"/>
        <v>2.1344161687008281E-3</v>
      </c>
      <c r="AF66" s="1194">
        <f t="shared" ca="1" si="100"/>
        <v>1.0701270685029782E-3</v>
      </c>
      <c r="AG66" s="1214"/>
      <c r="AH66" s="1214"/>
      <c r="AI66" s="1214"/>
      <c r="AJ66" s="1214"/>
      <c r="AK66" s="1214"/>
      <c r="AL66" s="1214"/>
      <c r="AM66" s="1214"/>
      <c r="AN66" s="1214"/>
      <c r="AO66" s="1214"/>
      <c r="AP66" s="1214"/>
      <c r="AQ66" s="1214"/>
      <c r="AR66" s="1214"/>
      <c r="AS66" s="1214"/>
      <c r="AT66" s="1214"/>
      <c r="AU66" s="575"/>
      <c r="AV66" s="576"/>
      <c r="CA66" s="17" t="str" cm="1">
        <f t="array" ref="CA66">INDEX(List_comparators,CB66+1)</f>
        <v>nivolumab_plus_ipilimumab</v>
      </c>
      <c r="CB66" s="17">
        <v>2</v>
      </c>
      <c r="CC66" s="17">
        <v>1</v>
      </c>
      <c r="CD66" s="17"/>
      <c r="CE66" s="17"/>
      <c r="CF66" s="17"/>
      <c r="CG66" s="17"/>
      <c r="CH66" s="17"/>
      <c r="CI66" s="17"/>
      <c r="CJ66" s="583"/>
      <c r="CK66" s="583"/>
      <c r="CL66" s="17" t="str">
        <v>Hypertension</v>
      </c>
      <c r="CM66" s="17">
        <v>8</v>
      </c>
      <c r="CN66" s="17">
        <v>0</v>
      </c>
      <c r="CO66" s="17">
        <f t="shared" ca="1" si="0"/>
        <v>0</v>
      </c>
      <c r="CP66" s="17"/>
      <c r="CQ66" s="17">
        <f t="shared" ca="1" si="71"/>
        <v>17690.709821428572</v>
      </c>
      <c r="CR66" s="17">
        <v>0</v>
      </c>
      <c r="CS66" s="17">
        <f t="shared" ca="1" si="72"/>
        <v>0</v>
      </c>
      <c r="CT66" s="17" t="str">
        <f t="shared" si="69"/>
        <v>one-off</v>
      </c>
      <c r="CU66" s="17" t="str">
        <f t="shared" si="70"/>
        <v>Yes</v>
      </c>
      <c r="CV66" s="17">
        <f t="shared" ca="1" si="73"/>
        <v>0.80800000000000005</v>
      </c>
      <c r="CW66" s="17">
        <f t="shared" ca="1" si="74"/>
        <v>2.5446323512447223E-3</v>
      </c>
      <c r="CY66" s="657">
        <v>11</v>
      </c>
      <c r="CZ66" s="17" t="str">
        <f t="shared" si="63"/>
        <v>nivolumab_plus_ipilimumab</v>
      </c>
      <c r="DA66" s="17">
        <f t="shared" si="64"/>
        <v>2</v>
      </c>
      <c r="DB66" s="17">
        <f t="shared" si="65"/>
        <v>1</v>
      </c>
      <c r="DC66" s="17" t="str">
        <f>"G3+ "&amp;$D$40</f>
        <v>G3+ Hypophosphatemia</v>
      </c>
      <c r="DD66" s="17">
        <f t="shared" ca="1" si="66"/>
        <v>8.4821078374824074E-4</v>
      </c>
      <c r="DE66" s="956">
        <f t="shared" ca="1" si="67"/>
        <v>34.35089285714286</v>
      </c>
      <c r="DG66" s="1008">
        <f t="shared" si="50"/>
        <v>0</v>
      </c>
      <c r="DH66" s="1009">
        <f t="shared" si="51"/>
        <v>-0.1</v>
      </c>
      <c r="DI66" s="1007">
        <f t="shared" si="49"/>
        <v>3</v>
      </c>
    </row>
    <row r="67" spans="4:113" x14ac:dyDescent="0.2">
      <c r="D67" s="673" t="str">
        <v>Diarrhoea _IO induced</v>
      </c>
      <c r="E67" s="693">
        <f t="shared" si="76"/>
        <v>0.58199999999999996</v>
      </c>
      <c r="F67" s="692">
        <f t="shared" si="77"/>
        <v>1.238</v>
      </c>
      <c r="G67" s="567">
        <f t="shared" si="78"/>
        <v>0.80800000000000005</v>
      </c>
      <c r="H67" s="567">
        <f t="shared" si="79"/>
        <v>1.3160000000000001</v>
      </c>
      <c r="I67" s="567">
        <f t="shared" si="80"/>
        <v>1.0820000000000001</v>
      </c>
      <c r="J67" s="567">
        <f t="shared" si="81"/>
        <v>1.034</v>
      </c>
      <c r="K67" s="567">
        <f t="shared" si="82"/>
        <v>0.77</v>
      </c>
      <c r="L67" s="567">
        <f t="shared" si="83"/>
        <v>1</v>
      </c>
      <c r="M67" s="567">
        <f t="shared" si="84"/>
        <v>1.1339999999999999</v>
      </c>
      <c r="N67" s="567">
        <f t="shared" si="85"/>
        <v>1.601</v>
      </c>
      <c r="O67" s="567">
        <f t="shared" si="86"/>
        <v>1</v>
      </c>
      <c r="P67" s="567">
        <f t="shared" si="87"/>
        <v>2.3029999999999999</v>
      </c>
      <c r="Q67" s="567">
        <f t="shared" si="88"/>
        <v>0.94399999999999995</v>
      </c>
      <c r="R67" s="736">
        <f t="shared" si="89"/>
        <v>1.367</v>
      </c>
      <c r="S67" s="729">
        <f t="shared" ca="1" si="90"/>
        <v>0</v>
      </c>
      <c r="T67" s="1209">
        <f t="shared" ca="1" si="91"/>
        <v>0</v>
      </c>
      <c r="U67" s="1209">
        <f t="shared" ca="1" si="92"/>
        <v>0</v>
      </c>
      <c r="V67" s="1209">
        <f t="shared" ca="1" si="93"/>
        <v>0</v>
      </c>
      <c r="W67" s="1209">
        <f t="shared" ca="1" si="94"/>
        <v>0</v>
      </c>
      <c r="X67" s="1209">
        <f t="shared" ca="1" si="95"/>
        <v>0</v>
      </c>
      <c r="Y67" s="1209">
        <f t="shared" ca="1" si="96"/>
        <v>0</v>
      </c>
      <c r="Z67" s="1209">
        <f t="shared" ca="1" si="97"/>
        <v>0</v>
      </c>
      <c r="AA67" s="1215">
        <f t="shared" ca="1" si="98"/>
        <v>0</v>
      </c>
      <c r="AB67" s="732">
        <f t="shared" ca="1" si="101"/>
        <v>0</v>
      </c>
      <c r="AC67" s="732">
        <f t="shared" ca="1" si="102"/>
        <v>0</v>
      </c>
      <c r="AD67" s="1209">
        <f t="shared" ca="1" si="103"/>
        <v>0</v>
      </c>
      <c r="AE67" s="1209">
        <f t="shared" ca="1" si="99"/>
        <v>0</v>
      </c>
      <c r="AF67" s="1194">
        <f t="shared" ca="1" si="100"/>
        <v>0</v>
      </c>
      <c r="AG67" s="1214"/>
      <c r="AH67" s="1214"/>
      <c r="AI67" s="1214"/>
      <c r="AJ67" s="1214"/>
      <c r="AK67" s="1214"/>
      <c r="AL67" s="1214"/>
      <c r="AM67" s="1214"/>
      <c r="AN67" s="1214"/>
      <c r="AO67" s="1214"/>
      <c r="AP67" s="1214"/>
      <c r="AQ67" s="1214"/>
      <c r="AR67" s="1214"/>
      <c r="AS67" s="1214"/>
      <c r="AT67" s="1214"/>
      <c r="AU67" s="575"/>
      <c r="AV67" s="576"/>
      <c r="CA67" s="17" t="str" cm="1">
        <f t="array" ref="CA67">INDEX(List_comparators,CB67+1)</f>
        <v>nivolumab_plus_ipilimumab</v>
      </c>
      <c r="CB67" s="17">
        <v>2</v>
      </c>
      <c r="CC67" s="17">
        <v>1</v>
      </c>
      <c r="CD67" s="17"/>
      <c r="CE67" s="17"/>
      <c r="CF67" s="17"/>
      <c r="CG67" s="17"/>
      <c r="CH67" s="17"/>
      <c r="CI67" s="17"/>
      <c r="CJ67" s="583"/>
      <c r="CK67" s="583"/>
      <c r="CL67" s="17" t="str">
        <v>Hypertriglyceridemia</v>
      </c>
      <c r="CM67" s="17">
        <v>9</v>
      </c>
      <c r="CN67" s="17">
        <v>0</v>
      </c>
      <c r="CO67" s="17">
        <f t="shared" ca="1" si="0"/>
        <v>0</v>
      </c>
      <c r="CP67" s="17"/>
      <c r="CQ67" s="17">
        <f t="shared" ca="1" si="71"/>
        <v>17690.709821428572</v>
      </c>
      <c r="CR67" s="17">
        <v>0</v>
      </c>
      <c r="CS67" s="17">
        <f t="shared" ca="1" si="72"/>
        <v>0</v>
      </c>
      <c r="CT67" s="17" t="str">
        <f t="shared" si="69"/>
        <v>one-off</v>
      </c>
      <c r="CU67" s="17" t="str">
        <f t="shared" si="70"/>
        <v>Yes</v>
      </c>
      <c r="CV67" s="17">
        <f t="shared" ca="1" si="73"/>
        <v>0.80800000000000005</v>
      </c>
      <c r="CW67" s="17">
        <f t="shared" ca="1" si="74"/>
        <v>0</v>
      </c>
      <c r="CY67" s="657">
        <v>12</v>
      </c>
      <c r="CZ67" s="17" t="str">
        <f t="shared" si="63"/>
        <v>nivolumab_plus_ipilimumab</v>
      </c>
      <c r="DA67" s="17">
        <f t="shared" si="64"/>
        <v>2</v>
      </c>
      <c r="DB67" s="17">
        <f t="shared" si="65"/>
        <v>1</v>
      </c>
      <c r="DC67" s="17" t="str">
        <f>"G3+ "&amp;$D$41</f>
        <v>G3+ Increase in lipase</v>
      </c>
      <c r="DD67" s="17">
        <f t="shared" ca="1" si="66"/>
        <v>0</v>
      </c>
      <c r="DE67" s="956">
        <f t="shared" ca="1" si="67"/>
        <v>34.35089285714286</v>
      </c>
      <c r="DG67" s="1008">
        <f t="shared" si="50"/>
        <v>655.75</v>
      </c>
      <c r="DH67" s="1009">
        <f t="shared" si="51"/>
        <v>-0.1</v>
      </c>
      <c r="DI67" s="1007">
        <f t="shared" si="49"/>
        <v>3</v>
      </c>
    </row>
    <row r="68" spans="4:113" x14ac:dyDescent="0.2">
      <c r="D68" s="673" t="str">
        <v>Fatigue</v>
      </c>
      <c r="E68" s="693">
        <f t="shared" si="76"/>
        <v>0.58199999999999996</v>
      </c>
      <c r="F68" s="692">
        <f t="shared" si="77"/>
        <v>1.238</v>
      </c>
      <c r="G68" s="567">
        <f t="shared" si="78"/>
        <v>0.80800000000000005</v>
      </c>
      <c r="H68" s="567">
        <f t="shared" si="79"/>
        <v>1.3160000000000001</v>
      </c>
      <c r="I68" s="567">
        <f t="shared" si="80"/>
        <v>1.0820000000000001</v>
      </c>
      <c r="J68" s="567">
        <f t="shared" si="81"/>
        <v>1.034</v>
      </c>
      <c r="K68" s="567">
        <f t="shared" si="82"/>
        <v>0.77</v>
      </c>
      <c r="L68" s="567">
        <f t="shared" si="83"/>
        <v>1</v>
      </c>
      <c r="M68" s="567">
        <f t="shared" si="84"/>
        <v>1.1339999999999999</v>
      </c>
      <c r="N68" s="567">
        <f t="shared" si="85"/>
        <v>1.601</v>
      </c>
      <c r="O68" s="567">
        <f t="shared" si="86"/>
        <v>1</v>
      </c>
      <c r="P68" s="567">
        <f t="shared" si="87"/>
        <v>2.3029999999999999</v>
      </c>
      <c r="Q68" s="567">
        <f t="shared" si="88"/>
        <v>0.94399999999999995</v>
      </c>
      <c r="R68" s="736">
        <f t="shared" si="89"/>
        <v>1.367</v>
      </c>
      <c r="S68" s="729">
        <f t="shared" si="90"/>
        <v>1.0023340881574346E-3</v>
      </c>
      <c r="T68" s="1209">
        <f t="shared" si="91"/>
        <v>1.0996700735989664E-3</v>
      </c>
      <c r="U68" s="1209">
        <f t="shared" si="92"/>
        <v>7.1771681701774228E-4</v>
      </c>
      <c r="V68" s="1209">
        <f t="shared" si="93"/>
        <v>1.1689546178160258E-3</v>
      </c>
      <c r="W68" s="1209">
        <f t="shared" si="94"/>
        <v>9.6110098516484792E-4</v>
      </c>
      <c r="X68" s="1209">
        <f t="shared" si="95"/>
        <v>9.1846434256973454E-4</v>
      </c>
      <c r="Y68" s="1209">
        <f t="shared" si="96"/>
        <v>6.8396280829661083E-4</v>
      </c>
      <c r="Z68" s="1209">
        <f t="shared" si="97"/>
        <v>8.882633873981958E-4</v>
      </c>
      <c r="AA68" s="1215">
        <f t="shared" si="98"/>
        <v>1.007290681309554E-3</v>
      </c>
      <c r="AB68" s="732">
        <f t="shared" si="101"/>
        <v>2.7572798541925306E-3</v>
      </c>
      <c r="AC68" s="732">
        <f t="shared" si="102"/>
        <v>1.7222235191708499E-3</v>
      </c>
      <c r="AD68" s="1209">
        <f t="shared" si="103"/>
        <v>8.5292393312475338E-3</v>
      </c>
      <c r="AE68" s="1209">
        <f t="shared" si="99"/>
        <v>8.3852063770389678E-4</v>
      </c>
      <c r="AF68" s="1194">
        <f t="shared" si="100"/>
        <v>2.3542795507065519E-3</v>
      </c>
      <c r="AG68" s="1214"/>
      <c r="AH68" s="1214"/>
      <c r="AI68" s="1214"/>
      <c r="AJ68" s="1214"/>
      <c r="AK68" s="1214"/>
      <c r="AL68" s="1214"/>
      <c r="AM68" s="1214"/>
      <c r="AN68" s="1214"/>
      <c r="AO68" s="1214"/>
      <c r="AP68" s="1214"/>
      <c r="AQ68" s="1214"/>
      <c r="AR68" s="1214"/>
      <c r="AS68" s="1214"/>
      <c r="AT68" s="1214"/>
      <c r="AU68" s="575"/>
      <c r="AV68" s="576"/>
      <c r="CA68" s="17" t="str" cm="1">
        <f t="array" ref="CA68">INDEX(List_comparators,CB68+1)</f>
        <v>nivolumab_plus_ipilimumab</v>
      </c>
      <c r="CB68" s="17">
        <v>2</v>
      </c>
      <c r="CC68" s="17">
        <v>1</v>
      </c>
      <c r="CD68" s="17"/>
      <c r="CE68" s="17"/>
      <c r="CF68" s="17"/>
      <c r="CG68" s="17"/>
      <c r="CH68" s="17"/>
      <c r="CI68" s="17"/>
      <c r="CJ68" s="583"/>
      <c r="CK68" s="583"/>
      <c r="CL68" s="17" t="str">
        <v>Hyponatraemia</v>
      </c>
      <c r="CM68" s="17">
        <v>10</v>
      </c>
      <c r="CN68" s="17">
        <v>0</v>
      </c>
      <c r="CO68" s="17">
        <f t="shared" ca="1" si="0"/>
        <v>0</v>
      </c>
      <c r="CP68" s="17"/>
      <c r="CQ68" s="17">
        <f t="shared" ca="1" si="71"/>
        <v>17690.709821428572</v>
      </c>
      <c r="CR68" s="17">
        <v>0</v>
      </c>
      <c r="CS68" s="17">
        <f t="shared" ca="1" si="72"/>
        <v>0</v>
      </c>
      <c r="CT68" s="17" t="str">
        <f t="shared" si="69"/>
        <v>one-off</v>
      </c>
      <c r="CU68" s="17" t="str">
        <f t="shared" si="70"/>
        <v>Yes</v>
      </c>
      <c r="CV68" s="17">
        <f t="shared" ca="1" si="73"/>
        <v>0.80800000000000005</v>
      </c>
      <c r="CW68" s="17">
        <f t="shared" ca="1" si="74"/>
        <v>8.4821078374824074E-4</v>
      </c>
      <c r="CY68" s="657">
        <v>13</v>
      </c>
      <c r="CZ68" s="17" t="str">
        <f t="shared" si="63"/>
        <v>nivolumab_plus_ipilimumab</v>
      </c>
      <c r="DA68" s="17">
        <f t="shared" si="64"/>
        <v>2</v>
      </c>
      <c r="DB68" s="17">
        <f t="shared" si="65"/>
        <v>1</v>
      </c>
      <c r="DC68" s="17" t="str">
        <f>"G3+ "&amp;$D$42</f>
        <v>G3+ Increased AST</v>
      </c>
      <c r="DD68" s="17">
        <f t="shared" ca="1" si="66"/>
        <v>0</v>
      </c>
      <c r="DE68" s="956">
        <f t="shared" ca="1" si="67"/>
        <v>34.35089285714286</v>
      </c>
      <c r="DG68" s="1008">
        <f t="shared" si="50"/>
        <v>0</v>
      </c>
      <c r="DH68" s="1009">
        <f t="shared" si="51"/>
        <v>-0.1</v>
      </c>
      <c r="DI68" s="1007">
        <f t="shared" si="49"/>
        <v>3</v>
      </c>
    </row>
    <row r="69" spans="4:113" x14ac:dyDescent="0.2">
      <c r="D69" s="673" t="str">
        <v>HFS</v>
      </c>
      <c r="E69" s="693">
        <f t="shared" si="76"/>
        <v>0.58199999999999996</v>
      </c>
      <c r="F69" s="692">
        <f t="shared" si="77"/>
        <v>1.238</v>
      </c>
      <c r="G69" s="567">
        <f t="shared" si="78"/>
        <v>0.80800000000000005</v>
      </c>
      <c r="H69" s="567">
        <f t="shared" si="79"/>
        <v>1.3160000000000001</v>
      </c>
      <c r="I69" s="567">
        <f t="shared" si="80"/>
        <v>1.0820000000000001</v>
      </c>
      <c r="J69" s="567">
        <f t="shared" si="81"/>
        <v>1.034</v>
      </c>
      <c r="K69" s="567">
        <f t="shared" si="82"/>
        <v>0.77</v>
      </c>
      <c r="L69" s="567">
        <f t="shared" si="83"/>
        <v>1</v>
      </c>
      <c r="M69" s="567">
        <f t="shared" si="84"/>
        <v>1.1339999999999999</v>
      </c>
      <c r="N69" s="567">
        <f t="shared" si="85"/>
        <v>1.601</v>
      </c>
      <c r="O69" s="567">
        <f t="shared" si="86"/>
        <v>1</v>
      </c>
      <c r="P69" s="567">
        <f t="shared" si="87"/>
        <v>2.3029999999999999</v>
      </c>
      <c r="Q69" s="567">
        <f t="shared" si="88"/>
        <v>0.94399999999999995</v>
      </c>
      <c r="R69" s="736">
        <f t="shared" si="89"/>
        <v>1.367</v>
      </c>
      <c r="S69" s="729">
        <f t="shared" si="90"/>
        <v>0</v>
      </c>
      <c r="T69" s="1209">
        <f t="shared" si="91"/>
        <v>2.5992201739611928E-3</v>
      </c>
      <c r="U69" s="1209">
        <f t="shared" si="92"/>
        <v>1.6964215674964815E-3</v>
      </c>
      <c r="V69" s="1209">
        <f t="shared" si="93"/>
        <v>2.7629836421106061E-3</v>
      </c>
      <c r="W69" s="1209">
        <f t="shared" si="94"/>
        <v>2.2716932376623676E-3</v>
      </c>
      <c r="X69" s="1209">
        <f t="shared" si="95"/>
        <v>2.1709157188011903E-3</v>
      </c>
      <c r="Y69" s="1209">
        <f t="shared" si="96"/>
        <v>1.6166393650647163E-3</v>
      </c>
      <c r="Z69" s="1209">
        <f t="shared" si="97"/>
        <v>2.0995316429411898E-3</v>
      </c>
      <c r="AA69" s="1215">
        <f t="shared" si="98"/>
        <v>2.3808688830953091E-3</v>
      </c>
      <c r="AB69" s="732">
        <f t="shared" si="101"/>
        <v>0</v>
      </c>
      <c r="AC69" s="732">
        <f t="shared" si="102"/>
        <v>0</v>
      </c>
      <c r="AD69" s="1209">
        <f t="shared" si="103"/>
        <v>4.6103996385121809E-3</v>
      </c>
      <c r="AE69" s="1209">
        <f t="shared" si="99"/>
        <v>1.981957870936483E-3</v>
      </c>
      <c r="AF69" s="1194">
        <f t="shared" si="100"/>
        <v>0</v>
      </c>
      <c r="AG69" s="1214"/>
      <c r="AH69" s="1214"/>
      <c r="AI69" s="1214"/>
      <c r="AJ69" s="1214"/>
      <c r="AK69" s="1214"/>
      <c r="AL69" s="1214"/>
      <c r="AM69" s="1214"/>
      <c r="AN69" s="1214"/>
      <c r="AO69" s="1214"/>
      <c r="AP69" s="1214"/>
      <c r="AQ69" s="1214"/>
      <c r="AR69" s="1214"/>
      <c r="AS69" s="1214"/>
      <c r="AT69" s="1214"/>
      <c r="AU69" s="575"/>
      <c r="AV69" s="576"/>
      <c r="CA69" s="17" t="str" cm="1">
        <f t="array" ref="CA69">INDEX(List_comparators,CB69+1)</f>
        <v>nivolumab_plus_ipilimumab</v>
      </c>
      <c r="CB69" s="17">
        <v>2</v>
      </c>
      <c r="CC69" s="17">
        <v>1</v>
      </c>
      <c r="CD69" s="17"/>
      <c r="CE69" s="17"/>
      <c r="CF69" s="17"/>
      <c r="CG69" s="17"/>
      <c r="CH69" s="17"/>
      <c r="CI69" s="17"/>
      <c r="CJ69" s="583"/>
      <c r="CK69" s="583"/>
      <c r="CL69" s="17" t="str">
        <v>Hypophosphatemia</v>
      </c>
      <c r="CM69" s="17">
        <v>11</v>
      </c>
      <c r="CN69" s="17">
        <v>0</v>
      </c>
      <c r="CO69" s="17">
        <f t="shared" ca="1" si="0"/>
        <v>0</v>
      </c>
      <c r="CP69" s="17"/>
      <c r="CQ69" s="17">
        <f t="shared" ca="1" si="71"/>
        <v>17690.709821428572</v>
      </c>
      <c r="CR69" s="17">
        <v>0</v>
      </c>
      <c r="CS69" s="17">
        <f t="shared" ca="1" si="72"/>
        <v>0</v>
      </c>
      <c r="CT69" s="17" t="str">
        <f t="shared" si="69"/>
        <v>one-off</v>
      </c>
      <c r="CU69" s="17" t="str">
        <f t="shared" si="70"/>
        <v>Yes</v>
      </c>
      <c r="CV69" s="17">
        <f t="shared" ca="1" si="73"/>
        <v>0.80800000000000005</v>
      </c>
      <c r="CW69" s="17">
        <f t="shared" ca="1" si="74"/>
        <v>8.4821078374824074E-4</v>
      </c>
      <c r="CY69" s="657">
        <v>14</v>
      </c>
      <c r="CZ69" s="17" t="str">
        <f t="shared" si="63"/>
        <v>nivolumab_plus_ipilimumab</v>
      </c>
      <c r="DA69" s="17">
        <f t="shared" si="64"/>
        <v>2</v>
      </c>
      <c r="DB69" s="17">
        <f t="shared" si="65"/>
        <v>1</v>
      </c>
      <c r="DC69" s="17" t="str">
        <f>"G3+ "&amp;$D$43</f>
        <v>G3+ Leukopenia</v>
      </c>
      <c r="DD69" s="17">
        <f t="shared" ca="1" si="66"/>
        <v>0</v>
      </c>
      <c r="DE69" s="956">
        <f t="shared" ca="1" si="67"/>
        <v>34.35089285714286</v>
      </c>
      <c r="DG69" s="1008">
        <f t="shared" si="50"/>
        <v>0</v>
      </c>
      <c r="DH69" s="1009">
        <f t="shared" si="51"/>
        <v>-0.1</v>
      </c>
      <c r="DI69" s="1007">
        <f t="shared" si="49"/>
        <v>3</v>
      </c>
    </row>
    <row r="70" spans="4:113" x14ac:dyDescent="0.2">
      <c r="D70" s="673" t="str">
        <v>Hypertension</v>
      </c>
      <c r="E70" s="693">
        <f t="shared" si="76"/>
        <v>0.58199999999999996</v>
      </c>
      <c r="F70" s="692">
        <f t="shared" si="77"/>
        <v>1.238</v>
      </c>
      <c r="G70" s="567">
        <f t="shared" si="78"/>
        <v>0.80800000000000005</v>
      </c>
      <c r="H70" s="567">
        <f t="shared" si="79"/>
        <v>1.3160000000000001</v>
      </c>
      <c r="I70" s="567">
        <f t="shared" si="80"/>
        <v>1.0820000000000001</v>
      </c>
      <c r="J70" s="567">
        <f t="shared" si="81"/>
        <v>1.034</v>
      </c>
      <c r="K70" s="567">
        <f t="shared" si="82"/>
        <v>0.77</v>
      </c>
      <c r="L70" s="567">
        <f t="shared" si="83"/>
        <v>1</v>
      </c>
      <c r="M70" s="567">
        <f t="shared" si="84"/>
        <v>1.1339999999999999</v>
      </c>
      <c r="N70" s="567">
        <f t="shared" si="85"/>
        <v>1.601</v>
      </c>
      <c r="O70" s="567">
        <f t="shared" si="86"/>
        <v>1</v>
      </c>
      <c r="P70" s="567">
        <f t="shared" si="87"/>
        <v>2.3029999999999999</v>
      </c>
      <c r="Q70" s="567">
        <f t="shared" si="88"/>
        <v>0.94399999999999995</v>
      </c>
      <c r="R70" s="736">
        <f t="shared" si="89"/>
        <v>1.367</v>
      </c>
      <c r="S70" s="729">
        <f t="shared" si="90"/>
        <v>0</v>
      </c>
      <c r="T70" s="1209">
        <f t="shared" si="91"/>
        <v>3.8988302609417897E-3</v>
      </c>
      <c r="U70" s="1209">
        <f t="shared" si="92"/>
        <v>2.5446323512447223E-3</v>
      </c>
      <c r="V70" s="1209">
        <f t="shared" si="93"/>
        <v>4.1444754631659092E-3</v>
      </c>
      <c r="W70" s="1209">
        <f t="shared" si="94"/>
        <v>3.4075398564935512E-3</v>
      </c>
      <c r="X70" s="1209">
        <f t="shared" si="95"/>
        <v>3.2563735782017854E-3</v>
      </c>
      <c r="Y70" s="1209">
        <f t="shared" si="96"/>
        <v>2.4249590475970743E-3</v>
      </c>
      <c r="Z70" s="1209">
        <f t="shared" si="97"/>
        <v>3.1492974644117848E-3</v>
      </c>
      <c r="AA70" s="1215">
        <f t="shared" si="98"/>
        <v>3.5713033246429636E-3</v>
      </c>
      <c r="AB70" s="732">
        <f t="shared" si="101"/>
        <v>0</v>
      </c>
      <c r="AC70" s="732">
        <f t="shared" si="102"/>
        <v>0</v>
      </c>
      <c r="AD70" s="1209">
        <f t="shared" si="103"/>
        <v>1.3831198915536542E-2</v>
      </c>
      <c r="AE70" s="1209">
        <f t="shared" si="99"/>
        <v>2.9729368064047245E-3</v>
      </c>
      <c r="AF70" s="1194">
        <f t="shared" si="100"/>
        <v>0</v>
      </c>
      <c r="AG70" s="1214"/>
      <c r="AH70" s="1214"/>
      <c r="AI70" s="1214"/>
      <c r="AJ70" s="1214"/>
      <c r="AK70" s="1214"/>
      <c r="AL70" s="1214"/>
      <c r="AM70" s="1214"/>
      <c r="AN70" s="1214"/>
      <c r="AO70" s="1214"/>
      <c r="AP70" s="1214"/>
      <c r="AQ70" s="1214"/>
      <c r="AR70" s="1214"/>
      <c r="AS70" s="1214"/>
      <c r="AT70" s="1214"/>
      <c r="AU70" s="575"/>
      <c r="AV70" s="576"/>
      <c r="CA70" s="17" t="str" cm="1">
        <f t="array" ref="CA70">INDEX(List_comparators,CB70+1)</f>
        <v>nivolumab_plus_ipilimumab</v>
      </c>
      <c r="CB70" s="17">
        <v>2</v>
      </c>
      <c r="CC70" s="17">
        <v>1</v>
      </c>
      <c r="CD70" s="17"/>
      <c r="CE70" s="17"/>
      <c r="CF70" s="17"/>
      <c r="CG70" s="17"/>
      <c r="CH70" s="17"/>
      <c r="CI70" s="17"/>
      <c r="CJ70" s="583"/>
      <c r="CK70" s="583"/>
      <c r="CL70" s="17" t="str">
        <v>Increase in lipase</v>
      </c>
      <c r="CM70" s="17">
        <v>12</v>
      </c>
      <c r="CN70" s="17">
        <v>0</v>
      </c>
      <c r="CO70" s="17">
        <f t="shared" ref="CO70:CO79" ca="1" si="104">OFFSET($E$30,$CM70-1,$CB70)</f>
        <v>63</v>
      </c>
      <c r="CP70" s="17"/>
      <c r="CQ70" s="17">
        <f t="shared" ca="1" si="71"/>
        <v>17690.709821428572</v>
      </c>
      <c r="CR70" s="17">
        <v>0</v>
      </c>
      <c r="CS70" s="17">
        <f t="shared" ca="1" si="72"/>
        <v>3.5611911922091874E-3</v>
      </c>
      <c r="CT70" s="17" t="str">
        <f t="shared" si="69"/>
        <v>one-off</v>
      </c>
      <c r="CU70" s="17" t="str">
        <f t="shared" si="70"/>
        <v>Yes</v>
      </c>
      <c r="CV70" s="17">
        <f t="shared" ca="1" si="73"/>
        <v>0.80800000000000005</v>
      </c>
      <c r="CW70" s="17">
        <f t="shared" ca="1" si="74"/>
        <v>0</v>
      </c>
      <c r="CY70" s="657">
        <v>15</v>
      </c>
      <c r="CZ70" s="17" t="str">
        <f t="shared" si="63"/>
        <v>nivolumab_plus_ipilimumab</v>
      </c>
      <c r="DA70" s="17">
        <f t="shared" si="64"/>
        <v>2</v>
      </c>
      <c r="DB70" s="17">
        <f t="shared" si="65"/>
        <v>1</v>
      </c>
      <c r="DC70" s="17" t="str">
        <f>"G3+ "&amp;$D$44</f>
        <v>G3+ Lymphopenia</v>
      </c>
      <c r="DD70" s="17">
        <f t="shared" ca="1" si="66"/>
        <v>0</v>
      </c>
      <c r="DE70" s="956">
        <f t="shared" ca="1" si="67"/>
        <v>34.35089285714286</v>
      </c>
      <c r="DG70" s="1008">
        <f t="shared" si="50"/>
        <v>679.97</v>
      </c>
      <c r="DH70" s="1009">
        <f t="shared" si="51"/>
        <v>-0.1</v>
      </c>
      <c r="DI70" s="1007">
        <f t="shared" si="49"/>
        <v>3</v>
      </c>
    </row>
    <row r="71" spans="4:113" x14ac:dyDescent="0.2">
      <c r="D71" s="672" t="str">
        <v>Hypertriglyceridemia</v>
      </c>
      <c r="E71" s="693">
        <f t="shared" si="76"/>
        <v>0.58199999999999996</v>
      </c>
      <c r="F71" s="692">
        <f t="shared" si="77"/>
        <v>1.238</v>
      </c>
      <c r="G71" s="567">
        <f t="shared" si="78"/>
        <v>0.80800000000000005</v>
      </c>
      <c r="H71" s="567">
        <f t="shared" si="79"/>
        <v>1.3160000000000001</v>
      </c>
      <c r="I71" s="567">
        <f t="shared" si="80"/>
        <v>1.0820000000000001</v>
      </c>
      <c r="J71" s="567">
        <f t="shared" si="81"/>
        <v>1.034</v>
      </c>
      <c r="K71" s="567">
        <f t="shared" si="82"/>
        <v>0.77</v>
      </c>
      <c r="L71" s="567">
        <f t="shared" si="83"/>
        <v>1</v>
      </c>
      <c r="M71" s="567">
        <f t="shared" si="84"/>
        <v>1.1339999999999999</v>
      </c>
      <c r="N71" s="567">
        <f t="shared" si="85"/>
        <v>1.601</v>
      </c>
      <c r="O71" s="567">
        <f t="shared" si="86"/>
        <v>1</v>
      </c>
      <c r="P71" s="567">
        <f t="shared" si="87"/>
        <v>2.3029999999999999</v>
      </c>
      <c r="Q71" s="567">
        <f t="shared" si="88"/>
        <v>0.94399999999999995</v>
      </c>
      <c r="R71" s="736">
        <f t="shared" si="89"/>
        <v>1.367</v>
      </c>
      <c r="S71" s="729">
        <f t="shared" si="90"/>
        <v>1.8224256148316991E-3</v>
      </c>
      <c r="T71" s="1209">
        <f t="shared" si="91"/>
        <v>0</v>
      </c>
      <c r="U71" s="1209">
        <f t="shared" si="92"/>
        <v>0</v>
      </c>
      <c r="V71" s="1209">
        <f t="shared" si="93"/>
        <v>0</v>
      </c>
      <c r="W71" s="1209">
        <f t="shared" si="94"/>
        <v>0</v>
      </c>
      <c r="X71" s="1209">
        <f t="shared" si="95"/>
        <v>0</v>
      </c>
      <c r="Y71" s="1209">
        <f t="shared" si="96"/>
        <v>0</v>
      </c>
      <c r="Z71" s="1209">
        <f t="shared" si="97"/>
        <v>0</v>
      </c>
      <c r="AA71" s="1215">
        <f t="shared" si="98"/>
        <v>0</v>
      </c>
      <c r="AB71" s="732">
        <f t="shared" si="101"/>
        <v>5.0132360985318735E-3</v>
      </c>
      <c r="AC71" s="732">
        <f t="shared" si="102"/>
        <v>3.1313154894015453E-3</v>
      </c>
      <c r="AD71" s="1209">
        <f t="shared" si="103"/>
        <v>0</v>
      </c>
      <c r="AE71" s="1209">
        <f t="shared" si="99"/>
        <v>0</v>
      </c>
      <c r="AF71" s="1194">
        <f t="shared" si="100"/>
        <v>4.2805082740119127E-3</v>
      </c>
      <c r="AG71" s="1214"/>
      <c r="AH71" s="1214"/>
      <c r="AI71" s="1214"/>
      <c r="AJ71" s="1214"/>
      <c r="AK71" s="1214"/>
      <c r="AL71" s="1214"/>
      <c r="AM71" s="1214"/>
      <c r="AN71" s="1214"/>
      <c r="AO71" s="1214"/>
      <c r="AP71" s="1214"/>
      <c r="AQ71" s="1214"/>
      <c r="AR71" s="1214"/>
      <c r="AS71" s="1214"/>
      <c r="AT71" s="1214"/>
      <c r="AU71" s="575"/>
      <c r="AV71" s="576"/>
      <c r="CA71" s="17" t="str" cm="1">
        <f t="array" ref="CA71">INDEX(List_comparators,CB71+1)</f>
        <v>nivolumab_plus_ipilimumab</v>
      </c>
      <c r="CB71" s="17">
        <v>2</v>
      </c>
      <c r="CC71" s="17">
        <v>1</v>
      </c>
      <c r="CD71" s="17"/>
      <c r="CE71" s="17"/>
      <c r="CF71" s="17"/>
      <c r="CG71" s="17"/>
      <c r="CH71" s="17"/>
      <c r="CI71" s="17"/>
      <c r="CJ71" s="583"/>
      <c r="CK71" s="583"/>
      <c r="CL71" s="17" t="str">
        <v>Increased AST</v>
      </c>
      <c r="CM71" s="17">
        <v>13</v>
      </c>
      <c r="CN71" s="17">
        <v>0</v>
      </c>
      <c r="CO71" s="17">
        <f t="shared" ca="1" si="104"/>
        <v>0</v>
      </c>
      <c r="CP71" s="17"/>
      <c r="CQ71" s="17">
        <f t="shared" ca="1" si="71"/>
        <v>17690.709821428572</v>
      </c>
      <c r="CR71" s="17">
        <v>0</v>
      </c>
      <c r="CS71" s="17">
        <f t="shared" ca="1" si="72"/>
        <v>0</v>
      </c>
      <c r="CT71" s="17" t="str">
        <f t="shared" si="69"/>
        <v>one-off</v>
      </c>
      <c r="CU71" s="17" t="str">
        <f t="shared" si="70"/>
        <v>Yes</v>
      </c>
      <c r="CV71" s="17">
        <f t="shared" ca="1" si="73"/>
        <v>0.80800000000000005</v>
      </c>
      <c r="CW71" s="17">
        <f t="shared" ca="1" si="74"/>
        <v>0</v>
      </c>
      <c r="CY71" s="657">
        <v>16</v>
      </c>
      <c r="CZ71" s="17" t="str">
        <f t="shared" si="63"/>
        <v>nivolumab_plus_ipilimumab</v>
      </c>
      <c r="DA71" s="17">
        <f t="shared" si="64"/>
        <v>2</v>
      </c>
      <c r="DB71" s="17">
        <f t="shared" si="65"/>
        <v>1</v>
      </c>
      <c r="DC71" s="17" t="str">
        <f>"G3+ "&amp;$D$45</f>
        <v>G3+ Nausea</v>
      </c>
      <c r="DD71" s="17">
        <f t="shared" ca="1" si="66"/>
        <v>0</v>
      </c>
      <c r="DE71" s="956">
        <f t="shared" ca="1" si="67"/>
        <v>34.35089285714286</v>
      </c>
      <c r="DG71" s="1008">
        <f t="shared" si="50"/>
        <v>801.11</v>
      </c>
      <c r="DH71" s="1009">
        <f t="shared" si="51"/>
        <v>-0.1</v>
      </c>
      <c r="DI71" s="1007">
        <f t="shared" si="49"/>
        <v>3</v>
      </c>
    </row>
    <row r="72" spans="4:113" x14ac:dyDescent="0.2">
      <c r="D72" s="673" t="str">
        <v>Hyponatraemia</v>
      </c>
      <c r="E72" s="693">
        <f t="shared" si="76"/>
        <v>0.58199999999999996</v>
      </c>
      <c r="F72" s="692">
        <f t="shared" si="77"/>
        <v>1.238</v>
      </c>
      <c r="G72" s="567">
        <f t="shared" si="78"/>
        <v>0.80800000000000005</v>
      </c>
      <c r="H72" s="567">
        <f t="shared" si="79"/>
        <v>1.3160000000000001</v>
      </c>
      <c r="I72" s="567">
        <f t="shared" si="80"/>
        <v>1.0820000000000001</v>
      </c>
      <c r="J72" s="567">
        <f t="shared" si="81"/>
        <v>1.034</v>
      </c>
      <c r="K72" s="567">
        <f t="shared" si="82"/>
        <v>0.77</v>
      </c>
      <c r="L72" s="567">
        <f t="shared" si="83"/>
        <v>1</v>
      </c>
      <c r="M72" s="567">
        <f t="shared" si="84"/>
        <v>1.1339999999999999</v>
      </c>
      <c r="N72" s="567">
        <f t="shared" si="85"/>
        <v>1.601</v>
      </c>
      <c r="O72" s="567">
        <f t="shared" si="86"/>
        <v>1</v>
      </c>
      <c r="P72" s="567">
        <f t="shared" si="87"/>
        <v>2.3029999999999999</v>
      </c>
      <c r="Q72" s="567">
        <f t="shared" si="88"/>
        <v>0.94399999999999995</v>
      </c>
      <c r="R72" s="736">
        <f t="shared" si="89"/>
        <v>1.367</v>
      </c>
      <c r="S72" s="729">
        <f t="shared" si="90"/>
        <v>0</v>
      </c>
      <c r="T72" s="1209">
        <f t="shared" si="91"/>
        <v>1.2996100869805964E-3</v>
      </c>
      <c r="U72" s="1209">
        <f t="shared" si="92"/>
        <v>8.4821078374824074E-4</v>
      </c>
      <c r="V72" s="1209">
        <f t="shared" si="93"/>
        <v>1.3814918210553031E-3</v>
      </c>
      <c r="W72" s="1209">
        <f t="shared" si="94"/>
        <v>1.1358466188311838E-3</v>
      </c>
      <c r="X72" s="1209">
        <f t="shared" si="95"/>
        <v>1.0854578594005951E-3</v>
      </c>
      <c r="Y72" s="1209">
        <f t="shared" si="96"/>
        <v>8.0831968253235816E-4</v>
      </c>
      <c r="Z72" s="1209">
        <f t="shared" si="97"/>
        <v>1.0497658214705949E-3</v>
      </c>
      <c r="AA72" s="1215">
        <f t="shared" si="98"/>
        <v>1.1904344415476545E-3</v>
      </c>
      <c r="AB72" s="732">
        <f t="shared" si="101"/>
        <v>0</v>
      </c>
      <c r="AC72" s="732">
        <f t="shared" si="102"/>
        <v>0</v>
      </c>
      <c r="AD72" s="1209">
        <f t="shared" si="103"/>
        <v>0</v>
      </c>
      <c r="AE72" s="1209">
        <f t="shared" si="99"/>
        <v>9.909789354682415E-4</v>
      </c>
      <c r="AF72" s="1194">
        <f t="shared" si="100"/>
        <v>0</v>
      </c>
      <c r="AG72" s="1214"/>
      <c r="AH72" s="1214"/>
      <c r="AI72" s="1214"/>
      <c r="AJ72" s="1214"/>
      <c r="AK72" s="1214"/>
      <c r="AL72" s="1214"/>
      <c r="AM72" s="1214"/>
      <c r="AN72" s="1214"/>
      <c r="AO72" s="1214"/>
      <c r="AP72" s="1214"/>
      <c r="AQ72" s="1214"/>
      <c r="AR72" s="1214"/>
      <c r="AS72" s="1214"/>
      <c r="AT72" s="1214"/>
      <c r="AU72" s="575"/>
      <c r="AV72" s="576"/>
      <c r="CA72" s="17" t="str" cm="1">
        <f t="array" ref="CA72">INDEX(List_comparators,CB72+1)</f>
        <v>nivolumab_plus_ipilimumab</v>
      </c>
      <c r="CB72" s="17">
        <v>2</v>
      </c>
      <c r="CC72" s="17">
        <v>1</v>
      </c>
      <c r="CD72" s="17"/>
      <c r="CE72" s="17"/>
      <c r="CF72" s="17"/>
      <c r="CG72" s="17"/>
      <c r="CH72" s="17"/>
      <c r="CI72" s="17"/>
      <c r="CJ72" s="583"/>
      <c r="CK72" s="583"/>
      <c r="CL72" s="17" t="str">
        <v>Leukopenia</v>
      </c>
      <c r="CM72" s="17">
        <v>14</v>
      </c>
      <c r="CN72" s="17">
        <v>0</v>
      </c>
      <c r="CO72" s="17">
        <f t="shared" ca="1" si="104"/>
        <v>0</v>
      </c>
      <c r="CP72" s="17"/>
      <c r="CQ72" s="17">
        <f t="shared" ca="1" si="71"/>
        <v>17690.709821428572</v>
      </c>
      <c r="CR72" s="17">
        <v>0</v>
      </c>
      <c r="CS72" s="17">
        <f t="shared" ca="1" si="72"/>
        <v>0</v>
      </c>
      <c r="CT72" s="17" t="str">
        <f t="shared" si="69"/>
        <v>one-off</v>
      </c>
      <c r="CU72" s="17" t="str">
        <f t="shared" si="70"/>
        <v>Yes</v>
      </c>
      <c r="CV72" s="17">
        <f t="shared" ca="1" si="73"/>
        <v>0.80800000000000005</v>
      </c>
      <c r="CW72" s="17">
        <f t="shared" ca="1" si="74"/>
        <v>0</v>
      </c>
      <c r="CY72" s="657">
        <v>17</v>
      </c>
      <c r="CZ72" s="17" t="str">
        <f t="shared" si="63"/>
        <v>nivolumab_plus_ipilimumab</v>
      </c>
      <c r="DA72" s="17">
        <f t="shared" si="64"/>
        <v>2</v>
      </c>
      <c r="DB72" s="17">
        <f t="shared" si="65"/>
        <v>1</v>
      </c>
      <c r="DC72" s="17" t="str">
        <f>"G3+ "&amp;$D$46</f>
        <v>G3+ Neutropenia</v>
      </c>
      <c r="DD72" s="17">
        <f t="shared" ca="1" si="66"/>
        <v>0</v>
      </c>
      <c r="DE72" s="956">
        <f t="shared" ca="1" si="67"/>
        <v>34.35089285714286</v>
      </c>
      <c r="DG72" s="1008">
        <f t="shared" si="50"/>
        <v>655.75</v>
      </c>
      <c r="DH72" s="1009">
        <f t="shared" si="51"/>
        <v>-0.1</v>
      </c>
      <c r="DI72" s="1007">
        <f t="shared" si="49"/>
        <v>3</v>
      </c>
    </row>
    <row r="73" spans="4:113" x14ac:dyDescent="0.2">
      <c r="D73" s="673" t="str">
        <v>Hypophosphatemia</v>
      </c>
      <c r="E73" s="693">
        <f t="shared" si="76"/>
        <v>0.58199999999999996</v>
      </c>
      <c r="F73" s="692">
        <f t="shared" si="77"/>
        <v>1.238</v>
      </c>
      <c r="G73" s="567">
        <f t="shared" si="78"/>
        <v>0.80800000000000005</v>
      </c>
      <c r="H73" s="567">
        <f t="shared" si="79"/>
        <v>1.3160000000000001</v>
      </c>
      <c r="I73" s="567">
        <f t="shared" si="80"/>
        <v>1.0820000000000001</v>
      </c>
      <c r="J73" s="567">
        <f t="shared" si="81"/>
        <v>1.034</v>
      </c>
      <c r="K73" s="567">
        <f t="shared" si="82"/>
        <v>0.77</v>
      </c>
      <c r="L73" s="567">
        <f t="shared" si="83"/>
        <v>1</v>
      </c>
      <c r="M73" s="567">
        <f t="shared" si="84"/>
        <v>1.1339999999999999</v>
      </c>
      <c r="N73" s="567">
        <f t="shared" si="85"/>
        <v>1.601</v>
      </c>
      <c r="O73" s="567">
        <f t="shared" si="86"/>
        <v>1</v>
      </c>
      <c r="P73" s="567">
        <f t="shared" si="87"/>
        <v>2.3029999999999999</v>
      </c>
      <c r="Q73" s="567">
        <f t="shared" si="88"/>
        <v>0.94399999999999995</v>
      </c>
      <c r="R73" s="736">
        <f t="shared" si="89"/>
        <v>1.367</v>
      </c>
      <c r="S73" s="729">
        <f t="shared" si="90"/>
        <v>0</v>
      </c>
      <c r="T73" s="1209">
        <f t="shared" si="91"/>
        <v>1.2996100869805964E-3</v>
      </c>
      <c r="U73" s="1209">
        <f t="shared" si="92"/>
        <v>8.4821078374824074E-4</v>
      </c>
      <c r="V73" s="1209">
        <f t="shared" si="93"/>
        <v>1.3814918210553031E-3</v>
      </c>
      <c r="W73" s="1209">
        <f t="shared" si="94"/>
        <v>1.1358466188311838E-3</v>
      </c>
      <c r="X73" s="1209">
        <f t="shared" si="95"/>
        <v>1.0854578594005951E-3</v>
      </c>
      <c r="Y73" s="1209">
        <f t="shared" si="96"/>
        <v>8.0831968253235816E-4</v>
      </c>
      <c r="Z73" s="1209">
        <f t="shared" si="97"/>
        <v>1.0497658214705949E-3</v>
      </c>
      <c r="AA73" s="1215">
        <f t="shared" si="98"/>
        <v>1.1904344415476545E-3</v>
      </c>
      <c r="AB73" s="732">
        <f t="shared" si="101"/>
        <v>0</v>
      </c>
      <c r="AC73" s="732">
        <f t="shared" si="102"/>
        <v>0</v>
      </c>
      <c r="AD73" s="1209">
        <f t="shared" si="103"/>
        <v>0</v>
      </c>
      <c r="AE73" s="1209">
        <f t="shared" si="99"/>
        <v>9.909789354682415E-4</v>
      </c>
      <c r="AF73" s="1194">
        <f t="shared" si="100"/>
        <v>0</v>
      </c>
      <c r="AG73" s="1214"/>
      <c r="AH73" s="1214"/>
      <c r="AI73" s="1214"/>
      <c r="AJ73" s="1214"/>
      <c r="AK73" s="1214"/>
      <c r="AL73" s="1214"/>
      <c r="AM73" s="1214"/>
      <c r="AN73" s="1214"/>
      <c r="AO73" s="1214"/>
      <c r="AP73" s="1214"/>
      <c r="AQ73" s="1214"/>
      <c r="AR73" s="1214"/>
      <c r="AS73" s="1214"/>
      <c r="AT73" s="1214"/>
      <c r="AU73" s="575"/>
      <c r="AV73" s="576"/>
      <c r="CA73" s="17" t="str" cm="1">
        <f t="array" ref="CA73">INDEX(List_comparators,CB73+1)</f>
        <v>nivolumab_plus_ipilimumab</v>
      </c>
      <c r="CB73" s="17">
        <v>2</v>
      </c>
      <c r="CC73" s="17">
        <v>1</v>
      </c>
      <c r="CD73" s="17"/>
      <c r="CE73" s="17"/>
      <c r="CF73" s="17"/>
      <c r="CG73" s="17"/>
      <c r="CH73" s="17"/>
      <c r="CI73" s="17"/>
      <c r="CJ73" s="583"/>
      <c r="CK73" s="583"/>
      <c r="CL73" s="17" t="str">
        <v>Lymphopenia</v>
      </c>
      <c r="CM73" s="17">
        <v>15</v>
      </c>
      <c r="CN73" s="17">
        <v>0</v>
      </c>
      <c r="CO73" s="17">
        <f t="shared" ca="1" si="104"/>
        <v>0</v>
      </c>
      <c r="CP73" s="17"/>
      <c r="CQ73" s="17">
        <f t="shared" ca="1" si="71"/>
        <v>17690.709821428572</v>
      </c>
      <c r="CR73" s="17">
        <v>0</v>
      </c>
      <c r="CS73" s="17">
        <f t="shared" ca="1" si="72"/>
        <v>0</v>
      </c>
      <c r="CT73" s="17" t="str">
        <f t="shared" si="69"/>
        <v>one-off</v>
      </c>
      <c r="CU73" s="17" t="str">
        <f t="shared" si="70"/>
        <v>Yes</v>
      </c>
      <c r="CV73" s="17">
        <f t="shared" ca="1" si="73"/>
        <v>0.80800000000000005</v>
      </c>
      <c r="CW73" s="17">
        <f t="shared" ca="1" si="74"/>
        <v>0</v>
      </c>
      <c r="CY73" s="657">
        <v>18</v>
      </c>
      <c r="CZ73" s="17" t="str">
        <f t="shared" si="63"/>
        <v>nivolumab_plus_ipilimumab</v>
      </c>
      <c r="DA73" s="17">
        <f t="shared" si="64"/>
        <v>2</v>
      </c>
      <c r="DB73" s="17">
        <f t="shared" si="65"/>
        <v>1</v>
      </c>
      <c r="DC73" s="17" t="str">
        <f>"G3+ "&amp;$D$47</f>
        <v>G3+ Platelets count decreased</v>
      </c>
      <c r="DD73" s="17">
        <f t="shared" ca="1" si="66"/>
        <v>0</v>
      </c>
      <c r="DE73" s="956">
        <f t="shared" ca="1" si="67"/>
        <v>34.35089285714286</v>
      </c>
      <c r="DG73" s="1008">
        <f t="shared" si="50"/>
        <v>801.11</v>
      </c>
      <c r="DH73" s="1009">
        <f t="shared" si="51"/>
        <v>-0.1</v>
      </c>
      <c r="DI73" s="1007">
        <f t="shared" si="49"/>
        <v>3</v>
      </c>
    </row>
    <row r="74" spans="4:113" x14ac:dyDescent="0.2">
      <c r="D74" s="673" t="str">
        <v>Increase in lipase</v>
      </c>
      <c r="E74" s="693">
        <f t="shared" si="76"/>
        <v>0.58199999999999996</v>
      </c>
      <c r="F74" s="692">
        <f t="shared" si="77"/>
        <v>1.238</v>
      </c>
      <c r="G74" s="567">
        <f t="shared" si="78"/>
        <v>0.80800000000000005</v>
      </c>
      <c r="H74" s="567">
        <f t="shared" si="79"/>
        <v>1.3160000000000001</v>
      </c>
      <c r="I74" s="567">
        <f t="shared" si="80"/>
        <v>1.0820000000000001</v>
      </c>
      <c r="J74" s="567">
        <f t="shared" si="81"/>
        <v>1.034</v>
      </c>
      <c r="K74" s="567">
        <f t="shared" si="82"/>
        <v>0.77</v>
      </c>
      <c r="L74" s="567">
        <f t="shared" si="83"/>
        <v>1</v>
      </c>
      <c r="M74" s="567">
        <f t="shared" si="84"/>
        <v>1.1339999999999999</v>
      </c>
      <c r="N74" s="567">
        <f t="shared" si="85"/>
        <v>1.601</v>
      </c>
      <c r="O74" s="567">
        <f t="shared" si="86"/>
        <v>1</v>
      </c>
      <c r="P74" s="567">
        <f t="shared" si="87"/>
        <v>2.3029999999999999</v>
      </c>
      <c r="Q74" s="567">
        <f t="shared" si="88"/>
        <v>0.94399999999999995</v>
      </c>
      <c r="R74" s="736">
        <f t="shared" si="89"/>
        <v>1.367</v>
      </c>
      <c r="S74" s="729">
        <f t="shared" si="90"/>
        <v>0</v>
      </c>
      <c r="T74" s="1209">
        <f t="shared" si="91"/>
        <v>0</v>
      </c>
      <c r="U74" s="1209">
        <f t="shared" si="92"/>
        <v>0</v>
      </c>
      <c r="V74" s="1209">
        <f t="shared" si="93"/>
        <v>0</v>
      </c>
      <c r="W74" s="1209">
        <f t="shared" si="94"/>
        <v>0</v>
      </c>
      <c r="X74" s="1209">
        <f t="shared" si="95"/>
        <v>0</v>
      </c>
      <c r="Y74" s="1209">
        <f t="shared" si="96"/>
        <v>0</v>
      </c>
      <c r="Z74" s="1209">
        <f t="shared" si="97"/>
        <v>0</v>
      </c>
      <c r="AA74" s="1215">
        <f t="shared" si="98"/>
        <v>0</v>
      </c>
      <c r="AB74" s="732">
        <f t="shared" si="101"/>
        <v>0</v>
      </c>
      <c r="AC74" s="732">
        <f t="shared" si="102"/>
        <v>0</v>
      </c>
      <c r="AD74" s="1209">
        <f t="shared" si="103"/>
        <v>0</v>
      </c>
      <c r="AE74" s="1209">
        <f t="shared" si="99"/>
        <v>0</v>
      </c>
      <c r="AF74" s="1194">
        <f t="shared" si="100"/>
        <v>0</v>
      </c>
      <c r="AG74" s="1214"/>
      <c r="AH74" s="1214"/>
      <c r="AI74" s="1214"/>
      <c r="AJ74" s="1214"/>
      <c r="AK74" s="1214"/>
      <c r="AL74" s="1214"/>
      <c r="AM74" s="1214"/>
      <c r="AN74" s="1214"/>
      <c r="AO74" s="1214"/>
      <c r="AP74" s="1214"/>
      <c r="AQ74" s="1214"/>
      <c r="AR74" s="1214"/>
      <c r="AS74" s="1214"/>
      <c r="AT74" s="1214"/>
      <c r="AU74" s="577"/>
      <c r="AV74" s="577"/>
      <c r="CA74" s="17" t="str" cm="1">
        <f t="array" ref="CA74">INDEX(List_comparators,CB74+1)</f>
        <v>nivolumab_plus_ipilimumab</v>
      </c>
      <c r="CB74" s="17">
        <v>2</v>
      </c>
      <c r="CC74" s="17">
        <v>1</v>
      </c>
      <c r="CD74" s="17"/>
      <c r="CE74" s="17"/>
      <c r="CF74" s="17"/>
      <c r="CG74" s="17"/>
      <c r="CH74" s="17"/>
      <c r="CI74" s="17"/>
      <c r="CJ74" s="583"/>
      <c r="CK74" s="583"/>
      <c r="CL74" s="17" t="str">
        <v>Nausea</v>
      </c>
      <c r="CM74" s="17">
        <v>16</v>
      </c>
      <c r="CN74" s="17">
        <v>0</v>
      </c>
      <c r="CO74" s="17">
        <f t="shared" ca="1" si="104"/>
        <v>0</v>
      </c>
      <c r="CP74" s="17"/>
      <c r="CQ74" s="17">
        <f t="shared" ca="1" si="71"/>
        <v>17690.709821428572</v>
      </c>
      <c r="CR74" s="17">
        <v>0</v>
      </c>
      <c r="CS74" s="17">
        <f t="shared" ca="1" si="72"/>
        <v>0</v>
      </c>
      <c r="CT74" s="17" t="str">
        <f t="shared" si="69"/>
        <v>one-off</v>
      </c>
      <c r="CU74" s="17" t="str">
        <f t="shared" si="70"/>
        <v>Yes</v>
      </c>
      <c r="CV74" s="17">
        <f t="shared" ca="1" si="73"/>
        <v>0.80800000000000005</v>
      </c>
      <c r="CW74" s="17">
        <f t="shared" ca="1" si="74"/>
        <v>0</v>
      </c>
      <c r="CY74" s="657">
        <v>19</v>
      </c>
      <c r="CZ74" s="17" t="str">
        <f t="shared" si="63"/>
        <v>nivolumab_plus_ipilimumab</v>
      </c>
      <c r="DA74" s="17">
        <f t="shared" si="64"/>
        <v>2</v>
      </c>
      <c r="DB74" s="17">
        <f t="shared" si="65"/>
        <v>1</v>
      </c>
      <c r="DC74" s="17" t="str">
        <f>"G3+ "&amp;$D$48</f>
        <v>G3+ Proteinuria</v>
      </c>
      <c r="DD74" s="17">
        <f t="shared" ca="1" si="66"/>
        <v>0</v>
      </c>
      <c r="DE74" s="956">
        <f t="shared" ca="1" si="67"/>
        <v>34.35089285714286</v>
      </c>
      <c r="DG74" s="1008">
        <f t="shared" si="50"/>
        <v>220.87</v>
      </c>
      <c r="DH74" s="1009">
        <f t="shared" si="51"/>
        <v>-0.1</v>
      </c>
      <c r="DI74" s="1007">
        <f t="shared" si="49"/>
        <v>3</v>
      </c>
    </row>
    <row r="75" spans="4:113" x14ac:dyDescent="0.2">
      <c r="D75" s="673" t="str">
        <v>Increased AST</v>
      </c>
      <c r="E75" s="693">
        <f t="shared" si="76"/>
        <v>0.58199999999999996</v>
      </c>
      <c r="F75" s="692">
        <f t="shared" si="77"/>
        <v>1.238</v>
      </c>
      <c r="G75" s="567">
        <f t="shared" si="78"/>
        <v>0.80800000000000005</v>
      </c>
      <c r="H75" s="567">
        <f t="shared" si="79"/>
        <v>1.3160000000000001</v>
      </c>
      <c r="I75" s="567">
        <f t="shared" si="80"/>
        <v>1.0820000000000001</v>
      </c>
      <c r="J75" s="567">
        <f t="shared" si="81"/>
        <v>1.034</v>
      </c>
      <c r="K75" s="567">
        <f t="shared" si="82"/>
        <v>0.77</v>
      </c>
      <c r="L75" s="567">
        <f t="shared" si="83"/>
        <v>1</v>
      </c>
      <c r="M75" s="567">
        <f t="shared" si="84"/>
        <v>1.1339999999999999</v>
      </c>
      <c r="N75" s="567">
        <f t="shared" si="85"/>
        <v>1.601</v>
      </c>
      <c r="O75" s="567">
        <f t="shared" si="86"/>
        <v>1</v>
      </c>
      <c r="P75" s="567">
        <f t="shared" si="87"/>
        <v>2.3029999999999999</v>
      </c>
      <c r="Q75" s="567">
        <f t="shared" si="88"/>
        <v>0.94399999999999995</v>
      </c>
      <c r="R75" s="736">
        <f t="shared" si="89"/>
        <v>1.367</v>
      </c>
      <c r="S75" s="729">
        <f t="shared" si="90"/>
        <v>0</v>
      </c>
      <c r="T75" s="1209">
        <f t="shared" si="91"/>
        <v>0</v>
      </c>
      <c r="U75" s="1209">
        <f t="shared" si="92"/>
        <v>0</v>
      </c>
      <c r="V75" s="1209">
        <f t="shared" si="93"/>
        <v>0</v>
      </c>
      <c r="W75" s="1209">
        <f t="shared" si="94"/>
        <v>0</v>
      </c>
      <c r="X75" s="1209">
        <f t="shared" si="95"/>
        <v>0</v>
      </c>
      <c r="Y75" s="1209">
        <f t="shared" si="96"/>
        <v>0</v>
      </c>
      <c r="Z75" s="1209">
        <f t="shared" si="97"/>
        <v>0</v>
      </c>
      <c r="AA75" s="1215">
        <f t="shared" si="98"/>
        <v>0</v>
      </c>
      <c r="AB75" s="732">
        <f t="shared" si="101"/>
        <v>0</v>
      </c>
      <c r="AC75" s="732">
        <f t="shared" si="102"/>
        <v>0</v>
      </c>
      <c r="AD75" s="1209">
        <f t="shared" si="103"/>
        <v>0</v>
      </c>
      <c r="AE75" s="1209">
        <f t="shared" si="99"/>
        <v>0</v>
      </c>
      <c r="AF75" s="1194">
        <f t="shared" si="100"/>
        <v>0</v>
      </c>
      <c r="AG75" s="1214"/>
      <c r="AH75" s="1214"/>
      <c r="AI75" s="1214"/>
      <c r="AJ75" s="1214"/>
      <c r="AK75" s="1214"/>
      <c r="AL75" s="1214"/>
      <c r="AM75" s="1214"/>
      <c r="AN75" s="1214"/>
      <c r="AO75" s="1214"/>
      <c r="AP75" s="1214"/>
      <c r="AQ75" s="1214"/>
      <c r="AR75" s="1214"/>
      <c r="AS75" s="1214"/>
      <c r="AT75" s="1214"/>
      <c r="AU75" s="577"/>
      <c r="AV75" s="577"/>
      <c r="CA75" s="17" t="str" cm="1">
        <f t="array" ref="CA75">INDEX(List_comparators,CB75+1)</f>
        <v>nivolumab_plus_ipilimumab</v>
      </c>
      <c r="CB75" s="17">
        <v>2</v>
      </c>
      <c r="CC75" s="17">
        <v>1</v>
      </c>
      <c r="CD75" s="17"/>
      <c r="CE75" s="17"/>
      <c r="CF75" s="17"/>
      <c r="CG75" s="17"/>
      <c r="CH75" s="17"/>
      <c r="CI75" s="17"/>
      <c r="CJ75" s="583"/>
      <c r="CK75" s="583"/>
      <c r="CL75" s="17" t="str">
        <v>Neutropenia</v>
      </c>
      <c r="CM75" s="17">
        <v>17</v>
      </c>
      <c r="CN75" s="17">
        <v>0</v>
      </c>
      <c r="CO75" s="17">
        <f t="shared" ca="1" si="104"/>
        <v>0</v>
      </c>
      <c r="CP75" s="17"/>
      <c r="CQ75" s="17">
        <f t="shared" ca="1" si="71"/>
        <v>17690.709821428572</v>
      </c>
      <c r="CR75" s="17">
        <v>0</v>
      </c>
      <c r="CS75" s="17">
        <f t="shared" ca="1" si="72"/>
        <v>0</v>
      </c>
      <c r="CT75" s="17" t="str">
        <f t="shared" si="69"/>
        <v>one-off</v>
      </c>
      <c r="CU75" s="17" t="str">
        <f t="shared" si="70"/>
        <v>Yes</v>
      </c>
      <c r="CV75" s="17">
        <f t="shared" ca="1" si="73"/>
        <v>0.80800000000000005</v>
      </c>
      <c r="CW75" s="17">
        <f t="shared" ca="1" si="74"/>
        <v>0</v>
      </c>
      <c r="CY75" s="657">
        <v>20</v>
      </c>
      <c r="CZ75" s="17" t="str">
        <f t="shared" si="63"/>
        <v>nivolumab_plus_ipilimumab</v>
      </c>
      <c r="DA75" s="17">
        <f t="shared" si="64"/>
        <v>2</v>
      </c>
      <c r="DB75" s="17">
        <f t="shared" si="65"/>
        <v>1</v>
      </c>
      <c r="DC75" s="17" t="str">
        <f>"G3+ "&amp;$D$49</f>
        <v>G3+ Stomatitis</v>
      </c>
      <c r="DD75" s="17">
        <f t="shared" ca="1" si="66"/>
        <v>0</v>
      </c>
      <c r="DE75" s="956">
        <f t="shared" ca="1" si="67"/>
        <v>34.35089285714286</v>
      </c>
      <c r="DG75" s="1008">
        <f t="shared" si="50"/>
        <v>801.11</v>
      </c>
      <c r="DH75" s="1009">
        <f t="shared" si="51"/>
        <v>-0.1</v>
      </c>
      <c r="DI75" s="1007">
        <f t="shared" si="49"/>
        <v>3</v>
      </c>
    </row>
    <row r="76" spans="4:113" x14ac:dyDescent="0.2">
      <c r="D76" s="673" t="str">
        <v>Leukopenia</v>
      </c>
      <c r="E76" s="693">
        <f t="shared" si="76"/>
        <v>0.58199999999999996</v>
      </c>
      <c r="F76" s="692">
        <f t="shared" si="77"/>
        <v>1.238</v>
      </c>
      <c r="G76" s="567">
        <f t="shared" si="78"/>
        <v>0.80800000000000005</v>
      </c>
      <c r="H76" s="567">
        <f t="shared" si="79"/>
        <v>1.3160000000000001</v>
      </c>
      <c r="I76" s="567">
        <f t="shared" si="80"/>
        <v>1.0820000000000001</v>
      </c>
      <c r="J76" s="567">
        <f t="shared" si="81"/>
        <v>1.034</v>
      </c>
      <c r="K76" s="567">
        <f t="shared" si="82"/>
        <v>0.77</v>
      </c>
      <c r="L76" s="567">
        <f t="shared" si="83"/>
        <v>1</v>
      </c>
      <c r="M76" s="567">
        <f t="shared" si="84"/>
        <v>1.1339999999999999</v>
      </c>
      <c r="N76" s="567">
        <f t="shared" si="85"/>
        <v>1.601</v>
      </c>
      <c r="O76" s="567">
        <f t="shared" si="86"/>
        <v>1</v>
      </c>
      <c r="P76" s="567">
        <f t="shared" si="87"/>
        <v>2.3029999999999999</v>
      </c>
      <c r="Q76" s="567">
        <f t="shared" si="88"/>
        <v>0.94399999999999995</v>
      </c>
      <c r="R76" s="736">
        <f t="shared" si="89"/>
        <v>1.367</v>
      </c>
      <c r="S76" s="729">
        <f t="shared" si="90"/>
        <v>0</v>
      </c>
      <c r="T76" s="1209">
        <f t="shared" si="91"/>
        <v>0</v>
      </c>
      <c r="U76" s="1209">
        <f t="shared" si="92"/>
        <v>0</v>
      </c>
      <c r="V76" s="1209">
        <f t="shared" si="93"/>
        <v>0</v>
      </c>
      <c r="W76" s="1209">
        <f t="shared" si="94"/>
        <v>0</v>
      </c>
      <c r="X76" s="1209">
        <f t="shared" si="95"/>
        <v>0</v>
      </c>
      <c r="Y76" s="1209">
        <f t="shared" si="96"/>
        <v>0</v>
      </c>
      <c r="Z76" s="1209">
        <f t="shared" si="97"/>
        <v>0</v>
      </c>
      <c r="AA76" s="1215">
        <f t="shared" si="98"/>
        <v>0</v>
      </c>
      <c r="AB76" s="732">
        <f t="shared" si="101"/>
        <v>0</v>
      </c>
      <c r="AC76" s="732">
        <f t="shared" si="102"/>
        <v>0</v>
      </c>
      <c r="AD76" s="1209">
        <f t="shared" si="103"/>
        <v>0</v>
      </c>
      <c r="AE76" s="1209">
        <f t="shared" si="99"/>
        <v>0</v>
      </c>
      <c r="AF76" s="1194">
        <f t="shared" si="100"/>
        <v>0</v>
      </c>
      <c r="AG76" s="572"/>
      <c r="AH76" s="572"/>
      <c r="AI76" s="572"/>
      <c r="AJ76" s="572"/>
      <c r="AK76" s="572"/>
      <c r="AL76" s="572"/>
      <c r="AM76" s="572"/>
      <c r="AN76" s="572"/>
      <c r="AO76" s="572"/>
      <c r="AP76" s="572"/>
      <c r="AQ76" s="572"/>
      <c r="AR76" s="572"/>
      <c r="AS76" s="572"/>
      <c r="AT76" s="572"/>
      <c r="AU76" s="572"/>
      <c r="AV76" s="572"/>
      <c r="CA76" s="17" t="str" cm="1">
        <f t="array" ref="CA76">INDEX(List_comparators,CB76+1)</f>
        <v>nivolumab_plus_ipilimumab</v>
      </c>
      <c r="CB76" s="17">
        <v>2</v>
      </c>
      <c r="CC76" s="17">
        <v>1</v>
      </c>
      <c r="CD76" s="17"/>
      <c r="CE76" s="17"/>
      <c r="CF76" s="17"/>
      <c r="CG76" s="17"/>
      <c r="CH76" s="17"/>
      <c r="CI76" s="17"/>
      <c r="CJ76" s="583"/>
      <c r="CK76" s="583"/>
      <c r="CL76" s="17" t="str">
        <v>Platelets count decreased</v>
      </c>
      <c r="CM76" s="17">
        <v>18</v>
      </c>
      <c r="CN76" s="17">
        <v>0</v>
      </c>
      <c r="CO76" s="17">
        <f t="shared" ca="1" si="104"/>
        <v>0</v>
      </c>
      <c r="CP76" s="17"/>
      <c r="CQ76" s="17">
        <f t="shared" ca="1" si="71"/>
        <v>17690.709821428572</v>
      </c>
      <c r="CR76" s="17">
        <v>0</v>
      </c>
      <c r="CS76" s="17">
        <f t="shared" ca="1" si="72"/>
        <v>0</v>
      </c>
      <c r="CT76" s="17" t="str">
        <f t="shared" si="69"/>
        <v>one-off</v>
      </c>
      <c r="CU76" s="17" t="str">
        <f t="shared" si="70"/>
        <v>Yes</v>
      </c>
      <c r="CV76" s="17">
        <f t="shared" ca="1" si="73"/>
        <v>0.80800000000000005</v>
      </c>
      <c r="CW76" s="17">
        <f t="shared" ca="1" si="74"/>
        <v>0</v>
      </c>
      <c r="CY76" s="657">
        <v>21</v>
      </c>
      <c r="CZ76" s="17" t="str">
        <f t="shared" si="63"/>
        <v>nivolumab_plus_ipilimumab</v>
      </c>
      <c r="DA76" s="17">
        <f t="shared" si="64"/>
        <v>2</v>
      </c>
      <c r="DB76" s="17">
        <f t="shared" si="65"/>
        <v>1</v>
      </c>
      <c r="DC76" s="17" t="str">
        <f>"G3+ "&amp;$D$50</f>
        <v>G3+ Vomiting</v>
      </c>
      <c r="DD76" s="17">
        <f t="shared" ca="1" si="66"/>
        <v>0</v>
      </c>
      <c r="DE76" s="956">
        <f t="shared" ca="1" si="67"/>
        <v>34.35089285714286</v>
      </c>
      <c r="DG76" s="1008">
        <f t="shared" si="50"/>
        <v>801.11</v>
      </c>
      <c r="DH76" s="1009">
        <f t="shared" si="51"/>
        <v>-0.1</v>
      </c>
      <c r="DI76" s="1007">
        <f t="shared" si="49"/>
        <v>3</v>
      </c>
    </row>
    <row r="77" spans="4:113" x14ac:dyDescent="0.2">
      <c r="D77" s="673" t="str">
        <v>Lymphopenia</v>
      </c>
      <c r="E77" s="693">
        <f t="shared" si="76"/>
        <v>0.58199999999999996</v>
      </c>
      <c r="F77" s="692">
        <f t="shared" si="77"/>
        <v>1.238</v>
      </c>
      <c r="G77" s="567">
        <f t="shared" si="78"/>
        <v>0.80800000000000005</v>
      </c>
      <c r="H77" s="567">
        <f t="shared" si="79"/>
        <v>1.3160000000000001</v>
      </c>
      <c r="I77" s="567">
        <f t="shared" si="80"/>
        <v>1.0820000000000001</v>
      </c>
      <c r="J77" s="567">
        <f t="shared" si="81"/>
        <v>1.034</v>
      </c>
      <c r="K77" s="567">
        <f t="shared" si="82"/>
        <v>0.77</v>
      </c>
      <c r="L77" s="567">
        <f t="shared" si="83"/>
        <v>1</v>
      </c>
      <c r="M77" s="567">
        <f t="shared" si="84"/>
        <v>1.1339999999999999</v>
      </c>
      <c r="N77" s="567">
        <f t="shared" si="85"/>
        <v>1.601</v>
      </c>
      <c r="O77" s="567">
        <f t="shared" si="86"/>
        <v>1</v>
      </c>
      <c r="P77" s="567">
        <f t="shared" si="87"/>
        <v>2.3029999999999999</v>
      </c>
      <c r="Q77" s="567">
        <f t="shared" si="88"/>
        <v>0.94399999999999995</v>
      </c>
      <c r="R77" s="736">
        <f t="shared" si="89"/>
        <v>1.367</v>
      </c>
      <c r="S77" s="729">
        <f t="shared" si="90"/>
        <v>0</v>
      </c>
      <c r="T77" s="1209">
        <f t="shared" si="91"/>
        <v>0</v>
      </c>
      <c r="U77" s="1209">
        <f t="shared" si="92"/>
        <v>0</v>
      </c>
      <c r="V77" s="1209">
        <f t="shared" si="93"/>
        <v>0</v>
      </c>
      <c r="W77" s="1209">
        <f t="shared" si="94"/>
        <v>0</v>
      </c>
      <c r="X77" s="1209">
        <f t="shared" si="95"/>
        <v>0</v>
      </c>
      <c r="Y77" s="1209">
        <f t="shared" si="96"/>
        <v>0</v>
      </c>
      <c r="Z77" s="1209">
        <f t="shared" si="97"/>
        <v>0</v>
      </c>
      <c r="AA77" s="1215">
        <f t="shared" si="98"/>
        <v>0</v>
      </c>
      <c r="AB77" s="732">
        <f t="shared" si="101"/>
        <v>0</v>
      </c>
      <c r="AC77" s="732">
        <f t="shared" si="102"/>
        <v>0</v>
      </c>
      <c r="AD77" s="1209">
        <f t="shared" si="103"/>
        <v>0</v>
      </c>
      <c r="AE77" s="1209">
        <f t="shared" si="99"/>
        <v>0</v>
      </c>
      <c r="AF77" s="1194">
        <f t="shared" si="100"/>
        <v>0</v>
      </c>
      <c r="AG77" s="578"/>
      <c r="AH77" s="578"/>
      <c r="AI77" s="578"/>
      <c r="AJ77" s="578"/>
      <c r="AK77" s="578"/>
      <c r="AL77" s="578"/>
      <c r="AM77" s="578"/>
      <c r="AN77" s="578"/>
      <c r="AO77" s="578"/>
      <c r="AP77" s="578"/>
      <c r="AQ77" s="578"/>
      <c r="AR77" s="578"/>
      <c r="AS77" s="578"/>
      <c r="AT77" s="578"/>
      <c r="AU77" s="578"/>
      <c r="AV77" s="578"/>
      <c r="CA77" s="17" t="str" cm="1">
        <f t="array" ref="CA77">INDEX(List_comparators,CB77+1)</f>
        <v>nivolumab_plus_ipilimumab</v>
      </c>
      <c r="CB77" s="17">
        <v>2</v>
      </c>
      <c r="CC77" s="17">
        <v>1</v>
      </c>
      <c r="CD77" s="17"/>
      <c r="CE77" s="17"/>
      <c r="CF77" s="17"/>
      <c r="CG77" s="17"/>
      <c r="CH77" s="17"/>
      <c r="CI77" s="17"/>
      <c r="CJ77" s="583"/>
      <c r="CK77" s="583"/>
      <c r="CL77" s="17" t="str">
        <v>Proteinuria</v>
      </c>
      <c r="CM77" s="17">
        <v>19</v>
      </c>
      <c r="CN77" s="17">
        <v>0</v>
      </c>
      <c r="CO77" s="17">
        <f t="shared" ca="1" si="104"/>
        <v>0</v>
      </c>
      <c r="CP77" s="17"/>
      <c r="CQ77" s="17">
        <f t="shared" ca="1" si="71"/>
        <v>17690.709821428572</v>
      </c>
      <c r="CR77" s="17">
        <v>0</v>
      </c>
      <c r="CS77" s="17">
        <f t="shared" ca="1" si="72"/>
        <v>0</v>
      </c>
      <c r="CT77" s="17" t="str">
        <f t="shared" si="69"/>
        <v>one-off</v>
      </c>
      <c r="CU77" s="17" t="str">
        <f t="shared" si="70"/>
        <v>Yes</v>
      </c>
      <c r="CV77" s="17">
        <f t="shared" ca="1" si="73"/>
        <v>0.80800000000000005</v>
      </c>
      <c r="CW77" s="17">
        <f t="shared" ca="1" si="74"/>
        <v>0</v>
      </c>
      <c r="CY77" s="657">
        <v>22</v>
      </c>
      <c r="CZ77" s="17" t="str">
        <f t="shared" si="63"/>
        <v>nivolumab_plus_ipilimumab</v>
      </c>
      <c r="DA77" s="17">
        <f t="shared" si="64"/>
        <v>2</v>
      </c>
      <c r="DB77" s="17">
        <f t="shared" si="65"/>
        <v>1</v>
      </c>
      <c r="DC77" s="17" t="str">
        <f>"G3+ "&amp;$D$51</f>
        <v>G3+ Weight loss</v>
      </c>
      <c r="DD77" s="17">
        <f t="shared" ca="1" si="66"/>
        <v>0</v>
      </c>
      <c r="DE77" s="956">
        <f t="shared" ca="1" si="67"/>
        <v>34.35089285714286</v>
      </c>
      <c r="DG77" s="1008">
        <f t="shared" si="50"/>
        <v>801.11</v>
      </c>
      <c r="DH77" s="1009">
        <f t="shared" si="51"/>
        <v>-0.1</v>
      </c>
      <c r="DI77" s="1007">
        <f t="shared" si="49"/>
        <v>3</v>
      </c>
    </row>
    <row r="78" spans="4:113" x14ac:dyDescent="0.2">
      <c r="D78" s="673" t="str">
        <v>Nausea</v>
      </c>
      <c r="E78" s="693">
        <f t="shared" si="76"/>
        <v>0.58199999999999996</v>
      </c>
      <c r="F78" s="692">
        <f t="shared" si="77"/>
        <v>1.238</v>
      </c>
      <c r="G78" s="567">
        <f t="shared" si="78"/>
        <v>0.80800000000000005</v>
      </c>
      <c r="H78" s="567">
        <f t="shared" si="79"/>
        <v>1.3160000000000001</v>
      </c>
      <c r="I78" s="567">
        <f t="shared" si="80"/>
        <v>1.0820000000000001</v>
      </c>
      <c r="J78" s="567">
        <f t="shared" si="81"/>
        <v>1.034</v>
      </c>
      <c r="K78" s="567">
        <f t="shared" si="82"/>
        <v>0.77</v>
      </c>
      <c r="L78" s="567">
        <f t="shared" si="83"/>
        <v>1</v>
      </c>
      <c r="M78" s="567">
        <f t="shared" si="84"/>
        <v>1.1339999999999999</v>
      </c>
      <c r="N78" s="567">
        <f t="shared" si="85"/>
        <v>1.601</v>
      </c>
      <c r="O78" s="567">
        <f t="shared" si="86"/>
        <v>1</v>
      </c>
      <c r="P78" s="567">
        <f t="shared" si="87"/>
        <v>2.3029999999999999</v>
      </c>
      <c r="Q78" s="567">
        <f t="shared" si="88"/>
        <v>0.94399999999999995</v>
      </c>
      <c r="R78" s="736">
        <f t="shared" si="89"/>
        <v>1.367</v>
      </c>
      <c r="S78" s="729">
        <f t="shared" si="90"/>
        <v>0</v>
      </c>
      <c r="T78" s="1209">
        <f t="shared" si="91"/>
        <v>0</v>
      </c>
      <c r="U78" s="1209">
        <f t="shared" si="92"/>
        <v>0</v>
      </c>
      <c r="V78" s="1209">
        <f t="shared" si="93"/>
        <v>0</v>
      </c>
      <c r="W78" s="1209">
        <f t="shared" si="94"/>
        <v>0</v>
      </c>
      <c r="X78" s="1209">
        <f t="shared" si="95"/>
        <v>0</v>
      </c>
      <c r="Y78" s="1209">
        <f t="shared" si="96"/>
        <v>0</v>
      </c>
      <c r="Z78" s="1209">
        <f t="shared" si="97"/>
        <v>0</v>
      </c>
      <c r="AA78" s="1215">
        <f t="shared" si="98"/>
        <v>0</v>
      </c>
      <c r="AB78" s="732">
        <f t="shared" si="101"/>
        <v>0</v>
      </c>
      <c r="AC78" s="732">
        <f t="shared" si="102"/>
        <v>0</v>
      </c>
      <c r="AD78" s="1209">
        <f t="shared" si="103"/>
        <v>0</v>
      </c>
      <c r="AE78" s="1209">
        <f t="shared" si="99"/>
        <v>0</v>
      </c>
      <c r="AF78" s="1194">
        <f t="shared" si="100"/>
        <v>0</v>
      </c>
      <c r="CA78" s="17" t="str" cm="1">
        <f t="array" ref="CA78">INDEX(List_comparators,CB78+1)</f>
        <v>nivolumab_plus_ipilimumab</v>
      </c>
      <c r="CB78" s="17">
        <v>2</v>
      </c>
      <c r="CC78" s="17">
        <v>1</v>
      </c>
      <c r="CD78" s="17"/>
      <c r="CE78" s="17"/>
      <c r="CF78" s="17"/>
      <c r="CG78" s="17"/>
      <c r="CH78" s="17"/>
      <c r="CI78" s="17"/>
      <c r="CJ78" s="583"/>
      <c r="CK78" s="583"/>
      <c r="CL78" s="17" t="str">
        <v>Stomatitis</v>
      </c>
      <c r="CM78" s="17">
        <v>20</v>
      </c>
      <c r="CN78" s="17">
        <v>0</v>
      </c>
      <c r="CO78" s="17">
        <f t="shared" ca="1" si="104"/>
        <v>0</v>
      </c>
      <c r="CP78" s="17"/>
      <c r="CQ78" s="17">
        <f t="shared" ca="1" si="71"/>
        <v>17690.709821428572</v>
      </c>
      <c r="CR78" s="17">
        <v>0</v>
      </c>
      <c r="CS78" s="17">
        <f t="shared" ca="1" si="72"/>
        <v>0</v>
      </c>
      <c r="CT78" s="17" t="str">
        <f t="shared" si="69"/>
        <v>one-off</v>
      </c>
      <c r="CU78" s="17" t="str">
        <f t="shared" si="70"/>
        <v>Yes</v>
      </c>
      <c r="CV78" s="17">
        <f t="shared" ca="1" si="73"/>
        <v>0.80800000000000005</v>
      </c>
      <c r="CW78" s="17">
        <f t="shared" ca="1" si="74"/>
        <v>0</v>
      </c>
      <c r="CY78" s="657">
        <v>1</v>
      </c>
      <c r="CZ78" s="17" t="str">
        <f t="shared" ref="CZ78:DB80" si="105">CA77</f>
        <v>nivolumab_plus_ipilimumab</v>
      </c>
      <c r="DA78" s="17">
        <f t="shared" si="105"/>
        <v>2</v>
      </c>
      <c r="DB78" s="17">
        <f t="shared" si="105"/>
        <v>1</v>
      </c>
      <c r="DC78" s="17" t="str">
        <f>"G1&amp;2 "&amp;$D$18</f>
        <v>G1&amp;2 Diarrhoea</v>
      </c>
      <c r="DD78" s="17">
        <f ca="1">CHOOSE(i_AE_NMA_option_num,OFFSET($S$86,$CY78-1,$DA78),OFFSET($AG$18,$CY78-1,$DA78))</f>
        <v>4.3045395001085141E-3</v>
      </c>
      <c r="DE78" s="956">
        <f ca="1">OFFSET($S$18,$CY78-1,$DA78)/INDEX($DT$14:$DT$27,MATCH(DA78,$DR$14:$DR$27,0))</f>
        <v>34.35089285714286</v>
      </c>
      <c r="DG78" s="1008">
        <f t="shared" si="50"/>
        <v>220.87</v>
      </c>
      <c r="DH78" s="1009">
        <f t="shared" si="51"/>
        <v>-0.05</v>
      </c>
      <c r="DI78" s="1007">
        <f t="shared" si="49"/>
        <v>3</v>
      </c>
    </row>
    <row r="79" spans="4:113" ht="15.75" thickBot="1" x14ac:dyDescent="0.25">
      <c r="D79" s="672" t="str">
        <v>Neutropenia</v>
      </c>
      <c r="E79" s="693">
        <f t="shared" si="76"/>
        <v>0.58199999999999996</v>
      </c>
      <c r="F79" s="692">
        <f t="shared" si="77"/>
        <v>1.238</v>
      </c>
      <c r="G79" s="567">
        <f t="shared" si="78"/>
        <v>0.80800000000000005</v>
      </c>
      <c r="H79" s="567">
        <f t="shared" si="79"/>
        <v>1.3160000000000001</v>
      </c>
      <c r="I79" s="567">
        <f t="shared" si="80"/>
        <v>1.0820000000000001</v>
      </c>
      <c r="J79" s="567">
        <f t="shared" si="81"/>
        <v>1.034</v>
      </c>
      <c r="K79" s="567">
        <f t="shared" si="82"/>
        <v>0.77</v>
      </c>
      <c r="L79" s="567">
        <f t="shared" si="83"/>
        <v>1</v>
      </c>
      <c r="M79" s="567">
        <f t="shared" si="84"/>
        <v>1.1339999999999999</v>
      </c>
      <c r="N79" s="567">
        <f t="shared" si="85"/>
        <v>1.601</v>
      </c>
      <c r="O79" s="567">
        <f t="shared" si="86"/>
        <v>1</v>
      </c>
      <c r="P79" s="567">
        <f t="shared" si="87"/>
        <v>2.3029999999999999</v>
      </c>
      <c r="Q79" s="567">
        <f t="shared" si="88"/>
        <v>0.94399999999999995</v>
      </c>
      <c r="R79" s="736">
        <f t="shared" si="89"/>
        <v>1.367</v>
      </c>
      <c r="S79" s="729">
        <f t="shared" si="90"/>
        <v>0</v>
      </c>
      <c r="T79" s="1209">
        <f t="shared" si="91"/>
        <v>0</v>
      </c>
      <c r="U79" s="1209">
        <f t="shared" si="92"/>
        <v>0</v>
      </c>
      <c r="V79" s="1209">
        <f t="shared" si="93"/>
        <v>0</v>
      </c>
      <c r="W79" s="1209">
        <f t="shared" si="94"/>
        <v>0</v>
      </c>
      <c r="X79" s="1209">
        <f t="shared" si="95"/>
        <v>0</v>
      </c>
      <c r="Y79" s="1209">
        <f t="shared" si="96"/>
        <v>0</v>
      </c>
      <c r="Z79" s="1209">
        <f t="shared" si="97"/>
        <v>0</v>
      </c>
      <c r="AA79" s="1215">
        <f t="shared" si="98"/>
        <v>0</v>
      </c>
      <c r="AB79" s="732">
        <f t="shared" si="101"/>
        <v>0</v>
      </c>
      <c r="AC79" s="732">
        <f t="shared" si="102"/>
        <v>0</v>
      </c>
      <c r="AD79" s="1209">
        <f t="shared" si="103"/>
        <v>0</v>
      </c>
      <c r="AE79" s="1209">
        <f t="shared" si="99"/>
        <v>0</v>
      </c>
      <c r="AF79" s="1194">
        <f t="shared" si="100"/>
        <v>0</v>
      </c>
      <c r="CA79" s="622" t="str" cm="1">
        <f t="array" ref="CA79">INDEX(List_comparators,CB79+1)</f>
        <v>nivolumab_plus_ipilimumab</v>
      </c>
      <c r="CB79" s="622">
        <v>2</v>
      </c>
      <c r="CC79" s="622">
        <v>1</v>
      </c>
      <c r="CD79" s="622"/>
      <c r="CE79" s="622"/>
      <c r="CF79" s="622"/>
      <c r="CG79" s="622"/>
      <c r="CH79" s="622"/>
      <c r="CI79" s="622"/>
      <c r="CJ79" s="744"/>
      <c r="CK79" s="744"/>
      <c r="CL79" s="622" t="str">
        <v>Vomiting</v>
      </c>
      <c r="CM79" s="622">
        <v>21</v>
      </c>
      <c r="CN79" s="622">
        <v>0</v>
      </c>
      <c r="CO79" s="622">
        <f t="shared" ca="1" si="104"/>
        <v>0</v>
      </c>
      <c r="CP79" s="622"/>
      <c r="CQ79" s="622">
        <f t="shared" ca="1" si="71"/>
        <v>17690.709821428572</v>
      </c>
      <c r="CR79" s="622">
        <v>0</v>
      </c>
      <c r="CS79" s="622">
        <f t="shared" ca="1" si="72"/>
        <v>0</v>
      </c>
      <c r="CT79" s="622" t="str">
        <f t="shared" si="69"/>
        <v>one-off</v>
      </c>
      <c r="CU79" s="622" t="str">
        <f t="shared" si="70"/>
        <v>Yes</v>
      </c>
      <c r="CV79" s="622">
        <f t="shared" ca="1" si="73"/>
        <v>0.80800000000000005</v>
      </c>
      <c r="CW79" s="622">
        <f t="shared" ca="1" si="74"/>
        <v>0</v>
      </c>
      <c r="CY79" s="657">
        <v>2</v>
      </c>
      <c r="CZ79" s="17" t="str">
        <f t="shared" si="105"/>
        <v>nivolumab_plus_ipilimumab</v>
      </c>
      <c r="DA79" s="17">
        <f t="shared" si="105"/>
        <v>2</v>
      </c>
      <c r="DB79" s="17">
        <f t="shared" si="105"/>
        <v>1</v>
      </c>
      <c r="DC79" s="17" t="str">
        <f>"G1&amp;2 "&amp;$D$19</f>
        <v>G1&amp;2 Fatigue</v>
      </c>
      <c r="DD79" s="17">
        <f ca="1">CHOOSE(i_AE_NMA_option_num,OFFSET($S$86,$CY79-1,$DA79),OFFSET($AG$18,$CY79-1,$DA79))</f>
        <v>9.4668058855036253E-3</v>
      </c>
      <c r="DE79" s="956">
        <f ca="1">OFFSET($S$18,$CY78-1,$DA79)/INDEX($DT$14:$DT$27,MATCH(DA79,$DR$14:$DR$27,0))</f>
        <v>34.35089285714286</v>
      </c>
      <c r="DG79" s="1008">
        <f t="shared" si="50"/>
        <v>441.74</v>
      </c>
      <c r="DH79" s="1009">
        <f t="shared" si="51"/>
        <v>-0.05</v>
      </c>
      <c r="DI79" s="1007">
        <f t="shared" si="49"/>
        <v>3</v>
      </c>
    </row>
    <row r="80" spans="4:113" ht="15.75" thickTop="1" x14ac:dyDescent="0.2">
      <c r="D80" s="673" t="str">
        <v>Platelets count decreased</v>
      </c>
      <c r="E80" s="693">
        <f t="shared" si="76"/>
        <v>0.58199999999999996</v>
      </c>
      <c r="F80" s="692">
        <f t="shared" si="77"/>
        <v>1.238</v>
      </c>
      <c r="G80" s="567">
        <f t="shared" si="78"/>
        <v>0.80800000000000005</v>
      </c>
      <c r="H80" s="567">
        <f t="shared" si="79"/>
        <v>1.3160000000000001</v>
      </c>
      <c r="I80" s="567">
        <f t="shared" si="80"/>
        <v>1.0820000000000001</v>
      </c>
      <c r="J80" s="567">
        <f t="shared" si="81"/>
        <v>1.034</v>
      </c>
      <c r="K80" s="567">
        <f t="shared" si="82"/>
        <v>0.77</v>
      </c>
      <c r="L80" s="567">
        <f t="shared" si="83"/>
        <v>1</v>
      </c>
      <c r="M80" s="567">
        <f t="shared" si="84"/>
        <v>1.1339999999999999</v>
      </c>
      <c r="N80" s="567">
        <f t="shared" si="85"/>
        <v>1.601</v>
      </c>
      <c r="O80" s="567">
        <f t="shared" si="86"/>
        <v>1</v>
      </c>
      <c r="P80" s="567">
        <f t="shared" si="87"/>
        <v>2.3029999999999999</v>
      </c>
      <c r="Q80" s="567">
        <f t="shared" si="88"/>
        <v>0.94399999999999995</v>
      </c>
      <c r="R80" s="736">
        <f t="shared" si="89"/>
        <v>1.367</v>
      </c>
      <c r="S80" s="729">
        <f t="shared" si="90"/>
        <v>0</v>
      </c>
      <c r="T80" s="1209">
        <f t="shared" si="91"/>
        <v>0</v>
      </c>
      <c r="U80" s="1209">
        <f t="shared" si="92"/>
        <v>0</v>
      </c>
      <c r="V80" s="1209">
        <f t="shared" si="93"/>
        <v>0</v>
      </c>
      <c r="W80" s="1209">
        <f t="shared" si="94"/>
        <v>0</v>
      </c>
      <c r="X80" s="1209">
        <f t="shared" si="95"/>
        <v>0</v>
      </c>
      <c r="Y80" s="1209">
        <f t="shared" si="96"/>
        <v>0</v>
      </c>
      <c r="Z80" s="1209">
        <f t="shared" si="97"/>
        <v>0</v>
      </c>
      <c r="AA80" s="1215">
        <f t="shared" si="98"/>
        <v>0</v>
      </c>
      <c r="AB80" s="732">
        <f t="shared" si="101"/>
        <v>0</v>
      </c>
      <c r="AC80" s="732">
        <f t="shared" si="102"/>
        <v>0</v>
      </c>
      <c r="AD80" s="1209">
        <f t="shared" si="103"/>
        <v>0</v>
      </c>
      <c r="AE80" s="1209">
        <f t="shared" si="99"/>
        <v>0</v>
      </c>
      <c r="AF80" s="1194">
        <f t="shared" si="100"/>
        <v>0</v>
      </c>
      <c r="CA80" s="17"/>
      <c r="CB80" s="17"/>
      <c r="CC80" s="17"/>
      <c r="CD80" s="17"/>
      <c r="CE80" s="17"/>
      <c r="CF80" s="17"/>
      <c r="CG80" s="17"/>
      <c r="CH80" s="17"/>
      <c r="CI80" s="17"/>
      <c r="CJ80" s="17"/>
      <c r="CK80" s="17"/>
      <c r="CL80" s="17" t="str">
        <v>Weight loss</v>
      </c>
      <c r="CM80" s="17"/>
      <c r="CN80" s="17"/>
      <c r="CO80" s="17"/>
      <c r="CP80" s="17"/>
      <c r="CQ80" s="17"/>
      <c r="CR80" s="17"/>
      <c r="CS80" s="17"/>
      <c r="CT80" s="17"/>
      <c r="CU80" s="17"/>
      <c r="CV80" s="17"/>
      <c r="CW80" s="17"/>
      <c r="CY80" s="657">
        <v>3</v>
      </c>
      <c r="CZ80" s="17" t="str">
        <f t="shared" si="105"/>
        <v>nivolumab_plus_ipilimumab</v>
      </c>
      <c r="DA80" s="17">
        <f t="shared" si="105"/>
        <v>2</v>
      </c>
      <c r="DB80" s="17">
        <f t="shared" si="105"/>
        <v>1</v>
      </c>
      <c r="DC80" s="17" t="str">
        <f>"G1&amp;2 "&amp;$D$20</f>
        <v>G1&amp;2 Palmar-plantar erythrodysaesthesia syndrome</v>
      </c>
      <c r="DD80" s="17">
        <f ca="1">CHOOSE(i_AE_NMA_option_num,OFFSET($S$86,$CY80-1,$DA80),OFFSET($AG$18,$CY80-1,$DA80))</f>
        <v>8.582767523923217E-6</v>
      </c>
      <c r="DE80" s="956">
        <f ca="1">OFFSET($S$18,$CY79-1,$DA80)/INDEX($DT$14:$DT$27,MATCH(DA80,$DR$14:$DR$27,0))</f>
        <v>34.35089285714286</v>
      </c>
      <c r="DG80" s="1008">
        <f t="shared" si="50"/>
        <v>441.74</v>
      </c>
      <c r="DH80" s="1009">
        <f t="shared" si="51"/>
        <v>-0.05</v>
      </c>
      <c r="DI80" s="1007">
        <f t="shared" si="49"/>
        <v>3</v>
      </c>
    </row>
    <row r="81" spans="4:113" x14ac:dyDescent="0.2">
      <c r="D81" s="673" t="str">
        <v>Proteinuria</v>
      </c>
      <c r="E81" s="693">
        <f t="shared" si="76"/>
        <v>0.58199999999999996</v>
      </c>
      <c r="F81" s="692">
        <f t="shared" si="77"/>
        <v>1.238</v>
      </c>
      <c r="G81" s="567">
        <f t="shared" si="78"/>
        <v>0.80800000000000005</v>
      </c>
      <c r="H81" s="567">
        <f t="shared" si="79"/>
        <v>1.3160000000000001</v>
      </c>
      <c r="I81" s="567">
        <f t="shared" si="80"/>
        <v>1.0820000000000001</v>
      </c>
      <c r="J81" s="567">
        <f t="shared" si="81"/>
        <v>1.034</v>
      </c>
      <c r="K81" s="567">
        <f t="shared" si="82"/>
        <v>0.77</v>
      </c>
      <c r="L81" s="567">
        <f t="shared" si="83"/>
        <v>1</v>
      </c>
      <c r="M81" s="567">
        <f t="shared" si="84"/>
        <v>1.1339999999999999</v>
      </c>
      <c r="N81" s="567">
        <f t="shared" si="85"/>
        <v>1.601</v>
      </c>
      <c r="O81" s="567">
        <f t="shared" si="86"/>
        <v>1</v>
      </c>
      <c r="P81" s="567">
        <f t="shared" si="87"/>
        <v>2.3029999999999999</v>
      </c>
      <c r="Q81" s="567">
        <f t="shared" si="88"/>
        <v>0.94399999999999995</v>
      </c>
      <c r="R81" s="736">
        <f t="shared" si="89"/>
        <v>1.367</v>
      </c>
      <c r="S81" s="729">
        <f t="shared" si="90"/>
        <v>0</v>
      </c>
      <c r="T81" s="1209">
        <f t="shared" si="91"/>
        <v>0</v>
      </c>
      <c r="U81" s="1209">
        <f t="shared" si="92"/>
        <v>0</v>
      </c>
      <c r="V81" s="1209">
        <f t="shared" si="93"/>
        <v>0</v>
      </c>
      <c r="W81" s="1209">
        <f t="shared" si="94"/>
        <v>0</v>
      </c>
      <c r="X81" s="1209">
        <f t="shared" si="95"/>
        <v>0</v>
      </c>
      <c r="Y81" s="1209">
        <f t="shared" si="96"/>
        <v>0</v>
      </c>
      <c r="Z81" s="1209">
        <f t="shared" si="97"/>
        <v>0</v>
      </c>
      <c r="AA81" s="1215">
        <f t="shared" si="98"/>
        <v>0</v>
      </c>
      <c r="AB81" s="732">
        <f t="shared" si="101"/>
        <v>0</v>
      </c>
      <c r="AC81" s="732">
        <f t="shared" si="102"/>
        <v>0</v>
      </c>
      <c r="AD81" s="1209">
        <f t="shared" si="103"/>
        <v>0</v>
      </c>
      <c r="AE81" s="1209">
        <f t="shared" si="99"/>
        <v>0</v>
      </c>
      <c r="AF81" s="1194">
        <f t="shared" si="100"/>
        <v>0</v>
      </c>
      <c r="CA81" s="17" t="str" cm="1">
        <f t="array" ref="CA81">INDEX(List_comparators,CB81+1)</f>
        <v>lenvatinib_plus_pembrolizumab</v>
      </c>
      <c r="CB81" s="17">
        <v>3</v>
      </c>
      <c r="CC81" s="17">
        <v>1</v>
      </c>
      <c r="CD81" s="17">
        <f ca="1">OFFSET($E$16,0,CB81)</f>
        <v>355</v>
      </c>
      <c r="CE81" s="17">
        <f ca="1">OFFSET($E$28,0,CB81)</f>
        <v>354</v>
      </c>
      <c r="CF81" s="17">
        <f ca="1">OFFSET($S$16,0,CB81)</f>
        <v>26241.473214285714</v>
      </c>
      <c r="CG81" s="17">
        <f ca="1">OFFSET($S$28,0,CB81)</f>
        <v>26167.553571428572</v>
      </c>
      <c r="CH81" s="17">
        <f ca="1">OFFSET($AG$16,0,CB81)</f>
        <v>1.3528203889358619E-2</v>
      </c>
      <c r="CI81" s="17">
        <f ca="1">OFFSET($AG$28,0,CB81)</f>
        <v>1.3528203889358617E-2</v>
      </c>
      <c r="CJ81" s="583">
        <f>$CJ$6</f>
        <v>3</v>
      </c>
      <c r="CK81" s="583">
        <f>$CK$6</f>
        <v>0.6</v>
      </c>
      <c r="CL81" s="17" t="str" cm="1">
        <f t="array" ref="CL81:CL83">List_AEs_all_grade</f>
        <v>Diarrhoea</v>
      </c>
      <c r="CM81" s="17">
        <v>1</v>
      </c>
      <c r="CN81" s="17">
        <f ca="1">OFFSET($E$18,$CM81-1,$CB81)</f>
        <v>216</v>
      </c>
      <c r="CO81" s="17">
        <f t="shared" ref="CO81:CO144" ca="1" si="106">OFFSET($E$30,$CM81-1,$CB81)</f>
        <v>0</v>
      </c>
      <c r="CP81" s="17">
        <f ca="1">OFFSET($S$18,$CM81-1,$CB81)</f>
        <v>26241.473214285714</v>
      </c>
      <c r="CQ81" s="17">
        <v>0</v>
      </c>
      <c r="CR81" s="17">
        <f ca="1">OFFSET($AG$18,$CM81-1,$CB81)</f>
        <v>6.9319261657623853E-3</v>
      </c>
      <c r="CS81" s="17">
        <v>0</v>
      </c>
      <c r="CT81" s="17" t="str">
        <f>dd_apply_AE_options</f>
        <v>one-off</v>
      </c>
      <c r="CU81" s="17" t="str">
        <f>$CU$6</f>
        <v>Yes</v>
      </c>
      <c r="CV81" s="17">
        <f ca="1">OFFSET($E$86,$CM81-1,$CB81)</f>
        <v>1.82</v>
      </c>
      <c r="CW81" s="17">
        <f ca="1">OFFSET($S$86,$CM81-1,$CB81)</f>
        <v>1.2616105621687542E-2</v>
      </c>
      <c r="CY81" s="657">
        <v>1</v>
      </c>
      <c r="CZ81" s="17" t="str">
        <f t="shared" ref="CZ81:CZ102" si="107">CA81</f>
        <v>lenvatinib_plus_pembrolizumab</v>
      </c>
      <c r="DA81" s="17">
        <f t="shared" ref="DA81:DA102" si="108">CB81</f>
        <v>3</v>
      </c>
      <c r="DB81" s="17">
        <f t="shared" ref="DB81:DB102" si="109">CC81</f>
        <v>1</v>
      </c>
      <c r="DC81" s="17" t="str">
        <f>"G3+ "&amp;$D$30</f>
        <v>G3+ ALT increased</v>
      </c>
      <c r="DD81" s="17">
        <f t="shared" ref="DD81:DD102" ca="1" si="110">CHOOSE(i_AE_NMA_option_num,OFFSET($S$63,$CY81-1,$DA81),OFFSET($AG$30,$CY81-1,$DA81))</f>
        <v>0</v>
      </c>
      <c r="DE81" s="956">
        <f t="shared" ref="DE81:DE102" ca="1" si="111">OFFSET($S$30,$CY81-1,$DA81)/INDEX($DS$14:$DS$27,MATCH(DA81,$DR$14:$DR$27,0))</f>
        <v>73.919642857142861</v>
      </c>
      <c r="DG81" s="1008">
        <f>$DG56</f>
        <v>0</v>
      </c>
      <c r="DH81" s="1009">
        <f>$DH56</f>
        <v>-0.1</v>
      </c>
      <c r="DI81" s="1007">
        <f t="shared" si="49"/>
        <v>3</v>
      </c>
    </row>
    <row r="82" spans="4:113" x14ac:dyDescent="0.2">
      <c r="D82" s="673" t="str">
        <v>Stomatitis</v>
      </c>
      <c r="E82" s="693">
        <f t="shared" si="76"/>
        <v>0.58199999999999996</v>
      </c>
      <c r="F82" s="692">
        <f t="shared" si="77"/>
        <v>1.238</v>
      </c>
      <c r="G82" s="567">
        <f t="shared" si="78"/>
        <v>0.80800000000000005</v>
      </c>
      <c r="H82" s="567">
        <f t="shared" si="79"/>
        <v>1.3160000000000001</v>
      </c>
      <c r="I82" s="567">
        <f t="shared" si="80"/>
        <v>1.0820000000000001</v>
      </c>
      <c r="J82" s="567">
        <f t="shared" si="81"/>
        <v>1.034</v>
      </c>
      <c r="K82" s="567">
        <f t="shared" si="82"/>
        <v>0.77</v>
      </c>
      <c r="L82" s="567">
        <f t="shared" si="83"/>
        <v>1</v>
      </c>
      <c r="M82" s="567">
        <f t="shared" si="84"/>
        <v>1.1339999999999999</v>
      </c>
      <c r="N82" s="567">
        <f t="shared" si="85"/>
        <v>1.601</v>
      </c>
      <c r="O82" s="567">
        <f t="shared" si="86"/>
        <v>1</v>
      </c>
      <c r="P82" s="567">
        <f t="shared" si="87"/>
        <v>2.3029999999999999</v>
      </c>
      <c r="Q82" s="567">
        <f t="shared" si="88"/>
        <v>0.94399999999999995</v>
      </c>
      <c r="R82" s="736">
        <f t="shared" si="89"/>
        <v>1.367</v>
      </c>
      <c r="S82" s="729">
        <f t="shared" si="90"/>
        <v>0</v>
      </c>
      <c r="T82" s="1209">
        <f t="shared" si="91"/>
        <v>0</v>
      </c>
      <c r="U82" s="1209">
        <f t="shared" si="92"/>
        <v>0</v>
      </c>
      <c r="V82" s="1209">
        <f t="shared" si="93"/>
        <v>0</v>
      </c>
      <c r="W82" s="1209">
        <f t="shared" si="94"/>
        <v>0</v>
      </c>
      <c r="X82" s="1209">
        <f t="shared" si="95"/>
        <v>0</v>
      </c>
      <c r="Y82" s="1209">
        <f t="shared" si="96"/>
        <v>0</v>
      </c>
      <c r="Z82" s="1209">
        <f t="shared" si="97"/>
        <v>0</v>
      </c>
      <c r="AA82" s="1215">
        <f t="shared" si="98"/>
        <v>0</v>
      </c>
      <c r="AB82" s="732">
        <f t="shared" si="101"/>
        <v>0</v>
      </c>
      <c r="AC82" s="732">
        <f t="shared" si="102"/>
        <v>0</v>
      </c>
      <c r="AD82" s="1209">
        <f t="shared" si="103"/>
        <v>0</v>
      </c>
      <c r="AE82" s="1209">
        <f t="shared" si="99"/>
        <v>0</v>
      </c>
      <c r="AF82" s="1194">
        <f t="shared" si="100"/>
        <v>0</v>
      </c>
      <c r="CA82" s="17" t="str" cm="1">
        <f t="array" ref="CA82">INDEX(List_comparators,CB82+1)</f>
        <v>lenvatinib_plus_pembrolizumab</v>
      </c>
      <c r="CB82" s="17">
        <v>3</v>
      </c>
      <c r="CC82" s="17">
        <v>1</v>
      </c>
      <c r="CD82" s="17"/>
      <c r="CE82" s="17"/>
      <c r="CF82" s="17"/>
      <c r="CG82" s="17"/>
      <c r="CH82" s="17"/>
      <c r="CI82" s="17"/>
      <c r="CJ82" s="583"/>
      <c r="CK82" s="583"/>
      <c r="CL82" s="17" t="str">
        <v>Fatigue</v>
      </c>
      <c r="CM82" s="17">
        <v>2</v>
      </c>
      <c r="CN82" s="17">
        <f ca="1">OFFSET($E$18,$CM82-1,$CB82)</f>
        <v>141</v>
      </c>
      <c r="CO82" s="17">
        <f t="shared" ca="1" si="106"/>
        <v>0</v>
      </c>
      <c r="CP82" s="17">
        <f ca="1">OFFSET($S$18,$CM82-1,$CB82)</f>
        <v>26241.473214285714</v>
      </c>
      <c r="CQ82" s="17">
        <v>0</v>
      </c>
      <c r="CR82" s="17">
        <f ca="1">OFFSET($AG$18,$CM82-1,$CB82)</f>
        <v>5.3731739391537046E-3</v>
      </c>
      <c r="CS82" s="17">
        <v>0</v>
      </c>
      <c r="CT82" s="17" t="str">
        <f>$CT$6</f>
        <v>one-off</v>
      </c>
      <c r="CU82" s="17" t="str">
        <f>$CU$6</f>
        <v>Yes</v>
      </c>
      <c r="CV82" s="17">
        <f ca="1">OFFSET($E$86,$CM82-1,$CB82)</f>
        <v>0.97</v>
      </c>
      <c r="CW82" s="17">
        <f ca="1">OFFSET($S$86,$CM82-1,$CB82)</f>
        <v>5.2119787209790932E-3</v>
      </c>
      <c r="CY82" s="657">
        <v>2</v>
      </c>
      <c r="CZ82" s="17" t="str">
        <f t="shared" si="107"/>
        <v>lenvatinib_plus_pembrolizumab</v>
      </c>
      <c r="DA82" s="17">
        <f t="shared" si="108"/>
        <v>3</v>
      </c>
      <c r="DB82" s="17">
        <f t="shared" si="109"/>
        <v>1</v>
      </c>
      <c r="DC82" s="17" t="str">
        <f>"G3+ "&amp;$D$31</f>
        <v>G3+ Anaemia</v>
      </c>
      <c r="DD82" s="17">
        <f t="shared" ca="1" si="110"/>
        <v>0</v>
      </c>
      <c r="DE82" s="956">
        <f t="shared" ca="1" si="111"/>
        <v>73.919642857142861</v>
      </c>
      <c r="DG82" s="1008">
        <f t="shared" si="50"/>
        <v>655.75</v>
      </c>
      <c r="DH82" s="1009">
        <f t="shared" si="51"/>
        <v>-0.1</v>
      </c>
      <c r="DI82" s="1007">
        <f t="shared" si="49"/>
        <v>3</v>
      </c>
    </row>
    <row r="83" spans="4:113" ht="15.75" thickBot="1" x14ac:dyDescent="0.25">
      <c r="D83" s="673" t="str">
        <v>Vomiting</v>
      </c>
      <c r="E83" s="693">
        <f t="shared" si="76"/>
        <v>0.58199999999999996</v>
      </c>
      <c r="F83" s="692">
        <f t="shared" si="77"/>
        <v>1.238</v>
      </c>
      <c r="G83" s="567">
        <f t="shared" si="78"/>
        <v>0.80800000000000005</v>
      </c>
      <c r="H83" s="567">
        <f t="shared" si="79"/>
        <v>1.3160000000000001</v>
      </c>
      <c r="I83" s="567">
        <f t="shared" si="80"/>
        <v>1.0820000000000001</v>
      </c>
      <c r="J83" s="567">
        <f t="shared" si="81"/>
        <v>1.034</v>
      </c>
      <c r="K83" s="567">
        <f t="shared" si="82"/>
        <v>0.77</v>
      </c>
      <c r="L83" s="567">
        <f t="shared" si="83"/>
        <v>1</v>
      </c>
      <c r="M83" s="567">
        <f t="shared" si="84"/>
        <v>1.1339999999999999</v>
      </c>
      <c r="N83" s="567">
        <f t="shared" si="85"/>
        <v>1.601</v>
      </c>
      <c r="O83" s="567">
        <f t="shared" si="86"/>
        <v>1</v>
      </c>
      <c r="P83" s="567">
        <f t="shared" si="87"/>
        <v>2.3029999999999999</v>
      </c>
      <c r="Q83" s="567">
        <f t="shared" si="88"/>
        <v>0.94399999999999995</v>
      </c>
      <c r="R83" s="736">
        <f t="shared" si="89"/>
        <v>1.367</v>
      </c>
      <c r="S83" s="729">
        <f t="shared" si="90"/>
        <v>0</v>
      </c>
      <c r="T83" s="1209">
        <f t="shared" si="91"/>
        <v>0</v>
      </c>
      <c r="U83" s="1209">
        <f t="shared" si="92"/>
        <v>0</v>
      </c>
      <c r="V83" s="1209">
        <f t="shared" si="93"/>
        <v>0</v>
      </c>
      <c r="W83" s="1209">
        <f t="shared" si="94"/>
        <v>0</v>
      </c>
      <c r="X83" s="1209">
        <f t="shared" si="95"/>
        <v>0</v>
      </c>
      <c r="Y83" s="1209">
        <f t="shared" si="96"/>
        <v>0</v>
      </c>
      <c r="Z83" s="1209">
        <f t="shared" si="97"/>
        <v>0</v>
      </c>
      <c r="AA83" s="1215">
        <f t="shared" si="98"/>
        <v>0</v>
      </c>
      <c r="AB83" s="732">
        <f t="shared" si="101"/>
        <v>0</v>
      </c>
      <c r="AC83" s="732">
        <f t="shared" si="102"/>
        <v>0</v>
      </c>
      <c r="AD83" s="1209">
        <f t="shared" si="103"/>
        <v>0</v>
      </c>
      <c r="AE83" s="1209">
        <f t="shared" si="99"/>
        <v>0</v>
      </c>
      <c r="AF83" s="1194">
        <f t="shared" si="100"/>
        <v>0</v>
      </c>
      <c r="CA83" s="19" t="str" cm="1">
        <f t="array" ref="CA83">INDEX(List_comparators,CB83+1)</f>
        <v>lenvatinib_plus_pembrolizumab</v>
      </c>
      <c r="CB83" s="19">
        <v>3</v>
      </c>
      <c r="CC83" s="19">
        <v>1</v>
      </c>
      <c r="CD83" s="19"/>
      <c r="CE83" s="19"/>
      <c r="CF83" s="19"/>
      <c r="CG83" s="19"/>
      <c r="CH83" s="19"/>
      <c r="CI83" s="19"/>
      <c r="CJ83" s="743"/>
      <c r="CK83" s="743"/>
      <c r="CL83" s="19" t="str">
        <v>Palmar-plantar erythrodysaesthesia syndrome</v>
      </c>
      <c r="CM83" s="19">
        <v>3</v>
      </c>
      <c r="CN83" s="19">
        <f ca="1">OFFSET($E$18,$CM83-1,$CB83)</f>
        <v>101</v>
      </c>
      <c r="CO83" s="19">
        <f t="shared" ca="1" si="106"/>
        <v>0</v>
      </c>
      <c r="CP83" s="19">
        <f ca="1">OFFSET($S$18,$CM83-1,$CB83)</f>
        <v>26241.473214285714</v>
      </c>
      <c r="CQ83" s="19">
        <v>0</v>
      </c>
      <c r="CR83" s="19">
        <f ca="1">OFFSET($AG$18,$CM83-1,$CB83)</f>
        <v>3.8488692755640013E-3</v>
      </c>
      <c r="CS83" s="19">
        <v>0</v>
      </c>
      <c r="CT83" s="19" t="str">
        <f t="shared" ref="CT83:CT104" si="112">$CT$6</f>
        <v>one-off</v>
      </c>
      <c r="CU83" s="19" t="str">
        <f t="shared" ref="CU83:CU104" si="113">$CU$6</f>
        <v>Yes</v>
      </c>
      <c r="CV83" s="19">
        <f ca="1">OFFSET($E$86,$CM83-1,$CB83)</f>
        <v>1.04</v>
      </c>
      <c r="CW83" s="19">
        <f ca="1">OFFSET($S$86,$CM83-1,$CB83)</f>
        <v>4.0028240465865613E-3</v>
      </c>
      <c r="CY83" s="657">
        <v>3</v>
      </c>
      <c r="CZ83" s="17" t="str">
        <f t="shared" si="107"/>
        <v>lenvatinib_plus_pembrolizumab</v>
      </c>
      <c r="DA83" s="17">
        <f t="shared" si="108"/>
        <v>3</v>
      </c>
      <c r="DB83" s="17">
        <f t="shared" si="109"/>
        <v>1</v>
      </c>
      <c r="DC83" s="17" t="str">
        <f>"G3+ "&amp;$D$32</f>
        <v>G3+ Decreased appetite</v>
      </c>
      <c r="DD83" s="17">
        <f t="shared" ca="1" si="110"/>
        <v>0</v>
      </c>
      <c r="DE83" s="956">
        <f t="shared" ca="1" si="111"/>
        <v>73.919642857142861</v>
      </c>
      <c r="DG83" s="1008">
        <f t="shared" si="50"/>
        <v>0</v>
      </c>
      <c r="DH83" s="1009">
        <f t="shared" si="51"/>
        <v>-0.1</v>
      </c>
      <c r="DI83" s="1007">
        <f t="shared" si="49"/>
        <v>3</v>
      </c>
    </row>
    <row r="84" spans="4:113" x14ac:dyDescent="0.2">
      <c r="D84" s="672" t="str">
        <v>Weight loss</v>
      </c>
      <c r="E84" s="693">
        <f t="shared" si="76"/>
        <v>0.58199999999999996</v>
      </c>
      <c r="F84" s="692">
        <f t="shared" si="77"/>
        <v>1.238</v>
      </c>
      <c r="G84" s="567">
        <f t="shared" si="78"/>
        <v>0.80800000000000005</v>
      </c>
      <c r="H84" s="567">
        <f t="shared" si="79"/>
        <v>1.3160000000000001</v>
      </c>
      <c r="I84" s="567">
        <f t="shared" si="80"/>
        <v>1.0820000000000001</v>
      </c>
      <c r="J84" s="567">
        <f t="shared" si="81"/>
        <v>1.034</v>
      </c>
      <c r="K84" s="567">
        <f t="shared" si="82"/>
        <v>0.77</v>
      </c>
      <c r="L84" s="567">
        <f t="shared" si="83"/>
        <v>1</v>
      </c>
      <c r="M84" s="567">
        <f t="shared" si="84"/>
        <v>1.1339999999999999</v>
      </c>
      <c r="N84" s="567">
        <f t="shared" si="85"/>
        <v>1.601</v>
      </c>
      <c r="O84" s="567">
        <f t="shared" si="86"/>
        <v>1</v>
      </c>
      <c r="P84" s="567">
        <f t="shared" si="87"/>
        <v>2.3029999999999999</v>
      </c>
      <c r="Q84" s="567">
        <f t="shared" si="88"/>
        <v>0.94399999999999995</v>
      </c>
      <c r="R84" s="736">
        <f t="shared" si="89"/>
        <v>1.367</v>
      </c>
      <c r="S84" s="729">
        <f>IF(i_AE_NMA_option_num=1,E84*$AQ51,E84*AG51)</f>
        <v>0</v>
      </c>
      <c r="T84" s="1209">
        <f t="shared" ref="T84:AA84" si="114">IF(i_AE_NMA_option_num=1,F84*$AN51,F84*AH51)</f>
        <v>0</v>
      </c>
      <c r="U84" s="1209">
        <f t="shared" si="114"/>
        <v>0</v>
      </c>
      <c r="V84" s="1209">
        <f t="shared" si="114"/>
        <v>0</v>
      </c>
      <c r="W84" s="1209">
        <f t="shared" si="114"/>
        <v>0</v>
      </c>
      <c r="X84" s="1209">
        <f t="shared" si="114"/>
        <v>0</v>
      </c>
      <c r="Y84" s="1209">
        <f t="shared" si="114"/>
        <v>0</v>
      </c>
      <c r="Z84" s="1209">
        <f t="shared" si="114"/>
        <v>0</v>
      </c>
      <c r="AA84" s="1215">
        <f t="shared" si="114"/>
        <v>0</v>
      </c>
      <c r="AB84" s="732">
        <f>IF(i_AE_NMA_option_num=1,N84*$AQ51,N84*AP51)</f>
        <v>0</v>
      </c>
      <c r="AC84" s="732">
        <f>IF(i_AE_NMA_option_num=1,O84*$AQ51,O84*AQ51)</f>
        <v>0</v>
      </c>
      <c r="AD84" s="1209">
        <f>P84*AR51</f>
        <v>0</v>
      </c>
      <c r="AE84" s="1209">
        <f>IF(i_AE_NMA_option_num=1,Q84*$AN51,Q84*AS51)</f>
        <v>0</v>
      </c>
      <c r="AF84" s="1194">
        <f>IF(i_AE_NMA_option_num=1,R84*$AQ51,R84*$AO51)</f>
        <v>0</v>
      </c>
      <c r="CA84" s="17" t="str" cm="1">
        <f t="array" ref="CA84">INDEX(List_comparators,CB84+1)</f>
        <v>lenvatinib_plus_pembrolizumab</v>
      </c>
      <c r="CB84" s="17">
        <v>3</v>
      </c>
      <c r="CC84" s="17">
        <v>1</v>
      </c>
      <c r="CD84" s="17"/>
      <c r="CE84" s="17"/>
      <c r="CF84" s="17"/>
      <c r="CG84" s="17"/>
      <c r="CH84" s="17"/>
      <c r="CI84" s="17"/>
      <c r="CJ84" s="17"/>
      <c r="CK84" s="17"/>
      <c r="CL84" s="252" t="str" cm="1">
        <f t="array" ref="CL84:CL105">List_AEs_g3</f>
        <v>ALT increased</v>
      </c>
      <c r="CM84" s="252">
        <v>1</v>
      </c>
      <c r="CN84" s="252">
        <v>0</v>
      </c>
      <c r="CO84" s="252">
        <f t="shared" ca="1" si="106"/>
        <v>0</v>
      </c>
      <c r="CP84" s="252"/>
      <c r="CQ84" s="252">
        <f t="shared" ref="CQ84:CQ104" ca="1" si="115">OFFSET($S$30,$CM84-1,$CB84)</f>
        <v>26167.553571428572</v>
      </c>
      <c r="CR84" s="252">
        <v>0</v>
      </c>
      <c r="CS84" s="252">
        <f t="shared" ref="CS84:CS104" ca="1" si="116">OFFSET($AG$30,$CM84-1,$CB84)</f>
        <v>0</v>
      </c>
      <c r="CT84" s="252" t="str">
        <f t="shared" si="112"/>
        <v>one-off</v>
      </c>
      <c r="CU84" s="252" t="str">
        <f t="shared" si="113"/>
        <v>Yes</v>
      </c>
      <c r="CV84" s="252">
        <f ca="1">OFFSET($E$63,$CM84-1,$CB84)</f>
        <v>1.3160000000000001</v>
      </c>
      <c r="CW84" s="252">
        <f ca="1">OFFSET($S$63,$CM84-1,$CB84)</f>
        <v>0</v>
      </c>
      <c r="CY84" s="657">
        <v>4</v>
      </c>
      <c r="CZ84" s="17" t="str">
        <f t="shared" si="107"/>
        <v>lenvatinib_plus_pembrolizumab</v>
      </c>
      <c r="DA84" s="17">
        <f t="shared" si="108"/>
        <v>3</v>
      </c>
      <c r="DB84" s="17">
        <f t="shared" si="109"/>
        <v>1</v>
      </c>
      <c r="DC84" s="17" t="str">
        <f>"G3+ "&amp;$D$33</f>
        <v>G3+ Diarrhoea _TKI induced</v>
      </c>
      <c r="DD84" s="17">
        <f t="shared" ca="1" si="110"/>
        <v>2.9755208453498836E-3</v>
      </c>
      <c r="DE84" s="956">
        <f t="shared" ca="1" si="111"/>
        <v>73.919642857142861</v>
      </c>
      <c r="DG84" s="1008">
        <f t="shared" si="50"/>
        <v>827.18</v>
      </c>
      <c r="DH84" s="1009">
        <f t="shared" si="51"/>
        <v>-0.1</v>
      </c>
      <c r="DI84" s="1007">
        <f t="shared" si="49"/>
        <v>3</v>
      </c>
    </row>
    <row r="85" spans="4:113" ht="15.75" x14ac:dyDescent="0.2">
      <c r="D85" s="484" t="s">
        <v>706</v>
      </c>
      <c r="E85" s="722"/>
      <c r="F85" s="723"/>
      <c r="G85" s="724"/>
      <c r="H85" s="724"/>
      <c r="I85" s="724"/>
      <c r="J85" s="724"/>
      <c r="K85" s="724"/>
      <c r="L85" s="724"/>
      <c r="M85" s="724"/>
      <c r="N85" s="724"/>
      <c r="O85" s="724"/>
      <c r="P85" s="724"/>
      <c r="Q85" s="724"/>
      <c r="R85" s="413"/>
      <c r="S85" s="730"/>
      <c r="T85" s="1189"/>
      <c r="U85" s="1189"/>
      <c r="V85" s="1189"/>
      <c r="W85" s="1189"/>
      <c r="X85" s="1189"/>
      <c r="Y85" s="1189"/>
      <c r="Z85" s="1189"/>
      <c r="AA85" s="1189"/>
      <c r="AB85" s="1189"/>
      <c r="AC85" s="1189"/>
      <c r="AD85" s="1189"/>
      <c r="AE85" s="1189"/>
      <c r="AF85" s="1190"/>
      <c r="CA85" s="17" t="str" cm="1">
        <f t="array" ref="CA85">INDEX(List_comparators,CB85+1)</f>
        <v>lenvatinib_plus_pembrolizumab</v>
      </c>
      <c r="CB85" s="17">
        <v>3</v>
      </c>
      <c r="CC85" s="17">
        <v>1</v>
      </c>
      <c r="CD85" s="17"/>
      <c r="CE85" s="17"/>
      <c r="CF85" s="17"/>
      <c r="CG85" s="17"/>
      <c r="CH85" s="17"/>
      <c r="CI85" s="17"/>
      <c r="CJ85" s="17"/>
      <c r="CK85" s="17"/>
      <c r="CL85" s="17" t="str">
        <v>Anaemia</v>
      </c>
      <c r="CM85" s="17">
        <v>2</v>
      </c>
      <c r="CN85" s="17">
        <v>0</v>
      </c>
      <c r="CO85" s="17">
        <f t="shared" ca="1" si="106"/>
        <v>0</v>
      </c>
      <c r="CP85" s="17"/>
      <c r="CQ85" s="17">
        <f t="shared" ca="1" si="115"/>
        <v>26167.553571428572</v>
      </c>
      <c r="CR85" s="17">
        <v>0</v>
      </c>
      <c r="CS85" s="17">
        <f t="shared" ca="1" si="116"/>
        <v>0</v>
      </c>
      <c r="CT85" s="17" t="str">
        <f t="shared" si="112"/>
        <v>one-off</v>
      </c>
      <c r="CU85" s="17" t="str">
        <f t="shared" si="113"/>
        <v>Yes</v>
      </c>
      <c r="CV85" s="17">
        <f t="shared" ref="CV85:CV104" ca="1" si="117">OFFSET($E$63,$CM85-1,$CB85)</f>
        <v>1.3160000000000001</v>
      </c>
      <c r="CW85" s="17">
        <f t="shared" ref="CW85:CW104" ca="1" si="118">OFFSET($S$63,$CM85-1,$CB85)</f>
        <v>0</v>
      </c>
      <c r="CY85" s="657">
        <v>5</v>
      </c>
      <c r="CZ85" s="17" t="str">
        <f t="shared" si="107"/>
        <v>lenvatinib_plus_pembrolizumab</v>
      </c>
      <c r="DA85" s="17">
        <f t="shared" si="108"/>
        <v>3</v>
      </c>
      <c r="DB85" s="17">
        <f t="shared" si="109"/>
        <v>1</v>
      </c>
      <c r="DC85" s="17" t="str">
        <f>"G3+ "&amp;$D$34</f>
        <v>G3+ Diarrhoea _IO induced</v>
      </c>
      <c r="DD85" s="17">
        <f t="shared" ca="1" si="110"/>
        <v>0</v>
      </c>
      <c r="DE85" s="956">
        <f t="shared" ca="1" si="111"/>
        <v>73.919642857142861</v>
      </c>
      <c r="DG85" s="1008">
        <f t="shared" si="50"/>
        <v>4321.12</v>
      </c>
      <c r="DH85" s="1009">
        <f t="shared" si="51"/>
        <v>-0.1</v>
      </c>
      <c r="DI85" s="1007">
        <f t="shared" si="49"/>
        <v>3</v>
      </c>
    </row>
    <row r="86" spans="4:113" x14ac:dyDescent="0.2">
      <c r="D86" s="272" t="str" cm="1">
        <f t="array" ref="D86:D88">List_AEs_all_grade</f>
        <v>Diarrhoea</v>
      </c>
      <c r="E86" s="270">
        <f>IF(i_AE_NMA_option_num=2,1,1)</f>
        <v>1</v>
      </c>
      <c r="F86" s="690">
        <f>IF(i_AE_NMA_option_num=2,1,1.57)</f>
        <v>1.57</v>
      </c>
      <c r="G86" s="928">
        <f>DX19</f>
        <v>0.52468146027201146</v>
      </c>
      <c r="H86" s="43">
        <f>IF(i_AE_NMA_option_num=2,1,1.82)</f>
        <v>1.82</v>
      </c>
      <c r="I86" s="43">
        <f>IF(i_AE_NMA_option_num=2,1,2.44)</f>
        <v>2.44</v>
      </c>
      <c r="J86" s="43">
        <f>IF(i_AE_NMA_option_num=2,1,1.14)</f>
        <v>1.1399999999999999</v>
      </c>
      <c r="K86" s="43">
        <f>IF(i_AE_NMA_option_num=2,1,0.6)</f>
        <v>0.6</v>
      </c>
      <c r="L86" s="567">
        <f>IF(i_AE_NMA_option_num=2,1,1)</f>
        <v>1</v>
      </c>
      <c r="M86" s="43">
        <f>IF(i_AE_NMA_option_num=2,1,0.92)</f>
        <v>0.92</v>
      </c>
      <c r="N86" s="43">
        <f>IF(i_AE_NMA_option_num=2,1,2.18)</f>
        <v>2.1800000000000002</v>
      </c>
      <c r="O86" s="43">
        <f>IF(i_AE_NMA_option_num=2,1,0.18)</f>
        <v>0.18</v>
      </c>
      <c r="P86" s="43">
        <f>IF(i_AE_NMA_option_num=2,1,3.76)</f>
        <v>3.76</v>
      </c>
      <c r="Q86" s="43">
        <f>IF(i_AE_NMA_option_num=2,1,1.95)</f>
        <v>1.95</v>
      </c>
      <c r="R86" s="963">
        <f>M86</f>
        <v>0.92</v>
      </c>
      <c r="S86" s="731">
        <f ca="1">E86*AG18</f>
        <v>4.6346063481233057E-3</v>
      </c>
      <c r="T86" s="732">
        <f t="shared" ref="S86:AE88" ca="1" si="119">F86*AH18</f>
        <v>9.6788519865116905E-3</v>
      </c>
      <c r="U86" s="732">
        <f t="shared" ca="1" si="119"/>
        <v>4.3045395001085141E-3</v>
      </c>
      <c r="V86" s="732">
        <f t="shared" ca="1" si="119"/>
        <v>1.2616105621687542E-2</v>
      </c>
      <c r="W86" s="732">
        <f t="shared" ca="1" si="119"/>
        <v>2.4683974732381184E-2</v>
      </c>
      <c r="X86" s="732">
        <f t="shared" ca="1" si="119"/>
        <v>1.7592190489532148E-2</v>
      </c>
      <c r="Y86" s="732">
        <f t="shared" ca="1" si="119"/>
        <v>7.3096446700507611E-3</v>
      </c>
      <c r="Z86" s="732">
        <f t="shared" ca="1" si="119"/>
        <v>1.073991186581455E-2</v>
      </c>
      <c r="AA86" s="732">
        <f t="shared" ca="1" si="119"/>
        <v>1.5488627762420775E-2</v>
      </c>
      <c r="AB86" s="732">
        <f t="shared" ca="1" si="119"/>
        <v>4.2685043324581548E-2</v>
      </c>
      <c r="AC86" s="732">
        <f t="shared" ca="1" si="119"/>
        <v>2.226365312964499E-3</v>
      </c>
      <c r="AD86" s="732">
        <f t="shared" ca="1" si="119"/>
        <v>5.7582950587131726E-2</v>
      </c>
      <c r="AE86" s="732">
        <f t="shared" ca="1" si="119"/>
        <v>5.695989461358314E-2</v>
      </c>
      <c r="AF86" s="1194">
        <f ca="1">IF(i_AE_NMA_option_num=1,R86*$AQ18,R86*$AO18)</f>
        <v>1.1379200488485218E-2</v>
      </c>
      <c r="AW86" s="572"/>
      <c r="CA86" s="17" t="str" cm="1">
        <f t="array" ref="CA86">INDEX(List_comparators,CB86+1)</f>
        <v>lenvatinib_plus_pembrolizumab</v>
      </c>
      <c r="CB86" s="17">
        <v>3</v>
      </c>
      <c r="CC86" s="17">
        <v>1</v>
      </c>
      <c r="CD86" s="17"/>
      <c r="CE86" s="17"/>
      <c r="CF86" s="17"/>
      <c r="CG86" s="17"/>
      <c r="CH86" s="17"/>
      <c r="CI86" s="17"/>
      <c r="CJ86" s="17"/>
      <c r="CK86" s="17"/>
      <c r="CL86" s="17" t="str">
        <v>Decreased appetite</v>
      </c>
      <c r="CM86" s="17">
        <v>3</v>
      </c>
      <c r="CN86" s="17">
        <v>0</v>
      </c>
      <c r="CO86" s="17">
        <f t="shared" ca="1" si="106"/>
        <v>0</v>
      </c>
      <c r="CP86" s="17"/>
      <c r="CQ86" s="17">
        <f t="shared" ca="1" si="115"/>
        <v>26167.553571428572</v>
      </c>
      <c r="CR86" s="17">
        <v>0</v>
      </c>
      <c r="CS86" s="17">
        <f t="shared" ca="1" si="116"/>
        <v>0</v>
      </c>
      <c r="CT86" s="17" t="str">
        <f t="shared" si="112"/>
        <v>one-off</v>
      </c>
      <c r="CU86" s="17" t="str">
        <f t="shared" si="113"/>
        <v>Yes</v>
      </c>
      <c r="CV86" s="17">
        <f t="shared" ca="1" si="117"/>
        <v>1.3160000000000001</v>
      </c>
      <c r="CW86" s="17">
        <f t="shared" ca="1" si="118"/>
        <v>0</v>
      </c>
      <c r="CY86" s="657">
        <v>6</v>
      </c>
      <c r="CZ86" s="17" t="str">
        <f t="shared" si="107"/>
        <v>lenvatinib_plus_pembrolizumab</v>
      </c>
      <c r="DA86" s="17">
        <f t="shared" si="108"/>
        <v>3</v>
      </c>
      <c r="DB86" s="17">
        <f t="shared" si="109"/>
        <v>1</v>
      </c>
      <c r="DC86" s="17" t="str">
        <f>"G3+ "&amp;$D$35</f>
        <v>G3+ Fatigue</v>
      </c>
      <c r="DD86" s="17">
        <f t="shared" ca="1" si="110"/>
        <v>1.1689546178160258E-3</v>
      </c>
      <c r="DE86" s="956">
        <f t="shared" ca="1" si="111"/>
        <v>73.919642857142861</v>
      </c>
      <c r="DG86" s="1008">
        <f t="shared" si="50"/>
        <v>662.61</v>
      </c>
      <c r="DH86" s="1009">
        <f t="shared" si="51"/>
        <v>-0.1</v>
      </c>
      <c r="DI86" s="1007">
        <f t="shared" si="49"/>
        <v>3</v>
      </c>
    </row>
    <row r="87" spans="4:113" x14ac:dyDescent="0.2">
      <c r="D87" s="721" t="str">
        <v>Fatigue</v>
      </c>
      <c r="E87" s="725">
        <f>IF(i_AE_NMA_option_num=2,1,0.5)</f>
        <v>0.5</v>
      </c>
      <c r="F87" s="726">
        <f>IF(i_AE_NMA_option_num=2,1,0.73)</f>
        <v>0.73</v>
      </c>
      <c r="G87" s="928">
        <f>DY19</f>
        <v>0.85577167019027489</v>
      </c>
      <c r="H87" s="727">
        <f>IF(i_AE_NMA_option_num=2,1,0.97)</f>
        <v>0.97</v>
      </c>
      <c r="I87" s="727">
        <f>IF(i_AE_NMA_option_num=2,1,0.95)</f>
        <v>0.95</v>
      </c>
      <c r="J87" s="727">
        <f>IF(i_AE_NMA_option_num=2,1,0.63)</f>
        <v>0.63</v>
      </c>
      <c r="K87" s="727">
        <f>IF(i_AE_NMA_option_num=2,1,1.36)</f>
        <v>1.36</v>
      </c>
      <c r="L87" s="567">
        <f>IF(i_AE_NMA_option_num=2,1,1)</f>
        <v>1</v>
      </c>
      <c r="M87" s="727">
        <f>IF(i_AE_NMA_option_num=2,1,0.38)</f>
        <v>0.38</v>
      </c>
      <c r="N87" s="727">
        <f>IF(i_AE_NMA_option_num=2,1,1.72)</f>
        <v>1.72</v>
      </c>
      <c r="O87" s="727">
        <f>IF(i_AE_NMA_option_num=2,1,1.79)</f>
        <v>1.79</v>
      </c>
      <c r="P87" s="727">
        <f>IF(i_AE_NMA_option_num=2,1,3.76)</f>
        <v>3.76</v>
      </c>
      <c r="Q87" s="727">
        <f>IF(i_AE_NMA_option_num=2,1,0.62)</f>
        <v>0.62</v>
      </c>
      <c r="R87" s="1216">
        <f>M87</f>
        <v>0.38</v>
      </c>
      <c r="S87" s="731">
        <f t="shared" si="119"/>
        <v>6.3854576351921105E-3</v>
      </c>
      <c r="T87" s="732">
        <f t="shared" si="119"/>
        <v>2.6232032854209449E-3</v>
      </c>
      <c r="U87" s="732">
        <f t="shared" si="119"/>
        <v>9.4668058855036253E-3</v>
      </c>
      <c r="V87" s="732">
        <f t="shared" si="119"/>
        <v>5.2119787209790932E-3</v>
      </c>
      <c r="W87" s="732">
        <f t="shared" si="119"/>
        <v>7.4702444553875879E-3</v>
      </c>
      <c r="X87" s="732">
        <f t="shared" si="119"/>
        <v>7.9011571966275777E-3</v>
      </c>
      <c r="Y87" s="732">
        <f t="shared" si="119"/>
        <v>1.5463959390862946E-2</v>
      </c>
      <c r="Z87" s="732">
        <f t="shared" si="119"/>
        <v>8.3173753547285609E-3</v>
      </c>
      <c r="AA87" s="732">
        <f t="shared" si="119"/>
        <v>5.9976343916982623E-3</v>
      </c>
      <c r="AB87" s="732">
        <f t="shared" si="119"/>
        <v>2.3472620432588905E-2</v>
      </c>
      <c r="AC87" s="732">
        <f t="shared" si="119"/>
        <v>3.4471086565076914E-2</v>
      </c>
      <c r="AD87" s="732">
        <f t="shared" si="119"/>
        <v>3.6130478799768925E-2</v>
      </c>
      <c r="AE87" s="732">
        <f t="shared" si="119"/>
        <v>1.1923076923076923E-2</v>
      </c>
      <c r="AF87" s="1217">
        <f>IF(i_AE_NMA_option_num=1,R87*$AQ19,R87*$AO19)</f>
        <v>7.3178842987314113E-3</v>
      </c>
      <c r="AW87" s="578"/>
      <c r="CA87" s="17" t="str" cm="1">
        <f t="array" ref="CA87">INDEX(List_comparators,CB87+1)</f>
        <v>lenvatinib_plus_pembrolizumab</v>
      </c>
      <c r="CB87" s="17">
        <v>3</v>
      </c>
      <c r="CC87" s="17">
        <v>1</v>
      </c>
      <c r="CD87" s="17"/>
      <c r="CE87" s="17"/>
      <c r="CF87" s="17"/>
      <c r="CG87" s="17"/>
      <c r="CH87" s="17"/>
      <c r="CI87" s="17"/>
      <c r="CJ87" s="17"/>
      <c r="CK87" s="17"/>
      <c r="CL87" s="17" t="str">
        <v>Diarrhoea _TKI induced</v>
      </c>
      <c r="CM87" s="17">
        <v>4</v>
      </c>
      <c r="CN87" s="17">
        <v>0</v>
      </c>
      <c r="CO87" s="17">
        <f t="shared" ca="1" si="106"/>
        <v>17</v>
      </c>
      <c r="CP87" s="17"/>
      <c r="CQ87" s="17">
        <f t="shared" ca="1" si="115"/>
        <v>26167.553571428572</v>
      </c>
      <c r="CR87" s="17">
        <v>0</v>
      </c>
      <c r="CS87" s="17">
        <f t="shared" ca="1" si="116"/>
        <v>6.4965950881100702E-4</v>
      </c>
      <c r="CT87" s="17" t="str">
        <f t="shared" si="112"/>
        <v>one-off</v>
      </c>
      <c r="CU87" s="17" t="str">
        <f t="shared" si="113"/>
        <v>Yes</v>
      </c>
      <c r="CV87" s="17">
        <f t="shared" ca="1" si="117"/>
        <v>1.3160000000000001</v>
      </c>
      <c r="CW87" s="17">
        <f t="shared" ca="1" si="118"/>
        <v>2.9755208453498836E-3</v>
      </c>
      <c r="CY87" s="657">
        <v>7</v>
      </c>
      <c r="CZ87" s="17" t="str">
        <f t="shared" si="107"/>
        <v>lenvatinib_plus_pembrolizumab</v>
      </c>
      <c r="DA87" s="17">
        <f t="shared" si="108"/>
        <v>3</v>
      </c>
      <c r="DB87" s="17">
        <f t="shared" si="109"/>
        <v>1</v>
      </c>
      <c r="DC87" s="17" t="str">
        <f>"G3+ "&amp;$D$36</f>
        <v>G3+ HFS</v>
      </c>
      <c r="DD87" s="17">
        <f t="shared" ca="1" si="110"/>
        <v>2.7629836421106061E-3</v>
      </c>
      <c r="DE87" s="956">
        <f t="shared" ca="1" si="111"/>
        <v>73.919642857142861</v>
      </c>
      <c r="DG87" s="1008">
        <f t="shared" si="50"/>
        <v>621.42499999999995</v>
      </c>
      <c r="DH87" s="1009">
        <f t="shared" si="51"/>
        <v>-0.1</v>
      </c>
      <c r="DI87" s="1007">
        <f t="shared" si="49"/>
        <v>3</v>
      </c>
    </row>
    <row r="88" spans="4:113" ht="15.75" thickBot="1" x14ac:dyDescent="0.25">
      <c r="D88" s="493" t="str">
        <v>Palmar-plantar erythrodysaesthesia syndrome</v>
      </c>
      <c r="E88" s="741">
        <v>0</v>
      </c>
      <c r="F88" s="691">
        <v>1</v>
      </c>
      <c r="G88" s="929">
        <f>DZ19</f>
        <v>2.7025691699604743E-2</v>
      </c>
      <c r="H88" s="49">
        <f>IF(i_AE_NMA_option_num=2,1,1.04)</f>
        <v>1.04</v>
      </c>
      <c r="I88" s="49">
        <f>IF(i_AE_NMA_option_num=2,1,1.33)</f>
        <v>1.33</v>
      </c>
      <c r="J88" s="49">
        <f>IF(i_AE_NMA_option_num=2,1,0.48)</f>
        <v>0.48</v>
      </c>
      <c r="K88" s="49">
        <f>IF(i_AE_NMA_option_num=2,1,0.66)</f>
        <v>0.66</v>
      </c>
      <c r="L88" s="49">
        <f>IF(i_AE_NMA_option_num=2,1,1)</f>
        <v>1</v>
      </c>
      <c r="M88" s="49">
        <f>IF(i_AE_NMA_option_num=2,1,1.85)</f>
        <v>1.85</v>
      </c>
      <c r="N88" s="49">
        <f>IF(i_AE_NMA_option_num=2,1,0.74)</f>
        <v>0.74</v>
      </c>
      <c r="O88" s="49">
        <f>IF(i_AE_NMA_option_num=2,1,0.1)</f>
        <v>0.1</v>
      </c>
      <c r="P88" s="49">
        <f>IF(i_AE_NMA_option_num=2,1,2.27)</f>
        <v>2.27</v>
      </c>
      <c r="Q88" s="961">
        <f>IF(i_AE_NMA_option_num=2,1,4.8)</f>
        <v>4.8</v>
      </c>
      <c r="R88" s="1218">
        <f>M88</f>
        <v>1.85</v>
      </c>
      <c r="S88" s="962">
        <f t="shared" si="119"/>
        <v>0</v>
      </c>
      <c r="T88" s="1219">
        <f t="shared" si="119"/>
        <v>3.4615601981802082E-3</v>
      </c>
      <c r="U88" s="1219">
        <f t="shared" si="119"/>
        <v>8.582767523923217E-6</v>
      </c>
      <c r="V88" s="1219">
        <f t="shared" si="119"/>
        <v>4.0028240465865613E-3</v>
      </c>
      <c r="W88" s="1219">
        <f t="shared" si="119"/>
        <v>6.7507970725717553E-3</v>
      </c>
      <c r="X88" s="1219">
        <f t="shared" si="119"/>
        <v>3.2453116762946117E-3</v>
      </c>
      <c r="Y88" s="1219">
        <f t="shared" si="119"/>
        <v>3.7522842639593911E-3</v>
      </c>
      <c r="Z88" s="1219">
        <f t="shared" si="119"/>
        <v>8.7211314399095585E-3</v>
      </c>
      <c r="AA88" s="1219">
        <f t="shared" si="119"/>
        <v>1.7519405723118608E-2</v>
      </c>
      <c r="AB88" s="1219">
        <f t="shared" si="119"/>
        <v>1.756293136513224E-3</v>
      </c>
      <c r="AC88" s="1219">
        <f t="shared" si="119"/>
        <v>0</v>
      </c>
      <c r="AD88" s="1219">
        <f t="shared" si="119"/>
        <v>1.8177346381975948E-2</v>
      </c>
      <c r="AE88" s="1220">
        <f t="shared" si="119"/>
        <v>6.2916591605116187E-2</v>
      </c>
      <c r="AF88" s="1221">
        <f>IF(i_AE_NMA_option_num=1,R88*$AQ20,R88*$AO20)</f>
        <v>0</v>
      </c>
      <c r="CA88" s="17" t="str" cm="1">
        <f t="array" ref="CA88">INDEX(List_comparators,CB88+1)</f>
        <v>lenvatinib_plus_pembrolizumab</v>
      </c>
      <c r="CB88" s="17">
        <v>3</v>
      </c>
      <c r="CC88" s="17">
        <v>1</v>
      </c>
      <c r="CD88" s="17"/>
      <c r="CE88" s="17"/>
      <c r="CF88" s="17"/>
      <c r="CG88" s="17"/>
      <c r="CH88" s="17"/>
      <c r="CI88" s="17"/>
      <c r="CJ88" s="17"/>
      <c r="CK88" s="17"/>
      <c r="CL88" s="17" t="str">
        <v>Diarrhoea _IO induced</v>
      </c>
      <c r="CM88" s="17">
        <v>5</v>
      </c>
      <c r="CN88" s="17">
        <v>0</v>
      </c>
      <c r="CO88" s="17">
        <f t="shared" ca="1" si="106"/>
        <v>17</v>
      </c>
      <c r="CP88" s="17"/>
      <c r="CQ88" s="17">
        <f t="shared" ca="1" si="115"/>
        <v>26167.553571428572</v>
      </c>
      <c r="CR88" s="17">
        <v>0</v>
      </c>
      <c r="CS88" s="17">
        <f t="shared" ca="1" si="116"/>
        <v>6.4965950881100702E-4</v>
      </c>
      <c r="CT88" s="17" t="str">
        <f t="shared" si="112"/>
        <v>one-off</v>
      </c>
      <c r="CU88" s="17" t="str">
        <f t="shared" si="113"/>
        <v>Yes</v>
      </c>
      <c r="CV88" s="17">
        <f t="shared" ca="1" si="117"/>
        <v>1.3160000000000001</v>
      </c>
      <c r="CW88" s="17">
        <f t="shared" ca="1" si="118"/>
        <v>0</v>
      </c>
      <c r="CY88" s="657">
        <v>8</v>
      </c>
      <c r="CZ88" s="17" t="str">
        <f t="shared" si="107"/>
        <v>lenvatinib_plus_pembrolizumab</v>
      </c>
      <c r="DA88" s="17">
        <f t="shared" si="108"/>
        <v>3</v>
      </c>
      <c r="DB88" s="17">
        <f t="shared" si="109"/>
        <v>1</v>
      </c>
      <c r="DC88" s="17" t="str">
        <f>"G3+ "&amp;$D$37</f>
        <v>G3+ Hypertension</v>
      </c>
      <c r="DD88" s="17">
        <f t="shared" ca="1" si="110"/>
        <v>4.1444754631659092E-3</v>
      </c>
      <c r="DE88" s="956">
        <f t="shared" ca="1" si="111"/>
        <v>73.919642857142861</v>
      </c>
      <c r="DG88" s="1008">
        <f t="shared" si="50"/>
        <v>424.6</v>
      </c>
      <c r="DH88" s="1009">
        <f t="shared" si="51"/>
        <v>-0.1</v>
      </c>
      <c r="DI88" s="1007">
        <f t="shared" si="49"/>
        <v>3</v>
      </c>
    </row>
    <row r="89" spans="4:113" x14ac:dyDescent="0.2">
      <c r="S89" s="572"/>
      <c r="T89" s="572"/>
      <c r="U89" s="572"/>
      <c r="V89" s="572"/>
      <c r="W89" s="572"/>
      <c r="X89" s="572"/>
      <c r="Y89" s="572"/>
      <c r="Z89" s="572"/>
      <c r="AA89" s="572"/>
      <c r="AB89" s="572"/>
      <c r="AC89" s="572"/>
      <c r="AD89" s="572"/>
      <c r="CA89" s="17" t="str" cm="1">
        <f t="array" ref="CA89">INDEX(List_comparators,CB89+1)</f>
        <v>lenvatinib_plus_pembrolizumab</v>
      </c>
      <c r="CB89" s="17">
        <v>3</v>
      </c>
      <c r="CC89" s="17">
        <v>1</v>
      </c>
      <c r="CD89" s="17"/>
      <c r="CE89" s="17"/>
      <c r="CF89" s="17"/>
      <c r="CG89" s="17"/>
      <c r="CH89" s="17"/>
      <c r="CI89" s="17"/>
      <c r="CJ89" s="17"/>
      <c r="CK89" s="17"/>
      <c r="CL89" s="17" t="str">
        <v>Fatigue</v>
      </c>
      <c r="CM89" s="17">
        <v>6</v>
      </c>
      <c r="CN89" s="17">
        <v>0</v>
      </c>
      <c r="CO89" s="17">
        <f t="shared" ca="1" si="106"/>
        <v>0</v>
      </c>
      <c r="CP89" s="17"/>
      <c r="CQ89" s="17">
        <f t="shared" ca="1" si="115"/>
        <v>26167.553571428572</v>
      </c>
      <c r="CR89" s="17">
        <v>0</v>
      </c>
      <c r="CS89" s="17">
        <f t="shared" ca="1" si="116"/>
        <v>0</v>
      </c>
      <c r="CT89" s="17" t="str">
        <f t="shared" si="112"/>
        <v>one-off</v>
      </c>
      <c r="CU89" s="17" t="str">
        <f t="shared" si="113"/>
        <v>Yes</v>
      </c>
      <c r="CV89" s="17">
        <f t="shared" ca="1" si="117"/>
        <v>1.3160000000000001</v>
      </c>
      <c r="CW89" s="17">
        <f t="shared" ca="1" si="118"/>
        <v>1.1689546178160258E-3</v>
      </c>
      <c r="CY89" s="657">
        <v>9</v>
      </c>
      <c r="CZ89" s="17" t="str">
        <f t="shared" si="107"/>
        <v>lenvatinib_plus_pembrolizumab</v>
      </c>
      <c r="DA89" s="17">
        <f t="shared" si="108"/>
        <v>3</v>
      </c>
      <c r="DB89" s="17">
        <f t="shared" si="109"/>
        <v>1</v>
      </c>
      <c r="DC89" s="17" t="str">
        <f>"G3+ "&amp;$D$38</f>
        <v>G3+ Hypertriglyceridemia</v>
      </c>
      <c r="DD89" s="17">
        <f t="shared" ca="1" si="110"/>
        <v>0</v>
      </c>
      <c r="DE89" s="956">
        <f t="shared" ca="1" si="111"/>
        <v>73.919642857142861</v>
      </c>
      <c r="DG89" s="1008">
        <f t="shared" si="50"/>
        <v>0</v>
      </c>
      <c r="DH89" s="1009">
        <f t="shared" si="51"/>
        <v>-0.1</v>
      </c>
      <c r="DI89" s="1007">
        <f t="shared" si="49"/>
        <v>3</v>
      </c>
    </row>
    <row r="90" spans="4:113" x14ac:dyDescent="0.2">
      <c r="D90" s="569" t="s">
        <v>162</v>
      </c>
      <c r="E90" s="1704" t="s">
        <v>707</v>
      </c>
      <c r="F90" s="1705"/>
      <c r="G90" s="1705"/>
      <c r="H90" s="1705"/>
      <c r="I90" s="1705"/>
      <c r="J90" s="1705"/>
      <c r="K90" s="1705"/>
      <c r="L90" s="1705"/>
      <c r="M90" s="1705"/>
      <c r="N90" s="1705"/>
      <c r="O90" s="1705"/>
      <c r="P90" s="1705"/>
      <c r="Q90" s="1706"/>
      <c r="R90" s="569"/>
      <c r="S90" s="578"/>
      <c r="T90" s="578"/>
      <c r="U90" s="578"/>
      <c r="V90" s="578"/>
      <c r="W90" s="578"/>
      <c r="X90" s="578"/>
      <c r="Y90" s="578"/>
      <c r="Z90" s="578"/>
      <c r="AA90" s="578"/>
      <c r="AB90" s="578"/>
      <c r="AC90" s="578"/>
      <c r="AD90" s="578"/>
      <c r="CA90" s="17" t="str" cm="1">
        <f t="array" ref="CA90">INDEX(List_comparators,CB90+1)</f>
        <v>lenvatinib_plus_pembrolizumab</v>
      </c>
      <c r="CB90" s="17">
        <v>3</v>
      </c>
      <c r="CC90" s="17">
        <v>1</v>
      </c>
      <c r="CD90" s="17"/>
      <c r="CE90" s="17"/>
      <c r="CF90" s="17"/>
      <c r="CG90" s="17"/>
      <c r="CH90" s="17"/>
      <c r="CI90" s="17"/>
      <c r="CJ90" s="17"/>
      <c r="CK90" s="17"/>
      <c r="CL90" s="17" t="str">
        <v>HFS</v>
      </c>
      <c r="CM90" s="17">
        <v>7</v>
      </c>
      <c r="CN90" s="17">
        <v>0</v>
      </c>
      <c r="CO90" s="17">
        <f t="shared" ca="1" si="106"/>
        <v>0</v>
      </c>
      <c r="CP90" s="17"/>
      <c r="CQ90" s="17">
        <f t="shared" ca="1" si="115"/>
        <v>26167.553571428572</v>
      </c>
      <c r="CR90" s="17">
        <v>0</v>
      </c>
      <c r="CS90" s="17">
        <f t="shared" ca="1" si="116"/>
        <v>0</v>
      </c>
      <c r="CT90" s="17" t="str">
        <f t="shared" si="112"/>
        <v>one-off</v>
      </c>
      <c r="CU90" s="17" t="str">
        <f t="shared" si="113"/>
        <v>Yes</v>
      </c>
      <c r="CV90" s="17">
        <f t="shared" ca="1" si="117"/>
        <v>1.3160000000000001</v>
      </c>
      <c r="CW90" s="17">
        <f t="shared" ca="1" si="118"/>
        <v>2.7629836421106061E-3</v>
      </c>
      <c r="CY90" s="657">
        <v>10</v>
      </c>
      <c r="CZ90" s="17" t="str">
        <f t="shared" si="107"/>
        <v>lenvatinib_plus_pembrolizumab</v>
      </c>
      <c r="DA90" s="17">
        <f t="shared" si="108"/>
        <v>3</v>
      </c>
      <c r="DB90" s="17">
        <f t="shared" si="109"/>
        <v>1</v>
      </c>
      <c r="DC90" s="17" t="str">
        <f>"G3+ "&amp;$D$39</f>
        <v>G3+ Hyponatraemia</v>
      </c>
      <c r="DD90" s="17">
        <f t="shared" ca="1" si="110"/>
        <v>1.3814918210553031E-3</v>
      </c>
      <c r="DE90" s="956">
        <f t="shared" ca="1" si="111"/>
        <v>73.919642857142861</v>
      </c>
      <c r="DG90" s="1008">
        <f t="shared" si="50"/>
        <v>574.71</v>
      </c>
      <c r="DH90" s="1009">
        <f t="shared" si="51"/>
        <v>-0.1</v>
      </c>
      <c r="DI90" s="1007">
        <f t="shared" si="49"/>
        <v>3</v>
      </c>
    </row>
    <row r="91" spans="4:113" x14ac:dyDescent="0.2">
      <c r="CA91" s="17" t="str" cm="1">
        <f t="array" ref="CA91">INDEX(List_comparators,CB91+1)</f>
        <v>lenvatinib_plus_pembrolizumab</v>
      </c>
      <c r="CB91" s="17">
        <v>3</v>
      </c>
      <c r="CC91" s="17">
        <v>1</v>
      </c>
      <c r="CD91" s="17"/>
      <c r="CE91" s="17"/>
      <c r="CF91" s="17"/>
      <c r="CG91" s="17"/>
      <c r="CH91" s="17"/>
      <c r="CI91" s="17"/>
      <c r="CJ91" s="17"/>
      <c r="CK91" s="17"/>
      <c r="CL91" s="17" t="str">
        <v>Hypertension</v>
      </c>
      <c r="CM91" s="17">
        <v>8</v>
      </c>
      <c r="CN91" s="17">
        <v>0</v>
      </c>
      <c r="CO91" s="17">
        <f t="shared" ca="1" si="106"/>
        <v>97</v>
      </c>
      <c r="CP91" s="17"/>
      <c r="CQ91" s="17">
        <f t="shared" ca="1" si="115"/>
        <v>26167.553571428572</v>
      </c>
      <c r="CR91" s="17">
        <v>0</v>
      </c>
      <c r="CS91" s="17">
        <f t="shared" ca="1" si="116"/>
        <v>3.706880726745158E-3</v>
      </c>
      <c r="CT91" s="17" t="str">
        <f t="shared" si="112"/>
        <v>one-off</v>
      </c>
      <c r="CU91" s="17" t="str">
        <f t="shared" si="113"/>
        <v>Yes</v>
      </c>
      <c r="CV91" s="17">
        <f t="shared" ca="1" si="117"/>
        <v>1.3160000000000001</v>
      </c>
      <c r="CW91" s="17">
        <f t="shared" ca="1" si="118"/>
        <v>4.1444754631659092E-3</v>
      </c>
      <c r="CY91" s="657">
        <v>11</v>
      </c>
      <c r="CZ91" s="17" t="str">
        <f t="shared" si="107"/>
        <v>lenvatinib_plus_pembrolizumab</v>
      </c>
      <c r="DA91" s="17">
        <f t="shared" si="108"/>
        <v>3</v>
      </c>
      <c r="DB91" s="17">
        <f t="shared" si="109"/>
        <v>1</v>
      </c>
      <c r="DC91" s="17" t="str">
        <f>"G3+ "&amp;$D$40</f>
        <v>G3+ Hypophosphatemia</v>
      </c>
      <c r="DD91" s="17">
        <f t="shared" ca="1" si="110"/>
        <v>1.3814918210553031E-3</v>
      </c>
      <c r="DE91" s="956">
        <f t="shared" ca="1" si="111"/>
        <v>73.919642857142861</v>
      </c>
      <c r="DG91" s="1008">
        <f t="shared" si="50"/>
        <v>0</v>
      </c>
      <c r="DH91" s="1009">
        <f t="shared" si="51"/>
        <v>-0.1</v>
      </c>
      <c r="DI91" s="1007">
        <f t="shared" si="49"/>
        <v>3</v>
      </c>
    </row>
    <row r="92" spans="4:113" x14ac:dyDescent="0.2">
      <c r="CA92" s="17" t="str" cm="1">
        <f t="array" ref="CA92">INDEX(List_comparators,CB92+1)</f>
        <v>lenvatinib_plus_pembrolizumab</v>
      </c>
      <c r="CB92" s="17">
        <v>3</v>
      </c>
      <c r="CC92" s="17">
        <v>1</v>
      </c>
      <c r="CD92" s="17"/>
      <c r="CE92" s="17"/>
      <c r="CF92" s="17"/>
      <c r="CG92" s="17"/>
      <c r="CH92" s="17"/>
      <c r="CI92" s="17"/>
      <c r="CJ92" s="17"/>
      <c r="CK92" s="17"/>
      <c r="CL92" s="17" t="str">
        <v>Hypertriglyceridemia</v>
      </c>
      <c r="CM92" s="17">
        <v>9</v>
      </c>
      <c r="CN92" s="17">
        <v>0</v>
      </c>
      <c r="CO92" s="17">
        <f t="shared" ca="1" si="106"/>
        <v>0</v>
      </c>
      <c r="CP92" s="17"/>
      <c r="CQ92" s="17">
        <f t="shared" ca="1" si="115"/>
        <v>26167.553571428572</v>
      </c>
      <c r="CR92" s="17">
        <v>0</v>
      </c>
      <c r="CS92" s="17">
        <f t="shared" ca="1" si="116"/>
        <v>0</v>
      </c>
      <c r="CT92" s="17" t="str">
        <f t="shared" si="112"/>
        <v>one-off</v>
      </c>
      <c r="CU92" s="17" t="str">
        <f t="shared" si="113"/>
        <v>Yes</v>
      </c>
      <c r="CV92" s="17">
        <f t="shared" ca="1" si="117"/>
        <v>1.3160000000000001</v>
      </c>
      <c r="CW92" s="17">
        <f t="shared" ca="1" si="118"/>
        <v>0</v>
      </c>
      <c r="CY92" s="657">
        <v>12</v>
      </c>
      <c r="CZ92" s="17" t="str">
        <f t="shared" si="107"/>
        <v>lenvatinib_plus_pembrolizumab</v>
      </c>
      <c r="DA92" s="17">
        <f t="shared" si="108"/>
        <v>3</v>
      </c>
      <c r="DB92" s="17">
        <f t="shared" si="109"/>
        <v>1</v>
      </c>
      <c r="DC92" s="17" t="str">
        <f>"G3+ "&amp;$D$41</f>
        <v>G3+ Increase in lipase</v>
      </c>
      <c r="DD92" s="17">
        <f t="shared" ca="1" si="110"/>
        <v>0</v>
      </c>
      <c r="DE92" s="956">
        <f t="shared" ca="1" si="111"/>
        <v>73.919642857142861</v>
      </c>
      <c r="DG92" s="1008">
        <f t="shared" si="50"/>
        <v>655.75</v>
      </c>
      <c r="DH92" s="1009">
        <f t="shared" si="51"/>
        <v>-0.1</v>
      </c>
      <c r="DI92" s="1007">
        <f t="shared" si="49"/>
        <v>3</v>
      </c>
    </row>
    <row r="93" spans="4:113" x14ac:dyDescent="0.2">
      <c r="CA93" s="17" t="str" cm="1">
        <f t="array" ref="CA93">INDEX(List_comparators,CB93+1)</f>
        <v>lenvatinib_plus_pembrolizumab</v>
      </c>
      <c r="CB93" s="17">
        <v>3</v>
      </c>
      <c r="CC93" s="17">
        <v>1</v>
      </c>
      <c r="CD93" s="17"/>
      <c r="CE93" s="17"/>
      <c r="CF93" s="17"/>
      <c r="CG93" s="17"/>
      <c r="CH93" s="17"/>
      <c r="CI93" s="17"/>
      <c r="CJ93" s="17"/>
      <c r="CK93" s="17"/>
      <c r="CL93" s="17" t="str">
        <v>Hyponatraemia</v>
      </c>
      <c r="CM93" s="17">
        <v>10</v>
      </c>
      <c r="CN93" s="17">
        <v>0</v>
      </c>
      <c r="CO93" s="17">
        <f t="shared" ca="1" si="106"/>
        <v>0</v>
      </c>
      <c r="CP93" s="17"/>
      <c r="CQ93" s="17">
        <f t="shared" ca="1" si="115"/>
        <v>26167.553571428572</v>
      </c>
      <c r="CR93" s="17">
        <v>0</v>
      </c>
      <c r="CS93" s="17">
        <f t="shared" ca="1" si="116"/>
        <v>0</v>
      </c>
      <c r="CT93" s="17" t="str">
        <f t="shared" si="112"/>
        <v>one-off</v>
      </c>
      <c r="CU93" s="17" t="str">
        <f t="shared" si="113"/>
        <v>Yes</v>
      </c>
      <c r="CV93" s="17">
        <f t="shared" ca="1" si="117"/>
        <v>1.3160000000000001</v>
      </c>
      <c r="CW93" s="17">
        <f t="shared" ca="1" si="118"/>
        <v>1.3814918210553031E-3</v>
      </c>
      <c r="CY93" s="657">
        <v>13</v>
      </c>
      <c r="CZ93" s="17" t="str">
        <f t="shared" si="107"/>
        <v>lenvatinib_plus_pembrolizumab</v>
      </c>
      <c r="DA93" s="17">
        <f t="shared" si="108"/>
        <v>3</v>
      </c>
      <c r="DB93" s="17">
        <f t="shared" si="109"/>
        <v>1</v>
      </c>
      <c r="DC93" s="17" t="str">
        <f>"G3+ "&amp;$D$42</f>
        <v>G3+ Increased AST</v>
      </c>
      <c r="DD93" s="17">
        <f t="shared" ca="1" si="110"/>
        <v>0</v>
      </c>
      <c r="DE93" s="956">
        <f t="shared" ca="1" si="111"/>
        <v>73.919642857142861</v>
      </c>
      <c r="DG93" s="1008">
        <f t="shared" si="50"/>
        <v>0</v>
      </c>
      <c r="DH93" s="1009">
        <f t="shared" si="51"/>
        <v>-0.1</v>
      </c>
      <c r="DI93" s="1007">
        <f t="shared" si="49"/>
        <v>3</v>
      </c>
    </row>
    <row r="94" spans="4:113" x14ac:dyDescent="0.2">
      <c r="CA94" s="17" t="str" cm="1">
        <f t="array" ref="CA94">INDEX(List_comparators,CB94+1)</f>
        <v>lenvatinib_plus_pembrolizumab</v>
      </c>
      <c r="CB94" s="17">
        <v>3</v>
      </c>
      <c r="CC94" s="17">
        <v>1</v>
      </c>
      <c r="CD94" s="17"/>
      <c r="CE94" s="17"/>
      <c r="CF94" s="17"/>
      <c r="CG94" s="17"/>
      <c r="CH94" s="17"/>
      <c r="CI94" s="17"/>
      <c r="CJ94" s="17"/>
      <c r="CK94" s="17"/>
      <c r="CL94" s="17" t="str">
        <v>Hypophosphatemia</v>
      </c>
      <c r="CM94" s="17">
        <v>11</v>
      </c>
      <c r="CN94" s="17">
        <v>0</v>
      </c>
      <c r="CO94" s="17">
        <f t="shared" ca="1" si="106"/>
        <v>0</v>
      </c>
      <c r="CP94" s="17"/>
      <c r="CQ94" s="17">
        <f t="shared" ca="1" si="115"/>
        <v>26167.553571428572</v>
      </c>
      <c r="CR94" s="17">
        <v>0</v>
      </c>
      <c r="CS94" s="17">
        <f t="shared" ca="1" si="116"/>
        <v>0</v>
      </c>
      <c r="CT94" s="17" t="str">
        <f t="shared" si="112"/>
        <v>one-off</v>
      </c>
      <c r="CU94" s="17" t="str">
        <f t="shared" si="113"/>
        <v>Yes</v>
      </c>
      <c r="CV94" s="17">
        <f t="shared" ca="1" si="117"/>
        <v>1.3160000000000001</v>
      </c>
      <c r="CW94" s="17">
        <f t="shared" ca="1" si="118"/>
        <v>1.3814918210553031E-3</v>
      </c>
      <c r="CY94" s="657">
        <v>14</v>
      </c>
      <c r="CZ94" s="17" t="str">
        <f t="shared" si="107"/>
        <v>lenvatinib_plus_pembrolizumab</v>
      </c>
      <c r="DA94" s="17">
        <f t="shared" si="108"/>
        <v>3</v>
      </c>
      <c r="DB94" s="17">
        <f t="shared" si="109"/>
        <v>1</v>
      </c>
      <c r="DC94" s="17" t="str">
        <f>"G3+ "&amp;$D$43</f>
        <v>G3+ Leukopenia</v>
      </c>
      <c r="DD94" s="17">
        <f t="shared" ca="1" si="110"/>
        <v>0</v>
      </c>
      <c r="DE94" s="956">
        <f t="shared" ca="1" si="111"/>
        <v>73.919642857142861</v>
      </c>
      <c r="DG94" s="1008">
        <f t="shared" si="50"/>
        <v>0</v>
      </c>
      <c r="DH94" s="1009">
        <f t="shared" si="51"/>
        <v>-0.1</v>
      </c>
      <c r="DI94" s="1007">
        <f t="shared" si="49"/>
        <v>3</v>
      </c>
    </row>
    <row r="95" spans="4:113" x14ac:dyDescent="0.2">
      <c r="CA95" s="17" t="str" cm="1">
        <f t="array" ref="CA95">INDEX(List_comparators,CB95+1)</f>
        <v>lenvatinib_plus_pembrolizumab</v>
      </c>
      <c r="CB95" s="17">
        <v>3</v>
      </c>
      <c r="CC95" s="17">
        <v>1</v>
      </c>
      <c r="CD95" s="17"/>
      <c r="CE95" s="17"/>
      <c r="CF95" s="17"/>
      <c r="CG95" s="17"/>
      <c r="CH95" s="17"/>
      <c r="CI95" s="17"/>
      <c r="CJ95" s="17"/>
      <c r="CK95" s="17"/>
      <c r="CL95" s="17" t="str">
        <v>Increase in lipase</v>
      </c>
      <c r="CM95" s="17">
        <v>12</v>
      </c>
      <c r="CN95" s="17">
        <v>0</v>
      </c>
      <c r="CO95" s="17">
        <f t="shared" ca="1" si="106"/>
        <v>0</v>
      </c>
      <c r="CP95" s="17"/>
      <c r="CQ95" s="17">
        <f t="shared" ca="1" si="115"/>
        <v>26167.553571428572</v>
      </c>
      <c r="CR95" s="17">
        <v>0</v>
      </c>
      <c r="CS95" s="17">
        <f t="shared" ca="1" si="116"/>
        <v>0</v>
      </c>
      <c r="CT95" s="17" t="str">
        <f t="shared" si="112"/>
        <v>one-off</v>
      </c>
      <c r="CU95" s="17" t="str">
        <f t="shared" si="113"/>
        <v>Yes</v>
      </c>
      <c r="CV95" s="17">
        <f t="shared" ca="1" si="117"/>
        <v>1.3160000000000001</v>
      </c>
      <c r="CW95" s="17">
        <f t="shared" ca="1" si="118"/>
        <v>0</v>
      </c>
      <c r="CY95" s="657">
        <v>15</v>
      </c>
      <c r="CZ95" s="17" t="str">
        <f t="shared" si="107"/>
        <v>lenvatinib_plus_pembrolizumab</v>
      </c>
      <c r="DA95" s="17">
        <f t="shared" si="108"/>
        <v>3</v>
      </c>
      <c r="DB95" s="17">
        <f t="shared" si="109"/>
        <v>1</v>
      </c>
      <c r="DC95" s="17" t="str">
        <f>"G3+ "&amp;$D$44</f>
        <v>G3+ Lymphopenia</v>
      </c>
      <c r="DD95" s="17">
        <f t="shared" ca="1" si="110"/>
        <v>0</v>
      </c>
      <c r="DE95" s="956">
        <f t="shared" ca="1" si="111"/>
        <v>73.919642857142861</v>
      </c>
      <c r="DG95" s="1008">
        <f t="shared" si="50"/>
        <v>679.97</v>
      </c>
      <c r="DH95" s="1009">
        <f t="shared" si="51"/>
        <v>-0.1</v>
      </c>
      <c r="DI95" s="1007">
        <f t="shared" ref="DI95:DI158" si="120">DI70</f>
        <v>3</v>
      </c>
    </row>
    <row r="96" spans="4:113" x14ac:dyDescent="0.2">
      <c r="CA96" s="17" t="str" cm="1">
        <f t="array" ref="CA96">INDEX(List_comparators,CB96+1)</f>
        <v>lenvatinib_plus_pembrolizumab</v>
      </c>
      <c r="CB96" s="17">
        <v>3</v>
      </c>
      <c r="CC96" s="17">
        <v>1</v>
      </c>
      <c r="CD96" s="17"/>
      <c r="CE96" s="17"/>
      <c r="CF96" s="17"/>
      <c r="CG96" s="17"/>
      <c r="CH96" s="17"/>
      <c r="CI96" s="17"/>
      <c r="CJ96" s="17"/>
      <c r="CK96" s="17"/>
      <c r="CL96" s="17" t="str">
        <v>Increased AST</v>
      </c>
      <c r="CM96" s="17">
        <v>13</v>
      </c>
      <c r="CN96" s="17">
        <v>0</v>
      </c>
      <c r="CO96" s="17">
        <f t="shared" ca="1" si="106"/>
        <v>0</v>
      </c>
      <c r="CP96" s="17"/>
      <c r="CQ96" s="17">
        <f t="shared" ca="1" si="115"/>
        <v>26167.553571428572</v>
      </c>
      <c r="CR96" s="17">
        <v>0</v>
      </c>
      <c r="CS96" s="17">
        <f t="shared" ca="1" si="116"/>
        <v>0</v>
      </c>
      <c r="CT96" s="17" t="str">
        <f t="shared" si="112"/>
        <v>one-off</v>
      </c>
      <c r="CU96" s="17" t="str">
        <f t="shared" si="113"/>
        <v>Yes</v>
      </c>
      <c r="CV96" s="17">
        <f t="shared" ca="1" si="117"/>
        <v>1.3160000000000001</v>
      </c>
      <c r="CW96" s="17">
        <f t="shared" ca="1" si="118"/>
        <v>0</v>
      </c>
      <c r="CY96" s="657">
        <v>16</v>
      </c>
      <c r="CZ96" s="17" t="str">
        <f t="shared" si="107"/>
        <v>lenvatinib_plus_pembrolizumab</v>
      </c>
      <c r="DA96" s="17">
        <f t="shared" si="108"/>
        <v>3</v>
      </c>
      <c r="DB96" s="17">
        <f t="shared" si="109"/>
        <v>1</v>
      </c>
      <c r="DC96" s="17" t="str">
        <f>"G3+ "&amp;$D$45</f>
        <v>G3+ Nausea</v>
      </c>
      <c r="DD96" s="17">
        <f t="shared" ca="1" si="110"/>
        <v>0</v>
      </c>
      <c r="DE96" s="956">
        <f t="shared" ca="1" si="111"/>
        <v>73.919642857142861</v>
      </c>
      <c r="DG96" s="1008">
        <f t="shared" ref="DG96:DG105" si="121">$DG71</f>
        <v>801.11</v>
      </c>
      <c r="DH96" s="1009">
        <f t="shared" ref="DH96:DH105" si="122">$DH71</f>
        <v>-0.1</v>
      </c>
      <c r="DI96" s="1007">
        <f t="shared" si="120"/>
        <v>3</v>
      </c>
    </row>
    <row r="97" spans="79:113" x14ac:dyDescent="0.2">
      <c r="CA97" s="17" t="str" cm="1">
        <f t="array" ref="CA97">INDEX(List_comparators,CB97+1)</f>
        <v>lenvatinib_plus_pembrolizumab</v>
      </c>
      <c r="CB97" s="17">
        <v>3</v>
      </c>
      <c r="CC97" s="17">
        <v>1</v>
      </c>
      <c r="CD97" s="17"/>
      <c r="CE97" s="17"/>
      <c r="CF97" s="17"/>
      <c r="CG97" s="17"/>
      <c r="CH97" s="17"/>
      <c r="CI97" s="17"/>
      <c r="CJ97" s="17"/>
      <c r="CK97" s="17"/>
      <c r="CL97" s="17" t="str">
        <v>Leukopenia</v>
      </c>
      <c r="CM97" s="17">
        <v>14</v>
      </c>
      <c r="CN97" s="17">
        <v>0</v>
      </c>
      <c r="CO97" s="17">
        <f t="shared" ca="1" si="106"/>
        <v>0</v>
      </c>
      <c r="CP97" s="17"/>
      <c r="CQ97" s="17">
        <f t="shared" ca="1" si="115"/>
        <v>26167.553571428572</v>
      </c>
      <c r="CR97" s="17">
        <v>0</v>
      </c>
      <c r="CS97" s="17">
        <f t="shared" ca="1" si="116"/>
        <v>0</v>
      </c>
      <c r="CT97" s="17" t="str">
        <f t="shared" si="112"/>
        <v>one-off</v>
      </c>
      <c r="CU97" s="17" t="str">
        <f t="shared" si="113"/>
        <v>Yes</v>
      </c>
      <c r="CV97" s="17">
        <f t="shared" ca="1" si="117"/>
        <v>1.3160000000000001</v>
      </c>
      <c r="CW97" s="17">
        <f t="shared" ca="1" si="118"/>
        <v>0</v>
      </c>
      <c r="CY97" s="657">
        <v>17</v>
      </c>
      <c r="CZ97" s="17" t="str">
        <f t="shared" si="107"/>
        <v>lenvatinib_plus_pembrolizumab</v>
      </c>
      <c r="DA97" s="17">
        <f t="shared" si="108"/>
        <v>3</v>
      </c>
      <c r="DB97" s="17">
        <f t="shared" si="109"/>
        <v>1</v>
      </c>
      <c r="DC97" s="17" t="str">
        <f>"G3+ "&amp;$D$46</f>
        <v>G3+ Neutropenia</v>
      </c>
      <c r="DD97" s="17">
        <f t="shared" ca="1" si="110"/>
        <v>0</v>
      </c>
      <c r="DE97" s="956">
        <f t="shared" ca="1" si="111"/>
        <v>73.919642857142861</v>
      </c>
      <c r="DG97" s="1008">
        <f t="shared" si="121"/>
        <v>655.75</v>
      </c>
      <c r="DH97" s="1009">
        <f t="shared" si="122"/>
        <v>-0.1</v>
      </c>
      <c r="DI97" s="1007">
        <f t="shared" si="120"/>
        <v>3</v>
      </c>
    </row>
    <row r="98" spans="79:113" x14ac:dyDescent="0.2">
      <c r="CA98" s="17" t="str" cm="1">
        <f t="array" ref="CA98">INDEX(List_comparators,CB98+1)</f>
        <v>lenvatinib_plus_pembrolizumab</v>
      </c>
      <c r="CB98" s="17">
        <v>3</v>
      </c>
      <c r="CC98" s="17">
        <v>1</v>
      </c>
      <c r="CD98" s="17"/>
      <c r="CE98" s="17"/>
      <c r="CF98" s="17"/>
      <c r="CG98" s="17"/>
      <c r="CH98" s="17"/>
      <c r="CI98" s="17"/>
      <c r="CJ98" s="17"/>
      <c r="CK98" s="17"/>
      <c r="CL98" s="17" t="str">
        <v>Lymphopenia</v>
      </c>
      <c r="CM98" s="17">
        <v>15</v>
      </c>
      <c r="CN98" s="17">
        <v>0</v>
      </c>
      <c r="CO98" s="17">
        <f t="shared" ca="1" si="106"/>
        <v>0</v>
      </c>
      <c r="CP98" s="17"/>
      <c r="CQ98" s="17">
        <f t="shared" ca="1" si="115"/>
        <v>26167.553571428572</v>
      </c>
      <c r="CR98" s="17">
        <v>0</v>
      </c>
      <c r="CS98" s="17">
        <f t="shared" ca="1" si="116"/>
        <v>0</v>
      </c>
      <c r="CT98" s="17" t="str">
        <f t="shared" si="112"/>
        <v>one-off</v>
      </c>
      <c r="CU98" s="17" t="str">
        <f t="shared" si="113"/>
        <v>Yes</v>
      </c>
      <c r="CV98" s="17">
        <f t="shared" ca="1" si="117"/>
        <v>1.3160000000000001</v>
      </c>
      <c r="CW98" s="17">
        <f t="shared" ca="1" si="118"/>
        <v>0</v>
      </c>
      <c r="CY98" s="657">
        <v>18</v>
      </c>
      <c r="CZ98" s="17" t="str">
        <f t="shared" si="107"/>
        <v>lenvatinib_plus_pembrolizumab</v>
      </c>
      <c r="DA98" s="17">
        <f t="shared" si="108"/>
        <v>3</v>
      </c>
      <c r="DB98" s="17">
        <f t="shared" si="109"/>
        <v>1</v>
      </c>
      <c r="DC98" s="17" t="str">
        <f>"G3+ "&amp;$D$47</f>
        <v>G3+ Platelets count decreased</v>
      </c>
      <c r="DD98" s="17">
        <f t="shared" ca="1" si="110"/>
        <v>0</v>
      </c>
      <c r="DE98" s="956">
        <f t="shared" ca="1" si="111"/>
        <v>73.919642857142861</v>
      </c>
      <c r="DG98" s="1008">
        <f t="shared" si="121"/>
        <v>801.11</v>
      </c>
      <c r="DH98" s="1009">
        <f t="shared" si="122"/>
        <v>-0.1</v>
      </c>
      <c r="DI98" s="1007">
        <f t="shared" si="120"/>
        <v>3</v>
      </c>
    </row>
    <row r="99" spans="79:113" x14ac:dyDescent="0.2">
      <c r="CA99" s="17" t="str" cm="1">
        <f t="array" ref="CA99">INDEX(List_comparators,CB99+1)</f>
        <v>lenvatinib_plus_pembrolizumab</v>
      </c>
      <c r="CB99" s="17">
        <v>3</v>
      </c>
      <c r="CC99" s="17">
        <v>1</v>
      </c>
      <c r="CD99" s="17"/>
      <c r="CE99" s="17"/>
      <c r="CF99" s="17"/>
      <c r="CG99" s="17"/>
      <c r="CH99" s="17"/>
      <c r="CI99" s="17"/>
      <c r="CJ99" s="17"/>
      <c r="CK99" s="17"/>
      <c r="CL99" s="17" t="str">
        <v>Nausea</v>
      </c>
      <c r="CM99" s="17">
        <v>16</v>
      </c>
      <c r="CN99" s="17">
        <v>0</v>
      </c>
      <c r="CO99" s="17">
        <f t="shared" ca="1" si="106"/>
        <v>0</v>
      </c>
      <c r="CP99" s="17"/>
      <c r="CQ99" s="17">
        <f t="shared" ca="1" si="115"/>
        <v>26167.553571428572</v>
      </c>
      <c r="CR99" s="17">
        <v>0</v>
      </c>
      <c r="CS99" s="17">
        <f t="shared" ca="1" si="116"/>
        <v>0</v>
      </c>
      <c r="CT99" s="17" t="str">
        <f t="shared" si="112"/>
        <v>one-off</v>
      </c>
      <c r="CU99" s="17" t="str">
        <f t="shared" si="113"/>
        <v>Yes</v>
      </c>
      <c r="CV99" s="17">
        <f t="shared" ca="1" si="117"/>
        <v>1.3160000000000001</v>
      </c>
      <c r="CW99" s="17">
        <f t="shared" ca="1" si="118"/>
        <v>0</v>
      </c>
      <c r="CY99" s="657">
        <v>19</v>
      </c>
      <c r="CZ99" s="17" t="str">
        <f t="shared" si="107"/>
        <v>lenvatinib_plus_pembrolizumab</v>
      </c>
      <c r="DA99" s="17">
        <f t="shared" si="108"/>
        <v>3</v>
      </c>
      <c r="DB99" s="17">
        <f t="shared" si="109"/>
        <v>1</v>
      </c>
      <c r="DC99" s="17" t="str">
        <f>"G3+ "&amp;$D$48</f>
        <v>G3+ Proteinuria</v>
      </c>
      <c r="DD99" s="17">
        <f t="shared" ca="1" si="110"/>
        <v>0</v>
      </c>
      <c r="DE99" s="956">
        <f t="shared" ca="1" si="111"/>
        <v>73.919642857142861</v>
      </c>
      <c r="DG99" s="1008">
        <f t="shared" si="121"/>
        <v>220.87</v>
      </c>
      <c r="DH99" s="1009">
        <f t="shared" si="122"/>
        <v>-0.1</v>
      </c>
      <c r="DI99" s="1007">
        <f t="shared" si="120"/>
        <v>3</v>
      </c>
    </row>
    <row r="100" spans="79:113" x14ac:dyDescent="0.2">
      <c r="CA100" s="17" t="str" cm="1">
        <f t="array" ref="CA100">INDEX(List_comparators,CB100+1)</f>
        <v>lenvatinib_plus_pembrolizumab</v>
      </c>
      <c r="CB100" s="17">
        <v>3</v>
      </c>
      <c r="CC100" s="17">
        <v>1</v>
      </c>
      <c r="CD100" s="17"/>
      <c r="CE100" s="17"/>
      <c r="CF100" s="17"/>
      <c r="CG100" s="17"/>
      <c r="CH100" s="17"/>
      <c r="CI100" s="17"/>
      <c r="CJ100" s="17"/>
      <c r="CK100" s="17"/>
      <c r="CL100" s="17" t="str">
        <v>Neutropenia</v>
      </c>
      <c r="CM100" s="17">
        <v>17</v>
      </c>
      <c r="CN100" s="17">
        <v>0</v>
      </c>
      <c r="CO100" s="17">
        <f t="shared" ca="1" si="106"/>
        <v>0</v>
      </c>
      <c r="CP100" s="17"/>
      <c r="CQ100" s="17">
        <f t="shared" ca="1" si="115"/>
        <v>26167.553571428572</v>
      </c>
      <c r="CR100" s="17">
        <v>0</v>
      </c>
      <c r="CS100" s="17">
        <f t="shared" ca="1" si="116"/>
        <v>0</v>
      </c>
      <c r="CT100" s="17" t="str">
        <f t="shared" si="112"/>
        <v>one-off</v>
      </c>
      <c r="CU100" s="17" t="str">
        <f t="shared" si="113"/>
        <v>Yes</v>
      </c>
      <c r="CV100" s="17">
        <f t="shared" ca="1" si="117"/>
        <v>1.3160000000000001</v>
      </c>
      <c r="CW100" s="17">
        <f t="shared" ca="1" si="118"/>
        <v>0</v>
      </c>
      <c r="CY100" s="657">
        <v>20</v>
      </c>
      <c r="CZ100" s="17" t="str">
        <f t="shared" si="107"/>
        <v>lenvatinib_plus_pembrolizumab</v>
      </c>
      <c r="DA100" s="17">
        <f t="shared" si="108"/>
        <v>3</v>
      </c>
      <c r="DB100" s="17">
        <f t="shared" si="109"/>
        <v>1</v>
      </c>
      <c r="DC100" s="17" t="str">
        <f>"G3+ "&amp;$D$49</f>
        <v>G3+ Stomatitis</v>
      </c>
      <c r="DD100" s="17">
        <f t="shared" ca="1" si="110"/>
        <v>0</v>
      </c>
      <c r="DE100" s="956">
        <f t="shared" ca="1" si="111"/>
        <v>73.919642857142861</v>
      </c>
      <c r="DG100" s="1008">
        <f t="shared" si="121"/>
        <v>801.11</v>
      </c>
      <c r="DH100" s="1009">
        <f t="shared" si="122"/>
        <v>-0.1</v>
      </c>
      <c r="DI100" s="1007">
        <f t="shared" si="120"/>
        <v>3</v>
      </c>
    </row>
    <row r="101" spans="79:113" x14ac:dyDescent="0.2">
      <c r="CA101" s="17" t="str" cm="1">
        <f t="array" ref="CA101">INDEX(List_comparators,CB101+1)</f>
        <v>lenvatinib_plus_pembrolizumab</v>
      </c>
      <c r="CB101" s="17">
        <v>3</v>
      </c>
      <c r="CC101" s="17">
        <v>1</v>
      </c>
      <c r="CD101" s="17"/>
      <c r="CE101" s="17"/>
      <c r="CF101" s="17"/>
      <c r="CG101" s="17"/>
      <c r="CH101" s="17"/>
      <c r="CI101" s="17"/>
      <c r="CJ101" s="17"/>
      <c r="CK101" s="17"/>
      <c r="CL101" s="17" t="str">
        <v>Platelets count decreased</v>
      </c>
      <c r="CM101" s="17">
        <v>18</v>
      </c>
      <c r="CN101" s="17">
        <v>0</v>
      </c>
      <c r="CO101" s="17">
        <f t="shared" ca="1" si="106"/>
        <v>0</v>
      </c>
      <c r="CP101" s="17"/>
      <c r="CQ101" s="17">
        <f t="shared" ca="1" si="115"/>
        <v>26167.553571428572</v>
      </c>
      <c r="CR101" s="17">
        <v>0</v>
      </c>
      <c r="CS101" s="17">
        <f t="shared" ca="1" si="116"/>
        <v>0</v>
      </c>
      <c r="CT101" s="17" t="str">
        <f t="shared" si="112"/>
        <v>one-off</v>
      </c>
      <c r="CU101" s="17" t="str">
        <f t="shared" si="113"/>
        <v>Yes</v>
      </c>
      <c r="CV101" s="17">
        <f t="shared" ca="1" si="117"/>
        <v>1.3160000000000001</v>
      </c>
      <c r="CW101" s="17">
        <f t="shared" ca="1" si="118"/>
        <v>0</v>
      </c>
      <c r="CY101" s="657">
        <v>21</v>
      </c>
      <c r="CZ101" s="17" t="str">
        <f t="shared" si="107"/>
        <v>lenvatinib_plus_pembrolizumab</v>
      </c>
      <c r="DA101" s="17">
        <f t="shared" si="108"/>
        <v>3</v>
      </c>
      <c r="DB101" s="17">
        <f t="shared" si="109"/>
        <v>1</v>
      </c>
      <c r="DC101" s="17" t="str">
        <f>"G3+ "&amp;$D$50</f>
        <v>G3+ Vomiting</v>
      </c>
      <c r="DD101" s="17">
        <f t="shared" ca="1" si="110"/>
        <v>0</v>
      </c>
      <c r="DE101" s="956">
        <f t="shared" ca="1" si="111"/>
        <v>73.919642857142861</v>
      </c>
      <c r="DG101" s="1008">
        <f t="shared" si="121"/>
        <v>801.11</v>
      </c>
      <c r="DH101" s="1009">
        <f t="shared" si="122"/>
        <v>-0.1</v>
      </c>
      <c r="DI101" s="1007">
        <f t="shared" si="120"/>
        <v>3</v>
      </c>
    </row>
    <row r="102" spans="79:113" x14ac:dyDescent="0.2">
      <c r="CA102" s="17" t="str" cm="1">
        <f t="array" ref="CA102">INDEX(List_comparators,CB102+1)</f>
        <v>lenvatinib_plus_pembrolizumab</v>
      </c>
      <c r="CB102" s="17">
        <v>3</v>
      </c>
      <c r="CC102" s="17">
        <v>1</v>
      </c>
      <c r="CD102" s="17"/>
      <c r="CE102" s="17"/>
      <c r="CF102" s="17"/>
      <c r="CG102" s="17"/>
      <c r="CH102" s="17"/>
      <c r="CI102" s="17"/>
      <c r="CJ102" s="17"/>
      <c r="CK102" s="17"/>
      <c r="CL102" s="17" t="str">
        <v>Proteinuria</v>
      </c>
      <c r="CM102" s="17">
        <v>19</v>
      </c>
      <c r="CN102" s="17">
        <v>0</v>
      </c>
      <c r="CO102" s="17">
        <f t="shared" ca="1" si="106"/>
        <v>28</v>
      </c>
      <c r="CP102" s="17"/>
      <c r="CQ102" s="17">
        <f t="shared" ca="1" si="115"/>
        <v>26167.553571428572</v>
      </c>
      <c r="CR102" s="17">
        <v>0</v>
      </c>
      <c r="CS102" s="17">
        <f t="shared" ca="1" si="116"/>
        <v>1.0700274262769528E-3</v>
      </c>
      <c r="CT102" s="17" t="str">
        <f t="shared" si="112"/>
        <v>one-off</v>
      </c>
      <c r="CU102" s="17" t="str">
        <f t="shared" si="113"/>
        <v>Yes</v>
      </c>
      <c r="CV102" s="17">
        <f t="shared" ca="1" si="117"/>
        <v>1.3160000000000001</v>
      </c>
      <c r="CW102" s="17">
        <f t="shared" ca="1" si="118"/>
        <v>0</v>
      </c>
      <c r="CY102" s="657">
        <v>22</v>
      </c>
      <c r="CZ102" s="17" t="str">
        <f t="shared" si="107"/>
        <v>lenvatinib_plus_pembrolizumab</v>
      </c>
      <c r="DA102" s="17">
        <f t="shared" si="108"/>
        <v>3</v>
      </c>
      <c r="DB102" s="17">
        <f t="shared" si="109"/>
        <v>1</v>
      </c>
      <c r="DC102" s="17" t="str">
        <f>"G3+ "&amp;$D$51</f>
        <v>G3+ Weight loss</v>
      </c>
      <c r="DD102" s="17">
        <f t="shared" ca="1" si="110"/>
        <v>0</v>
      </c>
      <c r="DE102" s="956">
        <f t="shared" ca="1" si="111"/>
        <v>73.919642857142861</v>
      </c>
      <c r="DG102" s="1008">
        <f t="shared" si="121"/>
        <v>801.11</v>
      </c>
      <c r="DH102" s="1009">
        <f t="shared" si="122"/>
        <v>-0.1</v>
      </c>
      <c r="DI102" s="1007">
        <f t="shared" si="120"/>
        <v>3</v>
      </c>
    </row>
    <row r="103" spans="79:113" x14ac:dyDescent="0.2">
      <c r="CA103" s="17" t="str" cm="1">
        <f t="array" ref="CA103">INDEX(List_comparators,CB103+1)</f>
        <v>lenvatinib_plus_pembrolizumab</v>
      </c>
      <c r="CB103" s="17">
        <v>3</v>
      </c>
      <c r="CC103" s="17">
        <v>1</v>
      </c>
      <c r="CD103" s="17"/>
      <c r="CE103" s="17"/>
      <c r="CF103" s="17"/>
      <c r="CG103" s="17"/>
      <c r="CH103" s="17"/>
      <c r="CI103" s="17"/>
      <c r="CJ103" s="17"/>
      <c r="CK103" s="17"/>
      <c r="CL103" s="17" t="str">
        <v>Stomatitis</v>
      </c>
      <c r="CM103" s="17">
        <v>20</v>
      </c>
      <c r="CN103" s="17">
        <v>0</v>
      </c>
      <c r="CO103" s="17">
        <f t="shared" ca="1" si="106"/>
        <v>0</v>
      </c>
      <c r="CP103" s="17"/>
      <c r="CQ103" s="17">
        <f t="shared" ca="1" si="115"/>
        <v>26167.553571428572</v>
      </c>
      <c r="CR103" s="17">
        <v>0</v>
      </c>
      <c r="CS103" s="17">
        <f t="shared" ca="1" si="116"/>
        <v>0</v>
      </c>
      <c r="CT103" s="17" t="str">
        <f t="shared" si="112"/>
        <v>one-off</v>
      </c>
      <c r="CU103" s="17" t="str">
        <f t="shared" si="113"/>
        <v>Yes</v>
      </c>
      <c r="CV103" s="17">
        <f t="shared" ca="1" si="117"/>
        <v>1.3160000000000001</v>
      </c>
      <c r="CW103" s="17">
        <f t="shared" ca="1" si="118"/>
        <v>0</v>
      </c>
      <c r="CY103" s="657">
        <v>1</v>
      </c>
      <c r="CZ103" s="17" t="str">
        <f t="shared" ref="CZ103:DB105" si="123">CA102</f>
        <v>lenvatinib_plus_pembrolizumab</v>
      </c>
      <c r="DA103" s="17">
        <f t="shared" si="123"/>
        <v>3</v>
      </c>
      <c r="DB103" s="17">
        <f t="shared" si="123"/>
        <v>1</v>
      </c>
      <c r="DC103" s="17" t="str">
        <f>"G1&amp;2 "&amp;$D$18</f>
        <v>G1&amp;2 Diarrhoea</v>
      </c>
      <c r="DD103" s="17">
        <f ca="1">CHOOSE(i_AE_NMA_option_num,OFFSET($S$86,$CY103-1,$DA103),OFFSET($AG$18,$CY103-1,$DA103))</f>
        <v>1.2616105621687542E-2</v>
      </c>
      <c r="DE103" s="956">
        <f ca="1">OFFSET($S$18,$CY103-1,$DA103)/INDEX($DT$14:$DT$27,MATCH(DA103,$DR$14:$DR$27,0))</f>
        <v>73.919642857142861</v>
      </c>
      <c r="DG103" s="1008">
        <f t="shared" si="121"/>
        <v>220.87</v>
      </c>
      <c r="DH103" s="1009">
        <f t="shared" si="122"/>
        <v>-0.05</v>
      </c>
      <c r="DI103" s="1007">
        <f t="shared" si="120"/>
        <v>3</v>
      </c>
    </row>
    <row r="104" spans="79:113" ht="15.75" thickBot="1" x14ac:dyDescent="0.25">
      <c r="CA104" s="622" t="str" cm="1">
        <f t="array" ref="CA104">INDEX(List_comparators,CB104+1)</f>
        <v>lenvatinib_plus_pembrolizumab</v>
      </c>
      <c r="CB104" s="622">
        <v>3</v>
      </c>
      <c r="CC104" s="622">
        <v>1</v>
      </c>
      <c r="CD104" s="622"/>
      <c r="CE104" s="622"/>
      <c r="CF104" s="622"/>
      <c r="CG104" s="622"/>
      <c r="CH104" s="622"/>
      <c r="CI104" s="622"/>
      <c r="CJ104" s="744"/>
      <c r="CK104" s="744"/>
      <c r="CL104" s="622" t="str">
        <v>Vomiting</v>
      </c>
      <c r="CM104" s="622">
        <v>21</v>
      </c>
      <c r="CN104" s="622">
        <v>0</v>
      </c>
      <c r="CO104" s="622">
        <f t="shared" ca="1" si="106"/>
        <v>0</v>
      </c>
      <c r="CP104" s="622"/>
      <c r="CQ104" s="622">
        <f t="shared" ca="1" si="115"/>
        <v>26167.553571428572</v>
      </c>
      <c r="CR104" s="622">
        <v>0</v>
      </c>
      <c r="CS104" s="622">
        <f t="shared" ca="1" si="116"/>
        <v>0</v>
      </c>
      <c r="CT104" s="622" t="str">
        <f t="shared" si="112"/>
        <v>one-off</v>
      </c>
      <c r="CU104" s="622" t="str">
        <f t="shared" si="113"/>
        <v>Yes</v>
      </c>
      <c r="CV104" s="622">
        <f t="shared" ca="1" si="117"/>
        <v>1.3160000000000001</v>
      </c>
      <c r="CW104" s="622">
        <f t="shared" ca="1" si="118"/>
        <v>0</v>
      </c>
      <c r="CY104" s="657">
        <v>2</v>
      </c>
      <c r="CZ104" s="17" t="str">
        <f t="shared" si="123"/>
        <v>lenvatinib_plus_pembrolizumab</v>
      </c>
      <c r="DA104" s="17">
        <f t="shared" si="123"/>
        <v>3</v>
      </c>
      <c r="DB104" s="17">
        <f t="shared" si="123"/>
        <v>1</v>
      </c>
      <c r="DC104" s="17" t="str">
        <f>"G1&amp;2 "&amp;$D$19</f>
        <v>G1&amp;2 Fatigue</v>
      </c>
      <c r="DD104" s="17">
        <f ca="1">CHOOSE(i_AE_NMA_option_num,OFFSET($S$86,$CY104-1,$DA104),OFFSET($AG$18,$CY104-1,$DA104))</f>
        <v>5.2119787209790932E-3</v>
      </c>
      <c r="DE104" s="956">
        <f ca="1">OFFSET($S$18,$CY103-1,$DA104)/INDEX($DT$14:$DT$27,MATCH(DA104,$DR$14:$DR$27,0))</f>
        <v>73.919642857142861</v>
      </c>
      <c r="DG104" s="1008">
        <f t="shared" si="121"/>
        <v>441.74</v>
      </c>
      <c r="DH104" s="1009">
        <f t="shared" si="122"/>
        <v>-0.05</v>
      </c>
      <c r="DI104" s="1007">
        <f t="shared" si="120"/>
        <v>3</v>
      </c>
    </row>
    <row r="105" spans="79:113" ht="15.75" thickTop="1" x14ac:dyDescent="0.2">
      <c r="CA105" s="17"/>
      <c r="CB105" s="17"/>
      <c r="CC105" s="17"/>
      <c r="CD105" s="17"/>
      <c r="CE105" s="17"/>
      <c r="CF105" s="17"/>
      <c r="CG105" s="17"/>
      <c r="CH105" s="17"/>
      <c r="CI105" s="17"/>
      <c r="CJ105" s="17"/>
      <c r="CK105" s="17"/>
      <c r="CL105" s="17" t="str">
        <v>Weight loss</v>
      </c>
      <c r="CM105" s="17"/>
      <c r="CN105" s="17"/>
      <c r="CO105" s="17"/>
      <c r="CP105" s="17"/>
      <c r="CQ105" s="17"/>
      <c r="CR105" s="17"/>
      <c r="CS105" s="17"/>
      <c r="CT105" s="17"/>
      <c r="CU105" s="17"/>
      <c r="CV105" s="17"/>
      <c r="CW105" s="17"/>
      <c r="CY105" s="657">
        <v>3</v>
      </c>
      <c r="CZ105" s="17" t="str">
        <f t="shared" si="123"/>
        <v>lenvatinib_plus_pembrolizumab</v>
      </c>
      <c r="DA105" s="17">
        <f t="shared" si="123"/>
        <v>3</v>
      </c>
      <c r="DB105" s="17">
        <f t="shared" si="123"/>
        <v>1</v>
      </c>
      <c r="DC105" s="17" t="str">
        <f>"G1&amp;2 "&amp;$D$20</f>
        <v>G1&amp;2 Palmar-plantar erythrodysaesthesia syndrome</v>
      </c>
      <c r="DD105" s="17">
        <f ca="1">CHOOSE(i_AE_NMA_option_num,OFFSET($S$86,$CY105-1,$DA105),OFFSET($AG$18,$CY105-1,$DA105))</f>
        <v>4.0028240465865613E-3</v>
      </c>
      <c r="DE105" s="956">
        <f ca="1">OFFSET($S$18,$CY104-1,$DA105)/INDEX($DT$14:$DT$27,MATCH(DA105,$DR$14:$DR$27,0))</f>
        <v>73.919642857142861</v>
      </c>
      <c r="DG105" s="1008">
        <f t="shared" si="121"/>
        <v>441.74</v>
      </c>
      <c r="DH105" s="1009">
        <f t="shared" si="122"/>
        <v>-0.05</v>
      </c>
      <c r="DI105" s="1007">
        <f t="shared" si="120"/>
        <v>3</v>
      </c>
    </row>
    <row r="106" spans="79:113" x14ac:dyDescent="0.2">
      <c r="CA106" s="17" t="str" cm="1">
        <f t="array" ref="CA106">INDEX(List_comparators,CB106+1)</f>
        <v>avelumab_plus_axitinib</v>
      </c>
      <c r="CB106" s="17">
        <v>4</v>
      </c>
      <c r="CC106" s="17">
        <v>1</v>
      </c>
      <c r="CD106" s="17">
        <f ca="1">OFFSET($E$16,0,CB106)</f>
        <v>442</v>
      </c>
      <c r="CE106" s="17">
        <f ca="1">OFFSET($E$28,0,CB106)</f>
        <v>438</v>
      </c>
      <c r="CF106" s="17">
        <f ca="1">OFFSET($S$16,0,CB106)</f>
        <v>25561.412500000002</v>
      </c>
      <c r="CG106" s="17">
        <f ca="1">OFFSET($S$28,0,CB106)</f>
        <v>25330.087500000001</v>
      </c>
      <c r="CH106" s="17">
        <f ca="1">OFFSET($AG$16,0,CB106)</f>
        <v>1.7291689181886952E-2</v>
      </c>
      <c r="CI106" s="17">
        <f ca="1">OFFSET($AG$28,0,CB106)</f>
        <v>1.7291689181886956E-2</v>
      </c>
      <c r="CJ106" s="583">
        <f>$CJ$6</f>
        <v>3</v>
      </c>
      <c r="CK106" s="583">
        <f>$CK$6</f>
        <v>0.6</v>
      </c>
      <c r="CL106" s="17" t="str" cm="1">
        <f t="array" ref="CL106:CL108">List_AEs_all_grade</f>
        <v>Diarrhoea</v>
      </c>
      <c r="CM106" s="17">
        <v>1</v>
      </c>
      <c r="CN106" s="17">
        <f ca="1">OFFSET($E$18,$CM106-1,$CB106)</f>
        <v>304</v>
      </c>
      <c r="CO106" s="17">
        <f t="shared" ca="1" si="106"/>
        <v>30</v>
      </c>
      <c r="CP106" s="17">
        <f ca="1">OFFSET($S$18,$CM106-1,$CB106)</f>
        <v>25561.412500000002</v>
      </c>
      <c r="CQ106" s="17">
        <v>0</v>
      </c>
      <c r="CR106" s="17">
        <f ca="1">OFFSET($AG$18,$CM106-1,$CB106)</f>
        <v>1.0116383087041469E-2</v>
      </c>
      <c r="CS106" s="17">
        <v>0</v>
      </c>
      <c r="CT106" s="17" t="str">
        <f>dd_apply_AE_options</f>
        <v>one-off</v>
      </c>
      <c r="CU106" s="17" t="str">
        <f>$CU$6</f>
        <v>Yes</v>
      </c>
      <c r="CV106" s="17">
        <f ca="1">OFFSET($E$86,$CM106-1,$CB106)</f>
        <v>2.44</v>
      </c>
      <c r="CW106" s="17">
        <f ca="1">OFFSET($S$86,$CM106-1,$CB106)</f>
        <v>2.4683974732381184E-2</v>
      </c>
      <c r="CY106" s="657">
        <v>1</v>
      </c>
      <c r="CZ106" s="17" t="str">
        <f t="shared" ref="CZ106:CZ127" si="124">CA106</f>
        <v>avelumab_plus_axitinib</v>
      </c>
      <c r="DA106" s="17">
        <f t="shared" ref="DA106:DA127" si="125">CB106</f>
        <v>4</v>
      </c>
      <c r="DB106" s="17">
        <f t="shared" ref="DB106:DB127" si="126">CC106</f>
        <v>1</v>
      </c>
      <c r="DC106" s="17" t="str">
        <f>"G3+ "&amp;$D$30</f>
        <v>G3+ ALT increased</v>
      </c>
      <c r="DD106" s="17">
        <f t="shared" ref="DD106:DD127" ca="1" si="127">CHOOSE(i_AE_NMA_option_num,OFFSET($S$63,$CY106-1,$DA106),OFFSET($AG$30,$CY106-1,$DA106))</f>
        <v>0</v>
      </c>
      <c r="DE106" s="956">
        <f t="shared" ref="DE106:DE127" ca="1" si="128">OFFSET($S$30,$CY106-1,$DA106)/INDEX($DS$14:$DS$27,MATCH(DA106,$DR$14:$DR$27,0))</f>
        <v>57.831250000000004</v>
      </c>
      <c r="DG106" s="1008">
        <f>$DG81</f>
        <v>0</v>
      </c>
      <c r="DH106" s="1009">
        <f>$DH81</f>
        <v>-0.1</v>
      </c>
      <c r="DI106" s="1007">
        <f t="shared" si="120"/>
        <v>3</v>
      </c>
    </row>
    <row r="107" spans="79:113" x14ac:dyDescent="0.2">
      <c r="CA107" s="17" t="str" cm="1">
        <f t="array" ref="CA107">INDEX(List_comparators,CB107+1)</f>
        <v>avelumab_plus_axitinib</v>
      </c>
      <c r="CB107" s="17">
        <v>4</v>
      </c>
      <c r="CC107" s="17">
        <v>1</v>
      </c>
      <c r="CD107" s="17"/>
      <c r="CE107" s="17"/>
      <c r="CF107" s="17"/>
      <c r="CG107" s="17"/>
      <c r="CH107" s="17"/>
      <c r="CI107" s="17"/>
      <c r="CJ107" s="17"/>
      <c r="CK107" s="17"/>
      <c r="CL107" s="17" t="str">
        <v>Fatigue</v>
      </c>
      <c r="CM107" s="17">
        <v>2</v>
      </c>
      <c r="CN107" s="17">
        <f ca="1">OFFSET($E$18,$CM107-1,$CB107)</f>
        <v>201</v>
      </c>
      <c r="CO107" s="17">
        <f t="shared" ca="1" si="106"/>
        <v>0</v>
      </c>
      <c r="CP107" s="17">
        <f ca="1">OFFSET($S$18,$CM107-1,$CB107)</f>
        <v>25561.412500000002</v>
      </c>
      <c r="CQ107" s="17">
        <v>0</v>
      </c>
      <c r="CR107" s="17">
        <f ca="1">OFFSET($AG$18,$CM107-1,$CB107)</f>
        <v>7.8634152161974613E-3</v>
      </c>
      <c r="CS107" s="17">
        <v>0</v>
      </c>
      <c r="CT107" s="17" t="str">
        <f>$CT$6</f>
        <v>one-off</v>
      </c>
      <c r="CU107" s="17" t="str">
        <f>$CU$6</f>
        <v>Yes</v>
      </c>
      <c r="CV107" s="17">
        <f ca="1">OFFSET($E$86,$CM107-1,$CB107)</f>
        <v>0.95</v>
      </c>
      <c r="CW107" s="17">
        <f ca="1">OFFSET($S$86,$CM107-1,$CB107)</f>
        <v>7.4702444553875879E-3</v>
      </c>
      <c r="CY107" s="657">
        <v>2</v>
      </c>
      <c r="CZ107" s="17" t="str">
        <f t="shared" si="124"/>
        <v>avelumab_plus_axitinib</v>
      </c>
      <c r="DA107" s="17">
        <f t="shared" si="125"/>
        <v>4</v>
      </c>
      <c r="DB107" s="17">
        <f t="shared" si="126"/>
        <v>1</v>
      </c>
      <c r="DC107" s="17" t="str">
        <f>"G3+ "&amp;$D$31</f>
        <v>G3+ Anaemia</v>
      </c>
      <c r="DD107" s="17">
        <f t="shared" ca="1" si="127"/>
        <v>0</v>
      </c>
      <c r="DE107" s="956">
        <f t="shared" ca="1" si="128"/>
        <v>57.831250000000004</v>
      </c>
      <c r="DG107" s="1008">
        <f t="shared" ref="DG107:DG130" si="129">$DG82</f>
        <v>655.75</v>
      </c>
      <c r="DH107" s="1009">
        <f t="shared" ref="DH107:DH130" si="130">$DH82</f>
        <v>-0.1</v>
      </c>
      <c r="DI107" s="1007">
        <f t="shared" si="120"/>
        <v>3</v>
      </c>
    </row>
    <row r="108" spans="79:113" ht="15.75" thickBot="1" x14ac:dyDescent="0.25">
      <c r="CA108" s="19" t="str" cm="1">
        <f t="array" ref="CA108">INDEX(List_comparators,CB108+1)</f>
        <v>avelumab_plus_axitinib</v>
      </c>
      <c r="CB108" s="19">
        <v>4</v>
      </c>
      <c r="CC108" s="19">
        <v>1</v>
      </c>
      <c r="CD108" s="19"/>
      <c r="CE108" s="19"/>
      <c r="CF108" s="19"/>
      <c r="CG108" s="19"/>
      <c r="CH108" s="19"/>
      <c r="CI108" s="19"/>
      <c r="CJ108" s="19"/>
      <c r="CK108" s="19"/>
      <c r="CL108" s="19" t="str">
        <v>Palmar-plantar erythrodysaesthesia syndrome</v>
      </c>
      <c r="CM108" s="19">
        <v>3</v>
      </c>
      <c r="CN108" s="19">
        <f ca="1">OFFSET($E$18,$CM108-1,$CB108)</f>
        <v>158</v>
      </c>
      <c r="CO108" s="19">
        <f t="shared" ca="1" si="106"/>
        <v>0</v>
      </c>
      <c r="CP108" s="19">
        <f ca="1">OFFSET($S$18,$CM108-1,$CB108)</f>
        <v>25561.412500000002</v>
      </c>
      <c r="CQ108" s="19">
        <v>0</v>
      </c>
      <c r="CR108" s="19">
        <f ca="1">OFFSET($AG$18,$CM108-1,$CB108)</f>
        <v>5.0757872726103423E-3</v>
      </c>
      <c r="CS108" s="19">
        <v>0</v>
      </c>
      <c r="CT108" s="19" t="str">
        <f t="shared" ref="CT108:CT129" si="131">$CT$6</f>
        <v>one-off</v>
      </c>
      <c r="CU108" s="19" t="str">
        <f t="shared" ref="CU108:CU129" si="132">$CU$6</f>
        <v>Yes</v>
      </c>
      <c r="CV108" s="19">
        <f ca="1">OFFSET($E$86,$CM108-1,$CB108)</f>
        <v>1.33</v>
      </c>
      <c r="CW108" s="19">
        <f ca="1">OFFSET($S$86,$CM108-1,$CB108)</f>
        <v>6.7507970725717553E-3</v>
      </c>
      <c r="CY108" s="657">
        <v>3</v>
      </c>
      <c r="CZ108" s="17" t="str">
        <f t="shared" si="124"/>
        <v>avelumab_plus_axitinib</v>
      </c>
      <c r="DA108" s="17">
        <f t="shared" si="125"/>
        <v>4</v>
      </c>
      <c r="DB108" s="17">
        <f t="shared" si="126"/>
        <v>1</v>
      </c>
      <c r="DC108" s="17" t="str">
        <f>"G3+ "&amp;$D$32</f>
        <v>G3+ Decreased appetite</v>
      </c>
      <c r="DD108" s="17">
        <f t="shared" ca="1" si="127"/>
        <v>0</v>
      </c>
      <c r="DE108" s="956">
        <f t="shared" ca="1" si="128"/>
        <v>57.831250000000004</v>
      </c>
      <c r="DG108" s="1008">
        <f t="shared" si="129"/>
        <v>0</v>
      </c>
      <c r="DH108" s="1009">
        <f t="shared" si="130"/>
        <v>-0.1</v>
      </c>
      <c r="DI108" s="1007">
        <f t="shared" si="120"/>
        <v>3</v>
      </c>
    </row>
    <row r="109" spans="79:113" x14ac:dyDescent="0.2">
      <c r="CA109" s="17" t="str" cm="1">
        <f t="array" ref="CA109">INDEX(List_comparators,CB109+1)</f>
        <v>avelumab_plus_axitinib</v>
      </c>
      <c r="CB109" s="17">
        <v>4</v>
      </c>
      <c r="CC109" s="17">
        <v>1</v>
      </c>
      <c r="CD109" s="17"/>
      <c r="CE109" s="17"/>
      <c r="CF109" s="17"/>
      <c r="CG109" s="17"/>
      <c r="CH109" s="17"/>
      <c r="CI109" s="17"/>
      <c r="CJ109" s="17"/>
      <c r="CK109" s="17"/>
      <c r="CL109" s="252" t="str" cm="1">
        <f t="array" ref="CL109:CL130">List_AEs_g3</f>
        <v>ALT increased</v>
      </c>
      <c r="CM109" s="252">
        <v>1</v>
      </c>
      <c r="CN109" s="252">
        <v>0</v>
      </c>
      <c r="CO109" s="252">
        <f t="shared" ca="1" si="106"/>
        <v>30</v>
      </c>
      <c r="CP109" s="252"/>
      <c r="CQ109" s="252">
        <f t="shared" ref="CQ109:CQ129" ca="1" si="133">OFFSET($S$30,$CM109-1,$CB109)</f>
        <v>25330.087500000001</v>
      </c>
      <c r="CR109" s="252">
        <v>0</v>
      </c>
      <c r="CS109" s="252">
        <f t="shared" ref="CS109:CS129" ca="1" si="134">OFFSET($AG$30,$CM109-1,$CB109)</f>
        <v>1.1843622727319833E-3</v>
      </c>
      <c r="CT109" s="252" t="str">
        <f t="shared" si="131"/>
        <v>one-off</v>
      </c>
      <c r="CU109" s="252" t="str">
        <f t="shared" si="132"/>
        <v>Yes</v>
      </c>
      <c r="CV109" s="252">
        <f ca="1">OFFSET($E$63,$CM109-1,$CB109)</f>
        <v>1.0820000000000001</v>
      </c>
      <c r="CW109" s="252">
        <f ca="1">OFFSET($S$63,$CM109-1,$CB109)</f>
        <v>0</v>
      </c>
      <c r="CY109" s="657">
        <v>4</v>
      </c>
      <c r="CZ109" s="17" t="str">
        <f t="shared" si="124"/>
        <v>avelumab_plus_axitinib</v>
      </c>
      <c r="DA109" s="17">
        <f t="shared" si="125"/>
        <v>4</v>
      </c>
      <c r="DB109" s="17">
        <f t="shared" si="126"/>
        <v>1</v>
      </c>
      <c r="DC109" s="17" t="str">
        <f>"G3+ "&amp;$D$33</f>
        <v>G3+ Diarrhoea _TKI induced</v>
      </c>
      <c r="DD109" s="17">
        <f t="shared" ca="1" si="127"/>
        <v>2.4464388713287041E-3</v>
      </c>
      <c r="DE109" s="956">
        <f t="shared" ca="1" si="128"/>
        <v>57.831250000000004</v>
      </c>
      <c r="DG109" s="1008">
        <f t="shared" si="129"/>
        <v>827.18</v>
      </c>
      <c r="DH109" s="1009">
        <f t="shared" si="130"/>
        <v>-0.1</v>
      </c>
      <c r="DI109" s="1007">
        <f t="shared" si="120"/>
        <v>3</v>
      </c>
    </row>
    <row r="110" spans="79:113" x14ac:dyDescent="0.2">
      <c r="CA110" s="17" t="str" cm="1">
        <f t="array" ref="CA110">INDEX(List_comparators,CB110+1)</f>
        <v>avelumab_plus_axitinib</v>
      </c>
      <c r="CB110" s="17">
        <v>4</v>
      </c>
      <c r="CC110" s="17">
        <v>1</v>
      </c>
      <c r="CD110" s="17"/>
      <c r="CE110" s="17"/>
      <c r="CF110" s="17"/>
      <c r="CG110" s="17"/>
      <c r="CH110" s="17"/>
      <c r="CI110" s="17"/>
      <c r="CJ110" s="17"/>
      <c r="CK110" s="17"/>
      <c r="CL110" s="17" t="str">
        <v>Anaemia</v>
      </c>
      <c r="CM110" s="17">
        <v>2</v>
      </c>
      <c r="CN110" s="17">
        <v>0</v>
      </c>
      <c r="CO110" s="17">
        <f t="shared" ca="1" si="106"/>
        <v>0</v>
      </c>
      <c r="CP110" s="17"/>
      <c r="CQ110" s="17">
        <f t="shared" ca="1" si="133"/>
        <v>25330.087500000001</v>
      </c>
      <c r="CR110" s="17">
        <v>0</v>
      </c>
      <c r="CS110" s="17">
        <f t="shared" ca="1" si="134"/>
        <v>0</v>
      </c>
      <c r="CT110" s="17" t="str">
        <f t="shared" si="131"/>
        <v>one-off</v>
      </c>
      <c r="CU110" s="17" t="str">
        <f t="shared" si="132"/>
        <v>Yes</v>
      </c>
      <c r="CV110" s="17">
        <f t="shared" ref="CV110:CV129" ca="1" si="135">OFFSET($E$63,$CM110-1,$CB110)</f>
        <v>1.0820000000000001</v>
      </c>
      <c r="CW110" s="17">
        <f t="shared" ref="CW110:CW129" ca="1" si="136">OFFSET($S$63,$CM110-1,$CB110)</f>
        <v>0</v>
      </c>
      <c r="CY110" s="657">
        <v>5</v>
      </c>
      <c r="CZ110" s="17" t="str">
        <f t="shared" si="124"/>
        <v>avelumab_plus_axitinib</v>
      </c>
      <c r="DA110" s="17">
        <f t="shared" si="125"/>
        <v>4</v>
      </c>
      <c r="DB110" s="17">
        <f t="shared" si="126"/>
        <v>1</v>
      </c>
      <c r="DC110" s="17" t="str">
        <f>"G3+ "&amp;$D$34</f>
        <v>G3+ Diarrhoea _IO induced</v>
      </c>
      <c r="DD110" s="17">
        <f t="shared" ca="1" si="127"/>
        <v>0</v>
      </c>
      <c r="DE110" s="956">
        <f t="shared" ca="1" si="128"/>
        <v>57.831250000000004</v>
      </c>
      <c r="DG110" s="1008">
        <f t="shared" si="129"/>
        <v>4321.12</v>
      </c>
      <c r="DH110" s="1009">
        <f t="shared" si="130"/>
        <v>-0.1</v>
      </c>
      <c r="DI110" s="1007">
        <f t="shared" si="120"/>
        <v>3</v>
      </c>
    </row>
    <row r="111" spans="79:113" x14ac:dyDescent="0.2">
      <c r="CA111" s="17" t="str" cm="1">
        <f t="array" ref="CA111">INDEX(List_comparators,CB111+1)</f>
        <v>avelumab_plus_axitinib</v>
      </c>
      <c r="CB111" s="17">
        <v>4</v>
      </c>
      <c r="CC111" s="17">
        <v>1</v>
      </c>
      <c r="CD111" s="17"/>
      <c r="CE111" s="17"/>
      <c r="CF111" s="17"/>
      <c r="CG111" s="17"/>
      <c r="CH111" s="17"/>
      <c r="CI111" s="17"/>
      <c r="CJ111" s="17"/>
      <c r="CK111" s="17"/>
      <c r="CL111" s="17" t="str">
        <v>Decreased appetite</v>
      </c>
      <c r="CM111" s="17">
        <v>3</v>
      </c>
      <c r="CN111" s="17">
        <v>0</v>
      </c>
      <c r="CO111" s="17">
        <f t="shared" ca="1" si="106"/>
        <v>0</v>
      </c>
      <c r="CP111" s="17"/>
      <c r="CQ111" s="17">
        <f t="shared" ca="1" si="133"/>
        <v>25330.087500000001</v>
      </c>
      <c r="CR111" s="17">
        <v>0</v>
      </c>
      <c r="CS111" s="17">
        <f t="shared" ca="1" si="134"/>
        <v>0</v>
      </c>
      <c r="CT111" s="17" t="str">
        <f t="shared" si="131"/>
        <v>one-off</v>
      </c>
      <c r="CU111" s="17" t="str">
        <f t="shared" si="132"/>
        <v>Yes</v>
      </c>
      <c r="CV111" s="17">
        <f t="shared" ca="1" si="135"/>
        <v>1.0820000000000001</v>
      </c>
      <c r="CW111" s="17">
        <f t="shared" ca="1" si="136"/>
        <v>0</v>
      </c>
      <c r="CY111" s="657">
        <v>6</v>
      </c>
      <c r="CZ111" s="17" t="str">
        <f t="shared" si="124"/>
        <v>avelumab_plus_axitinib</v>
      </c>
      <c r="DA111" s="17">
        <f t="shared" si="125"/>
        <v>4</v>
      </c>
      <c r="DB111" s="17">
        <f t="shared" si="126"/>
        <v>1</v>
      </c>
      <c r="DC111" s="17" t="str">
        <f>"G3+ "&amp;$D$35</f>
        <v>G3+ Fatigue</v>
      </c>
      <c r="DD111" s="17">
        <f t="shared" ca="1" si="127"/>
        <v>9.6110098516484792E-4</v>
      </c>
      <c r="DE111" s="956">
        <f t="shared" ca="1" si="128"/>
        <v>57.831250000000004</v>
      </c>
      <c r="DG111" s="1008">
        <f t="shared" si="129"/>
        <v>662.61</v>
      </c>
      <c r="DH111" s="1009">
        <f t="shared" si="130"/>
        <v>-0.1</v>
      </c>
      <c r="DI111" s="1007">
        <f t="shared" si="120"/>
        <v>3</v>
      </c>
    </row>
    <row r="112" spans="79:113" x14ac:dyDescent="0.2">
      <c r="CA112" s="17" t="str" cm="1">
        <f t="array" ref="CA112">INDEX(List_comparators,CB112+1)</f>
        <v>avelumab_plus_axitinib</v>
      </c>
      <c r="CB112" s="17">
        <v>4</v>
      </c>
      <c r="CC112" s="17">
        <v>1</v>
      </c>
      <c r="CD112" s="17"/>
      <c r="CE112" s="17"/>
      <c r="CF112" s="17"/>
      <c r="CG112" s="17"/>
      <c r="CH112" s="17"/>
      <c r="CI112" s="17"/>
      <c r="CJ112" s="17"/>
      <c r="CK112" s="17"/>
      <c r="CL112" s="17" t="str">
        <v>Diarrhoea _TKI induced</v>
      </c>
      <c r="CM112" s="17">
        <v>4</v>
      </c>
      <c r="CN112" s="17">
        <v>0</v>
      </c>
      <c r="CO112" s="17">
        <f t="shared" ca="1" si="106"/>
        <v>22.5</v>
      </c>
      <c r="CP112" s="17"/>
      <c r="CQ112" s="17">
        <f t="shared" ca="1" si="133"/>
        <v>25330.087500000001</v>
      </c>
      <c r="CR112" s="17">
        <v>0</v>
      </c>
      <c r="CS112" s="17">
        <f t="shared" ca="1" si="134"/>
        <v>8.8827170454898734E-4</v>
      </c>
      <c r="CT112" s="17" t="str">
        <f t="shared" si="131"/>
        <v>one-off</v>
      </c>
      <c r="CU112" s="17" t="str">
        <f t="shared" si="132"/>
        <v>Yes</v>
      </c>
      <c r="CV112" s="17">
        <f t="shared" ca="1" si="135"/>
        <v>1.0820000000000001</v>
      </c>
      <c r="CW112" s="17">
        <f t="shared" ca="1" si="136"/>
        <v>2.4464388713287041E-3</v>
      </c>
      <c r="CY112" s="657">
        <v>7</v>
      </c>
      <c r="CZ112" s="17" t="str">
        <f t="shared" si="124"/>
        <v>avelumab_plus_axitinib</v>
      </c>
      <c r="DA112" s="17">
        <f t="shared" si="125"/>
        <v>4</v>
      </c>
      <c r="DB112" s="17">
        <f t="shared" si="126"/>
        <v>1</v>
      </c>
      <c r="DC112" s="17" t="str">
        <f>"G3+ "&amp;$D$36</f>
        <v>G3+ HFS</v>
      </c>
      <c r="DD112" s="17">
        <f t="shared" ca="1" si="127"/>
        <v>2.2716932376623676E-3</v>
      </c>
      <c r="DE112" s="956">
        <f t="shared" ca="1" si="128"/>
        <v>57.831250000000004</v>
      </c>
      <c r="DG112" s="1008">
        <f t="shared" si="129"/>
        <v>621.42499999999995</v>
      </c>
      <c r="DH112" s="1009">
        <f t="shared" si="130"/>
        <v>-0.1</v>
      </c>
      <c r="DI112" s="1007">
        <f t="shared" si="120"/>
        <v>3</v>
      </c>
    </row>
    <row r="113" spans="79:113" x14ac:dyDescent="0.2">
      <c r="CA113" s="17" t="str" cm="1">
        <f t="array" ref="CA113">INDEX(List_comparators,CB113+1)</f>
        <v>avelumab_plus_axitinib</v>
      </c>
      <c r="CB113" s="17">
        <v>4</v>
      </c>
      <c r="CC113" s="17">
        <v>1</v>
      </c>
      <c r="CD113" s="17"/>
      <c r="CE113" s="17"/>
      <c r="CF113" s="17"/>
      <c r="CG113" s="17"/>
      <c r="CH113" s="17"/>
      <c r="CI113" s="17"/>
      <c r="CJ113" s="17"/>
      <c r="CK113" s="17"/>
      <c r="CL113" s="17" t="str">
        <v>Diarrhoea _IO induced</v>
      </c>
      <c r="CM113" s="17">
        <v>5</v>
      </c>
      <c r="CN113" s="17">
        <v>0</v>
      </c>
      <c r="CO113" s="17">
        <f t="shared" ca="1" si="106"/>
        <v>22.5</v>
      </c>
      <c r="CP113" s="17"/>
      <c r="CQ113" s="17">
        <f t="shared" ca="1" si="133"/>
        <v>25330.087500000001</v>
      </c>
      <c r="CR113" s="17">
        <v>0</v>
      </c>
      <c r="CS113" s="17">
        <f t="shared" ca="1" si="134"/>
        <v>8.8827170454898734E-4</v>
      </c>
      <c r="CT113" s="17" t="str">
        <f t="shared" si="131"/>
        <v>one-off</v>
      </c>
      <c r="CU113" s="17" t="str">
        <f t="shared" si="132"/>
        <v>Yes</v>
      </c>
      <c r="CV113" s="17">
        <f t="shared" ca="1" si="135"/>
        <v>1.0820000000000001</v>
      </c>
      <c r="CW113" s="17">
        <f t="shared" ca="1" si="136"/>
        <v>0</v>
      </c>
      <c r="CY113" s="657">
        <v>8</v>
      </c>
      <c r="CZ113" s="17" t="str">
        <f t="shared" si="124"/>
        <v>avelumab_plus_axitinib</v>
      </c>
      <c r="DA113" s="17">
        <f t="shared" si="125"/>
        <v>4</v>
      </c>
      <c r="DB113" s="17">
        <f t="shared" si="126"/>
        <v>1</v>
      </c>
      <c r="DC113" s="17" t="str">
        <f>"G3+ "&amp;$D$37</f>
        <v>G3+ Hypertension</v>
      </c>
      <c r="DD113" s="17">
        <f t="shared" ca="1" si="127"/>
        <v>3.4075398564935512E-3</v>
      </c>
      <c r="DE113" s="956">
        <f t="shared" ca="1" si="128"/>
        <v>57.831250000000004</v>
      </c>
      <c r="DG113" s="1008">
        <f t="shared" si="129"/>
        <v>424.6</v>
      </c>
      <c r="DH113" s="1009">
        <f t="shared" si="130"/>
        <v>-0.1</v>
      </c>
      <c r="DI113" s="1007">
        <f t="shared" si="120"/>
        <v>3</v>
      </c>
    </row>
    <row r="114" spans="79:113" x14ac:dyDescent="0.2">
      <c r="CA114" s="17" t="str" cm="1">
        <f t="array" ref="CA114">INDEX(List_comparators,CB114+1)</f>
        <v>avelumab_plus_axitinib</v>
      </c>
      <c r="CB114" s="17">
        <v>4</v>
      </c>
      <c r="CC114" s="17">
        <v>1</v>
      </c>
      <c r="CD114" s="17"/>
      <c r="CE114" s="17"/>
      <c r="CF114" s="17"/>
      <c r="CG114" s="17"/>
      <c r="CH114" s="17"/>
      <c r="CI114" s="17"/>
      <c r="CJ114" s="17"/>
      <c r="CK114" s="17"/>
      <c r="CL114" s="17" t="str">
        <v>Fatigue</v>
      </c>
      <c r="CM114" s="17">
        <v>6</v>
      </c>
      <c r="CN114" s="17">
        <v>0</v>
      </c>
      <c r="CO114" s="17">
        <f t="shared" ca="1" si="106"/>
        <v>0</v>
      </c>
      <c r="CP114" s="17"/>
      <c r="CQ114" s="17">
        <f t="shared" ca="1" si="133"/>
        <v>25330.087500000001</v>
      </c>
      <c r="CR114" s="17">
        <v>0</v>
      </c>
      <c r="CS114" s="17">
        <f t="shared" ca="1" si="134"/>
        <v>0</v>
      </c>
      <c r="CT114" s="17" t="str">
        <f t="shared" si="131"/>
        <v>one-off</v>
      </c>
      <c r="CU114" s="17" t="str">
        <f t="shared" si="132"/>
        <v>Yes</v>
      </c>
      <c r="CV114" s="17">
        <f t="shared" ca="1" si="135"/>
        <v>1.0820000000000001</v>
      </c>
      <c r="CW114" s="17">
        <f t="shared" ca="1" si="136"/>
        <v>9.6110098516484792E-4</v>
      </c>
      <c r="CY114" s="657">
        <v>9</v>
      </c>
      <c r="CZ114" s="17" t="str">
        <f t="shared" si="124"/>
        <v>avelumab_plus_axitinib</v>
      </c>
      <c r="DA114" s="17">
        <f t="shared" si="125"/>
        <v>4</v>
      </c>
      <c r="DB114" s="17">
        <f t="shared" si="126"/>
        <v>1</v>
      </c>
      <c r="DC114" s="17" t="str">
        <f>"G3+ "&amp;$D$38</f>
        <v>G3+ Hypertriglyceridemia</v>
      </c>
      <c r="DD114" s="17">
        <f t="shared" ca="1" si="127"/>
        <v>0</v>
      </c>
      <c r="DE114" s="956">
        <f t="shared" ca="1" si="128"/>
        <v>57.831250000000004</v>
      </c>
      <c r="DG114" s="1008">
        <f t="shared" si="129"/>
        <v>0</v>
      </c>
      <c r="DH114" s="1009">
        <f t="shared" si="130"/>
        <v>-0.1</v>
      </c>
      <c r="DI114" s="1007">
        <f t="shared" si="120"/>
        <v>3</v>
      </c>
    </row>
    <row r="115" spans="79:113" x14ac:dyDescent="0.2">
      <c r="CA115" s="17" t="str" cm="1">
        <f t="array" ref="CA115">INDEX(List_comparators,CB115+1)</f>
        <v>avelumab_plus_axitinib</v>
      </c>
      <c r="CB115" s="17">
        <v>4</v>
      </c>
      <c r="CC115" s="17">
        <v>1</v>
      </c>
      <c r="CD115" s="17"/>
      <c r="CE115" s="17"/>
      <c r="CF115" s="17"/>
      <c r="CG115" s="17"/>
      <c r="CH115" s="17"/>
      <c r="CI115" s="17"/>
      <c r="CJ115" s="17"/>
      <c r="CK115" s="17"/>
      <c r="CL115" s="17" t="str">
        <v>HFS</v>
      </c>
      <c r="CM115" s="17">
        <v>7</v>
      </c>
      <c r="CN115" s="17">
        <v>0</v>
      </c>
      <c r="CO115" s="17">
        <f t="shared" ca="1" si="106"/>
        <v>28</v>
      </c>
      <c r="CP115" s="17"/>
      <c r="CQ115" s="17">
        <f t="shared" ca="1" si="133"/>
        <v>25330.087500000001</v>
      </c>
      <c r="CR115" s="17">
        <v>0</v>
      </c>
      <c r="CS115" s="17">
        <f t="shared" ca="1" si="134"/>
        <v>1.1054047878831844E-3</v>
      </c>
      <c r="CT115" s="17" t="str">
        <f t="shared" si="131"/>
        <v>one-off</v>
      </c>
      <c r="CU115" s="17" t="str">
        <f t="shared" si="132"/>
        <v>Yes</v>
      </c>
      <c r="CV115" s="17">
        <f t="shared" ca="1" si="135"/>
        <v>1.0820000000000001</v>
      </c>
      <c r="CW115" s="17">
        <f t="shared" ca="1" si="136"/>
        <v>2.2716932376623676E-3</v>
      </c>
      <c r="CY115" s="657">
        <v>10</v>
      </c>
      <c r="CZ115" s="17" t="str">
        <f t="shared" si="124"/>
        <v>avelumab_plus_axitinib</v>
      </c>
      <c r="DA115" s="17">
        <f t="shared" si="125"/>
        <v>4</v>
      </c>
      <c r="DB115" s="17">
        <f t="shared" si="126"/>
        <v>1</v>
      </c>
      <c r="DC115" s="17" t="str">
        <f>"G3+ "&amp;$D$39</f>
        <v>G3+ Hyponatraemia</v>
      </c>
      <c r="DD115" s="17">
        <f t="shared" ca="1" si="127"/>
        <v>1.1358466188311838E-3</v>
      </c>
      <c r="DE115" s="956">
        <f t="shared" ca="1" si="128"/>
        <v>57.831250000000004</v>
      </c>
      <c r="DG115" s="1008">
        <f t="shared" si="129"/>
        <v>574.71</v>
      </c>
      <c r="DH115" s="1009">
        <f t="shared" si="130"/>
        <v>-0.1</v>
      </c>
      <c r="DI115" s="1007">
        <f t="shared" si="120"/>
        <v>3</v>
      </c>
    </row>
    <row r="116" spans="79:113" x14ac:dyDescent="0.2">
      <c r="CA116" s="17" t="str" cm="1">
        <f t="array" ref="CA116">INDEX(List_comparators,CB116+1)</f>
        <v>avelumab_plus_axitinib</v>
      </c>
      <c r="CB116" s="17">
        <v>4</v>
      </c>
      <c r="CC116" s="17">
        <v>1</v>
      </c>
      <c r="CD116" s="17"/>
      <c r="CE116" s="17"/>
      <c r="CF116" s="17"/>
      <c r="CG116" s="17"/>
      <c r="CH116" s="17"/>
      <c r="CI116" s="17"/>
      <c r="CJ116" s="17"/>
      <c r="CK116" s="17"/>
      <c r="CL116" s="17" t="str">
        <v>Hypertension</v>
      </c>
      <c r="CM116" s="17">
        <v>8</v>
      </c>
      <c r="CN116" s="17">
        <v>0</v>
      </c>
      <c r="CO116" s="17">
        <f t="shared" ca="1" si="106"/>
        <v>124</v>
      </c>
      <c r="CP116" s="17"/>
      <c r="CQ116" s="17">
        <f t="shared" ca="1" si="133"/>
        <v>25330.087500000001</v>
      </c>
      <c r="CR116" s="17">
        <v>0</v>
      </c>
      <c r="CS116" s="17">
        <f t="shared" ca="1" si="134"/>
        <v>4.8953640606255308E-3</v>
      </c>
      <c r="CT116" s="17" t="str">
        <f t="shared" si="131"/>
        <v>one-off</v>
      </c>
      <c r="CU116" s="17" t="str">
        <f t="shared" si="132"/>
        <v>Yes</v>
      </c>
      <c r="CV116" s="17">
        <f t="shared" ca="1" si="135"/>
        <v>1.0820000000000001</v>
      </c>
      <c r="CW116" s="17">
        <f t="shared" ca="1" si="136"/>
        <v>3.4075398564935512E-3</v>
      </c>
      <c r="CY116" s="657">
        <v>11</v>
      </c>
      <c r="CZ116" s="17" t="str">
        <f t="shared" si="124"/>
        <v>avelumab_plus_axitinib</v>
      </c>
      <c r="DA116" s="17">
        <f t="shared" si="125"/>
        <v>4</v>
      </c>
      <c r="DB116" s="17">
        <f t="shared" si="126"/>
        <v>1</v>
      </c>
      <c r="DC116" s="17" t="str">
        <f>"G3+ "&amp;$D$40</f>
        <v>G3+ Hypophosphatemia</v>
      </c>
      <c r="DD116" s="17">
        <f t="shared" ca="1" si="127"/>
        <v>1.1358466188311838E-3</v>
      </c>
      <c r="DE116" s="956">
        <f t="shared" ca="1" si="128"/>
        <v>57.831250000000004</v>
      </c>
      <c r="DG116" s="1008">
        <f t="shared" si="129"/>
        <v>0</v>
      </c>
      <c r="DH116" s="1009">
        <f t="shared" si="130"/>
        <v>-0.1</v>
      </c>
      <c r="DI116" s="1007">
        <f t="shared" si="120"/>
        <v>3</v>
      </c>
    </row>
    <row r="117" spans="79:113" x14ac:dyDescent="0.2">
      <c r="CA117" s="17" t="str" cm="1">
        <f t="array" ref="CA117">INDEX(List_comparators,CB117+1)</f>
        <v>avelumab_plus_axitinib</v>
      </c>
      <c r="CB117" s="17">
        <v>4</v>
      </c>
      <c r="CC117" s="17">
        <v>1</v>
      </c>
      <c r="CD117" s="17"/>
      <c r="CE117" s="17"/>
      <c r="CF117" s="17"/>
      <c r="CG117" s="17"/>
      <c r="CH117" s="17"/>
      <c r="CI117" s="17"/>
      <c r="CJ117" s="17"/>
      <c r="CK117" s="17"/>
      <c r="CL117" s="17" t="str">
        <v>Hypertriglyceridemia</v>
      </c>
      <c r="CM117" s="17">
        <v>9</v>
      </c>
      <c r="CN117" s="17">
        <v>0</v>
      </c>
      <c r="CO117" s="17">
        <f t="shared" ca="1" si="106"/>
        <v>0</v>
      </c>
      <c r="CP117" s="17"/>
      <c r="CQ117" s="17">
        <f t="shared" ca="1" si="133"/>
        <v>25330.087500000001</v>
      </c>
      <c r="CR117" s="17">
        <v>0</v>
      </c>
      <c r="CS117" s="17">
        <f t="shared" ca="1" si="134"/>
        <v>0</v>
      </c>
      <c r="CT117" s="17" t="str">
        <f t="shared" si="131"/>
        <v>one-off</v>
      </c>
      <c r="CU117" s="17" t="str">
        <f t="shared" si="132"/>
        <v>Yes</v>
      </c>
      <c r="CV117" s="17">
        <f t="shared" ca="1" si="135"/>
        <v>1.0820000000000001</v>
      </c>
      <c r="CW117" s="17">
        <f t="shared" ca="1" si="136"/>
        <v>0</v>
      </c>
      <c r="CY117" s="657">
        <v>12</v>
      </c>
      <c r="CZ117" s="17" t="str">
        <f t="shared" si="124"/>
        <v>avelumab_plus_axitinib</v>
      </c>
      <c r="DA117" s="17">
        <f t="shared" si="125"/>
        <v>4</v>
      </c>
      <c r="DB117" s="17">
        <f t="shared" si="126"/>
        <v>1</v>
      </c>
      <c r="DC117" s="17" t="str">
        <f>"G3+ "&amp;$D$41</f>
        <v>G3+ Increase in lipase</v>
      </c>
      <c r="DD117" s="17">
        <f t="shared" ca="1" si="127"/>
        <v>0</v>
      </c>
      <c r="DE117" s="956">
        <f t="shared" ca="1" si="128"/>
        <v>57.831250000000004</v>
      </c>
      <c r="DG117" s="1008">
        <f t="shared" si="129"/>
        <v>655.75</v>
      </c>
      <c r="DH117" s="1009">
        <f t="shared" si="130"/>
        <v>-0.1</v>
      </c>
      <c r="DI117" s="1007">
        <f t="shared" si="120"/>
        <v>3</v>
      </c>
    </row>
    <row r="118" spans="79:113" x14ac:dyDescent="0.2">
      <c r="CA118" s="17" t="str" cm="1">
        <f t="array" ref="CA118">INDEX(List_comparators,CB118+1)</f>
        <v>avelumab_plus_axitinib</v>
      </c>
      <c r="CB118" s="17">
        <v>4</v>
      </c>
      <c r="CC118" s="17">
        <v>1</v>
      </c>
      <c r="CD118" s="17"/>
      <c r="CE118" s="17"/>
      <c r="CF118" s="17"/>
      <c r="CG118" s="17"/>
      <c r="CH118" s="17"/>
      <c r="CI118" s="17"/>
      <c r="CJ118" s="17"/>
      <c r="CK118" s="17"/>
      <c r="CL118" s="17" t="str">
        <v>Hyponatraemia</v>
      </c>
      <c r="CM118" s="17">
        <v>10</v>
      </c>
      <c r="CN118" s="17">
        <v>0</v>
      </c>
      <c r="CO118" s="17">
        <f t="shared" ca="1" si="106"/>
        <v>0</v>
      </c>
      <c r="CP118" s="17"/>
      <c r="CQ118" s="17">
        <f t="shared" ca="1" si="133"/>
        <v>25330.087500000001</v>
      </c>
      <c r="CR118" s="17">
        <v>0</v>
      </c>
      <c r="CS118" s="17">
        <f t="shared" ca="1" si="134"/>
        <v>0</v>
      </c>
      <c r="CT118" s="17" t="str">
        <f t="shared" si="131"/>
        <v>one-off</v>
      </c>
      <c r="CU118" s="17" t="str">
        <f t="shared" si="132"/>
        <v>Yes</v>
      </c>
      <c r="CV118" s="17">
        <f t="shared" ca="1" si="135"/>
        <v>1.0820000000000001</v>
      </c>
      <c r="CW118" s="17">
        <f t="shared" ca="1" si="136"/>
        <v>1.1358466188311838E-3</v>
      </c>
      <c r="CY118" s="657">
        <v>13</v>
      </c>
      <c r="CZ118" s="17" t="str">
        <f t="shared" si="124"/>
        <v>avelumab_plus_axitinib</v>
      </c>
      <c r="DA118" s="17">
        <f t="shared" si="125"/>
        <v>4</v>
      </c>
      <c r="DB118" s="17">
        <f t="shared" si="126"/>
        <v>1</v>
      </c>
      <c r="DC118" s="17" t="str">
        <f>"G3+ "&amp;$D$42</f>
        <v>G3+ Increased AST</v>
      </c>
      <c r="DD118" s="17">
        <f t="shared" ca="1" si="127"/>
        <v>0</v>
      </c>
      <c r="DE118" s="956">
        <f t="shared" ca="1" si="128"/>
        <v>57.831250000000004</v>
      </c>
      <c r="DG118" s="1008">
        <f t="shared" si="129"/>
        <v>0</v>
      </c>
      <c r="DH118" s="1009">
        <f t="shared" si="130"/>
        <v>-0.1</v>
      </c>
      <c r="DI118" s="1007">
        <f t="shared" si="120"/>
        <v>3</v>
      </c>
    </row>
    <row r="119" spans="79:113" x14ac:dyDescent="0.2">
      <c r="CA119" s="17" t="str" cm="1">
        <f t="array" ref="CA119">INDEX(List_comparators,CB119+1)</f>
        <v>avelumab_plus_axitinib</v>
      </c>
      <c r="CB119" s="17">
        <v>4</v>
      </c>
      <c r="CC119" s="17">
        <v>1</v>
      </c>
      <c r="CD119" s="17"/>
      <c r="CE119" s="17"/>
      <c r="CF119" s="17"/>
      <c r="CG119" s="17"/>
      <c r="CH119" s="17"/>
      <c r="CI119" s="17"/>
      <c r="CJ119" s="17"/>
      <c r="CK119" s="17"/>
      <c r="CL119" s="17" t="str">
        <v>Hypophosphatemia</v>
      </c>
      <c r="CM119" s="17">
        <v>11</v>
      </c>
      <c r="CN119" s="17">
        <v>0</v>
      </c>
      <c r="CO119" s="17">
        <f t="shared" ca="1" si="106"/>
        <v>0</v>
      </c>
      <c r="CP119" s="17"/>
      <c r="CQ119" s="17">
        <f t="shared" ca="1" si="133"/>
        <v>25330.087500000001</v>
      </c>
      <c r="CR119" s="17">
        <v>0</v>
      </c>
      <c r="CS119" s="17">
        <f t="shared" ca="1" si="134"/>
        <v>0</v>
      </c>
      <c r="CT119" s="17" t="str">
        <f t="shared" si="131"/>
        <v>one-off</v>
      </c>
      <c r="CU119" s="17" t="str">
        <f t="shared" si="132"/>
        <v>Yes</v>
      </c>
      <c r="CV119" s="17">
        <f t="shared" ca="1" si="135"/>
        <v>1.0820000000000001</v>
      </c>
      <c r="CW119" s="17">
        <f t="shared" ca="1" si="136"/>
        <v>1.1358466188311838E-3</v>
      </c>
      <c r="CY119" s="657">
        <v>14</v>
      </c>
      <c r="CZ119" s="17" t="str">
        <f t="shared" si="124"/>
        <v>avelumab_plus_axitinib</v>
      </c>
      <c r="DA119" s="17">
        <f t="shared" si="125"/>
        <v>4</v>
      </c>
      <c r="DB119" s="17">
        <f t="shared" si="126"/>
        <v>1</v>
      </c>
      <c r="DC119" s="17" t="str">
        <f>"G3+ "&amp;$D$43</f>
        <v>G3+ Leukopenia</v>
      </c>
      <c r="DD119" s="17">
        <f t="shared" ca="1" si="127"/>
        <v>0</v>
      </c>
      <c r="DE119" s="956">
        <f t="shared" ca="1" si="128"/>
        <v>57.831250000000004</v>
      </c>
      <c r="DG119" s="1008">
        <f t="shared" si="129"/>
        <v>0</v>
      </c>
      <c r="DH119" s="1009">
        <f t="shared" si="130"/>
        <v>-0.1</v>
      </c>
      <c r="DI119" s="1007">
        <f t="shared" si="120"/>
        <v>3</v>
      </c>
    </row>
    <row r="120" spans="79:113" x14ac:dyDescent="0.2">
      <c r="CA120" s="17" t="str" cm="1">
        <f t="array" ref="CA120">INDEX(List_comparators,CB120+1)</f>
        <v>avelumab_plus_axitinib</v>
      </c>
      <c r="CB120" s="17">
        <v>4</v>
      </c>
      <c r="CC120" s="17">
        <v>1</v>
      </c>
      <c r="CD120" s="17"/>
      <c r="CE120" s="17"/>
      <c r="CF120" s="17"/>
      <c r="CG120" s="17"/>
      <c r="CH120" s="17"/>
      <c r="CI120" s="17"/>
      <c r="CJ120" s="17"/>
      <c r="CK120" s="17"/>
      <c r="CL120" s="17" t="str">
        <v>Increase in lipase</v>
      </c>
      <c r="CM120" s="17">
        <v>12</v>
      </c>
      <c r="CN120" s="17">
        <v>0</v>
      </c>
      <c r="CO120" s="17">
        <f t="shared" ca="1" si="106"/>
        <v>0</v>
      </c>
      <c r="CP120" s="17"/>
      <c r="CQ120" s="17">
        <f t="shared" ca="1" si="133"/>
        <v>25330.087500000001</v>
      </c>
      <c r="CR120" s="17">
        <v>0</v>
      </c>
      <c r="CS120" s="17">
        <f t="shared" ca="1" si="134"/>
        <v>0</v>
      </c>
      <c r="CT120" s="17" t="str">
        <f t="shared" si="131"/>
        <v>one-off</v>
      </c>
      <c r="CU120" s="17" t="str">
        <f t="shared" si="132"/>
        <v>Yes</v>
      </c>
      <c r="CV120" s="17">
        <f t="shared" ca="1" si="135"/>
        <v>1.0820000000000001</v>
      </c>
      <c r="CW120" s="17">
        <f t="shared" ca="1" si="136"/>
        <v>0</v>
      </c>
      <c r="CY120" s="657">
        <v>15</v>
      </c>
      <c r="CZ120" s="17" t="str">
        <f t="shared" si="124"/>
        <v>avelumab_plus_axitinib</v>
      </c>
      <c r="DA120" s="17">
        <f t="shared" si="125"/>
        <v>4</v>
      </c>
      <c r="DB120" s="17">
        <f t="shared" si="126"/>
        <v>1</v>
      </c>
      <c r="DC120" s="17" t="str">
        <f>"G3+ "&amp;$D$44</f>
        <v>G3+ Lymphopenia</v>
      </c>
      <c r="DD120" s="17">
        <f t="shared" ca="1" si="127"/>
        <v>0</v>
      </c>
      <c r="DE120" s="956">
        <f t="shared" ca="1" si="128"/>
        <v>57.831250000000004</v>
      </c>
      <c r="DG120" s="1008">
        <f t="shared" si="129"/>
        <v>679.97</v>
      </c>
      <c r="DH120" s="1009">
        <f t="shared" si="130"/>
        <v>-0.1</v>
      </c>
      <c r="DI120" s="1007">
        <f t="shared" si="120"/>
        <v>3</v>
      </c>
    </row>
    <row r="121" spans="79:113" x14ac:dyDescent="0.2">
      <c r="CA121" s="17" t="str" cm="1">
        <f t="array" ref="CA121">INDEX(List_comparators,CB121+1)</f>
        <v>avelumab_plus_axitinib</v>
      </c>
      <c r="CB121" s="17">
        <v>4</v>
      </c>
      <c r="CC121" s="17">
        <v>1</v>
      </c>
      <c r="CD121" s="17"/>
      <c r="CE121" s="17"/>
      <c r="CF121" s="17"/>
      <c r="CG121" s="17"/>
      <c r="CH121" s="17"/>
      <c r="CI121" s="17"/>
      <c r="CJ121" s="17"/>
      <c r="CK121" s="17"/>
      <c r="CL121" s="17" t="str">
        <v>Increased AST</v>
      </c>
      <c r="CM121" s="17">
        <v>13</v>
      </c>
      <c r="CN121" s="17">
        <v>0</v>
      </c>
      <c r="CO121" s="17">
        <f t="shared" ca="1" si="106"/>
        <v>0</v>
      </c>
      <c r="CP121" s="17"/>
      <c r="CQ121" s="17">
        <f t="shared" ca="1" si="133"/>
        <v>25330.087500000001</v>
      </c>
      <c r="CR121" s="17">
        <v>0</v>
      </c>
      <c r="CS121" s="17">
        <f t="shared" ca="1" si="134"/>
        <v>0</v>
      </c>
      <c r="CT121" s="17" t="str">
        <f t="shared" si="131"/>
        <v>one-off</v>
      </c>
      <c r="CU121" s="17" t="str">
        <f t="shared" si="132"/>
        <v>Yes</v>
      </c>
      <c r="CV121" s="17">
        <f t="shared" ca="1" si="135"/>
        <v>1.0820000000000001</v>
      </c>
      <c r="CW121" s="17">
        <f t="shared" ca="1" si="136"/>
        <v>0</v>
      </c>
      <c r="CY121" s="657">
        <v>16</v>
      </c>
      <c r="CZ121" s="17" t="str">
        <f t="shared" si="124"/>
        <v>avelumab_plus_axitinib</v>
      </c>
      <c r="DA121" s="17">
        <f t="shared" si="125"/>
        <v>4</v>
      </c>
      <c r="DB121" s="17">
        <f t="shared" si="126"/>
        <v>1</v>
      </c>
      <c r="DC121" s="17" t="str">
        <f>"G3+ "&amp;$D$45</f>
        <v>G3+ Nausea</v>
      </c>
      <c r="DD121" s="17">
        <f t="shared" ca="1" si="127"/>
        <v>0</v>
      </c>
      <c r="DE121" s="956">
        <f t="shared" ca="1" si="128"/>
        <v>57.831250000000004</v>
      </c>
      <c r="DG121" s="1008">
        <f t="shared" si="129"/>
        <v>801.11</v>
      </c>
      <c r="DH121" s="1009">
        <f t="shared" si="130"/>
        <v>-0.1</v>
      </c>
      <c r="DI121" s="1007">
        <f t="shared" si="120"/>
        <v>3</v>
      </c>
    </row>
    <row r="122" spans="79:113" x14ac:dyDescent="0.2">
      <c r="CA122" s="17" t="str" cm="1">
        <f t="array" ref="CA122">INDEX(List_comparators,CB122+1)</f>
        <v>avelumab_plus_axitinib</v>
      </c>
      <c r="CB122" s="17">
        <v>4</v>
      </c>
      <c r="CC122" s="17">
        <v>1</v>
      </c>
      <c r="CD122" s="17"/>
      <c r="CE122" s="17"/>
      <c r="CF122" s="17"/>
      <c r="CG122" s="17"/>
      <c r="CH122" s="17"/>
      <c r="CI122" s="17"/>
      <c r="CJ122" s="17"/>
      <c r="CK122" s="17"/>
      <c r="CL122" s="17" t="str">
        <v>Leukopenia</v>
      </c>
      <c r="CM122" s="17">
        <v>14</v>
      </c>
      <c r="CN122" s="17">
        <v>0</v>
      </c>
      <c r="CO122" s="17">
        <f t="shared" ca="1" si="106"/>
        <v>0</v>
      </c>
      <c r="CP122" s="17"/>
      <c r="CQ122" s="17">
        <f t="shared" ca="1" si="133"/>
        <v>25330.087500000001</v>
      </c>
      <c r="CR122" s="17">
        <v>0</v>
      </c>
      <c r="CS122" s="17">
        <f t="shared" ca="1" si="134"/>
        <v>0</v>
      </c>
      <c r="CT122" s="17" t="str">
        <f t="shared" si="131"/>
        <v>one-off</v>
      </c>
      <c r="CU122" s="17" t="str">
        <f t="shared" si="132"/>
        <v>Yes</v>
      </c>
      <c r="CV122" s="17">
        <f t="shared" ca="1" si="135"/>
        <v>1.0820000000000001</v>
      </c>
      <c r="CW122" s="17">
        <f t="shared" ca="1" si="136"/>
        <v>0</v>
      </c>
      <c r="CY122" s="657">
        <v>17</v>
      </c>
      <c r="CZ122" s="17" t="str">
        <f t="shared" si="124"/>
        <v>avelumab_plus_axitinib</v>
      </c>
      <c r="DA122" s="17">
        <f t="shared" si="125"/>
        <v>4</v>
      </c>
      <c r="DB122" s="17">
        <f t="shared" si="126"/>
        <v>1</v>
      </c>
      <c r="DC122" s="17" t="str">
        <f>"G3+ "&amp;$D$46</f>
        <v>G3+ Neutropenia</v>
      </c>
      <c r="DD122" s="17">
        <f t="shared" ca="1" si="127"/>
        <v>0</v>
      </c>
      <c r="DE122" s="956">
        <f t="shared" ca="1" si="128"/>
        <v>57.831250000000004</v>
      </c>
      <c r="DG122" s="1008">
        <f t="shared" si="129"/>
        <v>655.75</v>
      </c>
      <c r="DH122" s="1009">
        <f t="shared" si="130"/>
        <v>-0.1</v>
      </c>
      <c r="DI122" s="1007">
        <f t="shared" si="120"/>
        <v>3</v>
      </c>
    </row>
    <row r="123" spans="79:113" x14ac:dyDescent="0.2">
      <c r="CA123" s="17" t="str" cm="1">
        <f t="array" ref="CA123">INDEX(List_comparators,CB123+1)</f>
        <v>avelumab_plus_axitinib</v>
      </c>
      <c r="CB123" s="17">
        <v>4</v>
      </c>
      <c r="CC123" s="17">
        <v>1</v>
      </c>
      <c r="CD123" s="17"/>
      <c r="CE123" s="17"/>
      <c r="CF123" s="17"/>
      <c r="CG123" s="17"/>
      <c r="CH123" s="17"/>
      <c r="CI123" s="17"/>
      <c r="CJ123" s="17"/>
      <c r="CK123" s="17"/>
      <c r="CL123" s="17" t="str">
        <v>Lymphopenia</v>
      </c>
      <c r="CM123" s="17">
        <v>15</v>
      </c>
      <c r="CN123" s="17">
        <v>0</v>
      </c>
      <c r="CO123" s="17">
        <f t="shared" ca="1" si="106"/>
        <v>0</v>
      </c>
      <c r="CP123" s="17"/>
      <c r="CQ123" s="17">
        <f t="shared" ca="1" si="133"/>
        <v>25330.087500000001</v>
      </c>
      <c r="CR123" s="17">
        <v>0</v>
      </c>
      <c r="CS123" s="17">
        <f t="shared" ca="1" si="134"/>
        <v>0</v>
      </c>
      <c r="CT123" s="17" t="str">
        <f t="shared" si="131"/>
        <v>one-off</v>
      </c>
      <c r="CU123" s="17" t="str">
        <f t="shared" si="132"/>
        <v>Yes</v>
      </c>
      <c r="CV123" s="17">
        <f t="shared" ca="1" si="135"/>
        <v>1.0820000000000001</v>
      </c>
      <c r="CW123" s="17">
        <f t="shared" ca="1" si="136"/>
        <v>0</v>
      </c>
      <c r="CY123" s="657">
        <v>18</v>
      </c>
      <c r="CZ123" s="17" t="str">
        <f t="shared" si="124"/>
        <v>avelumab_plus_axitinib</v>
      </c>
      <c r="DA123" s="17">
        <f t="shared" si="125"/>
        <v>4</v>
      </c>
      <c r="DB123" s="17">
        <f t="shared" si="126"/>
        <v>1</v>
      </c>
      <c r="DC123" s="17" t="str">
        <f>"G3+ "&amp;$D$47</f>
        <v>G3+ Platelets count decreased</v>
      </c>
      <c r="DD123" s="17">
        <f t="shared" ca="1" si="127"/>
        <v>0</v>
      </c>
      <c r="DE123" s="956">
        <f t="shared" ca="1" si="128"/>
        <v>57.831250000000004</v>
      </c>
      <c r="DG123" s="1008">
        <f t="shared" si="129"/>
        <v>801.11</v>
      </c>
      <c r="DH123" s="1009">
        <f t="shared" si="130"/>
        <v>-0.1</v>
      </c>
      <c r="DI123" s="1007">
        <f t="shared" si="120"/>
        <v>3</v>
      </c>
    </row>
    <row r="124" spans="79:113" x14ac:dyDescent="0.2">
      <c r="CA124" s="17" t="str" cm="1">
        <f t="array" ref="CA124">INDEX(List_comparators,CB124+1)</f>
        <v>avelumab_plus_axitinib</v>
      </c>
      <c r="CB124" s="17">
        <v>4</v>
      </c>
      <c r="CC124" s="17">
        <v>1</v>
      </c>
      <c r="CD124" s="17"/>
      <c r="CE124" s="17"/>
      <c r="CF124" s="17"/>
      <c r="CG124" s="17"/>
      <c r="CH124" s="17"/>
      <c r="CI124" s="17"/>
      <c r="CJ124" s="17"/>
      <c r="CK124" s="17"/>
      <c r="CL124" s="17" t="str">
        <v>Nausea</v>
      </c>
      <c r="CM124" s="17">
        <v>16</v>
      </c>
      <c r="CN124" s="17">
        <v>0</v>
      </c>
      <c r="CO124" s="17">
        <f t="shared" ca="1" si="106"/>
        <v>0</v>
      </c>
      <c r="CP124" s="17"/>
      <c r="CQ124" s="17">
        <f t="shared" ca="1" si="133"/>
        <v>25330.087500000001</v>
      </c>
      <c r="CR124" s="17">
        <v>0</v>
      </c>
      <c r="CS124" s="17">
        <f t="shared" ca="1" si="134"/>
        <v>0</v>
      </c>
      <c r="CT124" s="17" t="str">
        <f t="shared" si="131"/>
        <v>one-off</v>
      </c>
      <c r="CU124" s="17" t="str">
        <f t="shared" si="132"/>
        <v>Yes</v>
      </c>
      <c r="CV124" s="17">
        <f t="shared" ca="1" si="135"/>
        <v>1.0820000000000001</v>
      </c>
      <c r="CW124" s="17">
        <f t="shared" ca="1" si="136"/>
        <v>0</v>
      </c>
      <c r="CY124" s="657">
        <v>19</v>
      </c>
      <c r="CZ124" s="17" t="str">
        <f t="shared" si="124"/>
        <v>avelumab_plus_axitinib</v>
      </c>
      <c r="DA124" s="17">
        <f t="shared" si="125"/>
        <v>4</v>
      </c>
      <c r="DB124" s="17">
        <f t="shared" si="126"/>
        <v>1</v>
      </c>
      <c r="DC124" s="17" t="str">
        <f>"G3+ "&amp;$D$48</f>
        <v>G3+ Proteinuria</v>
      </c>
      <c r="DD124" s="17">
        <f t="shared" ca="1" si="127"/>
        <v>0</v>
      </c>
      <c r="DE124" s="956">
        <f t="shared" ca="1" si="128"/>
        <v>57.831250000000004</v>
      </c>
      <c r="DG124" s="1008">
        <f t="shared" si="129"/>
        <v>220.87</v>
      </c>
      <c r="DH124" s="1009">
        <f t="shared" si="130"/>
        <v>-0.1</v>
      </c>
      <c r="DI124" s="1007">
        <f t="shared" si="120"/>
        <v>3</v>
      </c>
    </row>
    <row r="125" spans="79:113" x14ac:dyDescent="0.2">
      <c r="CA125" s="17" t="str" cm="1">
        <f t="array" ref="CA125">INDEX(List_comparators,CB125+1)</f>
        <v>avelumab_plus_axitinib</v>
      </c>
      <c r="CB125" s="17">
        <v>4</v>
      </c>
      <c r="CC125" s="17">
        <v>1</v>
      </c>
      <c r="CD125" s="17"/>
      <c r="CE125" s="17"/>
      <c r="CF125" s="17"/>
      <c r="CG125" s="17"/>
      <c r="CH125" s="17"/>
      <c r="CI125" s="17"/>
      <c r="CJ125" s="17"/>
      <c r="CK125" s="17"/>
      <c r="CL125" s="17" t="str">
        <v>Neutropenia</v>
      </c>
      <c r="CM125" s="17">
        <v>17</v>
      </c>
      <c r="CN125" s="17">
        <v>0</v>
      </c>
      <c r="CO125" s="17">
        <f t="shared" ca="1" si="106"/>
        <v>0</v>
      </c>
      <c r="CP125" s="17"/>
      <c r="CQ125" s="17">
        <f t="shared" ca="1" si="133"/>
        <v>25330.087500000001</v>
      </c>
      <c r="CR125" s="17">
        <v>0</v>
      </c>
      <c r="CS125" s="17">
        <f t="shared" ca="1" si="134"/>
        <v>0</v>
      </c>
      <c r="CT125" s="17" t="str">
        <f t="shared" si="131"/>
        <v>one-off</v>
      </c>
      <c r="CU125" s="17" t="str">
        <f t="shared" si="132"/>
        <v>Yes</v>
      </c>
      <c r="CV125" s="17">
        <f t="shared" ca="1" si="135"/>
        <v>1.0820000000000001</v>
      </c>
      <c r="CW125" s="17">
        <f t="shared" ca="1" si="136"/>
        <v>0</v>
      </c>
      <c r="CY125" s="657">
        <v>20</v>
      </c>
      <c r="CZ125" s="17" t="str">
        <f t="shared" si="124"/>
        <v>avelumab_plus_axitinib</v>
      </c>
      <c r="DA125" s="17">
        <f t="shared" si="125"/>
        <v>4</v>
      </c>
      <c r="DB125" s="17">
        <f t="shared" si="126"/>
        <v>1</v>
      </c>
      <c r="DC125" s="17" t="str">
        <f>"G3+ "&amp;$D$49</f>
        <v>G3+ Stomatitis</v>
      </c>
      <c r="DD125" s="17">
        <f t="shared" ca="1" si="127"/>
        <v>0</v>
      </c>
      <c r="DE125" s="956">
        <f t="shared" ca="1" si="128"/>
        <v>57.831250000000004</v>
      </c>
      <c r="DG125" s="1008">
        <f t="shared" si="129"/>
        <v>801.11</v>
      </c>
      <c r="DH125" s="1009">
        <f t="shared" si="130"/>
        <v>-0.1</v>
      </c>
      <c r="DI125" s="1007">
        <f t="shared" si="120"/>
        <v>3</v>
      </c>
    </row>
    <row r="126" spans="79:113" x14ac:dyDescent="0.2">
      <c r="CA126" s="17" t="str" cm="1">
        <f t="array" ref="CA126">INDEX(List_comparators,CB126+1)</f>
        <v>avelumab_plus_axitinib</v>
      </c>
      <c r="CB126" s="17">
        <v>4</v>
      </c>
      <c r="CC126" s="17">
        <v>1</v>
      </c>
      <c r="CD126" s="17"/>
      <c r="CE126" s="17"/>
      <c r="CF126" s="17"/>
      <c r="CG126" s="17"/>
      <c r="CH126" s="17"/>
      <c r="CI126" s="17"/>
      <c r="CJ126" s="17"/>
      <c r="CK126" s="17"/>
      <c r="CL126" s="17" t="str">
        <v>Platelets count decreased</v>
      </c>
      <c r="CM126" s="17">
        <v>18</v>
      </c>
      <c r="CN126" s="17">
        <v>0</v>
      </c>
      <c r="CO126" s="17">
        <f t="shared" ca="1" si="106"/>
        <v>0</v>
      </c>
      <c r="CP126" s="17"/>
      <c r="CQ126" s="17">
        <f t="shared" ca="1" si="133"/>
        <v>25330.087500000001</v>
      </c>
      <c r="CR126" s="17">
        <v>0</v>
      </c>
      <c r="CS126" s="17">
        <f t="shared" ca="1" si="134"/>
        <v>0</v>
      </c>
      <c r="CT126" s="17" t="str">
        <f t="shared" si="131"/>
        <v>one-off</v>
      </c>
      <c r="CU126" s="17" t="str">
        <f t="shared" si="132"/>
        <v>Yes</v>
      </c>
      <c r="CV126" s="17">
        <f t="shared" ca="1" si="135"/>
        <v>1.0820000000000001</v>
      </c>
      <c r="CW126" s="17">
        <f t="shared" ca="1" si="136"/>
        <v>0</v>
      </c>
      <c r="CY126" s="657">
        <v>21</v>
      </c>
      <c r="CZ126" s="17" t="str">
        <f t="shared" si="124"/>
        <v>avelumab_plus_axitinib</v>
      </c>
      <c r="DA126" s="17">
        <f t="shared" si="125"/>
        <v>4</v>
      </c>
      <c r="DB126" s="17">
        <f t="shared" si="126"/>
        <v>1</v>
      </c>
      <c r="DC126" s="17" t="str">
        <f>"G3+ "&amp;$D$50</f>
        <v>G3+ Vomiting</v>
      </c>
      <c r="DD126" s="17">
        <f t="shared" ca="1" si="127"/>
        <v>0</v>
      </c>
      <c r="DE126" s="956">
        <f t="shared" ca="1" si="128"/>
        <v>57.831250000000004</v>
      </c>
      <c r="DG126" s="1008">
        <f t="shared" si="129"/>
        <v>801.11</v>
      </c>
      <c r="DH126" s="1009">
        <f t="shared" si="130"/>
        <v>-0.1</v>
      </c>
      <c r="DI126" s="1007">
        <f t="shared" si="120"/>
        <v>3</v>
      </c>
    </row>
    <row r="127" spans="79:113" x14ac:dyDescent="0.2">
      <c r="CA127" s="17" t="str" cm="1">
        <f t="array" ref="CA127">INDEX(List_comparators,CB127+1)</f>
        <v>avelumab_plus_axitinib</v>
      </c>
      <c r="CB127" s="17">
        <v>4</v>
      </c>
      <c r="CC127" s="17">
        <v>1</v>
      </c>
      <c r="CD127" s="17"/>
      <c r="CE127" s="17"/>
      <c r="CF127" s="17"/>
      <c r="CG127" s="17"/>
      <c r="CH127" s="17"/>
      <c r="CI127" s="17"/>
      <c r="CJ127" s="17"/>
      <c r="CK127" s="17"/>
      <c r="CL127" s="17" t="str">
        <v>Proteinuria</v>
      </c>
      <c r="CM127" s="17">
        <v>19</v>
      </c>
      <c r="CN127" s="17">
        <v>0</v>
      </c>
      <c r="CO127" s="17">
        <f t="shared" ca="1" si="106"/>
        <v>0</v>
      </c>
      <c r="CP127" s="17"/>
      <c r="CQ127" s="17">
        <f t="shared" ca="1" si="133"/>
        <v>25330.087500000001</v>
      </c>
      <c r="CR127" s="17">
        <v>0</v>
      </c>
      <c r="CS127" s="17">
        <f t="shared" ca="1" si="134"/>
        <v>0</v>
      </c>
      <c r="CT127" s="17" t="str">
        <f t="shared" si="131"/>
        <v>one-off</v>
      </c>
      <c r="CU127" s="17" t="str">
        <f t="shared" si="132"/>
        <v>Yes</v>
      </c>
      <c r="CV127" s="17">
        <f t="shared" ca="1" si="135"/>
        <v>1.0820000000000001</v>
      </c>
      <c r="CW127" s="17">
        <f t="shared" ca="1" si="136"/>
        <v>0</v>
      </c>
      <c r="CY127" s="657">
        <v>22</v>
      </c>
      <c r="CZ127" s="17" t="str">
        <f t="shared" si="124"/>
        <v>avelumab_plus_axitinib</v>
      </c>
      <c r="DA127" s="17">
        <f t="shared" si="125"/>
        <v>4</v>
      </c>
      <c r="DB127" s="17">
        <f t="shared" si="126"/>
        <v>1</v>
      </c>
      <c r="DC127" s="17" t="str">
        <f>"G3+ "&amp;$D$51</f>
        <v>G3+ Weight loss</v>
      </c>
      <c r="DD127" s="17">
        <f t="shared" ca="1" si="127"/>
        <v>0</v>
      </c>
      <c r="DE127" s="956">
        <f t="shared" ca="1" si="128"/>
        <v>57.831250000000004</v>
      </c>
      <c r="DG127" s="1008">
        <f t="shared" si="129"/>
        <v>801.11</v>
      </c>
      <c r="DH127" s="1009">
        <f t="shared" si="130"/>
        <v>-0.1</v>
      </c>
      <c r="DI127" s="1007">
        <f t="shared" si="120"/>
        <v>3</v>
      </c>
    </row>
    <row r="128" spans="79:113" x14ac:dyDescent="0.2">
      <c r="CA128" s="17" t="str" cm="1">
        <f t="array" ref="CA128">INDEX(List_comparators,CB128+1)</f>
        <v>avelumab_plus_axitinib</v>
      </c>
      <c r="CB128" s="17">
        <v>4</v>
      </c>
      <c r="CC128" s="17">
        <v>1</v>
      </c>
      <c r="CD128" s="17"/>
      <c r="CE128" s="17"/>
      <c r="CF128" s="17"/>
      <c r="CG128" s="17"/>
      <c r="CH128" s="17"/>
      <c r="CI128" s="17"/>
      <c r="CJ128" s="17"/>
      <c r="CK128" s="17"/>
      <c r="CL128" s="17" t="str">
        <v>Stomatitis</v>
      </c>
      <c r="CM128" s="17">
        <v>20</v>
      </c>
      <c r="CN128" s="17">
        <v>0</v>
      </c>
      <c r="CO128" s="17">
        <f t="shared" ca="1" si="106"/>
        <v>0</v>
      </c>
      <c r="CP128" s="17"/>
      <c r="CQ128" s="17">
        <f t="shared" ca="1" si="133"/>
        <v>25330.087500000001</v>
      </c>
      <c r="CR128" s="17">
        <v>0</v>
      </c>
      <c r="CS128" s="17">
        <f t="shared" ca="1" si="134"/>
        <v>0</v>
      </c>
      <c r="CT128" s="17" t="str">
        <f t="shared" si="131"/>
        <v>one-off</v>
      </c>
      <c r="CU128" s="17" t="str">
        <f t="shared" si="132"/>
        <v>Yes</v>
      </c>
      <c r="CV128" s="17">
        <f t="shared" ca="1" si="135"/>
        <v>1.0820000000000001</v>
      </c>
      <c r="CW128" s="17">
        <f t="shared" ca="1" si="136"/>
        <v>0</v>
      </c>
      <c r="CY128" s="657">
        <v>1</v>
      </c>
      <c r="CZ128" s="17" t="str">
        <f t="shared" ref="CZ128:DB130" si="137">CA127</f>
        <v>avelumab_plus_axitinib</v>
      </c>
      <c r="DA128" s="17">
        <f t="shared" si="137"/>
        <v>4</v>
      </c>
      <c r="DB128" s="17">
        <f t="shared" si="137"/>
        <v>1</v>
      </c>
      <c r="DC128" s="17" t="str">
        <f>"G1&amp;2 "&amp;$D$18</f>
        <v>G1&amp;2 Diarrhoea</v>
      </c>
      <c r="DD128" s="17">
        <f ca="1">CHOOSE(i_AE_NMA_option_num,OFFSET($S$86,$CY128-1,$DA128),OFFSET($AG$18,$CY128-1,$DA128))</f>
        <v>2.4683974732381184E-2</v>
      </c>
      <c r="DE128" s="956">
        <f ca="1">OFFSET($S$18,$CY128-1,$DA128)/INDEX($DT$14:$DT$27,MATCH(DA128,$DR$14:$DR$27,0))</f>
        <v>57.831250000000004</v>
      </c>
      <c r="DG128" s="1008">
        <f t="shared" si="129"/>
        <v>220.87</v>
      </c>
      <c r="DH128" s="1009">
        <f t="shared" si="130"/>
        <v>-0.05</v>
      </c>
      <c r="DI128" s="1007">
        <f t="shared" si="120"/>
        <v>3</v>
      </c>
    </row>
    <row r="129" spans="79:113" ht="15.75" thickBot="1" x14ac:dyDescent="0.25">
      <c r="CA129" s="622" t="str" cm="1">
        <f t="array" ref="CA129">INDEX(List_comparators,CB129+1)</f>
        <v>avelumab_plus_axitinib</v>
      </c>
      <c r="CB129" s="622">
        <v>4</v>
      </c>
      <c r="CC129" s="622">
        <v>1</v>
      </c>
      <c r="CD129" s="622"/>
      <c r="CE129" s="622"/>
      <c r="CF129" s="622"/>
      <c r="CG129" s="622"/>
      <c r="CH129" s="622"/>
      <c r="CI129" s="622"/>
      <c r="CJ129" s="622"/>
      <c r="CK129" s="622"/>
      <c r="CL129" s="622" t="str">
        <v>Vomiting</v>
      </c>
      <c r="CM129" s="622">
        <v>21</v>
      </c>
      <c r="CN129" s="622">
        <v>0</v>
      </c>
      <c r="CO129" s="622">
        <f t="shared" ca="1" si="106"/>
        <v>0</v>
      </c>
      <c r="CP129" s="622"/>
      <c r="CQ129" s="622">
        <f t="shared" ca="1" si="133"/>
        <v>25330.087500000001</v>
      </c>
      <c r="CR129" s="622">
        <v>0</v>
      </c>
      <c r="CS129" s="622">
        <f t="shared" ca="1" si="134"/>
        <v>0</v>
      </c>
      <c r="CT129" s="622" t="str">
        <f t="shared" si="131"/>
        <v>one-off</v>
      </c>
      <c r="CU129" s="622" t="str">
        <f t="shared" si="132"/>
        <v>Yes</v>
      </c>
      <c r="CV129" s="622">
        <f t="shared" ca="1" si="135"/>
        <v>1.0820000000000001</v>
      </c>
      <c r="CW129" s="622">
        <f t="shared" ca="1" si="136"/>
        <v>0</v>
      </c>
      <c r="CY129" s="657">
        <v>2</v>
      </c>
      <c r="CZ129" s="17" t="str">
        <f t="shared" si="137"/>
        <v>avelumab_plus_axitinib</v>
      </c>
      <c r="DA129" s="17">
        <f t="shared" si="137"/>
        <v>4</v>
      </c>
      <c r="DB129" s="17">
        <f t="shared" si="137"/>
        <v>1</v>
      </c>
      <c r="DC129" s="17" t="str">
        <f>"G1&amp;2 "&amp;$D$19</f>
        <v>G1&amp;2 Fatigue</v>
      </c>
      <c r="DD129" s="17">
        <f ca="1">CHOOSE(i_AE_NMA_option_num,OFFSET($S$86,$CY129-1,$DA129),OFFSET($AG$18,$CY129-1,$DA129))</f>
        <v>7.4702444553875879E-3</v>
      </c>
      <c r="DE129" s="956">
        <f ca="1">OFFSET($S$18,$CY128-1,$DA129)/INDEX($DT$14:$DT$27,MATCH(DA129,$DR$14:$DR$27,0))</f>
        <v>57.831250000000004</v>
      </c>
      <c r="DG129" s="1008">
        <f t="shared" si="129"/>
        <v>441.74</v>
      </c>
      <c r="DH129" s="1009">
        <f t="shared" si="130"/>
        <v>-0.05</v>
      </c>
      <c r="DI129" s="1007">
        <f t="shared" si="120"/>
        <v>3</v>
      </c>
    </row>
    <row r="130" spans="79:113" ht="15.75" thickTop="1" x14ac:dyDescent="0.2">
      <c r="CA130" s="17"/>
      <c r="CB130" s="17"/>
      <c r="CC130" s="17"/>
      <c r="CD130" s="17"/>
      <c r="CE130" s="17"/>
      <c r="CF130" s="17"/>
      <c r="CG130" s="17"/>
      <c r="CH130" s="17"/>
      <c r="CI130" s="17"/>
      <c r="CJ130" s="17"/>
      <c r="CK130" s="17"/>
      <c r="CL130" s="17" t="str">
        <v>Weight loss</v>
      </c>
      <c r="CM130" s="17"/>
      <c r="CN130" s="17"/>
      <c r="CO130" s="17"/>
      <c r="CP130" s="17"/>
      <c r="CQ130" s="17"/>
      <c r="CR130" s="17"/>
      <c r="CS130" s="17"/>
      <c r="CT130" s="17"/>
      <c r="CU130" s="17"/>
      <c r="CV130" s="17"/>
      <c r="CW130" s="17"/>
      <c r="CY130" s="657">
        <v>3</v>
      </c>
      <c r="CZ130" s="17" t="str">
        <f t="shared" si="137"/>
        <v>avelumab_plus_axitinib</v>
      </c>
      <c r="DA130" s="17">
        <f t="shared" si="137"/>
        <v>4</v>
      </c>
      <c r="DB130" s="17">
        <f t="shared" si="137"/>
        <v>1</v>
      </c>
      <c r="DC130" s="17" t="str">
        <f>"G1&amp;2 "&amp;$D$20</f>
        <v>G1&amp;2 Palmar-plantar erythrodysaesthesia syndrome</v>
      </c>
      <c r="DD130" s="17">
        <f ca="1">CHOOSE(i_AE_NMA_option_num,OFFSET($S$86,$CY130-1,$DA130),OFFSET($AG$18,$CY130-1,$DA130))</f>
        <v>6.7507970725717553E-3</v>
      </c>
      <c r="DE130" s="956">
        <f ca="1">OFFSET($S$18,$CY129-1,$DA130)/INDEX($DT$14:$DT$27,MATCH(DA130,$DR$14:$DR$27,0))</f>
        <v>57.831250000000004</v>
      </c>
      <c r="DG130" s="1008">
        <f t="shared" si="129"/>
        <v>441.74</v>
      </c>
      <c r="DH130" s="1009">
        <f t="shared" si="130"/>
        <v>-0.05</v>
      </c>
      <c r="DI130" s="1007">
        <f t="shared" si="120"/>
        <v>3</v>
      </c>
    </row>
    <row r="131" spans="79:113" x14ac:dyDescent="0.2">
      <c r="CA131" s="17" t="str" cm="1">
        <f t="array" ref="CA131">INDEX(List_comparators,CB131+1)</f>
        <v>pazopanib</v>
      </c>
      <c r="CB131" s="17">
        <v>5</v>
      </c>
      <c r="CC131" s="17">
        <v>1</v>
      </c>
      <c r="CD131" s="17">
        <f ca="1">OFFSET($E$16,0,CB131)</f>
        <v>557</v>
      </c>
      <c r="CE131" s="17">
        <f ca="1">OFFSET($E$28,0,CB131)</f>
        <v>557</v>
      </c>
      <c r="CF131" s="17">
        <f ca="1">OFFSET($S$16,0,CB131)</f>
        <v>19375.642857142855</v>
      </c>
      <c r="CG131" s="17">
        <f ca="1">OFFSET($S$28,0,CB131)</f>
        <v>19375.642857142855</v>
      </c>
      <c r="CH131" s="17">
        <f ca="1">OFFSET($AG$16,0,CB131)</f>
        <v>2.8747433264887066E-2</v>
      </c>
      <c r="CI131" s="17">
        <f ca="1">OFFSET($AG$28,0,CB131)</f>
        <v>2.8747433264887066E-2</v>
      </c>
      <c r="CJ131" s="583">
        <f>$CJ$6</f>
        <v>3</v>
      </c>
      <c r="CK131" s="583">
        <f>$CK$6</f>
        <v>0.6</v>
      </c>
      <c r="CL131" s="17" t="str" cm="1">
        <f t="array" ref="CL131:CL133">List_AEs_all_grade</f>
        <v>Diarrhoea</v>
      </c>
      <c r="CM131" s="17">
        <v>1</v>
      </c>
      <c r="CN131" s="17">
        <f ca="1">OFFSET($E$18,$CM131-1,$CB131)</f>
        <v>348</v>
      </c>
      <c r="CO131" s="17">
        <f t="shared" ca="1" si="106"/>
        <v>96</v>
      </c>
      <c r="CP131" s="17">
        <f ca="1">OFFSET($S$18,$CM131-1,$CB131)</f>
        <v>19375.642857142855</v>
      </c>
      <c r="CQ131" s="17">
        <v>0</v>
      </c>
      <c r="CR131" s="17">
        <f ca="1">OFFSET($AG$18,$CM131-1,$CB131)</f>
        <v>1.5431746043449253E-2</v>
      </c>
      <c r="CS131" s="17">
        <v>0</v>
      </c>
      <c r="CT131" s="17" t="str">
        <f>dd_apply_AE_options</f>
        <v>one-off</v>
      </c>
      <c r="CU131" s="17" t="str">
        <f>$CU$6</f>
        <v>Yes</v>
      </c>
      <c r="CV131" s="17">
        <f ca="1">OFFSET($E$86,$CM131-1,$CB131)</f>
        <v>1.1399999999999999</v>
      </c>
      <c r="CW131" s="17">
        <f ca="1">OFFSET($S$86,$CM131-1,$CB131)</f>
        <v>1.7592190489532148E-2</v>
      </c>
      <c r="CY131" s="657">
        <v>1</v>
      </c>
      <c r="CZ131" s="17" t="str">
        <f t="shared" ref="CZ131:CZ152" si="138">CA131</f>
        <v>pazopanib</v>
      </c>
      <c r="DA131" s="17">
        <f t="shared" ref="DA131:DA152" si="139">CB131</f>
        <v>5</v>
      </c>
      <c r="DB131" s="17">
        <f t="shared" ref="DB131:DB152" si="140">CC131</f>
        <v>1</v>
      </c>
      <c r="DC131" s="17" t="str">
        <f>"G3+ "&amp;$D$30</f>
        <v>G3+ ALT increased</v>
      </c>
      <c r="DD131" s="17">
        <f t="shared" ref="DD131:DD152" ca="1" si="141">CHOOSE(i_AE_NMA_option_num,OFFSET($S$63,$CY131-1,$DA131),OFFSET($AG$30,$CY131-1,$DA131))</f>
        <v>0</v>
      </c>
      <c r="DE131" s="956">
        <f t="shared" ref="DE131:DE152" ca="1" si="142">OFFSET($S$30,$CY131-1,$DA131)/INDEX($DS$14:$DS$27,MATCH(DA131,$DR$14:$DR$27,0))</f>
        <v>34.785714285714285</v>
      </c>
      <c r="DG131" s="1008">
        <f>$DG106</f>
        <v>0</v>
      </c>
      <c r="DH131" s="1009">
        <f>$DH106</f>
        <v>-0.1</v>
      </c>
      <c r="DI131" s="1007">
        <f t="shared" si="120"/>
        <v>3</v>
      </c>
    </row>
    <row r="132" spans="79:113" x14ac:dyDescent="0.2">
      <c r="CA132" s="17" t="str" cm="1">
        <f t="array" ref="CA132">INDEX(List_comparators,CB132+1)</f>
        <v>pazopanib</v>
      </c>
      <c r="CB132" s="17">
        <v>5</v>
      </c>
      <c r="CC132" s="17">
        <v>1</v>
      </c>
      <c r="CD132" s="17"/>
      <c r="CE132" s="17"/>
      <c r="CF132" s="17"/>
      <c r="CG132" s="17"/>
      <c r="CH132" s="17"/>
      <c r="CI132" s="17"/>
      <c r="CJ132" s="17"/>
      <c r="CK132" s="17"/>
      <c r="CL132" s="17" t="str">
        <v>Fatigue</v>
      </c>
      <c r="CM132" s="17">
        <v>2</v>
      </c>
      <c r="CN132" s="17">
        <f ca="1">OFFSET($E$18,$CM132-1,$CB132)</f>
        <v>302</v>
      </c>
      <c r="CO132" s="17">
        <f t="shared" ca="1" si="106"/>
        <v>0</v>
      </c>
      <c r="CP132" s="17">
        <f ca="1">OFFSET($S$18,$CM132-1,$CB132)</f>
        <v>19375.642857142855</v>
      </c>
      <c r="CQ132" s="17">
        <v>0</v>
      </c>
      <c r="CR132" s="17">
        <f ca="1">OFFSET($AG$18,$CM132-1,$CB132)</f>
        <v>1.2541519359726314E-2</v>
      </c>
      <c r="CS132" s="17">
        <v>0</v>
      </c>
      <c r="CT132" s="17" t="str">
        <f>$CT$6</f>
        <v>one-off</v>
      </c>
      <c r="CU132" s="17" t="str">
        <f>$CU$6</f>
        <v>Yes</v>
      </c>
      <c r="CV132" s="17">
        <f ca="1">OFFSET($E$86,$CM132-1,$CB132)</f>
        <v>0.63</v>
      </c>
      <c r="CW132" s="17">
        <f ca="1">OFFSET($S$86,$CM132-1,$CB132)</f>
        <v>7.9011571966275777E-3</v>
      </c>
      <c r="CY132" s="657">
        <v>2</v>
      </c>
      <c r="CZ132" s="17" t="str">
        <f t="shared" si="138"/>
        <v>pazopanib</v>
      </c>
      <c r="DA132" s="17">
        <f t="shared" si="139"/>
        <v>5</v>
      </c>
      <c r="DB132" s="17">
        <f t="shared" si="140"/>
        <v>1</v>
      </c>
      <c r="DC132" s="17" t="str">
        <f>"G3+ "&amp;$D$31</f>
        <v>G3+ Anaemia</v>
      </c>
      <c r="DD132" s="17">
        <f t="shared" ca="1" si="141"/>
        <v>0</v>
      </c>
      <c r="DE132" s="956">
        <f t="shared" ca="1" si="142"/>
        <v>34.785714285714285</v>
      </c>
      <c r="DG132" s="1008">
        <f t="shared" ref="DG132:DG155" si="143">$DG107</f>
        <v>655.75</v>
      </c>
      <c r="DH132" s="1009">
        <f t="shared" ref="DH132:DH155" si="144">$DH107</f>
        <v>-0.1</v>
      </c>
      <c r="DI132" s="1007">
        <f t="shared" si="120"/>
        <v>3</v>
      </c>
    </row>
    <row r="133" spans="79:113" ht="15.75" thickBot="1" x14ac:dyDescent="0.25">
      <c r="CA133" s="19" t="str" cm="1">
        <f t="array" ref="CA133">INDEX(List_comparators,CB133+1)</f>
        <v>pazopanib</v>
      </c>
      <c r="CB133" s="19">
        <v>5</v>
      </c>
      <c r="CC133" s="19">
        <v>1</v>
      </c>
      <c r="CD133" s="19"/>
      <c r="CE133" s="19"/>
      <c r="CF133" s="19"/>
      <c r="CG133" s="19"/>
      <c r="CH133" s="19"/>
      <c r="CI133" s="19"/>
      <c r="CJ133" s="19"/>
      <c r="CK133" s="19"/>
      <c r="CL133" s="19" t="str">
        <v>Palmar-plantar erythrodysaesthesia syndrome</v>
      </c>
      <c r="CM133" s="19">
        <v>3</v>
      </c>
      <c r="CN133" s="19">
        <f ca="1">OFFSET($E$18,$CM133-1,$CB133)</f>
        <v>163</v>
      </c>
      <c r="CO133" s="19">
        <f t="shared" ca="1" si="106"/>
        <v>0</v>
      </c>
      <c r="CP133" s="19">
        <f ca="1">OFFSET($S$18,$CM133-1,$CB133)</f>
        <v>19375.642857142855</v>
      </c>
      <c r="CQ133" s="19">
        <v>0</v>
      </c>
      <c r="CR133" s="19">
        <f ca="1">OFFSET($AG$18,$CM133-1,$CB133)</f>
        <v>6.7610659922804411E-3</v>
      </c>
      <c r="CS133" s="19">
        <v>0</v>
      </c>
      <c r="CT133" s="19" t="str">
        <f t="shared" ref="CT133:CT154" si="145">$CT$6</f>
        <v>one-off</v>
      </c>
      <c r="CU133" s="19" t="str">
        <f t="shared" ref="CU133:CU154" si="146">$CU$6</f>
        <v>Yes</v>
      </c>
      <c r="CV133" s="19">
        <f ca="1">OFFSET($E$86,$CM133-1,$CB133)</f>
        <v>0.48</v>
      </c>
      <c r="CW133" s="19">
        <f ca="1">OFFSET($S$86,$CM133-1,$CB133)</f>
        <v>3.2453116762946117E-3</v>
      </c>
      <c r="CY133" s="657">
        <v>3</v>
      </c>
      <c r="CZ133" s="17" t="str">
        <f t="shared" si="138"/>
        <v>pazopanib</v>
      </c>
      <c r="DA133" s="17">
        <f t="shared" si="139"/>
        <v>5</v>
      </c>
      <c r="DB133" s="17">
        <f t="shared" si="140"/>
        <v>1</v>
      </c>
      <c r="DC133" s="17" t="str">
        <f>"G3+ "&amp;$D$32</f>
        <v>G3+ Decreased appetite</v>
      </c>
      <c r="DD133" s="17">
        <f t="shared" ca="1" si="141"/>
        <v>0</v>
      </c>
      <c r="DE133" s="956">
        <f t="shared" ca="1" si="142"/>
        <v>34.785714285714285</v>
      </c>
      <c r="DG133" s="1008">
        <f t="shared" si="143"/>
        <v>0</v>
      </c>
      <c r="DH133" s="1009">
        <f t="shared" si="144"/>
        <v>-0.1</v>
      </c>
      <c r="DI133" s="1007">
        <f t="shared" si="120"/>
        <v>3</v>
      </c>
    </row>
    <row r="134" spans="79:113" x14ac:dyDescent="0.2">
      <c r="CA134" s="17" t="str" cm="1">
        <f t="array" ref="CA134">INDEX(List_comparators,CB134+1)</f>
        <v>pazopanib</v>
      </c>
      <c r="CB134" s="17">
        <v>5</v>
      </c>
      <c r="CC134" s="17">
        <v>1</v>
      </c>
      <c r="CD134" s="17"/>
      <c r="CE134" s="17"/>
      <c r="CF134" s="17"/>
      <c r="CG134" s="17"/>
      <c r="CH134" s="17"/>
      <c r="CI134" s="17"/>
      <c r="CJ134" s="17"/>
      <c r="CK134" s="17"/>
      <c r="CL134" s="252" t="str" cm="1">
        <f t="array" ref="CL134:CL155">List_AEs_g3</f>
        <v>ALT increased</v>
      </c>
      <c r="CM134" s="252">
        <v>1</v>
      </c>
      <c r="CN134" s="252">
        <v>0</v>
      </c>
      <c r="CO134" s="252">
        <f t="shared" ca="1" si="106"/>
        <v>96</v>
      </c>
      <c r="CP134" s="252"/>
      <c r="CQ134" s="252">
        <f t="shared" ref="CQ134:CQ154" ca="1" si="147">OFFSET($S$30,$CM134-1,$CB134)</f>
        <v>19375.642857142855</v>
      </c>
      <c r="CR134" s="252">
        <v>0</v>
      </c>
      <c r="CS134" s="252">
        <f t="shared" ref="CS134:CS154" ca="1" si="148">OFFSET($AG$30,$CM134-1,$CB134)</f>
        <v>4.9546743149536058E-3</v>
      </c>
      <c r="CT134" s="252" t="str">
        <f t="shared" si="145"/>
        <v>one-off</v>
      </c>
      <c r="CU134" s="252" t="str">
        <f t="shared" si="146"/>
        <v>Yes</v>
      </c>
      <c r="CV134" s="252">
        <f ca="1">OFFSET($E$63,$CM134-1,$CB134)</f>
        <v>1.034</v>
      </c>
      <c r="CW134" s="252">
        <f ca="1">OFFSET($S$63,$CM134-1,$CB134)</f>
        <v>0</v>
      </c>
      <c r="CY134" s="657">
        <v>4</v>
      </c>
      <c r="CZ134" s="17" t="str">
        <f t="shared" si="138"/>
        <v>pazopanib</v>
      </c>
      <c r="DA134" s="17">
        <f t="shared" si="139"/>
        <v>5</v>
      </c>
      <c r="DB134" s="17">
        <f t="shared" si="140"/>
        <v>1</v>
      </c>
      <c r="DC134" s="17" t="str">
        <f>"G3+ "&amp;$D$33</f>
        <v>G3+ Diarrhoea _TKI induced</v>
      </c>
      <c r="DD134" s="17">
        <f t="shared" ca="1" si="141"/>
        <v>2.3379092356320516E-3</v>
      </c>
      <c r="DE134" s="956">
        <f t="shared" ca="1" si="142"/>
        <v>34.785714285714285</v>
      </c>
      <c r="DG134" s="1008">
        <f t="shared" si="143"/>
        <v>827.18</v>
      </c>
      <c r="DH134" s="1009">
        <f t="shared" si="144"/>
        <v>-0.1</v>
      </c>
      <c r="DI134" s="1007">
        <f t="shared" si="120"/>
        <v>3</v>
      </c>
    </row>
    <row r="135" spans="79:113" x14ac:dyDescent="0.2">
      <c r="CA135" s="17" t="str" cm="1">
        <f t="array" ref="CA135">INDEX(List_comparators,CB135+1)</f>
        <v>pazopanib</v>
      </c>
      <c r="CB135" s="17">
        <v>5</v>
      </c>
      <c r="CC135" s="17">
        <v>1</v>
      </c>
      <c r="CD135" s="17"/>
      <c r="CE135" s="17"/>
      <c r="CF135" s="17"/>
      <c r="CG135" s="17"/>
      <c r="CH135" s="17"/>
      <c r="CI135" s="17"/>
      <c r="CJ135" s="17"/>
      <c r="CK135" s="17"/>
      <c r="CL135" s="17" t="str">
        <v>Anaemia</v>
      </c>
      <c r="CM135" s="17">
        <v>2</v>
      </c>
      <c r="CN135" s="17">
        <v>0</v>
      </c>
      <c r="CO135" s="17">
        <f t="shared" ca="1" si="106"/>
        <v>0</v>
      </c>
      <c r="CP135" s="17"/>
      <c r="CQ135" s="17">
        <f t="shared" ca="1" si="147"/>
        <v>19375.642857142855</v>
      </c>
      <c r="CR135" s="17">
        <v>0</v>
      </c>
      <c r="CS135" s="17">
        <f t="shared" ca="1" si="148"/>
        <v>0</v>
      </c>
      <c r="CT135" s="17" t="str">
        <f t="shared" si="145"/>
        <v>one-off</v>
      </c>
      <c r="CU135" s="17" t="str">
        <f t="shared" si="146"/>
        <v>Yes</v>
      </c>
      <c r="CV135" s="17">
        <f t="shared" ref="CV135:CV154" ca="1" si="149">OFFSET($E$63,$CM135-1,$CB135)</f>
        <v>1.034</v>
      </c>
      <c r="CW135" s="17">
        <f t="shared" ref="CW135:CW154" ca="1" si="150">OFFSET($S$63,$CM135-1,$CB135)</f>
        <v>0</v>
      </c>
      <c r="CY135" s="657">
        <v>5</v>
      </c>
      <c r="CZ135" s="17" t="str">
        <f t="shared" si="138"/>
        <v>pazopanib</v>
      </c>
      <c r="DA135" s="17">
        <f t="shared" si="139"/>
        <v>5</v>
      </c>
      <c r="DB135" s="17">
        <f t="shared" si="140"/>
        <v>1</v>
      </c>
      <c r="DC135" s="17" t="str">
        <f>"G3+ "&amp;$D$34</f>
        <v>G3+ Diarrhoea _IO induced</v>
      </c>
      <c r="DD135" s="17">
        <f t="shared" ca="1" si="141"/>
        <v>0</v>
      </c>
      <c r="DE135" s="956">
        <f t="shared" ca="1" si="142"/>
        <v>34.785714285714285</v>
      </c>
      <c r="DG135" s="1008">
        <f t="shared" si="143"/>
        <v>4321.12</v>
      </c>
      <c r="DH135" s="1009">
        <f t="shared" si="144"/>
        <v>-0.1</v>
      </c>
      <c r="DI135" s="1007">
        <f t="shared" si="120"/>
        <v>3</v>
      </c>
    </row>
    <row r="136" spans="79:113" x14ac:dyDescent="0.2">
      <c r="CA136" s="17" t="str" cm="1">
        <f t="array" ref="CA136">INDEX(List_comparators,CB136+1)</f>
        <v>pazopanib</v>
      </c>
      <c r="CB136" s="17">
        <v>5</v>
      </c>
      <c r="CC136" s="17">
        <v>1</v>
      </c>
      <c r="CD136" s="17"/>
      <c r="CE136" s="17"/>
      <c r="CF136" s="17"/>
      <c r="CG136" s="17"/>
      <c r="CH136" s="17"/>
      <c r="CI136" s="17"/>
      <c r="CJ136" s="17"/>
      <c r="CK136" s="17"/>
      <c r="CL136" s="17" t="str">
        <v>Decreased appetite</v>
      </c>
      <c r="CM136" s="17">
        <v>3</v>
      </c>
      <c r="CN136" s="17">
        <v>0</v>
      </c>
      <c r="CO136" s="17">
        <f t="shared" ca="1" si="106"/>
        <v>0</v>
      </c>
      <c r="CP136" s="17"/>
      <c r="CQ136" s="17">
        <f t="shared" ca="1" si="147"/>
        <v>19375.642857142855</v>
      </c>
      <c r="CR136" s="17">
        <v>0</v>
      </c>
      <c r="CS136" s="17">
        <f t="shared" ca="1" si="148"/>
        <v>0</v>
      </c>
      <c r="CT136" s="17" t="str">
        <f t="shared" si="145"/>
        <v>one-off</v>
      </c>
      <c r="CU136" s="17" t="str">
        <f t="shared" si="146"/>
        <v>Yes</v>
      </c>
      <c r="CV136" s="17">
        <f t="shared" ca="1" si="149"/>
        <v>1.034</v>
      </c>
      <c r="CW136" s="17">
        <f t="shared" ca="1" si="150"/>
        <v>0</v>
      </c>
      <c r="CY136" s="657">
        <v>6</v>
      </c>
      <c r="CZ136" s="17" t="str">
        <f t="shared" si="138"/>
        <v>pazopanib</v>
      </c>
      <c r="DA136" s="17">
        <f t="shared" si="139"/>
        <v>5</v>
      </c>
      <c r="DB136" s="17">
        <f t="shared" si="140"/>
        <v>1</v>
      </c>
      <c r="DC136" s="17" t="str">
        <f>"G3+ "&amp;$D$35</f>
        <v>G3+ Fatigue</v>
      </c>
      <c r="DD136" s="17">
        <f t="shared" ca="1" si="141"/>
        <v>9.1846434256973454E-4</v>
      </c>
      <c r="DE136" s="956">
        <f t="shared" ca="1" si="142"/>
        <v>34.785714285714285</v>
      </c>
      <c r="DG136" s="1008">
        <f t="shared" si="143"/>
        <v>662.61</v>
      </c>
      <c r="DH136" s="1009">
        <f t="shared" si="144"/>
        <v>-0.1</v>
      </c>
      <c r="DI136" s="1007">
        <f t="shared" si="120"/>
        <v>3</v>
      </c>
    </row>
    <row r="137" spans="79:113" x14ac:dyDescent="0.2">
      <c r="CA137" s="17" t="str" cm="1">
        <f t="array" ref="CA137">INDEX(List_comparators,CB137+1)</f>
        <v>pazopanib</v>
      </c>
      <c r="CB137" s="17">
        <v>5</v>
      </c>
      <c r="CC137" s="17">
        <v>1</v>
      </c>
      <c r="CD137" s="17"/>
      <c r="CE137" s="17"/>
      <c r="CF137" s="17"/>
      <c r="CG137" s="17"/>
      <c r="CH137" s="17"/>
      <c r="CI137" s="17"/>
      <c r="CJ137" s="17"/>
      <c r="CK137" s="17"/>
      <c r="CL137" s="17" t="str">
        <v>Diarrhoea _TKI induced</v>
      </c>
      <c r="CM137" s="17">
        <v>4</v>
      </c>
      <c r="CN137" s="17">
        <v>0</v>
      </c>
      <c r="CO137" s="17">
        <f t="shared" ca="1" si="106"/>
        <v>49</v>
      </c>
      <c r="CP137" s="17"/>
      <c r="CQ137" s="17">
        <f t="shared" ca="1" si="147"/>
        <v>19375.642857142855</v>
      </c>
      <c r="CR137" s="17">
        <v>0</v>
      </c>
      <c r="CS137" s="17">
        <f t="shared" ca="1" si="148"/>
        <v>2.5289483482575695E-3</v>
      </c>
      <c r="CT137" s="17" t="str">
        <f t="shared" si="145"/>
        <v>one-off</v>
      </c>
      <c r="CU137" s="17" t="str">
        <f t="shared" si="146"/>
        <v>Yes</v>
      </c>
      <c r="CV137" s="17">
        <f t="shared" ca="1" si="149"/>
        <v>1.034</v>
      </c>
      <c r="CW137" s="17">
        <f t="shared" ca="1" si="150"/>
        <v>2.3379092356320516E-3</v>
      </c>
      <c r="CY137" s="657">
        <v>7</v>
      </c>
      <c r="CZ137" s="17" t="str">
        <f t="shared" si="138"/>
        <v>pazopanib</v>
      </c>
      <c r="DA137" s="17">
        <f t="shared" si="139"/>
        <v>5</v>
      </c>
      <c r="DB137" s="17">
        <f t="shared" si="140"/>
        <v>1</v>
      </c>
      <c r="DC137" s="17" t="str">
        <f>"G3+ "&amp;$D$36</f>
        <v>G3+ HFS</v>
      </c>
      <c r="DD137" s="17">
        <f t="shared" ca="1" si="141"/>
        <v>2.1709157188011903E-3</v>
      </c>
      <c r="DE137" s="956">
        <f t="shared" ca="1" si="142"/>
        <v>34.785714285714285</v>
      </c>
      <c r="DG137" s="1008">
        <f t="shared" si="143"/>
        <v>621.42499999999995</v>
      </c>
      <c r="DH137" s="1009">
        <f t="shared" si="144"/>
        <v>-0.1</v>
      </c>
      <c r="DI137" s="1007">
        <f t="shared" si="120"/>
        <v>3</v>
      </c>
    </row>
    <row r="138" spans="79:113" x14ac:dyDescent="0.2">
      <c r="CA138" s="17" t="str" cm="1">
        <f t="array" ref="CA138">INDEX(List_comparators,CB138+1)</f>
        <v>pazopanib</v>
      </c>
      <c r="CB138" s="17">
        <v>5</v>
      </c>
      <c r="CC138" s="17">
        <v>1</v>
      </c>
      <c r="CD138" s="17"/>
      <c r="CE138" s="17"/>
      <c r="CF138" s="17"/>
      <c r="CG138" s="17"/>
      <c r="CH138" s="17"/>
      <c r="CI138" s="17"/>
      <c r="CJ138" s="17"/>
      <c r="CK138" s="17"/>
      <c r="CL138" s="17" t="str">
        <v>Diarrhoea _IO induced</v>
      </c>
      <c r="CM138" s="17">
        <v>5</v>
      </c>
      <c r="CN138" s="17">
        <v>0</v>
      </c>
      <c r="CO138" s="17">
        <f t="shared" ca="1" si="106"/>
        <v>0</v>
      </c>
      <c r="CP138" s="17"/>
      <c r="CQ138" s="17">
        <f t="shared" ca="1" si="147"/>
        <v>19375.642857142855</v>
      </c>
      <c r="CR138" s="17">
        <v>0</v>
      </c>
      <c r="CS138" s="17">
        <f t="shared" ca="1" si="148"/>
        <v>0</v>
      </c>
      <c r="CT138" s="17" t="str">
        <f t="shared" si="145"/>
        <v>one-off</v>
      </c>
      <c r="CU138" s="17" t="str">
        <f t="shared" si="146"/>
        <v>Yes</v>
      </c>
      <c r="CV138" s="17">
        <f t="shared" ca="1" si="149"/>
        <v>1.034</v>
      </c>
      <c r="CW138" s="17">
        <f t="shared" ca="1" si="150"/>
        <v>0</v>
      </c>
      <c r="CY138" s="657">
        <v>8</v>
      </c>
      <c r="CZ138" s="17" t="str">
        <f t="shared" si="138"/>
        <v>pazopanib</v>
      </c>
      <c r="DA138" s="17">
        <f t="shared" si="139"/>
        <v>5</v>
      </c>
      <c r="DB138" s="17">
        <f t="shared" si="140"/>
        <v>1</v>
      </c>
      <c r="DC138" s="17" t="str">
        <f>"G3+ "&amp;$D$37</f>
        <v>G3+ Hypertension</v>
      </c>
      <c r="DD138" s="17">
        <f t="shared" ca="1" si="141"/>
        <v>3.2563735782017854E-3</v>
      </c>
      <c r="DE138" s="956">
        <f t="shared" ca="1" si="142"/>
        <v>34.785714285714285</v>
      </c>
      <c r="DG138" s="1008">
        <f t="shared" si="143"/>
        <v>424.6</v>
      </c>
      <c r="DH138" s="1009">
        <f t="shared" si="144"/>
        <v>-0.1</v>
      </c>
      <c r="DI138" s="1007">
        <f t="shared" si="120"/>
        <v>3</v>
      </c>
    </row>
    <row r="139" spans="79:113" x14ac:dyDescent="0.2">
      <c r="CA139" s="17" t="str" cm="1">
        <f t="array" ref="CA139">INDEX(List_comparators,CB139+1)</f>
        <v>pazopanib</v>
      </c>
      <c r="CB139" s="17">
        <v>5</v>
      </c>
      <c r="CC139" s="17">
        <v>1</v>
      </c>
      <c r="CD139" s="17"/>
      <c r="CE139" s="17"/>
      <c r="CF139" s="17"/>
      <c r="CG139" s="17"/>
      <c r="CH139" s="17"/>
      <c r="CI139" s="17"/>
      <c r="CJ139" s="17"/>
      <c r="CK139" s="17"/>
      <c r="CL139" s="17" t="str">
        <v>Fatigue</v>
      </c>
      <c r="CM139" s="17">
        <v>6</v>
      </c>
      <c r="CN139" s="17">
        <v>0</v>
      </c>
      <c r="CO139" s="17">
        <f t="shared" ca="1" si="106"/>
        <v>59</v>
      </c>
      <c r="CP139" s="17"/>
      <c r="CQ139" s="17">
        <f t="shared" ca="1" si="147"/>
        <v>19375.642857142855</v>
      </c>
      <c r="CR139" s="17">
        <v>0</v>
      </c>
      <c r="CS139" s="17">
        <f t="shared" ca="1" si="148"/>
        <v>3.0450602560652368E-3</v>
      </c>
      <c r="CT139" s="17" t="str">
        <f t="shared" si="145"/>
        <v>one-off</v>
      </c>
      <c r="CU139" s="17" t="str">
        <f t="shared" si="146"/>
        <v>Yes</v>
      </c>
      <c r="CV139" s="17">
        <f t="shared" ca="1" si="149"/>
        <v>1.034</v>
      </c>
      <c r="CW139" s="17">
        <f t="shared" ca="1" si="150"/>
        <v>9.1846434256973454E-4</v>
      </c>
      <c r="CY139" s="657">
        <v>9</v>
      </c>
      <c r="CZ139" s="17" t="str">
        <f t="shared" si="138"/>
        <v>pazopanib</v>
      </c>
      <c r="DA139" s="17">
        <f t="shared" si="139"/>
        <v>5</v>
      </c>
      <c r="DB139" s="17">
        <f t="shared" si="140"/>
        <v>1</v>
      </c>
      <c r="DC139" s="17" t="str">
        <f>"G3+ "&amp;$D$38</f>
        <v>G3+ Hypertriglyceridemia</v>
      </c>
      <c r="DD139" s="17">
        <f t="shared" ca="1" si="141"/>
        <v>0</v>
      </c>
      <c r="DE139" s="956">
        <f t="shared" ca="1" si="142"/>
        <v>34.785714285714285</v>
      </c>
      <c r="DG139" s="1008">
        <f t="shared" si="143"/>
        <v>0</v>
      </c>
      <c r="DH139" s="1009">
        <f t="shared" si="144"/>
        <v>-0.1</v>
      </c>
      <c r="DI139" s="1007">
        <f t="shared" si="120"/>
        <v>3</v>
      </c>
    </row>
    <row r="140" spans="79:113" x14ac:dyDescent="0.2">
      <c r="CA140" s="17" t="str" cm="1">
        <f t="array" ref="CA140">INDEX(List_comparators,CB140+1)</f>
        <v>pazopanib</v>
      </c>
      <c r="CB140" s="17">
        <v>5</v>
      </c>
      <c r="CC140" s="17">
        <v>1</v>
      </c>
      <c r="CD140" s="17"/>
      <c r="CE140" s="17"/>
      <c r="CF140" s="17"/>
      <c r="CG140" s="17"/>
      <c r="CH140" s="17"/>
      <c r="CI140" s="17"/>
      <c r="CJ140" s="17"/>
      <c r="CK140" s="17"/>
      <c r="CL140" s="17" t="str">
        <v>HFS</v>
      </c>
      <c r="CM140" s="17">
        <v>7</v>
      </c>
      <c r="CN140" s="17">
        <v>0</v>
      </c>
      <c r="CO140" s="17">
        <f t="shared" ca="1" si="106"/>
        <v>32</v>
      </c>
      <c r="CP140" s="17"/>
      <c r="CQ140" s="17">
        <f t="shared" ca="1" si="147"/>
        <v>19375.642857142855</v>
      </c>
      <c r="CR140" s="17">
        <v>0</v>
      </c>
      <c r="CS140" s="17">
        <f t="shared" ca="1" si="148"/>
        <v>1.6515581049845352E-3</v>
      </c>
      <c r="CT140" s="17" t="str">
        <f t="shared" si="145"/>
        <v>one-off</v>
      </c>
      <c r="CU140" s="17" t="str">
        <f t="shared" si="146"/>
        <v>Yes</v>
      </c>
      <c r="CV140" s="17">
        <f t="shared" ca="1" si="149"/>
        <v>1.034</v>
      </c>
      <c r="CW140" s="17">
        <f t="shared" ca="1" si="150"/>
        <v>2.1709157188011903E-3</v>
      </c>
      <c r="CY140" s="657">
        <v>10</v>
      </c>
      <c r="CZ140" s="17" t="str">
        <f t="shared" si="138"/>
        <v>pazopanib</v>
      </c>
      <c r="DA140" s="17">
        <f t="shared" si="139"/>
        <v>5</v>
      </c>
      <c r="DB140" s="17">
        <f t="shared" si="140"/>
        <v>1</v>
      </c>
      <c r="DC140" s="17" t="str">
        <f>"G3+ "&amp;$D$39</f>
        <v>G3+ Hyponatraemia</v>
      </c>
      <c r="DD140" s="17">
        <f t="shared" ca="1" si="141"/>
        <v>1.0854578594005951E-3</v>
      </c>
      <c r="DE140" s="956">
        <f t="shared" ca="1" si="142"/>
        <v>34.785714285714285</v>
      </c>
      <c r="DG140" s="1008">
        <f t="shared" si="143"/>
        <v>574.71</v>
      </c>
      <c r="DH140" s="1009">
        <f t="shared" si="144"/>
        <v>-0.1</v>
      </c>
      <c r="DI140" s="1007">
        <f t="shared" si="120"/>
        <v>3</v>
      </c>
    </row>
    <row r="141" spans="79:113" x14ac:dyDescent="0.2">
      <c r="CA141" s="17" t="str" cm="1">
        <f t="array" ref="CA141">INDEX(List_comparators,CB141+1)</f>
        <v>pazopanib</v>
      </c>
      <c r="CB141" s="17">
        <v>5</v>
      </c>
      <c r="CC141" s="17">
        <v>1</v>
      </c>
      <c r="CD141" s="17"/>
      <c r="CE141" s="17"/>
      <c r="CF141" s="17"/>
      <c r="CG141" s="17"/>
      <c r="CH141" s="17"/>
      <c r="CI141" s="17"/>
      <c r="CJ141" s="17"/>
      <c r="CK141" s="17"/>
      <c r="CL141" s="17" t="str">
        <v>Hypertension</v>
      </c>
      <c r="CM141" s="17">
        <v>8</v>
      </c>
      <c r="CN141" s="17">
        <v>0</v>
      </c>
      <c r="CO141" s="17">
        <f t="shared" ca="1" si="106"/>
        <v>0</v>
      </c>
      <c r="CP141" s="17"/>
      <c r="CQ141" s="17">
        <f t="shared" ca="1" si="147"/>
        <v>19375.642857142855</v>
      </c>
      <c r="CR141" s="17">
        <v>0</v>
      </c>
      <c r="CS141" s="17">
        <f t="shared" ca="1" si="148"/>
        <v>0</v>
      </c>
      <c r="CT141" s="17" t="str">
        <f t="shared" si="145"/>
        <v>one-off</v>
      </c>
      <c r="CU141" s="17" t="str">
        <f t="shared" si="146"/>
        <v>Yes</v>
      </c>
      <c r="CV141" s="17">
        <f t="shared" ca="1" si="149"/>
        <v>1.034</v>
      </c>
      <c r="CW141" s="17">
        <f t="shared" ca="1" si="150"/>
        <v>3.2563735782017854E-3</v>
      </c>
      <c r="CY141" s="657">
        <v>11</v>
      </c>
      <c r="CZ141" s="17" t="str">
        <f t="shared" si="138"/>
        <v>pazopanib</v>
      </c>
      <c r="DA141" s="17">
        <f t="shared" si="139"/>
        <v>5</v>
      </c>
      <c r="DB141" s="17">
        <f t="shared" si="140"/>
        <v>1</v>
      </c>
      <c r="DC141" s="17" t="str">
        <f>"G3+ "&amp;$D$40</f>
        <v>G3+ Hypophosphatemia</v>
      </c>
      <c r="DD141" s="17">
        <f t="shared" ca="1" si="141"/>
        <v>1.0854578594005951E-3</v>
      </c>
      <c r="DE141" s="956">
        <f t="shared" ca="1" si="142"/>
        <v>34.785714285714285</v>
      </c>
      <c r="DG141" s="1008">
        <f t="shared" si="143"/>
        <v>0</v>
      </c>
      <c r="DH141" s="1009">
        <f t="shared" si="144"/>
        <v>-0.1</v>
      </c>
      <c r="DI141" s="1007">
        <f t="shared" si="120"/>
        <v>3</v>
      </c>
    </row>
    <row r="142" spans="79:113" x14ac:dyDescent="0.2">
      <c r="CA142" s="17" t="str" cm="1">
        <f t="array" ref="CA142">INDEX(List_comparators,CB142+1)</f>
        <v>pazopanib</v>
      </c>
      <c r="CB142" s="17">
        <v>5</v>
      </c>
      <c r="CC142" s="17">
        <v>1</v>
      </c>
      <c r="CD142" s="17"/>
      <c r="CE142" s="17"/>
      <c r="CF142" s="17"/>
      <c r="CG142" s="17"/>
      <c r="CH142" s="17"/>
      <c r="CI142" s="17"/>
      <c r="CJ142" s="17"/>
      <c r="CK142" s="17"/>
      <c r="CL142" s="17" t="str">
        <v>Hypertriglyceridemia</v>
      </c>
      <c r="CM142" s="17">
        <v>9</v>
      </c>
      <c r="CN142" s="17">
        <v>0</v>
      </c>
      <c r="CO142" s="17">
        <f t="shared" ca="1" si="106"/>
        <v>0</v>
      </c>
      <c r="CP142" s="17"/>
      <c r="CQ142" s="17">
        <f t="shared" ca="1" si="147"/>
        <v>19375.642857142855</v>
      </c>
      <c r="CR142" s="17">
        <v>0</v>
      </c>
      <c r="CS142" s="17">
        <f t="shared" ca="1" si="148"/>
        <v>0</v>
      </c>
      <c r="CT142" s="17" t="str">
        <f t="shared" si="145"/>
        <v>one-off</v>
      </c>
      <c r="CU142" s="17" t="str">
        <f t="shared" si="146"/>
        <v>Yes</v>
      </c>
      <c r="CV142" s="17">
        <f t="shared" ca="1" si="149"/>
        <v>1.034</v>
      </c>
      <c r="CW142" s="17">
        <f t="shared" ca="1" si="150"/>
        <v>0</v>
      </c>
      <c r="CY142" s="657">
        <v>12</v>
      </c>
      <c r="CZ142" s="17" t="str">
        <f t="shared" si="138"/>
        <v>pazopanib</v>
      </c>
      <c r="DA142" s="17">
        <f t="shared" si="139"/>
        <v>5</v>
      </c>
      <c r="DB142" s="17">
        <f t="shared" si="140"/>
        <v>1</v>
      </c>
      <c r="DC142" s="17" t="str">
        <f>"G3+ "&amp;$D$41</f>
        <v>G3+ Increase in lipase</v>
      </c>
      <c r="DD142" s="17">
        <f t="shared" ca="1" si="141"/>
        <v>0</v>
      </c>
      <c r="DE142" s="956">
        <f t="shared" ca="1" si="142"/>
        <v>34.785714285714285</v>
      </c>
      <c r="DG142" s="1008">
        <f t="shared" si="143"/>
        <v>655.75</v>
      </c>
      <c r="DH142" s="1009">
        <f t="shared" si="144"/>
        <v>-0.1</v>
      </c>
      <c r="DI142" s="1007">
        <f t="shared" si="120"/>
        <v>3</v>
      </c>
    </row>
    <row r="143" spans="79:113" x14ac:dyDescent="0.2">
      <c r="CA143" s="17" t="str" cm="1">
        <f t="array" ref="CA143">INDEX(List_comparators,CB143+1)</f>
        <v>pazopanib</v>
      </c>
      <c r="CB143" s="17">
        <v>5</v>
      </c>
      <c r="CC143" s="17">
        <v>1</v>
      </c>
      <c r="CD143" s="17"/>
      <c r="CE143" s="17"/>
      <c r="CF143" s="17"/>
      <c r="CG143" s="17"/>
      <c r="CH143" s="17"/>
      <c r="CI143" s="17"/>
      <c r="CJ143" s="17"/>
      <c r="CK143" s="17"/>
      <c r="CL143" s="17" t="str">
        <v>Hyponatraemia</v>
      </c>
      <c r="CM143" s="17">
        <v>10</v>
      </c>
      <c r="CN143" s="17">
        <v>0</v>
      </c>
      <c r="CO143" s="17">
        <f t="shared" ca="1" si="106"/>
        <v>0</v>
      </c>
      <c r="CP143" s="17"/>
      <c r="CQ143" s="17">
        <f t="shared" ca="1" si="147"/>
        <v>19375.642857142855</v>
      </c>
      <c r="CR143" s="17">
        <v>0</v>
      </c>
      <c r="CS143" s="17">
        <f t="shared" ca="1" si="148"/>
        <v>0</v>
      </c>
      <c r="CT143" s="17" t="str">
        <f t="shared" si="145"/>
        <v>one-off</v>
      </c>
      <c r="CU143" s="17" t="str">
        <f t="shared" si="146"/>
        <v>Yes</v>
      </c>
      <c r="CV143" s="17">
        <f t="shared" ca="1" si="149"/>
        <v>1.034</v>
      </c>
      <c r="CW143" s="17">
        <f t="shared" ca="1" si="150"/>
        <v>1.0854578594005951E-3</v>
      </c>
      <c r="CY143" s="657">
        <v>13</v>
      </c>
      <c r="CZ143" s="17" t="str">
        <f t="shared" si="138"/>
        <v>pazopanib</v>
      </c>
      <c r="DA143" s="17">
        <f t="shared" si="139"/>
        <v>5</v>
      </c>
      <c r="DB143" s="17">
        <f t="shared" si="140"/>
        <v>1</v>
      </c>
      <c r="DC143" s="17" t="str">
        <f>"G3+ "&amp;$D$42</f>
        <v>G3+ Increased AST</v>
      </c>
      <c r="DD143" s="17">
        <f t="shared" ca="1" si="141"/>
        <v>0</v>
      </c>
      <c r="DE143" s="956">
        <f t="shared" ca="1" si="142"/>
        <v>34.785714285714285</v>
      </c>
      <c r="DG143" s="1008">
        <f t="shared" si="143"/>
        <v>0</v>
      </c>
      <c r="DH143" s="1009">
        <f t="shared" si="144"/>
        <v>-0.1</v>
      </c>
      <c r="DI143" s="1007">
        <f t="shared" si="120"/>
        <v>3</v>
      </c>
    </row>
    <row r="144" spans="79:113" x14ac:dyDescent="0.2">
      <c r="CA144" s="17" t="str" cm="1">
        <f t="array" ref="CA144">INDEX(List_comparators,CB144+1)</f>
        <v>pazopanib</v>
      </c>
      <c r="CB144" s="17">
        <v>5</v>
      </c>
      <c r="CC144" s="17">
        <v>1</v>
      </c>
      <c r="CD144" s="17"/>
      <c r="CE144" s="17"/>
      <c r="CF144" s="17"/>
      <c r="CG144" s="17"/>
      <c r="CH144" s="17"/>
      <c r="CI144" s="17"/>
      <c r="CJ144" s="17"/>
      <c r="CK144" s="17"/>
      <c r="CL144" s="17" t="str">
        <v>Hypophosphatemia</v>
      </c>
      <c r="CM144" s="17">
        <v>11</v>
      </c>
      <c r="CN144" s="17">
        <v>0</v>
      </c>
      <c r="CO144" s="17">
        <f t="shared" ca="1" si="106"/>
        <v>0</v>
      </c>
      <c r="CP144" s="17"/>
      <c r="CQ144" s="17">
        <f t="shared" ca="1" si="147"/>
        <v>19375.642857142855</v>
      </c>
      <c r="CR144" s="17">
        <v>0</v>
      </c>
      <c r="CS144" s="17">
        <f t="shared" ca="1" si="148"/>
        <v>0</v>
      </c>
      <c r="CT144" s="17" t="str">
        <f t="shared" si="145"/>
        <v>one-off</v>
      </c>
      <c r="CU144" s="17" t="str">
        <f t="shared" si="146"/>
        <v>Yes</v>
      </c>
      <c r="CV144" s="17">
        <f t="shared" ca="1" si="149"/>
        <v>1.034</v>
      </c>
      <c r="CW144" s="17">
        <f t="shared" ca="1" si="150"/>
        <v>1.0854578594005951E-3</v>
      </c>
      <c r="CY144" s="657">
        <v>14</v>
      </c>
      <c r="CZ144" s="17" t="str">
        <f t="shared" si="138"/>
        <v>pazopanib</v>
      </c>
      <c r="DA144" s="17">
        <f t="shared" si="139"/>
        <v>5</v>
      </c>
      <c r="DB144" s="17">
        <f t="shared" si="140"/>
        <v>1</v>
      </c>
      <c r="DC144" s="17" t="str">
        <f>"G3+ "&amp;$D$43</f>
        <v>G3+ Leukopenia</v>
      </c>
      <c r="DD144" s="17">
        <f t="shared" ca="1" si="141"/>
        <v>0</v>
      </c>
      <c r="DE144" s="956">
        <f t="shared" ca="1" si="142"/>
        <v>34.785714285714285</v>
      </c>
      <c r="DG144" s="1008">
        <f t="shared" si="143"/>
        <v>0</v>
      </c>
      <c r="DH144" s="1009">
        <f t="shared" si="144"/>
        <v>-0.1</v>
      </c>
      <c r="DI144" s="1007">
        <f t="shared" si="120"/>
        <v>3</v>
      </c>
    </row>
    <row r="145" spans="79:113" x14ac:dyDescent="0.2">
      <c r="CA145" s="17" t="str" cm="1">
        <f t="array" ref="CA145">INDEX(List_comparators,CB145+1)</f>
        <v>pazopanib</v>
      </c>
      <c r="CB145" s="17">
        <v>5</v>
      </c>
      <c r="CC145" s="17">
        <v>1</v>
      </c>
      <c r="CD145" s="17"/>
      <c r="CE145" s="17"/>
      <c r="CF145" s="17"/>
      <c r="CG145" s="17"/>
      <c r="CH145" s="17"/>
      <c r="CI145" s="17"/>
      <c r="CJ145" s="17"/>
      <c r="CK145" s="17"/>
      <c r="CL145" s="17" t="str">
        <v>Increase in lipase</v>
      </c>
      <c r="CM145" s="17">
        <v>12</v>
      </c>
      <c r="CN145" s="17">
        <v>0</v>
      </c>
      <c r="CO145" s="17">
        <f t="shared" ref="CO145:CO154" ca="1" si="151">OFFSET($E$30,$CM145-1,$CB145)</f>
        <v>0</v>
      </c>
      <c r="CP145" s="17"/>
      <c r="CQ145" s="17">
        <f t="shared" ca="1" si="147"/>
        <v>19375.642857142855</v>
      </c>
      <c r="CR145" s="17">
        <v>0</v>
      </c>
      <c r="CS145" s="17">
        <f t="shared" ca="1" si="148"/>
        <v>0</v>
      </c>
      <c r="CT145" s="17" t="str">
        <f t="shared" si="145"/>
        <v>one-off</v>
      </c>
      <c r="CU145" s="17" t="str">
        <f t="shared" si="146"/>
        <v>Yes</v>
      </c>
      <c r="CV145" s="17">
        <f t="shared" ca="1" si="149"/>
        <v>1.034</v>
      </c>
      <c r="CW145" s="17">
        <f t="shared" ca="1" si="150"/>
        <v>0</v>
      </c>
      <c r="CY145" s="657">
        <v>15</v>
      </c>
      <c r="CZ145" s="17" t="str">
        <f t="shared" si="138"/>
        <v>pazopanib</v>
      </c>
      <c r="DA145" s="17">
        <f t="shared" si="139"/>
        <v>5</v>
      </c>
      <c r="DB145" s="17">
        <f t="shared" si="140"/>
        <v>1</v>
      </c>
      <c r="DC145" s="17" t="str">
        <f>"G3+ "&amp;$D$44</f>
        <v>G3+ Lymphopenia</v>
      </c>
      <c r="DD145" s="17">
        <f t="shared" ca="1" si="141"/>
        <v>0</v>
      </c>
      <c r="DE145" s="956">
        <f t="shared" ca="1" si="142"/>
        <v>34.785714285714285</v>
      </c>
      <c r="DG145" s="1008">
        <f t="shared" si="143"/>
        <v>679.97</v>
      </c>
      <c r="DH145" s="1009">
        <f t="shared" si="144"/>
        <v>-0.1</v>
      </c>
      <c r="DI145" s="1007">
        <f t="shared" si="120"/>
        <v>3</v>
      </c>
    </row>
    <row r="146" spans="79:113" x14ac:dyDescent="0.2">
      <c r="CA146" s="17" t="str" cm="1">
        <f t="array" ref="CA146">INDEX(List_comparators,CB146+1)</f>
        <v>pazopanib</v>
      </c>
      <c r="CB146" s="17">
        <v>5</v>
      </c>
      <c r="CC146" s="17">
        <v>1</v>
      </c>
      <c r="CD146" s="17"/>
      <c r="CE146" s="17"/>
      <c r="CF146" s="17"/>
      <c r="CG146" s="17"/>
      <c r="CH146" s="17"/>
      <c r="CI146" s="17"/>
      <c r="CJ146" s="17"/>
      <c r="CK146" s="17"/>
      <c r="CL146" s="17" t="str">
        <v>Increased AST</v>
      </c>
      <c r="CM146" s="17">
        <v>13</v>
      </c>
      <c r="CN146" s="17">
        <v>0</v>
      </c>
      <c r="CO146" s="17">
        <f t="shared" ca="1" si="151"/>
        <v>69</v>
      </c>
      <c r="CP146" s="17"/>
      <c r="CQ146" s="17">
        <f t="shared" ca="1" si="147"/>
        <v>19375.642857142855</v>
      </c>
      <c r="CR146" s="17">
        <v>0</v>
      </c>
      <c r="CS146" s="17">
        <f t="shared" ca="1" si="148"/>
        <v>3.561172163872904E-3</v>
      </c>
      <c r="CT146" s="17" t="str">
        <f t="shared" si="145"/>
        <v>one-off</v>
      </c>
      <c r="CU146" s="17" t="str">
        <f t="shared" si="146"/>
        <v>Yes</v>
      </c>
      <c r="CV146" s="17">
        <f t="shared" ca="1" si="149"/>
        <v>1.034</v>
      </c>
      <c r="CW146" s="17">
        <f t="shared" ca="1" si="150"/>
        <v>0</v>
      </c>
      <c r="CY146" s="657">
        <v>16</v>
      </c>
      <c r="CZ146" s="17" t="str">
        <f t="shared" si="138"/>
        <v>pazopanib</v>
      </c>
      <c r="DA146" s="17">
        <f t="shared" si="139"/>
        <v>5</v>
      </c>
      <c r="DB146" s="17">
        <f t="shared" si="140"/>
        <v>1</v>
      </c>
      <c r="DC146" s="17" t="str">
        <f>"G3+ "&amp;$D$45</f>
        <v>G3+ Nausea</v>
      </c>
      <c r="DD146" s="17">
        <f t="shared" ca="1" si="141"/>
        <v>0</v>
      </c>
      <c r="DE146" s="956">
        <f t="shared" ca="1" si="142"/>
        <v>34.785714285714285</v>
      </c>
      <c r="DG146" s="1008">
        <f t="shared" si="143"/>
        <v>801.11</v>
      </c>
      <c r="DH146" s="1009">
        <f t="shared" si="144"/>
        <v>-0.1</v>
      </c>
      <c r="DI146" s="1007">
        <f t="shared" si="120"/>
        <v>3</v>
      </c>
    </row>
    <row r="147" spans="79:113" x14ac:dyDescent="0.2">
      <c r="CA147" s="17" t="str" cm="1">
        <f t="array" ref="CA147">INDEX(List_comparators,CB147+1)</f>
        <v>pazopanib</v>
      </c>
      <c r="CB147" s="17">
        <v>5</v>
      </c>
      <c r="CC147" s="17">
        <v>1</v>
      </c>
      <c r="CD147" s="17"/>
      <c r="CE147" s="17"/>
      <c r="CF147" s="17"/>
      <c r="CG147" s="17"/>
      <c r="CH147" s="17"/>
      <c r="CI147" s="17"/>
      <c r="CJ147" s="17"/>
      <c r="CK147" s="17"/>
      <c r="CL147" s="17" t="str">
        <v>Leukopenia</v>
      </c>
      <c r="CM147" s="17">
        <v>14</v>
      </c>
      <c r="CN147" s="17">
        <v>0</v>
      </c>
      <c r="CO147" s="17">
        <f t="shared" ca="1" si="151"/>
        <v>0</v>
      </c>
      <c r="CP147" s="17"/>
      <c r="CQ147" s="17">
        <f t="shared" ca="1" si="147"/>
        <v>19375.642857142855</v>
      </c>
      <c r="CR147" s="17">
        <v>0</v>
      </c>
      <c r="CS147" s="17">
        <f t="shared" ca="1" si="148"/>
        <v>0</v>
      </c>
      <c r="CT147" s="17" t="str">
        <f t="shared" si="145"/>
        <v>one-off</v>
      </c>
      <c r="CU147" s="17" t="str">
        <f t="shared" si="146"/>
        <v>Yes</v>
      </c>
      <c r="CV147" s="17">
        <f t="shared" ca="1" si="149"/>
        <v>1.034</v>
      </c>
      <c r="CW147" s="17">
        <f t="shared" ca="1" si="150"/>
        <v>0</v>
      </c>
      <c r="CY147" s="657">
        <v>17</v>
      </c>
      <c r="CZ147" s="17" t="str">
        <f t="shared" si="138"/>
        <v>pazopanib</v>
      </c>
      <c r="DA147" s="17">
        <f t="shared" si="139"/>
        <v>5</v>
      </c>
      <c r="DB147" s="17">
        <f t="shared" si="140"/>
        <v>1</v>
      </c>
      <c r="DC147" s="17" t="str">
        <f>"G3+ "&amp;$D$46</f>
        <v>G3+ Neutropenia</v>
      </c>
      <c r="DD147" s="17">
        <f t="shared" ca="1" si="141"/>
        <v>0</v>
      </c>
      <c r="DE147" s="956">
        <f t="shared" ca="1" si="142"/>
        <v>34.785714285714285</v>
      </c>
      <c r="DG147" s="1008">
        <f t="shared" si="143"/>
        <v>655.75</v>
      </c>
      <c r="DH147" s="1009">
        <f t="shared" si="144"/>
        <v>-0.1</v>
      </c>
      <c r="DI147" s="1007">
        <f t="shared" si="120"/>
        <v>3</v>
      </c>
    </row>
    <row r="148" spans="79:113" x14ac:dyDescent="0.2">
      <c r="CA148" s="17" t="str" cm="1">
        <f t="array" ref="CA148">INDEX(List_comparators,CB148+1)</f>
        <v>pazopanib</v>
      </c>
      <c r="CB148" s="17">
        <v>5</v>
      </c>
      <c r="CC148" s="17">
        <v>1</v>
      </c>
      <c r="CD148" s="17"/>
      <c r="CE148" s="17"/>
      <c r="CF148" s="17"/>
      <c r="CG148" s="17"/>
      <c r="CH148" s="17"/>
      <c r="CI148" s="17"/>
      <c r="CJ148" s="17"/>
      <c r="CK148" s="17"/>
      <c r="CL148" s="17" t="str">
        <v>Lymphopenia</v>
      </c>
      <c r="CM148" s="17">
        <v>15</v>
      </c>
      <c r="CN148" s="17">
        <v>0</v>
      </c>
      <c r="CO148" s="17">
        <f t="shared" ca="1" si="151"/>
        <v>29</v>
      </c>
      <c r="CP148" s="17"/>
      <c r="CQ148" s="17">
        <f t="shared" ca="1" si="147"/>
        <v>19375.642857142855</v>
      </c>
      <c r="CR148" s="17">
        <v>0</v>
      </c>
      <c r="CS148" s="17">
        <f t="shared" ca="1" si="148"/>
        <v>1.4967245326422351E-3</v>
      </c>
      <c r="CT148" s="17" t="str">
        <f t="shared" si="145"/>
        <v>one-off</v>
      </c>
      <c r="CU148" s="17" t="str">
        <f t="shared" si="146"/>
        <v>Yes</v>
      </c>
      <c r="CV148" s="17">
        <f t="shared" ca="1" si="149"/>
        <v>1.034</v>
      </c>
      <c r="CW148" s="17">
        <f t="shared" ca="1" si="150"/>
        <v>0</v>
      </c>
      <c r="CY148" s="657">
        <v>18</v>
      </c>
      <c r="CZ148" s="17" t="str">
        <f t="shared" si="138"/>
        <v>pazopanib</v>
      </c>
      <c r="DA148" s="17">
        <f t="shared" si="139"/>
        <v>5</v>
      </c>
      <c r="DB148" s="17">
        <f t="shared" si="140"/>
        <v>1</v>
      </c>
      <c r="DC148" s="17" t="str">
        <f>"G3+ "&amp;$D$47</f>
        <v>G3+ Platelets count decreased</v>
      </c>
      <c r="DD148" s="17">
        <f t="shared" ca="1" si="141"/>
        <v>0</v>
      </c>
      <c r="DE148" s="956">
        <f t="shared" ca="1" si="142"/>
        <v>34.785714285714285</v>
      </c>
      <c r="DG148" s="1008">
        <f t="shared" si="143"/>
        <v>801.11</v>
      </c>
      <c r="DH148" s="1009">
        <f t="shared" si="144"/>
        <v>-0.1</v>
      </c>
      <c r="DI148" s="1007">
        <f t="shared" si="120"/>
        <v>3</v>
      </c>
    </row>
    <row r="149" spans="79:113" x14ac:dyDescent="0.2">
      <c r="CA149" s="17" t="str" cm="1">
        <f t="array" ref="CA149">INDEX(List_comparators,CB149+1)</f>
        <v>pazopanib</v>
      </c>
      <c r="CB149" s="17">
        <v>5</v>
      </c>
      <c r="CC149" s="17">
        <v>1</v>
      </c>
      <c r="CD149" s="17"/>
      <c r="CE149" s="17"/>
      <c r="CF149" s="17"/>
      <c r="CG149" s="17"/>
      <c r="CH149" s="17"/>
      <c r="CI149" s="17"/>
      <c r="CJ149" s="17"/>
      <c r="CK149" s="17"/>
      <c r="CL149" s="17" t="str">
        <v>Nausea</v>
      </c>
      <c r="CM149" s="17">
        <v>16</v>
      </c>
      <c r="CN149" s="17">
        <v>0</v>
      </c>
      <c r="CO149" s="17">
        <f t="shared" ca="1" si="151"/>
        <v>0</v>
      </c>
      <c r="CP149" s="17"/>
      <c r="CQ149" s="17">
        <f t="shared" ca="1" si="147"/>
        <v>19375.642857142855</v>
      </c>
      <c r="CR149" s="17">
        <v>0</v>
      </c>
      <c r="CS149" s="17">
        <f t="shared" ca="1" si="148"/>
        <v>0</v>
      </c>
      <c r="CT149" s="17" t="str">
        <f t="shared" si="145"/>
        <v>one-off</v>
      </c>
      <c r="CU149" s="17" t="str">
        <f t="shared" si="146"/>
        <v>Yes</v>
      </c>
      <c r="CV149" s="17">
        <f t="shared" ca="1" si="149"/>
        <v>1.034</v>
      </c>
      <c r="CW149" s="17">
        <f t="shared" ca="1" si="150"/>
        <v>0</v>
      </c>
      <c r="CY149" s="657">
        <v>19</v>
      </c>
      <c r="CZ149" s="17" t="str">
        <f t="shared" si="138"/>
        <v>pazopanib</v>
      </c>
      <c r="DA149" s="17">
        <f t="shared" si="139"/>
        <v>5</v>
      </c>
      <c r="DB149" s="17">
        <f t="shared" si="140"/>
        <v>1</v>
      </c>
      <c r="DC149" s="17" t="str">
        <f>"G3+ "&amp;$D$48</f>
        <v>G3+ Proteinuria</v>
      </c>
      <c r="DD149" s="17">
        <f t="shared" ca="1" si="141"/>
        <v>0</v>
      </c>
      <c r="DE149" s="956">
        <f t="shared" ca="1" si="142"/>
        <v>34.785714285714285</v>
      </c>
      <c r="DG149" s="1008">
        <f t="shared" si="143"/>
        <v>220.87</v>
      </c>
      <c r="DH149" s="1009">
        <f t="shared" si="144"/>
        <v>-0.1</v>
      </c>
      <c r="DI149" s="1007">
        <f t="shared" si="120"/>
        <v>3</v>
      </c>
    </row>
    <row r="150" spans="79:113" x14ac:dyDescent="0.2">
      <c r="CA150" s="17" t="str" cm="1">
        <f t="array" ref="CA150">INDEX(List_comparators,CB150+1)</f>
        <v>pazopanib</v>
      </c>
      <c r="CB150" s="17">
        <v>5</v>
      </c>
      <c r="CC150" s="17">
        <v>1</v>
      </c>
      <c r="CD150" s="17"/>
      <c r="CE150" s="17"/>
      <c r="CF150" s="17"/>
      <c r="CG150" s="17"/>
      <c r="CH150" s="17"/>
      <c r="CI150" s="17"/>
      <c r="CJ150" s="17"/>
      <c r="CK150" s="17"/>
      <c r="CL150" s="17" t="str">
        <v>Neutropenia</v>
      </c>
      <c r="CM150" s="17">
        <v>17</v>
      </c>
      <c r="CN150" s="17">
        <v>0</v>
      </c>
      <c r="CO150" s="17">
        <f t="shared" ca="1" si="151"/>
        <v>0</v>
      </c>
      <c r="CP150" s="17"/>
      <c r="CQ150" s="17">
        <f t="shared" ca="1" si="147"/>
        <v>19375.642857142855</v>
      </c>
      <c r="CR150" s="17">
        <v>0</v>
      </c>
      <c r="CS150" s="17">
        <f t="shared" ca="1" si="148"/>
        <v>0</v>
      </c>
      <c r="CT150" s="17" t="str">
        <f t="shared" si="145"/>
        <v>one-off</v>
      </c>
      <c r="CU150" s="17" t="str">
        <f t="shared" si="146"/>
        <v>Yes</v>
      </c>
      <c r="CV150" s="17">
        <f t="shared" ca="1" si="149"/>
        <v>1.034</v>
      </c>
      <c r="CW150" s="17">
        <f t="shared" ca="1" si="150"/>
        <v>0</v>
      </c>
      <c r="CY150" s="657">
        <v>20</v>
      </c>
      <c r="CZ150" s="17" t="str">
        <f t="shared" si="138"/>
        <v>pazopanib</v>
      </c>
      <c r="DA150" s="17">
        <f t="shared" si="139"/>
        <v>5</v>
      </c>
      <c r="DB150" s="17">
        <f t="shared" si="140"/>
        <v>1</v>
      </c>
      <c r="DC150" s="17" t="str">
        <f>"G3+ "&amp;$D$49</f>
        <v>G3+ Stomatitis</v>
      </c>
      <c r="DD150" s="17">
        <f t="shared" ca="1" si="141"/>
        <v>0</v>
      </c>
      <c r="DE150" s="956">
        <f t="shared" ca="1" si="142"/>
        <v>34.785714285714285</v>
      </c>
      <c r="DG150" s="1008">
        <f t="shared" si="143"/>
        <v>801.11</v>
      </c>
      <c r="DH150" s="1009">
        <f t="shared" si="144"/>
        <v>-0.1</v>
      </c>
      <c r="DI150" s="1007">
        <f t="shared" si="120"/>
        <v>3</v>
      </c>
    </row>
    <row r="151" spans="79:113" x14ac:dyDescent="0.2">
      <c r="CA151" s="17" t="str" cm="1">
        <f t="array" ref="CA151">INDEX(List_comparators,CB151+1)</f>
        <v>pazopanib</v>
      </c>
      <c r="CB151" s="17">
        <v>5</v>
      </c>
      <c r="CC151" s="17">
        <v>1</v>
      </c>
      <c r="CD151" s="17"/>
      <c r="CE151" s="17"/>
      <c r="CF151" s="17"/>
      <c r="CG151" s="17"/>
      <c r="CH151" s="17"/>
      <c r="CI151" s="17"/>
      <c r="CJ151" s="17"/>
      <c r="CK151" s="17"/>
      <c r="CL151" s="17" t="str">
        <v>Platelets count decreased</v>
      </c>
      <c r="CM151" s="17">
        <v>18</v>
      </c>
      <c r="CN151" s="17">
        <v>0</v>
      </c>
      <c r="CO151" s="17">
        <f t="shared" ca="1" si="151"/>
        <v>0</v>
      </c>
      <c r="CP151" s="17"/>
      <c r="CQ151" s="17">
        <f t="shared" ca="1" si="147"/>
        <v>19375.642857142855</v>
      </c>
      <c r="CR151" s="17">
        <v>0</v>
      </c>
      <c r="CS151" s="17">
        <f t="shared" ca="1" si="148"/>
        <v>0</v>
      </c>
      <c r="CT151" s="17" t="str">
        <f t="shared" si="145"/>
        <v>one-off</v>
      </c>
      <c r="CU151" s="17" t="str">
        <f t="shared" si="146"/>
        <v>Yes</v>
      </c>
      <c r="CV151" s="17">
        <f t="shared" ca="1" si="149"/>
        <v>1.034</v>
      </c>
      <c r="CW151" s="17">
        <f t="shared" ca="1" si="150"/>
        <v>0</v>
      </c>
      <c r="CY151" s="657">
        <v>21</v>
      </c>
      <c r="CZ151" s="17" t="str">
        <f t="shared" si="138"/>
        <v>pazopanib</v>
      </c>
      <c r="DA151" s="17">
        <f t="shared" si="139"/>
        <v>5</v>
      </c>
      <c r="DB151" s="17">
        <f t="shared" si="140"/>
        <v>1</v>
      </c>
      <c r="DC151" s="17" t="str">
        <f>"G3+ "&amp;$D$50</f>
        <v>G3+ Vomiting</v>
      </c>
      <c r="DD151" s="17">
        <f t="shared" ca="1" si="141"/>
        <v>0</v>
      </c>
      <c r="DE151" s="956">
        <f t="shared" ca="1" si="142"/>
        <v>34.785714285714285</v>
      </c>
      <c r="DG151" s="1008">
        <f t="shared" si="143"/>
        <v>801.11</v>
      </c>
      <c r="DH151" s="1009">
        <f t="shared" si="144"/>
        <v>-0.1</v>
      </c>
      <c r="DI151" s="1007">
        <f t="shared" si="120"/>
        <v>3</v>
      </c>
    </row>
    <row r="152" spans="79:113" x14ac:dyDescent="0.2">
      <c r="CA152" s="17" t="str" cm="1">
        <f t="array" ref="CA152">INDEX(List_comparators,CB152+1)</f>
        <v>pazopanib</v>
      </c>
      <c r="CB152" s="17">
        <v>5</v>
      </c>
      <c r="CC152" s="17">
        <v>1</v>
      </c>
      <c r="CD152" s="17"/>
      <c r="CE152" s="17"/>
      <c r="CF152" s="17"/>
      <c r="CG152" s="17"/>
      <c r="CH152" s="17"/>
      <c r="CI152" s="17"/>
      <c r="CJ152" s="17"/>
      <c r="CK152" s="17"/>
      <c r="CL152" s="17" t="str">
        <v>Proteinuria</v>
      </c>
      <c r="CM152" s="17">
        <v>19</v>
      </c>
      <c r="CN152" s="17">
        <v>0</v>
      </c>
      <c r="CO152" s="17">
        <f t="shared" ca="1" si="151"/>
        <v>0</v>
      </c>
      <c r="CP152" s="17"/>
      <c r="CQ152" s="17">
        <f t="shared" ca="1" si="147"/>
        <v>19375.642857142855</v>
      </c>
      <c r="CR152" s="17">
        <v>0</v>
      </c>
      <c r="CS152" s="17">
        <f t="shared" ca="1" si="148"/>
        <v>0</v>
      </c>
      <c r="CT152" s="17" t="str">
        <f t="shared" si="145"/>
        <v>one-off</v>
      </c>
      <c r="CU152" s="17" t="str">
        <f t="shared" si="146"/>
        <v>Yes</v>
      </c>
      <c r="CV152" s="17">
        <f t="shared" ca="1" si="149"/>
        <v>1.034</v>
      </c>
      <c r="CW152" s="17">
        <f t="shared" ca="1" si="150"/>
        <v>0</v>
      </c>
      <c r="CY152" s="657">
        <v>22</v>
      </c>
      <c r="CZ152" s="17" t="str">
        <f t="shared" si="138"/>
        <v>pazopanib</v>
      </c>
      <c r="DA152" s="17">
        <f t="shared" si="139"/>
        <v>5</v>
      </c>
      <c r="DB152" s="17">
        <f t="shared" si="140"/>
        <v>1</v>
      </c>
      <c r="DC152" s="17" t="str">
        <f>"G3+ "&amp;$D$51</f>
        <v>G3+ Weight loss</v>
      </c>
      <c r="DD152" s="17">
        <f t="shared" ca="1" si="141"/>
        <v>0</v>
      </c>
      <c r="DE152" s="956">
        <f t="shared" ca="1" si="142"/>
        <v>34.785714285714285</v>
      </c>
      <c r="DG152" s="1008">
        <f t="shared" si="143"/>
        <v>801.11</v>
      </c>
      <c r="DH152" s="1009">
        <f t="shared" si="144"/>
        <v>-0.1</v>
      </c>
      <c r="DI152" s="1007">
        <f t="shared" si="120"/>
        <v>3</v>
      </c>
    </row>
    <row r="153" spans="79:113" x14ac:dyDescent="0.2">
      <c r="CA153" s="17" t="str" cm="1">
        <f t="array" ref="CA153">INDEX(List_comparators,CB153+1)</f>
        <v>pazopanib</v>
      </c>
      <c r="CB153" s="17">
        <v>5</v>
      </c>
      <c r="CC153" s="17">
        <v>1</v>
      </c>
      <c r="CD153" s="17"/>
      <c r="CE153" s="17"/>
      <c r="CF153" s="17"/>
      <c r="CG153" s="17"/>
      <c r="CH153" s="17"/>
      <c r="CI153" s="17"/>
      <c r="CJ153" s="17"/>
      <c r="CK153" s="17"/>
      <c r="CL153" s="17" t="str">
        <v>Stomatitis</v>
      </c>
      <c r="CM153" s="17">
        <v>20</v>
      </c>
      <c r="CN153" s="17">
        <v>0</v>
      </c>
      <c r="CO153" s="17">
        <f t="shared" ca="1" si="151"/>
        <v>0</v>
      </c>
      <c r="CP153" s="17"/>
      <c r="CQ153" s="17">
        <f t="shared" ca="1" si="147"/>
        <v>19375.642857142855</v>
      </c>
      <c r="CR153" s="17">
        <v>0</v>
      </c>
      <c r="CS153" s="17">
        <f t="shared" ca="1" si="148"/>
        <v>0</v>
      </c>
      <c r="CT153" s="17" t="str">
        <f t="shared" si="145"/>
        <v>one-off</v>
      </c>
      <c r="CU153" s="17" t="str">
        <f t="shared" si="146"/>
        <v>Yes</v>
      </c>
      <c r="CV153" s="17">
        <f t="shared" ca="1" si="149"/>
        <v>1.034</v>
      </c>
      <c r="CW153" s="17">
        <f t="shared" ca="1" si="150"/>
        <v>0</v>
      </c>
      <c r="CY153" s="657">
        <v>1</v>
      </c>
      <c r="CZ153" s="17" t="str">
        <f t="shared" ref="CZ153:DB155" si="152">CA152</f>
        <v>pazopanib</v>
      </c>
      <c r="DA153" s="17">
        <f t="shared" si="152"/>
        <v>5</v>
      </c>
      <c r="DB153" s="17">
        <f t="shared" si="152"/>
        <v>1</v>
      </c>
      <c r="DC153" s="17" t="str">
        <f>"G1&amp;2 "&amp;$D$18</f>
        <v>G1&amp;2 Diarrhoea</v>
      </c>
      <c r="DD153" s="17">
        <f ca="1">CHOOSE(i_AE_NMA_option_num,OFFSET($S$86,$CY153-1,$DA153),OFFSET($AG$18,$CY153-1,$DA153))</f>
        <v>1.7592190489532148E-2</v>
      </c>
      <c r="DE153" s="956">
        <f ca="1">OFFSET($S$18,$CY153-1,$DA153)/INDEX($DT$14:$DT$27,MATCH(DA153,$DR$14:$DR$27,0))</f>
        <v>34.785714285714285</v>
      </c>
      <c r="DG153" s="1008">
        <f t="shared" si="143"/>
        <v>220.87</v>
      </c>
      <c r="DH153" s="1009">
        <f t="shared" si="144"/>
        <v>-0.05</v>
      </c>
      <c r="DI153" s="1007">
        <f t="shared" si="120"/>
        <v>3</v>
      </c>
    </row>
    <row r="154" spans="79:113" ht="15.75" thickBot="1" x14ac:dyDescent="0.25">
      <c r="CA154" s="622" t="str" cm="1">
        <f t="array" ref="CA154">INDEX(List_comparators,CB154+1)</f>
        <v>pazopanib</v>
      </c>
      <c r="CB154" s="622">
        <v>5</v>
      </c>
      <c r="CC154" s="622">
        <v>1</v>
      </c>
      <c r="CD154" s="622"/>
      <c r="CE154" s="622"/>
      <c r="CF154" s="622"/>
      <c r="CG154" s="622"/>
      <c r="CH154" s="622"/>
      <c r="CI154" s="622"/>
      <c r="CJ154" s="622"/>
      <c r="CK154" s="622"/>
      <c r="CL154" s="622" t="str">
        <v>Vomiting</v>
      </c>
      <c r="CM154" s="622">
        <v>21</v>
      </c>
      <c r="CN154" s="622">
        <v>0</v>
      </c>
      <c r="CO154" s="622">
        <f t="shared" ca="1" si="151"/>
        <v>0</v>
      </c>
      <c r="CP154" s="622"/>
      <c r="CQ154" s="622">
        <f t="shared" ca="1" si="147"/>
        <v>19375.642857142855</v>
      </c>
      <c r="CR154" s="622">
        <v>0</v>
      </c>
      <c r="CS154" s="622">
        <f t="shared" ca="1" si="148"/>
        <v>0</v>
      </c>
      <c r="CT154" s="622" t="str">
        <f t="shared" si="145"/>
        <v>one-off</v>
      </c>
      <c r="CU154" s="622" t="str">
        <f t="shared" si="146"/>
        <v>Yes</v>
      </c>
      <c r="CV154" s="622">
        <f t="shared" ca="1" si="149"/>
        <v>1.034</v>
      </c>
      <c r="CW154" s="622">
        <f t="shared" ca="1" si="150"/>
        <v>0</v>
      </c>
      <c r="CY154" s="657">
        <v>2</v>
      </c>
      <c r="CZ154" s="17" t="str">
        <f t="shared" si="152"/>
        <v>pazopanib</v>
      </c>
      <c r="DA154" s="17">
        <f t="shared" si="152"/>
        <v>5</v>
      </c>
      <c r="DB154" s="17">
        <f t="shared" si="152"/>
        <v>1</v>
      </c>
      <c r="DC154" s="17" t="str">
        <f>"G1&amp;2 "&amp;$D$19</f>
        <v>G1&amp;2 Fatigue</v>
      </c>
      <c r="DD154" s="17">
        <f ca="1">CHOOSE(i_AE_NMA_option_num,OFFSET($S$86,$CY154-1,$DA154),OFFSET($AG$18,$CY154-1,$DA154))</f>
        <v>7.9011571966275777E-3</v>
      </c>
      <c r="DE154" s="956">
        <f ca="1">OFFSET($S$18,$CY153-1,$DA154)/INDEX($DT$14:$DT$27,MATCH(DA154,$DR$14:$DR$27,0))</f>
        <v>34.785714285714285</v>
      </c>
      <c r="DG154" s="1008">
        <f t="shared" si="143"/>
        <v>441.74</v>
      </c>
      <c r="DH154" s="1009">
        <f t="shared" si="144"/>
        <v>-0.05</v>
      </c>
      <c r="DI154" s="1007">
        <f t="shared" si="120"/>
        <v>3</v>
      </c>
    </row>
    <row r="155" spans="79:113" ht="15.75" thickTop="1" x14ac:dyDescent="0.2">
      <c r="CA155" s="17"/>
      <c r="CB155" s="17"/>
      <c r="CC155" s="17"/>
      <c r="CD155" s="17"/>
      <c r="CE155" s="17"/>
      <c r="CF155" s="17"/>
      <c r="CG155" s="17"/>
      <c r="CH155" s="17"/>
      <c r="CI155" s="17"/>
      <c r="CJ155" s="17"/>
      <c r="CK155" s="17"/>
      <c r="CL155" s="17" t="str">
        <v>Weight loss</v>
      </c>
      <c r="CM155" s="17"/>
      <c r="CN155" s="17"/>
      <c r="CO155" s="17"/>
      <c r="CP155" s="17"/>
      <c r="CQ155" s="17"/>
      <c r="CR155" s="17"/>
      <c r="CS155" s="17"/>
      <c r="CT155" s="17"/>
      <c r="CU155" s="17"/>
      <c r="CV155" s="17"/>
      <c r="CW155" s="17"/>
      <c r="CY155" s="657">
        <v>3</v>
      </c>
      <c r="CZ155" s="17" t="str">
        <f t="shared" si="152"/>
        <v>pazopanib</v>
      </c>
      <c r="DA155" s="17">
        <f t="shared" si="152"/>
        <v>5</v>
      </c>
      <c r="DB155" s="17">
        <f t="shared" si="152"/>
        <v>1</v>
      </c>
      <c r="DC155" s="17" t="str">
        <f>"G1&amp;2 "&amp;$D$20</f>
        <v>G1&amp;2 Palmar-plantar erythrodysaesthesia syndrome</v>
      </c>
      <c r="DD155" s="17">
        <f ca="1">CHOOSE(i_AE_NMA_option_num,OFFSET($S$86,$CY155-1,$DA155),OFFSET($AG$18,$CY155-1,$DA155))</f>
        <v>3.2453116762946117E-3</v>
      </c>
      <c r="DE155" s="956">
        <f ca="1">OFFSET($S$18,$CY154-1,$DA155)/INDEX($DT$14:$DT$27,MATCH(DA155,$DR$14:$DR$27,0))</f>
        <v>34.785714285714285</v>
      </c>
      <c r="DG155" s="1008">
        <f t="shared" si="143"/>
        <v>441.74</v>
      </c>
      <c r="DH155" s="1009">
        <f t="shared" si="144"/>
        <v>-0.05</v>
      </c>
      <c r="DI155" s="1007">
        <f t="shared" si="120"/>
        <v>3</v>
      </c>
    </row>
    <row r="156" spans="79:113" x14ac:dyDescent="0.2">
      <c r="CA156" s="17" t="str" cm="1">
        <f t="array" ref="CA156">INDEX(List_comparators,CB156+1)</f>
        <v>tivozanib</v>
      </c>
      <c r="CB156" s="17">
        <v>6</v>
      </c>
      <c r="CC156" s="17">
        <v>1</v>
      </c>
      <c r="CD156" s="17">
        <f ca="1">OFFSET($E$16,0,CB156)</f>
        <v>175</v>
      </c>
      <c r="CE156" s="17">
        <f ca="1">OFFSET($E$28,0,CB156)</f>
        <v>175</v>
      </c>
      <c r="CF156" s="17">
        <f ca="1">OFFSET($S$16,0,CB156)</f>
        <v>4925</v>
      </c>
      <c r="CG156" s="17">
        <f ca="1">OFFSET($S$28,0,CB156)</f>
        <v>4925</v>
      </c>
      <c r="CH156" s="17">
        <f ca="1">OFFSET($AG$16,0,CB156)</f>
        <v>3.553299492385787E-2</v>
      </c>
      <c r="CI156" s="17">
        <f ca="1">OFFSET($AG$28,0,CB156)</f>
        <v>3.553299492385787E-2</v>
      </c>
      <c r="CJ156" s="583">
        <f>$CJ$6</f>
        <v>3</v>
      </c>
      <c r="CK156" s="583">
        <f>$CK$6</f>
        <v>0.6</v>
      </c>
      <c r="CL156" s="17" t="str" cm="1">
        <f t="array" ref="CL156:CL158">List_AEs_all_grade</f>
        <v>Diarrhoea</v>
      </c>
      <c r="CM156" s="17">
        <v>1</v>
      </c>
      <c r="CN156" s="17">
        <f ca="1">OFFSET($E$18,$CM156-1,$CB156)</f>
        <v>60</v>
      </c>
      <c r="CO156" s="17">
        <f t="shared" ref="CO156:CO219" ca="1" si="153">OFFSET($E$30,$CM156-1,$CB156)</f>
        <v>0</v>
      </c>
      <c r="CP156" s="17">
        <f ca="1">OFFSET($S$18,$CM156-1,$CB156)</f>
        <v>4925</v>
      </c>
      <c r="CQ156" s="17">
        <v>0</v>
      </c>
      <c r="CR156" s="17">
        <f ca="1">OFFSET($AG$18,$CM156-1,$CB156)</f>
        <v>1.2182741116751269E-2</v>
      </c>
      <c r="CS156" s="17">
        <v>0</v>
      </c>
      <c r="CT156" s="17" t="str">
        <f>dd_apply_AE_options</f>
        <v>one-off</v>
      </c>
      <c r="CU156" s="17" t="str">
        <f>$CU$6</f>
        <v>Yes</v>
      </c>
      <c r="CV156" s="17">
        <f ca="1">OFFSET($E$86,$CM156-1,$CB156)</f>
        <v>0.6</v>
      </c>
      <c r="CW156" s="17">
        <f ca="1">OFFSET($S$86,$CM156-1,$CB156)</f>
        <v>7.3096446700507611E-3</v>
      </c>
      <c r="CY156" s="657">
        <v>1</v>
      </c>
      <c r="CZ156" s="17" t="str">
        <f t="shared" ref="CZ156:CZ177" si="154">CA156</f>
        <v>tivozanib</v>
      </c>
      <c r="DA156" s="17">
        <f t="shared" ref="DA156:DA177" si="155">CB156</f>
        <v>6</v>
      </c>
      <c r="DB156" s="17">
        <f t="shared" ref="DB156:DB177" si="156">CC156</f>
        <v>1</v>
      </c>
      <c r="DC156" s="17" t="str">
        <f>"G3+ "&amp;$D$30</f>
        <v>G3+ ALT increased</v>
      </c>
      <c r="DD156" s="17">
        <f t="shared" ref="DD156:DD177" ca="1" si="157">CHOOSE(i_AE_NMA_option_num,OFFSET($S$63,$CY156-1,$DA156),OFFSET($AG$30,$CY156-1,$DA156))</f>
        <v>0</v>
      </c>
      <c r="DE156" s="956">
        <f t="shared" ref="DE156:DE177" ca="1" si="158">OFFSET($S$30,$CY156-1,$DA156)/INDEX($DS$14:$DS$27,MATCH(DA156,$DR$14:$DR$27,0))</f>
        <v>28.142857142857142</v>
      </c>
      <c r="DG156" s="1008">
        <f>$DG131</f>
        <v>0</v>
      </c>
      <c r="DH156" s="1009">
        <f>$DH131</f>
        <v>-0.1</v>
      </c>
      <c r="DI156" s="1007">
        <f t="shared" si="120"/>
        <v>3</v>
      </c>
    </row>
    <row r="157" spans="79:113" x14ac:dyDescent="0.2">
      <c r="CA157" s="17" t="str" cm="1">
        <f t="array" ref="CA157">INDEX(List_comparators,CB157+1)</f>
        <v>tivozanib</v>
      </c>
      <c r="CB157" s="17">
        <v>6</v>
      </c>
      <c r="CC157" s="17">
        <v>1</v>
      </c>
      <c r="CD157" s="17"/>
      <c r="CE157" s="17"/>
      <c r="CF157" s="17"/>
      <c r="CG157" s="17"/>
      <c r="CH157" s="17"/>
      <c r="CI157" s="17"/>
      <c r="CJ157" s="17"/>
      <c r="CK157" s="17"/>
      <c r="CL157" s="17" t="str">
        <v>Fatigue</v>
      </c>
      <c r="CM157" s="17">
        <v>2</v>
      </c>
      <c r="CN157" s="17">
        <f ca="1">OFFSET($E$18,$CM157-1,$CB157)</f>
        <v>56</v>
      </c>
      <c r="CO157" s="17">
        <f t="shared" ca="1" si="153"/>
        <v>0</v>
      </c>
      <c r="CP157" s="17">
        <f ca="1">OFFSET($S$18,$CM157-1,$CB157)</f>
        <v>4925</v>
      </c>
      <c r="CQ157" s="17">
        <v>0</v>
      </c>
      <c r="CR157" s="17">
        <f ca="1">OFFSET($AG$18,$CM157-1,$CB157)</f>
        <v>1.1370558375634518E-2</v>
      </c>
      <c r="CS157" s="17">
        <v>0</v>
      </c>
      <c r="CT157" s="17" t="str">
        <f>$CT$6</f>
        <v>one-off</v>
      </c>
      <c r="CU157" s="17" t="str">
        <f>$CU$6</f>
        <v>Yes</v>
      </c>
      <c r="CV157" s="17">
        <f ca="1">OFFSET($E$86,$CM157-1,$CB157)</f>
        <v>1.36</v>
      </c>
      <c r="CW157" s="17">
        <f ca="1">OFFSET($S$86,$CM157-1,$CB157)</f>
        <v>1.5463959390862946E-2</v>
      </c>
      <c r="CY157" s="657">
        <v>2</v>
      </c>
      <c r="CZ157" s="17" t="str">
        <f t="shared" si="154"/>
        <v>tivozanib</v>
      </c>
      <c r="DA157" s="17">
        <f t="shared" si="155"/>
        <v>6</v>
      </c>
      <c r="DB157" s="17">
        <f t="shared" si="156"/>
        <v>1</v>
      </c>
      <c r="DC157" s="17" t="str">
        <f>"G3+ "&amp;$D$31</f>
        <v>G3+ Anaemia</v>
      </c>
      <c r="DD157" s="17">
        <f t="shared" ca="1" si="157"/>
        <v>0</v>
      </c>
      <c r="DE157" s="956">
        <f t="shared" ca="1" si="158"/>
        <v>28.142857142857142</v>
      </c>
      <c r="DG157" s="1008">
        <f t="shared" ref="DG157:DG180" si="159">$DG132</f>
        <v>655.75</v>
      </c>
      <c r="DH157" s="1009">
        <f t="shared" ref="DH157:DH180" si="160">$DH132</f>
        <v>-0.1</v>
      </c>
      <c r="DI157" s="1007">
        <f t="shared" si="120"/>
        <v>3</v>
      </c>
    </row>
    <row r="158" spans="79:113" ht="15.75" thickBot="1" x14ac:dyDescent="0.25">
      <c r="CA158" s="19" t="str" cm="1">
        <f t="array" ref="CA158">INDEX(List_comparators,CB158+1)</f>
        <v>tivozanib</v>
      </c>
      <c r="CB158" s="19">
        <v>6</v>
      </c>
      <c r="CC158" s="19">
        <v>1</v>
      </c>
      <c r="CD158" s="19"/>
      <c r="CE158" s="19"/>
      <c r="CF158" s="19"/>
      <c r="CG158" s="19"/>
      <c r="CH158" s="19"/>
      <c r="CI158" s="19"/>
      <c r="CJ158" s="19"/>
      <c r="CK158" s="19"/>
      <c r="CL158" s="19" t="str">
        <v>Palmar-plantar erythrodysaesthesia syndrome</v>
      </c>
      <c r="CM158" s="19">
        <v>3</v>
      </c>
      <c r="CN158" s="19">
        <f ca="1">OFFSET($E$18,$CM158-1,$CB158)</f>
        <v>28</v>
      </c>
      <c r="CO158" s="19">
        <f t="shared" ca="1" si="153"/>
        <v>0</v>
      </c>
      <c r="CP158" s="19">
        <f ca="1">OFFSET($S$18,$CM158-1,$CB158)</f>
        <v>4925</v>
      </c>
      <c r="CQ158" s="19">
        <v>0</v>
      </c>
      <c r="CR158" s="19">
        <f ca="1">OFFSET($AG$18,$CM158-1,$CB158)</f>
        <v>5.6852791878172588E-3</v>
      </c>
      <c r="CS158" s="19">
        <v>0</v>
      </c>
      <c r="CT158" s="19" t="str">
        <f t="shared" ref="CT158:CT179" si="161">$CT$6</f>
        <v>one-off</v>
      </c>
      <c r="CU158" s="19" t="str">
        <f t="shared" ref="CU158:CU179" si="162">$CU$6</f>
        <v>Yes</v>
      </c>
      <c r="CV158" s="19">
        <f ca="1">OFFSET($E$86,$CM158-1,$CB158)</f>
        <v>0.66</v>
      </c>
      <c r="CW158" s="19">
        <f ca="1">OFFSET($S$86,$CM158-1,$CB158)</f>
        <v>3.7522842639593911E-3</v>
      </c>
      <c r="CY158" s="657">
        <v>3</v>
      </c>
      <c r="CZ158" s="17" t="str">
        <f t="shared" si="154"/>
        <v>tivozanib</v>
      </c>
      <c r="DA158" s="17">
        <f t="shared" si="155"/>
        <v>6</v>
      </c>
      <c r="DB158" s="17">
        <f t="shared" si="156"/>
        <v>1</v>
      </c>
      <c r="DC158" s="17" t="str">
        <f>"G3+ "&amp;$D$32</f>
        <v>G3+ Decreased appetite</v>
      </c>
      <c r="DD158" s="17">
        <f t="shared" ca="1" si="157"/>
        <v>0</v>
      </c>
      <c r="DE158" s="956">
        <f t="shared" ca="1" si="158"/>
        <v>28.142857142857142</v>
      </c>
      <c r="DG158" s="1008">
        <f t="shared" si="159"/>
        <v>0</v>
      </c>
      <c r="DH158" s="1009">
        <f t="shared" si="160"/>
        <v>-0.1</v>
      </c>
      <c r="DI158" s="1007">
        <f t="shared" si="120"/>
        <v>3</v>
      </c>
    </row>
    <row r="159" spans="79:113" x14ac:dyDescent="0.2">
      <c r="CA159" s="17" t="str" cm="1">
        <f t="array" ref="CA159">INDEX(List_comparators,CB159+1)</f>
        <v>tivozanib</v>
      </c>
      <c r="CB159" s="17">
        <v>6</v>
      </c>
      <c r="CC159" s="17">
        <v>1</v>
      </c>
      <c r="CD159" s="17"/>
      <c r="CE159" s="17"/>
      <c r="CF159" s="17"/>
      <c r="CG159" s="17"/>
      <c r="CH159" s="17"/>
      <c r="CI159" s="17"/>
      <c r="CJ159" s="17"/>
      <c r="CK159" s="17"/>
      <c r="CL159" s="252" t="str" cm="1">
        <f t="array" ref="CL159:CL180">List_AEs_g3</f>
        <v>ALT increased</v>
      </c>
      <c r="CM159" s="252">
        <v>1</v>
      </c>
      <c r="CN159" s="252">
        <v>0</v>
      </c>
      <c r="CO159" s="252">
        <f t="shared" ca="1" si="153"/>
        <v>0</v>
      </c>
      <c r="CP159" s="252"/>
      <c r="CQ159" s="252">
        <f t="shared" ref="CQ159:CQ179" ca="1" si="163">OFFSET($S$30,$CM159-1,$CB159)</f>
        <v>4925</v>
      </c>
      <c r="CR159" s="252">
        <v>0</v>
      </c>
      <c r="CS159" s="252">
        <f t="shared" ref="CS159:CS179" ca="1" si="164">OFFSET($AG$30,$CM159-1,$CB159)</f>
        <v>0</v>
      </c>
      <c r="CT159" s="252" t="str">
        <f t="shared" si="161"/>
        <v>one-off</v>
      </c>
      <c r="CU159" s="252" t="str">
        <f t="shared" si="162"/>
        <v>Yes</v>
      </c>
      <c r="CV159" s="252">
        <f ca="1">OFFSET($E$63,$CM159-1,$CB159)</f>
        <v>0.77</v>
      </c>
      <c r="CW159" s="252">
        <f ca="1">OFFSET($S$63,$CM159-1,$CB159)</f>
        <v>0</v>
      </c>
      <c r="CY159" s="657">
        <v>4</v>
      </c>
      <c r="CZ159" s="17" t="str">
        <f t="shared" si="154"/>
        <v>tivozanib</v>
      </c>
      <c r="DA159" s="17">
        <f t="shared" si="155"/>
        <v>6</v>
      </c>
      <c r="DB159" s="17">
        <f t="shared" si="156"/>
        <v>1</v>
      </c>
      <c r="DC159" s="17" t="str">
        <f>"G3+ "&amp;$D$33</f>
        <v>G3+ Diarrhoea _TKI induced</v>
      </c>
      <c r="DD159" s="17">
        <f t="shared" ca="1" si="157"/>
        <v>1.7409962393004639E-3</v>
      </c>
      <c r="DE159" s="956">
        <f t="shared" ca="1" si="158"/>
        <v>28.142857142857142</v>
      </c>
      <c r="DG159" s="1008">
        <f t="shared" si="159"/>
        <v>827.18</v>
      </c>
      <c r="DH159" s="1009">
        <f t="shared" si="160"/>
        <v>-0.1</v>
      </c>
      <c r="DI159" s="1007">
        <f t="shared" ref="DI159:DI222" si="165">DI134</f>
        <v>3</v>
      </c>
    </row>
    <row r="160" spans="79:113" x14ac:dyDescent="0.2">
      <c r="CA160" s="17" t="str" cm="1">
        <f t="array" ref="CA160">INDEX(List_comparators,CB160+1)</f>
        <v>tivozanib</v>
      </c>
      <c r="CB160" s="17">
        <v>6</v>
      </c>
      <c r="CC160" s="17">
        <v>1</v>
      </c>
      <c r="CD160" s="17"/>
      <c r="CE160" s="17"/>
      <c r="CF160" s="17"/>
      <c r="CG160" s="17"/>
      <c r="CH160" s="17"/>
      <c r="CI160" s="17"/>
      <c r="CJ160" s="17"/>
      <c r="CK160" s="17"/>
      <c r="CL160" s="17" t="str">
        <v>Anaemia</v>
      </c>
      <c r="CM160" s="17">
        <v>2</v>
      </c>
      <c r="CN160" s="17">
        <v>0</v>
      </c>
      <c r="CO160" s="17">
        <f t="shared" ca="1" si="153"/>
        <v>0</v>
      </c>
      <c r="CP160" s="17"/>
      <c r="CQ160" s="17">
        <f t="shared" ca="1" si="163"/>
        <v>4925</v>
      </c>
      <c r="CR160" s="17">
        <v>0</v>
      </c>
      <c r="CS160" s="17">
        <f t="shared" ca="1" si="164"/>
        <v>0</v>
      </c>
      <c r="CT160" s="17" t="str">
        <f t="shared" si="161"/>
        <v>one-off</v>
      </c>
      <c r="CU160" s="17" t="str">
        <f t="shared" si="162"/>
        <v>Yes</v>
      </c>
      <c r="CV160" s="17">
        <f t="shared" ref="CV160:CV179" ca="1" si="166">OFFSET($E$63,$CM160-1,$CB160)</f>
        <v>0.77</v>
      </c>
      <c r="CW160" s="17">
        <f t="shared" ref="CW160:CW179" ca="1" si="167">OFFSET($S$63,$CM160-1,$CB160)</f>
        <v>0</v>
      </c>
      <c r="CY160" s="657">
        <v>5</v>
      </c>
      <c r="CZ160" s="17" t="str">
        <f t="shared" si="154"/>
        <v>tivozanib</v>
      </c>
      <c r="DA160" s="17">
        <f t="shared" si="155"/>
        <v>6</v>
      </c>
      <c r="DB160" s="17">
        <f t="shared" si="156"/>
        <v>1</v>
      </c>
      <c r="DC160" s="17" t="str">
        <f>"G3+ "&amp;$D$34</f>
        <v>G3+ Diarrhoea _IO induced</v>
      </c>
      <c r="DD160" s="17">
        <f t="shared" ca="1" si="157"/>
        <v>0</v>
      </c>
      <c r="DE160" s="956">
        <f t="shared" ca="1" si="158"/>
        <v>28.142857142857142</v>
      </c>
      <c r="DG160" s="1008">
        <f t="shared" si="159"/>
        <v>4321.12</v>
      </c>
      <c r="DH160" s="1009">
        <f t="shared" si="160"/>
        <v>-0.1</v>
      </c>
      <c r="DI160" s="1007">
        <f t="shared" si="165"/>
        <v>3</v>
      </c>
    </row>
    <row r="161" spans="79:113" x14ac:dyDescent="0.2">
      <c r="CA161" s="17" t="str" cm="1">
        <f t="array" ref="CA161">INDEX(List_comparators,CB161+1)</f>
        <v>tivozanib</v>
      </c>
      <c r="CB161" s="17">
        <v>6</v>
      </c>
      <c r="CC161" s="17">
        <v>1</v>
      </c>
      <c r="CD161" s="17"/>
      <c r="CE161" s="17"/>
      <c r="CF161" s="17"/>
      <c r="CG161" s="17"/>
      <c r="CH161" s="17"/>
      <c r="CI161" s="17"/>
      <c r="CJ161" s="17"/>
      <c r="CK161" s="17"/>
      <c r="CL161" s="17" t="str">
        <v>Decreased appetite</v>
      </c>
      <c r="CM161" s="17">
        <v>3</v>
      </c>
      <c r="CN161" s="17">
        <v>0</v>
      </c>
      <c r="CO161" s="17">
        <f t="shared" ca="1" si="153"/>
        <v>0</v>
      </c>
      <c r="CP161" s="17"/>
      <c r="CQ161" s="17">
        <f t="shared" ca="1" si="163"/>
        <v>4925</v>
      </c>
      <c r="CR161" s="17">
        <v>0</v>
      </c>
      <c r="CS161" s="17">
        <f t="shared" ca="1" si="164"/>
        <v>0</v>
      </c>
      <c r="CT161" s="17" t="str">
        <f t="shared" si="161"/>
        <v>one-off</v>
      </c>
      <c r="CU161" s="17" t="str">
        <f t="shared" si="162"/>
        <v>Yes</v>
      </c>
      <c r="CV161" s="17">
        <f t="shared" ca="1" si="166"/>
        <v>0.77</v>
      </c>
      <c r="CW161" s="17">
        <f t="shared" ca="1" si="167"/>
        <v>0</v>
      </c>
      <c r="CY161" s="657">
        <v>6</v>
      </c>
      <c r="CZ161" s="17" t="str">
        <f t="shared" si="154"/>
        <v>tivozanib</v>
      </c>
      <c r="DA161" s="17">
        <f t="shared" si="155"/>
        <v>6</v>
      </c>
      <c r="DB161" s="17">
        <f t="shared" si="156"/>
        <v>1</v>
      </c>
      <c r="DC161" s="17" t="str">
        <f>"G3+ "&amp;$D$35</f>
        <v>G3+ Fatigue</v>
      </c>
      <c r="DD161" s="17">
        <f t="shared" ca="1" si="157"/>
        <v>6.8396280829661083E-4</v>
      </c>
      <c r="DE161" s="956">
        <f t="shared" ca="1" si="158"/>
        <v>28.142857142857142</v>
      </c>
      <c r="DG161" s="1008">
        <f t="shared" si="159"/>
        <v>662.61</v>
      </c>
      <c r="DH161" s="1009">
        <f t="shared" si="160"/>
        <v>-0.1</v>
      </c>
      <c r="DI161" s="1007">
        <f t="shared" si="165"/>
        <v>3</v>
      </c>
    </row>
    <row r="162" spans="79:113" x14ac:dyDescent="0.2">
      <c r="CA162" s="17" t="str" cm="1">
        <f t="array" ref="CA162">INDEX(List_comparators,CB162+1)</f>
        <v>tivozanib</v>
      </c>
      <c r="CB162" s="17">
        <v>6</v>
      </c>
      <c r="CC162" s="17">
        <v>1</v>
      </c>
      <c r="CD162" s="17"/>
      <c r="CE162" s="17"/>
      <c r="CF162" s="17"/>
      <c r="CG162" s="17"/>
      <c r="CH162" s="17"/>
      <c r="CI162" s="17"/>
      <c r="CJ162" s="17"/>
      <c r="CK162" s="17"/>
      <c r="CL162" s="17" t="str">
        <v>Diarrhoea _TKI induced</v>
      </c>
      <c r="CM162" s="17">
        <v>4</v>
      </c>
      <c r="CN162" s="17">
        <v>0</v>
      </c>
      <c r="CO162" s="17">
        <f t="shared" ca="1" si="153"/>
        <v>0</v>
      </c>
      <c r="CP162" s="17"/>
      <c r="CQ162" s="17">
        <f t="shared" ca="1" si="163"/>
        <v>4925</v>
      </c>
      <c r="CR162" s="17">
        <v>0</v>
      </c>
      <c r="CS162" s="17">
        <f t="shared" ca="1" si="164"/>
        <v>0</v>
      </c>
      <c r="CT162" s="17" t="str">
        <f t="shared" si="161"/>
        <v>one-off</v>
      </c>
      <c r="CU162" s="17" t="str">
        <f t="shared" si="162"/>
        <v>Yes</v>
      </c>
      <c r="CV162" s="17">
        <f t="shared" ca="1" si="166"/>
        <v>0.77</v>
      </c>
      <c r="CW162" s="17">
        <f t="shared" ca="1" si="167"/>
        <v>1.7409962393004639E-3</v>
      </c>
      <c r="CY162" s="657">
        <v>7</v>
      </c>
      <c r="CZ162" s="17" t="str">
        <f t="shared" si="154"/>
        <v>tivozanib</v>
      </c>
      <c r="DA162" s="17">
        <f t="shared" si="155"/>
        <v>6</v>
      </c>
      <c r="DB162" s="17">
        <f t="shared" si="156"/>
        <v>1</v>
      </c>
      <c r="DC162" s="17" t="str">
        <f>"G3+ "&amp;$D$36</f>
        <v>G3+ HFS</v>
      </c>
      <c r="DD162" s="17">
        <f t="shared" ca="1" si="157"/>
        <v>1.6166393650647163E-3</v>
      </c>
      <c r="DE162" s="956">
        <f t="shared" ca="1" si="158"/>
        <v>28.142857142857142</v>
      </c>
      <c r="DG162" s="1008">
        <f t="shared" si="159"/>
        <v>621.42499999999995</v>
      </c>
      <c r="DH162" s="1009">
        <f t="shared" si="160"/>
        <v>-0.1</v>
      </c>
      <c r="DI162" s="1007">
        <f t="shared" si="165"/>
        <v>3</v>
      </c>
    </row>
    <row r="163" spans="79:113" x14ac:dyDescent="0.2">
      <c r="CA163" s="17" t="str" cm="1">
        <f t="array" ref="CA163">INDEX(List_comparators,CB163+1)</f>
        <v>tivozanib</v>
      </c>
      <c r="CB163" s="17">
        <v>6</v>
      </c>
      <c r="CC163" s="17">
        <v>1</v>
      </c>
      <c r="CD163" s="17"/>
      <c r="CE163" s="17"/>
      <c r="CF163" s="17"/>
      <c r="CG163" s="17"/>
      <c r="CH163" s="17"/>
      <c r="CI163" s="17"/>
      <c r="CJ163" s="17"/>
      <c r="CK163" s="17"/>
      <c r="CL163" s="17" t="str">
        <v>Diarrhoea _IO induced</v>
      </c>
      <c r="CM163" s="17">
        <v>5</v>
      </c>
      <c r="CN163" s="17">
        <v>0</v>
      </c>
      <c r="CO163" s="17">
        <f t="shared" ca="1" si="153"/>
        <v>0</v>
      </c>
      <c r="CP163" s="17"/>
      <c r="CQ163" s="17">
        <f t="shared" ca="1" si="163"/>
        <v>4925</v>
      </c>
      <c r="CR163" s="17">
        <v>0</v>
      </c>
      <c r="CS163" s="17">
        <f t="shared" ca="1" si="164"/>
        <v>0</v>
      </c>
      <c r="CT163" s="17" t="str">
        <f t="shared" si="161"/>
        <v>one-off</v>
      </c>
      <c r="CU163" s="17" t="str">
        <f t="shared" si="162"/>
        <v>Yes</v>
      </c>
      <c r="CV163" s="17">
        <f t="shared" ca="1" si="166"/>
        <v>0.77</v>
      </c>
      <c r="CW163" s="17">
        <f t="shared" ca="1" si="167"/>
        <v>0</v>
      </c>
      <c r="CY163" s="657">
        <v>8</v>
      </c>
      <c r="CZ163" s="17" t="str">
        <f t="shared" si="154"/>
        <v>tivozanib</v>
      </c>
      <c r="DA163" s="17">
        <f t="shared" si="155"/>
        <v>6</v>
      </c>
      <c r="DB163" s="17">
        <f t="shared" si="156"/>
        <v>1</v>
      </c>
      <c r="DC163" s="17" t="str">
        <f>"G3+ "&amp;$D$37</f>
        <v>G3+ Hypertension</v>
      </c>
      <c r="DD163" s="17">
        <f t="shared" ca="1" si="157"/>
        <v>2.4249590475970743E-3</v>
      </c>
      <c r="DE163" s="956">
        <f t="shared" ca="1" si="158"/>
        <v>28.142857142857142</v>
      </c>
      <c r="DG163" s="1008">
        <f t="shared" si="159"/>
        <v>424.6</v>
      </c>
      <c r="DH163" s="1009">
        <f t="shared" si="160"/>
        <v>-0.1</v>
      </c>
      <c r="DI163" s="1007">
        <f t="shared" si="165"/>
        <v>3</v>
      </c>
    </row>
    <row r="164" spans="79:113" x14ac:dyDescent="0.2">
      <c r="CA164" s="17" t="str" cm="1">
        <f t="array" ref="CA164">INDEX(List_comparators,CB164+1)</f>
        <v>tivozanib</v>
      </c>
      <c r="CB164" s="17">
        <v>6</v>
      </c>
      <c r="CC164" s="17">
        <v>1</v>
      </c>
      <c r="CD164" s="17"/>
      <c r="CE164" s="17"/>
      <c r="CF164" s="17"/>
      <c r="CG164" s="17"/>
      <c r="CH164" s="17"/>
      <c r="CI164" s="17"/>
      <c r="CJ164" s="17"/>
      <c r="CK164" s="17"/>
      <c r="CL164" s="17" t="str">
        <v>Fatigue</v>
      </c>
      <c r="CM164" s="17">
        <v>6</v>
      </c>
      <c r="CN164" s="17">
        <v>0</v>
      </c>
      <c r="CO164" s="17">
        <f t="shared" ca="1" si="153"/>
        <v>0</v>
      </c>
      <c r="CP164" s="17"/>
      <c r="CQ164" s="17">
        <f t="shared" ca="1" si="163"/>
        <v>4925</v>
      </c>
      <c r="CR164" s="17">
        <v>0</v>
      </c>
      <c r="CS164" s="17">
        <f t="shared" ca="1" si="164"/>
        <v>0</v>
      </c>
      <c r="CT164" s="17" t="str">
        <f t="shared" si="161"/>
        <v>one-off</v>
      </c>
      <c r="CU164" s="17" t="str">
        <f t="shared" si="162"/>
        <v>Yes</v>
      </c>
      <c r="CV164" s="17">
        <f t="shared" ca="1" si="166"/>
        <v>0.77</v>
      </c>
      <c r="CW164" s="17">
        <f t="shared" ca="1" si="167"/>
        <v>6.8396280829661083E-4</v>
      </c>
      <c r="CY164" s="657">
        <v>9</v>
      </c>
      <c r="CZ164" s="17" t="str">
        <f t="shared" si="154"/>
        <v>tivozanib</v>
      </c>
      <c r="DA164" s="17">
        <f t="shared" si="155"/>
        <v>6</v>
      </c>
      <c r="DB164" s="17">
        <f t="shared" si="156"/>
        <v>1</v>
      </c>
      <c r="DC164" s="17" t="str">
        <f>"G3+ "&amp;$D$38</f>
        <v>G3+ Hypertriglyceridemia</v>
      </c>
      <c r="DD164" s="17">
        <f t="shared" ca="1" si="157"/>
        <v>0</v>
      </c>
      <c r="DE164" s="956">
        <f t="shared" ca="1" si="158"/>
        <v>28.142857142857142</v>
      </c>
      <c r="DG164" s="1008">
        <f t="shared" si="159"/>
        <v>0</v>
      </c>
      <c r="DH164" s="1009">
        <f t="shared" si="160"/>
        <v>-0.1</v>
      </c>
      <c r="DI164" s="1007">
        <f t="shared" si="165"/>
        <v>3</v>
      </c>
    </row>
    <row r="165" spans="79:113" x14ac:dyDescent="0.2">
      <c r="CA165" s="17" t="str" cm="1">
        <f t="array" ref="CA165">INDEX(List_comparators,CB165+1)</f>
        <v>tivozanib</v>
      </c>
      <c r="CB165" s="17">
        <v>6</v>
      </c>
      <c r="CC165" s="17">
        <v>1</v>
      </c>
      <c r="CD165" s="17"/>
      <c r="CE165" s="17"/>
      <c r="CF165" s="17"/>
      <c r="CG165" s="17"/>
      <c r="CH165" s="17"/>
      <c r="CI165" s="17"/>
      <c r="CJ165" s="17"/>
      <c r="CK165" s="17"/>
      <c r="CL165" s="17" t="str">
        <v>HFS</v>
      </c>
      <c r="CM165" s="17">
        <v>7</v>
      </c>
      <c r="CN165" s="17">
        <v>0</v>
      </c>
      <c r="CO165" s="17">
        <f t="shared" ca="1" si="153"/>
        <v>0</v>
      </c>
      <c r="CP165" s="17"/>
      <c r="CQ165" s="17">
        <f t="shared" ca="1" si="163"/>
        <v>4925</v>
      </c>
      <c r="CR165" s="17">
        <v>0</v>
      </c>
      <c r="CS165" s="17">
        <f t="shared" ca="1" si="164"/>
        <v>0</v>
      </c>
      <c r="CT165" s="17" t="str">
        <f t="shared" si="161"/>
        <v>one-off</v>
      </c>
      <c r="CU165" s="17" t="str">
        <f t="shared" si="162"/>
        <v>Yes</v>
      </c>
      <c r="CV165" s="17">
        <f t="shared" ca="1" si="166"/>
        <v>0.77</v>
      </c>
      <c r="CW165" s="17">
        <f t="shared" ca="1" si="167"/>
        <v>1.6166393650647163E-3</v>
      </c>
      <c r="CY165" s="657">
        <v>10</v>
      </c>
      <c r="CZ165" s="17" t="str">
        <f t="shared" si="154"/>
        <v>tivozanib</v>
      </c>
      <c r="DA165" s="17">
        <f t="shared" si="155"/>
        <v>6</v>
      </c>
      <c r="DB165" s="17">
        <f t="shared" si="156"/>
        <v>1</v>
      </c>
      <c r="DC165" s="17" t="str">
        <f>"G3+ "&amp;$D$39</f>
        <v>G3+ Hyponatraemia</v>
      </c>
      <c r="DD165" s="17">
        <f t="shared" ca="1" si="157"/>
        <v>8.0831968253235816E-4</v>
      </c>
      <c r="DE165" s="956">
        <f t="shared" ca="1" si="158"/>
        <v>28.142857142857142</v>
      </c>
      <c r="DG165" s="1008">
        <f t="shared" si="159"/>
        <v>574.71</v>
      </c>
      <c r="DH165" s="1009">
        <f t="shared" si="160"/>
        <v>-0.1</v>
      </c>
      <c r="DI165" s="1007">
        <f t="shared" si="165"/>
        <v>3</v>
      </c>
    </row>
    <row r="166" spans="79:113" x14ac:dyDescent="0.2">
      <c r="CA166" s="17" t="str" cm="1">
        <f t="array" ref="CA166">INDEX(List_comparators,CB166+1)</f>
        <v>tivozanib</v>
      </c>
      <c r="CB166" s="17">
        <v>6</v>
      </c>
      <c r="CC166" s="17">
        <v>1</v>
      </c>
      <c r="CD166" s="17"/>
      <c r="CE166" s="17"/>
      <c r="CF166" s="17"/>
      <c r="CG166" s="17"/>
      <c r="CH166" s="17"/>
      <c r="CI166" s="17"/>
      <c r="CJ166" s="17"/>
      <c r="CK166" s="17"/>
      <c r="CL166" s="17" t="str">
        <v>Hypertension</v>
      </c>
      <c r="CM166" s="17">
        <v>8</v>
      </c>
      <c r="CN166" s="17">
        <v>0</v>
      </c>
      <c r="CO166" s="17">
        <f t="shared" ca="1" si="153"/>
        <v>35</v>
      </c>
      <c r="CP166" s="17"/>
      <c r="CQ166" s="17">
        <f t="shared" ca="1" si="163"/>
        <v>4925</v>
      </c>
      <c r="CR166" s="17">
        <v>0</v>
      </c>
      <c r="CS166" s="17">
        <f t="shared" ca="1" si="164"/>
        <v>7.1065989847715737E-3</v>
      </c>
      <c r="CT166" s="17" t="str">
        <f t="shared" si="161"/>
        <v>one-off</v>
      </c>
      <c r="CU166" s="17" t="str">
        <f t="shared" si="162"/>
        <v>Yes</v>
      </c>
      <c r="CV166" s="17">
        <f t="shared" ca="1" si="166"/>
        <v>0.77</v>
      </c>
      <c r="CW166" s="17">
        <f t="shared" ca="1" si="167"/>
        <v>2.4249590475970743E-3</v>
      </c>
      <c r="CY166" s="657">
        <v>11</v>
      </c>
      <c r="CZ166" s="17" t="str">
        <f t="shared" si="154"/>
        <v>tivozanib</v>
      </c>
      <c r="DA166" s="17">
        <f t="shared" si="155"/>
        <v>6</v>
      </c>
      <c r="DB166" s="17">
        <f t="shared" si="156"/>
        <v>1</v>
      </c>
      <c r="DC166" s="17" t="str">
        <f>"G3+ "&amp;$D$40</f>
        <v>G3+ Hypophosphatemia</v>
      </c>
      <c r="DD166" s="17">
        <f t="shared" ca="1" si="157"/>
        <v>8.0831968253235816E-4</v>
      </c>
      <c r="DE166" s="956">
        <f t="shared" ca="1" si="158"/>
        <v>28.142857142857142</v>
      </c>
      <c r="DG166" s="1008">
        <f t="shared" si="159"/>
        <v>0</v>
      </c>
      <c r="DH166" s="1009">
        <f t="shared" si="160"/>
        <v>-0.1</v>
      </c>
      <c r="DI166" s="1007">
        <f t="shared" si="165"/>
        <v>3</v>
      </c>
    </row>
    <row r="167" spans="79:113" x14ac:dyDescent="0.2">
      <c r="CA167" s="17" t="str" cm="1">
        <f t="array" ref="CA167">INDEX(List_comparators,CB167+1)</f>
        <v>tivozanib</v>
      </c>
      <c r="CB167" s="17">
        <v>6</v>
      </c>
      <c r="CC167" s="17">
        <v>1</v>
      </c>
      <c r="CD167" s="17"/>
      <c r="CE167" s="17"/>
      <c r="CF167" s="17"/>
      <c r="CG167" s="17"/>
      <c r="CH167" s="17"/>
      <c r="CI167" s="17"/>
      <c r="CJ167" s="17"/>
      <c r="CK167" s="17"/>
      <c r="CL167" s="17" t="str">
        <v>Hypertriglyceridemia</v>
      </c>
      <c r="CM167" s="17">
        <v>9</v>
      </c>
      <c r="CN167" s="17">
        <v>0</v>
      </c>
      <c r="CO167" s="17">
        <f t="shared" ca="1" si="153"/>
        <v>0</v>
      </c>
      <c r="CP167" s="17"/>
      <c r="CQ167" s="17">
        <f t="shared" ca="1" si="163"/>
        <v>4925</v>
      </c>
      <c r="CR167" s="17">
        <v>0</v>
      </c>
      <c r="CS167" s="17">
        <f t="shared" ca="1" si="164"/>
        <v>0</v>
      </c>
      <c r="CT167" s="17" t="str">
        <f t="shared" si="161"/>
        <v>one-off</v>
      </c>
      <c r="CU167" s="17" t="str">
        <f t="shared" si="162"/>
        <v>Yes</v>
      </c>
      <c r="CV167" s="17">
        <f t="shared" ca="1" si="166"/>
        <v>0.77</v>
      </c>
      <c r="CW167" s="17">
        <f t="shared" ca="1" si="167"/>
        <v>0</v>
      </c>
      <c r="CY167" s="657">
        <v>12</v>
      </c>
      <c r="CZ167" s="17" t="str">
        <f t="shared" si="154"/>
        <v>tivozanib</v>
      </c>
      <c r="DA167" s="17">
        <f t="shared" si="155"/>
        <v>6</v>
      </c>
      <c r="DB167" s="17">
        <f t="shared" si="156"/>
        <v>1</v>
      </c>
      <c r="DC167" s="17" t="str">
        <f>"G3+ "&amp;$D$41</f>
        <v>G3+ Increase in lipase</v>
      </c>
      <c r="DD167" s="17">
        <f t="shared" ca="1" si="157"/>
        <v>0</v>
      </c>
      <c r="DE167" s="956">
        <f t="shared" ca="1" si="158"/>
        <v>28.142857142857142</v>
      </c>
      <c r="DG167" s="1008">
        <f t="shared" si="159"/>
        <v>655.75</v>
      </c>
      <c r="DH167" s="1009">
        <f t="shared" si="160"/>
        <v>-0.1</v>
      </c>
      <c r="DI167" s="1007">
        <f t="shared" si="165"/>
        <v>3</v>
      </c>
    </row>
    <row r="168" spans="79:113" x14ac:dyDescent="0.2">
      <c r="CA168" s="17" t="str" cm="1">
        <f t="array" ref="CA168">INDEX(List_comparators,CB168+1)</f>
        <v>tivozanib</v>
      </c>
      <c r="CB168" s="17">
        <v>6</v>
      </c>
      <c r="CC168" s="17">
        <v>1</v>
      </c>
      <c r="CD168" s="17"/>
      <c r="CE168" s="17"/>
      <c r="CF168" s="17"/>
      <c r="CG168" s="17"/>
      <c r="CH168" s="17"/>
      <c r="CI168" s="17"/>
      <c r="CJ168" s="17"/>
      <c r="CK168" s="17"/>
      <c r="CL168" s="17" t="str">
        <v>Hyponatraemia</v>
      </c>
      <c r="CM168" s="17">
        <v>10</v>
      </c>
      <c r="CN168" s="17">
        <v>0</v>
      </c>
      <c r="CO168" s="17">
        <f t="shared" ca="1" si="153"/>
        <v>0</v>
      </c>
      <c r="CP168" s="17"/>
      <c r="CQ168" s="17">
        <f t="shared" ca="1" si="163"/>
        <v>4925</v>
      </c>
      <c r="CR168" s="17">
        <v>0</v>
      </c>
      <c r="CS168" s="17">
        <f t="shared" ca="1" si="164"/>
        <v>0</v>
      </c>
      <c r="CT168" s="17" t="str">
        <f t="shared" si="161"/>
        <v>one-off</v>
      </c>
      <c r="CU168" s="17" t="str">
        <f t="shared" si="162"/>
        <v>Yes</v>
      </c>
      <c r="CV168" s="17">
        <f t="shared" ca="1" si="166"/>
        <v>0.77</v>
      </c>
      <c r="CW168" s="17">
        <f t="shared" ca="1" si="167"/>
        <v>8.0831968253235816E-4</v>
      </c>
      <c r="CY168" s="657">
        <v>13</v>
      </c>
      <c r="CZ168" s="17" t="str">
        <f t="shared" si="154"/>
        <v>tivozanib</v>
      </c>
      <c r="DA168" s="17">
        <f t="shared" si="155"/>
        <v>6</v>
      </c>
      <c r="DB168" s="17">
        <f t="shared" si="156"/>
        <v>1</v>
      </c>
      <c r="DC168" s="17" t="str">
        <f>"G3+ "&amp;$D$42</f>
        <v>G3+ Increased AST</v>
      </c>
      <c r="DD168" s="17">
        <f t="shared" ca="1" si="157"/>
        <v>0</v>
      </c>
      <c r="DE168" s="956">
        <f t="shared" ca="1" si="158"/>
        <v>28.142857142857142</v>
      </c>
      <c r="DG168" s="1008">
        <f t="shared" si="159"/>
        <v>0</v>
      </c>
      <c r="DH168" s="1009">
        <f t="shared" si="160"/>
        <v>-0.1</v>
      </c>
      <c r="DI168" s="1007">
        <f t="shared" si="165"/>
        <v>3</v>
      </c>
    </row>
    <row r="169" spans="79:113" x14ac:dyDescent="0.2">
      <c r="CA169" s="17" t="str" cm="1">
        <f t="array" ref="CA169">INDEX(List_comparators,CB169+1)</f>
        <v>tivozanib</v>
      </c>
      <c r="CB169" s="17">
        <v>6</v>
      </c>
      <c r="CC169" s="17">
        <v>1</v>
      </c>
      <c r="CD169" s="17"/>
      <c r="CE169" s="17"/>
      <c r="CF169" s="17"/>
      <c r="CG169" s="17"/>
      <c r="CH169" s="17"/>
      <c r="CI169" s="17"/>
      <c r="CJ169" s="17"/>
      <c r="CK169" s="17"/>
      <c r="CL169" s="17" t="str">
        <v>Hypophosphatemia</v>
      </c>
      <c r="CM169" s="17">
        <v>11</v>
      </c>
      <c r="CN169" s="17">
        <v>0</v>
      </c>
      <c r="CO169" s="17">
        <f t="shared" ca="1" si="153"/>
        <v>0</v>
      </c>
      <c r="CP169" s="17"/>
      <c r="CQ169" s="17">
        <f t="shared" ca="1" si="163"/>
        <v>4925</v>
      </c>
      <c r="CR169" s="17">
        <v>0</v>
      </c>
      <c r="CS169" s="17">
        <f t="shared" ca="1" si="164"/>
        <v>0</v>
      </c>
      <c r="CT169" s="17" t="str">
        <f t="shared" si="161"/>
        <v>one-off</v>
      </c>
      <c r="CU169" s="17" t="str">
        <f t="shared" si="162"/>
        <v>Yes</v>
      </c>
      <c r="CV169" s="17">
        <f t="shared" ca="1" si="166"/>
        <v>0.77</v>
      </c>
      <c r="CW169" s="17">
        <f t="shared" ca="1" si="167"/>
        <v>8.0831968253235816E-4</v>
      </c>
      <c r="CY169" s="657">
        <v>14</v>
      </c>
      <c r="CZ169" s="17" t="str">
        <f t="shared" si="154"/>
        <v>tivozanib</v>
      </c>
      <c r="DA169" s="17">
        <f t="shared" si="155"/>
        <v>6</v>
      </c>
      <c r="DB169" s="17">
        <f t="shared" si="156"/>
        <v>1</v>
      </c>
      <c r="DC169" s="17" t="str">
        <f>"G3+ "&amp;$D$43</f>
        <v>G3+ Leukopenia</v>
      </c>
      <c r="DD169" s="17">
        <f t="shared" ca="1" si="157"/>
        <v>0</v>
      </c>
      <c r="DE169" s="956">
        <f t="shared" ca="1" si="158"/>
        <v>28.142857142857142</v>
      </c>
      <c r="DG169" s="1008">
        <f t="shared" si="159"/>
        <v>0</v>
      </c>
      <c r="DH169" s="1009">
        <f t="shared" si="160"/>
        <v>-0.1</v>
      </c>
      <c r="DI169" s="1007">
        <f t="shared" si="165"/>
        <v>3</v>
      </c>
    </row>
    <row r="170" spans="79:113" x14ac:dyDescent="0.2">
      <c r="CA170" s="17" t="str" cm="1">
        <f t="array" ref="CA170">INDEX(List_comparators,CB170+1)</f>
        <v>tivozanib</v>
      </c>
      <c r="CB170" s="17">
        <v>6</v>
      </c>
      <c r="CC170" s="17">
        <v>1</v>
      </c>
      <c r="CD170" s="17"/>
      <c r="CE170" s="17"/>
      <c r="CF170" s="17"/>
      <c r="CG170" s="17"/>
      <c r="CH170" s="17"/>
      <c r="CI170" s="17"/>
      <c r="CJ170" s="17"/>
      <c r="CK170" s="17"/>
      <c r="CL170" s="17" t="str">
        <v>Increase in lipase</v>
      </c>
      <c r="CM170" s="17">
        <v>12</v>
      </c>
      <c r="CN170" s="17">
        <v>0</v>
      </c>
      <c r="CO170" s="17">
        <f t="shared" ca="1" si="153"/>
        <v>0</v>
      </c>
      <c r="CP170" s="17"/>
      <c r="CQ170" s="17">
        <f t="shared" ca="1" si="163"/>
        <v>4925</v>
      </c>
      <c r="CR170" s="17">
        <v>0</v>
      </c>
      <c r="CS170" s="17">
        <f t="shared" ca="1" si="164"/>
        <v>0</v>
      </c>
      <c r="CT170" s="17" t="str">
        <f t="shared" si="161"/>
        <v>one-off</v>
      </c>
      <c r="CU170" s="17" t="str">
        <f t="shared" si="162"/>
        <v>Yes</v>
      </c>
      <c r="CV170" s="17">
        <f t="shared" ca="1" si="166"/>
        <v>0.77</v>
      </c>
      <c r="CW170" s="17">
        <f t="shared" ca="1" si="167"/>
        <v>0</v>
      </c>
      <c r="CY170" s="657">
        <v>15</v>
      </c>
      <c r="CZ170" s="17" t="str">
        <f t="shared" si="154"/>
        <v>tivozanib</v>
      </c>
      <c r="DA170" s="17">
        <f t="shared" si="155"/>
        <v>6</v>
      </c>
      <c r="DB170" s="17">
        <f t="shared" si="156"/>
        <v>1</v>
      </c>
      <c r="DC170" s="17" t="str">
        <f>"G3+ "&amp;$D$44</f>
        <v>G3+ Lymphopenia</v>
      </c>
      <c r="DD170" s="17">
        <f t="shared" ca="1" si="157"/>
        <v>0</v>
      </c>
      <c r="DE170" s="956">
        <f t="shared" ca="1" si="158"/>
        <v>28.142857142857142</v>
      </c>
      <c r="DG170" s="1008">
        <f t="shared" si="159"/>
        <v>679.97</v>
      </c>
      <c r="DH170" s="1009">
        <f t="shared" si="160"/>
        <v>-0.1</v>
      </c>
      <c r="DI170" s="1007">
        <f t="shared" si="165"/>
        <v>3</v>
      </c>
    </row>
    <row r="171" spans="79:113" x14ac:dyDescent="0.2">
      <c r="CA171" s="17" t="str" cm="1">
        <f t="array" ref="CA171">INDEX(List_comparators,CB171+1)</f>
        <v>tivozanib</v>
      </c>
      <c r="CB171" s="17">
        <v>6</v>
      </c>
      <c r="CC171" s="17">
        <v>1</v>
      </c>
      <c r="CD171" s="17"/>
      <c r="CE171" s="17"/>
      <c r="CF171" s="17"/>
      <c r="CG171" s="17"/>
      <c r="CH171" s="17"/>
      <c r="CI171" s="17"/>
      <c r="CJ171" s="17"/>
      <c r="CK171" s="17"/>
      <c r="CL171" s="17" t="str">
        <v>Increased AST</v>
      </c>
      <c r="CM171" s="17">
        <v>13</v>
      </c>
      <c r="CN171" s="17">
        <v>0</v>
      </c>
      <c r="CO171" s="17">
        <f t="shared" ca="1" si="153"/>
        <v>0</v>
      </c>
      <c r="CP171" s="17"/>
      <c r="CQ171" s="17">
        <f t="shared" ca="1" si="163"/>
        <v>4925</v>
      </c>
      <c r="CR171" s="17">
        <v>0</v>
      </c>
      <c r="CS171" s="17">
        <f t="shared" ca="1" si="164"/>
        <v>0</v>
      </c>
      <c r="CT171" s="17" t="str">
        <f t="shared" si="161"/>
        <v>one-off</v>
      </c>
      <c r="CU171" s="17" t="str">
        <f t="shared" si="162"/>
        <v>Yes</v>
      </c>
      <c r="CV171" s="17">
        <f t="shared" ca="1" si="166"/>
        <v>0.77</v>
      </c>
      <c r="CW171" s="17">
        <f t="shared" ca="1" si="167"/>
        <v>0</v>
      </c>
      <c r="CY171" s="657">
        <v>16</v>
      </c>
      <c r="CZ171" s="17" t="str">
        <f t="shared" si="154"/>
        <v>tivozanib</v>
      </c>
      <c r="DA171" s="17">
        <f t="shared" si="155"/>
        <v>6</v>
      </c>
      <c r="DB171" s="17">
        <f t="shared" si="156"/>
        <v>1</v>
      </c>
      <c r="DC171" s="17" t="str">
        <f>"G3+ "&amp;$D$45</f>
        <v>G3+ Nausea</v>
      </c>
      <c r="DD171" s="17">
        <f t="shared" ca="1" si="157"/>
        <v>0</v>
      </c>
      <c r="DE171" s="956">
        <f t="shared" ca="1" si="158"/>
        <v>28.142857142857142</v>
      </c>
      <c r="DG171" s="1008">
        <f t="shared" si="159"/>
        <v>801.11</v>
      </c>
      <c r="DH171" s="1009">
        <f t="shared" si="160"/>
        <v>-0.1</v>
      </c>
      <c r="DI171" s="1007">
        <f t="shared" si="165"/>
        <v>3</v>
      </c>
    </row>
    <row r="172" spans="79:113" x14ac:dyDescent="0.2">
      <c r="CA172" s="17" t="str" cm="1">
        <f t="array" ref="CA172">INDEX(List_comparators,CB172+1)</f>
        <v>tivozanib</v>
      </c>
      <c r="CB172" s="17">
        <v>6</v>
      </c>
      <c r="CC172" s="17">
        <v>1</v>
      </c>
      <c r="CD172" s="17"/>
      <c r="CE172" s="17"/>
      <c r="CF172" s="17"/>
      <c r="CG172" s="17"/>
      <c r="CH172" s="17"/>
      <c r="CI172" s="17"/>
      <c r="CJ172" s="17"/>
      <c r="CK172" s="17"/>
      <c r="CL172" s="17" t="str">
        <v>Leukopenia</v>
      </c>
      <c r="CM172" s="17">
        <v>14</v>
      </c>
      <c r="CN172" s="17">
        <v>0</v>
      </c>
      <c r="CO172" s="17">
        <f t="shared" ca="1" si="153"/>
        <v>0</v>
      </c>
      <c r="CP172" s="17"/>
      <c r="CQ172" s="17">
        <f t="shared" ca="1" si="163"/>
        <v>4925</v>
      </c>
      <c r="CR172" s="17">
        <v>0</v>
      </c>
      <c r="CS172" s="17">
        <f t="shared" ca="1" si="164"/>
        <v>0</v>
      </c>
      <c r="CT172" s="17" t="str">
        <f t="shared" si="161"/>
        <v>one-off</v>
      </c>
      <c r="CU172" s="17" t="str">
        <f t="shared" si="162"/>
        <v>Yes</v>
      </c>
      <c r="CV172" s="17">
        <f t="shared" ca="1" si="166"/>
        <v>0.77</v>
      </c>
      <c r="CW172" s="17">
        <f t="shared" ca="1" si="167"/>
        <v>0</v>
      </c>
      <c r="CY172" s="657">
        <v>17</v>
      </c>
      <c r="CZ172" s="17" t="str">
        <f t="shared" si="154"/>
        <v>tivozanib</v>
      </c>
      <c r="DA172" s="17">
        <f t="shared" si="155"/>
        <v>6</v>
      </c>
      <c r="DB172" s="17">
        <f t="shared" si="156"/>
        <v>1</v>
      </c>
      <c r="DC172" s="17" t="str">
        <f>"G3+ "&amp;$D$46</f>
        <v>G3+ Neutropenia</v>
      </c>
      <c r="DD172" s="17">
        <f t="shared" ca="1" si="157"/>
        <v>0</v>
      </c>
      <c r="DE172" s="956">
        <f t="shared" ca="1" si="158"/>
        <v>28.142857142857142</v>
      </c>
      <c r="DG172" s="1008">
        <f t="shared" si="159"/>
        <v>655.75</v>
      </c>
      <c r="DH172" s="1009">
        <f t="shared" si="160"/>
        <v>-0.1</v>
      </c>
      <c r="DI172" s="1007">
        <f t="shared" si="165"/>
        <v>3</v>
      </c>
    </row>
    <row r="173" spans="79:113" x14ac:dyDescent="0.2">
      <c r="CA173" s="17" t="str" cm="1">
        <f t="array" ref="CA173">INDEX(List_comparators,CB173+1)</f>
        <v>tivozanib</v>
      </c>
      <c r="CB173" s="17">
        <v>6</v>
      </c>
      <c r="CC173" s="17">
        <v>1</v>
      </c>
      <c r="CD173" s="17"/>
      <c r="CE173" s="17"/>
      <c r="CF173" s="17"/>
      <c r="CG173" s="17"/>
      <c r="CH173" s="17"/>
      <c r="CI173" s="17"/>
      <c r="CJ173" s="17"/>
      <c r="CK173" s="17"/>
      <c r="CL173" s="17" t="str">
        <v>Lymphopenia</v>
      </c>
      <c r="CM173" s="17">
        <v>15</v>
      </c>
      <c r="CN173" s="17">
        <v>0</v>
      </c>
      <c r="CO173" s="17">
        <f t="shared" ca="1" si="153"/>
        <v>0</v>
      </c>
      <c r="CP173" s="17"/>
      <c r="CQ173" s="17">
        <f t="shared" ca="1" si="163"/>
        <v>4925</v>
      </c>
      <c r="CR173" s="17">
        <v>0</v>
      </c>
      <c r="CS173" s="17">
        <f t="shared" ca="1" si="164"/>
        <v>0</v>
      </c>
      <c r="CT173" s="17" t="str">
        <f t="shared" si="161"/>
        <v>one-off</v>
      </c>
      <c r="CU173" s="17" t="str">
        <f t="shared" si="162"/>
        <v>Yes</v>
      </c>
      <c r="CV173" s="17">
        <f t="shared" ca="1" si="166"/>
        <v>0.77</v>
      </c>
      <c r="CW173" s="17">
        <f t="shared" ca="1" si="167"/>
        <v>0</v>
      </c>
      <c r="CY173" s="657">
        <v>18</v>
      </c>
      <c r="CZ173" s="17" t="str">
        <f t="shared" si="154"/>
        <v>tivozanib</v>
      </c>
      <c r="DA173" s="17">
        <f t="shared" si="155"/>
        <v>6</v>
      </c>
      <c r="DB173" s="17">
        <f t="shared" si="156"/>
        <v>1</v>
      </c>
      <c r="DC173" s="17" t="str">
        <f>"G3+ "&amp;$D$47</f>
        <v>G3+ Platelets count decreased</v>
      </c>
      <c r="DD173" s="17">
        <f t="shared" ca="1" si="157"/>
        <v>0</v>
      </c>
      <c r="DE173" s="956">
        <f t="shared" ca="1" si="158"/>
        <v>28.142857142857142</v>
      </c>
      <c r="DG173" s="1008">
        <f t="shared" si="159"/>
        <v>801.11</v>
      </c>
      <c r="DH173" s="1009">
        <f t="shared" si="160"/>
        <v>-0.1</v>
      </c>
      <c r="DI173" s="1007">
        <f t="shared" si="165"/>
        <v>3</v>
      </c>
    </row>
    <row r="174" spans="79:113" x14ac:dyDescent="0.2">
      <c r="CA174" s="17" t="str" cm="1">
        <f t="array" ref="CA174">INDEX(List_comparators,CB174+1)</f>
        <v>tivozanib</v>
      </c>
      <c r="CB174" s="17">
        <v>6</v>
      </c>
      <c r="CC174" s="17">
        <v>1</v>
      </c>
      <c r="CD174" s="17"/>
      <c r="CE174" s="17"/>
      <c r="CF174" s="17"/>
      <c r="CG174" s="17"/>
      <c r="CH174" s="17"/>
      <c r="CI174" s="17"/>
      <c r="CJ174" s="17"/>
      <c r="CK174" s="17"/>
      <c r="CL174" s="17" t="str">
        <v>Nausea</v>
      </c>
      <c r="CM174" s="17">
        <v>16</v>
      </c>
      <c r="CN174" s="17">
        <v>0</v>
      </c>
      <c r="CO174" s="17">
        <f t="shared" ca="1" si="153"/>
        <v>0</v>
      </c>
      <c r="CP174" s="17"/>
      <c r="CQ174" s="17">
        <f t="shared" ca="1" si="163"/>
        <v>4925</v>
      </c>
      <c r="CR174" s="17">
        <v>0</v>
      </c>
      <c r="CS174" s="17">
        <f t="shared" ca="1" si="164"/>
        <v>0</v>
      </c>
      <c r="CT174" s="17" t="str">
        <f t="shared" si="161"/>
        <v>one-off</v>
      </c>
      <c r="CU174" s="17" t="str">
        <f t="shared" si="162"/>
        <v>Yes</v>
      </c>
      <c r="CV174" s="17">
        <f t="shared" ca="1" si="166"/>
        <v>0.77</v>
      </c>
      <c r="CW174" s="17">
        <f t="shared" ca="1" si="167"/>
        <v>0</v>
      </c>
      <c r="CY174" s="657">
        <v>19</v>
      </c>
      <c r="CZ174" s="17" t="str">
        <f t="shared" si="154"/>
        <v>tivozanib</v>
      </c>
      <c r="DA174" s="17">
        <f t="shared" si="155"/>
        <v>6</v>
      </c>
      <c r="DB174" s="17">
        <f t="shared" si="156"/>
        <v>1</v>
      </c>
      <c r="DC174" s="17" t="str">
        <f>"G3+ "&amp;$D$48</f>
        <v>G3+ Proteinuria</v>
      </c>
      <c r="DD174" s="17">
        <f t="shared" ca="1" si="157"/>
        <v>0</v>
      </c>
      <c r="DE174" s="956">
        <f t="shared" ca="1" si="158"/>
        <v>28.142857142857142</v>
      </c>
      <c r="DG174" s="1008">
        <f t="shared" si="159"/>
        <v>220.87</v>
      </c>
      <c r="DH174" s="1009">
        <f t="shared" si="160"/>
        <v>-0.1</v>
      </c>
      <c r="DI174" s="1007">
        <f t="shared" si="165"/>
        <v>3</v>
      </c>
    </row>
    <row r="175" spans="79:113" x14ac:dyDescent="0.2">
      <c r="CA175" s="17" t="str" cm="1">
        <f t="array" ref="CA175">INDEX(List_comparators,CB175+1)</f>
        <v>tivozanib</v>
      </c>
      <c r="CB175" s="17">
        <v>6</v>
      </c>
      <c r="CC175" s="17">
        <v>1</v>
      </c>
      <c r="CD175" s="17"/>
      <c r="CE175" s="17"/>
      <c r="CF175" s="17"/>
      <c r="CG175" s="17"/>
      <c r="CH175" s="17"/>
      <c r="CI175" s="17"/>
      <c r="CJ175" s="17"/>
      <c r="CK175" s="17"/>
      <c r="CL175" s="17" t="str">
        <v>Neutropenia</v>
      </c>
      <c r="CM175" s="17">
        <v>17</v>
      </c>
      <c r="CN175" s="17">
        <v>0</v>
      </c>
      <c r="CO175" s="17">
        <f t="shared" ca="1" si="153"/>
        <v>0</v>
      </c>
      <c r="CP175" s="17"/>
      <c r="CQ175" s="17">
        <f t="shared" ca="1" si="163"/>
        <v>4925</v>
      </c>
      <c r="CR175" s="17">
        <v>0</v>
      </c>
      <c r="CS175" s="17">
        <f t="shared" ca="1" si="164"/>
        <v>0</v>
      </c>
      <c r="CT175" s="17" t="str">
        <f t="shared" si="161"/>
        <v>one-off</v>
      </c>
      <c r="CU175" s="17" t="str">
        <f t="shared" si="162"/>
        <v>Yes</v>
      </c>
      <c r="CV175" s="17">
        <f t="shared" ca="1" si="166"/>
        <v>0.77</v>
      </c>
      <c r="CW175" s="17">
        <f t="shared" ca="1" si="167"/>
        <v>0</v>
      </c>
      <c r="CY175" s="657">
        <v>20</v>
      </c>
      <c r="CZ175" s="17" t="str">
        <f t="shared" si="154"/>
        <v>tivozanib</v>
      </c>
      <c r="DA175" s="17">
        <f t="shared" si="155"/>
        <v>6</v>
      </c>
      <c r="DB175" s="17">
        <f t="shared" si="156"/>
        <v>1</v>
      </c>
      <c r="DC175" s="17" t="str">
        <f>"G3+ "&amp;$D$49</f>
        <v>G3+ Stomatitis</v>
      </c>
      <c r="DD175" s="17">
        <f t="shared" ca="1" si="157"/>
        <v>0</v>
      </c>
      <c r="DE175" s="956">
        <f t="shared" ca="1" si="158"/>
        <v>28.142857142857142</v>
      </c>
      <c r="DG175" s="1008">
        <f t="shared" si="159"/>
        <v>801.11</v>
      </c>
      <c r="DH175" s="1009">
        <f t="shared" si="160"/>
        <v>-0.1</v>
      </c>
      <c r="DI175" s="1007">
        <f t="shared" si="165"/>
        <v>3</v>
      </c>
    </row>
    <row r="176" spans="79:113" x14ac:dyDescent="0.2">
      <c r="CA176" s="17" t="str" cm="1">
        <f t="array" ref="CA176">INDEX(List_comparators,CB176+1)</f>
        <v>tivozanib</v>
      </c>
      <c r="CB176" s="17">
        <v>6</v>
      </c>
      <c r="CC176" s="17">
        <v>1</v>
      </c>
      <c r="CD176" s="17"/>
      <c r="CE176" s="17"/>
      <c r="CF176" s="17"/>
      <c r="CG176" s="17"/>
      <c r="CH176" s="17"/>
      <c r="CI176" s="17"/>
      <c r="CJ176" s="17"/>
      <c r="CK176" s="17"/>
      <c r="CL176" s="17" t="str">
        <v>Platelets count decreased</v>
      </c>
      <c r="CM176" s="17">
        <v>18</v>
      </c>
      <c r="CN176" s="17">
        <v>0</v>
      </c>
      <c r="CO176" s="17">
        <f t="shared" ca="1" si="153"/>
        <v>0</v>
      </c>
      <c r="CP176" s="17"/>
      <c r="CQ176" s="17">
        <f t="shared" ca="1" si="163"/>
        <v>4925</v>
      </c>
      <c r="CR176" s="17">
        <v>0</v>
      </c>
      <c r="CS176" s="17">
        <f t="shared" ca="1" si="164"/>
        <v>0</v>
      </c>
      <c r="CT176" s="17" t="str">
        <f t="shared" si="161"/>
        <v>one-off</v>
      </c>
      <c r="CU176" s="17" t="str">
        <f t="shared" si="162"/>
        <v>Yes</v>
      </c>
      <c r="CV176" s="17">
        <f t="shared" ca="1" si="166"/>
        <v>0.77</v>
      </c>
      <c r="CW176" s="17">
        <f t="shared" ca="1" si="167"/>
        <v>0</v>
      </c>
      <c r="CY176" s="657">
        <v>21</v>
      </c>
      <c r="CZ176" s="17" t="str">
        <f t="shared" si="154"/>
        <v>tivozanib</v>
      </c>
      <c r="DA176" s="17">
        <f t="shared" si="155"/>
        <v>6</v>
      </c>
      <c r="DB176" s="17">
        <f t="shared" si="156"/>
        <v>1</v>
      </c>
      <c r="DC176" s="17" t="str">
        <f>"G3+ "&amp;$D$50</f>
        <v>G3+ Vomiting</v>
      </c>
      <c r="DD176" s="17">
        <f t="shared" ca="1" si="157"/>
        <v>0</v>
      </c>
      <c r="DE176" s="956">
        <f t="shared" ca="1" si="158"/>
        <v>28.142857142857142</v>
      </c>
      <c r="DG176" s="1008">
        <f t="shared" si="159"/>
        <v>801.11</v>
      </c>
      <c r="DH176" s="1009">
        <f t="shared" si="160"/>
        <v>-0.1</v>
      </c>
      <c r="DI176" s="1007">
        <f t="shared" si="165"/>
        <v>3</v>
      </c>
    </row>
    <row r="177" spans="79:113" x14ac:dyDescent="0.2">
      <c r="CA177" s="17" t="str" cm="1">
        <f t="array" ref="CA177">INDEX(List_comparators,CB177+1)</f>
        <v>tivozanib</v>
      </c>
      <c r="CB177" s="17">
        <v>6</v>
      </c>
      <c r="CC177" s="17">
        <v>1</v>
      </c>
      <c r="CD177" s="17"/>
      <c r="CE177" s="17"/>
      <c r="CF177" s="17"/>
      <c r="CG177" s="17"/>
      <c r="CH177" s="17"/>
      <c r="CI177" s="17"/>
      <c r="CJ177" s="17"/>
      <c r="CK177" s="17"/>
      <c r="CL177" s="17" t="str">
        <v>Proteinuria</v>
      </c>
      <c r="CM177" s="17">
        <v>19</v>
      </c>
      <c r="CN177" s="17">
        <v>0</v>
      </c>
      <c r="CO177" s="17">
        <f t="shared" ca="1" si="153"/>
        <v>0</v>
      </c>
      <c r="CP177" s="17"/>
      <c r="CQ177" s="17">
        <f t="shared" ca="1" si="163"/>
        <v>4925</v>
      </c>
      <c r="CR177" s="17">
        <v>0</v>
      </c>
      <c r="CS177" s="17">
        <f t="shared" ca="1" si="164"/>
        <v>0</v>
      </c>
      <c r="CT177" s="17" t="str">
        <f t="shared" si="161"/>
        <v>one-off</v>
      </c>
      <c r="CU177" s="17" t="str">
        <f t="shared" si="162"/>
        <v>Yes</v>
      </c>
      <c r="CV177" s="17">
        <f t="shared" ca="1" si="166"/>
        <v>0.77</v>
      </c>
      <c r="CW177" s="17">
        <f t="shared" ca="1" si="167"/>
        <v>0</v>
      </c>
      <c r="CY177" s="657">
        <v>22</v>
      </c>
      <c r="CZ177" s="17" t="str">
        <f t="shared" si="154"/>
        <v>tivozanib</v>
      </c>
      <c r="DA177" s="17">
        <f t="shared" si="155"/>
        <v>6</v>
      </c>
      <c r="DB177" s="17">
        <f t="shared" si="156"/>
        <v>1</v>
      </c>
      <c r="DC177" s="17" t="str">
        <f>"G3+ "&amp;$D$51</f>
        <v>G3+ Weight loss</v>
      </c>
      <c r="DD177" s="17">
        <f t="shared" ca="1" si="157"/>
        <v>0</v>
      </c>
      <c r="DE177" s="956">
        <f t="shared" ca="1" si="158"/>
        <v>28.142857142857142</v>
      </c>
      <c r="DG177" s="1008">
        <f t="shared" si="159"/>
        <v>801.11</v>
      </c>
      <c r="DH177" s="1009">
        <f t="shared" si="160"/>
        <v>-0.1</v>
      </c>
      <c r="DI177" s="1007">
        <f t="shared" si="165"/>
        <v>3</v>
      </c>
    </row>
    <row r="178" spans="79:113" x14ac:dyDescent="0.2">
      <c r="CA178" s="17" t="str" cm="1">
        <f t="array" ref="CA178">INDEX(List_comparators,CB178+1)</f>
        <v>tivozanib</v>
      </c>
      <c r="CB178" s="17">
        <v>6</v>
      </c>
      <c r="CC178" s="17">
        <v>1</v>
      </c>
      <c r="CD178" s="17"/>
      <c r="CE178" s="17"/>
      <c r="CF178" s="17"/>
      <c r="CG178" s="17"/>
      <c r="CH178" s="17"/>
      <c r="CI178" s="17"/>
      <c r="CJ178" s="17"/>
      <c r="CK178" s="17"/>
      <c r="CL178" s="17" t="str">
        <v>Stomatitis</v>
      </c>
      <c r="CM178" s="17">
        <v>20</v>
      </c>
      <c r="CN178" s="17">
        <v>0</v>
      </c>
      <c r="CO178" s="17">
        <f t="shared" ca="1" si="153"/>
        <v>0</v>
      </c>
      <c r="CP178" s="17"/>
      <c r="CQ178" s="17">
        <f t="shared" ca="1" si="163"/>
        <v>4925</v>
      </c>
      <c r="CR178" s="17">
        <v>0</v>
      </c>
      <c r="CS178" s="17">
        <f t="shared" ca="1" si="164"/>
        <v>0</v>
      </c>
      <c r="CT178" s="17" t="str">
        <f t="shared" si="161"/>
        <v>one-off</v>
      </c>
      <c r="CU178" s="17" t="str">
        <f t="shared" si="162"/>
        <v>Yes</v>
      </c>
      <c r="CV178" s="17">
        <f t="shared" ca="1" si="166"/>
        <v>0.77</v>
      </c>
      <c r="CW178" s="17">
        <f t="shared" ca="1" si="167"/>
        <v>0</v>
      </c>
      <c r="CY178" s="657">
        <v>1</v>
      </c>
      <c r="CZ178" s="17" t="str">
        <f t="shared" ref="CZ178:DB180" si="168">CA177</f>
        <v>tivozanib</v>
      </c>
      <c r="DA178" s="17">
        <f t="shared" si="168"/>
        <v>6</v>
      </c>
      <c r="DB178" s="17">
        <f t="shared" si="168"/>
        <v>1</v>
      </c>
      <c r="DC178" s="17" t="str">
        <f>"G1&amp;2 "&amp;$D$18</f>
        <v>G1&amp;2 Diarrhoea</v>
      </c>
      <c r="DD178" s="17">
        <f ca="1">CHOOSE(i_AE_NMA_option_num,OFFSET($S$86,$CY178-1,$DA178),OFFSET($AG$18,$CY178-1,$DA178))</f>
        <v>7.3096446700507611E-3</v>
      </c>
      <c r="DE178" s="956">
        <f ca="1">OFFSET($S$18,$CY178-1,$DA178)/INDEX($DT$14:$DT$27,MATCH(DA178,$DR$14:$DR$27,0))</f>
        <v>28.142857142857142</v>
      </c>
      <c r="DG178" s="1008">
        <f t="shared" si="159"/>
        <v>220.87</v>
      </c>
      <c r="DH178" s="1009">
        <f t="shared" si="160"/>
        <v>-0.05</v>
      </c>
      <c r="DI178" s="1007">
        <f t="shared" si="165"/>
        <v>3</v>
      </c>
    </row>
    <row r="179" spans="79:113" ht="15.75" thickBot="1" x14ac:dyDescent="0.25">
      <c r="CA179" s="622" t="str" cm="1">
        <f t="array" ref="CA179">INDEX(List_comparators,CB179+1)</f>
        <v>tivozanib</v>
      </c>
      <c r="CB179" s="622">
        <v>6</v>
      </c>
      <c r="CC179" s="622">
        <v>1</v>
      </c>
      <c r="CD179" s="622"/>
      <c r="CE179" s="622"/>
      <c r="CF179" s="622"/>
      <c r="CG179" s="622"/>
      <c r="CH179" s="622"/>
      <c r="CI179" s="622"/>
      <c r="CJ179" s="622"/>
      <c r="CK179" s="622"/>
      <c r="CL179" s="622" t="str">
        <v>Vomiting</v>
      </c>
      <c r="CM179" s="622">
        <v>21</v>
      </c>
      <c r="CN179" s="622">
        <v>0</v>
      </c>
      <c r="CO179" s="622">
        <f t="shared" ca="1" si="153"/>
        <v>0</v>
      </c>
      <c r="CP179" s="622"/>
      <c r="CQ179" s="622">
        <f t="shared" ca="1" si="163"/>
        <v>4925</v>
      </c>
      <c r="CR179" s="622">
        <v>0</v>
      </c>
      <c r="CS179" s="622">
        <f t="shared" ca="1" si="164"/>
        <v>0</v>
      </c>
      <c r="CT179" s="622" t="str">
        <f t="shared" si="161"/>
        <v>one-off</v>
      </c>
      <c r="CU179" s="622" t="str">
        <f t="shared" si="162"/>
        <v>Yes</v>
      </c>
      <c r="CV179" s="622">
        <f t="shared" ca="1" si="166"/>
        <v>0.77</v>
      </c>
      <c r="CW179" s="622">
        <f t="shared" ca="1" si="167"/>
        <v>0</v>
      </c>
      <c r="CY179" s="657">
        <v>2</v>
      </c>
      <c r="CZ179" s="17" t="str">
        <f t="shared" si="168"/>
        <v>tivozanib</v>
      </c>
      <c r="DA179" s="17">
        <f t="shared" si="168"/>
        <v>6</v>
      </c>
      <c r="DB179" s="17">
        <f t="shared" si="168"/>
        <v>1</v>
      </c>
      <c r="DC179" s="17" t="str">
        <f>"G1&amp;2 "&amp;$D$19</f>
        <v>G1&amp;2 Fatigue</v>
      </c>
      <c r="DD179" s="17">
        <f ca="1">CHOOSE(i_AE_NMA_option_num,OFFSET($S$86,$CY179-1,$DA179),OFFSET($AG$18,$CY179-1,$DA179))</f>
        <v>1.5463959390862946E-2</v>
      </c>
      <c r="DE179" s="956">
        <f ca="1">OFFSET($S$18,$CY178-1,$DA179)/INDEX($DT$14:$DT$27,MATCH(DA179,$DR$14:$DR$27,0))</f>
        <v>28.142857142857142</v>
      </c>
      <c r="DG179" s="1008">
        <f t="shared" si="159"/>
        <v>441.74</v>
      </c>
      <c r="DH179" s="1009">
        <f t="shared" si="160"/>
        <v>-0.05</v>
      </c>
      <c r="DI179" s="1007">
        <f t="shared" si="165"/>
        <v>3</v>
      </c>
    </row>
    <row r="180" spans="79:113" ht="15.75" thickTop="1" x14ac:dyDescent="0.2">
      <c r="CA180" s="17"/>
      <c r="CB180" s="17"/>
      <c r="CC180" s="17"/>
      <c r="CD180" s="17"/>
      <c r="CE180" s="17"/>
      <c r="CF180" s="17"/>
      <c r="CG180" s="17"/>
      <c r="CH180" s="17"/>
      <c r="CI180" s="17"/>
      <c r="CJ180" s="17"/>
      <c r="CK180" s="17"/>
      <c r="CL180" s="17" t="str">
        <v>Weight loss</v>
      </c>
      <c r="CM180" s="17"/>
      <c r="CN180" s="17"/>
      <c r="CO180" s="17"/>
      <c r="CP180" s="17"/>
      <c r="CQ180" s="17"/>
      <c r="CR180" s="17"/>
      <c r="CS180" s="17"/>
      <c r="CT180" s="17"/>
      <c r="CU180" s="17"/>
      <c r="CV180" s="17"/>
      <c r="CW180" s="17"/>
      <c r="CY180" s="657">
        <v>3</v>
      </c>
      <c r="CZ180" s="17" t="str">
        <f t="shared" si="168"/>
        <v>tivozanib</v>
      </c>
      <c r="DA180" s="17">
        <f t="shared" si="168"/>
        <v>6</v>
      </c>
      <c r="DB180" s="17">
        <f t="shared" si="168"/>
        <v>1</v>
      </c>
      <c r="DC180" s="17" t="str">
        <f>"G1&amp;2 "&amp;$D$20</f>
        <v>G1&amp;2 Palmar-plantar erythrodysaesthesia syndrome</v>
      </c>
      <c r="DD180" s="17">
        <f ca="1">CHOOSE(i_AE_NMA_option_num,OFFSET($S$86,$CY180-1,$DA180),OFFSET($AG$18,$CY180-1,$DA180))</f>
        <v>3.7522842639593911E-3</v>
      </c>
      <c r="DE180" s="956">
        <f ca="1">OFFSET($S$18,$CY179-1,$DA180)/INDEX($DT$14:$DT$27,MATCH(DA180,$DR$14:$DR$27,0))</f>
        <v>28.142857142857142</v>
      </c>
      <c r="DG180" s="1008">
        <f t="shared" si="159"/>
        <v>441.74</v>
      </c>
      <c r="DH180" s="1009">
        <f t="shared" si="160"/>
        <v>-0.05</v>
      </c>
      <c r="DI180" s="1007">
        <f t="shared" si="165"/>
        <v>3</v>
      </c>
    </row>
    <row r="181" spans="79:113" x14ac:dyDescent="0.2">
      <c r="CA181" s="17" t="str" cm="1">
        <f t="array" ref="CA181">INDEX(List_comparators,CB181+1)</f>
        <v>sunitinib</v>
      </c>
      <c r="CB181" s="17">
        <v>7</v>
      </c>
      <c r="CC181" s="17">
        <v>1</v>
      </c>
      <c r="CD181" s="17">
        <f ca="1">OFFSET($E$16,0,CB181)</f>
        <v>320</v>
      </c>
      <c r="CE181" s="17">
        <f ca="1">OFFSET($E$28,0,CB181)</f>
        <v>320</v>
      </c>
      <c r="CF181" s="17">
        <f ca="1">OFFSET($S$16,0,CB181)</f>
        <v>12383.714285714286</v>
      </c>
      <c r="CG181" s="17">
        <f ca="1">OFFSET($S$28,0,CB181)</f>
        <v>12383.714285714286</v>
      </c>
      <c r="CH181" s="17">
        <f ca="1">OFFSET($AG$16,0,CB181)</f>
        <v>2.5840389451583876E-2</v>
      </c>
      <c r="CI181" s="17">
        <f ca="1">OFFSET($AG$28,0,CB181)</f>
        <v>2.5840389451583876E-2</v>
      </c>
      <c r="CJ181" s="583">
        <f>$CJ$6</f>
        <v>3</v>
      </c>
      <c r="CK181" s="583">
        <f>$CK$6</f>
        <v>0.6</v>
      </c>
      <c r="CL181" s="17" t="str" cm="1">
        <f t="array" ref="CL181:CL183">List_AEs_all_grade</f>
        <v>Diarrhoea</v>
      </c>
      <c r="CM181" s="17">
        <v>1</v>
      </c>
      <c r="CN181" s="17">
        <f ca="1">OFFSET($E$18,$CM181-1,$CB181)</f>
        <v>161</v>
      </c>
      <c r="CO181" s="17">
        <f t="shared" ca="1" si="153"/>
        <v>0</v>
      </c>
      <c r="CP181" s="17">
        <f ca="1">OFFSET($S$18,$CM181-1,$CB181)</f>
        <v>12383.714285714286</v>
      </c>
      <c r="CQ181" s="17">
        <v>0</v>
      </c>
      <c r="CR181" s="17">
        <f ca="1">OFFSET($AG$18,$CM181-1,$CB181)</f>
        <v>1.073991186581455E-2</v>
      </c>
      <c r="CS181" s="17">
        <v>0</v>
      </c>
      <c r="CT181" s="17" t="str">
        <f>dd_apply_AE_options</f>
        <v>one-off</v>
      </c>
      <c r="CU181" s="17" t="str">
        <f>$CU$6</f>
        <v>Yes</v>
      </c>
      <c r="CV181" s="17">
        <f ca="1">OFFSET($E$86,$CM181-1,$CB181)</f>
        <v>1</v>
      </c>
      <c r="CW181" s="17">
        <f ca="1">OFFSET($S$86,$CM181-1,$CB181)</f>
        <v>1.073991186581455E-2</v>
      </c>
      <c r="CY181" s="657">
        <v>1</v>
      </c>
      <c r="CZ181" s="17" t="str">
        <f t="shared" ref="CZ181:CZ202" si="169">CA181</f>
        <v>sunitinib</v>
      </c>
      <c r="DA181" s="17">
        <f t="shared" ref="DA181:DA202" si="170">CB181</f>
        <v>7</v>
      </c>
      <c r="DB181" s="17">
        <f t="shared" ref="DB181:DB202" si="171">CC181</f>
        <v>1</v>
      </c>
      <c r="DC181" s="17" t="str">
        <f>"G3+ "&amp;$D$30</f>
        <v>G3+ ALT increased</v>
      </c>
      <c r="DD181" s="17">
        <f t="shared" ref="DD181:DD202" ca="1" si="172">CHOOSE(i_AE_NMA_option_num,OFFSET($S$63,$CY181-1,$DA181),OFFSET($AG$30,$CY181-1,$DA181))</f>
        <v>0</v>
      </c>
      <c r="DE181" s="956">
        <f t="shared" ref="DE181:DE202" ca="1" si="173">OFFSET($S$30,$CY181-1,$DA181)/INDEX($DS$14:$DS$27,MATCH(DA181,$DR$14:$DR$27,0))</f>
        <v>38.699107142857144</v>
      </c>
      <c r="DG181" s="1008">
        <f>$DG156</f>
        <v>0</v>
      </c>
      <c r="DH181" s="1009">
        <f>$DH156</f>
        <v>-0.1</v>
      </c>
      <c r="DI181" s="1007">
        <f t="shared" si="165"/>
        <v>3</v>
      </c>
    </row>
    <row r="182" spans="79:113" x14ac:dyDescent="0.2">
      <c r="CA182" s="17" t="str" cm="1">
        <f t="array" ref="CA182">INDEX(List_comparators,CB182+1)</f>
        <v>sunitinib</v>
      </c>
      <c r="CB182" s="17">
        <v>7</v>
      </c>
      <c r="CC182" s="17">
        <v>1</v>
      </c>
      <c r="CD182" s="17"/>
      <c r="CE182" s="17"/>
      <c r="CF182" s="17"/>
      <c r="CG182" s="17"/>
      <c r="CH182" s="17"/>
      <c r="CI182" s="17"/>
      <c r="CJ182" s="17"/>
      <c r="CK182" s="17"/>
      <c r="CL182" s="17" t="str">
        <v>Fatigue</v>
      </c>
      <c r="CM182" s="17">
        <v>2</v>
      </c>
      <c r="CN182" s="17">
        <f ca="1">OFFSET($E$18,$CM182-1,$CB182)</f>
        <v>114</v>
      </c>
      <c r="CO182" s="17">
        <f t="shared" ca="1" si="153"/>
        <v>0</v>
      </c>
      <c r="CP182" s="17">
        <f ca="1">OFFSET($S$18,$CM182-1,$CB182)</f>
        <v>12383.714285714286</v>
      </c>
      <c r="CQ182" s="17">
        <v>0</v>
      </c>
      <c r="CR182" s="17">
        <f ca="1">OFFSET($AG$18,$CM182-1,$CB182)</f>
        <v>8.3173753547285609E-3</v>
      </c>
      <c r="CS182" s="17">
        <v>0</v>
      </c>
      <c r="CT182" s="17" t="str">
        <f>$CT$6</f>
        <v>one-off</v>
      </c>
      <c r="CU182" s="17" t="str">
        <f>$CU$6</f>
        <v>Yes</v>
      </c>
      <c r="CV182" s="17">
        <f ca="1">OFFSET($E$86,$CM182-1,$CB182)</f>
        <v>1</v>
      </c>
      <c r="CW182" s="17">
        <f ca="1">OFFSET($S$86,$CM182-1,$CB182)</f>
        <v>8.3173753547285609E-3</v>
      </c>
      <c r="CY182" s="657">
        <v>2</v>
      </c>
      <c r="CZ182" s="17" t="str">
        <f t="shared" si="169"/>
        <v>sunitinib</v>
      </c>
      <c r="DA182" s="17">
        <f t="shared" si="170"/>
        <v>7</v>
      </c>
      <c r="DB182" s="17">
        <f t="shared" si="171"/>
        <v>1</v>
      </c>
      <c r="DC182" s="17" t="str">
        <f>"G3+ "&amp;$D$31</f>
        <v>G3+ Anaemia</v>
      </c>
      <c r="DD182" s="17">
        <f t="shared" ca="1" si="172"/>
        <v>0</v>
      </c>
      <c r="DE182" s="956">
        <f t="shared" ca="1" si="173"/>
        <v>38.699107142857144</v>
      </c>
      <c r="DG182" s="1008">
        <f t="shared" ref="DG182:DG205" si="174">$DG157</f>
        <v>655.75</v>
      </c>
      <c r="DH182" s="1009">
        <f t="shared" ref="DH182:DH205" si="175">$DH157</f>
        <v>-0.1</v>
      </c>
      <c r="DI182" s="1007">
        <f t="shared" si="165"/>
        <v>3</v>
      </c>
    </row>
    <row r="183" spans="79:113" ht="15.75" thickBot="1" x14ac:dyDescent="0.25">
      <c r="CA183" s="19" t="str" cm="1">
        <f t="array" ref="CA183">INDEX(List_comparators,CB183+1)</f>
        <v>sunitinib</v>
      </c>
      <c r="CB183" s="19">
        <v>7</v>
      </c>
      <c r="CC183" s="19">
        <v>1</v>
      </c>
      <c r="CD183" s="19"/>
      <c r="CE183" s="19"/>
      <c r="CF183" s="19"/>
      <c r="CG183" s="19"/>
      <c r="CH183" s="19"/>
      <c r="CI183" s="19"/>
      <c r="CJ183" s="19"/>
      <c r="CK183" s="19"/>
      <c r="CL183" s="19" t="str">
        <v>Palmar-plantar erythrodysaesthesia syndrome</v>
      </c>
      <c r="CM183" s="19">
        <v>3</v>
      </c>
      <c r="CN183" s="19">
        <f ca="1">OFFSET($E$18,$CM183-1,$CB183)</f>
        <v>134</v>
      </c>
      <c r="CO183" s="19">
        <f t="shared" ca="1" si="153"/>
        <v>0</v>
      </c>
      <c r="CP183" s="19">
        <f ca="1">OFFSET($S$18,$CM183-1,$CB183)</f>
        <v>12383.714285714286</v>
      </c>
      <c r="CQ183" s="19">
        <v>0</v>
      </c>
      <c r="CR183" s="19">
        <f ca="1">OFFSET($AG$18,$CM183-1,$CB183)</f>
        <v>8.7211314399095585E-3</v>
      </c>
      <c r="CS183" s="19">
        <v>0</v>
      </c>
      <c r="CT183" s="19" t="str">
        <f t="shared" ref="CT183:CT204" si="176">$CT$6</f>
        <v>one-off</v>
      </c>
      <c r="CU183" s="19" t="str">
        <f t="shared" ref="CU183:CU204" si="177">$CU$6</f>
        <v>Yes</v>
      </c>
      <c r="CV183" s="19">
        <f ca="1">OFFSET($E$86,$CM183-1,$CB183)</f>
        <v>1</v>
      </c>
      <c r="CW183" s="19">
        <f ca="1">OFFSET($S$86,$CM183-1,$CB183)</f>
        <v>8.7211314399095585E-3</v>
      </c>
      <c r="CY183" s="657">
        <v>3</v>
      </c>
      <c r="CZ183" s="17" t="str">
        <f t="shared" si="169"/>
        <v>sunitinib</v>
      </c>
      <c r="DA183" s="17">
        <f t="shared" si="170"/>
        <v>7</v>
      </c>
      <c r="DB183" s="17">
        <f t="shared" si="171"/>
        <v>1</v>
      </c>
      <c r="DC183" s="17" t="str">
        <f>"G3+ "&amp;$D$32</f>
        <v>G3+ Decreased appetite</v>
      </c>
      <c r="DD183" s="17">
        <f t="shared" ca="1" si="172"/>
        <v>0</v>
      </c>
      <c r="DE183" s="956">
        <f t="shared" ca="1" si="173"/>
        <v>38.699107142857144</v>
      </c>
      <c r="DG183" s="1008">
        <f t="shared" si="174"/>
        <v>0</v>
      </c>
      <c r="DH183" s="1009">
        <f t="shared" si="175"/>
        <v>-0.1</v>
      </c>
      <c r="DI183" s="1007">
        <f t="shared" si="165"/>
        <v>3</v>
      </c>
    </row>
    <row r="184" spans="79:113" x14ac:dyDescent="0.2">
      <c r="CA184" s="17" t="str" cm="1">
        <f t="array" ref="CA184">INDEX(List_comparators,CB184+1)</f>
        <v>sunitinib</v>
      </c>
      <c r="CB184" s="17">
        <v>7</v>
      </c>
      <c r="CC184" s="17">
        <v>1</v>
      </c>
      <c r="CD184" s="17"/>
      <c r="CE184" s="17"/>
      <c r="CF184" s="17"/>
      <c r="CG184" s="17"/>
      <c r="CH184" s="17"/>
      <c r="CI184" s="17"/>
      <c r="CJ184" s="17"/>
      <c r="CK184" s="17"/>
      <c r="CL184" s="252" t="str" cm="1">
        <f t="array" ref="CL184:CL205">List_AEs_g3</f>
        <v>ALT increased</v>
      </c>
      <c r="CM184" s="252">
        <v>1</v>
      </c>
      <c r="CN184" s="252">
        <v>0</v>
      </c>
      <c r="CO184" s="252">
        <f t="shared" ca="1" si="153"/>
        <v>0</v>
      </c>
      <c r="CP184" s="252"/>
      <c r="CQ184" s="252">
        <f t="shared" ref="CQ184:CQ204" ca="1" si="178">OFFSET($S$30,$CM184-1,$CB184)</f>
        <v>12383.714285714286</v>
      </c>
      <c r="CR184" s="252">
        <v>0</v>
      </c>
      <c r="CS184" s="252">
        <f t="shared" ref="CS184:CS204" ca="1" si="179">OFFSET($AG$30,$CM184-1,$CB184)</f>
        <v>0</v>
      </c>
      <c r="CT184" s="252" t="str">
        <f t="shared" si="176"/>
        <v>one-off</v>
      </c>
      <c r="CU184" s="252" t="str">
        <f t="shared" si="177"/>
        <v>Yes</v>
      </c>
      <c r="CV184" s="252">
        <f ca="1">OFFSET($E$63,$CM184-1,$CB184)</f>
        <v>1</v>
      </c>
      <c r="CW184" s="252">
        <f ca="1">OFFSET($S$63,$CM184-1,$CB184)</f>
        <v>0</v>
      </c>
      <c r="CY184" s="657">
        <v>4</v>
      </c>
      <c r="CZ184" s="17" t="str">
        <f t="shared" si="169"/>
        <v>sunitinib</v>
      </c>
      <c r="DA184" s="17">
        <f t="shared" si="170"/>
        <v>7</v>
      </c>
      <c r="DB184" s="17">
        <f t="shared" si="171"/>
        <v>1</v>
      </c>
      <c r="DC184" s="17" t="str">
        <f>"G3+ "&amp;$D$33</f>
        <v>G3+ Diarrhoea _TKI induced</v>
      </c>
      <c r="DD184" s="17">
        <f t="shared" ca="1" si="172"/>
        <v>2.2610340770135894E-3</v>
      </c>
      <c r="DE184" s="956">
        <f t="shared" ca="1" si="173"/>
        <v>38.699107142857144</v>
      </c>
      <c r="DG184" s="1008">
        <f t="shared" si="174"/>
        <v>827.18</v>
      </c>
      <c r="DH184" s="1009">
        <f t="shared" si="175"/>
        <v>-0.1</v>
      </c>
      <c r="DI184" s="1007">
        <f t="shared" si="165"/>
        <v>3</v>
      </c>
    </row>
    <row r="185" spans="79:113" x14ac:dyDescent="0.2">
      <c r="CA185" s="17" t="str" cm="1">
        <f t="array" ref="CA185">INDEX(List_comparators,CB185+1)</f>
        <v>sunitinib</v>
      </c>
      <c r="CB185" s="17">
        <v>7</v>
      </c>
      <c r="CC185" s="17">
        <v>1</v>
      </c>
      <c r="CD185" s="17"/>
      <c r="CE185" s="17"/>
      <c r="CF185" s="17"/>
      <c r="CG185" s="17"/>
      <c r="CH185" s="17"/>
      <c r="CI185" s="17"/>
      <c r="CJ185" s="17"/>
      <c r="CK185" s="17"/>
      <c r="CL185" s="17" t="str">
        <v>Anaemia</v>
      </c>
      <c r="CM185" s="17">
        <v>2</v>
      </c>
      <c r="CN185" s="17">
        <v>0</v>
      </c>
      <c r="CO185" s="17">
        <f t="shared" ca="1" si="153"/>
        <v>0</v>
      </c>
      <c r="CP185" s="17"/>
      <c r="CQ185" s="17">
        <f t="shared" ca="1" si="178"/>
        <v>12383.714285714286</v>
      </c>
      <c r="CR185" s="17">
        <v>0</v>
      </c>
      <c r="CS185" s="17">
        <f t="shared" ca="1" si="179"/>
        <v>0</v>
      </c>
      <c r="CT185" s="17" t="str">
        <f t="shared" si="176"/>
        <v>one-off</v>
      </c>
      <c r="CU185" s="17" t="str">
        <f t="shared" si="177"/>
        <v>Yes</v>
      </c>
      <c r="CV185" s="17">
        <f t="shared" ref="CV185:CV204" ca="1" si="180">OFFSET($E$63,$CM185-1,$CB185)</f>
        <v>1</v>
      </c>
      <c r="CW185" s="17">
        <f t="shared" ref="CW185:CW204" ca="1" si="181">OFFSET($S$63,$CM185-1,$CB185)</f>
        <v>0</v>
      </c>
      <c r="CY185" s="657">
        <v>5</v>
      </c>
      <c r="CZ185" s="17" t="str">
        <f t="shared" si="169"/>
        <v>sunitinib</v>
      </c>
      <c r="DA185" s="17">
        <f t="shared" si="170"/>
        <v>7</v>
      </c>
      <c r="DB185" s="17">
        <f t="shared" si="171"/>
        <v>1</v>
      </c>
      <c r="DC185" s="17" t="str">
        <f>"G3+ "&amp;$D$34</f>
        <v>G3+ Diarrhoea _IO induced</v>
      </c>
      <c r="DD185" s="17">
        <f t="shared" ca="1" si="172"/>
        <v>0</v>
      </c>
      <c r="DE185" s="956">
        <f t="shared" ca="1" si="173"/>
        <v>38.699107142857144</v>
      </c>
      <c r="DG185" s="1008">
        <f t="shared" si="174"/>
        <v>4321.12</v>
      </c>
      <c r="DH185" s="1009">
        <f t="shared" si="175"/>
        <v>-0.1</v>
      </c>
      <c r="DI185" s="1007">
        <f t="shared" si="165"/>
        <v>3</v>
      </c>
    </row>
    <row r="186" spans="79:113" x14ac:dyDescent="0.2">
      <c r="CA186" s="17" t="str" cm="1">
        <f t="array" ref="CA186">INDEX(List_comparators,CB186+1)</f>
        <v>sunitinib</v>
      </c>
      <c r="CB186" s="17">
        <v>7</v>
      </c>
      <c r="CC186" s="17">
        <v>1</v>
      </c>
      <c r="CD186" s="17"/>
      <c r="CE186" s="17"/>
      <c r="CF186" s="17"/>
      <c r="CG186" s="17"/>
      <c r="CH186" s="17"/>
      <c r="CI186" s="17"/>
      <c r="CJ186" s="17"/>
      <c r="CK186" s="17"/>
      <c r="CL186" s="17" t="str">
        <v>Decreased appetite</v>
      </c>
      <c r="CM186" s="17">
        <v>3</v>
      </c>
      <c r="CN186" s="17">
        <v>0</v>
      </c>
      <c r="CO186" s="17">
        <f t="shared" ca="1" si="153"/>
        <v>0</v>
      </c>
      <c r="CP186" s="17"/>
      <c r="CQ186" s="17">
        <f t="shared" ca="1" si="178"/>
        <v>12383.714285714286</v>
      </c>
      <c r="CR186" s="17">
        <v>0</v>
      </c>
      <c r="CS186" s="17">
        <f t="shared" ca="1" si="179"/>
        <v>0</v>
      </c>
      <c r="CT186" s="17" t="str">
        <f t="shared" si="176"/>
        <v>one-off</v>
      </c>
      <c r="CU186" s="17" t="str">
        <f t="shared" si="177"/>
        <v>Yes</v>
      </c>
      <c r="CV186" s="17">
        <f t="shared" ca="1" si="180"/>
        <v>1</v>
      </c>
      <c r="CW186" s="17">
        <f t="shared" ca="1" si="181"/>
        <v>0</v>
      </c>
      <c r="CY186" s="657">
        <v>6</v>
      </c>
      <c r="CZ186" s="17" t="str">
        <f t="shared" si="169"/>
        <v>sunitinib</v>
      </c>
      <c r="DA186" s="17">
        <f t="shared" si="170"/>
        <v>7</v>
      </c>
      <c r="DB186" s="17">
        <f t="shared" si="171"/>
        <v>1</v>
      </c>
      <c r="DC186" s="17" t="str">
        <f>"G3+ "&amp;$D$35</f>
        <v>G3+ Fatigue</v>
      </c>
      <c r="DD186" s="17">
        <f t="shared" ca="1" si="172"/>
        <v>8.882633873981958E-4</v>
      </c>
      <c r="DE186" s="956">
        <f t="shared" ca="1" si="173"/>
        <v>38.699107142857144</v>
      </c>
      <c r="DG186" s="1008">
        <f t="shared" si="174"/>
        <v>662.61</v>
      </c>
      <c r="DH186" s="1009">
        <f t="shared" si="175"/>
        <v>-0.1</v>
      </c>
      <c r="DI186" s="1007">
        <f t="shared" si="165"/>
        <v>3</v>
      </c>
    </row>
    <row r="187" spans="79:113" x14ac:dyDescent="0.2">
      <c r="CA187" s="17" t="str" cm="1">
        <f t="array" ref="CA187">INDEX(List_comparators,CB187+1)</f>
        <v>sunitinib</v>
      </c>
      <c r="CB187" s="17">
        <v>7</v>
      </c>
      <c r="CC187" s="17">
        <v>1</v>
      </c>
      <c r="CD187" s="17"/>
      <c r="CE187" s="17"/>
      <c r="CF187" s="17"/>
      <c r="CG187" s="17"/>
      <c r="CH187" s="17"/>
      <c r="CI187" s="17"/>
      <c r="CJ187" s="17"/>
      <c r="CK187" s="17"/>
      <c r="CL187" s="17" t="str">
        <v>Diarrhoea _TKI induced</v>
      </c>
      <c r="CM187" s="17">
        <v>4</v>
      </c>
      <c r="CN187" s="17">
        <v>0</v>
      </c>
      <c r="CO187" s="17">
        <f t="shared" ca="1" si="153"/>
        <v>28</v>
      </c>
      <c r="CP187" s="17"/>
      <c r="CQ187" s="17">
        <f t="shared" ca="1" si="178"/>
        <v>12383.714285714286</v>
      </c>
      <c r="CR187" s="17">
        <v>0</v>
      </c>
      <c r="CS187" s="17">
        <f t="shared" ca="1" si="179"/>
        <v>2.2610340770135894E-3</v>
      </c>
      <c r="CT187" s="17" t="str">
        <f t="shared" si="176"/>
        <v>one-off</v>
      </c>
      <c r="CU187" s="17" t="str">
        <f t="shared" si="177"/>
        <v>Yes</v>
      </c>
      <c r="CV187" s="17">
        <f t="shared" ca="1" si="180"/>
        <v>1</v>
      </c>
      <c r="CW187" s="17">
        <f t="shared" ca="1" si="181"/>
        <v>2.2610340770135894E-3</v>
      </c>
      <c r="CY187" s="657">
        <v>7</v>
      </c>
      <c r="CZ187" s="17" t="str">
        <f t="shared" si="169"/>
        <v>sunitinib</v>
      </c>
      <c r="DA187" s="17">
        <f t="shared" si="170"/>
        <v>7</v>
      </c>
      <c r="DB187" s="17">
        <f t="shared" si="171"/>
        <v>1</v>
      </c>
      <c r="DC187" s="17" t="str">
        <f>"G3+ "&amp;$D$36</f>
        <v>G3+ HFS</v>
      </c>
      <c r="DD187" s="17">
        <f t="shared" ca="1" si="172"/>
        <v>2.0995316429411898E-3</v>
      </c>
      <c r="DE187" s="956">
        <f t="shared" ca="1" si="173"/>
        <v>38.699107142857144</v>
      </c>
      <c r="DG187" s="1008">
        <f t="shared" si="174"/>
        <v>621.42499999999995</v>
      </c>
      <c r="DH187" s="1009">
        <f t="shared" si="175"/>
        <v>-0.1</v>
      </c>
      <c r="DI187" s="1007">
        <f t="shared" si="165"/>
        <v>3</v>
      </c>
    </row>
    <row r="188" spans="79:113" x14ac:dyDescent="0.2">
      <c r="CA188" s="17" t="str" cm="1">
        <f t="array" ref="CA188">INDEX(List_comparators,CB188+1)</f>
        <v>sunitinib</v>
      </c>
      <c r="CB188" s="17">
        <v>7</v>
      </c>
      <c r="CC188" s="17">
        <v>1</v>
      </c>
      <c r="CD188" s="17"/>
      <c r="CE188" s="17"/>
      <c r="CF188" s="17"/>
      <c r="CG188" s="17"/>
      <c r="CH188" s="17"/>
      <c r="CI188" s="17"/>
      <c r="CJ188" s="17"/>
      <c r="CK188" s="17"/>
      <c r="CL188" s="17" t="str">
        <v>Diarrhoea _IO induced</v>
      </c>
      <c r="CM188" s="17">
        <v>5</v>
      </c>
      <c r="CN188" s="17">
        <v>0</v>
      </c>
      <c r="CO188" s="17">
        <f t="shared" ca="1" si="153"/>
        <v>0</v>
      </c>
      <c r="CP188" s="17"/>
      <c r="CQ188" s="17">
        <f t="shared" ca="1" si="178"/>
        <v>12383.714285714286</v>
      </c>
      <c r="CR188" s="17">
        <v>0</v>
      </c>
      <c r="CS188" s="17">
        <f t="shared" ca="1" si="179"/>
        <v>0</v>
      </c>
      <c r="CT188" s="17" t="str">
        <f t="shared" si="176"/>
        <v>one-off</v>
      </c>
      <c r="CU188" s="17" t="str">
        <f t="shared" si="177"/>
        <v>Yes</v>
      </c>
      <c r="CV188" s="17">
        <f t="shared" ca="1" si="180"/>
        <v>1</v>
      </c>
      <c r="CW188" s="17">
        <f t="shared" ca="1" si="181"/>
        <v>0</v>
      </c>
      <c r="CY188" s="657">
        <v>8</v>
      </c>
      <c r="CZ188" s="17" t="str">
        <f t="shared" si="169"/>
        <v>sunitinib</v>
      </c>
      <c r="DA188" s="17">
        <f t="shared" si="170"/>
        <v>7</v>
      </c>
      <c r="DB188" s="17">
        <f t="shared" si="171"/>
        <v>1</v>
      </c>
      <c r="DC188" s="17" t="str">
        <f>"G3+ "&amp;$D$37</f>
        <v>G3+ Hypertension</v>
      </c>
      <c r="DD188" s="17">
        <f t="shared" ca="1" si="172"/>
        <v>3.1492974644117848E-3</v>
      </c>
      <c r="DE188" s="956">
        <f t="shared" ca="1" si="173"/>
        <v>38.699107142857144</v>
      </c>
      <c r="DG188" s="1008">
        <f t="shared" si="174"/>
        <v>424.6</v>
      </c>
      <c r="DH188" s="1009">
        <f t="shared" si="175"/>
        <v>-0.1</v>
      </c>
      <c r="DI188" s="1007">
        <f t="shared" si="165"/>
        <v>3</v>
      </c>
    </row>
    <row r="189" spans="79:113" x14ac:dyDescent="0.2">
      <c r="CA189" s="17" t="str" cm="1">
        <f t="array" ref="CA189">INDEX(List_comparators,CB189+1)</f>
        <v>sunitinib</v>
      </c>
      <c r="CB189" s="17">
        <v>7</v>
      </c>
      <c r="CC189" s="17">
        <v>1</v>
      </c>
      <c r="CD189" s="17"/>
      <c r="CE189" s="17"/>
      <c r="CF189" s="17"/>
      <c r="CG189" s="17"/>
      <c r="CH189" s="17"/>
      <c r="CI189" s="17"/>
      <c r="CJ189" s="17"/>
      <c r="CK189" s="17"/>
      <c r="CL189" s="17" t="str">
        <v>Fatigue</v>
      </c>
      <c r="CM189" s="17">
        <v>6</v>
      </c>
      <c r="CN189" s="17">
        <v>0</v>
      </c>
      <c r="CO189" s="17">
        <f t="shared" ca="1" si="153"/>
        <v>11</v>
      </c>
      <c r="CP189" s="17"/>
      <c r="CQ189" s="17">
        <f t="shared" ca="1" si="178"/>
        <v>12383.714285714286</v>
      </c>
      <c r="CR189" s="17">
        <v>0</v>
      </c>
      <c r="CS189" s="17">
        <f t="shared" ca="1" si="179"/>
        <v>8.882633873981958E-4</v>
      </c>
      <c r="CT189" s="17" t="str">
        <f t="shared" si="176"/>
        <v>one-off</v>
      </c>
      <c r="CU189" s="17" t="str">
        <f t="shared" si="177"/>
        <v>Yes</v>
      </c>
      <c r="CV189" s="17">
        <f t="shared" ca="1" si="180"/>
        <v>1</v>
      </c>
      <c r="CW189" s="17">
        <f t="shared" ca="1" si="181"/>
        <v>8.882633873981958E-4</v>
      </c>
      <c r="CY189" s="657">
        <v>9</v>
      </c>
      <c r="CZ189" s="17" t="str">
        <f t="shared" si="169"/>
        <v>sunitinib</v>
      </c>
      <c r="DA189" s="17">
        <f t="shared" si="170"/>
        <v>7</v>
      </c>
      <c r="DB189" s="17">
        <f t="shared" si="171"/>
        <v>1</v>
      </c>
      <c r="DC189" s="17" t="str">
        <f>"G3+ "&amp;$D$38</f>
        <v>G3+ Hypertriglyceridemia</v>
      </c>
      <c r="DD189" s="17">
        <f t="shared" ca="1" si="172"/>
        <v>0</v>
      </c>
      <c r="DE189" s="956">
        <f t="shared" ca="1" si="173"/>
        <v>38.699107142857144</v>
      </c>
      <c r="DG189" s="1008">
        <f t="shared" si="174"/>
        <v>0</v>
      </c>
      <c r="DH189" s="1009">
        <f t="shared" si="175"/>
        <v>-0.1</v>
      </c>
      <c r="DI189" s="1007">
        <f t="shared" si="165"/>
        <v>3</v>
      </c>
    </row>
    <row r="190" spans="79:113" x14ac:dyDescent="0.2">
      <c r="CA190" s="17" t="str" cm="1">
        <f t="array" ref="CA190">INDEX(List_comparators,CB190+1)</f>
        <v>sunitinib</v>
      </c>
      <c r="CB190" s="17">
        <v>7</v>
      </c>
      <c r="CC190" s="17">
        <v>1</v>
      </c>
      <c r="CD190" s="17"/>
      <c r="CE190" s="17"/>
      <c r="CF190" s="17"/>
      <c r="CG190" s="17"/>
      <c r="CH190" s="17"/>
      <c r="CI190" s="17"/>
      <c r="CJ190" s="17"/>
      <c r="CK190" s="17"/>
      <c r="CL190" s="17" t="str">
        <v>HFS</v>
      </c>
      <c r="CM190" s="17">
        <v>7</v>
      </c>
      <c r="CN190" s="17">
        <v>0</v>
      </c>
      <c r="CO190" s="17">
        <f t="shared" ca="1" si="153"/>
        <v>26</v>
      </c>
      <c r="CP190" s="17"/>
      <c r="CQ190" s="17">
        <f t="shared" ca="1" si="178"/>
        <v>12383.714285714286</v>
      </c>
      <c r="CR190" s="17">
        <v>0</v>
      </c>
      <c r="CS190" s="17">
        <f t="shared" ca="1" si="179"/>
        <v>2.0995316429411898E-3</v>
      </c>
      <c r="CT190" s="17" t="str">
        <f t="shared" si="176"/>
        <v>one-off</v>
      </c>
      <c r="CU190" s="17" t="str">
        <f t="shared" si="177"/>
        <v>Yes</v>
      </c>
      <c r="CV190" s="17">
        <f t="shared" ca="1" si="180"/>
        <v>1</v>
      </c>
      <c r="CW190" s="17">
        <f t="shared" ca="1" si="181"/>
        <v>2.0995316429411898E-3</v>
      </c>
      <c r="CY190" s="657">
        <v>10</v>
      </c>
      <c r="CZ190" s="17" t="str">
        <f t="shared" si="169"/>
        <v>sunitinib</v>
      </c>
      <c r="DA190" s="17">
        <f t="shared" si="170"/>
        <v>7</v>
      </c>
      <c r="DB190" s="17">
        <f t="shared" si="171"/>
        <v>1</v>
      </c>
      <c r="DC190" s="17" t="str">
        <f>"G3+ "&amp;$D$39</f>
        <v>G3+ Hyponatraemia</v>
      </c>
      <c r="DD190" s="17">
        <f t="shared" ca="1" si="172"/>
        <v>1.0497658214705949E-3</v>
      </c>
      <c r="DE190" s="956">
        <f t="shared" ca="1" si="173"/>
        <v>38.699107142857144</v>
      </c>
      <c r="DG190" s="1008">
        <f t="shared" si="174"/>
        <v>574.71</v>
      </c>
      <c r="DH190" s="1009">
        <f t="shared" si="175"/>
        <v>-0.1</v>
      </c>
      <c r="DI190" s="1007">
        <f t="shared" si="165"/>
        <v>3</v>
      </c>
    </row>
    <row r="191" spans="79:113" x14ac:dyDescent="0.2">
      <c r="CA191" s="17" t="str" cm="1">
        <f t="array" ref="CA191">INDEX(List_comparators,CB191+1)</f>
        <v>sunitinib</v>
      </c>
      <c r="CB191" s="17">
        <v>7</v>
      </c>
      <c r="CC191" s="17">
        <v>1</v>
      </c>
      <c r="CD191" s="17"/>
      <c r="CE191" s="17"/>
      <c r="CF191" s="17"/>
      <c r="CG191" s="17"/>
      <c r="CH191" s="17"/>
      <c r="CI191" s="17"/>
      <c r="CJ191" s="17"/>
      <c r="CK191" s="17"/>
      <c r="CL191" s="17" t="str">
        <v>Hypertension</v>
      </c>
      <c r="CM191" s="17">
        <v>8</v>
      </c>
      <c r="CN191" s="17">
        <v>0</v>
      </c>
      <c r="CO191" s="17">
        <f t="shared" ca="1" si="153"/>
        <v>39</v>
      </c>
      <c r="CP191" s="17"/>
      <c r="CQ191" s="17">
        <f t="shared" ca="1" si="178"/>
        <v>12383.714285714286</v>
      </c>
      <c r="CR191" s="17">
        <v>0</v>
      </c>
      <c r="CS191" s="17">
        <f t="shared" ca="1" si="179"/>
        <v>3.1492974644117848E-3</v>
      </c>
      <c r="CT191" s="17" t="str">
        <f t="shared" si="176"/>
        <v>one-off</v>
      </c>
      <c r="CU191" s="17" t="str">
        <f t="shared" si="177"/>
        <v>Yes</v>
      </c>
      <c r="CV191" s="17">
        <f t="shared" ca="1" si="180"/>
        <v>1</v>
      </c>
      <c r="CW191" s="17">
        <f t="shared" ca="1" si="181"/>
        <v>3.1492974644117848E-3</v>
      </c>
      <c r="CY191" s="657">
        <v>11</v>
      </c>
      <c r="CZ191" s="17" t="str">
        <f t="shared" si="169"/>
        <v>sunitinib</v>
      </c>
      <c r="DA191" s="17">
        <f t="shared" si="170"/>
        <v>7</v>
      </c>
      <c r="DB191" s="17">
        <f t="shared" si="171"/>
        <v>1</v>
      </c>
      <c r="DC191" s="17" t="str">
        <f>"G3+ "&amp;$D$40</f>
        <v>G3+ Hypophosphatemia</v>
      </c>
      <c r="DD191" s="17">
        <f t="shared" ca="1" si="172"/>
        <v>1.0497658214705949E-3</v>
      </c>
      <c r="DE191" s="956">
        <f t="shared" ca="1" si="173"/>
        <v>38.699107142857144</v>
      </c>
      <c r="DG191" s="1008">
        <f t="shared" si="174"/>
        <v>0</v>
      </c>
      <c r="DH191" s="1009">
        <f t="shared" si="175"/>
        <v>-0.1</v>
      </c>
      <c r="DI191" s="1007">
        <f t="shared" si="165"/>
        <v>3</v>
      </c>
    </row>
    <row r="192" spans="79:113" x14ac:dyDescent="0.2">
      <c r="CA192" s="17" t="str" cm="1">
        <f t="array" ref="CA192">INDEX(List_comparators,CB192+1)</f>
        <v>sunitinib</v>
      </c>
      <c r="CB192" s="17">
        <v>7</v>
      </c>
      <c r="CC192" s="17">
        <v>1</v>
      </c>
      <c r="CD192" s="17"/>
      <c r="CE192" s="17"/>
      <c r="CF192" s="17"/>
      <c r="CG192" s="17"/>
      <c r="CH192" s="17"/>
      <c r="CI192" s="17"/>
      <c r="CJ192" s="17"/>
      <c r="CK192" s="17"/>
      <c r="CL192" s="17" t="str">
        <v>Hypertriglyceridemia</v>
      </c>
      <c r="CM192" s="17">
        <v>9</v>
      </c>
      <c r="CN192" s="17">
        <v>0</v>
      </c>
      <c r="CO192" s="17">
        <f t="shared" ca="1" si="153"/>
        <v>0</v>
      </c>
      <c r="CP192" s="17"/>
      <c r="CQ192" s="17">
        <f t="shared" ca="1" si="178"/>
        <v>12383.714285714286</v>
      </c>
      <c r="CR192" s="17">
        <v>0</v>
      </c>
      <c r="CS192" s="17">
        <f t="shared" ca="1" si="179"/>
        <v>0</v>
      </c>
      <c r="CT192" s="17" t="str">
        <f t="shared" si="176"/>
        <v>one-off</v>
      </c>
      <c r="CU192" s="17" t="str">
        <f t="shared" si="177"/>
        <v>Yes</v>
      </c>
      <c r="CV192" s="17">
        <f t="shared" ca="1" si="180"/>
        <v>1</v>
      </c>
      <c r="CW192" s="17">
        <f t="shared" ca="1" si="181"/>
        <v>0</v>
      </c>
      <c r="CY192" s="657">
        <v>12</v>
      </c>
      <c r="CZ192" s="17" t="str">
        <f t="shared" si="169"/>
        <v>sunitinib</v>
      </c>
      <c r="DA192" s="17">
        <f t="shared" si="170"/>
        <v>7</v>
      </c>
      <c r="DB192" s="17">
        <f t="shared" si="171"/>
        <v>1</v>
      </c>
      <c r="DC192" s="17" t="str">
        <f>"G3+ "&amp;$D$41</f>
        <v>G3+ Increase in lipase</v>
      </c>
      <c r="DD192" s="17">
        <f t="shared" ca="1" si="172"/>
        <v>0</v>
      </c>
      <c r="DE192" s="956">
        <f t="shared" ca="1" si="173"/>
        <v>38.699107142857144</v>
      </c>
      <c r="DG192" s="1008">
        <f t="shared" si="174"/>
        <v>655.75</v>
      </c>
      <c r="DH192" s="1009">
        <f t="shared" si="175"/>
        <v>-0.1</v>
      </c>
      <c r="DI192" s="1007">
        <f t="shared" si="165"/>
        <v>3</v>
      </c>
    </row>
    <row r="193" spans="76:113" x14ac:dyDescent="0.2">
      <c r="CA193" s="17" t="str" cm="1">
        <f t="array" ref="CA193">INDEX(List_comparators,CB193+1)</f>
        <v>sunitinib</v>
      </c>
      <c r="CB193" s="17">
        <v>7</v>
      </c>
      <c r="CC193" s="17">
        <v>1</v>
      </c>
      <c r="CD193" s="17"/>
      <c r="CE193" s="17"/>
      <c r="CF193" s="17"/>
      <c r="CG193" s="17"/>
      <c r="CH193" s="17"/>
      <c r="CI193" s="17"/>
      <c r="CJ193" s="17"/>
      <c r="CK193" s="17"/>
      <c r="CL193" s="17" t="str">
        <v>Hyponatraemia</v>
      </c>
      <c r="CM193" s="17">
        <v>10</v>
      </c>
      <c r="CN193" s="17">
        <v>0</v>
      </c>
      <c r="CO193" s="17">
        <f t="shared" ca="1" si="153"/>
        <v>13</v>
      </c>
      <c r="CP193" s="17"/>
      <c r="CQ193" s="17">
        <f t="shared" ca="1" si="178"/>
        <v>12383.714285714286</v>
      </c>
      <c r="CR193" s="17">
        <v>0</v>
      </c>
      <c r="CS193" s="17">
        <f t="shared" ca="1" si="179"/>
        <v>1.0497658214705949E-3</v>
      </c>
      <c r="CT193" s="17" t="str">
        <f t="shared" si="176"/>
        <v>one-off</v>
      </c>
      <c r="CU193" s="17" t="str">
        <f t="shared" si="177"/>
        <v>Yes</v>
      </c>
      <c r="CV193" s="17">
        <f t="shared" ca="1" si="180"/>
        <v>1</v>
      </c>
      <c r="CW193" s="17">
        <f t="shared" ca="1" si="181"/>
        <v>1.0497658214705949E-3</v>
      </c>
      <c r="CY193" s="657">
        <v>13</v>
      </c>
      <c r="CZ193" s="17" t="str">
        <f t="shared" si="169"/>
        <v>sunitinib</v>
      </c>
      <c r="DA193" s="17">
        <f t="shared" si="170"/>
        <v>7</v>
      </c>
      <c r="DB193" s="17">
        <f t="shared" si="171"/>
        <v>1</v>
      </c>
      <c r="DC193" s="17" t="str">
        <f>"G3+ "&amp;$D$42</f>
        <v>G3+ Increased AST</v>
      </c>
      <c r="DD193" s="17">
        <f t="shared" ca="1" si="172"/>
        <v>0</v>
      </c>
      <c r="DE193" s="956">
        <f t="shared" ca="1" si="173"/>
        <v>38.699107142857144</v>
      </c>
      <c r="DG193" s="1008">
        <f t="shared" si="174"/>
        <v>0</v>
      </c>
      <c r="DH193" s="1009">
        <f t="shared" si="175"/>
        <v>-0.1</v>
      </c>
      <c r="DI193" s="1007">
        <f t="shared" si="165"/>
        <v>3</v>
      </c>
    </row>
    <row r="194" spans="76:113" x14ac:dyDescent="0.2">
      <c r="CA194" s="17" t="str" cm="1">
        <f t="array" ref="CA194">INDEX(List_comparators,CB194+1)</f>
        <v>sunitinib</v>
      </c>
      <c r="CB194" s="17">
        <v>7</v>
      </c>
      <c r="CC194" s="17">
        <v>1</v>
      </c>
      <c r="CD194" s="17"/>
      <c r="CE194" s="17"/>
      <c r="CF194" s="17"/>
      <c r="CG194" s="17"/>
      <c r="CH194" s="17"/>
      <c r="CI194" s="17"/>
      <c r="CJ194" s="17"/>
      <c r="CK194" s="17"/>
      <c r="CL194" s="17" t="str">
        <v>Hypophosphatemia</v>
      </c>
      <c r="CM194" s="17">
        <v>11</v>
      </c>
      <c r="CN194" s="17">
        <v>0</v>
      </c>
      <c r="CO194" s="17">
        <f t="shared" ca="1" si="153"/>
        <v>13</v>
      </c>
      <c r="CP194" s="17"/>
      <c r="CQ194" s="17">
        <f t="shared" ca="1" si="178"/>
        <v>12383.714285714286</v>
      </c>
      <c r="CR194" s="17">
        <v>0</v>
      </c>
      <c r="CS194" s="17">
        <f t="shared" ca="1" si="179"/>
        <v>1.0497658214705949E-3</v>
      </c>
      <c r="CT194" s="17" t="str">
        <f t="shared" si="176"/>
        <v>one-off</v>
      </c>
      <c r="CU194" s="17" t="str">
        <f t="shared" si="177"/>
        <v>Yes</v>
      </c>
      <c r="CV194" s="17">
        <f t="shared" ca="1" si="180"/>
        <v>1</v>
      </c>
      <c r="CW194" s="17">
        <f t="shared" ca="1" si="181"/>
        <v>1.0497658214705949E-3</v>
      </c>
      <c r="CY194" s="657">
        <v>14</v>
      </c>
      <c r="CZ194" s="17" t="str">
        <f t="shared" si="169"/>
        <v>sunitinib</v>
      </c>
      <c r="DA194" s="17">
        <f t="shared" si="170"/>
        <v>7</v>
      </c>
      <c r="DB194" s="17">
        <f t="shared" si="171"/>
        <v>1</v>
      </c>
      <c r="DC194" s="17" t="str">
        <f>"G3+ "&amp;$D$43</f>
        <v>G3+ Leukopenia</v>
      </c>
      <c r="DD194" s="17">
        <f t="shared" ca="1" si="172"/>
        <v>0</v>
      </c>
      <c r="DE194" s="956">
        <f t="shared" ca="1" si="173"/>
        <v>38.699107142857144</v>
      </c>
      <c r="DG194" s="1008">
        <f t="shared" si="174"/>
        <v>0</v>
      </c>
      <c r="DH194" s="1009">
        <f t="shared" si="175"/>
        <v>-0.1</v>
      </c>
      <c r="DI194" s="1007">
        <f t="shared" si="165"/>
        <v>3</v>
      </c>
    </row>
    <row r="195" spans="76:113" x14ac:dyDescent="0.2">
      <c r="CA195" s="17" t="str" cm="1">
        <f t="array" ref="CA195">INDEX(List_comparators,CB195+1)</f>
        <v>sunitinib</v>
      </c>
      <c r="CB195" s="17">
        <v>7</v>
      </c>
      <c r="CC195" s="17">
        <v>1</v>
      </c>
      <c r="CD195" s="17"/>
      <c r="CE195" s="17"/>
      <c r="CF195" s="17"/>
      <c r="CG195" s="17"/>
      <c r="CH195" s="17"/>
      <c r="CI195" s="17"/>
      <c r="CJ195" s="17"/>
      <c r="CK195" s="17"/>
      <c r="CL195" s="17" t="str">
        <v>Increase in lipase</v>
      </c>
      <c r="CM195" s="17">
        <v>12</v>
      </c>
      <c r="CN195" s="17">
        <v>0</v>
      </c>
      <c r="CO195" s="17">
        <f t="shared" ca="1" si="153"/>
        <v>0</v>
      </c>
      <c r="CP195" s="17"/>
      <c r="CQ195" s="17">
        <f t="shared" ca="1" si="178"/>
        <v>12383.714285714286</v>
      </c>
      <c r="CR195" s="17">
        <v>0</v>
      </c>
      <c r="CS195" s="17">
        <f t="shared" ca="1" si="179"/>
        <v>0</v>
      </c>
      <c r="CT195" s="17" t="str">
        <f t="shared" si="176"/>
        <v>one-off</v>
      </c>
      <c r="CU195" s="17" t="str">
        <f t="shared" si="177"/>
        <v>Yes</v>
      </c>
      <c r="CV195" s="17">
        <f t="shared" ca="1" si="180"/>
        <v>1</v>
      </c>
      <c r="CW195" s="17">
        <f t="shared" ca="1" si="181"/>
        <v>0</v>
      </c>
      <c r="CY195" s="657">
        <v>15</v>
      </c>
      <c r="CZ195" s="17" t="str">
        <f t="shared" si="169"/>
        <v>sunitinib</v>
      </c>
      <c r="DA195" s="17">
        <f t="shared" si="170"/>
        <v>7</v>
      </c>
      <c r="DB195" s="17">
        <f t="shared" si="171"/>
        <v>1</v>
      </c>
      <c r="DC195" s="17" t="str">
        <f>"G3+ "&amp;$D$44</f>
        <v>G3+ Lymphopenia</v>
      </c>
      <c r="DD195" s="17">
        <f t="shared" ca="1" si="172"/>
        <v>0</v>
      </c>
      <c r="DE195" s="956">
        <f t="shared" ca="1" si="173"/>
        <v>38.699107142857144</v>
      </c>
      <c r="DG195" s="1008">
        <f t="shared" si="174"/>
        <v>679.97</v>
      </c>
      <c r="DH195" s="1009">
        <f t="shared" si="175"/>
        <v>-0.1</v>
      </c>
      <c r="DI195" s="1007">
        <f t="shared" si="165"/>
        <v>3</v>
      </c>
    </row>
    <row r="196" spans="76:113" x14ac:dyDescent="0.2">
      <c r="CA196" s="17" t="str" cm="1">
        <f t="array" ref="CA196">INDEX(List_comparators,CB196+1)</f>
        <v>sunitinib</v>
      </c>
      <c r="CB196" s="17">
        <v>7</v>
      </c>
      <c r="CC196" s="17">
        <v>1</v>
      </c>
      <c r="CD196" s="17"/>
      <c r="CE196" s="17"/>
      <c r="CF196" s="17"/>
      <c r="CG196" s="17"/>
      <c r="CH196" s="17"/>
      <c r="CI196" s="17"/>
      <c r="CJ196" s="17"/>
      <c r="CK196" s="17"/>
      <c r="CL196" s="17" t="str">
        <v>Increased AST</v>
      </c>
      <c r="CM196" s="17">
        <v>13</v>
      </c>
      <c r="CN196" s="17">
        <v>0</v>
      </c>
      <c r="CO196" s="17">
        <f t="shared" ca="1" si="153"/>
        <v>0</v>
      </c>
      <c r="CP196" s="17"/>
      <c r="CQ196" s="17">
        <f t="shared" ca="1" si="178"/>
        <v>12383.714285714286</v>
      </c>
      <c r="CR196" s="17">
        <v>0</v>
      </c>
      <c r="CS196" s="17">
        <f t="shared" ca="1" si="179"/>
        <v>0</v>
      </c>
      <c r="CT196" s="17" t="str">
        <f t="shared" si="176"/>
        <v>one-off</v>
      </c>
      <c r="CU196" s="17" t="str">
        <f t="shared" si="177"/>
        <v>Yes</v>
      </c>
      <c r="CV196" s="17">
        <f t="shared" ca="1" si="180"/>
        <v>1</v>
      </c>
      <c r="CW196" s="17">
        <f t="shared" ca="1" si="181"/>
        <v>0</v>
      </c>
      <c r="CY196" s="657">
        <v>16</v>
      </c>
      <c r="CZ196" s="17" t="str">
        <f t="shared" si="169"/>
        <v>sunitinib</v>
      </c>
      <c r="DA196" s="17">
        <f t="shared" si="170"/>
        <v>7</v>
      </c>
      <c r="DB196" s="17">
        <f t="shared" si="171"/>
        <v>1</v>
      </c>
      <c r="DC196" s="17" t="str">
        <f>"G3+ "&amp;$D$45</f>
        <v>G3+ Nausea</v>
      </c>
      <c r="DD196" s="17">
        <f t="shared" ca="1" si="172"/>
        <v>0</v>
      </c>
      <c r="DE196" s="956">
        <f t="shared" ca="1" si="173"/>
        <v>38.699107142857144</v>
      </c>
      <c r="DG196" s="1008">
        <f t="shared" si="174"/>
        <v>801.11</v>
      </c>
      <c r="DH196" s="1009">
        <f t="shared" si="175"/>
        <v>-0.1</v>
      </c>
      <c r="DI196" s="1007">
        <f t="shared" si="165"/>
        <v>3</v>
      </c>
    </row>
    <row r="197" spans="76:113" x14ac:dyDescent="0.2">
      <c r="CA197" s="17" t="str" cm="1">
        <f t="array" ref="CA197">INDEX(List_comparators,CB197+1)</f>
        <v>sunitinib</v>
      </c>
      <c r="CB197" s="17">
        <v>7</v>
      </c>
      <c r="CC197" s="17">
        <v>1</v>
      </c>
      <c r="CD197" s="17"/>
      <c r="CE197" s="17"/>
      <c r="CF197" s="17"/>
      <c r="CG197" s="17"/>
      <c r="CH197" s="17"/>
      <c r="CI197" s="17"/>
      <c r="CJ197" s="17"/>
      <c r="CK197" s="17"/>
      <c r="CL197" s="17" t="str">
        <v>Leukopenia</v>
      </c>
      <c r="CM197" s="17">
        <v>14</v>
      </c>
      <c r="CN197" s="17">
        <v>0</v>
      </c>
      <c r="CO197" s="17">
        <f t="shared" ca="1" si="153"/>
        <v>0</v>
      </c>
      <c r="CP197" s="17"/>
      <c r="CQ197" s="17">
        <f t="shared" ca="1" si="178"/>
        <v>12383.714285714286</v>
      </c>
      <c r="CR197" s="17">
        <v>0</v>
      </c>
      <c r="CS197" s="17">
        <f t="shared" ca="1" si="179"/>
        <v>0</v>
      </c>
      <c r="CT197" s="17" t="str">
        <f t="shared" si="176"/>
        <v>one-off</v>
      </c>
      <c r="CU197" s="17" t="str">
        <f t="shared" si="177"/>
        <v>Yes</v>
      </c>
      <c r="CV197" s="17">
        <f t="shared" ca="1" si="180"/>
        <v>1</v>
      </c>
      <c r="CW197" s="17">
        <f t="shared" ca="1" si="181"/>
        <v>0</v>
      </c>
      <c r="CY197" s="657">
        <v>17</v>
      </c>
      <c r="CZ197" s="17" t="str">
        <f t="shared" si="169"/>
        <v>sunitinib</v>
      </c>
      <c r="DA197" s="17">
        <f t="shared" si="170"/>
        <v>7</v>
      </c>
      <c r="DB197" s="17">
        <f t="shared" si="171"/>
        <v>1</v>
      </c>
      <c r="DC197" s="17" t="str">
        <f>"G3+ "&amp;$D$46</f>
        <v>G3+ Neutropenia</v>
      </c>
      <c r="DD197" s="17">
        <f t="shared" ca="1" si="172"/>
        <v>0</v>
      </c>
      <c r="DE197" s="956">
        <f t="shared" ca="1" si="173"/>
        <v>38.699107142857144</v>
      </c>
      <c r="DG197" s="1008">
        <f t="shared" si="174"/>
        <v>655.75</v>
      </c>
      <c r="DH197" s="1009">
        <f t="shared" si="175"/>
        <v>-0.1</v>
      </c>
      <c r="DI197" s="1007">
        <f t="shared" si="165"/>
        <v>3</v>
      </c>
    </row>
    <row r="198" spans="76:113" x14ac:dyDescent="0.2">
      <c r="CA198" s="17" t="str" cm="1">
        <f t="array" ref="CA198">INDEX(List_comparators,CB198+1)</f>
        <v>sunitinib</v>
      </c>
      <c r="CB198" s="17">
        <v>7</v>
      </c>
      <c r="CC198" s="17">
        <v>1</v>
      </c>
      <c r="CD198" s="17"/>
      <c r="CE198" s="17"/>
      <c r="CF198" s="17"/>
      <c r="CG198" s="17"/>
      <c r="CH198" s="17"/>
      <c r="CI198" s="17"/>
      <c r="CJ198" s="17"/>
      <c r="CK198" s="17"/>
      <c r="CL198" s="17" t="str">
        <v>Lymphopenia</v>
      </c>
      <c r="CM198" s="17">
        <v>15</v>
      </c>
      <c r="CN198" s="17">
        <v>0</v>
      </c>
      <c r="CO198" s="17">
        <f t="shared" ca="1" si="153"/>
        <v>0</v>
      </c>
      <c r="CP198" s="17"/>
      <c r="CQ198" s="17">
        <f t="shared" ca="1" si="178"/>
        <v>12383.714285714286</v>
      </c>
      <c r="CR198" s="17">
        <v>0</v>
      </c>
      <c r="CS198" s="17">
        <f t="shared" ca="1" si="179"/>
        <v>0</v>
      </c>
      <c r="CT198" s="17" t="str">
        <f t="shared" si="176"/>
        <v>one-off</v>
      </c>
      <c r="CU198" s="17" t="str">
        <f t="shared" si="177"/>
        <v>Yes</v>
      </c>
      <c r="CV198" s="17">
        <f t="shared" ca="1" si="180"/>
        <v>1</v>
      </c>
      <c r="CW198" s="17">
        <f t="shared" ca="1" si="181"/>
        <v>0</v>
      </c>
      <c r="CY198" s="657">
        <v>18</v>
      </c>
      <c r="CZ198" s="17" t="str">
        <f t="shared" si="169"/>
        <v>sunitinib</v>
      </c>
      <c r="DA198" s="17">
        <f t="shared" si="170"/>
        <v>7</v>
      </c>
      <c r="DB198" s="17">
        <f t="shared" si="171"/>
        <v>1</v>
      </c>
      <c r="DC198" s="17" t="str">
        <f>"G3+ "&amp;$D$47</f>
        <v>G3+ Platelets count decreased</v>
      </c>
      <c r="DD198" s="17">
        <f t="shared" ca="1" si="172"/>
        <v>0</v>
      </c>
      <c r="DE198" s="956">
        <f t="shared" ca="1" si="173"/>
        <v>38.699107142857144</v>
      </c>
      <c r="DG198" s="1008">
        <f t="shared" si="174"/>
        <v>801.11</v>
      </c>
      <c r="DH198" s="1009">
        <f t="shared" si="175"/>
        <v>-0.1</v>
      </c>
      <c r="DI198" s="1007">
        <f t="shared" si="165"/>
        <v>3</v>
      </c>
    </row>
    <row r="199" spans="76:113" x14ac:dyDescent="0.2">
      <c r="CA199" s="17" t="str" cm="1">
        <f t="array" ref="CA199">INDEX(List_comparators,CB199+1)</f>
        <v>sunitinib</v>
      </c>
      <c r="CB199" s="17">
        <v>7</v>
      </c>
      <c r="CC199" s="17">
        <v>1</v>
      </c>
      <c r="CD199" s="17"/>
      <c r="CE199" s="17"/>
      <c r="CF199" s="17"/>
      <c r="CG199" s="17"/>
      <c r="CH199" s="17"/>
      <c r="CI199" s="17"/>
      <c r="CJ199" s="17"/>
      <c r="CK199" s="17"/>
      <c r="CL199" s="17" t="str">
        <v>Nausea</v>
      </c>
      <c r="CM199" s="17">
        <v>16</v>
      </c>
      <c r="CN199" s="17">
        <v>0</v>
      </c>
      <c r="CO199" s="17">
        <f t="shared" ca="1" si="153"/>
        <v>0</v>
      </c>
      <c r="CP199" s="17"/>
      <c r="CQ199" s="17">
        <f t="shared" ca="1" si="178"/>
        <v>12383.714285714286</v>
      </c>
      <c r="CR199" s="17">
        <v>0</v>
      </c>
      <c r="CS199" s="17">
        <f t="shared" ca="1" si="179"/>
        <v>0</v>
      </c>
      <c r="CT199" s="17" t="str">
        <f t="shared" si="176"/>
        <v>one-off</v>
      </c>
      <c r="CU199" s="17" t="str">
        <f t="shared" si="177"/>
        <v>Yes</v>
      </c>
      <c r="CV199" s="17">
        <f t="shared" ca="1" si="180"/>
        <v>1</v>
      </c>
      <c r="CW199" s="17">
        <f t="shared" ca="1" si="181"/>
        <v>0</v>
      </c>
      <c r="CY199" s="657">
        <v>19</v>
      </c>
      <c r="CZ199" s="17" t="str">
        <f t="shared" si="169"/>
        <v>sunitinib</v>
      </c>
      <c r="DA199" s="17">
        <f t="shared" si="170"/>
        <v>7</v>
      </c>
      <c r="DB199" s="17">
        <f t="shared" si="171"/>
        <v>1</v>
      </c>
      <c r="DC199" s="17" t="str">
        <f>"G3+ "&amp;$D$48</f>
        <v>G3+ Proteinuria</v>
      </c>
      <c r="DD199" s="17">
        <f t="shared" ca="1" si="172"/>
        <v>0</v>
      </c>
      <c r="DE199" s="956">
        <f t="shared" ca="1" si="173"/>
        <v>38.699107142857144</v>
      </c>
      <c r="DG199" s="1008">
        <f t="shared" si="174"/>
        <v>220.87</v>
      </c>
      <c r="DH199" s="1009">
        <f t="shared" si="175"/>
        <v>-0.1</v>
      </c>
      <c r="DI199" s="1007">
        <f t="shared" si="165"/>
        <v>3</v>
      </c>
    </row>
    <row r="200" spans="76:113" x14ac:dyDescent="0.2">
      <c r="CA200" s="17" t="str" cm="1">
        <f t="array" ref="CA200">INDEX(List_comparators,CB200+1)</f>
        <v>sunitinib</v>
      </c>
      <c r="CB200" s="17">
        <v>7</v>
      </c>
      <c r="CC200" s="17">
        <v>1</v>
      </c>
      <c r="CD200" s="17"/>
      <c r="CE200" s="17"/>
      <c r="CF200" s="17"/>
      <c r="CG200" s="17"/>
      <c r="CH200" s="17"/>
      <c r="CI200" s="17"/>
      <c r="CJ200" s="17"/>
      <c r="CK200" s="17"/>
      <c r="CL200" s="17" t="str">
        <v>Neutropenia</v>
      </c>
      <c r="CM200" s="17">
        <v>17</v>
      </c>
      <c r="CN200" s="17">
        <v>0</v>
      </c>
      <c r="CO200" s="17">
        <f t="shared" ca="1" si="153"/>
        <v>0</v>
      </c>
      <c r="CP200" s="17"/>
      <c r="CQ200" s="17">
        <f t="shared" ca="1" si="178"/>
        <v>12383.714285714286</v>
      </c>
      <c r="CR200" s="17">
        <v>0</v>
      </c>
      <c r="CS200" s="17">
        <f t="shared" ca="1" si="179"/>
        <v>0</v>
      </c>
      <c r="CT200" s="17" t="str">
        <f t="shared" si="176"/>
        <v>one-off</v>
      </c>
      <c r="CU200" s="17" t="str">
        <f t="shared" si="177"/>
        <v>Yes</v>
      </c>
      <c r="CV200" s="17">
        <f t="shared" ca="1" si="180"/>
        <v>1</v>
      </c>
      <c r="CW200" s="17">
        <f t="shared" ca="1" si="181"/>
        <v>0</v>
      </c>
      <c r="CY200" s="657">
        <v>20</v>
      </c>
      <c r="CZ200" s="17" t="str">
        <f t="shared" si="169"/>
        <v>sunitinib</v>
      </c>
      <c r="DA200" s="17">
        <f t="shared" si="170"/>
        <v>7</v>
      </c>
      <c r="DB200" s="17">
        <f t="shared" si="171"/>
        <v>1</v>
      </c>
      <c r="DC200" s="17" t="str">
        <f>"G3+ "&amp;$D$49</f>
        <v>G3+ Stomatitis</v>
      </c>
      <c r="DD200" s="17">
        <f t="shared" ca="1" si="172"/>
        <v>0</v>
      </c>
      <c r="DE200" s="956">
        <f t="shared" ca="1" si="173"/>
        <v>38.699107142857144</v>
      </c>
      <c r="DG200" s="1008">
        <f t="shared" si="174"/>
        <v>801.11</v>
      </c>
      <c r="DH200" s="1009">
        <f t="shared" si="175"/>
        <v>-0.1</v>
      </c>
      <c r="DI200" s="1007">
        <f t="shared" si="165"/>
        <v>3</v>
      </c>
    </row>
    <row r="201" spans="76:113" x14ac:dyDescent="0.2">
      <c r="CA201" s="17" t="str" cm="1">
        <f t="array" ref="CA201">INDEX(List_comparators,CB201+1)</f>
        <v>sunitinib</v>
      </c>
      <c r="CB201" s="17">
        <v>7</v>
      </c>
      <c r="CC201" s="17">
        <v>1</v>
      </c>
      <c r="CD201" s="17"/>
      <c r="CE201" s="17"/>
      <c r="CF201" s="17"/>
      <c r="CG201" s="17"/>
      <c r="CH201" s="17"/>
      <c r="CI201" s="17"/>
      <c r="CJ201" s="17"/>
      <c r="CK201" s="17"/>
      <c r="CL201" s="17" t="str">
        <v>Platelets count decreased</v>
      </c>
      <c r="CM201" s="17">
        <v>18</v>
      </c>
      <c r="CN201" s="17">
        <v>0</v>
      </c>
      <c r="CO201" s="17">
        <f t="shared" ca="1" si="153"/>
        <v>0</v>
      </c>
      <c r="CP201" s="17"/>
      <c r="CQ201" s="17">
        <f t="shared" ca="1" si="178"/>
        <v>12383.714285714286</v>
      </c>
      <c r="CR201" s="17">
        <v>0</v>
      </c>
      <c r="CS201" s="17">
        <f t="shared" ca="1" si="179"/>
        <v>0</v>
      </c>
      <c r="CT201" s="17" t="str">
        <f t="shared" si="176"/>
        <v>one-off</v>
      </c>
      <c r="CU201" s="17" t="str">
        <f t="shared" si="177"/>
        <v>Yes</v>
      </c>
      <c r="CV201" s="17">
        <f t="shared" ca="1" si="180"/>
        <v>1</v>
      </c>
      <c r="CW201" s="17">
        <f t="shared" ca="1" si="181"/>
        <v>0</v>
      </c>
      <c r="CY201" s="657">
        <v>21</v>
      </c>
      <c r="CZ201" s="17" t="str">
        <f t="shared" si="169"/>
        <v>sunitinib</v>
      </c>
      <c r="DA201" s="17">
        <f t="shared" si="170"/>
        <v>7</v>
      </c>
      <c r="DB201" s="17">
        <f t="shared" si="171"/>
        <v>1</v>
      </c>
      <c r="DC201" s="17" t="str">
        <f>"G3+ "&amp;$D$50</f>
        <v>G3+ Vomiting</v>
      </c>
      <c r="DD201" s="17">
        <f t="shared" ca="1" si="172"/>
        <v>0</v>
      </c>
      <c r="DE201" s="956">
        <f t="shared" ca="1" si="173"/>
        <v>38.699107142857144</v>
      </c>
      <c r="DG201" s="1008">
        <f t="shared" si="174"/>
        <v>801.11</v>
      </c>
      <c r="DH201" s="1009">
        <f t="shared" si="175"/>
        <v>-0.1</v>
      </c>
      <c r="DI201" s="1007">
        <f t="shared" si="165"/>
        <v>3</v>
      </c>
    </row>
    <row r="202" spans="76:113" x14ac:dyDescent="0.2">
      <c r="CA202" s="17" t="str" cm="1">
        <f t="array" ref="CA202">INDEX(List_comparators,CB202+1)</f>
        <v>sunitinib</v>
      </c>
      <c r="CB202" s="17">
        <v>7</v>
      </c>
      <c r="CC202" s="17">
        <v>1</v>
      </c>
      <c r="CD202" s="17"/>
      <c r="CE202" s="17"/>
      <c r="CF202" s="17"/>
      <c r="CG202" s="17"/>
      <c r="CH202" s="17"/>
      <c r="CI202" s="17"/>
      <c r="CJ202" s="17"/>
      <c r="CK202" s="17"/>
      <c r="CL202" s="17" t="str">
        <v>Proteinuria</v>
      </c>
      <c r="CM202" s="17">
        <v>19</v>
      </c>
      <c r="CN202" s="17">
        <v>0</v>
      </c>
      <c r="CO202" s="17">
        <f t="shared" ca="1" si="153"/>
        <v>0</v>
      </c>
      <c r="CP202" s="17"/>
      <c r="CQ202" s="17">
        <f t="shared" ca="1" si="178"/>
        <v>12383.714285714286</v>
      </c>
      <c r="CR202" s="17">
        <v>0</v>
      </c>
      <c r="CS202" s="17">
        <f t="shared" ca="1" si="179"/>
        <v>0</v>
      </c>
      <c r="CT202" s="17" t="str">
        <f t="shared" si="176"/>
        <v>one-off</v>
      </c>
      <c r="CU202" s="17" t="str">
        <f t="shared" si="177"/>
        <v>Yes</v>
      </c>
      <c r="CV202" s="17">
        <f t="shared" ca="1" si="180"/>
        <v>1</v>
      </c>
      <c r="CW202" s="17">
        <f t="shared" ca="1" si="181"/>
        <v>0</v>
      </c>
      <c r="CY202" s="657">
        <v>22</v>
      </c>
      <c r="CZ202" s="17" t="str">
        <f t="shared" si="169"/>
        <v>sunitinib</v>
      </c>
      <c r="DA202" s="17">
        <f t="shared" si="170"/>
        <v>7</v>
      </c>
      <c r="DB202" s="17">
        <f t="shared" si="171"/>
        <v>1</v>
      </c>
      <c r="DC202" s="17" t="str">
        <f>"G3+ "&amp;$D$51</f>
        <v>G3+ Weight loss</v>
      </c>
      <c r="DD202" s="17">
        <f t="shared" ca="1" si="172"/>
        <v>0</v>
      </c>
      <c r="DE202" s="956">
        <f t="shared" ca="1" si="173"/>
        <v>38.699107142857144</v>
      </c>
      <c r="DG202" s="1008">
        <f t="shared" si="174"/>
        <v>801.11</v>
      </c>
      <c r="DH202" s="1009">
        <f t="shared" si="175"/>
        <v>-0.1</v>
      </c>
      <c r="DI202" s="1007">
        <f t="shared" si="165"/>
        <v>3</v>
      </c>
    </row>
    <row r="203" spans="76:113" x14ac:dyDescent="0.2">
      <c r="CA203" s="17" t="str" cm="1">
        <f t="array" ref="CA203">INDEX(List_comparators,CB203+1)</f>
        <v>sunitinib</v>
      </c>
      <c r="CB203" s="17">
        <v>7</v>
      </c>
      <c r="CC203" s="17">
        <v>1</v>
      </c>
      <c r="CD203" s="17"/>
      <c r="CE203" s="17"/>
      <c r="CF203" s="17"/>
      <c r="CG203" s="17"/>
      <c r="CH203" s="17"/>
      <c r="CI203" s="17"/>
      <c r="CJ203" s="17"/>
      <c r="CK203" s="17"/>
      <c r="CL203" s="17" t="str">
        <v>Stomatitis</v>
      </c>
      <c r="CM203" s="17">
        <v>20</v>
      </c>
      <c r="CN203" s="17">
        <v>0</v>
      </c>
      <c r="CO203" s="17">
        <f t="shared" ca="1" si="153"/>
        <v>0</v>
      </c>
      <c r="CP203" s="17"/>
      <c r="CQ203" s="17">
        <f t="shared" ca="1" si="178"/>
        <v>12383.714285714286</v>
      </c>
      <c r="CR203" s="17">
        <v>0</v>
      </c>
      <c r="CS203" s="17">
        <f t="shared" ca="1" si="179"/>
        <v>0</v>
      </c>
      <c r="CT203" s="17" t="str">
        <f t="shared" si="176"/>
        <v>one-off</v>
      </c>
      <c r="CU203" s="17" t="str">
        <f t="shared" si="177"/>
        <v>Yes</v>
      </c>
      <c r="CV203" s="17">
        <f t="shared" ca="1" si="180"/>
        <v>1</v>
      </c>
      <c r="CW203" s="17">
        <f t="shared" ca="1" si="181"/>
        <v>0</v>
      </c>
      <c r="CY203" s="657">
        <v>1</v>
      </c>
      <c r="CZ203" s="17" t="str">
        <f t="shared" ref="CZ203:DB205" si="182">CA202</f>
        <v>sunitinib</v>
      </c>
      <c r="DA203" s="17">
        <f t="shared" si="182"/>
        <v>7</v>
      </c>
      <c r="DB203" s="17">
        <f t="shared" si="182"/>
        <v>1</v>
      </c>
      <c r="DC203" s="17" t="str">
        <f>"G1&amp;2 "&amp;$D$18</f>
        <v>G1&amp;2 Diarrhoea</v>
      </c>
      <c r="DD203" s="17">
        <f ca="1">CHOOSE(i_AE_NMA_option_num,OFFSET($S$86,$CY203-1,$DA203),OFFSET($AG$18,$CY203-1,$DA203))</f>
        <v>1.073991186581455E-2</v>
      </c>
      <c r="DE203" s="956">
        <f ca="1">OFFSET($S$18,$CY203-1,$DA203)/INDEX($DT$14:$DT$27,MATCH(DA203,$DR$14:$DR$27,0))</f>
        <v>38.699107142857144</v>
      </c>
      <c r="DG203" s="1008">
        <f t="shared" si="174"/>
        <v>220.87</v>
      </c>
      <c r="DH203" s="1009">
        <f t="shared" si="175"/>
        <v>-0.05</v>
      </c>
      <c r="DI203" s="1007">
        <f t="shared" si="165"/>
        <v>3</v>
      </c>
    </row>
    <row r="204" spans="76:113" ht="15.75" thickBot="1" x14ac:dyDescent="0.25">
      <c r="CA204" s="622" t="str" cm="1">
        <f t="array" ref="CA204">INDEX(List_comparators,CB204+1)</f>
        <v>sunitinib</v>
      </c>
      <c r="CB204" s="622">
        <v>7</v>
      </c>
      <c r="CC204" s="622">
        <v>1</v>
      </c>
      <c r="CD204" s="622"/>
      <c r="CE204" s="622"/>
      <c r="CF204" s="622"/>
      <c r="CG204" s="622"/>
      <c r="CH204" s="622"/>
      <c r="CI204" s="622"/>
      <c r="CJ204" s="622"/>
      <c r="CK204" s="622"/>
      <c r="CL204" s="622" t="str">
        <v>Vomiting</v>
      </c>
      <c r="CM204" s="622">
        <v>21</v>
      </c>
      <c r="CN204" s="622">
        <v>0</v>
      </c>
      <c r="CO204" s="622">
        <f t="shared" ca="1" si="153"/>
        <v>0</v>
      </c>
      <c r="CP204" s="622"/>
      <c r="CQ204" s="622">
        <f t="shared" ca="1" si="178"/>
        <v>12383.714285714286</v>
      </c>
      <c r="CR204" s="622">
        <v>0</v>
      </c>
      <c r="CS204" s="622">
        <f t="shared" ca="1" si="179"/>
        <v>0</v>
      </c>
      <c r="CT204" s="622" t="str">
        <f t="shared" si="176"/>
        <v>one-off</v>
      </c>
      <c r="CU204" s="622" t="str">
        <f t="shared" si="177"/>
        <v>Yes</v>
      </c>
      <c r="CV204" s="622">
        <f t="shared" ca="1" si="180"/>
        <v>1</v>
      </c>
      <c r="CW204" s="622">
        <f t="shared" ca="1" si="181"/>
        <v>0</v>
      </c>
      <c r="CY204" s="657">
        <v>2</v>
      </c>
      <c r="CZ204" s="17" t="str">
        <f t="shared" si="182"/>
        <v>sunitinib</v>
      </c>
      <c r="DA204" s="17">
        <f t="shared" si="182"/>
        <v>7</v>
      </c>
      <c r="DB204" s="17">
        <f t="shared" si="182"/>
        <v>1</v>
      </c>
      <c r="DC204" s="17" t="str">
        <f>"G1&amp;2 "&amp;$D$19</f>
        <v>G1&amp;2 Fatigue</v>
      </c>
      <c r="DD204" s="17">
        <f ca="1">CHOOSE(i_AE_NMA_option_num,OFFSET($S$86,$CY204-1,$DA204),OFFSET($AG$18,$CY204-1,$DA204))</f>
        <v>8.3173753547285609E-3</v>
      </c>
      <c r="DE204" s="956">
        <f ca="1">OFFSET($S$18,$CY203-1,$DA204)/INDEX($DT$14:$DT$27,MATCH(DA204,$DR$14:$DR$27,0))</f>
        <v>38.699107142857144</v>
      </c>
      <c r="DG204" s="1008">
        <f t="shared" si="174"/>
        <v>441.74</v>
      </c>
      <c r="DH204" s="1009">
        <f t="shared" si="175"/>
        <v>-0.05</v>
      </c>
      <c r="DI204" s="1007">
        <f t="shared" si="165"/>
        <v>3</v>
      </c>
    </row>
    <row r="205" spans="76:113" ht="15.75" thickTop="1" x14ac:dyDescent="0.2">
      <c r="CA205" s="17"/>
      <c r="CB205" s="17"/>
      <c r="CC205" s="17"/>
      <c r="CD205" s="17"/>
      <c r="CE205" s="17"/>
      <c r="CF205" s="17"/>
      <c r="CG205" s="17"/>
      <c r="CH205" s="17"/>
      <c r="CI205" s="17"/>
      <c r="CJ205" s="17"/>
      <c r="CK205" s="17"/>
      <c r="CL205" s="17" t="str">
        <v>Weight loss</v>
      </c>
      <c r="CM205" s="17"/>
      <c r="CN205" s="17"/>
      <c r="CO205" s="17"/>
      <c r="CP205" s="17"/>
      <c r="CQ205" s="17"/>
      <c r="CR205" s="17"/>
      <c r="CS205" s="17"/>
      <c r="CT205" s="17"/>
      <c r="CU205" s="17"/>
      <c r="CV205" s="17"/>
      <c r="CW205" s="17"/>
      <c r="CY205" s="657">
        <v>3</v>
      </c>
      <c r="CZ205" s="17" t="str">
        <f t="shared" si="182"/>
        <v>sunitinib</v>
      </c>
      <c r="DA205" s="17">
        <f t="shared" si="182"/>
        <v>7</v>
      </c>
      <c r="DB205" s="17">
        <f t="shared" si="182"/>
        <v>1</v>
      </c>
      <c r="DC205" s="17" t="str">
        <f>"G1&amp;2 "&amp;$D$20</f>
        <v>G1&amp;2 Palmar-plantar erythrodysaesthesia syndrome</v>
      </c>
      <c r="DD205" s="17">
        <f ca="1">CHOOSE(i_AE_NMA_option_num,OFFSET($S$86,$CY205-1,$DA205),OFFSET($AG$18,$CY205-1,$DA205))</f>
        <v>8.7211314399095585E-3</v>
      </c>
      <c r="DE205" s="956">
        <f ca="1">OFFSET($S$18,$CY204-1,$DA205)/INDEX($DT$14:$DT$27,MATCH(DA205,$DR$14:$DR$27,0))</f>
        <v>38.699107142857144</v>
      </c>
      <c r="DG205" s="1008">
        <f t="shared" si="174"/>
        <v>441.74</v>
      </c>
      <c r="DH205" s="1009">
        <f t="shared" si="175"/>
        <v>-0.05</v>
      </c>
      <c r="DI205" s="1007">
        <f t="shared" si="165"/>
        <v>3</v>
      </c>
    </row>
    <row r="206" spans="76:113" x14ac:dyDescent="0.2">
      <c r="BX206" s="6" t="s">
        <v>708</v>
      </c>
      <c r="CA206" s="17" t="str" cm="1">
        <f t="array" ref="CA206">INDEX(List_comparators,CB206+1)</f>
        <v>cabozantinib</v>
      </c>
      <c r="CB206" s="17">
        <v>8</v>
      </c>
      <c r="CC206" s="17">
        <v>1</v>
      </c>
      <c r="CD206" s="17">
        <f ca="1">OFFSET($E$16,0,CB206)</f>
        <v>79</v>
      </c>
      <c r="CE206" s="17">
        <f ca="1">OFFSET($E$28,0,CB206)</f>
        <v>79</v>
      </c>
      <c r="CF206" s="17">
        <f ca="1">OFFSET($S$16,0,CB206)</f>
        <v>2851.1241071428572</v>
      </c>
      <c r="CG206" s="17">
        <f ca="1">OFFSET($S$28,0,CB206)</f>
        <v>2851.1241071428572</v>
      </c>
      <c r="CH206" s="17">
        <f ca="1">OFFSET($AG$16,0,CB206)</f>
        <v>2.7708369411939337E-2</v>
      </c>
      <c r="CI206" s="17">
        <f ca="1">OFFSET($AG$28,0,CB206)</f>
        <v>2.7708369411939337E-2</v>
      </c>
      <c r="CJ206" s="583">
        <f>$CJ$6</f>
        <v>3</v>
      </c>
      <c r="CK206" s="583">
        <f>$CK$6</f>
        <v>0.6</v>
      </c>
      <c r="CL206" s="17" t="str" cm="1">
        <f t="array" ref="CL206:CL208">List_AEs_all_grade</f>
        <v>Diarrhoea</v>
      </c>
      <c r="CM206" s="17">
        <v>1</v>
      </c>
      <c r="CN206" s="17">
        <f ca="1">OFFSET($E$18,$CM206-1,$CB206)</f>
        <v>56</v>
      </c>
      <c r="CO206" s="17">
        <f t="shared" ca="1" si="153"/>
        <v>4</v>
      </c>
      <c r="CP206" s="17">
        <f ca="1">OFFSET($S$18,$CM206-1,$CB206)</f>
        <v>2851.1241071428572</v>
      </c>
      <c r="CQ206" s="17">
        <v>0</v>
      </c>
      <c r="CR206" s="17">
        <f ca="1">OFFSET($AG$18,$CM206-1,$CB206)</f>
        <v>1.6835464959153015E-2</v>
      </c>
      <c r="CS206" s="17">
        <v>0</v>
      </c>
      <c r="CT206" s="17" t="str">
        <f>dd_apply_AE_options</f>
        <v>one-off</v>
      </c>
      <c r="CU206" s="17" t="str">
        <f>$CU$6</f>
        <v>Yes</v>
      </c>
      <c r="CV206" s="17">
        <f ca="1">OFFSET($E$86,$CM206-1,$CB206)</f>
        <v>0.92</v>
      </c>
      <c r="CW206" s="17">
        <f ca="1">OFFSET($S$86,$CM206-1,$CB206)</f>
        <v>1.5488627762420775E-2</v>
      </c>
      <c r="CY206" s="657">
        <v>1</v>
      </c>
      <c r="CZ206" s="17" t="str">
        <f t="shared" ref="CZ206:CZ227" si="183">CA206</f>
        <v>cabozantinib</v>
      </c>
      <c r="DA206" s="17">
        <f t="shared" ref="DA206:DA227" si="184">CB206</f>
        <v>8</v>
      </c>
      <c r="DB206" s="17">
        <f t="shared" ref="DB206:DB227" si="185">CC206</f>
        <v>1</v>
      </c>
      <c r="DC206" s="17" t="str">
        <f>"G3+ "&amp;$D$30</f>
        <v>G3+ ALT increased</v>
      </c>
      <c r="DD206" s="17">
        <f t="shared" ref="DD206:DD227" ca="1" si="186">CHOOSE(i_AE_NMA_option_num,OFFSET($S$63,$CY206-1,$DA206),OFFSET($AG$30,$CY206-1,$DA206))</f>
        <v>0</v>
      </c>
      <c r="DE206" s="956">
        <f t="shared" ref="DE206:DE227" ca="1" si="187">OFFSET($S$30,$CY206-1,$DA206)/INDEX($DS$14:$DS$27,MATCH(DA206,$DR$14:$DR$27,0))</f>
        <v>36.090178571428574</v>
      </c>
      <c r="DG206" s="1008">
        <f>$DG181</f>
        <v>0</v>
      </c>
      <c r="DH206" s="1009">
        <f>$DH181</f>
        <v>-0.1</v>
      </c>
      <c r="DI206" s="1007">
        <f t="shared" si="165"/>
        <v>3</v>
      </c>
    </row>
    <row r="207" spans="76:113" x14ac:dyDescent="0.2">
      <c r="CA207" s="17" t="str" cm="1">
        <f t="array" ref="CA207">INDEX(List_comparators,CB207+1)</f>
        <v>cabozantinib</v>
      </c>
      <c r="CB207" s="17">
        <v>8</v>
      </c>
      <c r="CC207" s="17">
        <v>1</v>
      </c>
      <c r="CD207" s="17"/>
      <c r="CE207" s="17"/>
      <c r="CF207" s="17"/>
      <c r="CG207" s="17"/>
      <c r="CH207" s="17"/>
      <c r="CI207" s="17"/>
      <c r="CJ207" s="17"/>
      <c r="CK207" s="17"/>
      <c r="CL207" s="17" t="str">
        <v>Fatigue</v>
      </c>
      <c r="CM207" s="17">
        <v>2</v>
      </c>
      <c r="CN207" s="17">
        <f ca="1">OFFSET($E$18,$CM207-1,$CB207)</f>
        <v>50</v>
      </c>
      <c r="CO207" s="17">
        <f t="shared" ca="1" si="153"/>
        <v>0</v>
      </c>
      <c r="CP207" s="17">
        <f ca="1">OFFSET($S$18,$CM207-1,$CB207)</f>
        <v>2851.1241071428572</v>
      </c>
      <c r="CQ207" s="17">
        <v>0</v>
      </c>
      <c r="CR207" s="17">
        <f ca="1">OFFSET($AG$18,$CM207-1,$CB207)</f>
        <v>1.5783248399205953E-2</v>
      </c>
      <c r="CS207" s="17">
        <v>0</v>
      </c>
      <c r="CT207" s="17" t="str">
        <f>$CT$6</f>
        <v>one-off</v>
      </c>
      <c r="CU207" s="17" t="str">
        <f>$CU$6</f>
        <v>Yes</v>
      </c>
      <c r="CV207" s="17">
        <f ca="1">OFFSET($E$86,$CM207-1,$CB207)</f>
        <v>0.38</v>
      </c>
      <c r="CW207" s="17">
        <f ca="1">OFFSET($S$86,$CM207-1,$CB207)</f>
        <v>5.9976343916982623E-3</v>
      </c>
      <c r="CY207" s="657">
        <v>2</v>
      </c>
      <c r="CZ207" s="17" t="str">
        <f t="shared" si="183"/>
        <v>cabozantinib</v>
      </c>
      <c r="DA207" s="17">
        <f t="shared" si="184"/>
        <v>8</v>
      </c>
      <c r="DB207" s="17">
        <f t="shared" si="185"/>
        <v>1</v>
      </c>
      <c r="DC207" s="17" t="str">
        <f>"G3+ "&amp;$D$31</f>
        <v>G3+ Anaemia</v>
      </c>
      <c r="DD207" s="17">
        <f t="shared" ca="1" si="186"/>
        <v>0</v>
      </c>
      <c r="DE207" s="956">
        <f t="shared" ca="1" si="187"/>
        <v>36.090178571428574</v>
      </c>
      <c r="DG207" s="1008">
        <f t="shared" ref="DG207:DG230" si="188">$DG182</f>
        <v>655.75</v>
      </c>
      <c r="DH207" s="1009">
        <f t="shared" ref="DH207:DH230" si="189">$DH182</f>
        <v>-0.1</v>
      </c>
      <c r="DI207" s="1007">
        <f t="shared" si="165"/>
        <v>3</v>
      </c>
    </row>
    <row r="208" spans="76:113" ht="15.75" thickBot="1" x14ac:dyDescent="0.25">
      <c r="CA208" s="19" t="str" cm="1">
        <f t="array" ref="CA208">INDEX(List_comparators,CB208+1)</f>
        <v>cabozantinib</v>
      </c>
      <c r="CB208" s="19">
        <v>8</v>
      </c>
      <c r="CC208" s="19">
        <v>1</v>
      </c>
      <c r="CD208" s="19"/>
      <c r="CE208" s="19"/>
      <c r="CF208" s="19"/>
      <c r="CG208" s="19"/>
      <c r="CH208" s="19"/>
      <c r="CI208" s="19"/>
      <c r="CJ208" s="19"/>
      <c r="CK208" s="19"/>
      <c r="CL208" s="19" t="str">
        <v>Palmar-plantar erythrodysaesthesia syndrome</v>
      </c>
      <c r="CM208" s="19">
        <v>3</v>
      </c>
      <c r="CN208" s="19">
        <f ca="1">OFFSET($E$18,$CM208-1,$CB208)</f>
        <v>33</v>
      </c>
      <c r="CO208" s="19">
        <f t="shared" ca="1" si="153"/>
        <v>0</v>
      </c>
      <c r="CP208" s="19">
        <f ca="1">OFFSET($S$18,$CM208-1,$CB208)</f>
        <v>2851.1241071428572</v>
      </c>
      <c r="CQ208" s="19">
        <v>0</v>
      </c>
      <c r="CR208" s="19">
        <f ca="1">OFFSET($AG$18,$CM208-1,$CB208)</f>
        <v>9.469949039523572E-3</v>
      </c>
      <c r="CS208" s="19">
        <v>0</v>
      </c>
      <c r="CT208" s="19" t="str">
        <f t="shared" ref="CT208:CT229" si="190">$CT$6</f>
        <v>one-off</v>
      </c>
      <c r="CU208" s="19" t="str">
        <f t="shared" ref="CU208:CU229" si="191">$CU$6</f>
        <v>Yes</v>
      </c>
      <c r="CV208" s="19">
        <f ca="1">OFFSET($E$86,$CM208-1,$CB208)</f>
        <v>1.85</v>
      </c>
      <c r="CW208" s="19">
        <f ca="1">OFFSET($S$86,$CM208-1,$CB208)</f>
        <v>1.7519405723118608E-2</v>
      </c>
      <c r="CY208" s="657">
        <v>3</v>
      </c>
      <c r="CZ208" s="17" t="str">
        <f t="shared" si="183"/>
        <v>cabozantinib</v>
      </c>
      <c r="DA208" s="17">
        <f t="shared" si="184"/>
        <v>8</v>
      </c>
      <c r="DB208" s="17">
        <f t="shared" si="185"/>
        <v>1</v>
      </c>
      <c r="DC208" s="17" t="str">
        <f>"G3+ "&amp;$D$32</f>
        <v>G3+ Decreased appetite</v>
      </c>
      <c r="DD208" s="17">
        <f t="shared" ca="1" si="186"/>
        <v>0</v>
      </c>
      <c r="DE208" s="956">
        <f t="shared" ca="1" si="187"/>
        <v>36.090178571428574</v>
      </c>
      <c r="DG208" s="1008">
        <f t="shared" si="188"/>
        <v>0</v>
      </c>
      <c r="DH208" s="1009">
        <f t="shared" si="189"/>
        <v>-0.1</v>
      </c>
      <c r="DI208" s="1007">
        <f t="shared" si="165"/>
        <v>3</v>
      </c>
    </row>
    <row r="209" spans="79:113" x14ac:dyDescent="0.2">
      <c r="CA209" s="17" t="str" cm="1">
        <f t="array" ref="CA209">INDEX(List_comparators,CB209+1)</f>
        <v>cabozantinib</v>
      </c>
      <c r="CB209" s="17">
        <v>8</v>
      </c>
      <c r="CC209" s="17">
        <v>1</v>
      </c>
      <c r="CD209" s="17"/>
      <c r="CE209" s="17"/>
      <c r="CF209" s="17"/>
      <c r="CG209" s="17"/>
      <c r="CH209" s="17"/>
      <c r="CI209" s="17"/>
      <c r="CJ209" s="17"/>
      <c r="CK209" s="17"/>
      <c r="CL209" s="252" t="str" cm="1">
        <f t="array" ref="CL209:CL230">List_AEs_g3</f>
        <v>ALT increased</v>
      </c>
      <c r="CM209" s="252">
        <v>1</v>
      </c>
      <c r="CN209" s="252">
        <v>0</v>
      </c>
      <c r="CO209" s="252">
        <f t="shared" ca="1" si="153"/>
        <v>4</v>
      </c>
      <c r="CP209" s="252"/>
      <c r="CQ209" s="252">
        <f t="shared" ref="CQ209:CQ229" ca="1" si="192">OFFSET($S$30,$CM209-1,$CB209)</f>
        <v>2851.1241071428572</v>
      </c>
      <c r="CR209" s="252">
        <v>0</v>
      </c>
      <c r="CS209" s="252">
        <f t="shared" ref="CS209:CS229" ca="1" si="193">OFFSET($AG$30,$CM209-1,$CB209)</f>
        <v>1.4029554132627513E-3</v>
      </c>
      <c r="CT209" s="252" t="str">
        <f t="shared" si="190"/>
        <v>one-off</v>
      </c>
      <c r="CU209" s="252" t="str">
        <f t="shared" si="191"/>
        <v>Yes</v>
      </c>
      <c r="CV209" s="252">
        <f ca="1">OFFSET($E$63,$CM209-1,$CB209)</f>
        <v>1.1339999999999999</v>
      </c>
      <c r="CW209" s="252">
        <f ca="1">OFFSET($S$63,$CM209-1,$CB209)</f>
        <v>0</v>
      </c>
      <c r="CY209" s="657">
        <v>4</v>
      </c>
      <c r="CZ209" s="17" t="str">
        <f t="shared" si="183"/>
        <v>cabozantinib</v>
      </c>
      <c r="DA209" s="17">
        <f t="shared" si="184"/>
        <v>8</v>
      </c>
      <c r="DB209" s="17">
        <f t="shared" si="185"/>
        <v>1</v>
      </c>
      <c r="DC209" s="17" t="str">
        <f>"G3+ "&amp;$D$33</f>
        <v>G3+ Diarrhoea _TKI induced</v>
      </c>
      <c r="DD209" s="17">
        <f t="shared" ca="1" si="186"/>
        <v>2.56401264333341E-3</v>
      </c>
      <c r="DE209" s="956">
        <f t="shared" ca="1" si="187"/>
        <v>36.090178571428574</v>
      </c>
      <c r="DG209" s="1008">
        <f t="shared" si="188"/>
        <v>827.18</v>
      </c>
      <c r="DH209" s="1009">
        <f t="shared" si="189"/>
        <v>-0.1</v>
      </c>
      <c r="DI209" s="1007">
        <f t="shared" si="165"/>
        <v>3</v>
      </c>
    </row>
    <row r="210" spans="79:113" x14ac:dyDescent="0.2">
      <c r="CA210" s="17" t="str" cm="1">
        <f t="array" ref="CA210">INDEX(List_comparators,CB210+1)</f>
        <v>cabozantinib</v>
      </c>
      <c r="CB210" s="17">
        <v>8</v>
      </c>
      <c r="CC210" s="17">
        <v>1</v>
      </c>
      <c r="CD210" s="17"/>
      <c r="CE210" s="17"/>
      <c r="CF210" s="17"/>
      <c r="CG210" s="17"/>
      <c r="CH210" s="17"/>
      <c r="CI210" s="17"/>
      <c r="CJ210" s="17"/>
      <c r="CK210" s="17"/>
      <c r="CL210" s="17" t="str">
        <v>Anaemia</v>
      </c>
      <c r="CM210" s="17">
        <v>2</v>
      </c>
      <c r="CN210" s="17">
        <v>0</v>
      </c>
      <c r="CO210" s="17">
        <f t="shared" ca="1" si="153"/>
        <v>0</v>
      </c>
      <c r="CP210" s="17"/>
      <c r="CQ210" s="17">
        <f t="shared" ca="1" si="192"/>
        <v>2851.1241071428572</v>
      </c>
      <c r="CR210" s="17">
        <v>0</v>
      </c>
      <c r="CS210" s="17">
        <f t="shared" ca="1" si="193"/>
        <v>0</v>
      </c>
      <c r="CT210" s="17" t="str">
        <f t="shared" si="190"/>
        <v>one-off</v>
      </c>
      <c r="CU210" s="17" t="str">
        <f t="shared" si="191"/>
        <v>Yes</v>
      </c>
      <c r="CV210" s="17">
        <f t="shared" ref="CV210:CV229" ca="1" si="194">OFFSET($E$63,$CM210-1,$CB210)</f>
        <v>1.1339999999999999</v>
      </c>
      <c r="CW210" s="17">
        <f t="shared" ref="CW210:CW229" ca="1" si="195">OFFSET($S$63,$CM210-1,$CB210)</f>
        <v>0</v>
      </c>
      <c r="CY210" s="657">
        <v>5</v>
      </c>
      <c r="CZ210" s="17" t="str">
        <f t="shared" si="183"/>
        <v>cabozantinib</v>
      </c>
      <c r="DA210" s="17">
        <f t="shared" si="184"/>
        <v>8</v>
      </c>
      <c r="DB210" s="17">
        <f t="shared" si="185"/>
        <v>1</v>
      </c>
      <c r="DC210" s="17" t="str">
        <f>"G3+ "&amp;$D$34</f>
        <v>G3+ Diarrhoea _IO induced</v>
      </c>
      <c r="DD210" s="17">
        <f t="shared" ca="1" si="186"/>
        <v>0</v>
      </c>
      <c r="DE210" s="956">
        <f t="shared" ca="1" si="187"/>
        <v>36.090178571428574</v>
      </c>
      <c r="DG210" s="1008">
        <f t="shared" si="188"/>
        <v>4321.12</v>
      </c>
      <c r="DH210" s="1009">
        <f t="shared" si="189"/>
        <v>-0.1</v>
      </c>
      <c r="DI210" s="1007">
        <f t="shared" si="165"/>
        <v>3</v>
      </c>
    </row>
    <row r="211" spans="79:113" x14ac:dyDescent="0.2">
      <c r="CA211" s="17" t="str" cm="1">
        <f t="array" ref="CA211">INDEX(List_comparators,CB211+1)</f>
        <v>cabozantinib</v>
      </c>
      <c r="CB211" s="17">
        <v>8</v>
      </c>
      <c r="CC211" s="17">
        <v>1</v>
      </c>
      <c r="CD211" s="17"/>
      <c r="CE211" s="17"/>
      <c r="CF211" s="17"/>
      <c r="CG211" s="17"/>
      <c r="CH211" s="17"/>
      <c r="CI211" s="17"/>
      <c r="CJ211" s="17"/>
      <c r="CK211" s="17"/>
      <c r="CL211" s="17" t="str">
        <v>Decreased appetite</v>
      </c>
      <c r="CM211" s="17">
        <v>3</v>
      </c>
      <c r="CN211" s="17">
        <v>0</v>
      </c>
      <c r="CO211" s="17">
        <f t="shared" ca="1" si="153"/>
        <v>0</v>
      </c>
      <c r="CP211" s="17"/>
      <c r="CQ211" s="17">
        <f t="shared" ca="1" si="192"/>
        <v>2851.1241071428572</v>
      </c>
      <c r="CR211" s="17">
        <v>0</v>
      </c>
      <c r="CS211" s="17">
        <f t="shared" ca="1" si="193"/>
        <v>0</v>
      </c>
      <c r="CT211" s="17" t="str">
        <f t="shared" si="190"/>
        <v>one-off</v>
      </c>
      <c r="CU211" s="17" t="str">
        <f t="shared" si="191"/>
        <v>Yes</v>
      </c>
      <c r="CV211" s="17">
        <f t="shared" ca="1" si="194"/>
        <v>1.1339999999999999</v>
      </c>
      <c r="CW211" s="17">
        <f t="shared" ca="1" si="195"/>
        <v>0</v>
      </c>
      <c r="CY211" s="657">
        <v>6</v>
      </c>
      <c r="CZ211" s="17" t="str">
        <f t="shared" si="183"/>
        <v>cabozantinib</v>
      </c>
      <c r="DA211" s="17">
        <f t="shared" si="184"/>
        <v>8</v>
      </c>
      <c r="DB211" s="17">
        <f t="shared" si="185"/>
        <v>1</v>
      </c>
      <c r="DC211" s="17" t="str">
        <f>"G3+ "&amp;$D$35</f>
        <v>G3+ Fatigue</v>
      </c>
      <c r="DD211" s="17">
        <f t="shared" ca="1" si="186"/>
        <v>1.007290681309554E-3</v>
      </c>
      <c r="DE211" s="956">
        <f t="shared" ca="1" si="187"/>
        <v>36.090178571428574</v>
      </c>
      <c r="DG211" s="1008">
        <f t="shared" si="188"/>
        <v>662.61</v>
      </c>
      <c r="DH211" s="1009">
        <f t="shared" si="189"/>
        <v>-0.1</v>
      </c>
      <c r="DI211" s="1007">
        <f t="shared" si="165"/>
        <v>3</v>
      </c>
    </row>
    <row r="212" spans="79:113" x14ac:dyDescent="0.2">
      <c r="CA212" s="17" t="str" cm="1">
        <f t="array" ref="CA212">INDEX(List_comparators,CB212+1)</f>
        <v>cabozantinib</v>
      </c>
      <c r="CB212" s="17">
        <v>8</v>
      </c>
      <c r="CC212" s="17">
        <v>1</v>
      </c>
      <c r="CD212" s="17"/>
      <c r="CE212" s="17"/>
      <c r="CF212" s="17"/>
      <c r="CG212" s="17"/>
      <c r="CH212" s="17"/>
      <c r="CI212" s="17"/>
      <c r="CJ212" s="17"/>
      <c r="CK212" s="17"/>
      <c r="CL212" s="17" t="str">
        <v>Diarrhoea _TKI induced</v>
      </c>
      <c r="CM212" s="17">
        <v>4</v>
      </c>
      <c r="CN212" s="17">
        <v>0</v>
      </c>
      <c r="CO212" s="17">
        <f t="shared" ca="1" si="153"/>
        <v>8</v>
      </c>
      <c r="CP212" s="17"/>
      <c r="CQ212" s="17">
        <f t="shared" ca="1" si="192"/>
        <v>2851.1241071428572</v>
      </c>
      <c r="CR212" s="17">
        <v>0</v>
      </c>
      <c r="CS212" s="17">
        <f t="shared" ca="1" si="193"/>
        <v>2.8059108265255026E-3</v>
      </c>
      <c r="CT212" s="17" t="str">
        <f t="shared" si="190"/>
        <v>one-off</v>
      </c>
      <c r="CU212" s="17" t="str">
        <f t="shared" si="191"/>
        <v>Yes</v>
      </c>
      <c r="CV212" s="17">
        <f t="shared" ca="1" si="194"/>
        <v>1.1339999999999999</v>
      </c>
      <c r="CW212" s="17">
        <f t="shared" ca="1" si="195"/>
        <v>2.56401264333341E-3</v>
      </c>
      <c r="CY212" s="657">
        <v>7</v>
      </c>
      <c r="CZ212" s="17" t="str">
        <f t="shared" si="183"/>
        <v>cabozantinib</v>
      </c>
      <c r="DA212" s="17">
        <f t="shared" si="184"/>
        <v>8</v>
      </c>
      <c r="DB212" s="17">
        <f t="shared" si="185"/>
        <v>1</v>
      </c>
      <c r="DC212" s="17" t="str">
        <f>"G3+ "&amp;$D$36</f>
        <v>G3+ HFS</v>
      </c>
      <c r="DD212" s="17">
        <f t="shared" ca="1" si="186"/>
        <v>2.3808688830953091E-3</v>
      </c>
      <c r="DE212" s="956">
        <f t="shared" ca="1" si="187"/>
        <v>36.090178571428574</v>
      </c>
      <c r="DG212" s="1008">
        <f t="shared" si="188"/>
        <v>621.42499999999995</v>
      </c>
      <c r="DH212" s="1009">
        <f t="shared" si="189"/>
        <v>-0.1</v>
      </c>
      <c r="DI212" s="1007">
        <f t="shared" si="165"/>
        <v>3</v>
      </c>
    </row>
    <row r="213" spans="79:113" x14ac:dyDescent="0.2">
      <c r="CA213" s="17" t="str" cm="1">
        <f t="array" ref="CA213">INDEX(List_comparators,CB213+1)</f>
        <v>cabozantinib</v>
      </c>
      <c r="CB213" s="17">
        <v>8</v>
      </c>
      <c r="CC213" s="17">
        <v>1</v>
      </c>
      <c r="CD213" s="17"/>
      <c r="CE213" s="17"/>
      <c r="CF213" s="17"/>
      <c r="CG213" s="17"/>
      <c r="CH213" s="17"/>
      <c r="CI213" s="17"/>
      <c r="CJ213" s="17"/>
      <c r="CK213" s="17"/>
      <c r="CL213" s="17" t="str">
        <v>Diarrhoea _IO induced</v>
      </c>
      <c r="CM213" s="17">
        <v>5</v>
      </c>
      <c r="CN213" s="17">
        <v>0</v>
      </c>
      <c r="CO213" s="17">
        <f t="shared" ca="1" si="153"/>
        <v>0</v>
      </c>
      <c r="CP213" s="17"/>
      <c r="CQ213" s="17">
        <f t="shared" ca="1" si="192"/>
        <v>2851.1241071428572</v>
      </c>
      <c r="CR213" s="17">
        <v>0</v>
      </c>
      <c r="CS213" s="17">
        <f t="shared" ca="1" si="193"/>
        <v>0</v>
      </c>
      <c r="CT213" s="17" t="str">
        <f t="shared" si="190"/>
        <v>one-off</v>
      </c>
      <c r="CU213" s="17" t="str">
        <f t="shared" si="191"/>
        <v>Yes</v>
      </c>
      <c r="CV213" s="17">
        <f t="shared" ca="1" si="194"/>
        <v>1.1339999999999999</v>
      </c>
      <c r="CW213" s="17">
        <f t="shared" ca="1" si="195"/>
        <v>0</v>
      </c>
      <c r="CY213" s="657">
        <v>8</v>
      </c>
      <c r="CZ213" s="17" t="str">
        <f t="shared" si="183"/>
        <v>cabozantinib</v>
      </c>
      <c r="DA213" s="17">
        <f t="shared" si="184"/>
        <v>8</v>
      </c>
      <c r="DB213" s="17">
        <f t="shared" si="185"/>
        <v>1</v>
      </c>
      <c r="DC213" s="17" t="str">
        <f>"G3+ "&amp;$D$37</f>
        <v>G3+ Hypertension</v>
      </c>
      <c r="DD213" s="17">
        <f t="shared" ca="1" si="186"/>
        <v>3.5713033246429636E-3</v>
      </c>
      <c r="DE213" s="956">
        <f t="shared" ca="1" si="187"/>
        <v>36.090178571428574</v>
      </c>
      <c r="DG213" s="1008">
        <f t="shared" si="188"/>
        <v>424.6</v>
      </c>
      <c r="DH213" s="1009">
        <f t="shared" si="189"/>
        <v>-0.1</v>
      </c>
      <c r="DI213" s="1007">
        <f t="shared" si="165"/>
        <v>3</v>
      </c>
    </row>
    <row r="214" spans="79:113" x14ac:dyDescent="0.2">
      <c r="CA214" s="17" t="str" cm="1">
        <f t="array" ref="CA214">INDEX(List_comparators,CB214+1)</f>
        <v>cabozantinib</v>
      </c>
      <c r="CB214" s="17">
        <v>8</v>
      </c>
      <c r="CC214" s="17">
        <v>1</v>
      </c>
      <c r="CD214" s="17"/>
      <c r="CE214" s="17"/>
      <c r="CF214" s="17"/>
      <c r="CG214" s="17"/>
      <c r="CH214" s="17"/>
      <c r="CI214" s="17"/>
      <c r="CJ214" s="17"/>
      <c r="CK214" s="17"/>
      <c r="CL214" s="17" t="str">
        <v>Fatigue</v>
      </c>
      <c r="CM214" s="17">
        <v>6</v>
      </c>
      <c r="CN214" s="17">
        <v>0</v>
      </c>
      <c r="CO214" s="17">
        <f t="shared" ca="1" si="153"/>
        <v>5</v>
      </c>
      <c r="CP214" s="17"/>
      <c r="CQ214" s="17">
        <f t="shared" ca="1" si="192"/>
        <v>2851.1241071428572</v>
      </c>
      <c r="CR214" s="17">
        <v>0</v>
      </c>
      <c r="CS214" s="17">
        <f t="shared" ca="1" si="193"/>
        <v>1.7536942665784391E-3</v>
      </c>
      <c r="CT214" s="17" t="str">
        <f t="shared" si="190"/>
        <v>one-off</v>
      </c>
      <c r="CU214" s="17" t="str">
        <f t="shared" si="191"/>
        <v>Yes</v>
      </c>
      <c r="CV214" s="17">
        <f t="shared" ca="1" si="194"/>
        <v>1.1339999999999999</v>
      </c>
      <c r="CW214" s="17">
        <f t="shared" ca="1" si="195"/>
        <v>1.007290681309554E-3</v>
      </c>
      <c r="CY214" s="657">
        <v>9</v>
      </c>
      <c r="CZ214" s="17" t="str">
        <f t="shared" si="183"/>
        <v>cabozantinib</v>
      </c>
      <c r="DA214" s="17">
        <f t="shared" si="184"/>
        <v>8</v>
      </c>
      <c r="DB214" s="17">
        <f t="shared" si="185"/>
        <v>1</v>
      </c>
      <c r="DC214" s="17" t="str">
        <f>"G3+ "&amp;$D$38</f>
        <v>G3+ Hypertriglyceridemia</v>
      </c>
      <c r="DD214" s="17">
        <f t="shared" ca="1" si="186"/>
        <v>0</v>
      </c>
      <c r="DE214" s="956">
        <f t="shared" ca="1" si="187"/>
        <v>36.090178571428574</v>
      </c>
      <c r="DG214" s="1008">
        <f t="shared" si="188"/>
        <v>0</v>
      </c>
      <c r="DH214" s="1009">
        <f t="shared" si="189"/>
        <v>-0.1</v>
      </c>
      <c r="DI214" s="1007">
        <f t="shared" si="165"/>
        <v>3</v>
      </c>
    </row>
    <row r="215" spans="79:113" x14ac:dyDescent="0.2">
      <c r="CA215" s="17" t="str" cm="1">
        <f t="array" ref="CA215">INDEX(List_comparators,CB215+1)</f>
        <v>cabozantinib</v>
      </c>
      <c r="CB215" s="17">
        <v>8</v>
      </c>
      <c r="CC215" s="17">
        <v>1</v>
      </c>
      <c r="CD215" s="17"/>
      <c r="CE215" s="17"/>
      <c r="CF215" s="17"/>
      <c r="CG215" s="17"/>
      <c r="CH215" s="17"/>
      <c r="CI215" s="17"/>
      <c r="CJ215" s="17"/>
      <c r="CK215" s="17"/>
      <c r="CL215" s="17" t="str">
        <v>HFS</v>
      </c>
      <c r="CM215" s="17">
        <v>7</v>
      </c>
      <c r="CN215" s="17">
        <v>0</v>
      </c>
      <c r="CO215" s="17">
        <f t="shared" ca="1" si="153"/>
        <v>6</v>
      </c>
      <c r="CP215" s="17"/>
      <c r="CQ215" s="17">
        <f t="shared" ca="1" si="192"/>
        <v>2851.1241071428572</v>
      </c>
      <c r="CR215" s="17">
        <v>0</v>
      </c>
      <c r="CS215" s="17">
        <f t="shared" ca="1" si="193"/>
        <v>2.1044331198941269E-3</v>
      </c>
      <c r="CT215" s="17" t="str">
        <f t="shared" si="190"/>
        <v>one-off</v>
      </c>
      <c r="CU215" s="17" t="str">
        <f t="shared" si="191"/>
        <v>Yes</v>
      </c>
      <c r="CV215" s="17">
        <f t="shared" ca="1" si="194"/>
        <v>1.1339999999999999</v>
      </c>
      <c r="CW215" s="17">
        <f t="shared" ca="1" si="195"/>
        <v>2.3808688830953091E-3</v>
      </c>
      <c r="CY215" s="657">
        <v>10</v>
      </c>
      <c r="CZ215" s="17" t="str">
        <f t="shared" si="183"/>
        <v>cabozantinib</v>
      </c>
      <c r="DA215" s="17">
        <f t="shared" si="184"/>
        <v>8</v>
      </c>
      <c r="DB215" s="17">
        <f t="shared" si="185"/>
        <v>1</v>
      </c>
      <c r="DC215" s="17" t="str">
        <f>"G3+ "&amp;$D$39</f>
        <v>G3+ Hyponatraemia</v>
      </c>
      <c r="DD215" s="17">
        <f t="shared" ca="1" si="186"/>
        <v>1.1904344415476545E-3</v>
      </c>
      <c r="DE215" s="956">
        <f t="shared" ca="1" si="187"/>
        <v>36.090178571428574</v>
      </c>
      <c r="DG215" s="1008">
        <f t="shared" si="188"/>
        <v>574.71</v>
      </c>
      <c r="DH215" s="1009">
        <f t="shared" si="189"/>
        <v>-0.1</v>
      </c>
      <c r="DI215" s="1007">
        <f t="shared" si="165"/>
        <v>3</v>
      </c>
    </row>
    <row r="216" spans="79:113" x14ac:dyDescent="0.2">
      <c r="CA216" s="17" t="str" cm="1">
        <f t="array" ref="CA216">INDEX(List_comparators,CB216+1)</f>
        <v>cabozantinib</v>
      </c>
      <c r="CB216" s="17">
        <v>8</v>
      </c>
      <c r="CC216" s="17">
        <v>1</v>
      </c>
      <c r="CD216" s="17"/>
      <c r="CE216" s="17"/>
      <c r="CF216" s="17"/>
      <c r="CG216" s="17"/>
      <c r="CH216" s="17"/>
      <c r="CI216" s="17"/>
      <c r="CJ216" s="17"/>
      <c r="CK216" s="17"/>
      <c r="CL216" s="17" t="str">
        <v>Hypertension</v>
      </c>
      <c r="CM216" s="17">
        <v>8</v>
      </c>
      <c r="CN216" s="17">
        <v>0</v>
      </c>
      <c r="CO216" s="17">
        <f t="shared" ca="1" si="153"/>
        <v>22</v>
      </c>
      <c r="CP216" s="17"/>
      <c r="CQ216" s="17">
        <f t="shared" ca="1" si="192"/>
        <v>2851.1241071428572</v>
      </c>
      <c r="CR216" s="17">
        <v>0</v>
      </c>
      <c r="CS216" s="17">
        <f t="shared" ca="1" si="193"/>
        <v>7.716254772945132E-3</v>
      </c>
      <c r="CT216" s="17" t="str">
        <f t="shared" si="190"/>
        <v>one-off</v>
      </c>
      <c r="CU216" s="17" t="str">
        <f t="shared" si="191"/>
        <v>Yes</v>
      </c>
      <c r="CV216" s="17">
        <f t="shared" ca="1" si="194"/>
        <v>1.1339999999999999</v>
      </c>
      <c r="CW216" s="17">
        <f t="shared" ca="1" si="195"/>
        <v>3.5713033246429636E-3</v>
      </c>
      <c r="CY216" s="657">
        <v>11</v>
      </c>
      <c r="CZ216" s="17" t="str">
        <f t="shared" si="183"/>
        <v>cabozantinib</v>
      </c>
      <c r="DA216" s="17">
        <f t="shared" si="184"/>
        <v>8</v>
      </c>
      <c r="DB216" s="17">
        <f t="shared" si="185"/>
        <v>1</v>
      </c>
      <c r="DC216" s="17" t="str">
        <f>"G3+ "&amp;$D$40</f>
        <v>G3+ Hypophosphatemia</v>
      </c>
      <c r="DD216" s="17">
        <f t="shared" ca="1" si="186"/>
        <v>1.1904344415476545E-3</v>
      </c>
      <c r="DE216" s="956">
        <f t="shared" ca="1" si="187"/>
        <v>36.090178571428574</v>
      </c>
      <c r="DG216" s="1008">
        <f t="shared" si="188"/>
        <v>0</v>
      </c>
      <c r="DH216" s="1009">
        <f t="shared" si="189"/>
        <v>-0.1</v>
      </c>
      <c r="DI216" s="1007">
        <f t="shared" si="165"/>
        <v>3</v>
      </c>
    </row>
    <row r="217" spans="79:113" x14ac:dyDescent="0.2">
      <c r="CA217" s="17" t="str" cm="1">
        <f t="array" ref="CA217">INDEX(List_comparators,CB217+1)</f>
        <v>cabozantinib</v>
      </c>
      <c r="CB217" s="17">
        <v>8</v>
      </c>
      <c r="CC217" s="17">
        <v>1</v>
      </c>
      <c r="CD217" s="17"/>
      <c r="CE217" s="17"/>
      <c r="CF217" s="17"/>
      <c r="CG217" s="17"/>
      <c r="CH217" s="17"/>
      <c r="CI217" s="17"/>
      <c r="CJ217" s="17"/>
      <c r="CK217" s="17"/>
      <c r="CL217" s="17" t="str">
        <v>Hypertriglyceridemia</v>
      </c>
      <c r="CM217" s="17">
        <v>9</v>
      </c>
      <c r="CN217" s="17">
        <v>0</v>
      </c>
      <c r="CO217" s="17">
        <f t="shared" ca="1" si="153"/>
        <v>0</v>
      </c>
      <c r="CP217" s="17"/>
      <c r="CQ217" s="17">
        <f t="shared" ca="1" si="192"/>
        <v>2851.1241071428572</v>
      </c>
      <c r="CR217" s="17">
        <v>0</v>
      </c>
      <c r="CS217" s="17">
        <f t="shared" ca="1" si="193"/>
        <v>0</v>
      </c>
      <c r="CT217" s="17" t="str">
        <f t="shared" si="190"/>
        <v>one-off</v>
      </c>
      <c r="CU217" s="17" t="str">
        <f t="shared" si="191"/>
        <v>Yes</v>
      </c>
      <c r="CV217" s="17">
        <f t="shared" ca="1" si="194"/>
        <v>1.1339999999999999</v>
      </c>
      <c r="CW217" s="17">
        <f t="shared" ca="1" si="195"/>
        <v>0</v>
      </c>
      <c r="CY217" s="657">
        <v>12</v>
      </c>
      <c r="CZ217" s="17" t="str">
        <f t="shared" si="183"/>
        <v>cabozantinib</v>
      </c>
      <c r="DA217" s="17">
        <f t="shared" si="184"/>
        <v>8</v>
      </c>
      <c r="DB217" s="17">
        <f t="shared" si="185"/>
        <v>1</v>
      </c>
      <c r="DC217" s="17" t="str">
        <f>"G3+ "&amp;$D$41</f>
        <v>G3+ Increase in lipase</v>
      </c>
      <c r="DD217" s="17">
        <f t="shared" ca="1" si="186"/>
        <v>0</v>
      </c>
      <c r="DE217" s="956">
        <f t="shared" ca="1" si="187"/>
        <v>36.090178571428574</v>
      </c>
      <c r="DG217" s="1008">
        <f t="shared" si="188"/>
        <v>655.75</v>
      </c>
      <c r="DH217" s="1009">
        <f t="shared" si="189"/>
        <v>-0.1</v>
      </c>
      <c r="DI217" s="1007">
        <f t="shared" si="165"/>
        <v>3</v>
      </c>
    </row>
    <row r="218" spans="79:113" x14ac:dyDescent="0.2">
      <c r="CA218" s="17" t="str" cm="1">
        <f t="array" ref="CA218">INDEX(List_comparators,CB218+1)</f>
        <v>cabozantinib</v>
      </c>
      <c r="CB218" s="17">
        <v>8</v>
      </c>
      <c r="CC218" s="17">
        <v>1</v>
      </c>
      <c r="CD218" s="17"/>
      <c r="CE218" s="17"/>
      <c r="CF218" s="17"/>
      <c r="CG218" s="17"/>
      <c r="CH218" s="17"/>
      <c r="CI218" s="17"/>
      <c r="CJ218" s="17"/>
      <c r="CK218" s="17"/>
      <c r="CL218" s="17" t="str">
        <v>Hyponatraemia</v>
      </c>
      <c r="CM218" s="17">
        <v>10</v>
      </c>
      <c r="CN218" s="17">
        <v>0</v>
      </c>
      <c r="CO218" s="17">
        <f t="shared" ca="1" si="153"/>
        <v>0</v>
      </c>
      <c r="CP218" s="17"/>
      <c r="CQ218" s="17">
        <f t="shared" ca="1" si="192"/>
        <v>2851.1241071428572</v>
      </c>
      <c r="CR218" s="17">
        <v>0</v>
      </c>
      <c r="CS218" s="17">
        <f t="shared" ca="1" si="193"/>
        <v>0</v>
      </c>
      <c r="CT218" s="17" t="str">
        <f t="shared" si="190"/>
        <v>one-off</v>
      </c>
      <c r="CU218" s="17" t="str">
        <f t="shared" si="191"/>
        <v>Yes</v>
      </c>
      <c r="CV218" s="17">
        <f t="shared" ca="1" si="194"/>
        <v>1.1339999999999999</v>
      </c>
      <c r="CW218" s="17">
        <f t="shared" ca="1" si="195"/>
        <v>1.1904344415476545E-3</v>
      </c>
      <c r="CY218" s="657">
        <v>13</v>
      </c>
      <c r="CZ218" s="17" t="str">
        <f t="shared" si="183"/>
        <v>cabozantinib</v>
      </c>
      <c r="DA218" s="17">
        <f t="shared" si="184"/>
        <v>8</v>
      </c>
      <c r="DB218" s="17">
        <f t="shared" si="185"/>
        <v>1</v>
      </c>
      <c r="DC218" s="17" t="str">
        <f>"G3+ "&amp;$D$42</f>
        <v>G3+ Increased AST</v>
      </c>
      <c r="DD218" s="17">
        <f t="shared" ca="1" si="186"/>
        <v>0</v>
      </c>
      <c r="DE218" s="956">
        <f t="shared" ca="1" si="187"/>
        <v>36.090178571428574</v>
      </c>
      <c r="DG218" s="1008">
        <f t="shared" si="188"/>
        <v>0</v>
      </c>
      <c r="DH218" s="1009">
        <f t="shared" si="189"/>
        <v>-0.1</v>
      </c>
      <c r="DI218" s="1007">
        <f t="shared" si="165"/>
        <v>3</v>
      </c>
    </row>
    <row r="219" spans="79:113" x14ac:dyDescent="0.2">
      <c r="CA219" s="17" t="str" cm="1">
        <f t="array" ref="CA219">INDEX(List_comparators,CB219+1)</f>
        <v>cabozantinib</v>
      </c>
      <c r="CB219" s="17">
        <v>8</v>
      </c>
      <c r="CC219" s="17">
        <v>1</v>
      </c>
      <c r="CD219" s="17"/>
      <c r="CE219" s="17"/>
      <c r="CF219" s="17"/>
      <c r="CG219" s="17"/>
      <c r="CH219" s="17"/>
      <c r="CI219" s="17"/>
      <c r="CJ219" s="17"/>
      <c r="CK219" s="17"/>
      <c r="CL219" s="17" t="str">
        <v>Hypophosphatemia</v>
      </c>
      <c r="CM219" s="17">
        <v>11</v>
      </c>
      <c r="CN219" s="17">
        <v>0</v>
      </c>
      <c r="CO219" s="17">
        <f t="shared" ca="1" si="153"/>
        <v>0</v>
      </c>
      <c r="CP219" s="17"/>
      <c r="CQ219" s="17">
        <f t="shared" ca="1" si="192"/>
        <v>2851.1241071428572</v>
      </c>
      <c r="CR219" s="17">
        <v>0</v>
      </c>
      <c r="CS219" s="17">
        <f t="shared" ca="1" si="193"/>
        <v>0</v>
      </c>
      <c r="CT219" s="17" t="str">
        <f t="shared" si="190"/>
        <v>one-off</v>
      </c>
      <c r="CU219" s="17" t="str">
        <f t="shared" si="191"/>
        <v>Yes</v>
      </c>
      <c r="CV219" s="17">
        <f t="shared" ca="1" si="194"/>
        <v>1.1339999999999999</v>
      </c>
      <c r="CW219" s="17">
        <f t="shared" ca="1" si="195"/>
        <v>1.1904344415476545E-3</v>
      </c>
      <c r="CY219" s="657">
        <v>14</v>
      </c>
      <c r="CZ219" s="17" t="str">
        <f t="shared" si="183"/>
        <v>cabozantinib</v>
      </c>
      <c r="DA219" s="17">
        <f t="shared" si="184"/>
        <v>8</v>
      </c>
      <c r="DB219" s="17">
        <f t="shared" si="185"/>
        <v>1</v>
      </c>
      <c r="DC219" s="17" t="str">
        <f>"G3+ "&amp;$D$43</f>
        <v>G3+ Leukopenia</v>
      </c>
      <c r="DD219" s="17">
        <f t="shared" ca="1" si="186"/>
        <v>0</v>
      </c>
      <c r="DE219" s="956">
        <f t="shared" ca="1" si="187"/>
        <v>36.090178571428574</v>
      </c>
      <c r="DG219" s="1008">
        <f t="shared" si="188"/>
        <v>0</v>
      </c>
      <c r="DH219" s="1009">
        <f t="shared" si="189"/>
        <v>-0.1</v>
      </c>
      <c r="DI219" s="1007">
        <f t="shared" si="165"/>
        <v>3</v>
      </c>
    </row>
    <row r="220" spans="79:113" x14ac:dyDescent="0.2">
      <c r="CA220" s="17" t="str" cm="1">
        <f t="array" ref="CA220">INDEX(List_comparators,CB220+1)</f>
        <v>cabozantinib</v>
      </c>
      <c r="CB220" s="17">
        <v>8</v>
      </c>
      <c r="CC220" s="17">
        <v>1</v>
      </c>
      <c r="CD220" s="17"/>
      <c r="CE220" s="17"/>
      <c r="CF220" s="17"/>
      <c r="CG220" s="17"/>
      <c r="CH220" s="17"/>
      <c r="CI220" s="17"/>
      <c r="CJ220" s="17"/>
      <c r="CK220" s="17"/>
      <c r="CL220" s="17" t="str">
        <v>Increase in lipase</v>
      </c>
      <c r="CM220" s="17">
        <v>12</v>
      </c>
      <c r="CN220" s="17">
        <v>0</v>
      </c>
      <c r="CO220" s="17">
        <f t="shared" ref="CO220:CO229" ca="1" si="196">OFFSET($E$30,$CM220-1,$CB220)</f>
        <v>0</v>
      </c>
      <c r="CP220" s="17"/>
      <c r="CQ220" s="17">
        <f t="shared" ca="1" si="192"/>
        <v>2851.1241071428572</v>
      </c>
      <c r="CR220" s="17">
        <v>0</v>
      </c>
      <c r="CS220" s="17">
        <f t="shared" ca="1" si="193"/>
        <v>0</v>
      </c>
      <c r="CT220" s="17" t="str">
        <f t="shared" si="190"/>
        <v>one-off</v>
      </c>
      <c r="CU220" s="17" t="str">
        <f t="shared" si="191"/>
        <v>Yes</v>
      </c>
      <c r="CV220" s="17">
        <f t="shared" ca="1" si="194"/>
        <v>1.1339999999999999</v>
      </c>
      <c r="CW220" s="17">
        <f t="shared" ca="1" si="195"/>
        <v>0</v>
      </c>
      <c r="CY220" s="657">
        <v>15</v>
      </c>
      <c r="CZ220" s="17" t="str">
        <f t="shared" si="183"/>
        <v>cabozantinib</v>
      </c>
      <c r="DA220" s="17">
        <f t="shared" si="184"/>
        <v>8</v>
      </c>
      <c r="DB220" s="17">
        <f t="shared" si="185"/>
        <v>1</v>
      </c>
      <c r="DC220" s="17" t="str">
        <f>"G3+ "&amp;$D$44</f>
        <v>G3+ Lymphopenia</v>
      </c>
      <c r="DD220" s="17">
        <f t="shared" ca="1" si="186"/>
        <v>0</v>
      </c>
      <c r="DE220" s="956">
        <f t="shared" ca="1" si="187"/>
        <v>36.090178571428574</v>
      </c>
      <c r="DG220" s="1008">
        <f t="shared" si="188"/>
        <v>679.97</v>
      </c>
      <c r="DH220" s="1009">
        <f t="shared" si="189"/>
        <v>-0.1</v>
      </c>
      <c r="DI220" s="1007">
        <f t="shared" si="165"/>
        <v>3</v>
      </c>
    </row>
    <row r="221" spans="79:113" x14ac:dyDescent="0.2">
      <c r="CA221" s="17" t="str" cm="1">
        <f t="array" ref="CA221">INDEX(List_comparators,CB221+1)</f>
        <v>cabozantinib</v>
      </c>
      <c r="CB221" s="17">
        <v>8</v>
      </c>
      <c r="CC221" s="17">
        <v>1</v>
      </c>
      <c r="CD221" s="17"/>
      <c r="CE221" s="17"/>
      <c r="CF221" s="17"/>
      <c r="CG221" s="17"/>
      <c r="CH221" s="17"/>
      <c r="CI221" s="17"/>
      <c r="CJ221" s="17"/>
      <c r="CK221" s="17"/>
      <c r="CL221" s="17" t="str">
        <v>Increased AST</v>
      </c>
      <c r="CM221" s="17">
        <v>13</v>
      </c>
      <c r="CN221" s="17">
        <v>0</v>
      </c>
      <c r="CO221" s="17">
        <f t="shared" ca="1" si="196"/>
        <v>0</v>
      </c>
      <c r="CP221" s="17"/>
      <c r="CQ221" s="17">
        <f t="shared" ca="1" si="192"/>
        <v>2851.1241071428572</v>
      </c>
      <c r="CR221" s="17">
        <v>0</v>
      </c>
      <c r="CS221" s="17">
        <f t="shared" ca="1" si="193"/>
        <v>0</v>
      </c>
      <c r="CT221" s="17" t="str">
        <f t="shared" si="190"/>
        <v>one-off</v>
      </c>
      <c r="CU221" s="17" t="str">
        <f t="shared" si="191"/>
        <v>Yes</v>
      </c>
      <c r="CV221" s="17">
        <f t="shared" ca="1" si="194"/>
        <v>1.1339999999999999</v>
      </c>
      <c r="CW221" s="17">
        <f t="shared" ca="1" si="195"/>
        <v>0</v>
      </c>
      <c r="CY221" s="657">
        <v>16</v>
      </c>
      <c r="CZ221" s="17" t="str">
        <f t="shared" si="183"/>
        <v>cabozantinib</v>
      </c>
      <c r="DA221" s="17">
        <f t="shared" si="184"/>
        <v>8</v>
      </c>
      <c r="DB221" s="17">
        <f t="shared" si="185"/>
        <v>1</v>
      </c>
      <c r="DC221" s="17" t="str">
        <f>"G3+ "&amp;$D$45</f>
        <v>G3+ Nausea</v>
      </c>
      <c r="DD221" s="17">
        <f t="shared" ca="1" si="186"/>
        <v>0</v>
      </c>
      <c r="DE221" s="956">
        <f t="shared" ca="1" si="187"/>
        <v>36.090178571428574</v>
      </c>
      <c r="DG221" s="1008">
        <f t="shared" si="188"/>
        <v>801.11</v>
      </c>
      <c r="DH221" s="1009">
        <f t="shared" si="189"/>
        <v>-0.1</v>
      </c>
      <c r="DI221" s="1007">
        <f t="shared" si="165"/>
        <v>3</v>
      </c>
    </row>
    <row r="222" spans="79:113" x14ac:dyDescent="0.2">
      <c r="CA222" s="17" t="str" cm="1">
        <f t="array" ref="CA222">INDEX(List_comparators,CB222+1)</f>
        <v>cabozantinib</v>
      </c>
      <c r="CB222" s="17">
        <v>8</v>
      </c>
      <c r="CC222" s="17">
        <v>1</v>
      </c>
      <c r="CD222" s="17"/>
      <c r="CE222" s="17"/>
      <c r="CF222" s="17"/>
      <c r="CG222" s="17"/>
      <c r="CH222" s="17"/>
      <c r="CI222" s="17"/>
      <c r="CJ222" s="17"/>
      <c r="CK222" s="17"/>
      <c r="CL222" s="17" t="str">
        <v>Leukopenia</v>
      </c>
      <c r="CM222" s="17">
        <v>14</v>
      </c>
      <c r="CN222" s="17">
        <v>0</v>
      </c>
      <c r="CO222" s="17">
        <f t="shared" ca="1" si="196"/>
        <v>0</v>
      </c>
      <c r="CP222" s="17"/>
      <c r="CQ222" s="17">
        <f t="shared" ca="1" si="192"/>
        <v>2851.1241071428572</v>
      </c>
      <c r="CR222" s="17">
        <v>0</v>
      </c>
      <c r="CS222" s="17">
        <f t="shared" ca="1" si="193"/>
        <v>0</v>
      </c>
      <c r="CT222" s="17" t="str">
        <f t="shared" si="190"/>
        <v>one-off</v>
      </c>
      <c r="CU222" s="17" t="str">
        <f t="shared" si="191"/>
        <v>Yes</v>
      </c>
      <c r="CV222" s="17">
        <f t="shared" ca="1" si="194"/>
        <v>1.1339999999999999</v>
      </c>
      <c r="CW222" s="17">
        <f t="shared" ca="1" si="195"/>
        <v>0</v>
      </c>
      <c r="CY222" s="657">
        <v>17</v>
      </c>
      <c r="CZ222" s="17" t="str">
        <f t="shared" si="183"/>
        <v>cabozantinib</v>
      </c>
      <c r="DA222" s="17">
        <f t="shared" si="184"/>
        <v>8</v>
      </c>
      <c r="DB222" s="17">
        <f t="shared" si="185"/>
        <v>1</v>
      </c>
      <c r="DC222" s="17" t="str">
        <f>"G3+ "&amp;$D$46</f>
        <v>G3+ Neutropenia</v>
      </c>
      <c r="DD222" s="17">
        <f t="shared" ca="1" si="186"/>
        <v>0</v>
      </c>
      <c r="DE222" s="956">
        <f t="shared" ca="1" si="187"/>
        <v>36.090178571428574</v>
      </c>
      <c r="DG222" s="1008">
        <f t="shared" si="188"/>
        <v>655.75</v>
      </c>
      <c r="DH222" s="1009">
        <f t="shared" si="189"/>
        <v>-0.1</v>
      </c>
      <c r="DI222" s="1007">
        <f t="shared" si="165"/>
        <v>3</v>
      </c>
    </row>
    <row r="223" spans="79:113" x14ac:dyDescent="0.2">
      <c r="CA223" s="17" t="str" cm="1">
        <f t="array" ref="CA223">INDEX(List_comparators,CB223+1)</f>
        <v>cabozantinib</v>
      </c>
      <c r="CB223" s="17">
        <v>8</v>
      </c>
      <c r="CC223" s="17">
        <v>1</v>
      </c>
      <c r="CD223" s="17"/>
      <c r="CE223" s="17"/>
      <c r="CF223" s="17"/>
      <c r="CG223" s="17"/>
      <c r="CH223" s="17"/>
      <c r="CI223" s="17"/>
      <c r="CJ223" s="17"/>
      <c r="CK223" s="17"/>
      <c r="CL223" s="17" t="str">
        <v>Lymphopenia</v>
      </c>
      <c r="CM223" s="17">
        <v>15</v>
      </c>
      <c r="CN223" s="17">
        <v>0</v>
      </c>
      <c r="CO223" s="17">
        <f t="shared" ca="1" si="196"/>
        <v>0</v>
      </c>
      <c r="CP223" s="17"/>
      <c r="CQ223" s="17">
        <f t="shared" ca="1" si="192"/>
        <v>2851.1241071428572</v>
      </c>
      <c r="CR223" s="17">
        <v>0</v>
      </c>
      <c r="CS223" s="17">
        <f t="shared" ca="1" si="193"/>
        <v>0</v>
      </c>
      <c r="CT223" s="17" t="str">
        <f t="shared" si="190"/>
        <v>one-off</v>
      </c>
      <c r="CU223" s="17" t="str">
        <f t="shared" si="191"/>
        <v>Yes</v>
      </c>
      <c r="CV223" s="17">
        <f t="shared" ca="1" si="194"/>
        <v>1.1339999999999999</v>
      </c>
      <c r="CW223" s="17">
        <f t="shared" ca="1" si="195"/>
        <v>0</v>
      </c>
      <c r="CY223" s="657">
        <v>18</v>
      </c>
      <c r="CZ223" s="17" t="str">
        <f t="shared" si="183"/>
        <v>cabozantinib</v>
      </c>
      <c r="DA223" s="17">
        <f t="shared" si="184"/>
        <v>8</v>
      </c>
      <c r="DB223" s="17">
        <f t="shared" si="185"/>
        <v>1</v>
      </c>
      <c r="DC223" s="17" t="str">
        <f>"G3+ "&amp;$D$47</f>
        <v>G3+ Platelets count decreased</v>
      </c>
      <c r="DD223" s="17">
        <f t="shared" ca="1" si="186"/>
        <v>0</v>
      </c>
      <c r="DE223" s="956">
        <f t="shared" ca="1" si="187"/>
        <v>36.090178571428574</v>
      </c>
      <c r="DG223" s="1008">
        <f t="shared" si="188"/>
        <v>801.11</v>
      </c>
      <c r="DH223" s="1009">
        <f t="shared" si="189"/>
        <v>-0.1</v>
      </c>
      <c r="DI223" s="1007">
        <f t="shared" ref="DI223:DI286" si="197">DI198</f>
        <v>3</v>
      </c>
    </row>
    <row r="224" spans="79:113" x14ac:dyDescent="0.2">
      <c r="CA224" s="17" t="str" cm="1">
        <f t="array" ref="CA224">INDEX(List_comparators,CB224+1)</f>
        <v>cabozantinib</v>
      </c>
      <c r="CB224" s="17">
        <v>8</v>
      </c>
      <c r="CC224" s="17">
        <v>1</v>
      </c>
      <c r="CD224" s="17"/>
      <c r="CE224" s="17"/>
      <c r="CF224" s="17"/>
      <c r="CG224" s="17"/>
      <c r="CH224" s="17"/>
      <c r="CI224" s="17"/>
      <c r="CJ224" s="17"/>
      <c r="CK224" s="17"/>
      <c r="CL224" s="17" t="str">
        <v>Nausea</v>
      </c>
      <c r="CM224" s="17">
        <v>16</v>
      </c>
      <c r="CN224" s="17">
        <v>0</v>
      </c>
      <c r="CO224" s="17">
        <f t="shared" ca="1" si="196"/>
        <v>0</v>
      </c>
      <c r="CP224" s="17"/>
      <c r="CQ224" s="17">
        <f t="shared" ca="1" si="192"/>
        <v>2851.1241071428572</v>
      </c>
      <c r="CR224" s="17">
        <v>0</v>
      </c>
      <c r="CS224" s="17">
        <f t="shared" ca="1" si="193"/>
        <v>0</v>
      </c>
      <c r="CT224" s="17" t="str">
        <f t="shared" si="190"/>
        <v>one-off</v>
      </c>
      <c r="CU224" s="17" t="str">
        <f t="shared" si="191"/>
        <v>Yes</v>
      </c>
      <c r="CV224" s="17">
        <f t="shared" ca="1" si="194"/>
        <v>1.1339999999999999</v>
      </c>
      <c r="CW224" s="17">
        <f t="shared" ca="1" si="195"/>
        <v>0</v>
      </c>
      <c r="CY224" s="657">
        <v>19</v>
      </c>
      <c r="CZ224" s="17" t="str">
        <f t="shared" si="183"/>
        <v>cabozantinib</v>
      </c>
      <c r="DA224" s="17">
        <f t="shared" si="184"/>
        <v>8</v>
      </c>
      <c r="DB224" s="17">
        <f t="shared" si="185"/>
        <v>1</v>
      </c>
      <c r="DC224" s="17" t="str">
        <f>"G3+ "&amp;$D$48</f>
        <v>G3+ Proteinuria</v>
      </c>
      <c r="DD224" s="17">
        <f t="shared" ca="1" si="186"/>
        <v>0</v>
      </c>
      <c r="DE224" s="956">
        <f t="shared" ca="1" si="187"/>
        <v>36.090178571428574</v>
      </c>
      <c r="DG224" s="1008">
        <f t="shared" si="188"/>
        <v>220.87</v>
      </c>
      <c r="DH224" s="1009">
        <f t="shared" si="189"/>
        <v>-0.1</v>
      </c>
      <c r="DI224" s="1007">
        <f t="shared" si="197"/>
        <v>3</v>
      </c>
    </row>
    <row r="225" spans="76:113" x14ac:dyDescent="0.2">
      <c r="CA225" s="17" t="str" cm="1">
        <f t="array" ref="CA225">INDEX(List_comparators,CB225+1)</f>
        <v>cabozantinib</v>
      </c>
      <c r="CB225" s="17">
        <v>8</v>
      </c>
      <c r="CC225" s="17">
        <v>1</v>
      </c>
      <c r="CD225" s="17"/>
      <c r="CE225" s="17"/>
      <c r="CF225" s="17"/>
      <c r="CG225" s="17"/>
      <c r="CH225" s="17"/>
      <c r="CI225" s="17"/>
      <c r="CJ225" s="17"/>
      <c r="CK225" s="17"/>
      <c r="CL225" s="17" t="str">
        <v>Neutropenia</v>
      </c>
      <c r="CM225" s="17">
        <v>17</v>
      </c>
      <c r="CN225" s="17">
        <v>0</v>
      </c>
      <c r="CO225" s="17">
        <f t="shared" ca="1" si="196"/>
        <v>0</v>
      </c>
      <c r="CP225" s="17"/>
      <c r="CQ225" s="17">
        <f t="shared" ca="1" si="192"/>
        <v>2851.1241071428572</v>
      </c>
      <c r="CR225" s="17">
        <v>0</v>
      </c>
      <c r="CS225" s="17">
        <f t="shared" ca="1" si="193"/>
        <v>0</v>
      </c>
      <c r="CT225" s="17" t="str">
        <f t="shared" si="190"/>
        <v>one-off</v>
      </c>
      <c r="CU225" s="17" t="str">
        <f t="shared" si="191"/>
        <v>Yes</v>
      </c>
      <c r="CV225" s="17">
        <f t="shared" ca="1" si="194"/>
        <v>1.1339999999999999</v>
      </c>
      <c r="CW225" s="17">
        <f t="shared" ca="1" si="195"/>
        <v>0</v>
      </c>
      <c r="CY225" s="657">
        <v>20</v>
      </c>
      <c r="CZ225" s="17" t="str">
        <f t="shared" si="183"/>
        <v>cabozantinib</v>
      </c>
      <c r="DA225" s="17">
        <f t="shared" si="184"/>
        <v>8</v>
      </c>
      <c r="DB225" s="17">
        <f t="shared" si="185"/>
        <v>1</v>
      </c>
      <c r="DC225" s="17" t="str">
        <f>"G3+ "&amp;$D$49</f>
        <v>G3+ Stomatitis</v>
      </c>
      <c r="DD225" s="17">
        <f t="shared" ca="1" si="186"/>
        <v>0</v>
      </c>
      <c r="DE225" s="956">
        <f t="shared" ca="1" si="187"/>
        <v>36.090178571428574</v>
      </c>
      <c r="DG225" s="1008">
        <f t="shared" si="188"/>
        <v>801.11</v>
      </c>
      <c r="DH225" s="1009">
        <f t="shared" si="189"/>
        <v>-0.1</v>
      </c>
      <c r="DI225" s="1007">
        <f t="shared" si="197"/>
        <v>3</v>
      </c>
    </row>
    <row r="226" spans="76:113" x14ac:dyDescent="0.2">
      <c r="CA226" s="17" t="str" cm="1">
        <f t="array" ref="CA226">INDEX(List_comparators,CB226+1)</f>
        <v>cabozantinib</v>
      </c>
      <c r="CB226" s="17">
        <v>8</v>
      </c>
      <c r="CC226" s="17">
        <v>1</v>
      </c>
      <c r="CD226" s="17"/>
      <c r="CE226" s="17"/>
      <c r="CF226" s="17"/>
      <c r="CG226" s="17"/>
      <c r="CH226" s="17"/>
      <c r="CI226" s="17"/>
      <c r="CJ226" s="17"/>
      <c r="CK226" s="17"/>
      <c r="CL226" s="17" t="str">
        <v>Platelets count decreased</v>
      </c>
      <c r="CM226" s="17">
        <v>18</v>
      </c>
      <c r="CN226" s="17">
        <v>0</v>
      </c>
      <c r="CO226" s="17">
        <f t="shared" ca="1" si="196"/>
        <v>0</v>
      </c>
      <c r="CP226" s="17"/>
      <c r="CQ226" s="17">
        <f t="shared" ca="1" si="192"/>
        <v>2851.1241071428572</v>
      </c>
      <c r="CR226" s="17">
        <v>0</v>
      </c>
      <c r="CS226" s="17">
        <f t="shared" ca="1" si="193"/>
        <v>0</v>
      </c>
      <c r="CT226" s="17" t="str">
        <f t="shared" si="190"/>
        <v>one-off</v>
      </c>
      <c r="CU226" s="17" t="str">
        <f t="shared" si="191"/>
        <v>Yes</v>
      </c>
      <c r="CV226" s="17">
        <f t="shared" ca="1" si="194"/>
        <v>1.1339999999999999</v>
      </c>
      <c r="CW226" s="17">
        <f t="shared" ca="1" si="195"/>
        <v>0</v>
      </c>
      <c r="CY226" s="657">
        <v>21</v>
      </c>
      <c r="CZ226" s="17" t="str">
        <f t="shared" si="183"/>
        <v>cabozantinib</v>
      </c>
      <c r="DA226" s="17">
        <f t="shared" si="184"/>
        <v>8</v>
      </c>
      <c r="DB226" s="17">
        <f t="shared" si="185"/>
        <v>1</v>
      </c>
      <c r="DC226" s="17" t="str">
        <f>"G3+ "&amp;$D$50</f>
        <v>G3+ Vomiting</v>
      </c>
      <c r="DD226" s="17">
        <f t="shared" ca="1" si="186"/>
        <v>0</v>
      </c>
      <c r="DE226" s="956">
        <f t="shared" ca="1" si="187"/>
        <v>36.090178571428574</v>
      </c>
      <c r="DG226" s="1008">
        <f t="shared" si="188"/>
        <v>801.11</v>
      </c>
      <c r="DH226" s="1009">
        <f t="shared" si="189"/>
        <v>-0.1</v>
      </c>
      <c r="DI226" s="1007">
        <f t="shared" si="197"/>
        <v>3</v>
      </c>
    </row>
    <row r="227" spans="76:113" x14ac:dyDescent="0.2">
      <c r="CA227" s="17" t="str" cm="1">
        <f t="array" ref="CA227">INDEX(List_comparators,CB227+1)</f>
        <v>cabozantinib</v>
      </c>
      <c r="CB227" s="17">
        <v>8</v>
      </c>
      <c r="CC227" s="17">
        <v>1</v>
      </c>
      <c r="CD227" s="17"/>
      <c r="CE227" s="17"/>
      <c r="CF227" s="17"/>
      <c r="CG227" s="17"/>
      <c r="CH227" s="17"/>
      <c r="CI227" s="17"/>
      <c r="CJ227" s="17"/>
      <c r="CK227" s="17"/>
      <c r="CL227" s="17" t="str">
        <v>Proteinuria</v>
      </c>
      <c r="CM227" s="17">
        <v>19</v>
      </c>
      <c r="CN227" s="17">
        <v>0</v>
      </c>
      <c r="CO227" s="17">
        <f t="shared" ca="1" si="196"/>
        <v>0</v>
      </c>
      <c r="CP227" s="17"/>
      <c r="CQ227" s="17">
        <f t="shared" ca="1" si="192"/>
        <v>2851.1241071428572</v>
      </c>
      <c r="CR227" s="17">
        <v>0</v>
      </c>
      <c r="CS227" s="17">
        <f t="shared" ca="1" si="193"/>
        <v>0</v>
      </c>
      <c r="CT227" s="17" t="str">
        <f t="shared" si="190"/>
        <v>one-off</v>
      </c>
      <c r="CU227" s="17" t="str">
        <f t="shared" si="191"/>
        <v>Yes</v>
      </c>
      <c r="CV227" s="17">
        <f t="shared" ca="1" si="194"/>
        <v>1.1339999999999999</v>
      </c>
      <c r="CW227" s="17">
        <f t="shared" ca="1" si="195"/>
        <v>0</v>
      </c>
      <c r="CY227" s="657">
        <v>22</v>
      </c>
      <c r="CZ227" s="17" t="str">
        <f t="shared" si="183"/>
        <v>cabozantinib</v>
      </c>
      <c r="DA227" s="17">
        <f t="shared" si="184"/>
        <v>8</v>
      </c>
      <c r="DB227" s="17">
        <f t="shared" si="185"/>
        <v>1</v>
      </c>
      <c r="DC227" s="17" t="str">
        <f>"G3+ "&amp;$D$51</f>
        <v>G3+ Weight loss</v>
      </c>
      <c r="DD227" s="17">
        <f t="shared" ca="1" si="186"/>
        <v>0</v>
      </c>
      <c r="DE227" s="956">
        <f t="shared" ca="1" si="187"/>
        <v>36.090178571428574</v>
      </c>
      <c r="DG227" s="1008">
        <f t="shared" si="188"/>
        <v>801.11</v>
      </c>
      <c r="DH227" s="1009">
        <f t="shared" si="189"/>
        <v>-0.1</v>
      </c>
      <c r="DI227" s="1007">
        <f t="shared" si="197"/>
        <v>3</v>
      </c>
    </row>
    <row r="228" spans="76:113" x14ac:dyDescent="0.2">
      <c r="CA228" s="17" t="str" cm="1">
        <f t="array" ref="CA228">INDEX(List_comparators,CB228+1)</f>
        <v>cabozantinib</v>
      </c>
      <c r="CB228" s="17">
        <v>8</v>
      </c>
      <c r="CC228" s="17">
        <v>1</v>
      </c>
      <c r="CD228" s="17"/>
      <c r="CE228" s="17"/>
      <c r="CF228" s="17"/>
      <c r="CG228" s="17"/>
      <c r="CH228" s="17"/>
      <c r="CI228" s="17"/>
      <c r="CJ228" s="17"/>
      <c r="CK228" s="17"/>
      <c r="CL228" s="17" t="str">
        <v>Stomatitis</v>
      </c>
      <c r="CM228" s="17">
        <v>20</v>
      </c>
      <c r="CN228" s="17">
        <v>0</v>
      </c>
      <c r="CO228" s="17">
        <f t="shared" ca="1" si="196"/>
        <v>4</v>
      </c>
      <c r="CP228" s="17"/>
      <c r="CQ228" s="17">
        <f t="shared" ca="1" si="192"/>
        <v>2851.1241071428572</v>
      </c>
      <c r="CR228" s="17">
        <v>0</v>
      </c>
      <c r="CS228" s="17">
        <f t="shared" ca="1" si="193"/>
        <v>1.4029554132627513E-3</v>
      </c>
      <c r="CT228" s="17" t="str">
        <f t="shared" si="190"/>
        <v>one-off</v>
      </c>
      <c r="CU228" s="17" t="str">
        <f t="shared" si="191"/>
        <v>Yes</v>
      </c>
      <c r="CV228" s="17">
        <f t="shared" ca="1" si="194"/>
        <v>1.1339999999999999</v>
      </c>
      <c r="CW228" s="17">
        <f t="shared" ca="1" si="195"/>
        <v>0</v>
      </c>
      <c r="CY228" s="657">
        <v>1</v>
      </c>
      <c r="CZ228" s="17" t="str">
        <f t="shared" ref="CZ228:DB230" si="198">CA227</f>
        <v>cabozantinib</v>
      </c>
      <c r="DA228" s="17">
        <f t="shared" si="198"/>
        <v>8</v>
      </c>
      <c r="DB228" s="17">
        <f t="shared" si="198"/>
        <v>1</v>
      </c>
      <c r="DC228" s="17" t="str">
        <f>"G1&amp;2 "&amp;$D$18</f>
        <v>G1&amp;2 Diarrhoea</v>
      </c>
      <c r="DD228" s="17">
        <f ca="1">CHOOSE(i_AE_NMA_option_num,OFFSET($S$86,$CY228-1,$DA228),OFFSET($AG$18,$CY228-1,$DA228))</f>
        <v>1.5488627762420775E-2</v>
      </c>
      <c r="DE228" s="956">
        <f ca="1">OFFSET($S$18,$CY228-1,$DA228)/INDEX($DT$14:$DT$27,MATCH(DA228,$DR$14:$DR$27,0))</f>
        <v>36.090178571428574</v>
      </c>
      <c r="DG228" s="1008">
        <f t="shared" si="188"/>
        <v>220.87</v>
      </c>
      <c r="DH228" s="1009">
        <f t="shared" si="189"/>
        <v>-0.05</v>
      </c>
      <c r="DI228" s="1007">
        <f t="shared" si="197"/>
        <v>3</v>
      </c>
    </row>
    <row r="229" spans="76:113" ht="15.75" thickBot="1" x14ac:dyDescent="0.25">
      <c r="CA229" s="622" t="str" cm="1">
        <f t="array" ref="CA229">INDEX(List_comparators,CB229+1)</f>
        <v>cabozantinib</v>
      </c>
      <c r="CB229" s="622">
        <v>8</v>
      </c>
      <c r="CC229" s="622">
        <v>1</v>
      </c>
      <c r="CD229" s="622"/>
      <c r="CE229" s="622"/>
      <c r="CF229" s="622"/>
      <c r="CG229" s="622"/>
      <c r="CH229" s="622"/>
      <c r="CI229" s="622"/>
      <c r="CJ229" s="622"/>
      <c r="CK229" s="622"/>
      <c r="CL229" s="622" t="str">
        <v>Vomiting</v>
      </c>
      <c r="CM229" s="622">
        <v>21</v>
      </c>
      <c r="CN229" s="622">
        <v>0</v>
      </c>
      <c r="CO229" s="622">
        <f t="shared" ca="1" si="196"/>
        <v>0</v>
      </c>
      <c r="CP229" s="622"/>
      <c r="CQ229" s="622">
        <f t="shared" ca="1" si="192"/>
        <v>2851.1241071428572</v>
      </c>
      <c r="CR229" s="622">
        <v>0</v>
      </c>
      <c r="CS229" s="622">
        <f t="shared" ca="1" si="193"/>
        <v>0</v>
      </c>
      <c r="CT229" s="622" t="str">
        <f t="shared" si="190"/>
        <v>one-off</v>
      </c>
      <c r="CU229" s="622" t="str">
        <f t="shared" si="191"/>
        <v>Yes</v>
      </c>
      <c r="CV229" s="622">
        <f t="shared" ca="1" si="194"/>
        <v>1.1339999999999999</v>
      </c>
      <c r="CW229" s="622">
        <f t="shared" ca="1" si="195"/>
        <v>0</v>
      </c>
      <c r="CY229" s="657">
        <v>2</v>
      </c>
      <c r="CZ229" s="17" t="str">
        <f t="shared" si="198"/>
        <v>cabozantinib</v>
      </c>
      <c r="DA229" s="17">
        <f t="shared" si="198"/>
        <v>8</v>
      </c>
      <c r="DB229" s="17">
        <f t="shared" si="198"/>
        <v>1</v>
      </c>
      <c r="DC229" s="17" t="str">
        <f>"G1&amp;2 "&amp;$D$19</f>
        <v>G1&amp;2 Fatigue</v>
      </c>
      <c r="DD229" s="17">
        <f ca="1">CHOOSE(i_AE_NMA_option_num,OFFSET($S$86,$CY229-1,$DA229),OFFSET($AG$18,$CY229-1,$DA229))</f>
        <v>5.9976343916982623E-3</v>
      </c>
      <c r="DE229" s="956">
        <f ca="1">OFFSET($S$18,$CY228-1,$DA229)/INDEX($DT$14:$DT$27,MATCH(DA229,$DR$14:$DR$27,0))</f>
        <v>36.090178571428574</v>
      </c>
      <c r="DG229" s="1008">
        <f t="shared" si="188"/>
        <v>441.74</v>
      </c>
      <c r="DH229" s="1009">
        <f t="shared" si="189"/>
        <v>-0.05</v>
      </c>
      <c r="DI229" s="1007">
        <f t="shared" si="197"/>
        <v>3</v>
      </c>
    </row>
    <row r="230" spans="76:113" ht="15.75" thickTop="1" x14ac:dyDescent="0.2">
      <c r="CA230" s="17"/>
      <c r="CB230" s="17"/>
      <c r="CC230" s="17"/>
      <c r="CD230" s="17"/>
      <c r="CE230" s="17"/>
      <c r="CF230" s="17"/>
      <c r="CG230" s="17"/>
      <c r="CH230" s="17"/>
      <c r="CI230" s="17"/>
      <c r="CJ230" s="17"/>
      <c r="CK230" s="17"/>
      <c r="CL230" s="17" t="str">
        <v>Weight loss</v>
      </c>
      <c r="CM230" s="17"/>
      <c r="CN230" s="17"/>
      <c r="CO230" s="17"/>
      <c r="CP230" s="17"/>
      <c r="CQ230" s="17"/>
      <c r="CR230" s="17"/>
      <c r="CS230" s="17"/>
      <c r="CT230" s="17"/>
      <c r="CU230" s="17"/>
      <c r="CV230" s="17"/>
      <c r="CW230" s="17"/>
      <c r="CY230" s="657">
        <v>3</v>
      </c>
      <c r="CZ230" s="17" t="str">
        <f t="shared" si="198"/>
        <v>cabozantinib</v>
      </c>
      <c r="DA230" s="17">
        <f t="shared" si="198"/>
        <v>8</v>
      </c>
      <c r="DB230" s="17">
        <f t="shared" si="198"/>
        <v>1</v>
      </c>
      <c r="DC230" s="17" t="str">
        <f>"G1&amp;2 "&amp;$D$20</f>
        <v>G1&amp;2 Palmar-plantar erythrodysaesthesia syndrome</v>
      </c>
      <c r="DD230" s="17">
        <f ca="1">CHOOSE(i_AE_NMA_option_num,OFFSET($S$86,$CY230-1,$DA230),OFFSET($AG$18,$CY230-1,$DA230))</f>
        <v>1.7519405723118608E-2</v>
      </c>
      <c r="DE230" s="956">
        <f ca="1">OFFSET($S$18,$CY229-1,$DA230)/INDEX($DT$14:$DT$27,MATCH(DA230,$DR$14:$DR$27,0))</f>
        <v>36.090178571428574</v>
      </c>
      <c r="DG230" s="1008">
        <f t="shared" si="188"/>
        <v>441.74</v>
      </c>
      <c r="DH230" s="1009">
        <f t="shared" si="189"/>
        <v>-0.05</v>
      </c>
      <c r="DI230" s="1007">
        <f t="shared" si="197"/>
        <v>3</v>
      </c>
    </row>
    <row r="231" spans="76:113" x14ac:dyDescent="0.2">
      <c r="BX231" s="6" t="s">
        <v>709</v>
      </c>
      <c r="CA231" s="17" t="str" cm="1">
        <f t="array" ref="CA231">INDEX(List_comparators,CB231+1)</f>
        <v>cabozantinib</v>
      </c>
      <c r="CB231" s="17">
        <v>8</v>
      </c>
      <c r="CC231" s="17">
        <v>2</v>
      </c>
      <c r="CD231" s="17">
        <f ca="1">OFFSET($E$16,0,CB231)</f>
        <v>79</v>
      </c>
      <c r="CE231" s="17">
        <f ca="1">OFFSET($E$28,0,CB231)</f>
        <v>79</v>
      </c>
      <c r="CF231" s="17">
        <f ca="1">OFFSET($S$16,0,CB231)</f>
        <v>2851.1241071428572</v>
      </c>
      <c r="CG231" s="17">
        <f ca="1">OFFSET($S$28,0,CB231)</f>
        <v>2851.1241071428572</v>
      </c>
      <c r="CH231" s="17">
        <f ca="1">OFFSET($AG$16,0,CB231)</f>
        <v>2.7708369411939337E-2</v>
      </c>
      <c r="CI231" s="17">
        <f ca="1">OFFSET($AG$28,0,CB231)</f>
        <v>2.7708369411939337E-2</v>
      </c>
      <c r="CJ231" s="583">
        <f>$CJ$6</f>
        <v>3</v>
      </c>
      <c r="CK231" s="583">
        <f>$CK$6</f>
        <v>0.6</v>
      </c>
      <c r="CL231" s="17" t="str" cm="1">
        <f t="array" ref="CL231:CL233">List_AEs_all_grade</f>
        <v>Diarrhoea</v>
      </c>
      <c r="CM231" s="17">
        <v>1</v>
      </c>
      <c r="CN231" s="17">
        <f ca="1">OFFSET($E$18,$CM231-1,$CB231)</f>
        <v>56</v>
      </c>
      <c r="CO231" s="17">
        <f t="shared" ref="CO231:CO254" ca="1" si="199">OFFSET($E$30,$CM231-1,$CB231)</f>
        <v>4</v>
      </c>
      <c r="CP231" s="17">
        <f ca="1">OFFSET($S$18,$CM231-1,$CB231)</f>
        <v>2851.1241071428572</v>
      </c>
      <c r="CQ231" s="17">
        <v>0</v>
      </c>
      <c r="CR231" s="17">
        <f ca="1">OFFSET($AG$18,$CM231-1,$CB231)</f>
        <v>1.6835464959153015E-2</v>
      </c>
      <c r="CS231" s="17">
        <v>0</v>
      </c>
      <c r="CT231" s="17" t="str">
        <f>dd_apply_AE_options</f>
        <v>one-off</v>
      </c>
      <c r="CU231" s="17" t="str">
        <f>$CU$6</f>
        <v>Yes</v>
      </c>
      <c r="CV231" s="17">
        <f ca="1">OFFSET($E$86,$CM231-1,13)</f>
        <v>0.92</v>
      </c>
      <c r="CW231" s="17">
        <f ca="1">OFFSET($S$86,$CM231-1,13)</f>
        <v>1.1379200488485218E-2</v>
      </c>
      <c r="CY231" s="657">
        <v>1</v>
      </c>
      <c r="CZ231" s="17" t="str">
        <f t="shared" ref="CZ231:CZ252" si="200">CA231</f>
        <v>cabozantinib</v>
      </c>
      <c r="DA231" s="17">
        <f t="shared" ref="DA231:DA252" si="201">CB231</f>
        <v>8</v>
      </c>
      <c r="DB231" s="17">
        <f t="shared" ref="DB231:DB252" si="202">CC231</f>
        <v>2</v>
      </c>
      <c r="DC231" s="17" t="str">
        <f>"G3+ "&amp;$D$30</f>
        <v>G3+ ALT increased</v>
      </c>
      <c r="DD231" s="17">
        <f t="shared" ref="DD231:DD252" ca="1" si="203">CHOOSE(i_AE_NMA_option_num,OFFSET($S$63,$CY231-1,($DA231*2)-3),OFFSET($AG$30,$CY231-1,$DA231))</f>
        <v>0</v>
      </c>
      <c r="DE231" s="956">
        <f t="shared" ref="DE231:DE252" ca="1" si="204">OFFSET($S$30,$CY231-1,$DA231)/INDEX($DS$14:$DS$27,MATCH(DA231,$DR$14:$DR$27,0))</f>
        <v>36.090178571428574</v>
      </c>
      <c r="DF231" s="13" t="s">
        <v>710</v>
      </c>
      <c r="DG231" s="1008">
        <f>$DG206</f>
        <v>0</v>
      </c>
      <c r="DH231" s="1009">
        <f>$DH206</f>
        <v>-0.1</v>
      </c>
      <c r="DI231" s="1007">
        <f t="shared" si="197"/>
        <v>3</v>
      </c>
    </row>
    <row r="232" spans="76:113" x14ac:dyDescent="0.2">
      <c r="CA232" s="17" t="str" cm="1">
        <f t="array" ref="CA232">INDEX(List_comparators,CB232+1)</f>
        <v>cabozantinib</v>
      </c>
      <c r="CB232" s="17">
        <v>8</v>
      </c>
      <c r="CC232" s="17">
        <v>2</v>
      </c>
      <c r="CD232" s="17"/>
      <c r="CE232" s="17"/>
      <c r="CF232" s="17"/>
      <c r="CG232" s="17"/>
      <c r="CH232" s="17"/>
      <c r="CI232" s="17"/>
      <c r="CJ232" s="17"/>
      <c r="CK232" s="17"/>
      <c r="CL232" s="17" t="str">
        <v>Fatigue</v>
      </c>
      <c r="CM232" s="17">
        <v>2</v>
      </c>
      <c r="CN232" s="17">
        <f ca="1">OFFSET($E$18,$CM232-1,$CB232)</f>
        <v>50</v>
      </c>
      <c r="CO232" s="17">
        <f t="shared" ca="1" si="199"/>
        <v>0</v>
      </c>
      <c r="CP232" s="17">
        <f ca="1">OFFSET($S$18,$CM232-1,$CB232)</f>
        <v>2851.1241071428572</v>
      </c>
      <c r="CQ232" s="17">
        <v>0</v>
      </c>
      <c r="CR232" s="17">
        <f ca="1">OFFSET($AG$18,$CM232-1,$CB232)</f>
        <v>1.5783248399205953E-2</v>
      </c>
      <c r="CS232" s="17">
        <v>0</v>
      </c>
      <c r="CT232" s="17" t="str">
        <f>$CT$6</f>
        <v>one-off</v>
      </c>
      <c r="CU232" s="17" t="str">
        <f>$CU$6</f>
        <v>Yes</v>
      </c>
      <c r="CV232" s="17">
        <f ca="1">OFFSET($E$86,$CM232-1,13)</f>
        <v>0.38</v>
      </c>
      <c r="CW232" s="17">
        <f ca="1">OFFSET($S$86,$CM232-1,13)</f>
        <v>7.3178842987314113E-3</v>
      </c>
      <c r="CY232" s="657">
        <v>2</v>
      </c>
      <c r="CZ232" s="17" t="str">
        <f t="shared" si="200"/>
        <v>cabozantinib</v>
      </c>
      <c r="DA232" s="17">
        <f t="shared" si="201"/>
        <v>8</v>
      </c>
      <c r="DB232" s="17">
        <f t="shared" si="202"/>
        <v>2</v>
      </c>
      <c r="DC232" s="17" t="str">
        <f>"G3+ "&amp;$D$31</f>
        <v>G3+ Anaemia</v>
      </c>
      <c r="DD232" s="17">
        <f t="shared" ca="1" si="203"/>
        <v>6.634787824718465E-3</v>
      </c>
      <c r="DE232" s="956">
        <f t="shared" ca="1" si="204"/>
        <v>36.090178571428574</v>
      </c>
      <c r="DG232" s="1008">
        <f t="shared" ref="DG232:DG255" si="205">$DG207</f>
        <v>655.75</v>
      </c>
      <c r="DH232" s="1009">
        <f t="shared" ref="DH232:DH255" si="206">$DH207</f>
        <v>-0.1</v>
      </c>
      <c r="DI232" s="1007">
        <f t="shared" si="197"/>
        <v>3</v>
      </c>
    </row>
    <row r="233" spans="76:113" ht="15.75" thickBot="1" x14ac:dyDescent="0.25">
      <c r="CA233" s="19" t="str" cm="1">
        <f t="array" ref="CA233">INDEX(List_comparators,CB233+1)</f>
        <v>cabozantinib</v>
      </c>
      <c r="CB233" s="19">
        <v>8</v>
      </c>
      <c r="CC233" s="19">
        <v>2</v>
      </c>
      <c r="CD233" s="19"/>
      <c r="CE233" s="19"/>
      <c r="CF233" s="19"/>
      <c r="CG233" s="19"/>
      <c r="CH233" s="19"/>
      <c r="CI233" s="19"/>
      <c r="CJ233" s="19"/>
      <c r="CK233" s="19"/>
      <c r="CL233" s="19" t="str">
        <v>Palmar-plantar erythrodysaesthesia syndrome</v>
      </c>
      <c r="CM233" s="19">
        <v>3</v>
      </c>
      <c r="CN233" s="19">
        <f ca="1">OFFSET($E$18,$CM233-1,$CB233)</f>
        <v>33</v>
      </c>
      <c r="CO233" s="19">
        <f t="shared" ca="1" si="199"/>
        <v>0</v>
      </c>
      <c r="CP233" s="19">
        <f ca="1">OFFSET($S$18,$CM233-1,$CB233)</f>
        <v>2851.1241071428572</v>
      </c>
      <c r="CQ233" s="19">
        <v>0</v>
      </c>
      <c r="CR233" s="19">
        <f ca="1">OFFSET($AG$18,$CM233-1,$CB233)</f>
        <v>9.469949039523572E-3</v>
      </c>
      <c r="CS233" s="19">
        <v>0</v>
      </c>
      <c r="CT233" s="19" t="str">
        <f t="shared" ref="CT233:CT254" si="207">$CT$6</f>
        <v>one-off</v>
      </c>
      <c r="CU233" s="19" t="str">
        <f t="shared" ref="CU233:CU254" si="208">$CU$6</f>
        <v>Yes</v>
      </c>
      <c r="CV233" s="743">
        <f ca="1">OFFSET($E$86,$CM233-1,13)</f>
        <v>1.85</v>
      </c>
      <c r="CW233" s="743">
        <f ca="1">OFFSET($S$86,$CM233-1,13)</f>
        <v>0</v>
      </c>
      <c r="CY233" s="657">
        <v>3</v>
      </c>
      <c r="CZ233" s="17" t="str">
        <f t="shared" si="200"/>
        <v>cabozantinib</v>
      </c>
      <c r="DA233" s="17">
        <f t="shared" si="201"/>
        <v>8</v>
      </c>
      <c r="DB233" s="17">
        <f t="shared" si="202"/>
        <v>2</v>
      </c>
      <c r="DC233" s="17" t="str">
        <f>"G3+ "&amp;$D$32</f>
        <v>G3+ Decreased appetite</v>
      </c>
      <c r="DD233" s="17">
        <f t="shared" ca="1" si="203"/>
        <v>0</v>
      </c>
      <c r="DE233" s="956">
        <f t="shared" ca="1" si="204"/>
        <v>36.090178571428574</v>
      </c>
      <c r="DG233" s="1008">
        <f t="shared" si="205"/>
        <v>0</v>
      </c>
      <c r="DH233" s="1009">
        <f t="shared" si="206"/>
        <v>-0.1</v>
      </c>
      <c r="DI233" s="1007">
        <f t="shared" si="197"/>
        <v>3</v>
      </c>
    </row>
    <row r="234" spans="76:113" x14ac:dyDescent="0.2">
      <c r="CA234" s="17" t="str" cm="1">
        <f t="array" ref="CA234">INDEX(List_comparators,CB234+1)</f>
        <v>cabozantinib</v>
      </c>
      <c r="CB234" s="17">
        <v>8</v>
      </c>
      <c r="CC234" s="17">
        <v>2</v>
      </c>
      <c r="CD234" s="17"/>
      <c r="CE234" s="17"/>
      <c r="CF234" s="17"/>
      <c r="CG234" s="17"/>
      <c r="CH234" s="17"/>
      <c r="CI234" s="17"/>
      <c r="CJ234" s="17"/>
      <c r="CK234" s="17"/>
      <c r="CL234" s="252" t="str" cm="1">
        <f t="array" ref="CL234:CL255">List_AEs_g3</f>
        <v>ALT increased</v>
      </c>
      <c r="CM234" s="252">
        <v>1</v>
      </c>
      <c r="CN234" s="252">
        <v>0</v>
      </c>
      <c r="CO234" s="252">
        <f t="shared" ca="1" si="199"/>
        <v>4</v>
      </c>
      <c r="CP234" s="252"/>
      <c r="CQ234" s="252">
        <f t="shared" ref="CQ234:CQ254" ca="1" si="209">OFFSET($S$30,$CM234-1,$CB234)</f>
        <v>2851.1241071428572</v>
      </c>
      <c r="CR234" s="252">
        <v>0</v>
      </c>
      <c r="CS234" s="252">
        <f t="shared" ref="CS234:CS254" ca="1" si="210">OFFSET($AG$30,$CM234-1,$CB234)</f>
        <v>1.4029554132627513E-3</v>
      </c>
      <c r="CT234" s="252" t="str">
        <f t="shared" si="207"/>
        <v>one-off</v>
      </c>
      <c r="CU234" s="252" t="str">
        <f t="shared" si="208"/>
        <v>Yes</v>
      </c>
      <c r="CV234" s="17">
        <f ca="1">OFFSET($E$63,$CM234-1,13)</f>
        <v>1.367</v>
      </c>
      <c r="CW234" s="17">
        <f ca="1">OFFSET($S$63,$CM234-1,13)</f>
        <v>0</v>
      </c>
      <c r="CY234" s="657">
        <v>4</v>
      </c>
      <c r="CZ234" s="17" t="str">
        <f t="shared" si="200"/>
        <v>cabozantinib</v>
      </c>
      <c r="DA234" s="17">
        <f t="shared" si="201"/>
        <v>8</v>
      </c>
      <c r="DB234" s="17">
        <f t="shared" si="202"/>
        <v>2</v>
      </c>
      <c r="DC234" s="17" t="str">
        <f>"G3+ "&amp;$D$33</f>
        <v>G3+ Diarrhoea _TKI induced</v>
      </c>
      <c r="DD234" s="17">
        <f t="shared" ca="1" si="203"/>
        <v>1.0701270685029782E-3</v>
      </c>
      <c r="DE234" s="956">
        <f t="shared" ca="1" si="204"/>
        <v>36.090178571428574</v>
      </c>
      <c r="DG234" s="1008">
        <f t="shared" si="205"/>
        <v>827.18</v>
      </c>
      <c r="DH234" s="1009">
        <f t="shared" si="206"/>
        <v>-0.1</v>
      </c>
      <c r="DI234" s="1007">
        <f t="shared" si="197"/>
        <v>3</v>
      </c>
    </row>
    <row r="235" spans="76:113" x14ac:dyDescent="0.2">
      <c r="CA235" s="17" t="str" cm="1">
        <f t="array" ref="CA235">INDEX(List_comparators,CB235+1)</f>
        <v>cabozantinib</v>
      </c>
      <c r="CB235" s="17">
        <v>8</v>
      </c>
      <c r="CC235" s="17">
        <v>2</v>
      </c>
      <c r="CD235" s="17"/>
      <c r="CE235" s="17"/>
      <c r="CF235" s="17"/>
      <c r="CG235" s="17"/>
      <c r="CH235" s="17"/>
      <c r="CI235" s="17"/>
      <c r="CJ235" s="17"/>
      <c r="CK235" s="17"/>
      <c r="CL235" s="17" t="str">
        <v>Anaemia</v>
      </c>
      <c r="CM235" s="17">
        <v>2</v>
      </c>
      <c r="CN235" s="17">
        <v>0</v>
      </c>
      <c r="CO235" s="17">
        <f t="shared" ca="1" si="199"/>
        <v>0</v>
      </c>
      <c r="CP235" s="17"/>
      <c r="CQ235" s="17">
        <f t="shared" ca="1" si="209"/>
        <v>2851.1241071428572</v>
      </c>
      <c r="CR235" s="17">
        <v>0</v>
      </c>
      <c r="CS235" s="17">
        <f t="shared" ca="1" si="210"/>
        <v>0</v>
      </c>
      <c r="CT235" s="17" t="str">
        <f t="shared" si="207"/>
        <v>one-off</v>
      </c>
      <c r="CU235" s="17" t="str">
        <f t="shared" si="208"/>
        <v>Yes</v>
      </c>
      <c r="CV235" s="17">
        <f t="shared" ref="CV235:CV254" ca="1" si="211">OFFSET($E$63,$CM235-1,13)</f>
        <v>1.367</v>
      </c>
      <c r="CW235" s="17">
        <f t="shared" ref="CW235:CW254" ca="1" si="212">OFFSET($S$63,$CM235-1,13)</f>
        <v>6.634787824718465E-3</v>
      </c>
      <c r="CY235" s="657">
        <v>5</v>
      </c>
      <c r="CZ235" s="17" t="str">
        <f t="shared" si="200"/>
        <v>cabozantinib</v>
      </c>
      <c r="DA235" s="17">
        <f t="shared" si="201"/>
        <v>8</v>
      </c>
      <c r="DB235" s="17">
        <f t="shared" si="202"/>
        <v>2</v>
      </c>
      <c r="DC235" s="17" t="str">
        <f>"G3+ "&amp;$D$34</f>
        <v>G3+ Diarrhoea _IO induced</v>
      </c>
      <c r="DD235" s="17">
        <f t="shared" ca="1" si="203"/>
        <v>0</v>
      </c>
      <c r="DE235" s="956">
        <f t="shared" ca="1" si="204"/>
        <v>36.090178571428574</v>
      </c>
      <c r="DG235" s="1008">
        <f t="shared" si="205"/>
        <v>4321.12</v>
      </c>
      <c r="DH235" s="1009">
        <f t="shared" si="206"/>
        <v>-0.1</v>
      </c>
      <c r="DI235" s="1007">
        <f t="shared" si="197"/>
        <v>3</v>
      </c>
    </row>
    <row r="236" spans="76:113" x14ac:dyDescent="0.2">
      <c r="CA236" s="17" t="str" cm="1">
        <f t="array" ref="CA236">INDEX(List_comparators,CB236+1)</f>
        <v>cabozantinib</v>
      </c>
      <c r="CB236" s="17">
        <v>8</v>
      </c>
      <c r="CC236" s="17">
        <v>2</v>
      </c>
      <c r="CD236" s="17"/>
      <c r="CE236" s="17"/>
      <c r="CF236" s="17"/>
      <c r="CG236" s="17"/>
      <c r="CH236" s="17"/>
      <c r="CI236" s="17"/>
      <c r="CJ236" s="17"/>
      <c r="CK236" s="17"/>
      <c r="CL236" s="17" t="str">
        <v>Decreased appetite</v>
      </c>
      <c r="CM236" s="17">
        <v>3</v>
      </c>
      <c r="CN236" s="17">
        <v>0</v>
      </c>
      <c r="CO236" s="17">
        <f t="shared" ca="1" si="199"/>
        <v>0</v>
      </c>
      <c r="CP236" s="17"/>
      <c r="CQ236" s="17">
        <f t="shared" ca="1" si="209"/>
        <v>2851.1241071428572</v>
      </c>
      <c r="CR236" s="17">
        <v>0</v>
      </c>
      <c r="CS236" s="17">
        <f t="shared" ca="1" si="210"/>
        <v>0</v>
      </c>
      <c r="CT236" s="17" t="str">
        <f t="shared" si="207"/>
        <v>one-off</v>
      </c>
      <c r="CU236" s="17" t="str">
        <f t="shared" si="208"/>
        <v>Yes</v>
      </c>
      <c r="CV236" s="17">
        <f t="shared" ca="1" si="211"/>
        <v>1.367</v>
      </c>
      <c r="CW236" s="17">
        <f t="shared" ca="1" si="212"/>
        <v>0</v>
      </c>
      <c r="CY236" s="657">
        <v>6</v>
      </c>
      <c r="CZ236" s="17" t="str">
        <f t="shared" si="200"/>
        <v>cabozantinib</v>
      </c>
      <c r="DA236" s="17">
        <f t="shared" si="201"/>
        <v>8</v>
      </c>
      <c r="DB236" s="17">
        <f t="shared" si="202"/>
        <v>2</v>
      </c>
      <c r="DC236" s="17" t="str">
        <f>"G3+ "&amp;$D$35</f>
        <v>G3+ Fatigue</v>
      </c>
      <c r="DD236" s="17">
        <f t="shared" ca="1" si="203"/>
        <v>2.3542795507065519E-3</v>
      </c>
      <c r="DE236" s="956">
        <f t="shared" ca="1" si="204"/>
        <v>36.090178571428574</v>
      </c>
      <c r="DG236" s="1008">
        <f t="shared" si="205"/>
        <v>662.61</v>
      </c>
      <c r="DH236" s="1009">
        <f t="shared" si="206"/>
        <v>-0.1</v>
      </c>
      <c r="DI236" s="1007">
        <f t="shared" si="197"/>
        <v>3</v>
      </c>
    </row>
    <row r="237" spans="76:113" x14ac:dyDescent="0.2">
      <c r="CA237" s="17" t="str" cm="1">
        <f t="array" ref="CA237">INDEX(List_comparators,CB237+1)</f>
        <v>cabozantinib</v>
      </c>
      <c r="CB237" s="17">
        <v>8</v>
      </c>
      <c r="CC237" s="17">
        <v>2</v>
      </c>
      <c r="CD237" s="17"/>
      <c r="CE237" s="17"/>
      <c r="CF237" s="17"/>
      <c r="CG237" s="17"/>
      <c r="CH237" s="17"/>
      <c r="CI237" s="17"/>
      <c r="CJ237" s="17"/>
      <c r="CK237" s="17"/>
      <c r="CL237" s="17" t="str">
        <v>Diarrhoea _TKI induced</v>
      </c>
      <c r="CM237" s="17">
        <v>4</v>
      </c>
      <c r="CN237" s="17">
        <v>0</v>
      </c>
      <c r="CO237" s="17">
        <f t="shared" ca="1" si="199"/>
        <v>8</v>
      </c>
      <c r="CP237" s="17"/>
      <c r="CQ237" s="17">
        <f t="shared" ca="1" si="209"/>
        <v>2851.1241071428572</v>
      </c>
      <c r="CR237" s="17">
        <v>0</v>
      </c>
      <c r="CS237" s="17">
        <f t="shared" ca="1" si="210"/>
        <v>2.8059108265255026E-3</v>
      </c>
      <c r="CT237" s="17" t="str">
        <f t="shared" si="207"/>
        <v>one-off</v>
      </c>
      <c r="CU237" s="17" t="str">
        <f t="shared" si="208"/>
        <v>Yes</v>
      </c>
      <c r="CV237" s="17">
        <f t="shared" ca="1" si="211"/>
        <v>1.367</v>
      </c>
      <c r="CW237" s="17">
        <f t="shared" ca="1" si="212"/>
        <v>1.0701270685029782E-3</v>
      </c>
      <c r="CY237" s="657">
        <v>7</v>
      </c>
      <c r="CZ237" s="17" t="str">
        <f t="shared" si="200"/>
        <v>cabozantinib</v>
      </c>
      <c r="DA237" s="17">
        <f t="shared" si="201"/>
        <v>8</v>
      </c>
      <c r="DB237" s="17">
        <f t="shared" si="202"/>
        <v>2</v>
      </c>
      <c r="DC237" s="17" t="str">
        <f>"G3+ "&amp;$D$36</f>
        <v>G3+ HFS</v>
      </c>
      <c r="DD237" s="17">
        <f t="shared" ca="1" si="203"/>
        <v>0</v>
      </c>
      <c r="DE237" s="956">
        <f t="shared" ca="1" si="204"/>
        <v>36.090178571428574</v>
      </c>
      <c r="DG237" s="1008">
        <f t="shared" si="205"/>
        <v>621.42499999999995</v>
      </c>
      <c r="DH237" s="1009">
        <f t="shared" si="206"/>
        <v>-0.1</v>
      </c>
      <c r="DI237" s="1007">
        <f t="shared" si="197"/>
        <v>3</v>
      </c>
    </row>
    <row r="238" spans="76:113" x14ac:dyDescent="0.2">
      <c r="CA238" s="17" t="str" cm="1">
        <f t="array" ref="CA238">INDEX(List_comparators,CB238+1)</f>
        <v>cabozantinib</v>
      </c>
      <c r="CB238" s="17">
        <v>8</v>
      </c>
      <c r="CC238" s="17">
        <v>2</v>
      </c>
      <c r="CD238" s="17"/>
      <c r="CE238" s="17"/>
      <c r="CF238" s="17"/>
      <c r="CG238" s="17"/>
      <c r="CH238" s="17"/>
      <c r="CI238" s="17"/>
      <c r="CJ238" s="17"/>
      <c r="CK238" s="17"/>
      <c r="CL238" s="17" t="str">
        <v>Diarrhoea _IO induced</v>
      </c>
      <c r="CM238" s="17">
        <v>5</v>
      </c>
      <c r="CN238" s="17">
        <v>0</v>
      </c>
      <c r="CO238" s="17">
        <f t="shared" ca="1" si="199"/>
        <v>0</v>
      </c>
      <c r="CP238" s="17"/>
      <c r="CQ238" s="17">
        <f t="shared" ca="1" si="209"/>
        <v>2851.1241071428572</v>
      </c>
      <c r="CR238" s="17">
        <v>0</v>
      </c>
      <c r="CS238" s="17">
        <f t="shared" ca="1" si="210"/>
        <v>0</v>
      </c>
      <c r="CT238" s="17" t="str">
        <f t="shared" si="207"/>
        <v>one-off</v>
      </c>
      <c r="CU238" s="17" t="str">
        <f t="shared" si="208"/>
        <v>Yes</v>
      </c>
      <c r="CV238" s="17">
        <f t="shared" ca="1" si="211"/>
        <v>1.367</v>
      </c>
      <c r="CW238" s="17">
        <f t="shared" ca="1" si="212"/>
        <v>0</v>
      </c>
      <c r="CY238" s="657">
        <v>8</v>
      </c>
      <c r="CZ238" s="17" t="str">
        <f t="shared" si="200"/>
        <v>cabozantinib</v>
      </c>
      <c r="DA238" s="17">
        <f t="shared" si="201"/>
        <v>8</v>
      </c>
      <c r="DB238" s="17">
        <f t="shared" si="202"/>
        <v>2</v>
      </c>
      <c r="DC238" s="17" t="str">
        <f>"G3+ "&amp;$D$37</f>
        <v>G3+ Hypertension</v>
      </c>
      <c r="DD238" s="17">
        <f t="shared" ca="1" si="203"/>
        <v>0</v>
      </c>
      <c r="DE238" s="956">
        <f t="shared" ca="1" si="204"/>
        <v>36.090178571428574</v>
      </c>
      <c r="DG238" s="1008">
        <f t="shared" si="205"/>
        <v>424.6</v>
      </c>
      <c r="DH238" s="1009">
        <f t="shared" si="206"/>
        <v>-0.1</v>
      </c>
      <c r="DI238" s="1007">
        <f t="shared" si="197"/>
        <v>3</v>
      </c>
    </row>
    <row r="239" spans="76:113" x14ac:dyDescent="0.2">
      <c r="CA239" s="17" t="str" cm="1">
        <f t="array" ref="CA239">INDEX(List_comparators,CB239+1)</f>
        <v>cabozantinib</v>
      </c>
      <c r="CB239" s="17">
        <v>8</v>
      </c>
      <c r="CC239" s="17">
        <v>2</v>
      </c>
      <c r="CD239" s="17"/>
      <c r="CE239" s="17"/>
      <c r="CF239" s="17"/>
      <c r="CG239" s="17"/>
      <c r="CH239" s="17"/>
      <c r="CI239" s="17"/>
      <c r="CJ239" s="17"/>
      <c r="CK239" s="17"/>
      <c r="CL239" s="17" t="str">
        <v>Fatigue</v>
      </c>
      <c r="CM239" s="17">
        <v>6</v>
      </c>
      <c r="CN239" s="17">
        <v>0</v>
      </c>
      <c r="CO239" s="17">
        <f t="shared" ca="1" si="199"/>
        <v>5</v>
      </c>
      <c r="CP239" s="17"/>
      <c r="CQ239" s="17">
        <f t="shared" ca="1" si="209"/>
        <v>2851.1241071428572</v>
      </c>
      <c r="CR239" s="17">
        <v>0</v>
      </c>
      <c r="CS239" s="17">
        <f t="shared" ca="1" si="210"/>
        <v>1.7536942665784391E-3</v>
      </c>
      <c r="CT239" s="17" t="str">
        <f t="shared" si="207"/>
        <v>one-off</v>
      </c>
      <c r="CU239" s="17" t="str">
        <f t="shared" si="208"/>
        <v>Yes</v>
      </c>
      <c r="CV239" s="17">
        <f t="shared" ca="1" si="211"/>
        <v>1.367</v>
      </c>
      <c r="CW239" s="17">
        <f t="shared" ca="1" si="212"/>
        <v>2.3542795507065519E-3</v>
      </c>
      <c r="CY239" s="657">
        <v>9</v>
      </c>
      <c r="CZ239" s="17" t="str">
        <f t="shared" si="200"/>
        <v>cabozantinib</v>
      </c>
      <c r="DA239" s="17">
        <f t="shared" si="201"/>
        <v>8</v>
      </c>
      <c r="DB239" s="17">
        <f t="shared" si="202"/>
        <v>2</v>
      </c>
      <c r="DC239" s="17" t="str">
        <f>"G3+ "&amp;$D$38</f>
        <v>G3+ Hypertriglyceridemia</v>
      </c>
      <c r="DD239" s="17">
        <f t="shared" ca="1" si="203"/>
        <v>4.2805082740119127E-3</v>
      </c>
      <c r="DE239" s="956">
        <f t="shared" ca="1" si="204"/>
        <v>36.090178571428574</v>
      </c>
      <c r="DG239" s="1008">
        <f t="shared" si="205"/>
        <v>0</v>
      </c>
      <c r="DH239" s="1009">
        <f t="shared" si="206"/>
        <v>-0.1</v>
      </c>
      <c r="DI239" s="1007">
        <f t="shared" si="197"/>
        <v>3</v>
      </c>
    </row>
    <row r="240" spans="76:113" x14ac:dyDescent="0.2">
      <c r="CA240" s="17" t="str" cm="1">
        <f t="array" ref="CA240">INDEX(List_comparators,CB240+1)</f>
        <v>cabozantinib</v>
      </c>
      <c r="CB240" s="17">
        <v>8</v>
      </c>
      <c r="CC240" s="17">
        <v>2</v>
      </c>
      <c r="CD240" s="17"/>
      <c r="CE240" s="17"/>
      <c r="CF240" s="17"/>
      <c r="CG240" s="17"/>
      <c r="CH240" s="17"/>
      <c r="CI240" s="17"/>
      <c r="CJ240" s="17"/>
      <c r="CK240" s="17"/>
      <c r="CL240" s="17" t="str">
        <v>HFS</v>
      </c>
      <c r="CM240" s="17">
        <v>7</v>
      </c>
      <c r="CN240" s="17">
        <v>0</v>
      </c>
      <c r="CO240" s="17">
        <f t="shared" ca="1" si="199"/>
        <v>6</v>
      </c>
      <c r="CP240" s="17"/>
      <c r="CQ240" s="17">
        <f t="shared" ca="1" si="209"/>
        <v>2851.1241071428572</v>
      </c>
      <c r="CR240" s="17">
        <v>0</v>
      </c>
      <c r="CS240" s="17">
        <f t="shared" ca="1" si="210"/>
        <v>2.1044331198941269E-3</v>
      </c>
      <c r="CT240" s="17" t="str">
        <f t="shared" si="207"/>
        <v>one-off</v>
      </c>
      <c r="CU240" s="17" t="str">
        <f t="shared" si="208"/>
        <v>Yes</v>
      </c>
      <c r="CV240" s="17">
        <f t="shared" ca="1" si="211"/>
        <v>1.367</v>
      </c>
      <c r="CW240" s="17">
        <f t="shared" ca="1" si="212"/>
        <v>0</v>
      </c>
      <c r="CY240" s="657">
        <v>10</v>
      </c>
      <c r="CZ240" s="17" t="str">
        <f t="shared" si="200"/>
        <v>cabozantinib</v>
      </c>
      <c r="DA240" s="17">
        <f t="shared" si="201"/>
        <v>8</v>
      </c>
      <c r="DB240" s="17">
        <f t="shared" si="202"/>
        <v>2</v>
      </c>
      <c r="DC240" s="17" t="str">
        <f>"G3+ "&amp;$D$39</f>
        <v>G3+ Hyponatraemia</v>
      </c>
      <c r="DD240" s="17">
        <f t="shared" ca="1" si="203"/>
        <v>0</v>
      </c>
      <c r="DE240" s="956">
        <f t="shared" ca="1" si="204"/>
        <v>36.090178571428574</v>
      </c>
      <c r="DG240" s="1008">
        <f t="shared" si="205"/>
        <v>574.71</v>
      </c>
      <c r="DH240" s="1009">
        <f t="shared" si="206"/>
        <v>-0.1</v>
      </c>
      <c r="DI240" s="1007">
        <f t="shared" si="197"/>
        <v>3</v>
      </c>
    </row>
    <row r="241" spans="79:113" x14ac:dyDescent="0.2">
      <c r="CA241" s="17" t="str" cm="1">
        <f t="array" ref="CA241">INDEX(List_comparators,CB241+1)</f>
        <v>cabozantinib</v>
      </c>
      <c r="CB241" s="17">
        <v>8</v>
      </c>
      <c r="CC241" s="17">
        <v>2</v>
      </c>
      <c r="CD241" s="17"/>
      <c r="CE241" s="17"/>
      <c r="CF241" s="17"/>
      <c r="CG241" s="17"/>
      <c r="CH241" s="17"/>
      <c r="CI241" s="17"/>
      <c r="CJ241" s="17"/>
      <c r="CK241" s="17"/>
      <c r="CL241" s="17" t="str">
        <v>Hypertension</v>
      </c>
      <c r="CM241" s="17">
        <v>8</v>
      </c>
      <c r="CN241" s="17">
        <v>0</v>
      </c>
      <c r="CO241" s="17">
        <f t="shared" ca="1" si="199"/>
        <v>22</v>
      </c>
      <c r="CP241" s="17"/>
      <c r="CQ241" s="17">
        <f t="shared" ca="1" si="209"/>
        <v>2851.1241071428572</v>
      </c>
      <c r="CR241" s="17">
        <v>0</v>
      </c>
      <c r="CS241" s="17">
        <f t="shared" ca="1" si="210"/>
        <v>7.716254772945132E-3</v>
      </c>
      <c r="CT241" s="17" t="str">
        <f t="shared" si="207"/>
        <v>one-off</v>
      </c>
      <c r="CU241" s="17" t="str">
        <f t="shared" si="208"/>
        <v>Yes</v>
      </c>
      <c r="CV241" s="17">
        <f t="shared" ca="1" si="211"/>
        <v>1.367</v>
      </c>
      <c r="CW241" s="17">
        <f t="shared" ca="1" si="212"/>
        <v>0</v>
      </c>
      <c r="CY241" s="657">
        <v>11</v>
      </c>
      <c r="CZ241" s="17" t="str">
        <f t="shared" si="200"/>
        <v>cabozantinib</v>
      </c>
      <c r="DA241" s="17">
        <f t="shared" si="201"/>
        <v>8</v>
      </c>
      <c r="DB241" s="17">
        <f t="shared" si="202"/>
        <v>2</v>
      </c>
      <c r="DC241" s="17" t="str">
        <f>"G3+ "&amp;$D$40</f>
        <v>G3+ Hypophosphatemia</v>
      </c>
      <c r="DD241" s="17">
        <f t="shared" ca="1" si="203"/>
        <v>0</v>
      </c>
      <c r="DE241" s="956">
        <f t="shared" ca="1" si="204"/>
        <v>36.090178571428574</v>
      </c>
      <c r="DG241" s="1008">
        <f t="shared" si="205"/>
        <v>0</v>
      </c>
      <c r="DH241" s="1009">
        <f t="shared" si="206"/>
        <v>-0.1</v>
      </c>
      <c r="DI241" s="1007">
        <f t="shared" si="197"/>
        <v>3</v>
      </c>
    </row>
    <row r="242" spans="79:113" x14ac:dyDescent="0.2">
      <c r="CA242" s="17" t="str" cm="1">
        <f t="array" ref="CA242">INDEX(List_comparators,CB242+1)</f>
        <v>cabozantinib</v>
      </c>
      <c r="CB242" s="17">
        <v>8</v>
      </c>
      <c r="CC242" s="17">
        <v>2</v>
      </c>
      <c r="CD242" s="17"/>
      <c r="CE242" s="17"/>
      <c r="CF242" s="17"/>
      <c r="CG242" s="17"/>
      <c r="CH242" s="17"/>
      <c r="CI242" s="17"/>
      <c r="CJ242" s="17"/>
      <c r="CK242" s="17"/>
      <c r="CL242" s="17" t="str">
        <v>Hypertriglyceridemia</v>
      </c>
      <c r="CM242" s="17">
        <v>9</v>
      </c>
      <c r="CN242" s="17">
        <v>0</v>
      </c>
      <c r="CO242" s="17">
        <f t="shared" ca="1" si="199"/>
        <v>0</v>
      </c>
      <c r="CP242" s="17"/>
      <c r="CQ242" s="17">
        <f t="shared" ca="1" si="209"/>
        <v>2851.1241071428572</v>
      </c>
      <c r="CR242" s="17">
        <v>0</v>
      </c>
      <c r="CS242" s="17">
        <f t="shared" ca="1" si="210"/>
        <v>0</v>
      </c>
      <c r="CT242" s="17" t="str">
        <f t="shared" si="207"/>
        <v>one-off</v>
      </c>
      <c r="CU242" s="17" t="str">
        <f t="shared" si="208"/>
        <v>Yes</v>
      </c>
      <c r="CV242" s="17">
        <f t="shared" ca="1" si="211"/>
        <v>1.367</v>
      </c>
      <c r="CW242" s="17">
        <f t="shared" ca="1" si="212"/>
        <v>4.2805082740119127E-3</v>
      </c>
      <c r="CY242" s="657">
        <v>12</v>
      </c>
      <c r="CZ242" s="17" t="str">
        <f t="shared" si="200"/>
        <v>cabozantinib</v>
      </c>
      <c r="DA242" s="17">
        <f t="shared" si="201"/>
        <v>8</v>
      </c>
      <c r="DB242" s="17">
        <f t="shared" si="202"/>
        <v>2</v>
      </c>
      <c r="DC242" s="17" t="str">
        <f>"G3+ "&amp;$D$41</f>
        <v>G3+ Increase in lipase</v>
      </c>
      <c r="DD242" s="17">
        <f t="shared" ca="1" si="203"/>
        <v>0</v>
      </c>
      <c r="DE242" s="956">
        <f t="shared" ca="1" si="204"/>
        <v>36.090178571428574</v>
      </c>
      <c r="DG242" s="1008">
        <f t="shared" si="205"/>
        <v>655.75</v>
      </c>
      <c r="DH242" s="1009">
        <f t="shared" si="206"/>
        <v>-0.1</v>
      </c>
      <c r="DI242" s="1007">
        <f t="shared" si="197"/>
        <v>3</v>
      </c>
    </row>
    <row r="243" spans="79:113" x14ac:dyDescent="0.2">
      <c r="CA243" s="17" t="str" cm="1">
        <f t="array" ref="CA243">INDEX(List_comparators,CB243+1)</f>
        <v>cabozantinib</v>
      </c>
      <c r="CB243" s="17">
        <v>8</v>
      </c>
      <c r="CC243" s="17">
        <v>2</v>
      </c>
      <c r="CD243" s="17"/>
      <c r="CE243" s="17"/>
      <c r="CF243" s="17"/>
      <c r="CG243" s="17"/>
      <c r="CH243" s="17"/>
      <c r="CI243" s="17"/>
      <c r="CJ243" s="17"/>
      <c r="CK243" s="17"/>
      <c r="CL243" s="17" t="str">
        <v>Hyponatraemia</v>
      </c>
      <c r="CM243" s="17">
        <v>10</v>
      </c>
      <c r="CN243" s="17">
        <v>0</v>
      </c>
      <c r="CO243" s="17">
        <f t="shared" ca="1" si="199"/>
        <v>0</v>
      </c>
      <c r="CP243" s="17"/>
      <c r="CQ243" s="17">
        <f t="shared" ca="1" si="209"/>
        <v>2851.1241071428572</v>
      </c>
      <c r="CR243" s="17">
        <v>0</v>
      </c>
      <c r="CS243" s="17">
        <f t="shared" ca="1" si="210"/>
        <v>0</v>
      </c>
      <c r="CT243" s="17" t="str">
        <f t="shared" si="207"/>
        <v>one-off</v>
      </c>
      <c r="CU243" s="17" t="str">
        <f t="shared" si="208"/>
        <v>Yes</v>
      </c>
      <c r="CV243" s="17">
        <f t="shared" ca="1" si="211"/>
        <v>1.367</v>
      </c>
      <c r="CW243" s="17">
        <f t="shared" ca="1" si="212"/>
        <v>0</v>
      </c>
      <c r="CY243" s="657">
        <v>13</v>
      </c>
      <c r="CZ243" s="17" t="str">
        <f t="shared" si="200"/>
        <v>cabozantinib</v>
      </c>
      <c r="DA243" s="17">
        <f t="shared" si="201"/>
        <v>8</v>
      </c>
      <c r="DB243" s="17">
        <f t="shared" si="202"/>
        <v>2</v>
      </c>
      <c r="DC243" s="17" t="str">
        <f>"G3+ "&amp;$D$42</f>
        <v>G3+ Increased AST</v>
      </c>
      <c r="DD243" s="17">
        <f t="shared" ca="1" si="203"/>
        <v>0</v>
      </c>
      <c r="DE243" s="956">
        <f t="shared" ca="1" si="204"/>
        <v>36.090178571428574</v>
      </c>
      <c r="DG243" s="1008">
        <f t="shared" si="205"/>
        <v>0</v>
      </c>
      <c r="DH243" s="1009">
        <f t="shared" si="206"/>
        <v>-0.1</v>
      </c>
      <c r="DI243" s="1007">
        <f t="shared" si="197"/>
        <v>3</v>
      </c>
    </row>
    <row r="244" spans="79:113" x14ac:dyDescent="0.2">
      <c r="CA244" s="17" t="str" cm="1">
        <f t="array" ref="CA244">INDEX(List_comparators,CB244+1)</f>
        <v>cabozantinib</v>
      </c>
      <c r="CB244" s="17">
        <v>8</v>
      </c>
      <c r="CC244" s="17">
        <v>2</v>
      </c>
      <c r="CD244" s="17"/>
      <c r="CE244" s="17"/>
      <c r="CF244" s="17"/>
      <c r="CG244" s="17"/>
      <c r="CH244" s="17"/>
      <c r="CI244" s="17"/>
      <c r="CJ244" s="17"/>
      <c r="CK244" s="17"/>
      <c r="CL244" s="17" t="str">
        <v>Hypophosphatemia</v>
      </c>
      <c r="CM244" s="17">
        <v>11</v>
      </c>
      <c r="CN244" s="17">
        <v>0</v>
      </c>
      <c r="CO244" s="17">
        <f t="shared" ca="1" si="199"/>
        <v>0</v>
      </c>
      <c r="CP244" s="17"/>
      <c r="CQ244" s="17">
        <f t="shared" ca="1" si="209"/>
        <v>2851.1241071428572</v>
      </c>
      <c r="CR244" s="17">
        <v>0</v>
      </c>
      <c r="CS244" s="17">
        <f t="shared" ca="1" si="210"/>
        <v>0</v>
      </c>
      <c r="CT244" s="17" t="str">
        <f t="shared" si="207"/>
        <v>one-off</v>
      </c>
      <c r="CU244" s="17" t="str">
        <f t="shared" si="208"/>
        <v>Yes</v>
      </c>
      <c r="CV244" s="17">
        <f t="shared" ca="1" si="211"/>
        <v>1.367</v>
      </c>
      <c r="CW244" s="17">
        <f t="shared" ca="1" si="212"/>
        <v>0</v>
      </c>
      <c r="CY244" s="657">
        <v>14</v>
      </c>
      <c r="CZ244" s="17" t="str">
        <f t="shared" si="200"/>
        <v>cabozantinib</v>
      </c>
      <c r="DA244" s="17">
        <f t="shared" si="201"/>
        <v>8</v>
      </c>
      <c r="DB244" s="17">
        <f t="shared" si="202"/>
        <v>2</v>
      </c>
      <c r="DC244" s="17" t="str">
        <f>"G3+ "&amp;$D$43</f>
        <v>G3+ Leukopenia</v>
      </c>
      <c r="DD244" s="17">
        <f t="shared" ca="1" si="203"/>
        <v>0</v>
      </c>
      <c r="DE244" s="956">
        <f t="shared" ca="1" si="204"/>
        <v>36.090178571428574</v>
      </c>
      <c r="DG244" s="1008">
        <f t="shared" si="205"/>
        <v>0</v>
      </c>
      <c r="DH244" s="1009">
        <f t="shared" si="206"/>
        <v>-0.1</v>
      </c>
      <c r="DI244" s="1007">
        <f t="shared" si="197"/>
        <v>3</v>
      </c>
    </row>
    <row r="245" spans="79:113" x14ac:dyDescent="0.2">
      <c r="CA245" s="17" t="str" cm="1">
        <f t="array" ref="CA245">INDEX(List_comparators,CB245+1)</f>
        <v>cabozantinib</v>
      </c>
      <c r="CB245" s="17">
        <v>8</v>
      </c>
      <c r="CC245" s="17">
        <v>2</v>
      </c>
      <c r="CD245" s="17"/>
      <c r="CE245" s="17"/>
      <c r="CF245" s="17"/>
      <c r="CG245" s="17"/>
      <c r="CH245" s="17"/>
      <c r="CI245" s="17"/>
      <c r="CJ245" s="17"/>
      <c r="CK245" s="17"/>
      <c r="CL245" s="17" t="str">
        <v>Increase in lipase</v>
      </c>
      <c r="CM245" s="17">
        <v>12</v>
      </c>
      <c r="CN245" s="17">
        <v>0</v>
      </c>
      <c r="CO245" s="17">
        <f t="shared" ca="1" si="199"/>
        <v>0</v>
      </c>
      <c r="CP245" s="17"/>
      <c r="CQ245" s="17">
        <f t="shared" ca="1" si="209"/>
        <v>2851.1241071428572</v>
      </c>
      <c r="CR245" s="17">
        <v>0</v>
      </c>
      <c r="CS245" s="17">
        <f t="shared" ca="1" si="210"/>
        <v>0</v>
      </c>
      <c r="CT245" s="17" t="str">
        <f t="shared" si="207"/>
        <v>one-off</v>
      </c>
      <c r="CU245" s="17" t="str">
        <f t="shared" si="208"/>
        <v>Yes</v>
      </c>
      <c r="CV245" s="17">
        <f t="shared" ca="1" si="211"/>
        <v>1.367</v>
      </c>
      <c r="CW245" s="17">
        <f t="shared" ca="1" si="212"/>
        <v>0</v>
      </c>
      <c r="CY245" s="657">
        <v>15</v>
      </c>
      <c r="CZ245" s="17" t="str">
        <f t="shared" si="200"/>
        <v>cabozantinib</v>
      </c>
      <c r="DA245" s="17">
        <f t="shared" si="201"/>
        <v>8</v>
      </c>
      <c r="DB245" s="17">
        <f t="shared" si="202"/>
        <v>2</v>
      </c>
      <c r="DC245" s="17" t="str">
        <f>"G3+ "&amp;$D$44</f>
        <v>G3+ Lymphopenia</v>
      </c>
      <c r="DD245" s="17">
        <f t="shared" ca="1" si="203"/>
        <v>0</v>
      </c>
      <c r="DE245" s="956">
        <f t="shared" ca="1" si="204"/>
        <v>36.090178571428574</v>
      </c>
      <c r="DG245" s="1008">
        <f t="shared" si="205"/>
        <v>679.97</v>
      </c>
      <c r="DH245" s="1009">
        <f t="shared" si="206"/>
        <v>-0.1</v>
      </c>
      <c r="DI245" s="1007">
        <f t="shared" si="197"/>
        <v>3</v>
      </c>
    </row>
    <row r="246" spans="79:113" x14ac:dyDescent="0.2">
      <c r="CA246" s="17" t="str" cm="1">
        <f t="array" ref="CA246">INDEX(List_comparators,CB246+1)</f>
        <v>cabozantinib</v>
      </c>
      <c r="CB246" s="17">
        <v>8</v>
      </c>
      <c r="CC246" s="17">
        <v>2</v>
      </c>
      <c r="CD246" s="17"/>
      <c r="CE246" s="17"/>
      <c r="CF246" s="17"/>
      <c r="CG246" s="17"/>
      <c r="CH246" s="17"/>
      <c r="CI246" s="17"/>
      <c r="CJ246" s="17"/>
      <c r="CK246" s="17"/>
      <c r="CL246" s="17" t="str">
        <v>Increased AST</v>
      </c>
      <c r="CM246" s="17">
        <v>13</v>
      </c>
      <c r="CN246" s="17">
        <v>0</v>
      </c>
      <c r="CO246" s="17">
        <f t="shared" ca="1" si="199"/>
        <v>0</v>
      </c>
      <c r="CP246" s="17"/>
      <c r="CQ246" s="17">
        <f t="shared" ca="1" si="209"/>
        <v>2851.1241071428572</v>
      </c>
      <c r="CR246" s="17">
        <v>0</v>
      </c>
      <c r="CS246" s="17">
        <f t="shared" ca="1" si="210"/>
        <v>0</v>
      </c>
      <c r="CT246" s="17" t="str">
        <f t="shared" si="207"/>
        <v>one-off</v>
      </c>
      <c r="CU246" s="17" t="str">
        <f t="shared" si="208"/>
        <v>Yes</v>
      </c>
      <c r="CV246" s="17">
        <f t="shared" ca="1" si="211"/>
        <v>1.367</v>
      </c>
      <c r="CW246" s="17">
        <f t="shared" ca="1" si="212"/>
        <v>0</v>
      </c>
      <c r="CY246" s="657">
        <v>16</v>
      </c>
      <c r="CZ246" s="17" t="str">
        <f t="shared" si="200"/>
        <v>cabozantinib</v>
      </c>
      <c r="DA246" s="17">
        <f t="shared" si="201"/>
        <v>8</v>
      </c>
      <c r="DB246" s="17">
        <f t="shared" si="202"/>
        <v>2</v>
      </c>
      <c r="DC246" s="17" t="str">
        <f>"G3+ "&amp;$D$45</f>
        <v>G3+ Nausea</v>
      </c>
      <c r="DD246" s="17">
        <f t="shared" ca="1" si="203"/>
        <v>0</v>
      </c>
      <c r="DE246" s="956">
        <f t="shared" ca="1" si="204"/>
        <v>36.090178571428574</v>
      </c>
      <c r="DG246" s="1008">
        <f t="shared" si="205"/>
        <v>801.11</v>
      </c>
      <c r="DH246" s="1009">
        <f t="shared" si="206"/>
        <v>-0.1</v>
      </c>
      <c r="DI246" s="1007">
        <f t="shared" si="197"/>
        <v>3</v>
      </c>
    </row>
    <row r="247" spans="79:113" x14ac:dyDescent="0.2">
      <c r="CA247" s="17" t="str" cm="1">
        <f t="array" ref="CA247">INDEX(List_comparators,CB247+1)</f>
        <v>cabozantinib</v>
      </c>
      <c r="CB247" s="17">
        <v>8</v>
      </c>
      <c r="CC247" s="17">
        <v>2</v>
      </c>
      <c r="CD247" s="17"/>
      <c r="CE247" s="17"/>
      <c r="CF247" s="17"/>
      <c r="CG247" s="17"/>
      <c r="CH247" s="17"/>
      <c r="CI247" s="17"/>
      <c r="CJ247" s="17"/>
      <c r="CK247" s="17"/>
      <c r="CL247" s="17" t="str">
        <v>Leukopenia</v>
      </c>
      <c r="CM247" s="17">
        <v>14</v>
      </c>
      <c r="CN247" s="17">
        <v>0</v>
      </c>
      <c r="CO247" s="17">
        <f t="shared" ca="1" si="199"/>
        <v>0</v>
      </c>
      <c r="CP247" s="17"/>
      <c r="CQ247" s="17">
        <f t="shared" ca="1" si="209"/>
        <v>2851.1241071428572</v>
      </c>
      <c r="CR247" s="17">
        <v>0</v>
      </c>
      <c r="CS247" s="17">
        <f t="shared" ca="1" si="210"/>
        <v>0</v>
      </c>
      <c r="CT247" s="17" t="str">
        <f t="shared" si="207"/>
        <v>one-off</v>
      </c>
      <c r="CU247" s="17" t="str">
        <f t="shared" si="208"/>
        <v>Yes</v>
      </c>
      <c r="CV247" s="17">
        <f t="shared" ca="1" si="211"/>
        <v>1.367</v>
      </c>
      <c r="CW247" s="17">
        <f t="shared" ca="1" si="212"/>
        <v>0</v>
      </c>
      <c r="CY247" s="657">
        <v>17</v>
      </c>
      <c r="CZ247" s="17" t="str">
        <f t="shared" si="200"/>
        <v>cabozantinib</v>
      </c>
      <c r="DA247" s="17">
        <f t="shared" si="201"/>
        <v>8</v>
      </c>
      <c r="DB247" s="17">
        <f t="shared" si="202"/>
        <v>2</v>
      </c>
      <c r="DC247" s="17" t="str">
        <f>"G3+ "&amp;$D$46</f>
        <v>G3+ Neutropenia</v>
      </c>
      <c r="DD247" s="17">
        <f t="shared" ca="1" si="203"/>
        <v>0</v>
      </c>
      <c r="DE247" s="956">
        <f t="shared" ca="1" si="204"/>
        <v>36.090178571428574</v>
      </c>
      <c r="DG247" s="1008">
        <f t="shared" si="205"/>
        <v>655.75</v>
      </c>
      <c r="DH247" s="1009">
        <f t="shared" si="206"/>
        <v>-0.1</v>
      </c>
      <c r="DI247" s="1007">
        <f t="shared" si="197"/>
        <v>3</v>
      </c>
    </row>
    <row r="248" spans="79:113" x14ac:dyDescent="0.2">
      <c r="CA248" s="17" t="str" cm="1">
        <f t="array" ref="CA248">INDEX(List_comparators,CB248+1)</f>
        <v>cabozantinib</v>
      </c>
      <c r="CB248" s="17">
        <v>8</v>
      </c>
      <c r="CC248" s="17">
        <v>2</v>
      </c>
      <c r="CD248" s="17"/>
      <c r="CE248" s="17"/>
      <c r="CF248" s="17"/>
      <c r="CG248" s="17"/>
      <c r="CH248" s="17"/>
      <c r="CI248" s="17"/>
      <c r="CJ248" s="17"/>
      <c r="CK248" s="17"/>
      <c r="CL248" s="17" t="str">
        <v>Lymphopenia</v>
      </c>
      <c r="CM248" s="17">
        <v>15</v>
      </c>
      <c r="CN248" s="17">
        <v>0</v>
      </c>
      <c r="CO248" s="17">
        <f t="shared" ca="1" si="199"/>
        <v>0</v>
      </c>
      <c r="CP248" s="17"/>
      <c r="CQ248" s="17">
        <f t="shared" ca="1" si="209"/>
        <v>2851.1241071428572</v>
      </c>
      <c r="CR248" s="17">
        <v>0</v>
      </c>
      <c r="CS248" s="17">
        <f t="shared" ca="1" si="210"/>
        <v>0</v>
      </c>
      <c r="CT248" s="17" t="str">
        <f t="shared" si="207"/>
        <v>one-off</v>
      </c>
      <c r="CU248" s="17" t="str">
        <f t="shared" si="208"/>
        <v>Yes</v>
      </c>
      <c r="CV248" s="17">
        <f t="shared" ca="1" si="211"/>
        <v>1.367</v>
      </c>
      <c r="CW248" s="17">
        <f t="shared" ca="1" si="212"/>
        <v>0</v>
      </c>
      <c r="CY248" s="657">
        <v>18</v>
      </c>
      <c r="CZ248" s="17" t="str">
        <f t="shared" si="200"/>
        <v>cabozantinib</v>
      </c>
      <c r="DA248" s="17">
        <f t="shared" si="201"/>
        <v>8</v>
      </c>
      <c r="DB248" s="17">
        <f t="shared" si="202"/>
        <v>2</v>
      </c>
      <c r="DC248" s="17" t="str">
        <f>"G3+ "&amp;$D$47</f>
        <v>G3+ Platelets count decreased</v>
      </c>
      <c r="DD248" s="17">
        <f t="shared" ca="1" si="203"/>
        <v>0</v>
      </c>
      <c r="DE248" s="956">
        <f t="shared" ca="1" si="204"/>
        <v>36.090178571428574</v>
      </c>
      <c r="DG248" s="1008">
        <f t="shared" si="205"/>
        <v>801.11</v>
      </c>
      <c r="DH248" s="1009">
        <f t="shared" si="206"/>
        <v>-0.1</v>
      </c>
      <c r="DI248" s="1007">
        <f t="shared" si="197"/>
        <v>3</v>
      </c>
    </row>
    <row r="249" spans="79:113" x14ac:dyDescent="0.2">
      <c r="CA249" s="17" t="str" cm="1">
        <f t="array" ref="CA249">INDEX(List_comparators,CB249+1)</f>
        <v>cabozantinib</v>
      </c>
      <c r="CB249" s="17">
        <v>8</v>
      </c>
      <c r="CC249" s="17">
        <v>2</v>
      </c>
      <c r="CD249" s="17"/>
      <c r="CE249" s="17"/>
      <c r="CF249" s="17"/>
      <c r="CG249" s="17"/>
      <c r="CH249" s="17"/>
      <c r="CI249" s="17"/>
      <c r="CJ249" s="17"/>
      <c r="CK249" s="17"/>
      <c r="CL249" s="17" t="str">
        <v>Nausea</v>
      </c>
      <c r="CM249" s="17">
        <v>16</v>
      </c>
      <c r="CN249" s="17">
        <v>0</v>
      </c>
      <c r="CO249" s="17">
        <f t="shared" ca="1" si="199"/>
        <v>0</v>
      </c>
      <c r="CP249" s="17"/>
      <c r="CQ249" s="17">
        <f t="shared" ca="1" si="209"/>
        <v>2851.1241071428572</v>
      </c>
      <c r="CR249" s="17">
        <v>0</v>
      </c>
      <c r="CS249" s="17">
        <f t="shared" ca="1" si="210"/>
        <v>0</v>
      </c>
      <c r="CT249" s="17" t="str">
        <f t="shared" si="207"/>
        <v>one-off</v>
      </c>
      <c r="CU249" s="17" t="str">
        <f t="shared" si="208"/>
        <v>Yes</v>
      </c>
      <c r="CV249" s="17">
        <f t="shared" ca="1" si="211"/>
        <v>1.367</v>
      </c>
      <c r="CW249" s="17">
        <f t="shared" ca="1" si="212"/>
        <v>0</v>
      </c>
      <c r="CY249" s="657">
        <v>19</v>
      </c>
      <c r="CZ249" s="17" t="str">
        <f t="shared" si="200"/>
        <v>cabozantinib</v>
      </c>
      <c r="DA249" s="17">
        <f t="shared" si="201"/>
        <v>8</v>
      </c>
      <c r="DB249" s="17">
        <f t="shared" si="202"/>
        <v>2</v>
      </c>
      <c r="DC249" s="17" t="str">
        <f>"G3+ "&amp;$D$48</f>
        <v>G3+ Proteinuria</v>
      </c>
      <c r="DD249" s="17">
        <f t="shared" ca="1" si="203"/>
        <v>0</v>
      </c>
      <c r="DE249" s="956">
        <f t="shared" ca="1" si="204"/>
        <v>36.090178571428574</v>
      </c>
      <c r="DG249" s="1008">
        <f t="shared" si="205"/>
        <v>220.87</v>
      </c>
      <c r="DH249" s="1009">
        <f t="shared" si="206"/>
        <v>-0.1</v>
      </c>
      <c r="DI249" s="1007">
        <f t="shared" si="197"/>
        <v>3</v>
      </c>
    </row>
    <row r="250" spans="79:113" x14ac:dyDescent="0.2">
      <c r="CA250" s="17" t="str" cm="1">
        <f t="array" ref="CA250">INDEX(List_comparators,CB250+1)</f>
        <v>cabozantinib</v>
      </c>
      <c r="CB250" s="17">
        <v>8</v>
      </c>
      <c r="CC250" s="17">
        <v>2</v>
      </c>
      <c r="CD250" s="17"/>
      <c r="CE250" s="17"/>
      <c r="CF250" s="17"/>
      <c r="CG250" s="17"/>
      <c r="CH250" s="17"/>
      <c r="CI250" s="17"/>
      <c r="CJ250" s="17"/>
      <c r="CK250" s="17"/>
      <c r="CL250" s="17" t="str">
        <v>Neutropenia</v>
      </c>
      <c r="CM250" s="17">
        <v>17</v>
      </c>
      <c r="CN250" s="17">
        <v>0</v>
      </c>
      <c r="CO250" s="17">
        <f t="shared" ca="1" si="199"/>
        <v>0</v>
      </c>
      <c r="CP250" s="17"/>
      <c r="CQ250" s="17">
        <f t="shared" ca="1" si="209"/>
        <v>2851.1241071428572</v>
      </c>
      <c r="CR250" s="17">
        <v>0</v>
      </c>
      <c r="CS250" s="17">
        <f t="shared" ca="1" si="210"/>
        <v>0</v>
      </c>
      <c r="CT250" s="17" t="str">
        <f t="shared" si="207"/>
        <v>one-off</v>
      </c>
      <c r="CU250" s="17" t="str">
        <f t="shared" si="208"/>
        <v>Yes</v>
      </c>
      <c r="CV250" s="17">
        <f t="shared" ca="1" si="211"/>
        <v>1.367</v>
      </c>
      <c r="CW250" s="17">
        <f t="shared" ca="1" si="212"/>
        <v>0</v>
      </c>
      <c r="CY250" s="657">
        <v>20</v>
      </c>
      <c r="CZ250" s="17" t="str">
        <f t="shared" si="200"/>
        <v>cabozantinib</v>
      </c>
      <c r="DA250" s="17">
        <f t="shared" si="201"/>
        <v>8</v>
      </c>
      <c r="DB250" s="17">
        <f t="shared" si="202"/>
        <v>2</v>
      </c>
      <c r="DC250" s="17" t="str">
        <f>"G3+ "&amp;$D$49</f>
        <v>G3+ Stomatitis</v>
      </c>
      <c r="DD250" s="17">
        <f t="shared" ca="1" si="203"/>
        <v>0</v>
      </c>
      <c r="DE250" s="956">
        <f t="shared" ca="1" si="204"/>
        <v>36.090178571428574</v>
      </c>
      <c r="DG250" s="1008">
        <f t="shared" si="205"/>
        <v>801.11</v>
      </c>
      <c r="DH250" s="1009">
        <f t="shared" si="206"/>
        <v>-0.1</v>
      </c>
      <c r="DI250" s="1007">
        <f t="shared" si="197"/>
        <v>3</v>
      </c>
    </row>
    <row r="251" spans="79:113" x14ac:dyDescent="0.2">
      <c r="CA251" s="17" t="str" cm="1">
        <f t="array" ref="CA251">INDEX(List_comparators,CB251+1)</f>
        <v>cabozantinib</v>
      </c>
      <c r="CB251" s="17">
        <v>8</v>
      </c>
      <c r="CC251" s="17">
        <v>2</v>
      </c>
      <c r="CD251" s="17"/>
      <c r="CE251" s="17"/>
      <c r="CF251" s="17"/>
      <c r="CG251" s="17"/>
      <c r="CH251" s="17"/>
      <c r="CI251" s="17"/>
      <c r="CJ251" s="17"/>
      <c r="CK251" s="17"/>
      <c r="CL251" s="17" t="str">
        <v>Platelets count decreased</v>
      </c>
      <c r="CM251" s="17">
        <v>18</v>
      </c>
      <c r="CN251" s="17">
        <v>0</v>
      </c>
      <c r="CO251" s="17">
        <f t="shared" ca="1" si="199"/>
        <v>0</v>
      </c>
      <c r="CP251" s="17"/>
      <c r="CQ251" s="17">
        <f t="shared" ca="1" si="209"/>
        <v>2851.1241071428572</v>
      </c>
      <c r="CR251" s="17">
        <v>0</v>
      </c>
      <c r="CS251" s="17">
        <f t="shared" ca="1" si="210"/>
        <v>0</v>
      </c>
      <c r="CT251" s="17" t="str">
        <f t="shared" si="207"/>
        <v>one-off</v>
      </c>
      <c r="CU251" s="17" t="str">
        <f t="shared" si="208"/>
        <v>Yes</v>
      </c>
      <c r="CV251" s="17">
        <f t="shared" ca="1" si="211"/>
        <v>1.367</v>
      </c>
      <c r="CW251" s="17">
        <f t="shared" ca="1" si="212"/>
        <v>0</v>
      </c>
      <c r="CY251" s="657">
        <v>21</v>
      </c>
      <c r="CZ251" s="17" t="str">
        <f t="shared" si="200"/>
        <v>cabozantinib</v>
      </c>
      <c r="DA251" s="17">
        <f t="shared" si="201"/>
        <v>8</v>
      </c>
      <c r="DB251" s="17">
        <f t="shared" si="202"/>
        <v>2</v>
      </c>
      <c r="DC251" s="17" t="str">
        <f>"G3+ "&amp;$D$50</f>
        <v>G3+ Vomiting</v>
      </c>
      <c r="DD251" s="17">
        <f t="shared" ca="1" si="203"/>
        <v>0</v>
      </c>
      <c r="DE251" s="956">
        <f t="shared" ca="1" si="204"/>
        <v>36.090178571428574</v>
      </c>
      <c r="DG251" s="1008">
        <f t="shared" si="205"/>
        <v>801.11</v>
      </c>
      <c r="DH251" s="1009">
        <f t="shared" si="206"/>
        <v>-0.1</v>
      </c>
      <c r="DI251" s="1007">
        <f t="shared" si="197"/>
        <v>3</v>
      </c>
    </row>
    <row r="252" spans="79:113" x14ac:dyDescent="0.2">
      <c r="CA252" s="17" t="str" cm="1">
        <f t="array" ref="CA252">INDEX(List_comparators,CB252+1)</f>
        <v>cabozantinib</v>
      </c>
      <c r="CB252" s="17">
        <v>8</v>
      </c>
      <c r="CC252" s="17">
        <v>2</v>
      </c>
      <c r="CD252" s="17"/>
      <c r="CE252" s="17"/>
      <c r="CF252" s="17"/>
      <c r="CG252" s="17"/>
      <c r="CH252" s="17"/>
      <c r="CI252" s="17"/>
      <c r="CJ252" s="17"/>
      <c r="CK252" s="17"/>
      <c r="CL252" s="17" t="str">
        <v>Proteinuria</v>
      </c>
      <c r="CM252" s="17">
        <v>19</v>
      </c>
      <c r="CN252" s="17">
        <v>0</v>
      </c>
      <c r="CO252" s="17">
        <f t="shared" ca="1" si="199"/>
        <v>0</v>
      </c>
      <c r="CP252" s="17"/>
      <c r="CQ252" s="17">
        <f t="shared" ca="1" si="209"/>
        <v>2851.1241071428572</v>
      </c>
      <c r="CR252" s="17">
        <v>0</v>
      </c>
      <c r="CS252" s="17">
        <f t="shared" ca="1" si="210"/>
        <v>0</v>
      </c>
      <c r="CT252" s="17" t="str">
        <f t="shared" si="207"/>
        <v>one-off</v>
      </c>
      <c r="CU252" s="17" t="str">
        <f t="shared" si="208"/>
        <v>Yes</v>
      </c>
      <c r="CV252" s="17">
        <f t="shared" ca="1" si="211"/>
        <v>1.367</v>
      </c>
      <c r="CW252" s="17">
        <f t="shared" ca="1" si="212"/>
        <v>0</v>
      </c>
      <c r="CY252" s="657">
        <v>22</v>
      </c>
      <c r="CZ252" s="17" t="str">
        <f t="shared" si="200"/>
        <v>cabozantinib</v>
      </c>
      <c r="DA252" s="17">
        <f t="shared" si="201"/>
        <v>8</v>
      </c>
      <c r="DB252" s="17">
        <f t="shared" si="202"/>
        <v>2</v>
      </c>
      <c r="DC252" s="17" t="str">
        <f>"G3+ "&amp;$D$51</f>
        <v>G3+ Weight loss</v>
      </c>
      <c r="DD252" s="17">
        <f t="shared" ca="1" si="203"/>
        <v>0</v>
      </c>
      <c r="DE252" s="956">
        <f t="shared" ca="1" si="204"/>
        <v>36.090178571428574</v>
      </c>
      <c r="DG252" s="1008">
        <f t="shared" si="205"/>
        <v>801.11</v>
      </c>
      <c r="DH252" s="1009">
        <f t="shared" si="206"/>
        <v>-0.1</v>
      </c>
      <c r="DI252" s="1007">
        <f t="shared" si="197"/>
        <v>3</v>
      </c>
    </row>
    <row r="253" spans="79:113" x14ac:dyDescent="0.2">
      <c r="CA253" s="17" t="str" cm="1">
        <f t="array" ref="CA253">INDEX(List_comparators,CB253+1)</f>
        <v>cabozantinib</v>
      </c>
      <c r="CB253" s="17">
        <v>8</v>
      </c>
      <c r="CC253" s="17">
        <v>2</v>
      </c>
      <c r="CD253" s="17"/>
      <c r="CE253" s="17"/>
      <c r="CF253" s="17"/>
      <c r="CG253" s="17"/>
      <c r="CH253" s="17"/>
      <c r="CI253" s="17"/>
      <c r="CJ253" s="17"/>
      <c r="CK253" s="17"/>
      <c r="CL253" s="17" t="str">
        <v>Stomatitis</v>
      </c>
      <c r="CM253" s="17">
        <v>20</v>
      </c>
      <c r="CN253" s="17">
        <v>0</v>
      </c>
      <c r="CO253" s="17">
        <f t="shared" ca="1" si="199"/>
        <v>4</v>
      </c>
      <c r="CP253" s="17"/>
      <c r="CQ253" s="17">
        <f t="shared" ca="1" si="209"/>
        <v>2851.1241071428572</v>
      </c>
      <c r="CR253" s="17">
        <v>0</v>
      </c>
      <c r="CS253" s="17">
        <f t="shared" ca="1" si="210"/>
        <v>1.4029554132627513E-3</v>
      </c>
      <c r="CT253" s="17" t="str">
        <f t="shared" si="207"/>
        <v>one-off</v>
      </c>
      <c r="CU253" s="17" t="str">
        <f t="shared" si="208"/>
        <v>Yes</v>
      </c>
      <c r="CV253" s="17">
        <f t="shared" ca="1" si="211"/>
        <v>1.367</v>
      </c>
      <c r="CW253" s="17">
        <f t="shared" ca="1" si="212"/>
        <v>0</v>
      </c>
      <c r="CY253" s="657">
        <v>1</v>
      </c>
      <c r="CZ253" s="17" t="str">
        <f t="shared" ref="CZ253:DB255" si="213">CA252</f>
        <v>cabozantinib</v>
      </c>
      <c r="DA253" s="17">
        <f t="shared" si="213"/>
        <v>8</v>
      </c>
      <c r="DB253" s="17">
        <f t="shared" si="213"/>
        <v>2</v>
      </c>
      <c r="DC253" s="17" t="str">
        <f>"G1&amp;2 "&amp;$D$18</f>
        <v>G1&amp;2 Diarrhoea</v>
      </c>
      <c r="DD253" s="17">
        <f ca="1">CHOOSE(i_AE_NMA_option_num,OFFSET($S$86,$CY253-1,$DA253),OFFSET($AG$18,$CY253-1,$DA253))</f>
        <v>1.5488627762420775E-2</v>
      </c>
      <c r="DE253" s="956">
        <f ca="1">OFFSET($S$18,$CY253-1,$DA253)/INDEX($DT$14:$DT$27,MATCH(DA253,$DR$14:$DR$27,0))</f>
        <v>36.090178571428574</v>
      </c>
      <c r="DG253" s="1008">
        <f t="shared" si="205"/>
        <v>220.87</v>
      </c>
      <c r="DH253" s="1009">
        <f t="shared" si="206"/>
        <v>-0.05</v>
      </c>
      <c r="DI253" s="1007">
        <f t="shared" si="197"/>
        <v>3</v>
      </c>
    </row>
    <row r="254" spans="79:113" ht="15.75" thickBot="1" x14ac:dyDescent="0.25">
      <c r="CA254" s="622" t="str" cm="1">
        <f t="array" ref="CA254">INDEX(List_comparators,CB254+1)</f>
        <v>cabozantinib</v>
      </c>
      <c r="CB254" s="622">
        <v>8</v>
      </c>
      <c r="CC254" s="622">
        <v>2</v>
      </c>
      <c r="CD254" s="622"/>
      <c r="CE254" s="622"/>
      <c r="CF254" s="622"/>
      <c r="CG254" s="622"/>
      <c r="CH254" s="622"/>
      <c r="CI254" s="622"/>
      <c r="CJ254" s="622"/>
      <c r="CK254" s="622"/>
      <c r="CL254" s="622" t="str">
        <v>Vomiting</v>
      </c>
      <c r="CM254" s="622">
        <v>21</v>
      </c>
      <c r="CN254" s="622">
        <v>0</v>
      </c>
      <c r="CO254" s="622">
        <f t="shared" ca="1" si="199"/>
        <v>0</v>
      </c>
      <c r="CP254" s="622"/>
      <c r="CQ254" s="622">
        <f t="shared" ca="1" si="209"/>
        <v>2851.1241071428572</v>
      </c>
      <c r="CR254" s="622">
        <v>0</v>
      </c>
      <c r="CS254" s="622">
        <f t="shared" ca="1" si="210"/>
        <v>0</v>
      </c>
      <c r="CT254" s="622" t="str">
        <f t="shared" si="207"/>
        <v>one-off</v>
      </c>
      <c r="CU254" s="622" t="str">
        <f t="shared" si="208"/>
        <v>Yes</v>
      </c>
      <c r="CV254" s="744">
        <f t="shared" ca="1" si="211"/>
        <v>1.367</v>
      </c>
      <c r="CW254" s="744">
        <f t="shared" ca="1" si="212"/>
        <v>0</v>
      </c>
      <c r="CY254" s="657">
        <v>2</v>
      </c>
      <c r="CZ254" s="17" t="str">
        <f t="shared" si="213"/>
        <v>cabozantinib</v>
      </c>
      <c r="DA254" s="17">
        <f t="shared" si="213"/>
        <v>8</v>
      </c>
      <c r="DB254" s="17">
        <f t="shared" si="213"/>
        <v>2</v>
      </c>
      <c r="DC254" s="17" t="str">
        <f>"G1&amp;2 "&amp;$D$19</f>
        <v>G1&amp;2 Fatigue</v>
      </c>
      <c r="DD254" s="17">
        <f ca="1">CHOOSE(i_AE_NMA_option_num,OFFSET($S$86,$CY254-1,$DA254),OFFSET($AG$18,$CY254-1,$DA254))</f>
        <v>5.9976343916982623E-3</v>
      </c>
      <c r="DE254" s="956">
        <f ca="1">OFFSET($S$18,$CY253-1,$DA254)/INDEX($DT$14:$DT$27,MATCH(DA254,$DR$14:$DR$27,0))</f>
        <v>36.090178571428574</v>
      </c>
      <c r="DG254" s="1008">
        <f t="shared" si="205"/>
        <v>441.74</v>
      </c>
      <c r="DH254" s="1009">
        <f t="shared" si="206"/>
        <v>-0.05</v>
      </c>
      <c r="DI254" s="1007">
        <f t="shared" si="197"/>
        <v>3</v>
      </c>
    </row>
    <row r="255" spans="79:113" ht="15.75" thickTop="1" x14ac:dyDescent="0.2">
      <c r="CA255" s="17"/>
      <c r="CB255" s="17"/>
      <c r="CC255" s="17"/>
      <c r="CD255" s="17"/>
      <c r="CE255" s="17"/>
      <c r="CF255" s="17"/>
      <c r="CG255" s="17"/>
      <c r="CH255" s="17"/>
      <c r="CI255" s="17"/>
      <c r="CJ255" s="17"/>
      <c r="CK255" s="17"/>
      <c r="CL255" s="17" t="str">
        <v>Weight loss</v>
      </c>
      <c r="CM255" s="17"/>
      <c r="CN255" s="17"/>
      <c r="CO255" s="17"/>
      <c r="CP255" s="17"/>
      <c r="CQ255" s="17"/>
      <c r="CR255" s="17"/>
      <c r="CS255" s="17"/>
      <c r="CT255" s="17"/>
      <c r="CU255" s="17"/>
      <c r="CV255" s="17"/>
      <c r="CW255" s="17"/>
      <c r="CY255" s="657">
        <v>3</v>
      </c>
      <c r="CZ255" s="17" t="str">
        <f t="shared" si="213"/>
        <v>cabozantinib</v>
      </c>
      <c r="DA255" s="17">
        <f t="shared" si="213"/>
        <v>8</v>
      </c>
      <c r="DB255" s="17">
        <f t="shared" si="213"/>
        <v>2</v>
      </c>
      <c r="DC255" s="17" t="str">
        <f>"G1&amp;2 "&amp;$D$20</f>
        <v>G1&amp;2 Palmar-plantar erythrodysaesthesia syndrome</v>
      </c>
      <c r="DD255" s="17">
        <f ca="1">CHOOSE(i_AE_NMA_option_num,OFFSET($S$86,$CY255-1,$DA255),OFFSET($AG$18,$CY255-1,$DA255))</f>
        <v>1.7519405723118608E-2</v>
      </c>
      <c r="DE255" s="956">
        <f ca="1">OFFSET($S$18,$CY254-1,$DA255)/INDEX($DT$14:$DT$27,MATCH(DA255,$DR$14:$DR$27,0))</f>
        <v>36.090178571428574</v>
      </c>
      <c r="DG255" s="1008">
        <f t="shared" si="205"/>
        <v>441.74</v>
      </c>
      <c r="DH255" s="1009">
        <f t="shared" si="206"/>
        <v>-0.05</v>
      </c>
      <c r="DI255" s="1007">
        <f t="shared" si="197"/>
        <v>3</v>
      </c>
    </row>
    <row r="256" spans="79:113" x14ac:dyDescent="0.2">
      <c r="CA256" s="17" t="str" cm="1">
        <f t="array" ref="CA256">INDEX(List_comparators,CB256+1)</f>
        <v>lenvatinib_plus_everolimus</v>
      </c>
      <c r="CB256" s="17">
        <v>9</v>
      </c>
      <c r="CC256" s="17">
        <v>2</v>
      </c>
      <c r="CD256" s="17">
        <f ca="1">OFFSET($E$16,0,CB256)</f>
        <v>51</v>
      </c>
      <c r="CE256" s="17">
        <f ca="1">OFFSET($E$28,0,CB256)</f>
        <v>51</v>
      </c>
      <c r="CF256" s="17">
        <f ca="1">OFFSET($S$16,0,CB256)</f>
        <v>1685.367857142857</v>
      </c>
      <c r="CG256" s="17">
        <f ca="1">OFFSET($S$28,0,CB256)</f>
        <v>1685.367857142857</v>
      </c>
      <c r="CH256" s="17">
        <f ca="1">OFFSET($AG$16,0,CB256)</f>
        <v>3.0260456068302174E-2</v>
      </c>
      <c r="CI256" s="17">
        <f ca="1">OFFSET($AG$28,0,CB256)</f>
        <v>3.0260456068302174E-2</v>
      </c>
      <c r="CJ256" s="583">
        <f>$CJ$6</f>
        <v>3</v>
      </c>
      <c r="CK256" s="583">
        <f>$CK$6</f>
        <v>0.6</v>
      </c>
      <c r="CL256" s="17" t="str" cm="1">
        <f t="array" ref="CL256:CL258">List_AEs_all_grade</f>
        <v>Diarrhoea</v>
      </c>
      <c r="CM256" s="17">
        <v>1</v>
      </c>
      <c r="CN256" s="17">
        <f ca="1">OFFSET($E$18,$CM256-1,$CB256)</f>
        <v>43</v>
      </c>
      <c r="CO256" s="17">
        <f t="shared" ref="CO256:CO319" ca="1" si="214">OFFSET($E$30,$CM256-1,$CB256)</f>
        <v>0</v>
      </c>
      <c r="CP256" s="17">
        <f ca="1">OFFSET($S$18,$CM256-1,$CB256)</f>
        <v>1685.367857142857</v>
      </c>
      <c r="CQ256" s="17">
        <v>0</v>
      </c>
      <c r="CR256" s="17">
        <f ca="1">OFFSET($AG$18,$CM256-1,$CB256)</f>
        <v>1.9580295103019056E-2</v>
      </c>
      <c r="CS256" s="17">
        <v>0</v>
      </c>
      <c r="CT256" s="17" t="str">
        <f>dd_apply_AE_options</f>
        <v>one-off</v>
      </c>
      <c r="CU256" s="17" t="str">
        <f>$CU$6</f>
        <v>Yes</v>
      </c>
      <c r="CV256" s="17">
        <f ca="1">OFFSET($E$86,$CM256-1,$CB256)</f>
        <v>2.1800000000000002</v>
      </c>
      <c r="CW256" s="17">
        <f ca="1">OFFSET($S$86,$CM256-1,$CB256)</f>
        <v>4.2685043324581548E-2</v>
      </c>
      <c r="CY256" s="657">
        <v>1</v>
      </c>
      <c r="CZ256" s="17" t="str">
        <f t="shared" ref="CZ256:CZ277" si="215">CA256</f>
        <v>lenvatinib_plus_everolimus</v>
      </c>
      <c r="DA256" s="17">
        <f t="shared" ref="DA256:DA277" si="216">CB256</f>
        <v>9</v>
      </c>
      <c r="DB256" s="17">
        <f t="shared" ref="DB256:DB277" si="217">CC256</f>
        <v>2</v>
      </c>
      <c r="DC256" s="17" t="str">
        <f>"G3+ "&amp;$D$30</f>
        <v>G3+ ALT increased</v>
      </c>
      <c r="DD256" s="17">
        <f t="shared" ref="DD256:DD277" ca="1" si="218">CHOOSE(i_AE_NMA_option_num,OFFSET($S$63,$CY256-1,$DA256),OFFSET($AG$30,$CY256-1,$DA256))</f>
        <v>0</v>
      </c>
      <c r="DE256" s="956">
        <f t="shared" ref="DE256:DE277" ca="1" si="219">OFFSET($S$30,$CY256-1,$DA256)/INDEX($DS$14:$DS$27,MATCH(DA256,$DR$14:$DR$27,0))</f>
        <v>33.046428571428571</v>
      </c>
      <c r="DG256" s="1008">
        <f>$DG231</f>
        <v>0</v>
      </c>
      <c r="DH256" s="1009">
        <f>$DH231</f>
        <v>-0.1</v>
      </c>
      <c r="DI256" s="1007">
        <f t="shared" si="197"/>
        <v>3</v>
      </c>
    </row>
    <row r="257" spans="79:113" x14ac:dyDescent="0.2">
      <c r="CA257" s="17" t="str" cm="1">
        <f t="array" ref="CA257">INDEX(List_comparators,CB257+1)</f>
        <v>lenvatinib_plus_everolimus</v>
      </c>
      <c r="CB257" s="17">
        <v>9</v>
      </c>
      <c r="CC257" s="17">
        <v>2</v>
      </c>
      <c r="CD257" s="17"/>
      <c r="CE257" s="17"/>
      <c r="CF257" s="17"/>
      <c r="CG257" s="17"/>
      <c r="CH257" s="17"/>
      <c r="CI257" s="17"/>
      <c r="CJ257" s="17"/>
      <c r="CK257" s="17"/>
      <c r="CL257" s="17" t="str">
        <v>Fatigue</v>
      </c>
      <c r="CM257" s="17">
        <v>2</v>
      </c>
      <c r="CN257" s="17">
        <f ca="1">OFFSET($E$18,$CM257-1,$CB257)</f>
        <v>30</v>
      </c>
      <c r="CO257" s="17">
        <f t="shared" ca="1" si="214"/>
        <v>0</v>
      </c>
      <c r="CP257" s="17">
        <f ca="1">OFFSET($S$18,$CM257-1,$CB257)</f>
        <v>1685.367857142857</v>
      </c>
      <c r="CQ257" s="17">
        <v>0</v>
      </c>
      <c r="CR257" s="17">
        <f ca="1">OFFSET($AG$18,$CM257-1,$CB257)</f>
        <v>1.3646872344528433E-2</v>
      </c>
      <c r="CS257" s="17">
        <v>0</v>
      </c>
      <c r="CT257" s="17" t="str">
        <f>$CT$6</f>
        <v>one-off</v>
      </c>
      <c r="CU257" s="17" t="str">
        <f>$CU$6</f>
        <v>Yes</v>
      </c>
      <c r="CV257" s="17">
        <f ca="1">OFFSET($E$86,$CM257-1,$CB257)</f>
        <v>1.72</v>
      </c>
      <c r="CW257" s="17">
        <f ca="1">OFFSET($S$86,$CM257-1,$CB257)</f>
        <v>2.3472620432588905E-2</v>
      </c>
      <c r="CY257" s="657">
        <v>2</v>
      </c>
      <c r="CZ257" s="17" t="str">
        <f t="shared" si="215"/>
        <v>lenvatinib_plus_everolimus</v>
      </c>
      <c r="DA257" s="17">
        <f t="shared" si="216"/>
        <v>9</v>
      </c>
      <c r="DB257" s="17">
        <f t="shared" si="217"/>
        <v>2</v>
      </c>
      <c r="DC257" s="17" t="str">
        <f>"G3+ "&amp;$D$31</f>
        <v>G3+ Anaemia</v>
      </c>
      <c r="DD257" s="17">
        <f t="shared" ca="1" si="218"/>
        <v>7.7705159527244059E-3</v>
      </c>
      <c r="DE257" s="956">
        <f t="shared" ca="1" si="219"/>
        <v>33.046428571428571</v>
      </c>
      <c r="DG257" s="1008">
        <f t="shared" ref="DG257:DG280" si="220">$DG232</f>
        <v>655.75</v>
      </c>
      <c r="DH257" s="1009">
        <f t="shared" ref="DH257:DH280" si="221">$DH232</f>
        <v>-0.1</v>
      </c>
      <c r="DI257" s="1007">
        <f t="shared" si="197"/>
        <v>3</v>
      </c>
    </row>
    <row r="258" spans="79:113" ht="15.75" thickBot="1" x14ac:dyDescent="0.25">
      <c r="CA258" s="19" t="str" cm="1">
        <f t="array" ref="CA258">INDEX(List_comparators,CB258+1)</f>
        <v>lenvatinib_plus_everolimus</v>
      </c>
      <c r="CB258" s="19">
        <v>9</v>
      </c>
      <c r="CC258" s="19">
        <v>2</v>
      </c>
      <c r="CD258" s="19"/>
      <c r="CE258" s="19"/>
      <c r="CF258" s="19"/>
      <c r="CG258" s="19"/>
      <c r="CH258" s="19"/>
      <c r="CI258" s="19"/>
      <c r="CJ258" s="19"/>
      <c r="CK258" s="19"/>
      <c r="CL258" s="19" t="str">
        <v>Palmar-plantar erythrodysaesthesia syndrome</v>
      </c>
      <c r="CM258" s="19">
        <v>3</v>
      </c>
      <c r="CN258" s="19">
        <f ca="1">OFFSET($E$18,$CM258-1,$CB258)</f>
        <v>4</v>
      </c>
      <c r="CO258" s="19">
        <f t="shared" ca="1" si="214"/>
        <v>3</v>
      </c>
      <c r="CP258" s="19">
        <f ca="1">OFFSET($S$18,$CM258-1,$CB258)</f>
        <v>1685.367857142857</v>
      </c>
      <c r="CQ258" s="19">
        <v>0</v>
      </c>
      <c r="CR258" s="19">
        <f ca="1">OFFSET($AG$18,$CM258-1,$CB258)</f>
        <v>2.3733691033962488E-3</v>
      </c>
      <c r="CS258" s="19">
        <v>0</v>
      </c>
      <c r="CT258" s="19" t="str">
        <f t="shared" ref="CT258:CT279" si="222">$CT$6</f>
        <v>one-off</v>
      </c>
      <c r="CU258" s="19" t="str">
        <f t="shared" ref="CU258:CU279" si="223">$CU$6</f>
        <v>Yes</v>
      </c>
      <c r="CV258" s="19">
        <f ca="1">OFFSET($E$86,$CM258-1,$CB258)</f>
        <v>0.74</v>
      </c>
      <c r="CW258" s="19">
        <f ca="1">OFFSET($S$86,$CM258-1,$CB258)</f>
        <v>1.756293136513224E-3</v>
      </c>
      <c r="CY258" s="657">
        <v>3</v>
      </c>
      <c r="CZ258" s="17" t="str">
        <f t="shared" si="215"/>
        <v>lenvatinib_plus_everolimus</v>
      </c>
      <c r="DA258" s="17">
        <f t="shared" si="216"/>
        <v>9</v>
      </c>
      <c r="DB258" s="17">
        <f t="shared" si="217"/>
        <v>2</v>
      </c>
      <c r="DC258" s="17" t="str">
        <f>"G3+ "&amp;$D$32</f>
        <v>G3+ Decreased appetite</v>
      </c>
      <c r="DD258" s="17">
        <f t="shared" ca="1" si="218"/>
        <v>0</v>
      </c>
      <c r="DE258" s="956">
        <f t="shared" ca="1" si="219"/>
        <v>33.046428571428571</v>
      </c>
      <c r="DG258" s="1008">
        <f t="shared" si="220"/>
        <v>0</v>
      </c>
      <c r="DH258" s="1009">
        <f t="shared" si="221"/>
        <v>-0.1</v>
      </c>
      <c r="DI258" s="1007">
        <f t="shared" si="197"/>
        <v>3</v>
      </c>
    </row>
    <row r="259" spans="79:113" x14ac:dyDescent="0.2">
      <c r="CA259" s="17" t="str" cm="1">
        <f t="array" ref="CA259">INDEX(List_comparators,CB259+1)</f>
        <v>lenvatinib_plus_everolimus</v>
      </c>
      <c r="CB259" s="17">
        <v>9</v>
      </c>
      <c r="CC259" s="17">
        <v>2</v>
      </c>
      <c r="CD259" s="17"/>
      <c r="CE259" s="17"/>
      <c r="CF259" s="17"/>
      <c r="CG259" s="17"/>
      <c r="CH259" s="17"/>
      <c r="CI259" s="17"/>
      <c r="CJ259" s="17"/>
      <c r="CK259" s="17"/>
      <c r="CL259" s="252" t="str" cm="1">
        <f t="array" ref="CL259:CL280">List_AEs_g3</f>
        <v>ALT increased</v>
      </c>
      <c r="CM259" s="252">
        <v>1</v>
      </c>
      <c r="CN259" s="252">
        <v>0</v>
      </c>
      <c r="CO259" s="252">
        <f t="shared" ca="1" si="214"/>
        <v>0</v>
      </c>
      <c r="CP259" s="252"/>
      <c r="CQ259" s="252">
        <f t="shared" ref="CQ259:CQ279" ca="1" si="224">OFFSET($S$30,$CM259-1,$CB259)</f>
        <v>1685.367857142857</v>
      </c>
      <c r="CR259" s="252">
        <v>0</v>
      </c>
      <c r="CS259" s="252">
        <f t="shared" ref="CS259:CS279" ca="1" si="225">OFFSET($AG$30,$CM259-1,$CB259)</f>
        <v>0</v>
      </c>
      <c r="CT259" s="252" t="str">
        <f t="shared" si="222"/>
        <v>one-off</v>
      </c>
      <c r="CU259" s="252" t="str">
        <f t="shared" si="223"/>
        <v>Yes</v>
      </c>
      <c r="CV259" s="252">
        <f ca="1">OFFSET($E$63,$CM259-1,$CB259)</f>
        <v>1.601</v>
      </c>
      <c r="CW259" s="252">
        <f ca="1">OFFSET($S$63,$CM259-1,$CB259)</f>
        <v>0</v>
      </c>
      <c r="CY259" s="657">
        <v>4</v>
      </c>
      <c r="CZ259" s="17" t="str">
        <f t="shared" si="215"/>
        <v>lenvatinib_plus_everolimus</v>
      </c>
      <c r="DA259" s="17">
        <f t="shared" si="216"/>
        <v>9</v>
      </c>
      <c r="DB259" s="17">
        <f t="shared" si="217"/>
        <v>2</v>
      </c>
      <c r="DC259" s="17" t="str">
        <f>"G3+ "&amp;$D$33</f>
        <v>G3+ Diarrhoea _TKI induced</v>
      </c>
      <c r="DD259" s="17">
        <f t="shared" ca="1" si="218"/>
        <v>1.2533090246329684E-3</v>
      </c>
      <c r="DE259" s="956">
        <f t="shared" ca="1" si="219"/>
        <v>33.046428571428571</v>
      </c>
      <c r="DG259" s="1008">
        <f t="shared" si="220"/>
        <v>827.18</v>
      </c>
      <c r="DH259" s="1009">
        <f t="shared" si="221"/>
        <v>-0.1</v>
      </c>
      <c r="DI259" s="1007">
        <f t="shared" si="197"/>
        <v>3</v>
      </c>
    </row>
    <row r="260" spans="79:113" x14ac:dyDescent="0.2">
      <c r="CA260" s="17" t="str" cm="1">
        <f t="array" ref="CA260">INDEX(List_comparators,CB260+1)</f>
        <v>lenvatinib_plus_everolimus</v>
      </c>
      <c r="CB260" s="17">
        <v>9</v>
      </c>
      <c r="CC260" s="17">
        <v>2</v>
      </c>
      <c r="CD260" s="17"/>
      <c r="CE260" s="17"/>
      <c r="CF260" s="17"/>
      <c r="CG260" s="17"/>
      <c r="CH260" s="17"/>
      <c r="CI260" s="17"/>
      <c r="CJ260" s="17"/>
      <c r="CK260" s="17"/>
      <c r="CL260" s="17" t="str">
        <v>Anaemia</v>
      </c>
      <c r="CM260" s="17">
        <v>2</v>
      </c>
      <c r="CN260" s="17">
        <v>0</v>
      </c>
      <c r="CO260" s="17">
        <f t="shared" ca="1" si="214"/>
        <v>0</v>
      </c>
      <c r="CP260" s="17"/>
      <c r="CQ260" s="17">
        <f t="shared" ca="1" si="224"/>
        <v>1685.367857142857</v>
      </c>
      <c r="CR260" s="17">
        <v>0</v>
      </c>
      <c r="CS260" s="17">
        <f t="shared" ca="1" si="225"/>
        <v>0</v>
      </c>
      <c r="CT260" s="17" t="str">
        <f t="shared" si="222"/>
        <v>one-off</v>
      </c>
      <c r="CU260" s="17" t="str">
        <f t="shared" si="223"/>
        <v>Yes</v>
      </c>
      <c r="CV260" s="17">
        <f t="shared" ref="CV260:CV279" ca="1" si="226">OFFSET($E$63,$CM260-1,$CB260)</f>
        <v>1.601</v>
      </c>
      <c r="CW260" s="17">
        <f t="shared" ref="CW260:CW279" ca="1" si="227">OFFSET($S$63,$CM260-1,$CB260)</f>
        <v>7.7705159527244059E-3</v>
      </c>
      <c r="CY260" s="657">
        <v>5</v>
      </c>
      <c r="CZ260" s="17" t="str">
        <f t="shared" si="215"/>
        <v>lenvatinib_plus_everolimus</v>
      </c>
      <c r="DA260" s="17">
        <f t="shared" si="216"/>
        <v>9</v>
      </c>
      <c r="DB260" s="17">
        <f t="shared" si="217"/>
        <v>2</v>
      </c>
      <c r="DC260" s="17" t="str">
        <f>"G3+ "&amp;$D$34</f>
        <v>G3+ Diarrhoea _IO induced</v>
      </c>
      <c r="DD260" s="17">
        <f t="shared" ca="1" si="218"/>
        <v>0</v>
      </c>
      <c r="DE260" s="956">
        <f t="shared" ca="1" si="219"/>
        <v>33.046428571428571</v>
      </c>
      <c r="DG260" s="1008">
        <f t="shared" si="220"/>
        <v>4321.12</v>
      </c>
      <c r="DH260" s="1009">
        <f t="shared" si="221"/>
        <v>-0.1</v>
      </c>
      <c r="DI260" s="1007">
        <f t="shared" si="197"/>
        <v>3</v>
      </c>
    </row>
    <row r="261" spans="79:113" x14ac:dyDescent="0.2">
      <c r="CA261" s="17" t="str" cm="1">
        <f t="array" ref="CA261">INDEX(List_comparators,CB261+1)</f>
        <v>lenvatinib_plus_everolimus</v>
      </c>
      <c r="CB261" s="17">
        <v>9</v>
      </c>
      <c r="CC261" s="17">
        <v>2</v>
      </c>
      <c r="CD261" s="17"/>
      <c r="CE261" s="17"/>
      <c r="CF261" s="17"/>
      <c r="CG261" s="17"/>
      <c r="CH261" s="17"/>
      <c r="CI261" s="17"/>
      <c r="CJ261" s="17"/>
      <c r="CK261" s="17"/>
      <c r="CL261" s="17" t="str">
        <v>Decreased appetite</v>
      </c>
      <c r="CM261" s="17">
        <v>3</v>
      </c>
      <c r="CN261" s="17">
        <v>0</v>
      </c>
      <c r="CO261" s="17">
        <f t="shared" ca="1" si="214"/>
        <v>3</v>
      </c>
      <c r="CP261" s="17"/>
      <c r="CQ261" s="17">
        <f t="shared" ca="1" si="224"/>
        <v>1685.367857142857</v>
      </c>
      <c r="CR261" s="17">
        <v>0</v>
      </c>
      <c r="CS261" s="17">
        <f t="shared" ca="1" si="225"/>
        <v>1.7800268275471867E-3</v>
      </c>
      <c r="CT261" s="17" t="str">
        <f t="shared" si="222"/>
        <v>one-off</v>
      </c>
      <c r="CU261" s="17" t="str">
        <f t="shared" si="223"/>
        <v>Yes</v>
      </c>
      <c r="CV261" s="17">
        <f t="shared" ca="1" si="226"/>
        <v>1.601</v>
      </c>
      <c r="CW261" s="17">
        <f t="shared" ca="1" si="227"/>
        <v>0</v>
      </c>
      <c r="CY261" s="657">
        <v>6</v>
      </c>
      <c r="CZ261" s="17" t="str">
        <f t="shared" si="215"/>
        <v>lenvatinib_plus_everolimus</v>
      </c>
      <c r="DA261" s="17">
        <f t="shared" si="216"/>
        <v>9</v>
      </c>
      <c r="DB261" s="17">
        <f t="shared" si="217"/>
        <v>2</v>
      </c>
      <c r="DC261" s="17" t="str">
        <f>"G3+ "&amp;$D$35</f>
        <v>G3+ Fatigue</v>
      </c>
      <c r="DD261" s="17">
        <f t="shared" ca="1" si="218"/>
        <v>2.7572798541925306E-3</v>
      </c>
      <c r="DE261" s="956">
        <f t="shared" ca="1" si="219"/>
        <v>33.046428571428571</v>
      </c>
      <c r="DG261" s="1008">
        <f t="shared" si="220"/>
        <v>662.61</v>
      </c>
      <c r="DH261" s="1009">
        <f t="shared" si="221"/>
        <v>-0.1</v>
      </c>
      <c r="DI261" s="1007">
        <f t="shared" si="197"/>
        <v>3</v>
      </c>
    </row>
    <row r="262" spans="79:113" x14ac:dyDescent="0.2">
      <c r="CA262" s="17" t="str" cm="1">
        <f t="array" ref="CA262">INDEX(List_comparators,CB262+1)</f>
        <v>lenvatinib_plus_everolimus</v>
      </c>
      <c r="CB262" s="17">
        <v>9</v>
      </c>
      <c r="CC262" s="17">
        <v>2</v>
      </c>
      <c r="CD262" s="17"/>
      <c r="CE262" s="17"/>
      <c r="CF262" s="17"/>
      <c r="CG262" s="17"/>
      <c r="CH262" s="17"/>
      <c r="CI262" s="17"/>
      <c r="CJ262" s="17"/>
      <c r="CK262" s="17"/>
      <c r="CL262" s="17" t="str">
        <v>Diarrhoea _TKI induced</v>
      </c>
      <c r="CM262" s="17">
        <v>4</v>
      </c>
      <c r="CN262" s="17">
        <v>0</v>
      </c>
      <c r="CO262" s="17">
        <f t="shared" ca="1" si="214"/>
        <v>10</v>
      </c>
      <c r="CP262" s="17"/>
      <c r="CQ262" s="17">
        <f t="shared" ca="1" si="224"/>
        <v>1685.367857142857</v>
      </c>
      <c r="CR262" s="17">
        <v>0</v>
      </c>
      <c r="CS262" s="17">
        <f t="shared" ca="1" si="225"/>
        <v>5.9334227584906226E-3</v>
      </c>
      <c r="CT262" s="17" t="str">
        <f t="shared" si="222"/>
        <v>one-off</v>
      </c>
      <c r="CU262" s="17" t="str">
        <f t="shared" si="223"/>
        <v>Yes</v>
      </c>
      <c r="CV262" s="17">
        <f t="shared" ca="1" si="226"/>
        <v>1.601</v>
      </c>
      <c r="CW262" s="17">
        <f t="shared" ca="1" si="227"/>
        <v>1.2533090246329684E-3</v>
      </c>
      <c r="CY262" s="657">
        <v>7</v>
      </c>
      <c r="CZ262" s="17" t="str">
        <f t="shared" si="215"/>
        <v>lenvatinib_plus_everolimus</v>
      </c>
      <c r="DA262" s="17">
        <f t="shared" si="216"/>
        <v>9</v>
      </c>
      <c r="DB262" s="17">
        <f t="shared" si="217"/>
        <v>2</v>
      </c>
      <c r="DC262" s="17" t="str">
        <f>"G3+ "&amp;$D$36</f>
        <v>G3+ HFS</v>
      </c>
      <c r="DD262" s="17">
        <f t="shared" ca="1" si="218"/>
        <v>0</v>
      </c>
      <c r="DE262" s="956">
        <f t="shared" ca="1" si="219"/>
        <v>33.046428571428571</v>
      </c>
      <c r="DG262" s="1008">
        <f t="shared" si="220"/>
        <v>621.42499999999995</v>
      </c>
      <c r="DH262" s="1009">
        <f t="shared" si="221"/>
        <v>-0.1</v>
      </c>
      <c r="DI262" s="1007">
        <f t="shared" si="197"/>
        <v>3</v>
      </c>
    </row>
    <row r="263" spans="79:113" x14ac:dyDescent="0.2">
      <c r="CA263" s="17" t="str" cm="1">
        <f t="array" ref="CA263">INDEX(List_comparators,CB263+1)</f>
        <v>lenvatinib_plus_everolimus</v>
      </c>
      <c r="CB263" s="17">
        <v>9</v>
      </c>
      <c r="CC263" s="17">
        <v>2</v>
      </c>
      <c r="CD263" s="17"/>
      <c r="CE263" s="17"/>
      <c r="CF263" s="17"/>
      <c r="CG263" s="17"/>
      <c r="CH263" s="17"/>
      <c r="CI263" s="17"/>
      <c r="CJ263" s="17"/>
      <c r="CK263" s="17"/>
      <c r="CL263" s="17" t="str">
        <v>Diarrhoea _IO induced</v>
      </c>
      <c r="CM263" s="17">
        <v>5</v>
      </c>
      <c r="CN263" s="17">
        <v>0</v>
      </c>
      <c r="CO263" s="17">
        <f t="shared" ca="1" si="214"/>
        <v>0</v>
      </c>
      <c r="CP263" s="17"/>
      <c r="CQ263" s="17">
        <f t="shared" ca="1" si="224"/>
        <v>1685.367857142857</v>
      </c>
      <c r="CR263" s="17">
        <v>0</v>
      </c>
      <c r="CS263" s="17">
        <f t="shared" ca="1" si="225"/>
        <v>0</v>
      </c>
      <c r="CT263" s="17" t="str">
        <f t="shared" si="222"/>
        <v>one-off</v>
      </c>
      <c r="CU263" s="17" t="str">
        <f t="shared" si="223"/>
        <v>Yes</v>
      </c>
      <c r="CV263" s="17">
        <f t="shared" ca="1" si="226"/>
        <v>1.601</v>
      </c>
      <c r="CW263" s="17">
        <f t="shared" ca="1" si="227"/>
        <v>0</v>
      </c>
      <c r="CY263" s="657">
        <v>8</v>
      </c>
      <c r="CZ263" s="17" t="str">
        <f t="shared" si="215"/>
        <v>lenvatinib_plus_everolimus</v>
      </c>
      <c r="DA263" s="17">
        <f t="shared" si="216"/>
        <v>9</v>
      </c>
      <c r="DB263" s="17">
        <f t="shared" si="217"/>
        <v>2</v>
      </c>
      <c r="DC263" s="17" t="str">
        <f>"G3+ "&amp;$D$37</f>
        <v>G3+ Hypertension</v>
      </c>
      <c r="DD263" s="17">
        <f t="shared" ca="1" si="218"/>
        <v>0</v>
      </c>
      <c r="DE263" s="956">
        <f t="shared" ca="1" si="219"/>
        <v>33.046428571428571</v>
      </c>
      <c r="DG263" s="1008">
        <f t="shared" si="220"/>
        <v>424.6</v>
      </c>
      <c r="DH263" s="1009">
        <f t="shared" si="221"/>
        <v>-0.1</v>
      </c>
      <c r="DI263" s="1007">
        <f t="shared" si="197"/>
        <v>3</v>
      </c>
    </row>
    <row r="264" spans="79:113" x14ac:dyDescent="0.2">
      <c r="CA264" s="17" t="str" cm="1">
        <f t="array" ref="CA264">INDEX(List_comparators,CB264+1)</f>
        <v>lenvatinib_plus_everolimus</v>
      </c>
      <c r="CB264" s="17">
        <v>9</v>
      </c>
      <c r="CC264" s="17">
        <v>2</v>
      </c>
      <c r="CD264" s="17"/>
      <c r="CE264" s="17"/>
      <c r="CF264" s="17"/>
      <c r="CG264" s="17"/>
      <c r="CH264" s="17"/>
      <c r="CI264" s="17"/>
      <c r="CJ264" s="17"/>
      <c r="CK264" s="17"/>
      <c r="CL264" s="17" t="str">
        <v>Fatigue</v>
      </c>
      <c r="CM264" s="17">
        <v>6</v>
      </c>
      <c r="CN264" s="17">
        <v>0</v>
      </c>
      <c r="CO264" s="17">
        <f t="shared" ca="1" si="214"/>
        <v>7</v>
      </c>
      <c r="CP264" s="17"/>
      <c r="CQ264" s="17">
        <f t="shared" ca="1" si="224"/>
        <v>1685.367857142857</v>
      </c>
      <c r="CR264" s="17">
        <v>0</v>
      </c>
      <c r="CS264" s="17">
        <f t="shared" ca="1" si="225"/>
        <v>4.1533959309434359E-3</v>
      </c>
      <c r="CT264" s="17" t="str">
        <f t="shared" si="222"/>
        <v>one-off</v>
      </c>
      <c r="CU264" s="17" t="str">
        <f t="shared" si="223"/>
        <v>Yes</v>
      </c>
      <c r="CV264" s="17">
        <f t="shared" ca="1" si="226"/>
        <v>1.601</v>
      </c>
      <c r="CW264" s="17">
        <f t="shared" ca="1" si="227"/>
        <v>2.7572798541925306E-3</v>
      </c>
      <c r="CY264" s="657">
        <v>9</v>
      </c>
      <c r="CZ264" s="17" t="str">
        <f t="shared" si="215"/>
        <v>lenvatinib_plus_everolimus</v>
      </c>
      <c r="DA264" s="17">
        <f t="shared" si="216"/>
        <v>9</v>
      </c>
      <c r="DB264" s="17">
        <f t="shared" si="217"/>
        <v>2</v>
      </c>
      <c r="DC264" s="17" t="str">
        <f>"G3+ "&amp;$D$38</f>
        <v>G3+ Hypertriglyceridemia</v>
      </c>
      <c r="DD264" s="17">
        <f t="shared" ca="1" si="218"/>
        <v>5.0132360985318735E-3</v>
      </c>
      <c r="DE264" s="956">
        <f t="shared" ca="1" si="219"/>
        <v>33.046428571428571</v>
      </c>
      <c r="DG264" s="1008">
        <f t="shared" si="220"/>
        <v>0</v>
      </c>
      <c r="DH264" s="1009">
        <f t="shared" si="221"/>
        <v>-0.1</v>
      </c>
      <c r="DI264" s="1007">
        <f t="shared" si="197"/>
        <v>3</v>
      </c>
    </row>
    <row r="265" spans="79:113" x14ac:dyDescent="0.2">
      <c r="CA265" s="17" t="str" cm="1">
        <f t="array" ref="CA265">INDEX(List_comparators,CB265+1)</f>
        <v>lenvatinib_plus_everolimus</v>
      </c>
      <c r="CB265" s="17">
        <v>9</v>
      </c>
      <c r="CC265" s="17">
        <v>2</v>
      </c>
      <c r="CD265" s="17"/>
      <c r="CE265" s="17"/>
      <c r="CF265" s="17"/>
      <c r="CG265" s="17"/>
      <c r="CH265" s="17"/>
      <c r="CI265" s="17"/>
      <c r="CJ265" s="17"/>
      <c r="CK265" s="17"/>
      <c r="CL265" s="17" t="str">
        <v>HFS</v>
      </c>
      <c r="CM265" s="17">
        <v>7</v>
      </c>
      <c r="CN265" s="17">
        <v>0</v>
      </c>
      <c r="CO265" s="17">
        <f t="shared" ca="1" si="214"/>
        <v>0</v>
      </c>
      <c r="CP265" s="17"/>
      <c r="CQ265" s="17">
        <f t="shared" ca="1" si="224"/>
        <v>1685.367857142857</v>
      </c>
      <c r="CR265" s="17">
        <v>0</v>
      </c>
      <c r="CS265" s="17">
        <f t="shared" ca="1" si="225"/>
        <v>0</v>
      </c>
      <c r="CT265" s="17" t="str">
        <f t="shared" si="222"/>
        <v>one-off</v>
      </c>
      <c r="CU265" s="17" t="str">
        <f t="shared" si="223"/>
        <v>Yes</v>
      </c>
      <c r="CV265" s="17">
        <f t="shared" ca="1" si="226"/>
        <v>1.601</v>
      </c>
      <c r="CW265" s="17">
        <f t="shared" ca="1" si="227"/>
        <v>0</v>
      </c>
      <c r="CY265" s="657">
        <v>10</v>
      </c>
      <c r="CZ265" s="17" t="str">
        <f t="shared" si="215"/>
        <v>lenvatinib_plus_everolimus</v>
      </c>
      <c r="DA265" s="17">
        <f t="shared" si="216"/>
        <v>9</v>
      </c>
      <c r="DB265" s="17">
        <f t="shared" si="217"/>
        <v>2</v>
      </c>
      <c r="DC265" s="17" t="str">
        <f>"G3+ "&amp;$D$39</f>
        <v>G3+ Hyponatraemia</v>
      </c>
      <c r="DD265" s="17">
        <f t="shared" ca="1" si="218"/>
        <v>0</v>
      </c>
      <c r="DE265" s="956">
        <f t="shared" ca="1" si="219"/>
        <v>33.046428571428571</v>
      </c>
      <c r="DG265" s="1008">
        <f t="shared" si="220"/>
        <v>574.71</v>
      </c>
      <c r="DH265" s="1009">
        <f t="shared" si="221"/>
        <v>-0.1</v>
      </c>
      <c r="DI265" s="1007">
        <f t="shared" si="197"/>
        <v>3</v>
      </c>
    </row>
    <row r="266" spans="79:113" x14ac:dyDescent="0.2">
      <c r="CA266" s="17" t="str" cm="1">
        <f t="array" ref="CA266">INDEX(List_comparators,CB266+1)</f>
        <v>lenvatinib_plus_everolimus</v>
      </c>
      <c r="CB266" s="17">
        <v>9</v>
      </c>
      <c r="CC266" s="17">
        <v>2</v>
      </c>
      <c r="CD266" s="17"/>
      <c r="CE266" s="17"/>
      <c r="CF266" s="17"/>
      <c r="CG266" s="17"/>
      <c r="CH266" s="17"/>
      <c r="CI266" s="17"/>
      <c r="CJ266" s="17"/>
      <c r="CK266" s="17"/>
      <c r="CL266" s="17" t="str">
        <v>Hypertension</v>
      </c>
      <c r="CM266" s="17">
        <v>8</v>
      </c>
      <c r="CN266" s="17">
        <v>0</v>
      </c>
      <c r="CO266" s="17">
        <f t="shared" ca="1" si="214"/>
        <v>7</v>
      </c>
      <c r="CP266" s="17"/>
      <c r="CQ266" s="17">
        <f t="shared" ca="1" si="224"/>
        <v>1685.367857142857</v>
      </c>
      <c r="CR266" s="17">
        <v>0</v>
      </c>
      <c r="CS266" s="17">
        <f t="shared" ca="1" si="225"/>
        <v>4.1533959309434359E-3</v>
      </c>
      <c r="CT266" s="17" t="str">
        <f t="shared" si="222"/>
        <v>one-off</v>
      </c>
      <c r="CU266" s="17" t="str">
        <f t="shared" si="223"/>
        <v>Yes</v>
      </c>
      <c r="CV266" s="17">
        <f t="shared" ca="1" si="226"/>
        <v>1.601</v>
      </c>
      <c r="CW266" s="17">
        <f t="shared" ca="1" si="227"/>
        <v>0</v>
      </c>
      <c r="CY266" s="657">
        <v>11</v>
      </c>
      <c r="CZ266" s="17" t="str">
        <f t="shared" si="215"/>
        <v>lenvatinib_plus_everolimus</v>
      </c>
      <c r="DA266" s="17">
        <f t="shared" si="216"/>
        <v>9</v>
      </c>
      <c r="DB266" s="17">
        <f t="shared" si="217"/>
        <v>2</v>
      </c>
      <c r="DC266" s="17" t="str">
        <f>"G3+ "&amp;$D$40</f>
        <v>G3+ Hypophosphatemia</v>
      </c>
      <c r="DD266" s="17">
        <f t="shared" ca="1" si="218"/>
        <v>0</v>
      </c>
      <c r="DE266" s="956">
        <f t="shared" ca="1" si="219"/>
        <v>33.046428571428571</v>
      </c>
      <c r="DG266" s="1008">
        <f t="shared" si="220"/>
        <v>0</v>
      </c>
      <c r="DH266" s="1009">
        <f t="shared" si="221"/>
        <v>-0.1</v>
      </c>
      <c r="DI266" s="1007">
        <f t="shared" si="197"/>
        <v>3</v>
      </c>
    </row>
    <row r="267" spans="79:113" x14ac:dyDescent="0.2">
      <c r="CA267" s="17" t="str" cm="1">
        <f t="array" ref="CA267">INDEX(List_comparators,CB267+1)</f>
        <v>lenvatinib_plus_everolimus</v>
      </c>
      <c r="CB267" s="17">
        <v>9</v>
      </c>
      <c r="CC267" s="17">
        <v>2</v>
      </c>
      <c r="CD267" s="17"/>
      <c r="CE267" s="17"/>
      <c r="CF267" s="17"/>
      <c r="CG267" s="17"/>
      <c r="CH267" s="17"/>
      <c r="CI267" s="17"/>
      <c r="CJ267" s="17"/>
      <c r="CK267" s="17"/>
      <c r="CL267" s="17" t="str">
        <v>Hypertriglyceridemia</v>
      </c>
      <c r="CM267" s="17">
        <v>9</v>
      </c>
      <c r="CN267" s="17">
        <v>0</v>
      </c>
      <c r="CO267" s="17">
        <f t="shared" ca="1" si="214"/>
        <v>4</v>
      </c>
      <c r="CP267" s="17"/>
      <c r="CQ267" s="17">
        <f t="shared" ca="1" si="224"/>
        <v>1685.367857142857</v>
      </c>
      <c r="CR267" s="17">
        <v>0</v>
      </c>
      <c r="CS267" s="17">
        <f t="shared" ca="1" si="225"/>
        <v>2.3733691033962488E-3</v>
      </c>
      <c r="CT267" s="17" t="str">
        <f t="shared" si="222"/>
        <v>one-off</v>
      </c>
      <c r="CU267" s="17" t="str">
        <f t="shared" si="223"/>
        <v>Yes</v>
      </c>
      <c r="CV267" s="17">
        <f t="shared" ca="1" si="226"/>
        <v>1.601</v>
      </c>
      <c r="CW267" s="17">
        <f t="shared" ca="1" si="227"/>
        <v>5.0132360985318735E-3</v>
      </c>
      <c r="CY267" s="657">
        <v>12</v>
      </c>
      <c r="CZ267" s="17" t="str">
        <f t="shared" si="215"/>
        <v>lenvatinib_plus_everolimus</v>
      </c>
      <c r="DA267" s="17">
        <f t="shared" si="216"/>
        <v>9</v>
      </c>
      <c r="DB267" s="17">
        <f t="shared" si="217"/>
        <v>2</v>
      </c>
      <c r="DC267" s="17" t="str">
        <f>"G3+ "&amp;$D$41</f>
        <v>G3+ Increase in lipase</v>
      </c>
      <c r="DD267" s="17">
        <f t="shared" ca="1" si="218"/>
        <v>0</v>
      </c>
      <c r="DE267" s="956">
        <f t="shared" ca="1" si="219"/>
        <v>33.046428571428571</v>
      </c>
      <c r="DG267" s="1008">
        <f t="shared" si="220"/>
        <v>655.75</v>
      </c>
      <c r="DH267" s="1009">
        <f t="shared" si="221"/>
        <v>-0.1</v>
      </c>
      <c r="DI267" s="1007">
        <f t="shared" si="197"/>
        <v>3</v>
      </c>
    </row>
    <row r="268" spans="79:113" x14ac:dyDescent="0.2">
      <c r="CA268" s="17" t="str" cm="1">
        <f t="array" ref="CA268">INDEX(List_comparators,CB268+1)</f>
        <v>lenvatinib_plus_everolimus</v>
      </c>
      <c r="CB268" s="17">
        <v>9</v>
      </c>
      <c r="CC268" s="17">
        <v>2</v>
      </c>
      <c r="CD268" s="17"/>
      <c r="CE268" s="17"/>
      <c r="CF268" s="17"/>
      <c r="CG268" s="17"/>
      <c r="CH268" s="17"/>
      <c r="CI268" s="17"/>
      <c r="CJ268" s="17"/>
      <c r="CK268" s="17"/>
      <c r="CL268" s="17" t="str">
        <v>Hyponatraemia</v>
      </c>
      <c r="CM268" s="17">
        <v>10</v>
      </c>
      <c r="CN268" s="17">
        <v>0</v>
      </c>
      <c r="CO268" s="17">
        <f t="shared" ca="1" si="214"/>
        <v>0</v>
      </c>
      <c r="CP268" s="17"/>
      <c r="CQ268" s="17">
        <f t="shared" ca="1" si="224"/>
        <v>1685.367857142857</v>
      </c>
      <c r="CR268" s="17">
        <v>0</v>
      </c>
      <c r="CS268" s="17">
        <f t="shared" ca="1" si="225"/>
        <v>0</v>
      </c>
      <c r="CT268" s="17" t="str">
        <f t="shared" si="222"/>
        <v>one-off</v>
      </c>
      <c r="CU268" s="17" t="str">
        <f t="shared" si="223"/>
        <v>Yes</v>
      </c>
      <c r="CV268" s="17">
        <f t="shared" ca="1" si="226"/>
        <v>1.601</v>
      </c>
      <c r="CW268" s="17">
        <f t="shared" ca="1" si="227"/>
        <v>0</v>
      </c>
      <c r="CY268" s="657">
        <v>13</v>
      </c>
      <c r="CZ268" s="17" t="str">
        <f t="shared" si="215"/>
        <v>lenvatinib_plus_everolimus</v>
      </c>
      <c r="DA268" s="17">
        <f t="shared" si="216"/>
        <v>9</v>
      </c>
      <c r="DB268" s="17">
        <f t="shared" si="217"/>
        <v>2</v>
      </c>
      <c r="DC268" s="17" t="str">
        <f>"G3+ "&amp;$D$42</f>
        <v>G3+ Increased AST</v>
      </c>
      <c r="DD268" s="17">
        <f t="shared" ca="1" si="218"/>
        <v>0</v>
      </c>
      <c r="DE268" s="956">
        <f t="shared" ca="1" si="219"/>
        <v>33.046428571428571</v>
      </c>
      <c r="DG268" s="1008">
        <f t="shared" si="220"/>
        <v>0</v>
      </c>
      <c r="DH268" s="1009">
        <f t="shared" si="221"/>
        <v>-0.1</v>
      </c>
      <c r="DI268" s="1007">
        <f t="shared" si="197"/>
        <v>3</v>
      </c>
    </row>
    <row r="269" spans="79:113" x14ac:dyDescent="0.2">
      <c r="CA269" s="17" t="str" cm="1">
        <f t="array" ref="CA269">INDEX(List_comparators,CB269+1)</f>
        <v>lenvatinib_plus_everolimus</v>
      </c>
      <c r="CB269" s="17">
        <v>9</v>
      </c>
      <c r="CC269" s="17">
        <v>2</v>
      </c>
      <c r="CD269" s="17"/>
      <c r="CE269" s="17"/>
      <c r="CF269" s="17"/>
      <c r="CG269" s="17"/>
      <c r="CH269" s="17"/>
      <c r="CI269" s="17"/>
      <c r="CJ269" s="17"/>
      <c r="CK269" s="17"/>
      <c r="CL269" s="17" t="str">
        <v>Hypophosphatemia</v>
      </c>
      <c r="CM269" s="17">
        <v>11</v>
      </c>
      <c r="CN269" s="17">
        <v>0</v>
      </c>
      <c r="CO269" s="17">
        <f t="shared" ca="1" si="214"/>
        <v>0</v>
      </c>
      <c r="CP269" s="17"/>
      <c r="CQ269" s="17">
        <f t="shared" ca="1" si="224"/>
        <v>1685.367857142857</v>
      </c>
      <c r="CR269" s="17">
        <v>0</v>
      </c>
      <c r="CS269" s="17">
        <f t="shared" ca="1" si="225"/>
        <v>0</v>
      </c>
      <c r="CT269" s="17" t="str">
        <f t="shared" si="222"/>
        <v>one-off</v>
      </c>
      <c r="CU269" s="17" t="str">
        <f t="shared" si="223"/>
        <v>Yes</v>
      </c>
      <c r="CV269" s="17">
        <f t="shared" ca="1" si="226"/>
        <v>1.601</v>
      </c>
      <c r="CW269" s="17">
        <f t="shared" ca="1" si="227"/>
        <v>0</v>
      </c>
      <c r="CY269" s="657">
        <v>14</v>
      </c>
      <c r="CZ269" s="17" t="str">
        <f t="shared" si="215"/>
        <v>lenvatinib_plus_everolimus</v>
      </c>
      <c r="DA269" s="17">
        <f t="shared" si="216"/>
        <v>9</v>
      </c>
      <c r="DB269" s="17">
        <f t="shared" si="217"/>
        <v>2</v>
      </c>
      <c r="DC269" s="17" t="str">
        <f>"G3+ "&amp;$D$43</f>
        <v>G3+ Leukopenia</v>
      </c>
      <c r="DD269" s="17">
        <f t="shared" ca="1" si="218"/>
        <v>0</v>
      </c>
      <c r="DE269" s="956">
        <f t="shared" ca="1" si="219"/>
        <v>33.046428571428571</v>
      </c>
      <c r="DG269" s="1008">
        <f t="shared" si="220"/>
        <v>0</v>
      </c>
      <c r="DH269" s="1009">
        <f t="shared" si="221"/>
        <v>-0.1</v>
      </c>
      <c r="DI269" s="1007">
        <f t="shared" si="197"/>
        <v>3</v>
      </c>
    </row>
    <row r="270" spans="79:113" x14ac:dyDescent="0.2">
      <c r="CA270" s="17" t="str" cm="1">
        <f t="array" ref="CA270">INDEX(List_comparators,CB270+1)</f>
        <v>lenvatinib_plus_everolimus</v>
      </c>
      <c r="CB270" s="17">
        <v>9</v>
      </c>
      <c r="CC270" s="17">
        <v>2</v>
      </c>
      <c r="CD270" s="17"/>
      <c r="CE270" s="17"/>
      <c r="CF270" s="17"/>
      <c r="CG270" s="17"/>
      <c r="CH270" s="17"/>
      <c r="CI270" s="17"/>
      <c r="CJ270" s="17"/>
      <c r="CK270" s="17"/>
      <c r="CL270" s="17" t="str">
        <v>Increase in lipase</v>
      </c>
      <c r="CM270" s="17">
        <v>12</v>
      </c>
      <c r="CN270" s="17">
        <v>0</v>
      </c>
      <c r="CO270" s="17">
        <f t="shared" ca="1" si="214"/>
        <v>0</v>
      </c>
      <c r="CP270" s="17"/>
      <c r="CQ270" s="17">
        <f t="shared" ca="1" si="224"/>
        <v>1685.367857142857</v>
      </c>
      <c r="CR270" s="17">
        <v>0</v>
      </c>
      <c r="CS270" s="17">
        <f t="shared" ca="1" si="225"/>
        <v>0</v>
      </c>
      <c r="CT270" s="17" t="str">
        <f t="shared" si="222"/>
        <v>one-off</v>
      </c>
      <c r="CU270" s="17" t="str">
        <f t="shared" si="223"/>
        <v>Yes</v>
      </c>
      <c r="CV270" s="17">
        <f t="shared" ca="1" si="226"/>
        <v>1.601</v>
      </c>
      <c r="CW270" s="17">
        <f t="shared" ca="1" si="227"/>
        <v>0</v>
      </c>
      <c r="CY270" s="657">
        <v>15</v>
      </c>
      <c r="CZ270" s="17" t="str">
        <f t="shared" si="215"/>
        <v>lenvatinib_plus_everolimus</v>
      </c>
      <c r="DA270" s="17">
        <f t="shared" si="216"/>
        <v>9</v>
      </c>
      <c r="DB270" s="17">
        <f t="shared" si="217"/>
        <v>2</v>
      </c>
      <c r="DC270" s="17" t="str">
        <f>"G3+ "&amp;$D$44</f>
        <v>G3+ Lymphopenia</v>
      </c>
      <c r="DD270" s="17">
        <f t="shared" ca="1" si="218"/>
        <v>0</v>
      </c>
      <c r="DE270" s="956">
        <f t="shared" ca="1" si="219"/>
        <v>33.046428571428571</v>
      </c>
      <c r="DG270" s="1008">
        <f t="shared" si="220"/>
        <v>679.97</v>
      </c>
      <c r="DH270" s="1009">
        <f t="shared" si="221"/>
        <v>-0.1</v>
      </c>
      <c r="DI270" s="1007">
        <f t="shared" si="197"/>
        <v>3</v>
      </c>
    </row>
    <row r="271" spans="79:113" x14ac:dyDescent="0.2">
      <c r="CA271" s="17" t="str" cm="1">
        <f t="array" ref="CA271">INDEX(List_comparators,CB271+1)</f>
        <v>lenvatinib_plus_everolimus</v>
      </c>
      <c r="CB271" s="17">
        <v>9</v>
      </c>
      <c r="CC271" s="17">
        <v>2</v>
      </c>
      <c r="CD271" s="17"/>
      <c r="CE271" s="17"/>
      <c r="CF271" s="17"/>
      <c r="CG271" s="17"/>
      <c r="CH271" s="17"/>
      <c r="CI271" s="17"/>
      <c r="CJ271" s="17"/>
      <c r="CK271" s="17"/>
      <c r="CL271" s="17" t="str">
        <v>Increased AST</v>
      </c>
      <c r="CM271" s="17">
        <v>13</v>
      </c>
      <c r="CN271" s="17">
        <v>0</v>
      </c>
      <c r="CO271" s="17">
        <f t="shared" ca="1" si="214"/>
        <v>0</v>
      </c>
      <c r="CP271" s="17"/>
      <c r="CQ271" s="17">
        <f t="shared" ca="1" si="224"/>
        <v>1685.367857142857</v>
      </c>
      <c r="CR271" s="17">
        <v>0</v>
      </c>
      <c r="CS271" s="17">
        <f t="shared" ca="1" si="225"/>
        <v>0</v>
      </c>
      <c r="CT271" s="17" t="str">
        <f t="shared" si="222"/>
        <v>one-off</v>
      </c>
      <c r="CU271" s="17" t="str">
        <f t="shared" si="223"/>
        <v>Yes</v>
      </c>
      <c r="CV271" s="17">
        <f t="shared" ca="1" si="226"/>
        <v>1.601</v>
      </c>
      <c r="CW271" s="17">
        <f t="shared" ca="1" si="227"/>
        <v>0</v>
      </c>
      <c r="CY271" s="657">
        <v>16</v>
      </c>
      <c r="CZ271" s="17" t="str">
        <f t="shared" si="215"/>
        <v>lenvatinib_plus_everolimus</v>
      </c>
      <c r="DA271" s="17">
        <f t="shared" si="216"/>
        <v>9</v>
      </c>
      <c r="DB271" s="17">
        <f t="shared" si="217"/>
        <v>2</v>
      </c>
      <c r="DC271" s="17" t="str">
        <f>"G3+ "&amp;$D$45</f>
        <v>G3+ Nausea</v>
      </c>
      <c r="DD271" s="17">
        <f t="shared" ca="1" si="218"/>
        <v>0</v>
      </c>
      <c r="DE271" s="956">
        <f t="shared" ca="1" si="219"/>
        <v>33.046428571428571</v>
      </c>
      <c r="DG271" s="1008">
        <f t="shared" si="220"/>
        <v>801.11</v>
      </c>
      <c r="DH271" s="1009">
        <f t="shared" si="221"/>
        <v>-0.1</v>
      </c>
      <c r="DI271" s="1007">
        <f t="shared" si="197"/>
        <v>3</v>
      </c>
    </row>
    <row r="272" spans="79:113" x14ac:dyDescent="0.2">
      <c r="CA272" s="17" t="str" cm="1">
        <f t="array" ref="CA272">INDEX(List_comparators,CB272+1)</f>
        <v>lenvatinib_plus_everolimus</v>
      </c>
      <c r="CB272" s="17">
        <v>9</v>
      </c>
      <c r="CC272" s="17">
        <v>2</v>
      </c>
      <c r="CD272" s="17"/>
      <c r="CE272" s="17"/>
      <c r="CF272" s="17"/>
      <c r="CG272" s="17"/>
      <c r="CH272" s="17"/>
      <c r="CI272" s="17"/>
      <c r="CJ272" s="17"/>
      <c r="CK272" s="17"/>
      <c r="CL272" s="17" t="str">
        <v>Leukopenia</v>
      </c>
      <c r="CM272" s="17">
        <v>14</v>
      </c>
      <c r="CN272" s="17">
        <v>0</v>
      </c>
      <c r="CO272" s="17">
        <f t="shared" ca="1" si="214"/>
        <v>0</v>
      </c>
      <c r="CP272" s="17"/>
      <c r="CQ272" s="17">
        <f t="shared" ca="1" si="224"/>
        <v>1685.367857142857</v>
      </c>
      <c r="CR272" s="17">
        <v>0</v>
      </c>
      <c r="CS272" s="17">
        <f t="shared" ca="1" si="225"/>
        <v>0</v>
      </c>
      <c r="CT272" s="17" t="str">
        <f t="shared" si="222"/>
        <v>one-off</v>
      </c>
      <c r="CU272" s="17" t="str">
        <f t="shared" si="223"/>
        <v>Yes</v>
      </c>
      <c r="CV272" s="17">
        <f t="shared" ca="1" si="226"/>
        <v>1.601</v>
      </c>
      <c r="CW272" s="17">
        <f t="shared" ca="1" si="227"/>
        <v>0</v>
      </c>
      <c r="CY272" s="657">
        <v>17</v>
      </c>
      <c r="CZ272" s="17" t="str">
        <f t="shared" si="215"/>
        <v>lenvatinib_plus_everolimus</v>
      </c>
      <c r="DA272" s="17">
        <f t="shared" si="216"/>
        <v>9</v>
      </c>
      <c r="DB272" s="17">
        <f t="shared" si="217"/>
        <v>2</v>
      </c>
      <c r="DC272" s="17" t="str">
        <f>"G3+ "&amp;$D$46</f>
        <v>G3+ Neutropenia</v>
      </c>
      <c r="DD272" s="17">
        <f t="shared" ca="1" si="218"/>
        <v>0</v>
      </c>
      <c r="DE272" s="956">
        <f t="shared" ca="1" si="219"/>
        <v>33.046428571428571</v>
      </c>
      <c r="DG272" s="1008">
        <f t="shared" si="220"/>
        <v>655.75</v>
      </c>
      <c r="DH272" s="1009">
        <f t="shared" si="221"/>
        <v>-0.1</v>
      </c>
      <c r="DI272" s="1007">
        <f t="shared" si="197"/>
        <v>3</v>
      </c>
    </row>
    <row r="273" spans="79:113" x14ac:dyDescent="0.2">
      <c r="CA273" s="17" t="str" cm="1">
        <f t="array" ref="CA273">INDEX(List_comparators,CB273+1)</f>
        <v>lenvatinib_plus_everolimus</v>
      </c>
      <c r="CB273" s="17">
        <v>9</v>
      </c>
      <c r="CC273" s="17">
        <v>2</v>
      </c>
      <c r="CD273" s="17"/>
      <c r="CE273" s="17"/>
      <c r="CF273" s="17"/>
      <c r="CG273" s="17"/>
      <c r="CH273" s="17"/>
      <c r="CI273" s="17"/>
      <c r="CJ273" s="17"/>
      <c r="CK273" s="17"/>
      <c r="CL273" s="17" t="str">
        <v>Lymphopenia</v>
      </c>
      <c r="CM273" s="17">
        <v>15</v>
      </c>
      <c r="CN273" s="17">
        <v>0</v>
      </c>
      <c r="CO273" s="17">
        <f t="shared" ca="1" si="214"/>
        <v>0</v>
      </c>
      <c r="CP273" s="17"/>
      <c r="CQ273" s="17">
        <f t="shared" ca="1" si="224"/>
        <v>1685.367857142857</v>
      </c>
      <c r="CR273" s="17">
        <v>0</v>
      </c>
      <c r="CS273" s="17">
        <f t="shared" ca="1" si="225"/>
        <v>0</v>
      </c>
      <c r="CT273" s="17" t="str">
        <f t="shared" si="222"/>
        <v>one-off</v>
      </c>
      <c r="CU273" s="17" t="str">
        <f t="shared" si="223"/>
        <v>Yes</v>
      </c>
      <c r="CV273" s="17">
        <f t="shared" ca="1" si="226"/>
        <v>1.601</v>
      </c>
      <c r="CW273" s="17">
        <f t="shared" ca="1" si="227"/>
        <v>0</v>
      </c>
      <c r="CY273" s="657">
        <v>18</v>
      </c>
      <c r="CZ273" s="17" t="str">
        <f t="shared" si="215"/>
        <v>lenvatinib_plus_everolimus</v>
      </c>
      <c r="DA273" s="17">
        <f t="shared" si="216"/>
        <v>9</v>
      </c>
      <c r="DB273" s="17">
        <f t="shared" si="217"/>
        <v>2</v>
      </c>
      <c r="DC273" s="17" t="str">
        <f>"G3+ "&amp;$D$47</f>
        <v>G3+ Platelets count decreased</v>
      </c>
      <c r="DD273" s="17">
        <f t="shared" ca="1" si="218"/>
        <v>0</v>
      </c>
      <c r="DE273" s="956">
        <f t="shared" ca="1" si="219"/>
        <v>33.046428571428571</v>
      </c>
      <c r="DG273" s="1008">
        <f t="shared" si="220"/>
        <v>801.11</v>
      </c>
      <c r="DH273" s="1009">
        <f t="shared" si="221"/>
        <v>-0.1</v>
      </c>
      <c r="DI273" s="1007">
        <f t="shared" si="197"/>
        <v>3</v>
      </c>
    </row>
    <row r="274" spans="79:113" x14ac:dyDescent="0.2">
      <c r="CA274" s="17" t="str" cm="1">
        <f t="array" ref="CA274">INDEX(List_comparators,CB274+1)</f>
        <v>lenvatinib_plus_everolimus</v>
      </c>
      <c r="CB274" s="17">
        <v>9</v>
      </c>
      <c r="CC274" s="17">
        <v>2</v>
      </c>
      <c r="CD274" s="17"/>
      <c r="CE274" s="17"/>
      <c r="CF274" s="17"/>
      <c r="CG274" s="17"/>
      <c r="CH274" s="17"/>
      <c r="CI274" s="17"/>
      <c r="CJ274" s="17"/>
      <c r="CK274" s="17"/>
      <c r="CL274" s="17" t="str">
        <v>Nausea</v>
      </c>
      <c r="CM274" s="17">
        <v>16</v>
      </c>
      <c r="CN274" s="17">
        <v>0</v>
      </c>
      <c r="CO274" s="17">
        <f t="shared" ca="1" si="214"/>
        <v>3</v>
      </c>
      <c r="CP274" s="17"/>
      <c r="CQ274" s="17">
        <f t="shared" ca="1" si="224"/>
        <v>1685.367857142857</v>
      </c>
      <c r="CR274" s="17">
        <v>0</v>
      </c>
      <c r="CS274" s="17">
        <f t="shared" ca="1" si="225"/>
        <v>1.7800268275471867E-3</v>
      </c>
      <c r="CT274" s="17" t="str">
        <f t="shared" si="222"/>
        <v>one-off</v>
      </c>
      <c r="CU274" s="17" t="str">
        <f t="shared" si="223"/>
        <v>Yes</v>
      </c>
      <c r="CV274" s="17">
        <f t="shared" ca="1" si="226"/>
        <v>1.601</v>
      </c>
      <c r="CW274" s="17">
        <f t="shared" ca="1" si="227"/>
        <v>0</v>
      </c>
      <c r="CY274" s="657">
        <v>19</v>
      </c>
      <c r="CZ274" s="17" t="str">
        <f t="shared" si="215"/>
        <v>lenvatinib_plus_everolimus</v>
      </c>
      <c r="DA274" s="17">
        <f t="shared" si="216"/>
        <v>9</v>
      </c>
      <c r="DB274" s="17">
        <f t="shared" si="217"/>
        <v>2</v>
      </c>
      <c r="DC274" s="17" t="str">
        <f>"G3+ "&amp;$D$48</f>
        <v>G3+ Proteinuria</v>
      </c>
      <c r="DD274" s="17">
        <f t="shared" ca="1" si="218"/>
        <v>0</v>
      </c>
      <c r="DE274" s="956">
        <f t="shared" ca="1" si="219"/>
        <v>33.046428571428571</v>
      </c>
      <c r="DG274" s="1008">
        <f t="shared" si="220"/>
        <v>220.87</v>
      </c>
      <c r="DH274" s="1009">
        <f t="shared" si="221"/>
        <v>-0.1</v>
      </c>
      <c r="DI274" s="1007">
        <f t="shared" si="197"/>
        <v>3</v>
      </c>
    </row>
    <row r="275" spans="79:113" x14ac:dyDescent="0.2">
      <c r="CA275" s="17" t="str" cm="1">
        <f t="array" ref="CA275">INDEX(List_comparators,CB275+1)</f>
        <v>lenvatinib_plus_everolimus</v>
      </c>
      <c r="CB275" s="17">
        <v>9</v>
      </c>
      <c r="CC275" s="17">
        <v>2</v>
      </c>
      <c r="CD275" s="17"/>
      <c r="CE275" s="17"/>
      <c r="CF275" s="17"/>
      <c r="CG275" s="17"/>
      <c r="CH275" s="17"/>
      <c r="CI275" s="17"/>
      <c r="CJ275" s="17"/>
      <c r="CK275" s="17"/>
      <c r="CL275" s="17" t="str">
        <v>Neutropenia</v>
      </c>
      <c r="CM275" s="17">
        <v>17</v>
      </c>
      <c r="CN275" s="17">
        <v>0</v>
      </c>
      <c r="CO275" s="17">
        <f t="shared" ca="1" si="214"/>
        <v>0</v>
      </c>
      <c r="CP275" s="17"/>
      <c r="CQ275" s="17">
        <f t="shared" ca="1" si="224"/>
        <v>1685.367857142857</v>
      </c>
      <c r="CR275" s="17">
        <v>0</v>
      </c>
      <c r="CS275" s="17">
        <f t="shared" ca="1" si="225"/>
        <v>0</v>
      </c>
      <c r="CT275" s="17" t="str">
        <f t="shared" si="222"/>
        <v>one-off</v>
      </c>
      <c r="CU275" s="17" t="str">
        <f t="shared" si="223"/>
        <v>Yes</v>
      </c>
      <c r="CV275" s="17">
        <f t="shared" ca="1" si="226"/>
        <v>1.601</v>
      </c>
      <c r="CW275" s="17">
        <f t="shared" ca="1" si="227"/>
        <v>0</v>
      </c>
      <c r="CY275" s="657">
        <v>20</v>
      </c>
      <c r="CZ275" s="17" t="str">
        <f t="shared" si="215"/>
        <v>lenvatinib_plus_everolimus</v>
      </c>
      <c r="DA275" s="17">
        <f t="shared" si="216"/>
        <v>9</v>
      </c>
      <c r="DB275" s="17">
        <f t="shared" si="217"/>
        <v>2</v>
      </c>
      <c r="DC275" s="17" t="str">
        <f>"G3+ "&amp;$D$49</f>
        <v>G3+ Stomatitis</v>
      </c>
      <c r="DD275" s="17">
        <f t="shared" ca="1" si="218"/>
        <v>0</v>
      </c>
      <c r="DE275" s="956">
        <f t="shared" ca="1" si="219"/>
        <v>33.046428571428571</v>
      </c>
      <c r="DG275" s="1008">
        <f t="shared" si="220"/>
        <v>801.11</v>
      </c>
      <c r="DH275" s="1009">
        <f t="shared" si="221"/>
        <v>-0.1</v>
      </c>
      <c r="DI275" s="1007">
        <f t="shared" si="197"/>
        <v>3</v>
      </c>
    </row>
    <row r="276" spans="79:113" x14ac:dyDescent="0.2">
      <c r="CA276" s="17" t="str" cm="1">
        <f t="array" ref="CA276">INDEX(List_comparators,CB276+1)</f>
        <v>lenvatinib_plus_everolimus</v>
      </c>
      <c r="CB276" s="17">
        <v>9</v>
      </c>
      <c r="CC276" s="17">
        <v>2</v>
      </c>
      <c r="CD276" s="17"/>
      <c r="CE276" s="17"/>
      <c r="CF276" s="17"/>
      <c r="CG276" s="17"/>
      <c r="CH276" s="17"/>
      <c r="CI276" s="17"/>
      <c r="CJ276" s="17"/>
      <c r="CK276" s="17"/>
      <c r="CL276" s="17" t="str">
        <v>Platelets count decreased</v>
      </c>
      <c r="CM276" s="17">
        <v>18</v>
      </c>
      <c r="CN276" s="17">
        <v>0</v>
      </c>
      <c r="CO276" s="17">
        <f t="shared" ca="1" si="214"/>
        <v>0</v>
      </c>
      <c r="CP276" s="17"/>
      <c r="CQ276" s="17">
        <f t="shared" ca="1" si="224"/>
        <v>1685.367857142857</v>
      </c>
      <c r="CR276" s="17">
        <v>0</v>
      </c>
      <c r="CS276" s="17">
        <f t="shared" ca="1" si="225"/>
        <v>0</v>
      </c>
      <c r="CT276" s="17" t="str">
        <f t="shared" si="222"/>
        <v>one-off</v>
      </c>
      <c r="CU276" s="17" t="str">
        <f t="shared" si="223"/>
        <v>Yes</v>
      </c>
      <c r="CV276" s="17">
        <f t="shared" ca="1" si="226"/>
        <v>1.601</v>
      </c>
      <c r="CW276" s="17">
        <f t="shared" ca="1" si="227"/>
        <v>0</v>
      </c>
      <c r="CY276" s="657">
        <v>21</v>
      </c>
      <c r="CZ276" s="17" t="str">
        <f t="shared" si="215"/>
        <v>lenvatinib_plus_everolimus</v>
      </c>
      <c r="DA276" s="17">
        <f t="shared" si="216"/>
        <v>9</v>
      </c>
      <c r="DB276" s="17">
        <f t="shared" si="217"/>
        <v>2</v>
      </c>
      <c r="DC276" s="17" t="str">
        <f>"G3+ "&amp;$D$50</f>
        <v>G3+ Vomiting</v>
      </c>
      <c r="DD276" s="17">
        <f t="shared" ca="1" si="218"/>
        <v>0</v>
      </c>
      <c r="DE276" s="956">
        <f t="shared" ca="1" si="219"/>
        <v>33.046428571428571</v>
      </c>
      <c r="DG276" s="1008">
        <f t="shared" si="220"/>
        <v>801.11</v>
      </c>
      <c r="DH276" s="1009">
        <f t="shared" si="221"/>
        <v>-0.1</v>
      </c>
      <c r="DI276" s="1007">
        <f t="shared" si="197"/>
        <v>3</v>
      </c>
    </row>
    <row r="277" spans="79:113" x14ac:dyDescent="0.2">
      <c r="CA277" s="17" t="str" cm="1">
        <f t="array" ref="CA277">INDEX(List_comparators,CB277+1)</f>
        <v>lenvatinib_plus_everolimus</v>
      </c>
      <c r="CB277" s="17">
        <v>9</v>
      </c>
      <c r="CC277" s="17">
        <v>2</v>
      </c>
      <c r="CD277" s="17"/>
      <c r="CE277" s="17"/>
      <c r="CF277" s="17"/>
      <c r="CG277" s="17"/>
      <c r="CH277" s="17"/>
      <c r="CI277" s="17"/>
      <c r="CJ277" s="17"/>
      <c r="CK277" s="17"/>
      <c r="CL277" s="17" t="str">
        <v>Proteinuria</v>
      </c>
      <c r="CM277" s="17">
        <v>19</v>
      </c>
      <c r="CN277" s="17">
        <v>0</v>
      </c>
      <c r="CO277" s="17">
        <f t="shared" ca="1" si="214"/>
        <v>0</v>
      </c>
      <c r="CP277" s="17"/>
      <c r="CQ277" s="17">
        <f t="shared" ca="1" si="224"/>
        <v>1685.367857142857</v>
      </c>
      <c r="CR277" s="17">
        <v>0</v>
      </c>
      <c r="CS277" s="17">
        <f t="shared" ca="1" si="225"/>
        <v>0</v>
      </c>
      <c r="CT277" s="17" t="str">
        <f t="shared" si="222"/>
        <v>one-off</v>
      </c>
      <c r="CU277" s="17" t="str">
        <f t="shared" si="223"/>
        <v>Yes</v>
      </c>
      <c r="CV277" s="17">
        <f t="shared" ca="1" si="226"/>
        <v>1.601</v>
      </c>
      <c r="CW277" s="17">
        <f t="shared" ca="1" si="227"/>
        <v>0</v>
      </c>
      <c r="CY277" s="657">
        <v>22</v>
      </c>
      <c r="CZ277" s="17" t="str">
        <f t="shared" si="215"/>
        <v>lenvatinib_plus_everolimus</v>
      </c>
      <c r="DA277" s="17">
        <f t="shared" si="216"/>
        <v>9</v>
      </c>
      <c r="DB277" s="17">
        <f t="shared" si="217"/>
        <v>2</v>
      </c>
      <c r="DC277" s="17" t="str">
        <f>"G3+ "&amp;$D$51</f>
        <v>G3+ Weight loss</v>
      </c>
      <c r="DD277" s="17">
        <f t="shared" ca="1" si="218"/>
        <v>0</v>
      </c>
      <c r="DE277" s="956">
        <f t="shared" ca="1" si="219"/>
        <v>33.046428571428571</v>
      </c>
      <c r="DG277" s="1008">
        <f t="shared" si="220"/>
        <v>801.11</v>
      </c>
      <c r="DH277" s="1009">
        <f t="shared" si="221"/>
        <v>-0.1</v>
      </c>
      <c r="DI277" s="1007">
        <f t="shared" si="197"/>
        <v>3</v>
      </c>
    </row>
    <row r="278" spans="79:113" x14ac:dyDescent="0.2">
      <c r="CA278" s="17" t="str" cm="1">
        <f t="array" ref="CA278">INDEX(List_comparators,CB278+1)</f>
        <v>lenvatinib_plus_everolimus</v>
      </c>
      <c r="CB278" s="17">
        <v>9</v>
      </c>
      <c r="CC278" s="17">
        <v>2</v>
      </c>
      <c r="CD278" s="17"/>
      <c r="CE278" s="17"/>
      <c r="CF278" s="17"/>
      <c r="CG278" s="17"/>
      <c r="CH278" s="17"/>
      <c r="CI278" s="17"/>
      <c r="CJ278" s="17"/>
      <c r="CK278" s="17"/>
      <c r="CL278" s="17" t="str">
        <v>Stomatitis</v>
      </c>
      <c r="CM278" s="17">
        <v>20</v>
      </c>
      <c r="CN278" s="17">
        <v>0</v>
      </c>
      <c r="CO278" s="17">
        <f t="shared" ca="1" si="214"/>
        <v>0</v>
      </c>
      <c r="CP278" s="17"/>
      <c r="CQ278" s="17">
        <f t="shared" ca="1" si="224"/>
        <v>1685.367857142857</v>
      </c>
      <c r="CR278" s="17">
        <v>0</v>
      </c>
      <c r="CS278" s="17">
        <f t="shared" ca="1" si="225"/>
        <v>0</v>
      </c>
      <c r="CT278" s="17" t="str">
        <f t="shared" si="222"/>
        <v>one-off</v>
      </c>
      <c r="CU278" s="17" t="str">
        <f t="shared" si="223"/>
        <v>Yes</v>
      </c>
      <c r="CV278" s="17">
        <f t="shared" ca="1" si="226"/>
        <v>1.601</v>
      </c>
      <c r="CW278" s="17">
        <f t="shared" ca="1" si="227"/>
        <v>0</v>
      </c>
      <c r="CY278" s="657">
        <v>1</v>
      </c>
      <c r="CZ278" s="17" t="str">
        <f t="shared" ref="CZ278:DB280" si="228">CA277</f>
        <v>lenvatinib_plus_everolimus</v>
      </c>
      <c r="DA278" s="17">
        <f t="shared" si="228"/>
        <v>9</v>
      </c>
      <c r="DB278" s="17">
        <f t="shared" si="228"/>
        <v>2</v>
      </c>
      <c r="DC278" s="17" t="str">
        <f>"G1&amp;2 "&amp;$D$18</f>
        <v>G1&amp;2 Diarrhoea</v>
      </c>
      <c r="DD278" s="17">
        <f ca="1">CHOOSE(i_AE_NMA_option_num,OFFSET($S$86,$CY278-1,$DA278),OFFSET($AG$18,$CY278-1,$DA278))</f>
        <v>4.2685043324581548E-2</v>
      </c>
      <c r="DE278" s="956">
        <f ca="1">OFFSET($S$18,$CY278-1,$DA278)/INDEX($DT$14:$DT$27,MATCH(DA278,$DR$14:$DR$27,0))</f>
        <v>33.046428571428571</v>
      </c>
      <c r="DG278" s="1008">
        <f t="shared" si="220"/>
        <v>220.87</v>
      </c>
      <c r="DH278" s="1009">
        <f t="shared" si="221"/>
        <v>-0.05</v>
      </c>
      <c r="DI278" s="1007">
        <f t="shared" si="197"/>
        <v>3</v>
      </c>
    </row>
    <row r="279" spans="79:113" ht="15.75" thickBot="1" x14ac:dyDescent="0.25">
      <c r="CA279" s="622" t="str" cm="1">
        <f t="array" ref="CA279">INDEX(List_comparators,CB279+1)</f>
        <v>lenvatinib_plus_everolimus</v>
      </c>
      <c r="CB279" s="622">
        <v>9</v>
      </c>
      <c r="CC279" s="622">
        <v>2</v>
      </c>
      <c r="CD279" s="622"/>
      <c r="CE279" s="622"/>
      <c r="CF279" s="622"/>
      <c r="CG279" s="622"/>
      <c r="CH279" s="622"/>
      <c r="CI279" s="622"/>
      <c r="CJ279" s="622"/>
      <c r="CK279" s="622"/>
      <c r="CL279" s="622" t="str">
        <v>Vomiting</v>
      </c>
      <c r="CM279" s="622">
        <v>21</v>
      </c>
      <c r="CN279" s="622">
        <v>0</v>
      </c>
      <c r="CO279" s="622">
        <f t="shared" ca="1" si="214"/>
        <v>3</v>
      </c>
      <c r="CP279" s="622"/>
      <c r="CQ279" s="622">
        <f t="shared" ca="1" si="224"/>
        <v>1685.367857142857</v>
      </c>
      <c r="CR279" s="622">
        <v>0</v>
      </c>
      <c r="CS279" s="622">
        <f t="shared" ca="1" si="225"/>
        <v>1.7800268275471867E-3</v>
      </c>
      <c r="CT279" s="622" t="str">
        <f t="shared" si="222"/>
        <v>one-off</v>
      </c>
      <c r="CU279" s="622" t="str">
        <f t="shared" si="223"/>
        <v>Yes</v>
      </c>
      <c r="CV279" s="622">
        <f t="shared" ca="1" si="226"/>
        <v>1.601</v>
      </c>
      <c r="CW279" s="622">
        <f t="shared" ca="1" si="227"/>
        <v>0</v>
      </c>
      <c r="CY279" s="657">
        <v>2</v>
      </c>
      <c r="CZ279" s="17" t="str">
        <f t="shared" si="228"/>
        <v>lenvatinib_plus_everolimus</v>
      </c>
      <c r="DA279" s="17">
        <f t="shared" si="228"/>
        <v>9</v>
      </c>
      <c r="DB279" s="17">
        <f t="shared" si="228"/>
        <v>2</v>
      </c>
      <c r="DC279" s="17" t="str">
        <f>"G1&amp;2 "&amp;$D$19</f>
        <v>G1&amp;2 Fatigue</v>
      </c>
      <c r="DD279" s="17">
        <f ca="1">CHOOSE(i_AE_NMA_option_num,OFFSET($S$86,$CY279-1,$DA279),OFFSET($AG$18,$CY279-1,$DA279))</f>
        <v>2.3472620432588905E-2</v>
      </c>
      <c r="DE279" s="956">
        <f ca="1">OFFSET($S$18,$CY278-1,$DA279)/INDEX($DT$14:$DT$27,MATCH(DA279,$DR$14:$DR$27,0))</f>
        <v>33.046428571428571</v>
      </c>
      <c r="DG279" s="1008">
        <f t="shared" si="220"/>
        <v>441.74</v>
      </c>
      <c r="DH279" s="1009">
        <f t="shared" si="221"/>
        <v>-0.05</v>
      </c>
      <c r="DI279" s="1007">
        <f t="shared" si="197"/>
        <v>3</v>
      </c>
    </row>
    <row r="280" spans="79:113" ht="15.75" thickTop="1" x14ac:dyDescent="0.2">
      <c r="CA280" s="17"/>
      <c r="CB280" s="17"/>
      <c r="CC280" s="17"/>
      <c r="CD280" s="17"/>
      <c r="CE280" s="17"/>
      <c r="CF280" s="17"/>
      <c r="CG280" s="17"/>
      <c r="CH280" s="17"/>
      <c r="CI280" s="17"/>
      <c r="CJ280" s="17"/>
      <c r="CK280" s="17"/>
      <c r="CL280" s="17" t="str">
        <v>Weight loss</v>
      </c>
      <c r="CM280" s="17"/>
      <c r="CN280" s="17"/>
      <c r="CO280" s="17"/>
      <c r="CP280" s="17"/>
      <c r="CQ280" s="17"/>
      <c r="CR280" s="17"/>
      <c r="CS280" s="17"/>
      <c r="CT280" s="17"/>
      <c r="CU280" s="17"/>
      <c r="CV280" s="17"/>
      <c r="CW280" s="17"/>
      <c r="CY280" s="657">
        <v>3</v>
      </c>
      <c r="CZ280" s="17" t="str">
        <f t="shared" si="228"/>
        <v>lenvatinib_plus_everolimus</v>
      </c>
      <c r="DA280" s="17">
        <f t="shared" si="228"/>
        <v>9</v>
      </c>
      <c r="DB280" s="17">
        <f t="shared" si="228"/>
        <v>2</v>
      </c>
      <c r="DC280" s="17" t="str">
        <f>"G1&amp;2 "&amp;$D$20</f>
        <v>G1&amp;2 Palmar-plantar erythrodysaesthesia syndrome</v>
      </c>
      <c r="DD280" s="17">
        <f ca="1">CHOOSE(i_AE_NMA_option_num,OFFSET($S$86,$CY280-1,$DA280),OFFSET($AG$18,$CY280-1,$DA280))</f>
        <v>1.756293136513224E-3</v>
      </c>
      <c r="DE280" s="956">
        <f ca="1">OFFSET($S$18,$CY279-1,$DA280)/INDEX($DT$14:$DT$27,MATCH(DA280,$DR$14:$DR$27,0))</f>
        <v>33.046428571428571</v>
      </c>
      <c r="DG280" s="1008">
        <f t="shared" si="220"/>
        <v>441.74</v>
      </c>
      <c r="DH280" s="1009">
        <f t="shared" si="221"/>
        <v>-0.05</v>
      </c>
      <c r="DI280" s="1007">
        <f t="shared" si="197"/>
        <v>3</v>
      </c>
    </row>
    <row r="281" spans="79:113" x14ac:dyDescent="0.2">
      <c r="CA281" s="17" t="str" cm="1">
        <f t="array" ref="CA281">INDEX(List_comparators,CB281+1)</f>
        <v>everolimus</v>
      </c>
      <c r="CB281" s="17">
        <v>10</v>
      </c>
      <c r="CC281" s="17">
        <v>2</v>
      </c>
      <c r="CD281" s="17">
        <f ca="1">OFFSET($E$16,0,CB281)</f>
        <v>397</v>
      </c>
      <c r="CE281" s="17">
        <f ca="1">OFFSET($E$28,0,CB281)</f>
        <v>397</v>
      </c>
      <c r="CF281" s="17">
        <f ca="1">OFFSET($S$16,0,CB281)</f>
        <v>6387.0919642857143</v>
      </c>
      <c r="CG281" s="17">
        <f ca="1">OFFSET($S$28,0,CB281)</f>
        <v>6387.0919642857143</v>
      </c>
      <c r="CH281" s="17">
        <f ca="1">OFFSET($AG$16,0,CB281)</f>
        <v>6.2156612464620675E-2</v>
      </c>
      <c r="CI281" s="17">
        <f ca="1">OFFSET($AG$28,0,CB281)</f>
        <v>6.2156612464620675E-2</v>
      </c>
      <c r="CJ281" s="583">
        <f>$CJ$6</f>
        <v>3</v>
      </c>
      <c r="CK281" s="583">
        <f>$CK$6</f>
        <v>0.6</v>
      </c>
      <c r="CL281" s="17" t="str" cm="1">
        <f t="array" ref="CL281:CL283">List_AEs_all_grade</f>
        <v>Diarrhoea</v>
      </c>
      <c r="CM281" s="17">
        <v>1</v>
      </c>
      <c r="CN281" s="17">
        <f ca="1">OFFSET($E$18,$CM281-1,$CB281)</f>
        <v>84</v>
      </c>
      <c r="CO281" s="17">
        <f t="shared" ca="1" si="214"/>
        <v>0</v>
      </c>
      <c r="CP281" s="17">
        <f ca="1">OFFSET($S$18,$CM281-1,$CB281)</f>
        <v>6387.0919642857143</v>
      </c>
      <c r="CQ281" s="17">
        <v>0</v>
      </c>
      <c r="CR281" s="17">
        <f ca="1">OFFSET($AG$18,$CM281-1,$CB281)</f>
        <v>1.2368696183136105E-2</v>
      </c>
      <c r="CS281" s="17">
        <v>0</v>
      </c>
      <c r="CT281" s="17" t="str">
        <f>dd_apply_AE_options</f>
        <v>one-off</v>
      </c>
      <c r="CU281" s="17" t="str">
        <f>$CU$6</f>
        <v>Yes</v>
      </c>
      <c r="CV281" s="17">
        <f ca="1">OFFSET($E$86,$CM281-1,$CB281)</f>
        <v>0.18</v>
      </c>
      <c r="CW281" s="17">
        <f ca="1">OFFSET($S$86,$CM281-1,$CB281)</f>
        <v>2.226365312964499E-3</v>
      </c>
      <c r="CY281" s="657">
        <v>1</v>
      </c>
      <c r="CZ281" s="17" t="str">
        <f t="shared" ref="CZ281:CZ302" si="229">CA281</f>
        <v>everolimus</v>
      </c>
      <c r="DA281" s="17">
        <f t="shared" ref="DA281:DA302" si="230">CB281</f>
        <v>10</v>
      </c>
      <c r="DB281" s="17">
        <f t="shared" ref="DB281:DB302" si="231">CC281</f>
        <v>2</v>
      </c>
      <c r="DC281" s="17" t="str">
        <f>"G3+ "&amp;$D$30</f>
        <v>G3+ ALT increased</v>
      </c>
      <c r="DD281" s="17">
        <f t="shared" ref="DD281:DD302" ca="1" si="232">CHOOSE(i_AE_NMA_option_num,OFFSET($S$63,$CY281-1,$DA281),OFFSET($AG$30,$CY281-1,$DA281))</f>
        <v>0</v>
      </c>
      <c r="DE281" s="956">
        <f t="shared" ref="DE281:DE302" ca="1" si="233">OFFSET($S$30,$CY281-1,$DA281)/INDEX($DS$14:$DS$27,MATCH(DA281,$DR$14:$DR$27,0))</f>
        <v>16.088392857142857</v>
      </c>
      <c r="DG281" s="1008">
        <f>$DG256</f>
        <v>0</v>
      </c>
      <c r="DH281" s="1009">
        <f>$DH256</f>
        <v>-0.1</v>
      </c>
      <c r="DI281" s="1007">
        <f t="shared" si="197"/>
        <v>3</v>
      </c>
    </row>
    <row r="282" spans="79:113" x14ac:dyDescent="0.2">
      <c r="CA282" s="17" t="str" cm="1">
        <f t="array" ref="CA282">INDEX(List_comparators,CB282+1)</f>
        <v>everolimus</v>
      </c>
      <c r="CB282" s="17">
        <v>10</v>
      </c>
      <c r="CC282" s="17">
        <v>2</v>
      </c>
      <c r="CD282" s="17"/>
      <c r="CE282" s="17"/>
      <c r="CF282" s="17"/>
      <c r="CG282" s="17"/>
      <c r="CH282" s="17"/>
      <c r="CI282" s="17"/>
      <c r="CJ282" s="17"/>
      <c r="CK282" s="17"/>
      <c r="CL282" s="17" t="str">
        <v>Fatigue</v>
      </c>
      <c r="CM282" s="17">
        <v>2</v>
      </c>
      <c r="CN282" s="17">
        <f ca="1">OFFSET($E$18,$CM282-1,$CB282)</f>
        <v>134</v>
      </c>
      <c r="CO282" s="17">
        <f t="shared" ca="1" si="214"/>
        <v>31</v>
      </c>
      <c r="CP282" s="17">
        <f ca="1">OFFSET($S$18,$CM282-1,$CB282)</f>
        <v>6387.0919642857143</v>
      </c>
      <c r="CQ282" s="17">
        <v>0</v>
      </c>
      <c r="CR282" s="17">
        <f ca="1">OFFSET($AG$18,$CM282-1,$CB282)</f>
        <v>1.9257590259819504E-2</v>
      </c>
      <c r="CS282" s="17">
        <v>0</v>
      </c>
      <c r="CT282" s="17" t="str">
        <f>$CT$6</f>
        <v>one-off</v>
      </c>
      <c r="CU282" s="17" t="str">
        <f>$CU$6</f>
        <v>Yes</v>
      </c>
      <c r="CV282" s="17">
        <f ca="1">OFFSET($E$86,$CM282-1,$CB282)</f>
        <v>1.79</v>
      </c>
      <c r="CW282" s="17">
        <f ca="1">OFFSET($S$86,$CM282-1,$CB282)</f>
        <v>3.4471086565076914E-2</v>
      </c>
      <c r="CY282" s="657">
        <v>2</v>
      </c>
      <c r="CZ282" s="17" t="str">
        <f t="shared" si="229"/>
        <v>everolimus</v>
      </c>
      <c r="DA282" s="17">
        <f t="shared" si="230"/>
        <v>10</v>
      </c>
      <c r="DB282" s="17">
        <f t="shared" si="231"/>
        <v>2</v>
      </c>
      <c r="DC282" s="17" t="str">
        <f>"G3+ "&amp;$D$31</f>
        <v>G3+ Anaemia</v>
      </c>
      <c r="DD282" s="17">
        <f t="shared" ca="1" si="232"/>
        <v>4.8535390085723959E-3</v>
      </c>
      <c r="DE282" s="956">
        <f t="shared" ca="1" si="233"/>
        <v>16.088392857142857</v>
      </c>
      <c r="DG282" s="1008">
        <f t="shared" ref="DG282:DG305" si="234">$DG257</f>
        <v>655.75</v>
      </c>
      <c r="DH282" s="1009">
        <f t="shared" ref="DH282:DH305" si="235">$DH257</f>
        <v>-0.1</v>
      </c>
      <c r="DI282" s="1007">
        <f t="shared" si="197"/>
        <v>3</v>
      </c>
    </row>
    <row r="283" spans="79:113" ht="15.75" thickBot="1" x14ac:dyDescent="0.25">
      <c r="CA283" s="19" t="str" cm="1">
        <f t="array" ref="CA283">INDEX(List_comparators,CB283+1)</f>
        <v>everolimus</v>
      </c>
      <c r="CB283" s="19">
        <v>10</v>
      </c>
      <c r="CC283" s="19">
        <v>2</v>
      </c>
      <c r="CD283" s="19"/>
      <c r="CE283" s="19"/>
      <c r="CF283" s="19"/>
      <c r="CG283" s="19"/>
      <c r="CH283" s="19"/>
      <c r="CI283" s="19"/>
      <c r="CJ283" s="19"/>
      <c r="CK283" s="19"/>
      <c r="CL283" s="19" t="str">
        <v>Palmar-plantar erythrodysaesthesia syndrome</v>
      </c>
      <c r="CM283" s="19">
        <v>3</v>
      </c>
      <c r="CN283" s="19">
        <f ca="1">OFFSET($E$18,$CM283-1,$CB283)</f>
        <v>0</v>
      </c>
      <c r="CO283" s="19">
        <f t="shared" ca="1" si="214"/>
        <v>0</v>
      </c>
      <c r="CP283" s="19">
        <f ca="1">OFFSET($S$18,$CM283-1,$CB283)</f>
        <v>6387.0919642857143</v>
      </c>
      <c r="CQ283" s="19">
        <v>0</v>
      </c>
      <c r="CR283" s="19">
        <f ca="1">OFFSET($AG$18,$CM283-1,$CB283)</f>
        <v>0</v>
      </c>
      <c r="CS283" s="19">
        <v>0</v>
      </c>
      <c r="CT283" s="19" t="str">
        <f t="shared" ref="CT283:CT304" si="236">$CT$6</f>
        <v>one-off</v>
      </c>
      <c r="CU283" s="19" t="str">
        <f t="shared" ref="CU283:CU304" si="237">$CU$6</f>
        <v>Yes</v>
      </c>
      <c r="CV283" s="19">
        <f ca="1">OFFSET($E$86,$CM283-1,$CB283)</f>
        <v>0.1</v>
      </c>
      <c r="CW283" s="19">
        <f ca="1">OFFSET($S$86,$CM283-1,$CB283)</f>
        <v>0</v>
      </c>
      <c r="CY283" s="657">
        <v>3</v>
      </c>
      <c r="CZ283" s="17" t="str">
        <f t="shared" si="229"/>
        <v>everolimus</v>
      </c>
      <c r="DA283" s="17">
        <f t="shared" si="230"/>
        <v>10</v>
      </c>
      <c r="DB283" s="17">
        <f t="shared" si="231"/>
        <v>2</v>
      </c>
      <c r="DC283" s="17" t="str">
        <f>"G3+ "&amp;$D$32</f>
        <v>G3+ Decreased appetite</v>
      </c>
      <c r="DD283" s="17">
        <f t="shared" ca="1" si="232"/>
        <v>0</v>
      </c>
      <c r="DE283" s="956">
        <f t="shared" ca="1" si="233"/>
        <v>16.088392857142857</v>
      </c>
      <c r="DG283" s="1008">
        <f t="shared" si="234"/>
        <v>0</v>
      </c>
      <c r="DH283" s="1009">
        <f t="shared" si="235"/>
        <v>-0.1</v>
      </c>
      <c r="DI283" s="1007">
        <f t="shared" si="197"/>
        <v>3</v>
      </c>
    </row>
    <row r="284" spans="79:113" x14ac:dyDescent="0.2">
      <c r="CA284" s="17" t="str" cm="1">
        <f t="array" ref="CA284">INDEX(List_comparators,CB284+1)</f>
        <v>everolimus</v>
      </c>
      <c r="CB284" s="17">
        <v>10</v>
      </c>
      <c r="CC284" s="17">
        <v>2</v>
      </c>
      <c r="CD284" s="17"/>
      <c r="CE284" s="17"/>
      <c r="CF284" s="17"/>
      <c r="CG284" s="17"/>
      <c r="CH284" s="17"/>
      <c r="CI284" s="17"/>
      <c r="CJ284" s="17"/>
      <c r="CK284" s="17"/>
      <c r="CL284" s="252" t="str" cm="1">
        <f t="array" ref="CL284:CL305">List_AEs_g3</f>
        <v>ALT increased</v>
      </c>
      <c r="CM284" s="252">
        <v>1</v>
      </c>
      <c r="CN284" s="252">
        <v>0</v>
      </c>
      <c r="CO284" s="252">
        <f t="shared" ca="1" si="214"/>
        <v>0</v>
      </c>
      <c r="CP284" s="252"/>
      <c r="CQ284" s="252">
        <f t="shared" ref="CQ284:CQ304" ca="1" si="238">OFFSET($S$30,$CM284-1,$CB284)</f>
        <v>6387.0919642857143</v>
      </c>
      <c r="CR284" s="252">
        <v>0</v>
      </c>
      <c r="CS284" s="252">
        <f t="shared" ref="CS284:CS304" ca="1" si="239">OFFSET($AG$30,$CM284-1,$CB284)</f>
        <v>0</v>
      </c>
      <c r="CT284" s="252" t="str">
        <f t="shared" si="236"/>
        <v>one-off</v>
      </c>
      <c r="CU284" s="252" t="str">
        <f t="shared" si="237"/>
        <v>Yes</v>
      </c>
      <c r="CV284" s="252">
        <f ca="1">OFFSET($E$63,$CM284-1,$CB284)</f>
        <v>1</v>
      </c>
      <c r="CW284" s="252">
        <f ca="1">OFFSET($S$63,$CM284-1,$CB284)</f>
        <v>0</v>
      </c>
      <c r="CY284" s="657">
        <v>4</v>
      </c>
      <c r="CZ284" s="17" t="str">
        <f t="shared" si="229"/>
        <v>everolimus</v>
      </c>
      <c r="DA284" s="17">
        <f t="shared" si="230"/>
        <v>10</v>
      </c>
      <c r="DB284" s="17">
        <f t="shared" si="231"/>
        <v>2</v>
      </c>
      <c r="DC284" s="17" t="str">
        <f>"G3+ "&amp;$D$33</f>
        <v>G3+ Diarrhoea _TKI induced</v>
      </c>
      <c r="DD284" s="17">
        <f t="shared" ca="1" si="232"/>
        <v>7.8282887235038632E-4</v>
      </c>
      <c r="DE284" s="956">
        <f t="shared" ca="1" si="233"/>
        <v>16.088392857142857</v>
      </c>
      <c r="DG284" s="1008">
        <f t="shared" si="234"/>
        <v>827.18</v>
      </c>
      <c r="DH284" s="1009">
        <f t="shared" si="235"/>
        <v>-0.1</v>
      </c>
      <c r="DI284" s="1007">
        <f t="shared" si="197"/>
        <v>3</v>
      </c>
    </row>
    <row r="285" spans="79:113" x14ac:dyDescent="0.2">
      <c r="CA285" s="17" t="str" cm="1">
        <f t="array" ref="CA285">INDEX(List_comparators,CB285+1)</f>
        <v>everolimus</v>
      </c>
      <c r="CB285" s="17">
        <v>10</v>
      </c>
      <c r="CC285" s="17">
        <v>2</v>
      </c>
      <c r="CD285" s="17"/>
      <c r="CE285" s="17"/>
      <c r="CF285" s="17"/>
      <c r="CG285" s="17"/>
      <c r="CH285" s="17"/>
      <c r="CI285" s="17"/>
      <c r="CJ285" s="17"/>
      <c r="CK285" s="17"/>
      <c r="CL285" s="17" t="str">
        <v>Anaemia</v>
      </c>
      <c r="CM285" s="17">
        <v>2</v>
      </c>
      <c r="CN285" s="17">
        <v>0</v>
      </c>
      <c r="CO285" s="17">
        <f t="shared" ca="1" si="214"/>
        <v>31</v>
      </c>
      <c r="CP285" s="17"/>
      <c r="CQ285" s="17">
        <f t="shared" ca="1" si="238"/>
        <v>6387.0919642857143</v>
      </c>
      <c r="CR285" s="17">
        <v>0</v>
      </c>
      <c r="CS285" s="17">
        <f t="shared" ca="1" si="239"/>
        <v>4.8535390085723959E-3</v>
      </c>
      <c r="CT285" s="17" t="str">
        <f t="shared" si="236"/>
        <v>one-off</v>
      </c>
      <c r="CU285" s="17" t="str">
        <f t="shared" si="237"/>
        <v>Yes</v>
      </c>
      <c r="CV285" s="17">
        <f t="shared" ref="CV285:CV304" ca="1" si="240">OFFSET($E$63,$CM285-1,$CB285)</f>
        <v>1</v>
      </c>
      <c r="CW285" s="17">
        <f t="shared" ref="CW285:CW304" ca="1" si="241">OFFSET($S$63,$CM285-1,$CB285)</f>
        <v>4.8535390085723959E-3</v>
      </c>
      <c r="CY285" s="657">
        <v>5</v>
      </c>
      <c r="CZ285" s="17" t="str">
        <f t="shared" si="229"/>
        <v>everolimus</v>
      </c>
      <c r="DA285" s="17">
        <f t="shared" si="230"/>
        <v>10</v>
      </c>
      <c r="DB285" s="17">
        <f t="shared" si="231"/>
        <v>2</v>
      </c>
      <c r="DC285" s="17" t="str">
        <f>"G3+ "&amp;$D$34</f>
        <v>G3+ Diarrhoea _IO induced</v>
      </c>
      <c r="DD285" s="17">
        <f t="shared" ca="1" si="232"/>
        <v>0</v>
      </c>
      <c r="DE285" s="956">
        <f t="shared" ca="1" si="233"/>
        <v>16.088392857142857</v>
      </c>
      <c r="DG285" s="1008">
        <f t="shared" si="234"/>
        <v>4321.12</v>
      </c>
      <c r="DH285" s="1009">
        <f t="shared" si="235"/>
        <v>-0.1</v>
      </c>
      <c r="DI285" s="1007">
        <f t="shared" si="197"/>
        <v>3</v>
      </c>
    </row>
    <row r="286" spans="79:113" x14ac:dyDescent="0.2">
      <c r="CA286" s="17" t="str" cm="1">
        <f t="array" ref="CA286">INDEX(List_comparators,CB286+1)</f>
        <v>everolimus</v>
      </c>
      <c r="CB286" s="17">
        <v>10</v>
      </c>
      <c r="CC286" s="17">
        <v>2</v>
      </c>
      <c r="CD286" s="17"/>
      <c r="CE286" s="17"/>
      <c r="CF286" s="17"/>
      <c r="CG286" s="17"/>
      <c r="CH286" s="17"/>
      <c r="CI286" s="17"/>
      <c r="CJ286" s="17"/>
      <c r="CK286" s="17"/>
      <c r="CL286" s="17" t="str">
        <v>Decreased appetite</v>
      </c>
      <c r="CM286" s="17">
        <v>3</v>
      </c>
      <c r="CN286" s="17">
        <v>0</v>
      </c>
      <c r="CO286" s="17">
        <f t="shared" ca="1" si="214"/>
        <v>0</v>
      </c>
      <c r="CP286" s="17"/>
      <c r="CQ286" s="17">
        <f t="shared" ca="1" si="238"/>
        <v>6387.0919642857143</v>
      </c>
      <c r="CR286" s="17">
        <v>0</v>
      </c>
      <c r="CS286" s="17">
        <f t="shared" ca="1" si="239"/>
        <v>0</v>
      </c>
      <c r="CT286" s="17" t="str">
        <f t="shared" si="236"/>
        <v>one-off</v>
      </c>
      <c r="CU286" s="17" t="str">
        <f t="shared" si="237"/>
        <v>Yes</v>
      </c>
      <c r="CV286" s="17">
        <f t="shared" ca="1" si="240"/>
        <v>1</v>
      </c>
      <c r="CW286" s="17">
        <f t="shared" ca="1" si="241"/>
        <v>0</v>
      </c>
      <c r="CY286" s="657">
        <v>6</v>
      </c>
      <c r="CZ286" s="17" t="str">
        <f t="shared" si="229"/>
        <v>everolimus</v>
      </c>
      <c r="DA286" s="17">
        <f t="shared" si="230"/>
        <v>10</v>
      </c>
      <c r="DB286" s="17">
        <f t="shared" si="231"/>
        <v>2</v>
      </c>
      <c r="DC286" s="17" t="str">
        <f>"G3+ "&amp;$D$35</f>
        <v>G3+ Fatigue</v>
      </c>
      <c r="DD286" s="17">
        <f t="shared" ca="1" si="232"/>
        <v>1.7222235191708499E-3</v>
      </c>
      <c r="DE286" s="956">
        <f t="shared" ca="1" si="233"/>
        <v>16.088392857142857</v>
      </c>
      <c r="DG286" s="1008">
        <f t="shared" si="234"/>
        <v>662.61</v>
      </c>
      <c r="DH286" s="1009">
        <f t="shared" si="235"/>
        <v>-0.1</v>
      </c>
      <c r="DI286" s="1007">
        <f t="shared" si="197"/>
        <v>3</v>
      </c>
    </row>
    <row r="287" spans="79:113" x14ac:dyDescent="0.2">
      <c r="CA287" s="17" t="str" cm="1">
        <f t="array" ref="CA287">INDEX(List_comparators,CB287+1)</f>
        <v>everolimus</v>
      </c>
      <c r="CB287" s="17">
        <v>10</v>
      </c>
      <c r="CC287" s="17">
        <v>2</v>
      </c>
      <c r="CD287" s="17"/>
      <c r="CE287" s="17"/>
      <c r="CF287" s="17"/>
      <c r="CG287" s="17"/>
      <c r="CH287" s="17"/>
      <c r="CI287" s="17"/>
      <c r="CJ287" s="17"/>
      <c r="CK287" s="17"/>
      <c r="CL287" s="17" t="str">
        <v>Diarrhoea _TKI induced</v>
      </c>
      <c r="CM287" s="17">
        <v>4</v>
      </c>
      <c r="CN287" s="17">
        <v>0</v>
      </c>
      <c r="CO287" s="17">
        <f t="shared" ca="1" si="214"/>
        <v>5</v>
      </c>
      <c r="CP287" s="17"/>
      <c r="CQ287" s="17">
        <f t="shared" ca="1" si="238"/>
        <v>6387.0919642857143</v>
      </c>
      <c r="CR287" s="17">
        <v>0</v>
      </c>
      <c r="CS287" s="17">
        <f t="shared" ca="1" si="239"/>
        <v>7.8282887235038632E-4</v>
      </c>
      <c r="CT287" s="17" t="str">
        <f t="shared" si="236"/>
        <v>one-off</v>
      </c>
      <c r="CU287" s="17" t="str">
        <f t="shared" si="237"/>
        <v>Yes</v>
      </c>
      <c r="CV287" s="17">
        <f t="shared" ca="1" si="240"/>
        <v>1</v>
      </c>
      <c r="CW287" s="17">
        <f t="shared" ca="1" si="241"/>
        <v>7.8282887235038632E-4</v>
      </c>
      <c r="CY287" s="657">
        <v>7</v>
      </c>
      <c r="CZ287" s="17" t="str">
        <f t="shared" si="229"/>
        <v>everolimus</v>
      </c>
      <c r="DA287" s="17">
        <f t="shared" si="230"/>
        <v>10</v>
      </c>
      <c r="DB287" s="17">
        <f t="shared" si="231"/>
        <v>2</v>
      </c>
      <c r="DC287" s="17" t="str">
        <f>"G3+ "&amp;$D$36</f>
        <v>G3+ HFS</v>
      </c>
      <c r="DD287" s="17">
        <f t="shared" ca="1" si="232"/>
        <v>0</v>
      </c>
      <c r="DE287" s="956">
        <f t="shared" ca="1" si="233"/>
        <v>16.088392857142857</v>
      </c>
      <c r="DG287" s="1008">
        <f t="shared" si="234"/>
        <v>621.42499999999995</v>
      </c>
      <c r="DH287" s="1009">
        <f t="shared" si="235"/>
        <v>-0.1</v>
      </c>
      <c r="DI287" s="1007">
        <f t="shared" ref="DI287:DI350" si="242">DI262</f>
        <v>3</v>
      </c>
    </row>
    <row r="288" spans="79:113" x14ac:dyDescent="0.2">
      <c r="CA288" s="17" t="str" cm="1">
        <f t="array" ref="CA288">INDEX(List_comparators,CB288+1)</f>
        <v>everolimus</v>
      </c>
      <c r="CB288" s="17">
        <v>10</v>
      </c>
      <c r="CC288" s="17">
        <v>2</v>
      </c>
      <c r="CD288" s="17"/>
      <c r="CE288" s="17"/>
      <c r="CF288" s="17"/>
      <c r="CG288" s="17"/>
      <c r="CH288" s="17"/>
      <c r="CI288" s="17"/>
      <c r="CJ288" s="17"/>
      <c r="CK288" s="17"/>
      <c r="CL288" s="17" t="str">
        <v>Diarrhoea _IO induced</v>
      </c>
      <c r="CM288" s="17">
        <v>5</v>
      </c>
      <c r="CN288" s="17">
        <v>0</v>
      </c>
      <c r="CO288" s="17">
        <f t="shared" ca="1" si="214"/>
        <v>0</v>
      </c>
      <c r="CP288" s="17"/>
      <c r="CQ288" s="17">
        <f t="shared" ca="1" si="238"/>
        <v>6387.0919642857143</v>
      </c>
      <c r="CR288" s="17">
        <v>0</v>
      </c>
      <c r="CS288" s="17">
        <f t="shared" ca="1" si="239"/>
        <v>0</v>
      </c>
      <c r="CT288" s="17" t="str">
        <f t="shared" si="236"/>
        <v>one-off</v>
      </c>
      <c r="CU288" s="17" t="str">
        <f t="shared" si="237"/>
        <v>Yes</v>
      </c>
      <c r="CV288" s="17">
        <f t="shared" ca="1" si="240"/>
        <v>1</v>
      </c>
      <c r="CW288" s="17">
        <f t="shared" ca="1" si="241"/>
        <v>0</v>
      </c>
      <c r="CY288" s="657">
        <v>8</v>
      </c>
      <c r="CZ288" s="17" t="str">
        <f t="shared" si="229"/>
        <v>everolimus</v>
      </c>
      <c r="DA288" s="17">
        <f t="shared" si="230"/>
        <v>10</v>
      </c>
      <c r="DB288" s="17">
        <f t="shared" si="231"/>
        <v>2</v>
      </c>
      <c r="DC288" s="17" t="str">
        <f>"G3+ "&amp;$D$37</f>
        <v>G3+ Hypertension</v>
      </c>
      <c r="DD288" s="17">
        <f t="shared" ca="1" si="232"/>
        <v>0</v>
      </c>
      <c r="DE288" s="956">
        <f t="shared" ca="1" si="233"/>
        <v>16.088392857142857</v>
      </c>
      <c r="DG288" s="1008">
        <f t="shared" si="234"/>
        <v>424.6</v>
      </c>
      <c r="DH288" s="1009">
        <f t="shared" si="235"/>
        <v>-0.1</v>
      </c>
      <c r="DI288" s="1007">
        <f t="shared" si="242"/>
        <v>3</v>
      </c>
    </row>
    <row r="289" spans="79:113" x14ac:dyDescent="0.2">
      <c r="CA289" s="17" t="str" cm="1">
        <f t="array" ref="CA289">INDEX(List_comparators,CB289+1)</f>
        <v>everolimus</v>
      </c>
      <c r="CB289" s="17">
        <v>10</v>
      </c>
      <c r="CC289" s="17">
        <v>2</v>
      </c>
      <c r="CD289" s="17"/>
      <c r="CE289" s="17"/>
      <c r="CF289" s="17"/>
      <c r="CG289" s="17"/>
      <c r="CH289" s="17"/>
      <c r="CI289" s="17"/>
      <c r="CJ289" s="17"/>
      <c r="CK289" s="17"/>
      <c r="CL289" s="17" t="str">
        <v>Fatigue</v>
      </c>
      <c r="CM289" s="17">
        <v>6</v>
      </c>
      <c r="CN289" s="17">
        <v>0</v>
      </c>
      <c r="CO289" s="17">
        <f t="shared" ca="1" si="214"/>
        <v>11</v>
      </c>
      <c r="CP289" s="17"/>
      <c r="CQ289" s="17">
        <f t="shared" ca="1" si="238"/>
        <v>6387.0919642857143</v>
      </c>
      <c r="CR289" s="17">
        <v>0</v>
      </c>
      <c r="CS289" s="17">
        <f t="shared" ca="1" si="239"/>
        <v>1.7222235191708499E-3</v>
      </c>
      <c r="CT289" s="17" t="str">
        <f t="shared" si="236"/>
        <v>one-off</v>
      </c>
      <c r="CU289" s="17" t="str">
        <f t="shared" si="237"/>
        <v>Yes</v>
      </c>
      <c r="CV289" s="17">
        <f t="shared" ca="1" si="240"/>
        <v>1</v>
      </c>
      <c r="CW289" s="17">
        <f t="shared" ca="1" si="241"/>
        <v>1.7222235191708499E-3</v>
      </c>
      <c r="CY289" s="657">
        <v>9</v>
      </c>
      <c r="CZ289" s="17" t="str">
        <f t="shared" si="229"/>
        <v>everolimus</v>
      </c>
      <c r="DA289" s="17">
        <f t="shared" si="230"/>
        <v>10</v>
      </c>
      <c r="DB289" s="17">
        <f t="shared" si="231"/>
        <v>2</v>
      </c>
      <c r="DC289" s="17" t="str">
        <f>"G3+ "&amp;$D$38</f>
        <v>G3+ Hypertriglyceridemia</v>
      </c>
      <c r="DD289" s="17">
        <f t="shared" ca="1" si="232"/>
        <v>3.1313154894015453E-3</v>
      </c>
      <c r="DE289" s="956">
        <f t="shared" ca="1" si="233"/>
        <v>16.088392857142857</v>
      </c>
      <c r="DG289" s="1008">
        <f t="shared" si="234"/>
        <v>0</v>
      </c>
      <c r="DH289" s="1009">
        <f t="shared" si="235"/>
        <v>-0.1</v>
      </c>
      <c r="DI289" s="1007">
        <f t="shared" si="242"/>
        <v>3</v>
      </c>
    </row>
    <row r="290" spans="79:113" x14ac:dyDescent="0.2">
      <c r="CA290" s="17" t="str" cm="1">
        <f t="array" ref="CA290">INDEX(List_comparators,CB290+1)</f>
        <v>everolimus</v>
      </c>
      <c r="CB290" s="17">
        <v>10</v>
      </c>
      <c r="CC290" s="17">
        <v>2</v>
      </c>
      <c r="CD290" s="17"/>
      <c r="CE290" s="17"/>
      <c r="CF290" s="17"/>
      <c r="CG290" s="17"/>
      <c r="CH290" s="17"/>
      <c r="CI290" s="17"/>
      <c r="CJ290" s="17"/>
      <c r="CK290" s="17"/>
      <c r="CL290" s="17" t="str">
        <v>HFS</v>
      </c>
      <c r="CM290" s="17">
        <v>7</v>
      </c>
      <c r="CN290" s="17">
        <v>0</v>
      </c>
      <c r="CO290" s="17">
        <f t="shared" ca="1" si="214"/>
        <v>0</v>
      </c>
      <c r="CP290" s="17"/>
      <c r="CQ290" s="17">
        <f t="shared" ca="1" si="238"/>
        <v>6387.0919642857143</v>
      </c>
      <c r="CR290" s="17">
        <v>0</v>
      </c>
      <c r="CS290" s="17">
        <f t="shared" ca="1" si="239"/>
        <v>0</v>
      </c>
      <c r="CT290" s="17" t="str">
        <f t="shared" si="236"/>
        <v>one-off</v>
      </c>
      <c r="CU290" s="17" t="str">
        <f t="shared" si="237"/>
        <v>Yes</v>
      </c>
      <c r="CV290" s="17">
        <f t="shared" ca="1" si="240"/>
        <v>1</v>
      </c>
      <c r="CW290" s="17">
        <f t="shared" ca="1" si="241"/>
        <v>0</v>
      </c>
      <c r="CY290" s="657">
        <v>10</v>
      </c>
      <c r="CZ290" s="17" t="str">
        <f t="shared" si="229"/>
        <v>everolimus</v>
      </c>
      <c r="DA290" s="17">
        <f t="shared" si="230"/>
        <v>10</v>
      </c>
      <c r="DB290" s="17">
        <f t="shared" si="231"/>
        <v>2</v>
      </c>
      <c r="DC290" s="17" t="str">
        <f>"G3+ "&amp;$D$39</f>
        <v>G3+ Hyponatraemia</v>
      </c>
      <c r="DD290" s="17">
        <f t="shared" ca="1" si="232"/>
        <v>0</v>
      </c>
      <c r="DE290" s="956">
        <f t="shared" ca="1" si="233"/>
        <v>16.088392857142857</v>
      </c>
      <c r="DG290" s="1008">
        <f t="shared" si="234"/>
        <v>574.71</v>
      </c>
      <c r="DH290" s="1009">
        <f t="shared" si="235"/>
        <v>-0.1</v>
      </c>
      <c r="DI290" s="1007">
        <f t="shared" si="242"/>
        <v>3</v>
      </c>
    </row>
    <row r="291" spans="79:113" x14ac:dyDescent="0.2">
      <c r="CA291" s="17" t="str" cm="1">
        <f t="array" ref="CA291">INDEX(List_comparators,CB291+1)</f>
        <v>everolimus</v>
      </c>
      <c r="CB291" s="17">
        <v>10</v>
      </c>
      <c r="CC291" s="17">
        <v>2</v>
      </c>
      <c r="CD291" s="17"/>
      <c r="CE291" s="17"/>
      <c r="CF291" s="17"/>
      <c r="CG291" s="17"/>
      <c r="CH291" s="17"/>
      <c r="CI291" s="17"/>
      <c r="CJ291" s="17"/>
      <c r="CK291" s="17"/>
      <c r="CL291" s="17" t="str">
        <v>Hypertension</v>
      </c>
      <c r="CM291" s="17">
        <v>8</v>
      </c>
      <c r="CN291" s="17">
        <v>0</v>
      </c>
      <c r="CO291" s="17">
        <f t="shared" ca="1" si="214"/>
        <v>0</v>
      </c>
      <c r="CP291" s="17"/>
      <c r="CQ291" s="17">
        <f t="shared" ca="1" si="238"/>
        <v>6387.0919642857143</v>
      </c>
      <c r="CR291" s="17">
        <v>0</v>
      </c>
      <c r="CS291" s="17">
        <f t="shared" ca="1" si="239"/>
        <v>0</v>
      </c>
      <c r="CT291" s="17" t="str">
        <f t="shared" si="236"/>
        <v>one-off</v>
      </c>
      <c r="CU291" s="17" t="str">
        <f t="shared" si="237"/>
        <v>Yes</v>
      </c>
      <c r="CV291" s="17">
        <f t="shared" ca="1" si="240"/>
        <v>1</v>
      </c>
      <c r="CW291" s="17">
        <f t="shared" ca="1" si="241"/>
        <v>0</v>
      </c>
      <c r="CY291" s="657">
        <v>11</v>
      </c>
      <c r="CZ291" s="17" t="str">
        <f t="shared" si="229"/>
        <v>everolimus</v>
      </c>
      <c r="DA291" s="17">
        <f t="shared" si="230"/>
        <v>10</v>
      </c>
      <c r="DB291" s="17">
        <f t="shared" si="231"/>
        <v>2</v>
      </c>
      <c r="DC291" s="17" t="str">
        <f>"G3+ "&amp;$D$40</f>
        <v>G3+ Hypophosphatemia</v>
      </c>
      <c r="DD291" s="17">
        <f t="shared" ca="1" si="232"/>
        <v>0</v>
      </c>
      <c r="DE291" s="956">
        <f t="shared" ca="1" si="233"/>
        <v>16.088392857142857</v>
      </c>
      <c r="DG291" s="1008">
        <f t="shared" si="234"/>
        <v>0</v>
      </c>
      <c r="DH291" s="1009">
        <f t="shared" si="235"/>
        <v>-0.1</v>
      </c>
      <c r="DI291" s="1007">
        <f t="shared" si="242"/>
        <v>3</v>
      </c>
    </row>
    <row r="292" spans="79:113" x14ac:dyDescent="0.2">
      <c r="CA292" s="17" t="str" cm="1">
        <f t="array" ref="CA292">INDEX(List_comparators,CB292+1)</f>
        <v>everolimus</v>
      </c>
      <c r="CB292" s="17">
        <v>10</v>
      </c>
      <c r="CC292" s="17">
        <v>2</v>
      </c>
      <c r="CD292" s="17"/>
      <c r="CE292" s="17"/>
      <c r="CF292" s="17"/>
      <c r="CG292" s="17"/>
      <c r="CH292" s="17"/>
      <c r="CI292" s="17"/>
      <c r="CJ292" s="17"/>
      <c r="CK292" s="17"/>
      <c r="CL292" s="17" t="str">
        <v>Hypertriglyceridemia</v>
      </c>
      <c r="CM292" s="17">
        <v>9</v>
      </c>
      <c r="CN292" s="17">
        <v>0</v>
      </c>
      <c r="CO292" s="17">
        <f t="shared" ca="1" si="214"/>
        <v>20</v>
      </c>
      <c r="CP292" s="17"/>
      <c r="CQ292" s="17">
        <f t="shared" ca="1" si="238"/>
        <v>6387.0919642857143</v>
      </c>
      <c r="CR292" s="17">
        <v>0</v>
      </c>
      <c r="CS292" s="17">
        <f t="shared" ca="1" si="239"/>
        <v>3.1313154894015453E-3</v>
      </c>
      <c r="CT292" s="17" t="str">
        <f t="shared" si="236"/>
        <v>one-off</v>
      </c>
      <c r="CU292" s="17" t="str">
        <f t="shared" si="237"/>
        <v>Yes</v>
      </c>
      <c r="CV292" s="17">
        <f t="shared" ca="1" si="240"/>
        <v>1</v>
      </c>
      <c r="CW292" s="17">
        <f t="shared" ca="1" si="241"/>
        <v>3.1313154894015453E-3</v>
      </c>
      <c r="CY292" s="657">
        <v>12</v>
      </c>
      <c r="CZ292" s="17" t="str">
        <f t="shared" si="229"/>
        <v>everolimus</v>
      </c>
      <c r="DA292" s="17">
        <f t="shared" si="230"/>
        <v>10</v>
      </c>
      <c r="DB292" s="17">
        <f t="shared" si="231"/>
        <v>2</v>
      </c>
      <c r="DC292" s="17" t="str">
        <f>"G3+ "&amp;$D$41</f>
        <v>G3+ Increase in lipase</v>
      </c>
      <c r="DD292" s="17">
        <f t="shared" ca="1" si="232"/>
        <v>0</v>
      </c>
      <c r="DE292" s="956">
        <f t="shared" ca="1" si="233"/>
        <v>16.088392857142857</v>
      </c>
      <c r="DG292" s="1008">
        <f t="shared" si="234"/>
        <v>655.75</v>
      </c>
      <c r="DH292" s="1009">
        <f t="shared" si="235"/>
        <v>-0.1</v>
      </c>
      <c r="DI292" s="1007">
        <f t="shared" si="242"/>
        <v>3</v>
      </c>
    </row>
    <row r="293" spans="79:113" x14ac:dyDescent="0.2">
      <c r="CA293" s="17" t="str" cm="1">
        <f t="array" ref="CA293">INDEX(List_comparators,CB293+1)</f>
        <v>everolimus</v>
      </c>
      <c r="CB293" s="17">
        <v>10</v>
      </c>
      <c r="CC293" s="17">
        <v>2</v>
      </c>
      <c r="CD293" s="17"/>
      <c r="CE293" s="17"/>
      <c r="CF293" s="17"/>
      <c r="CG293" s="17"/>
      <c r="CH293" s="17"/>
      <c r="CI293" s="17"/>
      <c r="CJ293" s="17"/>
      <c r="CK293" s="17"/>
      <c r="CL293" s="17" t="str">
        <v>Hyponatraemia</v>
      </c>
      <c r="CM293" s="17">
        <v>10</v>
      </c>
      <c r="CN293" s="17">
        <v>0</v>
      </c>
      <c r="CO293" s="17">
        <f t="shared" ca="1" si="214"/>
        <v>0</v>
      </c>
      <c r="CP293" s="17"/>
      <c r="CQ293" s="17">
        <f t="shared" ca="1" si="238"/>
        <v>6387.0919642857143</v>
      </c>
      <c r="CR293" s="17">
        <v>0</v>
      </c>
      <c r="CS293" s="17">
        <f t="shared" ca="1" si="239"/>
        <v>0</v>
      </c>
      <c r="CT293" s="17" t="str">
        <f t="shared" si="236"/>
        <v>one-off</v>
      </c>
      <c r="CU293" s="17" t="str">
        <f t="shared" si="237"/>
        <v>Yes</v>
      </c>
      <c r="CV293" s="17">
        <f t="shared" ca="1" si="240"/>
        <v>1</v>
      </c>
      <c r="CW293" s="17">
        <f t="shared" ca="1" si="241"/>
        <v>0</v>
      </c>
      <c r="CY293" s="657">
        <v>13</v>
      </c>
      <c r="CZ293" s="17" t="str">
        <f t="shared" si="229"/>
        <v>everolimus</v>
      </c>
      <c r="DA293" s="17">
        <f t="shared" si="230"/>
        <v>10</v>
      </c>
      <c r="DB293" s="17">
        <f t="shared" si="231"/>
        <v>2</v>
      </c>
      <c r="DC293" s="17" t="str">
        <f>"G3+ "&amp;$D$42</f>
        <v>G3+ Increased AST</v>
      </c>
      <c r="DD293" s="17">
        <f t="shared" ca="1" si="232"/>
        <v>0</v>
      </c>
      <c r="DE293" s="956">
        <f t="shared" ca="1" si="233"/>
        <v>16.088392857142857</v>
      </c>
      <c r="DG293" s="1008">
        <f t="shared" si="234"/>
        <v>0</v>
      </c>
      <c r="DH293" s="1009">
        <f t="shared" si="235"/>
        <v>-0.1</v>
      </c>
      <c r="DI293" s="1007">
        <f t="shared" si="242"/>
        <v>3</v>
      </c>
    </row>
    <row r="294" spans="79:113" x14ac:dyDescent="0.2">
      <c r="CA294" s="17" t="str" cm="1">
        <f t="array" ref="CA294">INDEX(List_comparators,CB294+1)</f>
        <v>everolimus</v>
      </c>
      <c r="CB294" s="17">
        <v>10</v>
      </c>
      <c r="CC294" s="17">
        <v>2</v>
      </c>
      <c r="CD294" s="17"/>
      <c r="CE294" s="17"/>
      <c r="CF294" s="17"/>
      <c r="CG294" s="17"/>
      <c r="CH294" s="17"/>
      <c r="CI294" s="17"/>
      <c r="CJ294" s="17"/>
      <c r="CK294" s="17"/>
      <c r="CL294" s="17" t="str">
        <v>Hypophosphatemia</v>
      </c>
      <c r="CM294" s="17">
        <v>11</v>
      </c>
      <c r="CN294" s="17">
        <v>0</v>
      </c>
      <c r="CO294" s="17">
        <f t="shared" ca="1" si="214"/>
        <v>0</v>
      </c>
      <c r="CP294" s="17"/>
      <c r="CQ294" s="17">
        <f t="shared" ca="1" si="238"/>
        <v>6387.0919642857143</v>
      </c>
      <c r="CR294" s="17">
        <v>0</v>
      </c>
      <c r="CS294" s="17">
        <f t="shared" ca="1" si="239"/>
        <v>0</v>
      </c>
      <c r="CT294" s="17" t="str">
        <f t="shared" si="236"/>
        <v>one-off</v>
      </c>
      <c r="CU294" s="17" t="str">
        <f t="shared" si="237"/>
        <v>Yes</v>
      </c>
      <c r="CV294" s="17">
        <f t="shared" ca="1" si="240"/>
        <v>1</v>
      </c>
      <c r="CW294" s="17">
        <f t="shared" ca="1" si="241"/>
        <v>0</v>
      </c>
      <c r="CY294" s="657">
        <v>14</v>
      </c>
      <c r="CZ294" s="17" t="str">
        <f t="shared" si="229"/>
        <v>everolimus</v>
      </c>
      <c r="DA294" s="17">
        <f t="shared" si="230"/>
        <v>10</v>
      </c>
      <c r="DB294" s="17">
        <f t="shared" si="231"/>
        <v>2</v>
      </c>
      <c r="DC294" s="17" t="str">
        <f>"G3+ "&amp;$D$43</f>
        <v>G3+ Leukopenia</v>
      </c>
      <c r="DD294" s="17">
        <f t="shared" ca="1" si="232"/>
        <v>0</v>
      </c>
      <c r="DE294" s="956">
        <f t="shared" ca="1" si="233"/>
        <v>16.088392857142857</v>
      </c>
      <c r="DG294" s="1008">
        <f t="shared" si="234"/>
        <v>0</v>
      </c>
      <c r="DH294" s="1009">
        <f t="shared" si="235"/>
        <v>-0.1</v>
      </c>
      <c r="DI294" s="1007">
        <f t="shared" si="242"/>
        <v>3</v>
      </c>
    </row>
    <row r="295" spans="79:113" x14ac:dyDescent="0.2">
      <c r="CA295" s="17" t="str" cm="1">
        <f t="array" ref="CA295">INDEX(List_comparators,CB295+1)</f>
        <v>everolimus</v>
      </c>
      <c r="CB295" s="17">
        <v>10</v>
      </c>
      <c r="CC295" s="17">
        <v>2</v>
      </c>
      <c r="CD295" s="17"/>
      <c r="CE295" s="17"/>
      <c r="CF295" s="17"/>
      <c r="CG295" s="17"/>
      <c r="CH295" s="17"/>
      <c r="CI295" s="17"/>
      <c r="CJ295" s="17"/>
      <c r="CK295" s="17"/>
      <c r="CL295" s="17" t="str">
        <v>Increase in lipase</v>
      </c>
      <c r="CM295" s="17">
        <v>12</v>
      </c>
      <c r="CN295" s="17">
        <v>0</v>
      </c>
      <c r="CO295" s="17">
        <f t="shared" ca="1" si="214"/>
        <v>0</v>
      </c>
      <c r="CP295" s="17"/>
      <c r="CQ295" s="17">
        <f t="shared" ca="1" si="238"/>
        <v>6387.0919642857143</v>
      </c>
      <c r="CR295" s="17">
        <v>0</v>
      </c>
      <c r="CS295" s="17">
        <f t="shared" ca="1" si="239"/>
        <v>0</v>
      </c>
      <c r="CT295" s="17" t="str">
        <f t="shared" si="236"/>
        <v>one-off</v>
      </c>
      <c r="CU295" s="17" t="str">
        <f t="shared" si="237"/>
        <v>Yes</v>
      </c>
      <c r="CV295" s="17">
        <f t="shared" ca="1" si="240"/>
        <v>1</v>
      </c>
      <c r="CW295" s="17">
        <f t="shared" ca="1" si="241"/>
        <v>0</v>
      </c>
      <c r="CY295" s="657">
        <v>15</v>
      </c>
      <c r="CZ295" s="17" t="str">
        <f t="shared" si="229"/>
        <v>everolimus</v>
      </c>
      <c r="DA295" s="17">
        <f t="shared" si="230"/>
        <v>10</v>
      </c>
      <c r="DB295" s="17">
        <f t="shared" si="231"/>
        <v>2</v>
      </c>
      <c r="DC295" s="17" t="str">
        <f>"G3+ "&amp;$D$44</f>
        <v>G3+ Lymphopenia</v>
      </c>
      <c r="DD295" s="17">
        <f t="shared" ca="1" si="232"/>
        <v>0</v>
      </c>
      <c r="DE295" s="956">
        <f t="shared" ca="1" si="233"/>
        <v>16.088392857142857</v>
      </c>
      <c r="DG295" s="1008">
        <f t="shared" si="234"/>
        <v>679.97</v>
      </c>
      <c r="DH295" s="1009">
        <f t="shared" si="235"/>
        <v>-0.1</v>
      </c>
      <c r="DI295" s="1007">
        <f t="shared" si="242"/>
        <v>3</v>
      </c>
    </row>
    <row r="296" spans="79:113" x14ac:dyDescent="0.2">
      <c r="CA296" s="17" t="str" cm="1">
        <f t="array" ref="CA296">INDEX(List_comparators,CB296+1)</f>
        <v>everolimus</v>
      </c>
      <c r="CB296" s="17">
        <v>10</v>
      </c>
      <c r="CC296" s="17">
        <v>2</v>
      </c>
      <c r="CD296" s="17"/>
      <c r="CE296" s="17"/>
      <c r="CF296" s="17"/>
      <c r="CG296" s="17"/>
      <c r="CH296" s="17"/>
      <c r="CI296" s="17"/>
      <c r="CJ296" s="17"/>
      <c r="CK296" s="17"/>
      <c r="CL296" s="17" t="str">
        <v>Increased AST</v>
      </c>
      <c r="CM296" s="17">
        <v>13</v>
      </c>
      <c r="CN296" s="17">
        <v>0</v>
      </c>
      <c r="CO296" s="17">
        <f t="shared" ca="1" si="214"/>
        <v>0</v>
      </c>
      <c r="CP296" s="17"/>
      <c r="CQ296" s="17">
        <f t="shared" ca="1" si="238"/>
        <v>6387.0919642857143</v>
      </c>
      <c r="CR296" s="17">
        <v>0</v>
      </c>
      <c r="CS296" s="17">
        <f t="shared" ca="1" si="239"/>
        <v>0</v>
      </c>
      <c r="CT296" s="17" t="str">
        <f t="shared" si="236"/>
        <v>one-off</v>
      </c>
      <c r="CU296" s="17" t="str">
        <f t="shared" si="237"/>
        <v>Yes</v>
      </c>
      <c r="CV296" s="17">
        <f t="shared" ca="1" si="240"/>
        <v>1</v>
      </c>
      <c r="CW296" s="17">
        <f t="shared" ca="1" si="241"/>
        <v>0</v>
      </c>
      <c r="CY296" s="657">
        <v>16</v>
      </c>
      <c r="CZ296" s="17" t="str">
        <f t="shared" si="229"/>
        <v>everolimus</v>
      </c>
      <c r="DA296" s="17">
        <f t="shared" si="230"/>
        <v>10</v>
      </c>
      <c r="DB296" s="17">
        <f t="shared" si="231"/>
        <v>2</v>
      </c>
      <c r="DC296" s="17" t="str">
        <f>"G3+ "&amp;$D$45</f>
        <v>G3+ Nausea</v>
      </c>
      <c r="DD296" s="17">
        <f t="shared" ca="1" si="232"/>
        <v>0</v>
      </c>
      <c r="DE296" s="956">
        <f t="shared" ca="1" si="233"/>
        <v>16.088392857142857</v>
      </c>
      <c r="DG296" s="1008">
        <f t="shared" si="234"/>
        <v>801.11</v>
      </c>
      <c r="DH296" s="1009">
        <f t="shared" si="235"/>
        <v>-0.1</v>
      </c>
      <c r="DI296" s="1007">
        <f t="shared" si="242"/>
        <v>3</v>
      </c>
    </row>
    <row r="297" spans="79:113" x14ac:dyDescent="0.2">
      <c r="CA297" s="17" t="str" cm="1">
        <f t="array" ref="CA297">INDEX(List_comparators,CB297+1)</f>
        <v>everolimus</v>
      </c>
      <c r="CB297" s="17">
        <v>10</v>
      </c>
      <c r="CC297" s="17">
        <v>2</v>
      </c>
      <c r="CD297" s="17"/>
      <c r="CE297" s="17"/>
      <c r="CF297" s="17"/>
      <c r="CG297" s="17"/>
      <c r="CH297" s="17"/>
      <c r="CI297" s="17"/>
      <c r="CJ297" s="17"/>
      <c r="CK297" s="17"/>
      <c r="CL297" s="17" t="str">
        <v>Leukopenia</v>
      </c>
      <c r="CM297" s="17">
        <v>14</v>
      </c>
      <c r="CN297" s="17">
        <v>0</v>
      </c>
      <c r="CO297" s="17">
        <f t="shared" ca="1" si="214"/>
        <v>0</v>
      </c>
      <c r="CP297" s="17"/>
      <c r="CQ297" s="17">
        <f t="shared" ca="1" si="238"/>
        <v>6387.0919642857143</v>
      </c>
      <c r="CR297" s="17">
        <v>0</v>
      </c>
      <c r="CS297" s="17">
        <f t="shared" ca="1" si="239"/>
        <v>0</v>
      </c>
      <c r="CT297" s="17" t="str">
        <f t="shared" si="236"/>
        <v>one-off</v>
      </c>
      <c r="CU297" s="17" t="str">
        <f t="shared" si="237"/>
        <v>Yes</v>
      </c>
      <c r="CV297" s="17">
        <f t="shared" ca="1" si="240"/>
        <v>1</v>
      </c>
      <c r="CW297" s="17">
        <f t="shared" ca="1" si="241"/>
        <v>0</v>
      </c>
      <c r="CY297" s="657">
        <v>17</v>
      </c>
      <c r="CZ297" s="17" t="str">
        <f t="shared" si="229"/>
        <v>everolimus</v>
      </c>
      <c r="DA297" s="17">
        <f t="shared" si="230"/>
        <v>10</v>
      </c>
      <c r="DB297" s="17">
        <f t="shared" si="231"/>
        <v>2</v>
      </c>
      <c r="DC297" s="17" t="str">
        <f>"G3+ "&amp;$D$46</f>
        <v>G3+ Neutropenia</v>
      </c>
      <c r="DD297" s="17">
        <f t="shared" ca="1" si="232"/>
        <v>0</v>
      </c>
      <c r="DE297" s="956">
        <f t="shared" ca="1" si="233"/>
        <v>16.088392857142857</v>
      </c>
      <c r="DG297" s="1008">
        <f t="shared" si="234"/>
        <v>655.75</v>
      </c>
      <c r="DH297" s="1009">
        <f t="shared" si="235"/>
        <v>-0.1</v>
      </c>
      <c r="DI297" s="1007">
        <f t="shared" si="242"/>
        <v>3</v>
      </c>
    </row>
    <row r="298" spans="79:113" x14ac:dyDescent="0.2">
      <c r="CA298" s="17" t="str" cm="1">
        <f t="array" ref="CA298">INDEX(List_comparators,CB298+1)</f>
        <v>everolimus</v>
      </c>
      <c r="CB298" s="17">
        <v>10</v>
      </c>
      <c r="CC298" s="17">
        <v>2</v>
      </c>
      <c r="CD298" s="17"/>
      <c r="CE298" s="17"/>
      <c r="CF298" s="17"/>
      <c r="CG298" s="17"/>
      <c r="CH298" s="17"/>
      <c r="CI298" s="17"/>
      <c r="CJ298" s="17"/>
      <c r="CK298" s="17"/>
      <c r="CL298" s="17" t="str">
        <v>Lymphopenia</v>
      </c>
      <c r="CM298" s="17">
        <v>15</v>
      </c>
      <c r="CN298" s="17">
        <v>0</v>
      </c>
      <c r="CO298" s="17">
        <f t="shared" ca="1" si="214"/>
        <v>0</v>
      </c>
      <c r="CP298" s="17"/>
      <c r="CQ298" s="17">
        <f t="shared" ca="1" si="238"/>
        <v>6387.0919642857143</v>
      </c>
      <c r="CR298" s="17">
        <v>0</v>
      </c>
      <c r="CS298" s="17">
        <f t="shared" ca="1" si="239"/>
        <v>0</v>
      </c>
      <c r="CT298" s="17" t="str">
        <f t="shared" si="236"/>
        <v>one-off</v>
      </c>
      <c r="CU298" s="17" t="str">
        <f t="shared" si="237"/>
        <v>Yes</v>
      </c>
      <c r="CV298" s="17">
        <f t="shared" ca="1" si="240"/>
        <v>1</v>
      </c>
      <c r="CW298" s="17">
        <f t="shared" ca="1" si="241"/>
        <v>0</v>
      </c>
      <c r="CY298" s="657">
        <v>18</v>
      </c>
      <c r="CZ298" s="17" t="str">
        <f t="shared" si="229"/>
        <v>everolimus</v>
      </c>
      <c r="DA298" s="17">
        <f t="shared" si="230"/>
        <v>10</v>
      </c>
      <c r="DB298" s="17">
        <f t="shared" si="231"/>
        <v>2</v>
      </c>
      <c r="DC298" s="17" t="str">
        <f>"G3+ "&amp;$D$47</f>
        <v>G3+ Platelets count decreased</v>
      </c>
      <c r="DD298" s="17">
        <f t="shared" ca="1" si="232"/>
        <v>0</v>
      </c>
      <c r="DE298" s="956">
        <f t="shared" ca="1" si="233"/>
        <v>16.088392857142857</v>
      </c>
      <c r="DG298" s="1008">
        <f t="shared" si="234"/>
        <v>801.11</v>
      </c>
      <c r="DH298" s="1009">
        <f t="shared" si="235"/>
        <v>-0.1</v>
      </c>
      <c r="DI298" s="1007">
        <f t="shared" si="242"/>
        <v>3</v>
      </c>
    </row>
    <row r="299" spans="79:113" x14ac:dyDescent="0.2">
      <c r="CA299" s="17" t="str" cm="1">
        <f t="array" ref="CA299">INDEX(List_comparators,CB299+1)</f>
        <v>everolimus</v>
      </c>
      <c r="CB299" s="17">
        <v>10</v>
      </c>
      <c r="CC299" s="17">
        <v>2</v>
      </c>
      <c r="CD299" s="17"/>
      <c r="CE299" s="17"/>
      <c r="CF299" s="17"/>
      <c r="CG299" s="17"/>
      <c r="CH299" s="17"/>
      <c r="CI299" s="17"/>
      <c r="CJ299" s="17"/>
      <c r="CK299" s="17"/>
      <c r="CL299" s="17" t="str">
        <v>Nausea</v>
      </c>
      <c r="CM299" s="17">
        <v>16</v>
      </c>
      <c r="CN299" s="17">
        <v>0</v>
      </c>
      <c r="CO299" s="17">
        <f t="shared" ca="1" si="214"/>
        <v>0</v>
      </c>
      <c r="CP299" s="17"/>
      <c r="CQ299" s="17">
        <f t="shared" ca="1" si="238"/>
        <v>6387.0919642857143</v>
      </c>
      <c r="CR299" s="17">
        <v>0</v>
      </c>
      <c r="CS299" s="17">
        <f t="shared" ca="1" si="239"/>
        <v>0</v>
      </c>
      <c r="CT299" s="17" t="str">
        <f t="shared" si="236"/>
        <v>one-off</v>
      </c>
      <c r="CU299" s="17" t="str">
        <f t="shared" si="237"/>
        <v>Yes</v>
      </c>
      <c r="CV299" s="17">
        <f t="shared" ca="1" si="240"/>
        <v>1</v>
      </c>
      <c r="CW299" s="17">
        <f t="shared" ca="1" si="241"/>
        <v>0</v>
      </c>
      <c r="CY299" s="657">
        <v>19</v>
      </c>
      <c r="CZ299" s="17" t="str">
        <f t="shared" si="229"/>
        <v>everolimus</v>
      </c>
      <c r="DA299" s="17">
        <f t="shared" si="230"/>
        <v>10</v>
      </c>
      <c r="DB299" s="17">
        <f t="shared" si="231"/>
        <v>2</v>
      </c>
      <c r="DC299" s="17" t="str">
        <f>"G3+ "&amp;$D$48</f>
        <v>G3+ Proteinuria</v>
      </c>
      <c r="DD299" s="17">
        <f t="shared" ca="1" si="232"/>
        <v>0</v>
      </c>
      <c r="DE299" s="956">
        <f t="shared" ca="1" si="233"/>
        <v>16.088392857142857</v>
      </c>
      <c r="DG299" s="1008">
        <f t="shared" si="234"/>
        <v>220.87</v>
      </c>
      <c r="DH299" s="1009">
        <f t="shared" si="235"/>
        <v>-0.1</v>
      </c>
      <c r="DI299" s="1007">
        <f t="shared" si="242"/>
        <v>3</v>
      </c>
    </row>
    <row r="300" spans="79:113" x14ac:dyDescent="0.2">
      <c r="CA300" s="17" t="str" cm="1">
        <f t="array" ref="CA300">INDEX(List_comparators,CB300+1)</f>
        <v>everolimus</v>
      </c>
      <c r="CB300" s="17">
        <v>10</v>
      </c>
      <c r="CC300" s="17">
        <v>2</v>
      </c>
      <c r="CD300" s="17"/>
      <c r="CE300" s="17"/>
      <c r="CF300" s="17"/>
      <c r="CG300" s="17"/>
      <c r="CH300" s="17"/>
      <c r="CI300" s="17"/>
      <c r="CJ300" s="17"/>
      <c r="CK300" s="17"/>
      <c r="CL300" s="17" t="str">
        <v>Neutropenia</v>
      </c>
      <c r="CM300" s="17">
        <v>17</v>
      </c>
      <c r="CN300" s="17">
        <v>0</v>
      </c>
      <c r="CO300" s="17">
        <f t="shared" ca="1" si="214"/>
        <v>0</v>
      </c>
      <c r="CP300" s="17"/>
      <c r="CQ300" s="17">
        <f t="shared" ca="1" si="238"/>
        <v>6387.0919642857143</v>
      </c>
      <c r="CR300" s="17">
        <v>0</v>
      </c>
      <c r="CS300" s="17">
        <f t="shared" ca="1" si="239"/>
        <v>0</v>
      </c>
      <c r="CT300" s="17" t="str">
        <f t="shared" si="236"/>
        <v>one-off</v>
      </c>
      <c r="CU300" s="17" t="str">
        <f t="shared" si="237"/>
        <v>Yes</v>
      </c>
      <c r="CV300" s="17">
        <f t="shared" ca="1" si="240"/>
        <v>1</v>
      </c>
      <c r="CW300" s="17">
        <f t="shared" ca="1" si="241"/>
        <v>0</v>
      </c>
      <c r="CY300" s="657">
        <v>20</v>
      </c>
      <c r="CZ300" s="17" t="str">
        <f t="shared" si="229"/>
        <v>everolimus</v>
      </c>
      <c r="DA300" s="17">
        <f t="shared" si="230"/>
        <v>10</v>
      </c>
      <c r="DB300" s="17">
        <f t="shared" si="231"/>
        <v>2</v>
      </c>
      <c r="DC300" s="17" t="str">
        <f>"G3+ "&amp;$D$49</f>
        <v>G3+ Stomatitis</v>
      </c>
      <c r="DD300" s="17">
        <f t="shared" ca="1" si="232"/>
        <v>0</v>
      </c>
      <c r="DE300" s="956">
        <f t="shared" ca="1" si="233"/>
        <v>16.088392857142857</v>
      </c>
      <c r="DG300" s="1008">
        <f t="shared" si="234"/>
        <v>801.11</v>
      </c>
      <c r="DH300" s="1009">
        <f t="shared" si="235"/>
        <v>-0.1</v>
      </c>
      <c r="DI300" s="1007">
        <f t="shared" si="242"/>
        <v>3</v>
      </c>
    </row>
    <row r="301" spans="79:113" x14ac:dyDescent="0.2">
      <c r="CA301" s="17" t="str" cm="1">
        <f t="array" ref="CA301">INDEX(List_comparators,CB301+1)</f>
        <v>everolimus</v>
      </c>
      <c r="CB301" s="17">
        <v>10</v>
      </c>
      <c r="CC301" s="17">
        <v>2</v>
      </c>
      <c r="CD301" s="17"/>
      <c r="CE301" s="17"/>
      <c r="CF301" s="17"/>
      <c r="CG301" s="17"/>
      <c r="CH301" s="17"/>
      <c r="CI301" s="17"/>
      <c r="CJ301" s="17"/>
      <c r="CK301" s="17"/>
      <c r="CL301" s="17" t="str">
        <v>Platelets count decreased</v>
      </c>
      <c r="CM301" s="17">
        <v>18</v>
      </c>
      <c r="CN301" s="17">
        <v>0</v>
      </c>
      <c r="CO301" s="17">
        <f t="shared" ca="1" si="214"/>
        <v>0</v>
      </c>
      <c r="CP301" s="17"/>
      <c r="CQ301" s="17">
        <f t="shared" ca="1" si="238"/>
        <v>6387.0919642857143</v>
      </c>
      <c r="CR301" s="17">
        <v>0</v>
      </c>
      <c r="CS301" s="17">
        <f t="shared" ca="1" si="239"/>
        <v>0</v>
      </c>
      <c r="CT301" s="17" t="str">
        <f t="shared" si="236"/>
        <v>one-off</v>
      </c>
      <c r="CU301" s="17" t="str">
        <f t="shared" si="237"/>
        <v>Yes</v>
      </c>
      <c r="CV301" s="17">
        <f t="shared" ca="1" si="240"/>
        <v>1</v>
      </c>
      <c r="CW301" s="17">
        <f t="shared" ca="1" si="241"/>
        <v>0</v>
      </c>
      <c r="CY301" s="657">
        <v>21</v>
      </c>
      <c r="CZ301" s="17" t="str">
        <f t="shared" si="229"/>
        <v>everolimus</v>
      </c>
      <c r="DA301" s="17">
        <f t="shared" si="230"/>
        <v>10</v>
      </c>
      <c r="DB301" s="17">
        <f t="shared" si="231"/>
        <v>2</v>
      </c>
      <c r="DC301" s="17" t="str">
        <f>"G3+ "&amp;$D$50</f>
        <v>G3+ Vomiting</v>
      </c>
      <c r="DD301" s="17">
        <f t="shared" ca="1" si="232"/>
        <v>0</v>
      </c>
      <c r="DE301" s="956">
        <f t="shared" ca="1" si="233"/>
        <v>16.088392857142857</v>
      </c>
      <c r="DG301" s="1008">
        <f t="shared" si="234"/>
        <v>801.11</v>
      </c>
      <c r="DH301" s="1009">
        <f t="shared" si="235"/>
        <v>-0.1</v>
      </c>
      <c r="DI301" s="1007">
        <f t="shared" si="242"/>
        <v>3</v>
      </c>
    </row>
    <row r="302" spans="79:113" x14ac:dyDescent="0.2">
      <c r="CA302" s="17" t="str" cm="1">
        <f t="array" ref="CA302">INDEX(List_comparators,CB302+1)</f>
        <v>everolimus</v>
      </c>
      <c r="CB302" s="17">
        <v>10</v>
      </c>
      <c r="CC302" s="17">
        <v>2</v>
      </c>
      <c r="CD302" s="17"/>
      <c r="CE302" s="17"/>
      <c r="CF302" s="17"/>
      <c r="CG302" s="17"/>
      <c r="CH302" s="17"/>
      <c r="CI302" s="17"/>
      <c r="CJ302" s="17"/>
      <c r="CK302" s="17"/>
      <c r="CL302" s="17" t="str">
        <v>Proteinuria</v>
      </c>
      <c r="CM302" s="17">
        <v>19</v>
      </c>
      <c r="CN302" s="17">
        <v>0</v>
      </c>
      <c r="CO302" s="17">
        <f t="shared" ca="1" si="214"/>
        <v>0</v>
      </c>
      <c r="CP302" s="17"/>
      <c r="CQ302" s="17">
        <f t="shared" ca="1" si="238"/>
        <v>6387.0919642857143</v>
      </c>
      <c r="CR302" s="17">
        <v>0</v>
      </c>
      <c r="CS302" s="17">
        <f t="shared" ca="1" si="239"/>
        <v>0</v>
      </c>
      <c r="CT302" s="17" t="str">
        <f t="shared" si="236"/>
        <v>one-off</v>
      </c>
      <c r="CU302" s="17" t="str">
        <f t="shared" si="237"/>
        <v>Yes</v>
      </c>
      <c r="CV302" s="17">
        <f t="shared" ca="1" si="240"/>
        <v>1</v>
      </c>
      <c r="CW302" s="17">
        <f t="shared" ca="1" si="241"/>
        <v>0</v>
      </c>
      <c r="CY302" s="657">
        <v>22</v>
      </c>
      <c r="CZ302" s="17" t="str">
        <f t="shared" si="229"/>
        <v>everolimus</v>
      </c>
      <c r="DA302" s="17">
        <f t="shared" si="230"/>
        <v>10</v>
      </c>
      <c r="DB302" s="17">
        <f t="shared" si="231"/>
        <v>2</v>
      </c>
      <c r="DC302" s="17" t="str">
        <f>"G3+ "&amp;$D$51</f>
        <v>G3+ Weight loss</v>
      </c>
      <c r="DD302" s="17">
        <f t="shared" ca="1" si="232"/>
        <v>0</v>
      </c>
      <c r="DE302" s="956">
        <f t="shared" ca="1" si="233"/>
        <v>16.088392857142857</v>
      </c>
      <c r="DG302" s="1008">
        <f t="shared" si="234"/>
        <v>801.11</v>
      </c>
      <c r="DH302" s="1009">
        <f t="shared" si="235"/>
        <v>-0.1</v>
      </c>
      <c r="DI302" s="1007">
        <f t="shared" si="242"/>
        <v>3</v>
      </c>
    </row>
    <row r="303" spans="79:113" x14ac:dyDescent="0.2">
      <c r="CA303" s="17" t="str" cm="1">
        <f t="array" ref="CA303">INDEX(List_comparators,CB303+1)</f>
        <v>everolimus</v>
      </c>
      <c r="CB303" s="17">
        <v>10</v>
      </c>
      <c r="CC303" s="17">
        <v>2</v>
      </c>
      <c r="CD303" s="17"/>
      <c r="CE303" s="17"/>
      <c r="CF303" s="17"/>
      <c r="CG303" s="17"/>
      <c r="CH303" s="17"/>
      <c r="CI303" s="17"/>
      <c r="CJ303" s="17"/>
      <c r="CK303" s="17"/>
      <c r="CL303" s="17" t="str">
        <v>Stomatitis</v>
      </c>
      <c r="CM303" s="17">
        <v>20</v>
      </c>
      <c r="CN303" s="17">
        <v>0</v>
      </c>
      <c r="CO303" s="17">
        <f t="shared" ca="1" si="214"/>
        <v>0</v>
      </c>
      <c r="CP303" s="17"/>
      <c r="CQ303" s="17">
        <f t="shared" ca="1" si="238"/>
        <v>6387.0919642857143</v>
      </c>
      <c r="CR303" s="17">
        <v>0</v>
      </c>
      <c r="CS303" s="17">
        <f t="shared" ca="1" si="239"/>
        <v>0</v>
      </c>
      <c r="CT303" s="17" t="str">
        <f t="shared" si="236"/>
        <v>one-off</v>
      </c>
      <c r="CU303" s="17" t="str">
        <f t="shared" si="237"/>
        <v>Yes</v>
      </c>
      <c r="CV303" s="17">
        <f t="shared" ca="1" si="240"/>
        <v>1</v>
      </c>
      <c r="CW303" s="17">
        <f t="shared" ca="1" si="241"/>
        <v>0</v>
      </c>
      <c r="CY303" s="657">
        <v>1</v>
      </c>
      <c r="CZ303" s="17" t="str">
        <f t="shared" ref="CZ303:DB305" si="243">CA302</f>
        <v>everolimus</v>
      </c>
      <c r="DA303" s="17">
        <f t="shared" si="243"/>
        <v>10</v>
      </c>
      <c r="DB303" s="17">
        <f t="shared" si="243"/>
        <v>2</v>
      </c>
      <c r="DC303" s="17" t="str">
        <f>"G1&amp;2 "&amp;$D$18</f>
        <v>G1&amp;2 Diarrhoea</v>
      </c>
      <c r="DD303" s="17">
        <f ca="1">CHOOSE(i_AE_NMA_option_num,OFFSET($S$86,$CY303-1,$DA303),OFFSET($AG$18,$CY303-1,$DA303))</f>
        <v>2.226365312964499E-3</v>
      </c>
      <c r="DE303" s="956">
        <f ca="1">OFFSET($S$18,$CY303-1,$DA303)/INDEX($DT$14:$DT$27,MATCH(DA303,$DR$14:$DR$27,0))</f>
        <v>16.088392857142857</v>
      </c>
      <c r="DG303" s="1008">
        <f t="shared" si="234"/>
        <v>220.87</v>
      </c>
      <c r="DH303" s="1009">
        <f t="shared" si="235"/>
        <v>-0.05</v>
      </c>
      <c r="DI303" s="1007">
        <f t="shared" si="242"/>
        <v>3</v>
      </c>
    </row>
    <row r="304" spans="79:113" ht="15.75" thickBot="1" x14ac:dyDescent="0.25">
      <c r="CA304" s="622" t="str" cm="1">
        <f t="array" ref="CA304">INDEX(List_comparators,CB304+1)</f>
        <v>everolimus</v>
      </c>
      <c r="CB304" s="622">
        <v>10</v>
      </c>
      <c r="CC304" s="622">
        <v>2</v>
      </c>
      <c r="CD304" s="622"/>
      <c r="CE304" s="622"/>
      <c r="CF304" s="622"/>
      <c r="CG304" s="622"/>
      <c r="CH304" s="622"/>
      <c r="CI304" s="622"/>
      <c r="CJ304" s="622"/>
      <c r="CK304" s="622"/>
      <c r="CL304" s="622" t="str">
        <v>Vomiting</v>
      </c>
      <c r="CM304" s="622">
        <v>21</v>
      </c>
      <c r="CN304" s="622">
        <v>0</v>
      </c>
      <c r="CO304" s="622">
        <f t="shared" ca="1" si="214"/>
        <v>0</v>
      </c>
      <c r="CP304" s="622"/>
      <c r="CQ304" s="622">
        <f t="shared" ca="1" si="238"/>
        <v>6387.0919642857143</v>
      </c>
      <c r="CR304" s="622">
        <v>0</v>
      </c>
      <c r="CS304" s="622">
        <f t="shared" ca="1" si="239"/>
        <v>0</v>
      </c>
      <c r="CT304" s="622" t="str">
        <f t="shared" si="236"/>
        <v>one-off</v>
      </c>
      <c r="CU304" s="622" t="str">
        <f t="shared" si="237"/>
        <v>Yes</v>
      </c>
      <c r="CV304" s="622">
        <f t="shared" ca="1" si="240"/>
        <v>1</v>
      </c>
      <c r="CW304" s="622">
        <f t="shared" ca="1" si="241"/>
        <v>0</v>
      </c>
      <c r="CY304" s="657">
        <v>2</v>
      </c>
      <c r="CZ304" s="17" t="str">
        <f t="shared" si="243"/>
        <v>everolimus</v>
      </c>
      <c r="DA304" s="17">
        <f t="shared" si="243"/>
        <v>10</v>
      </c>
      <c r="DB304" s="17">
        <f t="shared" si="243"/>
        <v>2</v>
      </c>
      <c r="DC304" s="17" t="str">
        <f>"G1&amp;2 "&amp;$D$19</f>
        <v>G1&amp;2 Fatigue</v>
      </c>
      <c r="DD304" s="17">
        <f ca="1">CHOOSE(i_AE_NMA_option_num,OFFSET($S$86,$CY304-1,$DA304),OFFSET($AG$18,$CY304-1,$DA304))</f>
        <v>3.4471086565076914E-2</v>
      </c>
      <c r="DE304" s="956">
        <f ca="1">OFFSET($S$18,$CY303-1,$DA304)/INDEX($DT$14:$DT$27,MATCH(DA304,$DR$14:$DR$27,0))</f>
        <v>16.088392857142857</v>
      </c>
      <c r="DG304" s="1008">
        <f t="shared" si="234"/>
        <v>441.74</v>
      </c>
      <c r="DH304" s="1009">
        <f t="shared" si="235"/>
        <v>-0.05</v>
      </c>
      <c r="DI304" s="1007">
        <f t="shared" si="242"/>
        <v>3</v>
      </c>
    </row>
    <row r="305" spans="79:113" ht="15.75" thickTop="1" x14ac:dyDescent="0.2">
      <c r="CA305" s="17"/>
      <c r="CB305" s="17"/>
      <c r="CC305" s="17"/>
      <c r="CD305" s="17"/>
      <c r="CE305" s="17"/>
      <c r="CF305" s="17"/>
      <c r="CG305" s="17"/>
      <c r="CH305" s="17"/>
      <c r="CI305" s="17"/>
      <c r="CJ305" s="17"/>
      <c r="CK305" s="17"/>
      <c r="CL305" s="17" t="str">
        <v>Weight loss</v>
      </c>
      <c r="CM305" s="17"/>
      <c r="CN305" s="17"/>
      <c r="CO305" s="17"/>
      <c r="CP305" s="17"/>
      <c r="CQ305" s="17"/>
      <c r="CR305" s="17"/>
      <c r="CS305" s="17"/>
      <c r="CT305" s="17"/>
      <c r="CU305" s="17"/>
      <c r="CV305" s="17"/>
      <c r="CW305" s="17"/>
      <c r="CY305" s="657">
        <v>3</v>
      </c>
      <c r="CZ305" s="17" t="str">
        <f t="shared" si="243"/>
        <v>everolimus</v>
      </c>
      <c r="DA305" s="17">
        <f t="shared" si="243"/>
        <v>10</v>
      </c>
      <c r="DB305" s="17">
        <f t="shared" si="243"/>
        <v>2</v>
      </c>
      <c r="DC305" s="17" t="str">
        <f>"G1&amp;2 "&amp;$D$20</f>
        <v>G1&amp;2 Palmar-plantar erythrodysaesthesia syndrome</v>
      </c>
      <c r="DD305" s="17">
        <f ca="1">CHOOSE(i_AE_NMA_option_num,OFFSET($S$86,$CY305-1,$DA305),OFFSET($AG$18,$CY305-1,$DA305))</f>
        <v>0</v>
      </c>
      <c r="DE305" s="956">
        <f ca="1">OFFSET($S$18,$CY304-1,$DA305)/INDEX($DT$14:$DT$27,MATCH(DA305,$DR$14:$DR$27,0))</f>
        <v>16.088392857142857</v>
      </c>
      <c r="DF305" s="6" t="s">
        <v>711</v>
      </c>
      <c r="DG305" s="1008">
        <f t="shared" si="234"/>
        <v>441.74</v>
      </c>
      <c r="DH305" s="1009">
        <f t="shared" si="235"/>
        <v>-0.05</v>
      </c>
      <c r="DI305" s="1007">
        <f t="shared" si="242"/>
        <v>3</v>
      </c>
    </row>
    <row r="306" spans="79:113" x14ac:dyDescent="0.2">
      <c r="CA306" s="17" t="str" cm="1">
        <f t="array" ref="CA306">INDEX(List_comparators,CB306+1)</f>
        <v>axitinib</v>
      </c>
      <c r="CB306" s="17">
        <v>11</v>
      </c>
      <c r="CC306" s="17">
        <v>2</v>
      </c>
      <c r="CD306" s="17">
        <f ca="1">OFFSET($E$16,0,CB306)</f>
        <v>359</v>
      </c>
      <c r="CE306" s="17">
        <f ca="1">OFFSET($E$28,0,CB306)</f>
        <v>359</v>
      </c>
      <c r="CF306" s="17">
        <f ca="1">OFFSET($S$16,0,CB306)</f>
        <v>9990.4571428571417</v>
      </c>
      <c r="CG306" s="17">
        <f ca="1">OFFSET($S$28,0,CB306)</f>
        <v>9990.4571428571417</v>
      </c>
      <c r="CH306" s="17">
        <f ca="1">OFFSET($AG$16,0,CB306)</f>
        <v>3.5934291581108835E-2</v>
      </c>
      <c r="CI306" s="17">
        <f ca="1">OFFSET($AG$28,0,CB306)</f>
        <v>3.5934291581108835E-2</v>
      </c>
      <c r="CJ306" s="583">
        <f>$CJ$6</f>
        <v>3</v>
      </c>
      <c r="CK306" s="583">
        <f>$CK$6</f>
        <v>0.6</v>
      </c>
      <c r="CL306" s="17" t="str" cm="1">
        <f t="array" ref="CL306:CL308">List_AEs_all_grade</f>
        <v>Diarrhoea</v>
      </c>
      <c r="CM306" s="17">
        <v>1</v>
      </c>
      <c r="CN306" s="17">
        <f ca="1">OFFSET($E$18,$CM306-1,$CB306)</f>
        <v>193</v>
      </c>
      <c r="CO306" s="17">
        <f t="shared" ca="1" si="214"/>
        <v>0</v>
      </c>
      <c r="CP306" s="17">
        <f ca="1">OFFSET($S$18,$CM306-1,$CB306)</f>
        <v>9990.4571428571417</v>
      </c>
      <c r="CQ306" s="17">
        <v>0</v>
      </c>
      <c r="CR306" s="17">
        <f ca="1">OFFSET($AG$18,$CM306-1,$CB306)</f>
        <v>1.5314614517854184E-2</v>
      </c>
      <c r="CS306" s="17">
        <v>0</v>
      </c>
      <c r="CT306" s="17" t="str">
        <f>dd_apply_AE_options</f>
        <v>one-off</v>
      </c>
      <c r="CU306" s="17" t="str">
        <f>$CU$6</f>
        <v>Yes</v>
      </c>
      <c r="CV306" s="17">
        <f ca="1">OFFSET($E$86,$CM306-1,$CB306)</f>
        <v>3.76</v>
      </c>
      <c r="CW306" s="17">
        <f ca="1">OFFSET($S$86,$CM306-1,$CB306)</f>
        <v>5.7582950587131726E-2</v>
      </c>
      <c r="CY306" s="657">
        <v>1</v>
      </c>
      <c r="CZ306" s="17" t="str">
        <f t="shared" ref="CZ306:CZ327" si="244">CA306</f>
        <v>axitinib</v>
      </c>
      <c r="DA306" s="17">
        <f t="shared" ref="DA306:DA327" si="245">CB306</f>
        <v>11</v>
      </c>
      <c r="DB306" s="17">
        <f t="shared" ref="DB306:DB327" si="246">CC306</f>
        <v>2</v>
      </c>
      <c r="DC306" s="17" t="str">
        <f>"G3+ "&amp;$D$30</f>
        <v>G3+ ALT increased</v>
      </c>
      <c r="DD306" s="17">
        <f t="shared" ref="DD306:DD327" ca="1" si="247">IF(i_AE_impact_axi_equal_tivo=1,DD156,CHOOSE(i_AE_NMA_option_num,OFFSET($S$63,$CY306-1,$DA306),OFFSET($AG$30,$CY306-1,$DA306)))</f>
        <v>0</v>
      </c>
      <c r="DE306" s="956">
        <f t="shared" ref="DE306:DE327" ca="1" si="248">IF(i_AE_impact_axi_equal_tivo=1,DE156,OFFSET($S$30,$CY306-1,$DA306)/INDEX($DS$14:$DS$27,MATCH(DA306,$DR$14:$DR$27,0)))</f>
        <v>27.828571428571426</v>
      </c>
      <c r="DF306" s="6" t="b">
        <f ca="1">AND(DD306=DD156,DE306=DE156)</f>
        <v>0</v>
      </c>
      <c r="DG306" s="1008">
        <f>$DG281</f>
        <v>0</v>
      </c>
      <c r="DH306" s="1009">
        <f>$DH281</f>
        <v>-0.1</v>
      </c>
      <c r="DI306" s="1007">
        <f t="shared" si="242"/>
        <v>3</v>
      </c>
    </row>
    <row r="307" spans="79:113" x14ac:dyDescent="0.2">
      <c r="CA307" s="17" t="str" cm="1">
        <f t="array" ref="CA307">INDEX(List_comparators,CB307+1)</f>
        <v>axitinib</v>
      </c>
      <c r="CB307" s="17">
        <v>11</v>
      </c>
      <c r="CC307" s="17">
        <v>2</v>
      </c>
      <c r="CD307" s="17"/>
      <c r="CE307" s="17"/>
      <c r="CF307" s="17"/>
      <c r="CG307" s="17"/>
      <c r="CH307" s="17"/>
      <c r="CI307" s="17"/>
      <c r="CJ307" s="17"/>
      <c r="CK307" s="17"/>
      <c r="CL307" s="17" t="str">
        <v>Fatigue</v>
      </c>
      <c r="CM307" s="17">
        <v>2</v>
      </c>
      <c r="CN307" s="17">
        <f ca="1">OFFSET($E$18,$CM307-1,$CB307)</f>
        <v>133</v>
      </c>
      <c r="CO307" s="17">
        <f t="shared" ca="1" si="214"/>
        <v>0</v>
      </c>
      <c r="CP307" s="17">
        <f ca="1">OFFSET($S$18,$CM307-1,$CB307)</f>
        <v>9990.4571428571417</v>
      </c>
      <c r="CQ307" s="17">
        <v>0</v>
      </c>
      <c r="CR307" s="17">
        <f ca="1">OFFSET($AG$18,$CM307-1,$CB307)</f>
        <v>9.6091698935555653E-3</v>
      </c>
      <c r="CS307" s="17">
        <v>0</v>
      </c>
      <c r="CT307" s="17" t="str">
        <f>$CT$6</f>
        <v>one-off</v>
      </c>
      <c r="CU307" s="17" t="str">
        <f>$CU$6</f>
        <v>Yes</v>
      </c>
      <c r="CV307" s="17">
        <f ca="1">OFFSET($E$86,$CM307-1,$CB307)</f>
        <v>3.76</v>
      </c>
      <c r="CW307" s="17">
        <f ca="1">OFFSET($S$86,$CM307-1,$CB307)</f>
        <v>3.6130478799768925E-2</v>
      </c>
      <c r="CY307" s="657">
        <v>2</v>
      </c>
      <c r="CZ307" s="17" t="str">
        <f t="shared" si="244"/>
        <v>axitinib</v>
      </c>
      <c r="DA307" s="17">
        <f t="shared" si="245"/>
        <v>11</v>
      </c>
      <c r="DB307" s="17">
        <f t="shared" si="246"/>
        <v>2</v>
      </c>
      <c r="DC307" s="17" t="str">
        <f>"G3+ "&amp;$D$31</f>
        <v>G3+ Anaemia</v>
      </c>
      <c r="DD307" s="17">
        <f t="shared" ca="1" si="247"/>
        <v>0</v>
      </c>
      <c r="DE307" s="956">
        <f t="shared" ca="1" si="248"/>
        <v>27.828571428571426</v>
      </c>
      <c r="DF307" s="6" t="b">
        <f t="shared" ref="DF307:DF330" ca="1" si="249">AND(DD307=DD157,DE307=DE157)</f>
        <v>0</v>
      </c>
      <c r="DG307" s="1008">
        <f t="shared" ref="DG307:DG330" si="250">$DG282</f>
        <v>655.75</v>
      </c>
      <c r="DH307" s="1009">
        <f t="shared" ref="DH307:DH330" si="251">$DH282</f>
        <v>-0.1</v>
      </c>
      <c r="DI307" s="1007">
        <f t="shared" si="242"/>
        <v>3</v>
      </c>
    </row>
    <row r="308" spans="79:113" ht="15.75" thickBot="1" x14ac:dyDescent="0.25">
      <c r="CA308" s="19" t="str" cm="1">
        <f t="array" ref="CA308">INDEX(List_comparators,CB308+1)</f>
        <v>axitinib</v>
      </c>
      <c r="CB308" s="19">
        <v>11</v>
      </c>
      <c r="CC308" s="19">
        <v>2</v>
      </c>
      <c r="CD308" s="19"/>
      <c r="CE308" s="19"/>
      <c r="CF308" s="19"/>
      <c r="CG308" s="19"/>
      <c r="CH308" s="19"/>
      <c r="CI308" s="19"/>
      <c r="CJ308" s="19"/>
      <c r="CK308" s="19"/>
      <c r="CL308" s="19" t="str">
        <v>Palmar-plantar erythrodysaesthesia syndrome</v>
      </c>
      <c r="CM308" s="19">
        <v>3</v>
      </c>
      <c r="CN308" s="19">
        <f ca="1">OFFSET($E$18,$CM308-1,$CB308)</f>
        <v>100</v>
      </c>
      <c r="CO308" s="19">
        <f t="shared" ca="1" si="214"/>
        <v>0</v>
      </c>
      <c r="CP308" s="19">
        <f ca="1">OFFSET($S$18,$CM308-1,$CB308)</f>
        <v>9990.4571428571417</v>
      </c>
      <c r="CQ308" s="19">
        <v>0</v>
      </c>
      <c r="CR308" s="19">
        <f ca="1">OFFSET($AG$18,$CM308-1,$CB308)</f>
        <v>8.007641577962972E-3</v>
      </c>
      <c r="CS308" s="19">
        <v>0</v>
      </c>
      <c r="CT308" s="19" t="str">
        <f t="shared" ref="CT308:CT329" si="252">$CT$6</f>
        <v>one-off</v>
      </c>
      <c r="CU308" s="19" t="str">
        <f t="shared" ref="CU308:CU329" si="253">$CU$6</f>
        <v>Yes</v>
      </c>
      <c r="CV308" s="19">
        <f ca="1">OFFSET($E$86,$CM308-1,$CB308)</f>
        <v>2.27</v>
      </c>
      <c r="CW308" s="19">
        <f ca="1">OFFSET($S$86,$CM308-1,$CB308)</f>
        <v>1.8177346381975948E-2</v>
      </c>
      <c r="CY308" s="657">
        <v>3</v>
      </c>
      <c r="CZ308" s="17" t="str">
        <f t="shared" si="244"/>
        <v>axitinib</v>
      </c>
      <c r="DA308" s="17">
        <f t="shared" si="245"/>
        <v>11</v>
      </c>
      <c r="DB308" s="17">
        <f t="shared" si="246"/>
        <v>2</v>
      </c>
      <c r="DC308" s="17" t="str">
        <f>"G3+ "&amp;$D$32</f>
        <v>G3+ Decreased appetite</v>
      </c>
      <c r="DD308" s="17">
        <f t="shared" ca="1" si="247"/>
        <v>0</v>
      </c>
      <c r="DE308" s="956">
        <f t="shared" ca="1" si="248"/>
        <v>27.828571428571426</v>
      </c>
      <c r="DF308" s="6" t="b">
        <f t="shared" ca="1" si="249"/>
        <v>0</v>
      </c>
      <c r="DG308" s="1008">
        <f t="shared" si="250"/>
        <v>0</v>
      </c>
      <c r="DH308" s="1009">
        <f t="shared" si="251"/>
        <v>-0.1</v>
      </c>
      <c r="DI308" s="1007">
        <f t="shared" si="242"/>
        <v>3</v>
      </c>
    </row>
    <row r="309" spans="79:113" x14ac:dyDescent="0.2">
      <c r="CA309" s="17" t="str" cm="1">
        <f t="array" ref="CA309">INDEX(List_comparators,CB309+1)</f>
        <v>axitinib</v>
      </c>
      <c r="CB309" s="17">
        <v>11</v>
      </c>
      <c r="CC309" s="17">
        <v>2</v>
      </c>
      <c r="CD309" s="17"/>
      <c r="CE309" s="17"/>
      <c r="CF309" s="17"/>
      <c r="CG309" s="17"/>
      <c r="CH309" s="17"/>
      <c r="CI309" s="17"/>
      <c r="CJ309" s="17"/>
      <c r="CK309" s="17"/>
      <c r="CL309" s="252" t="str" cm="1">
        <f t="array" ref="CL309:CL330">List_AEs_g3</f>
        <v>ALT increased</v>
      </c>
      <c r="CM309" s="252">
        <v>1</v>
      </c>
      <c r="CN309" s="252">
        <v>0</v>
      </c>
      <c r="CO309" s="252">
        <f t="shared" ca="1" si="214"/>
        <v>0</v>
      </c>
      <c r="CP309" s="252"/>
      <c r="CQ309" s="252">
        <f t="shared" ref="CQ309:CQ329" ca="1" si="254">OFFSET($S$30,$CM309-1,$CB309)</f>
        <v>9990.4571428571417</v>
      </c>
      <c r="CR309" s="252">
        <v>0</v>
      </c>
      <c r="CS309" s="252">
        <f t="shared" ref="CS309:CS329" ca="1" si="255">OFFSET($AG$30,$CM309-1,$CB309)</f>
        <v>0</v>
      </c>
      <c r="CT309" s="252" t="str">
        <f t="shared" si="252"/>
        <v>one-off</v>
      </c>
      <c r="CU309" s="252" t="str">
        <f t="shared" si="253"/>
        <v>Yes</v>
      </c>
      <c r="CV309" s="252">
        <f ca="1">OFFSET($E$63,$CM309-1,$CB309)</f>
        <v>2.3029999999999999</v>
      </c>
      <c r="CW309" s="252">
        <f ca="1">OFFSET($S$63,$CM309-1,$CB309)</f>
        <v>0</v>
      </c>
      <c r="CY309" s="657">
        <v>4</v>
      </c>
      <c r="CZ309" s="17" t="str">
        <f t="shared" si="244"/>
        <v>axitinib</v>
      </c>
      <c r="DA309" s="17">
        <f t="shared" si="245"/>
        <v>11</v>
      </c>
      <c r="DB309" s="17">
        <f t="shared" si="246"/>
        <v>2</v>
      </c>
      <c r="DC309" s="17" t="str">
        <f>"G3+ "&amp;$D$33</f>
        <v>G3+ Diarrhoea _TKI induced</v>
      </c>
      <c r="DD309" s="17">
        <f t="shared" ca="1" si="247"/>
        <v>9.2207992770243618E-3</v>
      </c>
      <c r="DE309" s="956">
        <f t="shared" ca="1" si="248"/>
        <v>27.828571428571426</v>
      </c>
      <c r="DF309" s="6" t="b">
        <f t="shared" ca="1" si="249"/>
        <v>0</v>
      </c>
      <c r="DG309" s="1008">
        <f t="shared" si="250"/>
        <v>827.18</v>
      </c>
      <c r="DH309" s="1009">
        <f t="shared" si="251"/>
        <v>-0.1</v>
      </c>
      <c r="DI309" s="1007">
        <f t="shared" si="242"/>
        <v>3</v>
      </c>
    </row>
    <row r="310" spans="79:113" x14ac:dyDescent="0.2">
      <c r="CA310" s="17" t="str" cm="1">
        <f t="array" ref="CA310">INDEX(List_comparators,CB310+1)</f>
        <v>axitinib</v>
      </c>
      <c r="CB310" s="17">
        <v>11</v>
      </c>
      <c r="CC310" s="17">
        <v>2</v>
      </c>
      <c r="CD310" s="17"/>
      <c r="CE310" s="17"/>
      <c r="CF310" s="17"/>
      <c r="CG310" s="17"/>
      <c r="CH310" s="17"/>
      <c r="CI310" s="17"/>
      <c r="CJ310" s="17"/>
      <c r="CK310" s="17"/>
      <c r="CL310" s="17" t="str">
        <v>Anaemia</v>
      </c>
      <c r="CM310" s="17">
        <v>2</v>
      </c>
      <c r="CN310" s="17">
        <v>0</v>
      </c>
      <c r="CO310" s="17">
        <f t="shared" ca="1" si="214"/>
        <v>0</v>
      </c>
      <c r="CP310" s="17"/>
      <c r="CQ310" s="17">
        <f t="shared" ca="1" si="254"/>
        <v>9990.4571428571417</v>
      </c>
      <c r="CR310" s="17">
        <v>0</v>
      </c>
      <c r="CS310" s="17">
        <f t="shared" ca="1" si="255"/>
        <v>0</v>
      </c>
      <c r="CT310" s="17" t="str">
        <f t="shared" si="252"/>
        <v>one-off</v>
      </c>
      <c r="CU310" s="17" t="str">
        <f t="shared" si="253"/>
        <v>Yes</v>
      </c>
      <c r="CV310" s="17">
        <f t="shared" ref="CV310:CV329" ca="1" si="256">OFFSET($E$63,$CM310-1,$CB310)</f>
        <v>2.3029999999999999</v>
      </c>
      <c r="CW310" s="17">
        <f t="shared" ref="CW310:CW329" ca="1" si="257">OFFSET($S$63,$CM310-1,$CB310)</f>
        <v>0</v>
      </c>
      <c r="CY310" s="657">
        <v>5</v>
      </c>
      <c r="CZ310" s="17" t="str">
        <f t="shared" si="244"/>
        <v>axitinib</v>
      </c>
      <c r="DA310" s="17">
        <f t="shared" si="245"/>
        <v>11</v>
      </c>
      <c r="DB310" s="17">
        <f t="shared" si="246"/>
        <v>2</v>
      </c>
      <c r="DC310" s="17" t="str">
        <f>"G3+ "&amp;$D$34</f>
        <v>G3+ Diarrhoea _IO induced</v>
      </c>
      <c r="DD310" s="17">
        <f t="shared" ca="1" si="247"/>
        <v>0</v>
      </c>
      <c r="DE310" s="956">
        <f t="shared" ca="1" si="248"/>
        <v>27.828571428571426</v>
      </c>
      <c r="DF310" s="6" t="b">
        <f t="shared" ca="1" si="249"/>
        <v>0</v>
      </c>
      <c r="DG310" s="1008">
        <f t="shared" si="250"/>
        <v>4321.12</v>
      </c>
      <c r="DH310" s="1009">
        <f t="shared" si="251"/>
        <v>-0.1</v>
      </c>
      <c r="DI310" s="1007">
        <f t="shared" si="242"/>
        <v>3</v>
      </c>
    </row>
    <row r="311" spans="79:113" x14ac:dyDescent="0.2">
      <c r="CA311" s="17" t="str" cm="1">
        <f t="array" ref="CA311">INDEX(List_comparators,CB311+1)</f>
        <v>axitinib</v>
      </c>
      <c r="CB311" s="17">
        <v>11</v>
      </c>
      <c r="CC311" s="17">
        <v>2</v>
      </c>
      <c r="CD311" s="17"/>
      <c r="CE311" s="17"/>
      <c r="CF311" s="17"/>
      <c r="CG311" s="17"/>
      <c r="CH311" s="17"/>
      <c r="CI311" s="17"/>
      <c r="CJ311" s="17"/>
      <c r="CK311" s="17"/>
      <c r="CL311" s="17" t="str">
        <v>Decreased appetite</v>
      </c>
      <c r="CM311" s="17">
        <v>3</v>
      </c>
      <c r="CN311" s="17">
        <v>0</v>
      </c>
      <c r="CO311" s="17">
        <f t="shared" ca="1" si="214"/>
        <v>0</v>
      </c>
      <c r="CP311" s="17"/>
      <c r="CQ311" s="17">
        <f t="shared" ca="1" si="254"/>
        <v>9990.4571428571417</v>
      </c>
      <c r="CR311" s="17">
        <v>0</v>
      </c>
      <c r="CS311" s="17">
        <f t="shared" ca="1" si="255"/>
        <v>0</v>
      </c>
      <c r="CT311" s="17" t="str">
        <f t="shared" si="252"/>
        <v>one-off</v>
      </c>
      <c r="CU311" s="17" t="str">
        <f t="shared" si="253"/>
        <v>Yes</v>
      </c>
      <c r="CV311" s="17">
        <f t="shared" ca="1" si="256"/>
        <v>2.3029999999999999</v>
      </c>
      <c r="CW311" s="17">
        <f t="shared" ca="1" si="257"/>
        <v>0</v>
      </c>
      <c r="CY311" s="657">
        <v>6</v>
      </c>
      <c r="CZ311" s="17" t="str">
        <f t="shared" si="244"/>
        <v>axitinib</v>
      </c>
      <c r="DA311" s="17">
        <f t="shared" si="245"/>
        <v>11</v>
      </c>
      <c r="DB311" s="17">
        <f t="shared" si="246"/>
        <v>2</v>
      </c>
      <c r="DC311" s="17" t="str">
        <f>"G3+ "&amp;$D$35</f>
        <v>G3+ Fatigue</v>
      </c>
      <c r="DD311" s="17">
        <f t="shared" ca="1" si="247"/>
        <v>8.5292393312475338E-3</v>
      </c>
      <c r="DE311" s="956">
        <f t="shared" ca="1" si="248"/>
        <v>27.828571428571426</v>
      </c>
      <c r="DF311" s="6" t="b">
        <f t="shared" ca="1" si="249"/>
        <v>0</v>
      </c>
      <c r="DG311" s="1008">
        <f t="shared" si="250"/>
        <v>662.61</v>
      </c>
      <c r="DH311" s="1009">
        <f t="shared" si="251"/>
        <v>-0.1</v>
      </c>
      <c r="DI311" s="1007">
        <f t="shared" si="242"/>
        <v>3</v>
      </c>
    </row>
    <row r="312" spans="79:113" x14ac:dyDescent="0.2">
      <c r="CA312" s="17" t="str" cm="1">
        <f t="array" ref="CA312">INDEX(List_comparators,CB312+1)</f>
        <v>axitinib</v>
      </c>
      <c r="CB312" s="17">
        <v>11</v>
      </c>
      <c r="CC312" s="17">
        <v>2</v>
      </c>
      <c r="CD312" s="17"/>
      <c r="CE312" s="17"/>
      <c r="CF312" s="17"/>
      <c r="CG312" s="17"/>
      <c r="CH312" s="17"/>
      <c r="CI312" s="17"/>
      <c r="CJ312" s="17"/>
      <c r="CK312" s="17"/>
      <c r="CL312" s="17" t="str">
        <v>Diarrhoea _TKI induced</v>
      </c>
      <c r="CM312" s="17">
        <v>4</v>
      </c>
      <c r="CN312" s="17">
        <v>0</v>
      </c>
      <c r="CO312" s="17">
        <f t="shared" ca="1" si="214"/>
        <v>40</v>
      </c>
      <c r="CP312" s="17"/>
      <c r="CQ312" s="17">
        <f t="shared" ca="1" si="254"/>
        <v>9990.4571428571417</v>
      </c>
      <c r="CR312" s="17">
        <v>0</v>
      </c>
      <c r="CS312" s="17">
        <f t="shared" ca="1" si="255"/>
        <v>4.003820788981486E-3</v>
      </c>
      <c r="CT312" s="17" t="str">
        <f t="shared" si="252"/>
        <v>one-off</v>
      </c>
      <c r="CU312" s="17" t="str">
        <f t="shared" si="253"/>
        <v>Yes</v>
      </c>
      <c r="CV312" s="17">
        <f t="shared" ca="1" si="256"/>
        <v>2.3029999999999999</v>
      </c>
      <c r="CW312" s="17">
        <f t="shared" ca="1" si="257"/>
        <v>9.2207992770243618E-3</v>
      </c>
      <c r="CY312" s="657">
        <v>7</v>
      </c>
      <c r="CZ312" s="17" t="str">
        <f t="shared" si="244"/>
        <v>axitinib</v>
      </c>
      <c r="DA312" s="17">
        <f t="shared" si="245"/>
        <v>11</v>
      </c>
      <c r="DB312" s="17">
        <f t="shared" si="246"/>
        <v>2</v>
      </c>
      <c r="DC312" s="17" t="str">
        <f>"G3+ "&amp;$D$36</f>
        <v>G3+ HFS</v>
      </c>
      <c r="DD312" s="17">
        <f t="shared" ca="1" si="247"/>
        <v>4.6103996385121809E-3</v>
      </c>
      <c r="DE312" s="956">
        <f t="shared" ca="1" si="248"/>
        <v>27.828571428571426</v>
      </c>
      <c r="DF312" s="6" t="b">
        <f t="shared" ca="1" si="249"/>
        <v>0</v>
      </c>
      <c r="DG312" s="1008">
        <f t="shared" si="250"/>
        <v>621.42499999999995</v>
      </c>
      <c r="DH312" s="1009">
        <f t="shared" si="251"/>
        <v>-0.1</v>
      </c>
      <c r="DI312" s="1007">
        <f t="shared" si="242"/>
        <v>3</v>
      </c>
    </row>
    <row r="313" spans="79:113" x14ac:dyDescent="0.2">
      <c r="CA313" s="17" t="str" cm="1">
        <f t="array" ref="CA313">INDEX(List_comparators,CB313+1)</f>
        <v>axitinib</v>
      </c>
      <c r="CB313" s="17">
        <v>11</v>
      </c>
      <c r="CC313" s="17">
        <v>2</v>
      </c>
      <c r="CD313" s="17"/>
      <c r="CE313" s="17"/>
      <c r="CF313" s="17"/>
      <c r="CG313" s="17"/>
      <c r="CH313" s="17"/>
      <c r="CI313" s="17"/>
      <c r="CJ313" s="17"/>
      <c r="CK313" s="17"/>
      <c r="CL313" s="17" t="str">
        <v>Diarrhoea _IO induced</v>
      </c>
      <c r="CM313" s="17">
        <v>5</v>
      </c>
      <c r="CN313" s="17">
        <v>0</v>
      </c>
      <c r="CO313" s="17">
        <f t="shared" ca="1" si="214"/>
        <v>0</v>
      </c>
      <c r="CP313" s="17"/>
      <c r="CQ313" s="17">
        <f t="shared" ca="1" si="254"/>
        <v>9990.4571428571417</v>
      </c>
      <c r="CR313" s="17">
        <v>0</v>
      </c>
      <c r="CS313" s="17">
        <f t="shared" ca="1" si="255"/>
        <v>0</v>
      </c>
      <c r="CT313" s="17" t="str">
        <f t="shared" si="252"/>
        <v>one-off</v>
      </c>
      <c r="CU313" s="17" t="str">
        <f t="shared" si="253"/>
        <v>Yes</v>
      </c>
      <c r="CV313" s="17">
        <f t="shared" ca="1" si="256"/>
        <v>2.3029999999999999</v>
      </c>
      <c r="CW313" s="17">
        <f t="shared" ca="1" si="257"/>
        <v>0</v>
      </c>
      <c r="CY313" s="657">
        <v>8</v>
      </c>
      <c r="CZ313" s="17" t="str">
        <f t="shared" si="244"/>
        <v>axitinib</v>
      </c>
      <c r="DA313" s="17">
        <f t="shared" si="245"/>
        <v>11</v>
      </c>
      <c r="DB313" s="17">
        <f t="shared" si="246"/>
        <v>2</v>
      </c>
      <c r="DC313" s="17" t="str">
        <f>"G3+ "&amp;$D$37</f>
        <v>G3+ Hypertension</v>
      </c>
      <c r="DD313" s="17">
        <f t="shared" ca="1" si="247"/>
        <v>1.3831198915536542E-2</v>
      </c>
      <c r="DE313" s="956">
        <f t="shared" ca="1" si="248"/>
        <v>27.828571428571426</v>
      </c>
      <c r="DF313" s="6" t="b">
        <f t="shared" ca="1" si="249"/>
        <v>0</v>
      </c>
      <c r="DG313" s="1008">
        <f t="shared" si="250"/>
        <v>424.6</v>
      </c>
      <c r="DH313" s="1009">
        <f t="shared" si="251"/>
        <v>-0.1</v>
      </c>
      <c r="DI313" s="1007">
        <f t="shared" si="242"/>
        <v>3</v>
      </c>
    </row>
    <row r="314" spans="79:113" x14ac:dyDescent="0.2">
      <c r="CA314" s="17" t="str" cm="1">
        <f t="array" ref="CA314">INDEX(List_comparators,CB314+1)</f>
        <v>axitinib</v>
      </c>
      <c r="CB314" s="17">
        <v>11</v>
      </c>
      <c r="CC314" s="17">
        <v>2</v>
      </c>
      <c r="CD314" s="17"/>
      <c r="CE314" s="17"/>
      <c r="CF314" s="17"/>
      <c r="CG314" s="17"/>
      <c r="CH314" s="17"/>
      <c r="CI314" s="17"/>
      <c r="CJ314" s="17"/>
      <c r="CK314" s="17"/>
      <c r="CL314" s="17" t="str">
        <v>Fatigue</v>
      </c>
      <c r="CM314" s="17">
        <v>6</v>
      </c>
      <c r="CN314" s="17">
        <v>0</v>
      </c>
      <c r="CO314" s="17">
        <f t="shared" ca="1" si="214"/>
        <v>37</v>
      </c>
      <c r="CP314" s="17"/>
      <c r="CQ314" s="17">
        <f t="shared" ca="1" si="254"/>
        <v>9990.4571428571417</v>
      </c>
      <c r="CR314" s="17">
        <v>0</v>
      </c>
      <c r="CS314" s="17">
        <f t="shared" ca="1" si="255"/>
        <v>3.7035342298078742E-3</v>
      </c>
      <c r="CT314" s="17" t="str">
        <f t="shared" si="252"/>
        <v>one-off</v>
      </c>
      <c r="CU314" s="17" t="str">
        <f t="shared" si="253"/>
        <v>Yes</v>
      </c>
      <c r="CV314" s="17">
        <f t="shared" ca="1" si="256"/>
        <v>2.3029999999999999</v>
      </c>
      <c r="CW314" s="17">
        <f t="shared" ca="1" si="257"/>
        <v>8.5292393312475338E-3</v>
      </c>
      <c r="CY314" s="657">
        <v>9</v>
      </c>
      <c r="CZ314" s="17" t="str">
        <f t="shared" si="244"/>
        <v>axitinib</v>
      </c>
      <c r="DA314" s="17">
        <f t="shared" si="245"/>
        <v>11</v>
      </c>
      <c r="DB314" s="17">
        <f t="shared" si="246"/>
        <v>2</v>
      </c>
      <c r="DC314" s="17" t="str">
        <f>"G3+ "&amp;$D$38</f>
        <v>G3+ Hypertriglyceridemia</v>
      </c>
      <c r="DD314" s="17">
        <f t="shared" ca="1" si="247"/>
        <v>0</v>
      </c>
      <c r="DE314" s="956">
        <f t="shared" ca="1" si="248"/>
        <v>27.828571428571426</v>
      </c>
      <c r="DF314" s="6" t="b">
        <f t="shared" ca="1" si="249"/>
        <v>0</v>
      </c>
      <c r="DG314" s="1008">
        <f t="shared" si="250"/>
        <v>0</v>
      </c>
      <c r="DH314" s="1009">
        <f t="shared" si="251"/>
        <v>-0.1</v>
      </c>
      <c r="DI314" s="1007">
        <f t="shared" si="242"/>
        <v>3</v>
      </c>
    </row>
    <row r="315" spans="79:113" x14ac:dyDescent="0.2">
      <c r="CA315" s="17" t="str" cm="1">
        <f t="array" ref="CA315">INDEX(List_comparators,CB315+1)</f>
        <v>axitinib</v>
      </c>
      <c r="CB315" s="17">
        <v>11</v>
      </c>
      <c r="CC315" s="17">
        <v>2</v>
      </c>
      <c r="CD315" s="17"/>
      <c r="CE315" s="17"/>
      <c r="CF315" s="17"/>
      <c r="CG315" s="17"/>
      <c r="CH315" s="17"/>
      <c r="CI315" s="17"/>
      <c r="CJ315" s="17"/>
      <c r="CK315" s="17"/>
      <c r="CL315" s="17" t="str">
        <v>HFS</v>
      </c>
      <c r="CM315" s="17">
        <v>7</v>
      </c>
      <c r="CN315" s="17">
        <v>0</v>
      </c>
      <c r="CO315" s="17">
        <f t="shared" ca="1" si="214"/>
        <v>20</v>
      </c>
      <c r="CP315" s="17"/>
      <c r="CQ315" s="17">
        <f t="shared" ca="1" si="254"/>
        <v>9990.4571428571417</v>
      </c>
      <c r="CR315" s="17">
        <v>0</v>
      </c>
      <c r="CS315" s="17">
        <f t="shared" ca="1" si="255"/>
        <v>2.001910394490743E-3</v>
      </c>
      <c r="CT315" s="17" t="str">
        <f t="shared" si="252"/>
        <v>one-off</v>
      </c>
      <c r="CU315" s="17" t="str">
        <f t="shared" si="253"/>
        <v>Yes</v>
      </c>
      <c r="CV315" s="17">
        <f t="shared" ca="1" si="256"/>
        <v>2.3029999999999999</v>
      </c>
      <c r="CW315" s="17">
        <f t="shared" ca="1" si="257"/>
        <v>4.6103996385121809E-3</v>
      </c>
      <c r="CY315" s="657">
        <v>10</v>
      </c>
      <c r="CZ315" s="17" t="str">
        <f t="shared" si="244"/>
        <v>axitinib</v>
      </c>
      <c r="DA315" s="17">
        <f t="shared" si="245"/>
        <v>11</v>
      </c>
      <c r="DB315" s="17">
        <f t="shared" si="246"/>
        <v>2</v>
      </c>
      <c r="DC315" s="17" t="str">
        <f>"G3+ "&amp;$D$39</f>
        <v>G3+ Hyponatraemia</v>
      </c>
      <c r="DD315" s="17">
        <f t="shared" ca="1" si="247"/>
        <v>0</v>
      </c>
      <c r="DE315" s="956">
        <f t="shared" ca="1" si="248"/>
        <v>27.828571428571426</v>
      </c>
      <c r="DF315" s="6" t="b">
        <f t="shared" ca="1" si="249"/>
        <v>0</v>
      </c>
      <c r="DG315" s="1008">
        <f t="shared" si="250"/>
        <v>574.71</v>
      </c>
      <c r="DH315" s="1009">
        <f t="shared" si="251"/>
        <v>-0.1</v>
      </c>
      <c r="DI315" s="1007">
        <f t="shared" si="242"/>
        <v>3</v>
      </c>
    </row>
    <row r="316" spans="79:113" x14ac:dyDescent="0.2">
      <c r="CA316" s="17" t="str" cm="1">
        <f t="array" ref="CA316">INDEX(List_comparators,CB316+1)</f>
        <v>axitinib</v>
      </c>
      <c r="CB316" s="17">
        <v>11</v>
      </c>
      <c r="CC316" s="17">
        <v>2</v>
      </c>
      <c r="CD316" s="17"/>
      <c r="CE316" s="17"/>
      <c r="CF316" s="17"/>
      <c r="CG316" s="17"/>
      <c r="CH316" s="17"/>
      <c r="CI316" s="17"/>
      <c r="CJ316" s="17"/>
      <c r="CK316" s="17"/>
      <c r="CL316" s="17" t="str">
        <v>Hypertension</v>
      </c>
      <c r="CM316" s="17">
        <v>8</v>
      </c>
      <c r="CN316" s="17">
        <v>0</v>
      </c>
      <c r="CO316" s="17">
        <f t="shared" ca="1" si="214"/>
        <v>60</v>
      </c>
      <c r="CP316" s="17"/>
      <c r="CQ316" s="17">
        <f t="shared" ca="1" si="254"/>
        <v>9990.4571428571417</v>
      </c>
      <c r="CR316" s="17">
        <v>0</v>
      </c>
      <c r="CS316" s="17">
        <f t="shared" ca="1" si="255"/>
        <v>6.0057311834722281E-3</v>
      </c>
      <c r="CT316" s="17" t="str">
        <f t="shared" si="252"/>
        <v>one-off</v>
      </c>
      <c r="CU316" s="17" t="str">
        <f t="shared" si="253"/>
        <v>Yes</v>
      </c>
      <c r="CV316" s="17">
        <f t="shared" ca="1" si="256"/>
        <v>2.3029999999999999</v>
      </c>
      <c r="CW316" s="17">
        <f t="shared" ca="1" si="257"/>
        <v>1.3831198915536542E-2</v>
      </c>
      <c r="CY316" s="657">
        <v>11</v>
      </c>
      <c r="CZ316" s="17" t="str">
        <f t="shared" si="244"/>
        <v>axitinib</v>
      </c>
      <c r="DA316" s="17">
        <f t="shared" si="245"/>
        <v>11</v>
      </c>
      <c r="DB316" s="17">
        <f t="shared" si="246"/>
        <v>2</v>
      </c>
      <c r="DC316" s="17" t="str">
        <f>"G3+ "&amp;$D$40</f>
        <v>G3+ Hypophosphatemia</v>
      </c>
      <c r="DD316" s="17">
        <f t="shared" ca="1" si="247"/>
        <v>0</v>
      </c>
      <c r="DE316" s="956">
        <f t="shared" ca="1" si="248"/>
        <v>27.828571428571426</v>
      </c>
      <c r="DF316" s="6" t="b">
        <f t="shared" ca="1" si="249"/>
        <v>0</v>
      </c>
      <c r="DG316" s="1008">
        <f t="shared" si="250"/>
        <v>0</v>
      </c>
      <c r="DH316" s="1009">
        <f t="shared" si="251"/>
        <v>-0.1</v>
      </c>
      <c r="DI316" s="1007">
        <f t="shared" si="242"/>
        <v>3</v>
      </c>
    </row>
    <row r="317" spans="79:113" x14ac:dyDescent="0.2">
      <c r="CA317" s="17" t="str" cm="1">
        <f t="array" ref="CA317">INDEX(List_comparators,CB317+1)</f>
        <v>axitinib</v>
      </c>
      <c r="CB317" s="17">
        <v>11</v>
      </c>
      <c r="CC317" s="17">
        <v>2</v>
      </c>
      <c r="CD317" s="17"/>
      <c r="CE317" s="17"/>
      <c r="CF317" s="17"/>
      <c r="CG317" s="17"/>
      <c r="CH317" s="17"/>
      <c r="CI317" s="17"/>
      <c r="CJ317" s="17"/>
      <c r="CK317" s="17"/>
      <c r="CL317" s="17" t="str">
        <v>Hypertriglyceridemia</v>
      </c>
      <c r="CM317" s="17">
        <v>9</v>
      </c>
      <c r="CN317" s="17">
        <v>0</v>
      </c>
      <c r="CO317" s="17">
        <f t="shared" ca="1" si="214"/>
        <v>0</v>
      </c>
      <c r="CP317" s="17"/>
      <c r="CQ317" s="17">
        <f t="shared" ca="1" si="254"/>
        <v>9990.4571428571417</v>
      </c>
      <c r="CR317" s="17">
        <v>0</v>
      </c>
      <c r="CS317" s="17">
        <f t="shared" ca="1" si="255"/>
        <v>0</v>
      </c>
      <c r="CT317" s="17" t="str">
        <f t="shared" si="252"/>
        <v>one-off</v>
      </c>
      <c r="CU317" s="17" t="str">
        <f t="shared" si="253"/>
        <v>Yes</v>
      </c>
      <c r="CV317" s="17">
        <f t="shared" ca="1" si="256"/>
        <v>2.3029999999999999</v>
      </c>
      <c r="CW317" s="17">
        <f t="shared" ca="1" si="257"/>
        <v>0</v>
      </c>
      <c r="CY317" s="657">
        <v>12</v>
      </c>
      <c r="CZ317" s="17" t="str">
        <f t="shared" si="244"/>
        <v>axitinib</v>
      </c>
      <c r="DA317" s="17">
        <f t="shared" si="245"/>
        <v>11</v>
      </c>
      <c r="DB317" s="17">
        <f t="shared" si="246"/>
        <v>2</v>
      </c>
      <c r="DC317" s="17" t="str">
        <f>"G3+ "&amp;$D$41</f>
        <v>G3+ Increase in lipase</v>
      </c>
      <c r="DD317" s="17">
        <f t="shared" ca="1" si="247"/>
        <v>0</v>
      </c>
      <c r="DE317" s="956">
        <f t="shared" ca="1" si="248"/>
        <v>27.828571428571426</v>
      </c>
      <c r="DF317" s="6" t="b">
        <f t="shared" ca="1" si="249"/>
        <v>0</v>
      </c>
      <c r="DG317" s="1008">
        <f t="shared" si="250"/>
        <v>655.75</v>
      </c>
      <c r="DH317" s="1009">
        <f t="shared" si="251"/>
        <v>-0.1</v>
      </c>
      <c r="DI317" s="1007">
        <f t="shared" si="242"/>
        <v>3</v>
      </c>
    </row>
    <row r="318" spans="79:113" x14ac:dyDescent="0.2">
      <c r="CA318" s="17" t="str" cm="1">
        <f t="array" ref="CA318">INDEX(List_comparators,CB318+1)</f>
        <v>axitinib</v>
      </c>
      <c r="CB318" s="17">
        <v>11</v>
      </c>
      <c r="CC318" s="17">
        <v>2</v>
      </c>
      <c r="CD318" s="17"/>
      <c r="CE318" s="17"/>
      <c r="CF318" s="17"/>
      <c r="CG318" s="17"/>
      <c r="CH318" s="17"/>
      <c r="CI318" s="17"/>
      <c r="CJ318" s="17"/>
      <c r="CK318" s="17"/>
      <c r="CL318" s="17" t="str">
        <v>Hyponatraemia</v>
      </c>
      <c r="CM318" s="17">
        <v>10</v>
      </c>
      <c r="CN318" s="17">
        <v>0</v>
      </c>
      <c r="CO318" s="17">
        <f t="shared" ca="1" si="214"/>
        <v>0</v>
      </c>
      <c r="CP318" s="17"/>
      <c r="CQ318" s="17">
        <f t="shared" ca="1" si="254"/>
        <v>9990.4571428571417</v>
      </c>
      <c r="CR318" s="17">
        <v>0</v>
      </c>
      <c r="CS318" s="17">
        <f t="shared" ca="1" si="255"/>
        <v>0</v>
      </c>
      <c r="CT318" s="17" t="str">
        <f t="shared" si="252"/>
        <v>one-off</v>
      </c>
      <c r="CU318" s="17" t="str">
        <f t="shared" si="253"/>
        <v>Yes</v>
      </c>
      <c r="CV318" s="17">
        <f t="shared" ca="1" si="256"/>
        <v>2.3029999999999999</v>
      </c>
      <c r="CW318" s="17">
        <f t="shared" ca="1" si="257"/>
        <v>0</v>
      </c>
      <c r="CY318" s="657">
        <v>13</v>
      </c>
      <c r="CZ318" s="17" t="str">
        <f t="shared" si="244"/>
        <v>axitinib</v>
      </c>
      <c r="DA318" s="17">
        <f t="shared" si="245"/>
        <v>11</v>
      </c>
      <c r="DB318" s="17">
        <f t="shared" si="246"/>
        <v>2</v>
      </c>
      <c r="DC318" s="17" t="str">
        <f>"G3+ "&amp;$D$42</f>
        <v>G3+ Increased AST</v>
      </c>
      <c r="DD318" s="17">
        <f t="shared" ca="1" si="247"/>
        <v>0</v>
      </c>
      <c r="DE318" s="956">
        <f t="shared" ca="1" si="248"/>
        <v>27.828571428571426</v>
      </c>
      <c r="DF318" s="6" t="b">
        <f t="shared" ca="1" si="249"/>
        <v>0</v>
      </c>
      <c r="DG318" s="1008">
        <f t="shared" si="250"/>
        <v>0</v>
      </c>
      <c r="DH318" s="1009">
        <f t="shared" si="251"/>
        <v>-0.1</v>
      </c>
      <c r="DI318" s="1007">
        <f t="shared" si="242"/>
        <v>3</v>
      </c>
    </row>
    <row r="319" spans="79:113" x14ac:dyDescent="0.2">
      <c r="CA319" s="17" t="str" cm="1">
        <f t="array" ref="CA319">INDEX(List_comparators,CB319+1)</f>
        <v>axitinib</v>
      </c>
      <c r="CB319" s="17">
        <v>11</v>
      </c>
      <c r="CC319" s="17">
        <v>2</v>
      </c>
      <c r="CD319" s="17"/>
      <c r="CE319" s="17"/>
      <c r="CF319" s="17"/>
      <c r="CG319" s="17"/>
      <c r="CH319" s="17"/>
      <c r="CI319" s="17"/>
      <c r="CJ319" s="17"/>
      <c r="CK319" s="17"/>
      <c r="CL319" s="17" t="str">
        <v>Hypophosphatemia</v>
      </c>
      <c r="CM319" s="17">
        <v>11</v>
      </c>
      <c r="CN319" s="17">
        <v>0</v>
      </c>
      <c r="CO319" s="17">
        <f t="shared" ca="1" si="214"/>
        <v>0</v>
      </c>
      <c r="CP319" s="17"/>
      <c r="CQ319" s="17">
        <f t="shared" ca="1" si="254"/>
        <v>9990.4571428571417</v>
      </c>
      <c r="CR319" s="17">
        <v>0</v>
      </c>
      <c r="CS319" s="17">
        <f t="shared" ca="1" si="255"/>
        <v>0</v>
      </c>
      <c r="CT319" s="17" t="str">
        <f t="shared" si="252"/>
        <v>one-off</v>
      </c>
      <c r="CU319" s="17" t="str">
        <f t="shared" si="253"/>
        <v>Yes</v>
      </c>
      <c r="CV319" s="17">
        <f t="shared" ca="1" si="256"/>
        <v>2.3029999999999999</v>
      </c>
      <c r="CW319" s="17">
        <f t="shared" ca="1" si="257"/>
        <v>0</v>
      </c>
      <c r="CY319" s="657">
        <v>14</v>
      </c>
      <c r="CZ319" s="17" t="str">
        <f t="shared" si="244"/>
        <v>axitinib</v>
      </c>
      <c r="DA319" s="17">
        <f t="shared" si="245"/>
        <v>11</v>
      </c>
      <c r="DB319" s="17">
        <f t="shared" si="246"/>
        <v>2</v>
      </c>
      <c r="DC319" s="17" t="str">
        <f>"G3+ "&amp;$D$43</f>
        <v>G3+ Leukopenia</v>
      </c>
      <c r="DD319" s="17">
        <f t="shared" ca="1" si="247"/>
        <v>0</v>
      </c>
      <c r="DE319" s="956">
        <f t="shared" ca="1" si="248"/>
        <v>27.828571428571426</v>
      </c>
      <c r="DF319" s="6" t="b">
        <f t="shared" ca="1" si="249"/>
        <v>0</v>
      </c>
      <c r="DG319" s="1008">
        <f t="shared" si="250"/>
        <v>0</v>
      </c>
      <c r="DH319" s="1009">
        <f t="shared" si="251"/>
        <v>-0.1</v>
      </c>
      <c r="DI319" s="1007">
        <f t="shared" si="242"/>
        <v>3</v>
      </c>
    </row>
    <row r="320" spans="79:113" x14ac:dyDescent="0.2">
      <c r="CA320" s="17" t="str" cm="1">
        <f t="array" ref="CA320">INDEX(List_comparators,CB320+1)</f>
        <v>axitinib</v>
      </c>
      <c r="CB320" s="17">
        <v>11</v>
      </c>
      <c r="CC320" s="17">
        <v>2</v>
      </c>
      <c r="CD320" s="17"/>
      <c r="CE320" s="17"/>
      <c r="CF320" s="17"/>
      <c r="CG320" s="17"/>
      <c r="CH320" s="17"/>
      <c r="CI320" s="17"/>
      <c r="CJ320" s="17"/>
      <c r="CK320" s="17"/>
      <c r="CL320" s="17" t="str">
        <v>Increase in lipase</v>
      </c>
      <c r="CM320" s="17">
        <v>12</v>
      </c>
      <c r="CN320" s="17">
        <v>0</v>
      </c>
      <c r="CO320" s="17">
        <f t="shared" ref="CO320:CO329" ca="1" si="258">OFFSET($E$30,$CM320-1,$CB320)</f>
        <v>0</v>
      </c>
      <c r="CP320" s="17"/>
      <c r="CQ320" s="17">
        <f t="shared" ca="1" si="254"/>
        <v>9990.4571428571417</v>
      </c>
      <c r="CR320" s="17">
        <v>0</v>
      </c>
      <c r="CS320" s="17">
        <f t="shared" ca="1" si="255"/>
        <v>0</v>
      </c>
      <c r="CT320" s="17" t="str">
        <f t="shared" si="252"/>
        <v>one-off</v>
      </c>
      <c r="CU320" s="17" t="str">
        <f t="shared" si="253"/>
        <v>Yes</v>
      </c>
      <c r="CV320" s="17">
        <f t="shared" ca="1" si="256"/>
        <v>2.3029999999999999</v>
      </c>
      <c r="CW320" s="17">
        <f t="shared" ca="1" si="257"/>
        <v>0</v>
      </c>
      <c r="CY320" s="657">
        <v>15</v>
      </c>
      <c r="CZ320" s="17" t="str">
        <f t="shared" si="244"/>
        <v>axitinib</v>
      </c>
      <c r="DA320" s="17">
        <f t="shared" si="245"/>
        <v>11</v>
      </c>
      <c r="DB320" s="17">
        <f t="shared" si="246"/>
        <v>2</v>
      </c>
      <c r="DC320" s="17" t="str">
        <f>"G3+ "&amp;$D$44</f>
        <v>G3+ Lymphopenia</v>
      </c>
      <c r="DD320" s="17">
        <f t="shared" ca="1" si="247"/>
        <v>0</v>
      </c>
      <c r="DE320" s="956">
        <f t="shared" ca="1" si="248"/>
        <v>27.828571428571426</v>
      </c>
      <c r="DF320" s="6" t="b">
        <f t="shared" ca="1" si="249"/>
        <v>0</v>
      </c>
      <c r="DG320" s="1008">
        <f t="shared" si="250"/>
        <v>679.97</v>
      </c>
      <c r="DH320" s="1009">
        <f t="shared" si="251"/>
        <v>-0.1</v>
      </c>
      <c r="DI320" s="1007">
        <f t="shared" si="242"/>
        <v>3</v>
      </c>
    </row>
    <row r="321" spans="79:113" x14ac:dyDescent="0.2">
      <c r="CA321" s="17" t="str" cm="1">
        <f t="array" ref="CA321">INDEX(List_comparators,CB321+1)</f>
        <v>axitinib</v>
      </c>
      <c r="CB321" s="17">
        <v>11</v>
      </c>
      <c r="CC321" s="17">
        <v>2</v>
      </c>
      <c r="CD321" s="17"/>
      <c r="CE321" s="17"/>
      <c r="CF321" s="17"/>
      <c r="CG321" s="17"/>
      <c r="CH321" s="17"/>
      <c r="CI321" s="17"/>
      <c r="CJ321" s="17"/>
      <c r="CK321" s="17"/>
      <c r="CL321" s="17" t="str">
        <v>Increased AST</v>
      </c>
      <c r="CM321" s="17">
        <v>13</v>
      </c>
      <c r="CN321" s="17">
        <v>0</v>
      </c>
      <c r="CO321" s="17">
        <f t="shared" ca="1" si="258"/>
        <v>0</v>
      </c>
      <c r="CP321" s="17"/>
      <c r="CQ321" s="17">
        <f t="shared" ca="1" si="254"/>
        <v>9990.4571428571417</v>
      </c>
      <c r="CR321" s="17">
        <v>0</v>
      </c>
      <c r="CS321" s="17">
        <f t="shared" ca="1" si="255"/>
        <v>0</v>
      </c>
      <c r="CT321" s="17" t="str">
        <f t="shared" si="252"/>
        <v>one-off</v>
      </c>
      <c r="CU321" s="17" t="str">
        <f t="shared" si="253"/>
        <v>Yes</v>
      </c>
      <c r="CV321" s="17">
        <f t="shared" ca="1" si="256"/>
        <v>2.3029999999999999</v>
      </c>
      <c r="CW321" s="17">
        <f t="shared" ca="1" si="257"/>
        <v>0</v>
      </c>
      <c r="CY321" s="657">
        <v>16</v>
      </c>
      <c r="CZ321" s="17" t="str">
        <f t="shared" si="244"/>
        <v>axitinib</v>
      </c>
      <c r="DA321" s="17">
        <f t="shared" si="245"/>
        <v>11</v>
      </c>
      <c r="DB321" s="17">
        <f t="shared" si="246"/>
        <v>2</v>
      </c>
      <c r="DC321" s="17" t="str">
        <f>"G3+ "&amp;$D$45</f>
        <v>G3+ Nausea</v>
      </c>
      <c r="DD321" s="17">
        <f t="shared" ca="1" si="247"/>
        <v>0</v>
      </c>
      <c r="DE321" s="956">
        <f t="shared" ca="1" si="248"/>
        <v>27.828571428571426</v>
      </c>
      <c r="DF321" s="6" t="b">
        <f t="shared" ca="1" si="249"/>
        <v>0</v>
      </c>
      <c r="DG321" s="1008">
        <f t="shared" si="250"/>
        <v>801.11</v>
      </c>
      <c r="DH321" s="1009">
        <f t="shared" si="251"/>
        <v>-0.1</v>
      </c>
      <c r="DI321" s="1007">
        <f t="shared" si="242"/>
        <v>3</v>
      </c>
    </row>
    <row r="322" spans="79:113" x14ac:dyDescent="0.2">
      <c r="CA322" s="17" t="str" cm="1">
        <f t="array" ref="CA322">INDEX(List_comparators,CB322+1)</f>
        <v>axitinib</v>
      </c>
      <c r="CB322" s="17">
        <v>11</v>
      </c>
      <c r="CC322" s="17">
        <v>2</v>
      </c>
      <c r="CD322" s="17"/>
      <c r="CE322" s="17"/>
      <c r="CF322" s="17"/>
      <c r="CG322" s="17"/>
      <c r="CH322" s="17"/>
      <c r="CI322" s="17"/>
      <c r="CJ322" s="17"/>
      <c r="CK322" s="17"/>
      <c r="CL322" s="17" t="str">
        <v>Leukopenia</v>
      </c>
      <c r="CM322" s="17">
        <v>14</v>
      </c>
      <c r="CN322" s="17">
        <v>0</v>
      </c>
      <c r="CO322" s="17">
        <f t="shared" ca="1" si="258"/>
        <v>0</v>
      </c>
      <c r="CP322" s="17"/>
      <c r="CQ322" s="17">
        <f t="shared" ca="1" si="254"/>
        <v>9990.4571428571417</v>
      </c>
      <c r="CR322" s="17">
        <v>0</v>
      </c>
      <c r="CS322" s="17">
        <f t="shared" ca="1" si="255"/>
        <v>0</v>
      </c>
      <c r="CT322" s="17" t="str">
        <f t="shared" si="252"/>
        <v>one-off</v>
      </c>
      <c r="CU322" s="17" t="str">
        <f t="shared" si="253"/>
        <v>Yes</v>
      </c>
      <c r="CV322" s="17">
        <f t="shared" ca="1" si="256"/>
        <v>2.3029999999999999</v>
      </c>
      <c r="CW322" s="17">
        <f t="shared" ca="1" si="257"/>
        <v>0</v>
      </c>
      <c r="CY322" s="657">
        <v>17</v>
      </c>
      <c r="CZ322" s="17" t="str">
        <f t="shared" si="244"/>
        <v>axitinib</v>
      </c>
      <c r="DA322" s="17">
        <f t="shared" si="245"/>
        <v>11</v>
      </c>
      <c r="DB322" s="17">
        <f t="shared" si="246"/>
        <v>2</v>
      </c>
      <c r="DC322" s="17" t="str">
        <f>"G3+ "&amp;$D$46</f>
        <v>G3+ Neutropenia</v>
      </c>
      <c r="DD322" s="17">
        <f t="shared" ca="1" si="247"/>
        <v>0</v>
      </c>
      <c r="DE322" s="956">
        <f t="shared" ca="1" si="248"/>
        <v>27.828571428571426</v>
      </c>
      <c r="DF322" s="6" t="b">
        <f t="shared" ca="1" si="249"/>
        <v>0</v>
      </c>
      <c r="DG322" s="1008">
        <f t="shared" si="250"/>
        <v>655.75</v>
      </c>
      <c r="DH322" s="1009">
        <f t="shared" si="251"/>
        <v>-0.1</v>
      </c>
      <c r="DI322" s="1007">
        <f t="shared" si="242"/>
        <v>3</v>
      </c>
    </row>
    <row r="323" spans="79:113" x14ac:dyDescent="0.2">
      <c r="CA323" s="17" t="str" cm="1">
        <f t="array" ref="CA323">INDEX(List_comparators,CB323+1)</f>
        <v>axitinib</v>
      </c>
      <c r="CB323" s="17">
        <v>11</v>
      </c>
      <c r="CC323" s="17">
        <v>2</v>
      </c>
      <c r="CD323" s="17"/>
      <c r="CE323" s="17"/>
      <c r="CF323" s="17"/>
      <c r="CG323" s="17"/>
      <c r="CH323" s="17"/>
      <c r="CI323" s="17"/>
      <c r="CJ323" s="17"/>
      <c r="CK323" s="17"/>
      <c r="CL323" s="17" t="str">
        <v>Lymphopenia</v>
      </c>
      <c r="CM323" s="17">
        <v>15</v>
      </c>
      <c r="CN323" s="17">
        <v>0</v>
      </c>
      <c r="CO323" s="17">
        <f t="shared" ca="1" si="258"/>
        <v>0</v>
      </c>
      <c r="CP323" s="17"/>
      <c r="CQ323" s="17">
        <f t="shared" ca="1" si="254"/>
        <v>9990.4571428571417</v>
      </c>
      <c r="CR323" s="17">
        <v>0</v>
      </c>
      <c r="CS323" s="17">
        <f t="shared" ca="1" si="255"/>
        <v>0</v>
      </c>
      <c r="CT323" s="17" t="str">
        <f t="shared" si="252"/>
        <v>one-off</v>
      </c>
      <c r="CU323" s="17" t="str">
        <f t="shared" si="253"/>
        <v>Yes</v>
      </c>
      <c r="CV323" s="17">
        <f t="shared" ca="1" si="256"/>
        <v>2.3029999999999999</v>
      </c>
      <c r="CW323" s="17">
        <f t="shared" ca="1" si="257"/>
        <v>0</v>
      </c>
      <c r="CY323" s="657">
        <v>18</v>
      </c>
      <c r="CZ323" s="17" t="str">
        <f t="shared" si="244"/>
        <v>axitinib</v>
      </c>
      <c r="DA323" s="17">
        <f t="shared" si="245"/>
        <v>11</v>
      </c>
      <c r="DB323" s="17">
        <f t="shared" si="246"/>
        <v>2</v>
      </c>
      <c r="DC323" s="17" t="str">
        <f>"G3+ "&amp;$D$47</f>
        <v>G3+ Platelets count decreased</v>
      </c>
      <c r="DD323" s="17">
        <f t="shared" ca="1" si="247"/>
        <v>0</v>
      </c>
      <c r="DE323" s="956">
        <f t="shared" ca="1" si="248"/>
        <v>27.828571428571426</v>
      </c>
      <c r="DF323" s="6" t="b">
        <f t="shared" ca="1" si="249"/>
        <v>0</v>
      </c>
      <c r="DG323" s="1008">
        <f t="shared" si="250"/>
        <v>801.11</v>
      </c>
      <c r="DH323" s="1009">
        <f t="shared" si="251"/>
        <v>-0.1</v>
      </c>
      <c r="DI323" s="1007">
        <f t="shared" si="242"/>
        <v>3</v>
      </c>
    </row>
    <row r="324" spans="79:113" x14ac:dyDescent="0.2">
      <c r="CA324" s="17" t="str" cm="1">
        <f t="array" ref="CA324">INDEX(List_comparators,CB324+1)</f>
        <v>axitinib</v>
      </c>
      <c r="CB324" s="17">
        <v>11</v>
      </c>
      <c r="CC324" s="17">
        <v>2</v>
      </c>
      <c r="CD324" s="17"/>
      <c r="CE324" s="17"/>
      <c r="CF324" s="17"/>
      <c r="CG324" s="17"/>
      <c r="CH324" s="17"/>
      <c r="CI324" s="17"/>
      <c r="CJ324" s="17"/>
      <c r="CK324" s="17"/>
      <c r="CL324" s="17" t="str">
        <v>Nausea</v>
      </c>
      <c r="CM324" s="17">
        <v>16</v>
      </c>
      <c r="CN324" s="17">
        <v>0</v>
      </c>
      <c r="CO324" s="17">
        <f t="shared" ca="1" si="258"/>
        <v>0</v>
      </c>
      <c r="CP324" s="17"/>
      <c r="CQ324" s="17">
        <f t="shared" ca="1" si="254"/>
        <v>9990.4571428571417</v>
      </c>
      <c r="CR324" s="17">
        <v>0</v>
      </c>
      <c r="CS324" s="17">
        <f t="shared" ca="1" si="255"/>
        <v>0</v>
      </c>
      <c r="CT324" s="17" t="str">
        <f t="shared" si="252"/>
        <v>one-off</v>
      </c>
      <c r="CU324" s="17" t="str">
        <f t="shared" si="253"/>
        <v>Yes</v>
      </c>
      <c r="CV324" s="17">
        <f t="shared" ca="1" si="256"/>
        <v>2.3029999999999999</v>
      </c>
      <c r="CW324" s="17">
        <f t="shared" ca="1" si="257"/>
        <v>0</v>
      </c>
      <c r="CY324" s="657">
        <v>19</v>
      </c>
      <c r="CZ324" s="17" t="str">
        <f t="shared" si="244"/>
        <v>axitinib</v>
      </c>
      <c r="DA324" s="17">
        <f t="shared" si="245"/>
        <v>11</v>
      </c>
      <c r="DB324" s="17">
        <f t="shared" si="246"/>
        <v>2</v>
      </c>
      <c r="DC324" s="17" t="str">
        <f>"G3+ "&amp;$D$48</f>
        <v>G3+ Proteinuria</v>
      </c>
      <c r="DD324" s="17">
        <f t="shared" ca="1" si="247"/>
        <v>0</v>
      </c>
      <c r="DE324" s="956">
        <f t="shared" ca="1" si="248"/>
        <v>27.828571428571426</v>
      </c>
      <c r="DF324" s="6" t="b">
        <f t="shared" ca="1" si="249"/>
        <v>0</v>
      </c>
      <c r="DG324" s="1008">
        <f t="shared" si="250"/>
        <v>220.87</v>
      </c>
      <c r="DH324" s="1009">
        <f t="shared" si="251"/>
        <v>-0.1</v>
      </c>
      <c r="DI324" s="1007">
        <f t="shared" si="242"/>
        <v>3</v>
      </c>
    </row>
    <row r="325" spans="79:113" x14ac:dyDescent="0.2">
      <c r="CA325" s="17" t="str" cm="1">
        <f t="array" ref="CA325">INDEX(List_comparators,CB325+1)</f>
        <v>axitinib</v>
      </c>
      <c r="CB325" s="17">
        <v>11</v>
      </c>
      <c r="CC325" s="17">
        <v>2</v>
      </c>
      <c r="CD325" s="17"/>
      <c r="CE325" s="17"/>
      <c r="CF325" s="17"/>
      <c r="CG325" s="17"/>
      <c r="CH325" s="17"/>
      <c r="CI325" s="17"/>
      <c r="CJ325" s="17"/>
      <c r="CK325" s="17"/>
      <c r="CL325" s="17" t="str">
        <v>Neutropenia</v>
      </c>
      <c r="CM325" s="17">
        <v>17</v>
      </c>
      <c r="CN325" s="17">
        <v>0</v>
      </c>
      <c r="CO325" s="17">
        <f t="shared" ca="1" si="258"/>
        <v>0</v>
      </c>
      <c r="CP325" s="17"/>
      <c r="CQ325" s="17">
        <f t="shared" ca="1" si="254"/>
        <v>9990.4571428571417</v>
      </c>
      <c r="CR325" s="17">
        <v>0</v>
      </c>
      <c r="CS325" s="17">
        <f t="shared" ca="1" si="255"/>
        <v>0</v>
      </c>
      <c r="CT325" s="17" t="str">
        <f t="shared" si="252"/>
        <v>one-off</v>
      </c>
      <c r="CU325" s="17" t="str">
        <f t="shared" si="253"/>
        <v>Yes</v>
      </c>
      <c r="CV325" s="17">
        <f t="shared" ca="1" si="256"/>
        <v>2.3029999999999999</v>
      </c>
      <c r="CW325" s="17">
        <f t="shared" ca="1" si="257"/>
        <v>0</v>
      </c>
      <c r="CY325" s="657">
        <v>20</v>
      </c>
      <c r="CZ325" s="17" t="str">
        <f t="shared" si="244"/>
        <v>axitinib</v>
      </c>
      <c r="DA325" s="17">
        <f t="shared" si="245"/>
        <v>11</v>
      </c>
      <c r="DB325" s="17">
        <f t="shared" si="246"/>
        <v>2</v>
      </c>
      <c r="DC325" s="17" t="str">
        <f>"G3+ "&amp;$D$49</f>
        <v>G3+ Stomatitis</v>
      </c>
      <c r="DD325" s="17">
        <f t="shared" ca="1" si="247"/>
        <v>0</v>
      </c>
      <c r="DE325" s="956">
        <f t="shared" ca="1" si="248"/>
        <v>27.828571428571426</v>
      </c>
      <c r="DF325" s="6" t="b">
        <f t="shared" ca="1" si="249"/>
        <v>0</v>
      </c>
      <c r="DG325" s="1008">
        <f t="shared" si="250"/>
        <v>801.11</v>
      </c>
      <c r="DH325" s="1009">
        <f t="shared" si="251"/>
        <v>-0.1</v>
      </c>
      <c r="DI325" s="1007">
        <f t="shared" si="242"/>
        <v>3</v>
      </c>
    </row>
    <row r="326" spans="79:113" x14ac:dyDescent="0.2">
      <c r="CA326" s="17" t="str" cm="1">
        <f t="array" ref="CA326">INDEX(List_comparators,CB326+1)</f>
        <v>axitinib</v>
      </c>
      <c r="CB326" s="17">
        <v>11</v>
      </c>
      <c r="CC326" s="17">
        <v>2</v>
      </c>
      <c r="CD326" s="17"/>
      <c r="CE326" s="17"/>
      <c r="CF326" s="17"/>
      <c r="CG326" s="17"/>
      <c r="CH326" s="17"/>
      <c r="CI326" s="17"/>
      <c r="CJ326" s="17"/>
      <c r="CK326" s="17"/>
      <c r="CL326" s="17" t="str">
        <v>Platelets count decreased</v>
      </c>
      <c r="CM326" s="17">
        <v>18</v>
      </c>
      <c r="CN326" s="17">
        <v>0</v>
      </c>
      <c r="CO326" s="17">
        <f t="shared" ca="1" si="258"/>
        <v>0</v>
      </c>
      <c r="CP326" s="17"/>
      <c r="CQ326" s="17">
        <f t="shared" ca="1" si="254"/>
        <v>9990.4571428571417</v>
      </c>
      <c r="CR326" s="17">
        <v>0</v>
      </c>
      <c r="CS326" s="17">
        <f t="shared" ca="1" si="255"/>
        <v>0</v>
      </c>
      <c r="CT326" s="17" t="str">
        <f t="shared" si="252"/>
        <v>one-off</v>
      </c>
      <c r="CU326" s="17" t="str">
        <f t="shared" si="253"/>
        <v>Yes</v>
      </c>
      <c r="CV326" s="17">
        <f t="shared" ca="1" si="256"/>
        <v>2.3029999999999999</v>
      </c>
      <c r="CW326" s="17">
        <f t="shared" ca="1" si="257"/>
        <v>0</v>
      </c>
      <c r="CY326" s="657">
        <v>21</v>
      </c>
      <c r="CZ326" s="17" t="str">
        <f t="shared" si="244"/>
        <v>axitinib</v>
      </c>
      <c r="DA326" s="17">
        <f t="shared" si="245"/>
        <v>11</v>
      </c>
      <c r="DB326" s="17">
        <f t="shared" si="246"/>
        <v>2</v>
      </c>
      <c r="DC326" s="17" t="str">
        <f>"G3+ "&amp;$D$50</f>
        <v>G3+ Vomiting</v>
      </c>
      <c r="DD326" s="17">
        <f t="shared" ca="1" si="247"/>
        <v>0</v>
      </c>
      <c r="DE326" s="956">
        <f t="shared" ca="1" si="248"/>
        <v>27.828571428571426</v>
      </c>
      <c r="DF326" s="6" t="b">
        <f t="shared" ca="1" si="249"/>
        <v>0</v>
      </c>
      <c r="DG326" s="1008">
        <f t="shared" si="250"/>
        <v>801.11</v>
      </c>
      <c r="DH326" s="1009">
        <f t="shared" si="251"/>
        <v>-0.1</v>
      </c>
      <c r="DI326" s="1007">
        <f t="shared" si="242"/>
        <v>3</v>
      </c>
    </row>
    <row r="327" spans="79:113" x14ac:dyDescent="0.2">
      <c r="CA327" s="17" t="str" cm="1">
        <f t="array" ref="CA327">INDEX(List_comparators,CB327+1)</f>
        <v>axitinib</v>
      </c>
      <c r="CB327" s="17">
        <v>11</v>
      </c>
      <c r="CC327" s="17">
        <v>2</v>
      </c>
      <c r="CD327" s="17"/>
      <c r="CE327" s="17"/>
      <c r="CF327" s="17"/>
      <c r="CG327" s="17"/>
      <c r="CH327" s="17"/>
      <c r="CI327" s="17"/>
      <c r="CJ327" s="17"/>
      <c r="CK327" s="17"/>
      <c r="CL327" s="17" t="str">
        <v>Proteinuria</v>
      </c>
      <c r="CM327" s="17">
        <v>19</v>
      </c>
      <c r="CN327" s="17">
        <v>0</v>
      </c>
      <c r="CO327" s="17">
        <f t="shared" ca="1" si="258"/>
        <v>0</v>
      </c>
      <c r="CP327" s="17"/>
      <c r="CQ327" s="17">
        <f t="shared" ca="1" si="254"/>
        <v>9990.4571428571417</v>
      </c>
      <c r="CR327" s="17">
        <v>0</v>
      </c>
      <c r="CS327" s="17">
        <f t="shared" ca="1" si="255"/>
        <v>0</v>
      </c>
      <c r="CT327" s="17" t="str">
        <f t="shared" si="252"/>
        <v>one-off</v>
      </c>
      <c r="CU327" s="17" t="str">
        <f t="shared" si="253"/>
        <v>Yes</v>
      </c>
      <c r="CV327" s="17">
        <f t="shared" ca="1" si="256"/>
        <v>2.3029999999999999</v>
      </c>
      <c r="CW327" s="17">
        <f t="shared" ca="1" si="257"/>
        <v>0</v>
      </c>
      <c r="CY327" s="657">
        <v>22</v>
      </c>
      <c r="CZ327" s="17" t="str">
        <f t="shared" si="244"/>
        <v>axitinib</v>
      </c>
      <c r="DA327" s="17">
        <f t="shared" si="245"/>
        <v>11</v>
      </c>
      <c r="DB327" s="17">
        <f t="shared" si="246"/>
        <v>2</v>
      </c>
      <c r="DC327" s="17" t="str">
        <f>"G3+ "&amp;$D$51</f>
        <v>G3+ Weight loss</v>
      </c>
      <c r="DD327" s="17">
        <f t="shared" ca="1" si="247"/>
        <v>0</v>
      </c>
      <c r="DE327" s="956">
        <f t="shared" ca="1" si="248"/>
        <v>27.828571428571426</v>
      </c>
      <c r="DF327" s="6" t="b">
        <f t="shared" ca="1" si="249"/>
        <v>0</v>
      </c>
      <c r="DG327" s="1008">
        <f t="shared" si="250"/>
        <v>801.11</v>
      </c>
      <c r="DH327" s="1009">
        <f t="shared" si="251"/>
        <v>-0.1</v>
      </c>
      <c r="DI327" s="1007">
        <f t="shared" si="242"/>
        <v>3</v>
      </c>
    </row>
    <row r="328" spans="79:113" x14ac:dyDescent="0.2">
      <c r="CA328" s="17" t="str" cm="1">
        <f t="array" ref="CA328">INDEX(List_comparators,CB328+1)</f>
        <v>axitinib</v>
      </c>
      <c r="CB328" s="17">
        <v>11</v>
      </c>
      <c r="CC328" s="17">
        <v>2</v>
      </c>
      <c r="CD328" s="17"/>
      <c r="CE328" s="17"/>
      <c r="CF328" s="17"/>
      <c r="CG328" s="17"/>
      <c r="CH328" s="17"/>
      <c r="CI328" s="17"/>
      <c r="CJ328" s="17"/>
      <c r="CK328" s="17"/>
      <c r="CL328" s="17" t="str">
        <v>Stomatitis</v>
      </c>
      <c r="CM328" s="17">
        <v>20</v>
      </c>
      <c r="CN328" s="17">
        <v>0</v>
      </c>
      <c r="CO328" s="17">
        <f t="shared" ca="1" si="258"/>
        <v>0</v>
      </c>
      <c r="CP328" s="17"/>
      <c r="CQ328" s="17">
        <f t="shared" ca="1" si="254"/>
        <v>9990.4571428571417</v>
      </c>
      <c r="CR328" s="17">
        <v>0</v>
      </c>
      <c r="CS328" s="17">
        <f t="shared" ca="1" si="255"/>
        <v>0</v>
      </c>
      <c r="CT328" s="17" t="str">
        <f t="shared" si="252"/>
        <v>one-off</v>
      </c>
      <c r="CU328" s="17" t="str">
        <f t="shared" si="253"/>
        <v>Yes</v>
      </c>
      <c r="CV328" s="17">
        <f t="shared" ca="1" si="256"/>
        <v>2.3029999999999999</v>
      </c>
      <c r="CW328" s="17">
        <f t="shared" ca="1" si="257"/>
        <v>0</v>
      </c>
      <c r="CY328" s="657">
        <v>1</v>
      </c>
      <c r="CZ328" s="17" t="str">
        <f t="shared" ref="CZ328:DB330" si="259">CA327</f>
        <v>axitinib</v>
      </c>
      <c r="DA328" s="17">
        <f t="shared" si="259"/>
        <v>11</v>
      </c>
      <c r="DB328" s="17">
        <f t="shared" si="259"/>
        <v>2</v>
      </c>
      <c r="DC328" s="17" t="str">
        <f>"G1&amp;2 "&amp;$D$18</f>
        <v>G1&amp;2 Diarrhoea</v>
      </c>
      <c r="DD328" s="17">
        <f ca="1">IF(i_AE_impact_axi_equal_tivo=1,DD178,CHOOSE(i_AE_NMA_option_num,OFFSET($S$86,$CY328-1,$DA328),OFFSET($AG$18,$CY328-1,$DA328)))</f>
        <v>5.7582950587131726E-2</v>
      </c>
      <c r="DE328" s="956">
        <f ca="1">IF(i_AE_impact_axi_equal_tivo=1,DE178,OFFSET($S$18,$CY328-1,$DA328)/INDEX($DT$14:$DT$27,MATCH(DA328,$DR$14:$DR$27,0)))</f>
        <v>27.828571428571426</v>
      </c>
      <c r="DF328" s="6" t="b">
        <f t="shared" ca="1" si="249"/>
        <v>0</v>
      </c>
      <c r="DG328" s="1008">
        <f t="shared" si="250"/>
        <v>220.87</v>
      </c>
      <c r="DH328" s="1009">
        <f t="shared" si="251"/>
        <v>-0.05</v>
      </c>
      <c r="DI328" s="1007">
        <f t="shared" si="242"/>
        <v>3</v>
      </c>
    </row>
    <row r="329" spans="79:113" ht="15.75" thickBot="1" x14ac:dyDescent="0.25">
      <c r="CA329" s="622" t="str" cm="1">
        <f t="array" ref="CA329">INDEX(List_comparators,CB329+1)</f>
        <v>axitinib</v>
      </c>
      <c r="CB329" s="622">
        <v>11</v>
      </c>
      <c r="CC329" s="622">
        <v>2</v>
      </c>
      <c r="CD329" s="622"/>
      <c r="CE329" s="622"/>
      <c r="CF329" s="622"/>
      <c r="CG329" s="622"/>
      <c r="CH329" s="622"/>
      <c r="CI329" s="622"/>
      <c r="CJ329" s="622"/>
      <c r="CK329" s="622"/>
      <c r="CL329" s="622" t="str">
        <v>Vomiting</v>
      </c>
      <c r="CM329" s="622">
        <v>21</v>
      </c>
      <c r="CN329" s="622">
        <v>0</v>
      </c>
      <c r="CO329" s="622">
        <f t="shared" ca="1" si="258"/>
        <v>0</v>
      </c>
      <c r="CP329" s="622"/>
      <c r="CQ329" s="622">
        <f t="shared" ca="1" si="254"/>
        <v>9990.4571428571417</v>
      </c>
      <c r="CR329" s="622">
        <v>0</v>
      </c>
      <c r="CS329" s="622">
        <f t="shared" ca="1" si="255"/>
        <v>0</v>
      </c>
      <c r="CT329" s="622" t="str">
        <f t="shared" si="252"/>
        <v>one-off</v>
      </c>
      <c r="CU329" s="622" t="str">
        <f t="shared" si="253"/>
        <v>Yes</v>
      </c>
      <c r="CV329" s="622">
        <f t="shared" ca="1" si="256"/>
        <v>2.3029999999999999</v>
      </c>
      <c r="CW329" s="622">
        <f t="shared" ca="1" si="257"/>
        <v>0</v>
      </c>
      <c r="CY329" s="657">
        <v>2</v>
      </c>
      <c r="CZ329" s="17" t="str">
        <f t="shared" si="259"/>
        <v>axitinib</v>
      </c>
      <c r="DA329" s="17">
        <f t="shared" si="259"/>
        <v>11</v>
      </c>
      <c r="DB329" s="17">
        <f t="shared" si="259"/>
        <v>2</v>
      </c>
      <c r="DC329" s="17" t="str">
        <f>"G1&amp;2 "&amp;$D$19</f>
        <v>G1&amp;2 Fatigue</v>
      </c>
      <c r="DD329" s="17">
        <f ca="1">IF(i_AE_impact_axi_equal_tivo=1,DD179,CHOOSE(i_AE_NMA_option_num,OFFSET($S$86,$CY329-1,$DA329),OFFSET($AG$18,$CY329-1,$DA329)))</f>
        <v>3.6130478799768925E-2</v>
      </c>
      <c r="DE329" s="956">
        <f ca="1">IF(i_AE_impact_axi_equal_tivo=1,DE179,OFFSET($S$18,$CY329-1,$DA329)/INDEX($DT$14:$DT$27,MATCH(DA329,$DR$14:$DR$27,0)))</f>
        <v>27.828571428571426</v>
      </c>
      <c r="DF329" s="6" t="b">
        <f t="shared" ca="1" si="249"/>
        <v>0</v>
      </c>
      <c r="DG329" s="1008">
        <f t="shared" si="250"/>
        <v>441.74</v>
      </c>
      <c r="DH329" s="1009">
        <f t="shared" si="251"/>
        <v>-0.05</v>
      </c>
      <c r="DI329" s="1007">
        <f t="shared" si="242"/>
        <v>3</v>
      </c>
    </row>
    <row r="330" spans="79:113" ht="15.75" thickTop="1" x14ac:dyDescent="0.2">
      <c r="CA330" s="17"/>
      <c r="CB330" s="17"/>
      <c r="CC330" s="17"/>
      <c r="CD330" s="17"/>
      <c r="CE330" s="17"/>
      <c r="CF330" s="17"/>
      <c r="CG330" s="17"/>
      <c r="CH330" s="17"/>
      <c r="CI330" s="17"/>
      <c r="CJ330" s="17"/>
      <c r="CK330" s="17"/>
      <c r="CL330" s="17" t="str">
        <v>Weight loss</v>
      </c>
      <c r="CM330" s="17"/>
      <c r="CN330" s="17"/>
      <c r="CO330" s="17"/>
      <c r="CP330" s="17"/>
      <c r="CQ330" s="17"/>
      <c r="CR330" s="17"/>
      <c r="CS330" s="17"/>
      <c r="CT330" s="17"/>
      <c r="CU330" s="17"/>
      <c r="CV330" s="17"/>
      <c r="CW330" s="17"/>
      <c r="CY330" s="657">
        <v>3</v>
      </c>
      <c r="CZ330" s="17" t="str">
        <f t="shared" si="259"/>
        <v>axitinib</v>
      </c>
      <c r="DA330" s="17">
        <f t="shared" si="259"/>
        <v>11</v>
      </c>
      <c r="DB330" s="17">
        <f t="shared" si="259"/>
        <v>2</v>
      </c>
      <c r="DC330" s="17" t="str">
        <f>"G1&amp;2 "&amp;$D$20</f>
        <v>G1&amp;2 Palmar-plantar erythrodysaesthesia syndrome</v>
      </c>
      <c r="DD330" s="17">
        <f ca="1">IF(i_AE_impact_axi_equal_tivo=1,DD180,CHOOSE(i_AE_NMA_option_num,OFFSET($S$86,$CY330-1,$DA330),OFFSET($AG$18,$CY330-1,$DA330)))</f>
        <v>1.8177346381975948E-2</v>
      </c>
      <c r="DE330" s="956">
        <f ca="1">IF(i_AE_impact_axi_equal_tivo=1,DE180,OFFSET($S$18,$CY330-1,$DA330)/INDEX($DT$14:$DT$27,MATCH(DA330,$DR$14:$DR$27,0)))</f>
        <v>27.828571428571426</v>
      </c>
      <c r="DF330" s="6" t="b">
        <f t="shared" ca="1" si="249"/>
        <v>0</v>
      </c>
      <c r="DG330" s="1008">
        <f t="shared" si="250"/>
        <v>441.74</v>
      </c>
      <c r="DH330" s="1009">
        <f t="shared" si="251"/>
        <v>-0.05</v>
      </c>
      <c r="DI330" s="1007">
        <f t="shared" si="242"/>
        <v>3</v>
      </c>
    </row>
    <row r="331" spans="79:113" x14ac:dyDescent="0.2">
      <c r="CA331" s="17" t="str" cm="1">
        <f t="array" ref="CA331">INDEX(List_comparators,CB331+1)</f>
        <v>sorafenib</v>
      </c>
      <c r="CB331" s="17">
        <v>12</v>
      </c>
      <c r="CC331" s="17">
        <v>2</v>
      </c>
      <c r="CD331" s="17">
        <f ca="1">OFFSET($E$16,0,CB331)</f>
        <v>182</v>
      </c>
      <c r="CE331" s="17">
        <f ca="1">OFFSET($E$28,0,CB331)</f>
        <v>183</v>
      </c>
      <c r="CF331" s="17">
        <f ca="1">OFFSET($S$16,0,CB331)</f>
        <v>2912</v>
      </c>
      <c r="CG331" s="17">
        <f ca="1">OFFSET($S$28,0,CB331)</f>
        <v>2928</v>
      </c>
      <c r="CH331" s="17">
        <f ca="1">OFFSET($AG$16,0,CB331)</f>
        <v>6.25E-2</v>
      </c>
      <c r="CI331" s="17">
        <f ca="1">OFFSET($AG$28,0,CB331)</f>
        <v>6.25E-2</v>
      </c>
      <c r="CJ331" s="583">
        <f>$CJ$6</f>
        <v>3</v>
      </c>
      <c r="CK331" s="583">
        <f>$CK$6</f>
        <v>0.6</v>
      </c>
      <c r="CL331" s="17" t="str" cm="1">
        <f t="array" ref="CL331:CL333">List_AEs_all_grade</f>
        <v>Diarrhoea</v>
      </c>
      <c r="CM331" s="17">
        <v>1</v>
      </c>
      <c r="CN331" s="17">
        <f ca="1">OFFSET($E$18,$CM331-1,$CB331)</f>
        <v>96</v>
      </c>
      <c r="CO331" s="17">
        <f t="shared" ref="CO331:CO354" ca="1" si="260">OFFSET($E$30,$CM331-1,$CB331)</f>
        <v>0</v>
      </c>
      <c r="CP331" s="17">
        <f ca="1">OFFSET($S$18,$CM331-1,$CB331)</f>
        <v>2912</v>
      </c>
      <c r="CQ331" s="17">
        <v>0</v>
      </c>
      <c r="CR331" s="17">
        <f ca="1">OFFSET($AG$18,$CM331-1,$CB331)</f>
        <v>2.9210202365940071E-2</v>
      </c>
      <c r="CS331" s="17">
        <v>0</v>
      </c>
      <c r="CT331" s="17" t="str">
        <f>dd_apply_AE_options</f>
        <v>one-off</v>
      </c>
      <c r="CU331" s="17" t="str">
        <f>$CU$6</f>
        <v>Yes</v>
      </c>
      <c r="CV331" s="17">
        <f ca="1">OFFSET($E$86,$CM331-1,$CB331)</f>
        <v>1.95</v>
      </c>
      <c r="CW331" s="17">
        <f ca="1">OFFSET($S$86,$CM331-1,$CB331)</f>
        <v>5.695989461358314E-2</v>
      </c>
      <c r="CY331" s="657">
        <v>1</v>
      </c>
      <c r="CZ331" s="17" t="str">
        <f t="shared" ref="CZ331:CZ352" si="261">CA331</f>
        <v>sorafenib</v>
      </c>
      <c r="DA331" s="17">
        <f t="shared" ref="DA331:DA352" si="262">CB331</f>
        <v>12</v>
      </c>
      <c r="DB331" s="17">
        <f t="shared" ref="DB331:DB352" si="263">CC331</f>
        <v>2</v>
      </c>
      <c r="DC331" s="17" t="str">
        <f>"G3+ "&amp;$D$30</f>
        <v>G3+ ALT increased</v>
      </c>
      <c r="DD331" s="17">
        <f t="shared" ref="DD331:DD352" ca="1" si="264">CHOOSE(i_AE_NMA_option_num,OFFSET($S$63,$CY331-1,$DA331),OFFSET($AG$30,$CY331-1,$DA331))</f>
        <v>0</v>
      </c>
      <c r="DE331" s="956">
        <f t="shared" ref="DE331:DE352" ca="1" si="265">OFFSET($S$30,$CY331-1,$DA331)/INDEX($DS$14:$DS$27,MATCH(DA331,$DR$14:$DR$27,0))</f>
        <v>16</v>
      </c>
      <c r="DG331" s="1008">
        <f>$DG306</f>
        <v>0</v>
      </c>
      <c r="DH331" s="1009">
        <f>$DH306</f>
        <v>-0.1</v>
      </c>
      <c r="DI331" s="1007">
        <f t="shared" si="242"/>
        <v>3</v>
      </c>
    </row>
    <row r="332" spans="79:113" x14ac:dyDescent="0.2">
      <c r="CA332" s="17" t="str" cm="1">
        <f t="array" ref="CA332">INDEX(List_comparators,CB332+1)</f>
        <v>sorafenib</v>
      </c>
      <c r="CB332" s="17">
        <v>12</v>
      </c>
      <c r="CC332" s="17">
        <v>2</v>
      </c>
      <c r="CD332" s="17"/>
      <c r="CE332" s="17"/>
      <c r="CF332" s="17"/>
      <c r="CG332" s="17"/>
      <c r="CH332" s="17"/>
      <c r="CI332" s="17"/>
      <c r="CJ332" s="17"/>
      <c r="CK332" s="17"/>
      <c r="CL332" s="17" t="str">
        <v>Fatigue</v>
      </c>
      <c r="CM332" s="17">
        <v>2</v>
      </c>
      <c r="CN332" s="17">
        <f ca="1">OFFSET($E$18,$CM332-1,$CB332)</f>
        <v>56</v>
      </c>
      <c r="CO332" s="17">
        <f t="shared" ca="1" si="260"/>
        <v>0</v>
      </c>
      <c r="CP332" s="17">
        <f ca="1">OFFSET($S$18,$CM332-1,$CB332)</f>
        <v>2912</v>
      </c>
      <c r="CQ332" s="17">
        <v>0</v>
      </c>
      <c r="CR332" s="17">
        <f ca="1">OFFSET($AG$18,$CM332-1,$CB332)</f>
        <v>1.9230769230769232E-2</v>
      </c>
      <c r="CS332" s="17">
        <v>0</v>
      </c>
      <c r="CT332" s="17" t="str">
        <f>$CT$6</f>
        <v>one-off</v>
      </c>
      <c r="CU332" s="17" t="str">
        <f>$CU$6</f>
        <v>Yes</v>
      </c>
      <c r="CV332" s="17">
        <f ca="1">OFFSET($E$86,$CM332-1,$CB332)</f>
        <v>0.62</v>
      </c>
      <c r="CW332" s="17">
        <f ca="1">OFFSET($S$86,$CM332-1,$CB332)</f>
        <v>1.1923076923076923E-2</v>
      </c>
      <c r="CY332" s="657">
        <v>2</v>
      </c>
      <c r="CZ332" s="17" t="str">
        <f t="shared" si="261"/>
        <v>sorafenib</v>
      </c>
      <c r="DA332" s="17">
        <f t="shared" si="262"/>
        <v>12</v>
      </c>
      <c r="DB332" s="17">
        <f t="shared" si="263"/>
        <v>2</v>
      </c>
      <c r="DC332" s="17" t="str">
        <f>"G3+ "&amp;$D$31</f>
        <v>G3+ Anaemia</v>
      </c>
      <c r="DD332" s="17">
        <f t="shared" ca="1" si="264"/>
        <v>0</v>
      </c>
      <c r="DE332" s="956">
        <f t="shared" ca="1" si="265"/>
        <v>16</v>
      </c>
      <c r="DG332" s="1008">
        <f t="shared" ref="DG332:DG355" si="266">$DG307</f>
        <v>655.75</v>
      </c>
      <c r="DH332" s="1009">
        <f t="shared" ref="DH332:DH355" si="267">$DH307</f>
        <v>-0.1</v>
      </c>
      <c r="DI332" s="1007">
        <f t="shared" si="242"/>
        <v>3</v>
      </c>
    </row>
    <row r="333" spans="79:113" ht="15.75" thickBot="1" x14ac:dyDescent="0.25">
      <c r="CA333" s="19" t="str" cm="1">
        <f t="array" ref="CA333">INDEX(List_comparators,CB333+1)</f>
        <v>sorafenib</v>
      </c>
      <c r="CB333" s="19">
        <v>12</v>
      </c>
      <c r="CC333" s="19">
        <v>2</v>
      </c>
      <c r="CD333" s="19"/>
      <c r="CE333" s="19"/>
      <c r="CF333" s="19"/>
      <c r="CG333" s="19"/>
      <c r="CH333" s="19"/>
      <c r="CI333" s="19"/>
      <c r="CJ333" s="19"/>
      <c r="CK333" s="19"/>
      <c r="CL333" s="19" t="str">
        <v>Palmar-plantar erythrodysaesthesia syndrome</v>
      </c>
      <c r="CM333" s="19">
        <v>3</v>
      </c>
      <c r="CN333" s="19">
        <f ca="1">OFFSET($E$18,$CM333-1,$CB333)</f>
        <v>69</v>
      </c>
      <c r="CO333" s="19">
        <f t="shared" ca="1" si="260"/>
        <v>0</v>
      </c>
      <c r="CP333" s="19">
        <f ca="1">OFFSET($S$18,$CM333-1,$CB333)</f>
        <v>2912</v>
      </c>
      <c r="CQ333" s="19">
        <v>0</v>
      </c>
      <c r="CR333" s="19">
        <f ca="1">OFFSET($AG$18,$CM333-1,$CB333)</f>
        <v>1.3107623251065873E-2</v>
      </c>
      <c r="CS333" s="19">
        <v>0</v>
      </c>
      <c r="CT333" s="19" t="str">
        <f t="shared" ref="CT333:CT354" si="268">$CT$6</f>
        <v>one-off</v>
      </c>
      <c r="CU333" s="19" t="str">
        <f t="shared" ref="CU333:CU354" si="269">$CU$6</f>
        <v>Yes</v>
      </c>
      <c r="CV333" s="19">
        <f ca="1">OFFSET($E$86,$CM333-1,$CB333)</f>
        <v>4.8</v>
      </c>
      <c r="CW333" s="19">
        <f ca="1">OFFSET($S$86,$CM333-1,$CB333)</f>
        <v>6.2916591605116187E-2</v>
      </c>
      <c r="CY333" s="657">
        <v>3</v>
      </c>
      <c r="CZ333" s="17" t="str">
        <f t="shared" si="261"/>
        <v>sorafenib</v>
      </c>
      <c r="DA333" s="17">
        <f t="shared" si="262"/>
        <v>12</v>
      </c>
      <c r="DB333" s="17">
        <f t="shared" si="263"/>
        <v>2</v>
      </c>
      <c r="DC333" s="17" t="str">
        <f>"G3+ "&amp;$D$32</f>
        <v>G3+ Decreased appetite</v>
      </c>
      <c r="DD333" s="17">
        <f t="shared" ca="1" si="264"/>
        <v>0</v>
      </c>
      <c r="DE333" s="956">
        <f t="shared" ca="1" si="265"/>
        <v>16</v>
      </c>
      <c r="DG333" s="1008">
        <f t="shared" si="266"/>
        <v>0</v>
      </c>
      <c r="DH333" s="1009">
        <f t="shared" si="267"/>
        <v>-0.1</v>
      </c>
      <c r="DI333" s="1007">
        <f t="shared" si="242"/>
        <v>3</v>
      </c>
    </row>
    <row r="334" spans="79:113" x14ac:dyDescent="0.2">
      <c r="CA334" s="17" t="str" cm="1">
        <f t="array" ref="CA334">INDEX(List_comparators,CB334+1)</f>
        <v>sorafenib</v>
      </c>
      <c r="CB334" s="17">
        <v>12</v>
      </c>
      <c r="CC334" s="17">
        <v>2</v>
      </c>
      <c r="CD334" s="17"/>
      <c r="CE334" s="17"/>
      <c r="CF334" s="17"/>
      <c r="CG334" s="17"/>
      <c r="CH334" s="17"/>
      <c r="CI334" s="17"/>
      <c r="CJ334" s="17"/>
      <c r="CK334" s="17"/>
      <c r="CL334" s="252" t="str" cm="1">
        <f t="array" ref="CL334:CL355">List_AEs_g3</f>
        <v>ALT increased</v>
      </c>
      <c r="CM334" s="252">
        <v>1</v>
      </c>
      <c r="CN334" s="252">
        <v>0</v>
      </c>
      <c r="CO334" s="252">
        <f t="shared" ca="1" si="260"/>
        <v>0</v>
      </c>
      <c r="CP334" s="252"/>
      <c r="CQ334" s="252">
        <f t="shared" ref="CQ334:CQ354" ca="1" si="270">OFFSET($S$30,$CM334-1,$CB334)</f>
        <v>2928</v>
      </c>
      <c r="CR334" s="252">
        <v>0</v>
      </c>
      <c r="CS334" s="252">
        <f t="shared" ref="CS334:CS354" ca="1" si="271">OFFSET($AG$30,$CM334-1,$CB334)</f>
        <v>0</v>
      </c>
      <c r="CT334" s="252" t="str">
        <f t="shared" si="268"/>
        <v>one-off</v>
      </c>
      <c r="CU334" s="252" t="str">
        <f t="shared" si="269"/>
        <v>Yes</v>
      </c>
      <c r="CV334" s="252">
        <f ca="1">OFFSET($E$63,$CM334-1,$CB334)</f>
        <v>0.94399999999999995</v>
      </c>
      <c r="CW334" s="252">
        <f ca="1">OFFSET($S$63,$CM334-1,$CB334)</f>
        <v>0</v>
      </c>
      <c r="CY334" s="657">
        <v>4</v>
      </c>
      <c r="CZ334" s="17" t="str">
        <f t="shared" si="261"/>
        <v>sorafenib</v>
      </c>
      <c r="DA334" s="17">
        <f t="shared" si="262"/>
        <v>12</v>
      </c>
      <c r="DB334" s="17">
        <f t="shared" si="263"/>
        <v>2</v>
      </c>
      <c r="DC334" s="17" t="str">
        <f>"G3+ "&amp;$D$33</f>
        <v>G3+ Diarrhoea _TKI induced</v>
      </c>
      <c r="DD334" s="17">
        <f t="shared" ca="1" si="264"/>
        <v>2.1344161687008281E-3</v>
      </c>
      <c r="DE334" s="956">
        <f t="shared" ca="1" si="265"/>
        <v>16</v>
      </c>
      <c r="DG334" s="1008">
        <f t="shared" si="266"/>
        <v>827.18</v>
      </c>
      <c r="DH334" s="1009">
        <f t="shared" si="267"/>
        <v>-0.1</v>
      </c>
      <c r="DI334" s="1007">
        <f t="shared" si="242"/>
        <v>3</v>
      </c>
    </row>
    <row r="335" spans="79:113" x14ac:dyDescent="0.2">
      <c r="CA335" s="17" t="str" cm="1">
        <f t="array" ref="CA335">INDEX(List_comparators,CB335+1)</f>
        <v>sorafenib</v>
      </c>
      <c r="CB335" s="17">
        <v>12</v>
      </c>
      <c r="CC335" s="17">
        <v>2</v>
      </c>
      <c r="CD335" s="17"/>
      <c r="CE335" s="17"/>
      <c r="CF335" s="17"/>
      <c r="CG335" s="17"/>
      <c r="CH335" s="17"/>
      <c r="CI335" s="17"/>
      <c r="CJ335" s="17"/>
      <c r="CK335" s="17"/>
      <c r="CL335" s="17" t="str">
        <v>Anaemia</v>
      </c>
      <c r="CM335" s="17">
        <v>2</v>
      </c>
      <c r="CN335" s="17">
        <v>0</v>
      </c>
      <c r="CO335" s="17">
        <f t="shared" ca="1" si="260"/>
        <v>0</v>
      </c>
      <c r="CP335" s="17"/>
      <c r="CQ335" s="17">
        <f t="shared" ca="1" si="270"/>
        <v>2928</v>
      </c>
      <c r="CR335" s="17">
        <v>0</v>
      </c>
      <c r="CS335" s="17">
        <f t="shared" ca="1" si="271"/>
        <v>0</v>
      </c>
      <c r="CT335" s="17" t="str">
        <f t="shared" si="268"/>
        <v>one-off</v>
      </c>
      <c r="CU335" s="17" t="str">
        <f t="shared" si="269"/>
        <v>Yes</v>
      </c>
      <c r="CV335" s="17">
        <f t="shared" ref="CV335:CV354" ca="1" si="272">OFFSET($E$63,$CM335-1,$CB335)</f>
        <v>0.94399999999999995</v>
      </c>
      <c r="CW335" s="17">
        <f t="shared" ref="CW335:CW354" ca="1" si="273">OFFSET($S$63,$CM335-1,$CB335)</f>
        <v>0</v>
      </c>
      <c r="CY335" s="657">
        <v>5</v>
      </c>
      <c r="CZ335" s="17" t="str">
        <f t="shared" si="261"/>
        <v>sorafenib</v>
      </c>
      <c r="DA335" s="17">
        <f t="shared" si="262"/>
        <v>12</v>
      </c>
      <c r="DB335" s="17">
        <f t="shared" si="263"/>
        <v>2</v>
      </c>
      <c r="DC335" s="17" t="str">
        <f>"G3+ "&amp;$D$34</f>
        <v>G3+ Diarrhoea _IO induced</v>
      </c>
      <c r="DD335" s="17">
        <f t="shared" ca="1" si="264"/>
        <v>0</v>
      </c>
      <c r="DE335" s="956">
        <f t="shared" ca="1" si="265"/>
        <v>16</v>
      </c>
      <c r="DG335" s="1008">
        <f t="shared" si="266"/>
        <v>4321.12</v>
      </c>
      <c r="DH335" s="1009">
        <f t="shared" si="267"/>
        <v>-0.1</v>
      </c>
      <c r="DI335" s="1007">
        <f t="shared" si="242"/>
        <v>3</v>
      </c>
    </row>
    <row r="336" spans="79:113" x14ac:dyDescent="0.2">
      <c r="CA336" s="17" t="str" cm="1">
        <f t="array" ref="CA336">INDEX(List_comparators,CB336+1)</f>
        <v>sorafenib</v>
      </c>
      <c r="CB336" s="17">
        <v>12</v>
      </c>
      <c r="CC336" s="17">
        <v>2</v>
      </c>
      <c r="CD336" s="17"/>
      <c r="CE336" s="17"/>
      <c r="CF336" s="17"/>
      <c r="CG336" s="17"/>
      <c r="CH336" s="17"/>
      <c r="CI336" s="17"/>
      <c r="CJ336" s="17"/>
      <c r="CK336" s="17"/>
      <c r="CL336" s="17" t="str">
        <v>Decreased appetite</v>
      </c>
      <c r="CM336" s="17">
        <v>3</v>
      </c>
      <c r="CN336" s="17">
        <v>0</v>
      </c>
      <c r="CO336" s="17">
        <f t="shared" ca="1" si="260"/>
        <v>0</v>
      </c>
      <c r="CP336" s="17"/>
      <c r="CQ336" s="17">
        <f t="shared" ca="1" si="270"/>
        <v>2928</v>
      </c>
      <c r="CR336" s="17">
        <v>0</v>
      </c>
      <c r="CS336" s="17">
        <f t="shared" ca="1" si="271"/>
        <v>0</v>
      </c>
      <c r="CT336" s="17" t="str">
        <f t="shared" si="268"/>
        <v>one-off</v>
      </c>
      <c r="CU336" s="17" t="str">
        <f t="shared" si="269"/>
        <v>Yes</v>
      </c>
      <c r="CV336" s="17">
        <f t="shared" ca="1" si="272"/>
        <v>0.94399999999999995</v>
      </c>
      <c r="CW336" s="17">
        <f t="shared" ca="1" si="273"/>
        <v>0</v>
      </c>
      <c r="CY336" s="657">
        <v>6</v>
      </c>
      <c r="CZ336" s="17" t="str">
        <f t="shared" si="261"/>
        <v>sorafenib</v>
      </c>
      <c r="DA336" s="17">
        <f t="shared" si="262"/>
        <v>12</v>
      </c>
      <c r="DB336" s="17">
        <f t="shared" si="263"/>
        <v>2</v>
      </c>
      <c r="DC336" s="17" t="str">
        <f>"G3+ "&amp;$D$35</f>
        <v>G3+ Fatigue</v>
      </c>
      <c r="DD336" s="17">
        <f t="shared" ca="1" si="264"/>
        <v>8.3852063770389678E-4</v>
      </c>
      <c r="DE336" s="956">
        <f t="shared" ca="1" si="265"/>
        <v>16</v>
      </c>
      <c r="DG336" s="1008">
        <f t="shared" si="266"/>
        <v>662.61</v>
      </c>
      <c r="DH336" s="1009">
        <f t="shared" si="267"/>
        <v>-0.1</v>
      </c>
      <c r="DI336" s="1007">
        <f t="shared" si="242"/>
        <v>3</v>
      </c>
    </row>
    <row r="337" spans="79:113" x14ac:dyDescent="0.2">
      <c r="CA337" s="17" t="str" cm="1">
        <f t="array" ref="CA337">INDEX(List_comparators,CB337+1)</f>
        <v>sorafenib</v>
      </c>
      <c r="CB337" s="17">
        <v>12</v>
      </c>
      <c r="CC337" s="17">
        <v>2</v>
      </c>
      <c r="CD337" s="17"/>
      <c r="CE337" s="17"/>
      <c r="CF337" s="17"/>
      <c r="CG337" s="17"/>
      <c r="CH337" s="17"/>
      <c r="CI337" s="17"/>
      <c r="CJ337" s="17"/>
      <c r="CK337" s="17"/>
      <c r="CL337" s="17" t="str">
        <v>Diarrhoea _TKI induced</v>
      </c>
      <c r="CM337" s="17">
        <v>4</v>
      </c>
      <c r="CN337" s="17">
        <v>0</v>
      </c>
      <c r="CO337" s="17">
        <f t="shared" ca="1" si="260"/>
        <v>11</v>
      </c>
      <c r="CP337" s="17"/>
      <c r="CQ337" s="17">
        <f t="shared" ca="1" si="270"/>
        <v>2928</v>
      </c>
      <c r="CR337" s="17">
        <v>0</v>
      </c>
      <c r="CS337" s="17">
        <f t="shared" ca="1" si="271"/>
        <v>3.756830601092896E-3</v>
      </c>
      <c r="CT337" s="17" t="str">
        <f t="shared" si="268"/>
        <v>one-off</v>
      </c>
      <c r="CU337" s="17" t="str">
        <f t="shared" si="269"/>
        <v>Yes</v>
      </c>
      <c r="CV337" s="17">
        <f t="shared" ca="1" si="272"/>
        <v>0.94399999999999995</v>
      </c>
      <c r="CW337" s="17">
        <f t="shared" ca="1" si="273"/>
        <v>2.1344161687008281E-3</v>
      </c>
      <c r="CY337" s="657">
        <v>7</v>
      </c>
      <c r="CZ337" s="17" t="str">
        <f t="shared" si="261"/>
        <v>sorafenib</v>
      </c>
      <c r="DA337" s="17">
        <f t="shared" si="262"/>
        <v>12</v>
      </c>
      <c r="DB337" s="17">
        <f t="shared" si="263"/>
        <v>2</v>
      </c>
      <c r="DC337" s="17" t="str">
        <f>"G3+ "&amp;$D$36</f>
        <v>G3+ HFS</v>
      </c>
      <c r="DD337" s="17">
        <f t="shared" ca="1" si="264"/>
        <v>1.981957870936483E-3</v>
      </c>
      <c r="DE337" s="956">
        <f t="shared" ca="1" si="265"/>
        <v>16</v>
      </c>
      <c r="DG337" s="1008">
        <f t="shared" si="266"/>
        <v>621.42499999999995</v>
      </c>
      <c r="DH337" s="1009">
        <f t="shared" si="267"/>
        <v>-0.1</v>
      </c>
      <c r="DI337" s="1007">
        <f t="shared" si="242"/>
        <v>3</v>
      </c>
    </row>
    <row r="338" spans="79:113" x14ac:dyDescent="0.2">
      <c r="CA338" s="17" t="str" cm="1">
        <f t="array" ref="CA338">INDEX(List_comparators,CB338+1)</f>
        <v>sorafenib</v>
      </c>
      <c r="CB338" s="17">
        <v>12</v>
      </c>
      <c r="CC338" s="17">
        <v>2</v>
      </c>
      <c r="CD338" s="17"/>
      <c r="CE338" s="17"/>
      <c r="CF338" s="17"/>
      <c r="CG338" s="17"/>
      <c r="CH338" s="17"/>
      <c r="CI338" s="17"/>
      <c r="CJ338" s="17"/>
      <c r="CK338" s="17"/>
      <c r="CL338" s="17" t="str">
        <v>Diarrhoea _IO induced</v>
      </c>
      <c r="CM338" s="17">
        <v>5</v>
      </c>
      <c r="CN338" s="17">
        <v>0</v>
      </c>
      <c r="CO338" s="17">
        <f t="shared" ca="1" si="260"/>
        <v>0</v>
      </c>
      <c r="CP338" s="17"/>
      <c r="CQ338" s="17">
        <f t="shared" ca="1" si="270"/>
        <v>2928</v>
      </c>
      <c r="CR338" s="17">
        <v>0</v>
      </c>
      <c r="CS338" s="17">
        <f t="shared" ca="1" si="271"/>
        <v>0</v>
      </c>
      <c r="CT338" s="17" t="str">
        <f t="shared" si="268"/>
        <v>one-off</v>
      </c>
      <c r="CU338" s="17" t="str">
        <f t="shared" si="269"/>
        <v>Yes</v>
      </c>
      <c r="CV338" s="17">
        <f t="shared" ca="1" si="272"/>
        <v>0.94399999999999995</v>
      </c>
      <c r="CW338" s="17">
        <f t="shared" ca="1" si="273"/>
        <v>0</v>
      </c>
      <c r="CY338" s="657">
        <v>8</v>
      </c>
      <c r="CZ338" s="17" t="str">
        <f t="shared" si="261"/>
        <v>sorafenib</v>
      </c>
      <c r="DA338" s="17">
        <f t="shared" si="262"/>
        <v>12</v>
      </c>
      <c r="DB338" s="17">
        <f t="shared" si="263"/>
        <v>2</v>
      </c>
      <c r="DC338" s="17" t="str">
        <f>"G3+ "&amp;$D$37</f>
        <v>G3+ Hypertension</v>
      </c>
      <c r="DD338" s="17">
        <f t="shared" ca="1" si="264"/>
        <v>2.9729368064047245E-3</v>
      </c>
      <c r="DE338" s="956">
        <f t="shared" ca="1" si="265"/>
        <v>16</v>
      </c>
      <c r="DG338" s="1008">
        <f t="shared" si="266"/>
        <v>424.6</v>
      </c>
      <c r="DH338" s="1009">
        <f t="shared" si="267"/>
        <v>-0.1</v>
      </c>
      <c r="DI338" s="1007">
        <f t="shared" si="242"/>
        <v>3</v>
      </c>
    </row>
    <row r="339" spans="79:113" x14ac:dyDescent="0.2">
      <c r="CA339" s="17" t="str" cm="1">
        <f t="array" ref="CA339">INDEX(List_comparators,CB339+1)</f>
        <v>sorafenib</v>
      </c>
      <c r="CB339" s="17">
        <v>12</v>
      </c>
      <c r="CC339" s="17">
        <v>2</v>
      </c>
      <c r="CD339" s="17"/>
      <c r="CE339" s="17"/>
      <c r="CF339" s="17"/>
      <c r="CG339" s="17"/>
      <c r="CH339" s="17"/>
      <c r="CI339" s="17"/>
      <c r="CJ339" s="17"/>
      <c r="CK339" s="17"/>
      <c r="CL339" s="17" t="str">
        <v>Fatigue</v>
      </c>
      <c r="CM339" s="17">
        <v>6</v>
      </c>
      <c r="CN339" s="17">
        <v>0</v>
      </c>
      <c r="CO339" s="17">
        <f t="shared" ca="1" si="260"/>
        <v>0</v>
      </c>
      <c r="CP339" s="17"/>
      <c r="CQ339" s="17">
        <f t="shared" ca="1" si="270"/>
        <v>2928</v>
      </c>
      <c r="CR339" s="17">
        <v>0</v>
      </c>
      <c r="CS339" s="17">
        <f t="shared" ca="1" si="271"/>
        <v>0</v>
      </c>
      <c r="CT339" s="17" t="str">
        <f t="shared" si="268"/>
        <v>one-off</v>
      </c>
      <c r="CU339" s="17" t="str">
        <f t="shared" si="269"/>
        <v>Yes</v>
      </c>
      <c r="CV339" s="17">
        <f t="shared" ca="1" si="272"/>
        <v>0.94399999999999995</v>
      </c>
      <c r="CW339" s="17">
        <f t="shared" ca="1" si="273"/>
        <v>8.3852063770389678E-4</v>
      </c>
      <c r="CY339" s="657">
        <v>9</v>
      </c>
      <c r="CZ339" s="17" t="str">
        <f t="shared" si="261"/>
        <v>sorafenib</v>
      </c>
      <c r="DA339" s="17">
        <f t="shared" si="262"/>
        <v>12</v>
      </c>
      <c r="DB339" s="17">
        <f t="shared" si="263"/>
        <v>2</v>
      </c>
      <c r="DC339" s="17" t="str">
        <f>"G3+ "&amp;$D$38</f>
        <v>G3+ Hypertriglyceridemia</v>
      </c>
      <c r="DD339" s="17">
        <f t="shared" ca="1" si="264"/>
        <v>0</v>
      </c>
      <c r="DE339" s="956">
        <f t="shared" ca="1" si="265"/>
        <v>16</v>
      </c>
      <c r="DG339" s="1008">
        <f t="shared" si="266"/>
        <v>0</v>
      </c>
      <c r="DH339" s="1009">
        <f t="shared" si="267"/>
        <v>-0.1</v>
      </c>
      <c r="DI339" s="1007">
        <f t="shared" si="242"/>
        <v>3</v>
      </c>
    </row>
    <row r="340" spans="79:113" x14ac:dyDescent="0.2">
      <c r="CA340" s="17" t="str" cm="1">
        <f t="array" ref="CA340">INDEX(List_comparators,CB340+1)</f>
        <v>sorafenib</v>
      </c>
      <c r="CB340" s="17">
        <v>12</v>
      </c>
      <c r="CC340" s="17">
        <v>2</v>
      </c>
      <c r="CD340" s="17"/>
      <c r="CE340" s="17"/>
      <c r="CF340" s="17"/>
      <c r="CG340" s="17"/>
      <c r="CH340" s="17"/>
      <c r="CI340" s="17"/>
      <c r="CJ340" s="17"/>
      <c r="CK340" s="17"/>
      <c r="CL340" s="17" t="str">
        <v>HFS</v>
      </c>
      <c r="CM340" s="17">
        <v>7</v>
      </c>
      <c r="CN340" s="17">
        <v>0</v>
      </c>
      <c r="CO340" s="17">
        <f t="shared" ca="1" si="260"/>
        <v>31</v>
      </c>
      <c r="CP340" s="17"/>
      <c r="CQ340" s="17">
        <f t="shared" ca="1" si="270"/>
        <v>2928</v>
      </c>
      <c r="CR340" s="17">
        <v>0</v>
      </c>
      <c r="CS340" s="17">
        <f t="shared" ca="1" si="271"/>
        <v>1.0587431693989071E-2</v>
      </c>
      <c r="CT340" s="17" t="str">
        <f t="shared" si="268"/>
        <v>one-off</v>
      </c>
      <c r="CU340" s="17" t="str">
        <f t="shared" si="269"/>
        <v>Yes</v>
      </c>
      <c r="CV340" s="17">
        <f t="shared" ca="1" si="272"/>
        <v>0.94399999999999995</v>
      </c>
      <c r="CW340" s="17">
        <f t="shared" ca="1" si="273"/>
        <v>1.981957870936483E-3</v>
      </c>
      <c r="CY340" s="657">
        <v>10</v>
      </c>
      <c r="CZ340" s="17" t="str">
        <f t="shared" si="261"/>
        <v>sorafenib</v>
      </c>
      <c r="DA340" s="17">
        <f t="shared" si="262"/>
        <v>12</v>
      </c>
      <c r="DB340" s="17">
        <f t="shared" si="263"/>
        <v>2</v>
      </c>
      <c r="DC340" s="17" t="str">
        <f>"G3+ "&amp;$D$39</f>
        <v>G3+ Hyponatraemia</v>
      </c>
      <c r="DD340" s="17">
        <f t="shared" ca="1" si="264"/>
        <v>9.909789354682415E-4</v>
      </c>
      <c r="DE340" s="956">
        <f t="shared" ca="1" si="265"/>
        <v>16</v>
      </c>
      <c r="DG340" s="1008">
        <f t="shared" si="266"/>
        <v>574.71</v>
      </c>
      <c r="DH340" s="1009">
        <f t="shared" si="267"/>
        <v>-0.1</v>
      </c>
      <c r="DI340" s="1007">
        <f t="shared" si="242"/>
        <v>3</v>
      </c>
    </row>
    <row r="341" spans="79:113" x14ac:dyDescent="0.2">
      <c r="CA341" s="17" t="str" cm="1">
        <f t="array" ref="CA341">INDEX(List_comparators,CB341+1)</f>
        <v>sorafenib</v>
      </c>
      <c r="CB341" s="17">
        <v>12</v>
      </c>
      <c r="CC341" s="17">
        <v>2</v>
      </c>
      <c r="CD341" s="17"/>
      <c r="CE341" s="17"/>
      <c r="CF341" s="17"/>
      <c r="CG341" s="17"/>
      <c r="CH341" s="17"/>
      <c r="CI341" s="17"/>
      <c r="CJ341" s="17"/>
      <c r="CK341" s="17"/>
      <c r="CL341" s="17" t="str">
        <v>Hypertension</v>
      </c>
      <c r="CM341" s="17">
        <v>8</v>
      </c>
      <c r="CN341" s="17">
        <v>0</v>
      </c>
      <c r="CO341" s="17">
        <f t="shared" ca="1" si="260"/>
        <v>33</v>
      </c>
      <c r="CP341" s="17"/>
      <c r="CQ341" s="17">
        <f t="shared" ca="1" si="270"/>
        <v>2928</v>
      </c>
      <c r="CR341" s="17">
        <v>0</v>
      </c>
      <c r="CS341" s="17">
        <f t="shared" ca="1" si="271"/>
        <v>1.1270491803278689E-2</v>
      </c>
      <c r="CT341" s="17" t="str">
        <f t="shared" si="268"/>
        <v>one-off</v>
      </c>
      <c r="CU341" s="17" t="str">
        <f t="shared" si="269"/>
        <v>Yes</v>
      </c>
      <c r="CV341" s="17">
        <f t="shared" ca="1" si="272"/>
        <v>0.94399999999999995</v>
      </c>
      <c r="CW341" s="17">
        <f t="shared" ca="1" si="273"/>
        <v>2.9729368064047245E-3</v>
      </c>
      <c r="CY341" s="657">
        <v>11</v>
      </c>
      <c r="CZ341" s="17" t="str">
        <f t="shared" si="261"/>
        <v>sorafenib</v>
      </c>
      <c r="DA341" s="17">
        <f t="shared" si="262"/>
        <v>12</v>
      </c>
      <c r="DB341" s="17">
        <f t="shared" si="263"/>
        <v>2</v>
      </c>
      <c r="DC341" s="17" t="str">
        <f>"G3+ "&amp;$D$40</f>
        <v>G3+ Hypophosphatemia</v>
      </c>
      <c r="DD341" s="17">
        <f t="shared" ca="1" si="264"/>
        <v>9.909789354682415E-4</v>
      </c>
      <c r="DE341" s="956">
        <f t="shared" ca="1" si="265"/>
        <v>16</v>
      </c>
      <c r="DG341" s="1008">
        <f t="shared" si="266"/>
        <v>0</v>
      </c>
      <c r="DH341" s="1009">
        <f t="shared" si="267"/>
        <v>-0.1</v>
      </c>
      <c r="DI341" s="1007">
        <f t="shared" si="242"/>
        <v>3</v>
      </c>
    </row>
    <row r="342" spans="79:113" x14ac:dyDescent="0.2">
      <c r="CA342" s="17" t="str" cm="1">
        <f t="array" ref="CA342">INDEX(List_comparators,CB342+1)</f>
        <v>sorafenib</v>
      </c>
      <c r="CB342" s="17">
        <v>12</v>
      </c>
      <c r="CC342" s="17">
        <v>2</v>
      </c>
      <c r="CD342" s="17"/>
      <c r="CE342" s="17"/>
      <c r="CF342" s="17"/>
      <c r="CG342" s="17"/>
      <c r="CH342" s="17"/>
      <c r="CI342" s="17"/>
      <c r="CJ342" s="17"/>
      <c r="CK342" s="17"/>
      <c r="CL342" s="17" t="str">
        <v>Hypertriglyceridemia</v>
      </c>
      <c r="CM342" s="17">
        <v>9</v>
      </c>
      <c r="CN342" s="17">
        <v>0</v>
      </c>
      <c r="CO342" s="17">
        <f t="shared" ca="1" si="260"/>
        <v>0</v>
      </c>
      <c r="CP342" s="17"/>
      <c r="CQ342" s="17">
        <f t="shared" ca="1" si="270"/>
        <v>2928</v>
      </c>
      <c r="CR342" s="17">
        <v>0</v>
      </c>
      <c r="CS342" s="17">
        <f t="shared" ca="1" si="271"/>
        <v>0</v>
      </c>
      <c r="CT342" s="17" t="str">
        <f t="shared" si="268"/>
        <v>one-off</v>
      </c>
      <c r="CU342" s="17" t="str">
        <f t="shared" si="269"/>
        <v>Yes</v>
      </c>
      <c r="CV342" s="17">
        <f t="shared" ca="1" si="272"/>
        <v>0.94399999999999995</v>
      </c>
      <c r="CW342" s="17">
        <f t="shared" ca="1" si="273"/>
        <v>0</v>
      </c>
      <c r="CY342" s="657">
        <v>12</v>
      </c>
      <c r="CZ342" s="17" t="str">
        <f t="shared" si="261"/>
        <v>sorafenib</v>
      </c>
      <c r="DA342" s="17">
        <f t="shared" si="262"/>
        <v>12</v>
      </c>
      <c r="DB342" s="17">
        <f t="shared" si="263"/>
        <v>2</v>
      </c>
      <c r="DC342" s="17" t="str">
        <f>"G3+ "&amp;$D$41</f>
        <v>G3+ Increase in lipase</v>
      </c>
      <c r="DD342" s="17">
        <f t="shared" ca="1" si="264"/>
        <v>0</v>
      </c>
      <c r="DE342" s="956">
        <f t="shared" ca="1" si="265"/>
        <v>16</v>
      </c>
      <c r="DG342" s="1008">
        <f t="shared" si="266"/>
        <v>655.75</v>
      </c>
      <c r="DH342" s="1009">
        <f t="shared" si="267"/>
        <v>-0.1</v>
      </c>
      <c r="DI342" s="1007">
        <f t="shared" si="242"/>
        <v>3</v>
      </c>
    </row>
    <row r="343" spans="79:113" x14ac:dyDescent="0.2">
      <c r="CA343" s="17" t="str" cm="1">
        <f t="array" ref="CA343">INDEX(List_comparators,CB343+1)</f>
        <v>sorafenib</v>
      </c>
      <c r="CB343" s="17">
        <v>12</v>
      </c>
      <c r="CC343" s="17">
        <v>2</v>
      </c>
      <c r="CD343" s="17"/>
      <c r="CE343" s="17"/>
      <c r="CF343" s="17"/>
      <c r="CG343" s="17"/>
      <c r="CH343" s="17"/>
      <c r="CI343" s="17"/>
      <c r="CJ343" s="17"/>
      <c r="CK343" s="17"/>
      <c r="CL343" s="17" t="str">
        <v>Hyponatraemia</v>
      </c>
      <c r="CM343" s="17">
        <v>10</v>
      </c>
      <c r="CN343" s="17">
        <v>0</v>
      </c>
      <c r="CO343" s="17">
        <f t="shared" ca="1" si="260"/>
        <v>0</v>
      </c>
      <c r="CP343" s="17"/>
      <c r="CQ343" s="17">
        <f t="shared" ca="1" si="270"/>
        <v>2928</v>
      </c>
      <c r="CR343" s="17">
        <v>0</v>
      </c>
      <c r="CS343" s="17">
        <f t="shared" ca="1" si="271"/>
        <v>0</v>
      </c>
      <c r="CT343" s="17" t="str">
        <f t="shared" si="268"/>
        <v>one-off</v>
      </c>
      <c r="CU343" s="17" t="str">
        <f t="shared" si="269"/>
        <v>Yes</v>
      </c>
      <c r="CV343" s="17">
        <f t="shared" ca="1" si="272"/>
        <v>0.94399999999999995</v>
      </c>
      <c r="CW343" s="17">
        <f t="shared" ca="1" si="273"/>
        <v>9.909789354682415E-4</v>
      </c>
      <c r="CY343" s="657">
        <v>13</v>
      </c>
      <c r="CZ343" s="17" t="str">
        <f t="shared" si="261"/>
        <v>sorafenib</v>
      </c>
      <c r="DA343" s="17">
        <f t="shared" si="262"/>
        <v>12</v>
      </c>
      <c r="DB343" s="17">
        <f t="shared" si="263"/>
        <v>2</v>
      </c>
      <c r="DC343" s="17" t="str">
        <f>"G3+ "&amp;$D$42</f>
        <v>G3+ Increased AST</v>
      </c>
      <c r="DD343" s="17">
        <f t="shared" ca="1" si="264"/>
        <v>0</v>
      </c>
      <c r="DE343" s="956">
        <f t="shared" ca="1" si="265"/>
        <v>16</v>
      </c>
      <c r="DG343" s="1008">
        <f t="shared" si="266"/>
        <v>0</v>
      </c>
      <c r="DH343" s="1009">
        <f t="shared" si="267"/>
        <v>-0.1</v>
      </c>
      <c r="DI343" s="1007">
        <f t="shared" si="242"/>
        <v>3</v>
      </c>
    </row>
    <row r="344" spans="79:113" x14ac:dyDescent="0.2">
      <c r="CA344" s="17" t="str" cm="1">
        <f t="array" ref="CA344">INDEX(List_comparators,CB344+1)</f>
        <v>sorafenib</v>
      </c>
      <c r="CB344" s="17">
        <v>12</v>
      </c>
      <c r="CC344" s="17">
        <v>2</v>
      </c>
      <c r="CD344" s="17"/>
      <c r="CE344" s="17"/>
      <c r="CF344" s="17"/>
      <c r="CG344" s="17"/>
      <c r="CH344" s="17"/>
      <c r="CI344" s="17"/>
      <c r="CJ344" s="17"/>
      <c r="CK344" s="17"/>
      <c r="CL344" s="17" t="str">
        <v>Hypophosphatemia</v>
      </c>
      <c r="CM344" s="17">
        <v>11</v>
      </c>
      <c r="CN344" s="17">
        <v>0</v>
      </c>
      <c r="CO344" s="17">
        <f t="shared" ca="1" si="260"/>
        <v>0</v>
      </c>
      <c r="CP344" s="17"/>
      <c r="CQ344" s="17">
        <f t="shared" ca="1" si="270"/>
        <v>2928</v>
      </c>
      <c r="CR344" s="17">
        <v>0</v>
      </c>
      <c r="CS344" s="17">
        <f t="shared" ca="1" si="271"/>
        <v>0</v>
      </c>
      <c r="CT344" s="17" t="str">
        <f t="shared" si="268"/>
        <v>one-off</v>
      </c>
      <c r="CU344" s="17" t="str">
        <f t="shared" si="269"/>
        <v>Yes</v>
      </c>
      <c r="CV344" s="17">
        <f t="shared" ca="1" si="272"/>
        <v>0.94399999999999995</v>
      </c>
      <c r="CW344" s="17">
        <f t="shared" ca="1" si="273"/>
        <v>9.909789354682415E-4</v>
      </c>
      <c r="CY344" s="657">
        <v>14</v>
      </c>
      <c r="CZ344" s="17" t="str">
        <f t="shared" si="261"/>
        <v>sorafenib</v>
      </c>
      <c r="DA344" s="17">
        <f t="shared" si="262"/>
        <v>12</v>
      </c>
      <c r="DB344" s="17">
        <f t="shared" si="263"/>
        <v>2</v>
      </c>
      <c r="DC344" s="17" t="str">
        <f>"G3+ "&amp;$D$43</f>
        <v>G3+ Leukopenia</v>
      </c>
      <c r="DD344" s="17">
        <f t="shared" ca="1" si="264"/>
        <v>0</v>
      </c>
      <c r="DE344" s="956">
        <f t="shared" ca="1" si="265"/>
        <v>16</v>
      </c>
      <c r="DG344" s="1008">
        <f t="shared" si="266"/>
        <v>0</v>
      </c>
      <c r="DH344" s="1009">
        <f t="shared" si="267"/>
        <v>-0.1</v>
      </c>
      <c r="DI344" s="1007">
        <f t="shared" si="242"/>
        <v>3</v>
      </c>
    </row>
    <row r="345" spans="79:113" x14ac:dyDescent="0.2">
      <c r="CA345" s="17" t="str" cm="1">
        <f t="array" ref="CA345">INDEX(List_comparators,CB345+1)</f>
        <v>sorafenib</v>
      </c>
      <c r="CB345" s="17">
        <v>12</v>
      </c>
      <c r="CC345" s="17">
        <v>2</v>
      </c>
      <c r="CD345" s="17"/>
      <c r="CE345" s="17"/>
      <c r="CF345" s="17"/>
      <c r="CG345" s="17"/>
      <c r="CH345" s="17"/>
      <c r="CI345" s="17"/>
      <c r="CJ345" s="17"/>
      <c r="CK345" s="17"/>
      <c r="CL345" s="17" t="str">
        <v>Increase in lipase</v>
      </c>
      <c r="CM345" s="17">
        <v>12</v>
      </c>
      <c r="CN345" s="17">
        <v>0</v>
      </c>
      <c r="CO345" s="17">
        <f t="shared" ca="1" si="260"/>
        <v>0</v>
      </c>
      <c r="CP345" s="17"/>
      <c r="CQ345" s="17">
        <f t="shared" ca="1" si="270"/>
        <v>2928</v>
      </c>
      <c r="CR345" s="17">
        <v>0</v>
      </c>
      <c r="CS345" s="17">
        <f t="shared" ca="1" si="271"/>
        <v>0</v>
      </c>
      <c r="CT345" s="17" t="str">
        <f t="shared" si="268"/>
        <v>one-off</v>
      </c>
      <c r="CU345" s="17" t="str">
        <f t="shared" si="269"/>
        <v>Yes</v>
      </c>
      <c r="CV345" s="17">
        <f t="shared" ca="1" si="272"/>
        <v>0.94399999999999995</v>
      </c>
      <c r="CW345" s="17">
        <f t="shared" ca="1" si="273"/>
        <v>0</v>
      </c>
      <c r="CY345" s="657">
        <v>15</v>
      </c>
      <c r="CZ345" s="17" t="str">
        <f t="shared" si="261"/>
        <v>sorafenib</v>
      </c>
      <c r="DA345" s="17">
        <f t="shared" si="262"/>
        <v>12</v>
      </c>
      <c r="DB345" s="17">
        <f t="shared" si="263"/>
        <v>2</v>
      </c>
      <c r="DC345" s="17" t="str">
        <f>"G3+ "&amp;$D$44</f>
        <v>G3+ Lymphopenia</v>
      </c>
      <c r="DD345" s="17">
        <f t="shared" ca="1" si="264"/>
        <v>0</v>
      </c>
      <c r="DE345" s="956">
        <f t="shared" ca="1" si="265"/>
        <v>16</v>
      </c>
      <c r="DG345" s="1008">
        <f t="shared" si="266"/>
        <v>679.97</v>
      </c>
      <c r="DH345" s="1009">
        <f t="shared" si="267"/>
        <v>-0.1</v>
      </c>
      <c r="DI345" s="1007">
        <f t="shared" si="242"/>
        <v>3</v>
      </c>
    </row>
    <row r="346" spans="79:113" x14ac:dyDescent="0.2">
      <c r="CA346" s="17" t="str" cm="1">
        <f t="array" ref="CA346">INDEX(List_comparators,CB346+1)</f>
        <v>sorafenib</v>
      </c>
      <c r="CB346" s="17">
        <v>12</v>
      </c>
      <c r="CC346" s="17">
        <v>2</v>
      </c>
      <c r="CD346" s="17"/>
      <c r="CE346" s="17"/>
      <c r="CF346" s="17"/>
      <c r="CG346" s="17"/>
      <c r="CH346" s="17"/>
      <c r="CI346" s="17"/>
      <c r="CJ346" s="17"/>
      <c r="CK346" s="17"/>
      <c r="CL346" s="17" t="str">
        <v>Increased AST</v>
      </c>
      <c r="CM346" s="17">
        <v>13</v>
      </c>
      <c r="CN346" s="17">
        <v>0</v>
      </c>
      <c r="CO346" s="17">
        <f t="shared" ca="1" si="260"/>
        <v>0</v>
      </c>
      <c r="CP346" s="17"/>
      <c r="CQ346" s="17">
        <f t="shared" ca="1" si="270"/>
        <v>2928</v>
      </c>
      <c r="CR346" s="17">
        <v>0</v>
      </c>
      <c r="CS346" s="17">
        <f t="shared" ca="1" si="271"/>
        <v>0</v>
      </c>
      <c r="CT346" s="17" t="str">
        <f t="shared" si="268"/>
        <v>one-off</v>
      </c>
      <c r="CU346" s="17" t="str">
        <f t="shared" si="269"/>
        <v>Yes</v>
      </c>
      <c r="CV346" s="17">
        <f t="shared" ca="1" si="272"/>
        <v>0.94399999999999995</v>
      </c>
      <c r="CW346" s="17">
        <f t="shared" ca="1" si="273"/>
        <v>0</v>
      </c>
      <c r="CY346" s="657">
        <v>16</v>
      </c>
      <c r="CZ346" s="17" t="str">
        <f t="shared" si="261"/>
        <v>sorafenib</v>
      </c>
      <c r="DA346" s="17">
        <f t="shared" si="262"/>
        <v>12</v>
      </c>
      <c r="DB346" s="17">
        <f t="shared" si="263"/>
        <v>2</v>
      </c>
      <c r="DC346" s="17" t="str">
        <f>"G3+ "&amp;$D$45</f>
        <v>G3+ Nausea</v>
      </c>
      <c r="DD346" s="17">
        <f t="shared" ca="1" si="264"/>
        <v>0</v>
      </c>
      <c r="DE346" s="956">
        <f t="shared" ca="1" si="265"/>
        <v>16</v>
      </c>
      <c r="DG346" s="1008">
        <f t="shared" si="266"/>
        <v>801.11</v>
      </c>
      <c r="DH346" s="1009">
        <f t="shared" si="267"/>
        <v>-0.1</v>
      </c>
      <c r="DI346" s="1007">
        <f t="shared" si="242"/>
        <v>3</v>
      </c>
    </row>
    <row r="347" spans="79:113" x14ac:dyDescent="0.2">
      <c r="CA347" s="17" t="str" cm="1">
        <f t="array" ref="CA347">INDEX(List_comparators,CB347+1)</f>
        <v>sorafenib</v>
      </c>
      <c r="CB347" s="17">
        <v>12</v>
      </c>
      <c r="CC347" s="17">
        <v>2</v>
      </c>
      <c r="CD347" s="17"/>
      <c r="CE347" s="17"/>
      <c r="CF347" s="17"/>
      <c r="CG347" s="17"/>
      <c r="CH347" s="17"/>
      <c r="CI347" s="17"/>
      <c r="CJ347" s="17"/>
      <c r="CK347" s="17"/>
      <c r="CL347" s="17" t="str">
        <v>Leukopenia</v>
      </c>
      <c r="CM347" s="17">
        <v>14</v>
      </c>
      <c r="CN347" s="17">
        <v>0</v>
      </c>
      <c r="CO347" s="17">
        <f t="shared" ca="1" si="260"/>
        <v>0</v>
      </c>
      <c r="CP347" s="17"/>
      <c r="CQ347" s="17">
        <f t="shared" ca="1" si="270"/>
        <v>2928</v>
      </c>
      <c r="CR347" s="17">
        <v>0</v>
      </c>
      <c r="CS347" s="17">
        <f t="shared" ca="1" si="271"/>
        <v>0</v>
      </c>
      <c r="CT347" s="17" t="str">
        <f t="shared" si="268"/>
        <v>one-off</v>
      </c>
      <c r="CU347" s="17" t="str">
        <f t="shared" si="269"/>
        <v>Yes</v>
      </c>
      <c r="CV347" s="17">
        <f t="shared" ca="1" si="272"/>
        <v>0.94399999999999995</v>
      </c>
      <c r="CW347" s="17">
        <f t="shared" ca="1" si="273"/>
        <v>0</v>
      </c>
      <c r="CY347" s="657">
        <v>17</v>
      </c>
      <c r="CZ347" s="17" t="str">
        <f t="shared" si="261"/>
        <v>sorafenib</v>
      </c>
      <c r="DA347" s="17">
        <f t="shared" si="262"/>
        <v>12</v>
      </c>
      <c r="DB347" s="17">
        <f t="shared" si="263"/>
        <v>2</v>
      </c>
      <c r="DC347" s="17" t="str">
        <f>"G3+ "&amp;$D$46</f>
        <v>G3+ Neutropenia</v>
      </c>
      <c r="DD347" s="17">
        <f t="shared" ca="1" si="264"/>
        <v>0</v>
      </c>
      <c r="DE347" s="956">
        <f t="shared" ca="1" si="265"/>
        <v>16</v>
      </c>
      <c r="DG347" s="1008">
        <f t="shared" si="266"/>
        <v>655.75</v>
      </c>
      <c r="DH347" s="1009">
        <f t="shared" si="267"/>
        <v>-0.1</v>
      </c>
      <c r="DI347" s="1007">
        <f t="shared" si="242"/>
        <v>3</v>
      </c>
    </row>
    <row r="348" spans="79:113" x14ac:dyDescent="0.2">
      <c r="CA348" s="17" t="str" cm="1">
        <f t="array" ref="CA348">INDEX(List_comparators,CB348+1)</f>
        <v>sorafenib</v>
      </c>
      <c r="CB348" s="17">
        <v>12</v>
      </c>
      <c r="CC348" s="17">
        <v>2</v>
      </c>
      <c r="CD348" s="17"/>
      <c r="CE348" s="17"/>
      <c r="CF348" s="17"/>
      <c r="CG348" s="17"/>
      <c r="CH348" s="17"/>
      <c r="CI348" s="17"/>
      <c r="CJ348" s="17"/>
      <c r="CK348" s="17"/>
      <c r="CL348" s="17" t="str">
        <v>Lymphopenia</v>
      </c>
      <c r="CM348" s="17">
        <v>15</v>
      </c>
      <c r="CN348" s="17">
        <v>0</v>
      </c>
      <c r="CO348" s="17">
        <f t="shared" ca="1" si="260"/>
        <v>0</v>
      </c>
      <c r="CP348" s="17"/>
      <c r="CQ348" s="17">
        <f t="shared" ca="1" si="270"/>
        <v>2928</v>
      </c>
      <c r="CR348" s="17">
        <v>0</v>
      </c>
      <c r="CS348" s="17">
        <f t="shared" ca="1" si="271"/>
        <v>0</v>
      </c>
      <c r="CT348" s="17" t="str">
        <f t="shared" si="268"/>
        <v>one-off</v>
      </c>
      <c r="CU348" s="17" t="str">
        <f t="shared" si="269"/>
        <v>Yes</v>
      </c>
      <c r="CV348" s="17">
        <f t="shared" ca="1" si="272"/>
        <v>0.94399999999999995</v>
      </c>
      <c r="CW348" s="17">
        <f t="shared" ca="1" si="273"/>
        <v>0</v>
      </c>
      <c r="CY348" s="657">
        <v>18</v>
      </c>
      <c r="CZ348" s="17" t="str">
        <f t="shared" si="261"/>
        <v>sorafenib</v>
      </c>
      <c r="DA348" s="17">
        <f t="shared" si="262"/>
        <v>12</v>
      </c>
      <c r="DB348" s="17">
        <f t="shared" si="263"/>
        <v>2</v>
      </c>
      <c r="DC348" s="17" t="str">
        <f>"G3+ "&amp;$D$47</f>
        <v>G3+ Platelets count decreased</v>
      </c>
      <c r="DD348" s="17">
        <f t="shared" ca="1" si="264"/>
        <v>0</v>
      </c>
      <c r="DE348" s="956">
        <f t="shared" ca="1" si="265"/>
        <v>16</v>
      </c>
      <c r="DG348" s="1008">
        <f t="shared" si="266"/>
        <v>801.11</v>
      </c>
      <c r="DH348" s="1009">
        <f t="shared" si="267"/>
        <v>-0.1</v>
      </c>
      <c r="DI348" s="1007">
        <f t="shared" si="242"/>
        <v>3</v>
      </c>
    </row>
    <row r="349" spans="79:113" x14ac:dyDescent="0.2">
      <c r="CA349" s="17" t="str" cm="1">
        <f t="array" ref="CA349">INDEX(List_comparators,CB349+1)</f>
        <v>sorafenib</v>
      </c>
      <c r="CB349" s="17">
        <v>12</v>
      </c>
      <c r="CC349" s="17">
        <v>2</v>
      </c>
      <c r="CD349" s="17"/>
      <c r="CE349" s="17"/>
      <c r="CF349" s="17"/>
      <c r="CG349" s="17"/>
      <c r="CH349" s="17"/>
      <c r="CI349" s="17"/>
      <c r="CJ349" s="17"/>
      <c r="CK349" s="17"/>
      <c r="CL349" s="17" t="str">
        <v>Nausea</v>
      </c>
      <c r="CM349" s="17">
        <v>16</v>
      </c>
      <c r="CN349" s="17">
        <v>0</v>
      </c>
      <c r="CO349" s="17">
        <f t="shared" ca="1" si="260"/>
        <v>0</v>
      </c>
      <c r="CP349" s="17"/>
      <c r="CQ349" s="17">
        <f t="shared" ca="1" si="270"/>
        <v>2928</v>
      </c>
      <c r="CR349" s="17">
        <v>0</v>
      </c>
      <c r="CS349" s="17">
        <f t="shared" ca="1" si="271"/>
        <v>0</v>
      </c>
      <c r="CT349" s="17" t="str">
        <f t="shared" si="268"/>
        <v>one-off</v>
      </c>
      <c r="CU349" s="17" t="str">
        <f t="shared" si="269"/>
        <v>Yes</v>
      </c>
      <c r="CV349" s="17">
        <f t="shared" ca="1" si="272"/>
        <v>0.94399999999999995</v>
      </c>
      <c r="CW349" s="17">
        <f t="shared" ca="1" si="273"/>
        <v>0</v>
      </c>
      <c r="CY349" s="657">
        <v>19</v>
      </c>
      <c r="CZ349" s="17" t="str">
        <f t="shared" si="261"/>
        <v>sorafenib</v>
      </c>
      <c r="DA349" s="17">
        <f t="shared" si="262"/>
        <v>12</v>
      </c>
      <c r="DB349" s="17">
        <f t="shared" si="263"/>
        <v>2</v>
      </c>
      <c r="DC349" s="17" t="str">
        <f>"G3+ "&amp;$D$48</f>
        <v>G3+ Proteinuria</v>
      </c>
      <c r="DD349" s="17">
        <f t="shared" ca="1" si="264"/>
        <v>0</v>
      </c>
      <c r="DE349" s="956">
        <f t="shared" ca="1" si="265"/>
        <v>16</v>
      </c>
      <c r="DG349" s="1008">
        <f t="shared" si="266"/>
        <v>220.87</v>
      </c>
      <c r="DH349" s="1009">
        <f t="shared" si="267"/>
        <v>-0.1</v>
      </c>
      <c r="DI349" s="1007">
        <f t="shared" si="242"/>
        <v>3</v>
      </c>
    </row>
    <row r="350" spans="79:113" x14ac:dyDescent="0.2">
      <c r="CA350" s="17" t="str" cm="1">
        <f t="array" ref="CA350">INDEX(List_comparators,CB350+1)</f>
        <v>sorafenib</v>
      </c>
      <c r="CB350" s="17">
        <v>12</v>
      </c>
      <c r="CC350" s="17">
        <v>2</v>
      </c>
      <c r="CD350" s="17"/>
      <c r="CE350" s="17"/>
      <c r="CF350" s="17"/>
      <c r="CG350" s="17"/>
      <c r="CH350" s="17"/>
      <c r="CI350" s="17"/>
      <c r="CJ350" s="17"/>
      <c r="CK350" s="17"/>
      <c r="CL350" s="17" t="str">
        <v>Neutropenia</v>
      </c>
      <c r="CM350" s="17">
        <v>17</v>
      </c>
      <c r="CN350" s="17">
        <v>0</v>
      </c>
      <c r="CO350" s="17">
        <f t="shared" ca="1" si="260"/>
        <v>0</v>
      </c>
      <c r="CP350" s="17"/>
      <c r="CQ350" s="17">
        <f t="shared" ca="1" si="270"/>
        <v>2928</v>
      </c>
      <c r="CR350" s="17">
        <v>0</v>
      </c>
      <c r="CS350" s="17">
        <f t="shared" ca="1" si="271"/>
        <v>0</v>
      </c>
      <c r="CT350" s="17" t="str">
        <f t="shared" si="268"/>
        <v>one-off</v>
      </c>
      <c r="CU350" s="17" t="str">
        <f t="shared" si="269"/>
        <v>Yes</v>
      </c>
      <c r="CV350" s="17">
        <f t="shared" ca="1" si="272"/>
        <v>0.94399999999999995</v>
      </c>
      <c r="CW350" s="17">
        <f t="shared" ca="1" si="273"/>
        <v>0</v>
      </c>
      <c r="CY350" s="657">
        <v>20</v>
      </c>
      <c r="CZ350" s="17" t="str">
        <f t="shared" si="261"/>
        <v>sorafenib</v>
      </c>
      <c r="DA350" s="17">
        <f t="shared" si="262"/>
        <v>12</v>
      </c>
      <c r="DB350" s="17">
        <f t="shared" si="263"/>
        <v>2</v>
      </c>
      <c r="DC350" s="17" t="str">
        <f>"G3+ "&amp;$D$49</f>
        <v>G3+ Stomatitis</v>
      </c>
      <c r="DD350" s="17">
        <f t="shared" ca="1" si="264"/>
        <v>0</v>
      </c>
      <c r="DE350" s="956">
        <f t="shared" ca="1" si="265"/>
        <v>16</v>
      </c>
      <c r="DG350" s="1008">
        <f t="shared" si="266"/>
        <v>801.11</v>
      </c>
      <c r="DH350" s="1009">
        <f t="shared" si="267"/>
        <v>-0.1</v>
      </c>
      <c r="DI350" s="1007">
        <f t="shared" si="242"/>
        <v>3</v>
      </c>
    </row>
    <row r="351" spans="79:113" x14ac:dyDescent="0.2">
      <c r="CA351" s="17" t="str" cm="1">
        <f t="array" ref="CA351">INDEX(List_comparators,CB351+1)</f>
        <v>sorafenib</v>
      </c>
      <c r="CB351" s="17">
        <v>12</v>
      </c>
      <c r="CC351" s="17">
        <v>2</v>
      </c>
      <c r="CD351" s="17"/>
      <c r="CE351" s="17"/>
      <c r="CF351" s="17"/>
      <c r="CG351" s="17"/>
      <c r="CH351" s="17"/>
      <c r="CI351" s="17"/>
      <c r="CJ351" s="17"/>
      <c r="CK351" s="17"/>
      <c r="CL351" s="17" t="str">
        <v>Platelets count decreased</v>
      </c>
      <c r="CM351" s="17">
        <v>18</v>
      </c>
      <c r="CN351" s="17">
        <v>0</v>
      </c>
      <c r="CO351" s="17">
        <f t="shared" ca="1" si="260"/>
        <v>0</v>
      </c>
      <c r="CP351" s="17"/>
      <c r="CQ351" s="17">
        <f t="shared" ca="1" si="270"/>
        <v>2928</v>
      </c>
      <c r="CR351" s="17">
        <v>0</v>
      </c>
      <c r="CS351" s="17">
        <f t="shared" ca="1" si="271"/>
        <v>0</v>
      </c>
      <c r="CT351" s="17" t="str">
        <f t="shared" si="268"/>
        <v>one-off</v>
      </c>
      <c r="CU351" s="17" t="str">
        <f t="shared" si="269"/>
        <v>Yes</v>
      </c>
      <c r="CV351" s="17">
        <f t="shared" ca="1" si="272"/>
        <v>0.94399999999999995</v>
      </c>
      <c r="CW351" s="17">
        <f t="shared" ca="1" si="273"/>
        <v>0</v>
      </c>
      <c r="CY351" s="657">
        <v>21</v>
      </c>
      <c r="CZ351" s="17" t="str">
        <f t="shared" si="261"/>
        <v>sorafenib</v>
      </c>
      <c r="DA351" s="17">
        <f t="shared" si="262"/>
        <v>12</v>
      </c>
      <c r="DB351" s="17">
        <f t="shared" si="263"/>
        <v>2</v>
      </c>
      <c r="DC351" s="17" t="str">
        <f>"G3+ "&amp;$D$50</f>
        <v>G3+ Vomiting</v>
      </c>
      <c r="DD351" s="17">
        <f t="shared" ca="1" si="264"/>
        <v>0</v>
      </c>
      <c r="DE351" s="956">
        <f t="shared" ca="1" si="265"/>
        <v>16</v>
      </c>
      <c r="DG351" s="1008">
        <f t="shared" si="266"/>
        <v>801.11</v>
      </c>
      <c r="DH351" s="1009">
        <f t="shared" si="267"/>
        <v>-0.1</v>
      </c>
      <c r="DI351" s="1007">
        <f t="shared" ref="DI351:DI414" si="274">DI326</f>
        <v>3</v>
      </c>
    </row>
    <row r="352" spans="79:113" x14ac:dyDescent="0.2">
      <c r="CA352" s="17" t="str" cm="1">
        <f t="array" ref="CA352">INDEX(List_comparators,CB352+1)</f>
        <v>sorafenib</v>
      </c>
      <c r="CB352" s="17">
        <v>12</v>
      </c>
      <c r="CC352" s="17">
        <v>2</v>
      </c>
      <c r="CD352" s="17"/>
      <c r="CE352" s="17"/>
      <c r="CF352" s="17"/>
      <c r="CG352" s="17"/>
      <c r="CH352" s="17"/>
      <c r="CI352" s="17"/>
      <c r="CJ352" s="17"/>
      <c r="CK352" s="17"/>
      <c r="CL352" s="17" t="str">
        <v>Proteinuria</v>
      </c>
      <c r="CM352" s="17">
        <v>19</v>
      </c>
      <c r="CN352" s="17">
        <v>0</v>
      </c>
      <c r="CO352" s="17">
        <f t="shared" ca="1" si="260"/>
        <v>0</v>
      </c>
      <c r="CP352" s="17"/>
      <c r="CQ352" s="17">
        <f t="shared" ca="1" si="270"/>
        <v>2928</v>
      </c>
      <c r="CR352" s="17">
        <v>0</v>
      </c>
      <c r="CS352" s="17">
        <f t="shared" ca="1" si="271"/>
        <v>0</v>
      </c>
      <c r="CT352" s="17" t="str">
        <f t="shared" si="268"/>
        <v>one-off</v>
      </c>
      <c r="CU352" s="17" t="str">
        <f t="shared" si="269"/>
        <v>Yes</v>
      </c>
      <c r="CV352" s="17">
        <f t="shared" ca="1" si="272"/>
        <v>0.94399999999999995</v>
      </c>
      <c r="CW352" s="17">
        <f t="shared" ca="1" si="273"/>
        <v>0</v>
      </c>
      <c r="CY352" s="657">
        <v>22</v>
      </c>
      <c r="CZ352" s="17" t="str">
        <f t="shared" si="261"/>
        <v>sorafenib</v>
      </c>
      <c r="DA352" s="17">
        <f t="shared" si="262"/>
        <v>12</v>
      </c>
      <c r="DB352" s="17">
        <f t="shared" si="263"/>
        <v>2</v>
      </c>
      <c r="DC352" s="17" t="str">
        <f>"G3+ "&amp;$D$51</f>
        <v>G3+ Weight loss</v>
      </c>
      <c r="DD352" s="17">
        <f t="shared" ca="1" si="264"/>
        <v>0</v>
      </c>
      <c r="DE352" s="956">
        <f t="shared" ca="1" si="265"/>
        <v>16</v>
      </c>
      <c r="DG352" s="1008">
        <f t="shared" si="266"/>
        <v>801.11</v>
      </c>
      <c r="DH352" s="1009">
        <f t="shared" si="267"/>
        <v>-0.1</v>
      </c>
      <c r="DI352" s="1007">
        <f t="shared" si="274"/>
        <v>3</v>
      </c>
    </row>
    <row r="353" spans="79:113" x14ac:dyDescent="0.2">
      <c r="CA353" s="17" t="str" cm="1">
        <f t="array" ref="CA353">INDEX(List_comparators,CB353+1)</f>
        <v>sorafenib</v>
      </c>
      <c r="CB353" s="17">
        <v>12</v>
      </c>
      <c r="CC353" s="17">
        <v>2</v>
      </c>
      <c r="CD353" s="17"/>
      <c r="CE353" s="17"/>
      <c r="CF353" s="17"/>
      <c r="CG353" s="17"/>
      <c r="CH353" s="17"/>
      <c r="CI353" s="17"/>
      <c r="CJ353" s="17"/>
      <c r="CK353" s="17"/>
      <c r="CL353" s="17" t="str">
        <v>Stomatitis</v>
      </c>
      <c r="CM353" s="17">
        <v>20</v>
      </c>
      <c r="CN353" s="17">
        <v>0</v>
      </c>
      <c r="CO353" s="17">
        <f t="shared" ca="1" si="260"/>
        <v>0</v>
      </c>
      <c r="CP353" s="17"/>
      <c r="CQ353" s="17">
        <f t="shared" ca="1" si="270"/>
        <v>2928</v>
      </c>
      <c r="CR353" s="17">
        <v>0</v>
      </c>
      <c r="CS353" s="17">
        <f t="shared" ca="1" si="271"/>
        <v>0</v>
      </c>
      <c r="CT353" s="17" t="str">
        <f t="shared" si="268"/>
        <v>one-off</v>
      </c>
      <c r="CU353" s="17" t="str">
        <f t="shared" si="269"/>
        <v>Yes</v>
      </c>
      <c r="CV353" s="17">
        <f t="shared" ca="1" si="272"/>
        <v>0.94399999999999995</v>
      </c>
      <c r="CW353" s="17">
        <f t="shared" ca="1" si="273"/>
        <v>0</v>
      </c>
      <c r="CY353" s="657">
        <v>1</v>
      </c>
      <c r="CZ353" s="17" t="str">
        <f t="shared" ref="CZ353:DB355" si="275">CA352</f>
        <v>sorafenib</v>
      </c>
      <c r="DA353" s="17">
        <f t="shared" si="275"/>
        <v>12</v>
      </c>
      <c r="DB353" s="17">
        <f t="shared" si="275"/>
        <v>2</v>
      </c>
      <c r="DC353" s="17" t="str">
        <f>"G1&amp;2 "&amp;$D$18</f>
        <v>G1&amp;2 Diarrhoea</v>
      </c>
      <c r="DD353" s="17">
        <f ca="1">CHOOSE(i_AE_NMA_option_num,OFFSET($S$86,$CY353-1,$DA353),OFFSET($AG$18,$CY353-1,$DA353))</f>
        <v>5.695989461358314E-2</v>
      </c>
      <c r="DE353" s="956">
        <f ca="1">OFFSET($S$18,$CY353-1,$DA353)/INDEX($DT$14:$DT$27,MATCH(DA353,$DR$14:$DR$27,0))</f>
        <v>16</v>
      </c>
      <c r="DG353" s="1008">
        <f t="shared" si="266"/>
        <v>220.87</v>
      </c>
      <c r="DH353" s="1009">
        <f t="shared" si="267"/>
        <v>-0.05</v>
      </c>
      <c r="DI353" s="1007">
        <f t="shared" si="274"/>
        <v>3</v>
      </c>
    </row>
    <row r="354" spans="79:113" ht="15.75" thickBot="1" x14ac:dyDescent="0.25">
      <c r="CA354" s="622" t="str" cm="1">
        <f t="array" ref="CA354">INDEX(List_comparators,CB354+1)</f>
        <v>sorafenib</v>
      </c>
      <c r="CB354" s="622">
        <v>12</v>
      </c>
      <c r="CC354" s="622">
        <v>2</v>
      </c>
      <c r="CD354" s="622"/>
      <c r="CE354" s="622"/>
      <c r="CF354" s="622"/>
      <c r="CG354" s="622"/>
      <c r="CH354" s="622"/>
      <c r="CI354" s="622"/>
      <c r="CJ354" s="622"/>
      <c r="CK354" s="622"/>
      <c r="CL354" s="622" t="str">
        <v>Vomiting</v>
      </c>
      <c r="CM354" s="622">
        <v>21</v>
      </c>
      <c r="CN354" s="622">
        <v>0</v>
      </c>
      <c r="CO354" s="622">
        <f t="shared" ca="1" si="260"/>
        <v>0</v>
      </c>
      <c r="CP354" s="622"/>
      <c r="CQ354" s="622">
        <f t="shared" ca="1" si="270"/>
        <v>2928</v>
      </c>
      <c r="CR354" s="622">
        <v>0</v>
      </c>
      <c r="CS354" s="622">
        <f t="shared" ca="1" si="271"/>
        <v>0</v>
      </c>
      <c r="CT354" s="622" t="str">
        <f t="shared" si="268"/>
        <v>one-off</v>
      </c>
      <c r="CU354" s="622" t="str">
        <f t="shared" si="269"/>
        <v>Yes</v>
      </c>
      <c r="CV354" s="622">
        <f t="shared" ca="1" si="272"/>
        <v>0.94399999999999995</v>
      </c>
      <c r="CW354" s="622">
        <f t="shared" ca="1" si="273"/>
        <v>0</v>
      </c>
      <c r="CY354" s="657">
        <v>2</v>
      </c>
      <c r="CZ354" s="17" t="str">
        <f t="shared" si="275"/>
        <v>sorafenib</v>
      </c>
      <c r="DA354" s="17">
        <f t="shared" si="275"/>
        <v>12</v>
      </c>
      <c r="DB354" s="17">
        <f t="shared" si="275"/>
        <v>2</v>
      </c>
      <c r="DC354" s="17" t="str">
        <f>"G1&amp;2 "&amp;$D$19</f>
        <v>G1&amp;2 Fatigue</v>
      </c>
      <c r="DD354" s="17">
        <f ca="1">CHOOSE(i_AE_NMA_option_num,OFFSET($S$86,$CY354-1,$DA354),OFFSET($AG$18,$CY354-1,$DA354))</f>
        <v>1.1923076923076923E-2</v>
      </c>
      <c r="DE354" s="956">
        <f ca="1">OFFSET($S$18,$CY353-1,$DA354)/INDEX($DT$14:$DT$27,MATCH(DA354,$DR$14:$DR$27,0))</f>
        <v>16</v>
      </c>
      <c r="DG354" s="1008">
        <f t="shared" si="266"/>
        <v>441.74</v>
      </c>
      <c r="DH354" s="1009">
        <f t="shared" si="267"/>
        <v>-0.05</v>
      </c>
      <c r="DI354" s="1007">
        <f t="shared" si="274"/>
        <v>3</v>
      </c>
    </row>
    <row r="355" spans="79:113" ht="15.75" thickTop="1" x14ac:dyDescent="0.2">
      <c r="CA355" s="17"/>
      <c r="CB355" s="17"/>
      <c r="CC355" s="17"/>
      <c r="CD355" s="17"/>
      <c r="CE355" s="17"/>
      <c r="CF355" s="17"/>
      <c r="CG355" s="17"/>
      <c r="CH355" s="17"/>
      <c r="CI355" s="17"/>
      <c r="CJ355" s="17"/>
      <c r="CK355" s="17"/>
      <c r="CL355" s="17" t="str">
        <v>Weight loss</v>
      </c>
      <c r="CM355" s="17"/>
      <c r="CN355" s="17"/>
      <c r="CO355" s="17"/>
      <c r="CP355" s="17"/>
      <c r="CQ355" s="17"/>
      <c r="CR355" s="17"/>
      <c r="CS355" s="17"/>
      <c r="CT355" s="17"/>
      <c r="CU355" s="17"/>
      <c r="CV355" s="17"/>
      <c r="CW355" s="17"/>
      <c r="CY355" s="657">
        <v>3</v>
      </c>
      <c r="CZ355" s="17" t="str">
        <f t="shared" si="275"/>
        <v>sorafenib</v>
      </c>
      <c r="DA355" s="17">
        <f t="shared" si="275"/>
        <v>12</v>
      </c>
      <c r="DB355" s="17">
        <f t="shared" si="275"/>
        <v>2</v>
      </c>
      <c r="DC355" s="17" t="str">
        <f>"G1&amp;2 "&amp;$D$20</f>
        <v>G1&amp;2 Palmar-plantar erythrodysaesthesia syndrome</v>
      </c>
      <c r="DD355" s="17">
        <f ca="1">CHOOSE(i_AE_NMA_option_num,OFFSET($S$86,$CY355-1,$DA355),OFFSET($AG$18,$CY355-1,$DA355))</f>
        <v>6.2916591605116187E-2</v>
      </c>
      <c r="DE355" s="956">
        <f ca="1">OFFSET($S$18,$CY354-1,$DA355)/INDEX($DT$14:$DT$27,MATCH(DA355,$DR$14:$DR$27,0))</f>
        <v>16</v>
      </c>
      <c r="DG355" s="1008">
        <f t="shared" si="266"/>
        <v>441.74</v>
      </c>
      <c r="DH355" s="1009">
        <f t="shared" si="267"/>
        <v>-0.05</v>
      </c>
      <c r="DI355" s="1007">
        <f t="shared" si="274"/>
        <v>3</v>
      </c>
    </row>
    <row r="356" spans="79:113" x14ac:dyDescent="0.2">
      <c r="CA356" s="17"/>
      <c r="CB356" s="17"/>
      <c r="CC356" s="17"/>
      <c r="CD356" s="17"/>
      <c r="CE356" s="17"/>
      <c r="CF356" s="17"/>
      <c r="CG356" s="17"/>
      <c r="CH356" s="17"/>
      <c r="CI356" s="17"/>
      <c r="CJ356" s="583"/>
      <c r="CK356" s="583"/>
      <c r="CL356" s="17"/>
      <c r="CM356" s="17"/>
      <c r="CN356" s="17"/>
      <c r="CO356" s="17"/>
      <c r="CP356" s="17"/>
      <c r="CQ356" s="17"/>
      <c r="CR356" s="17"/>
      <c r="CS356" s="17"/>
      <c r="CT356" s="17"/>
      <c r="CU356" s="17"/>
      <c r="CV356" s="17"/>
      <c r="CW356" s="17"/>
      <c r="CZ356" s="17" t="str">
        <f>CZ131</f>
        <v>pazopanib</v>
      </c>
      <c r="DA356" s="17">
        <f>DA131</f>
        <v>5</v>
      </c>
      <c r="DB356" s="17">
        <v>2</v>
      </c>
      <c r="DC356" s="17" t="str">
        <f>DC131</f>
        <v>G3+ ALT increased</v>
      </c>
      <c r="DD356" s="17">
        <f ca="1">DD131</f>
        <v>0</v>
      </c>
      <c r="DE356" s="17">
        <f ca="1">DE131</f>
        <v>34.785714285714285</v>
      </c>
      <c r="DF356" s="6" t="s">
        <v>712</v>
      </c>
      <c r="DG356" s="1008">
        <f>$DG331</f>
        <v>0</v>
      </c>
      <c r="DH356" s="1009">
        <f>$DH331</f>
        <v>-0.1</v>
      </c>
      <c r="DI356" s="1007">
        <f t="shared" si="274"/>
        <v>3</v>
      </c>
    </row>
    <row r="357" spans="79:113" x14ac:dyDescent="0.2">
      <c r="CA357" s="17"/>
      <c r="CB357" s="17"/>
      <c r="CC357" s="17"/>
      <c r="CD357" s="17"/>
      <c r="CE357" s="17"/>
      <c r="CF357" s="17"/>
      <c r="CG357" s="17"/>
      <c r="CH357" s="17"/>
      <c r="CI357" s="17"/>
      <c r="CJ357" s="17"/>
      <c r="CK357" s="17"/>
      <c r="CL357" s="17"/>
      <c r="CM357" s="17"/>
      <c r="CN357" s="17"/>
      <c r="CO357" s="17"/>
      <c r="CP357" s="17"/>
      <c r="CQ357" s="17"/>
      <c r="CR357" s="17"/>
      <c r="CS357" s="17"/>
      <c r="CT357" s="17"/>
      <c r="CU357" s="17"/>
      <c r="CV357" s="17"/>
      <c r="CW357" s="17"/>
      <c r="CZ357" s="17" t="str">
        <f t="shared" ref="CZ357:DE420" si="276">CZ132</f>
        <v>pazopanib</v>
      </c>
      <c r="DA357" s="17">
        <f t="shared" si="276"/>
        <v>5</v>
      </c>
      <c r="DB357" s="17">
        <v>2</v>
      </c>
      <c r="DC357" s="17" t="str">
        <f t="shared" si="276"/>
        <v>G3+ Anaemia</v>
      </c>
      <c r="DD357" s="17">
        <f t="shared" ca="1" si="276"/>
        <v>0</v>
      </c>
      <c r="DE357" s="17">
        <f t="shared" ca="1" si="276"/>
        <v>34.785714285714285</v>
      </c>
      <c r="DG357" s="1008">
        <f t="shared" ref="DG357:DG380" si="277">$DG332</f>
        <v>655.75</v>
      </c>
      <c r="DH357" s="1009">
        <f t="shared" ref="DH357:DH380" si="278">$DH332</f>
        <v>-0.1</v>
      </c>
      <c r="DI357" s="1007">
        <f t="shared" si="274"/>
        <v>3</v>
      </c>
    </row>
    <row r="358" spans="79:113" x14ac:dyDescent="0.2">
      <c r="CA358" s="17"/>
      <c r="CB358" s="17"/>
      <c r="CC358" s="17"/>
      <c r="CD358" s="17"/>
      <c r="CE358" s="17"/>
      <c r="CF358" s="17"/>
      <c r="CG358" s="17"/>
      <c r="CH358" s="17"/>
      <c r="CI358" s="17"/>
      <c r="CJ358" s="17"/>
      <c r="CK358" s="17"/>
      <c r="CL358" s="17"/>
      <c r="CM358" s="17"/>
      <c r="CN358" s="17"/>
      <c r="CO358" s="17"/>
      <c r="CP358" s="17"/>
      <c r="CQ358" s="17"/>
      <c r="CR358" s="17"/>
      <c r="CS358" s="17"/>
      <c r="CT358" s="17"/>
      <c r="CU358" s="17"/>
      <c r="CV358" s="17"/>
      <c r="CW358" s="17"/>
      <c r="CZ358" s="17" t="str">
        <f t="shared" si="276"/>
        <v>pazopanib</v>
      </c>
      <c r="DA358" s="17">
        <f t="shared" si="276"/>
        <v>5</v>
      </c>
      <c r="DB358" s="17">
        <v>2</v>
      </c>
      <c r="DC358" s="17" t="str">
        <f t="shared" si="276"/>
        <v>G3+ Decreased appetite</v>
      </c>
      <c r="DD358" s="17">
        <f t="shared" ca="1" si="276"/>
        <v>0</v>
      </c>
      <c r="DE358" s="17">
        <f t="shared" ca="1" si="276"/>
        <v>34.785714285714285</v>
      </c>
      <c r="DG358" s="1008">
        <f t="shared" si="277"/>
        <v>0</v>
      </c>
      <c r="DH358" s="1009">
        <f t="shared" si="278"/>
        <v>-0.1</v>
      </c>
      <c r="DI358" s="1007">
        <f t="shared" si="274"/>
        <v>3</v>
      </c>
    </row>
    <row r="359" spans="79:113" x14ac:dyDescent="0.2">
      <c r="CA359" s="17"/>
      <c r="CB359" s="17"/>
      <c r="CC359" s="17"/>
      <c r="CD359" s="17"/>
      <c r="CE359" s="17"/>
      <c r="CF359" s="17"/>
      <c r="CG359" s="17"/>
      <c r="CH359" s="17"/>
      <c r="CI359" s="17"/>
      <c r="CJ359" s="17"/>
      <c r="CK359" s="17"/>
      <c r="CL359" s="17"/>
      <c r="CM359" s="17"/>
      <c r="CN359" s="17"/>
      <c r="CO359" s="17"/>
      <c r="CP359" s="17"/>
      <c r="CQ359" s="17"/>
      <c r="CR359" s="17"/>
      <c r="CS359" s="17"/>
      <c r="CT359" s="17"/>
      <c r="CU359" s="17"/>
      <c r="CV359" s="17"/>
      <c r="CW359" s="17"/>
      <c r="CZ359" s="17" t="str">
        <f t="shared" si="276"/>
        <v>pazopanib</v>
      </c>
      <c r="DA359" s="17">
        <f t="shared" si="276"/>
        <v>5</v>
      </c>
      <c r="DB359" s="17">
        <v>2</v>
      </c>
      <c r="DC359" s="17" t="str">
        <f t="shared" si="276"/>
        <v>G3+ Diarrhoea _TKI induced</v>
      </c>
      <c r="DD359" s="17">
        <f t="shared" ca="1" si="276"/>
        <v>2.3379092356320516E-3</v>
      </c>
      <c r="DE359" s="17">
        <f t="shared" ca="1" si="276"/>
        <v>34.785714285714285</v>
      </c>
      <c r="DG359" s="1008">
        <f t="shared" si="277"/>
        <v>827.18</v>
      </c>
      <c r="DH359" s="1009">
        <f t="shared" si="278"/>
        <v>-0.1</v>
      </c>
      <c r="DI359" s="1007">
        <f t="shared" si="274"/>
        <v>3</v>
      </c>
    </row>
    <row r="360" spans="79:113" x14ac:dyDescent="0.2">
      <c r="CA360" s="17"/>
      <c r="CB360" s="17"/>
      <c r="CC360" s="17"/>
      <c r="CD360" s="17"/>
      <c r="CE360" s="17"/>
      <c r="CF360" s="17"/>
      <c r="CG360" s="17"/>
      <c r="CH360" s="17"/>
      <c r="CI360" s="17"/>
      <c r="CJ360" s="17"/>
      <c r="CK360" s="17"/>
      <c r="CL360" s="17"/>
      <c r="CM360" s="17"/>
      <c r="CN360" s="17"/>
      <c r="CO360" s="17"/>
      <c r="CP360" s="17"/>
      <c r="CQ360" s="17"/>
      <c r="CR360" s="17"/>
      <c r="CS360" s="17"/>
      <c r="CT360" s="17"/>
      <c r="CU360" s="17"/>
      <c r="CV360" s="17"/>
      <c r="CW360" s="17"/>
      <c r="CZ360" s="17" t="str">
        <f t="shared" si="276"/>
        <v>pazopanib</v>
      </c>
      <c r="DA360" s="17">
        <f t="shared" si="276"/>
        <v>5</v>
      </c>
      <c r="DB360" s="17">
        <v>2</v>
      </c>
      <c r="DC360" s="17" t="str">
        <f t="shared" si="276"/>
        <v>G3+ Diarrhoea _IO induced</v>
      </c>
      <c r="DD360" s="17">
        <f t="shared" ca="1" si="276"/>
        <v>0</v>
      </c>
      <c r="DE360" s="17">
        <f t="shared" ca="1" si="276"/>
        <v>34.785714285714285</v>
      </c>
      <c r="DG360" s="1008">
        <f t="shared" si="277"/>
        <v>4321.12</v>
      </c>
      <c r="DH360" s="1009">
        <f t="shared" si="278"/>
        <v>-0.1</v>
      </c>
      <c r="DI360" s="1007">
        <f t="shared" si="274"/>
        <v>3</v>
      </c>
    </row>
    <row r="361" spans="79:113" x14ac:dyDescent="0.2">
      <c r="CA361" s="17"/>
      <c r="CB361" s="17"/>
      <c r="CC361" s="17"/>
      <c r="CD361" s="17"/>
      <c r="CE361" s="17"/>
      <c r="CF361" s="17"/>
      <c r="CG361" s="17"/>
      <c r="CH361" s="17"/>
      <c r="CI361" s="17"/>
      <c r="CJ361" s="17"/>
      <c r="CK361" s="17"/>
      <c r="CL361" s="17"/>
      <c r="CM361" s="17"/>
      <c r="CN361" s="17"/>
      <c r="CO361" s="17"/>
      <c r="CP361" s="17"/>
      <c r="CQ361" s="17"/>
      <c r="CR361" s="17"/>
      <c r="CS361" s="17"/>
      <c r="CT361" s="17"/>
      <c r="CU361" s="17"/>
      <c r="CV361" s="17"/>
      <c r="CW361" s="17"/>
      <c r="CZ361" s="17" t="str">
        <f t="shared" si="276"/>
        <v>pazopanib</v>
      </c>
      <c r="DA361" s="17">
        <f t="shared" si="276"/>
        <v>5</v>
      </c>
      <c r="DB361" s="17">
        <v>2</v>
      </c>
      <c r="DC361" s="17" t="str">
        <f t="shared" si="276"/>
        <v>G3+ Fatigue</v>
      </c>
      <c r="DD361" s="17">
        <f t="shared" ca="1" si="276"/>
        <v>9.1846434256973454E-4</v>
      </c>
      <c r="DE361" s="17">
        <f t="shared" ca="1" si="276"/>
        <v>34.785714285714285</v>
      </c>
      <c r="DG361" s="1008">
        <f t="shared" si="277"/>
        <v>662.61</v>
      </c>
      <c r="DH361" s="1009">
        <f t="shared" si="278"/>
        <v>-0.1</v>
      </c>
      <c r="DI361" s="1007">
        <f t="shared" si="274"/>
        <v>3</v>
      </c>
    </row>
    <row r="362" spans="79:113" x14ac:dyDescent="0.2">
      <c r="CA362" s="17"/>
      <c r="CB362" s="17"/>
      <c r="CC362" s="17"/>
      <c r="CD362" s="17"/>
      <c r="CE362" s="17"/>
      <c r="CF362" s="17"/>
      <c r="CG362" s="17"/>
      <c r="CH362" s="17"/>
      <c r="CI362" s="17"/>
      <c r="CJ362" s="17"/>
      <c r="CK362" s="17"/>
      <c r="CL362" s="17"/>
      <c r="CM362" s="17"/>
      <c r="CN362" s="17"/>
      <c r="CO362" s="17"/>
      <c r="CP362" s="17"/>
      <c r="CQ362" s="17"/>
      <c r="CR362" s="17"/>
      <c r="CS362" s="17"/>
      <c r="CT362" s="17"/>
      <c r="CU362" s="17"/>
      <c r="CV362" s="17"/>
      <c r="CW362" s="17"/>
      <c r="CZ362" s="17" t="str">
        <f t="shared" si="276"/>
        <v>pazopanib</v>
      </c>
      <c r="DA362" s="17">
        <f t="shared" si="276"/>
        <v>5</v>
      </c>
      <c r="DB362" s="17">
        <v>2</v>
      </c>
      <c r="DC362" s="17" t="str">
        <f t="shared" si="276"/>
        <v>G3+ HFS</v>
      </c>
      <c r="DD362" s="17">
        <f t="shared" ca="1" si="276"/>
        <v>2.1709157188011903E-3</v>
      </c>
      <c r="DE362" s="17">
        <f t="shared" ca="1" si="276"/>
        <v>34.785714285714285</v>
      </c>
      <c r="DG362" s="1008">
        <f t="shared" si="277"/>
        <v>621.42499999999995</v>
      </c>
      <c r="DH362" s="1009">
        <f t="shared" si="278"/>
        <v>-0.1</v>
      </c>
      <c r="DI362" s="1007">
        <f t="shared" si="274"/>
        <v>3</v>
      </c>
    </row>
    <row r="363" spans="79:113" x14ac:dyDescent="0.2">
      <c r="CA363" s="17"/>
      <c r="CB363" s="17"/>
      <c r="CC363" s="17"/>
      <c r="CD363" s="17"/>
      <c r="CE363" s="17"/>
      <c r="CF363" s="17"/>
      <c r="CG363" s="17"/>
      <c r="CH363" s="17"/>
      <c r="CI363" s="17"/>
      <c r="CJ363" s="17"/>
      <c r="CK363" s="17"/>
      <c r="CL363" s="17"/>
      <c r="CM363" s="17"/>
      <c r="CN363" s="17"/>
      <c r="CO363" s="17"/>
      <c r="CP363" s="17"/>
      <c r="CQ363" s="17"/>
      <c r="CR363" s="17"/>
      <c r="CS363" s="17"/>
      <c r="CT363" s="17"/>
      <c r="CU363" s="17"/>
      <c r="CV363" s="17"/>
      <c r="CW363" s="17"/>
      <c r="CZ363" s="17" t="str">
        <f t="shared" si="276"/>
        <v>pazopanib</v>
      </c>
      <c r="DA363" s="17">
        <f t="shared" si="276"/>
        <v>5</v>
      </c>
      <c r="DB363" s="17">
        <v>2</v>
      </c>
      <c r="DC363" s="17" t="str">
        <f t="shared" si="276"/>
        <v>G3+ Hypertension</v>
      </c>
      <c r="DD363" s="17">
        <f t="shared" ca="1" si="276"/>
        <v>3.2563735782017854E-3</v>
      </c>
      <c r="DE363" s="17">
        <f t="shared" ca="1" si="276"/>
        <v>34.785714285714285</v>
      </c>
      <c r="DG363" s="1008">
        <f t="shared" si="277"/>
        <v>424.6</v>
      </c>
      <c r="DH363" s="1009">
        <f t="shared" si="278"/>
        <v>-0.1</v>
      </c>
      <c r="DI363" s="1007">
        <f t="shared" si="274"/>
        <v>3</v>
      </c>
    </row>
    <row r="364" spans="79:113" x14ac:dyDescent="0.2">
      <c r="CA364" s="17"/>
      <c r="CB364" s="17"/>
      <c r="CC364" s="17"/>
      <c r="CD364" s="17"/>
      <c r="CE364" s="17"/>
      <c r="CF364" s="17"/>
      <c r="CG364" s="17"/>
      <c r="CH364" s="17"/>
      <c r="CI364" s="17"/>
      <c r="CJ364" s="17"/>
      <c r="CK364" s="17"/>
      <c r="CL364" s="17"/>
      <c r="CM364" s="17"/>
      <c r="CN364" s="17"/>
      <c r="CO364" s="17"/>
      <c r="CP364" s="17"/>
      <c r="CQ364" s="17"/>
      <c r="CR364" s="17"/>
      <c r="CS364" s="17"/>
      <c r="CT364" s="17"/>
      <c r="CU364" s="17"/>
      <c r="CV364" s="17"/>
      <c r="CW364" s="17"/>
      <c r="CZ364" s="17" t="str">
        <f t="shared" si="276"/>
        <v>pazopanib</v>
      </c>
      <c r="DA364" s="17">
        <f t="shared" si="276"/>
        <v>5</v>
      </c>
      <c r="DB364" s="17">
        <v>2</v>
      </c>
      <c r="DC364" s="17" t="str">
        <f t="shared" si="276"/>
        <v>G3+ Hypertriglyceridemia</v>
      </c>
      <c r="DD364" s="17">
        <f t="shared" ca="1" si="276"/>
        <v>0</v>
      </c>
      <c r="DE364" s="17">
        <f t="shared" ca="1" si="276"/>
        <v>34.785714285714285</v>
      </c>
      <c r="DG364" s="1008">
        <f t="shared" si="277"/>
        <v>0</v>
      </c>
      <c r="DH364" s="1009">
        <f t="shared" si="278"/>
        <v>-0.1</v>
      </c>
      <c r="DI364" s="1007">
        <f t="shared" si="274"/>
        <v>3</v>
      </c>
    </row>
    <row r="365" spans="79:113" x14ac:dyDescent="0.2">
      <c r="CA365" s="17"/>
      <c r="CB365" s="17"/>
      <c r="CC365" s="17"/>
      <c r="CD365" s="17"/>
      <c r="CE365" s="17"/>
      <c r="CF365" s="17"/>
      <c r="CG365" s="17"/>
      <c r="CH365" s="17"/>
      <c r="CI365" s="17"/>
      <c r="CJ365" s="17"/>
      <c r="CK365" s="17"/>
      <c r="CL365" s="17"/>
      <c r="CM365" s="17"/>
      <c r="CN365" s="17"/>
      <c r="CO365" s="17"/>
      <c r="CP365" s="17"/>
      <c r="CQ365" s="17"/>
      <c r="CR365" s="17"/>
      <c r="CS365" s="17"/>
      <c r="CT365" s="17"/>
      <c r="CU365" s="17"/>
      <c r="CV365" s="17"/>
      <c r="CW365" s="17"/>
      <c r="CZ365" s="17" t="str">
        <f t="shared" si="276"/>
        <v>pazopanib</v>
      </c>
      <c r="DA365" s="17">
        <f t="shared" si="276"/>
        <v>5</v>
      </c>
      <c r="DB365" s="17">
        <v>2</v>
      </c>
      <c r="DC365" s="17" t="str">
        <f t="shared" si="276"/>
        <v>G3+ Hyponatraemia</v>
      </c>
      <c r="DD365" s="17">
        <f t="shared" ca="1" si="276"/>
        <v>1.0854578594005951E-3</v>
      </c>
      <c r="DE365" s="17">
        <f t="shared" ca="1" si="276"/>
        <v>34.785714285714285</v>
      </c>
      <c r="DG365" s="1008">
        <f t="shared" si="277"/>
        <v>574.71</v>
      </c>
      <c r="DH365" s="1009">
        <f t="shared" si="278"/>
        <v>-0.1</v>
      </c>
      <c r="DI365" s="1007">
        <f t="shared" si="274"/>
        <v>3</v>
      </c>
    </row>
    <row r="366" spans="79:113" x14ac:dyDescent="0.2">
      <c r="CA366" s="17"/>
      <c r="CB366" s="17"/>
      <c r="CC366" s="17"/>
      <c r="CD366" s="17"/>
      <c r="CE366" s="17"/>
      <c r="CF366" s="17"/>
      <c r="CG366" s="17"/>
      <c r="CH366" s="17"/>
      <c r="CI366" s="17"/>
      <c r="CJ366" s="17"/>
      <c r="CK366" s="17"/>
      <c r="CL366" s="17"/>
      <c r="CM366" s="17"/>
      <c r="CN366" s="17"/>
      <c r="CO366" s="17"/>
      <c r="CP366" s="17"/>
      <c r="CQ366" s="17"/>
      <c r="CR366" s="17"/>
      <c r="CS366" s="17"/>
      <c r="CT366" s="17"/>
      <c r="CU366" s="17"/>
      <c r="CV366" s="17"/>
      <c r="CW366" s="17"/>
      <c r="CZ366" s="17" t="str">
        <f t="shared" si="276"/>
        <v>pazopanib</v>
      </c>
      <c r="DA366" s="17">
        <f t="shared" si="276"/>
        <v>5</v>
      </c>
      <c r="DB366" s="17">
        <v>2</v>
      </c>
      <c r="DC366" s="17" t="str">
        <f t="shared" si="276"/>
        <v>G3+ Hypophosphatemia</v>
      </c>
      <c r="DD366" s="17">
        <f t="shared" ca="1" si="276"/>
        <v>1.0854578594005951E-3</v>
      </c>
      <c r="DE366" s="17">
        <f t="shared" ca="1" si="276"/>
        <v>34.785714285714285</v>
      </c>
      <c r="DG366" s="1008">
        <f t="shared" si="277"/>
        <v>0</v>
      </c>
      <c r="DH366" s="1009">
        <f t="shared" si="278"/>
        <v>-0.1</v>
      </c>
      <c r="DI366" s="1007">
        <f t="shared" si="274"/>
        <v>3</v>
      </c>
    </row>
    <row r="367" spans="79:113" x14ac:dyDescent="0.2">
      <c r="CA367" s="17"/>
      <c r="CB367" s="17"/>
      <c r="CC367" s="17"/>
      <c r="CD367" s="17"/>
      <c r="CE367" s="17"/>
      <c r="CF367" s="17"/>
      <c r="CG367" s="17"/>
      <c r="CH367" s="17"/>
      <c r="CI367" s="17"/>
      <c r="CJ367" s="17"/>
      <c r="CK367" s="17"/>
      <c r="CL367" s="17"/>
      <c r="CM367" s="17"/>
      <c r="CN367" s="17"/>
      <c r="CO367" s="17"/>
      <c r="CP367" s="17"/>
      <c r="CQ367" s="17"/>
      <c r="CR367" s="17"/>
      <c r="CS367" s="17"/>
      <c r="CT367" s="17"/>
      <c r="CU367" s="17"/>
      <c r="CV367" s="17"/>
      <c r="CW367" s="17"/>
      <c r="CZ367" s="17" t="str">
        <f t="shared" si="276"/>
        <v>pazopanib</v>
      </c>
      <c r="DA367" s="17">
        <f t="shared" si="276"/>
        <v>5</v>
      </c>
      <c r="DB367" s="17">
        <v>2</v>
      </c>
      <c r="DC367" s="17" t="str">
        <f t="shared" si="276"/>
        <v>G3+ Increase in lipase</v>
      </c>
      <c r="DD367" s="17">
        <f t="shared" ca="1" si="276"/>
        <v>0</v>
      </c>
      <c r="DE367" s="17">
        <f t="shared" ca="1" si="276"/>
        <v>34.785714285714285</v>
      </c>
      <c r="DG367" s="1008">
        <f t="shared" si="277"/>
        <v>655.75</v>
      </c>
      <c r="DH367" s="1009">
        <f t="shared" si="278"/>
        <v>-0.1</v>
      </c>
      <c r="DI367" s="1007">
        <f t="shared" si="274"/>
        <v>3</v>
      </c>
    </row>
    <row r="368" spans="79:113" x14ac:dyDescent="0.2">
      <c r="CA368" s="17"/>
      <c r="CB368" s="17"/>
      <c r="CC368" s="17"/>
      <c r="CD368" s="17"/>
      <c r="CE368" s="17"/>
      <c r="CF368" s="17"/>
      <c r="CG368" s="17"/>
      <c r="CH368" s="17"/>
      <c r="CI368" s="17"/>
      <c r="CJ368" s="17"/>
      <c r="CK368" s="17"/>
      <c r="CL368" s="17"/>
      <c r="CM368" s="17"/>
      <c r="CN368" s="17"/>
      <c r="CO368" s="17"/>
      <c r="CP368" s="17"/>
      <c r="CQ368" s="17"/>
      <c r="CR368" s="17"/>
      <c r="CS368" s="17"/>
      <c r="CT368" s="17"/>
      <c r="CU368" s="17"/>
      <c r="CV368" s="17"/>
      <c r="CW368" s="17"/>
      <c r="CZ368" s="17" t="str">
        <f t="shared" si="276"/>
        <v>pazopanib</v>
      </c>
      <c r="DA368" s="17">
        <f t="shared" si="276"/>
        <v>5</v>
      </c>
      <c r="DB368" s="17">
        <v>2</v>
      </c>
      <c r="DC368" s="17" t="str">
        <f t="shared" si="276"/>
        <v>G3+ Increased AST</v>
      </c>
      <c r="DD368" s="17">
        <f t="shared" ca="1" si="276"/>
        <v>0</v>
      </c>
      <c r="DE368" s="17">
        <f t="shared" ca="1" si="276"/>
        <v>34.785714285714285</v>
      </c>
      <c r="DG368" s="1008">
        <f t="shared" si="277"/>
        <v>0</v>
      </c>
      <c r="DH368" s="1009">
        <f t="shared" si="278"/>
        <v>-0.1</v>
      </c>
      <c r="DI368" s="1007">
        <f t="shared" si="274"/>
        <v>3</v>
      </c>
    </row>
    <row r="369" spans="79:113" x14ac:dyDescent="0.2">
      <c r="CA369" s="17"/>
      <c r="CB369" s="17"/>
      <c r="CC369" s="17"/>
      <c r="CD369" s="17"/>
      <c r="CE369" s="17"/>
      <c r="CF369" s="17"/>
      <c r="CG369" s="17"/>
      <c r="CH369" s="17"/>
      <c r="CI369" s="17"/>
      <c r="CJ369" s="17"/>
      <c r="CK369" s="17"/>
      <c r="CL369" s="17"/>
      <c r="CM369" s="17"/>
      <c r="CN369" s="17"/>
      <c r="CO369" s="17"/>
      <c r="CP369" s="17"/>
      <c r="CQ369" s="17"/>
      <c r="CR369" s="17"/>
      <c r="CS369" s="17"/>
      <c r="CT369" s="17"/>
      <c r="CU369" s="17"/>
      <c r="CV369" s="17"/>
      <c r="CW369" s="17"/>
      <c r="CZ369" s="17" t="str">
        <f t="shared" si="276"/>
        <v>pazopanib</v>
      </c>
      <c r="DA369" s="17">
        <f t="shared" si="276"/>
        <v>5</v>
      </c>
      <c r="DB369" s="17">
        <v>2</v>
      </c>
      <c r="DC369" s="17" t="str">
        <f t="shared" si="276"/>
        <v>G3+ Leukopenia</v>
      </c>
      <c r="DD369" s="17">
        <f t="shared" ca="1" si="276"/>
        <v>0</v>
      </c>
      <c r="DE369" s="17">
        <f t="shared" ca="1" si="276"/>
        <v>34.785714285714285</v>
      </c>
      <c r="DG369" s="1008">
        <f t="shared" si="277"/>
        <v>0</v>
      </c>
      <c r="DH369" s="1009">
        <f t="shared" si="278"/>
        <v>-0.1</v>
      </c>
      <c r="DI369" s="1007">
        <f t="shared" si="274"/>
        <v>3</v>
      </c>
    </row>
    <row r="370" spans="79:113" x14ac:dyDescent="0.2">
      <c r="CA370" s="17"/>
      <c r="CB370" s="17"/>
      <c r="CC370" s="17"/>
      <c r="CD370" s="17"/>
      <c r="CE370" s="17"/>
      <c r="CF370" s="17"/>
      <c r="CG370" s="17"/>
      <c r="CH370" s="17"/>
      <c r="CI370" s="17"/>
      <c r="CJ370" s="17"/>
      <c r="CK370" s="17"/>
      <c r="CL370" s="17"/>
      <c r="CM370" s="17"/>
      <c r="CN370" s="17"/>
      <c r="CO370" s="17"/>
      <c r="CP370" s="17"/>
      <c r="CQ370" s="17"/>
      <c r="CR370" s="17"/>
      <c r="CS370" s="17"/>
      <c r="CT370" s="17"/>
      <c r="CU370" s="17"/>
      <c r="CV370" s="17"/>
      <c r="CW370" s="17"/>
      <c r="CZ370" s="17" t="str">
        <f t="shared" si="276"/>
        <v>pazopanib</v>
      </c>
      <c r="DA370" s="17">
        <f t="shared" si="276"/>
        <v>5</v>
      </c>
      <c r="DB370" s="17">
        <v>2</v>
      </c>
      <c r="DC370" s="17" t="str">
        <f t="shared" si="276"/>
        <v>G3+ Lymphopenia</v>
      </c>
      <c r="DD370" s="17">
        <f t="shared" ca="1" si="276"/>
        <v>0</v>
      </c>
      <c r="DE370" s="17">
        <f t="shared" ca="1" si="276"/>
        <v>34.785714285714285</v>
      </c>
      <c r="DG370" s="1008">
        <f t="shared" si="277"/>
        <v>679.97</v>
      </c>
      <c r="DH370" s="1009">
        <f t="shared" si="278"/>
        <v>-0.1</v>
      </c>
      <c r="DI370" s="1007">
        <f t="shared" si="274"/>
        <v>3</v>
      </c>
    </row>
    <row r="371" spans="79:113" x14ac:dyDescent="0.2">
      <c r="CA371" s="17"/>
      <c r="CB371" s="17"/>
      <c r="CC371" s="17"/>
      <c r="CD371" s="17"/>
      <c r="CE371" s="17"/>
      <c r="CF371" s="17"/>
      <c r="CG371" s="17"/>
      <c r="CH371" s="17"/>
      <c r="CI371" s="17"/>
      <c r="CJ371" s="17"/>
      <c r="CK371" s="17"/>
      <c r="CL371" s="17"/>
      <c r="CM371" s="17"/>
      <c r="CN371" s="17"/>
      <c r="CO371" s="17"/>
      <c r="CP371" s="17"/>
      <c r="CQ371" s="17"/>
      <c r="CR371" s="17"/>
      <c r="CS371" s="17"/>
      <c r="CT371" s="17"/>
      <c r="CU371" s="17"/>
      <c r="CV371" s="17"/>
      <c r="CW371" s="17"/>
      <c r="CZ371" s="17" t="str">
        <f t="shared" si="276"/>
        <v>pazopanib</v>
      </c>
      <c r="DA371" s="17">
        <f t="shared" si="276"/>
        <v>5</v>
      </c>
      <c r="DB371" s="17">
        <v>2</v>
      </c>
      <c r="DC371" s="17" t="str">
        <f t="shared" si="276"/>
        <v>G3+ Nausea</v>
      </c>
      <c r="DD371" s="17">
        <f t="shared" ca="1" si="276"/>
        <v>0</v>
      </c>
      <c r="DE371" s="17">
        <f t="shared" ca="1" si="276"/>
        <v>34.785714285714285</v>
      </c>
      <c r="DG371" s="1008">
        <f t="shared" si="277"/>
        <v>801.11</v>
      </c>
      <c r="DH371" s="1009">
        <f t="shared" si="278"/>
        <v>-0.1</v>
      </c>
      <c r="DI371" s="1007">
        <f t="shared" si="274"/>
        <v>3</v>
      </c>
    </row>
    <row r="372" spans="79:113" x14ac:dyDescent="0.2">
      <c r="CA372" s="17"/>
      <c r="CB372" s="17"/>
      <c r="CC372" s="17"/>
      <c r="CD372" s="17"/>
      <c r="CE372" s="17"/>
      <c r="CF372" s="17"/>
      <c r="CG372" s="17"/>
      <c r="CH372" s="17"/>
      <c r="CI372" s="17"/>
      <c r="CJ372" s="17"/>
      <c r="CK372" s="17"/>
      <c r="CL372" s="17"/>
      <c r="CM372" s="17"/>
      <c r="CN372" s="17"/>
      <c r="CO372" s="17"/>
      <c r="CP372" s="17"/>
      <c r="CQ372" s="17"/>
      <c r="CR372" s="17"/>
      <c r="CS372" s="17"/>
      <c r="CT372" s="17"/>
      <c r="CU372" s="17"/>
      <c r="CV372" s="17"/>
      <c r="CW372" s="17"/>
      <c r="CZ372" s="17" t="str">
        <f t="shared" si="276"/>
        <v>pazopanib</v>
      </c>
      <c r="DA372" s="17">
        <f t="shared" si="276"/>
        <v>5</v>
      </c>
      <c r="DB372" s="17">
        <v>2</v>
      </c>
      <c r="DC372" s="17" t="str">
        <f t="shared" si="276"/>
        <v>G3+ Neutropenia</v>
      </c>
      <c r="DD372" s="17">
        <f t="shared" ca="1" si="276"/>
        <v>0</v>
      </c>
      <c r="DE372" s="17">
        <f t="shared" ca="1" si="276"/>
        <v>34.785714285714285</v>
      </c>
      <c r="DG372" s="1008">
        <f t="shared" si="277"/>
        <v>655.75</v>
      </c>
      <c r="DH372" s="1009">
        <f t="shared" si="278"/>
        <v>-0.1</v>
      </c>
      <c r="DI372" s="1007">
        <f t="shared" si="274"/>
        <v>3</v>
      </c>
    </row>
    <row r="373" spans="79:113" x14ac:dyDescent="0.2">
      <c r="CA373" s="17"/>
      <c r="CB373" s="17"/>
      <c r="CC373" s="17"/>
      <c r="CD373" s="17"/>
      <c r="CE373" s="17"/>
      <c r="CF373" s="17"/>
      <c r="CG373" s="17"/>
      <c r="CH373" s="17"/>
      <c r="CI373" s="17"/>
      <c r="CJ373" s="17"/>
      <c r="CK373" s="17"/>
      <c r="CL373" s="17"/>
      <c r="CM373" s="17"/>
      <c r="CN373" s="17"/>
      <c r="CO373" s="17"/>
      <c r="CP373" s="17"/>
      <c r="CQ373" s="17"/>
      <c r="CR373" s="17"/>
      <c r="CS373" s="17"/>
      <c r="CT373" s="17"/>
      <c r="CU373" s="17"/>
      <c r="CV373" s="17"/>
      <c r="CW373" s="17"/>
      <c r="CZ373" s="17" t="str">
        <f t="shared" si="276"/>
        <v>pazopanib</v>
      </c>
      <c r="DA373" s="17">
        <f t="shared" si="276"/>
        <v>5</v>
      </c>
      <c r="DB373" s="17">
        <v>2</v>
      </c>
      <c r="DC373" s="17" t="str">
        <f t="shared" si="276"/>
        <v>G3+ Platelets count decreased</v>
      </c>
      <c r="DD373" s="17">
        <f t="shared" ca="1" si="276"/>
        <v>0</v>
      </c>
      <c r="DE373" s="17">
        <f t="shared" ca="1" si="276"/>
        <v>34.785714285714285</v>
      </c>
      <c r="DG373" s="1008">
        <f t="shared" si="277"/>
        <v>801.11</v>
      </c>
      <c r="DH373" s="1009">
        <f t="shared" si="278"/>
        <v>-0.1</v>
      </c>
      <c r="DI373" s="1007">
        <f t="shared" si="274"/>
        <v>3</v>
      </c>
    </row>
    <row r="374" spans="79:113" x14ac:dyDescent="0.2">
      <c r="CA374" s="17"/>
      <c r="CB374" s="17"/>
      <c r="CC374" s="17"/>
      <c r="CD374" s="17"/>
      <c r="CE374" s="17"/>
      <c r="CF374" s="17"/>
      <c r="CG374" s="17"/>
      <c r="CH374" s="17"/>
      <c r="CI374" s="17"/>
      <c r="CJ374" s="17"/>
      <c r="CK374" s="17"/>
      <c r="CL374" s="17"/>
      <c r="CM374" s="17"/>
      <c r="CN374" s="17"/>
      <c r="CO374" s="17"/>
      <c r="CP374" s="17"/>
      <c r="CQ374" s="17"/>
      <c r="CR374" s="17"/>
      <c r="CS374" s="17"/>
      <c r="CT374" s="17"/>
      <c r="CU374" s="17"/>
      <c r="CV374" s="17"/>
      <c r="CW374" s="17"/>
      <c r="CZ374" s="17" t="str">
        <f t="shared" si="276"/>
        <v>pazopanib</v>
      </c>
      <c r="DA374" s="17">
        <f t="shared" si="276"/>
        <v>5</v>
      </c>
      <c r="DB374" s="17">
        <v>2</v>
      </c>
      <c r="DC374" s="17" t="str">
        <f t="shared" si="276"/>
        <v>G3+ Proteinuria</v>
      </c>
      <c r="DD374" s="17">
        <f t="shared" ca="1" si="276"/>
        <v>0</v>
      </c>
      <c r="DE374" s="17">
        <f t="shared" ca="1" si="276"/>
        <v>34.785714285714285</v>
      </c>
      <c r="DG374" s="1008">
        <f t="shared" si="277"/>
        <v>220.87</v>
      </c>
      <c r="DH374" s="1009">
        <f t="shared" si="278"/>
        <v>-0.1</v>
      </c>
      <c r="DI374" s="1007">
        <f t="shared" si="274"/>
        <v>3</v>
      </c>
    </row>
    <row r="375" spans="79:113" x14ac:dyDescent="0.2">
      <c r="CA375" s="17"/>
      <c r="CB375" s="17"/>
      <c r="CC375" s="17"/>
      <c r="CD375" s="17"/>
      <c r="CE375" s="17"/>
      <c r="CF375" s="17"/>
      <c r="CG375" s="17"/>
      <c r="CH375" s="17"/>
      <c r="CI375" s="17"/>
      <c r="CJ375" s="17"/>
      <c r="CK375" s="17"/>
      <c r="CL375" s="17"/>
      <c r="CM375" s="17"/>
      <c r="CN375" s="17"/>
      <c r="CO375" s="17"/>
      <c r="CP375" s="17"/>
      <c r="CQ375" s="17"/>
      <c r="CR375" s="17"/>
      <c r="CS375" s="17"/>
      <c r="CT375" s="17"/>
      <c r="CU375" s="17"/>
      <c r="CV375" s="17"/>
      <c r="CW375" s="17"/>
      <c r="CZ375" s="17" t="str">
        <f t="shared" si="276"/>
        <v>pazopanib</v>
      </c>
      <c r="DA375" s="17">
        <f t="shared" si="276"/>
        <v>5</v>
      </c>
      <c r="DB375" s="17">
        <v>2</v>
      </c>
      <c r="DC375" s="17" t="str">
        <f t="shared" si="276"/>
        <v>G3+ Stomatitis</v>
      </c>
      <c r="DD375" s="17">
        <f t="shared" ca="1" si="276"/>
        <v>0</v>
      </c>
      <c r="DE375" s="17">
        <f t="shared" ca="1" si="276"/>
        <v>34.785714285714285</v>
      </c>
      <c r="DG375" s="1008">
        <f t="shared" si="277"/>
        <v>801.11</v>
      </c>
      <c r="DH375" s="1009">
        <f t="shared" si="278"/>
        <v>-0.1</v>
      </c>
      <c r="DI375" s="1007">
        <f t="shared" si="274"/>
        <v>3</v>
      </c>
    </row>
    <row r="376" spans="79:113" x14ac:dyDescent="0.2">
      <c r="CA376" s="17"/>
      <c r="CB376" s="17"/>
      <c r="CC376" s="17"/>
      <c r="CD376" s="17"/>
      <c r="CE376" s="17"/>
      <c r="CF376" s="17"/>
      <c r="CG376" s="17"/>
      <c r="CH376" s="17"/>
      <c r="CI376" s="17"/>
      <c r="CJ376" s="17"/>
      <c r="CK376" s="17"/>
      <c r="CL376" s="17"/>
      <c r="CM376" s="17"/>
      <c r="CN376" s="17"/>
      <c r="CO376" s="17"/>
      <c r="CP376" s="17"/>
      <c r="CQ376" s="17"/>
      <c r="CR376" s="17"/>
      <c r="CS376" s="17"/>
      <c r="CT376" s="17"/>
      <c r="CU376" s="17"/>
      <c r="CV376" s="17"/>
      <c r="CW376" s="17"/>
      <c r="CZ376" s="17" t="str">
        <f t="shared" si="276"/>
        <v>pazopanib</v>
      </c>
      <c r="DA376" s="17">
        <f t="shared" si="276"/>
        <v>5</v>
      </c>
      <c r="DB376" s="17">
        <v>2</v>
      </c>
      <c r="DC376" s="17" t="str">
        <f t="shared" si="276"/>
        <v>G3+ Vomiting</v>
      </c>
      <c r="DD376" s="17">
        <f t="shared" ca="1" si="276"/>
        <v>0</v>
      </c>
      <c r="DE376" s="17">
        <f t="shared" ca="1" si="276"/>
        <v>34.785714285714285</v>
      </c>
      <c r="DG376" s="1008">
        <f t="shared" si="277"/>
        <v>801.11</v>
      </c>
      <c r="DH376" s="1009">
        <f t="shared" si="278"/>
        <v>-0.1</v>
      </c>
      <c r="DI376" s="1007">
        <f t="shared" si="274"/>
        <v>3</v>
      </c>
    </row>
    <row r="377" spans="79:113" x14ac:dyDescent="0.2">
      <c r="CA377" s="17"/>
      <c r="CB377" s="17"/>
      <c r="CC377" s="17"/>
      <c r="CD377" s="17"/>
      <c r="CE377" s="17"/>
      <c r="CF377" s="17"/>
      <c r="CG377" s="17"/>
      <c r="CH377" s="17"/>
      <c r="CI377" s="17"/>
      <c r="CJ377" s="17"/>
      <c r="CK377" s="17"/>
      <c r="CL377" s="17"/>
      <c r="CM377" s="17"/>
      <c r="CN377" s="17"/>
      <c r="CO377" s="17"/>
      <c r="CP377" s="17"/>
      <c r="CQ377" s="17"/>
      <c r="CR377" s="17"/>
      <c r="CS377" s="17"/>
      <c r="CT377" s="17"/>
      <c r="CU377" s="17"/>
      <c r="CV377" s="17"/>
      <c r="CW377" s="17"/>
      <c r="CZ377" s="17" t="str">
        <f t="shared" si="276"/>
        <v>pazopanib</v>
      </c>
      <c r="DA377" s="17">
        <f t="shared" si="276"/>
        <v>5</v>
      </c>
      <c r="DB377" s="17">
        <v>2</v>
      </c>
      <c r="DC377" s="17" t="str">
        <f t="shared" si="276"/>
        <v>G3+ Weight loss</v>
      </c>
      <c r="DD377" s="17">
        <f t="shared" ca="1" si="276"/>
        <v>0</v>
      </c>
      <c r="DE377" s="17">
        <f t="shared" ca="1" si="276"/>
        <v>34.785714285714285</v>
      </c>
      <c r="DG377" s="1008">
        <f t="shared" si="277"/>
        <v>801.11</v>
      </c>
      <c r="DH377" s="1009">
        <f t="shared" si="278"/>
        <v>-0.1</v>
      </c>
      <c r="DI377" s="1007">
        <f t="shared" si="274"/>
        <v>3</v>
      </c>
    </row>
    <row r="378" spans="79:113" x14ac:dyDescent="0.2">
      <c r="CA378" s="17"/>
      <c r="CB378" s="17"/>
      <c r="CC378" s="17"/>
      <c r="CD378" s="17"/>
      <c r="CE378" s="17"/>
      <c r="CF378" s="17"/>
      <c r="CG378" s="17"/>
      <c r="CH378" s="17"/>
      <c r="CI378" s="17"/>
      <c r="CJ378" s="17"/>
      <c r="CK378" s="17"/>
      <c r="CL378" s="17"/>
      <c r="CM378" s="17"/>
      <c r="CN378" s="17"/>
      <c r="CO378" s="17"/>
      <c r="CP378" s="17"/>
      <c r="CQ378" s="17"/>
      <c r="CR378" s="17"/>
      <c r="CS378" s="17"/>
      <c r="CT378" s="17"/>
      <c r="CU378" s="17"/>
      <c r="CV378" s="17"/>
      <c r="CW378" s="17"/>
      <c r="CZ378" s="17" t="str">
        <f t="shared" si="276"/>
        <v>pazopanib</v>
      </c>
      <c r="DA378" s="17">
        <f t="shared" si="276"/>
        <v>5</v>
      </c>
      <c r="DB378" s="17">
        <v>2</v>
      </c>
      <c r="DC378" s="17" t="str">
        <f t="shared" si="276"/>
        <v>G1&amp;2 Diarrhoea</v>
      </c>
      <c r="DD378" s="17">
        <f t="shared" ca="1" si="276"/>
        <v>1.7592190489532148E-2</v>
      </c>
      <c r="DE378" s="17">
        <f t="shared" ca="1" si="276"/>
        <v>34.785714285714285</v>
      </c>
      <c r="DG378" s="1008">
        <f t="shared" si="277"/>
        <v>220.87</v>
      </c>
      <c r="DH378" s="1009">
        <f t="shared" si="278"/>
        <v>-0.05</v>
      </c>
      <c r="DI378" s="1007">
        <f t="shared" si="274"/>
        <v>3</v>
      </c>
    </row>
    <row r="379" spans="79:113" x14ac:dyDescent="0.2">
      <c r="CA379" s="17"/>
      <c r="CB379" s="17"/>
      <c r="CC379" s="17"/>
      <c r="CD379" s="17"/>
      <c r="CE379" s="17"/>
      <c r="CF379" s="17"/>
      <c r="CG379" s="17"/>
      <c r="CH379" s="17"/>
      <c r="CI379" s="17"/>
      <c r="CJ379" s="17"/>
      <c r="CK379" s="17"/>
      <c r="CL379" s="17"/>
      <c r="CM379" s="17"/>
      <c r="CN379" s="17"/>
      <c r="CO379" s="17"/>
      <c r="CP379" s="17"/>
      <c r="CQ379" s="17"/>
      <c r="CR379" s="17"/>
      <c r="CS379" s="17"/>
      <c r="CT379" s="17"/>
      <c r="CU379" s="17"/>
      <c r="CV379" s="17"/>
      <c r="CW379" s="17"/>
      <c r="CZ379" s="17" t="str">
        <f t="shared" si="276"/>
        <v>pazopanib</v>
      </c>
      <c r="DA379" s="17">
        <f t="shared" si="276"/>
        <v>5</v>
      </c>
      <c r="DB379" s="17">
        <v>2</v>
      </c>
      <c r="DC379" s="17" t="str">
        <f t="shared" si="276"/>
        <v>G1&amp;2 Fatigue</v>
      </c>
      <c r="DD379" s="17">
        <f t="shared" ca="1" si="276"/>
        <v>7.9011571966275777E-3</v>
      </c>
      <c r="DE379" s="17">
        <f t="shared" ca="1" si="276"/>
        <v>34.785714285714285</v>
      </c>
      <c r="DG379" s="1008">
        <f t="shared" si="277"/>
        <v>441.74</v>
      </c>
      <c r="DH379" s="1009">
        <f t="shared" si="278"/>
        <v>-0.05</v>
      </c>
      <c r="DI379" s="1007">
        <f t="shared" si="274"/>
        <v>3</v>
      </c>
    </row>
    <row r="380" spans="79:113" x14ac:dyDescent="0.2">
      <c r="CA380" s="17"/>
      <c r="CB380" s="17"/>
      <c r="CC380" s="17"/>
      <c r="CD380" s="17"/>
      <c r="CE380" s="17"/>
      <c r="CF380" s="17"/>
      <c r="CG380" s="17"/>
      <c r="CH380" s="17"/>
      <c r="CI380" s="17"/>
      <c r="CJ380" s="17"/>
      <c r="CK380" s="17"/>
      <c r="CL380" s="17"/>
      <c r="CM380" s="17"/>
      <c r="CN380" s="17"/>
      <c r="CO380" s="17"/>
      <c r="CP380" s="17"/>
      <c r="CQ380" s="17"/>
      <c r="CR380" s="17"/>
      <c r="CS380" s="17"/>
      <c r="CT380" s="17"/>
      <c r="CU380" s="17"/>
      <c r="CV380" s="17"/>
      <c r="CW380" s="17"/>
      <c r="CZ380" s="17" t="str">
        <f t="shared" si="276"/>
        <v>pazopanib</v>
      </c>
      <c r="DA380" s="17">
        <f t="shared" si="276"/>
        <v>5</v>
      </c>
      <c r="DB380" s="17">
        <v>2</v>
      </c>
      <c r="DC380" s="17" t="str">
        <f t="shared" si="276"/>
        <v>G1&amp;2 Palmar-plantar erythrodysaesthesia syndrome</v>
      </c>
      <c r="DD380" s="17">
        <f t="shared" ca="1" si="276"/>
        <v>3.2453116762946117E-3</v>
      </c>
      <c r="DE380" s="17">
        <f t="shared" ca="1" si="276"/>
        <v>34.785714285714285</v>
      </c>
      <c r="DG380" s="1008">
        <f t="shared" si="277"/>
        <v>441.74</v>
      </c>
      <c r="DH380" s="1009">
        <f t="shared" si="278"/>
        <v>-0.05</v>
      </c>
      <c r="DI380" s="1007">
        <f t="shared" si="274"/>
        <v>3</v>
      </c>
    </row>
    <row r="381" spans="79:113" x14ac:dyDescent="0.2">
      <c r="CA381" s="17"/>
      <c r="CB381" s="17"/>
      <c r="CC381" s="17"/>
      <c r="CD381" s="17"/>
      <c r="CE381" s="17"/>
      <c r="CF381" s="17"/>
      <c r="CG381" s="17"/>
      <c r="CH381" s="17"/>
      <c r="CI381" s="17"/>
      <c r="CJ381" s="17"/>
      <c r="CK381" s="17"/>
      <c r="CL381" s="17"/>
      <c r="CM381" s="17"/>
      <c r="CN381" s="17"/>
      <c r="CO381" s="17"/>
      <c r="CP381" s="17"/>
      <c r="CQ381" s="17"/>
      <c r="CR381" s="17"/>
      <c r="CS381" s="17"/>
      <c r="CT381" s="17"/>
      <c r="CU381" s="17"/>
      <c r="CV381" s="17"/>
      <c r="CW381" s="17"/>
      <c r="CZ381" s="17" t="str">
        <f t="shared" si="276"/>
        <v>tivozanib</v>
      </c>
      <c r="DA381" s="17">
        <f t="shared" si="276"/>
        <v>6</v>
      </c>
      <c r="DB381" s="17">
        <v>2</v>
      </c>
      <c r="DC381" s="17" t="str">
        <f t="shared" si="276"/>
        <v>G3+ ALT increased</v>
      </c>
      <c r="DD381" s="17">
        <f t="shared" ca="1" si="276"/>
        <v>0</v>
      </c>
      <c r="DE381" s="17">
        <f t="shared" ca="1" si="276"/>
        <v>28.142857142857142</v>
      </c>
      <c r="DG381" s="1008">
        <f>$DG356</f>
        <v>0</v>
      </c>
      <c r="DH381" s="1009">
        <f>$DH356</f>
        <v>-0.1</v>
      </c>
      <c r="DI381" s="1007">
        <f t="shared" si="274"/>
        <v>3</v>
      </c>
    </row>
    <row r="382" spans="79:113" x14ac:dyDescent="0.2">
      <c r="CA382" s="17"/>
      <c r="CB382" s="17"/>
      <c r="CC382" s="17"/>
      <c r="CD382" s="17"/>
      <c r="CE382" s="17"/>
      <c r="CF382" s="17"/>
      <c r="CG382" s="17"/>
      <c r="CH382" s="17"/>
      <c r="CI382" s="17"/>
      <c r="CJ382" s="17"/>
      <c r="CK382" s="17"/>
      <c r="CL382" s="17"/>
      <c r="CM382" s="17"/>
      <c r="CN382" s="17"/>
      <c r="CO382" s="17"/>
      <c r="CP382" s="17"/>
      <c r="CQ382" s="17"/>
      <c r="CR382" s="17"/>
      <c r="CS382" s="17"/>
      <c r="CT382" s="17"/>
      <c r="CU382" s="17"/>
      <c r="CV382" s="17"/>
      <c r="CW382" s="17"/>
      <c r="CZ382" s="17" t="str">
        <f t="shared" si="276"/>
        <v>tivozanib</v>
      </c>
      <c r="DA382" s="17">
        <f t="shared" si="276"/>
        <v>6</v>
      </c>
      <c r="DB382" s="17">
        <v>2</v>
      </c>
      <c r="DC382" s="17" t="str">
        <f t="shared" si="276"/>
        <v>G3+ Anaemia</v>
      </c>
      <c r="DD382" s="17">
        <f t="shared" ca="1" si="276"/>
        <v>0</v>
      </c>
      <c r="DE382" s="17">
        <f t="shared" ca="1" si="276"/>
        <v>28.142857142857142</v>
      </c>
      <c r="DG382" s="1008">
        <f t="shared" ref="DG382:DG405" si="279">$DG357</f>
        <v>655.75</v>
      </c>
      <c r="DH382" s="1009">
        <f t="shared" ref="DH382:DH405" si="280">$DH357</f>
        <v>-0.1</v>
      </c>
      <c r="DI382" s="1007">
        <f t="shared" si="274"/>
        <v>3</v>
      </c>
    </row>
    <row r="383" spans="79:113" x14ac:dyDescent="0.2">
      <c r="CA383" s="17"/>
      <c r="CB383" s="17"/>
      <c r="CC383" s="17"/>
      <c r="CD383" s="17"/>
      <c r="CE383" s="17"/>
      <c r="CF383" s="17"/>
      <c r="CG383" s="17"/>
      <c r="CH383" s="17"/>
      <c r="CI383" s="17"/>
      <c r="CJ383" s="17"/>
      <c r="CK383" s="17"/>
      <c r="CL383" s="17"/>
      <c r="CM383" s="17"/>
      <c r="CN383" s="17"/>
      <c r="CO383" s="17"/>
      <c r="CP383" s="17"/>
      <c r="CQ383" s="17"/>
      <c r="CR383" s="17"/>
      <c r="CS383" s="17"/>
      <c r="CT383" s="17"/>
      <c r="CU383" s="17"/>
      <c r="CV383" s="17"/>
      <c r="CW383" s="17"/>
      <c r="CZ383" s="17" t="str">
        <f t="shared" si="276"/>
        <v>tivozanib</v>
      </c>
      <c r="DA383" s="17">
        <f t="shared" si="276"/>
        <v>6</v>
      </c>
      <c r="DB383" s="17">
        <v>2</v>
      </c>
      <c r="DC383" s="17" t="str">
        <f t="shared" si="276"/>
        <v>G3+ Decreased appetite</v>
      </c>
      <c r="DD383" s="17">
        <f t="shared" ca="1" si="276"/>
        <v>0</v>
      </c>
      <c r="DE383" s="17">
        <f t="shared" ca="1" si="276"/>
        <v>28.142857142857142</v>
      </c>
      <c r="DG383" s="1008">
        <f t="shared" si="279"/>
        <v>0</v>
      </c>
      <c r="DH383" s="1009">
        <f t="shared" si="280"/>
        <v>-0.1</v>
      </c>
      <c r="DI383" s="1007">
        <f t="shared" si="274"/>
        <v>3</v>
      </c>
    </row>
    <row r="384" spans="79:113" x14ac:dyDescent="0.2">
      <c r="CA384" s="17"/>
      <c r="CB384" s="17"/>
      <c r="CC384" s="17"/>
      <c r="CD384" s="17"/>
      <c r="CE384" s="17"/>
      <c r="CF384" s="17"/>
      <c r="CG384" s="17"/>
      <c r="CH384" s="17"/>
      <c r="CI384" s="17"/>
      <c r="CJ384" s="17"/>
      <c r="CK384" s="17"/>
      <c r="CL384" s="17"/>
      <c r="CM384" s="17"/>
      <c r="CN384" s="17"/>
      <c r="CO384" s="17"/>
      <c r="CP384" s="17"/>
      <c r="CQ384" s="17"/>
      <c r="CR384" s="17"/>
      <c r="CS384" s="17"/>
      <c r="CT384" s="17"/>
      <c r="CU384" s="17"/>
      <c r="CV384" s="17"/>
      <c r="CW384" s="17"/>
      <c r="CZ384" s="17" t="str">
        <f t="shared" si="276"/>
        <v>tivozanib</v>
      </c>
      <c r="DA384" s="17">
        <f t="shared" si="276"/>
        <v>6</v>
      </c>
      <c r="DB384" s="17">
        <v>2</v>
      </c>
      <c r="DC384" s="17" t="str">
        <f t="shared" si="276"/>
        <v>G3+ Diarrhoea _TKI induced</v>
      </c>
      <c r="DD384" s="17">
        <f t="shared" ca="1" si="276"/>
        <v>1.7409962393004639E-3</v>
      </c>
      <c r="DE384" s="17">
        <f t="shared" ca="1" si="276"/>
        <v>28.142857142857142</v>
      </c>
      <c r="DG384" s="1008">
        <f t="shared" si="279"/>
        <v>827.18</v>
      </c>
      <c r="DH384" s="1009">
        <f t="shared" si="280"/>
        <v>-0.1</v>
      </c>
      <c r="DI384" s="1007">
        <f t="shared" si="274"/>
        <v>3</v>
      </c>
    </row>
    <row r="385" spans="79:113" x14ac:dyDescent="0.2">
      <c r="CA385" s="17"/>
      <c r="CB385" s="17"/>
      <c r="CC385" s="17"/>
      <c r="CD385" s="17"/>
      <c r="CE385" s="17"/>
      <c r="CF385" s="17"/>
      <c r="CG385" s="17"/>
      <c r="CH385" s="17"/>
      <c r="CI385" s="17"/>
      <c r="CJ385" s="17"/>
      <c r="CK385" s="17"/>
      <c r="CL385" s="17"/>
      <c r="CM385" s="17"/>
      <c r="CN385" s="17"/>
      <c r="CO385" s="17"/>
      <c r="CP385" s="17"/>
      <c r="CQ385" s="17"/>
      <c r="CR385" s="17"/>
      <c r="CS385" s="17"/>
      <c r="CT385" s="17"/>
      <c r="CU385" s="17"/>
      <c r="CV385" s="17"/>
      <c r="CW385" s="17"/>
      <c r="CZ385" s="17" t="str">
        <f t="shared" si="276"/>
        <v>tivozanib</v>
      </c>
      <c r="DA385" s="17">
        <f t="shared" si="276"/>
        <v>6</v>
      </c>
      <c r="DB385" s="17">
        <v>2</v>
      </c>
      <c r="DC385" s="17" t="str">
        <f t="shared" si="276"/>
        <v>G3+ Diarrhoea _IO induced</v>
      </c>
      <c r="DD385" s="17">
        <f t="shared" ca="1" si="276"/>
        <v>0</v>
      </c>
      <c r="DE385" s="17">
        <f t="shared" ca="1" si="276"/>
        <v>28.142857142857142</v>
      </c>
      <c r="DG385" s="1008">
        <f t="shared" si="279"/>
        <v>4321.12</v>
      </c>
      <c r="DH385" s="1009">
        <f t="shared" si="280"/>
        <v>-0.1</v>
      </c>
      <c r="DI385" s="1007">
        <f t="shared" si="274"/>
        <v>3</v>
      </c>
    </row>
    <row r="386" spans="79:113" x14ac:dyDescent="0.2">
      <c r="CA386" s="17"/>
      <c r="CB386" s="17"/>
      <c r="CC386" s="17"/>
      <c r="CD386" s="17"/>
      <c r="CE386" s="17"/>
      <c r="CF386" s="17"/>
      <c r="CG386" s="17"/>
      <c r="CH386" s="17"/>
      <c r="CI386" s="17"/>
      <c r="CJ386" s="17"/>
      <c r="CK386" s="17"/>
      <c r="CL386" s="17"/>
      <c r="CM386" s="17"/>
      <c r="CN386" s="17"/>
      <c r="CO386" s="17"/>
      <c r="CP386" s="17"/>
      <c r="CQ386" s="17"/>
      <c r="CR386" s="17"/>
      <c r="CS386" s="17"/>
      <c r="CT386" s="17"/>
      <c r="CU386" s="17"/>
      <c r="CV386" s="17"/>
      <c r="CW386" s="17"/>
      <c r="CZ386" s="17" t="str">
        <f t="shared" si="276"/>
        <v>tivozanib</v>
      </c>
      <c r="DA386" s="17">
        <f t="shared" si="276"/>
        <v>6</v>
      </c>
      <c r="DB386" s="17">
        <v>2</v>
      </c>
      <c r="DC386" s="17" t="str">
        <f t="shared" si="276"/>
        <v>G3+ Fatigue</v>
      </c>
      <c r="DD386" s="17">
        <f t="shared" ca="1" si="276"/>
        <v>6.8396280829661083E-4</v>
      </c>
      <c r="DE386" s="17">
        <f t="shared" ca="1" si="276"/>
        <v>28.142857142857142</v>
      </c>
      <c r="DG386" s="1008">
        <f t="shared" si="279"/>
        <v>662.61</v>
      </c>
      <c r="DH386" s="1009">
        <f t="shared" si="280"/>
        <v>-0.1</v>
      </c>
      <c r="DI386" s="1007">
        <f t="shared" si="274"/>
        <v>3</v>
      </c>
    </row>
    <row r="387" spans="79:113" x14ac:dyDescent="0.2">
      <c r="CA387" s="17"/>
      <c r="CB387" s="17"/>
      <c r="CC387" s="17"/>
      <c r="CD387" s="17"/>
      <c r="CE387" s="17"/>
      <c r="CF387" s="17"/>
      <c r="CG387" s="17"/>
      <c r="CH387" s="17"/>
      <c r="CI387" s="17"/>
      <c r="CJ387" s="17"/>
      <c r="CK387" s="17"/>
      <c r="CL387" s="17"/>
      <c r="CM387" s="17"/>
      <c r="CN387" s="17"/>
      <c r="CO387" s="17"/>
      <c r="CP387" s="17"/>
      <c r="CQ387" s="17"/>
      <c r="CR387" s="17"/>
      <c r="CS387" s="17"/>
      <c r="CT387" s="17"/>
      <c r="CU387" s="17"/>
      <c r="CV387" s="17"/>
      <c r="CW387" s="17"/>
      <c r="CZ387" s="17" t="str">
        <f t="shared" si="276"/>
        <v>tivozanib</v>
      </c>
      <c r="DA387" s="17">
        <f t="shared" si="276"/>
        <v>6</v>
      </c>
      <c r="DB387" s="17">
        <v>2</v>
      </c>
      <c r="DC387" s="17" t="str">
        <f t="shared" si="276"/>
        <v>G3+ HFS</v>
      </c>
      <c r="DD387" s="17">
        <f t="shared" ca="1" si="276"/>
        <v>1.6166393650647163E-3</v>
      </c>
      <c r="DE387" s="17">
        <f t="shared" ca="1" si="276"/>
        <v>28.142857142857142</v>
      </c>
      <c r="DG387" s="1008">
        <f t="shared" si="279"/>
        <v>621.42499999999995</v>
      </c>
      <c r="DH387" s="1009">
        <f t="shared" si="280"/>
        <v>-0.1</v>
      </c>
      <c r="DI387" s="1007">
        <f t="shared" si="274"/>
        <v>3</v>
      </c>
    </row>
    <row r="388" spans="79:113" x14ac:dyDescent="0.2">
      <c r="CA388" s="17"/>
      <c r="CB388" s="17"/>
      <c r="CC388" s="17"/>
      <c r="CD388" s="17"/>
      <c r="CE388" s="17"/>
      <c r="CF388" s="17"/>
      <c r="CG388" s="17"/>
      <c r="CH388" s="17"/>
      <c r="CI388" s="17"/>
      <c r="CJ388" s="17"/>
      <c r="CK388" s="17"/>
      <c r="CL388" s="17"/>
      <c r="CM388" s="17"/>
      <c r="CN388" s="17"/>
      <c r="CO388" s="17"/>
      <c r="CP388" s="17"/>
      <c r="CQ388" s="17"/>
      <c r="CR388" s="17"/>
      <c r="CS388" s="17"/>
      <c r="CT388" s="17"/>
      <c r="CU388" s="17"/>
      <c r="CV388" s="17"/>
      <c r="CW388" s="17"/>
      <c r="CZ388" s="17" t="str">
        <f t="shared" si="276"/>
        <v>tivozanib</v>
      </c>
      <c r="DA388" s="17">
        <f t="shared" si="276"/>
        <v>6</v>
      </c>
      <c r="DB388" s="17">
        <v>2</v>
      </c>
      <c r="DC388" s="17" t="str">
        <f t="shared" si="276"/>
        <v>G3+ Hypertension</v>
      </c>
      <c r="DD388" s="17">
        <f t="shared" ca="1" si="276"/>
        <v>2.4249590475970743E-3</v>
      </c>
      <c r="DE388" s="17">
        <f t="shared" ca="1" si="276"/>
        <v>28.142857142857142</v>
      </c>
      <c r="DG388" s="1008">
        <f t="shared" si="279"/>
        <v>424.6</v>
      </c>
      <c r="DH388" s="1009">
        <f t="shared" si="280"/>
        <v>-0.1</v>
      </c>
      <c r="DI388" s="1007">
        <f t="shared" si="274"/>
        <v>3</v>
      </c>
    </row>
    <row r="389" spans="79:113" x14ac:dyDescent="0.2">
      <c r="CA389" s="17"/>
      <c r="CB389" s="17"/>
      <c r="CC389" s="17"/>
      <c r="CD389" s="17"/>
      <c r="CE389" s="17"/>
      <c r="CF389" s="17"/>
      <c r="CG389" s="17"/>
      <c r="CH389" s="17"/>
      <c r="CI389" s="17"/>
      <c r="CJ389" s="17"/>
      <c r="CK389" s="17"/>
      <c r="CL389" s="17"/>
      <c r="CM389" s="17"/>
      <c r="CN389" s="17"/>
      <c r="CO389" s="17"/>
      <c r="CP389" s="17"/>
      <c r="CQ389" s="17"/>
      <c r="CR389" s="17"/>
      <c r="CS389" s="17"/>
      <c r="CT389" s="17"/>
      <c r="CU389" s="17"/>
      <c r="CV389" s="17"/>
      <c r="CW389" s="17"/>
      <c r="CZ389" s="17" t="str">
        <f t="shared" si="276"/>
        <v>tivozanib</v>
      </c>
      <c r="DA389" s="17">
        <f t="shared" si="276"/>
        <v>6</v>
      </c>
      <c r="DB389" s="17">
        <v>2</v>
      </c>
      <c r="DC389" s="17" t="str">
        <f t="shared" si="276"/>
        <v>G3+ Hypertriglyceridemia</v>
      </c>
      <c r="DD389" s="17">
        <f t="shared" ca="1" si="276"/>
        <v>0</v>
      </c>
      <c r="DE389" s="17">
        <f t="shared" ca="1" si="276"/>
        <v>28.142857142857142</v>
      </c>
      <c r="DG389" s="1008">
        <f t="shared" si="279"/>
        <v>0</v>
      </c>
      <c r="DH389" s="1009">
        <f t="shared" si="280"/>
        <v>-0.1</v>
      </c>
      <c r="DI389" s="1007">
        <f t="shared" si="274"/>
        <v>3</v>
      </c>
    </row>
    <row r="390" spans="79:113" x14ac:dyDescent="0.2">
      <c r="CA390" s="17"/>
      <c r="CB390" s="17"/>
      <c r="CC390" s="17"/>
      <c r="CD390" s="17"/>
      <c r="CE390" s="17"/>
      <c r="CF390" s="17"/>
      <c r="CG390" s="17"/>
      <c r="CH390" s="17"/>
      <c r="CI390" s="17"/>
      <c r="CJ390" s="17"/>
      <c r="CK390" s="17"/>
      <c r="CL390" s="17"/>
      <c r="CM390" s="17"/>
      <c r="CN390" s="17"/>
      <c r="CO390" s="17"/>
      <c r="CP390" s="17"/>
      <c r="CQ390" s="17"/>
      <c r="CR390" s="17"/>
      <c r="CS390" s="17"/>
      <c r="CT390" s="17"/>
      <c r="CU390" s="17"/>
      <c r="CV390" s="17"/>
      <c r="CW390" s="17"/>
      <c r="CZ390" s="17" t="str">
        <f t="shared" si="276"/>
        <v>tivozanib</v>
      </c>
      <c r="DA390" s="17">
        <f t="shared" si="276"/>
        <v>6</v>
      </c>
      <c r="DB390" s="17">
        <v>2</v>
      </c>
      <c r="DC390" s="17" t="str">
        <f t="shared" si="276"/>
        <v>G3+ Hyponatraemia</v>
      </c>
      <c r="DD390" s="17">
        <f t="shared" ca="1" si="276"/>
        <v>8.0831968253235816E-4</v>
      </c>
      <c r="DE390" s="17">
        <f t="shared" ca="1" si="276"/>
        <v>28.142857142857142</v>
      </c>
      <c r="DG390" s="1008">
        <f t="shared" si="279"/>
        <v>574.71</v>
      </c>
      <c r="DH390" s="1009">
        <f t="shared" si="280"/>
        <v>-0.1</v>
      </c>
      <c r="DI390" s="1007">
        <f t="shared" si="274"/>
        <v>3</v>
      </c>
    </row>
    <row r="391" spans="79:113" x14ac:dyDescent="0.2">
      <c r="CA391" s="17"/>
      <c r="CB391" s="17"/>
      <c r="CC391" s="17"/>
      <c r="CD391" s="17"/>
      <c r="CE391" s="17"/>
      <c r="CF391" s="17"/>
      <c r="CG391" s="17"/>
      <c r="CH391" s="17"/>
      <c r="CI391" s="17"/>
      <c r="CJ391" s="17"/>
      <c r="CK391" s="17"/>
      <c r="CL391" s="17"/>
      <c r="CM391" s="17"/>
      <c r="CN391" s="17"/>
      <c r="CO391" s="17"/>
      <c r="CP391" s="17"/>
      <c r="CQ391" s="17"/>
      <c r="CR391" s="17"/>
      <c r="CS391" s="17"/>
      <c r="CT391" s="17"/>
      <c r="CU391" s="17"/>
      <c r="CV391" s="17"/>
      <c r="CW391" s="17"/>
      <c r="CZ391" s="17" t="str">
        <f t="shared" si="276"/>
        <v>tivozanib</v>
      </c>
      <c r="DA391" s="17">
        <f t="shared" si="276"/>
        <v>6</v>
      </c>
      <c r="DB391" s="17">
        <v>2</v>
      </c>
      <c r="DC391" s="17" t="str">
        <f t="shared" si="276"/>
        <v>G3+ Hypophosphatemia</v>
      </c>
      <c r="DD391" s="17">
        <f t="shared" ca="1" si="276"/>
        <v>8.0831968253235816E-4</v>
      </c>
      <c r="DE391" s="17">
        <f t="shared" ca="1" si="276"/>
        <v>28.142857142857142</v>
      </c>
      <c r="DG391" s="1008">
        <f t="shared" si="279"/>
        <v>0</v>
      </c>
      <c r="DH391" s="1009">
        <f t="shared" si="280"/>
        <v>-0.1</v>
      </c>
      <c r="DI391" s="1007">
        <f t="shared" si="274"/>
        <v>3</v>
      </c>
    </row>
    <row r="392" spans="79:113" x14ac:dyDescent="0.2">
      <c r="CA392" s="17"/>
      <c r="CB392" s="17"/>
      <c r="CC392" s="17"/>
      <c r="CD392" s="17"/>
      <c r="CE392" s="17"/>
      <c r="CF392" s="17"/>
      <c r="CG392" s="17"/>
      <c r="CH392" s="17"/>
      <c r="CI392" s="17"/>
      <c r="CJ392" s="17"/>
      <c r="CK392" s="17"/>
      <c r="CL392" s="17"/>
      <c r="CM392" s="17"/>
      <c r="CN392" s="17"/>
      <c r="CO392" s="17"/>
      <c r="CP392" s="17"/>
      <c r="CQ392" s="17"/>
      <c r="CR392" s="17"/>
      <c r="CS392" s="17"/>
      <c r="CT392" s="17"/>
      <c r="CU392" s="17"/>
      <c r="CV392" s="17"/>
      <c r="CW392" s="17"/>
      <c r="CZ392" s="17" t="str">
        <f t="shared" si="276"/>
        <v>tivozanib</v>
      </c>
      <c r="DA392" s="17">
        <f t="shared" si="276"/>
        <v>6</v>
      </c>
      <c r="DB392" s="17">
        <v>2</v>
      </c>
      <c r="DC392" s="17" t="str">
        <f t="shared" si="276"/>
        <v>G3+ Increase in lipase</v>
      </c>
      <c r="DD392" s="17">
        <f t="shared" ca="1" si="276"/>
        <v>0</v>
      </c>
      <c r="DE392" s="17">
        <f t="shared" ca="1" si="276"/>
        <v>28.142857142857142</v>
      </c>
      <c r="DG392" s="1008">
        <f t="shared" si="279"/>
        <v>655.75</v>
      </c>
      <c r="DH392" s="1009">
        <f t="shared" si="280"/>
        <v>-0.1</v>
      </c>
      <c r="DI392" s="1007">
        <f t="shared" si="274"/>
        <v>3</v>
      </c>
    </row>
    <row r="393" spans="79:113" x14ac:dyDescent="0.2">
      <c r="CA393" s="17"/>
      <c r="CB393" s="17"/>
      <c r="CC393" s="17"/>
      <c r="CD393" s="17"/>
      <c r="CE393" s="17"/>
      <c r="CF393" s="17"/>
      <c r="CG393" s="17"/>
      <c r="CH393" s="17"/>
      <c r="CI393" s="17"/>
      <c r="CJ393" s="17"/>
      <c r="CK393" s="17"/>
      <c r="CL393" s="17"/>
      <c r="CM393" s="17"/>
      <c r="CN393" s="17"/>
      <c r="CO393" s="17"/>
      <c r="CP393" s="17"/>
      <c r="CQ393" s="17"/>
      <c r="CR393" s="17"/>
      <c r="CS393" s="17"/>
      <c r="CT393" s="17"/>
      <c r="CU393" s="17"/>
      <c r="CV393" s="17"/>
      <c r="CW393" s="17"/>
      <c r="CZ393" s="17" t="str">
        <f t="shared" si="276"/>
        <v>tivozanib</v>
      </c>
      <c r="DA393" s="17">
        <f t="shared" si="276"/>
        <v>6</v>
      </c>
      <c r="DB393" s="17">
        <v>2</v>
      </c>
      <c r="DC393" s="17" t="str">
        <f t="shared" si="276"/>
        <v>G3+ Increased AST</v>
      </c>
      <c r="DD393" s="17">
        <f t="shared" ca="1" si="276"/>
        <v>0</v>
      </c>
      <c r="DE393" s="17">
        <f t="shared" ca="1" si="276"/>
        <v>28.142857142857142</v>
      </c>
      <c r="DG393" s="1008">
        <f t="shared" si="279"/>
        <v>0</v>
      </c>
      <c r="DH393" s="1009">
        <f t="shared" si="280"/>
        <v>-0.1</v>
      </c>
      <c r="DI393" s="1007">
        <f t="shared" si="274"/>
        <v>3</v>
      </c>
    </row>
    <row r="394" spans="79:113" x14ac:dyDescent="0.2">
      <c r="CA394" s="17"/>
      <c r="CB394" s="17"/>
      <c r="CC394" s="17"/>
      <c r="CD394" s="17"/>
      <c r="CE394" s="17"/>
      <c r="CF394" s="17"/>
      <c r="CG394" s="17"/>
      <c r="CH394" s="17"/>
      <c r="CI394" s="17"/>
      <c r="CJ394" s="17"/>
      <c r="CK394" s="17"/>
      <c r="CL394" s="17"/>
      <c r="CM394" s="17"/>
      <c r="CN394" s="17"/>
      <c r="CO394" s="17"/>
      <c r="CP394" s="17"/>
      <c r="CQ394" s="17"/>
      <c r="CR394" s="17"/>
      <c r="CS394" s="17"/>
      <c r="CT394" s="17"/>
      <c r="CU394" s="17"/>
      <c r="CV394" s="17"/>
      <c r="CW394" s="17"/>
      <c r="CZ394" s="17" t="str">
        <f t="shared" si="276"/>
        <v>tivozanib</v>
      </c>
      <c r="DA394" s="17">
        <f t="shared" si="276"/>
        <v>6</v>
      </c>
      <c r="DB394" s="17">
        <v>2</v>
      </c>
      <c r="DC394" s="17" t="str">
        <f t="shared" si="276"/>
        <v>G3+ Leukopenia</v>
      </c>
      <c r="DD394" s="17">
        <f t="shared" ca="1" si="276"/>
        <v>0</v>
      </c>
      <c r="DE394" s="17">
        <f t="shared" ca="1" si="276"/>
        <v>28.142857142857142</v>
      </c>
      <c r="DG394" s="1008">
        <f t="shared" si="279"/>
        <v>0</v>
      </c>
      <c r="DH394" s="1009">
        <f t="shared" si="280"/>
        <v>-0.1</v>
      </c>
      <c r="DI394" s="1007">
        <f t="shared" si="274"/>
        <v>3</v>
      </c>
    </row>
    <row r="395" spans="79:113" x14ac:dyDescent="0.2">
      <c r="CA395" s="17"/>
      <c r="CB395" s="17"/>
      <c r="CC395" s="17"/>
      <c r="CD395" s="17"/>
      <c r="CE395" s="17"/>
      <c r="CF395" s="17"/>
      <c r="CG395" s="17"/>
      <c r="CH395" s="17"/>
      <c r="CI395" s="17"/>
      <c r="CJ395" s="17"/>
      <c r="CK395" s="17"/>
      <c r="CL395" s="17"/>
      <c r="CM395" s="17"/>
      <c r="CN395" s="17"/>
      <c r="CO395" s="17"/>
      <c r="CP395" s="17"/>
      <c r="CQ395" s="17"/>
      <c r="CR395" s="17"/>
      <c r="CS395" s="17"/>
      <c r="CT395" s="17"/>
      <c r="CU395" s="17"/>
      <c r="CV395" s="17"/>
      <c r="CW395" s="17"/>
      <c r="CZ395" s="17" t="str">
        <f t="shared" si="276"/>
        <v>tivozanib</v>
      </c>
      <c r="DA395" s="17">
        <f t="shared" si="276"/>
        <v>6</v>
      </c>
      <c r="DB395" s="17">
        <v>2</v>
      </c>
      <c r="DC395" s="17" t="str">
        <f t="shared" ref="DC395:DE420" si="281">DC170</f>
        <v>G3+ Lymphopenia</v>
      </c>
      <c r="DD395" s="17">
        <f t="shared" ca="1" si="281"/>
        <v>0</v>
      </c>
      <c r="DE395" s="17">
        <f t="shared" ca="1" si="281"/>
        <v>28.142857142857142</v>
      </c>
      <c r="DG395" s="1008">
        <f t="shared" si="279"/>
        <v>679.97</v>
      </c>
      <c r="DH395" s="1009">
        <f t="shared" si="280"/>
        <v>-0.1</v>
      </c>
      <c r="DI395" s="1007">
        <f t="shared" si="274"/>
        <v>3</v>
      </c>
    </row>
    <row r="396" spans="79:113" x14ac:dyDescent="0.2">
      <c r="CA396" s="17"/>
      <c r="CB396" s="17"/>
      <c r="CC396" s="17"/>
      <c r="CD396" s="17"/>
      <c r="CE396" s="17"/>
      <c r="CF396" s="17"/>
      <c r="CG396" s="17"/>
      <c r="CH396" s="17"/>
      <c r="CI396" s="17"/>
      <c r="CJ396" s="17"/>
      <c r="CK396" s="17"/>
      <c r="CL396" s="17"/>
      <c r="CM396" s="17"/>
      <c r="CN396" s="17"/>
      <c r="CO396" s="17"/>
      <c r="CP396" s="17"/>
      <c r="CQ396" s="17"/>
      <c r="CR396" s="17"/>
      <c r="CS396" s="17"/>
      <c r="CT396" s="17"/>
      <c r="CU396" s="17"/>
      <c r="CV396" s="17"/>
      <c r="CW396" s="17"/>
      <c r="CZ396" s="17" t="str">
        <f t="shared" si="276"/>
        <v>tivozanib</v>
      </c>
      <c r="DA396" s="17">
        <f t="shared" ref="DA396:DA420" si="282">DA171</f>
        <v>6</v>
      </c>
      <c r="DB396" s="17">
        <v>2</v>
      </c>
      <c r="DC396" s="17" t="str">
        <f t="shared" si="281"/>
        <v>G3+ Nausea</v>
      </c>
      <c r="DD396" s="17">
        <f t="shared" ca="1" si="281"/>
        <v>0</v>
      </c>
      <c r="DE396" s="17">
        <f t="shared" ca="1" si="281"/>
        <v>28.142857142857142</v>
      </c>
      <c r="DG396" s="1008">
        <f t="shared" si="279"/>
        <v>801.11</v>
      </c>
      <c r="DH396" s="1009">
        <f t="shared" si="280"/>
        <v>-0.1</v>
      </c>
      <c r="DI396" s="1007">
        <f t="shared" si="274"/>
        <v>3</v>
      </c>
    </row>
    <row r="397" spans="79:113" x14ac:dyDescent="0.2">
      <c r="CA397" s="17"/>
      <c r="CB397" s="17"/>
      <c r="CC397" s="17"/>
      <c r="CD397" s="17"/>
      <c r="CE397" s="17"/>
      <c r="CF397" s="17"/>
      <c r="CG397" s="17"/>
      <c r="CH397" s="17"/>
      <c r="CI397" s="17"/>
      <c r="CJ397" s="17"/>
      <c r="CK397" s="17"/>
      <c r="CL397" s="17"/>
      <c r="CM397" s="17"/>
      <c r="CN397" s="17"/>
      <c r="CO397" s="17"/>
      <c r="CP397" s="17"/>
      <c r="CQ397" s="17"/>
      <c r="CR397" s="17"/>
      <c r="CS397" s="17"/>
      <c r="CT397" s="17"/>
      <c r="CU397" s="17"/>
      <c r="CV397" s="17"/>
      <c r="CW397" s="17"/>
      <c r="CZ397" s="17" t="str">
        <f t="shared" si="276"/>
        <v>tivozanib</v>
      </c>
      <c r="DA397" s="17">
        <f t="shared" si="282"/>
        <v>6</v>
      </c>
      <c r="DB397" s="17">
        <v>2</v>
      </c>
      <c r="DC397" s="17" t="str">
        <f t="shared" si="281"/>
        <v>G3+ Neutropenia</v>
      </c>
      <c r="DD397" s="17">
        <f t="shared" ca="1" si="281"/>
        <v>0</v>
      </c>
      <c r="DE397" s="17">
        <f t="shared" ca="1" si="281"/>
        <v>28.142857142857142</v>
      </c>
      <c r="DG397" s="1008">
        <f t="shared" si="279"/>
        <v>655.75</v>
      </c>
      <c r="DH397" s="1009">
        <f t="shared" si="280"/>
        <v>-0.1</v>
      </c>
      <c r="DI397" s="1007">
        <f t="shared" si="274"/>
        <v>3</v>
      </c>
    </row>
    <row r="398" spans="79:113" x14ac:dyDescent="0.2">
      <c r="CA398" s="17"/>
      <c r="CB398" s="17"/>
      <c r="CC398" s="17"/>
      <c r="CD398" s="17"/>
      <c r="CE398" s="17"/>
      <c r="CF398" s="17"/>
      <c r="CG398" s="17"/>
      <c r="CH398" s="17"/>
      <c r="CI398" s="17"/>
      <c r="CJ398" s="17"/>
      <c r="CK398" s="17"/>
      <c r="CL398" s="17"/>
      <c r="CM398" s="17"/>
      <c r="CN398" s="17"/>
      <c r="CO398" s="17"/>
      <c r="CP398" s="17"/>
      <c r="CQ398" s="17"/>
      <c r="CR398" s="17"/>
      <c r="CS398" s="17"/>
      <c r="CT398" s="17"/>
      <c r="CU398" s="17"/>
      <c r="CV398" s="17"/>
      <c r="CW398" s="17"/>
      <c r="CZ398" s="17" t="str">
        <f t="shared" si="276"/>
        <v>tivozanib</v>
      </c>
      <c r="DA398" s="17">
        <f t="shared" si="282"/>
        <v>6</v>
      </c>
      <c r="DB398" s="17">
        <v>2</v>
      </c>
      <c r="DC398" s="17" t="str">
        <f t="shared" si="281"/>
        <v>G3+ Platelets count decreased</v>
      </c>
      <c r="DD398" s="17">
        <f t="shared" ca="1" si="281"/>
        <v>0</v>
      </c>
      <c r="DE398" s="17">
        <f t="shared" ca="1" si="281"/>
        <v>28.142857142857142</v>
      </c>
      <c r="DG398" s="1008">
        <f t="shared" si="279"/>
        <v>801.11</v>
      </c>
      <c r="DH398" s="1009">
        <f t="shared" si="280"/>
        <v>-0.1</v>
      </c>
      <c r="DI398" s="1007">
        <f t="shared" si="274"/>
        <v>3</v>
      </c>
    </row>
    <row r="399" spans="79:113" x14ac:dyDescent="0.2">
      <c r="CA399" s="17"/>
      <c r="CB399" s="17"/>
      <c r="CC399" s="17"/>
      <c r="CD399" s="17"/>
      <c r="CE399" s="17"/>
      <c r="CF399" s="17"/>
      <c r="CG399" s="17"/>
      <c r="CH399" s="17"/>
      <c r="CI399" s="17"/>
      <c r="CJ399" s="17"/>
      <c r="CK399" s="17"/>
      <c r="CL399" s="17"/>
      <c r="CM399" s="17"/>
      <c r="CN399" s="17"/>
      <c r="CO399" s="17"/>
      <c r="CP399" s="17"/>
      <c r="CQ399" s="17"/>
      <c r="CR399" s="17"/>
      <c r="CS399" s="17"/>
      <c r="CT399" s="17"/>
      <c r="CU399" s="17"/>
      <c r="CV399" s="17"/>
      <c r="CW399" s="17"/>
      <c r="CZ399" s="17" t="str">
        <f t="shared" si="276"/>
        <v>tivozanib</v>
      </c>
      <c r="DA399" s="17">
        <f t="shared" si="282"/>
        <v>6</v>
      </c>
      <c r="DB399" s="17">
        <v>2</v>
      </c>
      <c r="DC399" s="17" t="str">
        <f t="shared" si="281"/>
        <v>G3+ Proteinuria</v>
      </c>
      <c r="DD399" s="17">
        <f t="shared" ca="1" si="281"/>
        <v>0</v>
      </c>
      <c r="DE399" s="17">
        <f t="shared" ca="1" si="281"/>
        <v>28.142857142857142</v>
      </c>
      <c r="DG399" s="1008">
        <f t="shared" si="279"/>
        <v>220.87</v>
      </c>
      <c r="DH399" s="1009">
        <f t="shared" si="280"/>
        <v>-0.1</v>
      </c>
      <c r="DI399" s="1007">
        <f t="shared" si="274"/>
        <v>3</v>
      </c>
    </row>
    <row r="400" spans="79:113" x14ac:dyDescent="0.2">
      <c r="CA400" s="17"/>
      <c r="CB400" s="17"/>
      <c r="CC400" s="17"/>
      <c r="CD400" s="17"/>
      <c r="CE400" s="17"/>
      <c r="CF400" s="17"/>
      <c r="CG400" s="17"/>
      <c r="CH400" s="17"/>
      <c r="CI400" s="17"/>
      <c r="CJ400" s="17"/>
      <c r="CK400" s="17"/>
      <c r="CL400" s="17"/>
      <c r="CM400" s="17"/>
      <c r="CN400" s="17"/>
      <c r="CO400" s="17"/>
      <c r="CP400" s="17"/>
      <c r="CQ400" s="17"/>
      <c r="CR400" s="17"/>
      <c r="CS400" s="17"/>
      <c r="CT400" s="17"/>
      <c r="CU400" s="17"/>
      <c r="CV400" s="17"/>
      <c r="CW400" s="17"/>
      <c r="CZ400" s="17" t="str">
        <f t="shared" si="276"/>
        <v>tivozanib</v>
      </c>
      <c r="DA400" s="17">
        <f t="shared" si="282"/>
        <v>6</v>
      </c>
      <c r="DB400" s="17">
        <v>2</v>
      </c>
      <c r="DC400" s="17" t="str">
        <f t="shared" si="281"/>
        <v>G3+ Stomatitis</v>
      </c>
      <c r="DD400" s="17">
        <f t="shared" ca="1" si="281"/>
        <v>0</v>
      </c>
      <c r="DE400" s="17">
        <f t="shared" ca="1" si="281"/>
        <v>28.142857142857142</v>
      </c>
      <c r="DG400" s="1008">
        <f t="shared" si="279"/>
        <v>801.11</v>
      </c>
      <c r="DH400" s="1009">
        <f t="shared" si="280"/>
        <v>-0.1</v>
      </c>
      <c r="DI400" s="1007">
        <f t="shared" si="274"/>
        <v>3</v>
      </c>
    </row>
    <row r="401" spans="79:113" x14ac:dyDescent="0.2">
      <c r="CA401" s="17"/>
      <c r="CB401" s="17"/>
      <c r="CC401" s="17"/>
      <c r="CD401" s="17"/>
      <c r="CE401" s="17"/>
      <c r="CF401" s="17"/>
      <c r="CG401" s="17"/>
      <c r="CH401" s="17"/>
      <c r="CI401" s="17"/>
      <c r="CJ401" s="17"/>
      <c r="CK401" s="17"/>
      <c r="CL401" s="17"/>
      <c r="CM401" s="17"/>
      <c r="CN401" s="17"/>
      <c r="CO401" s="17"/>
      <c r="CP401" s="17"/>
      <c r="CQ401" s="17"/>
      <c r="CR401" s="17"/>
      <c r="CS401" s="17"/>
      <c r="CT401" s="17"/>
      <c r="CU401" s="17"/>
      <c r="CV401" s="17"/>
      <c r="CW401" s="17"/>
      <c r="CZ401" s="17" t="str">
        <f t="shared" si="276"/>
        <v>tivozanib</v>
      </c>
      <c r="DA401" s="17">
        <f t="shared" si="282"/>
        <v>6</v>
      </c>
      <c r="DB401" s="17">
        <v>2</v>
      </c>
      <c r="DC401" s="17" t="str">
        <f t="shared" si="281"/>
        <v>G3+ Vomiting</v>
      </c>
      <c r="DD401" s="17">
        <f t="shared" ca="1" si="281"/>
        <v>0</v>
      </c>
      <c r="DE401" s="17">
        <f t="shared" ca="1" si="281"/>
        <v>28.142857142857142</v>
      </c>
      <c r="DG401" s="1008">
        <f t="shared" si="279"/>
        <v>801.11</v>
      </c>
      <c r="DH401" s="1009">
        <f t="shared" si="280"/>
        <v>-0.1</v>
      </c>
      <c r="DI401" s="1007">
        <f t="shared" si="274"/>
        <v>3</v>
      </c>
    </row>
    <row r="402" spans="79:113" x14ac:dyDescent="0.2">
      <c r="CA402" s="17"/>
      <c r="CB402" s="17"/>
      <c r="CC402" s="17"/>
      <c r="CD402" s="17"/>
      <c r="CE402" s="17"/>
      <c r="CF402" s="17"/>
      <c r="CG402" s="17"/>
      <c r="CH402" s="17"/>
      <c r="CI402" s="17"/>
      <c r="CJ402" s="17"/>
      <c r="CK402" s="17"/>
      <c r="CL402" s="17"/>
      <c r="CM402" s="17"/>
      <c r="CN402" s="17"/>
      <c r="CO402" s="17"/>
      <c r="CP402" s="17"/>
      <c r="CQ402" s="17"/>
      <c r="CR402" s="17"/>
      <c r="CS402" s="17"/>
      <c r="CT402" s="17"/>
      <c r="CU402" s="17"/>
      <c r="CV402" s="17"/>
      <c r="CW402" s="17"/>
      <c r="CZ402" s="17" t="str">
        <f t="shared" si="276"/>
        <v>tivozanib</v>
      </c>
      <c r="DA402" s="17">
        <f t="shared" si="282"/>
        <v>6</v>
      </c>
      <c r="DB402" s="17">
        <v>2</v>
      </c>
      <c r="DC402" s="17" t="str">
        <f t="shared" si="281"/>
        <v>G3+ Weight loss</v>
      </c>
      <c r="DD402" s="17">
        <f t="shared" ca="1" si="281"/>
        <v>0</v>
      </c>
      <c r="DE402" s="17">
        <f t="shared" ca="1" si="281"/>
        <v>28.142857142857142</v>
      </c>
      <c r="DG402" s="1008">
        <f t="shared" si="279"/>
        <v>801.11</v>
      </c>
      <c r="DH402" s="1009">
        <f t="shared" si="280"/>
        <v>-0.1</v>
      </c>
      <c r="DI402" s="1007">
        <f t="shared" si="274"/>
        <v>3</v>
      </c>
    </row>
    <row r="403" spans="79:113" x14ac:dyDescent="0.2">
      <c r="CA403" s="17"/>
      <c r="CB403" s="17"/>
      <c r="CC403" s="17"/>
      <c r="CD403" s="17"/>
      <c r="CE403" s="17"/>
      <c r="CF403" s="17"/>
      <c r="CG403" s="17"/>
      <c r="CH403" s="17"/>
      <c r="CI403" s="17"/>
      <c r="CJ403" s="17"/>
      <c r="CK403" s="17"/>
      <c r="CL403" s="17"/>
      <c r="CM403" s="17"/>
      <c r="CN403" s="17"/>
      <c r="CO403" s="17"/>
      <c r="CP403" s="17"/>
      <c r="CQ403" s="17"/>
      <c r="CR403" s="17"/>
      <c r="CS403" s="17"/>
      <c r="CT403" s="17"/>
      <c r="CU403" s="17"/>
      <c r="CV403" s="17"/>
      <c r="CW403" s="17"/>
      <c r="CZ403" s="17" t="str">
        <f t="shared" si="276"/>
        <v>tivozanib</v>
      </c>
      <c r="DA403" s="17">
        <f t="shared" si="282"/>
        <v>6</v>
      </c>
      <c r="DB403" s="17">
        <v>2</v>
      </c>
      <c r="DC403" s="17" t="str">
        <f t="shared" si="281"/>
        <v>G1&amp;2 Diarrhoea</v>
      </c>
      <c r="DD403" s="17">
        <f t="shared" ca="1" si="281"/>
        <v>7.3096446700507611E-3</v>
      </c>
      <c r="DE403" s="17">
        <f t="shared" ca="1" si="281"/>
        <v>28.142857142857142</v>
      </c>
      <c r="DG403" s="1008">
        <f t="shared" si="279"/>
        <v>220.87</v>
      </c>
      <c r="DH403" s="1009">
        <f t="shared" si="280"/>
        <v>-0.05</v>
      </c>
      <c r="DI403" s="1007">
        <f t="shared" si="274"/>
        <v>3</v>
      </c>
    </row>
    <row r="404" spans="79:113" x14ac:dyDescent="0.2">
      <c r="CA404" s="17"/>
      <c r="CB404" s="17"/>
      <c r="CC404" s="17"/>
      <c r="CD404" s="17"/>
      <c r="CE404" s="17"/>
      <c r="CF404" s="17"/>
      <c r="CG404" s="17"/>
      <c r="CH404" s="17"/>
      <c r="CI404" s="17"/>
      <c r="CJ404" s="17"/>
      <c r="CK404" s="17"/>
      <c r="CL404" s="17"/>
      <c r="CM404" s="17"/>
      <c r="CN404" s="17"/>
      <c r="CO404" s="17"/>
      <c r="CP404" s="17"/>
      <c r="CQ404" s="17"/>
      <c r="CR404" s="17"/>
      <c r="CS404" s="17"/>
      <c r="CT404" s="17"/>
      <c r="CU404" s="17"/>
      <c r="CV404" s="17"/>
      <c r="CW404" s="17"/>
      <c r="CZ404" s="17" t="str">
        <f t="shared" si="276"/>
        <v>tivozanib</v>
      </c>
      <c r="DA404" s="17">
        <f t="shared" si="282"/>
        <v>6</v>
      </c>
      <c r="DB404" s="17">
        <v>2</v>
      </c>
      <c r="DC404" s="17" t="str">
        <f t="shared" si="281"/>
        <v>G1&amp;2 Fatigue</v>
      </c>
      <c r="DD404" s="17">
        <f t="shared" ca="1" si="281"/>
        <v>1.5463959390862946E-2</v>
      </c>
      <c r="DE404" s="17">
        <f t="shared" ca="1" si="281"/>
        <v>28.142857142857142</v>
      </c>
      <c r="DG404" s="1008">
        <f t="shared" si="279"/>
        <v>441.74</v>
      </c>
      <c r="DH404" s="1009">
        <f t="shared" si="280"/>
        <v>-0.05</v>
      </c>
      <c r="DI404" s="1007">
        <f t="shared" si="274"/>
        <v>3</v>
      </c>
    </row>
    <row r="405" spans="79:113" x14ac:dyDescent="0.2">
      <c r="CA405" s="17"/>
      <c r="CB405" s="17"/>
      <c r="CC405" s="17"/>
      <c r="CD405" s="17"/>
      <c r="CE405" s="17"/>
      <c r="CF405" s="17"/>
      <c r="CG405" s="17"/>
      <c r="CH405" s="17"/>
      <c r="CI405" s="17"/>
      <c r="CJ405" s="17"/>
      <c r="CK405" s="17"/>
      <c r="CL405" s="17"/>
      <c r="CM405" s="17"/>
      <c r="CN405" s="17"/>
      <c r="CO405" s="17"/>
      <c r="CP405" s="17"/>
      <c r="CQ405" s="17"/>
      <c r="CR405" s="17"/>
      <c r="CS405" s="17"/>
      <c r="CT405" s="17"/>
      <c r="CU405" s="17"/>
      <c r="CV405" s="17"/>
      <c r="CW405" s="17"/>
      <c r="CZ405" s="17" t="str">
        <f t="shared" si="276"/>
        <v>tivozanib</v>
      </c>
      <c r="DA405" s="17">
        <f t="shared" si="282"/>
        <v>6</v>
      </c>
      <c r="DB405" s="17">
        <v>2</v>
      </c>
      <c r="DC405" s="17" t="str">
        <f t="shared" si="281"/>
        <v>G1&amp;2 Palmar-plantar erythrodysaesthesia syndrome</v>
      </c>
      <c r="DD405" s="17">
        <f t="shared" ca="1" si="281"/>
        <v>3.7522842639593911E-3</v>
      </c>
      <c r="DE405" s="17">
        <f t="shared" ca="1" si="281"/>
        <v>28.142857142857142</v>
      </c>
      <c r="DG405" s="1008">
        <f t="shared" si="279"/>
        <v>441.74</v>
      </c>
      <c r="DH405" s="1009">
        <f t="shared" si="280"/>
        <v>-0.05</v>
      </c>
      <c r="DI405" s="1007">
        <f t="shared" si="274"/>
        <v>3</v>
      </c>
    </row>
    <row r="406" spans="79:113" x14ac:dyDescent="0.2">
      <c r="CA406" s="17"/>
      <c r="CB406" s="17"/>
      <c r="CC406" s="17"/>
      <c r="CD406" s="17"/>
      <c r="CE406" s="17"/>
      <c r="CF406" s="17"/>
      <c r="CG406" s="17"/>
      <c r="CH406" s="17"/>
      <c r="CI406" s="17"/>
      <c r="CJ406" s="17"/>
      <c r="CK406" s="17"/>
      <c r="CL406" s="17"/>
      <c r="CM406" s="17"/>
      <c r="CN406" s="17"/>
      <c r="CO406" s="17"/>
      <c r="CP406" s="17"/>
      <c r="CQ406" s="17"/>
      <c r="CR406" s="17"/>
      <c r="CS406" s="17"/>
      <c r="CT406" s="17"/>
      <c r="CU406" s="17"/>
      <c r="CV406" s="17"/>
      <c r="CW406" s="17"/>
      <c r="CZ406" s="17" t="str">
        <f t="shared" si="276"/>
        <v>sunitinib</v>
      </c>
      <c r="DA406" s="17">
        <f t="shared" si="282"/>
        <v>7</v>
      </c>
      <c r="DB406" s="17">
        <v>2</v>
      </c>
      <c r="DC406" s="17" t="str">
        <f t="shared" si="281"/>
        <v>G3+ ALT increased</v>
      </c>
      <c r="DD406" s="17">
        <f t="shared" ca="1" si="281"/>
        <v>0</v>
      </c>
      <c r="DE406" s="17">
        <f t="shared" ca="1" si="281"/>
        <v>38.699107142857144</v>
      </c>
      <c r="DG406" s="1008">
        <f>$DG381</f>
        <v>0</v>
      </c>
      <c r="DH406" s="1009">
        <f>$DH381</f>
        <v>-0.1</v>
      </c>
      <c r="DI406" s="1007">
        <f t="shared" si="274"/>
        <v>3</v>
      </c>
    </row>
    <row r="407" spans="79:113" x14ac:dyDescent="0.2">
      <c r="CA407" s="17"/>
      <c r="CB407" s="17"/>
      <c r="CC407" s="17"/>
      <c r="CD407" s="17"/>
      <c r="CE407" s="17"/>
      <c r="CF407" s="17"/>
      <c r="CG407" s="17"/>
      <c r="CH407" s="17"/>
      <c r="CI407" s="17"/>
      <c r="CJ407" s="17"/>
      <c r="CK407" s="17"/>
      <c r="CL407" s="17"/>
      <c r="CM407" s="17"/>
      <c r="CN407" s="17"/>
      <c r="CO407" s="17"/>
      <c r="CP407" s="17"/>
      <c r="CQ407" s="17"/>
      <c r="CR407" s="17"/>
      <c r="CS407" s="17"/>
      <c r="CT407" s="17"/>
      <c r="CU407" s="17"/>
      <c r="CV407" s="17"/>
      <c r="CW407" s="17"/>
      <c r="CZ407" s="17" t="str">
        <f t="shared" si="276"/>
        <v>sunitinib</v>
      </c>
      <c r="DA407" s="17">
        <f t="shared" si="282"/>
        <v>7</v>
      </c>
      <c r="DB407" s="17">
        <v>2</v>
      </c>
      <c r="DC407" s="17" t="str">
        <f t="shared" si="281"/>
        <v>G3+ Anaemia</v>
      </c>
      <c r="DD407" s="17">
        <f t="shared" ca="1" si="281"/>
        <v>0</v>
      </c>
      <c r="DE407" s="17">
        <f t="shared" ca="1" si="281"/>
        <v>38.699107142857144</v>
      </c>
      <c r="DG407" s="1008">
        <f t="shared" ref="DG407:DG430" si="283">$DG382</f>
        <v>655.75</v>
      </c>
      <c r="DH407" s="1009">
        <f t="shared" ref="DH407:DH430" si="284">$DH382</f>
        <v>-0.1</v>
      </c>
      <c r="DI407" s="1007">
        <f t="shared" si="274"/>
        <v>3</v>
      </c>
    </row>
    <row r="408" spans="79:113" x14ac:dyDescent="0.2">
      <c r="CA408" s="17"/>
      <c r="CB408" s="17"/>
      <c r="CC408" s="17"/>
      <c r="CD408" s="17"/>
      <c r="CE408" s="17"/>
      <c r="CF408" s="17"/>
      <c r="CG408" s="17"/>
      <c r="CH408" s="17"/>
      <c r="CI408" s="17"/>
      <c r="CJ408" s="17"/>
      <c r="CK408" s="17"/>
      <c r="CL408" s="17"/>
      <c r="CM408" s="17"/>
      <c r="CN408" s="17"/>
      <c r="CO408" s="17"/>
      <c r="CP408" s="17"/>
      <c r="CQ408" s="17"/>
      <c r="CR408" s="17"/>
      <c r="CS408" s="17"/>
      <c r="CT408" s="17"/>
      <c r="CU408" s="17"/>
      <c r="CV408" s="17"/>
      <c r="CW408" s="17"/>
      <c r="CZ408" s="17" t="str">
        <f t="shared" si="276"/>
        <v>sunitinib</v>
      </c>
      <c r="DA408" s="17">
        <f t="shared" si="282"/>
        <v>7</v>
      </c>
      <c r="DB408" s="17">
        <v>2</v>
      </c>
      <c r="DC408" s="17" t="str">
        <f t="shared" si="281"/>
        <v>G3+ Decreased appetite</v>
      </c>
      <c r="DD408" s="17">
        <f t="shared" ca="1" si="281"/>
        <v>0</v>
      </c>
      <c r="DE408" s="17">
        <f t="shared" ca="1" si="281"/>
        <v>38.699107142857144</v>
      </c>
      <c r="DG408" s="1008">
        <f t="shared" si="283"/>
        <v>0</v>
      </c>
      <c r="DH408" s="1009">
        <f t="shared" si="284"/>
        <v>-0.1</v>
      </c>
      <c r="DI408" s="1007">
        <f t="shared" si="274"/>
        <v>3</v>
      </c>
    </row>
    <row r="409" spans="79:113" x14ac:dyDescent="0.2">
      <c r="CA409" s="17"/>
      <c r="CB409" s="17"/>
      <c r="CC409" s="17"/>
      <c r="CD409" s="17"/>
      <c r="CE409" s="17"/>
      <c r="CF409" s="17"/>
      <c r="CG409" s="17"/>
      <c r="CH409" s="17"/>
      <c r="CI409" s="17"/>
      <c r="CJ409" s="17"/>
      <c r="CK409" s="17"/>
      <c r="CL409" s="17"/>
      <c r="CM409" s="17"/>
      <c r="CN409" s="17"/>
      <c r="CO409" s="17"/>
      <c r="CP409" s="17"/>
      <c r="CQ409" s="17"/>
      <c r="CR409" s="17"/>
      <c r="CS409" s="17"/>
      <c r="CT409" s="17"/>
      <c r="CU409" s="17"/>
      <c r="CV409" s="17"/>
      <c r="CW409" s="17"/>
      <c r="CZ409" s="17" t="str">
        <f t="shared" si="276"/>
        <v>sunitinib</v>
      </c>
      <c r="DA409" s="17">
        <f t="shared" si="282"/>
        <v>7</v>
      </c>
      <c r="DB409" s="17">
        <v>2</v>
      </c>
      <c r="DC409" s="17" t="str">
        <f t="shared" si="281"/>
        <v>G3+ Diarrhoea _TKI induced</v>
      </c>
      <c r="DD409" s="17">
        <f t="shared" ca="1" si="281"/>
        <v>2.2610340770135894E-3</v>
      </c>
      <c r="DE409" s="17">
        <f t="shared" ca="1" si="281"/>
        <v>38.699107142857144</v>
      </c>
      <c r="DG409" s="1008">
        <f t="shared" si="283"/>
        <v>827.18</v>
      </c>
      <c r="DH409" s="1009">
        <f t="shared" si="284"/>
        <v>-0.1</v>
      </c>
      <c r="DI409" s="1007">
        <f t="shared" si="274"/>
        <v>3</v>
      </c>
    </row>
    <row r="410" spans="79:113" x14ac:dyDescent="0.2">
      <c r="CA410" s="17"/>
      <c r="CB410" s="17"/>
      <c r="CC410" s="17"/>
      <c r="CD410" s="17"/>
      <c r="CE410" s="17"/>
      <c r="CF410" s="17"/>
      <c r="CG410" s="17"/>
      <c r="CH410" s="17"/>
      <c r="CI410" s="17"/>
      <c r="CJ410" s="17"/>
      <c r="CK410" s="17"/>
      <c r="CL410" s="17"/>
      <c r="CM410" s="17"/>
      <c r="CN410" s="17"/>
      <c r="CO410" s="17"/>
      <c r="CP410" s="17"/>
      <c r="CQ410" s="17"/>
      <c r="CR410" s="17"/>
      <c r="CS410" s="17"/>
      <c r="CT410" s="17"/>
      <c r="CU410" s="17"/>
      <c r="CV410" s="17"/>
      <c r="CW410" s="17"/>
      <c r="CZ410" s="17" t="str">
        <f t="shared" si="276"/>
        <v>sunitinib</v>
      </c>
      <c r="DA410" s="17">
        <f t="shared" si="282"/>
        <v>7</v>
      </c>
      <c r="DB410" s="17">
        <v>2</v>
      </c>
      <c r="DC410" s="17" t="str">
        <f t="shared" si="281"/>
        <v>G3+ Diarrhoea _IO induced</v>
      </c>
      <c r="DD410" s="17">
        <f t="shared" ca="1" si="281"/>
        <v>0</v>
      </c>
      <c r="DE410" s="17">
        <f t="shared" ca="1" si="281"/>
        <v>38.699107142857144</v>
      </c>
      <c r="DG410" s="1008">
        <f t="shared" si="283"/>
        <v>4321.12</v>
      </c>
      <c r="DH410" s="1009">
        <f t="shared" si="284"/>
        <v>-0.1</v>
      </c>
      <c r="DI410" s="1007">
        <f t="shared" si="274"/>
        <v>3</v>
      </c>
    </row>
    <row r="411" spans="79:113" x14ac:dyDescent="0.2">
      <c r="CA411" s="17"/>
      <c r="CB411" s="17"/>
      <c r="CC411" s="17"/>
      <c r="CD411" s="17"/>
      <c r="CE411" s="17"/>
      <c r="CF411" s="17"/>
      <c r="CG411" s="17"/>
      <c r="CH411" s="17"/>
      <c r="CI411" s="17"/>
      <c r="CJ411" s="17"/>
      <c r="CK411" s="17"/>
      <c r="CL411" s="17"/>
      <c r="CM411" s="17"/>
      <c r="CN411" s="17"/>
      <c r="CO411" s="17"/>
      <c r="CP411" s="17"/>
      <c r="CQ411" s="17"/>
      <c r="CR411" s="17"/>
      <c r="CS411" s="17"/>
      <c r="CT411" s="17"/>
      <c r="CU411" s="17"/>
      <c r="CV411" s="17"/>
      <c r="CW411" s="17"/>
      <c r="CZ411" s="17" t="str">
        <f t="shared" si="276"/>
        <v>sunitinib</v>
      </c>
      <c r="DA411" s="17">
        <f t="shared" si="282"/>
        <v>7</v>
      </c>
      <c r="DB411" s="17">
        <v>2</v>
      </c>
      <c r="DC411" s="17" t="str">
        <f t="shared" si="281"/>
        <v>G3+ Fatigue</v>
      </c>
      <c r="DD411" s="17">
        <f t="shared" ca="1" si="281"/>
        <v>8.882633873981958E-4</v>
      </c>
      <c r="DE411" s="17">
        <f t="shared" ca="1" si="281"/>
        <v>38.699107142857144</v>
      </c>
      <c r="DG411" s="1008">
        <f t="shared" si="283"/>
        <v>662.61</v>
      </c>
      <c r="DH411" s="1009">
        <f t="shared" si="284"/>
        <v>-0.1</v>
      </c>
      <c r="DI411" s="1007">
        <f t="shared" si="274"/>
        <v>3</v>
      </c>
    </row>
    <row r="412" spans="79:113" x14ac:dyDescent="0.2">
      <c r="CA412" s="17"/>
      <c r="CB412" s="17"/>
      <c r="CC412" s="17"/>
      <c r="CD412" s="17"/>
      <c r="CE412" s="17"/>
      <c r="CF412" s="17"/>
      <c r="CG412" s="17"/>
      <c r="CH412" s="17"/>
      <c r="CI412" s="17"/>
      <c r="CJ412" s="17"/>
      <c r="CK412" s="17"/>
      <c r="CL412" s="17"/>
      <c r="CM412" s="17"/>
      <c r="CN412" s="17"/>
      <c r="CO412" s="17"/>
      <c r="CP412" s="17"/>
      <c r="CQ412" s="17"/>
      <c r="CR412" s="17"/>
      <c r="CS412" s="17"/>
      <c r="CT412" s="17"/>
      <c r="CU412" s="17"/>
      <c r="CV412" s="17"/>
      <c r="CW412" s="17"/>
      <c r="CZ412" s="17" t="str">
        <f t="shared" si="276"/>
        <v>sunitinib</v>
      </c>
      <c r="DA412" s="17">
        <f t="shared" si="282"/>
        <v>7</v>
      </c>
      <c r="DB412" s="17">
        <v>2</v>
      </c>
      <c r="DC412" s="17" t="str">
        <f t="shared" si="281"/>
        <v>G3+ HFS</v>
      </c>
      <c r="DD412" s="17">
        <f t="shared" ca="1" si="281"/>
        <v>2.0995316429411898E-3</v>
      </c>
      <c r="DE412" s="17">
        <f t="shared" ca="1" si="281"/>
        <v>38.699107142857144</v>
      </c>
      <c r="DG412" s="1008">
        <f t="shared" si="283"/>
        <v>621.42499999999995</v>
      </c>
      <c r="DH412" s="1009">
        <f t="shared" si="284"/>
        <v>-0.1</v>
      </c>
      <c r="DI412" s="1007">
        <f t="shared" si="274"/>
        <v>3</v>
      </c>
    </row>
    <row r="413" spans="79:113" x14ac:dyDescent="0.2">
      <c r="CA413" s="17"/>
      <c r="CB413" s="17"/>
      <c r="CC413" s="17"/>
      <c r="CD413" s="17"/>
      <c r="CE413" s="17"/>
      <c r="CF413" s="17"/>
      <c r="CG413" s="17"/>
      <c r="CH413" s="17"/>
      <c r="CI413" s="17"/>
      <c r="CJ413" s="17"/>
      <c r="CK413" s="17"/>
      <c r="CL413" s="17"/>
      <c r="CM413" s="17"/>
      <c r="CN413" s="17"/>
      <c r="CO413" s="17"/>
      <c r="CP413" s="17"/>
      <c r="CQ413" s="17"/>
      <c r="CR413" s="17"/>
      <c r="CS413" s="17"/>
      <c r="CT413" s="17"/>
      <c r="CU413" s="17"/>
      <c r="CV413" s="17"/>
      <c r="CW413" s="17"/>
      <c r="CZ413" s="17" t="str">
        <f t="shared" si="276"/>
        <v>sunitinib</v>
      </c>
      <c r="DA413" s="17">
        <f t="shared" si="282"/>
        <v>7</v>
      </c>
      <c r="DB413" s="17">
        <v>2</v>
      </c>
      <c r="DC413" s="17" t="str">
        <f t="shared" si="281"/>
        <v>G3+ Hypertension</v>
      </c>
      <c r="DD413" s="17">
        <f t="shared" ca="1" si="281"/>
        <v>3.1492974644117848E-3</v>
      </c>
      <c r="DE413" s="17">
        <f t="shared" ca="1" si="281"/>
        <v>38.699107142857144</v>
      </c>
      <c r="DG413" s="1008">
        <f t="shared" si="283"/>
        <v>424.6</v>
      </c>
      <c r="DH413" s="1009">
        <f t="shared" si="284"/>
        <v>-0.1</v>
      </c>
      <c r="DI413" s="1007">
        <f t="shared" si="274"/>
        <v>3</v>
      </c>
    </row>
    <row r="414" spans="79:113" x14ac:dyDescent="0.2">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Z414" s="17" t="str">
        <f t="shared" si="276"/>
        <v>sunitinib</v>
      </c>
      <c r="DA414" s="17">
        <f t="shared" si="282"/>
        <v>7</v>
      </c>
      <c r="DB414" s="17">
        <v>2</v>
      </c>
      <c r="DC414" s="17" t="str">
        <f t="shared" si="281"/>
        <v>G3+ Hypertriglyceridemia</v>
      </c>
      <c r="DD414" s="17">
        <f t="shared" ca="1" si="281"/>
        <v>0</v>
      </c>
      <c r="DE414" s="17">
        <f t="shared" ca="1" si="281"/>
        <v>38.699107142857144</v>
      </c>
      <c r="DG414" s="1008">
        <f t="shared" si="283"/>
        <v>0</v>
      </c>
      <c r="DH414" s="1009">
        <f t="shared" si="284"/>
        <v>-0.1</v>
      </c>
      <c r="DI414" s="1007">
        <f t="shared" si="274"/>
        <v>3</v>
      </c>
    </row>
    <row r="415" spans="79:113" x14ac:dyDescent="0.2">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Z415" s="17" t="str">
        <f t="shared" si="276"/>
        <v>sunitinib</v>
      </c>
      <c r="DA415" s="17">
        <f t="shared" si="282"/>
        <v>7</v>
      </c>
      <c r="DB415" s="17">
        <v>2</v>
      </c>
      <c r="DC415" s="17" t="str">
        <f t="shared" si="281"/>
        <v>G3+ Hyponatraemia</v>
      </c>
      <c r="DD415" s="17">
        <f t="shared" ca="1" si="281"/>
        <v>1.0497658214705949E-3</v>
      </c>
      <c r="DE415" s="17">
        <f t="shared" ca="1" si="281"/>
        <v>38.699107142857144</v>
      </c>
      <c r="DG415" s="1008">
        <f t="shared" si="283"/>
        <v>574.71</v>
      </c>
      <c r="DH415" s="1009">
        <f t="shared" si="284"/>
        <v>-0.1</v>
      </c>
      <c r="DI415" s="1007">
        <f t="shared" ref="DI415:DI430" si="285">DI390</f>
        <v>3</v>
      </c>
    </row>
    <row r="416" spans="79:113" x14ac:dyDescent="0.2">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Z416" s="17" t="str">
        <f t="shared" si="276"/>
        <v>sunitinib</v>
      </c>
      <c r="DA416" s="17">
        <f t="shared" si="282"/>
        <v>7</v>
      </c>
      <c r="DB416" s="17">
        <v>2</v>
      </c>
      <c r="DC416" s="17" t="str">
        <f t="shared" si="281"/>
        <v>G3+ Hypophosphatemia</v>
      </c>
      <c r="DD416" s="17">
        <f t="shared" ca="1" si="281"/>
        <v>1.0497658214705949E-3</v>
      </c>
      <c r="DE416" s="17">
        <f t="shared" ca="1" si="281"/>
        <v>38.699107142857144</v>
      </c>
      <c r="DG416" s="1008">
        <f t="shared" si="283"/>
        <v>0</v>
      </c>
      <c r="DH416" s="1009">
        <f t="shared" si="284"/>
        <v>-0.1</v>
      </c>
      <c r="DI416" s="1007">
        <f t="shared" si="285"/>
        <v>3</v>
      </c>
    </row>
    <row r="417" spans="79:113" x14ac:dyDescent="0.2">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Z417" s="17" t="str">
        <f t="shared" si="276"/>
        <v>sunitinib</v>
      </c>
      <c r="DA417" s="17">
        <f t="shared" si="282"/>
        <v>7</v>
      </c>
      <c r="DB417" s="17">
        <v>2</v>
      </c>
      <c r="DC417" s="17" t="str">
        <f t="shared" si="281"/>
        <v>G3+ Increase in lipase</v>
      </c>
      <c r="DD417" s="17">
        <f t="shared" ca="1" si="281"/>
        <v>0</v>
      </c>
      <c r="DE417" s="17">
        <f t="shared" ca="1" si="281"/>
        <v>38.699107142857144</v>
      </c>
      <c r="DG417" s="1008">
        <f t="shared" si="283"/>
        <v>655.75</v>
      </c>
      <c r="DH417" s="1009">
        <f t="shared" si="284"/>
        <v>-0.1</v>
      </c>
      <c r="DI417" s="1007">
        <f t="shared" si="285"/>
        <v>3</v>
      </c>
    </row>
    <row r="418" spans="79:113" x14ac:dyDescent="0.2">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Z418" s="17" t="str">
        <f t="shared" si="276"/>
        <v>sunitinib</v>
      </c>
      <c r="DA418" s="17">
        <f t="shared" si="282"/>
        <v>7</v>
      </c>
      <c r="DB418" s="17">
        <v>2</v>
      </c>
      <c r="DC418" s="17" t="str">
        <f t="shared" si="281"/>
        <v>G3+ Increased AST</v>
      </c>
      <c r="DD418" s="17">
        <f t="shared" ca="1" si="281"/>
        <v>0</v>
      </c>
      <c r="DE418" s="17">
        <f t="shared" ca="1" si="281"/>
        <v>38.699107142857144</v>
      </c>
      <c r="DG418" s="1008">
        <f t="shared" si="283"/>
        <v>0</v>
      </c>
      <c r="DH418" s="1009">
        <f t="shared" si="284"/>
        <v>-0.1</v>
      </c>
      <c r="DI418" s="1007">
        <f t="shared" si="285"/>
        <v>3</v>
      </c>
    </row>
    <row r="419" spans="79:113" x14ac:dyDescent="0.2">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Z419" s="17" t="str">
        <f t="shared" si="276"/>
        <v>sunitinib</v>
      </c>
      <c r="DA419" s="17">
        <f t="shared" si="282"/>
        <v>7</v>
      </c>
      <c r="DB419" s="17">
        <v>2</v>
      </c>
      <c r="DC419" s="17" t="str">
        <f t="shared" si="281"/>
        <v>G3+ Leukopenia</v>
      </c>
      <c r="DD419" s="17">
        <f t="shared" ca="1" si="281"/>
        <v>0</v>
      </c>
      <c r="DE419" s="17">
        <f t="shared" ca="1" si="281"/>
        <v>38.699107142857144</v>
      </c>
      <c r="DG419" s="1008">
        <f t="shared" si="283"/>
        <v>0</v>
      </c>
      <c r="DH419" s="1009">
        <f t="shared" si="284"/>
        <v>-0.1</v>
      </c>
      <c r="DI419" s="1007">
        <f t="shared" si="285"/>
        <v>3</v>
      </c>
    </row>
    <row r="420" spans="79:113" x14ac:dyDescent="0.2">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Z420" s="17" t="str">
        <f t="shared" si="276"/>
        <v>sunitinib</v>
      </c>
      <c r="DA420" s="17">
        <f t="shared" si="282"/>
        <v>7</v>
      </c>
      <c r="DB420" s="17">
        <v>2</v>
      </c>
      <c r="DC420" s="17" t="str">
        <f t="shared" si="281"/>
        <v>G3+ Lymphopenia</v>
      </c>
      <c r="DD420" s="17">
        <f t="shared" ca="1" si="281"/>
        <v>0</v>
      </c>
      <c r="DE420" s="17">
        <f t="shared" ca="1" si="281"/>
        <v>38.699107142857144</v>
      </c>
      <c r="DG420" s="1008">
        <f t="shared" si="283"/>
        <v>679.97</v>
      </c>
      <c r="DH420" s="1009">
        <f t="shared" si="284"/>
        <v>-0.1</v>
      </c>
      <c r="DI420" s="1007">
        <f t="shared" si="285"/>
        <v>3</v>
      </c>
    </row>
    <row r="421" spans="79:113" x14ac:dyDescent="0.2">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Z421" s="17" t="str">
        <f t="shared" ref="CZ421:DE430" si="286">CZ196</f>
        <v>sunitinib</v>
      </c>
      <c r="DA421" s="17">
        <f t="shared" si="286"/>
        <v>7</v>
      </c>
      <c r="DB421" s="17">
        <v>2</v>
      </c>
      <c r="DC421" s="17" t="str">
        <f t="shared" si="286"/>
        <v>G3+ Nausea</v>
      </c>
      <c r="DD421" s="17">
        <f t="shared" ca="1" si="286"/>
        <v>0</v>
      </c>
      <c r="DE421" s="17">
        <f t="shared" ca="1" si="286"/>
        <v>38.699107142857144</v>
      </c>
      <c r="DG421" s="1008">
        <f t="shared" si="283"/>
        <v>801.11</v>
      </c>
      <c r="DH421" s="1009">
        <f t="shared" si="284"/>
        <v>-0.1</v>
      </c>
      <c r="DI421" s="1007">
        <f t="shared" si="285"/>
        <v>3</v>
      </c>
    </row>
    <row r="422" spans="79:113" x14ac:dyDescent="0.2">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Z422" s="17" t="str">
        <f t="shared" si="286"/>
        <v>sunitinib</v>
      </c>
      <c r="DA422" s="17">
        <f t="shared" si="286"/>
        <v>7</v>
      </c>
      <c r="DB422" s="17">
        <v>2</v>
      </c>
      <c r="DC422" s="17" t="str">
        <f t="shared" si="286"/>
        <v>G3+ Neutropenia</v>
      </c>
      <c r="DD422" s="17">
        <f t="shared" ca="1" si="286"/>
        <v>0</v>
      </c>
      <c r="DE422" s="17">
        <f t="shared" ca="1" si="286"/>
        <v>38.699107142857144</v>
      </c>
      <c r="DG422" s="1008">
        <f t="shared" si="283"/>
        <v>655.75</v>
      </c>
      <c r="DH422" s="1009">
        <f t="shared" si="284"/>
        <v>-0.1</v>
      </c>
      <c r="DI422" s="1007">
        <f t="shared" si="285"/>
        <v>3</v>
      </c>
    </row>
    <row r="423" spans="79:113" x14ac:dyDescent="0.2">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Z423" s="17" t="str">
        <f t="shared" si="286"/>
        <v>sunitinib</v>
      </c>
      <c r="DA423" s="17">
        <f t="shared" si="286"/>
        <v>7</v>
      </c>
      <c r="DB423" s="17">
        <v>2</v>
      </c>
      <c r="DC423" s="17" t="str">
        <f t="shared" si="286"/>
        <v>G3+ Platelets count decreased</v>
      </c>
      <c r="DD423" s="17">
        <f t="shared" ca="1" si="286"/>
        <v>0</v>
      </c>
      <c r="DE423" s="17">
        <f t="shared" ca="1" si="286"/>
        <v>38.699107142857144</v>
      </c>
      <c r="DG423" s="1008">
        <f t="shared" si="283"/>
        <v>801.11</v>
      </c>
      <c r="DH423" s="1009">
        <f t="shared" si="284"/>
        <v>-0.1</v>
      </c>
      <c r="DI423" s="1007">
        <f t="shared" si="285"/>
        <v>3</v>
      </c>
    </row>
    <row r="424" spans="79:113" x14ac:dyDescent="0.2">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Z424" s="17" t="str">
        <f t="shared" si="286"/>
        <v>sunitinib</v>
      </c>
      <c r="DA424" s="17">
        <f t="shared" si="286"/>
        <v>7</v>
      </c>
      <c r="DB424" s="17">
        <v>2</v>
      </c>
      <c r="DC424" s="17" t="str">
        <f t="shared" si="286"/>
        <v>G3+ Proteinuria</v>
      </c>
      <c r="DD424" s="17">
        <f t="shared" ca="1" si="286"/>
        <v>0</v>
      </c>
      <c r="DE424" s="17">
        <f t="shared" ca="1" si="286"/>
        <v>38.699107142857144</v>
      </c>
      <c r="DG424" s="1008">
        <f t="shared" si="283"/>
        <v>220.87</v>
      </c>
      <c r="DH424" s="1009">
        <f t="shared" si="284"/>
        <v>-0.1</v>
      </c>
      <c r="DI424" s="1007">
        <f t="shared" si="285"/>
        <v>3</v>
      </c>
    </row>
    <row r="425" spans="79:113" x14ac:dyDescent="0.2">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Z425" s="17" t="str">
        <f t="shared" si="286"/>
        <v>sunitinib</v>
      </c>
      <c r="DA425" s="17">
        <f t="shared" si="286"/>
        <v>7</v>
      </c>
      <c r="DB425" s="17">
        <v>2</v>
      </c>
      <c r="DC425" s="17" t="str">
        <f t="shared" si="286"/>
        <v>G3+ Stomatitis</v>
      </c>
      <c r="DD425" s="17">
        <f t="shared" ca="1" si="286"/>
        <v>0</v>
      </c>
      <c r="DE425" s="17">
        <f t="shared" ca="1" si="286"/>
        <v>38.699107142857144</v>
      </c>
      <c r="DG425" s="1008">
        <f t="shared" si="283"/>
        <v>801.11</v>
      </c>
      <c r="DH425" s="1009">
        <f t="shared" si="284"/>
        <v>-0.1</v>
      </c>
      <c r="DI425" s="1007">
        <f t="shared" si="285"/>
        <v>3</v>
      </c>
    </row>
    <row r="426" spans="79:113" x14ac:dyDescent="0.2">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Z426" s="17" t="str">
        <f t="shared" si="286"/>
        <v>sunitinib</v>
      </c>
      <c r="DA426" s="17">
        <f t="shared" si="286"/>
        <v>7</v>
      </c>
      <c r="DB426" s="17">
        <v>2</v>
      </c>
      <c r="DC426" s="17" t="str">
        <f t="shared" si="286"/>
        <v>G3+ Vomiting</v>
      </c>
      <c r="DD426" s="17">
        <f t="shared" ca="1" si="286"/>
        <v>0</v>
      </c>
      <c r="DE426" s="17">
        <f t="shared" ca="1" si="286"/>
        <v>38.699107142857144</v>
      </c>
      <c r="DG426" s="1008">
        <f t="shared" si="283"/>
        <v>801.11</v>
      </c>
      <c r="DH426" s="1009">
        <f t="shared" si="284"/>
        <v>-0.1</v>
      </c>
      <c r="DI426" s="1007">
        <f t="shared" si="285"/>
        <v>3</v>
      </c>
    </row>
    <row r="427" spans="79:113" x14ac:dyDescent="0.2">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Z427" s="17" t="str">
        <f t="shared" si="286"/>
        <v>sunitinib</v>
      </c>
      <c r="DA427" s="17">
        <f t="shared" si="286"/>
        <v>7</v>
      </c>
      <c r="DB427" s="17">
        <v>2</v>
      </c>
      <c r="DC427" s="17" t="str">
        <f t="shared" si="286"/>
        <v>G3+ Weight loss</v>
      </c>
      <c r="DD427" s="17">
        <f t="shared" ca="1" si="286"/>
        <v>0</v>
      </c>
      <c r="DE427" s="17">
        <f t="shared" ca="1" si="286"/>
        <v>38.699107142857144</v>
      </c>
      <c r="DG427" s="1008">
        <f t="shared" si="283"/>
        <v>801.11</v>
      </c>
      <c r="DH427" s="1009">
        <f t="shared" si="284"/>
        <v>-0.1</v>
      </c>
      <c r="DI427" s="1007">
        <f t="shared" si="285"/>
        <v>3</v>
      </c>
    </row>
    <row r="428" spans="79:113" x14ac:dyDescent="0.2">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Z428" s="17" t="str">
        <f t="shared" si="286"/>
        <v>sunitinib</v>
      </c>
      <c r="DA428" s="17">
        <f t="shared" si="286"/>
        <v>7</v>
      </c>
      <c r="DB428" s="17">
        <v>2</v>
      </c>
      <c r="DC428" s="17" t="str">
        <f t="shared" si="286"/>
        <v>G1&amp;2 Diarrhoea</v>
      </c>
      <c r="DD428" s="17">
        <f t="shared" ca="1" si="286"/>
        <v>1.073991186581455E-2</v>
      </c>
      <c r="DE428" s="17">
        <f t="shared" ca="1" si="286"/>
        <v>38.699107142857144</v>
      </c>
      <c r="DG428" s="1008">
        <f t="shared" si="283"/>
        <v>220.87</v>
      </c>
      <c r="DH428" s="1009">
        <f t="shared" si="284"/>
        <v>-0.05</v>
      </c>
      <c r="DI428" s="1007">
        <f t="shared" si="285"/>
        <v>3</v>
      </c>
    </row>
    <row r="429" spans="79:113" x14ac:dyDescent="0.2">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Z429" s="17" t="str">
        <f t="shared" si="286"/>
        <v>sunitinib</v>
      </c>
      <c r="DA429" s="17">
        <f t="shared" si="286"/>
        <v>7</v>
      </c>
      <c r="DB429" s="17">
        <v>2</v>
      </c>
      <c r="DC429" s="17" t="str">
        <f t="shared" si="286"/>
        <v>G1&amp;2 Fatigue</v>
      </c>
      <c r="DD429" s="17">
        <f t="shared" ca="1" si="286"/>
        <v>8.3173753547285609E-3</v>
      </c>
      <c r="DE429" s="17">
        <f t="shared" ca="1" si="286"/>
        <v>38.699107142857144</v>
      </c>
      <c r="DG429" s="1008">
        <f t="shared" si="283"/>
        <v>441.74</v>
      </c>
      <c r="DH429" s="1009">
        <f t="shared" si="284"/>
        <v>-0.05</v>
      </c>
      <c r="DI429" s="1007">
        <f t="shared" si="285"/>
        <v>3</v>
      </c>
    </row>
    <row r="430" spans="79:113" x14ac:dyDescent="0.2">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Z430" s="17" t="str">
        <f t="shared" si="286"/>
        <v>sunitinib</v>
      </c>
      <c r="DA430" s="17">
        <f t="shared" si="286"/>
        <v>7</v>
      </c>
      <c r="DB430" s="17">
        <v>2</v>
      </c>
      <c r="DC430" s="17" t="str">
        <f t="shared" si="286"/>
        <v>G1&amp;2 Palmar-plantar erythrodysaesthesia syndrome</v>
      </c>
      <c r="DD430" s="17">
        <f t="shared" ca="1" si="286"/>
        <v>8.7211314399095585E-3</v>
      </c>
      <c r="DE430" s="17">
        <f t="shared" ca="1" si="286"/>
        <v>38.699107142857144</v>
      </c>
      <c r="DG430" s="1008">
        <f t="shared" si="283"/>
        <v>441.74</v>
      </c>
      <c r="DH430" s="1009">
        <f t="shared" si="284"/>
        <v>-0.05</v>
      </c>
      <c r="DI430" s="1007">
        <f t="shared" si="285"/>
        <v>3</v>
      </c>
    </row>
    <row r="431" spans="79:113" x14ac:dyDescent="0.2">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Z431" s="17"/>
      <c r="DA431" s="17"/>
      <c r="DB431" s="17"/>
      <c r="DC431" s="17"/>
      <c r="DD431" s="17"/>
      <c r="DE431" s="955"/>
    </row>
    <row r="432" spans="79:113" x14ac:dyDescent="0.2">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Z432" s="17"/>
      <c r="DA432" s="17"/>
      <c r="DB432" s="17"/>
      <c r="DC432" s="17"/>
      <c r="DD432" s="17"/>
      <c r="DE432" s="955"/>
    </row>
    <row r="433" spans="79:109" x14ac:dyDescent="0.2">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Z433" s="17"/>
      <c r="DA433" s="17"/>
      <c r="DB433" s="17"/>
      <c r="DC433" s="17"/>
      <c r="DD433" s="17"/>
      <c r="DE433" s="955"/>
    </row>
    <row r="434" spans="79:109" x14ac:dyDescent="0.2">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Z434" s="17"/>
      <c r="DA434" s="17"/>
      <c r="DB434" s="17"/>
      <c r="DC434" s="17"/>
      <c r="DD434" s="17"/>
      <c r="DE434" s="955"/>
    </row>
    <row r="435" spans="79:109" x14ac:dyDescent="0.2">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Z435" s="17"/>
      <c r="DA435" s="17"/>
      <c r="DB435" s="17"/>
      <c r="DC435" s="17"/>
      <c r="DD435" s="17"/>
      <c r="DE435" s="955"/>
    </row>
    <row r="436" spans="79:109" x14ac:dyDescent="0.2">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Z436" s="17"/>
      <c r="DA436" s="17"/>
      <c r="DB436" s="17"/>
      <c r="DC436" s="17"/>
      <c r="DD436" s="17"/>
      <c r="DE436" s="955"/>
    </row>
    <row r="437" spans="79:109" x14ac:dyDescent="0.2">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Z437" s="17"/>
      <c r="DA437" s="17"/>
      <c r="DB437" s="17"/>
      <c r="DC437" s="17"/>
      <c r="DD437" s="17"/>
      <c r="DE437" s="955"/>
    </row>
    <row r="438" spans="79:109" x14ac:dyDescent="0.2">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Z438" s="17"/>
      <c r="DA438" s="17"/>
      <c r="DB438" s="17"/>
      <c r="DC438" s="17"/>
      <c r="DD438" s="17"/>
      <c r="DE438" s="955"/>
    </row>
    <row r="439" spans="79:109" x14ac:dyDescent="0.2">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Z439" s="17"/>
      <c r="DA439" s="17"/>
      <c r="DB439" s="17"/>
      <c r="DC439" s="17"/>
      <c r="DD439" s="17"/>
      <c r="DE439" s="955"/>
    </row>
    <row r="440" spans="79:109" x14ac:dyDescent="0.2">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Z440" s="17"/>
      <c r="DA440" s="17"/>
      <c r="DB440" s="17"/>
      <c r="DC440" s="17"/>
      <c r="DD440" s="17"/>
      <c r="DE440" s="955"/>
    </row>
    <row r="441" spans="79:109" x14ac:dyDescent="0.2">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Z441" s="17"/>
      <c r="DA441" s="17"/>
      <c r="DB441" s="17"/>
      <c r="DC441" s="17"/>
      <c r="DD441" s="17"/>
      <c r="DE441" s="955"/>
    </row>
    <row r="442" spans="79:109" x14ac:dyDescent="0.2">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Z442" s="17"/>
      <c r="DA442" s="17"/>
      <c r="DB442" s="17"/>
      <c r="DC442" s="17"/>
      <c r="DD442" s="17"/>
      <c r="DE442" s="955"/>
    </row>
    <row r="443" spans="79:109" x14ac:dyDescent="0.2">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Z443" s="17"/>
      <c r="DA443" s="17"/>
      <c r="DB443" s="17"/>
      <c r="DC443" s="17"/>
      <c r="DD443" s="17"/>
      <c r="DE443" s="955"/>
    </row>
    <row r="444" spans="79:109" x14ac:dyDescent="0.2">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Z444" s="17"/>
      <c r="DA444" s="17"/>
      <c r="DB444" s="17"/>
      <c r="DC444" s="17"/>
      <c r="DD444" s="17"/>
      <c r="DE444" s="955"/>
    </row>
    <row r="445" spans="79:109" x14ac:dyDescent="0.2">
      <c r="CZ445" s="17"/>
      <c r="DA445" s="17"/>
      <c r="DB445" s="17"/>
      <c r="DC445" s="17"/>
      <c r="DD445" s="17"/>
      <c r="DE445" s="955"/>
    </row>
    <row r="446" spans="79:109" x14ac:dyDescent="0.2">
      <c r="CZ446" s="17"/>
      <c r="DA446" s="17"/>
      <c r="DB446" s="17"/>
      <c r="DC446" s="17"/>
      <c r="DD446" s="17"/>
      <c r="DE446" s="955"/>
    </row>
    <row r="447" spans="79:109" x14ac:dyDescent="0.2">
      <c r="CZ447" s="17"/>
      <c r="DA447" s="17"/>
      <c r="DB447" s="17"/>
      <c r="DC447" s="17"/>
      <c r="DD447" s="17"/>
      <c r="DE447" s="955"/>
    </row>
    <row r="448" spans="79:109" x14ac:dyDescent="0.2">
      <c r="CZ448" s="17"/>
      <c r="DA448" s="17"/>
      <c r="DB448" s="17"/>
      <c r="DC448" s="17"/>
      <c r="DD448" s="17"/>
      <c r="DE448" s="955"/>
    </row>
    <row r="449" spans="104:109" x14ac:dyDescent="0.2">
      <c r="CZ449" s="17"/>
      <c r="DA449" s="17"/>
      <c r="DB449" s="17"/>
      <c r="DC449" s="17"/>
      <c r="DD449" s="17"/>
      <c r="DE449" s="955"/>
    </row>
    <row r="450" spans="104:109" x14ac:dyDescent="0.2">
      <c r="CZ450" s="17"/>
      <c r="DA450" s="17"/>
      <c r="DB450" s="17"/>
      <c r="DC450" s="17"/>
      <c r="DD450" s="17"/>
      <c r="DE450" s="955"/>
    </row>
    <row r="451" spans="104:109" x14ac:dyDescent="0.2">
      <c r="CZ451" s="17"/>
      <c r="DA451" s="17"/>
      <c r="DB451" s="17"/>
      <c r="DC451" s="17"/>
      <c r="DD451" s="17"/>
      <c r="DE451" s="955"/>
    </row>
    <row r="452" spans="104:109" x14ac:dyDescent="0.2">
      <c r="CZ452" s="17"/>
      <c r="DA452" s="17"/>
      <c r="DB452" s="17"/>
      <c r="DC452" s="17"/>
      <c r="DD452" s="17"/>
      <c r="DE452" s="955"/>
    </row>
    <row r="453" spans="104:109" x14ac:dyDescent="0.2">
      <c r="CZ453" s="17"/>
      <c r="DA453" s="17"/>
      <c r="DB453" s="17"/>
      <c r="DC453" s="17"/>
      <c r="DD453" s="17"/>
      <c r="DE453" s="955"/>
    </row>
    <row r="454" spans="104:109" x14ac:dyDescent="0.2">
      <c r="CZ454" s="17"/>
      <c r="DA454" s="17"/>
      <c r="DB454" s="17"/>
      <c r="DC454" s="17"/>
      <c r="DD454" s="17"/>
      <c r="DE454" s="955"/>
    </row>
    <row r="455" spans="104:109" x14ac:dyDescent="0.2">
      <c r="CZ455" s="17"/>
      <c r="DA455" s="17"/>
      <c r="DB455" s="17"/>
      <c r="DC455" s="17"/>
      <c r="DD455" s="17"/>
      <c r="DE455" s="955"/>
    </row>
    <row r="456" spans="104:109" x14ac:dyDescent="0.2">
      <c r="CZ456" s="17"/>
      <c r="DA456" s="17"/>
      <c r="DB456" s="17"/>
      <c r="DC456" s="17"/>
      <c r="DD456" s="17"/>
      <c r="DE456" s="955"/>
    </row>
    <row r="457" spans="104:109" x14ac:dyDescent="0.2">
      <c r="CZ457" s="17"/>
      <c r="DA457" s="17"/>
      <c r="DB457" s="17"/>
      <c r="DC457" s="17"/>
      <c r="DD457" s="17"/>
      <c r="DE457" s="955"/>
    </row>
    <row r="458" spans="104:109" x14ac:dyDescent="0.2">
      <c r="CZ458" s="17"/>
      <c r="DA458" s="17"/>
      <c r="DB458" s="17"/>
      <c r="DC458" s="17"/>
      <c r="DD458" s="17"/>
      <c r="DE458" s="955"/>
    </row>
  </sheetData>
  <mergeCells count="16">
    <mergeCell ref="DW13:DZ13"/>
    <mergeCell ref="D14:D15"/>
    <mergeCell ref="AG14:AT14"/>
    <mergeCell ref="AU14:AV14"/>
    <mergeCell ref="E14:R14"/>
    <mergeCell ref="S14:AF14"/>
    <mergeCell ref="D26:D27"/>
    <mergeCell ref="E26:R26"/>
    <mergeCell ref="S26:AF26"/>
    <mergeCell ref="AG26:AT26"/>
    <mergeCell ref="AU26:AV26"/>
    <mergeCell ref="E90:Q90"/>
    <mergeCell ref="D59:D60"/>
    <mergeCell ref="AG59:AT59"/>
    <mergeCell ref="AU59:AV59"/>
    <mergeCell ref="S59:AF59"/>
  </mergeCells>
  <dataValidations count="1">
    <dataValidation type="list" allowBlank="1" showInputMessage="1" showErrorMessage="1" sqref="G11" xr:uid="{FEEABF35-0DAB-4BED-B25B-29FE8767A847}">
      <formula1>List_apply_AE_options</formula1>
    </dataValidation>
  </dataValidations>
  <hyperlinks>
    <hyperlink ref="D2" location="'Navigation control'!A1" display="Navigation control" xr:uid="{E69DEFC2-59D3-45C6-882B-E0C6E0150C4D}"/>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Lists!$H$11:$H$12</xm:f>
          </x14:formula1>
          <x14:formula2>
            <xm:f>0</xm:f>
          </x14:formula2>
          <xm:sqref>G7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5F99CA"/>
  </sheetPr>
  <dimension ref="B1:ER779"/>
  <sheetViews>
    <sheetView showGridLines="0" zoomScale="70" zoomScaleNormal="70" zoomScaleSheetLayoutView="90" workbookViewId="0">
      <pane xSplit="6" topLeftCell="EI1" activePane="topRight" state="frozen"/>
      <selection pane="topRight" activeCell="EQ11" sqref="EQ11"/>
    </sheetView>
  </sheetViews>
  <sheetFormatPr defaultColWidth="8.7109375" defaultRowHeight="14.25" x14ac:dyDescent="0.2"/>
  <cols>
    <col min="1" max="3" width="8.7109375" style="4"/>
    <col min="4" max="4" width="12" style="4" customWidth="1"/>
    <col min="5" max="5" width="8.7109375" style="4"/>
    <col min="6" max="6" width="37.28515625" style="4" bestFit="1" customWidth="1"/>
    <col min="7" max="7" width="11.7109375" style="4" customWidth="1"/>
    <col min="8" max="8" width="49.5703125" style="4" customWidth="1"/>
    <col min="9" max="9" width="13" style="4" customWidth="1"/>
    <col min="10" max="10" width="23.28515625" style="4" bestFit="1" customWidth="1"/>
    <col min="11" max="11" width="27.28515625" style="4" bestFit="1" customWidth="1"/>
    <col min="12" max="12" width="25.5703125" style="4" bestFit="1" customWidth="1"/>
    <col min="13" max="13" width="30.5703125" style="4" bestFit="1" customWidth="1"/>
    <col min="14" max="14" width="21.28515625" style="4" bestFit="1" customWidth="1"/>
    <col min="15" max="17" width="13" style="4" customWidth="1"/>
    <col min="18" max="18" width="15" style="4" customWidth="1"/>
    <col min="19" max="23" width="13" style="4" customWidth="1"/>
    <col min="24" max="25" width="8.7109375" style="4"/>
    <col min="26" max="39" width="14" style="4" customWidth="1"/>
    <col min="40" max="41" width="8.7109375" style="4"/>
    <col min="42" max="55" width="14.5703125" style="4" customWidth="1"/>
    <col min="56" max="57" width="8.7109375" style="4"/>
    <col min="58" max="70" width="13.5703125" style="4" customWidth="1"/>
    <col min="71" max="71" width="13.5703125" style="4" hidden="1" customWidth="1"/>
    <col min="72" max="74" width="8.7109375" style="4"/>
    <col min="75" max="75" width="11.28515625" style="4" customWidth="1"/>
    <col min="76" max="88" width="8.7109375" style="4"/>
    <col min="89" max="89" width="23.5703125" style="4" bestFit="1" customWidth="1"/>
    <col min="90" max="90" width="15.28515625" style="4" bestFit="1" customWidth="1"/>
    <col min="91" max="91" width="33.28515625" style="4" bestFit="1" customWidth="1"/>
    <col min="92" max="92" width="13.28515625" style="4" bestFit="1" customWidth="1"/>
    <col min="93" max="93" width="33.28515625" style="4" bestFit="1" customWidth="1"/>
    <col min="94" max="94" width="13.5703125" style="4" customWidth="1"/>
    <col min="95" max="95" width="33.28515625" style="4" bestFit="1" customWidth="1"/>
    <col min="96" max="96" width="22.7109375" style="4" bestFit="1" customWidth="1"/>
    <col min="97" max="97" width="26.7109375" style="4" bestFit="1" customWidth="1"/>
    <col min="98" max="98" width="29.42578125" style="4" customWidth="1"/>
    <col min="99" max="99" width="8.7109375" style="1122"/>
    <col min="100" max="100" width="8.7109375" style="4"/>
    <col min="101" max="101" width="8.7109375" style="1241"/>
    <col min="102" max="102" width="8.7109375" style="58"/>
    <col min="103" max="103" width="32.28515625" style="58" customWidth="1"/>
    <col min="104" max="105" width="28.28515625" style="58" bestFit="1" customWidth="1"/>
    <col min="106" max="106" width="12.28515625" style="58" bestFit="1" customWidth="1"/>
    <col min="107" max="109" width="12.28515625" style="58" customWidth="1"/>
    <col min="110" max="110" width="24.42578125" style="58" bestFit="1" customWidth="1"/>
    <col min="111" max="111" width="17.28515625" style="924" customWidth="1"/>
    <col min="112" max="112" width="20.5703125" style="58" customWidth="1"/>
    <col min="113" max="113" width="20.5703125" style="924" customWidth="1"/>
    <col min="114" max="114" width="31.5703125" style="904" bestFit="1" customWidth="1"/>
    <col min="115" max="117" width="22.28515625" style="904" customWidth="1"/>
    <col min="118" max="118" width="21.28515625" style="904" bestFit="1" customWidth="1"/>
    <col min="119" max="121" width="28.28515625" style="4" bestFit="1" customWidth="1"/>
    <col min="122" max="124" width="28.28515625" style="4" customWidth="1"/>
    <col min="125" max="125" width="16" style="4" customWidth="1"/>
    <col min="126" max="127" width="8.7109375" style="4"/>
    <col min="128" max="128" width="32.28515625" style="4" bestFit="1" customWidth="1"/>
    <col min="129" max="129" width="27.7109375" style="4" bestFit="1" customWidth="1"/>
    <col min="130" max="130" width="26.5703125" style="4" bestFit="1" customWidth="1"/>
    <col min="131" max="131" width="29" style="4" bestFit="1" customWidth="1"/>
    <col min="132" max="132" width="26.5703125" style="4" bestFit="1" customWidth="1"/>
    <col min="133" max="133" width="31.7109375" style="4" customWidth="1"/>
    <col min="134" max="134" width="26.5703125" style="4" bestFit="1" customWidth="1"/>
    <col min="135" max="135" width="14.5703125" style="4" customWidth="1"/>
    <col min="136" max="136" width="11.140625" style="4" bestFit="1" customWidth="1"/>
    <col min="137" max="137" width="8.7109375" style="4"/>
    <col min="138" max="138" width="9.28515625" style="4" bestFit="1" customWidth="1"/>
    <col min="139" max="139" width="8.7109375" style="4"/>
    <col min="140" max="140" width="24" style="4" bestFit="1" customWidth="1"/>
    <col min="141" max="141" width="24" style="4" customWidth="1"/>
    <col min="142" max="142" width="49.28515625" style="4" bestFit="1" customWidth="1"/>
    <col min="143" max="144" width="8.7109375" style="4"/>
    <col min="145" max="146" width="11.7109375" style="4" bestFit="1" customWidth="1"/>
    <col min="147" max="147" width="22.42578125" style="4" bestFit="1" customWidth="1"/>
    <col min="148" max="148" width="19.5703125" style="4" bestFit="1" customWidth="1"/>
    <col min="149" max="16384" width="8.7109375" style="4"/>
  </cols>
  <sheetData>
    <row r="1" spans="2:148" s="37" customFormat="1" ht="15" x14ac:dyDescent="0.2">
      <c r="CU1" s="1120"/>
      <c r="CW1" s="1239"/>
      <c r="CX1" s="53"/>
      <c r="CY1" s="53"/>
      <c r="CZ1" s="53"/>
      <c r="DA1" s="53"/>
      <c r="DB1" s="53"/>
      <c r="DC1" s="53"/>
      <c r="DD1" s="53"/>
      <c r="DE1" s="53"/>
      <c r="DF1" s="53"/>
      <c r="DG1" s="922"/>
      <c r="DH1" s="53"/>
      <c r="DI1" s="922"/>
      <c r="DJ1" s="906"/>
      <c r="DK1" s="906"/>
      <c r="DL1" s="906"/>
      <c r="DM1" s="906"/>
      <c r="DN1" s="906"/>
    </row>
    <row r="2" spans="2:148" s="41" customFormat="1" ht="18" x14ac:dyDescent="0.25">
      <c r="B2" s="38"/>
      <c r="C2" s="39"/>
      <c r="D2" s="40" t="s">
        <v>11</v>
      </c>
      <c r="E2" s="39"/>
      <c r="F2" s="39"/>
      <c r="G2" s="38"/>
      <c r="H2" s="38"/>
      <c r="I2" s="39"/>
      <c r="J2" s="39"/>
      <c r="K2" s="39"/>
      <c r="L2" s="38"/>
      <c r="M2" s="39"/>
      <c r="N2" s="39"/>
      <c r="O2" s="38"/>
      <c r="P2" s="39"/>
      <c r="Q2" s="38"/>
      <c r="R2" s="38"/>
      <c r="S2" s="39"/>
      <c r="T2" s="39"/>
      <c r="U2" s="38"/>
      <c r="V2" s="39"/>
      <c r="CU2" s="1121"/>
      <c r="CW2" s="1240"/>
      <c r="CX2" s="57"/>
      <c r="CY2" s="57"/>
      <c r="CZ2" s="57"/>
      <c r="DA2" s="57"/>
      <c r="DB2" s="57"/>
      <c r="DC2" s="57"/>
      <c r="DD2" s="57"/>
      <c r="DE2" s="57"/>
      <c r="DF2" s="57"/>
      <c r="DG2" s="923"/>
      <c r="DH2" s="57"/>
      <c r="DI2" s="923"/>
      <c r="DJ2" s="907"/>
      <c r="DK2" s="907"/>
      <c r="DL2" s="907"/>
      <c r="DM2" s="907"/>
      <c r="DN2" s="907"/>
    </row>
    <row r="3" spans="2:148" s="41" customFormat="1" ht="15.75" x14ac:dyDescent="0.25">
      <c r="CU3" s="1121"/>
      <c r="CW3" s="1240"/>
      <c r="CX3" s="57"/>
      <c r="CY3" s="57"/>
      <c r="CZ3" s="57"/>
      <c r="DA3" s="57"/>
      <c r="DB3" s="57"/>
      <c r="DC3" s="57"/>
      <c r="DD3" s="57"/>
      <c r="DE3" s="57"/>
      <c r="DF3" s="57"/>
      <c r="DG3" s="923"/>
      <c r="DH3" s="57"/>
      <c r="DI3" s="923"/>
      <c r="DJ3" s="907"/>
      <c r="DK3" s="907"/>
      <c r="DL3" s="907"/>
      <c r="DM3" s="907"/>
      <c r="DN3" s="907"/>
    </row>
    <row r="5" spans="2:148" x14ac:dyDescent="0.2">
      <c r="C5" s="83"/>
      <c r="D5" s="4" t="s">
        <v>713</v>
      </c>
      <c r="F5" s="86"/>
      <c r="DB5" s="58" t="e">
        <f>SUMIFS($DF$11:$DF$779,$CY$11:$CY$779,CY11,$CX$11:$CX$779,CX11,$CW$11:$CW$772,0)</f>
        <v>#VALUE!</v>
      </c>
    </row>
    <row r="6" spans="2:148" x14ac:dyDescent="0.2">
      <c r="DF6" s="919"/>
      <c r="DH6" s="919"/>
      <c r="DJ6" s="1002"/>
      <c r="DN6" s="925"/>
    </row>
    <row r="7" spans="2:148" ht="15" customHeight="1" thickBot="1" x14ac:dyDescent="0.3">
      <c r="G7" s="1694" t="s">
        <v>151</v>
      </c>
      <c r="H7" s="1694"/>
      <c r="J7" s="1694" t="s">
        <v>152</v>
      </c>
      <c r="K7" s="1694"/>
      <c r="L7" s="1694"/>
      <c r="M7" s="1694"/>
      <c r="N7" s="1694"/>
      <c r="O7" s="1694"/>
      <c r="P7" s="1694"/>
      <c r="Q7" s="1694"/>
      <c r="R7" s="1694"/>
      <c r="S7" s="1694"/>
      <c r="T7" s="1694"/>
      <c r="U7" s="1694"/>
      <c r="V7" s="1694"/>
      <c r="W7" s="1694"/>
      <c r="Z7" s="1694" t="s">
        <v>153</v>
      </c>
      <c r="AA7" s="1694"/>
      <c r="AB7" s="1694"/>
      <c r="AC7" s="1694"/>
      <c r="AD7" s="1694"/>
      <c r="AE7" s="1694"/>
      <c r="AF7" s="1694"/>
      <c r="AG7" s="1694"/>
      <c r="AH7" s="1694"/>
      <c r="AI7" s="1694"/>
      <c r="AJ7" s="1694"/>
      <c r="AK7" s="1694"/>
      <c r="AL7" s="1694"/>
      <c r="AM7" s="1694"/>
      <c r="AP7" s="1694" t="s">
        <v>154</v>
      </c>
      <c r="AQ7" s="1694"/>
      <c r="AR7" s="1694"/>
      <c r="AS7" s="1694"/>
      <c r="AT7" s="1694"/>
      <c r="AU7" s="1694"/>
      <c r="AV7" s="1694"/>
      <c r="AW7" s="1694"/>
      <c r="AX7" s="1694"/>
      <c r="AY7" s="1694"/>
      <c r="AZ7" s="1694"/>
      <c r="BA7" s="1694"/>
      <c r="BB7" s="1694"/>
      <c r="BC7" s="1694"/>
      <c r="BF7" s="1694" t="s">
        <v>714</v>
      </c>
      <c r="BG7" s="1694"/>
      <c r="BH7" s="1694"/>
      <c r="BI7" s="1694"/>
      <c r="BJ7" s="1694"/>
      <c r="BK7" s="1694"/>
      <c r="BL7" s="1694"/>
      <c r="BM7" s="1694"/>
      <c r="BN7" s="1694"/>
      <c r="BO7" s="1694"/>
      <c r="BP7" s="1694"/>
      <c r="BQ7" s="1694"/>
      <c r="BR7" s="1694"/>
      <c r="BS7" s="1694"/>
      <c r="CX7" s="876" t="s">
        <v>715</v>
      </c>
      <c r="DE7" s="924"/>
      <c r="DH7" s="919"/>
    </row>
    <row r="8" spans="2:148" ht="42.75" x14ac:dyDescent="0.2">
      <c r="CK8" s="61" t="s">
        <v>30</v>
      </c>
      <c r="CL8" s="61" t="s">
        <v>129</v>
      </c>
      <c r="CM8" s="61" t="s">
        <v>716</v>
      </c>
      <c r="CN8" s="61" t="s">
        <v>717</v>
      </c>
      <c r="CO8" s="61" t="s">
        <v>718</v>
      </c>
      <c r="CP8" s="61" t="s">
        <v>719</v>
      </c>
      <c r="CQ8" s="74" t="s">
        <v>720</v>
      </c>
      <c r="CR8" s="74" t="s">
        <v>721</v>
      </c>
      <c r="CS8" s="5" t="s">
        <v>722</v>
      </c>
      <c r="CT8" s="5" t="s">
        <v>723</v>
      </c>
      <c r="CX8" s="58" t="s">
        <v>724</v>
      </c>
      <c r="DH8" s="919"/>
      <c r="DJ8" s="1001"/>
    </row>
    <row r="9" spans="2:148" ht="15.75" x14ac:dyDescent="0.25">
      <c r="F9" s="598" t="s">
        <v>725</v>
      </c>
      <c r="G9" s="632" t="s">
        <v>61</v>
      </c>
      <c r="H9" s="597">
        <f>MATCH(G9,source_pc,0)</f>
        <v>2</v>
      </c>
      <c r="J9" s="4" t="s">
        <v>62</v>
      </c>
      <c r="K9" s="600"/>
      <c r="CK9" s="61" t="str">
        <f t="shared" ref="CK9:CK22" si="0">INDEX(List_pop,2)</f>
        <v>Poor / intermediate risk</v>
      </c>
      <c r="CL9" s="61">
        <v>1</v>
      </c>
      <c r="CM9" s="61" t="str" cm="1">
        <f t="array" ref="CM9:CM22">List_comparators</f>
        <v>nivolumab_monotherapy</v>
      </c>
      <c r="CN9" s="17">
        <v>0</v>
      </c>
      <c r="CO9" s="17">
        <v>0</v>
      </c>
      <c r="CP9" s="17">
        <v>111</v>
      </c>
      <c r="CQ9" s="601">
        <f t="shared" ref="CQ9:CQ22" si="1">G13</f>
        <v>0</v>
      </c>
      <c r="CR9" s="601">
        <f t="shared" ref="CR9:CR22" si="2">H13</f>
        <v>0</v>
      </c>
      <c r="CS9" s="5">
        <v>0</v>
      </c>
      <c r="CT9" s="5">
        <v>0</v>
      </c>
      <c r="DX9" s="5" t="s">
        <v>130</v>
      </c>
      <c r="DY9" s="61" t="s">
        <v>726</v>
      </c>
      <c r="DZ9" s="61" t="s">
        <v>727</v>
      </c>
      <c r="EA9" s="61" t="s">
        <v>728</v>
      </c>
      <c r="EB9" s="61" t="s">
        <v>729</v>
      </c>
      <c r="EC9" s="61" t="s">
        <v>730</v>
      </c>
      <c r="ED9" s="61" t="s">
        <v>731</v>
      </c>
      <c r="EF9" s="58"/>
      <c r="EH9" s="58"/>
      <c r="EJ9" s="5" t="s">
        <v>30</v>
      </c>
      <c r="EK9" s="5" t="s">
        <v>732</v>
      </c>
      <c r="EL9" s="5" t="s">
        <v>733</v>
      </c>
      <c r="EM9" s="1003" t="s">
        <v>734</v>
      </c>
      <c r="EN9" s="1003" t="s">
        <v>735</v>
      </c>
      <c r="EO9" s="5" t="s">
        <v>736</v>
      </c>
      <c r="EP9" s="5" t="s">
        <v>737</v>
      </c>
      <c r="EQ9" s="5" t="s">
        <v>738</v>
      </c>
      <c r="ER9" s="5" t="s">
        <v>739</v>
      </c>
    </row>
    <row r="10" spans="2:148" ht="15.75" x14ac:dyDescent="0.25">
      <c r="G10" s="71"/>
      <c r="H10" s="71"/>
      <c r="CK10" s="61" t="str">
        <f t="shared" si="0"/>
        <v>Poor / intermediate risk</v>
      </c>
      <c r="CL10" s="61">
        <v>1</v>
      </c>
      <c r="CM10" s="61" t="str">
        <v>cabozantinib_plus_nivolumab</v>
      </c>
      <c r="CN10" s="17">
        <v>1</v>
      </c>
      <c r="CO10" s="17">
        <v>0</v>
      </c>
      <c r="CP10" s="17">
        <v>111</v>
      </c>
      <c r="CQ10" s="601">
        <f t="shared" si="1"/>
        <v>0</v>
      </c>
      <c r="CR10" s="601">
        <f t="shared" si="2"/>
        <v>0</v>
      </c>
      <c r="CS10" s="5">
        <v>0</v>
      </c>
      <c r="CT10" s="5">
        <v>0</v>
      </c>
      <c r="CU10" s="1122" t="s">
        <v>740</v>
      </c>
      <c r="CX10" s="61" t="s">
        <v>30</v>
      </c>
      <c r="CY10" s="61" t="s">
        <v>741</v>
      </c>
      <c r="CZ10" s="61" t="s">
        <v>742</v>
      </c>
      <c r="DA10" s="61" t="s">
        <v>743</v>
      </c>
      <c r="DB10" s="61" t="s">
        <v>744</v>
      </c>
      <c r="DC10" s="61" t="s">
        <v>745</v>
      </c>
      <c r="DD10" s="61" t="s">
        <v>746</v>
      </c>
      <c r="DE10" s="61" t="s">
        <v>747</v>
      </c>
      <c r="DF10" s="61" t="s">
        <v>748</v>
      </c>
      <c r="DG10" s="910" t="s">
        <v>749</v>
      </c>
      <c r="DH10" s="995" t="s">
        <v>750</v>
      </c>
      <c r="DI10" s="1134" t="s">
        <v>160</v>
      </c>
      <c r="DJ10" s="908" t="s">
        <v>751</v>
      </c>
      <c r="DK10" s="908" t="s">
        <v>752</v>
      </c>
      <c r="DL10" s="908" t="s">
        <v>753</v>
      </c>
      <c r="DM10" s="908" t="s">
        <v>754</v>
      </c>
      <c r="DN10" s="908" t="s">
        <v>755</v>
      </c>
      <c r="DO10" s="908" t="s">
        <v>756</v>
      </c>
      <c r="DP10" s="908" t="s">
        <v>757</v>
      </c>
      <c r="DQ10" s="908" t="s">
        <v>758</v>
      </c>
      <c r="DR10" s="908" t="s">
        <v>759</v>
      </c>
      <c r="DS10" s="1222" t="s">
        <v>760</v>
      </c>
      <c r="DT10" s="1222" t="s">
        <v>761</v>
      </c>
      <c r="DX10" s="61" t="str" cm="1">
        <f t="array" ref="DX10:DX23">List_comparators</f>
        <v>nivolumab_monotherapy</v>
      </c>
      <c r="DY10" s="877" cm="1">
        <f t="array" ref="DY10">INDEX(TRANSPOSE($J$81:$W$81),MATCH($DX10,TRANSPOSE($J$48:$W$48),0))</f>
        <v>46.008571428571429</v>
      </c>
      <c r="DZ10" s="877" cm="1">
        <f t="array" ref="DZ10">INDEX(TRANSPOSE($J$97:$W$97),MATCH($DX10,TRANSPOSE($J$48:$W$48),0))</f>
        <v>3.9314285714285711</v>
      </c>
      <c r="EA10" s="877" cm="1">
        <f t="array" ref="EA10">INDEX(TRANSPOSE($Z$81:$AM$81),MATCH($DX10,TRANSPOSE($J$48:$W$48),0))</f>
        <v>21.82</v>
      </c>
      <c r="EB10" s="877" cm="1">
        <f t="array" ref="EB10">INDEX(TRANSPOSE($Z$97:$AM$97),MATCH($DX10,TRANSPOSE($J$48:$W$48),0))</f>
        <v>4.1142857142857139</v>
      </c>
      <c r="EC10" s="877" cm="1">
        <f t="array" ref="EC10">INDEX(TRANSPOSE($AP$81:$BC$81),MATCH($DX10,TRANSPOSE($J$48:$W$48),0))</f>
        <v>21.82</v>
      </c>
      <c r="ED10" s="877" cm="1">
        <f t="array" ref="ED10">INDEX(TRANSPOSE($AP$97:$BC$97),MATCH($DX10,TRANSPOSE($J$48:$W$48),0))</f>
        <v>4.1142857142857139</v>
      </c>
      <c r="EJ10" s="5" t="str">
        <f t="shared" ref="EJ10:EJ15" si="3">CK653</f>
        <v>All</v>
      </c>
      <c r="EK10" s="5">
        <v>0</v>
      </c>
      <c r="EL10" s="5" t="str">
        <f t="shared" ref="EL10:EL15" si="4">CM653</f>
        <v>Subsequent radiotherapy (from CheckMate 9ER)</v>
      </c>
      <c r="EM10" s="745">
        <f t="shared" ref="EM10:EN15" si="5">CQ653</f>
        <v>0.25</v>
      </c>
      <c r="EN10" s="881">
        <f t="shared" si="5"/>
        <v>0</v>
      </c>
      <c r="EO10" s="921">
        <f>'Resource use and costs'!S$145</f>
        <v>511.02</v>
      </c>
      <c r="EP10" s="921">
        <f>'Resource use and costs'!T$145</f>
        <v>102.20400000000001</v>
      </c>
      <c r="EQ10" s="921">
        <f t="shared" ref="EQ10:EQ15" si="6">EM10*EO10</f>
        <v>127.755</v>
      </c>
      <c r="ER10" s="1004">
        <f t="shared" ref="ER10:ER15" si="7">i_SE_costs*EQ10</f>
        <v>25.551000000000002</v>
      </c>
    </row>
    <row r="11" spans="2:148" ht="27.75" customHeight="1" x14ac:dyDescent="0.25">
      <c r="C11" s="69" t="s">
        <v>762</v>
      </c>
      <c r="G11" s="1726" t="s">
        <v>763</v>
      </c>
      <c r="H11" s="1726"/>
      <c r="P11" s="514"/>
      <c r="CK11" s="61" t="str">
        <f t="shared" si="0"/>
        <v>Poor / intermediate risk</v>
      </c>
      <c r="CL11" s="61">
        <v>1</v>
      </c>
      <c r="CM11" s="61" t="str">
        <v>nivolumab_plus_ipilimumab</v>
      </c>
      <c r="CN11" s="17">
        <v>2</v>
      </c>
      <c r="CO11" s="17">
        <v>0</v>
      </c>
      <c r="CP11" s="17">
        <v>111</v>
      </c>
      <c r="CQ11" s="601">
        <f t="shared" si="1"/>
        <v>0</v>
      </c>
      <c r="CR11" s="601">
        <f t="shared" si="2"/>
        <v>0</v>
      </c>
      <c r="CS11" s="5">
        <v>0</v>
      </c>
      <c r="CT11" s="5">
        <v>0</v>
      </c>
      <c r="CU11" s="1123" t="e">
        <f>MATCH(CZ11,'Resource use and costs'!$BA$11:$BA$53,0)</f>
        <v>#N/A</v>
      </c>
      <c r="CV11" s="1031"/>
      <c r="CW11" s="1241">
        <f>IF(CZ11="BSC",0,1)</f>
        <v>0</v>
      </c>
      <c r="CX11" s="899" t="s">
        <v>764</v>
      </c>
      <c r="CY11" s="899" t="s">
        <v>583</v>
      </c>
      <c r="CZ11" s="899" t="s">
        <v>765</v>
      </c>
      <c r="DA11" s="899"/>
      <c r="DB11" s="899"/>
      <c r="DC11" s="899" cm="1">
        <f t="array" aca="1" ref="DC11" ca="1">_xlfn.IFNA(OFFSET($I$49,MATCH(CY11,$I$50:$I$63,0),MATCH(CZ11,TRANSPOSE($J$49:$W$49),0)),0)</f>
        <v>0.3256</v>
      </c>
      <c r="DD11" s="899" cm="1">
        <f t="array" aca="1" ref="DD11" ca="1">_xlfn.IFNA(OFFSET($Y$49,MATCH($CZ11,$Y$50:$Y$63,0),MATCH($DA11,TRANSPOSE($Z$49:$AM$49),0)),0)</f>
        <v>0</v>
      </c>
      <c r="DE11" s="899" cm="1">
        <f t="array" aca="1" ref="DE11" ca="1">_xlfn.IFNA(OFFSET($AO$49,MATCH($DA11,$AO$50:$AO$63,0),MATCH($DB11,TRANSPOSE($AP$49:$BC$49),0)),0)</f>
        <v>0</v>
      </c>
      <c r="DF11" s="881">
        <f t="shared" ref="DF11:DF74" ca="1" si="8">IF(AND(ISBLANK(DA11),ISBLANK(DA11)),DC11,IF(ISBLANK(DB11),DC11*DD11,DC11*DD11*DE11))</f>
        <v>0.3256</v>
      </c>
      <c r="DG11" s="910">
        <f t="shared" ref="DG11:DG74" ca="1" si="9">IF(dd_reduceBSC="No",(1-SUMIFS($DF$11:$DF$779,$CY$11:$CY$779,CY11,$CX$11:$CX$779,CX11,$CW$11:$CW$779,0))/SUMIFS($DF$11:$DF$779,$CY$11:$CY$779,CY11,$CX$11:$CX$779,CX11,$CW$11:$CW$779,1),1/SUMIFS($DF$11:$DF$779,$CY$11:$CY$779,CY11,$CX$11:$CX$779,CX11,$CW$11:$CW$779,1))</f>
        <v>0.99999999999999967</v>
      </c>
      <c r="DH11" s="881">
        <f t="shared" ref="DH11:DH74" ca="1" si="10">IF(CZ11="BSC",IF(dd_reduceBSC="No",DF11,0),DF11*DG11)</f>
        <v>0.3256</v>
      </c>
      <c r="DI11" s="1460">
        <f t="shared" ref="DI11:DI29" ca="1" si="11">168*DH11</f>
        <v>54.700800000000001</v>
      </c>
      <c r="DJ11" s="909">
        <f>_xlfn.IFNA(INDEX('Resource use and costs'!$CQ$11:$CQ$53,MATCH($CZ11,'Resource use and costs'!$BA$11:$BA$53,0)),0)*_xlfn.IFNA(INDEX(DY$10:DY$23,MATCH($CZ11,$DX$10:$DX$23,0)),0)</f>
        <v>0</v>
      </c>
      <c r="DK11" s="909">
        <f>IF(dd_PartSA_2_lines = "Yes",0,_xlfn.IFNA(INDEX('Resource use and costs'!$CR$11:$CR$53,MATCH(DA11,'Resource use and costs'!$BA$11:$BA$53,0)),0)*_xlfn.IFNA(INDEX(EA$10:EA$23,MATCH($DA11,$DX$10:$DX$23,0)),0))</f>
        <v>0</v>
      </c>
      <c r="DL11" s="909">
        <f>IF(dd_PartSA_2_lines = "Yes",0,_xlfn.IFNA(INDEX('Resource use and costs'!$CS$11:$CS$53,MATCH(DB11,'Resource use and costs'!$BA$11:$BA$53,0)),0)*_xlfn.IFNA(INDEX(EC$10:EC$23,MATCH($DB11,$DX$10:$DX$23,0)),0))</f>
        <v>0</v>
      </c>
      <c r="DM11" s="909">
        <f>SUM(DJ11:DL11)</f>
        <v>0</v>
      </c>
      <c r="DN11" s="909">
        <f>SUM(_xlfn.IFNA(INDEX('Resource use and costs'!$DU$12:$DU$25,MATCH(CZ11,'Resource use and costs'!$DS$12:$DS$25,0)),0),_xlfn.IFNA(INDEX('Resource use and costs'!$DU$12:$DU$25,MATCH(DA11,'Resource use and costs'!$DS$12:$DS$25,0)),0),_xlfn.IFNA(INDEX('Resource use and costs'!$DU$12:$DU$25,MATCH(DB11,'Resource use and costs'!$DS$12:$DS$25,0)),0))</f>
        <v>0</v>
      </c>
      <c r="DO11" s="921">
        <f>_xlfn.IFNA(INDEX('Resource use and costs'!$DY$12:$DY$25,MATCH(CZ11,'Resource use and costs'!$DS$12:$DS$25,0)),0)*_xlfn.IFNA(INDEX(DY$10:DY$23,MATCH($CZ11,$DX$10:$DX$23,0)),0)</f>
        <v>0</v>
      </c>
      <c r="DP11" s="921">
        <f>IF(dd_PartSA_2_lines = "Yes",0,_xlfn.IFNA(INDEX('Resource use and costs'!$DZ$12:$DZ$25,MATCH(DA11,'Resource use and costs'!$DS$12:$DS$25,0)),0)*_xlfn.IFNA(INDEX(EA$10:EA$23,MATCH($DA11,$DX$10:$DX$23,0)),0))</f>
        <v>0</v>
      </c>
      <c r="DQ11" s="921">
        <f>IF(dd_PartSA_2_lines = "Yes",0,_xlfn.IFNA(INDEX('Resource use and costs'!$EA$12:$EA$25,MATCH(DB11,'Resource use and costs'!$DS$12:$DS$25,0)),0)*_xlfn.IFNA(INDEX(EC$10:EC$23,MATCH($DB11,$DX$10:$DX$23,0)),0))</f>
        <v>0</v>
      </c>
      <c r="DR11" s="921">
        <f>SUM(DN11:DQ11)</f>
        <v>0</v>
      </c>
      <c r="DS11" s="1004">
        <f>SUMIFS('Safety parameters'!$DM$6:$DM$18,'Safety parameters'!$DK$6:$DK$18,CZ11,'Safety parameters'!$DL$6:$DL$18,1)+IF(dd_PartSA_2_lines = "Yes",0,SUMIFS('Safety parameters'!$DM$6:$DM$18,'Safety parameters'!$DK$6:$DK$18,DA11,'Safety parameters'!$DL$6:$DL$18,2)+SUMIFS('Safety parameters'!$DM$6:$DM$18,'Safety parameters'!$DK$6:$DK$18,DB11,'Safety parameters'!$DL$6:$DL$18,2))</f>
        <v>0</v>
      </c>
      <c r="DT11" s="910">
        <f>SUMIFS('Safety parameters'!$DO$6:$DO$18,'Safety parameters'!$DK$6:$DK$18,CZ11,'Safety parameters'!$DL$6:$DL$18,1)+IF(dd_PartSA_2_lines = "Yes",0,SUMIFS('Safety parameters'!$DO$6:$DO$18,'Safety parameters'!$DK$6:$DK$18,DA11,'Safety parameters'!$DL$6:$DL$18,2)+SUMIFS('Safety parameters'!$DO$6:$DO$18,'Safety parameters'!$DK$6:$DK$18,DB11,'Safety parameters'!$DL$6:$DL$18,2))</f>
        <v>0</v>
      </c>
      <c r="DX11" s="61" t="str">
        <v>cabozantinib_plus_nivolumab</v>
      </c>
      <c r="DY11" s="877" cm="1">
        <f t="array" ref="DY11">INDEX(TRANSPOSE($J$81:$W$81),MATCH($DX11,TRANSPOSE($J$48:$W$48),0))</f>
        <v>0</v>
      </c>
      <c r="DZ11" s="877" cm="1">
        <f t="array" ref="DZ11">INDEX(TRANSPOSE($J$97:$W$97),MATCH($DX11,TRANSPOSE($J$48:$W$48),0))</f>
        <v>0</v>
      </c>
      <c r="EA11" s="877" cm="1">
        <f t="array" ref="EA11">INDEX(TRANSPOSE($Z$81:$AM$81),MATCH($DX11,TRANSPOSE($J$48:$W$48),0))</f>
        <v>0</v>
      </c>
      <c r="EB11" s="877" cm="1">
        <f t="array" ref="EB11">INDEX(TRANSPOSE($Z$97:$AM$97),MATCH($DX11,TRANSPOSE($J$48:$W$48),0))</f>
        <v>0</v>
      </c>
      <c r="EC11" s="877" cm="1">
        <f t="array" ref="EC11">INDEX(TRANSPOSE($AP$81:$BC$81),MATCH($DX11,TRANSPOSE($J$48:$W$48),0))</f>
        <v>0</v>
      </c>
      <c r="ED11" s="877" cm="1">
        <f t="array" ref="ED11">INDEX(TRANSPOSE($AP$97:$BC$97),MATCH($DX11,TRANSPOSE($J$48:$W$48),0))</f>
        <v>0</v>
      </c>
      <c r="EJ11" s="5" t="str">
        <f t="shared" si="3"/>
        <v>All</v>
      </c>
      <c r="EK11" s="5">
        <v>0</v>
      </c>
      <c r="EL11" s="5" t="str">
        <f t="shared" si="4"/>
        <v>Subsequent surgery (from CheckMate 9ER)</v>
      </c>
      <c r="EM11" s="881">
        <f t="shared" si="5"/>
        <v>0.25</v>
      </c>
      <c r="EN11" s="881">
        <f t="shared" si="5"/>
        <v>0</v>
      </c>
      <c r="EO11" s="921">
        <f>'Resource use and costs'!S$146</f>
        <v>5393.2560839235184</v>
      </c>
      <c r="EP11" s="921">
        <f>'Resource use and costs'!T$146</f>
        <v>1078.6512167847038</v>
      </c>
      <c r="EQ11" s="1004">
        <f t="shared" si="6"/>
        <v>1348.3140209808796</v>
      </c>
      <c r="ER11" s="1004">
        <f t="shared" si="7"/>
        <v>269.66280419617595</v>
      </c>
    </row>
    <row r="12" spans="2:148" ht="33.75" customHeight="1" x14ac:dyDescent="0.25">
      <c r="C12" s="69"/>
      <c r="G12" s="75" t="str">
        <f>"Mean"</f>
        <v>Mean</v>
      </c>
      <c r="H12" s="75" t="s">
        <v>161</v>
      </c>
      <c r="P12" s="514"/>
      <c r="CK12" s="61" t="str">
        <f t="shared" si="0"/>
        <v>Poor / intermediate risk</v>
      </c>
      <c r="CL12" s="61">
        <v>1</v>
      </c>
      <c r="CM12" s="61" t="str">
        <v>lenvatinib_plus_pembrolizumab</v>
      </c>
      <c r="CN12" s="17">
        <v>3</v>
      </c>
      <c r="CO12" s="17">
        <v>0</v>
      </c>
      <c r="CP12" s="17">
        <v>111</v>
      </c>
      <c r="CQ12" s="601">
        <f t="shared" si="1"/>
        <v>0</v>
      </c>
      <c r="CR12" s="601">
        <f t="shared" si="2"/>
        <v>0</v>
      </c>
      <c r="CS12" s="5">
        <v>0</v>
      </c>
      <c r="CT12" s="5">
        <v>0</v>
      </c>
      <c r="CU12" s="1123">
        <f>MATCH(CZ12,'Resource use and costs'!$BA$11:$BA$53,0)</f>
        <v>30</v>
      </c>
      <c r="CV12" s="1223"/>
      <c r="CW12" s="1241">
        <f t="shared" ref="CW12:CW75" si="12">IF(CZ12="BSC",0,1)</f>
        <v>1</v>
      </c>
      <c r="CX12" s="899" t="s">
        <v>764</v>
      </c>
      <c r="CY12" s="899" t="s">
        <v>583</v>
      </c>
      <c r="CZ12" s="899" t="s">
        <v>118</v>
      </c>
      <c r="DA12" s="899" t="s">
        <v>765</v>
      </c>
      <c r="DB12" s="899"/>
      <c r="DC12" s="899" cm="1">
        <f t="array" aca="1" ref="DC12" ca="1">_xlfn.IFNA(OFFSET($I$49,MATCH(CY12,$I$50:$I$63,0),MATCH(CZ12,TRANSPOSE($J$49:$W$49),0)),0)</f>
        <v>0.38370142659917167</v>
      </c>
      <c r="DD12" s="899" cm="1">
        <f t="array" aca="1" ref="DD12" ca="1">_xlfn.IFNA(OFFSET($Y$49,MATCH($CZ12,$Y$50:$Y$63,0),MATCH($DA12,TRANSPOSE($Z$49:$AM$49),0)),0)</f>
        <v>0.34300000000000003</v>
      </c>
      <c r="DE12" s="899" cm="1">
        <f t="array" aca="1" ref="DE12" ca="1">_xlfn.IFNA(OFFSET($AO$49,MATCH($DA12,$AO$50:$AO$63,0),MATCH($DB12,TRANSPOSE($AP$49:$BC$49),0)),0)</f>
        <v>0</v>
      </c>
      <c r="DF12" s="881">
        <f t="shared" ca="1" si="8"/>
        <v>0.13160958932351588</v>
      </c>
      <c r="DG12" s="910">
        <f t="shared" ca="1" si="9"/>
        <v>0.99999999999999967</v>
      </c>
      <c r="DH12" s="881">
        <f t="shared" ca="1" si="10"/>
        <v>0.13160958932351582</v>
      </c>
      <c r="DI12" s="1460">
        <f t="shared" ca="1" si="11"/>
        <v>22.11041100635066</v>
      </c>
      <c r="DJ12" s="909">
        <f>_xlfn.IFNA(INDEX('Resource use and costs'!$CQ$11:$CQ$53,MATCH($CZ12,'Resource use and costs'!$BA$11:$BA$53,0)),0)*_xlfn.IFNA(INDEX(DY$10:DY$23,MATCH($CZ12,$DX$10:$DX$23,0)),0)</f>
        <v>45284.183573333321</v>
      </c>
      <c r="DK12" s="909">
        <f>IF(dd_PartSA_2_lines = "Yes",0,_xlfn.IFNA(INDEX('Resource use and costs'!$CR$11:$CR$53,MATCH(DA12,'Resource use and costs'!$BA$11:$BA$53,0)),0)*_xlfn.IFNA(INDEX(EA$10:EA$23,MATCH($DA12,$DX$10:$DX$23,0)),0))</f>
        <v>0</v>
      </c>
      <c r="DL12" s="909">
        <f>IF(dd_PartSA_2_lines = "Yes",0,_xlfn.IFNA(INDEX('Resource use and costs'!$CS$11:$CS$53,MATCH(DB12,'Resource use and costs'!$BA$11:$BA$53,0)),0)*_xlfn.IFNA(INDEX(EC$10:EC$23,MATCH($DB12,$DX$10:$DX$23,0)),0))</f>
        <v>0</v>
      </c>
      <c r="DM12" s="909">
        <f t="shared" ref="DM12:DM75" si="13">SUM(DJ12:DL12)</f>
        <v>45284.183573333321</v>
      </c>
      <c r="DN12" s="909">
        <f>SUM(_xlfn.IFNA(INDEX('Resource use and costs'!$DU$12:$DU$25,MATCH(CZ12,'Resource use and costs'!$DS$12:$DS$25,0)),0),_xlfn.IFNA(INDEX('Resource use and costs'!$DU$12:$DU$25,MATCH(DA12,'Resource use and costs'!$DS$12:$DS$25,0)),0),_xlfn.IFNA(INDEX('Resource use and costs'!$DU$12:$DU$25,MATCH(DB12,'Resource use and costs'!$DS$12:$DS$25,0)),0))</f>
        <v>197.25</v>
      </c>
      <c r="DO12" s="921">
        <f>_xlfn.IFNA(INDEX('Resource use and costs'!$DY$12:$DY$25,MATCH(CZ12,'Resource use and costs'!$DS$12:$DS$25,0)),0)*_xlfn.IFNA(INDEX(DY$10:DY$23,MATCH($CZ12,$DX$10:$DX$23,0)),0)</f>
        <v>415.09348571428563</v>
      </c>
      <c r="DP12" s="921">
        <f>IF(dd_PartSA_2_lines = "Yes",0,_xlfn.IFNA(INDEX('Resource use and costs'!$DZ$12:$DZ$25,MATCH(DA12,'Resource use and costs'!$DS$12:$DS$25,0)),0)*_xlfn.IFNA(INDEX(EA$10:EA$23,MATCH($DA12,$DX$10:$DX$23,0)),0))</f>
        <v>0</v>
      </c>
      <c r="DQ12" s="921">
        <f>IF(dd_PartSA_2_lines = "Yes",0,_xlfn.IFNA(INDEX('Resource use and costs'!$EA$12:$EA$25,MATCH(DB12,'Resource use and costs'!$DS$12:$DS$25,0)),0)*_xlfn.IFNA(INDEX(EC$10:EC$23,MATCH($DB12,$DX$10:$DX$23,0)),0))</f>
        <v>0</v>
      </c>
      <c r="DR12" s="921">
        <f t="shared" ref="DR12:DR75" si="14">SUM(DN12:DQ12)</f>
        <v>612.34348571428563</v>
      </c>
      <c r="DS12" s="1004">
        <f ca="1">SUMIFS('Safety parameters'!$DM$6:$DM$18,'Safety parameters'!$DK$6:$DK$18,CZ12,'Safety parameters'!$DL$6:$DL$18,1)+IF(dd_PartSA_2_lines = "Yes",0,SUMIFS('Safety parameters'!$DM$6:$DM$18,'Safety parameters'!$DK$6:$DK$18,DA12,'Safety parameters'!$DL$6:$DL$18,2)+SUMIFS('Safety parameters'!$DM$6:$DM$18,'Safety parameters'!$DK$6:$DK$18,DB12,'Safety parameters'!$DL$6:$DL$18,2))</f>
        <v>731.82916268415761</v>
      </c>
      <c r="DT12" s="910">
        <f ca="1">SUMIFS('Safety parameters'!$DO$6:$DO$18,'Safety parameters'!$DK$6:$DK$18,CZ12,'Safety parameters'!$DL$6:$DL$18,1)+IF(dd_PartSA_2_lines = "Yes",0,SUMIFS('Safety parameters'!$DO$6:$DO$18,'Safety parameters'!$DK$6:$DK$18,DA12,'Safety parameters'!$DL$6:$DL$18,2)+SUMIFS('Safety parameters'!$DO$6:$DO$18,'Safety parameters'!$DK$6:$DK$18,DB12,'Safety parameters'!$DL$6:$DL$18,2))</f>
        <v>-6.5169895084747891E-3</v>
      </c>
      <c r="DX12" s="61" t="str">
        <v>nivolumab_plus_ipilimumab</v>
      </c>
      <c r="DY12" s="877" cm="1">
        <f t="array" ref="DY12">INDEX(TRANSPOSE($J$81:$W$81),MATCH($DX12,TRANSPOSE($J$48:$W$48),0))</f>
        <v>0</v>
      </c>
      <c r="DZ12" s="877" cm="1">
        <f t="array" ref="DZ12">INDEX(TRANSPOSE($J$97:$W$97),MATCH($DX12,TRANSPOSE($J$48:$W$48),0))</f>
        <v>0</v>
      </c>
      <c r="EA12" s="877" cm="1">
        <f t="array" ref="EA12">INDEX(TRANSPOSE($Z$81:$AM$81),MATCH($DX12,TRANSPOSE($J$48:$W$48),0))</f>
        <v>0</v>
      </c>
      <c r="EB12" s="877" cm="1">
        <f t="array" ref="EB12">INDEX(TRANSPOSE($Z$97:$AM$97),MATCH($DX12,TRANSPOSE($J$48:$W$48),0))</f>
        <v>0</v>
      </c>
      <c r="EC12" s="877" cm="1">
        <f t="array" ref="EC12">INDEX(TRANSPOSE($AP$81:$BC$81),MATCH($DX12,TRANSPOSE($J$48:$W$48),0))</f>
        <v>0</v>
      </c>
      <c r="ED12" s="877" cm="1">
        <f t="array" ref="ED12">INDEX(TRANSPOSE($AP$97:$BC$97),MATCH($DX12,TRANSPOSE($J$48:$W$48),0))</f>
        <v>0</v>
      </c>
      <c r="EJ12" s="5" t="str">
        <f t="shared" si="3"/>
        <v>Poor / intermediate risk</v>
      </c>
      <c r="EK12" s="5">
        <v>1</v>
      </c>
      <c r="EL12" s="5" t="str">
        <f t="shared" si="4"/>
        <v>Subsequent radiotherapy (from CheckMate 9ER)</v>
      </c>
      <c r="EM12" s="881">
        <f t="shared" si="5"/>
        <v>0.25</v>
      </c>
      <c r="EN12" s="881">
        <f t="shared" si="5"/>
        <v>0</v>
      </c>
      <c r="EO12" s="1004">
        <f>'Resource use and costs'!S$145</f>
        <v>511.02</v>
      </c>
      <c r="EP12" s="1004">
        <f>'Resource use and costs'!T$145</f>
        <v>102.20400000000001</v>
      </c>
      <c r="EQ12" s="1004">
        <f t="shared" si="6"/>
        <v>127.755</v>
      </c>
      <c r="ER12" s="1004">
        <f t="shared" si="7"/>
        <v>25.551000000000002</v>
      </c>
    </row>
    <row r="13" spans="2:148" ht="17.649999999999999" customHeight="1" x14ac:dyDescent="0.2">
      <c r="D13" s="82">
        <v>1</v>
      </c>
      <c r="E13" s="58" t="str" cm="1">
        <f t="array" ref="E13:E26">List_comparators</f>
        <v>nivolumab_monotherapy</v>
      </c>
      <c r="G13" s="664"/>
      <c r="H13" s="664"/>
      <c r="P13" s="514"/>
      <c r="CK13" s="61" t="str">
        <f t="shared" si="0"/>
        <v>Poor / intermediate risk</v>
      </c>
      <c r="CL13" s="61">
        <v>1</v>
      </c>
      <c r="CM13" s="61" t="str">
        <v>avelumab_plus_axitinib</v>
      </c>
      <c r="CN13" s="17">
        <v>4</v>
      </c>
      <c r="CO13" s="17">
        <v>0</v>
      </c>
      <c r="CP13" s="17">
        <v>111</v>
      </c>
      <c r="CQ13" s="601">
        <f t="shared" si="1"/>
        <v>0</v>
      </c>
      <c r="CR13" s="601">
        <f t="shared" si="2"/>
        <v>0</v>
      </c>
      <c r="CS13" s="5">
        <v>0</v>
      </c>
      <c r="CT13" s="5">
        <v>0</v>
      </c>
      <c r="CU13" s="1123">
        <f>MATCH(CZ13,'Resource use and costs'!$BA$11:$BA$53,0)</f>
        <v>30</v>
      </c>
      <c r="CV13" s="1223"/>
      <c r="CW13" s="1241">
        <f t="shared" si="12"/>
        <v>1</v>
      </c>
      <c r="CX13" s="899" t="s">
        <v>764</v>
      </c>
      <c r="CY13" s="899" t="s">
        <v>583</v>
      </c>
      <c r="CZ13" s="899" t="s">
        <v>118</v>
      </c>
      <c r="DA13" s="899" t="s">
        <v>119</v>
      </c>
      <c r="DB13" s="899" t="s">
        <v>765</v>
      </c>
      <c r="DC13" s="899" cm="1">
        <f t="array" aca="1" ref="DC13" ca="1">_xlfn.IFNA(OFFSET($I$49,MATCH(CY13,$I$50:$I$63,0),MATCH(CZ13,TRANSPOSE($J$49:$W$49),0)),0)</f>
        <v>0.38370142659917167</v>
      </c>
      <c r="DD13" s="899">
        <f ca="1">1-DD12</f>
        <v>0.65700000000000003</v>
      </c>
      <c r="DE13" s="899" cm="1">
        <f t="array" aca="1" ref="DE13" ca="1">_xlfn.IFNA(OFFSET($AO$49,MATCH($DA13,$AO$50:$AO$63,0),MATCH($DB13,TRANSPOSE($AP$49:$BC$49),0)),0)</f>
        <v>1</v>
      </c>
      <c r="DF13" s="881">
        <f t="shared" ca="1" si="8"/>
        <v>0.25209183727565582</v>
      </c>
      <c r="DG13" s="910">
        <f t="shared" ca="1" si="9"/>
        <v>0.99999999999999967</v>
      </c>
      <c r="DH13" s="881">
        <f t="shared" ca="1" si="10"/>
        <v>0.25209183727565571</v>
      </c>
      <c r="DI13" s="1460">
        <f t="shared" ca="1" si="11"/>
        <v>42.351428662310155</v>
      </c>
      <c r="DJ13" s="909">
        <f>_xlfn.IFNA(INDEX('Resource use and costs'!$CQ$11:$CQ$53,MATCH($CZ13,'Resource use and costs'!$BA$11:$BA$53,0)),0)*_xlfn.IFNA(INDEX(DY$10:DY$23,MATCH($CZ13,$DX$10:$DX$23,0)),0)</f>
        <v>45284.183573333321</v>
      </c>
      <c r="DK13" s="909">
        <f>IF(dd_PartSA_2_lines = "Yes",0,_xlfn.IFNA(INDEX('Resource use and costs'!$CR$11:$CR$53,MATCH(DA13,'Resource use and costs'!$BA$11:$BA$53,0)),0)*_xlfn.IFNA(INDEX(EA$10:EA$23,MATCH($DA13,$DX$10:$DX$23,0)),0))</f>
        <v>848.17532499999982</v>
      </c>
      <c r="DL13" s="909">
        <f>IF(dd_PartSA_2_lines = "Yes",0,_xlfn.IFNA(INDEX('Resource use and costs'!$CS$11:$CS$53,MATCH(DB13,'Resource use and costs'!$BA$11:$BA$53,0)),0)*_xlfn.IFNA(INDEX(EC$10:EC$23,MATCH($DB13,$DX$10:$DX$23,0)),0))</f>
        <v>0</v>
      </c>
      <c r="DM13" s="909">
        <f t="shared" si="13"/>
        <v>46132.358898333317</v>
      </c>
      <c r="DN13" s="909">
        <f>SUM(_xlfn.IFNA(INDEX('Resource use and costs'!$DU$12:$DU$25,MATCH(CZ13,'Resource use and costs'!$DS$12:$DS$25,0)),0),_xlfn.IFNA(INDEX('Resource use and costs'!$DU$12:$DU$25,MATCH(DA13,'Resource use and costs'!$DS$12:$DS$25,0)),0),_xlfn.IFNA(INDEX('Resource use and costs'!$DU$12:$DU$25,MATCH(DB13,'Resource use and costs'!$DS$12:$DS$25,0)),0))</f>
        <v>394.5</v>
      </c>
      <c r="DO13" s="921">
        <f>_xlfn.IFNA(INDEX('Resource use and costs'!$DY$12:$DY$25,MATCH(CZ13,'Resource use and costs'!$DS$12:$DS$25,0)),0)*_xlfn.IFNA(INDEX(DY$10:DY$23,MATCH($CZ13,$DX$10:$DX$23,0)),0)</f>
        <v>415.09348571428563</v>
      </c>
      <c r="DP13" s="921">
        <f>IF(dd_PartSA_2_lines = "Yes",0,_xlfn.IFNA(INDEX('Resource use and costs'!$DZ$12:$DZ$25,MATCH(DA13,'Resource use and costs'!$DS$12:$DS$25,0)),0)*_xlfn.IFNA(INDEX(EA$10:EA$23,MATCH($DA13,$DX$10:$DX$23,0)),0))</f>
        <v>74.50928571428571</v>
      </c>
      <c r="DQ13" s="921">
        <f>IF(dd_PartSA_2_lines = "Yes",0,_xlfn.IFNA(INDEX('Resource use and costs'!$EA$12:$EA$25,MATCH(DB13,'Resource use and costs'!$DS$12:$DS$25,0)),0)*_xlfn.IFNA(INDEX(EC$10:EC$23,MATCH($DB13,$DX$10:$DX$23,0)),0))</f>
        <v>0</v>
      </c>
      <c r="DR13" s="921">
        <f t="shared" si="14"/>
        <v>884.10277142857137</v>
      </c>
      <c r="DS13" s="1004">
        <f ca="1">SUMIFS('Safety parameters'!$DM$6:$DM$18,'Safety parameters'!$DK$6:$DK$18,CZ13,'Safety parameters'!$DL$6:$DL$18,1)+IF(dd_PartSA_2_lines = "Yes",0,SUMIFS('Safety parameters'!$DM$6:$DM$18,'Safety parameters'!$DK$6:$DK$18,DA13,'Safety parameters'!$DL$6:$DL$18,2)+SUMIFS('Safety parameters'!$DM$6:$DM$18,'Safety parameters'!$DK$6:$DK$18,DB13,'Safety parameters'!$DL$6:$DL$18,2))</f>
        <v>1064.7045460594725</v>
      </c>
      <c r="DT13" s="910">
        <f ca="1">SUMIFS('Safety parameters'!$DO$6:$DO$18,'Safety parameters'!$DK$6:$DK$18,CZ13,'Safety parameters'!$DL$6:$DL$18,1)+IF(dd_PartSA_2_lines = "Yes",0,SUMIFS('Safety parameters'!$DO$6:$DO$18,'Safety parameters'!$DK$6:$DK$18,DA13,'Safety parameters'!$DL$6:$DL$18,2)+SUMIFS('Safety parameters'!$DO$6:$DO$18,'Safety parameters'!$DK$6:$DK$18,DB13,'Safety parameters'!$DL$6:$DL$18,2))</f>
        <v>-9.184563045112509E-3</v>
      </c>
      <c r="DX13" s="61" t="str">
        <v>lenvatinib_plus_pembrolizumab</v>
      </c>
      <c r="DY13" s="877" cm="1">
        <f t="array" ref="DY13">INDEX(TRANSPOSE($J$81:$W$81),MATCH($DX13,TRANSPOSE($J$48:$W$48),0))</f>
        <v>0</v>
      </c>
      <c r="DZ13" s="877" cm="1">
        <f t="array" ref="DZ13">INDEX(TRANSPOSE($J$97:$W$97),MATCH($DX13,TRANSPOSE($J$48:$W$48),0))</f>
        <v>0</v>
      </c>
      <c r="EA13" s="877" cm="1">
        <f t="array" ref="EA13">INDEX(TRANSPOSE($Z$81:$AM$81),MATCH($DX13,TRANSPOSE($J$48:$W$48),0))</f>
        <v>0</v>
      </c>
      <c r="EB13" s="877" cm="1">
        <f t="array" ref="EB13">INDEX(TRANSPOSE($Z$97:$AM$97),MATCH($DX13,TRANSPOSE($J$48:$W$48),0))</f>
        <v>0</v>
      </c>
      <c r="EC13" s="877" cm="1">
        <f t="array" ref="EC13">INDEX(TRANSPOSE($AP$81:$BC$81),MATCH($DX13,TRANSPOSE($J$48:$W$48),0))</f>
        <v>0</v>
      </c>
      <c r="ED13" s="877" cm="1">
        <f t="array" ref="ED13">INDEX(TRANSPOSE($AP$97:$BC$97),MATCH($DX13,TRANSPOSE($J$48:$W$48),0))</f>
        <v>0</v>
      </c>
      <c r="EJ13" s="5" t="str">
        <f t="shared" si="3"/>
        <v>Poor / intermediate risk</v>
      </c>
      <c r="EK13" s="5">
        <v>1</v>
      </c>
      <c r="EL13" s="5" t="str">
        <f t="shared" si="4"/>
        <v>Subsequent surgery (from CheckMate 9ER)</v>
      </c>
      <c r="EM13" s="881">
        <f t="shared" si="5"/>
        <v>0.25</v>
      </c>
      <c r="EN13" s="881">
        <f t="shared" si="5"/>
        <v>0</v>
      </c>
      <c r="EO13" s="1004">
        <f>'Resource use and costs'!S$146</f>
        <v>5393.2560839235184</v>
      </c>
      <c r="EP13" s="1004">
        <f>'Resource use and costs'!T$146</f>
        <v>1078.6512167847038</v>
      </c>
      <c r="EQ13" s="1004">
        <f t="shared" si="6"/>
        <v>1348.3140209808796</v>
      </c>
      <c r="ER13" s="1004">
        <f t="shared" si="7"/>
        <v>269.66280419617595</v>
      </c>
    </row>
    <row r="14" spans="2:148" ht="17.649999999999999" customHeight="1" x14ac:dyDescent="0.25">
      <c r="D14" s="82">
        <v>2</v>
      </c>
      <c r="E14" s="4" t="str">
        <v>cabozantinib_plus_nivolumab</v>
      </c>
      <c r="G14" s="664"/>
      <c r="H14" s="664"/>
      <c r="I14" s="71"/>
      <c r="L14" s="71"/>
      <c r="M14" s="71"/>
      <c r="N14" s="71"/>
      <c r="O14" s="71"/>
      <c r="P14" s="71"/>
      <c r="Q14" s="71"/>
      <c r="CK14" s="61" t="str">
        <f t="shared" si="0"/>
        <v>Poor / intermediate risk</v>
      </c>
      <c r="CL14" s="61">
        <v>1</v>
      </c>
      <c r="CM14" s="61" t="str">
        <v>pazopanib</v>
      </c>
      <c r="CN14" s="17">
        <v>5</v>
      </c>
      <c r="CO14" s="17">
        <v>0</v>
      </c>
      <c r="CP14" s="17">
        <v>111</v>
      </c>
      <c r="CQ14" s="601">
        <f t="shared" si="1"/>
        <v>0</v>
      </c>
      <c r="CR14" s="601">
        <f t="shared" si="2"/>
        <v>0</v>
      </c>
      <c r="CS14" s="5">
        <v>0</v>
      </c>
      <c r="CT14" s="5">
        <v>0</v>
      </c>
      <c r="CU14" s="1123">
        <f>MATCH(CZ14,'Resource use and costs'!$BA$11:$BA$53,0)</f>
        <v>37</v>
      </c>
      <c r="CV14" s="1223"/>
      <c r="CW14" s="1241">
        <f t="shared" si="12"/>
        <v>1</v>
      </c>
      <c r="CX14" s="899" t="s">
        <v>764</v>
      </c>
      <c r="CY14" s="899" t="s">
        <v>583</v>
      </c>
      <c r="CZ14" s="899" t="s">
        <v>119</v>
      </c>
      <c r="DA14" s="899" t="s">
        <v>765</v>
      </c>
      <c r="DB14" s="899"/>
      <c r="DC14" s="899" cm="1">
        <f t="array" aca="1" ref="DC14" ca="1">_xlfn.IFNA(OFFSET($I$49,MATCH(CY14,$I$50:$I$63,0),MATCH(CZ14,TRANSPOSE($J$49:$W$49),0)),0)</f>
        <v>0</v>
      </c>
      <c r="DD14" s="899" cm="1">
        <f t="array" aca="1" ref="DD14" ca="1">_xlfn.IFNA(OFFSET($Y$49,MATCH($CZ14,$Y$50:$Y$63,0),MATCH($DA14,TRANSPOSE($Z$49:$AM$49),0)),0)</f>
        <v>1</v>
      </c>
      <c r="DE14" s="899" cm="1">
        <f t="array" aca="1" ref="DE14" ca="1">_xlfn.IFNA(OFFSET($AO$49,MATCH($DA14,$AO$50:$AO$63,0),MATCH($DB14,TRANSPOSE($AP$49:$BC$49),0)),0)</f>
        <v>0</v>
      </c>
      <c r="DF14" s="881">
        <f t="shared" ca="1" si="8"/>
        <v>0</v>
      </c>
      <c r="DG14" s="910">
        <f t="shared" ca="1" si="9"/>
        <v>0.99999999999999967</v>
      </c>
      <c r="DH14" s="881">
        <f t="shared" ca="1" si="10"/>
        <v>0</v>
      </c>
      <c r="DI14" s="1460">
        <f t="shared" ca="1" si="11"/>
        <v>0</v>
      </c>
      <c r="DJ14" s="909">
        <f>_xlfn.IFNA(INDEX('Resource use and costs'!$CQ$11:$CQ$53,MATCH($CZ14,'Resource use and costs'!$BA$11:$BA$53,0)),0)*_xlfn.IFNA(INDEX(DY$10:DY$23,MATCH($CZ14,$DX$10:$DX$23,0)),0)</f>
        <v>944.50399999999979</v>
      </c>
      <c r="DK14" s="909">
        <f>IF(dd_PartSA_2_lines = "Yes",0,_xlfn.IFNA(INDEX('Resource use and costs'!$CR$11:$CR$53,MATCH(DA14,'Resource use and costs'!$BA$11:$BA$53,0)),0)*_xlfn.IFNA(INDEX(EA$10:EA$23,MATCH($DA14,$DX$10:$DX$23,0)),0))</f>
        <v>0</v>
      </c>
      <c r="DL14" s="909">
        <f>IF(dd_PartSA_2_lines = "Yes",0,_xlfn.IFNA(INDEX('Resource use and costs'!$CS$11:$CS$53,MATCH(DB14,'Resource use and costs'!$BA$11:$BA$53,0)),0)*_xlfn.IFNA(INDEX(EC$10:EC$23,MATCH($DB14,$DX$10:$DX$23,0)),0))</f>
        <v>0</v>
      </c>
      <c r="DM14" s="909">
        <f t="shared" si="13"/>
        <v>944.50399999999979</v>
      </c>
      <c r="DN14" s="909">
        <f>SUM(_xlfn.IFNA(INDEX('Resource use and costs'!$DU$12:$DU$25,MATCH(CZ14,'Resource use and costs'!$DS$12:$DS$25,0)),0),_xlfn.IFNA(INDEX('Resource use and costs'!$DU$12:$DU$25,MATCH(DA14,'Resource use and costs'!$DS$12:$DS$25,0)),0),_xlfn.IFNA(INDEX('Resource use and costs'!$DU$12:$DU$25,MATCH(DB14,'Resource use and costs'!$DS$12:$DS$25,0)),0))</f>
        <v>197.25</v>
      </c>
      <c r="DO14" s="921">
        <f>_xlfn.IFNA(INDEX('Resource use and costs'!$DY$12:$DY$25,MATCH(CZ14,'Resource use and costs'!$DS$12:$DS$25,0)),0)*_xlfn.IFNA(INDEX(DY$10:DY$23,MATCH($CZ14,$DX$10:$DX$23,0)),0)</f>
        <v>82.971428571428561</v>
      </c>
      <c r="DP14" s="921">
        <f>IF(dd_PartSA_2_lines = "Yes",0,_xlfn.IFNA(INDEX('Resource use and costs'!$DZ$12:$DZ$25,MATCH(DA14,'Resource use and costs'!$DS$12:$DS$25,0)),0)*_xlfn.IFNA(INDEX(EA$10:EA$23,MATCH($DA14,$DX$10:$DX$23,0)),0))</f>
        <v>0</v>
      </c>
      <c r="DQ14" s="921">
        <f>IF(dd_PartSA_2_lines = "Yes",0,_xlfn.IFNA(INDEX('Resource use and costs'!$EA$12:$EA$25,MATCH(DB14,'Resource use and costs'!$DS$12:$DS$25,0)),0)*_xlfn.IFNA(INDEX(EC$10:EC$23,MATCH($DB14,$DX$10:$DX$23,0)),0))</f>
        <v>0</v>
      </c>
      <c r="DR14" s="921">
        <f>SUM(DN14:DQ14)</f>
        <v>280.22142857142853</v>
      </c>
      <c r="DS14" s="1004">
        <f>SUMIFS('Safety parameters'!$DM$6:$DM$18,'Safety parameters'!$DK$6:$DK$18,CZ14,'Safety parameters'!$DL$6:$DL$18,1)+IF(dd_PartSA_2_lines = "Yes",0,SUMIFS('Safety parameters'!$DM$6:$DM$18,'Safety parameters'!$DK$6:$DK$18,DA14,'Safety parameters'!$DL$6:$DL$18,2)+SUMIFS('Safety parameters'!$DM$6:$DM$18,'Safety parameters'!$DK$6:$DK$18,DB14,'Safety parameters'!$DL$6:$DL$18,2))</f>
        <v>0</v>
      </c>
      <c r="DT14" s="910">
        <f>SUMIFS('Safety parameters'!$DO$6:$DO$18,'Safety parameters'!$DK$6:$DK$18,CZ14,'Safety parameters'!$DL$6:$DL$18,1)+IF(dd_PartSA_2_lines = "Yes",0,SUMIFS('Safety parameters'!$DO$6:$DO$18,'Safety parameters'!$DK$6:$DK$18,DA14,'Safety parameters'!$DL$6:$DL$18,2)+SUMIFS('Safety parameters'!$DO$6:$DO$18,'Safety parameters'!$DK$6:$DK$18,DB14,'Safety parameters'!$DL$6:$DL$18,2))</f>
        <v>0</v>
      </c>
      <c r="DX14" s="61" t="str">
        <v>avelumab_plus_axitinib</v>
      </c>
      <c r="DY14" s="877" cm="1">
        <f t="array" ref="DY14">INDEX(TRANSPOSE($J$81:$W$81),MATCH($DX14,TRANSPOSE($J$48:$W$48),0))</f>
        <v>0</v>
      </c>
      <c r="DZ14" s="877" cm="1">
        <f t="array" ref="DZ14">INDEX(TRANSPOSE($J$97:$W$97),MATCH($DX14,TRANSPOSE($J$48:$W$48),0))</f>
        <v>0</v>
      </c>
      <c r="EA14" s="877" cm="1">
        <f t="array" ref="EA14">INDEX(TRANSPOSE($Z$81:$AM$81),MATCH($DX14,TRANSPOSE($J$48:$W$48),0))</f>
        <v>0</v>
      </c>
      <c r="EB14" s="877" cm="1">
        <f t="array" ref="EB14">INDEX(TRANSPOSE($Z$97:$AM$97),MATCH($DX14,TRANSPOSE($J$48:$W$48),0))</f>
        <v>0</v>
      </c>
      <c r="EC14" s="877" cm="1">
        <f t="array" ref="EC14">INDEX(TRANSPOSE($AP$81:$BC$81),MATCH($DX14,TRANSPOSE($J$48:$W$48),0))</f>
        <v>0</v>
      </c>
      <c r="ED14" s="877" cm="1">
        <f t="array" ref="ED14">INDEX(TRANSPOSE($AP$97:$BC$97),MATCH($DX14,TRANSPOSE($J$48:$W$48),0))</f>
        <v>0</v>
      </c>
      <c r="EJ14" s="5" t="str">
        <f t="shared" si="3"/>
        <v>Favourable risk</v>
      </c>
      <c r="EK14" s="5">
        <v>2</v>
      </c>
      <c r="EL14" s="5" t="str">
        <f t="shared" si="4"/>
        <v>Subsequent radiotherapy (from CheckMate 9ER)</v>
      </c>
      <c r="EM14" s="881">
        <f t="shared" si="5"/>
        <v>0.25</v>
      </c>
      <c r="EN14" s="881">
        <f t="shared" si="5"/>
        <v>0</v>
      </c>
      <c r="EO14" s="1004">
        <f>'Resource use and costs'!S$145</f>
        <v>511.02</v>
      </c>
      <c r="EP14" s="1004">
        <f>'Resource use and costs'!T$145</f>
        <v>102.20400000000001</v>
      </c>
      <c r="EQ14" s="1004">
        <f t="shared" si="6"/>
        <v>127.755</v>
      </c>
      <c r="ER14" s="1004">
        <f t="shared" si="7"/>
        <v>25.551000000000002</v>
      </c>
    </row>
    <row r="15" spans="2:148" ht="17.649999999999999" customHeight="1" x14ac:dyDescent="0.25">
      <c r="D15" s="82">
        <v>3</v>
      </c>
      <c r="E15" s="4" t="str">
        <v>nivolumab_plus_ipilimumab</v>
      </c>
      <c r="G15" s="664"/>
      <c r="H15" s="664"/>
      <c r="I15" s="72"/>
      <c r="L15" s="72"/>
      <c r="M15" s="72"/>
      <c r="N15" s="72"/>
      <c r="O15" s="72"/>
      <c r="P15" s="72"/>
      <c r="Q15" s="72"/>
      <c r="CK15" s="61" t="str">
        <f t="shared" si="0"/>
        <v>Poor / intermediate risk</v>
      </c>
      <c r="CL15" s="61">
        <v>1</v>
      </c>
      <c r="CM15" s="61" t="str">
        <v>tivozanib</v>
      </c>
      <c r="CN15" s="17">
        <v>6</v>
      </c>
      <c r="CO15" s="17">
        <v>0</v>
      </c>
      <c r="CP15" s="17">
        <v>111</v>
      </c>
      <c r="CQ15" s="601">
        <f t="shared" si="1"/>
        <v>0</v>
      </c>
      <c r="CR15" s="601">
        <f t="shared" si="2"/>
        <v>0</v>
      </c>
      <c r="CS15" s="5">
        <v>0</v>
      </c>
      <c r="CT15" s="5">
        <v>0</v>
      </c>
      <c r="CU15" s="1123">
        <f>MATCH(CZ15,'Resource use and costs'!$BA$11:$BA$53,0)</f>
        <v>37</v>
      </c>
      <c r="CV15" s="1223"/>
      <c r="CW15" s="1241">
        <f t="shared" si="12"/>
        <v>1</v>
      </c>
      <c r="CX15" s="899" t="s">
        <v>764</v>
      </c>
      <c r="CY15" s="899" t="s">
        <v>583</v>
      </c>
      <c r="CZ15" s="899" t="s">
        <v>119</v>
      </c>
      <c r="DA15" s="899" t="s">
        <v>118</v>
      </c>
      <c r="DB15" s="899" t="s">
        <v>765</v>
      </c>
      <c r="DC15" s="899" cm="1">
        <f t="array" aca="1" ref="DC15" ca="1">_xlfn.IFNA(OFFSET($I$49,MATCH(CY15,$I$50:$I$63,0),MATCH(CZ15,TRANSPOSE($J$49:$W$49),0)),0)</f>
        <v>0</v>
      </c>
      <c r="DD15" s="899" cm="1">
        <f t="array" aca="1" ref="DD15" ca="1">_xlfn.IFNA(OFFSET($Y$49,MATCH($CZ15,$Y$50:$Y$63,0),MATCH($DA15,TRANSPOSE($Z$49:$AM$49),0)),0)</f>
        <v>0</v>
      </c>
      <c r="DE15" s="899" cm="1">
        <f t="array" aca="1" ref="DE15" ca="1">_xlfn.IFNA(OFFSET($AO$49,MATCH($DA15,$AO$50:$AO$63,0),MATCH($DB15,TRANSPOSE($AP$49:$BC$49),0)),0)</f>
        <v>0.43140000000000001</v>
      </c>
      <c r="DF15" s="881">
        <f t="shared" ca="1" si="8"/>
        <v>0</v>
      </c>
      <c r="DG15" s="910">
        <f t="shared" ca="1" si="9"/>
        <v>0.99999999999999967</v>
      </c>
      <c r="DH15" s="881">
        <f t="shared" ca="1" si="10"/>
        <v>0</v>
      </c>
      <c r="DI15" s="1460">
        <f t="shared" ca="1" si="11"/>
        <v>0</v>
      </c>
      <c r="DJ15" s="909">
        <f>_xlfn.IFNA(INDEX('Resource use and costs'!$CQ$11:$CQ$53,MATCH($CZ15,'Resource use and costs'!$BA$11:$BA$53,0)),0)*_xlfn.IFNA(INDEX(DY$10:DY$23,MATCH($CZ15,$DX$10:$DX$23,0)),0)</f>
        <v>944.50399999999979</v>
      </c>
      <c r="DK15" s="909">
        <f>IF(dd_PartSA_2_lines = "Yes",0,_xlfn.IFNA(INDEX('Resource use and costs'!$CR$11:$CR$53,MATCH(DA15,'Resource use and costs'!$BA$11:$BA$53,0)),0)*_xlfn.IFNA(INDEX(EA$10:EA$23,MATCH($DA15,$DX$10:$DX$23,0)),0))</f>
        <v>50308.075122000002</v>
      </c>
      <c r="DL15" s="909">
        <f>IF(dd_PartSA_2_lines = "Yes",0,_xlfn.IFNA(INDEX('Resource use and costs'!$CS$11:$CS$53,MATCH(DB15,'Resource use and costs'!$BA$11:$BA$53,0)),0)*_xlfn.IFNA(INDEX(EC$10:EC$23,MATCH($DB15,$DX$10:$DX$23,0)),0))</f>
        <v>0</v>
      </c>
      <c r="DM15" s="909">
        <f t="shared" si="13"/>
        <v>51252.579122000003</v>
      </c>
      <c r="DN15" s="909">
        <f>SUM(_xlfn.IFNA(INDEX('Resource use and costs'!$DU$12:$DU$25,MATCH(CZ15,'Resource use and costs'!$DS$12:$DS$25,0)),0),_xlfn.IFNA(INDEX('Resource use and costs'!$DU$12:$DU$25,MATCH(DA15,'Resource use and costs'!$DS$12:$DS$25,0)),0),_xlfn.IFNA(INDEX('Resource use and costs'!$DU$12:$DU$25,MATCH(DB15,'Resource use and costs'!$DS$12:$DS$25,0)),0))</f>
        <v>394.5</v>
      </c>
      <c r="DO15" s="921">
        <f>_xlfn.IFNA(INDEX('Resource use and costs'!$DY$12:$DY$25,MATCH(CZ15,'Resource use and costs'!$DS$12:$DS$25,0)),0)*_xlfn.IFNA(INDEX(DY$10:DY$23,MATCH($CZ15,$DX$10:$DX$23,0)),0)</f>
        <v>82.971428571428561</v>
      </c>
      <c r="DP15" s="921">
        <f>IF(dd_PartSA_2_lines = "Yes",0,_xlfn.IFNA(INDEX('Resource use and costs'!$DZ$12:$DZ$25,MATCH(DA15,'Resource use and costs'!$DS$12:$DS$25,0)),0)*_xlfn.IFNA(INDEX(EA$10:EA$23,MATCH($DA15,$DX$10:$DX$23,0)),0))</f>
        <v>461.1445457142857</v>
      </c>
      <c r="DQ15" s="921">
        <f>IF(dd_PartSA_2_lines = "Yes",0,_xlfn.IFNA(INDEX('Resource use and costs'!$EA$12:$EA$25,MATCH(DB15,'Resource use and costs'!$DS$12:$DS$25,0)),0)*_xlfn.IFNA(INDEX(EC$10:EC$23,MATCH($DB15,$DX$10:$DX$23,0)),0))</f>
        <v>0</v>
      </c>
      <c r="DR15" s="921">
        <f t="shared" si="14"/>
        <v>938.61597428571417</v>
      </c>
      <c r="DS15" s="1004">
        <f ca="1">SUMIFS('Safety parameters'!$DM$6:$DM$18,'Safety parameters'!$DK$6:$DK$18,CZ15,'Safety parameters'!$DL$6:$DL$18,1)+IF(dd_PartSA_2_lines = "Yes",0,SUMIFS('Safety parameters'!$DM$6:$DM$18,'Safety parameters'!$DK$6:$DK$18,DA15,'Safety parameters'!$DL$6:$DL$18,2)+SUMIFS('Safety parameters'!$DM$6:$DM$18,'Safety parameters'!$DK$6:$DK$18,DB15,'Safety parameters'!$DL$6:$DL$18,2))</f>
        <v>743.64929980338343</v>
      </c>
      <c r="DT15" s="910">
        <f ca="1">SUMIFS('Safety parameters'!$DO$6:$DO$18,'Safety parameters'!$DK$6:$DK$18,CZ15,'Safety parameters'!$DL$6:$DL$18,1)+IF(dd_PartSA_2_lines = "Yes",0,SUMIFS('Safety parameters'!$DO$6:$DO$18,'Safety parameters'!$DK$6:$DK$18,DA15,'Safety parameters'!$DL$6:$DL$18,2)+SUMIFS('Safety parameters'!$DO$6:$DO$18,'Safety parameters'!$DK$6:$DK$18,DB15,'Safety parameters'!$DL$6:$DL$18,2))</f>
        <v>-7.0223263562359372E-3</v>
      </c>
      <c r="DX15" s="61" t="str">
        <v>pazopanib</v>
      </c>
      <c r="DY15" s="877" cm="1">
        <f t="array" ref="DY15">INDEX(TRANSPOSE($J$81:$W$81),MATCH($DX15,TRANSPOSE($J$48:$W$48),0))</f>
        <v>43.50714285714286</v>
      </c>
      <c r="DZ15" s="877" cm="1">
        <f t="array" ref="DZ15">INDEX(TRANSPOSE($J$97:$W$97),MATCH($DX15,TRANSPOSE($J$48:$W$48),0))</f>
        <v>12.288571428571426</v>
      </c>
      <c r="EA15" s="877" cm="1">
        <f t="array" ref="EA15">INDEX(TRANSPOSE($Z$81:$AM$81),MATCH($DX15,TRANSPOSE($J$48:$W$48),0))</f>
        <v>21.714285714285712</v>
      </c>
      <c r="EB15" s="877" cm="1">
        <f t="array" ref="EB15">INDEX(TRANSPOSE($Z$97:$AM$97),MATCH($DX15,TRANSPOSE($J$48:$W$48),0))</f>
        <v>5.5785714285714283</v>
      </c>
      <c r="EC15" s="877" cm="1">
        <f t="array" ref="EC15">INDEX(TRANSPOSE($AP$81:$BC$81),MATCH($DX15,TRANSPOSE($J$48:$W$48),0))</f>
        <v>21.714285714285712</v>
      </c>
      <c r="ED15" s="877" cm="1">
        <f t="array" ref="ED15">INDEX(TRANSPOSE($AP$97:$BC$97),MATCH($DX15,TRANSPOSE($J$48:$W$48),0))</f>
        <v>5.5785714285714283</v>
      </c>
      <c r="EJ15" s="5" t="str">
        <f t="shared" si="3"/>
        <v>Favourable risk</v>
      </c>
      <c r="EK15" s="5">
        <v>2</v>
      </c>
      <c r="EL15" s="5" t="str">
        <f t="shared" si="4"/>
        <v>Subsequent surgery (from CheckMate 9ER)</v>
      </c>
      <c r="EM15" s="881">
        <f t="shared" si="5"/>
        <v>0.25</v>
      </c>
      <c r="EN15" s="881">
        <f t="shared" si="5"/>
        <v>0</v>
      </c>
      <c r="EO15" s="1004">
        <f>'Resource use and costs'!S$146</f>
        <v>5393.2560839235184</v>
      </c>
      <c r="EP15" s="1004">
        <f>'Resource use and costs'!T$146</f>
        <v>1078.6512167847038</v>
      </c>
      <c r="EQ15" s="1004">
        <f t="shared" si="6"/>
        <v>1348.3140209808796</v>
      </c>
      <c r="ER15" s="1004">
        <f t="shared" si="7"/>
        <v>269.66280419617595</v>
      </c>
    </row>
    <row r="16" spans="2:148" ht="17.649999999999999" customHeight="1" x14ac:dyDescent="0.2">
      <c r="D16" s="82">
        <v>4</v>
      </c>
      <c r="E16" s="4" t="str">
        <v>lenvatinib_plus_pembrolizumab</v>
      </c>
      <c r="G16" s="664"/>
      <c r="H16" s="664"/>
      <c r="I16" s="73"/>
      <c r="L16" s="73"/>
      <c r="M16" s="73"/>
      <c r="N16" s="73"/>
      <c r="O16" s="73"/>
      <c r="P16" s="73"/>
      <c r="Q16" s="73"/>
      <c r="CK16" s="61" t="str">
        <f t="shared" si="0"/>
        <v>Poor / intermediate risk</v>
      </c>
      <c r="CL16" s="61">
        <v>1</v>
      </c>
      <c r="CM16" s="61" t="str">
        <v>sunitinib</v>
      </c>
      <c r="CN16" s="17">
        <v>7</v>
      </c>
      <c r="CO16" s="17">
        <v>0</v>
      </c>
      <c r="CP16" s="17">
        <v>111</v>
      </c>
      <c r="CQ16" s="601">
        <f t="shared" si="1"/>
        <v>0</v>
      </c>
      <c r="CR16" s="601">
        <f t="shared" si="2"/>
        <v>0</v>
      </c>
      <c r="CS16" s="5">
        <v>0</v>
      </c>
      <c r="CT16" s="5">
        <v>0</v>
      </c>
      <c r="CU16" s="1123">
        <f>MATCH(CZ16,'Resource use and costs'!$BA$11:$BA$53,0)</f>
        <v>43</v>
      </c>
      <c r="CV16" s="1223"/>
      <c r="CW16" s="1241">
        <f t="shared" si="12"/>
        <v>1</v>
      </c>
      <c r="CX16" s="899" t="s">
        <v>764</v>
      </c>
      <c r="CY16" s="899" t="s">
        <v>583</v>
      </c>
      <c r="CZ16" s="899" t="s">
        <v>333</v>
      </c>
      <c r="DA16" s="899" t="s">
        <v>765</v>
      </c>
      <c r="DB16" s="899"/>
      <c r="DC16" s="899" cm="1">
        <f t="array" aca="1" ref="DC16" ca="1">_xlfn.IFNA(OFFSET($I$49,MATCH(CY16,$I$50:$I$63,0),MATCH(CZ16,TRANSPOSE($J$49:$W$49),0)),0)</f>
        <v>0.20928228255867465</v>
      </c>
      <c r="DD16" s="899" cm="1">
        <f t="array" aca="1" ref="DD16" ca="1">_xlfn.IFNA(OFFSET($Y$49,MATCH($CZ16,$Y$50:$Y$63,0),MATCH($DA16,TRANSPOSE($Z$49:$AM$49),0)),0)</f>
        <v>0.34300000000000003</v>
      </c>
      <c r="DE16" s="899" cm="1">
        <f t="array" aca="1" ref="DE16" ca="1">_xlfn.IFNA(OFFSET($AO$49,MATCH($DA16,$AO$50:$AO$63,0),MATCH($DB16,TRANSPOSE($AP$49:$BC$49),0)),0)</f>
        <v>0</v>
      </c>
      <c r="DF16" s="881">
        <f t="shared" ca="1" si="8"/>
        <v>7.1783822917625403E-2</v>
      </c>
      <c r="DG16" s="910">
        <f t="shared" ca="1" si="9"/>
        <v>0.99999999999999967</v>
      </c>
      <c r="DH16" s="881">
        <f t="shared" ca="1" si="10"/>
        <v>7.1783822917625376E-2</v>
      </c>
      <c r="DI16" s="1460">
        <f t="shared" ca="1" si="11"/>
        <v>12.059682250161064</v>
      </c>
      <c r="DJ16" s="909">
        <f>_xlfn.IFNA(INDEX('Resource use and costs'!$CQ$11:$CQ$53,MATCH($CZ16,'Resource use and costs'!$BA$11:$BA$53,0)),0)*_xlfn.IFNA(INDEX(DY$10:DY$23,MATCH($CZ16,$DX$10:$DX$23,0)),0)</f>
        <v>54336.641519999976</v>
      </c>
      <c r="DK16" s="909">
        <f>IF(dd_PartSA_2_lines = "Yes",0,_xlfn.IFNA(INDEX('Resource use and costs'!$CR$11:$CR$53,MATCH(DA16,'Resource use and costs'!$BA$11:$BA$53,0)),0)*_xlfn.IFNA(INDEX(EA$10:EA$23,MATCH($DA16,$DX$10:$DX$23,0)),0))</f>
        <v>0</v>
      </c>
      <c r="DL16" s="909">
        <f>IF(dd_PartSA_2_lines = "Yes",0,_xlfn.IFNA(INDEX('Resource use and costs'!$CS$11:$CS$53,MATCH(DB16,'Resource use and costs'!$BA$11:$BA$53,0)),0)*_xlfn.IFNA(INDEX(EC$10:EC$23,MATCH($DB16,$DX$10:$DX$23,0)),0))</f>
        <v>0</v>
      </c>
      <c r="DM16" s="909">
        <f t="shared" si="13"/>
        <v>54336.641519999976</v>
      </c>
      <c r="DN16" s="909">
        <f>SUM(_xlfn.IFNA(INDEX('Resource use and costs'!$DU$12:$DU$25,MATCH(CZ16,'Resource use and costs'!$DS$12:$DS$25,0)),0),_xlfn.IFNA(INDEX('Resource use and costs'!$DU$12:$DU$25,MATCH(DA16,'Resource use and costs'!$DS$12:$DS$25,0)),0),_xlfn.IFNA(INDEX('Resource use and costs'!$DU$12:$DU$25,MATCH(DB16,'Resource use and costs'!$DS$12:$DS$25,0)),0))</f>
        <v>197.25</v>
      </c>
      <c r="DO16" s="921">
        <f>_xlfn.IFNA(INDEX('Resource use and costs'!$DY$12:$DY$25,MATCH(CZ16,'Resource use and costs'!$DS$12:$DS$25,0)),0)*_xlfn.IFNA(INDEX(DY$10:DY$23,MATCH($CZ16,$DX$10:$DX$23,0)),0)</f>
        <v>810.54285714285697</v>
      </c>
      <c r="DP16" s="921">
        <f>IF(dd_PartSA_2_lines = "Yes",0,_xlfn.IFNA(INDEX('Resource use and costs'!$DZ$12:$DZ$25,MATCH(DA16,'Resource use and costs'!$DS$12:$DS$25,0)),0)*_xlfn.IFNA(INDEX(EA$10:EA$23,MATCH($DA16,$DX$10:$DX$23,0)),0))</f>
        <v>0</v>
      </c>
      <c r="DQ16" s="921">
        <f>IF(dd_PartSA_2_lines = "Yes",0,_xlfn.IFNA(INDEX('Resource use and costs'!$EA$12:$EA$25,MATCH(DB16,'Resource use and costs'!$DS$12:$DS$25,0)),0)*_xlfn.IFNA(INDEX(EC$10:EC$23,MATCH($DB16,$DX$10:$DX$23,0)),0))</f>
        <v>0</v>
      </c>
      <c r="DR16" s="921">
        <f t="shared" si="14"/>
        <v>1007.792857142857</v>
      </c>
      <c r="DS16" s="1004">
        <f>SUMIFS('Safety parameters'!$DM$6:$DM$18,'Safety parameters'!$DK$6:$DK$18,CZ16,'Safety parameters'!$DL$6:$DL$18,1)+IF(dd_PartSA_2_lines = "Yes",0,SUMIFS('Safety parameters'!$DM$6:$DM$18,'Safety parameters'!$DK$6:$DK$18,DA16,'Safety parameters'!$DL$6:$DL$18,2)+SUMIFS('Safety parameters'!$DM$6:$DM$18,'Safety parameters'!$DK$6:$DK$18,DB16,'Safety parameters'!$DL$6:$DL$18,2))</f>
        <v>0</v>
      </c>
      <c r="DT16" s="910">
        <f>SUMIFS('Safety parameters'!$DO$6:$DO$18,'Safety parameters'!$DK$6:$DK$18,CZ16,'Safety parameters'!$DL$6:$DL$18,1)+IF(dd_PartSA_2_lines = "Yes",0,SUMIFS('Safety parameters'!$DO$6:$DO$18,'Safety parameters'!$DK$6:$DK$18,DA16,'Safety parameters'!$DL$6:$DL$18,2)+SUMIFS('Safety parameters'!$DO$6:$DO$18,'Safety parameters'!$DK$6:$DK$18,DB16,'Safety parameters'!$DL$6:$DL$18,2))</f>
        <v>0</v>
      </c>
      <c r="DX16" s="61" t="str">
        <v>tivozanib</v>
      </c>
      <c r="DY16" s="877" cm="1">
        <f t="array" ref="DY16">INDEX(TRANSPOSE($J$81:$W$81),MATCH($DX16,TRANSPOSE($J$48:$W$48),0))</f>
        <v>43.818571428571431</v>
      </c>
      <c r="DZ16" s="877" cm="1">
        <f t="array" ref="DZ16">INDEX(TRANSPOSE($J$97:$W$97),MATCH($DX16,TRANSPOSE($J$48:$W$48),0))</f>
        <v>5.1742857142857135</v>
      </c>
      <c r="EA16" s="877" cm="1">
        <f t="array" ref="EA16">INDEX(TRANSPOSE($Z$81:$AM$81),MATCH($DX16,TRANSPOSE($J$48:$W$48),0))</f>
        <v>21.714285714285712</v>
      </c>
      <c r="EB16" s="877" cm="1">
        <f t="array" ref="EB16">INDEX(TRANSPOSE($Z$97:$AM$97),MATCH($DX16,TRANSPOSE($J$48:$W$48),0))</f>
        <v>5.5785714285714283</v>
      </c>
      <c r="EC16" s="877" cm="1">
        <f t="array" ref="EC16">INDEX(TRANSPOSE($AP$81:$BC$81),MATCH($DX16,TRANSPOSE($J$48:$W$48),0))</f>
        <v>21.714285714285712</v>
      </c>
      <c r="ED16" s="877" cm="1">
        <f t="array" ref="ED16">INDEX(TRANSPOSE($AP$97:$BC$97),MATCH($DX16,TRANSPOSE($J$48:$W$48),0))</f>
        <v>5.5785714285714283</v>
      </c>
    </row>
    <row r="17" spans="3:140" ht="17.649999999999999" customHeight="1" x14ac:dyDescent="0.2">
      <c r="D17" s="82">
        <v>5</v>
      </c>
      <c r="E17" s="4" t="str">
        <v>avelumab_plus_axitinib</v>
      </c>
      <c r="G17" s="664"/>
      <c r="H17" s="664"/>
      <c r="I17" s="73"/>
      <c r="L17" s="73"/>
      <c r="M17" s="73"/>
      <c r="N17" s="73"/>
      <c r="O17" s="73"/>
      <c r="P17" s="73"/>
      <c r="Q17" s="73"/>
      <c r="CK17" s="61" t="str">
        <f t="shared" si="0"/>
        <v>Poor / intermediate risk</v>
      </c>
      <c r="CL17" s="61">
        <v>1</v>
      </c>
      <c r="CM17" s="61" t="str">
        <v>cabozantinib</v>
      </c>
      <c r="CN17" s="17">
        <v>8</v>
      </c>
      <c r="CO17" s="17">
        <v>0</v>
      </c>
      <c r="CP17" s="17">
        <v>111</v>
      </c>
      <c r="CQ17" s="601">
        <f t="shared" si="1"/>
        <v>0</v>
      </c>
      <c r="CR17" s="601">
        <f t="shared" si="2"/>
        <v>0</v>
      </c>
      <c r="CS17" s="5">
        <v>0</v>
      </c>
      <c r="CT17" s="5">
        <v>0</v>
      </c>
      <c r="CU17" s="1123">
        <f>MATCH(CZ17,'Resource use and costs'!$BA$11:$BA$53,0)</f>
        <v>43</v>
      </c>
      <c r="CV17" s="1223"/>
      <c r="CW17" s="1241">
        <f t="shared" si="12"/>
        <v>1</v>
      </c>
      <c r="CX17" s="899" t="s">
        <v>764</v>
      </c>
      <c r="CY17" s="899" t="s">
        <v>583</v>
      </c>
      <c r="CZ17" s="899" t="s">
        <v>333</v>
      </c>
      <c r="DA17" s="899" t="s">
        <v>118</v>
      </c>
      <c r="DB17" s="899" t="s">
        <v>765</v>
      </c>
      <c r="DC17" s="899" cm="1">
        <f t="array" aca="1" ref="DC17" ca="1">_xlfn.IFNA(OFFSET($I$49,MATCH(CY17,$I$50:$I$63,0),MATCH(CZ17,TRANSPOSE($J$49:$W$49),0)),0)</f>
        <v>0.20928228255867465</v>
      </c>
      <c r="DD17" s="899">
        <f ca="1">1-DD16</f>
        <v>0.65700000000000003</v>
      </c>
      <c r="DE17" s="899">
        <v>1</v>
      </c>
      <c r="DF17" s="881">
        <f t="shared" ca="1" si="8"/>
        <v>0.13749845964104926</v>
      </c>
      <c r="DG17" s="910">
        <f t="shared" ca="1" si="9"/>
        <v>0.99999999999999967</v>
      </c>
      <c r="DH17" s="881">
        <f t="shared" ca="1" si="10"/>
        <v>0.1374984596410492</v>
      </c>
      <c r="DI17" s="1460">
        <f t="shared" ca="1" si="11"/>
        <v>23.099741219696266</v>
      </c>
      <c r="DJ17" s="909">
        <f>_xlfn.IFNA(INDEX('Resource use and costs'!$CQ$11:$CQ$53,MATCH($CZ17,'Resource use and costs'!$BA$11:$BA$53,0)),0)*_xlfn.IFNA(INDEX(DY$10:DY$23,MATCH($CZ17,$DX$10:$DX$23,0)),0)</f>
        <v>54336.641519999976</v>
      </c>
      <c r="DK17" s="909">
        <f>IF(dd_PartSA_2_lines = "Yes",0,_xlfn.IFNA(INDEX('Resource use and costs'!$CR$11:$CR$53,MATCH(DA17,'Resource use and costs'!$BA$11:$BA$53,0)),0)*_xlfn.IFNA(INDEX(EA$10:EA$23,MATCH($DA17,$DX$10:$DX$23,0)),0))</f>
        <v>50308.075122000002</v>
      </c>
      <c r="DL17" s="909">
        <f>IF(dd_PartSA_2_lines = "Yes",0,_xlfn.IFNA(INDEX('Resource use and costs'!$CS$11:$CS$53,MATCH(DB17,'Resource use and costs'!$BA$11:$BA$53,0)),0)*_xlfn.IFNA(INDEX(EC$10:EC$23,MATCH($DB17,$DX$10:$DX$23,0)),0))</f>
        <v>0</v>
      </c>
      <c r="DM17" s="909">
        <f t="shared" si="13"/>
        <v>104644.71664199998</v>
      </c>
      <c r="DN17" s="909">
        <f>SUM(_xlfn.IFNA(INDEX('Resource use and costs'!$DU$12:$DU$25,MATCH(CZ17,'Resource use and costs'!$DS$12:$DS$25,0)),0),_xlfn.IFNA(INDEX('Resource use and costs'!$DU$12:$DU$25,MATCH(DA17,'Resource use and costs'!$DS$12:$DS$25,0)),0),_xlfn.IFNA(INDEX('Resource use and costs'!$DU$12:$DU$25,MATCH(DB17,'Resource use and costs'!$DS$12:$DS$25,0)),0))</f>
        <v>394.5</v>
      </c>
      <c r="DO17" s="921">
        <f>_xlfn.IFNA(INDEX('Resource use and costs'!$DY$12:$DY$25,MATCH(CZ17,'Resource use and costs'!$DS$12:$DS$25,0)),0)*_xlfn.IFNA(INDEX(DY$10:DY$23,MATCH($CZ17,$DX$10:$DX$23,0)),0)</f>
        <v>810.54285714285697</v>
      </c>
      <c r="DP17" s="921">
        <f>IF(dd_PartSA_2_lines = "Yes",0,_xlfn.IFNA(INDEX('Resource use and costs'!$DZ$12:$DZ$25,MATCH(DA17,'Resource use and costs'!$DS$12:$DS$25,0)),0)*_xlfn.IFNA(INDEX(EA$10:EA$23,MATCH($DA17,$DX$10:$DX$23,0)),0))</f>
        <v>461.1445457142857</v>
      </c>
      <c r="DQ17" s="921">
        <f>IF(dd_PartSA_2_lines = "Yes",0,_xlfn.IFNA(INDEX('Resource use and costs'!$EA$12:$EA$25,MATCH(DB17,'Resource use and costs'!$DS$12:$DS$25,0)),0)*_xlfn.IFNA(INDEX(EC$10:EC$23,MATCH($DB17,$DX$10:$DX$23,0)),0))</f>
        <v>0</v>
      </c>
      <c r="DR17" s="921">
        <f t="shared" si="14"/>
        <v>1666.1874028571426</v>
      </c>
      <c r="DS17" s="1004">
        <f ca="1">SUMIFS('Safety parameters'!$DM$6:$DM$18,'Safety parameters'!$DK$6:$DK$18,CZ17,'Safety parameters'!$DL$6:$DL$18,1)+IF(dd_PartSA_2_lines = "Yes",0,SUMIFS('Safety parameters'!$DM$6:$DM$18,'Safety parameters'!$DK$6:$DK$18,DA17,'Safety parameters'!$DL$6:$DL$18,2)+SUMIFS('Safety parameters'!$DM$6:$DM$18,'Safety parameters'!$DK$6:$DK$18,DB17,'Safety parameters'!$DL$6:$DL$18,2))</f>
        <v>743.64929980338343</v>
      </c>
      <c r="DT17" s="910">
        <f ca="1">SUMIFS('Safety parameters'!$DO$6:$DO$18,'Safety parameters'!$DK$6:$DK$18,CZ17,'Safety parameters'!$DL$6:$DL$18,1)+IF(dd_PartSA_2_lines = "Yes",0,SUMIFS('Safety parameters'!$DO$6:$DO$18,'Safety parameters'!$DK$6:$DK$18,DA17,'Safety parameters'!$DL$6:$DL$18,2)+SUMIFS('Safety parameters'!$DO$6:$DO$18,'Safety parameters'!$DK$6:$DK$18,DB17,'Safety parameters'!$DL$6:$DL$18,2))</f>
        <v>-7.0223263562359372E-3</v>
      </c>
      <c r="DX17" s="61" t="str">
        <v>sunitinib</v>
      </c>
      <c r="DY17" s="877" cm="1">
        <f t="array" ref="DY17">INDEX(TRANSPOSE($J$81:$W$81),MATCH($DX17,TRANSPOSE($J$48:$W$48),0))</f>
        <v>44.431428571428569</v>
      </c>
      <c r="DZ17" s="877" cm="1">
        <f t="array" ref="DZ17">INDEX(TRANSPOSE($J$97:$W$97),MATCH($DX17,TRANSPOSE($J$48:$W$48),0))</f>
        <v>9.668571428571429</v>
      </c>
      <c r="EA17" s="877" cm="1">
        <f t="array" ref="EA17">INDEX(TRANSPOSE($Z$81:$AM$81),MATCH($DX17,TRANSPOSE($J$48:$W$48),0))</f>
        <v>21.714285714285712</v>
      </c>
      <c r="EB17" s="877" cm="1">
        <f t="array" ref="EB17">INDEX(TRANSPOSE($Z$97:$AM$97),MATCH($DX17,TRANSPOSE($J$48:$W$48),0))</f>
        <v>5.5785714285714283</v>
      </c>
      <c r="EC17" s="877" cm="1">
        <f t="array" ref="EC17">INDEX(TRANSPOSE($AP$81:$BC$81),MATCH($DX17,TRANSPOSE($J$48:$W$48),0))</f>
        <v>21.714285714285712</v>
      </c>
      <c r="ED17" s="877" cm="1">
        <f t="array" ref="ED17">INDEX(TRANSPOSE($AP$97:$BC$97),MATCH($DX17,TRANSPOSE($J$48:$W$48),0))</f>
        <v>5.5785714285714283</v>
      </c>
    </row>
    <row r="18" spans="3:140" ht="17.649999999999999" customHeight="1" x14ac:dyDescent="0.2">
      <c r="D18" s="82">
        <v>6</v>
      </c>
      <c r="E18" s="4" t="str">
        <v>pazopanib</v>
      </c>
      <c r="G18" s="664"/>
      <c r="H18" s="664"/>
      <c r="I18" s="73"/>
      <c r="L18" s="73"/>
      <c r="M18" s="73"/>
      <c r="N18" s="73"/>
      <c r="O18" s="73"/>
      <c r="P18" s="73"/>
      <c r="Q18" s="73"/>
      <c r="CK18" s="61" t="str">
        <f t="shared" si="0"/>
        <v>Poor / intermediate risk</v>
      </c>
      <c r="CL18" s="61">
        <v>1</v>
      </c>
      <c r="CM18" s="61" t="str">
        <v>lenvatinib_plus_everolimus</v>
      </c>
      <c r="CN18" s="17">
        <v>9</v>
      </c>
      <c r="CO18" s="17">
        <v>0</v>
      </c>
      <c r="CP18" s="17">
        <v>111</v>
      </c>
      <c r="CQ18" s="601">
        <f t="shared" si="1"/>
        <v>0</v>
      </c>
      <c r="CR18" s="601">
        <f t="shared" si="2"/>
        <v>0</v>
      </c>
      <c r="CS18" s="5">
        <v>0</v>
      </c>
      <c r="CT18" s="5">
        <v>0</v>
      </c>
      <c r="CU18" s="1123">
        <f>MATCH(CZ18,'Resource use and costs'!$BA$11:$BA$53,0)</f>
        <v>21</v>
      </c>
      <c r="CV18" s="1223"/>
      <c r="CW18" s="1241">
        <f t="shared" si="12"/>
        <v>1</v>
      </c>
      <c r="CX18" s="899" t="s">
        <v>764</v>
      </c>
      <c r="CY18" s="899" t="s">
        <v>583</v>
      </c>
      <c r="CZ18" s="899" t="s">
        <v>585</v>
      </c>
      <c r="DA18" s="899" t="s">
        <v>765</v>
      </c>
      <c r="DB18" s="899"/>
      <c r="DC18" s="899" cm="1">
        <f t="array" aca="1" ref="DC18" ca="1">_xlfn.IFNA(OFFSET($I$49,MATCH(CY18,$I$50:$I$63,0),MATCH(CZ18,TRANSPOSE($J$49:$W$49),0)),0)</f>
        <v>0</v>
      </c>
      <c r="DD18" s="899" cm="1">
        <f t="array" aca="1" ref="DD18" ca="1">_xlfn.IFNA(OFFSET($Y$49,MATCH($CZ18,$Y$50:$Y$63,0),MATCH($DA18,TRANSPOSE($Z$49:$AM$49),0)),0)</f>
        <v>0.34300000000000003</v>
      </c>
      <c r="DE18" s="899" cm="1">
        <f t="array" aca="1" ref="DE18" ca="1">_xlfn.IFNA(OFFSET($AO$49,MATCH($DA18,$AO$50:$AO$63,0),MATCH($DB18,TRANSPOSE($AP$49:$BC$49),0)),0)</f>
        <v>0</v>
      </c>
      <c r="DF18" s="881">
        <f t="shared" ca="1" si="8"/>
        <v>0</v>
      </c>
      <c r="DG18" s="910">
        <f t="shared" ca="1" si="9"/>
        <v>0.99999999999999967</v>
      </c>
      <c r="DH18" s="881">
        <f t="shared" ca="1" si="10"/>
        <v>0</v>
      </c>
      <c r="DI18" s="1460">
        <f t="shared" ca="1" si="11"/>
        <v>0</v>
      </c>
      <c r="DJ18" s="909">
        <f>_xlfn.IFNA(INDEX('Resource use and costs'!$CQ$11:$CQ$53,MATCH($CZ18,'Resource use and costs'!$BA$11:$BA$53,0)),0)*_xlfn.IFNA(INDEX(DY$10:DY$23,MATCH($CZ18,$DX$10:$DX$23,0)),0)</f>
        <v>4551.2486654444447</v>
      </c>
      <c r="DK18" s="909">
        <f>IF(dd_PartSA_2_lines = "Yes",0,_xlfn.IFNA(INDEX('Resource use and costs'!$CR$11:$CR$53,MATCH(DA18,'Resource use and costs'!$BA$11:$BA$53,0)),0)*_xlfn.IFNA(INDEX(EA$10:EA$23,MATCH($DA18,$DX$10:$DX$23,0)),0))</f>
        <v>0</v>
      </c>
      <c r="DL18" s="909">
        <f>IF(dd_PartSA_2_lines = "Yes",0,_xlfn.IFNA(INDEX('Resource use and costs'!$CS$11:$CS$53,MATCH(DB18,'Resource use and costs'!$BA$11:$BA$53,0)),0)*_xlfn.IFNA(INDEX(EC$10:EC$23,MATCH($DB18,$DX$10:$DX$23,0)),0))</f>
        <v>0</v>
      </c>
      <c r="DM18" s="909">
        <f t="shared" si="13"/>
        <v>4551.2486654444447</v>
      </c>
      <c r="DN18" s="909">
        <f>SUM(_xlfn.IFNA(INDEX('Resource use and costs'!$DU$12:$DU$25,MATCH(CZ18,'Resource use and costs'!$DS$12:$DS$25,0)),0),_xlfn.IFNA(INDEX('Resource use and costs'!$DU$12:$DU$25,MATCH(DA18,'Resource use and costs'!$DS$12:$DS$25,0)),0),_xlfn.IFNA(INDEX('Resource use and costs'!$DU$12:$DU$25,MATCH(DB18,'Resource use and costs'!$DS$12:$DS$25,0)),0))</f>
        <v>197.25</v>
      </c>
      <c r="DO18" s="921">
        <f>_xlfn.IFNA(INDEX('Resource use and costs'!$DY$12:$DY$25,MATCH(CZ18,'Resource use and costs'!$DS$12:$DS$25,0)),0)*_xlfn.IFNA(INDEX(DY$10:DY$23,MATCH($CZ18,$DX$10:$DX$23,0)),0)</f>
        <v>410.14183571428572</v>
      </c>
      <c r="DP18" s="921">
        <f>IF(dd_PartSA_2_lines = "Yes",0,_xlfn.IFNA(INDEX('Resource use and costs'!$DZ$12:$DZ$25,MATCH(DA18,'Resource use and costs'!$DS$12:$DS$25,0)),0)*_xlfn.IFNA(INDEX(EA$10:EA$23,MATCH($DA18,$DX$10:$DX$23,0)),0))</f>
        <v>0</v>
      </c>
      <c r="DQ18" s="921">
        <f>IF(dd_PartSA_2_lines = "Yes",0,_xlfn.IFNA(INDEX('Resource use and costs'!$EA$12:$EA$25,MATCH(DB18,'Resource use and costs'!$DS$12:$DS$25,0)),0)*_xlfn.IFNA(INDEX(EC$10:EC$23,MATCH($DB18,$DX$10:$DX$23,0)),0))</f>
        <v>0</v>
      </c>
      <c r="DR18" s="921">
        <f t="shared" si="14"/>
        <v>607.39183571428566</v>
      </c>
      <c r="DS18" s="1004">
        <f ca="1">SUMIFS('Safety parameters'!$DM$6:$DM$18,'Safety parameters'!$DK$6:$DK$18,CZ18,'Safety parameters'!$DL$6:$DL$18,1)+IF(dd_PartSA_2_lines = "Yes",0,SUMIFS('Safety parameters'!$DM$6:$DM$18,'Safety parameters'!$DK$6:$DK$18,DA18,'Safety parameters'!$DL$6:$DL$18,2)+SUMIFS('Safety parameters'!$DM$6:$DM$18,'Safety parameters'!$DK$6:$DK$18,DB18,'Safety parameters'!$DL$6:$DL$18,2))</f>
        <v>511.60827353266905</v>
      </c>
      <c r="DT18" s="910">
        <f ca="1">SUMIFS('Safety parameters'!$DO$6:$DO$18,'Safety parameters'!$DK$6:$DK$18,CZ18,'Safety parameters'!$DL$6:$DL$18,1)+IF(dd_PartSA_2_lines = "Yes",0,SUMIFS('Safety parameters'!$DO$6:$DO$18,'Safety parameters'!$DK$6:$DK$18,DA18,'Safety parameters'!$DL$6:$DL$18,2)+SUMIFS('Safety parameters'!$DO$6:$DO$18,'Safety parameters'!$DK$6:$DK$18,DB18,'Safety parameters'!$DL$6:$DL$18,2))</f>
        <v>-5.0447816550466236E-3</v>
      </c>
      <c r="DX18" s="61" t="str">
        <v>cabozantinib</v>
      </c>
      <c r="DY18" s="877" cm="1">
        <f t="array" ref="DY18">INDEX(TRANSPOSE($J$81:$W$81),MATCH($DX18,TRANSPOSE($J$48:$W$48),0))</f>
        <v>48.628571428571419</v>
      </c>
      <c r="DZ18" s="877" cm="1">
        <f t="array" ref="DZ18">INDEX(TRANSPOSE($J$97:$W$97),MATCH($DX18,TRANSPOSE($J$48:$W$48),0))</f>
        <v>2.9271428571428566</v>
      </c>
      <c r="EA18" s="877" cm="1">
        <f t="array" ref="EA18">INDEX(TRANSPOSE($Z$81:$AM$81),MATCH($DX18,TRANSPOSE($J$48:$W$48),0))</f>
        <v>63.808571428571426</v>
      </c>
      <c r="EB18" s="877" cm="1">
        <f t="array" ref="EB18">INDEX(TRANSPOSE($Z$97:$AM$97),MATCH($DX18,TRANSPOSE($J$48:$W$48),0))</f>
        <v>7.218571428571428</v>
      </c>
      <c r="EC18" s="877" cm="1">
        <f t="array" ref="EC18">INDEX(TRANSPOSE($AP$81:$BC$81),MATCH($DX18,TRANSPOSE($J$48:$W$48),0))</f>
        <v>63.808571428571426</v>
      </c>
      <c r="ED18" s="877" cm="1">
        <f t="array" ref="ED18">INDEX(TRANSPOSE($AP$97:$BC$97),MATCH($DX18,TRANSPOSE($J$48:$W$48),0))</f>
        <v>7.218571428571428</v>
      </c>
    </row>
    <row r="19" spans="3:140" ht="17.649999999999999" customHeight="1" x14ac:dyDescent="0.2">
      <c r="D19" s="82">
        <v>7</v>
      </c>
      <c r="E19" s="4" t="str">
        <v>tivozanib</v>
      </c>
      <c r="G19" s="664"/>
      <c r="H19" s="664"/>
      <c r="I19" s="73"/>
      <c r="L19" s="73"/>
      <c r="M19" s="73"/>
      <c r="N19" s="73"/>
      <c r="O19" s="73"/>
      <c r="P19" s="73"/>
      <c r="Q19" s="73"/>
      <c r="CK19" s="61" t="str">
        <f t="shared" si="0"/>
        <v>Poor / intermediate risk</v>
      </c>
      <c r="CL19" s="61">
        <v>1</v>
      </c>
      <c r="CM19" s="61" t="str">
        <v>everolimus</v>
      </c>
      <c r="CN19" s="17">
        <v>10</v>
      </c>
      <c r="CO19" s="17">
        <v>0</v>
      </c>
      <c r="CP19" s="17">
        <v>111</v>
      </c>
      <c r="CQ19" s="601">
        <f t="shared" si="1"/>
        <v>0</v>
      </c>
      <c r="CR19" s="601">
        <f t="shared" si="2"/>
        <v>0</v>
      </c>
      <c r="CS19" s="5">
        <v>0</v>
      </c>
      <c r="CT19" s="5">
        <v>0</v>
      </c>
      <c r="CU19" s="1123">
        <f>MATCH(CZ19,'Resource use and costs'!$BA$11:$BA$53,0)</f>
        <v>21</v>
      </c>
      <c r="CV19" s="1223"/>
      <c r="CW19" s="1241">
        <f t="shared" si="12"/>
        <v>1</v>
      </c>
      <c r="CX19" s="899" t="s">
        <v>764</v>
      </c>
      <c r="CY19" s="899" t="s">
        <v>583</v>
      </c>
      <c r="CZ19" s="899" t="s">
        <v>585</v>
      </c>
      <c r="DA19" s="899" t="s">
        <v>118</v>
      </c>
      <c r="DB19" s="899" t="s">
        <v>765</v>
      </c>
      <c r="DC19" s="899" cm="1">
        <f t="array" aca="1" ref="DC19" ca="1">_xlfn.IFNA(OFFSET($I$49,MATCH(CY19,$I$50:$I$63,0),MATCH(CZ19,TRANSPOSE($J$49:$W$49),0)),0)</f>
        <v>0</v>
      </c>
      <c r="DD19" s="899" cm="1">
        <f t="array" aca="1" ref="DD19" ca="1">_xlfn.IFNA(OFFSET($Y$49,MATCH($CZ19,$Y$50:$Y$63,0),MATCH($DA19,TRANSPOSE($Z$49:$AM$49),0)),0)</f>
        <v>0.32850000000000001</v>
      </c>
      <c r="DE19" s="899" cm="1">
        <f t="array" aca="1" ref="DE19" ca="1">_xlfn.IFNA(OFFSET($AO$49,MATCH($DA19,$AO$50:$AO$63,0),MATCH($DB19,TRANSPOSE($AP$49:$BC$49),0)),0)</f>
        <v>0.43140000000000001</v>
      </c>
      <c r="DF19" s="881">
        <f t="shared" ca="1" si="8"/>
        <v>0</v>
      </c>
      <c r="DG19" s="910">
        <f t="shared" ca="1" si="9"/>
        <v>0.99999999999999967</v>
      </c>
      <c r="DH19" s="881">
        <f t="shared" ca="1" si="10"/>
        <v>0</v>
      </c>
      <c r="DI19" s="1460">
        <f t="shared" ca="1" si="11"/>
        <v>0</v>
      </c>
      <c r="DJ19" s="909">
        <f>_xlfn.IFNA(INDEX('Resource use and costs'!$CQ$11:$CQ$53,MATCH($CZ19,'Resource use and costs'!$BA$11:$BA$53,0)),0)*_xlfn.IFNA(INDEX(DY$10:DY$23,MATCH($CZ19,$DX$10:$DX$23,0)),0)</f>
        <v>4551.2486654444447</v>
      </c>
      <c r="DK19" s="909">
        <f>IF(dd_PartSA_2_lines = "Yes",0,_xlfn.IFNA(INDEX('Resource use and costs'!$CR$11:$CR$53,MATCH(DA19,'Resource use and costs'!$BA$11:$BA$53,0)),0)*_xlfn.IFNA(INDEX(EA$10:EA$23,MATCH($DA19,$DX$10:$DX$23,0)),0))</f>
        <v>50308.075122000002</v>
      </c>
      <c r="DL19" s="909">
        <f>IF(dd_PartSA_2_lines = "Yes",0,_xlfn.IFNA(INDEX('Resource use and costs'!$CS$11:$CS$53,MATCH(DB19,'Resource use and costs'!$BA$11:$BA$53,0)),0)*_xlfn.IFNA(INDEX(EC$10:EC$23,MATCH($DB19,$DX$10:$DX$23,0)),0))</f>
        <v>0</v>
      </c>
      <c r="DM19" s="909">
        <f t="shared" si="13"/>
        <v>54859.323787444446</v>
      </c>
      <c r="DN19" s="909">
        <f>SUM(_xlfn.IFNA(INDEX('Resource use and costs'!$DU$12:$DU$25,MATCH(CZ19,'Resource use and costs'!$DS$12:$DS$25,0)),0),_xlfn.IFNA(INDEX('Resource use and costs'!$DU$12:$DU$25,MATCH(DA19,'Resource use and costs'!$DS$12:$DS$25,0)),0),_xlfn.IFNA(INDEX('Resource use and costs'!$DU$12:$DU$25,MATCH(DB19,'Resource use and costs'!$DS$12:$DS$25,0)),0))</f>
        <v>394.5</v>
      </c>
      <c r="DO19" s="921">
        <f>_xlfn.IFNA(INDEX('Resource use and costs'!$DY$12:$DY$25,MATCH(CZ19,'Resource use and costs'!$DS$12:$DS$25,0)),0)*_xlfn.IFNA(INDEX(DY$10:DY$23,MATCH($CZ19,$DX$10:$DX$23,0)),0)</f>
        <v>410.14183571428572</v>
      </c>
      <c r="DP19" s="921">
        <f>IF(dd_PartSA_2_lines = "Yes",0,_xlfn.IFNA(INDEX('Resource use and costs'!$DZ$12:$DZ$25,MATCH(DA19,'Resource use and costs'!$DS$12:$DS$25,0)),0)*_xlfn.IFNA(INDEX(EA$10:EA$23,MATCH($DA19,$DX$10:$DX$23,0)),0))</f>
        <v>461.1445457142857</v>
      </c>
      <c r="DQ19" s="921">
        <f>IF(dd_PartSA_2_lines = "Yes",0,_xlfn.IFNA(INDEX('Resource use and costs'!$EA$12:$EA$25,MATCH(DB19,'Resource use and costs'!$DS$12:$DS$25,0)),0)*_xlfn.IFNA(INDEX(EC$10:EC$23,MATCH($DB19,$DX$10:$DX$23,0)),0))</f>
        <v>0</v>
      </c>
      <c r="DR19" s="921">
        <f t="shared" si="14"/>
        <v>1265.7863814285713</v>
      </c>
      <c r="DS19" s="1004">
        <f ca="1">SUMIFS('Safety parameters'!$DM$6:$DM$18,'Safety parameters'!$DK$6:$DK$18,CZ19,'Safety parameters'!$DL$6:$DL$18,1)+IF(dd_PartSA_2_lines = "Yes",0,SUMIFS('Safety parameters'!$DM$6:$DM$18,'Safety parameters'!$DK$6:$DK$18,DA19,'Safety parameters'!$DL$6:$DL$18,2)+SUMIFS('Safety parameters'!$DM$6:$DM$18,'Safety parameters'!$DK$6:$DK$18,DB19,'Safety parameters'!$DL$6:$DL$18,2))</f>
        <v>1255.2575733360525</v>
      </c>
      <c r="DT19" s="910">
        <f ca="1">SUMIFS('Safety parameters'!$DO$6:$DO$18,'Safety parameters'!$DK$6:$DK$18,CZ19,'Safety parameters'!$DL$6:$DL$18,1)+IF(dd_PartSA_2_lines = "Yes",0,SUMIFS('Safety parameters'!$DO$6:$DO$18,'Safety parameters'!$DK$6:$DK$18,DA19,'Safety parameters'!$DL$6:$DL$18,2)+SUMIFS('Safety parameters'!$DO$6:$DO$18,'Safety parameters'!$DK$6:$DK$18,DB19,'Safety parameters'!$DL$6:$DL$18,2))</f>
        <v>-1.2067108011282562E-2</v>
      </c>
      <c r="DX19" s="61" t="str">
        <v>lenvatinib_plus_everolimus</v>
      </c>
      <c r="DY19" s="877" cm="1">
        <f t="array" ref="DY19">INDEX(TRANSPOSE($J$81:$W$81),MATCH($DX19,TRANSPOSE($J$48:$W$48),0))</f>
        <v>73.685714285714269</v>
      </c>
      <c r="DZ19" s="877" cm="1">
        <f t="array" ref="DZ19">INDEX(TRANSPOSE($J$97:$W$97),MATCH($DX19,TRANSPOSE($J$48:$W$48),0))</f>
        <v>15.83</v>
      </c>
      <c r="EA19" s="877" cm="1">
        <f t="array" ref="EA19">INDEX(TRANSPOSE($Z$81:$AM$81),MATCH($DX19,TRANSPOSE($J$48:$W$48),0))</f>
        <v>33.004285714285714</v>
      </c>
      <c r="EB19" s="877" cm="1">
        <f t="array" ref="EB19">INDEX(TRANSPOSE($Z$97:$AM$97),MATCH($DX19,TRANSPOSE($J$48:$W$48),0))</f>
        <v>6.8914285714285715</v>
      </c>
      <c r="EC19" s="877" cm="1">
        <f t="array" ref="EC19">INDEX(TRANSPOSE($AP$81:$BC$81),MATCH($DX19,TRANSPOSE($J$48:$W$48),0))</f>
        <v>33.004285714285714</v>
      </c>
      <c r="ED19" s="877" cm="1">
        <f t="array" ref="ED19">INDEX(TRANSPOSE($AP$97:$BC$97),MATCH($DX19,TRANSPOSE($J$48:$W$48),0))</f>
        <v>6.8914285714285715</v>
      </c>
    </row>
    <row r="20" spans="3:140" ht="17.649999999999999" customHeight="1" x14ac:dyDescent="0.2">
      <c r="D20" s="82">
        <v>8</v>
      </c>
      <c r="E20" s="4" t="str">
        <v>sunitinib</v>
      </c>
      <c r="G20" s="664"/>
      <c r="H20" s="664"/>
      <c r="I20" s="73"/>
      <c r="L20" s="73"/>
      <c r="M20" s="73"/>
      <c r="N20" s="73"/>
      <c r="O20" s="73"/>
      <c r="P20" s="73"/>
      <c r="Q20" s="73"/>
      <c r="CK20" s="61" t="str">
        <f t="shared" si="0"/>
        <v>Poor / intermediate risk</v>
      </c>
      <c r="CL20" s="61">
        <v>1</v>
      </c>
      <c r="CM20" s="61" t="str">
        <v>axitinib</v>
      </c>
      <c r="CN20" s="17">
        <v>11</v>
      </c>
      <c r="CO20" s="17">
        <v>0</v>
      </c>
      <c r="CP20" s="17">
        <v>111</v>
      </c>
      <c r="CQ20" s="601">
        <f t="shared" si="1"/>
        <v>0</v>
      </c>
      <c r="CR20" s="601">
        <f t="shared" si="2"/>
        <v>0</v>
      </c>
      <c r="CS20" s="5">
        <v>0</v>
      </c>
      <c r="CT20" s="5">
        <v>0</v>
      </c>
      <c r="CU20" s="1123">
        <f>MATCH(CZ20,'Resource use and costs'!$BA$11:$BA$53,0)</f>
        <v>21</v>
      </c>
      <c r="CV20" s="1223"/>
      <c r="CW20" s="1241">
        <f t="shared" si="12"/>
        <v>1</v>
      </c>
      <c r="CX20" s="899" t="s">
        <v>764</v>
      </c>
      <c r="CY20" s="899" t="s">
        <v>583</v>
      </c>
      <c r="CZ20" s="899" t="s">
        <v>585</v>
      </c>
      <c r="DA20" s="899" t="s">
        <v>118</v>
      </c>
      <c r="DB20" s="899" t="s">
        <v>119</v>
      </c>
      <c r="DC20" s="899" cm="1">
        <f t="array" aca="1" ref="DC20" ca="1">_xlfn.IFNA(OFFSET($I$49,MATCH(CY20,$I$50:$I$63,0),MATCH(CZ20,TRANSPOSE($J$49:$W$49),0)),0)</f>
        <v>0</v>
      </c>
      <c r="DD20" s="899">
        <f ca="1">1-DD19</f>
        <v>0.67149999999999999</v>
      </c>
      <c r="DE20" s="899">
        <f ca="1">1-DE19</f>
        <v>0.56859999999999999</v>
      </c>
      <c r="DF20" s="881">
        <f t="shared" ca="1" si="8"/>
        <v>0</v>
      </c>
      <c r="DG20" s="910">
        <f t="shared" ca="1" si="9"/>
        <v>0.99999999999999967</v>
      </c>
      <c r="DH20" s="881">
        <f t="shared" ca="1" si="10"/>
        <v>0</v>
      </c>
      <c r="DI20" s="1460">
        <f t="shared" ca="1" si="11"/>
        <v>0</v>
      </c>
      <c r="DJ20" s="909">
        <f>_xlfn.IFNA(INDEX('Resource use and costs'!$CQ$11:$CQ$53,MATCH($CZ20,'Resource use and costs'!$BA$11:$BA$53,0)),0)*_xlfn.IFNA(INDEX(DY$10:DY$23,MATCH($CZ20,$DX$10:$DX$23,0)),0)</f>
        <v>4551.2486654444447</v>
      </c>
      <c r="DK20" s="909">
        <f>IF(dd_PartSA_2_lines = "Yes",0,_xlfn.IFNA(INDEX('Resource use and costs'!$CR$11:$CR$53,MATCH(DA20,'Resource use and costs'!$BA$11:$BA$53,0)),0)*_xlfn.IFNA(INDEX(EA$10:EA$23,MATCH($DA20,$DX$10:$DX$23,0)),0))</f>
        <v>50308.075122000002</v>
      </c>
      <c r="DL20" s="909">
        <f>IF(dd_PartSA_2_lines = "Yes",0,_xlfn.IFNA(INDEX('Resource use and costs'!$CS$11:$CS$53,MATCH(DB20,'Resource use and costs'!$BA$11:$BA$53,0)),0)*_xlfn.IFNA(INDEX(EC$10:EC$23,MATCH($DB20,$DX$10:$DX$23,0)),0))</f>
        <v>2915.4763433333328</v>
      </c>
      <c r="DM20" s="909">
        <f t="shared" si="13"/>
        <v>57774.800130777781</v>
      </c>
      <c r="DN20" s="909">
        <f>SUM(_xlfn.IFNA(INDEX('Resource use and costs'!$DU$12:$DU$25,MATCH(CZ20,'Resource use and costs'!$DS$12:$DS$25,0)),0),_xlfn.IFNA(INDEX('Resource use and costs'!$DU$12:$DU$25,MATCH(DA20,'Resource use and costs'!$DS$12:$DS$25,0)),0),_xlfn.IFNA(INDEX('Resource use and costs'!$DU$12:$DU$25,MATCH(DB20,'Resource use and costs'!$DS$12:$DS$25,0)),0))</f>
        <v>591.75</v>
      </c>
      <c r="DO20" s="921">
        <f>_xlfn.IFNA(INDEX('Resource use and costs'!$DY$12:$DY$25,MATCH(CZ20,'Resource use and costs'!$DS$12:$DS$25,0)),0)*_xlfn.IFNA(INDEX(DY$10:DY$23,MATCH($CZ20,$DX$10:$DX$23,0)),0)</f>
        <v>410.14183571428572</v>
      </c>
      <c r="DP20" s="921">
        <f>IF(dd_PartSA_2_lines = "Yes",0,_xlfn.IFNA(INDEX('Resource use and costs'!$DZ$12:$DZ$25,MATCH(DA20,'Resource use and costs'!$DS$12:$DS$25,0)),0)*_xlfn.IFNA(INDEX(EA$10:EA$23,MATCH($DA20,$DX$10:$DX$23,0)),0))</f>
        <v>461.1445457142857</v>
      </c>
      <c r="DQ20" s="921">
        <f>IF(dd_PartSA_2_lines = "Yes",0,_xlfn.IFNA(INDEX('Resource use and costs'!$EA$12:$EA$25,MATCH(DB20,'Resource use and costs'!$DS$12:$DS$25,0)),0)*_xlfn.IFNA(INDEX(EC$10:EC$23,MATCH($DB20,$DX$10:$DX$23,0)),0))</f>
        <v>256.11457142857142</v>
      </c>
      <c r="DR20" s="921">
        <f t="shared" si="14"/>
        <v>1719.1509528571428</v>
      </c>
      <c r="DS20" s="1004">
        <f ca="1">SUMIFS('Safety parameters'!$DM$6:$DM$18,'Safety parameters'!$DK$6:$DK$18,CZ20,'Safety parameters'!$DL$6:$DL$18,1)+IF(dd_PartSA_2_lines = "Yes",0,SUMIFS('Safety parameters'!$DM$6:$DM$18,'Safety parameters'!$DK$6:$DK$18,DA20,'Safety parameters'!$DL$6:$DL$18,2)+SUMIFS('Safety parameters'!$DM$6:$DM$18,'Safety parameters'!$DK$6:$DK$18,DB20,'Safety parameters'!$DL$6:$DL$18,2))</f>
        <v>1588.1329567113673</v>
      </c>
      <c r="DT20" s="910">
        <f ca="1">SUMIFS('Safety parameters'!$DO$6:$DO$18,'Safety parameters'!$DK$6:$DK$18,CZ20,'Safety parameters'!$DL$6:$DL$18,1)+IF(dd_PartSA_2_lines = "Yes",0,SUMIFS('Safety parameters'!$DO$6:$DO$18,'Safety parameters'!$DK$6:$DK$18,DA20,'Safety parameters'!$DL$6:$DL$18,2)+SUMIFS('Safety parameters'!$DO$6:$DO$18,'Safety parameters'!$DK$6:$DK$18,DB20,'Safety parameters'!$DL$6:$DL$18,2))</f>
        <v>-1.4734681547920282E-2</v>
      </c>
      <c r="DX20" s="61" t="str">
        <v>everolimus</v>
      </c>
      <c r="DY20" s="877" cm="1">
        <f t="array" ref="DY20">INDEX(TRANSPOSE($J$81:$W$81),MATCH($DX20,TRANSPOSE($J$48:$W$48),0))</f>
        <v>15.714285714285714</v>
      </c>
      <c r="DZ20" s="877" cm="1">
        <f t="array" ref="DZ20">INDEX(TRANSPOSE($J$97:$W$97),MATCH($DX20,TRANSPOSE($J$48:$W$48),0))</f>
        <v>1.2242857142857142</v>
      </c>
      <c r="EA20" s="877" cm="1">
        <f t="array" ref="EA20">INDEX(TRANSPOSE($Z$81:$AM$81),MATCH($DX20,TRANSPOSE($J$48:$W$48),0))</f>
        <v>13.547142857142855</v>
      </c>
      <c r="EB20" s="877" cm="1">
        <f t="array" ref="EB20">INDEX(TRANSPOSE($Z$97:$AM$97),MATCH($DX20,TRANSPOSE($J$48:$W$48),0))</f>
        <v>3.2057142857142855</v>
      </c>
      <c r="EC20" s="877" cm="1">
        <f t="array" ref="EC20">INDEX(TRANSPOSE($AP$81:$BC$81),MATCH($DX20,TRANSPOSE($J$48:$W$48),0))</f>
        <v>24.508571428571429</v>
      </c>
      <c r="ED20" s="877" cm="1">
        <f t="array" ref="ED20">INDEX(TRANSPOSE($AP$97:$BC$97),MATCH($DX20,TRANSPOSE($J$48:$W$48),0))</f>
        <v>11.564285714285713</v>
      </c>
    </row>
    <row r="21" spans="3:140" ht="17.649999999999999" customHeight="1" x14ac:dyDescent="0.2">
      <c r="D21" s="82">
        <v>9</v>
      </c>
      <c r="E21" s="4" t="str">
        <v>cabozantinib</v>
      </c>
      <c r="G21" s="664"/>
      <c r="H21" s="664"/>
      <c r="I21" s="73"/>
      <c r="L21" s="73"/>
      <c r="M21" s="73"/>
      <c r="N21" s="73"/>
      <c r="O21" s="73"/>
      <c r="P21" s="73"/>
      <c r="Q21" s="73"/>
      <c r="CK21" s="61" t="str">
        <f t="shared" si="0"/>
        <v>Poor / intermediate risk</v>
      </c>
      <c r="CL21" s="61">
        <v>1</v>
      </c>
      <c r="CM21" s="61" t="str">
        <v>sorafenib</v>
      </c>
      <c r="CN21" s="17">
        <v>12</v>
      </c>
      <c r="CO21" s="17">
        <v>0</v>
      </c>
      <c r="CP21" s="17">
        <v>111</v>
      </c>
      <c r="CQ21" s="601">
        <f t="shared" si="1"/>
        <v>0</v>
      </c>
      <c r="CR21" s="601">
        <f t="shared" si="2"/>
        <v>0</v>
      </c>
      <c r="CS21" s="5">
        <v>0</v>
      </c>
      <c r="CT21" s="5">
        <v>0</v>
      </c>
      <c r="CU21" s="1123">
        <f>MATCH(CZ21,'Resource use and costs'!$BA$11:$BA$53,0)</f>
        <v>21</v>
      </c>
      <c r="CV21" s="1223"/>
      <c r="CW21" s="1241">
        <f t="shared" si="12"/>
        <v>1</v>
      </c>
      <c r="CX21" s="899" t="s">
        <v>764</v>
      </c>
      <c r="CY21" s="899" t="s">
        <v>583</v>
      </c>
      <c r="CZ21" s="899" t="s">
        <v>585</v>
      </c>
      <c r="DA21" s="899" t="s">
        <v>119</v>
      </c>
      <c r="DB21" s="899" t="s">
        <v>765</v>
      </c>
      <c r="DC21" s="899" cm="1">
        <f t="array" aca="1" ref="DC21" ca="1">_xlfn.IFNA(OFFSET($I$49,MATCH(CY21,$I$50:$I$63,0),MATCH(CZ21,TRANSPOSE($J$49:$W$49),0)),0)</f>
        <v>0</v>
      </c>
      <c r="DD21" s="899" cm="1">
        <f t="array" aca="1" ref="DD21" ca="1">_xlfn.IFNA(OFFSET($Y$49,MATCH($CZ21,$Y$50:$Y$63,0),MATCH($DA21,TRANSPOSE($Z$49:$AM$49),0)),0)</f>
        <v>0</v>
      </c>
      <c r="DE21" s="899" cm="1">
        <f t="array" aca="1" ref="DE21" ca="1">_xlfn.IFNA(OFFSET($AO$49,MATCH($DA21,$AO$50:$AO$63,0),MATCH($DB21,TRANSPOSE($AP$49:$BC$49),0)),0)</f>
        <v>1</v>
      </c>
      <c r="DF21" s="881">
        <f t="shared" ca="1" si="8"/>
        <v>0</v>
      </c>
      <c r="DG21" s="910">
        <f t="shared" ca="1" si="9"/>
        <v>0.99999999999999967</v>
      </c>
      <c r="DH21" s="881">
        <f t="shared" ca="1" si="10"/>
        <v>0</v>
      </c>
      <c r="DI21" s="1460">
        <f t="shared" ca="1" si="11"/>
        <v>0</v>
      </c>
      <c r="DJ21" s="909">
        <f>_xlfn.IFNA(INDEX('Resource use and costs'!$CQ$11:$CQ$53,MATCH($CZ21,'Resource use and costs'!$BA$11:$BA$53,0)),0)*_xlfn.IFNA(INDEX(DY$10:DY$23,MATCH($CZ21,$DX$10:$DX$23,0)),0)</f>
        <v>4551.2486654444447</v>
      </c>
      <c r="DK21" s="909">
        <f>IF(dd_PartSA_2_lines = "Yes",0,_xlfn.IFNA(INDEX('Resource use and costs'!$CR$11:$CR$53,MATCH(DA21,'Resource use and costs'!$BA$11:$BA$53,0)),0)*_xlfn.IFNA(INDEX(EA$10:EA$23,MATCH($DA21,$DX$10:$DX$23,0)),0))</f>
        <v>848.17532499999982</v>
      </c>
      <c r="DL21" s="909">
        <f>IF(dd_PartSA_2_lines = "Yes",0,_xlfn.IFNA(INDEX('Resource use and costs'!$CS$11:$CS$53,MATCH(DB21,'Resource use and costs'!$BA$11:$BA$53,0)),0)*_xlfn.IFNA(INDEX(EC$10:EC$23,MATCH($DB21,$DX$10:$DX$23,0)),0))</f>
        <v>0</v>
      </c>
      <c r="DM21" s="909">
        <f t="shared" si="13"/>
        <v>5399.4239904444448</v>
      </c>
      <c r="DN21" s="909">
        <f>SUM(_xlfn.IFNA(INDEX('Resource use and costs'!$DU$12:$DU$25,MATCH(CZ21,'Resource use and costs'!$DS$12:$DS$25,0)),0),_xlfn.IFNA(INDEX('Resource use and costs'!$DU$12:$DU$25,MATCH(DA21,'Resource use and costs'!$DS$12:$DS$25,0)),0),_xlfn.IFNA(INDEX('Resource use and costs'!$DU$12:$DU$25,MATCH(DB21,'Resource use and costs'!$DS$12:$DS$25,0)),0))</f>
        <v>394.5</v>
      </c>
      <c r="DO21" s="921">
        <f>_xlfn.IFNA(INDEX('Resource use and costs'!$DY$12:$DY$25,MATCH(CZ21,'Resource use and costs'!$DS$12:$DS$25,0)),0)*_xlfn.IFNA(INDEX(DY$10:DY$23,MATCH($CZ21,$DX$10:$DX$23,0)),0)</f>
        <v>410.14183571428572</v>
      </c>
      <c r="DP21" s="921">
        <f>IF(dd_PartSA_2_lines = "Yes",0,_xlfn.IFNA(INDEX('Resource use and costs'!$DZ$12:$DZ$25,MATCH(DA21,'Resource use and costs'!$DS$12:$DS$25,0)),0)*_xlfn.IFNA(INDEX(EA$10:EA$23,MATCH($DA21,$DX$10:$DX$23,0)),0))</f>
        <v>74.50928571428571</v>
      </c>
      <c r="DQ21" s="921">
        <f>IF(dd_PartSA_2_lines = "Yes",0,_xlfn.IFNA(INDEX('Resource use and costs'!$EA$12:$EA$25,MATCH(DB21,'Resource use and costs'!$DS$12:$DS$25,0)),0)*_xlfn.IFNA(INDEX(EC$10:EC$23,MATCH($DB21,$DX$10:$DX$23,0)),0))</f>
        <v>0</v>
      </c>
      <c r="DR21" s="921">
        <f t="shared" si="14"/>
        <v>879.1511214285714</v>
      </c>
      <c r="DS21" s="1004">
        <f ca="1">SUMIFS('Safety parameters'!$DM$6:$DM$18,'Safety parameters'!$DK$6:$DK$18,CZ21,'Safety parameters'!$DL$6:$DL$18,1)+IF(dd_PartSA_2_lines = "Yes",0,SUMIFS('Safety parameters'!$DM$6:$DM$18,'Safety parameters'!$DK$6:$DK$18,DA21,'Safety parameters'!$DL$6:$DL$18,2)+SUMIFS('Safety parameters'!$DM$6:$DM$18,'Safety parameters'!$DK$6:$DK$18,DB21,'Safety parameters'!$DL$6:$DL$18,2))</f>
        <v>844.48365690798391</v>
      </c>
      <c r="DT21" s="910">
        <f ca="1">SUMIFS('Safety parameters'!$DO$6:$DO$18,'Safety parameters'!$DK$6:$DK$18,CZ21,'Safety parameters'!$DL$6:$DL$18,1)+IF(dd_PartSA_2_lines = "Yes",0,SUMIFS('Safety parameters'!$DO$6:$DO$18,'Safety parameters'!$DK$6:$DK$18,DA21,'Safety parameters'!$DL$6:$DL$18,2)+SUMIFS('Safety parameters'!$DO$6:$DO$18,'Safety parameters'!$DK$6:$DK$18,DB21,'Safety parameters'!$DL$6:$DL$18,2))</f>
        <v>-7.7123551916843426E-3</v>
      </c>
      <c r="DX21" s="61" t="str">
        <v>axitinib</v>
      </c>
      <c r="DY21" s="877" cm="1">
        <f t="array" ref="DY21">INDEX(TRANSPOSE($J$81:$W$81),MATCH($DX21,TRANSPOSE($J$48:$W$48),0))</f>
        <v>28.869999999999997</v>
      </c>
      <c r="DZ21" s="877" cm="1">
        <f t="array" ref="DZ21">INDEX(TRANSPOSE($J$97:$W$97),MATCH($DX21,TRANSPOSE($J$48:$W$48),0))</f>
        <v>7.1457142857142859</v>
      </c>
      <c r="EA21" s="877" cm="1">
        <f t="array" ref="EA21">INDEX(TRANSPOSE($Z$81:$AM$81),MATCH($DX21,TRANSPOSE($J$48:$W$48),0))</f>
        <v>26.28142857142857</v>
      </c>
      <c r="EB21" s="877" cm="1">
        <f t="array" ref="EB21">INDEX(TRANSPOSE($Z$97:$AM$97),MATCH($DX21,TRANSPOSE($J$48:$W$48),0))</f>
        <v>4.2914285714285709</v>
      </c>
      <c r="EC21" s="877" cm="1">
        <f t="array" ref="EC21">INDEX(TRANSPOSE($AP$81:$BC$81),MATCH($DX21,TRANSPOSE($J$48:$W$48),0))</f>
        <v>22.357142857142858</v>
      </c>
      <c r="ED21" s="877" cm="1">
        <f t="array" ref="ED21">INDEX(TRANSPOSE($AP$97:$BC$97),MATCH($DX21,TRANSPOSE($J$48:$W$48),0))</f>
        <v>4.38</v>
      </c>
    </row>
    <row r="22" spans="3:140" ht="17.649999999999999" customHeight="1" thickBot="1" x14ac:dyDescent="0.25">
      <c r="D22" s="82">
        <v>10</v>
      </c>
      <c r="E22" s="4" t="str">
        <v>lenvatinib_plus_everolimus</v>
      </c>
      <c r="G22" s="664"/>
      <c r="H22" s="664"/>
      <c r="I22" s="73"/>
      <c r="L22" s="73"/>
      <c r="M22" s="73"/>
      <c r="N22" s="73"/>
      <c r="O22" s="73"/>
      <c r="P22" s="73"/>
      <c r="Q22" s="73"/>
      <c r="CK22" s="506" t="str">
        <f t="shared" si="0"/>
        <v>Poor / intermediate risk</v>
      </c>
      <c r="CL22" s="506">
        <v>1</v>
      </c>
      <c r="CM22" s="506" t="str">
        <v>placebo_BSC</v>
      </c>
      <c r="CN22" s="19">
        <v>999</v>
      </c>
      <c r="CO22" s="19">
        <v>0</v>
      </c>
      <c r="CP22" s="19">
        <v>111</v>
      </c>
      <c r="CQ22" s="602">
        <f t="shared" si="1"/>
        <v>0</v>
      </c>
      <c r="CR22" s="602">
        <f t="shared" si="2"/>
        <v>0</v>
      </c>
      <c r="CS22" s="666">
        <v>0</v>
      </c>
      <c r="CT22" s="666">
        <v>0</v>
      </c>
      <c r="CU22" s="1123">
        <f>MATCH(CZ22,'Resource use and costs'!$BA$11:$BA$53,0)</f>
        <v>27</v>
      </c>
      <c r="CV22" s="1223"/>
      <c r="CW22" s="1241">
        <f t="shared" si="12"/>
        <v>1</v>
      </c>
      <c r="CX22" s="899" t="s">
        <v>764</v>
      </c>
      <c r="CY22" s="899" t="s">
        <v>583</v>
      </c>
      <c r="CZ22" s="899" t="s">
        <v>117</v>
      </c>
      <c r="DA22" s="899" t="s">
        <v>765</v>
      </c>
      <c r="DB22" s="899"/>
      <c r="DC22" s="899" cm="1">
        <f t="array" aca="1" ref="DC22" ca="1">_xlfn.IFNA(OFFSET($I$49,MATCH(CY22,$I$50:$I$63,0),MATCH(CZ22,TRANSPOSE($J$49:$W$49),0)),0)</f>
        <v>3.4863138518177635E-2</v>
      </c>
      <c r="DD22" s="899" cm="1">
        <f t="array" aca="1" ref="DD22" ca="1">_xlfn.IFNA(OFFSET($Y$49,MATCH($CZ22,$Y$50:$Y$63,0),MATCH($DA22,TRANSPOSE($Z$49:$AM$49),0)),0)</f>
        <v>0.34300000000000003</v>
      </c>
      <c r="DE22" s="899" cm="1">
        <f t="array" aca="1" ref="DE22" ca="1">_xlfn.IFNA(OFFSET($AO$49,MATCH($DA22,$AO$50:$AO$63,0),MATCH($DB22,TRANSPOSE($AP$49:$BC$49),0)),0)</f>
        <v>0</v>
      </c>
      <c r="DF22" s="881">
        <f t="shared" ca="1" si="8"/>
        <v>1.195805651173493E-2</v>
      </c>
      <c r="DG22" s="910">
        <f t="shared" ca="1" si="9"/>
        <v>0.99999999999999967</v>
      </c>
      <c r="DH22" s="881">
        <f t="shared" ca="1" si="10"/>
        <v>1.1958056511734927E-2</v>
      </c>
      <c r="DI22" s="1460">
        <f t="shared" ca="1" si="11"/>
        <v>2.0089534939714677</v>
      </c>
      <c r="DJ22" s="909">
        <f>_xlfn.IFNA(INDEX('Resource use and costs'!$CQ$11:$CQ$53,MATCH($CZ22,'Resource use and costs'!$BA$11:$BA$53,0)),0)*_xlfn.IFNA(INDEX(DY$10:DY$23,MATCH($CZ22,$DX$10:$DX$23,0)),0)</f>
        <v>2860.9927072190476</v>
      </c>
      <c r="DK22" s="909">
        <f>IF(dd_PartSA_2_lines = "Yes",0,_xlfn.IFNA(INDEX('Resource use and costs'!$CR$11:$CR$53,MATCH(DA22,'Resource use and costs'!$BA$11:$BA$53,0)),0)*_xlfn.IFNA(INDEX(EA$10:EA$23,MATCH($DA22,$DX$10:$DX$23,0)),0))</f>
        <v>0</v>
      </c>
      <c r="DL22" s="909">
        <f>IF(dd_PartSA_2_lines = "Yes",0,_xlfn.IFNA(INDEX('Resource use and costs'!$CS$11:$CS$53,MATCH(DB22,'Resource use and costs'!$BA$11:$BA$53,0)),0)*_xlfn.IFNA(INDEX(EC$10:EC$23,MATCH($DB22,$DX$10:$DX$23,0)),0))</f>
        <v>0</v>
      </c>
      <c r="DM22" s="909">
        <f t="shared" si="13"/>
        <v>2860.9927072190476</v>
      </c>
      <c r="DN22" s="909">
        <f>SUM(_xlfn.IFNA(INDEX('Resource use and costs'!$DU$12:$DU$25,MATCH(CZ22,'Resource use and costs'!$DS$12:$DS$25,0)),0),_xlfn.IFNA(INDEX('Resource use and costs'!$DU$12:$DU$25,MATCH(DA22,'Resource use and costs'!$DS$12:$DS$25,0)),0),_xlfn.IFNA(INDEX('Resource use and costs'!$DU$12:$DU$25,MATCH(DB22,'Resource use and costs'!$DS$12:$DS$25,0)),0))</f>
        <v>197.25</v>
      </c>
      <c r="DO22" s="921">
        <f>_xlfn.IFNA(INDEX('Resource use and costs'!$DY$12:$DY$25,MATCH(CZ22,'Resource use and costs'!$DS$12:$DS$25,0)),0)*_xlfn.IFNA(INDEX(DY$10:DY$23,MATCH($CZ22,$DX$10:$DX$23,0)),0)</f>
        <v>405.17019714285709</v>
      </c>
      <c r="DP22" s="921">
        <f>IF(dd_PartSA_2_lines = "Yes",0,_xlfn.IFNA(INDEX('Resource use and costs'!$DZ$12:$DZ$25,MATCH(DA22,'Resource use and costs'!$DS$12:$DS$25,0)),0)*_xlfn.IFNA(INDEX(EA$10:EA$23,MATCH($DA22,$DX$10:$DX$23,0)),0))</f>
        <v>0</v>
      </c>
      <c r="DQ22" s="921">
        <f>IF(dd_PartSA_2_lines = "Yes",0,_xlfn.IFNA(INDEX('Resource use and costs'!$EA$12:$EA$25,MATCH(DB22,'Resource use and costs'!$DS$12:$DS$25,0)),0)*_xlfn.IFNA(INDEX(EC$10:EC$23,MATCH($DB22,$DX$10:$DX$23,0)),0))</f>
        <v>0</v>
      </c>
      <c r="DR22" s="921">
        <f t="shared" si="14"/>
        <v>602.42019714285709</v>
      </c>
      <c r="DS22" s="1004">
        <f ca="1">SUMIFS('Safety parameters'!$DM$6:$DM$18,'Safety parameters'!$DK$6:$DK$18,CZ22,'Safety parameters'!$DL$6:$DL$18,1)+IF(dd_PartSA_2_lines = "Yes",0,SUMIFS('Safety parameters'!$DM$6:$DM$18,'Safety parameters'!$DK$6:$DK$18,DA22,'Safety parameters'!$DL$6:$DL$18,2)+SUMIFS('Safety parameters'!$DM$6:$DM$18,'Safety parameters'!$DK$6:$DK$18,DB22,'Safety parameters'!$DL$6:$DL$18,2))</f>
        <v>603.81337500000006</v>
      </c>
      <c r="DT22" s="910">
        <f ca="1">SUMIFS('Safety parameters'!$DO$6:$DO$18,'Safety parameters'!$DK$6:$DK$18,CZ22,'Safety parameters'!$DL$6:$DL$18,1)+IF(dd_PartSA_2_lines = "Yes",0,SUMIFS('Safety parameters'!$DO$6:$DO$18,'Safety parameters'!$DK$6:$DK$18,DA22,'Safety parameters'!$DL$6:$DL$18,2)+SUMIFS('Safety parameters'!$DO$6:$DO$18,'Safety parameters'!$DK$6:$DK$18,DB22,'Safety parameters'!$DL$6:$DL$18,2))</f>
        <v>-5.4260780287474324E-3</v>
      </c>
      <c r="DX22" s="61" t="str">
        <v>sorafenib</v>
      </c>
      <c r="DY22" s="877" cm="1">
        <f t="array" ref="DY22">INDEX(TRANSPOSE($J$81:$W$81),MATCH($DX22,TRANSPOSE($J$48:$W$48),0))</f>
        <v>0</v>
      </c>
      <c r="DZ22" s="877" cm="1">
        <f t="array" ref="DZ22">INDEX(TRANSPOSE($J$97:$W$97),MATCH($DX22,TRANSPOSE($J$48:$W$48),0))</f>
        <v>0</v>
      </c>
      <c r="EA22" s="877" cm="1">
        <f t="array" ref="EA22">INDEX(TRANSPOSE($Z$81:$AM$81),MATCH($DX22,TRANSPOSE($J$48:$W$48),0))</f>
        <v>0</v>
      </c>
      <c r="EB22" s="877" cm="1">
        <f t="array" ref="EB22">INDEX(TRANSPOSE($Z$97:$AM$97),MATCH($DX22,TRANSPOSE($J$48:$W$48),0))</f>
        <v>0</v>
      </c>
      <c r="EC22" s="877" cm="1">
        <f t="array" ref="EC22">INDEX(TRANSPOSE($AP$81:$BC$81),MATCH($DX22,TRANSPOSE($J$48:$W$48),0))</f>
        <v>0</v>
      </c>
      <c r="ED22" s="877" cm="1">
        <f t="array" ref="ED22">INDEX(TRANSPOSE($AP$97:$BC$97),MATCH($DX22,TRANSPOSE($J$48:$W$48),0))</f>
        <v>0</v>
      </c>
    </row>
    <row r="23" spans="3:140" ht="17.649999999999999" customHeight="1" x14ac:dyDescent="0.2">
      <c r="D23" s="82">
        <v>11</v>
      </c>
      <c r="E23" s="4" t="str">
        <v>everolimus</v>
      </c>
      <c r="G23" s="664"/>
      <c r="H23" s="664"/>
      <c r="I23" s="73"/>
      <c r="L23" s="73"/>
      <c r="M23" s="73"/>
      <c r="N23" s="73"/>
      <c r="O23" s="73"/>
      <c r="P23" s="73"/>
      <c r="Q23" s="73"/>
      <c r="CK23" s="505" t="str">
        <f t="shared" ref="CK23:CK36" si="15">INDEX(List_pop,3)</f>
        <v>Favourable risk</v>
      </c>
      <c r="CL23" s="505">
        <v>1</v>
      </c>
      <c r="CM23" s="505" t="str" cm="1">
        <f t="array" ref="CM23:CM36">List_comparators</f>
        <v>nivolumab_monotherapy</v>
      </c>
      <c r="CN23" s="252">
        <v>0</v>
      </c>
      <c r="CO23" s="17">
        <v>0</v>
      </c>
      <c r="CP23" s="17">
        <v>111</v>
      </c>
      <c r="CQ23" s="603">
        <f t="shared" ref="CQ23:CQ36" si="16">G31</f>
        <v>0</v>
      </c>
      <c r="CR23" s="603">
        <f t="shared" ref="CR23:CR36" si="17">H31</f>
        <v>0</v>
      </c>
      <c r="CS23" s="631">
        <v>0</v>
      </c>
      <c r="CT23" s="631">
        <v>0</v>
      </c>
      <c r="CU23" s="1123">
        <f>MATCH(CZ23,'Resource use and costs'!$BA$11:$BA$53,0)</f>
        <v>27</v>
      </c>
      <c r="CV23" s="1223"/>
      <c r="CW23" s="1241">
        <f t="shared" si="12"/>
        <v>1</v>
      </c>
      <c r="CX23" s="899" t="s">
        <v>764</v>
      </c>
      <c r="CY23" s="899" t="s">
        <v>583</v>
      </c>
      <c r="CZ23" s="899" t="s">
        <v>117</v>
      </c>
      <c r="DA23" s="899" t="s">
        <v>118</v>
      </c>
      <c r="DB23" s="899" t="s">
        <v>765</v>
      </c>
      <c r="DC23" s="899" cm="1">
        <f t="array" aca="1" ref="DC23" ca="1">_xlfn.IFNA(OFFSET($I$49,MATCH(CY23,$I$50:$I$63,0),MATCH(CZ23,TRANSPOSE($J$49:$W$49),0)),0)</f>
        <v>3.4863138518177635E-2</v>
      </c>
      <c r="DD23" s="899">
        <f ca="1">DD24</f>
        <v>0.65700000000000003</v>
      </c>
      <c r="DE23" s="899" cm="1">
        <f t="array" aca="1" ref="DE23" ca="1">_xlfn.IFNA(OFFSET($AO$49,MATCH($DA23,$AO$50:$AO$63,0),MATCH($DB23,TRANSPOSE($AP$49:$BC$49),0)),0)</f>
        <v>0.43140000000000001</v>
      </c>
      <c r="DF23" s="881">
        <f t="shared" ca="1" si="8"/>
        <v>9.8812523775793845E-3</v>
      </c>
      <c r="DG23" s="910">
        <f t="shared" ca="1" si="9"/>
        <v>0.99999999999999967</v>
      </c>
      <c r="DH23" s="881">
        <f t="shared" ca="1" si="10"/>
        <v>9.881252377579381E-3</v>
      </c>
      <c r="DI23" s="1460">
        <f t="shared" ca="1" si="11"/>
        <v>1.660050399433336</v>
      </c>
      <c r="DJ23" s="909">
        <f>_xlfn.IFNA(INDEX('Resource use and costs'!$CQ$11:$CQ$53,MATCH($CZ23,'Resource use and costs'!$BA$11:$BA$53,0)),0)*_xlfn.IFNA(INDEX(DY$10:DY$23,MATCH($CZ23,$DX$10:$DX$23,0)),0)</f>
        <v>2860.9927072190476</v>
      </c>
      <c r="DK23" s="909">
        <f>IF(dd_PartSA_2_lines = "Yes",0,_xlfn.IFNA(INDEX('Resource use and costs'!$CR$11:$CR$53,MATCH(DA23,'Resource use and costs'!$BA$11:$BA$53,0)),0)*_xlfn.IFNA(INDEX(EA$10:EA$23,MATCH($DA23,$DX$10:$DX$23,0)),0))</f>
        <v>50308.075122000002</v>
      </c>
      <c r="DL23" s="909">
        <f>IF(dd_PartSA_2_lines = "Yes",0,_xlfn.IFNA(INDEX('Resource use and costs'!$CS$11:$CS$53,MATCH(DB23,'Resource use and costs'!$BA$11:$BA$53,0)),0)*_xlfn.IFNA(INDEX(EC$10:EC$23,MATCH($DB23,$DX$10:$DX$23,0)),0))</f>
        <v>0</v>
      </c>
      <c r="DM23" s="909">
        <f t="shared" si="13"/>
        <v>53169.06782921905</v>
      </c>
      <c r="DN23" s="909">
        <f>SUM(_xlfn.IFNA(INDEX('Resource use and costs'!$DU$12:$DU$25,MATCH(CZ23,'Resource use and costs'!$DS$12:$DS$25,0)),0),_xlfn.IFNA(INDEX('Resource use and costs'!$DU$12:$DU$25,MATCH(DA23,'Resource use and costs'!$DS$12:$DS$25,0)),0),_xlfn.IFNA(INDEX('Resource use and costs'!$DU$12:$DU$25,MATCH(DB23,'Resource use and costs'!$DS$12:$DS$25,0)),0))</f>
        <v>394.5</v>
      </c>
      <c r="DO23" s="921">
        <f>_xlfn.IFNA(INDEX('Resource use and costs'!$DY$12:$DY$25,MATCH(CZ23,'Resource use and costs'!$DS$12:$DS$25,0)),0)*_xlfn.IFNA(INDEX(DY$10:DY$23,MATCH($CZ23,$DX$10:$DX$23,0)),0)</f>
        <v>405.17019714285709</v>
      </c>
      <c r="DP23" s="921">
        <f>IF(dd_PartSA_2_lines = "Yes",0,_xlfn.IFNA(INDEX('Resource use and costs'!$DZ$12:$DZ$25,MATCH(DA23,'Resource use and costs'!$DS$12:$DS$25,0)),0)*_xlfn.IFNA(INDEX(EA$10:EA$23,MATCH($DA23,$DX$10:$DX$23,0)),0))</f>
        <v>461.1445457142857</v>
      </c>
      <c r="DQ23" s="921">
        <f>IF(dd_PartSA_2_lines = "Yes",0,_xlfn.IFNA(INDEX('Resource use and costs'!$EA$12:$EA$25,MATCH(DB23,'Resource use and costs'!$DS$12:$DS$25,0)),0)*_xlfn.IFNA(INDEX(EC$10:EC$23,MATCH($DB23,$DX$10:$DX$23,0)),0))</f>
        <v>0</v>
      </c>
      <c r="DR23" s="921">
        <f t="shared" si="14"/>
        <v>1260.8147428571428</v>
      </c>
      <c r="DS23" s="1004">
        <f ca="1">SUMIFS('Safety parameters'!$DM$6:$DM$18,'Safety parameters'!$DK$6:$DK$18,CZ23,'Safety parameters'!$DL$6:$DL$18,1)+IF(dd_PartSA_2_lines = "Yes",0,SUMIFS('Safety parameters'!$DM$6:$DM$18,'Safety parameters'!$DK$6:$DK$18,DA23,'Safety parameters'!$DL$6:$DL$18,2)+SUMIFS('Safety parameters'!$DM$6:$DM$18,'Safety parameters'!$DK$6:$DK$18,DB23,'Safety parameters'!$DL$6:$DL$18,2))</f>
        <v>1347.4626748033834</v>
      </c>
      <c r="DT23" s="910">
        <f ca="1">SUMIFS('Safety parameters'!$DO$6:$DO$18,'Safety parameters'!$DK$6:$DK$18,CZ23,'Safety parameters'!$DL$6:$DL$18,1)+IF(dd_PartSA_2_lines = "Yes",0,SUMIFS('Safety parameters'!$DO$6:$DO$18,'Safety parameters'!$DK$6:$DK$18,DA23,'Safety parameters'!$DL$6:$DL$18,2)+SUMIFS('Safety parameters'!$DO$6:$DO$18,'Safety parameters'!$DK$6:$DK$18,DB23,'Safety parameters'!$DL$6:$DL$18,2))</f>
        <v>-1.244840438498337E-2</v>
      </c>
      <c r="DX23" s="61" t="str">
        <v>placebo_BSC</v>
      </c>
      <c r="DY23" s="5">
        <v>999</v>
      </c>
      <c r="DZ23" s="5">
        <v>0</v>
      </c>
      <c r="EA23" s="5">
        <v>999</v>
      </c>
      <c r="EB23" s="5">
        <v>0</v>
      </c>
      <c r="EC23" s="5">
        <v>999</v>
      </c>
      <c r="ED23" s="5">
        <v>0</v>
      </c>
    </row>
    <row r="24" spans="3:140" ht="17.649999999999999" customHeight="1" x14ac:dyDescent="0.2">
      <c r="D24" s="82">
        <v>12</v>
      </c>
      <c r="E24" s="4" t="str">
        <v>axitinib</v>
      </c>
      <c r="G24" s="664"/>
      <c r="H24" s="664"/>
      <c r="CK24" s="61" t="str">
        <f t="shared" si="15"/>
        <v>Favourable risk</v>
      </c>
      <c r="CL24" s="61">
        <v>1</v>
      </c>
      <c r="CM24" s="61" t="str">
        <v>cabozantinib_plus_nivolumab</v>
      </c>
      <c r="CN24" s="17">
        <v>1</v>
      </c>
      <c r="CO24" s="17">
        <v>0</v>
      </c>
      <c r="CP24" s="17">
        <v>111</v>
      </c>
      <c r="CQ24" s="601">
        <f t="shared" si="16"/>
        <v>0</v>
      </c>
      <c r="CR24" s="601">
        <f t="shared" si="17"/>
        <v>0</v>
      </c>
      <c r="CS24" s="631">
        <v>0</v>
      </c>
      <c r="CT24" s="631">
        <v>0</v>
      </c>
      <c r="CU24" s="1123">
        <f>MATCH(CZ24,'Resource use and costs'!$BA$11:$BA$53,0)</f>
        <v>27</v>
      </c>
      <c r="CV24" s="1223"/>
      <c r="CW24" s="1241">
        <f t="shared" si="12"/>
        <v>1</v>
      </c>
      <c r="CX24" s="899" t="s">
        <v>764</v>
      </c>
      <c r="CY24" s="899" t="s">
        <v>583</v>
      </c>
      <c r="CZ24" s="899" t="s">
        <v>117</v>
      </c>
      <c r="DA24" s="899" t="s">
        <v>118</v>
      </c>
      <c r="DB24" s="899" t="s">
        <v>119</v>
      </c>
      <c r="DC24" s="899" cm="1">
        <f t="array" aca="1" ref="DC24" ca="1">_xlfn.IFNA(OFFSET($I$49,MATCH(CY24,$I$50:$I$63,0),MATCH(CZ24,TRANSPOSE($J$49:$W$49),0)),0)</f>
        <v>3.4863138518177635E-2</v>
      </c>
      <c r="DD24" s="899">
        <f ca="1">1-DD22-DD25</f>
        <v>0.65700000000000003</v>
      </c>
      <c r="DE24" s="899">
        <f ca="1">1-DE23</f>
        <v>0.56859999999999999</v>
      </c>
      <c r="DF24" s="881">
        <f t="shared" ca="1" si="8"/>
        <v>1.3023829628863323E-2</v>
      </c>
      <c r="DG24" s="910">
        <f t="shared" ca="1" si="9"/>
        <v>0.99999999999999967</v>
      </c>
      <c r="DH24" s="881">
        <f t="shared" ca="1" si="10"/>
        <v>1.3023829628863318E-2</v>
      </c>
      <c r="DI24" s="1460">
        <f t="shared" ca="1" si="11"/>
        <v>2.1880033776490375</v>
      </c>
      <c r="DJ24" s="909">
        <f>_xlfn.IFNA(INDEX('Resource use and costs'!$CQ$11:$CQ$53,MATCH($CZ24,'Resource use and costs'!$BA$11:$BA$53,0)),0)*_xlfn.IFNA(INDEX(DY$10:DY$23,MATCH($CZ24,$DX$10:$DX$23,0)),0)</f>
        <v>2860.9927072190476</v>
      </c>
      <c r="DK24" s="909">
        <f>IF(dd_PartSA_2_lines = "Yes",0,_xlfn.IFNA(INDEX('Resource use and costs'!$CR$11:$CR$53,MATCH(DA24,'Resource use and costs'!$BA$11:$BA$53,0)),0)*_xlfn.IFNA(INDEX(EA$10:EA$23,MATCH($DA24,$DX$10:$DX$23,0)),0))</f>
        <v>50308.075122000002</v>
      </c>
      <c r="DL24" s="909">
        <f>IF(dd_PartSA_2_lines = "Yes",0,_xlfn.IFNA(INDEX('Resource use and costs'!$CS$11:$CS$53,MATCH(DB24,'Resource use and costs'!$BA$11:$BA$53,0)),0)*_xlfn.IFNA(INDEX(EC$10:EC$23,MATCH($DB24,$DX$10:$DX$23,0)),0))</f>
        <v>2915.4763433333328</v>
      </c>
      <c r="DM24" s="909">
        <f t="shared" si="13"/>
        <v>56084.544172552385</v>
      </c>
      <c r="DN24" s="909">
        <f>SUM(_xlfn.IFNA(INDEX('Resource use and costs'!$DU$12:$DU$25,MATCH(CZ24,'Resource use and costs'!$DS$12:$DS$25,0)),0),_xlfn.IFNA(INDEX('Resource use and costs'!$DU$12:$DU$25,MATCH(DA24,'Resource use and costs'!$DS$12:$DS$25,0)),0),_xlfn.IFNA(INDEX('Resource use and costs'!$DU$12:$DU$25,MATCH(DB24,'Resource use and costs'!$DS$12:$DS$25,0)),0))</f>
        <v>591.75</v>
      </c>
      <c r="DO24" s="921">
        <f>_xlfn.IFNA(INDEX('Resource use and costs'!$DY$12:$DY$25,MATCH(CZ24,'Resource use and costs'!$DS$12:$DS$25,0)),0)*_xlfn.IFNA(INDEX(DY$10:DY$23,MATCH($CZ24,$DX$10:$DX$23,0)),0)</f>
        <v>405.17019714285709</v>
      </c>
      <c r="DP24" s="921">
        <f>IF(dd_PartSA_2_lines = "Yes",0,_xlfn.IFNA(INDEX('Resource use and costs'!$DZ$12:$DZ$25,MATCH(DA24,'Resource use and costs'!$DS$12:$DS$25,0)),0)*_xlfn.IFNA(INDEX(EA$10:EA$23,MATCH($DA24,$DX$10:$DX$23,0)),0))</f>
        <v>461.1445457142857</v>
      </c>
      <c r="DQ24" s="921">
        <f>IF(dd_PartSA_2_lines = "Yes",0,_xlfn.IFNA(INDEX('Resource use and costs'!$EA$12:$EA$25,MATCH(DB24,'Resource use and costs'!$DS$12:$DS$25,0)),0)*_xlfn.IFNA(INDEX(EC$10:EC$23,MATCH($DB24,$DX$10:$DX$23,0)),0))</f>
        <v>256.11457142857142</v>
      </c>
      <c r="DR24" s="921">
        <f t="shared" si="14"/>
        <v>1714.1793142857143</v>
      </c>
      <c r="DS24" s="1004">
        <f ca="1">SUMIFS('Safety parameters'!$DM$6:$DM$18,'Safety parameters'!$DK$6:$DK$18,CZ24,'Safety parameters'!$DL$6:$DL$18,1)+IF(dd_PartSA_2_lines = "Yes",0,SUMIFS('Safety parameters'!$DM$6:$DM$18,'Safety parameters'!$DK$6:$DK$18,DA24,'Safety parameters'!$DL$6:$DL$18,2)+SUMIFS('Safety parameters'!$DM$6:$DM$18,'Safety parameters'!$DK$6:$DK$18,DB24,'Safety parameters'!$DL$6:$DL$18,2))</f>
        <v>1680.3380581786982</v>
      </c>
      <c r="DT24" s="910">
        <f ca="1">SUMIFS('Safety parameters'!$DO$6:$DO$18,'Safety parameters'!$DK$6:$DK$18,CZ24,'Safety parameters'!$DL$6:$DL$18,1)+IF(dd_PartSA_2_lines = "Yes",0,SUMIFS('Safety parameters'!$DO$6:$DO$18,'Safety parameters'!$DK$6:$DK$18,DA24,'Safety parameters'!$DL$6:$DL$18,2)+SUMIFS('Safety parameters'!$DO$6:$DO$18,'Safety parameters'!$DK$6:$DK$18,DB24,'Safety parameters'!$DL$6:$DL$18,2))</f>
        <v>-1.5115977921621089E-2</v>
      </c>
    </row>
    <row r="25" spans="3:140" ht="17.649999999999999" customHeight="1" x14ac:dyDescent="0.2">
      <c r="D25" s="82">
        <v>13</v>
      </c>
      <c r="E25" s="4" t="str">
        <v>sorafenib</v>
      </c>
      <c r="G25" s="664"/>
      <c r="H25" s="664"/>
      <c r="CK25" s="61" t="str">
        <f t="shared" si="15"/>
        <v>Favourable risk</v>
      </c>
      <c r="CL25" s="61">
        <v>1</v>
      </c>
      <c r="CM25" s="61" t="str">
        <v>nivolumab_plus_ipilimumab</v>
      </c>
      <c r="CN25" s="17">
        <v>2</v>
      </c>
      <c r="CO25" s="17">
        <v>0</v>
      </c>
      <c r="CP25" s="17">
        <v>111</v>
      </c>
      <c r="CQ25" s="601">
        <f t="shared" si="16"/>
        <v>0</v>
      </c>
      <c r="CR25" s="601">
        <f t="shared" si="17"/>
        <v>0</v>
      </c>
      <c r="CS25" s="631">
        <v>0</v>
      </c>
      <c r="CT25" s="631">
        <v>0</v>
      </c>
      <c r="CU25" s="1123">
        <f>MATCH(CZ25,'Resource use and costs'!$BA$11:$BA$53,0)</f>
        <v>27</v>
      </c>
      <c r="CV25" s="1223"/>
      <c r="CW25" s="1241">
        <f t="shared" si="12"/>
        <v>1</v>
      </c>
      <c r="CX25" s="899" t="s">
        <v>764</v>
      </c>
      <c r="CY25" s="899" t="s">
        <v>583</v>
      </c>
      <c r="CZ25" s="899" t="s">
        <v>117</v>
      </c>
      <c r="DA25" s="899" t="s">
        <v>119</v>
      </c>
      <c r="DB25" s="899" t="s">
        <v>765</v>
      </c>
      <c r="DC25" s="899" cm="1">
        <f t="array" aca="1" ref="DC25" ca="1">_xlfn.IFNA(OFFSET($I$49,MATCH(CY25,$I$50:$I$63,0),MATCH(CZ25,TRANSPOSE($J$49:$W$49),0)),0)</f>
        <v>3.4863138518177635E-2</v>
      </c>
      <c r="DD25" s="899" cm="1">
        <f t="array" aca="1" ref="DD25" ca="1">_xlfn.IFNA(OFFSET($Y$49,MATCH($CZ25,$Y$50:$Y$63,0),MATCH($DA25,TRANSPOSE($Z$49:$AM$49),0)),0)</f>
        <v>0</v>
      </c>
      <c r="DE25" s="899" cm="1">
        <f t="array" aca="1" ref="DE25" ca="1">_xlfn.IFNA(OFFSET($AO$49,MATCH($DA25,$AO$50:$AO$63,0),MATCH($DB25,TRANSPOSE($AP$49:$BC$49),0)),0)</f>
        <v>1</v>
      </c>
      <c r="DF25" s="881">
        <f t="shared" ca="1" si="8"/>
        <v>0</v>
      </c>
      <c r="DG25" s="910">
        <f t="shared" ca="1" si="9"/>
        <v>0.99999999999999967</v>
      </c>
      <c r="DH25" s="881">
        <f t="shared" ca="1" si="10"/>
        <v>0</v>
      </c>
      <c r="DI25" s="1460">
        <f t="shared" ca="1" si="11"/>
        <v>0</v>
      </c>
      <c r="DJ25" s="909">
        <f>_xlfn.IFNA(INDEX('Resource use and costs'!$CQ$11:$CQ$53,MATCH($CZ25,'Resource use and costs'!$BA$11:$BA$53,0)),0)*_xlfn.IFNA(INDEX(DY$10:DY$23,MATCH($CZ25,$DX$10:$DX$23,0)),0)</f>
        <v>2860.9927072190476</v>
      </c>
      <c r="DK25" s="909">
        <f>IF(dd_PartSA_2_lines = "Yes",0,_xlfn.IFNA(INDEX('Resource use and costs'!$CR$11:$CR$53,MATCH(DA25,'Resource use and costs'!$BA$11:$BA$53,0)),0)*_xlfn.IFNA(INDEX(EA$10:EA$23,MATCH($DA25,$DX$10:$DX$23,0)),0))</f>
        <v>848.17532499999982</v>
      </c>
      <c r="DL25" s="909">
        <f>IF(dd_PartSA_2_lines = "Yes",0,_xlfn.IFNA(INDEX('Resource use and costs'!$CS$11:$CS$53,MATCH(DB25,'Resource use and costs'!$BA$11:$BA$53,0)),0)*_xlfn.IFNA(INDEX(EC$10:EC$23,MATCH($DB25,$DX$10:$DX$23,0)),0))</f>
        <v>0</v>
      </c>
      <c r="DM25" s="909">
        <f t="shared" si="13"/>
        <v>3709.1680322190473</v>
      </c>
      <c r="DN25" s="909">
        <f>SUM(_xlfn.IFNA(INDEX('Resource use and costs'!$DU$12:$DU$25,MATCH(CZ25,'Resource use and costs'!$DS$12:$DS$25,0)),0),_xlfn.IFNA(INDEX('Resource use and costs'!$DU$12:$DU$25,MATCH(DA25,'Resource use and costs'!$DS$12:$DS$25,0)),0),_xlfn.IFNA(INDEX('Resource use and costs'!$DU$12:$DU$25,MATCH(DB25,'Resource use and costs'!$DS$12:$DS$25,0)),0))</f>
        <v>394.5</v>
      </c>
      <c r="DO25" s="921">
        <f>_xlfn.IFNA(INDEX('Resource use and costs'!$DY$12:$DY$25,MATCH(CZ25,'Resource use and costs'!$DS$12:$DS$25,0)),0)*_xlfn.IFNA(INDEX(DY$10:DY$23,MATCH($CZ25,$DX$10:$DX$23,0)),0)</f>
        <v>405.17019714285709</v>
      </c>
      <c r="DP25" s="921">
        <f>IF(dd_PartSA_2_lines = "Yes",0,_xlfn.IFNA(INDEX('Resource use and costs'!$DZ$12:$DZ$25,MATCH(DA25,'Resource use and costs'!$DS$12:$DS$25,0)),0)*_xlfn.IFNA(INDEX(EA$10:EA$23,MATCH($DA25,$DX$10:$DX$23,0)),0))</f>
        <v>74.50928571428571</v>
      </c>
      <c r="DQ25" s="921">
        <f>IF(dd_PartSA_2_lines = "Yes",0,_xlfn.IFNA(INDEX('Resource use and costs'!$EA$12:$EA$25,MATCH(DB25,'Resource use and costs'!$DS$12:$DS$25,0)),0)*_xlfn.IFNA(INDEX(EC$10:EC$23,MATCH($DB25,$DX$10:$DX$23,0)),0))</f>
        <v>0</v>
      </c>
      <c r="DR25" s="921">
        <f t="shared" si="14"/>
        <v>874.17948285714283</v>
      </c>
      <c r="DS25" s="1004">
        <f ca="1">SUMIFS('Safety parameters'!$DM$6:$DM$18,'Safety parameters'!$DK$6:$DK$18,CZ25,'Safety parameters'!$DL$6:$DL$18,1)+IF(dd_PartSA_2_lines = "Yes",0,SUMIFS('Safety parameters'!$DM$6:$DM$18,'Safety parameters'!$DK$6:$DK$18,DA25,'Safety parameters'!$DL$6:$DL$18,2)+SUMIFS('Safety parameters'!$DM$6:$DM$18,'Safety parameters'!$DK$6:$DK$18,DB25,'Safety parameters'!$DL$6:$DL$18,2))</f>
        <v>936.68875837531493</v>
      </c>
      <c r="DT25" s="910">
        <f ca="1">SUMIFS('Safety parameters'!$DO$6:$DO$18,'Safety parameters'!$DK$6:$DK$18,CZ25,'Safety parameters'!$DL$6:$DL$18,1)+IF(dd_PartSA_2_lines = "Yes",0,SUMIFS('Safety parameters'!$DO$6:$DO$18,'Safety parameters'!$DK$6:$DK$18,DA25,'Safety parameters'!$DL$6:$DL$18,2)+SUMIFS('Safety parameters'!$DO$6:$DO$18,'Safety parameters'!$DK$6:$DK$18,DB25,'Safety parameters'!$DL$6:$DL$18,2))</f>
        <v>-8.0936515653851522E-3</v>
      </c>
    </row>
    <row r="26" spans="3:140" ht="15" x14ac:dyDescent="0.2">
      <c r="E26" s="4" t="str">
        <v>placebo_BSC</v>
      </c>
      <c r="G26" s="664"/>
      <c r="H26" s="664"/>
      <c r="CK26" s="61" t="str">
        <f t="shared" si="15"/>
        <v>Favourable risk</v>
      </c>
      <c r="CL26" s="61">
        <v>1</v>
      </c>
      <c r="CM26" s="61" t="str">
        <v>lenvatinib_plus_pembrolizumab</v>
      </c>
      <c r="CN26" s="17">
        <v>3</v>
      </c>
      <c r="CO26" s="17">
        <v>0</v>
      </c>
      <c r="CP26" s="17">
        <v>111</v>
      </c>
      <c r="CQ26" s="601">
        <f t="shared" si="16"/>
        <v>0</v>
      </c>
      <c r="CR26" s="601">
        <f t="shared" si="17"/>
        <v>0</v>
      </c>
      <c r="CS26" s="631">
        <v>0</v>
      </c>
      <c r="CT26" s="631">
        <v>0</v>
      </c>
      <c r="CU26" s="1123">
        <f>MATCH(CZ26,'Resource use and costs'!$BA$11:$BA$53,0)</f>
        <v>24</v>
      </c>
      <c r="CV26" s="1223"/>
      <c r="CW26" s="1241">
        <f t="shared" si="12"/>
        <v>1</v>
      </c>
      <c r="CX26" s="899" t="s">
        <v>764</v>
      </c>
      <c r="CY26" s="899" t="s">
        <v>583</v>
      </c>
      <c r="CZ26" s="899" t="s">
        <v>319</v>
      </c>
      <c r="DA26" s="899" t="s">
        <v>765</v>
      </c>
      <c r="DB26" s="899"/>
      <c r="DC26" s="899" cm="1">
        <f t="array" aca="1" ref="DC26" ca="1">_xlfn.IFNA(OFFSET($I$49,MATCH(CY26,$I$50:$I$63,0),MATCH(CZ26,TRANSPOSE($J$49:$W$49),0)),0)</f>
        <v>4.6553152323976062E-2</v>
      </c>
      <c r="DD26" s="899" cm="1">
        <f t="array" aca="1" ref="DD26" ca="1">_xlfn.IFNA(OFFSET($Y$49,MATCH($CZ26,$Y$50:$Y$63,0),MATCH($DA26,TRANSPOSE($Z$49:$AM$49),0)),0)</f>
        <v>0.34300000000000003</v>
      </c>
      <c r="DE26" s="899" cm="1">
        <f t="array" aca="1" ref="DE26" ca="1">_xlfn.IFNA(OFFSET($AO$49,MATCH($DA26,$AO$50:$AO$63,0),MATCH($DB26,TRANSPOSE($AP$49:$BC$49),0)),0)</f>
        <v>0</v>
      </c>
      <c r="DF26" s="881">
        <f t="shared" ca="1" si="8"/>
        <v>1.5967731247123789E-2</v>
      </c>
      <c r="DG26" s="910">
        <f t="shared" ca="1" si="9"/>
        <v>0.99999999999999967</v>
      </c>
      <c r="DH26" s="881">
        <f t="shared" ca="1" si="10"/>
        <v>1.5967731247123782E-2</v>
      </c>
      <c r="DI26" s="1460">
        <f t="shared" ca="1" si="11"/>
        <v>2.6825788495167955</v>
      </c>
      <c r="DJ26" s="909">
        <f>_xlfn.IFNA(INDEX('Resource use and costs'!$CQ$11:$CQ$53,MATCH($CZ26,'Resource use and costs'!$BA$11:$BA$53,0)),0)*_xlfn.IFNA(INDEX(DY$10:DY$23,MATCH($CZ26,$DX$10:$DX$23,0)),0)</f>
        <v>20680.612971428574</v>
      </c>
      <c r="DK26" s="909">
        <f>IF(dd_PartSA_2_lines = "Yes",0,_xlfn.IFNA(INDEX('Resource use and costs'!$CR$11:$CR$53,MATCH(DA26,'Resource use and costs'!$BA$11:$BA$53,0)),0)*_xlfn.IFNA(INDEX(EA$10:EA$23,MATCH($DA26,$DX$10:$DX$23,0)),0))</f>
        <v>0</v>
      </c>
      <c r="DL26" s="909">
        <f>IF(dd_PartSA_2_lines = "Yes",0,_xlfn.IFNA(INDEX('Resource use and costs'!$CS$11:$CS$53,MATCH(DB26,'Resource use and costs'!$BA$11:$BA$53,0)),0)*_xlfn.IFNA(INDEX(EC$10:EC$23,MATCH($DB26,$DX$10:$DX$23,0)),0))</f>
        <v>0</v>
      </c>
      <c r="DM26" s="909">
        <f t="shared" si="13"/>
        <v>20680.612971428574</v>
      </c>
      <c r="DN26" s="909">
        <f>SUM(_xlfn.IFNA(INDEX('Resource use and costs'!$DU$12:$DU$25,MATCH(CZ26,'Resource use and costs'!$DS$12:$DS$25,0)),0),_xlfn.IFNA(INDEX('Resource use and costs'!$DU$12:$DU$25,MATCH(DA26,'Resource use and costs'!$DS$12:$DS$25,0)),0),_xlfn.IFNA(INDEX('Resource use and costs'!$DU$12:$DU$25,MATCH(DB26,'Resource use and costs'!$DS$12:$DS$25,0)),0))</f>
        <v>197.25</v>
      </c>
      <c r="DO26" s="921">
        <f>_xlfn.IFNA(INDEX('Resource use and costs'!$DY$12:$DY$25,MATCH(CZ26,'Resource use and costs'!$DS$12:$DS$25,0)),0)*_xlfn.IFNA(INDEX(DY$10:DY$23,MATCH($CZ26,$DX$10:$DX$23,0)),0)</f>
        <v>443.44394285714293</v>
      </c>
      <c r="DP26" s="921">
        <f>IF(dd_PartSA_2_lines = "Yes",0,_xlfn.IFNA(INDEX('Resource use and costs'!$DZ$12:$DZ$25,MATCH(DA26,'Resource use and costs'!$DS$12:$DS$25,0)),0)*_xlfn.IFNA(INDEX(EA$10:EA$23,MATCH($DA26,$DX$10:$DX$23,0)),0))</f>
        <v>0</v>
      </c>
      <c r="DQ26" s="921">
        <f>IF(dd_PartSA_2_lines = "Yes",0,_xlfn.IFNA(INDEX('Resource use and costs'!$EA$12:$EA$25,MATCH(DB26,'Resource use and costs'!$DS$12:$DS$25,0)),0)*_xlfn.IFNA(INDEX(EC$10:EC$23,MATCH($DB26,$DX$10:$DX$23,0)),0))</f>
        <v>0</v>
      </c>
      <c r="DR26" s="921">
        <f t="shared" si="14"/>
        <v>640.69394285714293</v>
      </c>
      <c r="DS26" s="1004">
        <f ca="1">SUMIFS('Safety parameters'!$DM$6:$DM$18,'Safety parameters'!$DK$6:$DK$18,CZ26,'Safety parameters'!$DL$6:$DL$18,1)+IF(dd_PartSA_2_lines = "Yes",0,SUMIFS('Safety parameters'!$DM$6:$DM$18,'Safety parameters'!$DK$6:$DK$18,DA26,'Safety parameters'!$DL$6:$DL$18,2)+SUMIFS('Safety parameters'!$DM$6:$DM$18,'Safety parameters'!$DK$6:$DK$18,DB26,'Safety parameters'!$DL$6:$DL$18,2))</f>
        <v>407.93605269805306</v>
      </c>
      <c r="DT26" s="910">
        <f ca="1">SUMIFS('Safety parameters'!$DO$6:$DO$18,'Safety parameters'!$DK$6:$DK$18,CZ26,'Safety parameters'!$DL$6:$DL$18,1)+IF(dd_PartSA_2_lines = "Yes",0,SUMIFS('Safety parameters'!$DO$6:$DO$18,'Safety parameters'!$DK$6:$DK$18,DA26,'Safety parameters'!$DL$6:$DL$18,2)+SUMIFS('Safety parameters'!$DO$6:$DO$18,'Safety parameters'!$DK$6:$DK$18,DB26,'Safety parameters'!$DL$6:$DL$18,2))</f>
        <v>-3.453954640319298E-3</v>
      </c>
    </row>
    <row r="27" spans="3:140" ht="15.75" x14ac:dyDescent="0.25">
      <c r="G27" s="1727"/>
      <c r="H27" s="488"/>
      <c r="I27" s="1728"/>
      <c r="J27" s="1728"/>
      <c r="K27" s="1728"/>
      <c r="L27" s="1728"/>
      <c r="M27" s="1728"/>
      <c r="N27" s="1728"/>
      <c r="O27" s="1728"/>
      <c r="P27" s="1728"/>
      <c r="Q27" s="1728"/>
      <c r="CK27" s="61" t="str">
        <f t="shared" si="15"/>
        <v>Favourable risk</v>
      </c>
      <c r="CL27" s="61">
        <v>1</v>
      </c>
      <c r="CM27" s="61" t="str">
        <v>avelumab_plus_axitinib</v>
      </c>
      <c r="CN27" s="17">
        <v>4</v>
      </c>
      <c r="CO27" s="17">
        <v>0</v>
      </c>
      <c r="CP27" s="17">
        <v>111</v>
      </c>
      <c r="CQ27" s="601">
        <f t="shared" si="16"/>
        <v>0</v>
      </c>
      <c r="CR27" s="601">
        <f t="shared" si="17"/>
        <v>0</v>
      </c>
      <c r="CS27" s="631">
        <v>0</v>
      </c>
      <c r="CT27" s="631">
        <v>0</v>
      </c>
      <c r="CU27" s="1123">
        <f>MATCH(CZ27,'Resource use and costs'!$BA$11:$BA$53,0)</f>
        <v>24</v>
      </c>
      <c r="CV27" s="1223"/>
      <c r="CW27" s="1241">
        <f t="shared" si="12"/>
        <v>1</v>
      </c>
      <c r="CX27" s="899" t="s">
        <v>764</v>
      </c>
      <c r="CY27" s="899" t="s">
        <v>583</v>
      </c>
      <c r="CZ27" s="899" t="s">
        <v>319</v>
      </c>
      <c r="DA27" s="899" t="s">
        <v>118</v>
      </c>
      <c r="DB27" s="899" t="s">
        <v>765</v>
      </c>
      <c r="DC27" s="899" cm="1">
        <f t="array" aca="1" ref="DC27" ca="1">_xlfn.IFNA(OFFSET($I$49,MATCH(CY27,$I$50:$I$63,0),MATCH(CZ27,TRANSPOSE($J$49:$W$49),0)),0)</f>
        <v>4.6553152323976062E-2</v>
      </c>
      <c r="DD27" s="899">
        <f ca="1">1-DD26-DD29</f>
        <v>0.61010000000000009</v>
      </c>
      <c r="DE27" s="899" cm="1">
        <f t="array" aca="1" ref="DE27" ca="1">_xlfn.IFNA(OFFSET($AO$49,MATCH($DA27,$AO$50:$AO$63,0),MATCH($DB27,TRANSPOSE($AP$49:$BC$49),0)),0)</f>
        <v>0.43140000000000001</v>
      </c>
      <c r="DF27" s="881">
        <f t="shared" ca="1" si="8"/>
        <v>1.2252656549654855E-2</v>
      </c>
      <c r="DG27" s="910">
        <f t="shared" ca="1" si="9"/>
        <v>0.99999999999999967</v>
      </c>
      <c r="DH27" s="881">
        <f t="shared" ca="1" si="10"/>
        <v>1.2252656549654852E-2</v>
      </c>
      <c r="DI27" s="1460">
        <f t="shared" ca="1" si="11"/>
        <v>2.0584463003420153</v>
      </c>
      <c r="DJ27" s="909">
        <f>_xlfn.IFNA(INDEX('Resource use and costs'!$CQ$11:$CQ$53,MATCH($CZ27,'Resource use and costs'!$BA$11:$BA$53,0)),0)*_xlfn.IFNA(INDEX(DY$10:DY$23,MATCH($CZ27,$DX$10:$DX$23,0)),0)</f>
        <v>20680.612971428574</v>
      </c>
      <c r="DK27" s="909">
        <f>IF(dd_PartSA_2_lines = "Yes",0,_xlfn.IFNA(INDEX('Resource use and costs'!$CR$11:$CR$53,MATCH(DA27,'Resource use and costs'!$BA$11:$BA$53,0)),0)*_xlfn.IFNA(INDEX(EA$10:EA$23,MATCH($DA27,$DX$10:$DX$23,0)),0))</f>
        <v>50308.075122000002</v>
      </c>
      <c r="DL27" s="909">
        <f>IF(dd_PartSA_2_lines = "Yes",0,_xlfn.IFNA(INDEX('Resource use and costs'!$CS$11:$CS$53,MATCH(DB27,'Resource use and costs'!$BA$11:$BA$53,0)),0)*_xlfn.IFNA(INDEX(EC$10:EC$23,MATCH($DB27,$DX$10:$DX$23,0)),0))</f>
        <v>0</v>
      </c>
      <c r="DM27" s="909">
        <f t="shared" si="13"/>
        <v>70988.688093428573</v>
      </c>
      <c r="DN27" s="909">
        <f>SUM(_xlfn.IFNA(INDEX('Resource use and costs'!$DU$12:$DU$25,MATCH(CZ27,'Resource use and costs'!$DS$12:$DS$25,0)),0),_xlfn.IFNA(INDEX('Resource use and costs'!$DU$12:$DU$25,MATCH(DA27,'Resource use and costs'!$DS$12:$DS$25,0)),0),_xlfn.IFNA(INDEX('Resource use and costs'!$DU$12:$DU$25,MATCH(DB27,'Resource use and costs'!$DS$12:$DS$25,0)),0))</f>
        <v>394.5</v>
      </c>
      <c r="DO27" s="921">
        <f>_xlfn.IFNA(INDEX('Resource use and costs'!$DY$12:$DY$25,MATCH(CZ27,'Resource use and costs'!$DS$12:$DS$25,0)),0)*_xlfn.IFNA(INDEX(DY$10:DY$23,MATCH($CZ27,$DX$10:$DX$23,0)),0)</f>
        <v>443.44394285714293</v>
      </c>
      <c r="DP27" s="921">
        <f>IF(dd_PartSA_2_lines = "Yes",0,_xlfn.IFNA(INDEX('Resource use and costs'!$DZ$12:$DZ$25,MATCH(DA27,'Resource use and costs'!$DS$12:$DS$25,0)),0)*_xlfn.IFNA(INDEX(EA$10:EA$23,MATCH($DA27,$DX$10:$DX$23,0)),0))</f>
        <v>461.1445457142857</v>
      </c>
      <c r="DQ27" s="921">
        <f>IF(dd_PartSA_2_lines = "Yes",0,_xlfn.IFNA(INDEX('Resource use and costs'!$EA$12:$EA$25,MATCH(DB27,'Resource use and costs'!$DS$12:$DS$25,0)),0)*_xlfn.IFNA(INDEX(EC$10:EC$23,MATCH($DB27,$DX$10:$DX$23,0)),0))</f>
        <v>0</v>
      </c>
      <c r="DR27" s="921">
        <f t="shared" si="14"/>
        <v>1299.0884885714286</v>
      </c>
      <c r="DS27" s="1004">
        <f ca="1">SUMIFS('Safety parameters'!$DM$6:$DM$18,'Safety parameters'!$DK$6:$DK$18,CZ27,'Safety parameters'!$DL$6:$DL$18,1)+IF(dd_PartSA_2_lines = "Yes",0,SUMIFS('Safety parameters'!$DM$6:$DM$18,'Safety parameters'!$DK$6:$DK$18,DA27,'Safety parameters'!$DL$6:$DL$18,2)+SUMIFS('Safety parameters'!$DM$6:$DM$18,'Safety parameters'!$DK$6:$DK$18,DB27,'Safety parameters'!$DL$6:$DL$18,2))</f>
        <v>1151.5853525014365</v>
      </c>
      <c r="DT27" s="910">
        <f ca="1">SUMIFS('Safety parameters'!$DO$6:$DO$18,'Safety parameters'!$DK$6:$DK$18,CZ27,'Safety parameters'!$DL$6:$DL$18,1)+IF(dd_PartSA_2_lines = "Yes",0,SUMIFS('Safety parameters'!$DO$6:$DO$18,'Safety parameters'!$DK$6:$DK$18,DA27,'Safety parameters'!$DL$6:$DL$18,2)+SUMIFS('Safety parameters'!$DO$6:$DO$18,'Safety parameters'!$DK$6:$DK$18,DB27,'Safety parameters'!$DL$6:$DL$18,2))</f>
        <v>-1.0476280996555235E-2</v>
      </c>
      <c r="DX27" s="61" t="s">
        <v>766</v>
      </c>
      <c r="DY27" s="61" t="s">
        <v>30</v>
      </c>
      <c r="DZ27" s="61" t="s">
        <v>767</v>
      </c>
      <c r="EA27" s="61" t="s">
        <v>768</v>
      </c>
      <c r="EB27" s="61" t="s">
        <v>769</v>
      </c>
      <c r="EC27" s="61" t="s">
        <v>770</v>
      </c>
      <c r="ED27" s="61" t="s">
        <v>771</v>
      </c>
      <c r="EE27" s="61" t="s">
        <v>772</v>
      </c>
    </row>
    <row r="28" spans="3:140" ht="15.75" x14ac:dyDescent="0.25">
      <c r="G28" s="1727"/>
      <c r="H28" s="488"/>
      <c r="I28" s="72"/>
      <c r="J28" s="72"/>
      <c r="K28" s="72"/>
      <c r="L28" s="72"/>
      <c r="M28" s="72"/>
      <c r="N28" s="72"/>
      <c r="O28" s="72"/>
      <c r="P28" s="72"/>
      <c r="Q28" s="72"/>
      <c r="CK28" s="61" t="str">
        <f t="shared" si="15"/>
        <v>Favourable risk</v>
      </c>
      <c r="CL28" s="61">
        <v>1</v>
      </c>
      <c r="CM28" s="61" t="str">
        <v>pazopanib</v>
      </c>
      <c r="CN28" s="17">
        <v>5</v>
      </c>
      <c r="CO28" s="17">
        <v>0</v>
      </c>
      <c r="CP28" s="17">
        <v>111</v>
      </c>
      <c r="CQ28" s="601">
        <f t="shared" si="16"/>
        <v>0</v>
      </c>
      <c r="CR28" s="601">
        <f t="shared" si="17"/>
        <v>0</v>
      </c>
      <c r="CS28" s="631">
        <v>0</v>
      </c>
      <c r="CT28" s="631">
        <v>0</v>
      </c>
      <c r="CU28" s="1123">
        <f>MATCH(CZ28,'Resource use and costs'!$BA$11:$BA$53,0)</f>
        <v>24</v>
      </c>
      <c r="CV28" s="1223"/>
      <c r="CW28" s="1241">
        <f t="shared" si="12"/>
        <v>1</v>
      </c>
      <c r="CX28" s="899" t="s">
        <v>764</v>
      </c>
      <c r="CY28" s="899" t="s">
        <v>583</v>
      </c>
      <c r="CZ28" s="899" t="s">
        <v>319</v>
      </c>
      <c r="DA28" s="899" t="s">
        <v>118</v>
      </c>
      <c r="DB28" s="899" t="s">
        <v>119</v>
      </c>
      <c r="DC28" s="899" cm="1">
        <f t="array" aca="1" ref="DC28" ca="1">_xlfn.IFNA(OFFSET($I$49,MATCH(CY28,$I$50:$I$63,0),MATCH(CZ28,TRANSPOSE($J$49:$W$49),0)),0)</f>
        <v>4.6553152323976062E-2</v>
      </c>
      <c r="DD28" s="899">
        <f ca="1">1-DD26-DD29</f>
        <v>0.61010000000000009</v>
      </c>
      <c r="DE28" s="899">
        <f ca="1">1-DE27</f>
        <v>0.56859999999999999</v>
      </c>
      <c r="DF28" s="881">
        <f t="shared" ca="1" si="8"/>
        <v>1.6149421683202946E-2</v>
      </c>
      <c r="DG28" s="910">
        <f t="shared" ca="1" si="9"/>
        <v>0.99999999999999967</v>
      </c>
      <c r="DH28" s="881">
        <f t="shared" ca="1" si="10"/>
        <v>1.6149421683202939E-2</v>
      </c>
      <c r="DI28" s="1460">
        <f t="shared" ca="1" si="11"/>
        <v>2.7131028427780937</v>
      </c>
      <c r="DJ28" s="909">
        <f>_xlfn.IFNA(INDEX('Resource use and costs'!$CQ$11:$CQ$53,MATCH($CZ28,'Resource use and costs'!$BA$11:$BA$53,0)),0)*_xlfn.IFNA(INDEX(DY$10:DY$23,MATCH($CZ28,$DX$10:$DX$23,0)),0)</f>
        <v>20680.612971428574</v>
      </c>
      <c r="DK28" s="909">
        <f>IF(dd_PartSA_2_lines = "Yes",0,_xlfn.IFNA(INDEX('Resource use and costs'!$CR$11:$CR$53,MATCH(DA28,'Resource use and costs'!$BA$11:$BA$53,0)),0)*_xlfn.IFNA(INDEX(EA$10:EA$23,MATCH($DA28,$DX$10:$DX$23,0)),0))</f>
        <v>50308.075122000002</v>
      </c>
      <c r="DL28" s="909">
        <f>IF(dd_PartSA_2_lines = "Yes",0,_xlfn.IFNA(INDEX('Resource use and costs'!$CS$11:$CS$53,MATCH(DB28,'Resource use and costs'!$BA$11:$BA$53,0)),0)*_xlfn.IFNA(INDEX(EC$10:EC$23,MATCH($DB28,$DX$10:$DX$23,0)),0))</f>
        <v>2915.4763433333328</v>
      </c>
      <c r="DM28" s="909">
        <f t="shared" si="13"/>
        <v>73904.164436761901</v>
      </c>
      <c r="DN28" s="909">
        <f>SUM(_xlfn.IFNA(INDEX('Resource use and costs'!$DU$12:$DU$25,MATCH(CZ28,'Resource use and costs'!$DS$12:$DS$25,0)),0),_xlfn.IFNA(INDEX('Resource use and costs'!$DU$12:$DU$25,MATCH(DA28,'Resource use and costs'!$DS$12:$DS$25,0)),0),_xlfn.IFNA(INDEX('Resource use and costs'!$DU$12:$DU$25,MATCH(DB28,'Resource use and costs'!$DS$12:$DS$25,0)),0))</f>
        <v>591.75</v>
      </c>
      <c r="DO28" s="921">
        <f>_xlfn.IFNA(INDEX('Resource use and costs'!$DY$12:$DY$25,MATCH(CZ28,'Resource use and costs'!$DS$12:$DS$25,0)),0)*_xlfn.IFNA(INDEX(DY$10:DY$23,MATCH($CZ28,$DX$10:$DX$23,0)),0)</f>
        <v>443.44394285714293</v>
      </c>
      <c r="DP28" s="921">
        <f>IF(dd_PartSA_2_lines = "Yes",0,_xlfn.IFNA(INDEX('Resource use and costs'!$DZ$12:$DZ$25,MATCH(DA28,'Resource use and costs'!$DS$12:$DS$25,0)),0)*_xlfn.IFNA(INDEX(EA$10:EA$23,MATCH($DA28,$DX$10:$DX$23,0)),0))</f>
        <v>461.1445457142857</v>
      </c>
      <c r="DQ28" s="921">
        <f>IF(dd_PartSA_2_lines = "Yes",0,_xlfn.IFNA(INDEX('Resource use and costs'!$EA$12:$EA$25,MATCH(DB28,'Resource use and costs'!$DS$12:$DS$25,0)),0)*_xlfn.IFNA(INDEX(EC$10:EC$23,MATCH($DB28,$DX$10:$DX$23,0)),0))</f>
        <v>256.11457142857142</v>
      </c>
      <c r="DR28" s="921">
        <f t="shared" si="14"/>
        <v>1752.4530600000001</v>
      </c>
      <c r="DS28" s="1004">
        <f ca="1">SUMIFS('Safety parameters'!$DM$6:$DM$18,'Safety parameters'!$DK$6:$DK$18,CZ28,'Safety parameters'!$DL$6:$DL$18,1)+IF(dd_PartSA_2_lines = "Yes",0,SUMIFS('Safety parameters'!$DM$6:$DM$18,'Safety parameters'!$DK$6:$DK$18,DA28,'Safety parameters'!$DL$6:$DL$18,2)+SUMIFS('Safety parameters'!$DM$6:$DM$18,'Safety parameters'!$DK$6:$DK$18,DB28,'Safety parameters'!$DL$6:$DL$18,2))</f>
        <v>1484.4607358767514</v>
      </c>
      <c r="DT28" s="910">
        <f ca="1">SUMIFS('Safety parameters'!$DO$6:$DO$18,'Safety parameters'!$DK$6:$DK$18,CZ28,'Safety parameters'!$DL$6:$DL$18,1)+IF(dd_PartSA_2_lines = "Yes",0,SUMIFS('Safety parameters'!$DO$6:$DO$18,'Safety parameters'!$DK$6:$DK$18,DA28,'Safety parameters'!$DL$6:$DL$18,2)+SUMIFS('Safety parameters'!$DO$6:$DO$18,'Safety parameters'!$DK$6:$DK$18,DB28,'Safety parameters'!$DL$6:$DL$18,2))</f>
        <v>-1.3143854533192955E-2</v>
      </c>
      <c r="DX28" s="61" t="str" cm="1">
        <f t="array" ref="DX28:DX41">List_comparators</f>
        <v>nivolumab_monotherapy</v>
      </c>
      <c r="DY28" s="1030" t="str">
        <f>CX11</f>
        <v>pop0</v>
      </c>
      <c r="DZ28" s="920" cm="1">
        <f t="array" aca="1" ref="DZ28" ca="1">SUMPRODUCT(($CX$11:$CX$779=DY28)*($CY$11:$CY$779=DX28),$DH$11:$DH$779,$DM$11:$DM$779)</f>
        <v>0</v>
      </c>
      <c r="EA28" s="920" cm="1">
        <f t="array" aca="1" ref="EA28" ca="1">SUMPRODUCT(($CX$11:$CX$779=DY28)*($CY$11:$CY$779=DX28),$DH$11:$DH$779,$DR$11:$DR$779)</f>
        <v>0</v>
      </c>
      <c r="EB28" s="920" cm="1">
        <f t="array" aca="1" ref="EB28" ca="1">SUMPRODUCT(($CX$11:$CX$779=DY28)*($CY$11:$CY$779=DX28),$DH$11:$DH$779,$DS$11:$DS$779)</f>
        <v>0</v>
      </c>
      <c r="EC28" s="1029" cm="1">
        <f t="array" aca="1" ref="EC28" ca="1">SUMPRODUCT(($CX$11:$CX$779=DY28)*($CY$11:$CY$779=DX28),$DH$11:$DH$779,$DT$11:$DT$779)</f>
        <v>0</v>
      </c>
      <c r="ED28" s="920">
        <f t="shared" ref="ED28:ED59" ca="1" si="18">i_SE_costs*DZ28</f>
        <v>0</v>
      </c>
      <c r="EE28" s="920">
        <f t="shared" ref="EE28:EE59" ca="1" si="19">i_SE_costs*EA28</f>
        <v>0</v>
      </c>
      <c r="EF28" s="1238"/>
      <c r="EG28" s="1238"/>
      <c r="EH28" s="1238"/>
      <c r="EI28" s="1238"/>
      <c r="EJ28" s="1238"/>
    </row>
    <row r="29" spans="3:140" ht="15.75" x14ac:dyDescent="0.25">
      <c r="C29" s="69" t="s">
        <v>573</v>
      </c>
      <c r="G29" s="1726" t="s">
        <v>763</v>
      </c>
      <c r="H29" s="1726"/>
      <c r="I29" s="73"/>
      <c r="J29" s="73"/>
      <c r="K29" s="73"/>
      <c r="L29" s="73"/>
      <c r="M29" s="73"/>
      <c r="N29" s="73"/>
      <c r="O29" s="73"/>
      <c r="P29" s="73"/>
      <c r="Q29" s="73"/>
      <c r="CK29" s="61" t="str">
        <f t="shared" si="15"/>
        <v>Favourable risk</v>
      </c>
      <c r="CL29" s="61">
        <v>1</v>
      </c>
      <c r="CM29" s="61" t="str">
        <v>tivozanib</v>
      </c>
      <c r="CN29" s="17">
        <v>6</v>
      </c>
      <c r="CO29" s="17">
        <v>0</v>
      </c>
      <c r="CP29" s="17">
        <v>111</v>
      </c>
      <c r="CQ29" s="601">
        <f t="shared" si="16"/>
        <v>0</v>
      </c>
      <c r="CR29" s="601">
        <f t="shared" si="17"/>
        <v>0</v>
      </c>
      <c r="CS29" s="631">
        <v>0</v>
      </c>
      <c r="CT29" s="631">
        <v>0</v>
      </c>
      <c r="CU29" s="1123">
        <f>MATCH(CZ29,'Resource use and costs'!$BA$11:$BA$53,0)</f>
        <v>24</v>
      </c>
      <c r="CV29" s="1223"/>
      <c r="CW29" s="1241">
        <f t="shared" si="12"/>
        <v>1</v>
      </c>
      <c r="CX29" s="899" t="s">
        <v>764</v>
      </c>
      <c r="CY29" s="899" t="s">
        <v>583</v>
      </c>
      <c r="CZ29" s="899" t="s">
        <v>319</v>
      </c>
      <c r="DA29" s="899" t="s">
        <v>119</v>
      </c>
      <c r="DB29" s="899" t="s">
        <v>765</v>
      </c>
      <c r="DC29" s="899" cm="1">
        <f t="array" aca="1" ref="DC29" ca="1">_xlfn.IFNA(OFFSET($I$49,MATCH(CY29,$I$50:$I$63,0),MATCH(CZ29,TRANSPOSE($J$49:$W$49),0)),0)</f>
        <v>4.6553152323976062E-2</v>
      </c>
      <c r="DD29" s="899" cm="1">
        <f t="array" aca="1" ref="DD29" ca="1">_xlfn.IFNA(OFFSET($Y$49,MATCH($CZ29,$Y$50:$Y$63,0),MATCH($DA29,TRANSPOSE($Z$49:$AM$49),0)),0)</f>
        <v>4.6899999999999997E-2</v>
      </c>
      <c r="DE29" s="899" cm="1">
        <f t="array" aca="1" ref="DE29" ca="1">_xlfn.IFNA(OFFSET($AO$49,MATCH($DA29,$AO$50:$AO$63,0),MATCH($DB29,TRANSPOSE($AP$49:$BC$49),0)),0)</f>
        <v>1</v>
      </c>
      <c r="DF29" s="881">
        <f t="shared" ca="1" si="8"/>
        <v>2.1833428439944772E-3</v>
      </c>
      <c r="DG29" s="910">
        <f t="shared" ca="1" si="9"/>
        <v>0.99999999999999967</v>
      </c>
      <c r="DH29" s="881">
        <f t="shared" ca="1" si="10"/>
        <v>2.1833428439944763E-3</v>
      </c>
      <c r="DI29" s="1460">
        <f t="shared" ca="1" si="11"/>
        <v>0.36680159779107202</v>
      </c>
      <c r="DJ29" s="909">
        <f>_xlfn.IFNA(INDEX('Resource use and costs'!$CQ$11:$CQ$53,MATCH($CZ29,'Resource use and costs'!$BA$11:$BA$53,0)),0)*_xlfn.IFNA(INDEX(DY$10:DY$23,MATCH($CZ29,$DX$10:$DX$23,0)),0)</f>
        <v>20680.612971428574</v>
      </c>
      <c r="DK29" s="909">
        <f>IF(dd_PartSA_2_lines = "Yes",0,_xlfn.IFNA(INDEX('Resource use and costs'!$CR$11:$CR$53,MATCH(DA29,'Resource use and costs'!$BA$11:$BA$53,0)),0)*_xlfn.IFNA(INDEX(EA$10:EA$23,MATCH($DA29,$DX$10:$DX$23,0)),0))</f>
        <v>848.17532499999982</v>
      </c>
      <c r="DL29" s="909">
        <f>IF(dd_PartSA_2_lines = "Yes",0,_xlfn.IFNA(INDEX('Resource use and costs'!$CS$11:$CS$53,MATCH(DB29,'Resource use and costs'!$BA$11:$BA$53,0)),0)*_xlfn.IFNA(INDEX(EC$10:EC$23,MATCH($DB29,$DX$10:$DX$23,0)),0))</f>
        <v>0</v>
      </c>
      <c r="DM29" s="909">
        <f t="shared" si="13"/>
        <v>21528.788296428575</v>
      </c>
      <c r="DN29" s="909">
        <f>SUM(_xlfn.IFNA(INDEX('Resource use and costs'!$DU$12:$DU$25,MATCH(CZ29,'Resource use and costs'!$DS$12:$DS$25,0)),0),_xlfn.IFNA(INDEX('Resource use and costs'!$DU$12:$DU$25,MATCH(DA29,'Resource use and costs'!$DS$12:$DS$25,0)),0),_xlfn.IFNA(INDEX('Resource use and costs'!$DU$12:$DU$25,MATCH(DB29,'Resource use and costs'!$DS$12:$DS$25,0)),0))</f>
        <v>394.5</v>
      </c>
      <c r="DO29" s="921">
        <f>_xlfn.IFNA(INDEX('Resource use and costs'!$DY$12:$DY$25,MATCH(CZ29,'Resource use and costs'!$DS$12:$DS$25,0)),0)*_xlfn.IFNA(INDEX(DY$10:DY$23,MATCH($CZ29,$DX$10:$DX$23,0)),0)</f>
        <v>443.44394285714293</v>
      </c>
      <c r="DP29" s="921">
        <f>IF(dd_PartSA_2_lines = "Yes",0,_xlfn.IFNA(INDEX('Resource use and costs'!$DZ$12:$DZ$25,MATCH(DA29,'Resource use and costs'!$DS$12:$DS$25,0)),0)*_xlfn.IFNA(INDEX(EA$10:EA$23,MATCH($DA29,$DX$10:$DX$23,0)),0))</f>
        <v>74.50928571428571</v>
      </c>
      <c r="DQ29" s="921">
        <f>IF(dd_PartSA_2_lines = "Yes",0,_xlfn.IFNA(INDEX('Resource use and costs'!$EA$12:$EA$25,MATCH(DB29,'Resource use and costs'!$DS$12:$DS$25,0)),0)*_xlfn.IFNA(INDEX(EC$10:EC$23,MATCH($DB29,$DX$10:$DX$23,0)),0))</f>
        <v>0</v>
      </c>
      <c r="DR29" s="921">
        <f t="shared" si="14"/>
        <v>912.45322857142867</v>
      </c>
      <c r="DS29" s="1004">
        <f ca="1">SUMIFS('Safety parameters'!$DM$6:$DM$18,'Safety parameters'!$DK$6:$DK$18,CZ29,'Safety parameters'!$DL$6:$DL$18,1)+IF(dd_PartSA_2_lines = "Yes",0,SUMIFS('Safety parameters'!$DM$6:$DM$18,'Safety parameters'!$DK$6:$DK$18,DA29,'Safety parameters'!$DL$6:$DL$18,2)+SUMIFS('Safety parameters'!$DM$6:$DM$18,'Safety parameters'!$DK$6:$DK$18,DB29,'Safety parameters'!$DL$6:$DL$18,2))</f>
        <v>740.81143607336799</v>
      </c>
      <c r="DT29" s="910">
        <f ca="1">SUMIFS('Safety parameters'!$DO$6:$DO$18,'Safety parameters'!$DK$6:$DK$18,CZ29,'Safety parameters'!$DL$6:$DL$18,1)+IF(dd_PartSA_2_lines = "Yes",0,SUMIFS('Safety parameters'!$DO$6:$DO$18,'Safety parameters'!$DK$6:$DK$18,DA29,'Safety parameters'!$DL$6:$DL$18,2)+SUMIFS('Safety parameters'!$DO$6:$DO$18,'Safety parameters'!$DK$6:$DK$18,DB29,'Safety parameters'!$DL$6:$DL$18,2))</f>
        <v>-6.1215281769570178E-3</v>
      </c>
      <c r="DX29" s="61" t="str">
        <v>cabozantinib_plus_nivolumab</v>
      </c>
      <c r="DY29" s="61" t="str">
        <f t="shared" ref="DY29:DY41" si="20">CX12</f>
        <v>pop0</v>
      </c>
      <c r="DZ29" s="920" cm="1">
        <f t="array" aca="1" ref="DZ29" ca="1">SUMPRODUCT(($CX$11:$CX$779=DY29)*($CY$11:$CY$779=DX29),$DH$11:$DH$779,$DM$11:$DM$779)</f>
        <v>39268.586353606646</v>
      </c>
      <c r="EA29" s="920" cm="1">
        <f t="array" aca="1" ref="EA29" ca="1">SUMPRODUCT(($CX$11:$CX$779=DY29)*($CY$11:$CY$779=DX29),$DH$11:$DH$779,$DR$11:$DR$779)</f>
        <v>795.53772845595552</v>
      </c>
      <c r="EB29" s="920" cm="1">
        <f t="array" aca="1" ref="EB29" ca="1">SUMPRODUCT(($CX$11:$CX$779=DY29)*($CY$11:$CY$779=DX29),$DH$11:$DH$779,$DS$11:$DS$779)</f>
        <v>707.14936721073673</v>
      </c>
      <c r="EC29" s="1029" cm="1">
        <f t="array" aca="1" ref="EC29" ca="1">SUMPRODUCT(($CX$11:$CX$779=DY29)*($CY$11:$CY$779=DX29),$DH$11:$DH$779,$DT$11:$DT$779)</f>
        <v>-6.3590481823132088E-3</v>
      </c>
      <c r="ED29" s="920">
        <f t="shared" ca="1" si="18"/>
        <v>7853.7172707213294</v>
      </c>
      <c r="EE29" s="920">
        <f t="shared" ca="1" si="19"/>
        <v>159.10754569119112</v>
      </c>
      <c r="EF29" s="1238"/>
      <c r="EG29" s="1238"/>
      <c r="EH29" s="1238"/>
      <c r="EI29" s="1238"/>
      <c r="EJ29" s="1238"/>
    </row>
    <row r="30" spans="3:140" ht="15.75" x14ac:dyDescent="0.25">
      <c r="G30" s="75" t="str">
        <f>"Mean"</f>
        <v>Mean</v>
      </c>
      <c r="H30" s="75" t="s">
        <v>161</v>
      </c>
      <c r="I30" s="73"/>
      <c r="J30" s="73"/>
      <c r="K30" s="73"/>
      <c r="L30" s="73"/>
      <c r="M30" s="73"/>
      <c r="N30" s="73"/>
      <c r="O30" s="73"/>
      <c r="P30" s="73"/>
      <c r="Q30" s="73"/>
      <c r="CK30" s="61" t="str">
        <f t="shared" si="15"/>
        <v>Favourable risk</v>
      </c>
      <c r="CL30" s="61">
        <v>1</v>
      </c>
      <c r="CM30" s="61" t="str">
        <v>sunitinib</v>
      </c>
      <c r="CN30" s="17">
        <v>7</v>
      </c>
      <c r="CO30" s="17">
        <v>0</v>
      </c>
      <c r="CP30" s="17">
        <v>111</v>
      </c>
      <c r="CQ30" s="601">
        <f t="shared" si="16"/>
        <v>0</v>
      </c>
      <c r="CR30" s="601">
        <f t="shared" si="17"/>
        <v>0</v>
      </c>
      <c r="CS30" s="631">
        <v>0</v>
      </c>
      <c r="CT30" s="631">
        <v>0</v>
      </c>
      <c r="CU30" s="1123">
        <f>MATCH(CZ30,'Resource use and costs'!$BA$11:$BA$53,0)</f>
        <v>40</v>
      </c>
      <c r="CV30" s="1223"/>
      <c r="CW30" s="1241">
        <f t="shared" si="12"/>
        <v>1</v>
      </c>
      <c r="CX30" s="899" t="s">
        <v>764</v>
      </c>
      <c r="CY30" s="899" t="s">
        <v>571</v>
      </c>
      <c r="CZ30" s="899" t="s">
        <v>327</v>
      </c>
      <c r="DA30" s="899" t="s">
        <v>765</v>
      </c>
      <c r="DB30" s="899"/>
      <c r="DC30" s="899" cm="1">
        <f t="array" aca="1" ref="DC30" ca="1">_xlfn.IFNA(OFFSET($I$49,MATCH(CY30,$I$50:$I$63,0),MATCH(CZ30,TRANSPOSE($J$49:$W$49),0)),0)</f>
        <v>0</v>
      </c>
      <c r="DD30" s="899" cm="1">
        <f t="array" aca="1" ref="DD30" ca="1">_xlfn.IFNA(OFFSET($Y$49,MATCH($CZ30,$Y$50:$Y$63,0),MATCH($DA30,TRANSPOSE($Z$49:$AM$49),0)),0)</f>
        <v>0.34300000000000003</v>
      </c>
      <c r="DE30" s="899" cm="1">
        <f t="array" aca="1" ref="DE30" ca="1">_xlfn.IFNA(OFFSET($AO$49,MATCH($DA30,$AO$50:$AO$63,0),MATCH($DB30,TRANSPOSE($AP$49:$BC$49),0)),0)</f>
        <v>0</v>
      </c>
      <c r="DF30" s="881">
        <f t="shared" ca="1" si="8"/>
        <v>0</v>
      </c>
      <c r="DG30" s="910">
        <f t="shared" ca="1" si="9"/>
        <v>1</v>
      </c>
      <c r="DH30" s="881">
        <f t="shared" ca="1" si="10"/>
        <v>0</v>
      </c>
      <c r="DI30" s="1461">
        <f ca="1">DH30*168</f>
        <v>0</v>
      </c>
      <c r="DJ30" s="909">
        <f>_xlfn.IFNA(INDEX('Resource use and costs'!$CQ$11:$CQ$53,MATCH($CZ30,'Resource use and costs'!$BA$11:$BA$53,0)),0)*_xlfn.IFNA(INDEX(DY$10:DY$23,MATCH($CZ30,$DX$10:$DX$23,0)),0)</f>
        <v>19241.032205</v>
      </c>
      <c r="DK30" s="909">
        <f>IF(dd_PartSA_2_lines = "Yes",0,_xlfn.IFNA(INDEX('Resource use and costs'!$CR$11:$CR$53,MATCH(DA30,'Resource use and costs'!$BA$11:$BA$53,0)),0)*_xlfn.IFNA(INDEX(EA$10:EA$23,MATCH($DA30,$DX$10:$DX$23,0)),0))</f>
        <v>0</v>
      </c>
      <c r="DL30" s="909">
        <f>IF(dd_PartSA_2_lines = "Yes",0,_xlfn.IFNA(INDEX('Resource use and costs'!$CS$11:$CS$53,MATCH(DB30,'Resource use and costs'!$BA$11:$BA$53,0)),0)*_xlfn.IFNA(INDEX(EC$10:EC$23,MATCH($DB30,$DX$10:$DX$23,0)),0))</f>
        <v>0</v>
      </c>
      <c r="DM30" s="909">
        <f t="shared" si="13"/>
        <v>19241.032205</v>
      </c>
      <c r="DN30" s="909">
        <f>SUM(_xlfn.IFNA(INDEX('Resource use and costs'!$DU$12:$DU$25,MATCH(CZ30,'Resource use and costs'!$DS$12:$DS$25,0)),0),_xlfn.IFNA(INDEX('Resource use and costs'!$DU$12:$DU$25,MATCH(DA30,'Resource use and costs'!$DS$12:$DS$25,0)),0),_xlfn.IFNA(INDEX('Resource use and costs'!$DU$12:$DU$25,MATCH(DB30,'Resource use and costs'!$DS$12:$DS$25,0)),0))</f>
        <v>197.25</v>
      </c>
      <c r="DO30" s="921">
        <f>_xlfn.IFNA(INDEX('Resource use and costs'!$DY$12:$DY$25,MATCH(CZ30,'Resource use and costs'!$DS$12:$DS$25,0)),0)*_xlfn.IFNA(INDEX(DY$10:DY$23,MATCH($CZ30,$DX$10:$DX$23,0)),0)</f>
        <v>240.71806000000001</v>
      </c>
      <c r="DP30" s="921">
        <f>IF(dd_PartSA_2_lines = "Yes",0,_xlfn.IFNA(INDEX('Resource use and costs'!$DZ$12:$DZ$25,MATCH(DA30,'Resource use and costs'!$DS$12:$DS$25,0)),0)*_xlfn.IFNA(INDEX(EA$10:EA$23,MATCH($DA30,$DX$10:$DX$23,0)),0))</f>
        <v>0</v>
      </c>
      <c r="DQ30" s="921">
        <f>IF(dd_PartSA_2_lines = "Yes",0,_xlfn.IFNA(INDEX('Resource use and costs'!$EA$12:$EA$25,MATCH(DB30,'Resource use and costs'!$DS$12:$DS$25,0)),0)*_xlfn.IFNA(INDEX(EC$10:EC$23,MATCH($DB30,$DX$10:$DX$23,0)),0))</f>
        <v>0</v>
      </c>
      <c r="DR30" s="921">
        <f t="shared" si="14"/>
        <v>437.96806000000004</v>
      </c>
      <c r="DS30" s="1004">
        <f>SUMIFS('Safety parameters'!$DM$6:$DM$18,'Safety parameters'!$DK$6:$DK$18,CZ30,'Safety parameters'!$DL$6:$DL$18,1)+IF(dd_PartSA_2_lines = "Yes",0,SUMIFS('Safety parameters'!$DM$6:$DM$18,'Safety parameters'!$DK$6:$DK$18,DA30,'Safety parameters'!$DL$6:$DL$18,2)+SUMIFS('Safety parameters'!$DM$6:$DM$18,'Safety parameters'!$DK$6:$DK$18,DB30,'Safety parameters'!$DL$6:$DL$18,2))</f>
        <v>0</v>
      </c>
      <c r="DT30" s="910">
        <f>SUMIFS('Safety parameters'!$DO$6:$DO$18,'Safety parameters'!$DK$6:$DK$18,CZ30,'Safety parameters'!$DL$6:$DL$18,1)+IF(dd_PartSA_2_lines = "Yes",0,SUMIFS('Safety parameters'!$DO$6:$DO$18,'Safety parameters'!$DK$6:$DK$18,DA30,'Safety parameters'!$DL$6:$DL$18,2)+SUMIFS('Safety parameters'!$DO$6:$DO$18,'Safety parameters'!$DK$6:$DK$18,DB30,'Safety parameters'!$DL$6:$DL$18,2))</f>
        <v>0</v>
      </c>
      <c r="DX30" s="61" t="str">
        <v>nivolumab_plus_ipilimumab</v>
      </c>
      <c r="DY30" s="61" t="str">
        <f t="shared" si="20"/>
        <v>pop0</v>
      </c>
      <c r="DZ30" s="920" cm="1">
        <f t="array" aca="1" ref="DZ30" ca="1">SUMPRODUCT(($CX$11:$CX$779=DY30)*($CY$11:$CY$779=DX30),$DH$11:$DH$779,$DM$11:$DM$779)</f>
        <v>0</v>
      </c>
      <c r="EA30" s="920" cm="1">
        <f t="array" aca="1" ref="EA30" ca="1">SUMPRODUCT(($CX$11:$CX$779=DY30)*($CY$11:$CY$779=DX30),$DH$11:$DH$779,$DR$11:$DR$779)</f>
        <v>0</v>
      </c>
      <c r="EB30" s="920" cm="1">
        <f t="array" aca="1" ref="EB30" ca="1">SUMPRODUCT(($CX$11:$CX$779=DY30)*($CY$11:$CY$779=DX30),$DH$11:$DH$779,$DS$11:$DS$779)</f>
        <v>0</v>
      </c>
      <c r="EC30" s="1029" cm="1">
        <f t="array" aca="1" ref="EC30" ca="1">SUMPRODUCT(($CX$11:$CX$779=DY30)*($CY$11:$CY$779=DX30),$DH$11:$DH$779,$DT$11:$DT$779)</f>
        <v>0</v>
      </c>
      <c r="ED30" s="920">
        <f t="shared" ca="1" si="18"/>
        <v>0</v>
      </c>
      <c r="EE30" s="920">
        <f t="shared" ca="1" si="19"/>
        <v>0</v>
      </c>
      <c r="EF30" s="1238"/>
      <c r="EG30" s="1238"/>
      <c r="EH30" s="1238"/>
      <c r="EI30" s="1238"/>
      <c r="EJ30" s="1238"/>
    </row>
    <row r="31" spans="3:140" ht="15" x14ac:dyDescent="0.2">
      <c r="D31" s="82">
        <v>1</v>
      </c>
      <c r="E31" s="58" t="str" cm="1">
        <f t="array" ref="E31:E44">List_comparators</f>
        <v>nivolumab_monotherapy</v>
      </c>
      <c r="G31" s="664"/>
      <c r="H31" s="664"/>
      <c r="I31" s="73"/>
      <c r="J31" s="73"/>
      <c r="K31" s="73"/>
      <c r="L31" s="73"/>
      <c r="M31" s="73"/>
      <c r="N31" s="73"/>
      <c r="O31" s="73"/>
      <c r="P31" s="73"/>
      <c r="Q31" s="73"/>
      <c r="CK31" s="61" t="str">
        <f t="shared" si="15"/>
        <v>Favourable risk</v>
      </c>
      <c r="CL31" s="61">
        <v>1</v>
      </c>
      <c r="CM31" s="61" t="str">
        <v>cabozantinib</v>
      </c>
      <c r="CN31" s="17">
        <v>8</v>
      </c>
      <c r="CO31" s="17">
        <v>0</v>
      </c>
      <c r="CP31" s="17">
        <v>111</v>
      </c>
      <c r="CQ31" s="601">
        <f t="shared" si="16"/>
        <v>0</v>
      </c>
      <c r="CR31" s="601">
        <f t="shared" si="17"/>
        <v>0</v>
      </c>
      <c r="CS31" s="631">
        <v>0</v>
      </c>
      <c r="CT31" s="631">
        <v>0</v>
      </c>
      <c r="CU31" s="1123">
        <f>MATCH(CZ31,'Resource use and costs'!$BA$11:$BA$53,0)</f>
        <v>40</v>
      </c>
      <c r="CV31" s="1223"/>
      <c r="CW31" s="1241">
        <f t="shared" si="12"/>
        <v>1</v>
      </c>
      <c r="CX31" s="899" t="s">
        <v>764</v>
      </c>
      <c r="CY31" s="899" t="s">
        <v>571</v>
      </c>
      <c r="CZ31" s="899" t="s">
        <v>327</v>
      </c>
      <c r="DA31" s="899" t="s">
        <v>119</v>
      </c>
      <c r="DB31" s="899" t="s">
        <v>765</v>
      </c>
      <c r="DC31" s="899" cm="1">
        <f t="array" aca="1" ref="DC31" ca="1">_xlfn.IFNA(OFFSET($I$49,MATCH(CY31,$I$50:$I$63,0),MATCH(CZ31,TRANSPOSE($J$49:$W$49),0)),0)</f>
        <v>0</v>
      </c>
      <c r="DD31" s="899" cm="1">
        <f t="array" aca="1" ref="DD31" ca="1">_xlfn.IFNA(OFFSET($Y$49,MATCH($CZ31,$Y$50:$Y$63,0),MATCH($DA31,TRANSPOSE($Z$49:$AM$49),0)),0)</f>
        <v>0</v>
      </c>
      <c r="DE31" s="899" cm="1">
        <f t="array" aca="1" ref="DE31" ca="1">_xlfn.IFNA(OFFSET($AO$49,MATCH($DA31,$AO$50:$AO$63,0),MATCH($DB31,TRANSPOSE($AP$49:$BC$49),0)),0)</f>
        <v>1</v>
      </c>
      <c r="DF31" s="881">
        <f t="shared" ca="1" si="8"/>
        <v>0</v>
      </c>
      <c r="DG31" s="910">
        <f t="shared" ca="1" si="9"/>
        <v>1</v>
      </c>
      <c r="DH31" s="881">
        <f t="shared" ca="1" si="10"/>
        <v>0</v>
      </c>
      <c r="DI31" s="1461">
        <f ca="1">DH31*168</f>
        <v>0</v>
      </c>
      <c r="DJ31" s="909">
        <f>_xlfn.IFNA(INDEX('Resource use and costs'!$CQ$11:$CQ$53,MATCH($CZ31,'Resource use and costs'!$BA$11:$BA$53,0)),0)*_xlfn.IFNA(INDEX(DY$10:DY$23,MATCH($CZ31,$DX$10:$DX$23,0)),0)</f>
        <v>19241.032205</v>
      </c>
      <c r="DK31" s="909">
        <f>IF(dd_PartSA_2_lines = "Yes",0,_xlfn.IFNA(INDEX('Resource use and costs'!$CR$11:$CR$53,MATCH(DA31,'Resource use and costs'!$BA$11:$BA$53,0)),0)*_xlfn.IFNA(INDEX(EA$10:EA$23,MATCH($DA31,$DX$10:$DX$23,0)),0))</f>
        <v>848.17532499999982</v>
      </c>
      <c r="DL31" s="909">
        <f>IF(dd_PartSA_2_lines = "Yes",0,_xlfn.IFNA(INDEX('Resource use and costs'!$CS$11:$CS$53,MATCH(DB31,'Resource use and costs'!$BA$11:$BA$53,0)),0)*_xlfn.IFNA(INDEX(EC$10:EC$23,MATCH($DB31,$DX$10:$DX$23,0)),0))</f>
        <v>0</v>
      </c>
      <c r="DM31" s="909">
        <f t="shared" si="13"/>
        <v>20089.20753</v>
      </c>
      <c r="DN31" s="909">
        <f>SUM(_xlfn.IFNA(INDEX('Resource use and costs'!$DU$12:$DU$25,MATCH(CZ31,'Resource use and costs'!$DS$12:$DS$25,0)),0),_xlfn.IFNA(INDEX('Resource use and costs'!$DU$12:$DU$25,MATCH(DA31,'Resource use and costs'!$DS$12:$DS$25,0)),0),_xlfn.IFNA(INDEX('Resource use and costs'!$DU$12:$DU$25,MATCH(DB31,'Resource use and costs'!$DS$12:$DS$25,0)),0))</f>
        <v>394.5</v>
      </c>
      <c r="DO31" s="921">
        <f>_xlfn.IFNA(INDEX('Resource use and costs'!$DY$12:$DY$25,MATCH(CZ31,'Resource use and costs'!$DS$12:$DS$25,0)),0)*_xlfn.IFNA(INDEX(DY$10:DY$23,MATCH($CZ31,$DX$10:$DX$23,0)),0)</f>
        <v>240.71806000000001</v>
      </c>
      <c r="DP31" s="921">
        <f>IF(dd_PartSA_2_lines = "Yes",0,_xlfn.IFNA(INDEX('Resource use and costs'!$DZ$12:$DZ$25,MATCH(DA31,'Resource use and costs'!$DS$12:$DS$25,0)),0)*_xlfn.IFNA(INDEX(EA$10:EA$23,MATCH($DA31,$DX$10:$DX$23,0)),0))</f>
        <v>74.50928571428571</v>
      </c>
      <c r="DQ31" s="921">
        <f>IF(dd_PartSA_2_lines = "Yes",0,_xlfn.IFNA(INDEX('Resource use and costs'!$EA$12:$EA$25,MATCH(DB31,'Resource use and costs'!$DS$12:$DS$25,0)),0)*_xlfn.IFNA(INDEX(EC$10:EC$23,MATCH($DB31,$DX$10:$DX$23,0)),0))</f>
        <v>0</v>
      </c>
      <c r="DR31" s="921">
        <f t="shared" si="14"/>
        <v>709.72734571428578</v>
      </c>
      <c r="DS31" s="1004">
        <f ca="1">SUMIFS('Safety parameters'!$DM$6:$DM$18,'Safety parameters'!$DK$6:$DK$18,CZ31,'Safety parameters'!$DL$6:$DL$18,1)+IF(dd_PartSA_2_lines = "Yes",0,SUMIFS('Safety parameters'!$DM$6:$DM$18,'Safety parameters'!$DK$6:$DK$18,DA31,'Safety parameters'!$DL$6:$DL$18,2)+SUMIFS('Safety parameters'!$DM$6:$DM$18,'Safety parameters'!$DK$6:$DK$18,DB31,'Safety parameters'!$DL$6:$DL$18,2))</f>
        <v>332.87538337531487</v>
      </c>
      <c r="DT31" s="910">
        <f ca="1">SUMIFS('Safety parameters'!$DO$6:$DO$18,'Safety parameters'!$DK$6:$DK$18,CZ31,'Safety parameters'!$DL$6:$DL$18,1)+IF(dd_PartSA_2_lines = "Yes",0,SUMIFS('Safety parameters'!$DO$6:$DO$18,'Safety parameters'!$DK$6:$DK$18,DA31,'Safety parameters'!$DL$6:$DL$18,2)+SUMIFS('Safety parameters'!$DO$6:$DO$18,'Safety parameters'!$DK$6:$DK$18,DB31,'Safety parameters'!$DL$6:$DL$18,2))</f>
        <v>-2.6675735366377194E-3</v>
      </c>
      <c r="DX31" s="61" t="str">
        <v>lenvatinib_plus_pembrolizumab</v>
      </c>
      <c r="DY31" s="61" t="str">
        <f t="shared" si="20"/>
        <v>pop0</v>
      </c>
      <c r="DZ31" s="920" cm="1">
        <f t="array" aca="1" ref="DZ31" ca="1">SUMPRODUCT(($CX$11:$CX$779=DY31)*($CY$11:$CY$779=DX31),$DH$11:$DH$779,$DM$11:$DM$779)</f>
        <v>0</v>
      </c>
      <c r="EA31" s="920" cm="1">
        <f t="array" aca="1" ref="EA31" ca="1">SUMPRODUCT(($CX$11:$CX$779=DY31)*($CY$11:$CY$779=DX31),$DH$11:$DH$779,$DR$11:$DR$779)</f>
        <v>0</v>
      </c>
      <c r="EB31" s="920" cm="1">
        <f t="array" aca="1" ref="EB31" ca="1">SUMPRODUCT(($CX$11:$CX$779=DY31)*($CY$11:$CY$779=DX31),$DH$11:$DH$779,$DS$11:$DS$779)</f>
        <v>0</v>
      </c>
      <c r="EC31" s="1029" cm="1">
        <f t="array" aca="1" ref="EC31" ca="1">SUMPRODUCT(($CX$11:$CX$779=DY31)*($CY$11:$CY$779=DX31),$DH$11:$DH$779,$DT$11:$DT$779)</f>
        <v>0</v>
      </c>
      <c r="ED31" s="920">
        <f t="shared" ca="1" si="18"/>
        <v>0</v>
      </c>
      <c r="EE31" s="920">
        <f t="shared" ca="1" si="19"/>
        <v>0</v>
      </c>
      <c r="EF31" s="1238"/>
      <c r="EG31" s="1238"/>
      <c r="EH31" s="1238"/>
      <c r="EI31" s="1238"/>
      <c r="EJ31" s="1238"/>
    </row>
    <row r="32" spans="3:140" ht="15" x14ac:dyDescent="0.2">
      <c r="D32" s="82">
        <v>2</v>
      </c>
      <c r="E32" s="4" t="str">
        <v>cabozantinib_plus_nivolumab</v>
      </c>
      <c r="G32" s="664"/>
      <c r="H32" s="664"/>
      <c r="I32" s="73"/>
      <c r="J32" s="73"/>
      <c r="K32" s="73"/>
      <c r="L32" s="73"/>
      <c r="M32" s="73"/>
      <c r="N32" s="73"/>
      <c r="O32" s="73"/>
      <c r="P32" s="73"/>
      <c r="Q32" s="73"/>
      <c r="CK32" s="61" t="str">
        <f t="shared" si="15"/>
        <v>Favourable risk</v>
      </c>
      <c r="CL32" s="61">
        <v>1</v>
      </c>
      <c r="CM32" s="61" t="str">
        <v>lenvatinib_plus_everolimus</v>
      </c>
      <c r="CN32" s="17">
        <v>9</v>
      </c>
      <c r="CO32" s="17">
        <v>0</v>
      </c>
      <c r="CP32" s="17">
        <v>111</v>
      </c>
      <c r="CQ32" s="601">
        <f t="shared" si="16"/>
        <v>0</v>
      </c>
      <c r="CR32" s="601">
        <f t="shared" si="17"/>
        <v>0</v>
      </c>
      <c r="CS32" s="631">
        <v>0</v>
      </c>
      <c r="CT32" s="631">
        <v>0</v>
      </c>
      <c r="CU32" s="1123" t="e">
        <f>MATCH(CZ32,'Resource use and costs'!$BA$11:$BA$53,0)</f>
        <v>#N/A</v>
      </c>
      <c r="CV32" s="1223"/>
      <c r="CW32" s="1241">
        <f t="shared" si="12"/>
        <v>0</v>
      </c>
      <c r="CX32" s="899" t="s">
        <v>764</v>
      </c>
      <c r="CY32" s="899" t="s">
        <v>571</v>
      </c>
      <c r="CZ32" s="899" t="s">
        <v>765</v>
      </c>
      <c r="DA32" s="899"/>
      <c r="DB32" s="899"/>
      <c r="DC32" s="899" cm="1">
        <f t="array" aca="1" ref="DC32" ca="1">_xlfn.IFNA(OFFSET($I$49,MATCH(CY32,$I$50:$I$63,0),MATCH(CZ32,TRANSPOSE($J$49:$W$49),0)),0)</f>
        <v>0.38145600000000002</v>
      </c>
      <c r="DD32" s="899" cm="1">
        <f t="array" aca="1" ref="DD32" ca="1">_xlfn.IFNA(OFFSET($Y$49,MATCH($CZ32,$Y$50:$Y$63,0),MATCH($DA32,TRANSPOSE($Z$49:$AM$49),0)),0)</f>
        <v>0</v>
      </c>
      <c r="DE32" s="899" cm="1">
        <f t="array" aca="1" ref="DE32" ca="1">_xlfn.IFNA(OFFSET($AO$49,MATCH($DA32,$AO$50:$AO$63,0),MATCH($DB32,TRANSPOSE($AP$49:$BC$49),0)),0)</f>
        <v>0</v>
      </c>
      <c r="DF32" s="881">
        <f t="shared" ca="1" si="8"/>
        <v>0.38145600000000002</v>
      </c>
      <c r="DG32" s="910">
        <f t="shared" ca="1" si="9"/>
        <v>1</v>
      </c>
      <c r="DH32" s="881">
        <f t="shared" ca="1" si="10"/>
        <v>0.38145600000000002</v>
      </c>
      <c r="DI32" s="1461">
        <f t="shared" ref="DI32:DI51" ca="1" si="21">DH32*168</f>
        <v>64.084608000000003</v>
      </c>
      <c r="DJ32" s="909">
        <f>_xlfn.IFNA(INDEX('Resource use and costs'!$CQ$11:$CQ$53,MATCH($CZ32,'Resource use and costs'!$BA$11:$BA$53,0)),0)*_xlfn.IFNA(INDEX(DY$10:DY$23,MATCH($CZ32,$DX$10:$DX$23,0)),0)</f>
        <v>0</v>
      </c>
      <c r="DK32" s="909">
        <f>IF(dd_PartSA_2_lines = "Yes",0,_xlfn.IFNA(INDEX('Resource use and costs'!$CR$11:$CR$53,MATCH(DA32,'Resource use and costs'!$BA$11:$BA$53,0)),0)*_xlfn.IFNA(INDEX(EA$10:EA$23,MATCH($DA32,$DX$10:$DX$23,0)),0))</f>
        <v>0</v>
      </c>
      <c r="DL32" s="909">
        <f>IF(dd_PartSA_2_lines = "Yes",0,_xlfn.IFNA(INDEX('Resource use and costs'!$CS$11:$CS$53,MATCH(DB32,'Resource use and costs'!$BA$11:$BA$53,0)),0)*_xlfn.IFNA(INDEX(EC$10:EC$23,MATCH($DB32,$DX$10:$DX$23,0)),0))</f>
        <v>0</v>
      </c>
      <c r="DM32" s="909">
        <f t="shared" si="13"/>
        <v>0</v>
      </c>
      <c r="DN32" s="909">
        <f>SUM(_xlfn.IFNA(INDEX('Resource use and costs'!$DU$12:$DU$25,MATCH(CZ32,'Resource use and costs'!$DS$12:$DS$25,0)),0),_xlfn.IFNA(INDEX('Resource use and costs'!$DU$12:$DU$25,MATCH(DA32,'Resource use and costs'!$DS$12:$DS$25,0)),0),_xlfn.IFNA(INDEX('Resource use and costs'!$DU$12:$DU$25,MATCH(DB32,'Resource use and costs'!$DS$12:$DS$25,0)),0))</f>
        <v>0</v>
      </c>
      <c r="DO32" s="921">
        <f>_xlfn.IFNA(INDEX('Resource use and costs'!$DY$12:$DY$25,MATCH(CZ32,'Resource use and costs'!$DS$12:$DS$25,0)),0)*_xlfn.IFNA(INDEX(DY$10:DY$23,MATCH($CZ32,$DX$10:$DX$23,0)),0)</f>
        <v>0</v>
      </c>
      <c r="DP32" s="921">
        <f>IF(dd_PartSA_2_lines = "Yes",0,_xlfn.IFNA(INDEX('Resource use and costs'!$DZ$12:$DZ$25,MATCH(DA32,'Resource use and costs'!$DS$12:$DS$25,0)),0)*_xlfn.IFNA(INDEX(EA$10:EA$23,MATCH($DA32,$DX$10:$DX$23,0)),0))</f>
        <v>0</v>
      </c>
      <c r="DQ32" s="921">
        <f>IF(dd_PartSA_2_lines = "Yes",0,_xlfn.IFNA(INDEX('Resource use and costs'!$EA$12:$EA$25,MATCH(DB32,'Resource use and costs'!$DS$12:$DS$25,0)),0)*_xlfn.IFNA(INDEX(EC$10:EC$23,MATCH($DB32,$DX$10:$DX$23,0)),0))</f>
        <v>0</v>
      </c>
      <c r="DR32" s="921">
        <f t="shared" si="14"/>
        <v>0</v>
      </c>
      <c r="DS32" s="1004">
        <f>SUMIFS('Safety parameters'!$DM$6:$DM$18,'Safety parameters'!$DK$6:$DK$18,CZ32,'Safety parameters'!$DL$6:$DL$18,1)+IF(dd_PartSA_2_lines = "Yes",0,SUMIFS('Safety parameters'!$DM$6:$DM$18,'Safety parameters'!$DK$6:$DK$18,DA32,'Safety parameters'!$DL$6:$DL$18,2)+SUMIFS('Safety parameters'!$DM$6:$DM$18,'Safety parameters'!$DK$6:$DK$18,DB32,'Safety parameters'!$DL$6:$DL$18,2))</f>
        <v>0</v>
      </c>
      <c r="DT32" s="910">
        <f>SUMIFS('Safety parameters'!$DO$6:$DO$18,'Safety parameters'!$DK$6:$DK$18,CZ32,'Safety parameters'!$DL$6:$DL$18,1)+IF(dd_PartSA_2_lines = "Yes",0,SUMIFS('Safety parameters'!$DO$6:$DO$18,'Safety parameters'!$DK$6:$DK$18,DA32,'Safety parameters'!$DL$6:$DL$18,2)+SUMIFS('Safety parameters'!$DO$6:$DO$18,'Safety parameters'!$DK$6:$DK$18,DB32,'Safety parameters'!$DL$6:$DL$18,2))</f>
        <v>0</v>
      </c>
      <c r="DU32" s="514"/>
      <c r="DX32" s="61" t="str">
        <v>avelumab_plus_axitinib</v>
      </c>
      <c r="DY32" s="61" t="str">
        <f t="shared" si="20"/>
        <v>pop0</v>
      </c>
      <c r="DZ32" s="920" cm="1">
        <f t="array" aca="1" ref="DZ32" ca="1">SUMPRODUCT(($CX$11:$CX$779=DY32)*($CY$11:$CY$779=DX32),$DH$11:$DH$779,$DM$11:$DM$779)</f>
        <v>39608.964280200467</v>
      </c>
      <c r="EA32" s="920" cm="1">
        <f t="array" aca="1" ref="EA32" ca="1">SUMPRODUCT(($CX$11:$CX$779=DY32)*($CY$11:$CY$779=DX32),$DH$11:$DH$779,$DR$11:$DR$779)</f>
        <v>703.33519025237013</v>
      </c>
      <c r="EB32" s="920" cm="1">
        <f t="array" aca="1" ref="EB32" ca="1">SUMPRODUCT(($CX$11:$CX$779=DY32)*($CY$11:$CY$779=DX32),$DH$11:$DH$779,$DS$11:$DS$779)</f>
        <v>555.60360458316586</v>
      </c>
      <c r="EC32" s="1029" cm="1">
        <f t="array" aca="1" ref="EC32" ca="1">SUMPRODUCT(($CX$11:$CX$779=DY32)*($CY$11:$CY$779=DX32),$DH$11:$DH$779,$DT$11:$DT$779)</f>
        <v>-4.9325149733311213E-3</v>
      </c>
      <c r="ED32" s="920">
        <f t="shared" ca="1" si="18"/>
        <v>7921.7928560400942</v>
      </c>
      <c r="EE32" s="920">
        <f t="shared" ca="1" si="19"/>
        <v>140.66703805047402</v>
      </c>
      <c r="EF32" s="1238"/>
      <c r="EG32" s="1238"/>
      <c r="EH32" s="1238"/>
      <c r="EI32" s="1238"/>
      <c r="EJ32" s="1238"/>
    </row>
    <row r="33" spans="3:140" ht="15" x14ac:dyDescent="0.2">
      <c r="D33" s="82">
        <v>3</v>
      </c>
      <c r="E33" s="4" t="str">
        <v>nivolumab_plus_ipilimumab</v>
      </c>
      <c r="G33" s="664"/>
      <c r="H33" s="664"/>
      <c r="I33" s="73"/>
      <c r="J33" s="73"/>
      <c r="K33" s="73"/>
      <c r="L33" s="73"/>
      <c r="M33" s="73"/>
      <c r="N33" s="73"/>
      <c r="O33" s="73"/>
      <c r="P33" s="73"/>
      <c r="Q33" s="73"/>
      <c r="CK33" s="61" t="str">
        <f t="shared" si="15"/>
        <v>Favourable risk</v>
      </c>
      <c r="CL33" s="61">
        <v>1</v>
      </c>
      <c r="CM33" s="61" t="str">
        <v>everolimus</v>
      </c>
      <c r="CN33" s="17">
        <v>10</v>
      </c>
      <c r="CO33" s="17">
        <v>0</v>
      </c>
      <c r="CP33" s="17">
        <v>111</v>
      </c>
      <c r="CQ33" s="601">
        <f t="shared" si="16"/>
        <v>0</v>
      </c>
      <c r="CR33" s="601">
        <f t="shared" si="17"/>
        <v>0</v>
      </c>
      <c r="CS33" s="631">
        <v>0</v>
      </c>
      <c r="CT33" s="631">
        <v>0</v>
      </c>
      <c r="CU33" s="1123">
        <f>MATCH(CZ33,'Resource use and costs'!$BA$11:$BA$53,0)</f>
        <v>37</v>
      </c>
      <c r="CV33" s="1223"/>
      <c r="CW33" s="1241">
        <f t="shared" si="12"/>
        <v>1</v>
      </c>
      <c r="CX33" s="899" t="s">
        <v>764</v>
      </c>
      <c r="CY33" s="899" t="s">
        <v>571</v>
      </c>
      <c r="CZ33" s="899" t="s">
        <v>119</v>
      </c>
      <c r="DA33" s="899" t="s">
        <v>327</v>
      </c>
      <c r="DB33" s="899" t="s">
        <v>765</v>
      </c>
      <c r="DC33" s="899" cm="1">
        <f t="array" aca="1" ref="DC33" ca="1">_xlfn.IFNA(OFFSET($I$49,MATCH(CY33,$I$50:$I$63,0),MATCH(CZ33,TRANSPOSE($J$49:$W$49),0)),0)</f>
        <v>0</v>
      </c>
      <c r="DD33" s="899" cm="1">
        <f t="array" aca="1" ref="DD33" ca="1">_xlfn.IFNA(OFFSET($Y$49,MATCH($CZ33,$Y$50:$Y$63,0),MATCH($DA33,TRANSPOSE($Z$49:$AM$49),0)),0)</f>
        <v>0</v>
      </c>
      <c r="DE33" s="899" cm="1">
        <f t="array" aca="1" ref="DE33" ca="1">_xlfn.IFNA(OFFSET($AO$49,MATCH($DA33,$AO$50:$AO$63,0),MATCH($DB33,TRANSPOSE($AP$49:$BC$49),0)),0)</f>
        <v>0.43140000000000001</v>
      </c>
      <c r="DF33" s="881">
        <f t="shared" ca="1" si="8"/>
        <v>0</v>
      </c>
      <c r="DG33" s="910">
        <f t="shared" ca="1" si="9"/>
        <v>1</v>
      </c>
      <c r="DH33" s="881">
        <f t="shared" ca="1" si="10"/>
        <v>0</v>
      </c>
      <c r="DI33" s="1461">
        <f t="shared" ca="1" si="21"/>
        <v>0</v>
      </c>
      <c r="DJ33" s="909">
        <f>_xlfn.IFNA(INDEX('Resource use and costs'!$CQ$11:$CQ$53,MATCH($CZ33,'Resource use and costs'!$BA$11:$BA$53,0)),0)*_xlfn.IFNA(INDEX(DY$10:DY$23,MATCH($CZ33,$DX$10:$DX$23,0)),0)</f>
        <v>944.50399999999979</v>
      </c>
      <c r="DK33" s="909">
        <f>IF(dd_PartSA_2_lines = "Yes",0,_xlfn.IFNA(INDEX('Resource use and costs'!$CR$11:$CR$53,MATCH(DA33,'Resource use and costs'!$BA$11:$BA$53,0)),0)*_xlfn.IFNA(INDEX(EA$10:EA$23,MATCH($DA33,$DX$10:$DX$23,0)),0))</f>
        <v>21421.066008214286</v>
      </c>
      <c r="DL33" s="909">
        <f>IF(dd_PartSA_2_lines = "Yes",0,_xlfn.IFNA(INDEX('Resource use and costs'!$CS$11:$CS$53,MATCH(DB33,'Resource use and costs'!$BA$11:$BA$53,0)),0)*_xlfn.IFNA(INDEX(EC$10:EC$23,MATCH($DB33,$DX$10:$DX$23,0)),0))</f>
        <v>0</v>
      </c>
      <c r="DM33" s="909">
        <f t="shared" si="13"/>
        <v>22365.570008214287</v>
      </c>
      <c r="DN33" s="909">
        <f>SUM(_xlfn.IFNA(INDEX('Resource use and costs'!$DU$12:$DU$25,MATCH(CZ33,'Resource use and costs'!$DS$12:$DS$25,0)),0),_xlfn.IFNA(INDEX('Resource use and costs'!$DU$12:$DU$25,MATCH(DA33,'Resource use and costs'!$DS$12:$DS$25,0)),0),_xlfn.IFNA(INDEX('Resource use and costs'!$DU$12:$DU$25,MATCH(DB33,'Resource use and costs'!$DS$12:$DS$25,0)),0))</f>
        <v>394.5</v>
      </c>
      <c r="DO33" s="921">
        <f>_xlfn.IFNA(INDEX('Resource use and costs'!$DY$12:$DY$25,MATCH(CZ33,'Resource use and costs'!$DS$12:$DS$25,0)),0)*_xlfn.IFNA(INDEX(DY$10:DY$23,MATCH($CZ33,$DX$10:$DX$23,0)),0)</f>
        <v>82.971428571428561</v>
      </c>
      <c r="DP33" s="921">
        <f>IF(dd_PartSA_2_lines = "Yes",0,_xlfn.IFNA(INDEX('Resource use and costs'!$DZ$12:$DZ$25,MATCH(DA33,'Resource use and costs'!$DS$12:$DS$25,0)),0)*_xlfn.IFNA(INDEX(EA$10:EA$23,MATCH($DA33,$DX$10:$DX$23,0)),0))</f>
        <v>267.99172714285714</v>
      </c>
      <c r="DQ33" s="921">
        <f>IF(dd_PartSA_2_lines = "Yes",0,_xlfn.IFNA(INDEX('Resource use and costs'!$EA$12:$EA$25,MATCH(DB33,'Resource use and costs'!$DS$12:$DS$25,0)),0)*_xlfn.IFNA(INDEX(EC$10:EC$23,MATCH($DB33,$DX$10:$DX$23,0)),0))</f>
        <v>0</v>
      </c>
      <c r="DR33" s="921">
        <f t="shared" si="14"/>
        <v>745.46315571428568</v>
      </c>
      <c r="DS33" s="1004">
        <f ca="1">SUMIFS('Safety parameters'!$DM$6:$DM$18,'Safety parameters'!$DK$6:$DK$18,CZ33,'Safety parameters'!$DL$6:$DL$18,1)+IF(dd_PartSA_2_lines = "Yes",0,SUMIFS('Safety parameters'!$DM$6:$DM$18,'Safety parameters'!$DK$6:$DK$18,DA33,'Safety parameters'!$DL$6:$DL$18,2)+SUMIFS('Safety parameters'!$DM$6:$DM$18,'Safety parameters'!$DK$6:$DK$18,DB33,'Safety parameters'!$DL$6:$DL$18,2))</f>
        <v>1634.2286735654598</v>
      </c>
      <c r="DT33" s="910">
        <f ca="1">SUMIFS('Safety parameters'!$DO$6:$DO$18,'Safety parameters'!$DK$6:$DK$18,CZ33,'Safety parameters'!$DL$6:$DL$18,1)+IF(dd_PartSA_2_lines = "Yes",0,SUMIFS('Safety parameters'!$DO$6:$DO$18,'Safety parameters'!$DK$6:$DK$18,DA33,'Safety parameters'!$DL$6:$DL$18,2)+SUMIFS('Safety parameters'!$DO$6:$DO$18,'Safety parameters'!$DK$6:$DK$18,DB33,'Safety parameters'!$DL$6:$DL$18,2))</f>
        <v>-1.4741924007481429E-2</v>
      </c>
      <c r="DU33" s="905"/>
      <c r="DX33" s="61" t="str">
        <v>pazopanib</v>
      </c>
      <c r="DY33" s="61" t="str">
        <f t="shared" si="20"/>
        <v>pop0</v>
      </c>
      <c r="DZ33" s="920" cm="1">
        <f t="array" aca="1" ref="DZ33" ca="1">SUMPRODUCT(($CX$11:$CX$779=DY33)*($CY$11:$CY$779=DX33),$DH$11:$DH$779,$DM$11:$DM$779)</f>
        <v>54145.221186743445</v>
      </c>
      <c r="EA33" s="920" cm="1">
        <f t="array" aca="1" ref="EA33" ca="1">SUMPRODUCT(($CX$11:$CX$779=DY33)*($CY$11:$CY$779=DX33),$DH$11:$DH$779,$DR$11:$DR$779)</f>
        <v>4320.7038910866731</v>
      </c>
      <c r="EB33" s="920" cm="1">
        <f t="array" aca="1" ref="EB33" ca="1">SUMPRODUCT(($CX$11:$CX$779=DY33)*($CY$11:$CY$779=DX33),$DH$11:$DH$779,$DS$11:$DS$779)</f>
        <v>787.56392801428228</v>
      </c>
      <c r="EC33" s="1029" cm="1">
        <f t="array" aca="1" ref="EC33" ca="1">SUMPRODUCT(($CX$11:$CX$779=DY33)*($CY$11:$CY$779=DX33),$DH$11:$DH$779,$DT$11:$DT$779)</f>
        <v>-7.1626461973015015E-3</v>
      </c>
      <c r="ED33" s="920">
        <f t="shared" ca="1" si="18"/>
        <v>10829.044237348689</v>
      </c>
      <c r="EE33" s="920">
        <f t="shared" ca="1" si="19"/>
        <v>864.14077821733463</v>
      </c>
      <c r="EF33" s="1238"/>
      <c r="EG33" s="1238"/>
      <c r="EH33" s="1238"/>
      <c r="EI33" s="1238"/>
      <c r="EJ33" s="1238"/>
    </row>
    <row r="34" spans="3:140" ht="15" x14ac:dyDescent="0.2">
      <c r="D34" s="82">
        <v>4</v>
      </c>
      <c r="E34" s="4" t="str">
        <v>lenvatinib_plus_pembrolizumab</v>
      </c>
      <c r="G34" s="664"/>
      <c r="H34" s="664"/>
      <c r="I34" s="73"/>
      <c r="J34" s="73"/>
      <c r="K34" s="73"/>
      <c r="L34" s="73"/>
      <c r="M34" s="73"/>
      <c r="N34" s="73"/>
      <c r="O34" s="73"/>
      <c r="P34" s="73"/>
      <c r="Q34" s="73"/>
      <c r="CK34" s="61" t="str">
        <f t="shared" si="15"/>
        <v>Favourable risk</v>
      </c>
      <c r="CL34" s="61">
        <v>1</v>
      </c>
      <c r="CM34" s="61" t="str">
        <v>axitinib</v>
      </c>
      <c r="CN34" s="17">
        <v>11</v>
      </c>
      <c r="CO34" s="17">
        <v>0</v>
      </c>
      <c r="CP34" s="17">
        <v>111</v>
      </c>
      <c r="CQ34" s="601">
        <f t="shared" si="16"/>
        <v>0</v>
      </c>
      <c r="CR34" s="601">
        <f t="shared" si="17"/>
        <v>0</v>
      </c>
      <c r="CS34" s="631">
        <v>0</v>
      </c>
      <c r="CT34" s="631">
        <v>0</v>
      </c>
      <c r="CU34" s="1123">
        <f>MATCH(CZ34,'Resource use and costs'!$BA$11:$BA$53,0)</f>
        <v>37</v>
      </c>
      <c r="CV34" s="1223"/>
      <c r="CW34" s="1241">
        <f t="shared" si="12"/>
        <v>1</v>
      </c>
      <c r="CX34" s="899" t="s">
        <v>764</v>
      </c>
      <c r="CY34" s="899" t="s">
        <v>571</v>
      </c>
      <c r="CZ34" s="899" t="s">
        <v>119</v>
      </c>
      <c r="DA34" s="899" t="s">
        <v>765</v>
      </c>
      <c r="DB34" s="899"/>
      <c r="DC34" s="899" cm="1">
        <f t="array" aca="1" ref="DC34" ca="1">_xlfn.IFNA(OFFSET($I$49,MATCH(CY34,$I$50:$I$63,0),MATCH(CZ34,TRANSPOSE($J$49:$W$49),0)),0)</f>
        <v>0</v>
      </c>
      <c r="DD34" s="899" cm="1">
        <f t="array" aca="1" ref="DD34" ca="1">_xlfn.IFNA(OFFSET($Y$49,MATCH($CZ34,$Y$50:$Y$63,0),MATCH($DA34,TRANSPOSE($Z$49:$AM$49),0)),0)</f>
        <v>1</v>
      </c>
      <c r="DE34" s="899" cm="1">
        <f t="array" aca="1" ref="DE34" ca="1">_xlfn.IFNA(OFFSET($AO$49,MATCH($DA34,$AO$50:$AO$63,0),MATCH($DB34,TRANSPOSE($AP$49:$BC$49),0)),0)</f>
        <v>0</v>
      </c>
      <c r="DF34" s="881">
        <f t="shared" ca="1" si="8"/>
        <v>0</v>
      </c>
      <c r="DG34" s="910">
        <f t="shared" ca="1" si="9"/>
        <v>1</v>
      </c>
      <c r="DH34" s="881">
        <f t="shared" ca="1" si="10"/>
        <v>0</v>
      </c>
      <c r="DI34" s="1461">
        <f t="shared" ca="1" si="21"/>
        <v>0</v>
      </c>
      <c r="DJ34" s="909">
        <f>_xlfn.IFNA(INDEX('Resource use and costs'!$CQ$11:$CQ$53,MATCH($CZ34,'Resource use and costs'!$BA$11:$BA$53,0)),0)*_xlfn.IFNA(INDEX(DY$10:DY$23,MATCH($CZ34,$DX$10:$DX$23,0)),0)</f>
        <v>944.50399999999979</v>
      </c>
      <c r="DK34" s="909">
        <f>IF(dd_PartSA_2_lines = "Yes",0,_xlfn.IFNA(INDEX('Resource use and costs'!$CR$11:$CR$53,MATCH(DA34,'Resource use and costs'!$BA$11:$BA$53,0)),0)*_xlfn.IFNA(INDEX(EA$10:EA$23,MATCH($DA34,$DX$10:$DX$23,0)),0))</f>
        <v>0</v>
      </c>
      <c r="DL34" s="909">
        <f>IF(dd_PartSA_2_lines = "Yes",0,_xlfn.IFNA(INDEX('Resource use and costs'!$CS$11:$CS$53,MATCH(DB34,'Resource use and costs'!$BA$11:$BA$53,0)),0)*_xlfn.IFNA(INDEX(EC$10:EC$23,MATCH($DB34,$DX$10:$DX$23,0)),0))</f>
        <v>0</v>
      </c>
      <c r="DM34" s="909">
        <f t="shared" si="13"/>
        <v>944.50399999999979</v>
      </c>
      <c r="DN34" s="909">
        <f>SUM(_xlfn.IFNA(INDEX('Resource use and costs'!$DU$12:$DU$25,MATCH(CZ34,'Resource use and costs'!$DS$12:$DS$25,0)),0),_xlfn.IFNA(INDEX('Resource use and costs'!$DU$12:$DU$25,MATCH(DA34,'Resource use and costs'!$DS$12:$DS$25,0)),0),_xlfn.IFNA(INDEX('Resource use and costs'!$DU$12:$DU$25,MATCH(DB34,'Resource use and costs'!$DS$12:$DS$25,0)),0))</f>
        <v>197.25</v>
      </c>
      <c r="DO34" s="921">
        <f>_xlfn.IFNA(INDEX('Resource use and costs'!$DY$12:$DY$25,MATCH(CZ34,'Resource use and costs'!$DS$12:$DS$25,0)),0)*_xlfn.IFNA(INDEX(DY$10:DY$23,MATCH($CZ34,$DX$10:$DX$23,0)),0)</f>
        <v>82.971428571428561</v>
      </c>
      <c r="DP34" s="921">
        <f>IF(dd_PartSA_2_lines = "Yes",0,_xlfn.IFNA(INDEX('Resource use and costs'!$DZ$12:$DZ$25,MATCH(DA34,'Resource use and costs'!$DS$12:$DS$25,0)),0)*_xlfn.IFNA(INDEX(EA$10:EA$23,MATCH($DA34,$DX$10:$DX$23,0)),0))</f>
        <v>0</v>
      </c>
      <c r="DQ34" s="921">
        <f>IF(dd_PartSA_2_lines = "Yes",0,_xlfn.IFNA(INDEX('Resource use and costs'!$EA$12:$EA$25,MATCH(DB34,'Resource use and costs'!$DS$12:$DS$25,0)),0)*_xlfn.IFNA(INDEX(EC$10:EC$23,MATCH($DB34,$DX$10:$DX$23,0)),0))</f>
        <v>0</v>
      </c>
      <c r="DR34" s="921">
        <f t="shared" si="14"/>
        <v>280.22142857142853</v>
      </c>
      <c r="DS34" s="1004">
        <f>SUMIFS('Safety parameters'!$DM$6:$DM$18,'Safety parameters'!$DK$6:$DK$18,CZ34,'Safety parameters'!$DL$6:$DL$18,1)+IF(dd_PartSA_2_lines = "Yes",0,SUMIFS('Safety parameters'!$DM$6:$DM$18,'Safety parameters'!$DK$6:$DK$18,DA34,'Safety parameters'!$DL$6:$DL$18,2)+SUMIFS('Safety parameters'!$DM$6:$DM$18,'Safety parameters'!$DK$6:$DK$18,DB34,'Safety parameters'!$DL$6:$DL$18,2))</f>
        <v>0</v>
      </c>
      <c r="DT34" s="910">
        <f>SUMIFS('Safety parameters'!$DO$6:$DO$18,'Safety parameters'!$DK$6:$DK$18,CZ34,'Safety parameters'!$DL$6:$DL$18,1)+IF(dd_PartSA_2_lines = "Yes",0,SUMIFS('Safety parameters'!$DO$6:$DO$18,'Safety parameters'!$DK$6:$DK$18,DA34,'Safety parameters'!$DL$6:$DL$18,2)+SUMIFS('Safety parameters'!$DO$6:$DO$18,'Safety parameters'!$DK$6:$DK$18,DB34,'Safety parameters'!$DL$6:$DL$18,2))</f>
        <v>0</v>
      </c>
      <c r="DX34" s="61" t="str">
        <v>tivozanib</v>
      </c>
      <c r="DY34" s="61" t="str">
        <f t="shared" si="20"/>
        <v>pop0</v>
      </c>
      <c r="DZ34" s="920" cm="1">
        <f t="array" aca="1" ref="DZ34" ca="1">SUMPRODUCT(($CX$11:$CX$779=DY34)*($CY$11:$CY$779=DX34),$DH$11:$DH$779,$DM$11:$DM$779)</f>
        <v>56145.45768759949</v>
      </c>
      <c r="EA34" s="920" cm="1">
        <f t="array" aca="1" ref="EA34" ca="1">SUMPRODUCT(($CX$11:$CX$779=DY34)*($CY$11:$CY$779=DX34),$DH$11:$DH$779,$DR$11:$DR$779)</f>
        <v>5129.5419305434834</v>
      </c>
      <c r="EB34" s="920" cm="1">
        <f t="array" aca="1" ref="EB34" ca="1">SUMPRODUCT(($CX$11:$CX$779=DY34)*($CY$11:$CY$779=DX34),$DH$11:$DH$779,$DS$11:$DS$779)</f>
        <v>702.27646992982636</v>
      </c>
      <c r="EC34" s="1029" cm="1">
        <f t="array" aca="1" ref="EC34" ca="1">SUMPRODUCT(($CX$11:$CX$779=DY34)*($CY$11:$CY$779=DX34),$DH$11:$DH$779,$DT$11:$DT$779)</f>
        <v>-6.4190123904707009E-3</v>
      </c>
      <c r="ED34" s="920">
        <f t="shared" ca="1" si="18"/>
        <v>11229.091537519898</v>
      </c>
      <c r="EE34" s="920">
        <f t="shared" ca="1" si="19"/>
        <v>1025.9083861086967</v>
      </c>
      <c r="EF34" s="1238"/>
      <c r="EG34" s="1238"/>
      <c r="EH34" s="1238"/>
      <c r="EI34" s="1238"/>
      <c r="EJ34" s="1238"/>
    </row>
    <row r="35" spans="3:140" ht="15" x14ac:dyDescent="0.2">
      <c r="D35" s="82">
        <v>5</v>
      </c>
      <c r="E35" s="4" t="str">
        <v>avelumab_plus_axitinib</v>
      </c>
      <c r="G35" s="664"/>
      <c r="H35" s="664"/>
      <c r="I35" s="73"/>
      <c r="J35" s="73"/>
      <c r="K35" s="73"/>
      <c r="L35" s="73"/>
      <c r="M35" s="73"/>
      <c r="N35" s="73"/>
      <c r="O35" s="73"/>
      <c r="P35" s="73"/>
      <c r="Q35" s="73"/>
      <c r="CK35" s="61" t="str">
        <f t="shared" si="15"/>
        <v>Favourable risk</v>
      </c>
      <c r="CL35" s="61">
        <v>1</v>
      </c>
      <c r="CM35" s="61" t="str">
        <v>sorafenib</v>
      </c>
      <c r="CN35" s="17">
        <v>12</v>
      </c>
      <c r="CO35" s="17">
        <v>0</v>
      </c>
      <c r="CP35" s="17">
        <v>111</v>
      </c>
      <c r="CQ35" s="601">
        <f t="shared" si="16"/>
        <v>0</v>
      </c>
      <c r="CR35" s="601">
        <f t="shared" si="17"/>
        <v>0</v>
      </c>
      <c r="CS35" s="631">
        <v>0</v>
      </c>
      <c r="CT35" s="631">
        <v>0</v>
      </c>
      <c r="CU35" s="1123">
        <f>MATCH(CZ35,'Resource use and costs'!$BA$11:$BA$53,0)</f>
        <v>43</v>
      </c>
      <c r="CV35" s="1223"/>
      <c r="CW35" s="1241">
        <f t="shared" si="12"/>
        <v>1</v>
      </c>
      <c r="CX35" s="899" t="s">
        <v>764</v>
      </c>
      <c r="CY35" s="899" t="s">
        <v>571</v>
      </c>
      <c r="CZ35" s="899" t="s">
        <v>333</v>
      </c>
      <c r="DA35" s="899" t="s">
        <v>327</v>
      </c>
      <c r="DB35" s="899" t="s">
        <v>765</v>
      </c>
      <c r="DC35" s="899" cm="1">
        <f t="array" aca="1" ref="DC35" ca="1">_xlfn.IFNA(OFFSET($I$49,MATCH(CY35,$I$50:$I$63,0),MATCH(CZ35,TRANSPOSE($J$49:$W$49),0)),0)</f>
        <v>0.54387087099248355</v>
      </c>
      <c r="DD35" s="899">
        <f ca="1">1-DD36</f>
        <v>0.65700000000000003</v>
      </c>
      <c r="DE35" s="899">
        <v>1</v>
      </c>
      <c r="DF35" s="881">
        <f t="shared" ca="1" si="8"/>
        <v>0.35732316224206173</v>
      </c>
      <c r="DG35" s="910">
        <f t="shared" ca="1" si="9"/>
        <v>1</v>
      </c>
      <c r="DH35" s="881">
        <f t="shared" ca="1" si="10"/>
        <v>0.35732316224206173</v>
      </c>
      <c r="DI35" s="1461">
        <f t="shared" ca="1" si="21"/>
        <v>60.030291256666374</v>
      </c>
      <c r="DJ35" s="909">
        <f>_xlfn.IFNA(INDEX('Resource use and costs'!$CQ$11:$CQ$53,MATCH($CZ35,'Resource use and costs'!$BA$11:$BA$53,0)),0)*_xlfn.IFNA(INDEX(DY$10:DY$23,MATCH($CZ35,$DX$10:$DX$23,0)),0)</f>
        <v>54336.641519999976</v>
      </c>
      <c r="DK35" s="909">
        <f>IF(dd_PartSA_2_lines = "Yes",0,_xlfn.IFNA(INDEX('Resource use and costs'!$CR$11:$CR$53,MATCH(DA35,'Resource use and costs'!$BA$11:$BA$53,0)),0)*_xlfn.IFNA(INDEX(EA$10:EA$23,MATCH($DA35,$DX$10:$DX$23,0)),0))</f>
        <v>21421.066008214286</v>
      </c>
      <c r="DL35" s="909">
        <f>IF(dd_PartSA_2_lines = "Yes",0,_xlfn.IFNA(INDEX('Resource use and costs'!$CS$11:$CS$53,MATCH(DB35,'Resource use and costs'!$BA$11:$BA$53,0)),0)*_xlfn.IFNA(INDEX(EC$10:EC$23,MATCH($DB35,$DX$10:$DX$23,0)),0))</f>
        <v>0</v>
      </c>
      <c r="DM35" s="909">
        <f t="shared" si="13"/>
        <v>75757.707528214261</v>
      </c>
      <c r="DN35" s="909">
        <f>SUM(_xlfn.IFNA(INDEX('Resource use and costs'!$DU$12:$DU$25,MATCH(CZ35,'Resource use and costs'!$DS$12:$DS$25,0)),0),_xlfn.IFNA(INDEX('Resource use and costs'!$DU$12:$DU$25,MATCH(DA35,'Resource use and costs'!$DS$12:$DS$25,0)),0),_xlfn.IFNA(INDEX('Resource use and costs'!$DU$12:$DU$25,MATCH(DB35,'Resource use and costs'!$DS$12:$DS$25,0)),0))</f>
        <v>394.5</v>
      </c>
      <c r="DO35" s="921">
        <f>_xlfn.IFNA(INDEX('Resource use and costs'!$DY$12:$DY$25,MATCH(CZ35,'Resource use and costs'!$DS$12:$DS$25,0)),0)*_xlfn.IFNA(INDEX(DY$10:DY$23,MATCH($CZ35,$DX$10:$DX$23,0)),0)</f>
        <v>810.54285714285697</v>
      </c>
      <c r="DP35" s="921">
        <f>IF(dd_PartSA_2_lines = "Yes",0,_xlfn.IFNA(INDEX('Resource use and costs'!$DZ$12:$DZ$25,MATCH(DA35,'Resource use and costs'!$DS$12:$DS$25,0)),0)*_xlfn.IFNA(INDEX(EA$10:EA$23,MATCH($DA35,$DX$10:$DX$23,0)),0))</f>
        <v>267.99172714285714</v>
      </c>
      <c r="DQ35" s="921">
        <f>IF(dd_PartSA_2_lines = "Yes",0,_xlfn.IFNA(INDEX('Resource use and costs'!$EA$12:$EA$25,MATCH(DB35,'Resource use and costs'!$DS$12:$DS$25,0)),0)*_xlfn.IFNA(INDEX(EC$10:EC$23,MATCH($DB35,$DX$10:$DX$23,0)),0))</f>
        <v>0</v>
      </c>
      <c r="DR35" s="921">
        <f t="shared" si="14"/>
        <v>1473.0345842857141</v>
      </c>
      <c r="DS35" s="1004">
        <f ca="1">SUMIFS('Safety parameters'!$DM$6:$DM$18,'Safety parameters'!$DK$6:$DK$18,CZ35,'Safety parameters'!$DL$6:$DL$18,1)+IF(dd_PartSA_2_lines = "Yes",0,SUMIFS('Safety parameters'!$DM$6:$DM$18,'Safety parameters'!$DK$6:$DK$18,DA35,'Safety parameters'!$DL$6:$DL$18,2)+SUMIFS('Safety parameters'!$DM$6:$DM$18,'Safety parameters'!$DK$6:$DK$18,DB35,'Safety parameters'!$DL$6:$DL$18,2))</f>
        <v>1634.2286735654598</v>
      </c>
      <c r="DT35" s="910">
        <f ca="1">SUMIFS('Safety parameters'!$DO$6:$DO$18,'Safety parameters'!$DK$6:$DK$18,CZ35,'Safety parameters'!$DL$6:$DL$18,1)+IF(dd_PartSA_2_lines = "Yes",0,SUMIFS('Safety parameters'!$DO$6:$DO$18,'Safety parameters'!$DK$6:$DK$18,DA35,'Safety parameters'!$DL$6:$DL$18,2)+SUMIFS('Safety parameters'!$DO$6:$DO$18,'Safety parameters'!$DK$6:$DK$18,DB35,'Safety parameters'!$DL$6:$DL$18,2))</f>
        <v>-1.4741924007481429E-2</v>
      </c>
      <c r="DX35" s="61" t="str">
        <v>sunitinib</v>
      </c>
      <c r="DY35" s="61" t="str">
        <f t="shared" si="20"/>
        <v>pop0</v>
      </c>
      <c r="DZ35" s="920" cm="1">
        <f t="array" aca="1" ref="DZ35" ca="1">SUMPRODUCT(($CX$11:$CX$779=DY35)*($CY$11:$CY$779=DX35),$DH$11:$DH$779,$DM$11:$DM$779)</f>
        <v>53124.520052788168</v>
      </c>
      <c r="EA35" s="920" cm="1">
        <f t="array" aca="1" ref="EA35" ca="1">SUMPRODUCT(($CX$11:$CX$779=DY35)*($CY$11:$CY$779=DX35),$DH$11:$DH$779,$DR$11:$DR$779)</f>
        <v>4412.7836851617676</v>
      </c>
      <c r="EB35" s="920" cm="1">
        <f t="array" aca="1" ref="EB35" ca="1">SUMPRODUCT(($CX$11:$CX$779=DY35)*($CY$11:$CY$779=DX35),$DH$11:$DH$779,$DS$11:$DS$779)</f>
        <v>758.6544728391118</v>
      </c>
      <c r="EC35" s="1029" cm="1">
        <f t="array" aca="1" ref="EC35" ca="1">SUMPRODUCT(($CX$11:$CX$779=DY35)*($CY$11:$CY$779=DX35),$DH$11:$DH$779,$DT$11:$DT$779)</f>
        <v>-6.9006721497158804E-3</v>
      </c>
      <c r="ED35" s="920">
        <f t="shared" ca="1" si="18"/>
        <v>10624.904010557635</v>
      </c>
      <c r="EE35" s="920">
        <f t="shared" ca="1" si="19"/>
        <v>882.55673703235357</v>
      </c>
      <c r="EF35" s="1238"/>
      <c r="EG35" s="1238"/>
      <c r="EH35" s="1238"/>
      <c r="EI35" s="1238"/>
      <c r="EJ35" s="1238"/>
    </row>
    <row r="36" spans="3:140" ht="15.75" thickBot="1" x14ac:dyDescent="0.25">
      <c r="D36" s="82">
        <v>6</v>
      </c>
      <c r="E36" s="4" t="str">
        <v>pazopanib</v>
      </c>
      <c r="G36" s="664"/>
      <c r="H36" s="664"/>
      <c r="I36" s="73"/>
      <c r="J36" s="73"/>
      <c r="K36" s="73"/>
      <c r="L36" s="73"/>
      <c r="M36" s="73"/>
      <c r="N36" s="73"/>
      <c r="O36" s="73"/>
      <c r="P36" s="73"/>
      <c r="Q36" s="73"/>
      <c r="CK36" s="506" t="str">
        <f t="shared" si="15"/>
        <v>Favourable risk</v>
      </c>
      <c r="CL36" s="506">
        <v>1</v>
      </c>
      <c r="CM36" s="506" t="str">
        <v>placebo_BSC</v>
      </c>
      <c r="CN36" s="19">
        <v>999</v>
      </c>
      <c r="CO36" s="19">
        <v>0</v>
      </c>
      <c r="CP36" s="19">
        <v>111</v>
      </c>
      <c r="CQ36" s="602">
        <f t="shared" si="16"/>
        <v>0</v>
      </c>
      <c r="CR36" s="602">
        <f t="shared" si="17"/>
        <v>0</v>
      </c>
      <c r="CS36" s="666">
        <v>0</v>
      </c>
      <c r="CT36" s="666">
        <v>0</v>
      </c>
      <c r="CU36" s="1123">
        <f>MATCH(CZ36,'Resource use and costs'!$BA$11:$BA$53,0)</f>
        <v>43</v>
      </c>
      <c r="CV36" s="1223"/>
      <c r="CW36" s="1241">
        <f t="shared" si="12"/>
        <v>1</v>
      </c>
      <c r="CX36" s="899" t="s">
        <v>764</v>
      </c>
      <c r="CY36" s="899" t="s">
        <v>571</v>
      </c>
      <c r="CZ36" s="899" t="s">
        <v>333</v>
      </c>
      <c r="DA36" s="899" t="s">
        <v>765</v>
      </c>
      <c r="DB36" s="899"/>
      <c r="DC36" s="899" cm="1">
        <f t="array" aca="1" ref="DC36" ca="1">_xlfn.IFNA(OFFSET($I$49,MATCH(CY36,$I$50:$I$63,0),MATCH(CZ36,TRANSPOSE($J$49:$W$49),0)),0)</f>
        <v>0.54387087099248355</v>
      </c>
      <c r="DD36" s="899" cm="1">
        <f t="array" aca="1" ref="DD36" ca="1">_xlfn.IFNA(OFFSET($Y$49,MATCH($CZ36,$Y$50:$Y$63,0),MATCH($DA36,TRANSPOSE($Z$49:$AM$49),0)),0)</f>
        <v>0.34300000000000003</v>
      </c>
      <c r="DE36" s="899" cm="1">
        <f t="array" aca="1" ref="DE36" ca="1">_xlfn.IFNA(OFFSET($AO$49,MATCH($DA36,$AO$50:$AO$63,0),MATCH($DB36,TRANSPOSE($AP$49:$BC$49),0)),0)</f>
        <v>0</v>
      </c>
      <c r="DF36" s="881">
        <f t="shared" ca="1" si="8"/>
        <v>0.18654770875042187</v>
      </c>
      <c r="DG36" s="910">
        <f t="shared" ca="1" si="9"/>
        <v>1</v>
      </c>
      <c r="DH36" s="881">
        <f t="shared" ca="1" si="10"/>
        <v>0.18654770875042187</v>
      </c>
      <c r="DI36" s="1461">
        <f t="shared" ca="1" si="21"/>
        <v>31.340015070070873</v>
      </c>
      <c r="DJ36" s="909">
        <f>_xlfn.IFNA(INDEX('Resource use and costs'!$CQ$11:$CQ$53,MATCH($CZ36,'Resource use and costs'!$BA$11:$BA$53,0)),0)*_xlfn.IFNA(INDEX(DY$10:DY$23,MATCH($CZ36,$DX$10:$DX$23,0)),0)</f>
        <v>54336.641519999976</v>
      </c>
      <c r="DK36" s="909">
        <f>IF(dd_PartSA_2_lines = "Yes",0,_xlfn.IFNA(INDEX('Resource use and costs'!$CR$11:$CR$53,MATCH(DA36,'Resource use and costs'!$BA$11:$BA$53,0)),0)*_xlfn.IFNA(INDEX(EA$10:EA$23,MATCH($DA36,$DX$10:$DX$23,0)),0))</f>
        <v>0</v>
      </c>
      <c r="DL36" s="909">
        <f>IF(dd_PartSA_2_lines = "Yes",0,_xlfn.IFNA(INDEX('Resource use and costs'!$CS$11:$CS$53,MATCH(DB36,'Resource use and costs'!$BA$11:$BA$53,0)),0)*_xlfn.IFNA(INDEX(EC$10:EC$23,MATCH($DB36,$DX$10:$DX$23,0)),0))</f>
        <v>0</v>
      </c>
      <c r="DM36" s="909">
        <f t="shared" si="13"/>
        <v>54336.641519999976</v>
      </c>
      <c r="DN36" s="909">
        <f>SUM(_xlfn.IFNA(INDEX('Resource use and costs'!$DU$12:$DU$25,MATCH(CZ36,'Resource use and costs'!$DS$12:$DS$25,0)),0),_xlfn.IFNA(INDEX('Resource use and costs'!$DU$12:$DU$25,MATCH(DA36,'Resource use and costs'!$DS$12:$DS$25,0)),0),_xlfn.IFNA(INDEX('Resource use and costs'!$DU$12:$DU$25,MATCH(DB36,'Resource use and costs'!$DS$12:$DS$25,0)),0))</f>
        <v>197.25</v>
      </c>
      <c r="DO36" s="921">
        <f>_xlfn.IFNA(INDEX('Resource use and costs'!$DY$12:$DY$25,MATCH(CZ36,'Resource use and costs'!$DS$12:$DS$25,0)),0)*_xlfn.IFNA(INDEX(DY$10:DY$23,MATCH($CZ36,$DX$10:$DX$23,0)),0)</f>
        <v>810.54285714285697</v>
      </c>
      <c r="DP36" s="921">
        <f>IF(dd_PartSA_2_lines = "Yes",0,_xlfn.IFNA(INDEX('Resource use and costs'!$DZ$12:$DZ$25,MATCH(DA36,'Resource use and costs'!$DS$12:$DS$25,0)),0)*_xlfn.IFNA(INDEX(EA$10:EA$23,MATCH($DA36,$DX$10:$DX$23,0)),0))</f>
        <v>0</v>
      </c>
      <c r="DQ36" s="921">
        <f>IF(dd_PartSA_2_lines = "Yes",0,_xlfn.IFNA(INDEX('Resource use and costs'!$EA$12:$EA$25,MATCH(DB36,'Resource use and costs'!$DS$12:$DS$25,0)),0)*_xlfn.IFNA(INDEX(EC$10:EC$23,MATCH($DB36,$DX$10:$DX$23,0)),0))</f>
        <v>0</v>
      </c>
      <c r="DR36" s="921">
        <f t="shared" si="14"/>
        <v>1007.792857142857</v>
      </c>
      <c r="DS36" s="1004">
        <f>SUMIFS('Safety parameters'!$DM$6:$DM$18,'Safety parameters'!$DK$6:$DK$18,CZ36,'Safety parameters'!$DL$6:$DL$18,1)+IF(dd_PartSA_2_lines = "Yes",0,SUMIFS('Safety parameters'!$DM$6:$DM$18,'Safety parameters'!$DK$6:$DK$18,DA36,'Safety parameters'!$DL$6:$DL$18,2)+SUMIFS('Safety parameters'!$DM$6:$DM$18,'Safety parameters'!$DK$6:$DK$18,DB36,'Safety parameters'!$DL$6:$DL$18,2))</f>
        <v>0</v>
      </c>
      <c r="DT36" s="910">
        <f>SUMIFS('Safety parameters'!$DO$6:$DO$18,'Safety parameters'!$DK$6:$DK$18,CZ36,'Safety parameters'!$DL$6:$DL$18,1)+IF(dd_PartSA_2_lines = "Yes",0,SUMIFS('Safety parameters'!$DO$6:$DO$18,'Safety parameters'!$DK$6:$DK$18,DA36,'Safety parameters'!$DL$6:$DL$18,2)+SUMIFS('Safety parameters'!$DO$6:$DO$18,'Safety parameters'!$DK$6:$DK$18,DB36,'Safety parameters'!$DL$6:$DL$18,2))</f>
        <v>0</v>
      </c>
      <c r="DX36" s="61" t="str">
        <v>cabozantinib</v>
      </c>
      <c r="DY36" s="61" t="str">
        <f t="shared" si="20"/>
        <v>pop0</v>
      </c>
      <c r="DZ36" s="920" cm="1">
        <f t="array" aca="1" ref="DZ36" ca="1">SUMPRODUCT(($CX$11:$CX$779=DY36)*($CY$11:$CY$779=DX36),$DH$11:$DH$779,$DM$11:$DM$779)</f>
        <v>0</v>
      </c>
      <c r="EA36" s="920" cm="1">
        <f t="array" aca="1" ref="EA36" ca="1">SUMPRODUCT(($CX$11:$CX$779=DY36)*($CY$11:$CY$779=DX36),$DH$11:$DH$779,$DR$11:$DR$779)</f>
        <v>0</v>
      </c>
      <c r="EB36" s="920" cm="1">
        <f t="array" aca="1" ref="EB36" ca="1">SUMPRODUCT(($CX$11:$CX$779=DY36)*($CY$11:$CY$779=DX36),$DH$11:$DH$779,$DS$11:$DS$779)</f>
        <v>0</v>
      </c>
      <c r="EC36" s="1029" cm="1">
        <f t="array" aca="1" ref="EC36" ca="1">SUMPRODUCT(($CX$11:$CX$779=DY36)*($CY$11:$CY$779=DX36),$DH$11:$DH$779,$DT$11:$DT$779)</f>
        <v>0</v>
      </c>
      <c r="ED36" s="920">
        <f t="shared" ca="1" si="18"/>
        <v>0</v>
      </c>
      <c r="EE36" s="920">
        <f t="shared" ca="1" si="19"/>
        <v>0</v>
      </c>
      <c r="EF36" s="1238"/>
      <c r="EG36" s="1238"/>
      <c r="EH36" s="1238"/>
      <c r="EI36" s="1238"/>
      <c r="EJ36" s="1238"/>
    </row>
    <row r="37" spans="3:140" ht="15" x14ac:dyDescent="0.2">
      <c r="D37" s="82">
        <v>7</v>
      </c>
      <c r="E37" s="4" t="str">
        <v>tivozanib</v>
      </c>
      <c r="G37" s="664"/>
      <c r="H37" s="664"/>
      <c r="CK37" s="505" t="s">
        <v>31</v>
      </c>
      <c r="CL37" s="505">
        <v>1</v>
      </c>
      <c r="CM37" s="505" t="str" cm="1">
        <f t="array" ref="CM37:CM50">List_comparators</f>
        <v>nivolumab_monotherapy</v>
      </c>
      <c r="CN37" s="252">
        <v>0</v>
      </c>
      <c r="CO37" s="17">
        <v>0</v>
      </c>
      <c r="CP37" s="17">
        <v>111</v>
      </c>
      <c r="CQ37" s="603">
        <f t="shared" ref="CQ37:CQ50" si="22">G50</f>
        <v>0</v>
      </c>
      <c r="CR37" s="603">
        <f t="shared" ref="CR37:CR50" si="23">H50</f>
        <v>0</v>
      </c>
      <c r="CS37" s="631">
        <v>0</v>
      </c>
      <c r="CT37" s="631">
        <v>0</v>
      </c>
      <c r="CU37" s="1123">
        <f>MATCH(CZ37,'Resource use and costs'!$BA$11:$BA$53,0)</f>
        <v>21</v>
      </c>
      <c r="CV37" s="1223"/>
      <c r="CW37" s="1241">
        <f t="shared" si="12"/>
        <v>1</v>
      </c>
      <c r="CX37" s="899" t="s">
        <v>764</v>
      </c>
      <c r="CY37" s="899" t="s">
        <v>571</v>
      </c>
      <c r="CZ37" s="899" t="s">
        <v>585</v>
      </c>
      <c r="DA37" s="899" t="s">
        <v>327</v>
      </c>
      <c r="DB37" s="899" t="s">
        <v>765</v>
      </c>
      <c r="DC37" s="899" cm="1">
        <f t="array" aca="1" ref="DC37" ca="1">_xlfn.IFNA(OFFSET($I$49,MATCH(CY37,$I$50:$I$63,0),MATCH(CZ37,TRANSPOSE($J$49:$W$49),0)),0)</f>
        <v>0</v>
      </c>
      <c r="DD37" s="899" cm="1">
        <f t="array" aca="1" ref="DD37" ca="1">_xlfn.IFNA(OFFSET($Y$49,MATCH($CZ37,$Y$50:$Y$63,0),MATCH($DA37,TRANSPOSE($Z$49:$AM$49),0)),0)</f>
        <v>0</v>
      </c>
      <c r="DE37" s="899" cm="1">
        <f t="array" aca="1" ref="DE37" ca="1">_xlfn.IFNA(OFFSET($AO$49,MATCH($DA37,$AO$50:$AO$63,0),MATCH($DB37,TRANSPOSE($AP$49:$BC$49),0)),0)</f>
        <v>0.43140000000000001</v>
      </c>
      <c r="DF37" s="881">
        <f t="shared" ca="1" si="8"/>
        <v>0</v>
      </c>
      <c r="DG37" s="910">
        <f t="shared" ca="1" si="9"/>
        <v>1</v>
      </c>
      <c r="DH37" s="881">
        <f t="shared" ca="1" si="10"/>
        <v>0</v>
      </c>
      <c r="DI37" s="1461">
        <f t="shared" ca="1" si="21"/>
        <v>0</v>
      </c>
      <c r="DJ37" s="909">
        <f>_xlfn.IFNA(INDEX('Resource use and costs'!$CQ$11:$CQ$53,MATCH($CZ37,'Resource use and costs'!$BA$11:$BA$53,0)),0)*_xlfn.IFNA(INDEX(DY$10:DY$23,MATCH($CZ37,$DX$10:$DX$23,0)),0)</f>
        <v>4551.2486654444447</v>
      </c>
      <c r="DK37" s="909">
        <f>IF(dd_PartSA_2_lines = "Yes",0,_xlfn.IFNA(INDEX('Resource use and costs'!$CR$11:$CR$53,MATCH(DA37,'Resource use and costs'!$BA$11:$BA$53,0)),0)*_xlfn.IFNA(INDEX(EA$10:EA$23,MATCH($DA37,$DX$10:$DX$23,0)),0))</f>
        <v>21421.066008214286</v>
      </c>
      <c r="DL37" s="909">
        <f>IF(dd_PartSA_2_lines = "Yes",0,_xlfn.IFNA(INDEX('Resource use and costs'!$CS$11:$CS$53,MATCH(DB37,'Resource use and costs'!$BA$11:$BA$53,0)),0)*_xlfn.IFNA(INDEX(EC$10:EC$23,MATCH($DB37,$DX$10:$DX$23,0)),0))</f>
        <v>0</v>
      </c>
      <c r="DM37" s="909">
        <f t="shared" si="13"/>
        <v>25972.31467365873</v>
      </c>
      <c r="DN37" s="909">
        <f>SUM(_xlfn.IFNA(INDEX('Resource use and costs'!$DU$12:$DU$25,MATCH(CZ37,'Resource use and costs'!$DS$12:$DS$25,0)),0),_xlfn.IFNA(INDEX('Resource use and costs'!$DU$12:$DU$25,MATCH(DA37,'Resource use and costs'!$DS$12:$DS$25,0)),0),_xlfn.IFNA(INDEX('Resource use and costs'!$DU$12:$DU$25,MATCH(DB37,'Resource use and costs'!$DS$12:$DS$25,0)),0))</f>
        <v>394.5</v>
      </c>
      <c r="DO37" s="921">
        <f>_xlfn.IFNA(INDEX('Resource use and costs'!$DY$12:$DY$25,MATCH(CZ37,'Resource use and costs'!$DS$12:$DS$25,0)),0)*_xlfn.IFNA(INDEX(DY$10:DY$23,MATCH($CZ37,$DX$10:$DX$23,0)),0)</f>
        <v>410.14183571428572</v>
      </c>
      <c r="DP37" s="921">
        <f>IF(dd_PartSA_2_lines = "Yes",0,_xlfn.IFNA(INDEX('Resource use and costs'!$DZ$12:$DZ$25,MATCH(DA37,'Resource use and costs'!$DS$12:$DS$25,0)),0)*_xlfn.IFNA(INDEX(EA$10:EA$23,MATCH($DA37,$DX$10:$DX$23,0)),0))</f>
        <v>267.99172714285714</v>
      </c>
      <c r="DQ37" s="921">
        <f>IF(dd_PartSA_2_lines = "Yes",0,_xlfn.IFNA(INDEX('Resource use and costs'!$EA$12:$EA$25,MATCH(DB37,'Resource use and costs'!$DS$12:$DS$25,0)),0)*_xlfn.IFNA(INDEX(EC$10:EC$23,MATCH($DB37,$DX$10:$DX$23,0)),0))</f>
        <v>0</v>
      </c>
      <c r="DR37" s="921">
        <f t="shared" si="14"/>
        <v>1072.6335628571428</v>
      </c>
      <c r="DS37" s="1004">
        <f ca="1">SUMIFS('Safety parameters'!$DM$6:$DM$18,'Safety parameters'!$DK$6:$DK$18,CZ37,'Safety parameters'!$DL$6:$DL$18,1)+IF(dd_PartSA_2_lines = "Yes",0,SUMIFS('Safety parameters'!$DM$6:$DM$18,'Safety parameters'!$DK$6:$DK$18,DA37,'Safety parameters'!$DL$6:$DL$18,2)+SUMIFS('Safety parameters'!$DM$6:$DM$18,'Safety parameters'!$DK$6:$DK$18,DB37,'Safety parameters'!$DL$6:$DL$18,2))</f>
        <v>2145.8369470981288</v>
      </c>
      <c r="DT37" s="910">
        <f ca="1">SUMIFS('Safety parameters'!$DO$6:$DO$18,'Safety parameters'!$DK$6:$DK$18,CZ37,'Safety parameters'!$DL$6:$DL$18,1)+IF(dd_PartSA_2_lines = "Yes",0,SUMIFS('Safety parameters'!$DO$6:$DO$18,'Safety parameters'!$DK$6:$DK$18,DA37,'Safety parameters'!$DL$6:$DL$18,2)+SUMIFS('Safety parameters'!$DO$6:$DO$18,'Safety parameters'!$DK$6:$DK$18,DB37,'Safety parameters'!$DL$6:$DL$18,2))</f>
        <v>-1.9786705662528051E-2</v>
      </c>
      <c r="DX37" s="61" t="str">
        <v>lenvatinib_plus_everolimus</v>
      </c>
      <c r="DY37" s="61" t="str">
        <f t="shared" si="20"/>
        <v>pop0</v>
      </c>
      <c r="DZ37" s="920" cm="1">
        <f t="array" aca="1" ref="DZ37" ca="1">SUMPRODUCT(($CX$11:$CX$779=DY37)*($CY$11:$CY$779=DX37),$DH$11:$DH$779,$DM$11:$DM$779)</f>
        <v>0</v>
      </c>
      <c r="EA37" s="920" cm="1">
        <f t="array" aca="1" ref="EA37" ca="1">SUMPRODUCT(($CX$11:$CX$779=DY37)*($CY$11:$CY$779=DX37),$DH$11:$DH$779,$DR$11:$DR$779)</f>
        <v>0</v>
      </c>
      <c r="EB37" s="920" cm="1">
        <f t="array" aca="1" ref="EB37" ca="1">SUMPRODUCT(($CX$11:$CX$779=DY37)*($CY$11:$CY$779=DX37),$DH$11:$DH$779,$DS$11:$DS$779)</f>
        <v>0</v>
      </c>
      <c r="EC37" s="1029" cm="1">
        <f t="array" aca="1" ref="EC37" ca="1">SUMPRODUCT(($CX$11:$CX$779=DY37)*($CY$11:$CY$779=DX37),$DH$11:$DH$779,$DT$11:$DT$779)</f>
        <v>0</v>
      </c>
      <c r="ED37" s="920">
        <f t="shared" ca="1" si="18"/>
        <v>0</v>
      </c>
      <c r="EE37" s="920">
        <f t="shared" ca="1" si="19"/>
        <v>0</v>
      </c>
      <c r="EF37" s="1238"/>
      <c r="EG37" s="1238"/>
      <c r="EH37" s="1238"/>
      <c r="EI37" s="1238"/>
      <c r="EJ37" s="1238"/>
    </row>
    <row r="38" spans="3:140" ht="15" x14ac:dyDescent="0.2">
      <c r="D38" s="82">
        <v>8</v>
      </c>
      <c r="E38" s="4" t="str">
        <v>sunitinib</v>
      </c>
      <c r="G38" s="664"/>
      <c r="H38" s="664"/>
      <c r="CK38" s="61" t="s">
        <v>31</v>
      </c>
      <c r="CL38" s="61">
        <v>1</v>
      </c>
      <c r="CM38" s="61" t="str">
        <v>cabozantinib_plus_nivolumab</v>
      </c>
      <c r="CN38" s="17">
        <v>1</v>
      </c>
      <c r="CO38" s="17">
        <v>0</v>
      </c>
      <c r="CP38" s="17">
        <v>111</v>
      </c>
      <c r="CQ38" s="601">
        <f t="shared" si="22"/>
        <v>0</v>
      </c>
      <c r="CR38" s="601">
        <f t="shared" si="23"/>
        <v>0</v>
      </c>
      <c r="CS38" s="631">
        <v>0</v>
      </c>
      <c r="CT38" s="631">
        <v>0</v>
      </c>
      <c r="CU38" s="1123">
        <f>MATCH(CZ38,'Resource use and costs'!$BA$11:$BA$53,0)</f>
        <v>21</v>
      </c>
      <c r="CV38" s="1223"/>
      <c r="CW38" s="1241">
        <f t="shared" si="12"/>
        <v>1</v>
      </c>
      <c r="CX38" s="899" t="s">
        <v>764</v>
      </c>
      <c r="CY38" s="899" t="s">
        <v>571</v>
      </c>
      <c r="CZ38" s="899" t="s">
        <v>585</v>
      </c>
      <c r="DA38" s="899" t="s">
        <v>327</v>
      </c>
      <c r="DB38" s="899" t="s">
        <v>119</v>
      </c>
      <c r="DC38" s="899" cm="1">
        <f t="array" aca="1" ref="DC38" ca="1">_xlfn.IFNA(OFFSET($I$49,MATCH(CY38,$I$50:$I$63,0),MATCH(CZ38,TRANSPOSE($J$49:$W$49),0)),0)</f>
        <v>0</v>
      </c>
      <c r="DD38" s="899" cm="1">
        <f t="array" aca="1" ref="DD38" ca="1">_xlfn.IFNA(OFFSET($Y$49,MATCH($CZ38,$Y$50:$Y$63,0),MATCH($DA38,TRANSPOSE($Z$49:$AM$49),0)),0)</f>
        <v>0</v>
      </c>
      <c r="DE38" s="899" cm="1">
        <f t="array" aca="1" ref="DE38" ca="1">_xlfn.IFNA(OFFSET($AO$49,MATCH($DA38,$AO$50:$AO$63,0),MATCH($DB38,TRANSPOSE($AP$49:$BC$49),0)),0)</f>
        <v>0.56859999999999999</v>
      </c>
      <c r="DF38" s="881">
        <f t="shared" ca="1" si="8"/>
        <v>0</v>
      </c>
      <c r="DG38" s="910">
        <f t="shared" ca="1" si="9"/>
        <v>1</v>
      </c>
      <c r="DH38" s="881">
        <f t="shared" ca="1" si="10"/>
        <v>0</v>
      </c>
      <c r="DI38" s="1461">
        <f t="shared" ca="1" si="21"/>
        <v>0</v>
      </c>
      <c r="DJ38" s="909">
        <f>_xlfn.IFNA(INDEX('Resource use and costs'!$CQ$11:$CQ$53,MATCH($CZ38,'Resource use and costs'!$BA$11:$BA$53,0)),0)*_xlfn.IFNA(INDEX(DY$10:DY$23,MATCH($CZ38,$DX$10:$DX$23,0)),0)</f>
        <v>4551.2486654444447</v>
      </c>
      <c r="DK38" s="909">
        <f>IF(dd_PartSA_2_lines = "Yes",0,_xlfn.IFNA(INDEX('Resource use and costs'!$CR$11:$CR$53,MATCH(DA38,'Resource use and costs'!$BA$11:$BA$53,0)),0)*_xlfn.IFNA(INDEX(EA$10:EA$23,MATCH($DA38,$DX$10:$DX$23,0)),0))</f>
        <v>21421.066008214286</v>
      </c>
      <c r="DL38" s="909">
        <f>IF(dd_PartSA_2_lines = "Yes",0,_xlfn.IFNA(INDEX('Resource use and costs'!$CS$11:$CS$53,MATCH(DB38,'Resource use and costs'!$BA$11:$BA$53,0)),0)*_xlfn.IFNA(INDEX(EC$10:EC$23,MATCH($DB38,$DX$10:$DX$23,0)),0))</f>
        <v>2915.4763433333328</v>
      </c>
      <c r="DM38" s="909">
        <f t="shared" si="13"/>
        <v>28887.791016992061</v>
      </c>
      <c r="DN38" s="909">
        <f>SUM(_xlfn.IFNA(INDEX('Resource use and costs'!$DU$12:$DU$25,MATCH(CZ38,'Resource use and costs'!$DS$12:$DS$25,0)),0),_xlfn.IFNA(INDEX('Resource use and costs'!$DU$12:$DU$25,MATCH(DA38,'Resource use and costs'!$DS$12:$DS$25,0)),0),_xlfn.IFNA(INDEX('Resource use and costs'!$DU$12:$DU$25,MATCH(DB38,'Resource use and costs'!$DS$12:$DS$25,0)),0))</f>
        <v>591.75</v>
      </c>
      <c r="DO38" s="921">
        <f>_xlfn.IFNA(INDEX('Resource use and costs'!$DY$12:$DY$25,MATCH(CZ38,'Resource use and costs'!$DS$12:$DS$25,0)),0)*_xlfn.IFNA(INDEX(DY$10:DY$23,MATCH($CZ38,$DX$10:$DX$23,0)),0)</f>
        <v>410.14183571428572</v>
      </c>
      <c r="DP38" s="921">
        <f>IF(dd_PartSA_2_lines = "Yes",0,_xlfn.IFNA(INDEX('Resource use and costs'!$DZ$12:$DZ$25,MATCH(DA38,'Resource use and costs'!$DS$12:$DS$25,0)),0)*_xlfn.IFNA(INDEX(EA$10:EA$23,MATCH($DA38,$DX$10:$DX$23,0)),0))</f>
        <v>267.99172714285714</v>
      </c>
      <c r="DQ38" s="921">
        <f>IF(dd_PartSA_2_lines = "Yes",0,_xlfn.IFNA(INDEX('Resource use and costs'!$EA$12:$EA$25,MATCH(DB38,'Resource use and costs'!$DS$12:$DS$25,0)),0)*_xlfn.IFNA(INDEX(EC$10:EC$23,MATCH($DB38,$DX$10:$DX$23,0)),0))</f>
        <v>256.11457142857142</v>
      </c>
      <c r="DR38" s="921">
        <f t="shared" si="14"/>
        <v>1525.9981342857143</v>
      </c>
      <c r="DS38" s="1004">
        <f ca="1">SUMIFS('Safety parameters'!$DM$6:$DM$18,'Safety parameters'!$DK$6:$DK$18,CZ38,'Safety parameters'!$DL$6:$DL$18,1)+IF(dd_PartSA_2_lines = "Yes",0,SUMIFS('Safety parameters'!$DM$6:$DM$18,'Safety parameters'!$DK$6:$DK$18,DA38,'Safety parameters'!$DL$6:$DL$18,2)+SUMIFS('Safety parameters'!$DM$6:$DM$18,'Safety parameters'!$DK$6:$DK$18,DB38,'Safety parameters'!$DL$6:$DL$18,2))</f>
        <v>2478.7123304734437</v>
      </c>
      <c r="DT38" s="910">
        <f ca="1">SUMIFS('Safety parameters'!$DO$6:$DO$18,'Safety parameters'!$DK$6:$DK$18,CZ38,'Safety parameters'!$DL$6:$DL$18,1)+IF(dd_PartSA_2_lines = "Yes",0,SUMIFS('Safety parameters'!$DO$6:$DO$18,'Safety parameters'!$DK$6:$DK$18,DA38,'Safety parameters'!$DL$6:$DL$18,2)+SUMIFS('Safety parameters'!$DO$6:$DO$18,'Safety parameters'!$DK$6:$DK$18,DB38,'Safety parameters'!$DL$6:$DL$18,2))</f>
        <v>-2.2454279199165771E-2</v>
      </c>
      <c r="DX38" s="61" t="str">
        <v>everolimus</v>
      </c>
      <c r="DY38" s="61" t="str">
        <f t="shared" si="20"/>
        <v>pop0</v>
      </c>
      <c r="DZ38" s="920" cm="1">
        <f t="array" aca="1" ref="DZ38" ca="1">SUMPRODUCT(($CX$11:$CX$779=DY38)*($CY$11:$CY$779=DX38),$DH$11:$DH$779,$DM$11:$DM$779)</f>
        <v>0</v>
      </c>
      <c r="EA38" s="920" cm="1">
        <f t="array" aca="1" ref="EA38" ca="1">SUMPRODUCT(($CX$11:$CX$779=DY38)*($CY$11:$CY$779=DX38),$DH$11:$DH$779,$DR$11:$DR$779)</f>
        <v>0</v>
      </c>
      <c r="EB38" s="920" cm="1">
        <f t="array" aca="1" ref="EB38" ca="1">SUMPRODUCT(($CX$11:$CX$779=DY38)*($CY$11:$CY$779=DX38),$DH$11:$DH$779,$DS$11:$DS$779)</f>
        <v>0</v>
      </c>
      <c r="EC38" s="1029" cm="1">
        <f t="array" aca="1" ref="EC38" ca="1">SUMPRODUCT(($CX$11:$CX$779=DY38)*($CY$11:$CY$779=DX38),$DH$11:$DH$779,$DT$11:$DT$779)</f>
        <v>0</v>
      </c>
      <c r="ED38" s="920">
        <f t="shared" ca="1" si="18"/>
        <v>0</v>
      </c>
      <c r="EE38" s="920">
        <f t="shared" ca="1" si="19"/>
        <v>0</v>
      </c>
      <c r="EF38" s="1238"/>
      <c r="EG38" s="1238"/>
      <c r="EH38" s="1238"/>
      <c r="EI38" s="1238"/>
      <c r="EJ38" s="1238"/>
    </row>
    <row r="39" spans="3:140" ht="15.75" x14ac:dyDescent="0.25">
      <c r="D39" s="82">
        <v>9</v>
      </c>
      <c r="E39" s="4" t="str">
        <v>cabozantinib</v>
      </c>
      <c r="G39" s="664"/>
      <c r="H39" s="664"/>
      <c r="I39" s="1728"/>
      <c r="J39" s="1728"/>
      <c r="K39" s="1728"/>
      <c r="L39" s="1728"/>
      <c r="M39" s="1728"/>
      <c r="U39" s="604"/>
      <c r="CK39" s="61" t="s">
        <v>31</v>
      </c>
      <c r="CL39" s="61">
        <v>1</v>
      </c>
      <c r="CM39" s="61" t="str">
        <v>nivolumab_plus_ipilimumab</v>
      </c>
      <c r="CN39" s="17">
        <v>2</v>
      </c>
      <c r="CO39" s="17">
        <v>0</v>
      </c>
      <c r="CP39" s="17">
        <v>111</v>
      </c>
      <c r="CQ39" s="601">
        <f t="shared" si="22"/>
        <v>0</v>
      </c>
      <c r="CR39" s="601">
        <f t="shared" si="23"/>
        <v>0</v>
      </c>
      <c r="CS39" s="631">
        <v>0</v>
      </c>
      <c r="CT39" s="631">
        <v>0</v>
      </c>
      <c r="CU39" s="1123">
        <f>MATCH(CZ39,'Resource use and costs'!$BA$11:$BA$53,0)</f>
        <v>21</v>
      </c>
      <c r="CV39" s="1223"/>
      <c r="CW39" s="1241">
        <f t="shared" si="12"/>
        <v>1</v>
      </c>
      <c r="CX39" s="899" t="s">
        <v>764</v>
      </c>
      <c r="CY39" s="899" t="s">
        <v>571</v>
      </c>
      <c r="CZ39" s="899" t="s">
        <v>585</v>
      </c>
      <c r="DA39" s="899" t="s">
        <v>765</v>
      </c>
      <c r="DB39" s="899"/>
      <c r="DC39" s="899" cm="1">
        <f t="array" aca="1" ref="DC39" ca="1">_xlfn.IFNA(OFFSET($I$49,MATCH(CY39,$I$50:$I$63,0),MATCH(CZ39,TRANSPOSE($J$49:$W$49),0)),0)</f>
        <v>0</v>
      </c>
      <c r="DD39" s="899" cm="1">
        <f t="array" aca="1" ref="DD39" ca="1">_xlfn.IFNA(OFFSET($Y$49,MATCH($CZ39,$Y$50:$Y$63,0),MATCH($DA39,TRANSPOSE($Z$49:$AM$49),0)),0)</f>
        <v>0.34300000000000003</v>
      </c>
      <c r="DE39" s="899" cm="1">
        <f t="array" aca="1" ref="DE39" ca="1">_xlfn.IFNA(OFFSET($AO$49,MATCH($DA39,$AO$50:$AO$63,0),MATCH($DB39,TRANSPOSE($AP$49:$BC$49),0)),0)</f>
        <v>0</v>
      </c>
      <c r="DF39" s="881">
        <f t="shared" ca="1" si="8"/>
        <v>0</v>
      </c>
      <c r="DG39" s="910">
        <f t="shared" ca="1" si="9"/>
        <v>1</v>
      </c>
      <c r="DH39" s="881">
        <f t="shared" ca="1" si="10"/>
        <v>0</v>
      </c>
      <c r="DI39" s="1461">
        <f t="shared" ca="1" si="21"/>
        <v>0</v>
      </c>
      <c r="DJ39" s="909">
        <f>_xlfn.IFNA(INDEX('Resource use and costs'!$CQ$11:$CQ$53,MATCH($CZ39,'Resource use and costs'!$BA$11:$BA$53,0)),0)*_xlfn.IFNA(INDEX(DY$10:DY$23,MATCH($CZ39,$DX$10:$DX$23,0)),0)</f>
        <v>4551.2486654444447</v>
      </c>
      <c r="DK39" s="909">
        <f>IF(dd_PartSA_2_lines = "Yes",0,_xlfn.IFNA(INDEX('Resource use and costs'!$CR$11:$CR$53,MATCH(DA39,'Resource use and costs'!$BA$11:$BA$53,0)),0)*_xlfn.IFNA(INDEX(EA$10:EA$23,MATCH($DA39,$DX$10:$DX$23,0)),0))</f>
        <v>0</v>
      </c>
      <c r="DL39" s="909">
        <f>IF(dd_PartSA_2_lines = "Yes",0,_xlfn.IFNA(INDEX('Resource use and costs'!$CS$11:$CS$53,MATCH(DB39,'Resource use and costs'!$BA$11:$BA$53,0)),0)*_xlfn.IFNA(INDEX(EC$10:EC$23,MATCH($DB39,$DX$10:$DX$23,0)),0))</f>
        <v>0</v>
      </c>
      <c r="DM39" s="909">
        <f t="shared" si="13"/>
        <v>4551.2486654444447</v>
      </c>
      <c r="DN39" s="909">
        <f>SUM(_xlfn.IFNA(INDEX('Resource use and costs'!$DU$12:$DU$25,MATCH(CZ39,'Resource use and costs'!$DS$12:$DS$25,0)),0),_xlfn.IFNA(INDEX('Resource use and costs'!$DU$12:$DU$25,MATCH(DA39,'Resource use and costs'!$DS$12:$DS$25,0)),0),_xlfn.IFNA(INDEX('Resource use and costs'!$DU$12:$DU$25,MATCH(DB39,'Resource use and costs'!$DS$12:$DS$25,0)),0))</f>
        <v>197.25</v>
      </c>
      <c r="DO39" s="921">
        <f>_xlfn.IFNA(INDEX('Resource use and costs'!$DY$12:$DY$25,MATCH(CZ39,'Resource use and costs'!$DS$12:$DS$25,0)),0)*_xlfn.IFNA(INDEX(DY$10:DY$23,MATCH($CZ39,$DX$10:$DX$23,0)),0)</f>
        <v>410.14183571428572</v>
      </c>
      <c r="DP39" s="921">
        <f>IF(dd_PartSA_2_lines = "Yes",0,_xlfn.IFNA(INDEX('Resource use and costs'!$DZ$12:$DZ$25,MATCH(DA39,'Resource use and costs'!$DS$12:$DS$25,0)),0)*_xlfn.IFNA(INDEX(EA$10:EA$23,MATCH($DA39,$DX$10:$DX$23,0)),0))</f>
        <v>0</v>
      </c>
      <c r="DQ39" s="921">
        <f>IF(dd_PartSA_2_lines = "Yes",0,_xlfn.IFNA(INDEX('Resource use and costs'!$EA$12:$EA$25,MATCH(DB39,'Resource use and costs'!$DS$12:$DS$25,0)),0)*_xlfn.IFNA(INDEX(EC$10:EC$23,MATCH($DB39,$DX$10:$DX$23,0)),0))</f>
        <v>0</v>
      </c>
      <c r="DR39" s="921">
        <f t="shared" si="14"/>
        <v>607.39183571428566</v>
      </c>
      <c r="DS39" s="1004">
        <f ca="1">SUMIFS('Safety parameters'!$DM$6:$DM$18,'Safety parameters'!$DK$6:$DK$18,CZ39,'Safety parameters'!$DL$6:$DL$18,1)+IF(dd_PartSA_2_lines = "Yes",0,SUMIFS('Safety parameters'!$DM$6:$DM$18,'Safety parameters'!$DK$6:$DK$18,DA39,'Safety parameters'!$DL$6:$DL$18,2)+SUMIFS('Safety parameters'!$DM$6:$DM$18,'Safety parameters'!$DK$6:$DK$18,DB39,'Safety parameters'!$DL$6:$DL$18,2))</f>
        <v>511.60827353266905</v>
      </c>
      <c r="DT39" s="910">
        <f ca="1">SUMIFS('Safety parameters'!$DO$6:$DO$18,'Safety parameters'!$DK$6:$DK$18,CZ39,'Safety parameters'!$DL$6:$DL$18,1)+IF(dd_PartSA_2_lines = "Yes",0,SUMIFS('Safety parameters'!$DO$6:$DO$18,'Safety parameters'!$DK$6:$DK$18,DA39,'Safety parameters'!$DL$6:$DL$18,2)+SUMIFS('Safety parameters'!$DO$6:$DO$18,'Safety parameters'!$DK$6:$DK$18,DB39,'Safety parameters'!$DL$6:$DL$18,2))</f>
        <v>-5.0447816550466236E-3</v>
      </c>
      <c r="DX39" s="61" t="str">
        <v>axitinib</v>
      </c>
      <c r="DY39" s="61" t="str">
        <f t="shared" si="20"/>
        <v>pop0</v>
      </c>
      <c r="DZ39" s="920" cm="1">
        <f t="array" aca="1" ref="DZ39" ca="1">SUMPRODUCT(($CX$11:$CX$779=DY39)*($CY$11:$CY$779=DX39),$DH$11:$DH$779,$DM$11:$DM$779)</f>
        <v>0</v>
      </c>
      <c r="EA39" s="920" cm="1">
        <f t="array" aca="1" ref="EA39" ca="1">SUMPRODUCT(($CX$11:$CX$779=DY39)*($CY$11:$CY$779=DX39),$DH$11:$DH$779,$DR$11:$DR$779)</f>
        <v>0</v>
      </c>
      <c r="EB39" s="920" cm="1">
        <f t="array" aca="1" ref="EB39" ca="1">SUMPRODUCT(($CX$11:$CX$779=DY39)*($CY$11:$CY$779=DX39),$DH$11:$DH$779,$DS$11:$DS$779)</f>
        <v>0</v>
      </c>
      <c r="EC39" s="1029" cm="1">
        <f t="array" aca="1" ref="EC39" ca="1">SUMPRODUCT(($CX$11:$CX$779=DY39)*($CY$11:$CY$779=DX39),$DH$11:$DH$779,$DT$11:$DT$779)</f>
        <v>0</v>
      </c>
      <c r="ED39" s="920">
        <f t="shared" ca="1" si="18"/>
        <v>0</v>
      </c>
      <c r="EE39" s="920">
        <f t="shared" ca="1" si="19"/>
        <v>0</v>
      </c>
      <c r="EF39" s="1238"/>
      <c r="EG39" s="1238"/>
      <c r="EH39" s="1238"/>
      <c r="EI39" s="1238"/>
      <c r="EJ39" s="1238"/>
    </row>
    <row r="40" spans="3:140" ht="15.75" x14ac:dyDescent="0.25">
      <c r="D40" s="82">
        <v>10</v>
      </c>
      <c r="E40" s="4" t="str">
        <v>lenvatinib_plus_everolimus</v>
      </c>
      <c r="G40" s="664"/>
      <c r="H40" s="664"/>
      <c r="I40" s="71"/>
      <c r="L40" s="71"/>
      <c r="M40" s="71"/>
      <c r="U40" s="604"/>
      <c r="V40" s="604"/>
      <c r="CK40" s="61" t="s">
        <v>31</v>
      </c>
      <c r="CL40" s="61">
        <v>1</v>
      </c>
      <c r="CM40" s="61" t="str">
        <v>lenvatinib_plus_pembrolizumab</v>
      </c>
      <c r="CN40" s="17">
        <v>3</v>
      </c>
      <c r="CO40" s="17">
        <v>0</v>
      </c>
      <c r="CP40" s="17">
        <v>111</v>
      </c>
      <c r="CQ40" s="601">
        <f t="shared" si="22"/>
        <v>0</v>
      </c>
      <c r="CR40" s="601">
        <f t="shared" si="23"/>
        <v>0</v>
      </c>
      <c r="CS40" s="631">
        <v>0</v>
      </c>
      <c r="CT40" s="631">
        <v>0</v>
      </c>
      <c r="CU40" s="1123">
        <f>MATCH(CZ40,'Resource use and costs'!$BA$11:$BA$53,0)</f>
        <v>21</v>
      </c>
      <c r="CV40" s="1223"/>
      <c r="CW40" s="1241">
        <f t="shared" si="12"/>
        <v>1</v>
      </c>
      <c r="CX40" s="899" t="s">
        <v>764</v>
      </c>
      <c r="CY40" s="899" t="s">
        <v>571</v>
      </c>
      <c r="CZ40" s="899" t="s">
        <v>585</v>
      </c>
      <c r="DA40" s="899" t="s">
        <v>119</v>
      </c>
      <c r="DB40" s="899" t="s">
        <v>327</v>
      </c>
      <c r="DC40" s="899" cm="1">
        <f t="array" aca="1" ref="DC40" ca="1">_xlfn.IFNA(OFFSET($I$49,MATCH(CY40,$I$50:$I$63,0),MATCH(CZ40,TRANSPOSE($J$49:$W$49),0)),0)</f>
        <v>0</v>
      </c>
      <c r="DD40" s="899" cm="1">
        <f t="array" aca="1" ref="DD40" ca="1">_xlfn.IFNA(OFFSET($Y$49,MATCH($CZ40,$Y$50:$Y$63,0),MATCH($DA40,TRANSPOSE($Z$49:$AM$49),0)),0)</f>
        <v>0</v>
      </c>
      <c r="DE40" s="899" cm="1">
        <f t="array" aca="1" ref="DE40" ca="1">_xlfn.IFNA(OFFSET($AO$49,MATCH($DA40,$AO$50:$AO$63,0),MATCH($DB40,TRANSPOSE($AP$49:$BC$49),0)),0)</f>
        <v>0</v>
      </c>
      <c r="DF40" s="881">
        <f t="shared" ca="1" si="8"/>
        <v>0</v>
      </c>
      <c r="DG40" s="910">
        <f t="shared" ca="1" si="9"/>
        <v>1</v>
      </c>
      <c r="DH40" s="881">
        <f t="shared" ca="1" si="10"/>
        <v>0</v>
      </c>
      <c r="DI40" s="1461">
        <f t="shared" ca="1" si="21"/>
        <v>0</v>
      </c>
      <c r="DJ40" s="909">
        <f>_xlfn.IFNA(INDEX('Resource use and costs'!$CQ$11:$CQ$53,MATCH($CZ40,'Resource use and costs'!$BA$11:$BA$53,0)),0)*_xlfn.IFNA(INDEX(DY$10:DY$23,MATCH($CZ40,$DX$10:$DX$23,0)),0)</f>
        <v>4551.2486654444447</v>
      </c>
      <c r="DK40" s="909">
        <f>IF(dd_PartSA_2_lines = "Yes",0,_xlfn.IFNA(INDEX('Resource use and costs'!$CR$11:$CR$53,MATCH(DA40,'Resource use and costs'!$BA$11:$BA$53,0)),0)*_xlfn.IFNA(INDEX(EA$10:EA$23,MATCH($DA40,$DX$10:$DX$23,0)),0))</f>
        <v>848.17532499999982</v>
      </c>
      <c r="DL40" s="909">
        <f>IF(dd_PartSA_2_lines = "Yes",0,_xlfn.IFNA(INDEX('Resource use and costs'!$CS$11:$CS$53,MATCH(DB40,'Resource use and costs'!$BA$11:$BA$53,0)),0)*_xlfn.IFNA(INDEX(EC$10:EC$23,MATCH($DB40,$DX$10:$DX$23,0)),0))</f>
        <v>18438.751749999999</v>
      </c>
      <c r="DM40" s="909">
        <f t="shared" si="13"/>
        <v>23838.175740444443</v>
      </c>
      <c r="DN40" s="909">
        <f>SUM(_xlfn.IFNA(INDEX('Resource use and costs'!$DU$12:$DU$25,MATCH(CZ40,'Resource use and costs'!$DS$12:$DS$25,0)),0),_xlfn.IFNA(INDEX('Resource use and costs'!$DU$12:$DU$25,MATCH(DA40,'Resource use and costs'!$DS$12:$DS$25,0)),0),_xlfn.IFNA(INDEX('Resource use and costs'!$DU$12:$DU$25,MATCH(DB40,'Resource use and costs'!$DS$12:$DS$25,0)),0))</f>
        <v>591.75</v>
      </c>
      <c r="DO40" s="921">
        <f>_xlfn.IFNA(INDEX('Resource use and costs'!$DY$12:$DY$25,MATCH(CZ40,'Resource use and costs'!$DS$12:$DS$25,0)),0)*_xlfn.IFNA(INDEX(DY$10:DY$23,MATCH($CZ40,$DX$10:$DX$23,0)),0)</f>
        <v>410.14183571428572</v>
      </c>
      <c r="DP40" s="921">
        <f>IF(dd_PartSA_2_lines = "Yes",0,_xlfn.IFNA(INDEX('Resource use and costs'!$DZ$12:$DZ$25,MATCH(DA40,'Resource use and costs'!$DS$12:$DS$25,0)),0)*_xlfn.IFNA(INDEX(EA$10:EA$23,MATCH($DA40,$DX$10:$DX$23,0)),0))</f>
        <v>74.50928571428571</v>
      </c>
      <c r="DQ40" s="921">
        <f>IF(dd_PartSA_2_lines = "Yes",0,_xlfn.IFNA(INDEX('Resource use and costs'!$EA$12:$EA$25,MATCH(DB40,'Resource use and costs'!$DS$12:$DS$25,0)),0)*_xlfn.IFNA(INDEX(EC$10:EC$23,MATCH($DB40,$DX$10:$DX$23,0)),0))</f>
        <v>230.68099999999998</v>
      </c>
      <c r="DR40" s="921">
        <f t="shared" si="14"/>
        <v>1307.0821214285713</v>
      </c>
      <c r="DS40" s="1004">
        <f ca="1">SUMIFS('Safety parameters'!$DM$6:$DM$18,'Safety parameters'!$DK$6:$DK$18,CZ40,'Safety parameters'!$DL$6:$DL$18,1)+IF(dd_PartSA_2_lines = "Yes",0,SUMIFS('Safety parameters'!$DM$6:$DM$18,'Safety parameters'!$DK$6:$DK$18,DA40,'Safety parameters'!$DL$6:$DL$18,2)+SUMIFS('Safety parameters'!$DM$6:$DM$18,'Safety parameters'!$DK$6:$DK$18,DB40,'Safety parameters'!$DL$6:$DL$18,2))</f>
        <v>2478.7123304734437</v>
      </c>
      <c r="DT40" s="910">
        <f ca="1">SUMIFS('Safety parameters'!$DO$6:$DO$18,'Safety parameters'!$DK$6:$DK$18,CZ40,'Safety parameters'!$DL$6:$DL$18,1)+IF(dd_PartSA_2_lines = "Yes",0,SUMIFS('Safety parameters'!$DO$6:$DO$18,'Safety parameters'!$DK$6:$DK$18,DA40,'Safety parameters'!$DL$6:$DL$18,2)+SUMIFS('Safety parameters'!$DO$6:$DO$18,'Safety parameters'!$DK$6:$DK$18,DB40,'Safety parameters'!$DL$6:$DL$18,2))</f>
        <v>-2.2454279199165771E-2</v>
      </c>
      <c r="DX40" s="61" t="str">
        <v>sorafenib</v>
      </c>
      <c r="DY40" s="61" t="str">
        <f t="shared" si="20"/>
        <v>pop0</v>
      </c>
      <c r="DZ40" s="920" cm="1">
        <f t="array" aca="1" ref="DZ40" ca="1">SUMPRODUCT(($CX$11:$CX$779=DY40)*($CY$11:$CY$779=DX40),$DH$11:$DH$779,$DM$11:$DM$779)</f>
        <v>0</v>
      </c>
      <c r="EA40" s="920" cm="1">
        <f t="array" aca="1" ref="EA40" ca="1">SUMPRODUCT(($CX$11:$CX$779=DY40)*($CY$11:$CY$779=DX40),$DH$11:$DH$779,$DR$11:$DR$779)</f>
        <v>0</v>
      </c>
      <c r="EB40" s="920" cm="1">
        <f t="array" aca="1" ref="EB40" ca="1">SUMPRODUCT(($CX$11:$CX$779=DY40)*($CY$11:$CY$779=DX40),$DH$11:$DH$779,$DS$11:$DS$779)</f>
        <v>0</v>
      </c>
      <c r="EC40" s="1029" cm="1">
        <f t="array" aca="1" ref="EC40" ca="1">SUMPRODUCT(($CX$11:$CX$779=DY40)*($CY$11:$CY$779=DX40),$DH$11:$DH$779,$DT$11:$DT$779)</f>
        <v>0</v>
      </c>
      <c r="ED40" s="920">
        <f t="shared" ca="1" si="18"/>
        <v>0</v>
      </c>
      <c r="EE40" s="920">
        <f t="shared" ca="1" si="19"/>
        <v>0</v>
      </c>
      <c r="EF40" s="1238"/>
      <c r="EG40" s="1238"/>
      <c r="EH40" s="1238"/>
      <c r="EI40" s="1238"/>
      <c r="EJ40" s="1238"/>
    </row>
    <row r="41" spans="3:140" ht="15" x14ac:dyDescent="0.2">
      <c r="D41" s="82">
        <v>11</v>
      </c>
      <c r="E41" s="4" t="str">
        <v>everolimus</v>
      </c>
      <c r="G41" s="664"/>
      <c r="H41" s="664"/>
      <c r="I41" s="73"/>
      <c r="J41" s="73"/>
      <c r="K41" s="73"/>
      <c r="L41" s="73"/>
      <c r="M41" s="73"/>
      <c r="Q41" s="58"/>
      <c r="R41" s="58"/>
      <c r="S41" s="58"/>
      <c r="T41" s="58"/>
      <c r="U41" s="58"/>
      <c r="CK41" s="61" t="s">
        <v>31</v>
      </c>
      <c r="CL41" s="61">
        <v>1</v>
      </c>
      <c r="CM41" s="61" t="str">
        <v>avelumab_plus_axitinib</v>
      </c>
      <c r="CN41" s="17">
        <v>4</v>
      </c>
      <c r="CO41" s="17">
        <v>0</v>
      </c>
      <c r="CP41" s="17">
        <v>111</v>
      </c>
      <c r="CQ41" s="601">
        <f t="shared" si="22"/>
        <v>0</v>
      </c>
      <c r="CR41" s="601">
        <f t="shared" si="23"/>
        <v>0</v>
      </c>
      <c r="CS41" s="631">
        <v>0</v>
      </c>
      <c r="CT41" s="631">
        <v>0</v>
      </c>
      <c r="CU41" s="1123">
        <f>MATCH(CZ41,'Resource use and costs'!$BA$11:$BA$53,0)</f>
        <v>21</v>
      </c>
      <c r="CV41" s="1223"/>
      <c r="CW41" s="1241">
        <f t="shared" si="12"/>
        <v>1</v>
      </c>
      <c r="CX41" s="899" t="s">
        <v>764</v>
      </c>
      <c r="CY41" s="899" t="s">
        <v>571</v>
      </c>
      <c r="CZ41" s="899" t="s">
        <v>585</v>
      </c>
      <c r="DA41" s="899" t="s">
        <v>119</v>
      </c>
      <c r="DB41" s="899" t="s">
        <v>765</v>
      </c>
      <c r="DC41" s="899" cm="1">
        <f t="array" aca="1" ref="DC41" ca="1">_xlfn.IFNA(OFFSET($I$49,MATCH(CY41,$I$50:$I$63,0),MATCH(CZ41,TRANSPOSE($J$49:$W$49),0)),0)</f>
        <v>0</v>
      </c>
      <c r="DD41" s="899" cm="1">
        <f t="array" aca="1" ref="DD41" ca="1">_xlfn.IFNA(OFFSET($Y$49,MATCH($CZ41,$Y$50:$Y$63,0),MATCH($DA41,TRANSPOSE($Z$49:$AM$49),0)),0)</f>
        <v>0</v>
      </c>
      <c r="DE41" s="899" cm="1">
        <f t="array" aca="1" ref="DE41" ca="1">_xlfn.IFNA(OFFSET($AO$49,MATCH($DA41,$AO$50:$AO$63,0),MATCH($DB41,TRANSPOSE($AP$49:$BC$49),0)),0)</f>
        <v>1</v>
      </c>
      <c r="DF41" s="881">
        <f t="shared" ca="1" si="8"/>
        <v>0</v>
      </c>
      <c r="DG41" s="910">
        <f t="shared" ca="1" si="9"/>
        <v>1</v>
      </c>
      <c r="DH41" s="881">
        <f t="shared" ca="1" si="10"/>
        <v>0</v>
      </c>
      <c r="DI41" s="1461">
        <f t="shared" ca="1" si="21"/>
        <v>0</v>
      </c>
      <c r="DJ41" s="909">
        <f>_xlfn.IFNA(INDEX('Resource use and costs'!$CQ$11:$CQ$53,MATCH($CZ41,'Resource use and costs'!$BA$11:$BA$53,0)),0)*_xlfn.IFNA(INDEX(DY$10:DY$23,MATCH($CZ41,$DX$10:$DX$23,0)),0)</f>
        <v>4551.2486654444447</v>
      </c>
      <c r="DK41" s="909">
        <f>IF(dd_PartSA_2_lines = "Yes",0,_xlfn.IFNA(INDEX('Resource use and costs'!$CR$11:$CR$53,MATCH(DA41,'Resource use and costs'!$BA$11:$BA$53,0)),0)*_xlfn.IFNA(INDEX(EA$10:EA$23,MATCH($DA41,$DX$10:$DX$23,0)),0))</f>
        <v>848.17532499999982</v>
      </c>
      <c r="DL41" s="909">
        <f>IF(dd_PartSA_2_lines = "Yes",0,_xlfn.IFNA(INDEX('Resource use and costs'!$CS$11:$CS$53,MATCH(DB41,'Resource use and costs'!$BA$11:$BA$53,0)),0)*_xlfn.IFNA(INDEX(EC$10:EC$23,MATCH($DB41,$DX$10:$DX$23,0)),0))</f>
        <v>0</v>
      </c>
      <c r="DM41" s="909">
        <f t="shared" si="13"/>
        <v>5399.4239904444448</v>
      </c>
      <c r="DN41" s="909">
        <f>SUM(_xlfn.IFNA(INDEX('Resource use and costs'!$DU$12:$DU$25,MATCH(CZ41,'Resource use and costs'!$DS$12:$DS$25,0)),0),_xlfn.IFNA(INDEX('Resource use and costs'!$DU$12:$DU$25,MATCH(DA41,'Resource use and costs'!$DS$12:$DS$25,0)),0),_xlfn.IFNA(INDEX('Resource use and costs'!$DU$12:$DU$25,MATCH(DB41,'Resource use and costs'!$DS$12:$DS$25,0)),0))</f>
        <v>394.5</v>
      </c>
      <c r="DO41" s="921">
        <f>_xlfn.IFNA(INDEX('Resource use and costs'!$DY$12:$DY$25,MATCH(CZ41,'Resource use and costs'!$DS$12:$DS$25,0)),0)*_xlfn.IFNA(INDEX(DY$10:DY$23,MATCH($CZ41,$DX$10:$DX$23,0)),0)</f>
        <v>410.14183571428572</v>
      </c>
      <c r="DP41" s="921">
        <f>IF(dd_PartSA_2_lines = "Yes",0,_xlfn.IFNA(INDEX('Resource use and costs'!$DZ$12:$DZ$25,MATCH(DA41,'Resource use and costs'!$DS$12:$DS$25,0)),0)*_xlfn.IFNA(INDEX(EA$10:EA$23,MATCH($DA41,$DX$10:$DX$23,0)),0))</f>
        <v>74.50928571428571</v>
      </c>
      <c r="DQ41" s="921">
        <f>IF(dd_PartSA_2_lines = "Yes",0,_xlfn.IFNA(INDEX('Resource use and costs'!$EA$12:$EA$25,MATCH(DB41,'Resource use and costs'!$DS$12:$DS$25,0)),0)*_xlfn.IFNA(INDEX(EC$10:EC$23,MATCH($DB41,$DX$10:$DX$23,0)),0))</f>
        <v>0</v>
      </c>
      <c r="DR41" s="921">
        <f t="shared" si="14"/>
        <v>879.1511214285714</v>
      </c>
      <c r="DS41" s="1004">
        <f ca="1">SUMIFS('Safety parameters'!$DM$6:$DM$18,'Safety parameters'!$DK$6:$DK$18,CZ41,'Safety parameters'!$DL$6:$DL$18,1)+IF(dd_PartSA_2_lines = "Yes",0,SUMIFS('Safety parameters'!$DM$6:$DM$18,'Safety parameters'!$DK$6:$DK$18,DA41,'Safety parameters'!$DL$6:$DL$18,2)+SUMIFS('Safety parameters'!$DM$6:$DM$18,'Safety parameters'!$DK$6:$DK$18,DB41,'Safety parameters'!$DL$6:$DL$18,2))</f>
        <v>844.48365690798391</v>
      </c>
      <c r="DT41" s="910">
        <f ca="1">SUMIFS('Safety parameters'!$DO$6:$DO$18,'Safety parameters'!$DK$6:$DK$18,CZ41,'Safety parameters'!$DL$6:$DL$18,1)+IF(dd_PartSA_2_lines = "Yes",0,SUMIFS('Safety parameters'!$DO$6:$DO$18,'Safety parameters'!$DK$6:$DK$18,DA41,'Safety parameters'!$DL$6:$DL$18,2)+SUMIFS('Safety parameters'!$DO$6:$DO$18,'Safety parameters'!$DK$6:$DK$18,DB41,'Safety parameters'!$DL$6:$DL$18,2))</f>
        <v>-7.7123551916843426E-3</v>
      </c>
      <c r="DX41" s="61" t="str">
        <v>placebo_BSC</v>
      </c>
      <c r="DY41" s="61" t="str">
        <f t="shared" si="20"/>
        <v>pop0</v>
      </c>
      <c r="DZ41" s="920" cm="1">
        <f t="array" aca="1" ref="DZ41" ca="1">SUMPRODUCT(($CX$11:$CX$779=DY41)*($CY$11:$CY$779=DX41),$DH$11:$DH$779,$DM$11:$DM$779)</f>
        <v>0</v>
      </c>
      <c r="EA41" s="920" cm="1">
        <f t="array" aca="1" ref="EA41" ca="1">SUMPRODUCT(($CX$11:$CX$779=DY41)*($CY$11:$CY$779=DX41),$DH$11:$DH$779,$DR$11:$DR$779)</f>
        <v>0</v>
      </c>
      <c r="EB41" s="920" cm="1">
        <f t="array" aca="1" ref="EB41" ca="1">SUMPRODUCT(($CX$11:$CX$779=DY41)*($CY$11:$CY$779=DX41),$DH$11:$DH$779,$DS$11:$DS$779)</f>
        <v>0</v>
      </c>
      <c r="EC41" s="1029" cm="1">
        <f t="array" aca="1" ref="EC41" ca="1">SUMPRODUCT(($CX$11:$CX$779=DY41)*($CY$11:$CY$779=DX41),$DH$11:$DH$779,$DT$11:$DT$779)</f>
        <v>0</v>
      </c>
      <c r="ED41" s="920">
        <f t="shared" ca="1" si="18"/>
        <v>0</v>
      </c>
      <c r="EE41" s="920">
        <f t="shared" ca="1" si="19"/>
        <v>0</v>
      </c>
      <c r="EF41" s="1238"/>
      <c r="EG41" s="1238"/>
      <c r="EH41" s="1238"/>
      <c r="EI41" s="1238"/>
      <c r="EJ41" s="1238"/>
    </row>
    <row r="42" spans="3:140" ht="15" x14ac:dyDescent="0.2">
      <c r="D42" s="82">
        <v>12</v>
      </c>
      <c r="E42" s="4" t="str">
        <v>axitinib</v>
      </c>
      <c r="G42" s="664"/>
      <c r="H42" s="664"/>
      <c r="I42" s="73"/>
      <c r="J42" s="73"/>
      <c r="K42" s="73"/>
      <c r="L42" s="73"/>
      <c r="M42" s="73"/>
      <c r="S42" s="604"/>
      <c r="CK42" s="61" t="s">
        <v>31</v>
      </c>
      <c r="CL42" s="61">
        <v>1</v>
      </c>
      <c r="CM42" s="61" t="str">
        <v>pazopanib</v>
      </c>
      <c r="CN42" s="17">
        <v>5</v>
      </c>
      <c r="CO42" s="17">
        <v>0</v>
      </c>
      <c r="CP42" s="17">
        <v>111</v>
      </c>
      <c r="CQ42" s="601">
        <f t="shared" si="22"/>
        <v>0</v>
      </c>
      <c r="CR42" s="601">
        <f t="shared" si="23"/>
        <v>0</v>
      </c>
      <c r="CS42" s="631">
        <v>0</v>
      </c>
      <c r="CT42" s="631">
        <v>0</v>
      </c>
      <c r="CU42" s="1123">
        <f>MATCH(CZ42,'Resource use and costs'!$BA$11:$BA$53,0)</f>
        <v>27</v>
      </c>
      <c r="CV42" s="1223"/>
      <c r="CW42" s="1241">
        <f t="shared" si="12"/>
        <v>1</v>
      </c>
      <c r="CX42" s="899" t="s">
        <v>764</v>
      </c>
      <c r="CY42" s="899" t="s">
        <v>571</v>
      </c>
      <c r="CZ42" s="899" t="s">
        <v>117</v>
      </c>
      <c r="DA42" s="899" t="s">
        <v>327</v>
      </c>
      <c r="DB42" s="899" t="s">
        <v>765</v>
      </c>
      <c r="DC42" s="899" cm="1">
        <f t="array" aca="1" ref="DC42" ca="1">_xlfn.IFNA(OFFSET($I$49,MATCH(CY42,$I$50:$I$63,0),MATCH(CZ42,TRANSPOSE($J$49:$W$49),0)),0)</f>
        <v>3.1975660070562968E-2</v>
      </c>
      <c r="DD42" s="899">
        <f ca="1">1-DD44</f>
        <v>0.65700000000000003</v>
      </c>
      <c r="DE42" s="899" cm="1">
        <f t="array" aca="1" ref="DE42" ca="1">_xlfn.IFNA(OFFSET($AO$49,MATCH($DA42,$AO$50:$AO$63,0),MATCH($DB42,TRANSPOSE($AP$49:$BC$49),0)),0)</f>
        <v>0.43140000000000001</v>
      </c>
      <c r="DF42" s="881">
        <f t="shared" ca="1" si="8"/>
        <v>9.0628549386676492E-3</v>
      </c>
      <c r="DG42" s="910">
        <f t="shared" ca="1" si="9"/>
        <v>1</v>
      </c>
      <c r="DH42" s="881">
        <f t="shared" ca="1" si="10"/>
        <v>9.0628549386676492E-3</v>
      </c>
      <c r="DI42" s="1461">
        <f t="shared" ca="1" si="21"/>
        <v>1.522559629696165</v>
      </c>
      <c r="DJ42" s="909">
        <f>_xlfn.IFNA(INDEX('Resource use and costs'!$CQ$11:$CQ$53,MATCH($CZ42,'Resource use and costs'!$BA$11:$BA$53,0)),0)*_xlfn.IFNA(INDEX(DY$10:DY$23,MATCH($CZ42,$DX$10:$DX$23,0)),0)</f>
        <v>2860.9927072190476</v>
      </c>
      <c r="DK42" s="909">
        <f>IF(dd_PartSA_2_lines = "Yes",0,_xlfn.IFNA(INDEX('Resource use and costs'!$CR$11:$CR$53,MATCH(DA42,'Resource use and costs'!$BA$11:$BA$53,0)),0)*_xlfn.IFNA(INDEX(EA$10:EA$23,MATCH($DA42,$DX$10:$DX$23,0)),0))</f>
        <v>21421.066008214286</v>
      </c>
      <c r="DL42" s="909">
        <f>IF(dd_PartSA_2_lines = "Yes",0,_xlfn.IFNA(INDEX('Resource use and costs'!$CS$11:$CS$53,MATCH(DB42,'Resource use and costs'!$BA$11:$BA$53,0)),0)*_xlfn.IFNA(INDEX(EC$10:EC$23,MATCH($DB42,$DX$10:$DX$23,0)),0))</f>
        <v>0</v>
      </c>
      <c r="DM42" s="909">
        <f t="shared" si="13"/>
        <v>24282.058715433333</v>
      </c>
      <c r="DN42" s="909">
        <f>SUM(_xlfn.IFNA(INDEX('Resource use and costs'!$DU$12:$DU$25,MATCH(CZ42,'Resource use and costs'!$DS$12:$DS$25,0)),0),_xlfn.IFNA(INDEX('Resource use and costs'!$DU$12:$DU$25,MATCH(DA42,'Resource use and costs'!$DS$12:$DS$25,0)),0),_xlfn.IFNA(INDEX('Resource use and costs'!$DU$12:$DU$25,MATCH(DB42,'Resource use and costs'!$DS$12:$DS$25,0)),0))</f>
        <v>394.5</v>
      </c>
      <c r="DO42" s="921">
        <f>_xlfn.IFNA(INDEX('Resource use and costs'!$DY$12:$DY$25,MATCH(CZ42,'Resource use and costs'!$DS$12:$DS$25,0)),0)*_xlfn.IFNA(INDEX(DY$10:DY$23,MATCH($CZ42,$DX$10:$DX$23,0)),0)</f>
        <v>405.17019714285709</v>
      </c>
      <c r="DP42" s="921">
        <f>IF(dd_PartSA_2_lines = "Yes",0,_xlfn.IFNA(INDEX('Resource use and costs'!$DZ$12:$DZ$25,MATCH(DA42,'Resource use and costs'!$DS$12:$DS$25,0)),0)*_xlfn.IFNA(INDEX(EA$10:EA$23,MATCH($DA42,$DX$10:$DX$23,0)),0))</f>
        <v>267.99172714285714</v>
      </c>
      <c r="DQ42" s="921">
        <f>IF(dd_PartSA_2_lines = "Yes",0,_xlfn.IFNA(INDEX('Resource use and costs'!$EA$12:$EA$25,MATCH(DB42,'Resource use and costs'!$DS$12:$DS$25,0)),0)*_xlfn.IFNA(INDEX(EC$10:EC$23,MATCH($DB42,$DX$10:$DX$23,0)),0))</f>
        <v>0</v>
      </c>
      <c r="DR42" s="921">
        <f t="shared" si="14"/>
        <v>1067.6619242857141</v>
      </c>
      <c r="DS42" s="1004">
        <f ca="1">SUMIFS('Safety parameters'!$DM$6:$DM$18,'Safety parameters'!$DK$6:$DK$18,CZ42,'Safety parameters'!$DL$6:$DL$18,1)+IF(dd_PartSA_2_lines = "Yes",0,SUMIFS('Safety parameters'!$DM$6:$DM$18,'Safety parameters'!$DK$6:$DK$18,DA42,'Safety parameters'!$DL$6:$DL$18,2)+SUMIFS('Safety parameters'!$DM$6:$DM$18,'Safety parameters'!$DK$6:$DK$18,DB42,'Safety parameters'!$DL$6:$DL$18,2))</f>
        <v>2238.0420485654599</v>
      </c>
      <c r="DT42" s="910">
        <f ca="1">SUMIFS('Safety parameters'!$DO$6:$DO$18,'Safety parameters'!$DK$6:$DK$18,CZ42,'Safety parameters'!$DL$6:$DL$18,1)+IF(dd_PartSA_2_lines = "Yes",0,SUMIFS('Safety parameters'!$DO$6:$DO$18,'Safety parameters'!$DK$6:$DK$18,DA42,'Safety parameters'!$DL$6:$DL$18,2)+SUMIFS('Safety parameters'!$DO$6:$DO$18,'Safety parameters'!$DK$6:$DK$18,DB42,'Safety parameters'!$DL$6:$DL$18,2))</f>
        <v>-2.0168002036228861E-2</v>
      </c>
      <c r="DX42" s="61" t="str" cm="1">
        <f t="array" ref="DX42:DX55">List_comparators</f>
        <v>nivolumab_monotherapy</v>
      </c>
      <c r="DY42" s="61" t="s">
        <v>773</v>
      </c>
      <c r="DZ42" s="920" cm="1">
        <f t="array" aca="1" ref="DZ42" ca="1">SUMPRODUCT(($CX$11:$CX$779=DY42)*($CY$11:$CY$779=DX42),$DH$11:$DH$779,$DM$11:$DM$779)</f>
        <v>0</v>
      </c>
      <c r="EA42" s="920" cm="1">
        <f t="array" aca="1" ref="EA42" ca="1">SUMPRODUCT(($CX$11:$CX$779=DY42)*($CY$11:$CY$779=DX42),$DH$11:$DH$779,$DR$11:$DR$779)</f>
        <v>0</v>
      </c>
      <c r="EB42" s="920" cm="1">
        <f t="array" aca="1" ref="EB42" ca="1">SUMPRODUCT(($CX$11:$CX$779=DY42)*($CY$11:$CY$779=DX42),$DH$11:$DH$779,$DS$11:$DS$779)</f>
        <v>0</v>
      </c>
      <c r="EC42" s="1029" cm="1">
        <f t="array" aca="1" ref="EC42" ca="1">SUMPRODUCT(($CX$11:$CX$779=DY42)*($CY$11:$CY$779=DX42),$DH$11:$DH$779,$DT$11:$DT$779)</f>
        <v>0</v>
      </c>
      <c r="ED42" s="920">
        <f t="shared" ca="1" si="18"/>
        <v>0</v>
      </c>
      <c r="EE42" s="920">
        <f t="shared" ca="1" si="19"/>
        <v>0</v>
      </c>
      <c r="EF42" s="1238"/>
      <c r="EG42" s="1238"/>
      <c r="EH42" s="1238"/>
      <c r="EI42" s="1238"/>
      <c r="EJ42" s="1238"/>
    </row>
    <row r="43" spans="3:140" ht="15" x14ac:dyDescent="0.2">
      <c r="D43" s="82">
        <v>13</v>
      </c>
      <c r="E43" s="4" t="str">
        <v>sorafenib</v>
      </c>
      <c r="G43" s="664"/>
      <c r="H43" s="664"/>
      <c r="I43" s="73"/>
      <c r="J43" s="73"/>
      <c r="K43" s="73"/>
      <c r="L43" s="73"/>
      <c r="M43" s="73"/>
      <c r="CK43" s="61" t="s">
        <v>31</v>
      </c>
      <c r="CL43" s="61">
        <v>1</v>
      </c>
      <c r="CM43" s="61" t="str">
        <v>tivozanib</v>
      </c>
      <c r="CN43" s="17">
        <v>6</v>
      </c>
      <c r="CO43" s="17">
        <v>0</v>
      </c>
      <c r="CP43" s="17">
        <v>111</v>
      </c>
      <c r="CQ43" s="601">
        <f t="shared" si="22"/>
        <v>0</v>
      </c>
      <c r="CR43" s="601">
        <f t="shared" si="23"/>
        <v>0</v>
      </c>
      <c r="CS43" s="631">
        <v>0</v>
      </c>
      <c r="CT43" s="631">
        <v>0</v>
      </c>
      <c r="CU43" s="1123">
        <f>MATCH(CZ43,'Resource use and costs'!$BA$11:$BA$53,0)</f>
        <v>27</v>
      </c>
      <c r="CV43" s="1223"/>
      <c r="CW43" s="1241">
        <f t="shared" si="12"/>
        <v>1</v>
      </c>
      <c r="CX43" s="899" t="s">
        <v>764</v>
      </c>
      <c r="CY43" s="899" t="s">
        <v>571</v>
      </c>
      <c r="CZ43" s="899" t="s">
        <v>117</v>
      </c>
      <c r="DA43" s="899" t="s">
        <v>327</v>
      </c>
      <c r="DB43" s="899" t="s">
        <v>119</v>
      </c>
      <c r="DC43" s="899" cm="1">
        <f t="array" aca="1" ref="DC43" ca="1">_xlfn.IFNA(OFFSET($I$49,MATCH(CY43,$I$50:$I$63,0),MATCH(CZ43,TRANSPOSE($J$49:$W$49),0)),0)</f>
        <v>3.1975660070562968E-2</v>
      </c>
      <c r="DD43" s="899">
        <f ca="1">1-DD44</f>
        <v>0.65700000000000003</v>
      </c>
      <c r="DE43" s="899" cm="1">
        <f t="array" aca="1" ref="DE43" ca="1">_xlfn.IFNA(OFFSET($AO$49,MATCH($DA43,$AO$50:$AO$63,0),MATCH($DB43,TRANSPOSE($AP$49:$BC$49),0)),0)</f>
        <v>0.56859999999999999</v>
      </c>
      <c r="DF43" s="881">
        <f t="shared" ca="1" si="8"/>
        <v>1.1945153727692222E-2</v>
      </c>
      <c r="DG43" s="910">
        <f t="shared" ca="1" si="9"/>
        <v>1</v>
      </c>
      <c r="DH43" s="881">
        <f t="shared" ca="1" si="10"/>
        <v>1.1945153727692222E-2</v>
      </c>
      <c r="DI43" s="1461">
        <f t="shared" ca="1" si="21"/>
        <v>2.0067858262522935</v>
      </c>
      <c r="DJ43" s="909">
        <f>_xlfn.IFNA(INDEX('Resource use and costs'!$CQ$11:$CQ$53,MATCH($CZ43,'Resource use and costs'!$BA$11:$BA$53,0)),0)*_xlfn.IFNA(INDEX(DY$10:DY$23,MATCH($CZ43,$DX$10:$DX$23,0)),0)</f>
        <v>2860.9927072190476</v>
      </c>
      <c r="DK43" s="909">
        <f>IF(dd_PartSA_2_lines = "Yes",0,_xlfn.IFNA(INDEX('Resource use and costs'!$CR$11:$CR$53,MATCH(DA43,'Resource use and costs'!$BA$11:$BA$53,0)),0)*_xlfn.IFNA(INDEX(EA$10:EA$23,MATCH($DA43,$DX$10:$DX$23,0)),0))</f>
        <v>21421.066008214286</v>
      </c>
      <c r="DL43" s="909">
        <f>IF(dd_PartSA_2_lines = "Yes",0,_xlfn.IFNA(INDEX('Resource use and costs'!$CS$11:$CS$53,MATCH(DB43,'Resource use and costs'!$BA$11:$BA$53,0)),0)*_xlfn.IFNA(INDEX(EC$10:EC$23,MATCH($DB43,$DX$10:$DX$23,0)),0))</f>
        <v>2915.4763433333328</v>
      </c>
      <c r="DM43" s="909">
        <f t="shared" si="13"/>
        <v>27197.535058766665</v>
      </c>
      <c r="DN43" s="909">
        <f>SUM(_xlfn.IFNA(INDEX('Resource use and costs'!$DU$12:$DU$25,MATCH(CZ43,'Resource use and costs'!$DS$12:$DS$25,0)),0),_xlfn.IFNA(INDEX('Resource use and costs'!$DU$12:$DU$25,MATCH(DA43,'Resource use and costs'!$DS$12:$DS$25,0)),0),_xlfn.IFNA(INDEX('Resource use and costs'!$DU$12:$DU$25,MATCH(DB43,'Resource use and costs'!$DS$12:$DS$25,0)),0))</f>
        <v>591.75</v>
      </c>
      <c r="DO43" s="921">
        <f>_xlfn.IFNA(INDEX('Resource use and costs'!$DY$12:$DY$25,MATCH(CZ43,'Resource use and costs'!$DS$12:$DS$25,0)),0)*_xlfn.IFNA(INDEX(DY$10:DY$23,MATCH($CZ43,$DX$10:$DX$23,0)),0)</f>
        <v>405.17019714285709</v>
      </c>
      <c r="DP43" s="921">
        <f>IF(dd_PartSA_2_lines = "Yes",0,_xlfn.IFNA(INDEX('Resource use and costs'!$DZ$12:$DZ$25,MATCH(DA43,'Resource use and costs'!$DS$12:$DS$25,0)),0)*_xlfn.IFNA(INDEX(EA$10:EA$23,MATCH($DA43,$DX$10:$DX$23,0)),0))</f>
        <v>267.99172714285714</v>
      </c>
      <c r="DQ43" s="921">
        <f>IF(dd_PartSA_2_lines = "Yes",0,_xlfn.IFNA(INDEX('Resource use and costs'!$EA$12:$EA$25,MATCH(DB43,'Resource use and costs'!$DS$12:$DS$25,0)),0)*_xlfn.IFNA(INDEX(EC$10:EC$23,MATCH($DB43,$DX$10:$DX$23,0)),0))</f>
        <v>256.11457142857142</v>
      </c>
      <c r="DR43" s="921">
        <f t="shared" si="14"/>
        <v>1521.0264957142856</v>
      </c>
      <c r="DS43" s="1004">
        <f ca="1">SUMIFS('Safety parameters'!$DM$6:$DM$18,'Safety parameters'!$DK$6:$DK$18,CZ43,'Safety parameters'!$DL$6:$DL$18,1)+IF(dd_PartSA_2_lines = "Yes",0,SUMIFS('Safety parameters'!$DM$6:$DM$18,'Safety parameters'!$DK$6:$DK$18,DA43,'Safety parameters'!$DL$6:$DL$18,2)+SUMIFS('Safety parameters'!$DM$6:$DM$18,'Safety parameters'!$DK$6:$DK$18,DB43,'Safety parameters'!$DL$6:$DL$18,2))</f>
        <v>2570.9174319407748</v>
      </c>
      <c r="DT43" s="910">
        <f ca="1">SUMIFS('Safety parameters'!$DO$6:$DO$18,'Safety parameters'!$DK$6:$DK$18,CZ43,'Safety parameters'!$DL$6:$DL$18,1)+IF(dd_PartSA_2_lines = "Yes",0,SUMIFS('Safety parameters'!$DO$6:$DO$18,'Safety parameters'!$DK$6:$DK$18,DA43,'Safety parameters'!$DL$6:$DL$18,2)+SUMIFS('Safety parameters'!$DO$6:$DO$18,'Safety parameters'!$DK$6:$DK$18,DB43,'Safety parameters'!$DL$6:$DL$18,2))</f>
        <v>-2.2835575572866581E-2</v>
      </c>
      <c r="DX43" s="61" t="str">
        <v>cabozantinib_plus_nivolumab</v>
      </c>
      <c r="DY43" s="61" t="s">
        <v>773</v>
      </c>
      <c r="DZ43" s="920" cm="1">
        <f t="array" aca="1" ref="DZ43" ca="1">SUMPRODUCT(($CX$11:$CX$779=DY43)*($CY$11:$CY$779=DX43),$DH$11:$DH$779,$DM$11:$DM$779)</f>
        <v>39268.586353606646</v>
      </c>
      <c r="EA43" s="920" cm="1">
        <f t="array" aca="1" ref="EA43" ca="1">SUMPRODUCT(($CX$11:$CX$779=DY43)*($CY$11:$CY$779=DX43),$DH$11:$DH$779,$DR$11:$DR$779)</f>
        <v>795.53772845595552</v>
      </c>
      <c r="EB43" s="920" cm="1">
        <f t="array" aca="1" ref="EB43" ca="1">SUMPRODUCT(($CX$11:$CX$779=DY43)*($CY$11:$CY$779=DX43),$DH$11:$DH$779,$DS$11:$DS$779)</f>
        <v>707.14936721073673</v>
      </c>
      <c r="EC43" s="1029" cm="1">
        <f t="array" aca="1" ref="EC43" ca="1">SUMPRODUCT(($CX$11:$CX$779=DY43)*($CY$11:$CY$779=DX43),$DH$11:$DH$779,$DT$11:$DT$779)</f>
        <v>-6.3590481823132088E-3</v>
      </c>
      <c r="ED43" s="920">
        <f t="shared" ca="1" si="18"/>
        <v>7853.7172707213294</v>
      </c>
      <c r="EE43" s="920">
        <f t="shared" ca="1" si="19"/>
        <v>159.10754569119112</v>
      </c>
      <c r="EF43" s="1238"/>
      <c r="EG43" s="1238"/>
      <c r="EH43" s="1238"/>
      <c r="EI43" s="1238"/>
      <c r="EJ43" s="1238"/>
    </row>
    <row r="44" spans="3:140" ht="15" x14ac:dyDescent="0.2">
      <c r="E44" s="4" t="str">
        <v>placebo_BSC</v>
      </c>
      <c r="G44" s="664"/>
      <c r="H44" s="664"/>
      <c r="I44" s="73"/>
      <c r="J44" s="73"/>
      <c r="K44" s="73"/>
      <c r="L44" s="73"/>
      <c r="M44" s="73"/>
      <c r="CK44" s="61" t="s">
        <v>31</v>
      </c>
      <c r="CL44" s="61">
        <v>1</v>
      </c>
      <c r="CM44" s="61" t="str">
        <v>sunitinib</v>
      </c>
      <c r="CN44" s="17">
        <v>7</v>
      </c>
      <c r="CO44" s="17">
        <v>0</v>
      </c>
      <c r="CP44" s="17">
        <v>111</v>
      </c>
      <c r="CQ44" s="601">
        <f t="shared" si="22"/>
        <v>0</v>
      </c>
      <c r="CR44" s="601">
        <f t="shared" si="23"/>
        <v>0</v>
      </c>
      <c r="CS44" s="631">
        <v>0</v>
      </c>
      <c r="CT44" s="631">
        <v>0</v>
      </c>
      <c r="CU44" s="1123">
        <f>MATCH(CZ44,'Resource use and costs'!$BA$11:$BA$53,0)</f>
        <v>27</v>
      </c>
      <c r="CV44" s="1223"/>
      <c r="CW44" s="1241">
        <f t="shared" si="12"/>
        <v>1</v>
      </c>
      <c r="CX44" s="899" t="s">
        <v>764</v>
      </c>
      <c r="CY44" s="899" t="s">
        <v>571</v>
      </c>
      <c r="CZ44" s="899" t="s">
        <v>117</v>
      </c>
      <c r="DA44" s="899" t="s">
        <v>765</v>
      </c>
      <c r="DB44" s="899"/>
      <c r="DC44" s="899" cm="1">
        <f t="array" aca="1" ref="DC44" ca="1">_xlfn.IFNA(OFFSET($I$49,MATCH(CY44,$I$50:$I$63,0),MATCH(CZ44,TRANSPOSE($J$49:$W$49),0)),0)</f>
        <v>3.1975660070562968E-2</v>
      </c>
      <c r="DD44" s="899" cm="1">
        <f t="array" aca="1" ref="DD44" ca="1">_xlfn.IFNA(OFFSET($Y$49,MATCH($CZ44,$Y$50:$Y$63,0),MATCH($DA44,TRANSPOSE($Z$49:$AM$49),0)),0)</f>
        <v>0.34300000000000003</v>
      </c>
      <c r="DE44" s="899" cm="1">
        <f t="array" aca="1" ref="DE44" ca="1">_xlfn.IFNA(OFFSET($AO$49,MATCH($DA44,$AO$50:$AO$63,0),MATCH($DB44,TRANSPOSE($AP$49:$BC$49),0)),0)</f>
        <v>0</v>
      </c>
      <c r="DF44" s="881">
        <f t="shared" ca="1" si="8"/>
        <v>1.0967651404203098E-2</v>
      </c>
      <c r="DG44" s="910">
        <f t="shared" ca="1" si="9"/>
        <v>1</v>
      </c>
      <c r="DH44" s="881">
        <f t="shared" ca="1" si="10"/>
        <v>1.0967651404203098E-2</v>
      </c>
      <c r="DI44" s="1461">
        <f t="shared" ca="1" si="21"/>
        <v>1.8425654359061205</v>
      </c>
      <c r="DJ44" s="909">
        <f>_xlfn.IFNA(INDEX('Resource use and costs'!$CQ$11:$CQ$53,MATCH($CZ44,'Resource use and costs'!$BA$11:$BA$53,0)),0)*_xlfn.IFNA(INDEX(DY$10:DY$23,MATCH($CZ44,$DX$10:$DX$23,0)),0)</f>
        <v>2860.9927072190476</v>
      </c>
      <c r="DK44" s="909">
        <f>IF(dd_PartSA_2_lines = "Yes",0,_xlfn.IFNA(INDEX('Resource use and costs'!$CR$11:$CR$53,MATCH(DA44,'Resource use and costs'!$BA$11:$BA$53,0)),0)*_xlfn.IFNA(INDEX(EA$10:EA$23,MATCH($DA44,$DX$10:$DX$23,0)),0))</f>
        <v>0</v>
      </c>
      <c r="DL44" s="909">
        <f>IF(dd_PartSA_2_lines = "Yes",0,_xlfn.IFNA(INDEX('Resource use and costs'!$CS$11:$CS$53,MATCH(DB44,'Resource use and costs'!$BA$11:$BA$53,0)),0)*_xlfn.IFNA(INDEX(EC$10:EC$23,MATCH($DB44,$DX$10:$DX$23,0)),0))</f>
        <v>0</v>
      </c>
      <c r="DM44" s="909">
        <f t="shared" si="13"/>
        <v>2860.9927072190476</v>
      </c>
      <c r="DN44" s="909">
        <f>SUM(_xlfn.IFNA(INDEX('Resource use and costs'!$DU$12:$DU$25,MATCH(CZ44,'Resource use and costs'!$DS$12:$DS$25,0)),0),_xlfn.IFNA(INDEX('Resource use and costs'!$DU$12:$DU$25,MATCH(DA44,'Resource use and costs'!$DS$12:$DS$25,0)),0),_xlfn.IFNA(INDEX('Resource use and costs'!$DU$12:$DU$25,MATCH(DB44,'Resource use and costs'!$DS$12:$DS$25,0)),0))</f>
        <v>197.25</v>
      </c>
      <c r="DO44" s="921">
        <f>_xlfn.IFNA(INDEX('Resource use and costs'!$DY$12:$DY$25,MATCH(CZ44,'Resource use and costs'!$DS$12:$DS$25,0)),0)*_xlfn.IFNA(INDEX(DY$10:DY$23,MATCH($CZ44,$DX$10:$DX$23,0)),0)</f>
        <v>405.17019714285709</v>
      </c>
      <c r="DP44" s="921">
        <f>IF(dd_PartSA_2_lines = "Yes",0,_xlfn.IFNA(INDEX('Resource use and costs'!$DZ$12:$DZ$25,MATCH(DA44,'Resource use and costs'!$DS$12:$DS$25,0)),0)*_xlfn.IFNA(INDEX(EA$10:EA$23,MATCH($DA44,$DX$10:$DX$23,0)),0))</f>
        <v>0</v>
      </c>
      <c r="DQ44" s="921">
        <f>IF(dd_PartSA_2_lines = "Yes",0,_xlfn.IFNA(INDEX('Resource use and costs'!$EA$12:$EA$25,MATCH(DB44,'Resource use and costs'!$DS$12:$DS$25,0)),0)*_xlfn.IFNA(INDEX(EC$10:EC$23,MATCH($DB44,$DX$10:$DX$23,0)),0))</f>
        <v>0</v>
      </c>
      <c r="DR44" s="921">
        <f t="shared" si="14"/>
        <v>602.42019714285709</v>
      </c>
      <c r="DS44" s="1004">
        <f ca="1">SUMIFS('Safety parameters'!$DM$6:$DM$18,'Safety parameters'!$DK$6:$DK$18,CZ44,'Safety parameters'!$DL$6:$DL$18,1)+IF(dd_PartSA_2_lines = "Yes",0,SUMIFS('Safety parameters'!$DM$6:$DM$18,'Safety parameters'!$DK$6:$DK$18,DA44,'Safety parameters'!$DL$6:$DL$18,2)+SUMIFS('Safety parameters'!$DM$6:$DM$18,'Safety parameters'!$DK$6:$DK$18,DB44,'Safety parameters'!$DL$6:$DL$18,2))</f>
        <v>603.81337500000006</v>
      </c>
      <c r="DT44" s="910">
        <f ca="1">SUMIFS('Safety parameters'!$DO$6:$DO$18,'Safety parameters'!$DK$6:$DK$18,CZ44,'Safety parameters'!$DL$6:$DL$18,1)+IF(dd_PartSA_2_lines = "Yes",0,SUMIFS('Safety parameters'!$DO$6:$DO$18,'Safety parameters'!$DK$6:$DK$18,DA44,'Safety parameters'!$DL$6:$DL$18,2)+SUMIFS('Safety parameters'!$DO$6:$DO$18,'Safety parameters'!$DK$6:$DK$18,DB44,'Safety parameters'!$DL$6:$DL$18,2))</f>
        <v>-5.4260780287474324E-3</v>
      </c>
      <c r="DX44" s="61" t="str">
        <v>nivolumab_plus_ipilimumab</v>
      </c>
      <c r="DY44" s="61" t="s">
        <v>773</v>
      </c>
      <c r="DZ44" s="920" cm="1">
        <f t="array" aca="1" ref="DZ44" ca="1">SUMPRODUCT(($CX$11:$CX$779=DY44)*($CY$11:$CY$779=DX44),$DH$11:$DH$779,$DM$11:$DM$779)</f>
        <v>34822.103957899424</v>
      </c>
      <c r="EA44" s="920" cm="1">
        <f t="array" aca="1" ref="EA44" ca="1">SUMPRODUCT(($CX$11:$CX$779=DY44)*($CY$11:$CY$779=DX44),$DH$11:$DH$779,$DR$11:$DR$779)</f>
        <v>684.62113614531006</v>
      </c>
      <c r="EB44" s="920" cm="1">
        <f t="array" aca="1" ref="EB44" ca="1">SUMPRODUCT(($CX$11:$CX$779=DY44)*($CY$11:$CY$779=DX44),$DH$11:$DH$779,$DS$11:$DS$779)</f>
        <v>986.02423741454129</v>
      </c>
      <c r="EC44" s="1029" cm="1">
        <f t="array" aca="1" ref="EC44" ca="1">SUMPRODUCT(($CX$11:$CX$779=DY44)*($CY$11:$CY$779=DX44),$DH$11:$DH$779,$DT$11:$DT$779)</f>
        <v>-8.9862923562941711E-3</v>
      </c>
      <c r="ED44" s="920">
        <f t="shared" ca="1" si="18"/>
        <v>6964.4207915798852</v>
      </c>
      <c r="EE44" s="920">
        <f t="shared" ca="1" si="19"/>
        <v>136.92422722906201</v>
      </c>
      <c r="EF44" s="1238"/>
      <c r="EG44" s="1238"/>
      <c r="EH44" s="1238"/>
      <c r="EI44" s="1238"/>
      <c r="EJ44" s="1238"/>
    </row>
    <row r="45" spans="3:140" ht="15.75" x14ac:dyDescent="0.25">
      <c r="G45" s="71"/>
      <c r="H45" s="71"/>
      <c r="I45" s="73"/>
      <c r="J45" s="73" t="s">
        <v>774</v>
      </c>
      <c r="K45" s="73"/>
      <c r="L45" s="73"/>
      <c r="M45" s="73"/>
      <c r="AO45" s="4" t="s">
        <v>775</v>
      </c>
      <c r="CK45" s="61" t="s">
        <v>31</v>
      </c>
      <c r="CL45" s="61">
        <v>1</v>
      </c>
      <c r="CM45" s="61" t="str">
        <v>cabozantinib</v>
      </c>
      <c r="CN45" s="17">
        <v>8</v>
      </c>
      <c r="CO45" s="17">
        <v>0</v>
      </c>
      <c r="CP45" s="17">
        <v>111</v>
      </c>
      <c r="CQ45" s="601">
        <f t="shared" si="22"/>
        <v>0</v>
      </c>
      <c r="CR45" s="601">
        <f t="shared" si="23"/>
        <v>0</v>
      </c>
      <c r="CS45" s="631">
        <v>0</v>
      </c>
      <c r="CT45" s="631">
        <v>0</v>
      </c>
      <c r="CU45" s="1123">
        <f>MATCH(CZ45,'Resource use and costs'!$BA$11:$BA$53,0)</f>
        <v>27</v>
      </c>
      <c r="CV45" s="1223"/>
      <c r="CW45" s="1241">
        <f t="shared" si="12"/>
        <v>1</v>
      </c>
      <c r="CX45" s="899" t="s">
        <v>764</v>
      </c>
      <c r="CY45" s="899" t="s">
        <v>571</v>
      </c>
      <c r="CZ45" s="899" t="s">
        <v>117</v>
      </c>
      <c r="DA45" s="899" t="s">
        <v>119</v>
      </c>
      <c r="DB45" s="899" t="s">
        <v>327</v>
      </c>
      <c r="DC45" s="899" cm="1">
        <f t="array" aca="1" ref="DC45" ca="1">_xlfn.IFNA(OFFSET($I$49,MATCH(CY45,$I$50:$I$63,0),MATCH(CZ45,TRANSPOSE($J$49:$W$49),0)),0)</f>
        <v>3.1975660070562968E-2</v>
      </c>
      <c r="DD45" s="899" cm="1">
        <f t="array" aca="1" ref="DD45" ca="1">_xlfn.IFNA(OFFSET($Y$49,MATCH($CZ45,$Y$50:$Y$63,0),MATCH($DA45,TRANSPOSE($Z$49:$AM$49),0)),0)</f>
        <v>0</v>
      </c>
      <c r="DE45" s="899" cm="1">
        <f t="array" aca="1" ref="DE45" ca="1">_xlfn.IFNA(OFFSET($AO$49,MATCH($DA45,$AO$50:$AO$63,0),MATCH($DB45,TRANSPOSE($AP$49:$BC$49),0)),0)</f>
        <v>0</v>
      </c>
      <c r="DF45" s="881">
        <f t="shared" ca="1" si="8"/>
        <v>0</v>
      </c>
      <c r="DG45" s="910">
        <f t="shared" ca="1" si="9"/>
        <v>1</v>
      </c>
      <c r="DH45" s="881">
        <f t="shared" ca="1" si="10"/>
        <v>0</v>
      </c>
      <c r="DI45" s="1461">
        <f t="shared" ca="1" si="21"/>
        <v>0</v>
      </c>
      <c r="DJ45" s="909">
        <f>_xlfn.IFNA(INDEX('Resource use and costs'!$CQ$11:$CQ$53,MATCH($CZ45,'Resource use and costs'!$BA$11:$BA$53,0)),0)*_xlfn.IFNA(INDEX(DY$10:DY$23,MATCH($CZ45,$DX$10:$DX$23,0)),0)</f>
        <v>2860.9927072190476</v>
      </c>
      <c r="DK45" s="909">
        <f>IF(dd_PartSA_2_lines = "Yes",0,_xlfn.IFNA(INDEX('Resource use and costs'!$CR$11:$CR$53,MATCH(DA45,'Resource use and costs'!$BA$11:$BA$53,0)),0)*_xlfn.IFNA(INDEX(EA$10:EA$23,MATCH($DA45,$DX$10:$DX$23,0)),0))</f>
        <v>848.17532499999982</v>
      </c>
      <c r="DL45" s="909">
        <f>IF(dd_PartSA_2_lines = "Yes",0,_xlfn.IFNA(INDEX('Resource use and costs'!$CS$11:$CS$53,MATCH(DB45,'Resource use and costs'!$BA$11:$BA$53,0)),0)*_xlfn.IFNA(INDEX(EC$10:EC$23,MATCH($DB45,$DX$10:$DX$23,0)),0))</f>
        <v>18438.751749999999</v>
      </c>
      <c r="DM45" s="909">
        <f t="shared" si="13"/>
        <v>22147.919782219047</v>
      </c>
      <c r="DN45" s="909">
        <f>SUM(_xlfn.IFNA(INDEX('Resource use and costs'!$DU$12:$DU$25,MATCH(CZ45,'Resource use and costs'!$DS$12:$DS$25,0)),0),_xlfn.IFNA(INDEX('Resource use and costs'!$DU$12:$DU$25,MATCH(DA45,'Resource use and costs'!$DS$12:$DS$25,0)),0),_xlfn.IFNA(INDEX('Resource use and costs'!$DU$12:$DU$25,MATCH(DB45,'Resource use and costs'!$DS$12:$DS$25,0)),0))</f>
        <v>591.75</v>
      </c>
      <c r="DO45" s="921">
        <f>_xlfn.IFNA(INDEX('Resource use and costs'!$DY$12:$DY$25,MATCH(CZ45,'Resource use and costs'!$DS$12:$DS$25,0)),0)*_xlfn.IFNA(INDEX(DY$10:DY$23,MATCH($CZ45,$DX$10:$DX$23,0)),0)</f>
        <v>405.17019714285709</v>
      </c>
      <c r="DP45" s="921">
        <f>IF(dd_PartSA_2_lines = "Yes",0,_xlfn.IFNA(INDEX('Resource use and costs'!$DZ$12:$DZ$25,MATCH(DA45,'Resource use and costs'!$DS$12:$DS$25,0)),0)*_xlfn.IFNA(INDEX(EA$10:EA$23,MATCH($DA45,$DX$10:$DX$23,0)),0))</f>
        <v>74.50928571428571</v>
      </c>
      <c r="DQ45" s="921">
        <f>IF(dd_PartSA_2_lines = "Yes",0,_xlfn.IFNA(INDEX('Resource use and costs'!$EA$12:$EA$25,MATCH(DB45,'Resource use and costs'!$DS$12:$DS$25,0)),0)*_xlfn.IFNA(INDEX(EC$10:EC$23,MATCH($DB45,$DX$10:$DX$23,0)),0))</f>
        <v>230.68099999999998</v>
      </c>
      <c r="DR45" s="921">
        <f t="shared" si="14"/>
        <v>1302.1104828571429</v>
      </c>
      <c r="DS45" s="1004">
        <f ca="1">SUMIFS('Safety parameters'!$DM$6:$DM$18,'Safety parameters'!$DK$6:$DK$18,CZ45,'Safety parameters'!$DL$6:$DL$18,1)+IF(dd_PartSA_2_lines = "Yes",0,SUMIFS('Safety parameters'!$DM$6:$DM$18,'Safety parameters'!$DK$6:$DK$18,DA45,'Safety parameters'!$DL$6:$DL$18,2)+SUMIFS('Safety parameters'!$DM$6:$DM$18,'Safety parameters'!$DK$6:$DK$18,DB45,'Safety parameters'!$DL$6:$DL$18,2))</f>
        <v>2570.9174319407748</v>
      </c>
      <c r="DT45" s="910">
        <f ca="1">SUMIFS('Safety parameters'!$DO$6:$DO$18,'Safety parameters'!$DK$6:$DK$18,CZ45,'Safety parameters'!$DL$6:$DL$18,1)+IF(dd_PartSA_2_lines = "Yes",0,SUMIFS('Safety parameters'!$DO$6:$DO$18,'Safety parameters'!$DK$6:$DK$18,DA45,'Safety parameters'!$DL$6:$DL$18,2)+SUMIFS('Safety parameters'!$DO$6:$DO$18,'Safety parameters'!$DK$6:$DK$18,DB45,'Safety parameters'!$DL$6:$DL$18,2))</f>
        <v>-2.2835575572866581E-2</v>
      </c>
      <c r="DX45" s="61" t="str">
        <v>lenvatinib_plus_pembrolizumab</v>
      </c>
      <c r="DY45" s="61" t="s">
        <v>773</v>
      </c>
      <c r="DZ45" s="920" cm="1">
        <f t="array" aca="1" ref="DZ45" ca="1">SUMPRODUCT(($CX$11:$CX$779=DY45)*($CY$11:$CY$779=DX45),$DH$11:$DH$779,$DM$11:$DM$779)</f>
        <v>35686.512069014418</v>
      </c>
      <c r="EA45" s="920" cm="1">
        <f t="array" aca="1" ref="EA45" ca="1">SUMPRODUCT(($CX$11:$CX$779=DY45)*($CY$11:$CY$779=DX45),$DH$11:$DH$779,$DR$11:$DR$779)</f>
        <v>663.47787154737784</v>
      </c>
      <c r="EB45" s="920" cm="1">
        <f t="array" aca="1" ref="EB45" ca="1">SUMPRODUCT(($CX$11:$CX$779=DY45)*($CY$11:$CY$779=DX45),$DH$11:$DH$779,$DS$11:$DS$779)</f>
        <v>1102.6851220147112</v>
      </c>
      <c r="EC45" s="1029" cm="1">
        <f t="array" aca="1" ref="EC45" ca="1">SUMPRODUCT(($CX$11:$CX$779=DY45)*($CY$11:$CY$779=DX45),$DH$11:$DH$779,$DT$11:$DT$779)</f>
        <v>-9.8278670139703064E-3</v>
      </c>
      <c r="ED45" s="920">
        <f t="shared" ca="1" si="18"/>
        <v>7137.3024138028841</v>
      </c>
      <c r="EE45" s="920">
        <f t="shared" ca="1" si="19"/>
        <v>132.69557430947557</v>
      </c>
      <c r="EF45" s="1238"/>
      <c r="EG45" s="1238"/>
      <c r="EH45" s="1238"/>
      <c r="EI45" s="1238"/>
      <c r="EJ45" s="1238"/>
    </row>
    <row r="46" spans="3:140" ht="15.75" x14ac:dyDescent="0.25">
      <c r="C46" s="69" t="s">
        <v>575</v>
      </c>
      <c r="G46" s="71"/>
      <c r="H46" s="71"/>
      <c r="I46" s="73"/>
      <c r="J46" s="84">
        <v>1</v>
      </c>
      <c r="K46" s="84"/>
      <c r="L46" s="84">
        <v>2</v>
      </c>
      <c r="M46" s="84">
        <v>3</v>
      </c>
      <c r="N46" s="85">
        <v>4</v>
      </c>
      <c r="O46" s="85">
        <v>5</v>
      </c>
      <c r="P46" s="85">
        <v>6</v>
      </c>
      <c r="Q46" s="85">
        <v>7</v>
      </c>
      <c r="R46" s="85">
        <v>8</v>
      </c>
      <c r="S46" s="85">
        <v>9</v>
      </c>
      <c r="T46" s="85">
        <v>10</v>
      </c>
      <c r="U46" s="85">
        <v>11</v>
      </c>
      <c r="V46" s="85">
        <v>12</v>
      </c>
      <c r="W46" s="85">
        <v>13</v>
      </c>
      <c r="Z46" s="84">
        <v>1</v>
      </c>
      <c r="AA46" s="84"/>
      <c r="AB46" s="84">
        <v>2</v>
      </c>
      <c r="AC46" s="84">
        <v>3</v>
      </c>
      <c r="AD46" s="85">
        <v>4</v>
      </c>
      <c r="AE46" s="85">
        <v>5</v>
      </c>
      <c r="AF46" s="85">
        <v>6</v>
      </c>
      <c r="AG46" s="85">
        <v>7</v>
      </c>
      <c r="AH46" s="85">
        <v>8</v>
      </c>
      <c r="AI46" s="85">
        <v>9</v>
      </c>
      <c r="AJ46" s="85">
        <v>10</v>
      </c>
      <c r="AK46" s="85">
        <v>11</v>
      </c>
      <c r="AL46" s="85">
        <v>12</v>
      </c>
      <c r="AM46" s="85">
        <v>13</v>
      </c>
      <c r="AP46" s="84">
        <v>1</v>
      </c>
      <c r="AQ46" s="84"/>
      <c r="AR46" s="84">
        <v>2</v>
      </c>
      <c r="AS46" s="84">
        <v>3</v>
      </c>
      <c r="AT46" s="85">
        <v>4</v>
      </c>
      <c r="AU46" s="85">
        <v>5</v>
      </c>
      <c r="AV46" s="85">
        <v>6</v>
      </c>
      <c r="AW46" s="85">
        <v>7</v>
      </c>
      <c r="AX46" s="85">
        <v>8</v>
      </c>
      <c r="AY46" s="85">
        <v>9</v>
      </c>
      <c r="AZ46" s="85">
        <v>10</v>
      </c>
      <c r="BA46" s="85">
        <v>11</v>
      </c>
      <c r="BB46" s="85">
        <v>12</v>
      </c>
      <c r="BC46" s="85">
        <v>13</v>
      </c>
      <c r="BF46" s="84">
        <v>1</v>
      </c>
      <c r="BG46" s="84"/>
      <c r="BH46" s="84">
        <v>2</v>
      </c>
      <c r="BI46" s="84">
        <v>3</v>
      </c>
      <c r="BJ46" s="85">
        <v>4</v>
      </c>
      <c r="BK46" s="85">
        <v>5</v>
      </c>
      <c r="BL46" s="85">
        <v>6</v>
      </c>
      <c r="BM46" s="85">
        <v>7</v>
      </c>
      <c r="BN46" s="85">
        <v>8</v>
      </c>
      <c r="BO46" s="85">
        <v>9</v>
      </c>
      <c r="BP46" s="85">
        <v>10</v>
      </c>
      <c r="BQ46" s="85">
        <v>11</v>
      </c>
      <c r="BR46" s="85">
        <v>12</v>
      </c>
      <c r="BS46" s="85">
        <v>13</v>
      </c>
      <c r="CK46" s="61" t="s">
        <v>31</v>
      </c>
      <c r="CL46" s="61">
        <v>1</v>
      </c>
      <c r="CM46" s="61" t="str">
        <v>lenvatinib_plus_everolimus</v>
      </c>
      <c r="CN46" s="17">
        <v>9</v>
      </c>
      <c r="CO46" s="17">
        <v>0</v>
      </c>
      <c r="CP46" s="17">
        <v>111</v>
      </c>
      <c r="CQ46" s="601">
        <f t="shared" si="22"/>
        <v>0</v>
      </c>
      <c r="CR46" s="601">
        <f t="shared" si="23"/>
        <v>0</v>
      </c>
      <c r="CS46" s="631">
        <v>0</v>
      </c>
      <c r="CT46" s="631">
        <v>0</v>
      </c>
      <c r="CU46" s="1123">
        <f>MATCH(CZ46,'Resource use and costs'!$BA$11:$BA$53,0)</f>
        <v>27</v>
      </c>
      <c r="CV46" s="1223"/>
      <c r="CW46" s="1241">
        <f t="shared" si="12"/>
        <v>1</v>
      </c>
      <c r="CX46" s="899" t="s">
        <v>764</v>
      </c>
      <c r="CY46" s="899" t="s">
        <v>571</v>
      </c>
      <c r="CZ46" s="899" t="s">
        <v>117</v>
      </c>
      <c r="DA46" s="899" t="s">
        <v>119</v>
      </c>
      <c r="DB46" s="899" t="s">
        <v>765</v>
      </c>
      <c r="DC46" s="899" cm="1">
        <f t="array" aca="1" ref="DC46" ca="1">_xlfn.IFNA(OFFSET($I$49,MATCH(CY46,$I$50:$I$63,0),MATCH(CZ46,TRANSPOSE($J$49:$W$49),0)),0)</f>
        <v>3.1975660070562968E-2</v>
      </c>
      <c r="DD46" s="899" cm="1">
        <f t="array" aca="1" ref="DD46" ca="1">_xlfn.IFNA(OFFSET($Y$49,MATCH($CZ46,$Y$50:$Y$63,0),MATCH($DA46,TRANSPOSE($Z$49:$AM$49),0)),0)</f>
        <v>0</v>
      </c>
      <c r="DE46" s="899" cm="1">
        <f t="array" aca="1" ref="DE46" ca="1">_xlfn.IFNA(OFFSET($AO$49,MATCH($DA46,$AO$50:$AO$63,0),MATCH($DB46,TRANSPOSE($AP$49:$BC$49),0)),0)</f>
        <v>1</v>
      </c>
      <c r="DF46" s="881">
        <f t="shared" ca="1" si="8"/>
        <v>0</v>
      </c>
      <c r="DG46" s="910">
        <f t="shared" ca="1" si="9"/>
        <v>1</v>
      </c>
      <c r="DH46" s="881">
        <f t="shared" ca="1" si="10"/>
        <v>0</v>
      </c>
      <c r="DI46" s="1461">
        <f t="shared" ca="1" si="21"/>
        <v>0</v>
      </c>
      <c r="DJ46" s="909">
        <f>_xlfn.IFNA(INDEX('Resource use and costs'!$CQ$11:$CQ$53,MATCH($CZ46,'Resource use and costs'!$BA$11:$BA$53,0)),0)*_xlfn.IFNA(INDEX(DY$10:DY$23,MATCH($CZ46,$DX$10:$DX$23,0)),0)</f>
        <v>2860.9927072190476</v>
      </c>
      <c r="DK46" s="909">
        <f>IF(dd_PartSA_2_lines = "Yes",0,_xlfn.IFNA(INDEX('Resource use and costs'!$CR$11:$CR$53,MATCH(DA46,'Resource use and costs'!$BA$11:$BA$53,0)),0)*_xlfn.IFNA(INDEX(EA$10:EA$23,MATCH($DA46,$DX$10:$DX$23,0)),0))</f>
        <v>848.17532499999982</v>
      </c>
      <c r="DL46" s="909">
        <f>IF(dd_PartSA_2_lines = "Yes",0,_xlfn.IFNA(INDEX('Resource use and costs'!$CS$11:$CS$53,MATCH(DB46,'Resource use and costs'!$BA$11:$BA$53,0)),0)*_xlfn.IFNA(INDEX(EC$10:EC$23,MATCH($DB46,$DX$10:$DX$23,0)),0))</f>
        <v>0</v>
      </c>
      <c r="DM46" s="909">
        <f t="shared" si="13"/>
        <v>3709.1680322190473</v>
      </c>
      <c r="DN46" s="909">
        <f>SUM(_xlfn.IFNA(INDEX('Resource use and costs'!$DU$12:$DU$25,MATCH(CZ46,'Resource use and costs'!$DS$12:$DS$25,0)),0),_xlfn.IFNA(INDEX('Resource use and costs'!$DU$12:$DU$25,MATCH(DA46,'Resource use and costs'!$DS$12:$DS$25,0)),0),_xlfn.IFNA(INDEX('Resource use and costs'!$DU$12:$DU$25,MATCH(DB46,'Resource use and costs'!$DS$12:$DS$25,0)),0))</f>
        <v>394.5</v>
      </c>
      <c r="DO46" s="921">
        <f>_xlfn.IFNA(INDEX('Resource use and costs'!$DY$12:$DY$25,MATCH(CZ46,'Resource use and costs'!$DS$12:$DS$25,0)),0)*_xlfn.IFNA(INDEX(DY$10:DY$23,MATCH($CZ46,$DX$10:$DX$23,0)),0)</f>
        <v>405.17019714285709</v>
      </c>
      <c r="DP46" s="921">
        <f>IF(dd_PartSA_2_lines = "Yes",0,_xlfn.IFNA(INDEX('Resource use and costs'!$DZ$12:$DZ$25,MATCH(DA46,'Resource use and costs'!$DS$12:$DS$25,0)),0)*_xlfn.IFNA(INDEX(EA$10:EA$23,MATCH($DA46,$DX$10:$DX$23,0)),0))</f>
        <v>74.50928571428571</v>
      </c>
      <c r="DQ46" s="921">
        <f>IF(dd_PartSA_2_lines = "Yes",0,_xlfn.IFNA(INDEX('Resource use and costs'!$EA$12:$EA$25,MATCH(DB46,'Resource use and costs'!$DS$12:$DS$25,0)),0)*_xlfn.IFNA(INDEX(EC$10:EC$23,MATCH($DB46,$DX$10:$DX$23,0)),0))</f>
        <v>0</v>
      </c>
      <c r="DR46" s="921">
        <f t="shared" si="14"/>
        <v>874.17948285714283</v>
      </c>
      <c r="DS46" s="1004">
        <f ca="1">SUMIFS('Safety parameters'!$DM$6:$DM$18,'Safety parameters'!$DK$6:$DK$18,CZ46,'Safety parameters'!$DL$6:$DL$18,1)+IF(dd_PartSA_2_lines = "Yes",0,SUMIFS('Safety parameters'!$DM$6:$DM$18,'Safety parameters'!$DK$6:$DK$18,DA46,'Safety parameters'!$DL$6:$DL$18,2)+SUMIFS('Safety parameters'!$DM$6:$DM$18,'Safety parameters'!$DK$6:$DK$18,DB46,'Safety parameters'!$DL$6:$DL$18,2))</f>
        <v>936.68875837531493</v>
      </c>
      <c r="DT46" s="910">
        <f ca="1">SUMIFS('Safety parameters'!$DO$6:$DO$18,'Safety parameters'!$DK$6:$DK$18,CZ46,'Safety parameters'!$DL$6:$DL$18,1)+IF(dd_PartSA_2_lines = "Yes",0,SUMIFS('Safety parameters'!$DO$6:$DO$18,'Safety parameters'!$DK$6:$DK$18,DA46,'Safety parameters'!$DL$6:$DL$18,2)+SUMIFS('Safety parameters'!$DO$6:$DO$18,'Safety parameters'!$DK$6:$DK$18,DB46,'Safety parameters'!$DL$6:$DL$18,2))</f>
        <v>-8.0936515653851522E-3</v>
      </c>
      <c r="DX46" s="61" t="str">
        <v>avelumab_plus_axitinib</v>
      </c>
      <c r="DY46" s="61" t="s">
        <v>773</v>
      </c>
      <c r="DZ46" s="920" cm="1">
        <f t="array" aca="1" ref="DZ46" ca="1">SUMPRODUCT(($CX$11:$CX$779=DY46)*($CY$11:$CY$779=DX46),$DH$11:$DH$779,$DM$11:$DM$779)</f>
        <v>39608.964280200467</v>
      </c>
      <c r="EA46" s="920" cm="1">
        <f t="array" aca="1" ref="EA46" ca="1">SUMPRODUCT(($CX$11:$CX$779=DY46)*($CY$11:$CY$779=DX46),$DH$11:$DH$779,$DR$11:$DR$779)</f>
        <v>703.33519025237013</v>
      </c>
      <c r="EB46" s="920" cm="1">
        <f t="array" aca="1" ref="EB46" ca="1">SUMPRODUCT(($CX$11:$CX$779=DY46)*($CY$11:$CY$779=DX46),$DH$11:$DH$779,$DS$11:$DS$779)</f>
        <v>555.60360458316586</v>
      </c>
      <c r="EC46" s="1029" cm="1">
        <f t="array" aca="1" ref="EC46" ca="1">SUMPRODUCT(($CX$11:$CX$779=DY46)*($CY$11:$CY$779=DX46),$DH$11:$DH$779,$DT$11:$DT$779)</f>
        <v>-4.9325149733311213E-3</v>
      </c>
      <c r="ED46" s="920">
        <f t="shared" ca="1" si="18"/>
        <v>7921.7928560400942</v>
      </c>
      <c r="EE46" s="920">
        <f t="shared" ca="1" si="19"/>
        <v>140.66703805047402</v>
      </c>
      <c r="EF46" s="1238"/>
      <c r="EG46" s="1238"/>
      <c r="EH46" s="1238"/>
      <c r="EI46" s="1238"/>
      <c r="EJ46" s="1238"/>
    </row>
    <row r="47" spans="3:140" ht="15.75" x14ac:dyDescent="0.25">
      <c r="G47" s="71"/>
      <c r="H47" s="71"/>
      <c r="I47" s="73"/>
      <c r="J47" s="80" t="s">
        <v>776</v>
      </c>
      <c r="K47" s="80"/>
      <c r="L47" s="73"/>
      <c r="M47" s="73"/>
      <c r="Z47" s="80" t="s">
        <v>776</v>
      </c>
      <c r="AA47" s="80"/>
      <c r="AB47" s="73"/>
      <c r="AC47" s="73"/>
      <c r="AP47" s="80" t="s">
        <v>776</v>
      </c>
      <c r="AQ47" s="80"/>
      <c r="AR47" s="73"/>
      <c r="AS47" s="73"/>
      <c r="BF47" s="80"/>
      <c r="BG47" s="80"/>
      <c r="BH47" s="73"/>
      <c r="BI47" s="73"/>
      <c r="CK47" s="61" t="s">
        <v>31</v>
      </c>
      <c r="CL47" s="61">
        <v>1</v>
      </c>
      <c r="CM47" s="61" t="str">
        <v>everolimus</v>
      </c>
      <c r="CN47" s="17">
        <v>10</v>
      </c>
      <c r="CO47" s="17">
        <v>0</v>
      </c>
      <c r="CP47" s="17">
        <v>111</v>
      </c>
      <c r="CQ47" s="601">
        <f t="shared" si="22"/>
        <v>0</v>
      </c>
      <c r="CR47" s="601">
        <f t="shared" si="23"/>
        <v>0</v>
      </c>
      <c r="CS47" s="631">
        <v>0</v>
      </c>
      <c r="CT47" s="631">
        <v>0</v>
      </c>
      <c r="CU47" s="1123">
        <f>MATCH(CZ47,'Resource use and costs'!$BA$11:$BA$53,0)</f>
        <v>24</v>
      </c>
      <c r="CV47" s="1223"/>
      <c r="CW47" s="1241">
        <f t="shared" si="12"/>
        <v>1</v>
      </c>
      <c r="CX47" s="899" t="s">
        <v>764</v>
      </c>
      <c r="CY47" s="899" t="s">
        <v>571</v>
      </c>
      <c r="CZ47" s="899" t="s">
        <v>319</v>
      </c>
      <c r="DA47" s="899" t="s">
        <v>327</v>
      </c>
      <c r="DB47" s="899" t="s">
        <v>765</v>
      </c>
      <c r="DC47" s="899" cm="1">
        <f t="array" aca="1" ref="DC47" ca="1">_xlfn.IFNA(OFFSET($I$49,MATCH(CY47,$I$50:$I$63,0),MATCH(CZ47,TRANSPOSE($J$49:$W$49),0)),0)</f>
        <v>4.269746893695351E-2</v>
      </c>
      <c r="DD47" s="899">
        <f ca="1">1-DD49-DD50</f>
        <v>0.61010000000000009</v>
      </c>
      <c r="DE47" s="899" cm="1">
        <f t="array" aca="1" ref="DE47" ca="1">_xlfn.IFNA(OFFSET($AO$49,MATCH($DA47,$AO$50:$AO$63,0),MATCH($DB47,TRANSPOSE($AP$49:$BC$49),0)),0)</f>
        <v>0.43140000000000001</v>
      </c>
      <c r="DF47" s="881">
        <f t="shared" ca="1" si="8"/>
        <v>1.1237851709445006E-2</v>
      </c>
      <c r="DG47" s="910">
        <f t="shared" ca="1" si="9"/>
        <v>1</v>
      </c>
      <c r="DH47" s="881">
        <f t="shared" ca="1" si="10"/>
        <v>1.1237851709445006E-2</v>
      </c>
      <c r="DI47" s="1461">
        <f t="shared" ca="1" si="21"/>
        <v>1.8879590871867611</v>
      </c>
      <c r="DJ47" s="909">
        <f>_xlfn.IFNA(INDEX('Resource use and costs'!$CQ$11:$CQ$53,MATCH($CZ47,'Resource use and costs'!$BA$11:$BA$53,0)),0)*_xlfn.IFNA(INDEX(DY$10:DY$23,MATCH($CZ47,$DX$10:$DX$23,0)),0)</f>
        <v>20680.612971428574</v>
      </c>
      <c r="DK47" s="909">
        <f>IF(dd_PartSA_2_lines = "Yes",0,_xlfn.IFNA(INDEX('Resource use and costs'!$CR$11:$CR$53,MATCH(DA47,'Resource use and costs'!$BA$11:$BA$53,0)),0)*_xlfn.IFNA(INDEX(EA$10:EA$23,MATCH($DA47,$DX$10:$DX$23,0)),0))</f>
        <v>21421.066008214286</v>
      </c>
      <c r="DL47" s="909">
        <f>IF(dd_PartSA_2_lines = "Yes",0,_xlfn.IFNA(INDEX('Resource use and costs'!$CS$11:$CS$53,MATCH(DB47,'Resource use and costs'!$BA$11:$BA$53,0)),0)*_xlfn.IFNA(INDEX(EC$10:EC$23,MATCH($DB47,$DX$10:$DX$23,0)),0))</f>
        <v>0</v>
      </c>
      <c r="DM47" s="909">
        <f t="shared" si="13"/>
        <v>42101.678979642864</v>
      </c>
      <c r="DN47" s="909">
        <f>SUM(_xlfn.IFNA(INDEX('Resource use and costs'!$DU$12:$DU$25,MATCH(CZ47,'Resource use and costs'!$DS$12:$DS$25,0)),0),_xlfn.IFNA(INDEX('Resource use and costs'!$DU$12:$DU$25,MATCH(DA47,'Resource use and costs'!$DS$12:$DS$25,0)),0),_xlfn.IFNA(INDEX('Resource use and costs'!$DU$12:$DU$25,MATCH(DB47,'Resource use and costs'!$DS$12:$DS$25,0)),0))</f>
        <v>394.5</v>
      </c>
      <c r="DO47" s="921">
        <f>_xlfn.IFNA(INDEX('Resource use and costs'!$DY$12:$DY$25,MATCH(CZ47,'Resource use and costs'!$DS$12:$DS$25,0)),0)*_xlfn.IFNA(INDEX(DY$10:DY$23,MATCH($CZ47,$DX$10:$DX$23,0)),0)</f>
        <v>443.44394285714293</v>
      </c>
      <c r="DP47" s="921">
        <f>IF(dd_PartSA_2_lines = "Yes",0,_xlfn.IFNA(INDEX('Resource use and costs'!$DZ$12:$DZ$25,MATCH(DA47,'Resource use and costs'!$DS$12:$DS$25,0)),0)*_xlfn.IFNA(INDEX(EA$10:EA$23,MATCH($DA47,$DX$10:$DX$23,0)),0))</f>
        <v>267.99172714285714</v>
      </c>
      <c r="DQ47" s="921">
        <f>IF(dd_PartSA_2_lines = "Yes",0,_xlfn.IFNA(INDEX('Resource use and costs'!$EA$12:$EA$25,MATCH(DB47,'Resource use and costs'!$DS$12:$DS$25,0)),0)*_xlfn.IFNA(INDEX(EC$10:EC$23,MATCH($DB47,$DX$10:$DX$23,0)),0))</f>
        <v>0</v>
      </c>
      <c r="DR47" s="921">
        <f t="shared" si="14"/>
        <v>1105.9356700000001</v>
      </c>
      <c r="DS47" s="1004">
        <f ca="1">SUMIFS('Safety parameters'!$DM$6:$DM$18,'Safety parameters'!$DK$6:$DK$18,CZ47,'Safety parameters'!$DL$6:$DL$18,1)+IF(dd_PartSA_2_lines = "Yes",0,SUMIFS('Safety parameters'!$DM$6:$DM$18,'Safety parameters'!$DK$6:$DK$18,DA47,'Safety parameters'!$DL$6:$DL$18,2)+SUMIFS('Safety parameters'!$DM$6:$DM$18,'Safety parameters'!$DK$6:$DK$18,DB47,'Safety parameters'!$DL$6:$DL$18,2))</f>
        <v>2042.1647262635129</v>
      </c>
      <c r="DT47" s="910">
        <f ca="1">SUMIFS('Safety parameters'!$DO$6:$DO$18,'Safety parameters'!$DK$6:$DK$18,CZ47,'Safety parameters'!$DL$6:$DL$18,1)+IF(dd_PartSA_2_lines = "Yes",0,SUMIFS('Safety parameters'!$DO$6:$DO$18,'Safety parameters'!$DK$6:$DK$18,DA47,'Safety parameters'!$DL$6:$DL$18,2)+SUMIFS('Safety parameters'!$DO$6:$DO$18,'Safety parameters'!$DK$6:$DK$18,DB47,'Safety parameters'!$DL$6:$DL$18,2))</f>
        <v>-1.8195878647800728E-2</v>
      </c>
      <c r="DX47" s="61" t="str">
        <v>pazopanib</v>
      </c>
      <c r="DY47" s="61" t="s">
        <v>773</v>
      </c>
      <c r="DZ47" s="920" cm="1">
        <f t="array" aca="1" ref="DZ47" ca="1">SUMPRODUCT(($CX$11:$CX$779=DY47)*($CY$11:$CY$779=DX47),$DH$11:$DH$779,$DM$11:$DM$779)</f>
        <v>54145.221186743445</v>
      </c>
      <c r="EA47" s="920" cm="1">
        <f t="array" aca="1" ref="EA47" ca="1">SUMPRODUCT(($CX$11:$CX$779=DY47)*($CY$11:$CY$779=DX47),$DH$11:$DH$779,$DR$11:$DR$779)</f>
        <v>4320.7038910866731</v>
      </c>
      <c r="EB47" s="920" cm="1">
        <f t="array" aca="1" ref="EB47" ca="1">SUMPRODUCT(($CX$11:$CX$779=DY47)*($CY$11:$CY$779=DX47),$DH$11:$DH$779,$DS$11:$DS$779)</f>
        <v>787.56392801428228</v>
      </c>
      <c r="EC47" s="1029" cm="1">
        <f t="array" aca="1" ref="EC47" ca="1">SUMPRODUCT(($CX$11:$CX$779=DY47)*($CY$11:$CY$779=DX47),$DH$11:$DH$779,$DT$11:$DT$779)</f>
        <v>-7.1626461973015015E-3</v>
      </c>
      <c r="ED47" s="920">
        <f t="shared" ca="1" si="18"/>
        <v>10829.044237348689</v>
      </c>
      <c r="EE47" s="920">
        <f t="shared" ca="1" si="19"/>
        <v>864.14077821733463</v>
      </c>
      <c r="EF47" s="1238"/>
      <c r="EG47" s="1238"/>
      <c r="EH47" s="1238"/>
      <c r="EI47" s="1238"/>
      <c r="EJ47" s="1238"/>
    </row>
    <row r="48" spans="3:140" ht="15.75" x14ac:dyDescent="0.25">
      <c r="C48" s="81" t="s">
        <v>777</v>
      </c>
      <c r="G48" s="1726" t="s">
        <v>763</v>
      </c>
      <c r="H48" s="1726"/>
      <c r="I48" s="81"/>
      <c r="J48" s="77" t="str" cm="1">
        <f t="array" ref="J48:W48">TRANSPOSE(List_comparators)</f>
        <v>nivolumab_monotherapy</v>
      </c>
      <c r="K48" s="77" t="str">
        <v>cabozantinib_plus_nivolumab</v>
      </c>
      <c r="L48" s="77" t="str">
        <v>nivolumab_plus_ipilimumab</v>
      </c>
      <c r="M48" s="77" t="str">
        <v>lenvatinib_plus_pembrolizumab</v>
      </c>
      <c r="N48" s="76" t="str">
        <v>avelumab_plus_axitinib</v>
      </c>
      <c r="O48" s="76" t="str">
        <v>pazopanib</v>
      </c>
      <c r="P48" s="76" t="str">
        <v>tivozanib</v>
      </c>
      <c r="Q48" s="76" t="str">
        <v>sunitinib</v>
      </c>
      <c r="R48" s="76" t="str">
        <v>cabozantinib</v>
      </c>
      <c r="S48" s="76" t="str">
        <v>lenvatinib_plus_everolimus</v>
      </c>
      <c r="T48" s="76" t="str">
        <v>everolimus</v>
      </c>
      <c r="U48" s="76" t="str">
        <v>axitinib</v>
      </c>
      <c r="V48" s="76" t="str">
        <v>sorafenib</v>
      </c>
      <c r="W48" s="76" t="str">
        <v>placebo_BSC</v>
      </c>
      <c r="Z48" s="77" t="str" cm="1">
        <f t="array" ref="Z48:AM48">TRANSPOSE(List_comparators)</f>
        <v>nivolumab_monotherapy</v>
      </c>
      <c r="AA48" s="77" t="str">
        <v>cabozantinib_plus_nivolumab</v>
      </c>
      <c r="AB48" s="77" t="str">
        <v>nivolumab_plus_ipilimumab</v>
      </c>
      <c r="AC48" s="77" t="str">
        <v>lenvatinib_plus_pembrolizumab</v>
      </c>
      <c r="AD48" s="76" t="str">
        <v>avelumab_plus_axitinib</v>
      </c>
      <c r="AE48" s="76" t="str">
        <v>pazopanib</v>
      </c>
      <c r="AF48" s="76" t="str">
        <v>tivozanib</v>
      </c>
      <c r="AG48" s="76" t="str">
        <v>sunitinib</v>
      </c>
      <c r="AH48" s="76" t="str">
        <v>cabozantinib</v>
      </c>
      <c r="AI48" s="76" t="str">
        <v>lenvatinib_plus_everolimus</v>
      </c>
      <c r="AJ48" s="76" t="str">
        <v>everolimus</v>
      </c>
      <c r="AK48" s="76" t="str">
        <v>axitinib</v>
      </c>
      <c r="AL48" s="76" t="str">
        <v>sorafenib</v>
      </c>
      <c r="AM48" s="76" t="str">
        <v>placebo_BSC</v>
      </c>
      <c r="AP48" s="77" t="str" cm="1">
        <f t="array" ref="AP48:BC48">TRANSPOSE(List_comparators)</f>
        <v>nivolumab_monotherapy</v>
      </c>
      <c r="AQ48" s="77" t="str">
        <v>cabozantinib_plus_nivolumab</v>
      </c>
      <c r="AR48" s="77" t="str">
        <v>nivolumab_plus_ipilimumab</v>
      </c>
      <c r="AS48" s="77" t="str">
        <v>lenvatinib_plus_pembrolizumab</v>
      </c>
      <c r="AT48" s="76" t="str">
        <v>avelumab_plus_axitinib</v>
      </c>
      <c r="AU48" s="76" t="str">
        <v>pazopanib</v>
      </c>
      <c r="AV48" s="76" t="str">
        <v>tivozanib</v>
      </c>
      <c r="AW48" s="76" t="str">
        <v>sunitinib</v>
      </c>
      <c r="AX48" s="76" t="str">
        <v>cabozantinib</v>
      </c>
      <c r="AY48" s="76" t="str">
        <v>lenvatinib_plus_everolimus</v>
      </c>
      <c r="AZ48" s="76" t="str">
        <v>everolimus</v>
      </c>
      <c r="BA48" s="76" t="str">
        <v>axitinib</v>
      </c>
      <c r="BB48" s="76" t="str">
        <v>sorafenib</v>
      </c>
      <c r="BC48" s="76" t="str">
        <v>placebo_BSC</v>
      </c>
      <c r="BE48" s="876" t="s">
        <v>778</v>
      </c>
      <c r="BF48" s="77"/>
      <c r="BG48" s="77"/>
      <c r="BH48" s="77"/>
      <c r="BI48" s="77"/>
      <c r="BJ48" s="76"/>
      <c r="BK48" s="76"/>
      <c r="BL48" s="876" t="s">
        <v>779</v>
      </c>
      <c r="BM48" s="76"/>
      <c r="BN48" s="76"/>
      <c r="BO48" s="76"/>
      <c r="BP48" s="76"/>
      <c r="BQ48" s="76"/>
      <c r="BR48" s="76"/>
      <c r="BS48" s="76" t="str">
        <f>INDEX(List_comparators,14)</f>
        <v>placebo_BSC</v>
      </c>
      <c r="CK48" s="61" t="s">
        <v>31</v>
      </c>
      <c r="CL48" s="61">
        <v>1</v>
      </c>
      <c r="CM48" s="61" t="str">
        <v>axitinib</v>
      </c>
      <c r="CN48" s="17">
        <v>11</v>
      </c>
      <c r="CO48" s="17">
        <v>0</v>
      </c>
      <c r="CP48" s="17">
        <v>111</v>
      </c>
      <c r="CQ48" s="601">
        <f t="shared" si="22"/>
        <v>0</v>
      </c>
      <c r="CR48" s="601">
        <f t="shared" si="23"/>
        <v>0</v>
      </c>
      <c r="CS48" s="631">
        <v>0</v>
      </c>
      <c r="CT48" s="631">
        <v>0</v>
      </c>
      <c r="CU48" s="1123">
        <f>MATCH(CZ48,'Resource use and costs'!$BA$11:$BA$53,0)</f>
        <v>24</v>
      </c>
      <c r="CV48" s="1223"/>
      <c r="CW48" s="1241">
        <f t="shared" si="12"/>
        <v>1</v>
      </c>
      <c r="CX48" s="899" t="s">
        <v>764</v>
      </c>
      <c r="CY48" s="899" t="s">
        <v>571</v>
      </c>
      <c r="CZ48" s="899" t="s">
        <v>319</v>
      </c>
      <c r="DA48" s="899" t="s">
        <v>327</v>
      </c>
      <c r="DB48" s="899" t="s">
        <v>119</v>
      </c>
      <c r="DC48" s="899" cm="1">
        <f t="array" aca="1" ref="DC48" ca="1">_xlfn.IFNA(OFFSET($I$49,MATCH(CY48,$I$50:$I$63,0),MATCH(CZ48,TRANSPOSE($J$49:$W$49),0)),0)</f>
        <v>4.269746893695351E-2</v>
      </c>
      <c r="DD48" s="899">
        <f ca="1">DD47</f>
        <v>0.61010000000000009</v>
      </c>
      <c r="DE48" s="899" cm="1">
        <f t="array" aca="1" ref="DE48" ca="1">_xlfn.IFNA(OFFSET($AO$49,MATCH($DA48,$AO$50:$AO$63,0),MATCH($DB48,TRANSPOSE($AP$49:$BC$49),0)),0)</f>
        <v>0.56859999999999999</v>
      </c>
      <c r="DF48" s="881">
        <f t="shared" ca="1" si="8"/>
        <v>1.4811874088990335E-2</v>
      </c>
      <c r="DG48" s="910">
        <f t="shared" ca="1" si="9"/>
        <v>1</v>
      </c>
      <c r="DH48" s="881">
        <f t="shared" ca="1" si="10"/>
        <v>1.4811874088990335E-2</v>
      </c>
      <c r="DI48" s="1461">
        <f t="shared" ca="1" si="21"/>
        <v>2.4883948469503765</v>
      </c>
      <c r="DJ48" s="909">
        <f>_xlfn.IFNA(INDEX('Resource use and costs'!$CQ$11:$CQ$53,MATCH($CZ48,'Resource use and costs'!$BA$11:$BA$53,0)),0)*_xlfn.IFNA(INDEX(DY$10:DY$23,MATCH($CZ48,$DX$10:$DX$23,0)),0)</f>
        <v>20680.612971428574</v>
      </c>
      <c r="DK48" s="909">
        <f>IF(dd_PartSA_2_lines = "Yes",0,_xlfn.IFNA(INDEX('Resource use and costs'!$CR$11:$CR$53,MATCH(DA48,'Resource use and costs'!$BA$11:$BA$53,0)),0)*_xlfn.IFNA(INDEX(EA$10:EA$23,MATCH($DA48,$DX$10:$DX$23,0)),0))</f>
        <v>21421.066008214286</v>
      </c>
      <c r="DL48" s="909">
        <f>IF(dd_PartSA_2_lines = "Yes",0,_xlfn.IFNA(INDEX('Resource use and costs'!$CS$11:$CS$53,MATCH(DB48,'Resource use and costs'!$BA$11:$BA$53,0)),0)*_xlfn.IFNA(INDEX(EC$10:EC$23,MATCH($DB48,$DX$10:$DX$23,0)),0))</f>
        <v>2915.4763433333328</v>
      </c>
      <c r="DM48" s="909">
        <f t="shared" si="13"/>
        <v>45017.155322976199</v>
      </c>
      <c r="DN48" s="909">
        <f>SUM(_xlfn.IFNA(INDEX('Resource use and costs'!$DU$12:$DU$25,MATCH(CZ48,'Resource use and costs'!$DS$12:$DS$25,0)),0),_xlfn.IFNA(INDEX('Resource use and costs'!$DU$12:$DU$25,MATCH(DA48,'Resource use and costs'!$DS$12:$DS$25,0)),0),_xlfn.IFNA(INDEX('Resource use and costs'!$DU$12:$DU$25,MATCH(DB48,'Resource use and costs'!$DS$12:$DS$25,0)),0))</f>
        <v>591.75</v>
      </c>
      <c r="DO48" s="921">
        <f>_xlfn.IFNA(INDEX('Resource use and costs'!$DY$12:$DY$25,MATCH(CZ48,'Resource use and costs'!$DS$12:$DS$25,0)),0)*_xlfn.IFNA(INDEX(DY$10:DY$23,MATCH($CZ48,$DX$10:$DX$23,0)),0)</f>
        <v>443.44394285714293</v>
      </c>
      <c r="DP48" s="921">
        <f>IF(dd_PartSA_2_lines = "Yes",0,_xlfn.IFNA(INDEX('Resource use and costs'!$DZ$12:$DZ$25,MATCH(DA48,'Resource use and costs'!$DS$12:$DS$25,0)),0)*_xlfn.IFNA(INDEX(EA$10:EA$23,MATCH($DA48,$DX$10:$DX$23,0)),0))</f>
        <v>267.99172714285714</v>
      </c>
      <c r="DQ48" s="921">
        <f>IF(dd_PartSA_2_lines = "Yes",0,_xlfn.IFNA(INDEX('Resource use and costs'!$EA$12:$EA$25,MATCH(DB48,'Resource use and costs'!$DS$12:$DS$25,0)),0)*_xlfn.IFNA(INDEX(EC$10:EC$23,MATCH($DB48,$DX$10:$DX$23,0)),0))</f>
        <v>256.11457142857142</v>
      </c>
      <c r="DR48" s="921">
        <f t="shared" si="14"/>
        <v>1559.3002414285716</v>
      </c>
      <c r="DS48" s="1004">
        <f ca="1">SUMIFS('Safety parameters'!$DM$6:$DM$18,'Safety parameters'!$DK$6:$DK$18,CZ48,'Safety parameters'!$DL$6:$DL$18,1)+IF(dd_PartSA_2_lines = "Yes",0,SUMIFS('Safety parameters'!$DM$6:$DM$18,'Safety parameters'!$DK$6:$DK$18,DA48,'Safety parameters'!$DL$6:$DL$18,2)+SUMIFS('Safety parameters'!$DM$6:$DM$18,'Safety parameters'!$DK$6:$DK$18,DB48,'Safety parameters'!$DL$6:$DL$18,2))</f>
        <v>2375.0401096388277</v>
      </c>
      <c r="DT48" s="910">
        <f ca="1">SUMIFS('Safety parameters'!$DO$6:$DO$18,'Safety parameters'!$DK$6:$DK$18,CZ48,'Safety parameters'!$DL$6:$DL$18,1)+IF(dd_PartSA_2_lines = "Yes",0,SUMIFS('Safety parameters'!$DO$6:$DO$18,'Safety parameters'!$DK$6:$DK$18,DA48,'Safety parameters'!$DL$6:$DL$18,2)+SUMIFS('Safety parameters'!$DO$6:$DO$18,'Safety parameters'!$DK$6:$DK$18,DB48,'Safety parameters'!$DL$6:$DL$18,2))</f>
        <v>-2.0863452184438448E-2</v>
      </c>
      <c r="DX48" s="61" t="str">
        <v>tivozanib</v>
      </c>
      <c r="DY48" s="61" t="s">
        <v>773</v>
      </c>
      <c r="DZ48" s="920" cm="1">
        <f t="array" aca="1" ref="DZ48" ca="1">SUMPRODUCT(($CX$11:$CX$779=DY48)*($CY$11:$CY$779=DX48),$DH$11:$DH$779,$DM$11:$DM$779)</f>
        <v>56145.45768759949</v>
      </c>
      <c r="EA48" s="920" cm="1">
        <f t="array" aca="1" ref="EA48" ca="1">SUMPRODUCT(($CX$11:$CX$779=DY48)*($CY$11:$CY$779=DX48),$DH$11:$DH$779,$DR$11:$DR$779)</f>
        <v>5129.5419305434834</v>
      </c>
      <c r="EB48" s="920" cm="1">
        <f t="array" aca="1" ref="EB48" ca="1">SUMPRODUCT(($CX$11:$CX$779=DY48)*($CY$11:$CY$779=DX48),$DH$11:$DH$779,$DS$11:$DS$779)</f>
        <v>702.27646992982636</v>
      </c>
      <c r="EC48" s="1029" cm="1">
        <f t="array" aca="1" ref="EC48" ca="1">SUMPRODUCT(($CX$11:$CX$779=DY48)*($CY$11:$CY$779=DX48),$DH$11:$DH$779,$DT$11:$DT$779)</f>
        <v>-6.4190123904707009E-3</v>
      </c>
      <c r="ED48" s="920">
        <f t="shared" ca="1" si="18"/>
        <v>11229.091537519898</v>
      </c>
      <c r="EE48" s="920">
        <f t="shared" ca="1" si="19"/>
        <v>1025.9083861086967</v>
      </c>
      <c r="EF48" s="1238"/>
      <c r="EG48" s="1238"/>
      <c r="EH48" s="1238"/>
      <c r="EI48" s="1238"/>
      <c r="EJ48" s="1238"/>
    </row>
    <row r="49" spans="3:140" ht="15.75" x14ac:dyDescent="0.25">
      <c r="C49" s="81"/>
      <c r="G49" s="75" t="str">
        <f>"Mean"</f>
        <v>Mean</v>
      </c>
      <c r="H49" s="75" t="s">
        <v>161</v>
      </c>
      <c r="I49" s="77" t="s">
        <v>158</v>
      </c>
      <c r="J49" s="900" t="str">
        <f>J48</f>
        <v>nivolumab_monotherapy</v>
      </c>
      <c r="K49" s="900" t="str">
        <f t="shared" ref="K49:V49" si="24">K48</f>
        <v>cabozantinib_plus_nivolumab</v>
      </c>
      <c r="L49" s="900" t="str">
        <f t="shared" si="24"/>
        <v>nivolumab_plus_ipilimumab</v>
      </c>
      <c r="M49" s="900" t="str">
        <f t="shared" si="24"/>
        <v>lenvatinib_plus_pembrolizumab</v>
      </c>
      <c r="N49" s="900" t="str">
        <f t="shared" si="24"/>
        <v>avelumab_plus_axitinib</v>
      </c>
      <c r="O49" s="900" t="str">
        <f t="shared" si="24"/>
        <v>pazopanib</v>
      </c>
      <c r="P49" s="900" t="str">
        <f t="shared" si="24"/>
        <v>tivozanib</v>
      </c>
      <c r="Q49" s="900" t="str">
        <f t="shared" si="24"/>
        <v>sunitinib</v>
      </c>
      <c r="R49" s="900" t="str">
        <f t="shared" si="24"/>
        <v>cabozantinib</v>
      </c>
      <c r="S49" s="900" t="str">
        <f t="shared" si="24"/>
        <v>lenvatinib_plus_everolimus</v>
      </c>
      <c r="T49" s="900" t="str">
        <f t="shared" si="24"/>
        <v>everolimus</v>
      </c>
      <c r="U49" s="900" t="str">
        <f t="shared" si="24"/>
        <v>axitinib</v>
      </c>
      <c r="V49" s="902" t="str">
        <f t="shared" si="24"/>
        <v>sorafenib</v>
      </c>
      <c r="W49" s="901" t="s">
        <v>765</v>
      </c>
      <c r="Y49" s="77" t="s">
        <v>158</v>
      </c>
      <c r="Z49" s="900" t="str">
        <f>Z48</f>
        <v>nivolumab_monotherapy</v>
      </c>
      <c r="AA49" s="900" t="str">
        <f t="shared" ref="AA49:AL49" si="25">AA48</f>
        <v>cabozantinib_plus_nivolumab</v>
      </c>
      <c r="AB49" s="900" t="str">
        <f t="shared" si="25"/>
        <v>nivolumab_plus_ipilimumab</v>
      </c>
      <c r="AC49" s="900" t="str">
        <f t="shared" si="25"/>
        <v>lenvatinib_plus_pembrolizumab</v>
      </c>
      <c r="AD49" s="900" t="str">
        <f t="shared" si="25"/>
        <v>avelumab_plus_axitinib</v>
      </c>
      <c r="AE49" s="900" t="str">
        <f t="shared" si="25"/>
        <v>pazopanib</v>
      </c>
      <c r="AF49" s="900" t="str">
        <f t="shared" si="25"/>
        <v>tivozanib</v>
      </c>
      <c r="AG49" s="900" t="str">
        <f t="shared" si="25"/>
        <v>sunitinib</v>
      </c>
      <c r="AH49" s="900" t="str">
        <f t="shared" si="25"/>
        <v>cabozantinib</v>
      </c>
      <c r="AI49" s="900" t="str">
        <f t="shared" si="25"/>
        <v>lenvatinib_plus_everolimus</v>
      </c>
      <c r="AJ49" s="900" t="str">
        <f t="shared" si="25"/>
        <v>everolimus</v>
      </c>
      <c r="AK49" s="900" t="str">
        <f t="shared" si="25"/>
        <v>axitinib</v>
      </c>
      <c r="AL49" s="900" t="str">
        <f t="shared" si="25"/>
        <v>sorafenib</v>
      </c>
      <c r="AM49" s="900" t="s">
        <v>765</v>
      </c>
      <c r="AO49" s="77" t="s">
        <v>158</v>
      </c>
      <c r="AP49" s="900" t="str">
        <f>AP48</f>
        <v>nivolumab_monotherapy</v>
      </c>
      <c r="AQ49" s="900" t="str">
        <f t="shared" ref="AQ49:BB49" si="26">AQ48</f>
        <v>cabozantinib_plus_nivolumab</v>
      </c>
      <c r="AR49" s="900" t="str">
        <f t="shared" si="26"/>
        <v>nivolumab_plus_ipilimumab</v>
      </c>
      <c r="AS49" s="900" t="str">
        <f t="shared" si="26"/>
        <v>lenvatinib_plus_pembrolizumab</v>
      </c>
      <c r="AT49" s="900" t="str">
        <f t="shared" si="26"/>
        <v>avelumab_plus_axitinib</v>
      </c>
      <c r="AU49" s="900" t="str">
        <f t="shared" si="26"/>
        <v>pazopanib</v>
      </c>
      <c r="AV49" s="900" t="str">
        <f t="shared" si="26"/>
        <v>tivozanib</v>
      </c>
      <c r="AW49" s="900" t="str">
        <f t="shared" si="26"/>
        <v>sunitinib</v>
      </c>
      <c r="AX49" s="900" t="str">
        <f t="shared" si="26"/>
        <v>cabozantinib</v>
      </c>
      <c r="AY49" s="900" t="str">
        <f t="shared" si="26"/>
        <v>lenvatinib_plus_everolimus</v>
      </c>
      <c r="AZ49" s="900" t="str">
        <f t="shared" si="26"/>
        <v>everolimus</v>
      </c>
      <c r="BA49" s="900" t="str">
        <f t="shared" si="26"/>
        <v>axitinib</v>
      </c>
      <c r="BB49" s="900" t="str">
        <f t="shared" si="26"/>
        <v>sorafenib</v>
      </c>
      <c r="BC49" s="901" t="s">
        <v>765</v>
      </c>
      <c r="BG49" s="77"/>
      <c r="BH49" s="77"/>
      <c r="BI49" s="77"/>
      <c r="BJ49" s="76"/>
      <c r="BK49" s="76"/>
      <c r="BL49" s="76"/>
      <c r="BM49" s="76"/>
      <c r="BN49" s="76"/>
      <c r="BO49" s="76"/>
      <c r="BP49" s="76"/>
      <c r="BQ49" s="76"/>
      <c r="BR49" s="76"/>
      <c r="BS49" s="77" t="s">
        <v>158</v>
      </c>
      <c r="CK49" s="61" t="s">
        <v>31</v>
      </c>
      <c r="CL49" s="61">
        <v>1</v>
      </c>
      <c r="CM49" s="61" t="str">
        <v>sorafenib</v>
      </c>
      <c r="CN49" s="17">
        <v>12</v>
      </c>
      <c r="CO49" s="17">
        <v>0</v>
      </c>
      <c r="CP49" s="17">
        <v>111</v>
      </c>
      <c r="CQ49" s="601">
        <f t="shared" si="22"/>
        <v>0</v>
      </c>
      <c r="CR49" s="601">
        <f t="shared" si="23"/>
        <v>0</v>
      </c>
      <c r="CS49" s="631">
        <v>0</v>
      </c>
      <c r="CT49" s="631">
        <v>0</v>
      </c>
      <c r="CU49" s="1123">
        <f>MATCH(CZ49,'Resource use and costs'!$BA$11:$BA$53,0)</f>
        <v>24</v>
      </c>
      <c r="CV49" s="1223"/>
      <c r="CW49" s="1241">
        <f t="shared" si="12"/>
        <v>1</v>
      </c>
      <c r="CX49" s="899" t="s">
        <v>764</v>
      </c>
      <c r="CY49" s="899" t="s">
        <v>571</v>
      </c>
      <c r="CZ49" s="899" t="s">
        <v>319</v>
      </c>
      <c r="DA49" s="899" t="s">
        <v>765</v>
      </c>
      <c r="DB49" s="899"/>
      <c r="DC49" s="899" cm="1">
        <f t="array" aca="1" ref="DC49" ca="1">_xlfn.IFNA(OFFSET($I$49,MATCH(CY49,$I$50:$I$63,0),MATCH(CZ49,TRANSPOSE($J$49:$W$49),0)),0)</f>
        <v>4.269746893695351E-2</v>
      </c>
      <c r="DD49" s="899" cm="1">
        <f t="array" aca="1" ref="DD49" ca="1">_xlfn.IFNA(OFFSET($Y$49,MATCH($CZ49,$Y$50:$Y$63,0),MATCH($DA49,TRANSPOSE($Z$49:$AM$49),0)),0)</f>
        <v>0.34300000000000003</v>
      </c>
      <c r="DE49" s="899" cm="1">
        <f t="array" aca="1" ref="DE49" ca="1">_xlfn.IFNA(OFFSET($AO$49,MATCH($DA49,$AO$50:$AO$63,0),MATCH($DB49,TRANSPOSE($AP$49:$BC$49),0)),0)</f>
        <v>0</v>
      </c>
      <c r="DF49" s="881">
        <f t="shared" ca="1" si="8"/>
        <v>1.4645231845375055E-2</v>
      </c>
      <c r="DG49" s="910">
        <f t="shared" ca="1" si="9"/>
        <v>1</v>
      </c>
      <c r="DH49" s="881">
        <f t="shared" ca="1" si="10"/>
        <v>1.4645231845375055E-2</v>
      </c>
      <c r="DI49" s="1461">
        <f t="shared" ca="1" si="21"/>
        <v>2.4603989500230092</v>
      </c>
      <c r="DJ49" s="909">
        <f>_xlfn.IFNA(INDEX('Resource use and costs'!$CQ$11:$CQ$53,MATCH($CZ49,'Resource use and costs'!$BA$11:$BA$53,0)),0)*_xlfn.IFNA(INDEX(DY$10:DY$23,MATCH($CZ49,$DX$10:$DX$23,0)),0)</f>
        <v>20680.612971428574</v>
      </c>
      <c r="DK49" s="909">
        <f>IF(dd_PartSA_2_lines = "Yes",0,_xlfn.IFNA(INDEX('Resource use and costs'!$CR$11:$CR$53,MATCH(DA49,'Resource use and costs'!$BA$11:$BA$53,0)),0)*_xlfn.IFNA(INDEX(EA$10:EA$23,MATCH($DA49,$DX$10:$DX$23,0)),0))</f>
        <v>0</v>
      </c>
      <c r="DL49" s="909">
        <f>IF(dd_PartSA_2_lines = "Yes",0,_xlfn.IFNA(INDEX('Resource use and costs'!$CS$11:$CS$53,MATCH(DB49,'Resource use and costs'!$BA$11:$BA$53,0)),0)*_xlfn.IFNA(INDEX(EC$10:EC$23,MATCH($DB49,$DX$10:$DX$23,0)),0))</f>
        <v>0</v>
      </c>
      <c r="DM49" s="909">
        <f t="shared" si="13"/>
        <v>20680.612971428574</v>
      </c>
      <c r="DN49" s="909">
        <f>SUM(_xlfn.IFNA(INDEX('Resource use and costs'!$DU$12:$DU$25,MATCH(CZ49,'Resource use and costs'!$DS$12:$DS$25,0)),0),_xlfn.IFNA(INDEX('Resource use and costs'!$DU$12:$DU$25,MATCH(DA49,'Resource use and costs'!$DS$12:$DS$25,0)),0),_xlfn.IFNA(INDEX('Resource use and costs'!$DU$12:$DU$25,MATCH(DB49,'Resource use and costs'!$DS$12:$DS$25,0)),0))</f>
        <v>197.25</v>
      </c>
      <c r="DO49" s="921">
        <f>_xlfn.IFNA(INDEX('Resource use and costs'!$DY$12:$DY$25,MATCH(CZ49,'Resource use and costs'!$DS$12:$DS$25,0)),0)*_xlfn.IFNA(INDEX(DY$10:DY$23,MATCH($CZ49,$DX$10:$DX$23,0)),0)</f>
        <v>443.44394285714293</v>
      </c>
      <c r="DP49" s="921">
        <f>IF(dd_PartSA_2_lines = "Yes",0,_xlfn.IFNA(INDEX('Resource use and costs'!$DZ$12:$DZ$25,MATCH(DA49,'Resource use and costs'!$DS$12:$DS$25,0)),0)*_xlfn.IFNA(INDEX(EA$10:EA$23,MATCH($DA49,$DX$10:$DX$23,0)),0))</f>
        <v>0</v>
      </c>
      <c r="DQ49" s="921">
        <f>IF(dd_PartSA_2_lines = "Yes",0,_xlfn.IFNA(INDEX('Resource use and costs'!$EA$12:$EA$25,MATCH(DB49,'Resource use and costs'!$DS$12:$DS$25,0)),0)*_xlfn.IFNA(INDEX(EC$10:EC$23,MATCH($DB49,$DX$10:$DX$23,0)),0))</f>
        <v>0</v>
      </c>
      <c r="DR49" s="921">
        <f t="shared" si="14"/>
        <v>640.69394285714293</v>
      </c>
      <c r="DS49" s="1004">
        <f ca="1">SUMIFS('Safety parameters'!$DM$6:$DM$18,'Safety parameters'!$DK$6:$DK$18,CZ49,'Safety parameters'!$DL$6:$DL$18,1)+IF(dd_PartSA_2_lines = "Yes",0,SUMIFS('Safety parameters'!$DM$6:$DM$18,'Safety parameters'!$DK$6:$DK$18,DA49,'Safety parameters'!$DL$6:$DL$18,2)+SUMIFS('Safety parameters'!$DM$6:$DM$18,'Safety parameters'!$DK$6:$DK$18,DB49,'Safety parameters'!$DL$6:$DL$18,2))</f>
        <v>407.93605269805306</v>
      </c>
      <c r="DT49" s="910">
        <f ca="1">SUMIFS('Safety parameters'!$DO$6:$DO$18,'Safety parameters'!$DK$6:$DK$18,CZ49,'Safety parameters'!$DL$6:$DL$18,1)+IF(dd_PartSA_2_lines = "Yes",0,SUMIFS('Safety parameters'!$DO$6:$DO$18,'Safety parameters'!$DK$6:$DK$18,DA49,'Safety parameters'!$DL$6:$DL$18,2)+SUMIFS('Safety parameters'!$DO$6:$DO$18,'Safety parameters'!$DK$6:$DK$18,DB49,'Safety parameters'!$DL$6:$DL$18,2))</f>
        <v>-3.453954640319298E-3</v>
      </c>
      <c r="DX49" s="61" t="str">
        <v>sunitinib</v>
      </c>
      <c r="DY49" s="61" t="s">
        <v>773</v>
      </c>
      <c r="DZ49" s="920" cm="1">
        <f t="array" aca="1" ref="DZ49" ca="1">SUMPRODUCT(($CX$11:$CX$779=DY49)*($CY$11:$CY$779=DX49),$DH$11:$DH$779,$DM$11:$DM$779)</f>
        <v>53124.520052788168</v>
      </c>
      <c r="EA49" s="920" cm="1">
        <f t="array" aca="1" ref="EA49" ca="1">SUMPRODUCT(($CX$11:$CX$779=DY49)*($CY$11:$CY$779=DX49),$DH$11:$DH$779,$DR$11:$DR$779)</f>
        <v>4412.7836851617676</v>
      </c>
      <c r="EB49" s="920" cm="1">
        <f t="array" aca="1" ref="EB49" ca="1">SUMPRODUCT(($CX$11:$CX$779=DY49)*($CY$11:$CY$779=DX49),$DH$11:$DH$779,$DS$11:$DS$779)</f>
        <v>758.6544728391118</v>
      </c>
      <c r="EC49" s="1029" cm="1">
        <f t="array" aca="1" ref="EC49" ca="1">SUMPRODUCT(($CX$11:$CX$779=DY49)*($CY$11:$CY$779=DX49),$DH$11:$DH$779,$DT$11:$DT$779)</f>
        <v>-6.9006721497158804E-3</v>
      </c>
      <c r="ED49" s="920">
        <f t="shared" ca="1" si="18"/>
        <v>10624.904010557635</v>
      </c>
      <c r="EE49" s="920">
        <f t="shared" ca="1" si="19"/>
        <v>882.55673703235357</v>
      </c>
      <c r="EF49" s="1238"/>
      <c r="EG49" s="1238"/>
      <c r="EH49" s="1238"/>
      <c r="EI49" s="1238"/>
      <c r="EJ49" s="1238"/>
    </row>
    <row r="50" spans="3:140" ht="15.75" thickBot="1" x14ac:dyDescent="0.25">
      <c r="D50" s="82">
        <v>1</v>
      </c>
      <c r="E50" s="58" t="str" cm="1">
        <f t="array" ref="E50:E63">List_comparators</f>
        <v>nivolumab_monotherapy</v>
      </c>
      <c r="G50" s="664"/>
      <c r="H50" s="664"/>
      <c r="I50" s="740" t="str" cm="1">
        <f t="array" ref="I50:I63">List_comparators</f>
        <v>nivolumab_monotherapy</v>
      </c>
      <c r="J50" s="911"/>
      <c r="K50" s="912"/>
      <c r="L50" s="912"/>
      <c r="M50" s="912"/>
      <c r="N50" s="912"/>
      <c r="O50" s="1046"/>
      <c r="P50" s="911"/>
      <c r="Q50" s="911"/>
      <c r="R50" s="911"/>
      <c r="S50" s="911"/>
      <c r="T50" s="1046"/>
      <c r="U50" s="1046"/>
      <c r="V50" s="911"/>
      <c r="W50" s="1046">
        <f>IF(X50&lt;&gt;0,CHOOSE(i_sub_txt_prop_num,0.381456,0.381456),1)</f>
        <v>1</v>
      </c>
      <c r="X50" s="903">
        <f>SUM(J50:V50)</f>
        <v>0</v>
      </c>
      <c r="Y50" s="925" t="str" cm="1">
        <f t="array" ref="Y50:Y63">List_comparators</f>
        <v>nivolumab_monotherapy</v>
      </c>
      <c r="Z50" s="599">
        <f>CHOOSE(i_sub_txt_prop_num,0,0)</f>
        <v>0</v>
      </c>
      <c r="AA50" s="745"/>
      <c r="AB50" s="745"/>
      <c r="AC50" s="745"/>
      <c r="AD50" s="745"/>
      <c r="AE50" s="599">
        <f>CHOOSE(i_sub_txt_prop_num,0.07807,0)</f>
        <v>0</v>
      </c>
      <c r="AF50" s="599">
        <f>CHOOSE(i_sub_txt_prop_num,0,0)</f>
        <v>0</v>
      </c>
      <c r="AG50" s="1020">
        <f>CHOOSE(i_sub_txt_prop_num,0,0.0262)</f>
        <v>2.6200000000000001E-2</v>
      </c>
      <c r="AH50" s="1020">
        <f>CHOOSE(i_sub_txt_prop_num,0.09023,0.5173)</f>
        <v>0.51729999999999998</v>
      </c>
      <c r="AI50" s="1020">
        <f>CHOOSE(i_sub_txt_prop_num,0,0.0524)</f>
        <v>5.2400000000000002E-2</v>
      </c>
      <c r="AJ50" s="1020">
        <f>CHOOSE(i_sub_txt_prop_num,0.22333,0.0065)</f>
        <v>6.4999999999999997E-3</v>
      </c>
      <c r="AK50" s="1020">
        <f>CHOOSE(i_sub_txt_prop_num,0.21373,0.0524)</f>
        <v>5.2400000000000002E-2</v>
      </c>
      <c r="AL50" s="78"/>
      <c r="AM50" s="1020">
        <f>IF(AN50&lt;&gt;0,CHOOSE(i_sub_txt_prop_num,0.39464,0.3453),1)</f>
        <v>0.3453</v>
      </c>
      <c r="AN50" s="903">
        <f>SUM(Z50:AL50)</f>
        <v>0.65479999999999994</v>
      </c>
      <c r="AO50" s="925" t="str" cm="1">
        <f t="array" ref="AO50:AO63">List_comparators</f>
        <v>nivolumab_monotherapy</v>
      </c>
      <c r="AP50" s="599">
        <f>CHOOSE(i_sub_txt_prop_num,0,0)</f>
        <v>0</v>
      </c>
      <c r="AQ50" s="877"/>
      <c r="AR50" s="877"/>
      <c r="AS50" s="877"/>
      <c r="AT50" s="877"/>
      <c r="AU50" s="599">
        <f>CHOOSE(i_sub_txt_prop_num,0.07807,0)</f>
        <v>0</v>
      </c>
      <c r="AV50" s="599">
        <f>CHOOSE(i_sub_txt_prop_num,0,0)</f>
        <v>0</v>
      </c>
      <c r="AW50" s="599">
        <f>CHOOSE(i_sub_txt_prop_num,0,0)</f>
        <v>0</v>
      </c>
      <c r="AX50" s="599">
        <f>CHOOSE(i_sub_txt_prop_num,0.09023,0)</f>
        <v>0</v>
      </c>
      <c r="AY50" s="599">
        <f>CHOOSE(i_sub_txt_prop_num,0,0)</f>
        <v>0</v>
      </c>
      <c r="AZ50" s="599">
        <f>CHOOSE(i_sub_txt_prop_num,0.22333,0)</f>
        <v>0</v>
      </c>
      <c r="BA50" s="1020">
        <f>CHOOSE(i_sub_txt_prop_num,0.21373,0.5686)</f>
        <v>0.56859999999999999</v>
      </c>
      <c r="BB50" s="78"/>
      <c r="BC50" s="1020">
        <f>IF(BD50&lt;&gt;0,CHOOSE(i_sub_txt_prop_num,0.39464,0.4314),1)</f>
        <v>0.43140000000000001</v>
      </c>
      <c r="BD50" s="926">
        <f>SUM(AP50:BB50)</f>
        <v>0.56859999999999999</v>
      </c>
      <c r="BE50" s="4" t="s">
        <v>780</v>
      </c>
      <c r="BF50" s="604"/>
      <c r="BG50" s="604"/>
      <c r="BH50" s="604"/>
      <c r="BI50" s="604"/>
      <c r="BJ50" s="604"/>
      <c r="BK50" s="604"/>
      <c r="BL50" s="604" t="s">
        <v>781</v>
      </c>
      <c r="BM50" s="604"/>
      <c r="BN50" s="604"/>
      <c r="BO50" s="604"/>
      <c r="BP50" s="604"/>
      <c r="BQ50" s="604"/>
      <c r="BR50" s="604"/>
      <c r="BS50" s="78"/>
      <c r="BU50" s="880">
        <f>ROUND(SUM(J50:W50),2)</f>
        <v>1</v>
      </c>
      <c r="BV50" s="880">
        <f>ROUND(SUM(Z50:AM50),2)</f>
        <v>1</v>
      </c>
      <c r="BW50" s="880">
        <f>ROUND(SUM(AP50:BC50),2)</f>
        <v>1</v>
      </c>
      <c r="CK50" s="506" t="s">
        <v>31</v>
      </c>
      <c r="CL50" s="506">
        <v>1</v>
      </c>
      <c r="CM50" s="506" t="str">
        <v>placebo_BSC</v>
      </c>
      <c r="CN50" s="19">
        <v>999</v>
      </c>
      <c r="CO50" s="19">
        <v>0</v>
      </c>
      <c r="CP50" s="19">
        <v>111</v>
      </c>
      <c r="CQ50" s="602">
        <f t="shared" si="22"/>
        <v>0</v>
      </c>
      <c r="CR50" s="602">
        <f t="shared" si="23"/>
        <v>0</v>
      </c>
      <c r="CS50" s="666">
        <v>0</v>
      </c>
      <c r="CT50" s="666">
        <v>0</v>
      </c>
      <c r="CU50" s="1123">
        <f>MATCH(CZ50,'Resource use and costs'!$BA$11:$BA$53,0)</f>
        <v>24</v>
      </c>
      <c r="CV50" s="1223"/>
      <c r="CW50" s="1241">
        <f t="shared" si="12"/>
        <v>1</v>
      </c>
      <c r="CX50" s="899" t="s">
        <v>764</v>
      </c>
      <c r="CY50" s="899" t="s">
        <v>571</v>
      </c>
      <c r="CZ50" s="899" t="s">
        <v>319</v>
      </c>
      <c r="DA50" s="899" t="s">
        <v>119</v>
      </c>
      <c r="DB50" s="899" t="s">
        <v>327</v>
      </c>
      <c r="DC50" s="899" cm="1">
        <f t="array" aca="1" ref="DC50" ca="1">_xlfn.IFNA(OFFSET($I$49,MATCH(CY50,$I$50:$I$63,0),MATCH(CZ50,TRANSPOSE($J$49:$W$49),0)),0)</f>
        <v>4.269746893695351E-2</v>
      </c>
      <c r="DD50" s="899" cm="1">
        <f t="array" aca="1" ref="DD50" ca="1">_xlfn.IFNA(OFFSET($Y$49,MATCH($CZ50,$Y$50:$Y$63,0),MATCH($DA50,TRANSPOSE($Z$49:$AM$49),0)),0)</f>
        <v>4.6899999999999997E-2</v>
      </c>
      <c r="DE50" s="899" cm="1">
        <f t="array" aca="1" ref="DE50" ca="1">_xlfn.IFNA(OFFSET($AO$49,MATCH($DA50,$AO$50:$AO$63,0),MATCH($DB50,TRANSPOSE($AP$49:$BC$49),0)),0)</f>
        <v>0</v>
      </c>
      <c r="DF50" s="881">
        <f t="shared" ca="1" si="8"/>
        <v>0</v>
      </c>
      <c r="DG50" s="910">
        <f t="shared" ca="1" si="9"/>
        <v>1</v>
      </c>
      <c r="DH50" s="881">
        <f t="shared" ca="1" si="10"/>
        <v>0</v>
      </c>
      <c r="DI50" s="1461">
        <f t="shared" ca="1" si="21"/>
        <v>0</v>
      </c>
      <c r="DJ50" s="909">
        <f>_xlfn.IFNA(INDEX('Resource use and costs'!$CQ$11:$CQ$53,MATCH($CZ50,'Resource use and costs'!$BA$11:$BA$53,0)),0)*_xlfn.IFNA(INDEX(DY$10:DY$23,MATCH($CZ50,$DX$10:$DX$23,0)),0)</f>
        <v>20680.612971428574</v>
      </c>
      <c r="DK50" s="909">
        <f>IF(dd_PartSA_2_lines = "Yes",0,_xlfn.IFNA(INDEX('Resource use and costs'!$CR$11:$CR$53,MATCH(DA50,'Resource use and costs'!$BA$11:$BA$53,0)),0)*_xlfn.IFNA(INDEX(EA$10:EA$23,MATCH($DA50,$DX$10:$DX$23,0)),0))</f>
        <v>848.17532499999982</v>
      </c>
      <c r="DL50" s="909">
        <f>IF(dd_PartSA_2_lines = "Yes",0,_xlfn.IFNA(INDEX('Resource use and costs'!$CS$11:$CS$53,MATCH(DB50,'Resource use and costs'!$BA$11:$BA$53,0)),0)*_xlfn.IFNA(INDEX(EC$10:EC$23,MATCH($DB50,$DX$10:$DX$23,0)),0))</f>
        <v>18438.751749999999</v>
      </c>
      <c r="DM50" s="909">
        <f t="shared" si="13"/>
        <v>39967.540046428578</v>
      </c>
      <c r="DN50" s="909">
        <f>SUM(_xlfn.IFNA(INDEX('Resource use and costs'!$DU$12:$DU$25,MATCH(CZ50,'Resource use and costs'!$DS$12:$DS$25,0)),0),_xlfn.IFNA(INDEX('Resource use and costs'!$DU$12:$DU$25,MATCH(DA50,'Resource use and costs'!$DS$12:$DS$25,0)),0),_xlfn.IFNA(INDEX('Resource use and costs'!$DU$12:$DU$25,MATCH(DB50,'Resource use and costs'!$DS$12:$DS$25,0)),0))</f>
        <v>591.75</v>
      </c>
      <c r="DO50" s="921">
        <f>_xlfn.IFNA(INDEX('Resource use and costs'!$DY$12:$DY$25,MATCH(CZ50,'Resource use and costs'!$DS$12:$DS$25,0)),0)*_xlfn.IFNA(INDEX(DY$10:DY$23,MATCH($CZ50,$DX$10:$DX$23,0)),0)</f>
        <v>443.44394285714293</v>
      </c>
      <c r="DP50" s="921">
        <f>IF(dd_PartSA_2_lines = "Yes",0,_xlfn.IFNA(INDEX('Resource use and costs'!$DZ$12:$DZ$25,MATCH(DA50,'Resource use and costs'!$DS$12:$DS$25,0)),0)*_xlfn.IFNA(INDEX(EA$10:EA$23,MATCH($DA50,$DX$10:$DX$23,0)),0))</f>
        <v>74.50928571428571</v>
      </c>
      <c r="DQ50" s="921">
        <f>IF(dd_PartSA_2_lines = "Yes",0,_xlfn.IFNA(INDEX('Resource use and costs'!$EA$12:$EA$25,MATCH(DB50,'Resource use and costs'!$DS$12:$DS$25,0)),0)*_xlfn.IFNA(INDEX(EC$10:EC$23,MATCH($DB50,$DX$10:$DX$23,0)),0))</f>
        <v>230.68099999999998</v>
      </c>
      <c r="DR50" s="921">
        <f t="shared" si="14"/>
        <v>1340.3842285714286</v>
      </c>
      <c r="DS50" s="1004">
        <f ca="1">SUMIFS('Safety parameters'!$DM$6:$DM$18,'Safety parameters'!$DK$6:$DK$18,CZ50,'Safety parameters'!$DL$6:$DL$18,1)+IF(dd_PartSA_2_lines = "Yes",0,SUMIFS('Safety parameters'!$DM$6:$DM$18,'Safety parameters'!$DK$6:$DK$18,DA50,'Safety parameters'!$DL$6:$DL$18,2)+SUMIFS('Safety parameters'!$DM$6:$DM$18,'Safety parameters'!$DK$6:$DK$18,DB50,'Safety parameters'!$DL$6:$DL$18,2))</f>
        <v>2375.0401096388277</v>
      </c>
      <c r="DT50" s="910">
        <f ca="1">SUMIFS('Safety parameters'!$DO$6:$DO$18,'Safety parameters'!$DK$6:$DK$18,CZ50,'Safety parameters'!$DL$6:$DL$18,1)+IF(dd_PartSA_2_lines = "Yes",0,SUMIFS('Safety parameters'!$DO$6:$DO$18,'Safety parameters'!$DK$6:$DK$18,DA50,'Safety parameters'!$DL$6:$DL$18,2)+SUMIFS('Safety parameters'!$DO$6:$DO$18,'Safety parameters'!$DK$6:$DK$18,DB50,'Safety parameters'!$DL$6:$DL$18,2))</f>
        <v>-2.0863452184438448E-2</v>
      </c>
      <c r="DX50" s="61" t="str">
        <v>cabozantinib</v>
      </c>
      <c r="DY50" s="61" t="s">
        <v>773</v>
      </c>
      <c r="DZ50" s="920" cm="1">
        <f t="array" aca="1" ref="DZ50" ca="1">SUMPRODUCT(($CX$11:$CX$779=DY50)*($CY$11:$CY$779=DX50),$DH$11:$DH$779,$DM$11:$DM$779)</f>
        <v>50797.532217307962</v>
      </c>
      <c r="EA50" s="920" cm="1">
        <f t="array" aca="1" ref="EA50" ca="1">SUMPRODUCT(($CX$11:$CX$779=DY50)*($CY$11:$CY$779=DX50),$DH$11:$DH$779,$DR$11:$DR$779)</f>
        <v>5888.8635141016002</v>
      </c>
      <c r="EB50" s="920" cm="1">
        <f t="array" aca="1" ref="EB50" ca="1">SUMPRODUCT(($CX$11:$CX$779=DY50)*($CY$11:$CY$779=DX50),$DH$11:$DH$779,$DS$11:$DS$779)</f>
        <v>757.44728156704537</v>
      </c>
      <c r="EC50" s="1029" cm="1">
        <f t="array" aca="1" ref="EC50" ca="1">SUMPRODUCT(($CX$11:$CX$779=DY50)*($CY$11:$CY$779=DX50),$DH$11:$DH$779,$DT$11:$DT$779)</f>
        <v>-7.2146617637174719E-3</v>
      </c>
      <c r="ED50" s="920">
        <f t="shared" ca="1" si="18"/>
        <v>10159.506443461592</v>
      </c>
      <c r="EE50" s="920">
        <f t="shared" ca="1" si="19"/>
        <v>1177.7727028203201</v>
      </c>
      <c r="EF50" s="1238"/>
      <c r="EG50" s="1238"/>
      <c r="EH50" s="1238"/>
      <c r="EI50" s="1238"/>
      <c r="EJ50" s="1238"/>
    </row>
    <row r="51" spans="3:140" ht="15" x14ac:dyDescent="0.2">
      <c r="D51" s="82">
        <v>2</v>
      </c>
      <c r="E51" s="4" t="str">
        <v>cabozantinib_plus_nivolumab</v>
      </c>
      <c r="G51" s="664"/>
      <c r="H51" s="664"/>
      <c r="I51" s="740" t="str">
        <v>cabozantinib_plus_nivolumab</v>
      </c>
      <c r="J51" s="1047">
        <v>0</v>
      </c>
      <c r="K51" s="918"/>
      <c r="L51" s="918"/>
      <c r="M51" s="918"/>
      <c r="N51" s="918"/>
      <c r="O51" s="1047">
        <f t="shared" ref="O51:U54" si="27">O126/SUM($O126:$V126)*(1-$W126)</f>
        <v>0</v>
      </c>
      <c r="P51" s="1047">
        <f t="shared" si="27"/>
        <v>4.269746893695351E-2</v>
      </c>
      <c r="Q51" s="1047">
        <f t="shared" si="27"/>
        <v>3.1975660070562968E-2</v>
      </c>
      <c r="R51" s="1047">
        <f t="shared" si="27"/>
        <v>0</v>
      </c>
      <c r="S51" s="1047">
        <f t="shared" si="27"/>
        <v>0.54387087099248355</v>
      </c>
      <c r="T51" s="1047">
        <f t="shared" si="27"/>
        <v>0</v>
      </c>
      <c r="U51" s="1047">
        <f t="shared" si="27"/>
        <v>0</v>
      </c>
      <c r="V51" s="1046"/>
      <c r="W51" s="1047">
        <f>IF(X51&lt;&gt;0,CHOOSE(i_sub_txt_prop_num,1-SUM(J51:U51),0.381456),1)</f>
        <v>0.38145600000000002</v>
      </c>
      <c r="X51" s="903">
        <f t="shared" ref="X51:X63" si="28">SUM(J51:V51)</f>
        <v>0.61854399999999998</v>
      </c>
      <c r="Y51" s="925" t="str">
        <v>cabozantinib_plus_nivolumab</v>
      </c>
      <c r="Z51" s="911"/>
      <c r="AA51" s="911"/>
      <c r="AB51" s="911"/>
      <c r="AC51" s="911"/>
      <c r="AD51" s="911"/>
      <c r="AE51" s="911"/>
      <c r="AF51" s="911"/>
      <c r="AG51" s="911"/>
      <c r="AH51" s="911"/>
      <c r="AI51" s="911"/>
      <c r="AJ51" s="911"/>
      <c r="AK51" s="911"/>
      <c r="AL51" s="78"/>
      <c r="AM51" s="1046">
        <f t="shared" ref="AM51:AM63" si="29">IF(AN51&lt;&gt;0,CHOOSE(i_sub_txt_prop_num,0.381456,0.381456),1)</f>
        <v>1</v>
      </c>
      <c r="AN51" s="903">
        <f t="shared" ref="AN51:AN63" si="30">SUM(Z51:AL51)</f>
        <v>0</v>
      </c>
      <c r="AO51" s="925" t="str">
        <v>cabozantinib_plus_nivolumab</v>
      </c>
      <c r="AP51" s="78"/>
      <c r="AQ51" s="877"/>
      <c r="AR51" s="877"/>
      <c r="AS51" s="877"/>
      <c r="AT51" s="877"/>
      <c r="AU51" s="78"/>
      <c r="AV51" s="78"/>
      <c r="AW51" s="78"/>
      <c r="AX51" s="78"/>
      <c r="AY51" s="78"/>
      <c r="AZ51" s="78"/>
      <c r="BA51" s="78"/>
      <c r="BB51" s="78"/>
      <c r="BC51" s="1046">
        <f t="shared" ref="BC51:BC63" si="31">IF(BD51&lt;&gt;0,CHOOSE(i_sub_txt_prop_num,0.381456,0.381456),1)</f>
        <v>1</v>
      </c>
      <c r="BD51" s="926">
        <f t="shared" ref="BD51:BD63" si="32">SUM(AP51:BB51)</f>
        <v>0</v>
      </c>
      <c r="BE51" s="4" t="s">
        <v>782</v>
      </c>
      <c r="BF51" s="604"/>
      <c r="BG51" s="604"/>
      <c r="BH51" s="604"/>
      <c r="BI51" s="604"/>
      <c r="BJ51" s="604"/>
      <c r="BK51" s="604"/>
      <c r="BL51" s="604"/>
      <c r="BM51" s="604"/>
      <c r="BN51" s="604"/>
      <c r="BO51" s="604"/>
      <c r="BP51" s="604"/>
      <c r="BQ51" s="604"/>
      <c r="BR51" s="604"/>
      <c r="BS51" s="78"/>
      <c r="BU51" s="880">
        <f t="shared" ref="BU51:BU63" si="33">ROUND(SUM(J51:W51),2)</f>
        <v>1</v>
      </c>
      <c r="BV51" s="880">
        <f t="shared" ref="BV51:BV63" si="34">ROUND(SUM(Z51:AM51),2)</f>
        <v>1</v>
      </c>
      <c r="BW51" s="880">
        <f t="shared" ref="BW51:BW63" si="35">ROUND(SUM(AP51:BC51),2)</f>
        <v>1</v>
      </c>
      <c r="CK51" s="505" t="s">
        <v>31</v>
      </c>
      <c r="CL51" s="505">
        <v>2</v>
      </c>
      <c r="CM51" s="61" t="str" cm="1">
        <f t="array" ref="CM51:CM64">List_comparators</f>
        <v>nivolumab_monotherapy</v>
      </c>
      <c r="CN51" s="17">
        <v>0</v>
      </c>
      <c r="CO51" s="61" t="str" cm="1">
        <f t="array" ref="CO51">INDEX(List_comparators,CP51+1)</f>
        <v>nivolumab_monotherapy</v>
      </c>
      <c r="CP51" s="17">
        <v>0</v>
      </c>
      <c r="CQ51" s="603">
        <f t="shared" ref="CQ51:CQ82" ca="1" si="36">OFFSET($J$50,IF(CN51=999,13,CN51),CP51)</f>
        <v>0</v>
      </c>
      <c r="CR51" s="603">
        <f t="shared" ref="CR51:CR82" ca="1" si="37">OFFSET($J$65,IF(CN51=999,13,CN51),CP51)</f>
        <v>0</v>
      </c>
      <c r="CS51" s="669">
        <f t="shared" ref="CS51:CS63" ca="1" si="38">OFFSET($J$81,IF(CN51=999,13,CN51),CP51)</f>
        <v>46.008571428571429</v>
      </c>
      <c r="CT51" s="669">
        <f t="shared" ref="CT51:CT82" ca="1" si="39">OFFSET($J$97,IF(CN51=999,13,CN51),CP51)</f>
        <v>3.9314285714285711</v>
      </c>
      <c r="CU51" s="1123">
        <f>MATCH(CZ51,'Resource use and costs'!$BA$11:$BA$53,0)</f>
        <v>24</v>
      </c>
      <c r="CV51" s="1223"/>
      <c r="CW51" s="1241">
        <f t="shared" si="12"/>
        <v>1</v>
      </c>
      <c r="CX51" s="899" t="s">
        <v>764</v>
      </c>
      <c r="CY51" s="899" t="s">
        <v>571</v>
      </c>
      <c r="CZ51" s="899" t="s">
        <v>319</v>
      </c>
      <c r="DA51" s="899" t="s">
        <v>119</v>
      </c>
      <c r="DB51" s="899" t="s">
        <v>765</v>
      </c>
      <c r="DC51" s="899" cm="1">
        <f t="array" aca="1" ref="DC51" ca="1">_xlfn.IFNA(OFFSET($I$49,MATCH(CY51,$I$50:$I$63,0),MATCH(CZ51,TRANSPOSE($J$49:$W$49),0)),0)</f>
        <v>4.269746893695351E-2</v>
      </c>
      <c r="DD51" s="899" cm="1">
        <f t="array" aca="1" ref="DD51" ca="1">_xlfn.IFNA(OFFSET($Y$49,MATCH($CZ51,$Y$50:$Y$63,0),MATCH($DA51,TRANSPOSE($Z$49:$AM$49),0)),0)</f>
        <v>4.6899999999999997E-2</v>
      </c>
      <c r="DE51" s="899" cm="1">
        <f t="array" aca="1" ref="DE51" ca="1">_xlfn.IFNA(OFFSET($AO$49,MATCH($DA51,$AO$50:$AO$63,0),MATCH($DB51,TRANSPOSE($AP$49:$BC$49),0)),0)</f>
        <v>1</v>
      </c>
      <c r="DF51" s="881">
        <f t="shared" ca="1" si="8"/>
        <v>2.0025112931431194E-3</v>
      </c>
      <c r="DG51" s="910">
        <f t="shared" ca="1" si="9"/>
        <v>1</v>
      </c>
      <c r="DH51" s="881">
        <f t="shared" ca="1" si="10"/>
        <v>2.0025112931431194E-3</v>
      </c>
      <c r="DI51" s="1461">
        <f t="shared" ca="1" si="21"/>
        <v>0.33642189724804406</v>
      </c>
      <c r="DJ51" s="909">
        <f>_xlfn.IFNA(INDEX('Resource use and costs'!$CQ$11:$CQ$53,MATCH($CZ51,'Resource use and costs'!$BA$11:$BA$53,0)),0)*_xlfn.IFNA(INDEX(DY$10:DY$23,MATCH($CZ51,$DX$10:$DX$23,0)),0)</f>
        <v>20680.612971428574</v>
      </c>
      <c r="DK51" s="909">
        <f>IF(dd_PartSA_2_lines = "Yes",0,_xlfn.IFNA(INDEX('Resource use and costs'!$CR$11:$CR$53,MATCH(DA51,'Resource use and costs'!$BA$11:$BA$53,0)),0)*_xlfn.IFNA(INDEX(EA$10:EA$23,MATCH($DA51,$DX$10:$DX$23,0)),0))</f>
        <v>848.17532499999982</v>
      </c>
      <c r="DL51" s="909">
        <f>IF(dd_PartSA_2_lines = "Yes",0,_xlfn.IFNA(INDEX('Resource use and costs'!$CS$11:$CS$53,MATCH(DB51,'Resource use and costs'!$BA$11:$BA$53,0)),0)*_xlfn.IFNA(INDEX(EC$10:EC$23,MATCH($DB51,$DX$10:$DX$23,0)),0))</f>
        <v>0</v>
      </c>
      <c r="DM51" s="909">
        <f t="shared" si="13"/>
        <v>21528.788296428575</v>
      </c>
      <c r="DN51" s="909">
        <f>SUM(_xlfn.IFNA(INDEX('Resource use and costs'!$DU$12:$DU$25,MATCH(CZ51,'Resource use and costs'!$DS$12:$DS$25,0)),0),_xlfn.IFNA(INDEX('Resource use and costs'!$DU$12:$DU$25,MATCH(DA51,'Resource use and costs'!$DS$12:$DS$25,0)),0),_xlfn.IFNA(INDEX('Resource use and costs'!$DU$12:$DU$25,MATCH(DB51,'Resource use and costs'!$DS$12:$DS$25,0)),0))</f>
        <v>394.5</v>
      </c>
      <c r="DO51" s="921">
        <f>_xlfn.IFNA(INDEX('Resource use and costs'!$DY$12:$DY$25,MATCH(CZ51,'Resource use and costs'!$DS$12:$DS$25,0)),0)*_xlfn.IFNA(INDEX(DY$10:DY$23,MATCH($CZ51,$DX$10:$DX$23,0)),0)</f>
        <v>443.44394285714293</v>
      </c>
      <c r="DP51" s="921">
        <f>IF(dd_PartSA_2_lines = "Yes",0,_xlfn.IFNA(INDEX('Resource use and costs'!$DZ$12:$DZ$25,MATCH(DA51,'Resource use and costs'!$DS$12:$DS$25,0)),0)*_xlfn.IFNA(INDEX(EA$10:EA$23,MATCH($DA51,$DX$10:$DX$23,0)),0))</f>
        <v>74.50928571428571</v>
      </c>
      <c r="DQ51" s="921">
        <f>IF(dd_PartSA_2_lines = "Yes",0,_xlfn.IFNA(INDEX('Resource use and costs'!$EA$12:$EA$25,MATCH(DB51,'Resource use and costs'!$DS$12:$DS$25,0)),0)*_xlfn.IFNA(INDEX(EC$10:EC$23,MATCH($DB51,$DX$10:$DX$23,0)),0))</f>
        <v>0</v>
      </c>
      <c r="DR51" s="921">
        <f t="shared" si="14"/>
        <v>912.45322857142867</v>
      </c>
      <c r="DS51" s="1004">
        <f ca="1">SUMIFS('Safety parameters'!$DM$6:$DM$18,'Safety parameters'!$DK$6:$DK$18,CZ51,'Safety parameters'!$DL$6:$DL$18,1)+IF(dd_PartSA_2_lines = "Yes",0,SUMIFS('Safety parameters'!$DM$6:$DM$18,'Safety parameters'!$DK$6:$DK$18,DA51,'Safety parameters'!$DL$6:$DL$18,2)+SUMIFS('Safety parameters'!$DM$6:$DM$18,'Safety parameters'!$DK$6:$DK$18,DB51,'Safety parameters'!$DL$6:$DL$18,2))</f>
        <v>740.81143607336799</v>
      </c>
      <c r="DT51" s="910">
        <f ca="1">SUMIFS('Safety parameters'!$DO$6:$DO$18,'Safety parameters'!$DK$6:$DK$18,CZ51,'Safety parameters'!$DL$6:$DL$18,1)+IF(dd_PartSA_2_lines = "Yes",0,SUMIFS('Safety parameters'!$DO$6:$DO$18,'Safety parameters'!$DK$6:$DK$18,DA51,'Safety parameters'!$DL$6:$DL$18,2)+SUMIFS('Safety parameters'!$DO$6:$DO$18,'Safety parameters'!$DK$6:$DK$18,DB51,'Safety parameters'!$DL$6:$DL$18,2))</f>
        <v>-6.1215281769570178E-3</v>
      </c>
      <c r="DX51" s="61" t="str">
        <v>lenvatinib_plus_everolimus</v>
      </c>
      <c r="DY51" s="61" t="s">
        <v>773</v>
      </c>
      <c r="DZ51" s="920" cm="1">
        <f t="array" aca="1" ref="DZ51" ca="1">SUMPRODUCT(($CX$11:$CX$779=DY51)*($CY$11:$CY$779=DX51),$DH$11:$DH$779,$DM$11:$DM$779)</f>
        <v>0</v>
      </c>
      <c r="EA51" s="920" cm="1">
        <f t="array" aca="1" ref="EA51" ca="1">SUMPRODUCT(($CX$11:$CX$779=DY51)*($CY$11:$CY$779=DX51),$DH$11:$DH$779,$DR$11:$DR$779)</f>
        <v>0</v>
      </c>
      <c r="EB51" s="920" cm="1">
        <f t="array" aca="1" ref="EB51" ca="1">SUMPRODUCT(($CX$11:$CX$779=DY51)*($CY$11:$CY$779=DX51),$DH$11:$DH$779,$DS$11:$DS$779)</f>
        <v>0</v>
      </c>
      <c r="EC51" s="1029" cm="1">
        <f t="array" aca="1" ref="EC51" ca="1">SUMPRODUCT(($CX$11:$CX$779=DY51)*($CY$11:$CY$779=DX51),$DH$11:$DH$779,$DT$11:$DT$779)</f>
        <v>0</v>
      </c>
      <c r="ED51" s="920">
        <f t="shared" ca="1" si="18"/>
        <v>0</v>
      </c>
      <c r="EE51" s="920">
        <f t="shared" ca="1" si="19"/>
        <v>0</v>
      </c>
      <c r="EF51" s="1238"/>
      <c r="EG51" s="1238"/>
      <c r="EH51" s="1238"/>
      <c r="EI51" s="1238"/>
      <c r="EJ51" s="1238"/>
    </row>
    <row r="52" spans="3:140" ht="15.75" x14ac:dyDescent="0.25">
      <c r="D52" s="82">
        <v>3</v>
      </c>
      <c r="E52" s="4" t="str">
        <v>nivolumab_plus_ipilimumab</v>
      </c>
      <c r="G52" s="664"/>
      <c r="H52" s="664"/>
      <c r="I52" s="740" t="str">
        <v>nivolumab_plus_ipilimumab</v>
      </c>
      <c r="J52" s="1046">
        <v>0</v>
      </c>
      <c r="K52" s="912"/>
      <c r="L52" s="912"/>
      <c r="M52" s="912"/>
      <c r="N52" s="912"/>
      <c r="O52" s="1020">
        <f t="shared" si="27"/>
        <v>4.6654820499111543E-2</v>
      </c>
      <c r="P52" s="1020">
        <f>P127/SUM($O127:$V127)*(1-$W127)</f>
        <v>9.3203607315270554E-2</v>
      </c>
      <c r="Q52" s="1020">
        <f t="shared" si="27"/>
        <v>7.7722689604201728E-2</v>
      </c>
      <c r="R52" s="1020">
        <f t="shared" si="27"/>
        <v>0.45152323211674239</v>
      </c>
      <c r="S52" s="1046">
        <f t="shared" si="27"/>
        <v>0</v>
      </c>
      <c r="T52" s="1046">
        <f t="shared" si="27"/>
        <v>0</v>
      </c>
      <c r="U52" s="1020">
        <f t="shared" si="27"/>
        <v>5.1956504646737851E-3</v>
      </c>
      <c r="V52" s="1046"/>
      <c r="W52" s="1020">
        <f>IF(X52&lt;&gt;0,CHOOSE(i_sub_txt_prop_num,1-SUM(J52:U52),0.3257),1)</f>
        <v>0.32569999999999999</v>
      </c>
      <c r="X52" s="903">
        <f t="shared" si="28"/>
        <v>0.6742999999999999</v>
      </c>
      <c r="Y52" s="925" t="str">
        <v>nivolumab_plus_ipilimumab</v>
      </c>
      <c r="Z52" s="911"/>
      <c r="AA52" s="911"/>
      <c r="AB52" s="911"/>
      <c r="AC52" s="911"/>
      <c r="AD52" s="911"/>
      <c r="AE52" s="911"/>
      <c r="AF52" s="911"/>
      <c r="AG52" s="911"/>
      <c r="AH52" s="911"/>
      <c r="AI52" s="911"/>
      <c r="AJ52" s="911"/>
      <c r="AK52" s="911"/>
      <c r="AL52" s="78"/>
      <c r="AM52" s="1046">
        <f t="shared" si="29"/>
        <v>1</v>
      </c>
      <c r="AN52" s="903">
        <f t="shared" si="30"/>
        <v>0</v>
      </c>
      <c r="AO52" s="925" t="str">
        <v>nivolumab_plus_ipilimumab</v>
      </c>
      <c r="AP52" s="79"/>
      <c r="AQ52" s="877"/>
      <c r="AR52" s="877"/>
      <c r="AS52" s="877"/>
      <c r="AT52" s="877"/>
      <c r="AU52" s="78"/>
      <c r="AV52" s="78"/>
      <c r="AW52" s="78"/>
      <c r="AX52" s="78"/>
      <c r="AY52" s="78"/>
      <c r="AZ52" s="78"/>
      <c r="BA52" s="78"/>
      <c r="BB52" s="78"/>
      <c r="BC52" s="1046">
        <f t="shared" si="31"/>
        <v>1</v>
      </c>
      <c r="BD52" s="926">
        <f t="shared" si="32"/>
        <v>0</v>
      </c>
      <c r="BE52" s="4" t="s">
        <v>783</v>
      </c>
      <c r="BF52" s="605"/>
      <c r="BG52" s="605"/>
      <c r="BH52" s="604"/>
      <c r="BI52" s="604"/>
      <c r="BJ52" s="604"/>
      <c r="BK52" s="604"/>
      <c r="BL52" s="604"/>
      <c r="BM52" s="604"/>
      <c r="BN52" s="604"/>
      <c r="BO52" s="604"/>
      <c r="BP52" s="604"/>
      <c r="BQ52" s="604"/>
      <c r="BR52" s="604"/>
      <c r="BS52" s="78"/>
      <c r="BU52" s="880">
        <f t="shared" si="33"/>
        <v>1</v>
      </c>
      <c r="BV52" s="880">
        <f t="shared" si="34"/>
        <v>1</v>
      </c>
      <c r="BW52" s="880">
        <f t="shared" si="35"/>
        <v>1</v>
      </c>
      <c r="CK52" s="61" t="s">
        <v>31</v>
      </c>
      <c r="CL52" s="61">
        <v>2</v>
      </c>
      <c r="CM52" s="61" t="str">
        <v>cabozantinib_plus_nivolumab</v>
      </c>
      <c r="CN52" s="17">
        <v>1</v>
      </c>
      <c r="CO52" s="61" t="str" cm="1">
        <f t="array" ref="CO52">INDEX(List_comparators,CP51+1)</f>
        <v>nivolumab_monotherapy</v>
      </c>
      <c r="CP52" s="17">
        <v>0</v>
      </c>
      <c r="CQ52" s="601">
        <f t="shared" ca="1" si="36"/>
        <v>0</v>
      </c>
      <c r="CR52" s="601">
        <f t="shared" ca="1" si="37"/>
        <v>0</v>
      </c>
      <c r="CS52" s="669">
        <f t="shared" ca="1" si="38"/>
        <v>46.008571428571429</v>
      </c>
      <c r="CT52" s="669">
        <f t="shared" ca="1" si="39"/>
        <v>3.9314285714285711</v>
      </c>
      <c r="CU52" s="1123">
        <f>MATCH(CZ52,'Resource use and costs'!$BA$11:$BA$53,0)</f>
        <v>40</v>
      </c>
      <c r="CV52" s="1223"/>
      <c r="CW52" s="1241">
        <f t="shared" si="12"/>
        <v>1</v>
      </c>
      <c r="CX52" s="899" t="s">
        <v>764</v>
      </c>
      <c r="CY52" s="899" t="s">
        <v>585</v>
      </c>
      <c r="CZ52" s="899" t="s">
        <v>327</v>
      </c>
      <c r="DA52" s="899" t="s">
        <v>765</v>
      </c>
      <c r="DB52" s="899"/>
      <c r="DC52" s="899" cm="1">
        <f t="array" aca="1" ref="DC52" ca="1">_xlfn.IFNA(OFFSET($I$49,MATCH(CY52,$I$50:$I$63,0),MATCH(CZ52,TRANSPOSE($J$49:$W$49),0)),0)</f>
        <v>1.0300000000000002E-2</v>
      </c>
      <c r="DD52" s="899" cm="1">
        <f t="array" aca="1" ref="DD52" ca="1">_xlfn.IFNA(OFFSET($Y$49,MATCH($CZ52,$Y$50:$Y$63,0),MATCH($DA52,TRANSPOSE($Z$49:$AM$49),0)),0)</f>
        <v>0.34300000000000003</v>
      </c>
      <c r="DE52" s="899" cm="1">
        <f t="array" aca="1" ref="DE52" ca="1">_xlfn.IFNA(OFFSET($AO$49,MATCH($DA52,$AO$50:$AO$63,0),MATCH($DB52,TRANSPOSE($AP$49:$BC$49),0)),0)</f>
        <v>0</v>
      </c>
      <c r="DF52" s="881">
        <f t="shared" ca="1" si="8"/>
        <v>3.5329000000000007E-3</v>
      </c>
      <c r="DG52" s="910">
        <f t="shared" ca="1" si="9"/>
        <v>1</v>
      </c>
      <c r="DH52" s="881">
        <f t="shared" ca="1" si="10"/>
        <v>3.5329000000000007E-3</v>
      </c>
      <c r="DI52" s="1460">
        <f t="shared" ref="DI52:DI88" ca="1" si="40">234*DH52</f>
        <v>0.82669860000000017</v>
      </c>
      <c r="DJ52" s="909">
        <f>_xlfn.IFNA(INDEX('Resource use and costs'!$CQ$11:$CQ$53,MATCH($CZ52,'Resource use and costs'!$BA$11:$BA$53,0)),0)*_xlfn.IFNA(INDEX(DY$10:DY$23,MATCH($CZ52,$DX$10:$DX$23,0)),0)</f>
        <v>19241.032205</v>
      </c>
      <c r="DK52" s="909">
        <f>IF(dd_PartSA_2_lines = "Yes",0,_xlfn.IFNA(INDEX('Resource use and costs'!$CR$11:$CR$53,MATCH(DA52,'Resource use and costs'!$BA$11:$BA$53,0)),0)*_xlfn.IFNA(INDEX(EA$10:EA$23,MATCH($DA52,$DX$10:$DX$23,0)),0))</f>
        <v>0</v>
      </c>
      <c r="DL52" s="909">
        <f>IF(dd_PartSA_2_lines = "Yes",0,_xlfn.IFNA(INDEX('Resource use and costs'!$CS$11:$CS$53,MATCH(DB52,'Resource use and costs'!$BA$11:$BA$53,0)),0)*_xlfn.IFNA(INDEX(EC$10:EC$23,MATCH($DB52,$DX$10:$DX$23,0)),0))</f>
        <v>0</v>
      </c>
      <c r="DM52" s="909">
        <f t="shared" si="13"/>
        <v>19241.032205</v>
      </c>
      <c r="DN52" s="909">
        <f>SUM(_xlfn.IFNA(INDEX('Resource use and costs'!$DU$12:$DU$25,MATCH(CZ52,'Resource use and costs'!$DS$12:$DS$25,0)),0),_xlfn.IFNA(INDEX('Resource use and costs'!$DU$12:$DU$25,MATCH(DA52,'Resource use and costs'!$DS$12:$DS$25,0)),0),_xlfn.IFNA(INDEX('Resource use and costs'!$DU$12:$DU$25,MATCH(DB52,'Resource use and costs'!$DS$12:$DS$25,0)),0))</f>
        <v>197.25</v>
      </c>
      <c r="DO52" s="921">
        <f>_xlfn.IFNA(INDEX('Resource use and costs'!$DY$12:$DY$25,MATCH(CZ52,'Resource use and costs'!$DS$12:$DS$25,0)),0)*_xlfn.IFNA(INDEX(DY$10:DY$23,MATCH($CZ52,$DX$10:$DX$23,0)),0)</f>
        <v>240.71806000000001</v>
      </c>
      <c r="DP52" s="921">
        <f>IF(dd_PartSA_2_lines = "Yes",0,_xlfn.IFNA(INDEX('Resource use and costs'!$DZ$12:$DZ$25,MATCH(DA52,'Resource use and costs'!$DS$12:$DS$25,0)),0)*_xlfn.IFNA(INDEX(EA$10:EA$23,MATCH($DA52,$DX$10:$DX$23,0)),0))</f>
        <v>0</v>
      </c>
      <c r="DQ52" s="921">
        <f>IF(dd_PartSA_2_lines = "Yes",0,_xlfn.IFNA(INDEX('Resource use and costs'!$EA$12:$EA$25,MATCH(DB52,'Resource use and costs'!$DS$12:$DS$25,0)),0)*_xlfn.IFNA(INDEX(EC$10:EC$23,MATCH($DB52,$DX$10:$DX$23,0)),0))</f>
        <v>0</v>
      </c>
      <c r="DR52" s="921">
        <f t="shared" si="14"/>
        <v>437.96806000000004</v>
      </c>
      <c r="DS52" s="1004">
        <f>SUMIFS('Safety parameters'!$DM$6:$DM$18,'Safety parameters'!$DK$6:$DK$18,CZ52,'Safety parameters'!$DL$6:$DL$18,1)+IF(dd_PartSA_2_lines = "Yes",0,SUMIFS('Safety parameters'!$DM$6:$DM$18,'Safety parameters'!$DK$6:$DK$18,DA52,'Safety parameters'!$DL$6:$DL$18,2)+SUMIFS('Safety parameters'!$DM$6:$DM$18,'Safety parameters'!$DK$6:$DK$18,DB52,'Safety parameters'!$DL$6:$DL$18,2))</f>
        <v>0</v>
      </c>
      <c r="DT52" s="910">
        <f>SUMIFS('Safety parameters'!$DO$6:$DO$18,'Safety parameters'!$DK$6:$DK$18,CZ52,'Safety parameters'!$DL$6:$DL$18,1)+IF(dd_PartSA_2_lines = "Yes",0,SUMIFS('Safety parameters'!$DO$6:$DO$18,'Safety parameters'!$DK$6:$DK$18,DA52,'Safety parameters'!$DL$6:$DL$18,2)+SUMIFS('Safety parameters'!$DO$6:$DO$18,'Safety parameters'!$DK$6:$DK$18,DB52,'Safety parameters'!$DL$6:$DL$18,2))</f>
        <v>0</v>
      </c>
      <c r="DX52" s="61" t="str">
        <v>everolimus</v>
      </c>
      <c r="DY52" s="61" t="s">
        <v>773</v>
      </c>
      <c r="DZ52" s="920" cm="1">
        <f t="array" aca="1" ref="DZ52" ca="1">SUMPRODUCT(($CX$11:$CX$779=DY52)*($CY$11:$CY$779=DX52),$DH$11:$DH$779,$DM$11:$DM$779)</f>
        <v>0</v>
      </c>
      <c r="EA52" s="920" cm="1">
        <f t="array" aca="1" ref="EA52" ca="1">SUMPRODUCT(($CX$11:$CX$779=DY52)*($CY$11:$CY$779=DX52),$DH$11:$DH$779,$DR$11:$DR$779)</f>
        <v>0</v>
      </c>
      <c r="EB52" s="920" cm="1">
        <f t="array" aca="1" ref="EB52" ca="1">SUMPRODUCT(($CX$11:$CX$779=DY52)*($CY$11:$CY$779=DX52),$DH$11:$DH$779,$DS$11:$DS$779)</f>
        <v>0</v>
      </c>
      <c r="EC52" s="1029" cm="1">
        <f t="array" aca="1" ref="EC52" ca="1">SUMPRODUCT(($CX$11:$CX$779=DY52)*($CY$11:$CY$779=DX52),$DH$11:$DH$779,$DT$11:$DT$779)</f>
        <v>0</v>
      </c>
      <c r="ED52" s="920">
        <f t="shared" ca="1" si="18"/>
        <v>0</v>
      </c>
      <c r="EE52" s="920">
        <f t="shared" ca="1" si="19"/>
        <v>0</v>
      </c>
      <c r="EF52" s="1238"/>
      <c r="EG52" s="1238"/>
      <c r="EH52" s="1238"/>
      <c r="EI52" s="1238"/>
      <c r="EJ52" s="1238"/>
    </row>
    <row r="53" spans="3:140" ht="15.75" x14ac:dyDescent="0.25">
      <c r="D53" s="82">
        <v>4</v>
      </c>
      <c r="E53" s="4" t="str">
        <v>lenvatinib_plus_pembrolizumab</v>
      </c>
      <c r="G53" s="664"/>
      <c r="H53" s="664"/>
      <c r="I53" s="740" t="str">
        <v>lenvatinib_plus_pembrolizumab</v>
      </c>
      <c r="J53" s="1020">
        <v>0</v>
      </c>
      <c r="K53" s="912"/>
      <c r="L53" s="912"/>
      <c r="M53" s="912"/>
      <c r="N53" s="912"/>
      <c r="O53" s="1046">
        <f t="shared" si="27"/>
        <v>0</v>
      </c>
      <c r="P53" s="1020">
        <f t="shared" si="27"/>
        <v>4.269746893695351E-2</v>
      </c>
      <c r="Q53" s="1020">
        <f t="shared" si="27"/>
        <v>3.1975660070562968E-2</v>
      </c>
      <c r="R53" s="1020">
        <f t="shared" si="27"/>
        <v>0.54387087099248355</v>
      </c>
      <c r="S53" s="1046">
        <f t="shared" si="27"/>
        <v>0</v>
      </c>
      <c r="T53" s="1046">
        <f t="shared" si="27"/>
        <v>0</v>
      </c>
      <c r="U53" s="1046">
        <f t="shared" si="27"/>
        <v>0</v>
      </c>
      <c r="V53" s="1046"/>
      <c r="W53" s="1020">
        <f>IF(X53&lt;&gt;0,CHOOSE(i_sub_txt_prop_num,1-SUM(J53:U53),0.381456),1)</f>
        <v>0.38145600000000002</v>
      </c>
      <c r="X53" s="903">
        <f t="shared" si="28"/>
        <v>0.61854399999999998</v>
      </c>
      <c r="Y53" s="925" t="str">
        <v>lenvatinib_plus_pembrolizumab</v>
      </c>
      <c r="Z53" s="78"/>
      <c r="AA53" s="745"/>
      <c r="AB53" s="745"/>
      <c r="AC53" s="745"/>
      <c r="AD53" s="745"/>
      <c r="AE53" s="78"/>
      <c r="AF53" s="78"/>
      <c r="AG53" s="78"/>
      <c r="AH53" s="78"/>
      <c r="AI53" s="78"/>
      <c r="AJ53" s="78"/>
      <c r="AK53" s="78"/>
      <c r="AL53" s="78"/>
      <c r="AM53" s="1046">
        <f t="shared" si="29"/>
        <v>1</v>
      </c>
      <c r="AN53" s="903">
        <f t="shared" si="30"/>
        <v>0</v>
      </c>
      <c r="AO53" s="925" t="str">
        <v>lenvatinib_plus_pembrolizumab</v>
      </c>
      <c r="AP53" s="79"/>
      <c r="AQ53" s="877"/>
      <c r="AR53" s="877"/>
      <c r="AS53" s="877"/>
      <c r="AT53" s="877"/>
      <c r="AU53" s="78"/>
      <c r="AV53" s="78"/>
      <c r="AW53" s="78"/>
      <c r="AX53" s="78"/>
      <c r="AY53" s="78"/>
      <c r="AZ53" s="78"/>
      <c r="BA53" s="78"/>
      <c r="BB53" s="78"/>
      <c r="BC53" s="1046">
        <f t="shared" si="31"/>
        <v>1</v>
      </c>
      <c r="BD53" s="926">
        <f t="shared" si="32"/>
        <v>0</v>
      </c>
      <c r="BE53" s="4" t="s">
        <v>784</v>
      </c>
      <c r="BF53" s="605"/>
      <c r="BG53" s="605"/>
      <c r="BH53" s="604"/>
      <c r="BI53" s="604"/>
      <c r="BJ53" s="604"/>
      <c r="BK53" s="604"/>
      <c r="BL53" s="604"/>
      <c r="BM53" s="604"/>
      <c r="BN53" s="604"/>
      <c r="BO53" s="604"/>
      <c r="BP53" s="604"/>
      <c r="BQ53" s="604"/>
      <c r="BR53" s="604"/>
      <c r="BS53" s="78"/>
      <c r="BU53" s="880">
        <f t="shared" si="33"/>
        <v>1</v>
      </c>
      <c r="BV53" s="880">
        <f t="shared" si="34"/>
        <v>1</v>
      </c>
      <c r="BW53" s="880">
        <f t="shared" si="35"/>
        <v>1</v>
      </c>
      <c r="CK53" s="61" t="s">
        <v>31</v>
      </c>
      <c r="CL53" s="61">
        <v>2</v>
      </c>
      <c r="CM53" s="61" t="str">
        <v>nivolumab_plus_ipilimumab</v>
      </c>
      <c r="CN53" s="17">
        <v>2</v>
      </c>
      <c r="CO53" s="61" t="str" cm="1">
        <f t="array" ref="CO53">INDEX(List_comparators,CP52+1)</f>
        <v>nivolumab_monotherapy</v>
      </c>
      <c r="CP53" s="17">
        <v>0</v>
      </c>
      <c r="CQ53" s="601">
        <f t="shared" ca="1" si="36"/>
        <v>0</v>
      </c>
      <c r="CR53" s="601">
        <f t="shared" ca="1" si="37"/>
        <v>0</v>
      </c>
      <c r="CS53" s="669">
        <f t="shared" ca="1" si="38"/>
        <v>46.008571428571429</v>
      </c>
      <c r="CT53" s="669">
        <f t="shared" ca="1" si="39"/>
        <v>3.9314285714285711</v>
      </c>
      <c r="CU53" s="1123">
        <f>MATCH(CZ53,'Resource use and costs'!$BA$11:$BA$53,0)</f>
        <v>40</v>
      </c>
      <c r="CV53" s="1223"/>
      <c r="CW53" s="1241">
        <f t="shared" si="12"/>
        <v>1</v>
      </c>
      <c r="CX53" s="899" t="s">
        <v>764</v>
      </c>
      <c r="CY53" s="899" t="s">
        <v>585</v>
      </c>
      <c r="CZ53" s="899" t="s">
        <v>327</v>
      </c>
      <c r="DA53" s="899" t="s">
        <v>118</v>
      </c>
      <c r="DB53" s="899" t="s">
        <v>765</v>
      </c>
      <c r="DC53" s="899" cm="1">
        <f t="array" aca="1" ref="DC53" ca="1">_xlfn.IFNA(OFFSET($I$49,MATCH(CY53,$I$50:$I$63,0),MATCH(CZ53,TRANSPOSE($J$49:$W$49),0)),0)</f>
        <v>1.0300000000000002E-2</v>
      </c>
      <c r="DD53" s="899" cm="1">
        <f t="array" aca="1" ref="DD53" ca="1">_xlfn.IFNA(OFFSET($Y$49,MATCH($CZ53,$Y$50:$Y$63,0),MATCH($DA53,TRANSPOSE($Z$49:$AM$49),0)),0)</f>
        <v>0.32850000000000001</v>
      </c>
      <c r="DE53" s="899" cm="1">
        <f t="array" aca="1" ref="DE53" ca="1">_xlfn.IFNA(OFFSET($AO$49,MATCH($DA53,$AO$50:$AO$63,0),MATCH($DB53,TRANSPOSE($AP$49:$BC$49),0)),0)</f>
        <v>0.43140000000000001</v>
      </c>
      <c r="DF53" s="881">
        <f t="shared" ca="1" si="8"/>
        <v>1.4596634700000004E-3</v>
      </c>
      <c r="DG53" s="910">
        <f t="shared" ca="1" si="9"/>
        <v>1</v>
      </c>
      <c r="DH53" s="881">
        <f t="shared" ca="1" si="10"/>
        <v>1.4596634700000004E-3</v>
      </c>
      <c r="DI53" s="1460">
        <f t="shared" ca="1" si="40"/>
        <v>0.34156125198000009</v>
      </c>
      <c r="DJ53" s="909">
        <f>_xlfn.IFNA(INDEX('Resource use and costs'!$CQ$11:$CQ$53,MATCH($CZ53,'Resource use and costs'!$BA$11:$BA$53,0)),0)*_xlfn.IFNA(INDEX(DY$10:DY$23,MATCH($CZ53,$DX$10:$DX$23,0)),0)</f>
        <v>19241.032205</v>
      </c>
      <c r="DK53" s="909">
        <f>IF(dd_PartSA_2_lines = "Yes",0,_xlfn.IFNA(INDEX('Resource use and costs'!$CR$11:$CR$53,MATCH(DA53,'Resource use and costs'!$BA$11:$BA$53,0)),0)*_xlfn.IFNA(INDEX(EA$10:EA$23,MATCH($DA53,$DX$10:$DX$23,0)),0))</f>
        <v>50308.075122000002</v>
      </c>
      <c r="DL53" s="909">
        <f>IF(dd_PartSA_2_lines = "Yes",0,_xlfn.IFNA(INDEX('Resource use and costs'!$CS$11:$CS$53,MATCH(DB53,'Resource use and costs'!$BA$11:$BA$53,0)),0)*_xlfn.IFNA(INDEX(EC$10:EC$23,MATCH($DB53,$DX$10:$DX$23,0)),0))</f>
        <v>0</v>
      </c>
      <c r="DM53" s="909">
        <f t="shared" si="13"/>
        <v>69549.107327000005</v>
      </c>
      <c r="DN53" s="909">
        <f>SUM(_xlfn.IFNA(INDEX('Resource use and costs'!$DU$12:$DU$25,MATCH(CZ53,'Resource use and costs'!$DS$12:$DS$25,0)),0),_xlfn.IFNA(INDEX('Resource use and costs'!$DU$12:$DU$25,MATCH(DA53,'Resource use and costs'!$DS$12:$DS$25,0)),0),_xlfn.IFNA(INDEX('Resource use and costs'!$DU$12:$DU$25,MATCH(DB53,'Resource use and costs'!$DS$12:$DS$25,0)),0))</f>
        <v>394.5</v>
      </c>
      <c r="DO53" s="921">
        <f>_xlfn.IFNA(INDEX('Resource use and costs'!$DY$12:$DY$25,MATCH(CZ53,'Resource use and costs'!$DS$12:$DS$25,0)),0)*_xlfn.IFNA(INDEX(DY$10:DY$23,MATCH($CZ53,$DX$10:$DX$23,0)),0)</f>
        <v>240.71806000000001</v>
      </c>
      <c r="DP53" s="921">
        <f>IF(dd_PartSA_2_lines = "Yes",0,_xlfn.IFNA(INDEX('Resource use and costs'!$DZ$12:$DZ$25,MATCH(DA53,'Resource use and costs'!$DS$12:$DS$25,0)),0)*_xlfn.IFNA(INDEX(EA$10:EA$23,MATCH($DA53,$DX$10:$DX$23,0)),0))</f>
        <v>461.1445457142857</v>
      </c>
      <c r="DQ53" s="921">
        <f>IF(dd_PartSA_2_lines = "Yes",0,_xlfn.IFNA(INDEX('Resource use and costs'!$EA$12:$EA$25,MATCH(DB53,'Resource use and costs'!$DS$12:$DS$25,0)),0)*_xlfn.IFNA(INDEX(EC$10:EC$23,MATCH($DB53,$DX$10:$DX$23,0)),0))</f>
        <v>0</v>
      </c>
      <c r="DR53" s="921">
        <f t="shared" si="14"/>
        <v>1096.3626057142858</v>
      </c>
      <c r="DS53" s="1004">
        <f ca="1">SUMIFS('Safety parameters'!$DM$6:$DM$18,'Safety parameters'!$DK$6:$DK$18,CZ53,'Safety parameters'!$DL$6:$DL$18,1)+IF(dd_PartSA_2_lines = "Yes",0,SUMIFS('Safety parameters'!$DM$6:$DM$18,'Safety parameters'!$DK$6:$DK$18,DA53,'Safety parameters'!$DL$6:$DL$18,2)+SUMIFS('Safety parameters'!$DM$6:$DM$18,'Safety parameters'!$DK$6:$DK$18,DB53,'Safety parameters'!$DL$6:$DL$18,2))</f>
        <v>743.64929980338343</v>
      </c>
      <c r="DT53" s="910">
        <f ca="1">SUMIFS('Safety parameters'!$DO$6:$DO$18,'Safety parameters'!$DK$6:$DK$18,CZ53,'Safety parameters'!$DL$6:$DL$18,1)+IF(dd_PartSA_2_lines = "Yes",0,SUMIFS('Safety parameters'!$DO$6:$DO$18,'Safety parameters'!$DK$6:$DK$18,DA53,'Safety parameters'!$DL$6:$DL$18,2)+SUMIFS('Safety parameters'!$DO$6:$DO$18,'Safety parameters'!$DK$6:$DK$18,DB53,'Safety parameters'!$DL$6:$DL$18,2))</f>
        <v>-7.0223263562359372E-3</v>
      </c>
      <c r="DX53" s="61" t="str">
        <v>axitinib</v>
      </c>
      <c r="DY53" s="61" t="s">
        <v>773</v>
      </c>
      <c r="DZ53" s="920" cm="1">
        <f t="array" aca="1" ref="DZ53" ca="1">SUMPRODUCT(($CX$11:$CX$779=DY53)*($CY$11:$CY$779=DX53),$DH$11:$DH$779,$DM$11:$DM$779)</f>
        <v>0</v>
      </c>
      <c r="EA53" s="920" cm="1">
        <f t="array" aca="1" ref="EA53" ca="1">SUMPRODUCT(($CX$11:$CX$779=DY53)*($CY$11:$CY$779=DX53),$DH$11:$DH$779,$DR$11:$DR$779)</f>
        <v>0</v>
      </c>
      <c r="EB53" s="920" cm="1">
        <f t="array" aca="1" ref="EB53" ca="1">SUMPRODUCT(($CX$11:$CX$779=DY53)*($CY$11:$CY$779=DX53),$DH$11:$DH$779,$DS$11:$DS$779)</f>
        <v>0</v>
      </c>
      <c r="EC53" s="1029" cm="1">
        <f t="array" aca="1" ref="EC53" ca="1">SUMPRODUCT(($CX$11:$CX$779=DY53)*($CY$11:$CY$779=DX53),$DH$11:$DH$779,$DT$11:$DT$779)</f>
        <v>0</v>
      </c>
      <c r="ED53" s="920">
        <f t="shared" ca="1" si="18"/>
        <v>0</v>
      </c>
      <c r="EE53" s="920">
        <f t="shared" ca="1" si="19"/>
        <v>0</v>
      </c>
      <c r="EF53" s="1238"/>
      <c r="EG53" s="1238"/>
      <c r="EH53" s="1238"/>
      <c r="EI53" s="1238"/>
      <c r="EJ53" s="1238"/>
    </row>
    <row r="54" spans="3:140" ht="15" x14ac:dyDescent="0.2">
      <c r="D54" s="82">
        <v>5</v>
      </c>
      <c r="E54" s="4" t="str">
        <v>avelumab_plus_axitinib</v>
      </c>
      <c r="G54" s="664"/>
      <c r="H54" s="664"/>
      <c r="I54" s="740" t="str">
        <v>avelumab_plus_axitinib</v>
      </c>
      <c r="J54" s="1020">
        <v>0</v>
      </c>
      <c r="K54" s="912"/>
      <c r="L54" s="912"/>
      <c r="M54" s="912"/>
      <c r="N54" s="912"/>
      <c r="O54" s="1046">
        <f t="shared" si="27"/>
        <v>0</v>
      </c>
      <c r="P54" s="1020">
        <f t="shared" si="27"/>
        <v>4.6553152323976062E-2</v>
      </c>
      <c r="Q54" s="1020">
        <f t="shared" si="27"/>
        <v>3.4863138518177635E-2</v>
      </c>
      <c r="R54" s="1020">
        <f t="shared" si="27"/>
        <v>0.38370142659917167</v>
      </c>
      <c r="S54" s="1020">
        <f t="shared" si="27"/>
        <v>0.20928228255867465</v>
      </c>
      <c r="T54" s="1046">
        <f t="shared" si="27"/>
        <v>0</v>
      </c>
      <c r="U54" s="1046">
        <f t="shared" si="27"/>
        <v>0</v>
      </c>
      <c r="V54" s="1046"/>
      <c r="W54" s="1020">
        <f>IF(X54&lt;&gt;0,CHOOSE(i_sub_txt_prop_num,1-SUM(J54:U54),0.3256),1)</f>
        <v>0.3256</v>
      </c>
      <c r="X54" s="903">
        <f t="shared" si="28"/>
        <v>0.6744</v>
      </c>
      <c r="Y54" s="925" t="str">
        <v>avelumab_plus_axitinib</v>
      </c>
      <c r="Z54" s="911"/>
      <c r="AA54" s="745"/>
      <c r="AB54" s="745"/>
      <c r="AC54" s="745"/>
      <c r="AD54" s="745"/>
      <c r="AE54" s="911"/>
      <c r="AF54" s="911"/>
      <c r="AG54" s="911"/>
      <c r="AH54" s="911"/>
      <c r="AI54" s="911"/>
      <c r="AJ54" s="911"/>
      <c r="AK54" s="911"/>
      <c r="AL54" s="78"/>
      <c r="AM54" s="1046">
        <f t="shared" si="29"/>
        <v>1</v>
      </c>
      <c r="AN54" s="903">
        <f t="shared" si="30"/>
        <v>0</v>
      </c>
      <c r="AO54" s="925" t="str">
        <v>avelumab_plus_axitinib</v>
      </c>
      <c r="AP54" s="78"/>
      <c r="AQ54" s="877"/>
      <c r="AR54" s="877"/>
      <c r="AS54" s="877"/>
      <c r="AT54" s="877"/>
      <c r="AU54" s="78"/>
      <c r="AV54" s="78"/>
      <c r="AW54" s="78"/>
      <c r="AX54" s="78"/>
      <c r="AY54" s="78"/>
      <c r="AZ54" s="78"/>
      <c r="BA54" s="78"/>
      <c r="BB54" s="78"/>
      <c r="BC54" s="1046">
        <f t="shared" si="31"/>
        <v>1</v>
      </c>
      <c r="BD54" s="926">
        <f t="shared" si="32"/>
        <v>0</v>
      </c>
      <c r="BE54" s="4" t="s">
        <v>785</v>
      </c>
      <c r="BF54" s="604"/>
      <c r="BG54" s="604"/>
      <c r="BH54" s="604"/>
      <c r="BI54" s="604"/>
      <c r="BJ54" s="604"/>
      <c r="BK54" s="604"/>
      <c r="BL54" s="604"/>
      <c r="BM54" s="604"/>
      <c r="BN54" s="604"/>
      <c r="BO54" s="604"/>
      <c r="BP54" s="604"/>
      <c r="BQ54" s="604"/>
      <c r="BR54" s="604"/>
      <c r="BS54" s="78"/>
      <c r="BU54" s="880">
        <f t="shared" si="33"/>
        <v>1</v>
      </c>
      <c r="BV54" s="880">
        <f t="shared" si="34"/>
        <v>1</v>
      </c>
      <c r="BW54" s="880">
        <f t="shared" si="35"/>
        <v>1</v>
      </c>
      <c r="CK54" s="61" t="s">
        <v>31</v>
      </c>
      <c r="CL54" s="61">
        <v>2</v>
      </c>
      <c r="CM54" s="61" t="str">
        <v>lenvatinib_plus_pembrolizumab</v>
      </c>
      <c r="CN54" s="17">
        <v>3</v>
      </c>
      <c r="CO54" s="61" t="str" cm="1">
        <f t="array" ref="CO54">INDEX(List_comparators,CP53+1)</f>
        <v>nivolumab_monotherapy</v>
      </c>
      <c r="CP54" s="17">
        <v>0</v>
      </c>
      <c r="CQ54" s="601">
        <f t="shared" ca="1" si="36"/>
        <v>0</v>
      </c>
      <c r="CR54" s="601">
        <f t="shared" ca="1" si="37"/>
        <v>0</v>
      </c>
      <c r="CS54" s="669">
        <f t="shared" ca="1" si="38"/>
        <v>46.008571428571429</v>
      </c>
      <c r="CT54" s="669">
        <f t="shared" ca="1" si="39"/>
        <v>3.9314285714285711</v>
      </c>
      <c r="CU54" s="1123">
        <f>MATCH(CZ54,'Resource use and costs'!$BA$11:$BA$53,0)</f>
        <v>40</v>
      </c>
      <c r="CV54" s="1223"/>
      <c r="CW54" s="1241">
        <f t="shared" si="12"/>
        <v>1</v>
      </c>
      <c r="CX54" s="899" t="s">
        <v>764</v>
      </c>
      <c r="CY54" s="899" t="s">
        <v>585</v>
      </c>
      <c r="CZ54" s="899" t="s">
        <v>327</v>
      </c>
      <c r="DA54" s="899" t="s">
        <v>118</v>
      </c>
      <c r="DB54" s="899" t="s">
        <v>119</v>
      </c>
      <c r="DC54" s="899" cm="1">
        <f t="array" aca="1" ref="DC54" ca="1">_xlfn.IFNA(OFFSET($I$49,MATCH(CY54,$I$50:$I$63,0),MATCH(CZ54,TRANSPOSE($J$49:$W$49),0)),0)</f>
        <v>1.0300000000000002E-2</v>
      </c>
      <c r="DD54" s="899" cm="1">
        <f t="array" aca="1" ref="DD54" ca="1">_xlfn.IFNA(OFFSET($Y$49,MATCH($CZ54,$Y$50:$Y$63,0),MATCH($DA54,TRANSPOSE($Z$49:$AM$49),0)),0)</f>
        <v>0.32850000000000001</v>
      </c>
      <c r="DE54" s="899">
        <f ca="1">1-DE53</f>
        <v>0.56859999999999999</v>
      </c>
      <c r="DF54" s="881">
        <f t="shared" ca="1" si="8"/>
        <v>1.9238865300000004E-3</v>
      </c>
      <c r="DG54" s="910">
        <f t="shared" ca="1" si="9"/>
        <v>1</v>
      </c>
      <c r="DH54" s="881">
        <f t="shared" ca="1" si="10"/>
        <v>1.9238865300000004E-3</v>
      </c>
      <c r="DI54" s="1460">
        <f t="shared" ca="1" si="40"/>
        <v>0.4501894480200001</v>
      </c>
      <c r="DJ54" s="909">
        <f>_xlfn.IFNA(INDEX('Resource use and costs'!$CQ$11:$CQ$53,MATCH($CZ54,'Resource use and costs'!$BA$11:$BA$53,0)),0)*_xlfn.IFNA(INDEX(DY$10:DY$23,MATCH($CZ54,$DX$10:$DX$23,0)),0)</f>
        <v>19241.032205</v>
      </c>
      <c r="DK54" s="909">
        <f>IF(dd_PartSA_2_lines = "Yes",0,_xlfn.IFNA(INDEX('Resource use and costs'!$CR$11:$CR$53,MATCH(DA54,'Resource use and costs'!$BA$11:$BA$53,0)),0)*_xlfn.IFNA(INDEX(EA$10:EA$23,MATCH($DA54,$DX$10:$DX$23,0)),0))</f>
        <v>50308.075122000002</v>
      </c>
      <c r="DL54" s="909">
        <f>IF(dd_PartSA_2_lines = "Yes",0,_xlfn.IFNA(INDEX('Resource use and costs'!$CS$11:$CS$53,MATCH(DB54,'Resource use and costs'!$BA$11:$BA$53,0)),0)*_xlfn.IFNA(INDEX(EC$10:EC$23,MATCH($DB54,$DX$10:$DX$23,0)),0))</f>
        <v>2915.4763433333328</v>
      </c>
      <c r="DM54" s="909">
        <f t="shared" si="13"/>
        <v>72464.583670333333</v>
      </c>
      <c r="DN54" s="909">
        <f>SUM(_xlfn.IFNA(INDEX('Resource use and costs'!$DU$12:$DU$25,MATCH(CZ54,'Resource use and costs'!$DS$12:$DS$25,0)),0),_xlfn.IFNA(INDEX('Resource use and costs'!$DU$12:$DU$25,MATCH(DA54,'Resource use and costs'!$DS$12:$DS$25,0)),0),_xlfn.IFNA(INDEX('Resource use and costs'!$DU$12:$DU$25,MATCH(DB54,'Resource use and costs'!$DS$12:$DS$25,0)),0))</f>
        <v>591.75</v>
      </c>
      <c r="DO54" s="921">
        <f>_xlfn.IFNA(INDEX('Resource use and costs'!$DY$12:$DY$25,MATCH(CZ54,'Resource use and costs'!$DS$12:$DS$25,0)),0)*_xlfn.IFNA(INDEX(DY$10:DY$23,MATCH($CZ54,$DX$10:$DX$23,0)),0)</f>
        <v>240.71806000000001</v>
      </c>
      <c r="DP54" s="921">
        <f>IF(dd_PartSA_2_lines = "Yes",0,_xlfn.IFNA(INDEX('Resource use and costs'!$DZ$12:$DZ$25,MATCH(DA54,'Resource use and costs'!$DS$12:$DS$25,0)),0)*_xlfn.IFNA(INDEX(EA$10:EA$23,MATCH($DA54,$DX$10:$DX$23,0)),0))</f>
        <v>461.1445457142857</v>
      </c>
      <c r="DQ54" s="921">
        <f>IF(dd_PartSA_2_lines = "Yes",0,_xlfn.IFNA(INDEX('Resource use and costs'!$EA$12:$EA$25,MATCH(DB54,'Resource use and costs'!$DS$12:$DS$25,0)),0)*_xlfn.IFNA(INDEX(EC$10:EC$23,MATCH($DB54,$DX$10:$DX$23,0)),0))</f>
        <v>256.11457142857142</v>
      </c>
      <c r="DR54" s="921">
        <f t="shared" si="14"/>
        <v>1549.7271771428573</v>
      </c>
      <c r="DS54" s="1004">
        <f ca="1">SUMIFS('Safety parameters'!$DM$6:$DM$18,'Safety parameters'!$DK$6:$DK$18,CZ54,'Safety parameters'!$DL$6:$DL$18,1)+IF(dd_PartSA_2_lines = "Yes",0,SUMIFS('Safety parameters'!$DM$6:$DM$18,'Safety parameters'!$DK$6:$DK$18,DA54,'Safety parameters'!$DL$6:$DL$18,2)+SUMIFS('Safety parameters'!$DM$6:$DM$18,'Safety parameters'!$DK$6:$DK$18,DB54,'Safety parameters'!$DL$6:$DL$18,2))</f>
        <v>1076.5246831786983</v>
      </c>
      <c r="DT54" s="910">
        <f ca="1">SUMIFS('Safety parameters'!$DO$6:$DO$18,'Safety parameters'!$DK$6:$DK$18,CZ54,'Safety parameters'!$DL$6:$DL$18,1)+IF(dd_PartSA_2_lines = "Yes",0,SUMIFS('Safety parameters'!$DO$6:$DO$18,'Safety parameters'!$DK$6:$DK$18,DA54,'Safety parameters'!$DL$6:$DL$18,2)+SUMIFS('Safety parameters'!$DO$6:$DO$18,'Safety parameters'!$DK$6:$DK$18,DB54,'Safety parameters'!$DL$6:$DL$18,2))</f>
        <v>-9.689899892873657E-3</v>
      </c>
      <c r="DX54" s="61" t="str">
        <v>sorafenib</v>
      </c>
      <c r="DY54" s="61" t="s">
        <v>773</v>
      </c>
      <c r="DZ54" s="920" cm="1">
        <f t="array" aca="1" ref="DZ54" ca="1">SUMPRODUCT(($CX$11:$CX$779=DY54)*($CY$11:$CY$779=DX54),$DH$11:$DH$779,$DM$11:$DM$779)</f>
        <v>0</v>
      </c>
      <c r="EA54" s="920" cm="1">
        <f t="array" aca="1" ref="EA54" ca="1">SUMPRODUCT(($CX$11:$CX$779=DY54)*($CY$11:$CY$779=DX54),$DH$11:$DH$779,$DR$11:$DR$779)</f>
        <v>0</v>
      </c>
      <c r="EB54" s="920" cm="1">
        <f t="array" aca="1" ref="EB54" ca="1">SUMPRODUCT(($CX$11:$CX$779=DY54)*($CY$11:$CY$779=DX54),$DH$11:$DH$779,$DS$11:$DS$779)</f>
        <v>0</v>
      </c>
      <c r="EC54" s="1029" cm="1">
        <f t="array" aca="1" ref="EC54" ca="1">SUMPRODUCT(($CX$11:$CX$779=DY54)*($CY$11:$CY$779=DX54),$DH$11:$DH$779,$DT$11:$DT$779)</f>
        <v>0</v>
      </c>
      <c r="ED54" s="920">
        <f t="shared" ca="1" si="18"/>
        <v>0</v>
      </c>
      <c r="EE54" s="920">
        <f t="shared" ca="1" si="19"/>
        <v>0</v>
      </c>
      <c r="EF54" s="1238"/>
      <c r="EG54" s="1238"/>
      <c r="EH54" s="1238"/>
      <c r="EI54" s="1238"/>
      <c r="EJ54" s="1238"/>
    </row>
    <row r="55" spans="3:140" ht="15" x14ac:dyDescent="0.2">
      <c r="D55" s="82">
        <v>6</v>
      </c>
      <c r="E55" s="4" t="str">
        <v>pazopanib</v>
      </c>
      <c r="G55" s="664"/>
      <c r="H55" s="664"/>
      <c r="I55" s="740" t="str">
        <v>pazopanib</v>
      </c>
      <c r="J55" s="1020">
        <f>J130/SUM($J130:$V130)*(1-$W130)</f>
        <v>0.36970000000000003</v>
      </c>
      <c r="K55" s="912"/>
      <c r="L55" s="912"/>
      <c r="M55" s="912"/>
      <c r="N55" s="912"/>
      <c r="O55" s="1046">
        <f t="shared" ref="O55:U58" si="41">O130/SUM($J130:$V130)*(1-$W130)</f>
        <v>0</v>
      </c>
      <c r="P55" s="1020">
        <f t="shared" si="41"/>
        <v>4.1100000000000005E-2</v>
      </c>
      <c r="Q55" s="1020">
        <f t="shared" si="41"/>
        <v>1.5400000000000002E-2</v>
      </c>
      <c r="R55" s="1020">
        <f t="shared" si="41"/>
        <v>0.20540000000000003</v>
      </c>
      <c r="S55" s="1020">
        <f t="shared" si="41"/>
        <v>3.0800000000000004E-2</v>
      </c>
      <c r="T55" s="1046">
        <f t="shared" si="41"/>
        <v>0</v>
      </c>
      <c r="U55" s="1020">
        <f t="shared" si="41"/>
        <v>1.0300000000000002E-2</v>
      </c>
      <c r="V55" s="911"/>
      <c r="W55" s="1020">
        <f>IF(X55&lt;&gt;0,CHOOSE(i_sub_txt_prop_num,1-SUM(J55:U55),0.3273),1)</f>
        <v>0.32729999999999998</v>
      </c>
      <c r="X55" s="903">
        <f t="shared" si="28"/>
        <v>0.67270000000000019</v>
      </c>
      <c r="Y55" s="925" t="str">
        <v>pazopanib</v>
      </c>
      <c r="Z55" s="599">
        <f>CHOOSE(i_sub_txt_prop_num,0.44322,0%)</f>
        <v>0</v>
      </c>
      <c r="AA55" s="745"/>
      <c r="AB55" s="745"/>
      <c r="AC55" s="745"/>
      <c r="AD55" s="745"/>
      <c r="AE55" s="599">
        <f>CHOOSE(i_sub_txt_prop_num,0,0%)</f>
        <v>0</v>
      </c>
      <c r="AF55" s="599">
        <f>CHOOSE(i_sub_txt_prop_num,0,0%)</f>
        <v>0</v>
      </c>
      <c r="AG55" s="1020">
        <f>CHOOSE(i_sub_txt_prop_num,0.03543,0.1642)</f>
        <v>0.16420000000000001</v>
      </c>
      <c r="AH55" s="1020">
        <f>CHOOSE(i_sub_txt_prop_num,0,0.3285)</f>
        <v>0.32850000000000001</v>
      </c>
      <c r="AI55" s="1020">
        <f>CHOOSE(i_sub_txt_prop_num,0,0.1642)</f>
        <v>0.16420000000000001</v>
      </c>
      <c r="AJ55" s="599">
        <f>CHOOSE(i_sub_txt_prop_num,0.046,0)</f>
        <v>0</v>
      </c>
      <c r="AK55" s="599">
        <f>CHOOSE(i_sub_txt_prop_num,0.092,0)</f>
        <v>0</v>
      </c>
      <c r="AL55" s="78"/>
      <c r="AM55" s="1020">
        <f>IF(AN55&lt;&gt;0,CHOOSE(i_sub_txt_prop_num,0.38335,0.343),1)</f>
        <v>0.34300000000000003</v>
      </c>
      <c r="AN55" s="903">
        <f t="shared" si="30"/>
        <v>0.65690000000000004</v>
      </c>
      <c r="AO55" s="925" t="str">
        <v>pazopanib</v>
      </c>
      <c r="AP55" s="1047">
        <f>AP57</f>
        <v>0</v>
      </c>
      <c r="AQ55" s="918"/>
      <c r="AR55" s="918"/>
      <c r="AS55" s="918"/>
      <c r="AT55" s="918"/>
      <c r="AU55" s="1047">
        <f t="shared" ref="AU55:BA55" si="42">AU57</f>
        <v>0</v>
      </c>
      <c r="AV55" s="1047">
        <f t="shared" si="42"/>
        <v>0</v>
      </c>
      <c r="AW55" s="1047">
        <f t="shared" si="42"/>
        <v>0</v>
      </c>
      <c r="AX55" s="1047">
        <f t="shared" si="42"/>
        <v>0</v>
      </c>
      <c r="AY55" s="1047">
        <f t="shared" si="42"/>
        <v>0</v>
      </c>
      <c r="AZ55" s="1047">
        <f t="shared" si="42"/>
        <v>0.1895</v>
      </c>
      <c r="BA55" s="1047">
        <f t="shared" si="42"/>
        <v>0.37909999999999999</v>
      </c>
      <c r="BB55" s="78"/>
      <c r="BC55" s="1047">
        <f>BC57</f>
        <v>0.43140000000000001</v>
      </c>
      <c r="BD55" s="926">
        <f t="shared" si="32"/>
        <v>0.56859999999999999</v>
      </c>
      <c r="BE55" s="4" t="s">
        <v>786</v>
      </c>
      <c r="BF55" s="604"/>
      <c r="BG55" s="604"/>
      <c r="BH55" s="604"/>
      <c r="BI55" s="604"/>
      <c r="BJ55" s="604"/>
      <c r="BK55" s="604"/>
      <c r="BL55" s="604"/>
      <c r="BM55" s="604"/>
      <c r="BN55" s="604"/>
      <c r="BO55" s="604"/>
      <c r="BP55" s="604"/>
      <c r="BQ55" s="604"/>
      <c r="BR55" s="604"/>
      <c r="BS55" s="78"/>
      <c r="BU55" s="880">
        <f t="shared" si="33"/>
        <v>1</v>
      </c>
      <c r="BV55" s="880">
        <f t="shared" si="34"/>
        <v>1</v>
      </c>
      <c r="BW55" s="880">
        <f t="shared" si="35"/>
        <v>1</v>
      </c>
      <c r="CK55" s="61" t="s">
        <v>31</v>
      </c>
      <c r="CL55" s="61">
        <v>2</v>
      </c>
      <c r="CM55" s="61" t="str">
        <v>avelumab_plus_axitinib</v>
      </c>
      <c r="CN55" s="17">
        <v>4</v>
      </c>
      <c r="CO55" s="61" t="str" cm="1">
        <f t="array" ref="CO55">INDEX(List_comparators,CP54+1)</f>
        <v>nivolumab_monotherapy</v>
      </c>
      <c r="CP55" s="17">
        <v>0</v>
      </c>
      <c r="CQ55" s="601">
        <f t="shared" ca="1" si="36"/>
        <v>0</v>
      </c>
      <c r="CR55" s="601">
        <f t="shared" ca="1" si="37"/>
        <v>0</v>
      </c>
      <c r="CS55" s="669">
        <f t="shared" ca="1" si="38"/>
        <v>46.008571428571429</v>
      </c>
      <c r="CT55" s="669">
        <f t="shared" ca="1" si="39"/>
        <v>3.9314285714285711</v>
      </c>
      <c r="CU55" s="1123">
        <f>MATCH(CZ55,'Resource use and costs'!$BA$11:$BA$53,0)</f>
        <v>40</v>
      </c>
      <c r="CV55" s="1223"/>
      <c r="CW55" s="1241">
        <f t="shared" si="12"/>
        <v>1</v>
      </c>
      <c r="CX55" s="899" t="s">
        <v>764</v>
      </c>
      <c r="CY55" s="899" t="s">
        <v>585</v>
      </c>
      <c r="CZ55" s="899" t="s">
        <v>327</v>
      </c>
      <c r="DA55" s="899" t="s">
        <v>119</v>
      </c>
      <c r="DB55" s="899" t="s">
        <v>765</v>
      </c>
      <c r="DC55" s="899" cm="1">
        <f t="array" aca="1" ref="DC55" ca="1">_xlfn.IFNA(OFFSET($I$49,MATCH(CY55,$I$50:$I$63,0),MATCH(CZ55,TRANSPOSE($J$49:$W$49),0)),0)</f>
        <v>1.0300000000000002E-2</v>
      </c>
      <c r="DD55" s="899" cm="1">
        <f t="array" aca="1" ref="DD55" ca="1">_xlfn.IFNA(OFFSET($Y$49,MATCH($CZ55,$Y$50:$Y$63,0),MATCH($DA55,TRANSPOSE($Z$49:$AM$49),0)),0)</f>
        <v>0</v>
      </c>
      <c r="DE55" s="899" cm="1">
        <f t="array" aca="1" ref="DE55" ca="1">_xlfn.IFNA(OFFSET($AO$49,MATCH($DA55,$AO$50:$AO$63,0),MATCH($DB55,TRANSPOSE($AP$49:$BC$49),0)),0)</f>
        <v>1</v>
      </c>
      <c r="DF55" s="881">
        <f t="shared" ca="1" si="8"/>
        <v>0</v>
      </c>
      <c r="DG55" s="910">
        <f t="shared" ca="1" si="9"/>
        <v>1</v>
      </c>
      <c r="DH55" s="881">
        <f t="shared" ca="1" si="10"/>
        <v>0</v>
      </c>
      <c r="DI55" s="1460">
        <f t="shared" ca="1" si="40"/>
        <v>0</v>
      </c>
      <c r="DJ55" s="909">
        <f>_xlfn.IFNA(INDEX('Resource use and costs'!$CQ$11:$CQ$53,MATCH($CZ55,'Resource use and costs'!$BA$11:$BA$53,0)),0)*_xlfn.IFNA(INDEX(DY$10:DY$23,MATCH($CZ55,$DX$10:$DX$23,0)),0)</f>
        <v>19241.032205</v>
      </c>
      <c r="DK55" s="909">
        <f>IF(dd_PartSA_2_lines = "Yes",0,_xlfn.IFNA(INDEX('Resource use and costs'!$CR$11:$CR$53,MATCH(DA55,'Resource use and costs'!$BA$11:$BA$53,0)),0)*_xlfn.IFNA(INDEX(EA$10:EA$23,MATCH($DA55,$DX$10:$DX$23,0)),0))</f>
        <v>848.17532499999982</v>
      </c>
      <c r="DL55" s="909">
        <f>IF(dd_PartSA_2_lines = "Yes",0,_xlfn.IFNA(INDEX('Resource use and costs'!$CS$11:$CS$53,MATCH(DB55,'Resource use and costs'!$BA$11:$BA$53,0)),0)*_xlfn.IFNA(INDEX(EC$10:EC$23,MATCH($DB55,$DX$10:$DX$23,0)),0))</f>
        <v>0</v>
      </c>
      <c r="DM55" s="909">
        <f t="shared" si="13"/>
        <v>20089.20753</v>
      </c>
      <c r="DN55" s="909">
        <f>SUM(_xlfn.IFNA(INDEX('Resource use and costs'!$DU$12:$DU$25,MATCH(CZ55,'Resource use and costs'!$DS$12:$DS$25,0)),0),_xlfn.IFNA(INDEX('Resource use and costs'!$DU$12:$DU$25,MATCH(DA55,'Resource use and costs'!$DS$12:$DS$25,0)),0),_xlfn.IFNA(INDEX('Resource use and costs'!$DU$12:$DU$25,MATCH(DB55,'Resource use and costs'!$DS$12:$DS$25,0)),0))</f>
        <v>394.5</v>
      </c>
      <c r="DO55" s="921">
        <f>_xlfn.IFNA(INDEX('Resource use and costs'!$DY$12:$DY$25,MATCH(CZ55,'Resource use and costs'!$DS$12:$DS$25,0)),0)*_xlfn.IFNA(INDEX(DY$10:DY$23,MATCH($CZ55,$DX$10:$DX$23,0)),0)</f>
        <v>240.71806000000001</v>
      </c>
      <c r="DP55" s="921">
        <f>IF(dd_PartSA_2_lines = "Yes",0,_xlfn.IFNA(INDEX('Resource use and costs'!$DZ$12:$DZ$25,MATCH(DA55,'Resource use and costs'!$DS$12:$DS$25,0)),0)*_xlfn.IFNA(INDEX(EA$10:EA$23,MATCH($DA55,$DX$10:$DX$23,0)),0))</f>
        <v>74.50928571428571</v>
      </c>
      <c r="DQ55" s="921">
        <f>IF(dd_PartSA_2_lines = "Yes",0,_xlfn.IFNA(INDEX('Resource use and costs'!$EA$12:$EA$25,MATCH(DB55,'Resource use and costs'!$DS$12:$DS$25,0)),0)*_xlfn.IFNA(INDEX(EC$10:EC$23,MATCH($DB55,$DX$10:$DX$23,0)),0))</f>
        <v>0</v>
      </c>
      <c r="DR55" s="921">
        <f t="shared" si="14"/>
        <v>709.72734571428578</v>
      </c>
      <c r="DS55" s="1004">
        <f ca="1">SUMIFS('Safety parameters'!$DM$6:$DM$18,'Safety parameters'!$DK$6:$DK$18,CZ55,'Safety parameters'!$DL$6:$DL$18,1)+IF(dd_PartSA_2_lines = "Yes",0,SUMIFS('Safety parameters'!$DM$6:$DM$18,'Safety parameters'!$DK$6:$DK$18,DA55,'Safety parameters'!$DL$6:$DL$18,2)+SUMIFS('Safety parameters'!$DM$6:$DM$18,'Safety parameters'!$DK$6:$DK$18,DB55,'Safety parameters'!$DL$6:$DL$18,2))</f>
        <v>332.87538337531487</v>
      </c>
      <c r="DT55" s="910">
        <f ca="1">SUMIFS('Safety parameters'!$DO$6:$DO$18,'Safety parameters'!$DK$6:$DK$18,CZ55,'Safety parameters'!$DL$6:$DL$18,1)+IF(dd_PartSA_2_lines = "Yes",0,SUMIFS('Safety parameters'!$DO$6:$DO$18,'Safety parameters'!$DK$6:$DK$18,DA55,'Safety parameters'!$DL$6:$DL$18,2)+SUMIFS('Safety parameters'!$DO$6:$DO$18,'Safety parameters'!$DK$6:$DK$18,DB55,'Safety parameters'!$DL$6:$DL$18,2))</f>
        <v>-2.6675735366377194E-3</v>
      </c>
      <c r="DX55" s="61" t="str">
        <v>placebo_BSC</v>
      </c>
      <c r="DY55" s="61" t="s">
        <v>773</v>
      </c>
      <c r="DZ55" s="920" cm="1">
        <f t="array" aca="1" ref="DZ55" ca="1">SUMPRODUCT(($CX$11:$CX$779=DY55)*($CY$11:$CY$779=DX55),$DH$11:$DH$779,$DM$11:$DM$779)</f>
        <v>0</v>
      </c>
      <c r="EA55" s="920" cm="1">
        <f t="array" aca="1" ref="EA55" ca="1">SUMPRODUCT(($CX$11:$CX$779=DY55)*($CY$11:$CY$779=DX55),$DH$11:$DH$779,$DR$11:$DR$779)</f>
        <v>0</v>
      </c>
      <c r="EB55" s="920" cm="1">
        <f t="array" aca="1" ref="EB55" ca="1">SUMPRODUCT(($CX$11:$CX$779=DY55)*($CY$11:$CY$779=DX55),$DH$11:$DH$779,$DS$11:$DS$779)</f>
        <v>0</v>
      </c>
      <c r="EC55" s="1029" cm="1">
        <f t="array" aca="1" ref="EC55" ca="1">SUMPRODUCT(($CX$11:$CX$779=DY55)*($CY$11:$CY$779=DX55),$DH$11:$DH$779,$DT$11:$DT$779)</f>
        <v>0</v>
      </c>
      <c r="ED55" s="920">
        <f t="shared" ca="1" si="18"/>
        <v>0</v>
      </c>
      <c r="EE55" s="920">
        <f t="shared" ca="1" si="19"/>
        <v>0</v>
      </c>
      <c r="EF55" s="1238"/>
      <c r="EG55" s="1238"/>
      <c r="EH55" s="1238"/>
      <c r="EI55" s="1238"/>
      <c r="EJ55" s="1238"/>
    </row>
    <row r="56" spans="3:140" ht="15" x14ac:dyDescent="0.2">
      <c r="D56" s="82">
        <v>7</v>
      </c>
      <c r="E56" s="4" t="str">
        <v>tivozanib</v>
      </c>
      <c r="G56" s="664"/>
      <c r="H56" s="664"/>
      <c r="I56" s="740" t="str">
        <v>tivozanib</v>
      </c>
      <c r="J56" s="1020">
        <f>J131/SUM($J131:$V131)*(1-$W131)</f>
        <v>0.49974522065392168</v>
      </c>
      <c r="K56" s="912"/>
      <c r="L56" s="912"/>
      <c r="M56" s="912"/>
      <c r="N56" s="912"/>
      <c r="O56" s="1046">
        <f t="shared" si="41"/>
        <v>0</v>
      </c>
      <c r="P56" s="1046">
        <f t="shared" si="41"/>
        <v>0</v>
      </c>
      <c r="Q56" s="1046">
        <f t="shared" si="41"/>
        <v>0</v>
      </c>
      <c r="R56" s="1020">
        <f t="shared" si="41"/>
        <v>0.12902805074146864</v>
      </c>
      <c r="S56" s="1020">
        <f t="shared" si="41"/>
        <v>1.6065749508665357E-2</v>
      </c>
      <c r="T56" s="1046">
        <f t="shared" si="41"/>
        <v>0</v>
      </c>
      <c r="U56" s="1020">
        <f t="shared" si="41"/>
        <v>2.9560979095944254E-2</v>
      </c>
      <c r="V56" s="911"/>
      <c r="W56" s="1020">
        <f>IF(X56&lt;&gt;0,CHOOSE(i_sub_txt_prop_num,1-SUM(J56:U56),0.3256),1)</f>
        <v>0.3256</v>
      </c>
      <c r="X56" s="903">
        <f t="shared" si="28"/>
        <v>0.67439999999999989</v>
      </c>
      <c r="Y56" s="925" t="str">
        <v>tivozanib</v>
      </c>
      <c r="Z56" s="1020">
        <f>CHOOSE(i_sub_txt_prop_num,0.38609,0.2346)</f>
        <v>0.2346</v>
      </c>
      <c r="AA56" s="745"/>
      <c r="AB56" s="745"/>
      <c r="AC56" s="745"/>
      <c r="AD56" s="745"/>
      <c r="AE56" s="599">
        <f>CHOOSE(i_sub_txt_prop_num,0.03087,0)</f>
        <v>0</v>
      </c>
      <c r="AF56" s="599">
        <f>CHOOSE(i_sub_txt_prop_num,0,0%)</f>
        <v>0</v>
      </c>
      <c r="AG56" s="599">
        <f>CHOOSE(i_sub_txt_prop_num,0,0%)</f>
        <v>0</v>
      </c>
      <c r="AH56" s="1020">
        <f>CHOOSE(i_sub_txt_prop_num,0.11534,0.3286)</f>
        <v>0.3286</v>
      </c>
      <c r="AI56" s="599">
        <f>CHOOSE(i_sub_txt_prop_num,0.01354,0%)</f>
        <v>0</v>
      </c>
      <c r="AJ56" s="1020">
        <f>CHOOSE(i_sub_txt_prop_num,0.04007,0.0469)</f>
        <v>4.6899999999999997E-2</v>
      </c>
      <c r="AK56" s="1020">
        <f>CHOOSE(i_sub_txt_prop_num,0.08014,0.0469)</f>
        <v>4.6899999999999997E-2</v>
      </c>
      <c r="AL56" s="78"/>
      <c r="AM56" s="1020">
        <f>IF(AN56&lt;&gt;0,CHOOSE(i_sub_txt_prop_num,0.33395,0.343),1)</f>
        <v>0.34300000000000003</v>
      </c>
      <c r="AN56" s="903">
        <f t="shared" si="30"/>
        <v>0.65700000000000003</v>
      </c>
      <c r="AO56" s="925" t="str">
        <v>tivozanib</v>
      </c>
      <c r="AP56" s="1047">
        <f>AP57</f>
        <v>0</v>
      </c>
      <c r="AQ56" s="918"/>
      <c r="AR56" s="918"/>
      <c r="AS56" s="918"/>
      <c r="AT56" s="918"/>
      <c r="AU56" s="1047">
        <f t="shared" ref="AU56:BA56" si="43">AU57</f>
        <v>0</v>
      </c>
      <c r="AV56" s="1047">
        <f t="shared" si="43"/>
        <v>0</v>
      </c>
      <c r="AW56" s="1047">
        <f t="shared" si="43"/>
        <v>0</v>
      </c>
      <c r="AX56" s="1047">
        <f t="shared" si="43"/>
        <v>0</v>
      </c>
      <c r="AY56" s="1047">
        <f t="shared" si="43"/>
        <v>0</v>
      </c>
      <c r="AZ56" s="1047">
        <f t="shared" si="43"/>
        <v>0.1895</v>
      </c>
      <c r="BA56" s="1047">
        <f t="shared" si="43"/>
        <v>0.37909999999999999</v>
      </c>
      <c r="BB56" s="78"/>
      <c r="BC56" s="1047">
        <f>BC57</f>
        <v>0.43140000000000001</v>
      </c>
      <c r="BD56" s="926">
        <f t="shared" si="32"/>
        <v>0.56859999999999999</v>
      </c>
      <c r="BE56" s="4" t="s">
        <v>787</v>
      </c>
      <c r="BF56" s="604"/>
      <c r="BG56" s="604"/>
      <c r="BH56" s="604"/>
      <c r="BI56" s="604"/>
      <c r="BJ56" s="604"/>
      <c r="BK56" s="604"/>
      <c r="BL56" s="604"/>
      <c r="BN56" s="604"/>
      <c r="BO56" s="604"/>
      <c r="BP56" s="604"/>
      <c r="BQ56" s="604"/>
      <c r="BR56" s="604"/>
      <c r="BS56" s="78"/>
      <c r="BU56" s="880">
        <f t="shared" si="33"/>
        <v>1</v>
      </c>
      <c r="BV56" s="880">
        <f t="shared" si="34"/>
        <v>1</v>
      </c>
      <c r="BW56" s="880">
        <f t="shared" si="35"/>
        <v>1</v>
      </c>
      <c r="CK56" s="61" t="s">
        <v>31</v>
      </c>
      <c r="CL56" s="61">
        <v>2</v>
      </c>
      <c r="CM56" s="61" t="str">
        <v>pazopanib</v>
      </c>
      <c r="CN56" s="17">
        <v>5</v>
      </c>
      <c r="CO56" s="61" t="str" cm="1">
        <f t="array" ref="CO56">INDEX(List_comparators,CP55+1)</f>
        <v>nivolumab_monotherapy</v>
      </c>
      <c r="CP56" s="17">
        <v>0</v>
      </c>
      <c r="CQ56" s="601">
        <f t="shared" ca="1" si="36"/>
        <v>0.36970000000000003</v>
      </c>
      <c r="CR56" s="601">
        <f t="shared" ca="1" si="37"/>
        <v>3.6970000000000003E-2</v>
      </c>
      <c r="CS56" s="669">
        <f t="shared" ca="1" si="38"/>
        <v>46.008571428571429</v>
      </c>
      <c r="CT56" s="669">
        <f t="shared" ca="1" si="39"/>
        <v>3.9314285714285711</v>
      </c>
      <c r="CU56" s="1123">
        <f>MATCH(CZ56,'Resource use and costs'!$BA$11:$BA$53,0)</f>
        <v>40</v>
      </c>
      <c r="CV56" s="1223"/>
      <c r="CW56" s="1241">
        <f t="shared" si="12"/>
        <v>1</v>
      </c>
      <c r="CX56" s="899" t="s">
        <v>764</v>
      </c>
      <c r="CY56" s="899" t="s">
        <v>585</v>
      </c>
      <c r="CZ56" s="899" t="s">
        <v>327</v>
      </c>
      <c r="DA56" s="899" t="s">
        <v>579</v>
      </c>
      <c r="DB56" s="899" t="s">
        <v>765</v>
      </c>
      <c r="DC56" s="899" cm="1">
        <f t="array" aca="1" ref="DC56" ca="1">_xlfn.IFNA(OFFSET($I$49,MATCH(CY56,$I$50:$I$63,0),MATCH(CZ56,TRANSPOSE($J$49:$W$49),0)),0)</f>
        <v>1.0300000000000002E-2</v>
      </c>
      <c r="DD56" s="899" cm="1">
        <f t="array" aca="1" ref="DD56" ca="1">_xlfn.IFNA(OFFSET($Y$49,MATCH($CZ56,$Y$50:$Y$63,0),MATCH($DA56,TRANSPOSE($Z$49:$AM$49),0)),0)</f>
        <v>0.32850000000000001</v>
      </c>
      <c r="DE56" s="899" cm="1">
        <f t="array" aca="1" ref="DE56" ca="1">_xlfn.IFNA(OFFSET($AO$49,MATCH($DA56,$AO$50:$AO$63,0),MATCH($DB56,TRANSPOSE($AP$49:$BC$49),0)),0)</f>
        <v>0.43140000000000001</v>
      </c>
      <c r="DF56" s="881">
        <f t="shared" ca="1" si="8"/>
        <v>1.4596634700000004E-3</v>
      </c>
      <c r="DG56" s="910">
        <f t="shared" ca="1" si="9"/>
        <v>1</v>
      </c>
      <c r="DH56" s="881">
        <f t="shared" ca="1" si="10"/>
        <v>1.4596634700000004E-3</v>
      </c>
      <c r="DI56" s="1460">
        <f t="shared" ca="1" si="40"/>
        <v>0.34156125198000009</v>
      </c>
      <c r="DJ56" s="909">
        <f>_xlfn.IFNA(INDEX('Resource use and costs'!$CQ$11:$CQ$53,MATCH($CZ56,'Resource use and costs'!$BA$11:$BA$53,0)),0)*_xlfn.IFNA(INDEX(DY$10:DY$23,MATCH($CZ56,$DX$10:$DX$23,0)),0)</f>
        <v>19241.032205</v>
      </c>
      <c r="DK56" s="909">
        <f>IF(dd_PartSA_2_lines = "Yes",0,_xlfn.IFNA(INDEX('Resource use and costs'!$CR$11:$CR$53,MATCH(DA56,'Resource use and costs'!$BA$11:$BA$53,0)),0)*_xlfn.IFNA(INDEX(EA$10:EA$23,MATCH($DA56,$DX$10:$DX$23,0)),0))</f>
        <v>26054.50921</v>
      </c>
      <c r="DL56" s="909">
        <f>IF(dd_PartSA_2_lines = "Yes",0,_xlfn.IFNA(INDEX('Resource use and costs'!$CS$11:$CS$53,MATCH(DB56,'Resource use and costs'!$BA$11:$BA$53,0)),0)*_xlfn.IFNA(INDEX(EC$10:EC$23,MATCH($DB56,$DX$10:$DX$23,0)),0))</f>
        <v>0</v>
      </c>
      <c r="DM56" s="909">
        <f t="shared" si="13"/>
        <v>45295.541415</v>
      </c>
      <c r="DN56" s="909">
        <f>SUM(_xlfn.IFNA(INDEX('Resource use and costs'!$DU$12:$DU$25,MATCH(CZ56,'Resource use and costs'!$DS$12:$DS$25,0)),0),_xlfn.IFNA(INDEX('Resource use and costs'!$DU$12:$DU$25,MATCH(DA56,'Resource use and costs'!$DS$12:$DS$25,0)),0),_xlfn.IFNA(INDEX('Resource use and costs'!$DU$12:$DU$25,MATCH(DB56,'Resource use and costs'!$DS$12:$DS$25,0)),0))</f>
        <v>197.25</v>
      </c>
      <c r="DO56" s="921">
        <f>_xlfn.IFNA(INDEX('Resource use and costs'!$DY$12:$DY$25,MATCH(CZ56,'Resource use and costs'!$DS$12:$DS$25,0)),0)*_xlfn.IFNA(INDEX(DY$10:DY$23,MATCH($CZ56,$DX$10:$DX$23,0)),0)</f>
        <v>240.71806000000001</v>
      </c>
      <c r="DP56" s="921">
        <f>IF(dd_PartSA_2_lines = "Yes",0,_xlfn.IFNA(INDEX('Resource use and costs'!$DZ$12:$DZ$25,MATCH(DA56,'Resource use and costs'!$DS$12:$DS$25,0)),0)*_xlfn.IFNA(INDEX(EA$10:EA$23,MATCH($DA56,$DX$10:$DX$23,0)),0))</f>
        <v>4108.3597166</v>
      </c>
      <c r="DQ56" s="921">
        <f>IF(dd_PartSA_2_lines = "Yes",0,_xlfn.IFNA(INDEX('Resource use and costs'!$EA$12:$EA$25,MATCH(DB56,'Resource use and costs'!$DS$12:$DS$25,0)),0)*_xlfn.IFNA(INDEX(EC$10:EC$23,MATCH($DB56,$DX$10:$DX$23,0)),0))</f>
        <v>0</v>
      </c>
      <c r="DR56" s="921">
        <f t="shared" si="14"/>
        <v>4546.3277766000001</v>
      </c>
      <c r="DS56" s="1004">
        <f ca="1">SUMIFS('Safety parameters'!$DM$6:$DM$18,'Safety parameters'!$DK$6:$DK$18,CZ56,'Safety parameters'!$DL$6:$DL$18,1)+IF(dd_PartSA_2_lines = "Yes",0,SUMIFS('Safety parameters'!$DM$6:$DM$18,'Safety parameters'!$DK$6:$DK$18,DA56,'Safety parameters'!$DL$6:$DL$18,2)+SUMIFS('Safety parameters'!$DM$6:$DM$18,'Safety parameters'!$DK$6:$DK$18,DB56,'Safety parameters'!$DL$6:$DL$18,2))</f>
        <v>161.1337489904144</v>
      </c>
      <c r="DT56" s="910">
        <f ca="1">SUMIFS('Safety parameters'!$DO$6:$DO$18,'Safety parameters'!$DK$6:$DK$18,CZ56,'Safety parameters'!$DL$6:$DL$18,1)+IF(dd_PartSA_2_lines = "Yes",0,SUMIFS('Safety parameters'!$DO$6:$DO$18,'Safety parameters'!$DK$6:$DK$18,DA56,'Safety parameters'!$DL$6:$DL$18,2)+SUMIFS('Safety parameters'!$DO$6:$DO$18,'Safety parameters'!$DK$6:$DK$18,DB56,'Safety parameters'!$DL$6:$DL$18,2))</f>
        <v>-1.5970841976847864E-3</v>
      </c>
      <c r="DX56" s="61" t="str" cm="1">
        <f t="array" ref="DX56:DX69">List_comparators</f>
        <v>nivolumab_monotherapy</v>
      </c>
      <c r="DY56" s="61" t="s">
        <v>788</v>
      </c>
      <c r="DZ56" s="920" cm="1">
        <f t="array" aca="1" ref="DZ56" ca="1">SUMPRODUCT(($CX$11:$CX$779=DY56)*($CY$11:$CY$779=DX56),$DH$11:$DH$779,$DM$11:$DM$779)</f>
        <v>0</v>
      </c>
      <c r="EA56" s="920" cm="1">
        <f t="array" aca="1" ref="EA56" ca="1">SUMPRODUCT(($CX$11:$CX$779=DY56)*($CY$11:$CY$779=DX56),$DH$11:$DH$779,$DR$11:$DR$779)</f>
        <v>0</v>
      </c>
      <c r="EB56" s="920" cm="1">
        <f t="array" aca="1" ref="EB56" ca="1">SUMPRODUCT(($CX$11:$CX$779=DY56)*($CY$11:$CY$779=DX56),$DH$11:$DH$779,$DS$11:$DS$779)</f>
        <v>0</v>
      </c>
      <c r="EC56" s="1029" cm="1">
        <f t="array" aca="1" ref="EC56" ca="1">SUMPRODUCT(($CX$11:$CX$779=DY56)*($CY$11:$CY$779=DX56),$DH$11:$DH$779,$DT$11:$DT$779)</f>
        <v>0</v>
      </c>
      <c r="ED56" s="920">
        <f t="shared" ca="1" si="18"/>
        <v>0</v>
      </c>
      <c r="EE56" s="920">
        <f t="shared" ca="1" si="19"/>
        <v>0</v>
      </c>
      <c r="EF56" s="1238"/>
      <c r="EG56" s="1238"/>
      <c r="EH56" s="1238"/>
      <c r="EI56" s="1238"/>
      <c r="EJ56" s="1238"/>
    </row>
    <row r="57" spans="3:140" ht="15" x14ac:dyDescent="0.2">
      <c r="D57" s="82">
        <v>8</v>
      </c>
      <c r="E57" s="4" t="str">
        <v>sunitinib</v>
      </c>
      <c r="G57" s="664"/>
      <c r="H57" s="664"/>
      <c r="I57" s="740" t="str">
        <v>sunitinib</v>
      </c>
      <c r="J57" s="1047">
        <f>J132/SUM($J132:$V132)*(1-$W132)</f>
        <v>0.38380000000000003</v>
      </c>
      <c r="K57" s="918"/>
      <c r="L57" s="918"/>
      <c r="M57" s="918"/>
      <c r="N57" s="918"/>
      <c r="O57" s="1047">
        <f t="shared" si="41"/>
        <v>3.700000000000001E-3</v>
      </c>
      <c r="P57" s="1047">
        <f t="shared" si="41"/>
        <v>2.2300000000000004E-2</v>
      </c>
      <c r="Q57" s="1047">
        <f t="shared" si="41"/>
        <v>0</v>
      </c>
      <c r="R57" s="1047">
        <f t="shared" si="41"/>
        <v>0.21610000000000001</v>
      </c>
      <c r="S57" s="1047">
        <f t="shared" si="41"/>
        <v>3.700000000000001E-3</v>
      </c>
      <c r="T57" s="1047">
        <f t="shared" si="41"/>
        <v>0</v>
      </c>
      <c r="U57" s="1047">
        <f t="shared" si="41"/>
        <v>4.4700000000000011E-2</v>
      </c>
      <c r="V57" s="1046"/>
      <c r="W57" s="1047">
        <f>IF(X57&lt;&gt;0,CHOOSE(i_sub_txt_prop_num,1-SUM(J57:U57),0.3257),1)</f>
        <v>0.32569999999999999</v>
      </c>
      <c r="X57" s="903">
        <f t="shared" si="28"/>
        <v>0.67430000000000001</v>
      </c>
      <c r="Y57" s="925" t="str">
        <v>sunitinib</v>
      </c>
      <c r="Z57" s="1047">
        <f>CHOOSE(i_sub_txt_prop_num,J57,0.146)</f>
        <v>0.14599999999999999</v>
      </c>
      <c r="AA57" s="918"/>
      <c r="AB57" s="918"/>
      <c r="AC57" s="918"/>
      <c r="AD57" s="918"/>
      <c r="AE57" s="1047">
        <f>CHOOSE(i_sub_txt_prop_num,O57,0%)</f>
        <v>0</v>
      </c>
      <c r="AF57" s="1047">
        <f>CHOOSE(i_sub_txt_prop_num,P57,0%)</f>
        <v>0</v>
      </c>
      <c r="AG57" s="1047">
        <f>CHOOSE(i_sub_txt_prop_num,Q57,0)</f>
        <v>0</v>
      </c>
      <c r="AH57" s="1047">
        <f>CHOOSE(i_sub_txt_prop_num,R57,0.511)</f>
        <v>0.51100000000000001</v>
      </c>
      <c r="AI57" s="1047">
        <f>CHOOSE(i_sub_txt_prop_num,S57,0%)</f>
        <v>0</v>
      </c>
      <c r="AJ57" s="1047">
        <f>CHOOSE(i_sub_txt_prop_num,T57,0)</f>
        <v>0</v>
      </c>
      <c r="AK57" s="1047">
        <f>CHOOSE(i_sub_txt_prop_num,U57,0%)</f>
        <v>0</v>
      </c>
      <c r="AL57" s="78"/>
      <c r="AM57" s="1047">
        <f>IF(AN57&lt;&gt;0,CHOOSE(i_sub_txt_prop_num,W57,0.343),1)</f>
        <v>0.34300000000000003</v>
      </c>
      <c r="AN57" s="903">
        <f t="shared" si="30"/>
        <v>0.65700000000000003</v>
      </c>
      <c r="AO57" s="925" t="str">
        <v>sunitinib</v>
      </c>
      <c r="AP57" s="1047">
        <f>CHOOSE(i_sub_txt_prop_num,Z57,0)</f>
        <v>0</v>
      </c>
      <c r="AQ57" s="918"/>
      <c r="AR57" s="918"/>
      <c r="AS57" s="918"/>
      <c r="AT57" s="918"/>
      <c r="AU57" s="1047">
        <f>CHOOSE(i_sub_txt_prop_num,AE57,0)</f>
        <v>0</v>
      </c>
      <c r="AV57" s="1047">
        <f>CHOOSE(i_sub_txt_prop_num,AF57,0)</f>
        <v>0</v>
      </c>
      <c r="AW57" s="1047">
        <f>CHOOSE(i_sub_txt_prop_num,AG57,0)</f>
        <v>0</v>
      </c>
      <c r="AX57" s="1047">
        <f>CHOOSE(i_sub_txt_prop_num,AH57,0)</f>
        <v>0</v>
      </c>
      <c r="AY57" s="1047">
        <f>CHOOSE(i_sub_txt_prop_num,AI57,0)</f>
        <v>0</v>
      </c>
      <c r="AZ57" s="1047">
        <f>CHOOSE(i_sub_txt_prop_num,AJ57,0.1895)</f>
        <v>0.1895</v>
      </c>
      <c r="BA57" s="1047">
        <f>CHOOSE(i_sub_txt_prop_num,AK57,0.3791)</f>
        <v>0.37909999999999999</v>
      </c>
      <c r="BB57" s="78"/>
      <c r="BC57" s="1047">
        <f>IF(BD57&lt;&gt;0,CHOOSE(i_sub_txt_prop_num,AM57,0.4314),1)</f>
        <v>0.43140000000000001</v>
      </c>
      <c r="BD57" s="926">
        <f t="shared" si="32"/>
        <v>0.56859999999999999</v>
      </c>
      <c r="BE57" s="4" t="s">
        <v>789</v>
      </c>
      <c r="BF57" s="604"/>
      <c r="BG57" s="604"/>
      <c r="BH57" s="604"/>
      <c r="BI57" s="604"/>
      <c r="BJ57" s="604"/>
      <c r="BK57" s="604"/>
      <c r="BL57" s="604"/>
      <c r="BM57" s="604"/>
      <c r="BN57" s="604"/>
      <c r="BO57" s="604"/>
      <c r="BP57" s="604"/>
      <c r="BQ57" s="604"/>
      <c r="BR57" s="604"/>
      <c r="BS57" s="78"/>
      <c r="BU57" s="880">
        <f t="shared" si="33"/>
        <v>1</v>
      </c>
      <c r="BV57" s="880">
        <f t="shared" si="34"/>
        <v>1</v>
      </c>
      <c r="BW57" s="880">
        <f t="shared" si="35"/>
        <v>1</v>
      </c>
      <c r="CK57" s="61" t="s">
        <v>31</v>
      </c>
      <c r="CL57" s="61">
        <v>2</v>
      </c>
      <c r="CM57" s="61" t="str">
        <v>tivozanib</v>
      </c>
      <c r="CN57" s="17">
        <v>6</v>
      </c>
      <c r="CO57" s="61" t="str" cm="1">
        <f t="array" ref="CO57">INDEX(List_comparators,CP56+1)</f>
        <v>nivolumab_monotherapy</v>
      </c>
      <c r="CP57" s="17">
        <v>0</v>
      </c>
      <c r="CQ57" s="601">
        <f t="shared" ca="1" si="36"/>
        <v>0.49974522065392168</v>
      </c>
      <c r="CR57" s="601">
        <f t="shared" ca="1" si="37"/>
        <v>4.9974522065392171E-2</v>
      </c>
      <c r="CS57" s="669">
        <f t="shared" ca="1" si="38"/>
        <v>46.008571428571429</v>
      </c>
      <c r="CT57" s="669">
        <f t="shared" ca="1" si="39"/>
        <v>3.9314285714285711</v>
      </c>
      <c r="CU57" s="1123">
        <f>MATCH(CZ57,'Resource use and costs'!$BA$11:$BA$53,0)</f>
        <v>40</v>
      </c>
      <c r="CV57" s="1223"/>
      <c r="CW57" s="1241">
        <f t="shared" si="12"/>
        <v>1</v>
      </c>
      <c r="CX57" s="899" t="s">
        <v>764</v>
      </c>
      <c r="CY57" s="899" t="s">
        <v>585</v>
      </c>
      <c r="CZ57" s="899" t="s">
        <v>327</v>
      </c>
      <c r="DA57" s="899" t="s">
        <v>579</v>
      </c>
      <c r="DB57" s="899" t="s">
        <v>119</v>
      </c>
      <c r="DC57" s="899" cm="1">
        <f t="array" aca="1" ref="DC57" ca="1">_xlfn.IFNA(OFFSET($I$49,MATCH(CY57,$I$50:$I$63,0),MATCH(CZ57,TRANSPOSE($J$49:$W$49),0)),0)</f>
        <v>1.0300000000000002E-2</v>
      </c>
      <c r="DD57" s="899" cm="1">
        <f t="array" aca="1" ref="DD57" ca="1">_xlfn.IFNA(OFFSET($Y$49,MATCH($CZ57,$Y$50:$Y$63,0),MATCH($DA57,TRANSPOSE($Z$49:$AM$49),0)),0)</f>
        <v>0.32850000000000001</v>
      </c>
      <c r="DE57" s="899">
        <f ca="1">1-DE56</f>
        <v>0.56859999999999999</v>
      </c>
      <c r="DF57" s="881">
        <f t="shared" ca="1" si="8"/>
        <v>1.9238865300000004E-3</v>
      </c>
      <c r="DG57" s="910">
        <f t="shared" ca="1" si="9"/>
        <v>1</v>
      </c>
      <c r="DH57" s="881">
        <f t="shared" ca="1" si="10"/>
        <v>1.9238865300000004E-3</v>
      </c>
      <c r="DI57" s="1460">
        <f t="shared" ca="1" si="40"/>
        <v>0.4501894480200001</v>
      </c>
      <c r="DJ57" s="909">
        <f>_xlfn.IFNA(INDEX('Resource use and costs'!$CQ$11:$CQ$53,MATCH($CZ57,'Resource use and costs'!$BA$11:$BA$53,0)),0)*_xlfn.IFNA(INDEX(DY$10:DY$23,MATCH($CZ57,$DX$10:$DX$23,0)),0)</f>
        <v>19241.032205</v>
      </c>
      <c r="DK57" s="909">
        <f>IF(dd_PartSA_2_lines = "Yes",0,_xlfn.IFNA(INDEX('Resource use and costs'!$CR$11:$CR$53,MATCH(DA57,'Resource use and costs'!$BA$11:$BA$53,0)),0)*_xlfn.IFNA(INDEX(EA$10:EA$23,MATCH($DA57,$DX$10:$DX$23,0)),0))</f>
        <v>26054.50921</v>
      </c>
      <c r="DL57" s="909">
        <f>IF(dd_PartSA_2_lines = "Yes",0,_xlfn.IFNA(INDEX('Resource use and costs'!$CS$11:$CS$53,MATCH(DB57,'Resource use and costs'!$BA$11:$BA$53,0)),0)*_xlfn.IFNA(INDEX(EC$10:EC$23,MATCH($DB57,$DX$10:$DX$23,0)),0))</f>
        <v>2915.4763433333328</v>
      </c>
      <c r="DM57" s="909">
        <f t="shared" si="13"/>
        <v>48211.017758333335</v>
      </c>
      <c r="DN57" s="909">
        <f>SUM(_xlfn.IFNA(INDEX('Resource use and costs'!$DU$12:$DU$25,MATCH(CZ57,'Resource use and costs'!$DS$12:$DS$25,0)),0),_xlfn.IFNA(INDEX('Resource use and costs'!$DU$12:$DU$25,MATCH(DA57,'Resource use and costs'!$DS$12:$DS$25,0)),0),_xlfn.IFNA(INDEX('Resource use and costs'!$DU$12:$DU$25,MATCH(DB57,'Resource use and costs'!$DS$12:$DS$25,0)),0))</f>
        <v>394.5</v>
      </c>
      <c r="DO57" s="921">
        <f>_xlfn.IFNA(INDEX('Resource use and costs'!$DY$12:$DY$25,MATCH(CZ57,'Resource use and costs'!$DS$12:$DS$25,0)),0)*_xlfn.IFNA(INDEX(DY$10:DY$23,MATCH($CZ57,$DX$10:$DX$23,0)),0)</f>
        <v>240.71806000000001</v>
      </c>
      <c r="DP57" s="921">
        <f>IF(dd_PartSA_2_lines = "Yes",0,_xlfn.IFNA(INDEX('Resource use and costs'!$DZ$12:$DZ$25,MATCH(DA57,'Resource use and costs'!$DS$12:$DS$25,0)),0)*_xlfn.IFNA(INDEX(EA$10:EA$23,MATCH($DA57,$DX$10:$DX$23,0)),0))</f>
        <v>4108.3597166</v>
      </c>
      <c r="DQ57" s="921">
        <f>IF(dd_PartSA_2_lines = "Yes",0,_xlfn.IFNA(INDEX('Resource use and costs'!$EA$12:$EA$25,MATCH(DB57,'Resource use and costs'!$DS$12:$DS$25,0)),0)*_xlfn.IFNA(INDEX(EC$10:EC$23,MATCH($DB57,$DX$10:$DX$23,0)),0))</f>
        <v>256.11457142857142</v>
      </c>
      <c r="DR57" s="921">
        <f t="shared" si="14"/>
        <v>4999.6923480285714</v>
      </c>
      <c r="DS57" s="1004">
        <f ca="1">SUMIFS('Safety parameters'!$DM$6:$DM$18,'Safety parameters'!$DK$6:$DK$18,CZ57,'Safety parameters'!$DL$6:$DL$18,1)+IF(dd_PartSA_2_lines = "Yes",0,SUMIFS('Safety parameters'!$DM$6:$DM$18,'Safety parameters'!$DK$6:$DK$18,DA57,'Safety parameters'!$DL$6:$DL$18,2)+SUMIFS('Safety parameters'!$DM$6:$DM$18,'Safety parameters'!$DK$6:$DK$18,DB57,'Safety parameters'!$DL$6:$DL$18,2))</f>
        <v>494.00913236572927</v>
      </c>
      <c r="DT57" s="910">
        <f ca="1">SUMIFS('Safety parameters'!$DO$6:$DO$18,'Safety parameters'!$DK$6:$DK$18,CZ57,'Safety parameters'!$DL$6:$DL$18,1)+IF(dd_PartSA_2_lines = "Yes",0,SUMIFS('Safety parameters'!$DO$6:$DO$18,'Safety parameters'!$DK$6:$DK$18,DA57,'Safety parameters'!$DL$6:$DL$18,2)+SUMIFS('Safety parameters'!$DO$6:$DO$18,'Safety parameters'!$DK$6:$DK$18,DB57,'Safety parameters'!$DL$6:$DL$18,2))</f>
        <v>-4.2646577343225054E-3</v>
      </c>
      <c r="DX57" s="61" t="str">
        <v>cabozantinib_plus_nivolumab</v>
      </c>
      <c r="DY57" s="61" t="s">
        <v>788</v>
      </c>
      <c r="DZ57" s="920" cm="1">
        <f t="array" aca="1" ref="DZ57" ca="1">SUMPRODUCT(($CX$11:$CX$779=DY57)*($CY$11:$CY$779=DX57),$DH$11:$DH$779,$DM$11:$DM$779)</f>
        <v>0</v>
      </c>
      <c r="EA57" s="920" cm="1">
        <f t="array" aca="1" ref="EA57" ca="1">SUMPRODUCT(($CX$11:$CX$779=DY57)*($CY$11:$CY$779=DX57),$DH$11:$DH$779,$DR$11:$DR$779)</f>
        <v>0</v>
      </c>
      <c r="EB57" s="920" cm="1">
        <f t="array" aca="1" ref="EB57" ca="1">SUMPRODUCT(($CX$11:$CX$779=DY57)*($CY$11:$CY$779=DX57),$DH$11:$DH$779,$DS$11:$DS$779)</f>
        <v>0</v>
      </c>
      <c r="EC57" s="1029" cm="1">
        <f t="array" aca="1" ref="EC57" ca="1">SUMPRODUCT(($CX$11:$CX$779=DY57)*($CY$11:$CY$779=DX57),$DH$11:$DH$779,$DT$11:$DT$779)</f>
        <v>0</v>
      </c>
      <c r="ED57" s="920">
        <f t="shared" ca="1" si="18"/>
        <v>0</v>
      </c>
      <c r="EE57" s="920">
        <f t="shared" ca="1" si="19"/>
        <v>0</v>
      </c>
      <c r="EF57" s="1238"/>
      <c r="EG57" s="1238"/>
      <c r="EH57" s="1238"/>
      <c r="EI57" s="1238"/>
      <c r="EJ57" s="1238"/>
    </row>
    <row r="58" spans="3:140" ht="15" x14ac:dyDescent="0.2">
      <c r="D58" s="82">
        <v>9</v>
      </c>
      <c r="E58" s="4" t="str">
        <v>cabozantinib</v>
      </c>
      <c r="G58" s="664"/>
      <c r="H58" s="664"/>
      <c r="I58" s="740" t="str">
        <v>cabozantinib</v>
      </c>
      <c r="J58" s="1020">
        <f>J133/SUM($J133:$V133)*(1-$W133)</f>
        <v>0.59511111111111104</v>
      </c>
      <c r="K58" s="912"/>
      <c r="L58" s="912"/>
      <c r="M58" s="912"/>
      <c r="N58" s="912"/>
      <c r="O58" s="1046">
        <f t="shared" si="41"/>
        <v>0</v>
      </c>
      <c r="P58" s="1046">
        <f t="shared" si="41"/>
        <v>0</v>
      </c>
      <c r="Q58" s="1020">
        <f t="shared" si="41"/>
        <v>1.4897774790919952E-2</v>
      </c>
      <c r="R58" s="1046">
        <f t="shared" si="41"/>
        <v>0</v>
      </c>
      <c r="S58" s="1020">
        <f t="shared" si="41"/>
        <v>4.4593339307048986E-2</v>
      </c>
      <c r="T58" s="1046">
        <f t="shared" si="41"/>
        <v>0</v>
      </c>
      <c r="U58" s="1020">
        <f t="shared" si="41"/>
        <v>1.4897774790919952E-2</v>
      </c>
      <c r="V58" s="1046"/>
      <c r="W58" s="1020">
        <f>IF(X58&lt;&gt;0,CHOOSE(i_sub_txt_prop_num,1-SUM(J58:U58),0.3305),1)</f>
        <v>0.33050000000000002</v>
      </c>
      <c r="X58" s="903">
        <f t="shared" si="28"/>
        <v>0.66949999999999987</v>
      </c>
      <c r="Y58" s="925" t="str">
        <v>cabozantinib</v>
      </c>
      <c r="Z58" s="1020">
        <f>CHOOSE(i_sub_txt_prop_num,0,0.291)</f>
        <v>0.29099999999999998</v>
      </c>
      <c r="AA58" s="745"/>
      <c r="AB58" s="745"/>
      <c r="AC58" s="745"/>
      <c r="AD58" s="745"/>
      <c r="AE58" s="599">
        <f>CHOOSE(i_sub_txt_prop_num,0.01321,0%)</f>
        <v>0</v>
      </c>
      <c r="AF58" s="1020">
        <f>CHOOSE(i_sub_txt_prop_num,0,0.0094)</f>
        <v>9.4000000000000004E-3</v>
      </c>
      <c r="AG58" s="599">
        <f>CHOOSE(i_sub_txt_prop_num,0.04491,0%)</f>
        <v>0</v>
      </c>
      <c r="AH58" s="599">
        <f>CHOOSE(i_sub_txt_prop_num,0,0%)</f>
        <v>0</v>
      </c>
      <c r="AI58" s="1020">
        <f>CHOOSE(i_sub_txt_prop_num,0,0.1689)</f>
        <v>0.16889999999999999</v>
      </c>
      <c r="AJ58" s="1020">
        <f>CHOOSE(i_sub_txt_prop_num,0.25363,0.0657)</f>
        <v>6.5699999999999995E-2</v>
      </c>
      <c r="AK58" s="1020">
        <f>CHOOSE(i_sub_txt_prop_num,0.15059,0.122)</f>
        <v>0.122</v>
      </c>
      <c r="AL58" s="78"/>
      <c r="AM58" s="1020">
        <f>IF(AN58&lt;&gt;0,CHOOSE(i_sub_txt_prop_num,0.53766,0.343),1)</f>
        <v>0.34300000000000003</v>
      </c>
      <c r="AN58" s="903">
        <f t="shared" si="30"/>
        <v>0.65700000000000003</v>
      </c>
      <c r="AO58" s="925" t="str">
        <v>cabozantinib</v>
      </c>
      <c r="AP58" s="599">
        <f>CHOOSE(i_sub_txt_prop_num,0,0)</f>
        <v>0</v>
      </c>
      <c r="AQ58" s="877"/>
      <c r="AR58" s="877"/>
      <c r="AS58" s="877"/>
      <c r="AT58" s="877"/>
      <c r="AU58" s="599">
        <f>CHOOSE(i_sub_txt_prop_num,0.01321,0)</f>
        <v>0</v>
      </c>
      <c r="AV58" s="599">
        <f>CHOOSE(i_sub_txt_prop_num,0,0)</f>
        <v>0</v>
      </c>
      <c r="AW58" s="599">
        <f>CHOOSE(i_sub_txt_prop_num,0.04491,0)</f>
        <v>0</v>
      </c>
      <c r="AX58" s="599">
        <f>CHOOSE(i_sub_txt_prop_num,0,0)</f>
        <v>0</v>
      </c>
      <c r="AY58" s="599">
        <f>CHOOSE(i_sub_txt_prop_num,0,0)</f>
        <v>0</v>
      </c>
      <c r="AZ58" s="1020">
        <f>CHOOSE(i_sub_txt_prop_num,0.25363,0.1809)</f>
        <v>0.18090000000000001</v>
      </c>
      <c r="BA58" s="1020">
        <f>CHOOSE(i_sub_txt_prop_num,0.15059,0.3877)</f>
        <v>0.38769999999999999</v>
      </c>
      <c r="BB58" s="78"/>
      <c r="BC58" s="1020">
        <f>IF(BD58&lt;&gt;0,CHOOSE(i_sub_txt_prop_num,0.53766,0.4314),1)</f>
        <v>0.43140000000000001</v>
      </c>
      <c r="BD58" s="926">
        <f t="shared" si="32"/>
        <v>0.56859999999999999</v>
      </c>
      <c r="BE58" s="4" t="s">
        <v>790</v>
      </c>
      <c r="BF58" s="604"/>
      <c r="BG58" s="604"/>
      <c r="BH58" s="604"/>
      <c r="BI58" s="604"/>
      <c r="BJ58" s="604"/>
      <c r="BK58" s="604"/>
      <c r="BL58" s="604"/>
      <c r="BM58" s="604"/>
      <c r="BN58" s="604"/>
      <c r="BO58" s="604"/>
      <c r="BP58" s="604"/>
      <c r="BQ58" s="604"/>
      <c r="BR58" s="604"/>
      <c r="BS58" s="78"/>
      <c r="BU58" s="880">
        <f t="shared" si="33"/>
        <v>1</v>
      </c>
      <c r="BV58" s="880">
        <f t="shared" si="34"/>
        <v>1</v>
      </c>
      <c r="BW58" s="880">
        <f t="shared" si="35"/>
        <v>1</v>
      </c>
      <c r="CK58" s="61" t="s">
        <v>31</v>
      </c>
      <c r="CL58" s="61">
        <v>2</v>
      </c>
      <c r="CM58" s="61" t="str">
        <v>sunitinib</v>
      </c>
      <c r="CN58" s="17">
        <v>7</v>
      </c>
      <c r="CO58" s="61" t="str" cm="1">
        <f t="array" ref="CO58">INDEX(List_comparators,CP57+1)</f>
        <v>nivolumab_monotherapy</v>
      </c>
      <c r="CP58" s="17">
        <v>0</v>
      </c>
      <c r="CQ58" s="601">
        <f t="shared" ca="1" si="36"/>
        <v>0.38380000000000003</v>
      </c>
      <c r="CR58" s="601">
        <f t="shared" ca="1" si="37"/>
        <v>3.8380000000000004E-2</v>
      </c>
      <c r="CS58" s="669">
        <f t="shared" ca="1" si="38"/>
        <v>46.008571428571429</v>
      </c>
      <c r="CT58" s="669">
        <f t="shared" ca="1" si="39"/>
        <v>3.9314285714285711</v>
      </c>
      <c r="CU58" s="1123" t="e">
        <f>MATCH(CZ58,'Resource use and costs'!$BA$11:$BA$53,0)</f>
        <v>#N/A</v>
      </c>
      <c r="CV58" s="1223"/>
      <c r="CW58" s="1241">
        <f t="shared" si="12"/>
        <v>0</v>
      </c>
      <c r="CX58" s="899" t="s">
        <v>764</v>
      </c>
      <c r="CY58" s="899" t="s">
        <v>585</v>
      </c>
      <c r="CZ58" s="899" t="s">
        <v>765</v>
      </c>
      <c r="DA58" s="899"/>
      <c r="DB58" s="899"/>
      <c r="DC58" s="899" cm="1">
        <f t="array" aca="1" ref="DC58" ca="1">_xlfn.IFNA(OFFSET($I$49,MATCH(CY58,$I$50:$I$63,0),MATCH(CZ58,TRANSPOSE($J$49:$W$49),0)),0)</f>
        <v>0.32729999999999998</v>
      </c>
      <c r="DD58" s="899" cm="1">
        <f t="array" aca="1" ref="DD58" ca="1">_xlfn.IFNA(OFFSET($Y$49,MATCH($CZ58,$Y$50:$Y$63,0),MATCH($DA58,TRANSPOSE($Z$49:$AM$49),0)),0)</f>
        <v>0</v>
      </c>
      <c r="DE58" s="899" cm="1">
        <f t="array" aca="1" ref="DE58" ca="1">_xlfn.IFNA(OFFSET($AO$49,MATCH($DA58,$AO$50:$AO$63,0),MATCH($DB58,TRANSPOSE($AP$49:$BC$49),0)),0)</f>
        <v>0</v>
      </c>
      <c r="DF58" s="881">
        <f t="shared" ca="1" si="8"/>
        <v>0.32729999999999998</v>
      </c>
      <c r="DG58" s="910">
        <f t="shared" ca="1" si="9"/>
        <v>1</v>
      </c>
      <c r="DH58" s="881">
        <f t="shared" ca="1" si="10"/>
        <v>0.32729999999999998</v>
      </c>
      <c r="DI58" s="1460">
        <f t="shared" ca="1" si="40"/>
        <v>76.588200000000001</v>
      </c>
      <c r="DJ58" s="909">
        <f>_xlfn.IFNA(INDEX('Resource use and costs'!$CQ$11:$CQ$53,MATCH($CZ58,'Resource use and costs'!$BA$11:$BA$53,0)),0)*_xlfn.IFNA(INDEX(DY$10:DY$23,MATCH($CZ58,$DX$10:$DX$23,0)),0)</f>
        <v>0</v>
      </c>
      <c r="DK58" s="909">
        <f>IF(dd_PartSA_2_lines = "Yes",0,_xlfn.IFNA(INDEX('Resource use and costs'!$CR$11:$CR$53,MATCH(DA58,'Resource use and costs'!$BA$11:$BA$53,0)),0)*_xlfn.IFNA(INDEX(EA$10:EA$23,MATCH($DA58,$DX$10:$DX$23,0)),0))</f>
        <v>0</v>
      </c>
      <c r="DL58" s="909">
        <f>IF(dd_PartSA_2_lines = "Yes",0,_xlfn.IFNA(INDEX('Resource use and costs'!$CS$11:$CS$53,MATCH(DB58,'Resource use and costs'!$BA$11:$BA$53,0)),0)*_xlfn.IFNA(INDEX(EC$10:EC$23,MATCH($DB58,$DX$10:$DX$23,0)),0))</f>
        <v>0</v>
      </c>
      <c r="DM58" s="909">
        <f t="shared" si="13"/>
        <v>0</v>
      </c>
      <c r="DN58" s="909">
        <f>SUM(_xlfn.IFNA(INDEX('Resource use and costs'!$DU$12:$DU$25,MATCH(CZ58,'Resource use and costs'!$DS$12:$DS$25,0)),0),_xlfn.IFNA(INDEX('Resource use and costs'!$DU$12:$DU$25,MATCH(DA58,'Resource use and costs'!$DS$12:$DS$25,0)),0),_xlfn.IFNA(INDEX('Resource use and costs'!$DU$12:$DU$25,MATCH(DB58,'Resource use and costs'!$DS$12:$DS$25,0)),0))</f>
        <v>0</v>
      </c>
      <c r="DO58" s="921">
        <f>_xlfn.IFNA(INDEX('Resource use and costs'!$DY$12:$DY$25,MATCH(CZ58,'Resource use and costs'!$DS$12:$DS$25,0)),0)*_xlfn.IFNA(INDEX(DY$10:DY$23,MATCH($CZ58,$DX$10:$DX$23,0)),0)</f>
        <v>0</v>
      </c>
      <c r="DP58" s="921">
        <f>IF(dd_PartSA_2_lines = "Yes",0,_xlfn.IFNA(INDEX('Resource use and costs'!$DZ$12:$DZ$25,MATCH(DA58,'Resource use and costs'!$DS$12:$DS$25,0)),0)*_xlfn.IFNA(INDEX(EA$10:EA$23,MATCH($DA58,$DX$10:$DX$23,0)),0))</f>
        <v>0</v>
      </c>
      <c r="DQ58" s="921">
        <f>IF(dd_PartSA_2_lines = "Yes",0,_xlfn.IFNA(INDEX('Resource use and costs'!$EA$12:$EA$25,MATCH(DB58,'Resource use and costs'!$DS$12:$DS$25,0)),0)*_xlfn.IFNA(INDEX(EC$10:EC$23,MATCH($DB58,$DX$10:$DX$23,0)),0))</f>
        <v>0</v>
      </c>
      <c r="DR58" s="921">
        <f t="shared" si="14"/>
        <v>0</v>
      </c>
      <c r="DS58" s="1004">
        <f>SUMIFS('Safety parameters'!$DM$6:$DM$18,'Safety parameters'!$DK$6:$DK$18,CZ58,'Safety parameters'!$DL$6:$DL$18,1)+IF(dd_PartSA_2_lines = "Yes",0,SUMIFS('Safety parameters'!$DM$6:$DM$18,'Safety parameters'!$DK$6:$DK$18,DA58,'Safety parameters'!$DL$6:$DL$18,2)+SUMIFS('Safety parameters'!$DM$6:$DM$18,'Safety parameters'!$DK$6:$DK$18,DB58,'Safety parameters'!$DL$6:$DL$18,2))</f>
        <v>0</v>
      </c>
      <c r="DT58" s="910">
        <f>SUMIFS('Safety parameters'!$DO$6:$DO$18,'Safety parameters'!$DK$6:$DK$18,CZ58,'Safety parameters'!$DL$6:$DL$18,1)+IF(dd_PartSA_2_lines = "Yes",0,SUMIFS('Safety parameters'!$DO$6:$DO$18,'Safety parameters'!$DK$6:$DK$18,DA58,'Safety parameters'!$DL$6:$DL$18,2)+SUMIFS('Safety parameters'!$DO$6:$DO$18,'Safety parameters'!$DK$6:$DK$18,DB58,'Safety parameters'!$DL$6:$DL$18,2))</f>
        <v>0</v>
      </c>
      <c r="DX58" s="61" t="str">
        <v>nivolumab_plus_ipilimumab</v>
      </c>
      <c r="DY58" s="61" t="s">
        <v>788</v>
      </c>
      <c r="DZ58" s="920" cm="1">
        <f t="array" aca="1" ref="DZ58" ca="1">SUMPRODUCT(($CX$11:$CX$779=DY58)*($CY$11:$CY$779=DX58),$DH$11:$DH$779,$DM$11:$DM$779)</f>
        <v>0</v>
      </c>
      <c r="EA58" s="920" cm="1">
        <f t="array" aca="1" ref="EA58" ca="1">SUMPRODUCT(($CX$11:$CX$779=DY58)*($CY$11:$CY$779=DX58),$DH$11:$DH$779,$DR$11:$DR$779)</f>
        <v>0</v>
      </c>
      <c r="EB58" s="920" cm="1">
        <f t="array" aca="1" ref="EB58" ca="1">SUMPRODUCT(($CX$11:$CX$779=DY58)*($CY$11:$CY$779=DX58),$DH$11:$DH$779,$DS$11:$DS$779)</f>
        <v>0</v>
      </c>
      <c r="EC58" s="1029" cm="1">
        <f t="array" aca="1" ref="EC58" ca="1">SUMPRODUCT(($CX$11:$CX$779=DY58)*($CY$11:$CY$779=DX58),$DH$11:$DH$779,$DT$11:$DT$779)</f>
        <v>0</v>
      </c>
      <c r="ED58" s="920">
        <f t="shared" ca="1" si="18"/>
        <v>0</v>
      </c>
      <c r="EE58" s="920">
        <f t="shared" ca="1" si="19"/>
        <v>0</v>
      </c>
      <c r="EF58" s="1238"/>
      <c r="EG58" s="1238"/>
      <c r="EH58" s="1238"/>
      <c r="EI58" s="1238"/>
      <c r="EJ58" s="1238"/>
    </row>
    <row r="59" spans="3:140" ht="15" x14ac:dyDescent="0.2">
      <c r="D59" s="82">
        <v>10</v>
      </c>
      <c r="E59" s="4" t="str">
        <v>lenvatinib_plus_everolimus</v>
      </c>
      <c r="G59" s="664"/>
      <c r="H59" s="664"/>
      <c r="I59" s="740" t="str">
        <v>lenvatinib_plus_everolimus</v>
      </c>
      <c r="J59" s="911"/>
      <c r="K59" s="912"/>
      <c r="L59" s="912"/>
      <c r="M59" s="912"/>
      <c r="N59" s="912"/>
      <c r="O59" s="1046"/>
      <c r="P59" s="911"/>
      <c r="Q59" s="911"/>
      <c r="R59" s="911"/>
      <c r="S59" s="911"/>
      <c r="T59" s="1046"/>
      <c r="U59" s="1046"/>
      <c r="V59" s="1046"/>
      <c r="W59" s="1046">
        <f>IF(X59&lt;&gt;0,CHOOSE(i_sub_txt_prop_num,0.381456,0.381456),1)</f>
        <v>1</v>
      </c>
      <c r="X59" s="903">
        <f t="shared" si="28"/>
        <v>0</v>
      </c>
      <c r="Y59" s="925" t="str">
        <v>lenvatinib_plus_everolimus</v>
      </c>
      <c r="Z59" s="1020">
        <f>CHOOSE(i_sub_txt_prop_num,0,0.0821)</f>
        <v>8.2100000000000006E-2</v>
      </c>
      <c r="AA59" s="745"/>
      <c r="AB59" s="745"/>
      <c r="AC59" s="745"/>
      <c r="AD59" s="745"/>
      <c r="AE59" s="1020">
        <f>CHOOSE(i_sub_txt_prop_num,0.02301,0.0821)</f>
        <v>8.2100000000000006E-2</v>
      </c>
      <c r="AF59" s="599">
        <f>CHOOSE(i_sub_txt_prop_num,0,0%)</f>
        <v>0</v>
      </c>
      <c r="AG59" s="599">
        <f>CHOOSE(i_sub_txt_prop_num,0,0%)</f>
        <v>0</v>
      </c>
      <c r="AH59" s="1020">
        <f>CHOOSE(i_sub_txt_prop_num,0,0.4927)</f>
        <v>0.49270000000000003</v>
      </c>
      <c r="AI59" s="599">
        <f>CHOOSE(i_sub_txt_prop_num,0,0%)</f>
        <v>0</v>
      </c>
      <c r="AJ59" s="599">
        <f>CHOOSE(i_sub_txt_prop_num,0.11507,0)</f>
        <v>0</v>
      </c>
      <c r="AK59" s="599">
        <f>CHOOSE(i_sub_txt_prop_num,0.13808,0%)</f>
        <v>0</v>
      </c>
      <c r="AL59" s="78"/>
      <c r="AM59" s="1020">
        <f>IF(AN59&lt;&gt;0,CHOOSE(i_sub_txt_prop_num,0.72383,0.343),1)</f>
        <v>0.34300000000000003</v>
      </c>
      <c r="AN59" s="903">
        <f t="shared" si="30"/>
        <v>0.65690000000000004</v>
      </c>
      <c r="AO59" s="925" t="str">
        <v>lenvatinib_plus_everolimus</v>
      </c>
      <c r="AP59" s="599">
        <f>CHOOSE(i_sub_txt_prop_num,0,0)</f>
        <v>0</v>
      </c>
      <c r="AQ59" s="877"/>
      <c r="AR59" s="877"/>
      <c r="AS59" s="877"/>
      <c r="AT59" s="877"/>
      <c r="AU59" s="599">
        <f>CHOOSE(i_sub_txt_prop_num,0.02301,0)</f>
        <v>0</v>
      </c>
      <c r="AV59" s="599">
        <f>CHOOSE(i_sub_txt_prop_num,0,0%)</f>
        <v>0</v>
      </c>
      <c r="AW59" s="599">
        <f>CHOOSE(i_sub_txt_prop_num,0,0%)</f>
        <v>0</v>
      </c>
      <c r="AX59" s="599">
        <f>CHOOSE(i_sub_txt_prop_num,0,0)</f>
        <v>0</v>
      </c>
      <c r="AY59" s="599">
        <f>CHOOSE(i_sub_txt_prop_num,0,0)</f>
        <v>0</v>
      </c>
      <c r="AZ59" s="599">
        <f>CHOOSE(i_sub_txt_prop_num,0.11507,0)</f>
        <v>0</v>
      </c>
      <c r="BA59" s="1020">
        <f>CHOOSE(i_sub_txt_prop_num,0.13808,0.5686)</f>
        <v>0.56859999999999999</v>
      </c>
      <c r="BB59" s="78"/>
      <c r="BC59" s="1020">
        <f>IF(BD59&lt;&gt;0,CHOOSE(i_sub_txt_prop_num,0.72383,0.4314),1)</f>
        <v>0.43140000000000001</v>
      </c>
      <c r="BD59" s="926">
        <f t="shared" si="32"/>
        <v>0.56859999999999999</v>
      </c>
      <c r="BE59" s="4" t="s">
        <v>791</v>
      </c>
      <c r="BF59" s="604"/>
      <c r="BG59" s="604"/>
      <c r="BH59" s="604"/>
      <c r="BI59" s="604"/>
      <c r="BJ59" s="604"/>
      <c r="BK59" s="604"/>
      <c r="BL59" s="604"/>
      <c r="BM59" s="604"/>
      <c r="BN59" s="604"/>
      <c r="BO59" s="604"/>
      <c r="BP59" s="604"/>
      <c r="BQ59" s="604"/>
      <c r="BR59" s="604"/>
      <c r="BS59" s="78"/>
      <c r="BU59" s="880">
        <f t="shared" si="33"/>
        <v>1</v>
      </c>
      <c r="BV59" s="880">
        <f t="shared" si="34"/>
        <v>1</v>
      </c>
      <c r="BW59" s="880">
        <f t="shared" si="35"/>
        <v>1</v>
      </c>
      <c r="CK59" s="61" t="s">
        <v>31</v>
      </c>
      <c r="CL59" s="61">
        <v>2</v>
      </c>
      <c r="CM59" s="61" t="str">
        <v>cabozantinib</v>
      </c>
      <c r="CN59" s="17">
        <v>8</v>
      </c>
      <c r="CO59" s="61" t="str" cm="1">
        <f t="array" ref="CO59">INDEX(List_comparators,CP58+1)</f>
        <v>nivolumab_monotherapy</v>
      </c>
      <c r="CP59" s="17">
        <v>0</v>
      </c>
      <c r="CQ59" s="601">
        <f t="shared" ca="1" si="36"/>
        <v>0.59511111111111104</v>
      </c>
      <c r="CR59" s="601">
        <f t="shared" ca="1" si="37"/>
        <v>5.9511111111111105E-2</v>
      </c>
      <c r="CS59" s="669">
        <f t="shared" ca="1" si="38"/>
        <v>46.008571428571429</v>
      </c>
      <c r="CT59" s="669">
        <f t="shared" ca="1" si="39"/>
        <v>3.9314285714285711</v>
      </c>
      <c r="CU59" s="1123">
        <f>MATCH(CZ59,'Resource use and costs'!$BA$11:$BA$53,0)</f>
        <v>30</v>
      </c>
      <c r="CV59" s="1223"/>
      <c r="CW59" s="1241">
        <f t="shared" si="12"/>
        <v>1</v>
      </c>
      <c r="CX59" s="899" t="s">
        <v>764</v>
      </c>
      <c r="CY59" s="899" t="s">
        <v>585</v>
      </c>
      <c r="CZ59" s="899" t="s">
        <v>118</v>
      </c>
      <c r="DA59" s="899" t="s">
        <v>327</v>
      </c>
      <c r="DB59" s="899" t="s">
        <v>765</v>
      </c>
      <c r="DC59" s="899">
        <f ca="1">1-DC52-DC58-DC67-DC73-DC79</f>
        <v>0.26190000000000002</v>
      </c>
      <c r="DD59" s="899" cm="1">
        <f t="array" aca="1" ref="DD59" ca="1">_xlfn.IFNA(OFFSET($Y$49,MATCH($CZ59,$Y$50:$Y$63,0),MATCH($DA59,TRANSPOSE($Z$49:$AM$49),0)),0)</f>
        <v>0.122</v>
      </c>
      <c r="DE59" s="899" cm="1">
        <f t="array" aca="1" ref="DE59" ca="1">_xlfn.IFNA(OFFSET($AO$49,MATCH($DA59,$AO$50:$AO$63,0),MATCH($DB59,TRANSPOSE($AP$49:$BC$49),0)),0)</f>
        <v>0.43140000000000001</v>
      </c>
      <c r="DF59" s="881">
        <f t="shared" ca="1" si="8"/>
        <v>1.3784006520000001E-2</v>
      </c>
      <c r="DG59" s="910">
        <f t="shared" ca="1" si="9"/>
        <v>1</v>
      </c>
      <c r="DH59" s="881">
        <f t="shared" ca="1" si="10"/>
        <v>1.3784006520000001E-2</v>
      </c>
      <c r="DI59" s="1460">
        <f t="shared" ca="1" si="40"/>
        <v>3.2254575256800004</v>
      </c>
      <c r="DJ59" s="909">
        <f>_xlfn.IFNA(INDEX('Resource use and costs'!$CQ$11:$CQ$53,MATCH($CZ59,'Resource use and costs'!$BA$11:$BA$53,0)),0)*_xlfn.IFNA(INDEX(DY$10:DY$23,MATCH($CZ59,$DX$10:$DX$23,0)),0)</f>
        <v>45284.183573333321</v>
      </c>
      <c r="DK59" s="909">
        <f>IF(dd_PartSA_2_lines = "Yes",0,_xlfn.IFNA(INDEX('Resource use and costs'!$CR$11:$CR$53,MATCH(DA59,'Resource use and costs'!$BA$11:$BA$53,0)),0)*_xlfn.IFNA(INDEX(EA$10:EA$23,MATCH($DA59,$DX$10:$DX$23,0)),0))</f>
        <v>21421.066008214286</v>
      </c>
      <c r="DL59" s="909">
        <f>IF(dd_PartSA_2_lines = "Yes",0,_xlfn.IFNA(INDEX('Resource use and costs'!$CS$11:$CS$53,MATCH(DB59,'Resource use and costs'!$BA$11:$BA$53,0)),0)*_xlfn.IFNA(INDEX(EC$10:EC$23,MATCH($DB59,$DX$10:$DX$23,0)),0))</f>
        <v>0</v>
      </c>
      <c r="DM59" s="909">
        <f t="shared" si="13"/>
        <v>66705.2495815476</v>
      </c>
      <c r="DN59" s="909">
        <f>SUM(_xlfn.IFNA(INDEX('Resource use and costs'!$DU$12:$DU$25,MATCH(CZ59,'Resource use and costs'!$DS$12:$DS$25,0)),0),_xlfn.IFNA(INDEX('Resource use and costs'!$DU$12:$DU$25,MATCH(DA59,'Resource use and costs'!$DS$12:$DS$25,0)),0),_xlfn.IFNA(INDEX('Resource use and costs'!$DU$12:$DU$25,MATCH(DB59,'Resource use and costs'!$DS$12:$DS$25,0)),0))</f>
        <v>394.5</v>
      </c>
      <c r="DO59" s="921">
        <f>_xlfn.IFNA(INDEX('Resource use and costs'!$DY$12:$DY$25,MATCH(CZ59,'Resource use and costs'!$DS$12:$DS$25,0)),0)*_xlfn.IFNA(INDEX(DY$10:DY$23,MATCH($CZ59,$DX$10:$DX$23,0)),0)</f>
        <v>415.09348571428563</v>
      </c>
      <c r="DP59" s="921">
        <f>IF(dd_PartSA_2_lines = "Yes",0,_xlfn.IFNA(INDEX('Resource use and costs'!$DZ$12:$DZ$25,MATCH(DA59,'Resource use and costs'!$DS$12:$DS$25,0)),0)*_xlfn.IFNA(INDEX(EA$10:EA$23,MATCH($DA59,$DX$10:$DX$23,0)),0))</f>
        <v>267.99172714285714</v>
      </c>
      <c r="DQ59" s="921">
        <f>IF(dd_PartSA_2_lines = "Yes",0,_xlfn.IFNA(INDEX('Resource use and costs'!$EA$12:$EA$25,MATCH(DB59,'Resource use and costs'!$DS$12:$DS$25,0)),0)*_xlfn.IFNA(INDEX(EC$10:EC$23,MATCH($DB59,$DX$10:$DX$23,0)),0))</f>
        <v>0</v>
      </c>
      <c r="DR59" s="921">
        <f t="shared" si="14"/>
        <v>1077.5852128571428</v>
      </c>
      <c r="DS59" s="1004">
        <f ca="1">SUMIFS('Safety parameters'!$DM$6:$DM$18,'Safety parameters'!$DK$6:$DK$18,CZ59,'Safety parameters'!$DL$6:$DL$18,1)+IF(dd_PartSA_2_lines = "Yes",0,SUMIFS('Safety parameters'!$DM$6:$DM$18,'Safety parameters'!$DK$6:$DK$18,DA59,'Safety parameters'!$DL$6:$DL$18,2)+SUMIFS('Safety parameters'!$DM$6:$DM$18,'Safety parameters'!$DK$6:$DK$18,DB59,'Safety parameters'!$DL$6:$DL$18,2))</f>
        <v>2366.0578362496171</v>
      </c>
      <c r="DT59" s="910">
        <f ca="1">SUMIFS('Safety parameters'!$DO$6:$DO$18,'Safety parameters'!$DK$6:$DK$18,CZ59,'Safety parameters'!$DL$6:$DL$18,1)+IF(dd_PartSA_2_lines = "Yes",0,SUMIFS('Safety parameters'!$DO$6:$DO$18,'Safety parameters'!$DK$6:$DK$18,DA59,'Safety parameters'!$DL$6:$DL$18,2)+SUMIFS('Safety parameters'!$DO$6:$DO$18,'Safety parameters'!$DK$6:$DK$18,DB59,'Safety parameters'!$DL$6:$DL$18,2))</f>
        <v>-2.125891351595622E-2</v>
      </c>
      <c r="DX59" s="61" t="str">
        <v>lenvatinib_plus_pembrolizumab</v>
      </c>
      <c r="DY59" s="61" t="s">
        <v>788</v>
      </c>
      <c r="DZ59" s="920" cm="1">
        <f t="array" aca="1" ref="DZ59" ca="1">SUMPRODUCT(($CX$11:$CX$779=DY59)*($CY$11:$CY$779=DX59),$DH$11:$DH$779,$DM$11:$DM$779)</f>
        <v>0</v>
      </c>
      <c r="EA59" s="920" cm="1">
        <f t="array" aca="1" ref="EA59" ca="1">SUMPRODUCT(($CX$11:$CX$779=DY59)*($CY$11:$CY$779=DX59),$DH$11:$DH$779,$DR$11:$DR$779)</f>
        <v>0</v>
      </c>
      <c r="EB59" s="920" cm="1">
        <f t="array" aca="1" ref="EB59" ca="1">SUMPRODUCT(($CX$11:$CX$779=DY59)*($CY$11:$CY$779=DX59),$DH$11:$DH$779,$DS$11:$DS$779)</f>
        <v>0</v>
      </c>
      <c r="EC59" s="1029" cm="1">
        <f t="array" aca="1" ref="EC59" ca="1">SUMPRODUCT(($CX$11:$CX$779=DY59)*($CY$11:$CY$779=DX59),$DH$11:$DH$779,$DT$11:$DT$779)</f>
        <v>0</v>
      </c>
      <c r="ED59" s="920">
        <f t="shared" ca="1" si="18"/>
        <v>0</v>
      </c>
      <c r="EE59" s="920">
        <f t="shared" ca="1" si="19"/>
        <v>0</v>
      </c>
      <c r="EF59" s="1238"/>
      <c r="EG59" s="1238"/>
      <c r="EH59" s="1238"/>
      <c r="EI59" s="1238"/>
      <c r="EJ59" s="1238"/>
    </row>
    <row r="60" spans="3:140" ht="15" x14ac:dyDescent="0.2">
      <c r="D60" s="82">
        <v>11</v>
      </c>
      <c r="E60" s="4" t="str">
        <v>everolimus</v>
      </c>
      <c r="G60" s="664"/>
      <c r="H60" s="664"/>
      <c r="I60" s="740" t="str">
        <v>everolimus</v>
      </c>
      <c r="J60" s="911"/>
      <c r="K60" s="912"/>
      <c r="L60" s="912"/>
      <c r="M60" s="912"/>
      <c r="N60" s="912"/>
      <c r="O60" s="1046"/>
      <c r="P60" s="911"/>
      <c r="Q60" s="911"/>
      <c r="R60" s="911"/>
      <c r="S60" s="911"/>
      <c r="T60" s="911"/>
      <c r="U60" s="1046"/>
      <c r="V60" s="1046"/>
      <c r="W60" s="1046">
        <f>IF(X60&lt;&gt;0,CHOOSE(i_sub_txt_prop_num,0.381456,0.381456),1)</f>
        <v>1</v>
      </c>
      <c r="X60" s="903">
        <f t="shared" si="28"/>
        <v>0</v>
      </c>
      <c r="Y60" s="925" t="str">
        <v>everolimus</v>
      </c>
      <c r="Z60" s="599">
        <f>CHOOSE(i_sub_txt_prop_num,0.16355,0)</f>
        <v>0</v>
      </c>
      <c r="AA60" s="745"/>
      <c r="AB60" s="745"/>
      <c r="AC60" s="745"/>
      <c r="AD60" s="745"/>
      <c r="AE60" s="599">
        <f>CHOOSE(i_sub_txt_prop_num,0.11952,0)</f>
        <v>0</v>
      </c>
      <c r="AF60" s="599">
        <f>CHOOSE(i_sub_txt_prop_num,0,0%)</f>
        <v>0</v>
      </c>
      <c r="AG60" s="599">
        <f>CHOOSE(i_sub_txt_prop_num,0.07405,0%)</f>
        <v>0</v>
      </c>
      <c r="AH60" s="599">
        <f>CHOOSE(i_sub_txt_prop_num,0,0%)</f>
        <v>0</v>
      </c>
      <c r="AI60" s="599">
        <f>CHOOSE(i_sub_txt_prop_num,0,0%)</f>
        <v>0</v>
      </c>
      <c r="AJ60" s="599">
        <f>CHOOSE(i_sub_txt_prop_num,0,0%)</f>
        <v>0</v>
      </c>
      <c r="AK60" s="599">
        <f>CHOOSE(i_sub_txt_prop_num,0.25854,0%)</f>
        <v>0</v>
      </c>
      <c r="AL60" s="78"/>
      <c r="AM60" s="1046">
        <f>IF(AN60&lt;&gt;0,CHOOSE(i_sub_txt_prop_num,0.38793,0.381456),1)</f>
        <v>1</v>
      </c>
      <c r="AN60" s="903">
        <f t="shared" si="30"/>
        <v>0</v>
      </c>
      <c r="AO60" s="925" t="str">
        <v>everolimus</v>
      </c>
      <c r="AP60" s="599">
        <f>CHOOSE(i_sub_txt_prop_num,0.16355,0)</f>
        <v>0</v>
      </c>
      <c r="AQ60" s="877"/>
      <c r="AR60" s="877"/>
      <c r="AS60" s="877"/>
      <c r="AT60" s="877"/>
      <c r="AU60" s="599">
        <f>CHOOSE(i_sub_txt_prop_num,0.11952,0)</f>
        <v>0</v>
      </c>
      <c r="AV60" s="599">
        <f>CHOOSE(i_sub_txt_prop_num,0,0%)</f>
        <v>0</v>
      </c>
      <c r="AW60" s="599">
        <f>CHOOSE(i_sub_txt_prop_num,0.07405,0%)</f>
        <v>0</v>
      </c>
      <c r="AX60" s="599">
        <f>CHOOSE(i_sub_txt_prop_num,0,0%)</f>
        <v>0</v>
      </c>
      <c r="AY60" s="599">
        <f>CHOOSE(i_sub_txt_prop_num,0,0%)</f>
        <v>0</v>
      </c>
      <c r="AZ60" s="599">
        <f>CHOOSE(i_sub_txt_prop_num,0,0%)</f>
        <v>0</v>
      </c>
      <c r="BA60" s="599">
        <f>CHOOSE(i_sub_txt_prop_num,0.25854,0)</f>
        <v>0</v>
      </c>
      <c r="BB60" s="78"/>
      <c r="BC60" s="1046">
        <f>IF(BD60&lt;&gt;0,CHOOSE(i_sub_txt_prop_num,0.38793,0.381456),1)</f>
        <v>1</v>
      </c>
      <c r="BD60" s="926">
        <f t="shared" si="32"/>
        <v>0</v>
      </c>
      <c r="BE60" s="4" t="s">
        <v>780</v>
      </c>
      <c r="BF60" s="604"/>
      <c r="BG60" s="604"/>
      <c r="BH60" s="604"/>
      <c r="BI60" s="604"/>
      <c r="BJ60" s="604"/>
      <c r="BK60" s="604"/>
      <c r="BL60" s="604"/>
      <c r="BM60" s="604"/>
      <c r="BN60" s="604"/>
      <c r="BO60" s="604"/>
      <c r="BP60" s="604"/>
      <c r="BQ60" s="604"/>
      <c r="BR60" s="604"/>
      <c r="BS60" s="78"/>
      <c r="BU60" s="880">
        <f t="shared" si="33"/>
        <v>1</v>
      </c>
      <c r="BV60" s="880">
        <f t="shared" si="34"/>
        <v>1</v>
      </c>
      <c r="BW60" s="880">
        <f t="shared" si="35"/>
        <v>1</v>
      </c>
      <c r="CK60" s="61" t="s">
        <v>31</v>
      </c>
      <c r="CL60" s="61">
        <v>2</v>
      </c>
      <c r="CM60" s="61" t="str">
        <v>lenvatinib_plus_everolimus</v>
      </c>
      <c r="CN60" s="17">
        <v>9</v>
      </c>
      <c r="CO60" s="61" t="str" cm="1">
        <f t="array" ref="CO60">INDEX(List_comparators,CP59+1)</f>
        <v>nivolumab_monotherapy</v>
      </c>
      <c r="CP60" s="17">
        <v>0</v>
      </c>
      <c r="CQ60" s="601">
        <f t="shared" ca="1" si="36"/>
        <v>0</v>
      </c>
      <c r="CR60" s="601">
        <f t="shared" ca="1" si="37"/>
        <v>0</v>
      </c>
      <c r="CS60" s="669">
        <f t="shared" ca="1" si="38"/>
        <v>46.008571428571429</v>
      </c>
      <c r="CT60" s="669">
        <f t="shared" ca="1" si="39"/>
        <v>3.9314285714285711</v>
      </c>
      <c r="CU60" s="1123">
        <f>MATCH(CZ60,'Resource use and costs'!$BA$11:$BA$53,0)</f>
        <v>30</v>
      </c>
      <c r="CV60" s="1223"/>
      <c r="CW60" s="1241">
        <f t="shared" si="12"/>
        <v>1</v>
      </c>
      <c r="CX60" s="899" t="s">
        <v>764</v>
      </c>
      <c r="CY60" s="899" t="s">
        <v>585</v>
      </c>
      <c r="CZ60" s="899" t="s">
        <v>118</v>
      </c>
      <c r="DA60" s="899" t="s">
        <v>327</v>
      </c>
      <c r="DB60" s="899" t="s">
        <v>119</v>
      </c>
      <c r="DC60" s="899">
        <f t="shared" ref="DC60:DC66" ca="1" si="44">DC59</f>
        <v>0.26190000000000002</v>
      </c>
      <c r="DD60" s="899" cm="1">
        <f t="array" aca="1" ref="DD60" ca="1">_xlfn.IFNA(OFFSET($Y$49,MATCH($CZ60,$Y$50:$Y$63,0),MATCH($DA60,TRANSPOSE($Z$49:$AM$49),0)),0)</f>
        <v>0.122</v>
      </c>
      <c r="DE60" s="899" cm="1">
        <f t="array" aca="1" ref="DE60" ca="1">_xlfn.IFNA(OFFSET($AO$49,MATCH($DA60,$AO$50:$AO$63,0),MATCH($DB60,TRANSPOSE($AP$49:$BC$49),0)),0)</f>
        <v>0.56859999999999999</v>
      </c>
      <c r="DF60" s="881">
        <f t="shared" ca="1" si="8"/>
        <v>1.816779348E-2</v>
      </c>
      <c r="DG60" s="910">
        <f t="shared" ca="1" si="9"/>
        <v>1</v>
      </c>
      <c r="DH60" s="881">
        <f t="shared" ca="1" si="10"/>
        <v>1.816779348E-2</v>
      </c>
      <c r="DI60" s="1460">
        <f t="shared" ca="1" si="40"/>
        <v>4.2512636743199996</v>
      </c>
      <c r="DJ60" s="909">
        <f>_xlfn.IFNA(INDEX('Resource use and costs'!$CQ$11:$CQ$53,MATCH($CZ60,'Resource use and costs'!$BA$11:$BA$53,0)),0)*_xlfn.IFNA(INDEX(DY$10:DY$23,MATCH($CZ60,$DX$10:$DX$23,0)),0)</f>
        <v>45284.183573333321</v>
      </c>
      <c r="DK60" s="909">
        <f>IF(dd_PartSA_2_lines = "Yes",0,_xlfn.IFNA(INDEX('Resource use and costs'!$CR$11:$CR$53,MATCH(DA60,'Resource use and costs'!$BA$11:$BA$53,0)),0)*_xlfn.IFNA(INDEX(EA$10:EA$23,MATCH($DA60,$DX$10:$DX$23,0)),0))</f>
        <v>21421.066008214286</v>
      </c>
      <c r="DL60" s="909">
        <f>IF(dd_PartSA_2_lines = "Yes",0,_xlfn.IFNA(INDEX('Resource use and costs'!$CS$11:$CS$53,MATCH(DB60,'Resource use and costs'!$BA$11:$BA$53,0)),0)*_xlfn.IFNA(INDEX(EC$10:EC$23,MATCH($DB60,$DX$10:$DX$23,0)),0))</f>
        <v>2915.4763433333328</v>
      </c>
      <c r="DM60" s="909">
        <f t="shared" si="13"/>
        <v>69620.725924880928</v>
      </c>
      <c r="DN60" s="909">
        <f>SUM(_xlfn.IFNA(INDEX('Resource use and costs'!$DU$12:$DU$25,MATCH(CZ60,'Resource use and costs'!$DS$12:$DS$25,0)),0),_xlfn.IFNA(INDEX('Resource use and costs'!$DU$12:$DU$25,MATCH(DA60,'Resource use and costs'!$DS$12:$DS$25,0)),0),_xlfn.IFNA(INDEX('Resource use and costs'!$DU$12:$DU$25,MATCH(DB60,'Resource use and costs'!$DS$12:$DS$25,0)),0))</f>
        <v>591.75</v>
      </c>
      <c r="DO60" s="921">
        <f>_xlfn.IFNA(INDEX('Resource use and costs'!$DY$12:$DY$25,MATCH(CZ60,'Resource use and costs'!$DS$12:$DS$25,0)),0)*_xlfn.IFNA(INDEX(DY$10:DY$23,MATCH($CZ60,$DX$10:$DX$23,0)),0)</f>
        <v>415.09348571428563</v>
      </c>
      <c r="DP60" s="921">
        <f>IF(dd_PartSA_2_lines = "Yes",0,_xlfn.IFNA(INDEX('Resource use and costs'!$DZ$12:$DZ$25,MATCH(DA60,'Resource use and costs'!$DS$12:$DS$25,0)),0)*_xlfn.IFNA(INDEX(EA$10:EA$23,MATCH($DA60,$DX$10:$DX$23,0)),0))</f>
        <v>267.99172714285714</v>
      </c>
      <c r="DQ60" s="921">
        <f>IF(dd_PartSA_2_lines = "Yes",0,_xlfn.IFNA(INDEX('Resource use and costs'!$EA$12:$EA$25,MATCH(DB60,'Resource use and costs'!$DS$12:$DS$25,0)),0)*_xlfn.IFNA(INDEX(EC$10:EC$23,MATCH($DB60,$DX$10:$DX$23,0)),0))</f>
        <v>256.11457142857142</v>
      </c>
      <c r="DR60" s="921">
        <f t="shared" si="14"/>
        <v>1530.9497842857143</v>
      </c>
      <c r="DS60" s="1004">
        <f ca="1">SUMIFS('Safety parameters'!$DM$6:$DM$18,'Safety parameters'!$DK$6:$DK$18,CZ60,'Safety parameters'!$DL$6:$DL$18,1)+IF(dd_PartSA_2_lines = "Yes",0,SUMIFS('Safety parameters'!$DM$6:$DM$18,'Safety parameters'!$DK$6:$DK$18,DA60,'Safety parameters'!$DL$6:$DL$18,2)+SUMIFS('Safety parameters'!$DM$6:$DM$18,'Safety parameters'!$DK$6:$DK$18,DB60,'Safety parameters'!$DL$6:$DL$18,2))</f>
        <v>2698.9332196249325</v>
      </c>
      <c r="DT60" s="910">
        <f ca="1">SUMIFS('Safety parameters'!$DO$6:$DO$18,'Safety parameters'!$DK$6:$DK$18,CZ60,'Safety parameters'!$DL$6:$DL$18,1)+IF(dd_PartSA_2_lines = "Yes",0,SUMIFS('Safety parameters'!$DO$6:$DO$18,'Safety parameters'!$DK$6:$DK$18,DA60,'Safety parameters'!$DL$6:$DL$18,2)+SUMIFS('Safety parameters'!$DO$6:$DO$18,'Safety parameters'!$DK$6:$DK$18,DB60,'Safety parameters'!$DL$6:$DL$18,2))</f>
        <v>-2.3926487052593939E-2</v>
      </c>
      <c r="DX60" s="61" t="str">
        <v>avelumab_plus_axitinib</v>
      </c>
      <c r="DY60" s="61" t="s">
        <v>788</v>
      </c>
      <c r="DZ60" s="920" cm="1">
        <f t="array" aca="1" ref="DZ60" ca="1">SUMPRODUCT(($CX$11:$CX$779=DY60)*($CY$11:$CY$779=DX60),$DH$11:$DH$779,$DM$11:$DM$779)</f>
        <v>0</v>
      </c>
      <c r="EA60" s="920" cm="1">
        <f t="array" aca="1" ref="EA60" ca="1">SUMPRODUCT(($CX$11:$CX$779=DY60)*($CY$11:$CY$779=DX60),$DH$11:$DH$779,$DR$11:$DR$779)</f>
        <v>0</v>
      </c>
      <c r="EB60" s="920" cm="1">
        <f t="array" aca="1" ref="EB60" ca="1">SUMPRODUCT(($CX$11:$CX$779=DY60)*($CY$11:$CY$779=DX60),$DH$11:$DH$779,$DS$11:$DS$779)</f>
        <v>0</v>
      </c>
      <c r="EC60" s="1029" cm="1">
        <f t="array" aca="1" ref="EC60" ca="1">SUMPRODUCT(($CX$11:$CX$779=DY60)*($CY$11:$CY$779=DX60),$DH$11:$DH$779,$DT$11:$DT$779)</f>
        <v>0</v>
      </c>
      <c r="ED60" s="920">
        <f t="shared" ref="ED60:ED83" ca="1" si="45">i_SE_costs*DZ60</f>
        <v>0</v>
      </c>
      <c r="EE60" s="920">
        <f t="shared" ref="EE60:EE83" ca="1" si="46">i_SE_costs*EA60</f>
        <v>0</v>
      </c>
      <c r="EF60" s="1238"/>
      <c r="EG60" s="1238"/>
      <c r="EH60" s="1238"/>
      <c r="EI60" s="1238"/>
      <c r="EJ60" s="1238"/>
    </row>
    <row r="61" spans="3:140" ht="15" x14ac:dyDescent="0.2">
      <c r="D61" s="82">
        <v>12</v>
      </c>
      <c r="E61" s="4" t="str">
        <v>axitinib</v>
      </c>
      <c r="G61" s="664"/>
      <c r="H61" s="664"/>
      <c r="I61" s="740" t="str">
        <v>axitinib</v>
      </c>
      <c r="J61" s="911"/>
      <c r="K61" s="912"/>
      <c r="L61" s="912"/>
      <c r="M61" s="912"/>
      <c r="N61" s="912"/>
      <c r="O61" s="911"/>
      <c r="P61" s="911"/>
      <c r="Q61" s="911"/>
      <c r="R61" s="911"/>
      <c r="S61" s="911"/>
      <c r="T61" s="911"/>
      <c r="U61" s="911"/>
      <c r="V61" s="911"/>
      <c r="W61" s="1046">
        <f>IF(X61&lt;&gt;0,CHOOSE(i_sub_txt_prop_num,0.381456,0.381456),1)</f>
        <v>1</v>
      </c>
      <c r="X61" s="903">
        <f t="shared" si="28"/>
        <v>0</v>
      </c>
      <c r="Y61" s="925" t="str">
        <v>axitinib</v>
      </c>
      <c r="Z61" s="1020">
        <f>CHOOSE(i_sub_txt_prop_num,0.16355,0.3285)</f>
        <v>0.32850000000000001</v>
      </c>
      <c r="AA61" s="745"/>
      <c r="AB61" s="745"/>
      <c r="AC61" s="745"/>
      <c r="AD61" s="745"/>
      <c r="AE61" s="599">
        <f>CHOOSE(i_sub_txt_prop_num,0.11952,0)</f>
        <v>0</v>
      </c>
      <c r="AF61" s="599">
        <f>CHOOSE(i_sub_txt_prop_num,0,0)</f>
        <v>0</v>
      </c>
      <c r="AG61" s="599">
        <f>CHOOSE(i_sub_txt_prop_num,0.07045,0)</f>
        <v>0</v>
      </c>
      <c r="AH61" s="1020">
        <f>CHOOSE(i_sub_txt_prop_num,0,0.3285)</f>
        <v>0.32850000000000001</v>
      </c>
      <c r="AI61" s="599">
        <f>CHOOSE(i_sub_txt_prop_num,0,0%)</f>
        <v>0</v>
      </c>
      <c r="AJ61" s="599">
        <f>CHOOSE(i_sub_txt_prop_num,0.25854,0)</f>
        <v>0</v>
      </c>
      <c r="AK61" s="599">
        <f>CHOOSE(i_sub_txt_prop_num,0,0%)</f>
        <v>0</v>
      </c>
      <c r="AL61" s="78"/>
      <c r="AM61" s="1020">
        <f>IF(AN61&lt;&gt;0,CHOOSE(i_sub_txt_prop_num,0.38793,0.343),1)</f>
        <v>0.34300000000000003</v>
      </c>
      <c r="AN61" s="903">
        <f t="shared" si="30"/>
        <v>0.65700000000000003</v>
      </c>
      <c r="AO61" s="925" t="str">
        <v>axitinib</v>
      </c>
      <c r="AP61" s="78"/>
      <c r="AQ61" s="877"/>
      <c r="AR61" s="877"/>
      <c r="AS61" s="877"/>
      <c r="AT61" s="877"/>
      <c r="AU61" s="78"/>
      <c r="AV61" s="78"/>
      <c r="AW61" s="78"/>
      <c r="AX61" s="78"/>
      <c r="AY61" s="78"/>
      <c r="AZ61" s="1020">
        <f>CHOOSE(i_sub_txt_prop_num,0,0.5686)</f>
        <v>0.56859999999999999</v>
      </c>
      <c r="BA61" s="599">
        <f>CHOOSE(i_sub_txt_prop_num,0,0)</f>
        <v>0</v>
      </c>
      <c r="BB61" s="78"/>
      <c r="BC61" s="1020">
        <f>IF(BD61&lt;&gt;0,CHOOSE(i_sub_txt_prop_num,0.381456,0.4314),1)</f>
        <v>0.43140000000000001</v>
      </c>
      <c r="BD61" s="926">
        <f t="shared" si="32"/>
        <v>0.56859999999999999</v>
      </c>
      <c r="BE61" s="4" t="s">
        <v>792</v>
      </c>
      <c r="BF61" s="604"/>
      <c r="BG61" s="604"/>
      <c r="BH61" s="604"/>
      <c r="BI61" s="604"/>
      <c r="BJ61" s="604"/>
      <c r="BK61" s="604"/>
      <c r="BL61" s="604"/>
      <c r="BM61" s="604"/>
      <c r="BN61" s="604"/>
      <c r="BO61" s="604"/>
      <c r="BP61" s="604"/>
      <c r="BQ61" s="604"/>
      <c r="BR61" s="604"/>
      <c r="BS61" s="78"/>
      <c r="BU61" s="880">
        <f t="shared" si="33"/>
        <v>1</v>
      </c>
      <c r="BV61" s="880">
        <f t="shared" si="34"/>
        <v>1</v>
      </c>
      <c r="BW61" s="880">
        <f t="shared" si="35"/>
        <v>1</v>
      </c>
      <c r="CK61" s="61" t="s">
        <v>31</v>
      </c>
      <c r="CL61" s="61">
        <v>2</v>
      </c>
      <c r="CM61" s="61" t="str">
        <v>everolimus</v>
      </c>
      <c r="CN61" s="17">
        <v>10</v>
      </c>
      <c r="CO61" s="61" t="str" cm="1">
        <f t="array" ref="CO61">INDEX(List_comparators,CP60+1)</f>
        <v>nivolumab_monotherapy</v>
      </c>
      <c r="CP61" s="17">
        <v>0</v>
      </c>
      <c r="CQ61" s="601">
        <f t="shared" ca="1" si="36"/>
        <v>0</v>
      </c>
      <c r="CR61" s="601">
        <f t="shared" ca="1" si="37"/>
        <v>0</v>
      </c>
      <c r="CS61" s="669">
        <f t="shared" ca="1" si="38"/>
        <v>46.008571428571429</v>
      </c>
      <c r="CT61" s="669">
        <f t="shared" ca="1" si="39"/>
        <v>3.9314285714285711</v>
      </c>
      <c r="CU61" s="1123">
        <f>MATCH(CZ61,'Resource use and costs'!$BA$11:$BA$53,0)</f>
        <v>30</v>
      </c>
      <c r="CV61" s="1223"/>
      <c r="CW61" s="1241">
        <f t="shared" si="12"/>
        <v>1</v>
      </c>
      <c r="CX61" s="899" t="s">
        <v>764</v>
      </c>
      <c r="CY61" s="899" t="s">
        <v>585</v>
      </c>
      <c r="CZ61" s="899" t="s">
        <v>118</v>
      </c>
      <c r="DA61" s="899" t="s">
        <v>765</v>
      </c>
      <c r="DB61" s="899"/>
      <c r="DC61" s="899">
        <f t="shared" ca="1" si="44"/>
        <v>0.26190000000000002</v>
      </c>
      <c r="DD61" s="899" cm="1">
        <f t="array" aca="1" ref="DD61" ca="1">_xlfn.IFNA(OFFSET($Y$49,MATCH($CZ61,$Y$50:$Y$63,0),MATCH($DA61,TRANSPOSE($Z$49:$AM$49),0)),0)</f>
        <v>0.34300000000000003</v>
      </c>
      <c r="DE61" s="899" cm="1">
        <f t="array" aca="1" ref="DE61" ca="1">_xlfn.IFNA(OFFSET($AO$49,MATCH($DA61,$AO$50:$AO$63,0),MATCH($DB61,TRANSPOSE($AP$49:$BC$49),0)),0)</f>
        <v>0</v>
      </c>
      <c r="DF61" s="881">
        <f t="shared" ca="1" si="8"/>
        <v>8.9831700000000014E-2</v>
      </c>
      <c r="DG61" s="910">
        <f t="shared" ca="1" si="9"/>
        <v>1</v>
      </c>
      <c r="DH61" s="881">
        <f t="shared" ca="1" si="10"/>
        <v>8.9831700000000014E-2</v>
      </c>
      <c r="DI61" s="1460">
        <f t="shared" ca="1" si="40"/>
        <v>21.020617800000004</v>
      </c>
      <c r="DJ61" s="909">
        <f>_xlfn.IFNA(INDEX('Resource use and costs'!$CQ$11:$CQ$53,MATCH($CZ61,'Resource use and costs'!$BA$11:$BA$53,0)),0)*_xlfn.IFNA(INDEX(DY$10:DY$23,MATCH($CZ61,$DX$10:$DX$23,0)),0)</f>
        <v>45284.183573333321</v>
      </c>
      <c r="DK61" s="909">
        <f>IF(dd_PartSA_2_lines = "Yes",0,_xlfn.IFNA(INDEX('Resource use and costs'!$CR$11:$CR$53,MATCH(DA61,'Resource use and costs'!$BA$11:$BA$53,0)),0)*_xlfn.IFNA(INDEX(EA$10:EA$23,MATCH($DA61,$DX$10:$DX$23,0)),0))</f>
        <v>0</v>
      </c>
      <c r="DL61" s="909">
        <f>IF(dd_PartSA_2_lines = "Yes",0,_xlfn.IFNA(INDEX('Resource use and costs'!$CS$11:$CS$53,MATCH(DB61,'Resource use and costs'!$BA$11:$BA$53,0)),0)*_xlfn.IFNA(INDEX(EC$10:EC$23,MATCH($DB61,$DX$10:$DX$23,0)),0))</f>
        <v>0</v>
      </c>
      <c r="DM61" s="909">
        <f t="shared" si="13"/>
        <v>45284.183573333321</v>
      </c>
      <c r="DN61" s="909">
        <f>SUM(_xlfn.IFNA(INDEX('Resource use and costs'!$DU$12:$DU$25,MATCH(CZ61,'Resource use and costs'!$DS$12:$DS$25,0)),0),_xlfn.IFNA(INDEX('Resource use and costs'!$DU$12:$DU$25,MATCH(DA61,'Resource use and costs'!$DS$12:$DS$25,0)),0),_xlfn.IFNA(INDEX('Resource use and costs'!$DU$12:$DU$25,MATCH(DB61,'Resource use and costs'!$DS$12:$DS$25,0)),0))</f>
        <v>197.25</v>
      </c>
      <c r="DO61" s="921">
        <f>_xlfn.IFNA(INDEX('Resource use and costs'!$DY$12:$DY$25,MATCH(CZ61,'Resource use and costs'!$DS$12:$DS$25,0)),0)*_xlfn.IFNA(INDEX(DY$10:DY$23,MATCH($CZ61,$DX$10:$DX$23,0)),0)</f>
        <v>415.09348571428563</v>
      </c>
      <c r="DP61" s="921">
        <f>IF(dd_PartSA_2_lines = "Yes",0,_xlfn.IFNA(INDEX('Resource use and costs'!$DZ$12:$DZ$25,MATCH(DA61,'Resource use and costs'!$DS$12:$DS$25,0)),0)*_xlfn.IFNA(INDEX(EA$10:EA$23,MATCH($DA61,$DX$10:$DX$23,0)),0))</f>
        <v>0</v>
      </c>
      <c r="DQ61" s="921">
        <f>IF(dd_PartSA_2_lines = "Yes",0,_xlfn.IFNA(INDEX('Resource use and costs'!$EA$12:$EA$25,MATCH(DB61,'Resource use and costs'!$DS$12:$DS$25,0)),0)*_xlfn.IFNA(INDEX(EC$10:EC$23,MATCH($DB61,$DX$10:$DX$23,0)),0))</f>
        <v>0</v>
      </c>
      <c r="DR61" s="921">
        <f t="shared" si="14"/>
        <v>612.34348571428563</v>
      </c>
      <c r="DS61" s="1004">
        <f ca="1">SUMIFS('Safety parameters'!$DM$6:$DM$18,'Safety parameters'!$DK$6:$DK$18,CZ61,'Safety parameters'!$DL$6:$DL$18,1)+IF(dd_PartSA_2_lines = "Yes",0,SUMIFS('Safety parameters'!$DM$6:$DM$18,'Safety parameters'!$DK$6:$DK$18,DA61,'Safety parameters'!$DL$6:$DL$18,2)+SUMIFS('Safety parameters'!$DM$6:$DM$18,'Safety parameters'!$DK$6:$DK$18,DB61,'Safety parameters'!$DL$6:$DL$18,2))</f>
        <v>731.82916268415761</v>
      </c>
      <c r="DT61" s="910">
        <f ca="1">SUMIFS('Safety parameters'!$DO$6:$DO$18,'Safety parameters'!$DK$6:$DK$18,CZ61,'Safety parameters'!$DL$6:$DL$18,1)+IF(dd_PartSA_2_lines = "Yes",0,SUMIFS('Safety parameters'!$DO$6:$DO$18,'Safety parameters'!$DK$6:$DK$18,DA61,'Safety parameters'!$DL$6:$DL$18,2)+SUMIFS('Safety parameters'!$DO$6:$DO$18,'Safety parameters'!$DK$6:$DK$18,DB61,'Safety parameters'!$DL$6:$DL$18,2))</f>
        <v>-6.5169895084747891E-3</v>
      </c>
      <c r="DX61" s="61" t="str">
        <v>pazopanib</v>
      </c>
      <c r="DY61" s="61" t="s">
        <v>788</v>
      </c>
      <c r="DZ61" s="920" cm="1">
        <f t="array" aca="1" ref="DZ61" ca="1">SUMPRODUCT(($CX$11:$CX$779=DY61)*($CY$11:$CY$779=DX61),$DH$11:$DH$779,$DM$11:$DM$779)</f>
        <v>54145.221186743445</v>
      </c>
      <c r="EA61" s="920" cm="1">
        <f t="array" aca="1" ref="EA61" ca="1">SUMPRODUCT(($CX$11:$CX$779=DY61)*($CY$11:$CY$779=DX61),$DH$11:$DH$779,$DR$11:$DR$779)</f>
        <v>4320.7038910866731</v>
      </c>
      <c r="EB61" s="920" cm="1">
        <f t="array" aca="1" ref="EB61" ca="1">SUMPRODUCT(($CX$11:$CX$779=DY61)*($CY$11:$CY$779=DX61),$DH$11:$DH$779,$DS$11:$DS$779)</f>
        <v>787.56392801428228</v>
      </c>
      <c r="EC61" s="1029" cm="1">
        <f t="array" aca="1" ref="EC61" ca="1">SUMPRODUCT(($CX$11:$CX$779=DY61)*($CY$11:$CY$779=DX61),$DH$11:$DH$779,$DT$11:$DT$779)</f>
        <v>-7.1626461973015015E-3</v>
      </c>
      <c r="ED61" s="920">
        <f t="shared" ca="1" si="45"/>
        <v>10829.044237348689</v>
      </c>
      <c r="EE61" s="920">
        <f t="shared" ca="1" si="46"/>
        <v>864.14077821733463</v>
      </c>
      <c r="EF61" s="1238"/>
      <c r="EG61" s="1238"/>
      <c r="EH61" s="1238"/>
      <c r="EI61" s="1238"/>
      <c r="EJ61" s="1238"/>
    </row>
    <row r="62" spans="3:140" ht="15" x14ac:dyDescent="0.2">
      <c r="D62" s="82">
        <v>13</v>
      </c>
      <c r="E62" s="4" t="str">
        <v>sorafenib</v>
      </c>
      <c r="G62" s="664"/>
      <c r="H62" s="664"/>
      <c r="I62" s="740" t="str">
        <v>sorafenib</v>
      </c>
      <c r="J62" s="911"/>
      <c r="K62" s="912"/>
      <c r="L62" s="912"/>
      <c r="M62" s="912"/>
      <c r="N62" s="912"/>
      <c r="O62" s="1046"/>
      <c r="P62" s="1046"/>
      <c r="Q62" s="1046"/>
      <c r="R62" s="1046"/>
      <c r="S62" s="1046"/>
      <c r="T62" s="1046"/>
      <c r="U62" s="1046"/>
      <c r="V62" s="1046"/>
      <c r="W62" s="1046">
        <f>IF(X62&lt;&gt;0,CHOOSE(i_sub_txt_prop_num,0.381456,0.381456),1)</f>
        <v>1</v>
      </c>
      <c r="X62" s="903">
        <f t="shared" si="28"/>
        <v>0</v>
      </c>
      <c r="Y62" s="925" t="str">
        <v>sorafenib</v>
      </c>
      <c r="Z62" s="78"/>
      <c r="AA62" s="745"/>
      <c r="AB62" s="745"/>
      <c r="AC62" s="745"/>
      <c r="AD62" s="745"/>
      <c r="AE62" s="78"/>
      <c r="AF62" s="78"/>
      <c r="AG62" s="78"/>
      <c r="AH62" s="78"/>
      <c r="AI62" s="78"/>
      <c r="AJ62" s="78"/>
      <c r="AK62" s="78"/>
      <c r="AL62" s="78"/>
      <c r="AM62" s="1046">
        <f t="shared" si="29"/>
        <v>1</v>
      </c>
      <c r="AN62" s="903">
        <f t="shared" si="30"/>
        <v>0</v>
      </c>
      <c r="AO62" s="925" t="str">
        <v>sorafenib</v>
      </c>
      <c r="AP62" s="78"/>
      <c r="AQ62" s="877"/>
      <c r="AR62" s="877"/>
      <c r="AS62" s="877"/>
      <c r="AT62" s="877"/>
      <c r="AU62" s="78"/>
      <c r="AV62" s="78"/>
      <c r="AW62" s="78"/>
      <c r="AX62" s="78"/>
      <c r="AY62" s="78"/>
      <c r="AZ62" s="78"/>
      <c r="BA62" s="78"/>
      <c r="BB62" s="78"/>
      <c r="BC62" s="1046">
        <f t="shared" si="31"/>
        <v>1</v>
      </c>
      <c r="BD62" s="926">
        <f t="shared" si="32"/>
        <v>0</v>
      </c>
      <c r="BE62" s="4" t="s">
        <v>793</v>
      </c>
      <c r="BF62" s="604"/>
      <c r="BG62" s="604"/>
      <c r="BH62" s="604"/>
      <c r="BI62" s="604"/>
      <c r="BJ62" s="604"/>
      <c r="BK62" s="604"/>
      <c r="BL62" s="604"/>
      <c r="BM62" s="604"/>
      <c r="BN62" s="604"/>
      <c r="BO62" s="604"/>
      <c r="BP62" s="604"/>
      <c r="BQ62" s="604"/>
      <c r="BR62" s="604"/>
      <c r="BS62" s="78"/>
      <c r="BU62" s="880">
        <f t="shared" si="33"/>
        <v>1</v>
      </c>
      <c r="BV62" s="880">
        <f t="shared" si="34"/>
        <v>1</v>
      </c>
      <c r="BW62" s="880">
        <f t="shared" si="35"/>
        <v>1</v>
      </c>
      <c r="CK62" s="61" t="s">
        <v>31</v>
      </c>
      <c r="CL62" s="61">
        <v>2</v>
      </c>
      <c r="CM62" s="61" t="str">
        <v>axitinib</v>
      </c>
      <c r="CN62" s="17">
        <v>11</v>
      </c>
      <c r="CO62" s="61" t="str" cm="1">
        <f t="array" ref="CO62">INDEX(List_comparators,CP61+1)</f>
        <v>nivolumab_monotherapy</v>
      </c>
      <c r="CP62" s="17">
        <v>0</v>
      </c>
      <c r="CQ62" s="601">
        <f t="shared" ca="1" si="36"/>
        <v>0</v>
      </c>
      <c r="CR62" s="601">
        <f t="shared" ca="1" si="37"/>
        <v>0</v>
      </c>
      <c r="CS62" s="669">
        <f t="shared" ca="1" si="38"/>
        <v>46.008571428571429</v>
      </c>
      <c r="CT62" s="669">
        <f t="shared" ca="1" si="39"/>
        <v>3.9314285714285711</v>
      </c>
      <c r="CU62" s="1123">
        <f>MATCH(CZ62,'Resource use and costs'!$BA$11:$BA$53,0)</f>
        <v>30</v>
      </c>
      <c r="CV62" s="1223"/>
      <c r="CW62" s="1241">
        <f t="shared" si="12"/>
        <v>1</v>
      </c>
      <c r="CX62" s="899" t="s">
        <v>764</v>
      </c>
      <c r="CY62" s="899" t="s">
        <v>585</v>
      </c>
      <c r="CZ62" s="899" t="s">
        <v>118</v>
      </c>
      <c r="DA62" s="899" t="s">
        <v>119</v>
      </c>
      <c r="DB62" s="899" t="s">
        <v>327</v>
      </c>
      <c r="DC62" s="899">
        <f t="shared" ca="1" si="44"/>
        <v>0.26190000000000002</v>
      </c>
      <c r="DD62" s="899" cm="1">
        <f t="array" aca="1" ref="DD62" ca="1">_xlfn.IFNA(OFFSET($Y$49,MATCH($CZ62,$Y$50:$Y$63,0),MATCH($DA62,TRANSPOSE($Z$49:$AM$49),0)),0)</f>
        <v>6.5699999999999995E-2</v>
      </c>
      <c r="DE62" s="899" cm="1">
        <f t="array" aca="1" ref="DE62" ca="1">_xlfn.IFNA(OFFSET($AO$49,MATCH($DA62,$AO$50:$AO$63,0),MATCH($DB62,TRANSPOSE($AP$49:$BC$49),0)),0)</f>
        <v>0</v>
      </c>
      <c r="DF62" s="881">
        <f t="shared" ca="1" si="8"/>
        <v>0</v>
      </c>
      <c r="DG62" s="910">
        <f t="shared" ca="1" si="9"/>
        <v>1</v>
      </c>
      <c r="DH62" s="881">
        <f t="shared" ca="1" si="10"/>
        <v>0</v>
      </c>
      <c r="DI62" s="1460">
        <f t="shared" ca="1" si="40"/>
        <v>0</v>
      </c>
      <c r="DJ62" s="909">
        <f>_xlfn.IFNA(INDEX('Resource use and costs'!$CQ$11:$CQ$53,MATCH($CZ62,'Resource use and costs'!$BA$11:$BA$53,0)),0)*_xlfn.IFNA(INDEX(DY$10:DY$23,MATCH($CZ62,$DX$10:$DX$23,0)),0)</f>
        <v>45284.183573333321</v>
      </c>
      <c r="DK62" s="909">
        <f>IF(dd_PartSA_2_lines = "Yes",0,_xlfn.IFNA(INDEX('Resource use and costs'!$CR$11:$CR$53,MATCH(DA62,'Resource use and costs'!$BA$11:$BA$53,0)),0)*_xlfn.IFNA(INDEX(EA$10:EA$23,MATCH($DA62,$DX$10:$DX$23,0)),0))</f>
        <v>848.17532499999982</v>
      </c>
      <c r="DL62" s="909">
        <f>IF(dd_PartSA_2_lines = "Yes",0,_xlfn.IFNA(INDEX('Resource use and costs'!$CS$11:$CS$53,MATCH(DB62,'Resource use and costs'!$BA$11:$BA$53,0)),0)*_xlfn.IFNA(INDEX(EC$10:EC$23,MATCH($DB62,$DX$10:$DX$23,0)),0))</f>
        <v>18438.751749999999</v>
      </c>
      <c r="DM62" s="909">
        <f t="shared" si="13"/>
        <v>64571.110648333313</v>
      </c>
      <c r="DN62" s="909">
        <f>SUM(_xlfn.IFNA(INDEX('Resource use and costs'!$DU$12:$DU$25,MATCH(CZ62,'Resource use and costs'!$DS$12:$DS$25,0)),0),_xlfn.IFNA(INDEX('Resource use and costs'!$DU$12:$DU$25,MATCH(DA62,'Resource use and costs'!$DS$12:$DS$25,0)),0),_xlfn.IFNA(INDEX('Resource use and costs'!$DU$12:$DU$25,MATCH(DB62,'Resource use and costs'!$DS$12:$DS$25,0)),0))</f>
        <v>591.75</v>
      </c>
      <c r="DO62" s="921">
        <f>_xlfn.IFNA(INDEX('Resource use and costs'!$DY$12:$DY$25,MATCH(CZ62,'Resource use and costs'!$DS$12:$DS$25,0)),0)*_xlfn.IFNA(INDEX(DY$10:DY$23,MATCH($CZ62,$DX$10:$DX$23,0)),0)</f>
        <v>415.09348571428563</v>
      </c>
      <c r="DP62" s="921">
        <f>IF(dd_PartSA_2_lines = "Yes",0,_xlfn.IFNA(INDEX('Resource use and costs'!$DZ$12:$DZ$25,MATCH(DA62,'Resource use and costs'!$DS$12:$DS$25,0)),0)*_xlfn.IFNA(INDEX(EA$10:EA$23,MATCH($DA62,$DX$10:$DX$23,0)),0))</f>
        <v>74.50928571428571</v>
      </c>
      <c r="DQ62" s="921">
        <f>IF(dd_PartSA_2_lines = "Yes",0,_xlfn.IFNA(INDEX('Resource use and costs'!$EA$12:$EA$25,MATCH(DB62,'Resource use and costs'!$DS$12:$DS$25,0)),0)*_xlfn.IFNA(INDEX(EC$10:EC$23,MATCH($DB62,$DX$10:$DX$23,0)),0))</f>
        <v>230.68099999999998</v>
      </c>
      <c r="DR62" s="921">
        <f t="shared" si="14"/>
        <v>1312.0337714285713</v>
      </c>
      <c r="DS62" s="1004">
        <f ca="1">SUMIFS('Safety parameters'!$DM$6:$DM$18,'Safety parameters'!$DK$6:$DK$18,CZ62,'Safety parameters'!$DL$6:$DL$18,1)+IF(dd_PartSA_2_lines = "Yes",0,SUMIFS('Safety parameters'!$DM$6:$DM$18,'Safety parameters'!$DK$6:$DK$18,DA62,'Safety parameters'!$DL$6:$DL$18,2)+SUMIFS('Safety parameters'!$DM$6:$DM$18,'Safety parameters'!$DK$6:$DK$18,DB62,'Safety parameters'!$DL$6:$DL$18,2))</f>
        <v>2698.9332196249325</v>
      </c>
      <c r="DT62" s="910">
        <f ca="1">SUMIFS('Safety parameters'!$DO$6:$DO$18,'Safety parameters'!$DK$6:$DK$18,CZ62,'Safety parameters'!$DL$6:$DL$18,1)+IF(dd_PartSA_2_lines = "Yes",0,SUMIFS('Safety parameters'!$DO$6:$DO$18,'Safety parameters'!$DK$6:$DK$18,DA62,'Safety parameters'!$DL$6:$DL$18,2)+SUMIFS('Safety parameters'!$DO$6:$DO$18,'Safety parameters'!$DK$6:$DK$18,DB62,'Safety parameters'!$DL$6:$DL$18,2))</f>
        <v>-2.3926487052593939E-2</v>
      </c>
      <c r="DX62" s="61" t="str">
        <v>tivozanib</v>
      </c>
      <c r="DY62" s="61" t="s">
        <v>788</v>
      </c>
      <c r="DZ62" s="920" cm="1">
        <f t="array" aca="1" ref="DZ62" ca="1">SUMPRODUCT(($CX$11:$CX$779=DY62)*($CY$11:$CY$779=DX62),$DH$11:$DH$779,$DM$11:$DM$779)</f>
        <v>56145.45768759949</v>
      </c>
      <c r="EA62" s="920" cm="1">
        <f t="array" aca="1" ref="EA62" ca="1">SUMPRODUCT(($CX$11:$CX$779=DY62)*($CY$11:$CY$779=DX62),$DH$11:$DH$779,$DR$11:$DR$779)</f>
        <v>5129.5419305434834</v>
      </c>
      <c r="EB62" s="920" cm="1">
        <f t="array" aca="1" ref="EB62" ca="1">SUMPRODUCT(($CX$11:$CX$779=DY62)*($CY$11:$CY$779=DX62),$DH$11:$DH$779,$DS$11:$DS$779)</f>
        <v>702.27646992982636</v>
      </c>
      <c r="EC62" s="1029" cm="1">
        <f t="array" aca="1" ref="EC62" ca="1">SUMPRODUCT(($CX$11:$CX$779=DY62)*($CY$11:$CY$779=DX62),$DH$11:$DH$779,$DT$11:$DT$779)</f>
        <v>-6.4190123904707009E-3</v>
      </c>
      <c r="ED62" s="920">
        <f t="shared" ca="1" si="45"/>
        <v>11229.091537519898</v>
      </c>
      <c r="EE62" s="920">
        <f t="shared" ca="1" si="46"/>
        <v>1025.9083861086967</v>
      </c>
      <c r="EF62" s="1238"/>
      <c r="EG62" s="1238"/>
      <c r="EH62" s="1238"/>
      <c r="EI62" s="1238"/>
      <c r="EJ62" s="1238"/>
    </row>
    <row r="63" spans="3:140" ht="15.75" x14ac:dyDescent="0.25">
      <c r="E63" s="4" t="str">
        <v>placebo_BSC</v>
      </c>
      <c r="G63" s="664"/>
      <c r="H63" s="664"/>
      <c r="I63" s="740" t="str">
        <v>placebo_BSC</v>
      </c>
      <c r="J63" s="911"/>
      <c r="K63" s="912"/>
      <c r="L63" s="912"/>
      <c r="M63" s="912"/>
      <c r="N63" s="912"/>
      <c r="O63" s="911"/>
      <c r="P63" s="911"/>
      <c r="Q63" s="911"/>
      <c r="R63" s="911"/>
      <c r="S63" s="911"/>
      <c r="T63" s="911"/>
      <c r="U63" s="911"/>
      <c r="V63" s="911"/>
      <c r="W63" s="1046">
        <f>IF(X63&lt;&gt;0,CHOOSE(i_sub_txt_prop_num,0.381456,0.381456),1)</f>
        <v>1</v>
      </c>
      <c r="X63" s="903">
        <f t="shared" si="28"/>
        <v>0</v>
      </c>
      <c r="Y63" s="925" t="str">
        <v>placebo_BSC</v>
      </c>
      <c r="Z63" s="78"/>
      <c r="AA63" s="746"/>
      <c r="AB63" s="745"/>
      <c r="AC63" s="745"/>
      <c r="AD63" s="745"/>
      <c r="AE63" s="78"/>
      <c r="AF63" s="78"/>
      <c r="AG63" s="78"/>
      <c r="AH63" s="78"/>
      <c r="AI63" s="78"/>
      <c r="AJ63" s="78"/>
      <c r="AK63" s="78"/>
      <c r="AL63" s="78"/>
      <c r="AM63" s="1046">
        <f t="shared" si="29"/>
        <v>1</v>
      </c>
      <c r="AN63" s="903">
        <f t="shared" si="30"/>
        <v>0</v>
      </c>
      <c r="AO63" s="925" t="str">
        <v>placebo_BSC</v>
      </c>
      <c r="AP63" s="78"/>
      <c r="AQ63" s="877"/>
      <c r="AR63" s="877"/>
      <c r="AS63" s="877"/>
      <c r="AT63" s="877"/>
      <c r="AU63" s="78"/>
      <c r="AV63" s="78"/>
      <c r="AW63" s="78"/>
      <c r="AX63" s="78"/>
      <c r="AY63" s="78"/>
      <c r="AZ63" s="78"/>
      <c r="BA63" s="78"/>
      <c r="BB63" s="78"/>
      <c r="BC63" s="1046">
        <f t="shared" si="31"/>
        <v>1</v>
      </c>
      <c r="BD63" s="926">
        <f t="shared" si="32"/>
        <v>0</v>
      </c>
      <c r="BE63" s="4" t="s">
        <v>793</v>
      </c>
      <c r="BF63" s="604"/>
      <c r="BG63" s="606"/>
      <c r="BH63" s="604"/>
      <c r="BI63" s="604"/>
      <c r="BJ63" s="604"/>
      <c r="BK63" s="604"/>
      <c r="BL63" s="604"/>
      <c r="BM63" s="604"/>
      <c r="BN63" s="604"/>
      <c r="BO63" s="604"/>
      <c r="BP63" s="604"/>
      <c r="BQ63" s="604"/>
      <c r="BR63" s="604"/>
      <c r="BS63" s="78"/>
      <c r="BU63" s="880">
        <f t="shared" si="33"/>
        <v>1</v>
      </c>
      <c r="BV63" s="880">
        <f t="shared" si="34"/>
        <v>1</v>
      </c>
      <c r="BW63" s="880">
        <f t="shared" si="35"/>
        <v>1</v>
      </c>
      <c r="CK63" s="61" t="s">
        <v>31</v>
      </c>
      <c r="CL63" s="61">
        <v>2</v>
      </c>
      <c r="CM63" s="61" t="str">
        <v>sorafenib</v>
      </c>
      <c r="CN63" s="17">
        <v>12</v>
      </c>
      <c r="CO63" s="61" t="str" cm="1">
        <f t="array" ref="CO63">INDEX(List_comparators,CP62+1)</f>
        <v>nivolumab_monotherapy</v>
      </c>
      <c r="CP63" s="17">
        <v>0</v>
      </c>
      <c r="CQ63" s="601">
        <f t="shared" ca="1" si="36"/>
        <v>0</v>
      </c>
      <c r="CR63" s="601">
        <f t="shared" ca="1" si="37"/>
        <v>0</v>
      </c>
      <c r="CS63" s="669">
        <f t="shared" ca="1" si="38"/>
        <v>0</v>
      </c>
      <c r="CT63" s="669">
        <f t="shared" ca="1" si="39"/>
        <v>0</v>
      </c>
      <c r="CU63" s="1123">
        <f>MATCH(CZ63,'Resource use and costs'!$BA$11:$BA$53,0)</f>
        <v>30</v>
      </c>
      <c r="CV63" s="1223"/>
      <c r="CW63" s="1241">
        <f t="shared" si="12"/>
        <v>1</v>
      </c>
      <c r="CX63" s="899" t="s">
        <v>764</v>
      </c>
      <c r="CY63" s="899" t="s">
        <v>585</v>
      </c>
      <c r="CZ63" s="899" t="s">
        <v>118</v>
      </c>
      <c r="DA63" s="899" t="s">
        <v>119</v>
      </c>
      <c r="DB63" s="899" t="s">
        <v>765</v>
      </c>
      <c r="DC63" s="899">
        <f t="shared" ca="1" si="44"/>
        <v>0.26190000000000002</v>
      </c>
      <c r="DD63" s="899" cm="1">
        <f t="array" aca="1" ref="DD63" ca="1">_xlfn.IFNA(OFFSET($Y$49,MATCH($CZ63,$Y$50:$Y$63,0),MATCH($DA63,TRANSPOSE($Z$49:$AM$49),0)),0)</f>
        <v>6.5699999999999995E-2</v>
      </c>
      <c r="DE63" s="899" cm="1">
        <f t="array" aca="1" ref="DE63" ca="1">_xlfn.IFNA(OFFSET($AO$49,MATCH($DA63,$AO$50:$AO$63,0),MATCH($DB63,TRANSPOSE($AP$49:$BC$49),0)),0)</f>
        <v>1</v>
      </c>
      <c r="DF63" s="881">
        <f t="shared" ca="1" si="8"/>
        <v>1.7206829999999999E-2</v>
      </c>
      <c r="DG63" s="910">
        <f t="shared" ca="1" si="9"/>
        <v>1</v>
      </c>
      <c r="DH63" s="881">
        <f t="shared" ca="1" si="10"/>
        <v>1.7206829999999999E-2</v>
      </c>
      <c r="DI63" s="1460">
        <f t="shared" ca="1" si="40"/>
        <v>4.0263982199999999</v>
      </c>
      <c r="DJ63" s="909">
        <f>_xlfn.IFNA(INDEX('Resource use and costs'!$CQ$11:$CQ$53,MATCH($CZ63,'Resource use and costs'!$BA$11:$BA$53,0)),0)*_xlfn.IFNA(INDEX(DY$10:DY$23,MATCH($CZ63,$DX$10:$DX$23,0)),0)</f>
        <v>45284.183573333321</v>
      </c>
      <c r="DK63" s="909">
        <f>IF(dd_PartSA_2_lines = "Yes",0,_xlfn.IFNA(INDEX('Resource use and costs'!$CR$11:$CR$53,MATCH(DA63,'Resource use and costs'!$BA$11:$BA$53,0)),0)*_xlfn.IFNA(INDEX(EA$10:EA$23,MATCH($DA63,$DX$10:$DX$23,0)),0))</f>
        <v>848.17532499999982</v>
      </c>
      <c r="DL63" s="909">
        <f>IF(dd_PartSA_2_lines = "Yes",0,_xlfn.IFNA(INDEX('Resource use and costs'!$CS$11:$CS$53,MATCH(DB63,'Resource use and costs'!$BA$11:$BA$53,0)),0)*_xlfn.IFNA(INDEX(EC$10:EC$23,MATCH($DB63,$DX$10:$DX$23,0)),0))</f>
        <v>0</v>
      </c>
      <c r="DM63" s="909">
        <f t="shared" si="13"/>
        <v>46132.358898333317</v>
      </c>
      <c r="DN63" s="909">
        <f>SUM(_xlfn.IFNA(INDEX('Resource use and costs'!$DU$12:$DU$25,MATCH(CZ63,'Resource use and costs'!$DS$12:$DS$25,0)),0),_xlfn.IFNA(INDEX('Resource use and costs'!$DU$12:$DU$25,MATCH(DA63,'Resource use and costs'!$DS$12:$DS$25,0)),0),_xlfn.IFNA(INDEX('Resource use and costs'!$DU$12:$DU$25,MATCH(DB63,'Resource use and costs'!$DS$12:$DS$25,0)),0))</f>
        <v>394.5</v>
      </c>
      <c r="DO63" s="921">
        <f>_xlfn.IFNA(INDEX('Resource use and costs'!$DY$12:$DY$25,MATCH(CZ63,'Resource use and costs'!$DS$12:$DS$25,0)),0)*_xlfn.IFNA(INDEX(DY$10:DY$23,MATCH($CZ63,$DX$10:$DX$23,0)),0)</f>
        <v>415.09348571428563</v>
      </c>
      <c r="DP63" s="921">
        <f>IF(dd_PartSA_2_lines = "Yes",0,_xlfn.IFNA(INDEX('Resource use and costs'!$DZ$12:$DZ$25,MATCH(DA63,'Resource use and costs'!$DS$12:$DS$25,0)),0)*_xlfn.IFNA(INDEX(EA$10:EA$23,MATCH($DA63,$DX$10:$DX$23,0)),0))</f>
        <v>74.50928571428571</v>
      </c>
      <c r="DQ63" s="921">
        <f>IF(dd_PartSA_2_lines = "Yes",0,_xlfn.IFNA(INDEX('Resource use and costs'!$EA$12:$EA$25,MATCH(DB63,'Resource use and costs'!$DS$12:$DS$25,0)),0)*_xlfn.IFNA(INDEX(EC$10:EC$23,MATCH($DB63,$DX$10:$DX$23,0)),0))</f>
        <v>0</v>
      </c>
      <c r="DR63" s="921">
        <f t="shared" si="14"/>
        <v>884.10277142857137</v>
      </c>
      <c r="DS63" s="1004">
        <f ca="1">SUMIFS('Safety parameters'!$DM$6:$DM$18,'Safety parameters'!$DK$6:$DK$18,CZ63,'Safety parameters'!$DL$6:$DL$18,1)+IF(dd_PartSA_2_lines = "Yes",0,SUMIFS('Safety parameters'!$DM$6:$DM$18,'Safety parameters'!$DK$6:$DK$18,DA63,'Safety parameters'!$DL$6:$DL$18,2)+SUMIFS('Safety parameters'!$DM$6:$DM$18,'Safety parameters'!$DK$6:$DK$18,DB63,'Safety parameters'!$DL$6:$DL$18,2))</f>
        <v>1064.7045460594725</v>
      </c>
      <c r="DT63" s="910">
        <f ca="1">SUMIFS('Safety parameters'!$DO$6:$DO$18,'Safety parameters'!$DK$6:$DK$18,CZ63,'Safety parameters'!$DL$6:$DL$18,1)+IF(dd_PartSA_2_lines = "Yes",0,SUMIFS('Safety parameters'!$DO$6:$DO$18,'Safety parameters'!$DK$6:$DK$18,DA63,'Safety parameters'!$DL$6:$DL$18,2)+SUMIFS('Safety parameters'!$DO$6:$DO$18,'Safety parameters'!$DK$6:$DK$18,DB63,'Safety parameters'!$DL$6:$DL$18,2))</f>
        <v>-9.184563045112509E-3</v>
      </c>
      <c r="DX63" s="61" t="str">
        <v>sunitinib</v>
      </c>
      <c r="DY63" s="61" t="s">
        <v>788</v>
      </c>
      <c r="DZ63" s="920" cm="1">
        <f t="array" aca="1" ref="DZ63" ca="1">SUMPRODUCT(($CX$11:$CX$779=DY63)*($CY$11:$CY$779=DX63),$DH$11:$DH$779,$DM$11:$DM$779)</f>
        <v>53124.520052788168</v>
      </c>
      <c r="EA63" s="920" cm="1">
        <f t="array" aca="1" ref="EA63" ca="1">SUMPRODUCT(($CX$11:$CX$779=DY63)*($CY$11:$CY$779=DX63),$DH$11:$DH$779,$DR$11:$DR$779)</f>
        <v>4412.7836851617676</v>
      </c>
      <c r="EB63" s="920" cm="1">
        <f t="array" aca="1" ref="EB63" ca="1">SUMPRODUCT(($CX$11:$CX$779=DY63)*($CY$11:$CY$779=DX63),$DH$11:$DH$779,$DS$11:$DS$779)</f>
        <v>758.6544728391118</v>
      </c>
      <c r="EC63" s="1029" cm="1">
        <f t="array" aca="1" ref="EC63" ca="1">SUMPRODUCT(($CX$11:$CX$779=DY63)*($CY$11:$CY$779=DX63),$DH$11:$DH$779,$DT$11:$DT$779)</f>
        <v>-6.9006721497158804E-3</v>
      </c>
      <c r="ED63" s="920">
        <f t="shared" ca="1" si="45"/>
        <v>10624.904010557635</v>
      </c>
      <c r="EE63" s="920">
        <f t="shared" ca="1" si="46"/>
        <v>882.55673703235357</v>
      </c>
      <c r="EF63" s="1238"/>
      <c r="EG63" s="1238"/>
      <c r="EH63" s="1238"/>
      <c r="EI63" s="1238"/>
      <c r="EJ63" s="1238"/>
    </row>
    <row r="64" spans="3:140" ht="15.75" thickBot="1" x14ac:dyDescent="0.25">
      <c r="I64" s="4" t="s">
        <v>161</v>
      </c>
      <c r="K64" s="684"/>
      <c r="L64" s="684"/>
      <c r="M64" s="684"/>
      <c r="N64" s="684"/>
      <c r="Y64" s="4" t="s">
        <v>161</v>
      </c>
      <c r="AO64" s="925" t="s">
        <v>161</v>
      </c>
      <c r="BS64" s="76" t="s">
        <v>161</v>
      </c>
      <c r="CK64" s="506" t="s">
        <v>31</v>
      </c>
      <c r="CL64" s="506">
        <v>2</v>
      </c>
      <c r="CM64" s="506" t="str">
        <v>placebo_BSC</v>
      </c>
      <c r="CN64" s="19">
        <v>999</v>
      </c>
      <c r="CO64" s="506" t="str" cm="1">
        <f t="array" ref="CO64">INDEX(List_comparators,CP51+1)</f>
        <v>nivolumab_monotherapy</v>
      </c>
      <c r="CP64" s="19">
        <v>0</v>
      </c>
      <c r="CQ64" s="602">
        <f t="shared" ca="1" si="36"/>
        <v>0</v>
      </c>
      <c r="CR64" s="602">
        <f t="shared" ca="1" si="37"/>
        <v>0</v>
      </c>
      <c r="CS64" s="670">
        <v>0</v>
      </c>
      <c r="CT64" s="670">
        <f t="shared" ca="1" si="39"/>
        <v>0</v>
      </c>
      <c r="CU64" s="1123">
        <f>MATCH(CZ64,'Resource use and costs'!$BA$11:$BA$53,0)</f>
        <v>30</v>
      </c>
      <c r="CV64" s="1223"/>
      <c r="CW64" s="1241">
        <f t="shared" si="12"/>
        <v>1</v>
      </c>
      <c r="CX64" s="899" t="s">
        <v>764</v>
      </c>
      <c r="CY64" s="899" t="s">
        <v>585</v>
      </c>
      <c r="CZ64" s="899" t="s">
        <v>118</v>
      </c>
      <c r="DA64" s="899" t="s">
        <v>579</v>
      </c>
      <c r="DB64" s="899" t="s">
        <v>327</v>
      </c>
      <c r="DC64" s="899">
        <f t="shared" ca="1" si="44"/>
        <v>0.26190000000000002</v>
      </c>
      <c r="DD64" s="899">
        <f ca="1">1-DD59-DD61-DD62</f>
        <v>0.46929999999999994</v>
      </c>
      <c r="DE64" s="899" cm="1">
        <f t="array" aca="1" ref="DE64" ca="1">_xlfn.IFNA(OFFSET($AO$49,MATCH($DA64,$AO$50:$AO$63,0),MATCH($DB64,TRANSPOSE($AP$49:$BC$49),0)),0)</f>
        <v>0.56859999999999999</v>
      </c>
      <c r="DF64" s="881">
        <f t="shared" ca="1" si="8"/>
        <v>6.9886438361999995E-2</v>
      </c>
      <c r="DG64" s="910">
        <f t="shared" ca="1" si="9"/>
        <v>1</v>
      </c>
      <c r="DH64" s="881">
        <f t="shared" ca="1" si="10"/>
        <v>6.9886438361999995E-2</v>
      </c>
      <c r="DI64" s="1460">
        <f t="shared" ca="1" si="40"/>
        <v>16.353426576707999</v>
      </c>
      <c r="DJ64" s="909">
        <f>_xlfn.IFNA(INDEX('Resource use and costs'!$CQ$11:$CQ$53,MATCH($CZ64,'Resource use and costs'!$BA$11:$BA$53,0)),0)*_xlfn.IFNA(INDEX(DY$10:DY$23,MATCH($CZ64,$DX$10:$DX$23,0)),0)</f>
        <v>45284.183573333321</v>
      </c>
      <c r="DK64" s="909">
        <f>IF(dd_PartSA_2_lines = "Yes",0,_xlfn.IFNA(INDEX('Resource use and costs'!$CR$11:$CR$53,MATCH(DA64,'Resource use and costs'!$BA$11:$BA$53,0)),0)*_xlfn.IFNA(INDEX(EA$10:EA$23,MATCH($DA64,$DX$10:$DX$23,0)),0))</f>
        <v>26054.50921</v>
      </c>
      <c r="DL64" s="909">
        <f>IF(dd_PartSA_2_lines = "Yes",0,_xlfn.IFNA(INDEX('Resource use and costs'!$CS$11:$CS$53,MATCH(DB64,'Resource use and costs'!$BA$11:$BA$53,0)),0)*_xlfn.IFNA(INDEX(EC$10:EC$23,MATCH($DB64,$DX$10:$DX$23,0)),0))</f>
        <v>18438.751749999999</v>
      </c>
      <c r="DM64" s="909">
        <f t="shared" si="13"/>
        <v>89777.444533333313</v>
      </c>
      <c r="DN64" s="909">
        <f>SUM(_xlfn.IFNA(INDEX('Resource use and costs'!$DU$12:$DU$25,MATCH(CZ64,'Resource use and costs'!$DS$12:$DS$25,0)),0),_xlfn.IFNA(INDEX('Resource use and costs'!$DU$12:$DU$25,MATCH(DA64,'Resource use and costs'!$DS$12:$DS$25,0)),0),_xlfn.IFNA(INDEX('Resource use and costs'!$DU$12:$DU$25,MATCH(DB64,'Resource use and costs'!$DS$12:$DS$25,0)),0))</f>
        <v>394.5</v>
      </c>
      <c r="DO64" s="921">
        <f>_xlfn.IFNA(INDEX('Resource use and costs'!$DY$12:$DY$25,MATCH(CZ64,'Resource use and costs'!$DS$12:$DS$25,0)),0)*_xlfn.IFNA(INDEX(DY$10:DY$23,MATCH($CZ64,$DX$10:$DX$23,0)),0)</f>
        <v>415.09348571428563</v>
      </c>
      <c r="DP64" s="921">
        <f>IF(dd_PartSA_2_lines = "Yes",0,_xlfn.IFNA(INDEX('Resource use and costs'!$DZ$12:$DZ$25,MATCH(DA64,'Resource use and costs'!$DS$12:$DS$25,0)),0)*_xlfn.IFNA(INDEX(EA$10:EA$23,MATCH($DA64,$DX$10:$DX$23,0)),0))</f>
        <v>4108.3597166</v>
      </c>
      <c r="DQ64" s="921">
        <f>IF(dd_PartSA_2_lines = "Yes",0,_xlfn.IFNA(INDEX('Resource use and costs'!$EA$12:$EA$25,MATCH(DB64,'Resource use and costs'!$DS$12:$DS$25,0)),0)*_xlfn.IFNA(INDEX(EC$10:EC$23,MATCH($DB64,$DX$10:$DX$23,0)),0))</f>
        <v>230.68099999999998</v>
      </c>
      <c r="DR64" s="921">
        <f t="shared" si="14"/>
        <v>5148.6342023142852</v>
      </c>
      <c r="DS64" s="1004">
        <f ca="1">SUMIFS('Safety parameters'!$DM$6:$DM$18,'Safety parameters'!$DK$6:$DK$18,CZ64,'Safety parameters'!$DL$6:$DL$18,1)+IF(dd_PartSA_2_lines = "Yes",0,SUMIFS('Safety parameters'!$DM$6:$DM$18,'Safety parameters'!$DK$6:$DK$18,DA64,'Safety parameters'!$DL$6:$DL$18,2)+SUMIFS('Safety parameters'!$DM$6:$DM$18,'Safety parameters'!$DK$6:$DK$18,DB64,'Safety parameters'!$DL$6:$DL$18,2))</f>
        <v>2527.1915852400316</v>
      </c>
      <c r="DT64" s="910">
        <f ca="1">SUMIFS('Safety parameters'!$DO$6:$DO$18,'Safety parameters'!$DK$6:$DK$18,CZ64,'Safety parameters'!$DL$6:$DL$18,1)+IF(dd_PartSA_2_lines = "Yes",0,SUMIFS('Safety parameters'!$DO$6:$DO$18,'Safety parameters'!$DK$6:$DK$18,DA64,'Safety parameters'!$DL$6:$DL$18,2)+SUMIFS('Safety parameters'!$DO$6:$DO$18,'Safety parameters'!$DK$6:$DK$18,DB64,'Safety parameters'!$DL$6:$DL$18,2))</f>
        <v>-2.2855997713641003E-2</v>
      </c>
      <c r="DX64" s="61" t="str">
        <v>cabozantinib</v>
      </c>
      <c r="DY64" s="61" t="s">
        <v>788</v>
      </c>
      <c r="DZ64" s="920" cm="1">
        <f t="array" aca="1" ref="DZ64" ca="1">SUMPRODUCT(($CX$11:$CX$779=DY64)*($CY$11:$CY$779=DX64),$DH$11:$DH$779,$DM$11:$DM$779)</f>
        <v>0</v>
      </c>
      <c r="EA64" s="920" cm="1">
        <f t="array" aca="1" ref="EA64" ca="1">SUMPRODUCT(($CX$11:$CX$779=DY64)*($CY$11:$CY$779=DX64),$DH$11:$DH$779,$DR$11:$DR$779)</f>
        <v>0</v>
      </c>
      <c r="EB64" s="920" cm="1">
        <f t="array" aca="1" ref="EB64" ca="1">SUMPRODUCT(($CX$11:$CX$779=DY64)*($CY$11:$CY$779=DX64),$DH$11:$DH$779,$DS$11:$DS$779)</f>
        <v>0</v>
      </c>
      <c r="EC64" s="1029" cm="1">
        <f t="array" aca="1" ref="EC64" ca="1">SUMPRODUCT(($CX$11:$CX$779=DY64)*($CY$11:$CY$779=DX64),$DH$11:$DH$779,$DT$11:$DT$779)</f>
        <v>0</v>
      </c>
      <c r="ED64" s="920">
        <f t="shared" ca="1" si="45"/>
        <v>0</v>
      </c>
      <c r="EE64" s="920">
        <f t="shared" ca="1" si="46"/>
        <v>0</v>
      </c>
      <c r="EF64" s="1238"/>
      <c r="EG64" s="1238"/>
      <c r="EH64" s="1238"/>
      <c r="EI64" s="1238"/>
      <c r="EJ64" s="1238"/>
    </row>
    <row r="65" spans="5:140" ht="15" x14ac:dyDescent="0.2">
      <c r="E65" s="4" t="str" cm="1">
        <f t="array" ref="E65:E78">List_comparators</f>
        <v>nivolumab_monotherapy</v>
      </c>
      <c r="J65" s="599">
        <f t="shared" ref="J65:W65" si="47">J50*i_SE_util</f>
        <v>0</v>
      </c>
      <c r="K65" s="745"/>
      <c r="L65" s="745"/>
      <c r="M65" s="745"/>
      <c r="N65" s="745"/>
      <c r="O65" s="599">
        <f t="shared" si="47"/>
        <v>0</v>
      </c>
      <c r="P65" s="599">
        <f t="shared" si="47"/>
        <v>0</v>
      </c>
      <c r="Q65" s="599">
        <f t="shared" si="47"/>
        <v>0</v>
      </c>
      <c r="R65" s="599">
        <f t="shared" si="47"/>
        <v>0</v>
      </c>
      <c r="S65" s="599">
        <f t="shared" si="47"/>
        <v>0</v>
      </c>
      <c r="T65" s="599">
        <f t="shared" si="47"/>
        <v>0</v>
      </c>
      <c r="U65" s="599">
        <f t="shared" si="47"/>
        <v>0</v>
      </c>
      <c r="V65" s="599">
        <f t="shared" si="47"/>
        <v>0</v>
      </c>
      <c r="W65" s="599">
        <f t="shared" si="47"/>
        <v>0.1</v>
      </c>
      <c r="Z65" s="599">
        <f t="shared" ref="Z65:AM65" si="48">Z50*i_SE_util</f>
        <v>0</v>
      </c>
      <c r="AA65" s="599">
        <f t="shared" si="48"/>
        <v>0</v>
      </c>
      <c r="AB65" s="599">
        <f t="shared" si="48"/>
        <v>0</v>
      </c>
      <c r="AC65" s="599">
        <f t="shared" si="48"/>
        <v>0</v>
      </c>
      <c r="AD65" s="599">
        <f t="shared" si="48"/>
        <v>0</v>
      </c>
      <c r="AE65" s="599">
        <f t="shared" si="48"/>
        <v>0</v>
      </c>
      <c r="AF65" s="599">
        <f t="shared" si="48"/>
        <v>0</v>
      </c>
      <c r="AG65" s="599">
        <f t="shared" si="48"/>
        <v>2.6200000000000004E-3</v>
      </c>
      <c r="AH65" s="599">
        <f t="shared" si="48"/>
        <v>5.1729999999999998E-2</v>
      </c>
      <c r="AI65" s="599">
        <f t="shared" si="48"/>
        <v>5.2400000000000007E-3</v>
      </c>
      <c r="AJ65" s="599">
        <f t="shared" si="48"/>
        <v>6.4999999999999997E-4</v>
      </c>
      <c r="AK65" s="599">
        <f t="shared" si="48"/>
        <v>5.2400000000000007E-3</v>
      </c>
      <c r="AL65" s="599">
        <f t="shared" si="48"/>
        <v>0</v>
      </c>
      <c r="AM65" s="599">
        <f t="shared" si="48"/>
        <v>3.4529999999999998E-2</v>
      </c>
      <c r="AP65" s="599">
        <f t="shared" ref="AP65:BC65" si="49">AP50*i_SE_util</f>
        <v>0</v>
      </c>
      <c r="AQ65" s="877"/>
      <c r="AR65" s="877"/>
      <c r="AS65" s="877"/>
      <c r="AT65" s="877"/>
      <c r="AU65" s="599">
        <f t="shared" si="49"/>
        <v>0</v>
      </c>
      <c r="AV65" s="599">
        <f t="shared" si="49"/>
        <v>0</v>
      </c>
      <c r="AW65" s="599">
        <f t="shared" si="49"/>
        <v>0</v>
      </c>
      <c r="AX65" s="599">
        <f t="shared" si="49"/>
        <v>0</v>
      </c>
      <c r="AY65" s="599">
        <f t="shared" si="49"/>
        <v>0</v>
      </c>
      <c r="AZ65" s="599">
        <f t="shared" si="49"/>
        <v>0</v>
      </c>
      <c r="BA65" s="599">
        <f t="shared" si="49"/>
        <v>5.6860000000000001E-2</v>
      </c>
      <c r="BB65" s="599">
        <f t="shared" si="49"/>
        <v>0</v>
      </c>
      <c r="BC65" s="599">
        <f t="shared" si="49"/>
        <v>4.3140000000000005E-2</v>
      </c>
      <c r="BF65" s="604"/>
      <c r="BG65" s="604"/>
      <c r="BH65" s="604"/>
      <c r="BI65" s="604"/>
      <c r="BJ65" s="604"/>
      <c r="BK65" s="604"/>
      <c r="BL65" s="604"/>
      <c r="BM65" s="604"/>
      <c r="BN65" s="604"/>
      <c r="BO65" s="604"/>
      <c r="BP65" s="604"/>
      <c r="BQ65" s="604"/>
      <c r="BR65" s="604"/>
      <c r="BS65" s="78"/>
      <c r="CK65" s="505" t="s">
        <v>31</v>
      </c>
      <c r="CL65" s="505">
        <v>2</v>
      </c>
      <c r="CM65" s="61" t="str" cm="1">
        <f t="array" ref="CM65:CM78">List_comparators</f>
        <v>nivolumab_monotherapy</v>
      </c>
      <c r="CN65" s="17">
        <v>0</v>
      </c>
      <c r="CO65" s="61" t="str" cm="1">
        <f t="array" ref="CO65">INDEX(List_comparators,CP65+1)</f>
        <v>cabozantinib_plus_nivolumab</v>
      </c>
      <c r="CP65" s="17">
        <v>1</v>
      </c>
      <c r="CQ65" s="603">
        <f t="shared" ca="1" si="36"/>
        <v>0</v>
      </c>
      <c r="CR65" s="603">
        <f t="shared" ca="1" si="37"/>
        <v>0</v>
      </c>
      <c r="CS65" s="669">
        <f t="shared" ref="CS65:CS77" ca="1" si="50">OFFSET($J$81,IF(CN65=999,13,CN65),CP65)</f>
        <v>0</v>
      </c>
      <c r="CT65" s="669">
        <f t="shared" ca="1" si="39"/>
        <v>0</v>
      </c>
      <c r="CU65" s="1123">
        <f>MATCH(CZ65,'Resource use and costs'!$BA$11:$BA$53,0)</f>
        <v>30</v>
      </c>
      <c r="CV65" s="1223"/>
      <c r="CW65" s="1241">
        <f t="shared" si="12"/>
        <v>1</v>
      </c>
      <c r="CX65" s="899" t="s">
        <v>764</v>
      </c>
      <c r="CY65" s="899" t="s">
        <v>585</v>
      </c>
      <c r="CZ65" s="899" t="s">
        <v>118</v>
      </c>
      <c r="DA65" s="899" t="s">
        <v>579</v>
      </c>
      <c r="DB65" s="899" t="s">
        <v>765</v>
      </c>
      <c r="DC65" s="899">
        <f t="shared" ca="1" si="44"/>
        <v>0.26190000000000002</v>
      </c>
      <c r="DD65" s="899">
        <f ca="1">DD64</f>
        <v>0.46929999999999994</v>
      </c>
      <c r="DE65" s="899" cm="1">
        <f t="array" aca="1" ref="DE65" ca="1">_xlfn.IFNA(OFFSET($AO$49,MATCH($DA65,$AO$50:$AO$63,0),MATCH($DB65,TRANSPOSE($AP$49:$BC$49),0)),0)</f>
        <v>0.43140000000000001</v>
      </c>
      <c r="DF65" s="881">
        <f t="shared" ca="1" si="8"/>
        <v>5.3023231637999997E-2</v>
      </c>
      <c r="DG65" s="910">
        <f t="shared" ca="1" si="9"/>
        <v>1</v>
      </c>
      <c r="DH65" s="881">
        <f t="shared" ca="1" si="10"/>
        <v>5.3023231637999997E-2</v>
      </c>
      <c r="DI65" s="1460">
        <f t="shared" ca="1" si="40"/>
        <v>12.407436203291999</v>
      </c>
      <c r="DJ65" s="909">
        <f>_xlfn.IFNA(INDEX('Resource use and costs'!$CQ$11:$CQ$53,MATCH($CZ65,'Resource use and costs'!$BA$11:$BA$53,0)),0)*_xlfn.IFNA(INDEX(DY$10:DY$23,MATCH($CZ65,$DX$10:$DX$23,0)),0)</f>
        <v>45284.183573333321</v>
      </c>
      <c r="DK65" s="909">
        <f>IF(dd_PartSA_2_lines = "Yes",0,_xlfn.IFNA(INDEX('Resource use and costs'!$CR$11:$CR$53,MATCH(DA65,'Resource use and costs'!$BA$11:$BA$53,0)),0)*_xlfn.IFNA(INDEX(EA$10:EA$23,MATCH($DA65,$DX$10:$DX$23,0)),0))</f>
        <v>26054.50921</v>
      </c>
      <c r="DL65" s="909">
        <f>IF(dd_PartSA_2_lines = "Yes",0,_xlfn.IFNA(INDEX('Resource use and costs'!$CS$11:$CS$53,MATCH(DB65,'Resource use and costs'!$BA$11:$BA$53,0)),0)*_xlfn.IFNA(INDEX(EC$10:EC$23,MATCH($DB65,$DX$10:$DX$23,0)),0))</f>
        <v>0</v>
      </c>
      <c r="DM65" s="909">
        <f t="shared" si="13"/>
        <v>71338.692783333317</v>
      </c>
      <c r="DN65" s="909">
        <f>SUM(_xlfn.IFNA(INDEX('Resource use and costs'!$DU$12:$DU$25,MATCH(CZ65,'Resource use and costs'!$DS$12:$DS$25,0)),0),_xlfn.IFNA(INDEX('Resource use and costs'!$DU$12:$DU$25,MATCH(DA65,'Resource use and costs'!$DS$12:$DS$25,0)),0),_xlfn.IFNA(INDEX('Resource use and costs'!$DU$12:$DU$25,MATCH(DB65,'Resource use and costs'!$DS$12:$DS$25,0)),0))</f>
        <v>197.25</v>
      </c>
      <c r="DO65" s="921">
        <f>_xlfn.IFNA(INDEX('Resource use and costs'!$DY$12:$DY$25,MATCH(CZ65,'Resource use and costs'!$DS$12:$DS$25,0)),0)*_xlfn.IFNA(INDEX(DY$10:DY$23,MATCH($CZ65,$DX$10:$DX$23,0)),0)</f>
        <v>415.09348571428563</v>
      </c>
      <c r="DP65" s="921">
        <f>IF(dd_PartSA_2_lines = "Yes",0,_xlfn.IFNA(INDEX('Resource use and costs'!$DZ$12:$DZ$25,MATCH(DA65,'Resource use and costs'!$DS$12:$DS$25,0)),0)*_xlfn.IFNA(INDEX(EA$10:EA$23,MATCH($DA65,$DX$10:$DX$23,0)),0))</f>
        <v>4108.3597166</v>
      </c>
      <c r="DQ65" s="921">
        <f>IF(dd_PartSA_2_lines = "Yes",0,_xlfn.IFNA(INDEX('Resource use and costs'!$EA$12:$EA$25,MATCH(DB65,'Resource use and costs'!$DS$12:$DS$25,0)),0)*_xlfn.IFNA(INDEX(EC$10:EC$23,MATCH($DB65,$DX$10:$DX$23,0)),0))</f>
        <v>0</v>
      </c>
      <c r="DR65" s="921">
        <f t="shared" si="14"/>
        <v>4720.7032023142856</v>
      </c>
      <c r="DS65" s="1004">
        <f ca="1">SUMIFS('Safety parameters'!$DM$6:$DM$18,'Safety parameters'!$DK$6:$DK$18,CZ65,'Safety parameters'!$DL$6:$DL$18,1)+IF(dd_PartSA_2_lines = "Yes",0,SUMIFS('Safety parameters'!$DM$6:$DM$18,'Safety parameters'!$DK$6:$DK$18,DA65,'Safety parameters'!$DL$6:$DL$18,2)+SUMIFS('Safety parameters'!$DM$6:$DM$18,'Safety parameters'!$DK$6:$DK$18,DB65,'Safety parameters'!$DL$6:$DL$18,2))</f>
        <v>892.96291167457207</v>
      </c>
      <c r="DT65" s="910">
        <f ca="1">SUMIFS('Safety parameters'!$DO$6:$DO$18,'Safety parameters'!$DK$6:$DK$18,CZ65,'Safety parameters'!$DL$6:$DL$18,1)+IF(dd_PartSA_2_lines = "Yes",0,SUMIFS('Safety parameters'!$DO$6:$DO$18,'Safety parameters'!$DK$6:$DK$18,DA65,'Safety parameters'!$DL$6:$DL$18,2)+SUMIFS('Safety parameters'!$DO$6:$DO$18,'Safety parameters'!$DK$6:$DK$18,DB65,'Safety parameters'!$DL$6:$DL$18,2))</f>
        <v>-8.1140737061595747E-3</v>
      </c>
      <c r="DX65" s="61" t="str">
        <v>lenvatinib_plus_everolimus</v>
      </c>
      <c r="DY65" s="61" t="s">
        <v>788</v>
      </c>
      <c r="DZ65" s="920" cm="1">
        <f t="array" aca="1" ref="DZ65" ca="1">SUMPRODUCT(($CX$11:$CX$779=DY65)*($CY$11:$CY$779=DX65),$DH$11:$DH$779,$DM$11:$DM$779)</f>
        <v>0</v>
      </c>
      <c r="EA65" s="920" cm="1">
        <f t="array" aca="1" ref="EA65" ca="1">SUMPRODUCT(($CX$11:$CX$779=DY65)*($CY$11:$CY$779=DX65),$DH$11:$DH$779,$DR$11:$DR$779)</f>
        <v>0</v>
      </c>
      <c r="EB65" s="920" cm="1">
        <f t="array" aca="1" ref="EB65" ca="1">SUMPRODUCT(($CX$11:$CX$779=DY65)*($CY$11:$CY$779=DX65),$DH$11:$DH$779,$DS$11:$DS$779)</f>
        <v>0</v>
      </c>
      <c r="EC65" s="1029" cm="1">
        <f t="array" aca="1" ref="EC65" ca="1">SUMPRODUCT(($CX$11:$CX$779=DY65)*($CY$11:$CY$779=DX65),$DH$11:$DH$779,$DT$11:$DT$779)</f>
        <v>0</v>
      </c>
      <c r="ED65" s="920">
        <f t="shared" ca="1" si="45"/>
        <v>0</v>
      </c>
      <c r="EE65" s="920">
        <f t="shared" ca="1" si="46"/>
        <v>0</v>
      </c>
      <c r="EF65" s="1238"/>
      <c r="EG65" s="1238"/>
      <c r="EH65" s="1238"/>
      <c r="EI65" s="1238"/>
      <c r="EJ65" s="1238"/>
    </row>
    <row r="66" spans="5:140" ht="15" x14ac:dyDescent="0.2">
      <c r="E66" s="4" t="str">
        <v>cabozantinib_plus_nivolumab</v>
      </c>
      <c r="J66" s="599">
        <f t="shared" ref="J66:W66" si="51">J51*i_SE_util</f>
        <v>0</v>
      </c>
      <c r="K66" s="745"/>
      <c r="L66" s="745"/>
      <c r="M66" s="745"/>
      <c r="N66" s="745"/>
      <c r="O66" s="599">
        <f t="shared" si="51"/>
        <v>0</v>
      </c>
      <c r="P66" s="599">
        <f t="shared" si="51"/>
        <v>4.2697468936953508E-3</v>
      </c>
      <c r="Q66" s="599">
        <f t="shared" si="51"/>
        <v>3.1975660070562972E-3</v>
      </c>
      <c r="R66" s="599">
        <f t="shared" si="51"/>
        <v>0</v>
      </c>
      <c r="S66" s="599">
        <f t="shared" si="51"/>
        <v>5.438708709924836E-2</v>
      </c>
      <c r="T66" s="599">
        <f t="shared" si="51"/>
        <v>0</v>
      </c>
      <c r="U66" s="599">
        <f t="shared" si="51"/>
        <v>0</v>
      </c>
      <c r="V66" s="599">
        <f t="shared" si="51"/>
        <v>0</v>
      </c>
      <c r="W66" s="599">
        <f t="shared" si="51"/>
        <v>3.8145600000000002E-2</v>
      </c>
      <c r="Z66" s="599">
        <f t="shared" ref="Z66:AM66" si="52">Z51*i_SE_util</f>
        <v>0</v>
      </c>
      <c r="AA66" s="599">
        <f t="shared" si="52"/>
        <v>0</v>
      </c>
      <c r="AB66" s="599">
        <f t="shared" si="52"/>
        <v>0</v>
      </c>
      <c r="AC66" s="599">
        <f t="shared" si="52"/>
        <v>0</v>
      </c>
      <c r="AD66" s="599">
        <f t="shared" si="52"/>
        <v>0</v>
      </c>
      <c r="AE66" s="599">
        <f t="shared" si="52"/>
        <v>0</v>
      </c>
      <c r="AF66" s="599">
        <f t="shared" si="52"/>
        <v>0</v>
      </c>
      <c r="AG66" s="599">
        <f t="shared" si="52"/>
        <v>0</v>
      </c>
      <c r="AH66" s="599">
        <f t="shared" si="52"/>
        <v>0</v>
      </c>
      <c r="AI66" s="599">
        <f t="shared" si="52"/>
        <v>0</v>
      </c>
      <c r="AJ66" s="599">
        <f t="shared" si="52"/>
        <v>0</v>
      </c>
      <c r="AK66" s="599">
        <f t="shared" si="52"/>
        <v>0</v>
      </c>
      <c r="AL66" s="599">
        <f t="shared" si="52"/>
        <v>0</v>
      </c>
      <c r="AM66" s="599">
        <f t="shared" si="52"/>
        <v>0.1</v>
      </c>
      <c r="AP66" s="599">
        <f t="shared" ref="AP66:BC66" si="53">AP51*i_SE_util</f>
        <v>0</v>
      </c>
      <c r="AQ66" s="877"/>
      <c r="AR66" s="877"/>
      <c r="AS66" s="877"/>
      <c r="AT66" s="877"/>
      <c r="AU66" s="599">
        <f t="shared" si="53"/>
        <v>0</v>
      </c>
      <c r="AV66" s="599">
        <f t="shared" si="53"/>
        <v>0</v>
      </c>
      <c r="AW66" s="599">
        <f t="shared" si="53"/>
        <v>0</v>
      </c>
      <c r="AX66" s="599">
        <f t="shared" si="53"/>
        <v>0</v>
      </c>
      <c r="AY66" s="599">
        <f t="shared" si="53"/>
        <v>0</v>
      </c>
      <c r="AZ66" s="599">
        <f t="shared" si="53"/>
        <v>0</v>
      </c>
      <c r="BA66" s="599">
        <f t="shared" si="53"/>
        <v>0</v>
      </c>
      <c r="BB66" s="599">
        <f t="shared" si="53"/>
        <v>0</v>
      </c>
      <c r="BC66" s="599">
        <f t="shared" si="53"/>
        <v>0.1</v>
      </c>
      <c r="BF66" s="604"/>
      <c r="BG66" s="604"/>
      <c r="BH66" s="604"/>
      <c r="BI66" s="604"/>
      <c r="BJ66" s="604"/>
      <c r="BK66" s="604"/>
      <c r="BL66" s="604"/>
      <c r="BM66" s="604"/>
      <c r="BN66" s="604"/>
      <c r="BO66" s="604"/>
      <c r="BP66" s="604"/>
      <c r="BQ66" s="604"/>
      <c r="BR66" s="604"/>
      <c r="BS66" s="78"/>
      <c r="CK66" s="61" t="s">
        <v>31</v>
      </c>
      <c r="CL66" s="61">
        <v>2</v>
      </c>
      <c r="CM66" s="61" t="str">
        <v>cabozantinib_plus_nivolumab</v>
      </c>
      <c r="CN66" s="17">
        <v>1</v>
      </c>
      <c r="CO66" s="61" t="str" cm="1">
        <f t="array" ref="CO66">INDEX(List_comparators,CP65+1)</f>
        <v>cabozantinib_plus_nivolumab</v>
      </c>
      <c r="CP66" s="17">
        <v>1</v>
      </c>
      <c r="CQ66" s="601">
        <f t="shared" ca="1" si="36"/>
        <v>0</v>
      </c>
      <c r="CR66" s="601">
        <f t="shared" ca="1" si="37"/>
        <v>0</v>
      </c>
      <c r="CS66" s="669">
        <f t="shared" ca="1" si="50"/>
        <v>0</v>
      </c>
      <c r="CT66" s="669">
        <f t="shared" ca="1" si="39"/>
        <v>0</v>
      </c>
      <c r="CU66" s="1123">
        <f>MATCH(CZ66,'Resource use and costs'!$BA$11:$BA$53,0)</f>
        <v>30</v>
      </c>
      <c r="CV66" s="1223"/>
      <c r="CW66" s="1241">
        <f t="shared" si="12"/>
        <v>1</v>
      </c>
      <c r="CX66" s="899" t="s">
        <v>764</v>
      </c>
      <c r="CY66" s="899" t="s">
        <v>585</v>
      </c>
      <c r="CZ66" s="899" t="s">
        <v>118</v>
      </c>
      <c r="DA66" s="899" t="s">
        <v>579</v>
      </c>
      <c r="DB66" s="899" t="s">
        <v>119</v>
      </c>
      <c r="DC66" s="899">
        <f t="shared" ca="1" si="44"/>
        <v>0.26190000000000002</v>
      </c>
      <c r="DD66" s="899">
        <f ca="1">DD65</f>
        <v>0.46929999999999994</v>
      </c>
      <c r="DE66" s="899" cm="1">
        <f t="array" aca="1" ref="DE66" ca="1">_xlfn.IFNA(OFFSET($AO$49,MATCH($DA66,$AO$50:$AO$63,0),MATCH($DB66,TRANSPOSE($AP$49:$BC$49),0)),0)</f>
        <v>0</v>
      </c>
      <c r="DF66" s="881">
        <f t="shared" ca="1" si="8"/>
        <v>0</v>
      </c>
      <c r="DG66" s="910">
        <f t="shared" ca="1" si="9"/>
        <v>1</v>
      </c>
      <c r="DH66" s="881">
        <f t="shared" ca="1" si="10"/>
        <v>0</v>
      </c>
      <c r="DI66" s="1460">
        <f t="shared" ca="1" si="40"/>
        <v>0</v>
      </c>
      <c r="DJ66" s="909">
        <f>_xlfn.IFNA(INDEX('Resource use and costs'!$CQ$11:$CQ$53,MATCH($CZ66,'Resource use and costs'!$BA$11:$BA$53,0)),0)*_xlfn.IFNA(INDEX(DY$10:DY$23,MATCH($CZ66,$DX$10:$DX$23,0)),0)</f>
        <v>45284.183573333321</v>
      </c>
      <c r="DK66" s="909">
        <f>IF(dd_PartSA_2_lines = "Yes",0,_xlfn.IFNA(INDEX('Resource use and costs'!$CR$11:$CR$53,MATCH(DA66,'Resource use and costs'!$BA$11:$BA$53,0)),0)*_xlfn.IFNA(INDEX(EA$10:EA$23,MATCH($DA66,$DX$10:$DX$23,0)),0))</f>
        <v>26054.50921</v>
      </c>
      <c r="DL66" s="909">
        <f>IF(dd_PartSA_2_lines = "Yes",0,_xlfn.IFNA(INDEX('Resource use and costs'!$CS$11:$CS$53,MATCH(DB66,'Resource use and costs'!$BA$11:$BA$53,0)),0)*_xlfn.IFNA(INDEX(EC$10:EC$23,MATCH($DB66,$DX$10:$DX$23,0)),0))</f>
        <v>2915.4763433333328</v>
      </c>
      <c r="DM66" s="909">
        <f t="shared" si="13"/>
        <v>74254.169126666646</v>
      </c>
      <c r="DN66" s="909">
        <f>SUM(_xlfn.IFNA(INDEX('Resource use and costs'!$DU$12:$DU$25,MATCH(CZ66,'Resource use and costs'!$DS$12:$DS$25,0)),0),_xlfn.IFNA(INDEX('Resource use and costs'!$DU$12:$DU$25,MATCH(DA66,'Resource use and costs'!$DS$12:$DS$25,0)),0),_xlfn.IFNA(INDEX('Resource use and costs'!$DU$12:$DU$25,MATCH(DB66,'Resource use and costs'!$DS$12:$DS$25,0)),0))</f>
        <v>394.5</v>
      </c>
      <c r="DO66" s="921">
        <f>_xlfn.IFNA(INDEX('Resource use and costs'!$DY$12:$DY$25,MATCH(CZ66,'Resource use and costs'!$DS$12:$DS$25,0)),0)*_xlfn.IFNA(INDEX(DY$10:DY$23,MATCH($CZ66,$DX$10:$DX$23,0)),0)</f>
        <v>415.09348571428563</v>
      </c>
      <c r="DP66" s="921">
        <f>IF(dd_PartSA_2_lines = "Yes",0,_xlfn.IFNA(INDEX('Resource use and costs'!$DZ$12:$DZ$25,MATCH(DA66,'Resource use and costs'!$DS$12:$DS$25,0)),0)*_xlfn.IFNA(INDEX(EA$10:EA$23,MATCH($DA66,$DX$10:$DX$23,0)),0))</f>
        <v>4108.3597166</v>
      </c>
      <c r="DQ66" s="921">
        <f>IF(dd_PartSA_2_lines = "Yes",0,_xlfn.IFNA(INDEX('Resource use and costs'!$EA$12:$EA$25,MATCH(DB66,'Resource use and costs'!$DS$12:$DS$25,0)),0)*_xlfn.IFNA(INDEX(EC$10:EC$23,MATCH($DB66,$DX$10:$DX$23,0)),0))</f>
        <v>256.11457142857142</v>
      </c>
      <c r="DR66" s="921">
        <f t="shared" si="14"/>
        <v>5174.0677737428568</v>
      </c>
      <c r="DS66" s="1004">
        <f ca="1">SUMIFS('Safety parameters'!$DM$6:$DM$18,'Safety parameters'!$DK$6:$DK$18,CZ66,'Safety parameters'!$DL$6:$DL$18,1)+IF(dd_PartSA_2_lines = "Yes",0,SUMIFS('Safety parameters'!$DM$6:$DM$18,'Safety parameters'!$DK$6:$DK$18,DA66,'Safety parameters'!$DL$6:$DL$18,2)+SUMIFS('Safety parameters'!$DM$6:$DM$18,'Safety parameters'!$DK$6:$DK$18,DB66,'Safety parameters'!$DL$6:$DL$18,2))</f>
        <v>1225.8382950498869</v>
      </c>
      <c r="DT66" s="910">
        <f ca="1">SUMIFS('Safety parameters'!$DO$6:$DO$18,'Safety parameters'!$DK$6:$DK$18,CZ66,'Safety parameters'!$DL$6:$DL$18,1)+IF(dd_PartSA_2_lines = "Yes",0,SUMIFS('Safety parameters'!$DO$6:$DO$18,'Safety parameters'!$DK$6:$DK$18,DA66,'Safety parameters'!$DL$6:$DL$18,2)+SUMIFS('Safety parameters'!$DO$6:$DO$18,'Safety parameters'!$DK$6:$DK$18,DB66,'Safety parameters'!$DL$6:$DL$18,2))</f>
        <v>-1.0781647242797295E-2</v>
      </c>
      <c r="DX66" s="61" t="str">
        <v>everolimus</v>
      </c>
      <c r="DY66" s="61" t="s">
        <v>788</v>
      </c>
      <c r="DZ66" s="920" cm="1">
        <f t="array" aca="1" ref="DZ66" ca="1">SUMPRODUCT(($CX$11:$CX$779=DY66)*($CY$11:$CY$779=DX66),$DH$11:$DH$779,$DM$11:$DM$779)</f>
        <v>0</v>
      </c>
      <c r="EA66" s="920" cm="1">
        <f t="array" aca="1" ref="EA66" ca="1">SUMPRODUCT(($CX$11:$CX$779=DY66)*($CY$11:$CY$779=DX66),$DH$11:$DH$779,$DR$11:$DR$779)</f>
        <v>0</v>
      </c>
      <c r="EB66" s="920" cm="1">
        <f t="array" aca="1" ref="EB66" ca="1">SUMPRODUCT(($CX$11:$CX$779=DY66)*($CY$11:$CY$779=DX66),$DH$11:$DH$779,$DS$11:$DS$779)</f>
        <v>0</v>
      </c>
      <c r="EC66" s="1029" cm="1">
        <f t="array" aca="1" ref="EC66" ca="1">SUMPRODUCT(($CX$11:$CX$779=DY66)*($CY$11:$CY$779=DX66),$DH$11:$DH$779,$DT$11:$DT$779)</f>
        <v>0</v>
      </c>
      <c r="ED66" s="920">
        <f t="shared" ca="1" si="45"/>
        <v>0</v>
      </c>
      <c r="EE66" s="920">
        <f t="shared" ca="1" si="46"/>
        <v>0</v>
      </c>
      <c r="EF66" s="1238"/>
      <c r="EG66" s="1238"/>
      <c r="EH66" s="1238"/>
      <c r="EI66" s="1238"/>
      <c r="EJ66" s="1238"/>
    </row>
    <row r="67" spans="5:140" ht="15.75" x14ac:dyDescent="0.25">
      <c r="E67" s="4" t="str">
        <v>nivolumab_plus_ipilimumab</v>
      </c>
      <c r="J67" s="599">
        <f t="shared" ref="J67:W67" si="54">J52*i_SE_util</f>
        <v>0</v>
      </c>
      <c r="K67" s="745"/>
      <c r="L67" s="745"/>
      <c r="M67" s="745"/>
      <c r="N67" s="745"/>
      <c r="O67" s="599">
        <f t="shared" si="54"/>
        <v>4.6654820499111545E-3</v>
      </c>
      <c r="P67" s="599">
        <f t="shared" si="54"/>
        <v>9.3203607315270557E-3</v>
      </c>
      <c r="Q67" s="599">
        <f t="shared" si="54"/>
        <v>7.7722689604201728E-3</v>
      </c>
      <c r="R67" s="599">
        <f t="shared" si="54"/>
        <v>4.5152323211674242E-2</v>
      </c>
      <c r="S67" s="599">
        <f t="shared" si="54"/>
        <v>0</v>
      </c>
      <c r="T67" s="599">
        <f t="shared" si="54"/>
        <v>0</v>
      </c>
      <c r="U67" s="599">
        <f t="shared" si="54"/>
        <v>5.1956504646737849E-4</v>
      </c>
      <c r="V67" s="599">
        <f t="shared" si="54"/>
        <v>0</v>
      </c>
      <c r="W67" s="599">
        <f t="shared" si="54"/>
        <v>3.2570000000000002E-2</v>
      </c>
      <c r="Z67" s="599">
        <f t="shared" ref="Z67:AM67" si="55">Z52*i_SE_util</f>
        <v>0</v>
      </c>
      <c r="AA67" s="599">
        <f t="shared" si="55"/>
        <v>0</v>
      </c>
      <c r="AB67" s="599">
        <f t="shared" si="55"/>
        <v>0</v>
      </c>
      <c r="AC67" s="599">
        <f t="shared" si="55"/>
        <v>0</v>
      </c>
      <c r="AD67" s="599">
        <f t="shared" si="55"/>
        <v>0</v>
      </c>
      <c r="AE67" s="599">
        <f t="shared" si="55"/>
        <v>0</v>
      </c>
      <c r="AF67" s="599">
        <f t="shared" si="55"/>
        <v>0</v>
      </c>
      <c r="AG67" s="599">
        <f t="shared" si="55"/>
        <v>0</v>
      </c>
      <c r="AH67" s="599">
        <f t="shared" si="55"/>
        <v>0</v>
      </c>
      <c r="AI67" s="599">
        <f t="shared" si="55"/>
        <v>0</v>
      </c>
      <c r="AJ67" s="599">
        <f t="shared" si="55"/>
        <v>0</v>
      </c>
      <c r="AK67" s="599">
        <f t="shared" si="55"/>
        <v>0</v>
      </c>
      <c r="AL67" s="599">
        <f t="shared" si="55"/>
        <v>0</v>
      </c>
      <c r="AM67" s="599">
        <f t="shared" si="55"/>
        <v>0.1</v>
      </c>
      <c r="AP67" s="599">
        <f t="shared" ref="AP67:BC67" si="56">AP52*i_SE_util</f>
        <v>0</v>
      </c>
      <c r="AQ67" s="877"/>
      <c r="AR67" s="877"/>
      <c r="AS67" s="877"/>
      <c r="AT67" s="877"/>
      <c r="AU67" s="599">
        <f t="shared" si="56"/>
        <v>0</v>
      </c>
      <c r="AV67" s="599">
        <f t="shared" si="56"/>
        <v>0</v>
      </c>
      <c r="AW67" s="599">
        <f t="shared" si="56"/>
        <v>0</v>
      </c>
      <c r="AX67" s="599">
        <f t="shared" si="56"/>
        <v>0</v>
      </c>
      <c r="AY67" s="599">
        <f t="shared" si="56"/>
        <v>0</v>
      </c>
      <c r="AZ67" s="599">
        <f t="shared" si="56"/>
        <v>0</v>
      </c>
      <c r="BA67" s="599">
        <f t="shared" si="56"/>
        <v>0</v>
      </c>
      <c r="BB67" s="599">
        <f t="shared" si="56"/>
        <v>0</v>
      </c>
      <c r="BC67" s="599">
        <f t="shared" si="56"/>
        <v>0.1</v>
      </c>
      <c r="BF67" s="605"/>
      <c r="BG67" s="605"/>
      <c r="BH67" s="604"/>
      <c r="BI67" s="604"/>
      <c r="BJ67" s="604"/>
      <c r="BK67" s="604"/>
      <c r="BL67" s="604"/>
      <c r="BM67" s="604"/>
      <c r="BN67" s="604"/>
      <c r="BO67" s="604"/>
      <c r="BP67" s="604"/>
      <c r="BQ67" s="604"/>
      <c r="BR67" s="604"/>
      <c r="BS67" s="78"/>
      <c r="CK67" s="61" t="s">
        <v>31</v>
      </c>
      <c r="CL67" s="61">
        <v>2</v>
      </c>
      <c r="CM67" s="61" t="str">
        <v>nivolumab_plus_ipilimumab</v>
      </c>
      <c r="CN67" s="17">
        <v>2</v>
      </c>
      <c r="CO67" s="61" t="str" cm="1">
        <f t="array" ref="CO67">INDEX(List_comparators,CP66+1)</f>
        <v>cabozantinib_plus_nivolumab</v>
      </c>
      <c r="CP67" s="17">
        <v>1</v>
      </c>
      <c r="CQ67" s="601">
        <f t="shared" ca="1" si="36"/>
        <v>0</v>
      </c>
      <c r="CR67" s="601">
        <f t="shared" ca="1" si="37"/>
        <v>0</v>
      </c>
      <c r="CS67" s="669">
        <f t="shared" ca="1" si="50"/>
        <v>0</v>
      </c>
      <c r="CT67" s="669">
        <f t="shared" ca="1" si="39"/>
        <v>0</v>
      </c>
      <c r="CU67" s="1123">
        <f>MATCH(CZ67,'Resource use and costs'!$BA$11:$BA$53,0)</f>
        <v>37</v>
      </c>
      <c r="CV67" s="1223"/>
      <c r="CW67" s="1241">
        <f t="shared" si="12"/>
        <v>1</v>
      </c>
      <c r="CX67" s="899" t="s">
        <v>764</v>
      </c>
      <c r="CY67" s="899" t="s">
        <v>585</v>
      </c>
      <c r="CZ67" s="899" t="s">
        <v>119</v>
      </c>
      <c r="DA67" s="899" t="s">
        <v>327</v>
      </c>
      <c r="DB67" s="899" t="s">
        <v>765</v>
      </c>
      <c r="DC67" s="899" cm="1">
        <f t="array" aca="1" ref="DC67" ca="1">_xlfn.IFNA(OFFSET($I$49,MATCH(CY67,$I$50:$I$63,0),MATCH(CZ67,TRANSPOSE($J$49:$W$49),0)),0)</f>
        <v>0</v>
      </c>
      <c r="DD67" s="899" cm="1">
        <f t="array" aca="1" ref="DD67" ca="1">_xlfn.IFNA(OFFSET($Y$49,MATCH($CZ67,$Y$50:$Y$63,0),MATCH($DA67,TRANSPOSE($Z$49:$AM$49),0)),0)</f>
        <v>0</v>
      </c>
      <c r="DE67" s="899" cm="1">
        <f t="array" aca="1" ref="DE67" ca="1">_xlfn.IFNA(OFFSET($AO$49,MATCH($DA67,$AO$50:$AO$63,0),MATCH($DB67,TRANSPOSE($AP$49:$BC$49),0)),0)</f>
        <v>0.43140000000000001</v>
      </c>
      <c r="DF67" s="881">
        <f t="shared" ca="1" si="8"/>
        <v>0</v>
      </c>
      <c r="DG67" s="910">
        <f t="shared" ca="1" si="9"/>
        <v>1</v>
      </c>
      <c r="DH67" s="881">
        <f t="shared" ca="1" si="10"/>
        <v>0</v>
      </c>
      <c r="DI67" s="1460">
        <f t="shared" ca="1" si="40"/>
        <v>0</v>
      </c>
      <c r="DJ67" s="909">
        <f>_xlfn.IFNA(INDEX('Resource use and costs'!$CQ$11:$CQ$53,MATCH($CZ67,'Resource use and costs'!$BA$11:$BA$53,0)),0)*_xlfn.IFNA(INDEX(DY$10:DY$23,MATCH($CZ67,$DX$10:$DX$23,0)),0)</f>
        <v>944.50399999999979</v>
      </c>
      <c r="DK67" s="909">
        <f>IF(dd_PartSA_2_lines = "Yes",0,_xlfn.IFNA(INDEX('Resource use and costs'!$CR$11:$CR$53,MATCH(DA67,'Resource use and costs'!$BA$11:$BA$53,0)),0)*_xlfn.IFNA(INDEX(EA$10:EA$23,MATCH($DA67,$DX$10:$DX$23,0)),0))</f>
        <v>21421.066008214286</v>
      </c>
      <c r="DL67" s="909">
        <f>IF(dd_PartSA_2_lines = "Yes",0,_xlfn.IFNA(INDEX('Resource use and costs'!$CS$11:$CS$53,MATCH(DB67,'Resource use and costs'!$BA$11:$BA$53,0)),0)*_xlfn.IFNA(INDEX(EC$10:EC$23,MATCH($DB67,$DX$10:$DX$23,0)),0))</f>
        <v>0</v>
      </c>
      <c r="DM67" s="909">
        <f t="shared" si="13"/>
        <v>22365.570008214287</v>
      </c>
      <c r="DN67" s="909">
        <f>SUM(_xlfn.IFNA(INDEX('Resource use and costs'!$DU$12:$DU$25,MATCH(CZ67,'Resource use and costs'!$DS$12:$DS$25,0)),0),_xlfn.IFNA(INDEX('Resource use and costs'!$DU$12:$DU$25,MATCH(DA67,'Resource use and costs'!$DS$12:$DS$25,0)),0),_xlfn.IFNA(INDEX('Resource use and costs'!$DU$12:$DU$25,MATCH(DB67,'Resource use and costs'!$DS$12:$DS$25,0)),0))</f>
        <v>394.5</v>
      </c>
      <c r="DO67" s="921">
        <f>_xlfn.IFNA(INDEX('Resource use and costs'!$DY$12:$DY$25,MATCH(CZ67,'Resource use and costs'!$DS$12:$DS$25,0)),0)*_xlfn.IFNA(INDEX(DY$10:DY$23,MATCH($CZ67,$DX$10:$DX$23,0)),0)</f>
        <v>82.971428571428561</v>
      </c>
      <c r="DP67" s="921">
        <f>IF(dd_PartSA_2_lines = "Yes",0,_xlfn.IFNA(INDEX('Resource use and costs'!$DZ$12:$DZ$25,MATCH(DA67,'Resource use and costs'!$DS$12:$DS$25,0)),0)*_xlfn.IFNA(INDEX(EA$10:EA$23,MATCH($DA67,$DX$10:$DX$23,0)),0))</f>
        <v>267.99172714285714</v>
      </c>
      <c r="DQ67" s="921">
        <f>IF(dd_PartSA_2_lines = "Yes",0,_xlfn.IFNA(INDEX('Resource use and costs'!$EA$12:$EA$25,MATCH(DB67,'Resource use and costs'!$DS$12:$DS$25,0)),0)*_xlfn.IFNA(INDEX(EC$10:EC$23,MATCH($DB67,$DX$10:$DX$23,0)),0))</f>
        <v>0</v>
      </c>
      <c r="DR67" s="921">
        <f t="shared" si="14"/>
        <v>745.46315571428568</v>
      </c>
      <c r="DS67" s="1004">
        <f ca="1">SUMIFS('Safety parameters'!$DM$6:$DM$18,'Safety parameters'!$DK$6:$DK$18,CZ67,'Safety parameters'!$DL$6:$DL$18,1)+IF(dd_PartSA_2_lines = "Yes",0,SUMIFS('Safety parameters'!$DM$6:$DM$18,'Safety parameters'!$DK$6:$DK$18,DA67,'Safety parameters'!$DL$6:$DL$18,2)+SUMIFS('Safety parameters'!$DM$6:$DM$18,'Safety parameters'!$DK$6:$DK$18,DB67,'Safety parameters'!$DL$6:$DL$18,2))</f>
        <v>1634.2286735654598</v>
      </c>
      <c r="DT67" s="910">
        <f ca="1">SUMIFS('Safety parameters'!$DO$6:$DO$18,'Safety parameters'!$DK$6:$DK$18,CZ67,'Safety parameters'!$DL$6:$DL$18,1)+IF(dd_PartSA_2_lines = "Yes",0,SUMIFS('Safety parameters'!$DO$6:$DO$18,'Safety parameters'!$DK$6:$DK$18,DA67,'Safety parameters'!$DL$6:$DL$18,2)+SUMIFS('Safety parameters'!$DO$6:$DO$18,'Safety parameters'!$DK$6:$DK$18,DB67,'Safety parameters'!$DL$6:$DL$18,2))</f>
        <v>-1.4741924007481429E-2</v>
      </c>
      <c r="DX67" s="61" t="str">
        <v>axitinib</v>
      </c>
      <c r="DY67" s="61" t="s">
        <v>788</v>
      </c>
      <c r="DZ67" s="920" cm="1">
        <f t="array" aca="1" ref="DZ67" ca="1">SUMPRODUCT(($CX$11:$CX$779=DY67)*($CY$11:$CY$779=DX67),$DH$11:$DH$779,$DM$11:$DM$779)</f>
        <v>0</v>
      </c>
      <c r="EA67" s="920" cm="1">
        <f t="array" aca="1" ref="EA67" ca="1">SUMPRODUCT(($CX$11:$CX$779=DY67)*($CY$11:$CY$779=DX67),$DH$11:$DH$779,$DR$11:$DR$779)</f>
        <v>0</v>
      </c>
      <c r="EB67" s="920" cm="1">
        <f t="array" aca="1" ref="EB67" ca="1">SUMPRODUCT(($CX$11:$CX$779=DY67)*($CY$11:$CY$779=DX67),$DH$11:$DH$779,$DS$11:$DS$779)</f>
        <v>0</v>
      </c>
      <c r="EC67" s="1029" cm="1">
        <f t="array" aca="1" ref="EC67" ca="1">SUMPRODUCT(($CX$11:$CX$779=DY67)*($CY$11:$CY$779=DX67),$DH$11:$DH$779,$DT$11:$DT$779)</f>
        <v>0</v>
      </c>
      <c r="ED67" s="920">
        <f t="shared" ca="1" si="45"/>
        <v>0</v>
      </c>
      <c r="EE67" s="920">
        <f t="shared" ca="1" si="46"/>
        <v>0</v>
      </c>
      <c r="EF67" s="1238"/>
      <c r="EG67" s="1238"/>
      <c r="EH67" s="1238"/>
      <c r="EI67" s="1238"/>
      <c r="EJ67" s="1238"/>
    </row>
    <row r="68" spans="5:140" ht="15.75" x14ac:dyDescent="0.25">
      <c r="E68" s="4" t="str">
        <v>lenvatinib_plus_pembrolizumab</v>
      </c>
      <c r="J68" s="599">
        <f t="shared" ref="J68:W68" si="57">J53*i_SE_util</f>
        <v>0</v>
      </c>
      <c r="K68" s="745"/>
      <c r="L68" s="745"/>
      <c r="M68" s="745"/>
      <c r="N68" s="745"/>
      <c r="O68" s="599">
        <f t="shared" si="57"/>
        <v>0</v>
      </c>
      <c r="P68" s="599">
        <f t="shared" si="57"/>
        <v>4.2697468936953508E-3</v>
      </c>
      <c r="Q68" s="599">
        <f t="shared" si="57"/>
        <v>3.1975660070562972E-3</v>
      </c>
      <c r="R68" s="599">
        <f t="shared" si="57"/>
        <v>5.438708709924836E-2</v>
      </c>
      <c r="S68" s="599">
        <f t="shared" si="57"/>
        <v>0</v>
      </c>
      <c r="T68" s="599">
        <f t="shared" si="57"/>
        <v>0</v>
      </c>
      <c r="U68" s="599">
        <f t="shared" si="57"/>
        <v>0</v>
      </c>
      <c r="V68" s="599">
        <f t="shared" si="57"/>
        <v>0</v>
      </c>
      <c r="W68" s="599">
        <f t="shared" si="57"/>
        <v>3.8145600000000002E-2</v>
      </c>
      <c r="Z68" s="599">
        <f t="shared" ref="Z68:AM68" si="58">Z53*i_SE_util</f>
        <v>0</v>
      </c>
      <c r="AA68" s="599">
        <f t="shared" si="58"/>
        <v>0</v>
      </c>
      <c r="AB68" s="599">
        <f t="shared" si="58"/>
        <v>0</v>
      </c>
      <c r="AC68" s="599">
        <f t="shared" si="58"/>
        <v>0</v>
      </c>
      <c r="AD68" s="599">
        <f t="shared" si="58"/>
        <v>0</v>
      </c>
      <c r="AE68" s="599">
        <f t="shared" si="58"/>
        <v>0</v>
      </c>
      <c r="AF68" s="599">
        <f t="shared" si="58"/>
        <v>0</v>
      </c>
      <c r="AG68" s="599">
        <f t="shared" si="58"/>
        <v>0</v>
      </c>
      <c r="AH68" s="599">
        <f t="shared" si="58"/>
        <v>0</v>
      </c>
      <c r="AI68" s="599">
        <f t="shared" si="58"/>
        <v>0</v>
      </c>
      <c r="AJ68" s="599">
        <f t="shared" si="58"/>
        <v>0</v>
      </c>
      <c r="AK68" s="599">
        <f t="shared" si="58"/>
        <v>0</v>
      </c>
      <c r="AL68" s="599">
        <f t="shared" si="58"/>
        <v>0</v>
      </c>
      <c r="AM68" s="599">
        <f t="shared" si="58"/>
        <v>0.1</v>
      </c>
      <c r="AP68" s="599">
        <f t="shared" ref="AP68:BC68" si="59">AP53*i_SE_util</f>
        <v>0</v>
      </c>
      <c r="AQ68" s="877"/>
      <c r="AR68" s="877"/>
      <c r="AS68" s="877"/>
      <c r="AT68" s="877"/>
      <c r="AU68" s="599">
        <f t="shared" si="59"/>
        <v>0</v>
      </c>
      <c r="AV68" s="599">
        <f t="shared" si="59"/>
        <v>0</v>
      </c>
      <c r="AW68" s="599">
        <f t="shared" si="59"/>
        <v>0</v>
      </c>
      <c r="AX68" s="599">
        <f t="shared" si="59"/>
        <v>0</v>
      </c>
      <c r="AY68" s="599">
        <f t="shared" si="59"/>
        <v>0</v>
      </c>
      <c r="AZ68" s="599">
        <f t="shared" si="59"/>
        <v>0</v>
      </c>
      <c r="BA68" s="599">
        <f t="shared" si="59"/>
        <v>0</v>
      </c>
      <c r="BB68" s="599">
        <f t="shared" si="59"/>
        <v>0</v>
      </c>
      <c r="BC68" s="599">
        <f t="shared" si="59"/>
        <v>0.1</v>
      </c>
      <c r="BF68" s="605"/>
      <c r="BG68" s="605"/>
      <c r="BH68" s="604"/>
      <c r="BI68" s="604"/>
      <c r="BJ68" s="604"/>
      <c r="BK68" s="604"/>
      <c r="BL68" s="604"/>
      <c r="BM68" s="604"/>
      <c r="BN68" s="604"/>
      <c r="BO68" s="604"/>
      <c r="BP68" s="604"/>
      <c r="BQ68" s="604"/>
      <c r="BR68" s="604"/>
      <c r="BS68" s="78"/>
      <c r="CK68" s="61" t="s">
        <v>31</v>
      </c>
      <c r="CL68" s="61">
        <v>2</v>
      </c>
      <c r="CM68" s="61" t="str">
        <v>lenvatinib_plus_pembrolizumab</v>
      </c>
      <c r="CN68" s="17">
        <v>3</v>
      </c>
      <c r="CO68" s="61" t="str" cm="1">
        <f t="array" ref="CO68">INDEX(List_comparators,CP67+1)</f>
        <v>cabozantinib_plus_nivolumab</v>
      </c>
      <c r="CP68" s="17">
        <v>1</v>
      </c>
      <c r="CQ68" s="601">
        <f t="shared" ca="1" si="36"/>
        <v>0</v>
      </c>
      <c r="CR68" s="601">
        <f t="shared" ca="1" si="37"/>
        <v>0</v>
      </c>
      <c r="CS68" s="669">
        <f t="shared" ca="1" si="50"/>
        <v>0</v>
      </c>
      <c r="CT68" s="669">
        <f t="shared" ca="1" si="39"/>
        <v>0</v>
      </c>
      <c r="CU68" s="1123">
        <f>MATCH(CZ68,'Resource use and costs'!$BA$11:$BA$53,0)</f>
        <v>37</v>
      </c>
      <c r="CV68" s="1223"/>
      <c r="CW68" s="1241">
        <f t="shared" si="12"/>
        <v>1</v>
      </c>
      <c r="CX68" s="899" t="s">
        <v>764</v>
      </c>
      <c r="CY68" s="899" t="s">
        <v>585</v>
      </c>
      <c r="CZ68" s="899" t="s">
        <v>119</v>
      </c>
      <c r="DA68" s="899" t="s">
        <v>765</v>
      </c>
      <c r="DB68" s="899"/>
      <c r="DC68" s="899" cm="1">
        <f t="array" aca="1" ref="DC68" ca="1">_xlfn.IFNA(OFFSET($I$49,MATCH(CY68,$I$50:$I$63,0),MATCH(CZ68,TRANSPOSE($J$49:$W$49),0)),0)</f>
        <v>0</v>
      </c>
      <c r="DD68" s="899" cm="1">
        <f t="array" aca="1" ref="DD68" ca="1">_xlfn.IFNA(OFFSET($Y$49,MATCH($CZ68,$Y$50:$Y$63,0),MATCH($DA68,TRANSPOSE($Z$49:$AM$49),0)),0)</f>
        <v>1</v>
      </c>
      <c r="DE68" s="899" cm="1">
        <f t="array" aca="1" ref="DE68" ca="1">_xlfn.IFNA(OFFSET($AO$49,MATCH($DA68,$AO$50:$AO$63,0),MATCH($DB68,TRANSPOSE($AP$49:$BC$49),0)),0)</f>
        <v>0</v>
      </c>
      <c r="DF68" s="881">
        <f t="shared" ca="1" si="8"/>
        <v>0</v>
      </c>
      <c r="DG68" s="910">
        <f t="shared" ca="1" si="9"/>
        <v>1</v>
      </c>
      <c r="DH68" s="881">
        <f t="shared" ca="1" si="10"/>
        <v>0</v>
      </c>
      <c r="DI68" s="1460">
        <f t="shared" ca="1" si="40"/>
        <v>0</v>
      </c>
      <c r="DJ68" s="909">
        <f>_xlfn.IFNA(INDEX('Resource use and costs'!$CQ$11:$CQ$53,MATCH($CZ68,'Resource use and costs'!$BA$11:$BA$53,0)),0)*_xlfn.IFNA(INDEX(DY$10:DY$23,MATCH($CZ68,$DX$10:$DX$23,0)),0)</f>
        <v>944.50399999999979</v>
      </c>
      <c r="DK68" s="909">
        <f>IF(dd_PartSA_2_lines = "Yes",0,_xlfn.IFNA(INDEX('Resource use and costs'!$CR$11:$CR$53,MATCH(DA68,'Resource use and costs'!$BA$11:$BA$53,0)),0)*_xlfn.IFNA(INDEX(EA$10:EA$23,MATCH($DA68,$DX$10:$DX$23,0)),0))</f>
        <v>0</v>
      </c>
      <c r="DL68" s="909">
        <f>IF(dd_PartSA_2_lines = "Yes",0,_xlfn.IFNA(INDEX('Resource use and costs'!$CS$11:$CS$53,MATCH(DB68,'Resource use and costs'!$BA$11:$BA$53,0)),0)*_xlfn.IFNA(INDEX(EC$10:EC$23,MATCH($DB68,$DX$10:$DX$23,0)),0))</f>
        <v>0</v>
      </c>
      <c r="DM68" s="909">
        <f t="shared" si="13"/>
        <v>944.50399999999979</v>
      </c>
      <c r="DN68" s="909">
        <f>SUM(_xlfn.IFNA(INDEX('Resource use and costs'!$DU$12:$DU$25,MATCH(CZ68,'Resource use and costs'!$DS$12:$DS$25,0)),0),_xlfn.IFNA(INDEX('Resource use and costs'!$DU$12:$DU$25,MATCH(DA68,'Resource use and costs'!$DS$12:$DS$25,0)),0),_xlfn.IFNA(INDEX('Resource use and costs'!$DU$12:$DU$25,MATCH(DB68,'Resource use and costs'!$DS$12:$DS$25,0)),0))</f>
        <v>197.25</v>
      </c>
      <c r="DO68" s="921">
        <f>_xlfn.IFNA(INDEX('Resource use and costs'!$DY$12:$DY$25,MATCH(CZ68,'Resource use and costs'!$DS$12:$DS$25,0)),0)*_xlfn.IFNA(INDEX(DY$10:DY$23,MATCH($CZ68,$DX$10:$DX$23,0)),0)</f>
        <v>82.971428571428561</v>
      </c>
      <c r="DP68" s="921">
        <f>IF(dd_PartSA_2_lines = "Yes",0,_xlfn.IFNA(INDEX('Resource use and costs'!$DZ$12:$DZ$25,MATCH(DA68,'Resource use and costs'!$DS$12:$DS$25,0)),0)*_xlfn.IFNA(INDEX(EA$10:EA$23,MATCH($DA68,$DX$10:$DX$23,0)),0))</f>
        <v>0</v>
      </c>
      <c r="DQ68" s="921">
        <f>IF(dd_PartSA_2_lines = "Yes",0,_xlfn.IFNA(INDEX('Resource use and costs'!$EA$12:$EA$25,MATCH(DB68,'Resource use and costs'!$DS$12:$DS$25,0)),0)*_xlfn.IFNA(INDEX(EC$10:EC$23,MATCH($DB68,$DX$10:$DX$23,0)),0))</f>
        <v>0</v>
      </c>
      <c r="DR68" s="921">
        <f t="shared" si="14"/>
        <v>280.22142857142853</v>
      </c>
      <c r="DS68" s="1004">
        <f>SUMIFS('Safety parameters'!$DM$6:$DM$18,'Safety parameters'!$DK$6:$DK$18,CZ68,'Safety parameters'!$DL$6:$DL$18,1)+IF(dd_PartSA_2_lines = "Yes",0,SUMIFS('Safety parameters'!$DM$6:$DM$18,'Safety parameters'!$DK$6:$DK$18,DA68,'Safety parameters'!$DL$6:$DL$18,2)+SUMIFS('Safety parameters'!$DM$6:$DM$18,'Safety parameters'!$DK$6:$DK$18,DB68,'Safety parameters'!$DL$6:$DL$18,2))</f>
        <v>0</v>
      </c>
      <c r="DT68" s="910">
        <f>SUMIFS('Safety parameters'!$DO$6:$DO$18,'Safety parameters'!$DK$6:$DK$18,CZ68,'Safety parameters'!$DL$6:$DL$18,1)+IF(dd_PartSA_2_lines = "Yes",0,SUMIFS('Safety parameters'!$DO$6:$DO$18,'Safety parameters'!$DK$6:$DK$18,DA68,'Safety parameters'!$DL$6:$DL$18,2)+SUMIFS('Safety parameters'!$DO$6:$DO$18,'Safety parameters'!$DK$6:$DK$18,DB68,'Safety parameters'!$DL$6:$DL$18,2))</f>
        <v>0</v>
      </c>
      <c r="DX68" s="61" t="str">
        <v>sorafenib</v>
      </c>
      <c r="DY68" s="61" t="s">
        <v>788</v>
      </c>
      <c r="DZ68" s="920" cm="1">
        <f t="array" aca="1" ref="DZ68" ca="1">SUMPRODUCT(($CX$11:$CX$779=DY68)*($CY$11:$CY$779=DX68),$DH$11:$DH$779,$DM$11:$DM$779)</f>
        <v>0</v>
      </c>
      <c r="EA68" s="920" cm="1">
        <f t="array" aca="1" ref="EA68" ca="1">SUMPRODUCT(($CX$11:$CX$779=DY68)*($CY$11:$CY$779=DX68),$DH$11:$DH$779,$DR$11:$DR$779)</f>
        <v>0</v>
      </c>
      <c r="EB68" s="920" cm="1">
        <f t="array" aca="1" ref="EB68" ca="1">SUMPRODUCT(($CX$11:$CX$779=DY68)*($CY$11:$CY$779=DX68),$DH$11:$DH$779,$DS$11:$DS$779)</f>
        <v>0</v>
      </c>
      <c r="EC68" s="1029" cm="1">
        <f t="array" aca="1" ref="EC68" ca="1">SUMPRODUCT(($CX$11:$CX$779=DY68)*($CY$11:$CY$779=DX68),$DH$11:$DH$779,$DT$11:$DT$779)</f>
        <v>0</v>
      </c>
      <c r="ED68" s="920">
        <f t="shared" ca="1" si="45"/>
        <v>0</v>
      </c>
      <c r="EE68" s="920">
        <f t="shared" ca="1" si="46"/>
        <v>0</v>
      </c>
      <c r="EF68" s="1238"/>
      <c r="EG68" s="1238"/>
      <c r="EH68" s="1238"/>
      <c r="EI68" s="1238"/>
      <c r="EJ68" s="1238"/>
    </row>
    <row r="69" spans="5:140" ht="15" x14ac:dyDescent="0.2">
      <c r="E69" s="4" t="str">
        <v>avelumab_plus_axitinib</v>
      </c>
      <c r="J69" s="599">
        <f t="shared" ref="J69:W69" si="60">J54*i_SE_util</f>
        <v>0</v>
      </c>
      <c r="K69" s="745"/>
      <c r="L69" s="745"/>
      <c r="M69" s="745"/>
      <c r="N69" s="745"/>
      <c r="O69" s="599">
        <f t="shared" si="60"/>
        <v>0</v>
      </c>
      <c r="P69" s="599">
        <f t="shared" si="60"/>
        <v>4.6553152323976065E-3</v>
      </c>
      <c r="Q69" s="599">
        <f t="shared" si="60"/>
        <v>3.4863138518177635E-3</v>
      </c>
      <c r="R69" s="599">
        <f t="shared" si="60"/>
        <v>3.8370142659917172E-2</v>
      </c>
      <c r="S69" s="599">
        <f t="shared" si="60"/>
        <v>2.0928228255867466E-2</v>
      </c>
      <c r="T69" s="599">
        <f t="shared" si="60"/>
        <v>0</v>
      </c>
      <c r="U69" s="599">
        <f t="shared" si="60"/>
        <v>0</v>
      </c>
      <c r="V69" s="599">
        <f t="shared" si="60"/>
        <v>0</v>
      </c>
      <c r="W69" s="599">
        <f t="shared" si="60"/>
        <v>3.2559999999999999E-2</v>
      </c>
      <c r="Z69" s="599">
        <f t="shared" ref="Z69:AM69" si="61">Z54*i_SE_util</f>
        <v>0</v>
      </c>
      <c r="AA69" s="599">
        <f t="shared" si="61"/>
        <v>0</v>
      </c>
      <c r="AB69" s="599">
        <f t="shared" si="61"/>
        <v>0</v>
      </c>
      <c r="AC69" s="599">
        <f t="shared" si="61"/>
        <v>0</v>
      </c>
      <c r="AD69" s="599">
        <f t="shared" si="61"/>
        <v>0</v>
      </c>
      <c r="AE69" s="599">
        <f t="shared" si="61"/>
        <v>0</v>
      </c>
      <c r="AF69" s="599">
        <f t="shared" si="61"/>
        <v>0</v>
      </c>
      <c r="AG69" s="599">
        <f t="shared" si="61"/>
        <v>0</v>
      </c>
      <c r="AH69" s="599">
        <f t="shared" si="61"/>
        <v>0</v>
      </c>
      <c r="AI69" s="599">
        <f t="shared" si="61"/>
        <v>0</v>
      </c>
      <c r="AJ69" s="599">
        <f t="shared" si="61"/>
        <v>0</v>
      </c>
      <c r="AK69" s="599">
        <f t="shared" si="61"/>
        <v>0</v>
      </c>
      <c r="AL69" s="599">
        <f t="shared" si="61"/>
        <v>0</v>
      </c>
      <c r="AM69" s="599">
        <f t="shared" si="61"/>
        <v>0.1</v>
      </c>
      <c r="AP69" s="599">
        <f t="shared" ref="AP69:BC69" si="62">AP54*i_SE_util</f>
        <v>0</v>
      </c>
      <c r="AQ69" s="877"/>
      <c r="AR69" s="877"/>
      <c r="AS69" s="877"/>
      <c r="AT69" s="877"/>
      <c r="AU69" s="599">
        <f t="shared" si="62"/>
        <v>0</v>
      </c>
      <c r="AV69" s="599">
        <f t="shared" si="62"/>
        <v>0</v>
      </c>
      <c r="AW69" s="599">
        <f t="shared" si="62"/>
        <v>0</v>
      </c>
      <c r="AX69" s="599">
        <f t="shared" si="62"/>
        <v>0</v>
      </c>
      <c r="AY69" s="599">
        <f t="shared" si="62"/>
        <v>0</v>
      </c>
      <c r="AZ69" s="599">
        <f t="shared" si="62"/>
        <v>0</v>
      </c>
      <c r="BA69" s="599">
        <f t="shared" si="62"/>
        <v>0</v>
      </c>
      <c r="BB69" s="599">
        <f t="shared" si="62"/>
        <v>0</v>
      </c>
      <c r="BC69" s="599">
        <f t="shared" si="62"/>
        <v>0.1</v>
      </c>
      <c r="BF69" s="604"/>
      <c r="BG69" s="604"/>
      <c r="BH69" s="604"/>
      <c r="BI69" s="604"/>
      <c r="BJ69" s="604"/>
      <c r="BK69" s="604"/>
      <c r="BL69" s="604"/>
      <c r="BM69" s="604"/>
      <c r="BN69" s="604"/>
      <c r="BO69" s="604"/>
      <c r="BP69" s="604"/>
      <c r="BQ69" s="604"/>
      <c r="BR69" s="604"/>
      <c r="BS69" s="78"/>
      <c r="CK69" s="61" t="s">
        <v>31</v>
      </c>
      <c r="CL69" s="61">
        <v>2</v>
      </c>
      <c r="CM69" s="61" t="str">
        <v>avelumab_plus_axitinib</v>
      </c>
      <c r="CN69" s="17">
        <v>4</v>
      </c>
      <c r="CO69" s="61" t="str" cm="1">
        <f t="array" ref="CO69">INDEX(List_comparators,CP68+1)</f>
        <v>cabozantinib_plus_nivolumab</v>
      </c>
      <c r="CP69" s="17">
        <v>1</v>
      </c>
      <c r="CQ69" s="601">
        <f t="shared" ca="1" si="36"/>
        <v>0</v>
      </c>
      <c r="CR69" s="601">
        <f t="shared" ca="1" si="37"/>
        <v>0</v>
      </c>
      <c r="CS69" s="669">
        <f t="shared" ca="1" si="50"/>
        <v>0</v>
      </c>
      <c r="CT69" s="669">
        <f t="shared" ca="1" si="39"/>
        <v>0</v>
      </c>
      <c r="CU69" s="1123">
        <f>MATCH(CZ69,'Resource use and costs'!$BA$11:$BA$53,0)</f>
        <v>37</v>
      </c>
      <c r="CV69" s="1223"/>
      <c r="CW69" s="1241">
        <f t="shared" si="12"/>
        <v>1</v>
      </c>
      <c r="CX69" s="899" t="s">
        <v>764</v>
      </c>
      <c r="CY69" s="899" t="s">
        <v>585</v>
      </c>
      <c r="CZ69" s="899" t="s">
        <v>119</v>
      </c>
      <c r="DA69" s="899" t="s">
        <v>118</v>
      </c>
      <c r="DB69" s="899" t="s">
        <v>327</v>
      </c>
      <c r="DC69" s="899" cm="1">
        <f t="array" aca="1" ref="DC69" ca="1">_xlfn.IFNA(OFFSET($I$49,MATCH(CY69,$I$50:$I$63,0),MATCH(CZ69,TRANSPOSE($J$49:$W$49),0)),0)</f>
        <v>0</v>
      </c>
      <c r="DD69" s="899" cm="1">
        <f t="array" aca="1" ref="DD69" ca="1">_xlfn.IFNA(OFFSET($Y$49,MATCH($CZ69,$Y$50:$Y$63,0),MATCH($DA69,TRANSPOSE($Z$49:$AM$49),0)),0)</f>
        <v>0</v>
      </c>
      <c r="DE69" s="899" cm="1">
        <f t="array" aca="1" ref="DE69" ca="1">_xlfn.IFNA(OFFSET($AO$49,MATCH($DA69,$AO$50:$AO$63,0),MATCH($DB69,TRANSPOSE($AP$49:$BC$49),0)),0)</f>
        <v>0.38769999999999999</v>
      </c>
      <c r="DF69" s="881">
        <f t="shared" ca="1" si="8"/>
        <v>0</v>
      </c>
      <c r="DG69" s="910">
        <f t="shared" ca="1" si="9"/>
        <v>1</v>
      </c>
      <c r="DH69" s="881">
        <f t="shared" ca="1" si="10"/>
        <v>0</v>
      </c>
      <c r="DI69" s="1460">
        <f t="shared" ca="1" si="40"/>
        <v>0</v>
      </c>
      <c r="DJ69" s="909">
        <f>_xlfn.IFNA(INDEX('Resource use and costs'!$CQ$11:$CQ$53,MATCH($CZ69,'Resource use and costs'!$BA$11:$BA$53,0)),0)*_xlfn.IFNA(INDEX(DY$10:DY$23,MATCH($CZ69,$DX$10:$DX$23,0)),0)</f>
        <v>944.50399999999979</v>
      </c>
      <c r="DK69" s="909">
        <f>IF(dd_PartSA_2_lines = "Yes",0,_xlfn.IFNA(INDEX('Resource use and costs'!$CR$11:$CR$53,MATCH(DA69,'Resource use and costs'!$BA$11:$BA$53,0)),0)*_xlfn.IFNA(INDEX(EA$10:EA$23,MATCH($DA69,$DX$10:$DX$23,0)),0))</f>
        <v>50308.075122000002</v>
      </c>
      <c r="DL69" s="909">
        <f>IF(dd_PartSA_2_lines = "Yes",0,_xlfn.IFNA(INDEX('Resource use and costs'!$CS$11:$CS$53,MATCH(DB69,'Resource use and costs'!$BA$11:$BA$53,0)),0)*_xlfn.IFNA(INDEX(EC$10:EC$23,MATCH($DB69,$DX$10:$DX$23,0)),0))</f>
        <v>18438.751749999999</v>
      </c>
      <c r="DM69" s="909">
        <f t="shared" si="13"/>
        <v>69691.330872000006</v>
      </c>
      <c r="DN69" s="909">
        <f>SUM(_xlfn.IFNA(INDEX('Resource use and costs'!$DU$12:$DU$25,MATCH(CZ69,'Resource use and costs'!$DS$12:$DS$25,0)),0),_xlfn.IFNA(INDEX('Resource use and costs'!$DU$12:$DU$25,MATCH(DA69,'Resource use and costs'!$DS$12:$DS$25,0)),0),_xlfn.IFNA(INDEX('Resource use and costs'!$DU$12:$DU$25,MATCH(DB69,'Resource use and costs'!$DS$12:$DS$25,0)),0))</f>
        <v>591.75</v>
      </c>
      <c r="DO69" s="921">
        <f>_xlfn.IFNA(INDEX('Resource use and costs'!$DY$12:$DY$25,MATCH(CZ69,'Resource use and costs'!$DS$12:$DS$25,0)),0)*_xlfn.IFNA(INDEX(DY$10:DY$23,MATCH($CZ69,$DX$10:$DX$23,0)),0)</f>
        <v>82.971428571428561</v>
      </c>
      <c r="DP69" s="921">
        <f>IF(dd_PartSA_2_lines = "Yes",0,_xlfn.IFNA(INDEX('Resource use and costs'!$DZ$12:$DZ$25,MATCH(DA69,'Resource use and costs'!$DS$12:$DS$25,0)),0)*_xlfn.IFNA(INDEX(EA$10:EA$23,MATCH($DA69,$DX$10:$DX$23,0)),0))</f>
        <v>461.1445457142857</v>
      </c>
      <c r="DQ69" s="921">
        <f>IF(dd_PartSA_2_lines = "Yes",0,_xlfn.IFNA(INDEX('Resource use and costs'!$EA$12:$EA$25,MATCH(DB69,'Resource use and costs'!$DS$12:$DS$25,0)),0)*_xlfn.IFNA(INDEX(EC$10:EC$23,MATCH($DB69,$DX$10:$DX$23,0)),0))</f>
        <v>230.68099999999998</v>
      </c>
      <c r="DR69" s="921">
        <f t="shared" si="14"/>
        <v>1366.5469742857142</v>
      </c>
      <c r="DS69" s="1004">
        <f ca="1">SUMIFS('Safety parameters'!$DM$6:$DM$18,'Safety parameters'!$DK$6:$DK$18,CZ69,'Safety parameters'!$DL$6:$DL$18,1)+IF(dd_PartSA_2_lines = "Yes",0,SUMIFS('Safety parameters'!$DM$6:$DM$18,'Safety parameters'!$DK$6:$DK$18,DA69,'Safety parameters'!$DL$6:$DL$18,2)+SUMIFS('Safety parameters'!$DM$6:$DM$18,'Safety parameters'!$DK$6:$DK$18,DB69,'Safety parameters'!$DL$6:$DL$18,2))</f>
        <v>2377.8779733688434</v>
      </c>
      <c r="DT69" s="910">
        <f ca="1">SUMIFS('Safety parameters'!$DO$6:$DO$18,'Safety parameters'!$DK$6:$DK$18,CZ69,'Safety parameters'!$DL$6:$DL$18,1)+IF(dd_PartSA_2_lines = "Yes",0,SUMIFS('Safety parameters'!$DO$6:$DO$18,'Safety parameters'!$DK$6:$DK$18,DA69,'Safety parameters'!$DL$6:$DL$18,2)+SUMIFS('Safety parameters'!$DO$6:$DO$18,'Safety parameters'!$DK$6:$DK$18,DB69,'Safety parameters'!$DL$6:$DL$18,2))</f>
        <v>-2.1764250363717368E-2</v>
      </c>
      <c r="DX69" s="61" t="str">
        <v>placebo_BSC</v>
      </c>
      <c r="DY69" s="61" t="s">
        <v>788</v>
      </c>
      <c r="DZ69" s="920" cm="1">
        <f t="array" aca="1" ref="DZ69" ca="1">SUMPRODUCT(($CX$11:$CX$779=DY69)*($CY$11:$CY$779=DX69),$DH$11:$DH$779,$DM$11:$DM$779)</f>
        <v>0</v>
      </c>
      <c r="EA69" s="920" cm="1">
        <f t="array" aca="1" ref="EA69" ca="1">SUMPRODUCT(($CX$11:$CX$779=DY69)*($CY$11:$CY$779=DX69),$DH$11:$DH$779,$DR$11:$DR$779)</f>
        <v>0</v>
      </c>
      <c r="EB69" s="920" cm="1">
        <f t="array" aca="1" ref="EB69" ca="1">SUMPRODUCT(($CX$11:$CX$779=DY69)*($CY$11:$CY$779=DX69),$DH$11:$DH$779,$DS$11:$DS$779)</f>
        <v>0</v>
      </c>
      <c r="EC69" s="1029" cm="1">
        <f t="array" aca="1" ref="EC69" ca="1">SUMPRODUCT(($CX$11:$CX$779=DY69)*($CY$11:$CY$779=DX69),$DH$11:$DH$779,$DT$11:$DT$779)</f>
        <v>0</v>
      </c>
      <c r="ED69" s="920">
        <f t="shared" ca="1" si="45"/>
        <v>0</v>
      </c>
      <c r="EE69" s="920">
        <f t="shared" ca="1" si="46"/>
        <v>0</v>
      </c>
      <c r="EF69" s="1238"/>
      <c r="EG69" s="1238"/>
      <c r="EH69" s="1238"/>
      <c r="EI69" s="1238"/>
      <c r="EJ69" s="1238"/>
    </row>
    <row r="70" spans="5:140" ht="15" x14ac:dyDescent="0.2">
      <c r="E70" s="4" t="str">
        <v>pazopanib</v>
      </c>
      <c r="J70" s="599">
        <f t="shared" ref="J70:W70" si="63">J55*i_SE_util</f>
        <v>3.6970000000000003E-2</v>
      </c>
      <c r="K70" s="745"/>
      <c r="L70" s="745"/>
      <c r="M70" s="745"/>
      <c r="N70" s="745"/>
      <c r="O70" s="599">
        <f t="shared" si="63"/>
        <v>0</v>
      </c>
      <c r="P70" s="599">
        <f t="shared" si="63"/>
        <v>4.1100000000000008E-3</v>
      </c>
      <c r="Q70" s="599">
        <f t="shared" si="63"/>
        <v>1.5400000000000004E-3</v>
      </c>
      <c r="R70" s="599">
        <f t="shared" si="63"/>
        <v>2.0540000000000003E-2</v>
      </c>
      <c r="S70" s="599">
        <f t="shared" si="63"/>
        <v>3.0800000000000007E-3</v>
      </c>
      <c r="T70" s="599">
        <f t="shared" si="63"/>
        <v>0</v>
      </c>
      <c r="U70" s="599">
        <f t="shared" si="63"/>
        <v>1.0300000000000003E-3</v>
      </c>
      <c r="V70" s="599">
        <f t="shared" si="63"/>
        <v>0</v>
      </c>
      <c r="W70" s="599">
        <f t="shared" si="63"/>
        <v>3.2730000000000002E-2</v>
      </c>
      <c r="Z70" s="599">
        <f t="shared" ref="Z70:AM70" si="64">Z55*i_SE_util</f>
        <v>0</v>
      </c>
      <c r="AA70" s="599">
        <f t="shared" si="64"/>
        <v>0</v>
      </c>
      <c r="AB70" s="599">
        <f t="shared" si="64"/>
        <v>0</v>
      </c>
      <c r="AC70" s="599">
        <f t="shared" si="64"/>
        <v>0</v>
      </c>
      <c r="AD70" s="599">
        <f t="shared" si="64"/>
        <v>0</v>
      </c>
      <c r="AE70" s="599">
        <f t="shared" si="64"/>
        <v>0</v>
      </c>
      <c r="AF70" s="599">
        <f t="shared" si="64"/>
        <v>0</v>
      </c>
      <c r="AG70" s="599">
        <f t="shared" si="64"/>
        <v>1.6420000000000001E-2</v>
      </c>
      <c r="AH70" s="599">
        <f t="shared" si="64"/>
        <v>3.2850000000000004E-2</v>
      </c>
      <c r="AI70" s="599">
        <f t="shared" si="64"/>
        <v>1.6420000000000001E-2</v>
      </c>
      <c r="AJ70" s="599">
        <f t="shared" si="64"/>
        <v>0</v>
      </c>
      <c r="AK70" s="599">
        <f t="shared" si="64"/>
        <v>0</v>
      </c>
      <c r="AL70" s="599">
        <f t="shared" si="64"/>
        <v>0</v>
      </c>
      <c r="AM70" s="599">
        <f t="shared" si="64"/>
        <v>3.4300000000000004E-2</v>
      </c>
      <c r="AP70" s="599">
        <f t="shared" ref="AP70:BC70" si="65">AP55*i_SE_util</f>
        <v>0</v>
      </c>
      <c r="AQ70" s="877"/>
      <c r="AR70" s="877"/>
      <c r="AS70" s="877"/>
      <c r="AT70" s="877"/>
      <c r="AU70" s="599">
        <f t="shared" si="65"/>
        <v>0</v>
      </c>
      <c r="AV70" s="599">
        <f t="shared" si="65"/>
        <v>0</v>
      </c>
      <c r="AW70" s="599">
        <f t="shared" si="65"/>
        <v>0</v>
      </c>
      <c r="AX70" s="599">
        <f t="shared" si="65"/>
        <v>0</v>
      </c>
      <c r="AY70" s="599">
        <f t="shared" si="65"/>
        <v>0</v>
      </c>
      <c r="AZ70" s="599">
        <f t="shared" si="65"/>
        <v>1.8950000000000002E-2</v>
      </c>
      <c r="BA70" s="599">
        <f t="shared" si="65"/>
        <v>3.7909999999999999E-2</v>
      </c>
      <c r="BB70" s="599">
        <f t="shared" si="65"/>
        <v>0</v>
      </c>
      <c r="BC70" s="599">
        <f t="shared" si="65"/>
        <v>4.3140000000000005E-2</v>
      </c>
      <c r="BF70" s="604"/>
      <c r="BG70" s="604"/>
      <c r="BH70" s="604"/>
      <c r="BI70" s="604"/>
      <c r="BJ70" s="604"/>
      <c r="BK70" s="604"/>
      <c r="BL70" s="604"/>
      <c r="BM70" s="604"/>
      <c r="BN70" s="604"/>
      <c r="BO70" s="604"/>
      <c r="BP70" s="604"/>
      <c r="BQ70" s="604"/>
      <c r="BR70" s="604"/>
      <c r="BS70" s="78"/>
      <c r="CK70" s="61" t="s">
        <v>31</v>
      </c>
      <c r="CL70" s="61">
        <v>2</v>
      </c>
      <c r="CM70" s="61" t="str">
        <v>pazopanib</v>
      </c>
      <c r="CN70" s="17">
        <v>5</v>
      </c>
      <c r="CO70" s="61" t="str" cm="1">
        <f t="array" ref="CO70">INDEX(List_comparators,CP69+1)</f>
        <v>cabozantinib_plus_nivolumab</v>
      </c>
      <c r="CP70" s="17">
        <v>1</v>
      </c>
      <c r="CQ70" s="601">
        <f t="shared" ca="1" si="36"/>
        <v>0</v>
      </c>
      <c r="CR70" s="601">
        <f t="shared" ca="1" si="37"/>
        <v>0</v>
      </c>
      <c r="CS70" s="669">
        <f t="shared" ca="1" si="50"/>
        <v>0</v>
      </c>
      <c r="CT70" s="669">
        <f t="shared" ca="1" si="39"/>
        <v>0</v>
      </c>
      <c r="CU70" s="1123">
        <f>MATCH(CZ70,'Resource use and costs'!$BA$11:$BA$53,0)</f>
        <v>37</v>
      </c>
      <c r="CV70" s="1223"/>
      <c r="CW70" s="1241">
        <f t="shared" si="12"/>
        <v>1</v>
      </c>
      <c r="CX70" s="899" t="s">
        <v>764</v>
      </c>
      <c r="CY70" s="899" t="s">
        <v>585</v>
      </c>
      <c r="CZ70" s="899" t="s">
        <v>119</v>
      </c>
      <c r="DA70" s="899" t="s">
        <v>118</v>
      </c>
      <c r="DB70" s="899" t="s">
        <v>765</v>
      </c>
      <c r="DC70" s="899" cm="1">
        <f t="array" aca="1" ref="DC70" ca="1">_xlfn.IFNA(OFFSET($I$49,MATCH(CY70,$I$50:$I$63,0),MATCH(CZ70,TRANSPOSE($J$49:$W$49),0)),0)</f>
        <v>0</v>
      </c>
      <c r="DD70" s="899" cm="1">
        <f t="array" aca="1" ref="DD70" ca="1">_xlfn.IFNA(OFFSET($Y$49,MATCH($CZ70,$Y$50:$Y$63,0),MATCH($DA70,TRANSPOSE($Z$49:$AM$49),0)),0)</f>
        <v>0</v>
      </c>
      <c r="DE70" s="899" cm="1">
        <f t="array" aca="1" ref="DE70" ca="1">_xlfn.IFNA(OFFSET($AO$49,MATCH($DA70,$AO$50:$AO$63,0),MATCH($DB70,TRANSPOSE($AP$49:$BC$49),0)),0)</f>
        <v>0.43140000000000001</v>
      </c>
      <c r="DF70" s="881">
        <f t="shared" ca="1" si="8"/>
        <v>0</v>
      </c>
      <c r="DG70" s="910">
        <f t="shared" ca="1" si="9"/>
        <v>1</v>
      </c>
      <c r="DH70" s="881">
        <f t="shared" ca="1" si="10"/>
        <v>0</v>
      </c>
      <c r="DI70" s="1460">
        <f t="shared" ca="1" si="40"/>
        <v>0</v>
      </c>
      <c r="DJ70" s="909">
        <f>_xlfn.IFNA(INDEX('Resource use and costs'!$CQ$11:$CQ$53,MATCH($CZ70,'Resource use and costs'!$BA$11:$BA$53,0)),0)*_xlfn.IFNA(INDEX(DY$10:DY$23,MATCH($CZ70,$DX$10:$DX$23,0)),0)</f>
        <v>944.50399999999979</v>
      </c>
      <c r="DK70" s="909">
        <f>IF(dd_PartSA_2_lines = "Yes",0,_xlfn.IFNA(INDEX('Resource use and costs'!$CR$11:$CR$53,MATCH(DA70,'Resource use and costs'!$BA$11:$BA$53,0)),0)*_xlfn.IFNA(INDEX(EA$10:EA$23,MATCH($DA70,$DX$10:$DX$23,0)),0))</f>
        <v>50308.075122000002</v>
      </c>
      <c r="DL70" s="909">
        <f>IF(dd_PartSA_2_lines = "Yes",0,_xlfn.IFNA(INDEX('Resource use and costs'!$CS$11:$CS$53,MATCH(DB70,'Resource use and costs'!$BA$11:$BA$53,0)),0)*_xlfn.IFNA(INDEX(EC$10:EC$23,MATCH($DB70,$DX$10:$DX$23,0)),0))</f>
        <v>0</v>
      </c>
      <c r="DM70" s="909">
        <f t="shared" si="13"/>
        <v>51252.579122000003</v>
      </c>
      <c r="DN70" s="909">
        <f>SUM(_xlfn.IFNA(INDEX('Resource use and costs'!$DU$12:$DU$25,MATCH(CZ70,'Resource use and costs'!$DS$12:$DS$25,0)),0),_xlfn.IFNA(INDEX('Resource use and costs'!$DU$12:$DU$25,MATCH(DA70,'Resource use and costs'!$DS$12:$DS$25,0)),0),_xlfn.IFNA(INDEX('Resource use and costs'!$DU$12:$DU$25,MATCH(DB70,'Resource use and costs'!$DS$12:$DS$25,0)),0))</f>
        <v>394.5</v>
      </c>
      <c r="DO70" s="921">
        <f>_xlfn.IFNA(INDEX('Resource use and costs'!$DY$12:$DY$25,MATCH(CZ70,'Resource use and costs'!$DS$12:$DS$25,0)),0)*_xlfn.IFNA(INDEX(DY$10:DY$23,MATCH($CZ70,$DX$10:$DX$23,0)),0)</f>
        <v>82.971428571428561</v>
      </c>
      <c r="DP70" s="921">
        <f>IF(dd_PartSA_2_lines = "Yes",0,_xlfn.IFNA(INDEX('Resource use and costs'!$DZ$12:$DZ$25,MATCH(DA70,'Resource use and costs'!$DS$12:$DS$25,0)),0)*_xlfn.IFNA(INDEX(EA$10:EA$23,MATCH($DA70,$DX$10:$DX$23,0)),0))</f>
        <v>461.1445457142857</v>
      </c>
      <c r="DQ70" s="921">
        <f>IF(dd_PartSA_2_lines = "Yes",0,_xlfn.IFNA(INDEX('Resource use and costs'!$EA$12:$EA$25,MATCH(DB70,'Resource use and costs'!$DS$12:$DS$25,0)),0)*_xlfn.IFNA(INDEX(EC$10:EC$23,MATCH($DB70,$DX$10:$DX$23,0)),0))</f>
        <v>0</v>
      </c>
      <c r="DR70" s="921">
        <f t="shared" si="14"/>
        <v>938.61597428571417</v>
      </c>
      <c r="DS70" s="1004">
        <f ca="1">SUMIFS('Safety parameters'!$DM$6:$DM$18,'Safety parameters'!$DK$6:$DK$18,CZ70,'Safety parameters'!$DL$6:$DL$18,1)+IF(dd_PartSA_2_lines = "Yes",0,SUMIFS('Safety parameters'!$DM$6:$DM$18,'Safety parameters'!$DK$6:$DK$18,DA70,'Safety parameters'!$DL$6:$DL$18,2)+SUMIFS('Safety parameters'!$DM$6:$DM$18,'Safety parameters'!$DK$6:$DK$18,DB70,'Safety parameters'!$DL$6:$DL$18,2))</f>
        <v>743.64929980338343</v>
      </c>
      <c r="DT70" s="910">
        <f ca="1">SUMIFS('Safety parameters'!$DO$6:$DO$18,'Safety parameters'!$DK$6:$DK$18,CZ70,'Safety parameters'!$DL$6:$DL$18,1)+IF(dd_PartSA_2_lines = "Yes",0,SUMIFS('Safety parameters'!$DO$6:$DO$18,'Safety parameters'!$DK$6:$DK$18,DA70,'Safety parameters'!$DL$6:$DL$18,2)+SUMIFS('Safety parameters'!$DO$6:$DO$18,'Safety parameters'!$DK$6:$DK$18,DB70,'Safety parameters'!$DL$6:$DL$18,2))</f>
        <v>-7.0223263562359372E-3</v>
      </c>
      <c r="DX70" s="61" t="str" cm="1">
        <f t="array" ref="DX70:DX83">List_comparators</f>
        <v>nivolumab_monotherapy</v>
      </c>
      <c r="DY70" s="61" t="s">
        <v>794</v>
      </c>
      <c r="DZ70" s="920" cm="1">
        <f t="array" aca="1" ref="DZ70" ca="1">SUMPRODUCT(($CX$11:$CX$779=DY70)*($CY$11:$CY$779=DX70),$DH$11:$DH$779,$DM$11:$DM$779)</f>
        <v>0</v>
      </c>
      <c r="EA70" s="920" cm="1">
        <f t="array" aca="1" ref="EA70" ca="1">SUMPRODUCT(($CX$11:$CX$779=DY70)*($CY$11:$CY$779=DX70),$DH$11:$DH$779,$DR$11:$DR$779)</f>
        <v>0</v>
      </c>
      <c r="EB70" s="920" cm="1">
        <f t="array" aca="1" ref="EB70" ca="1">SUMPRODUCT(($CX$11:$CX$779=DY70)*($CY$11:$CY$779=DX70),$DH$11:$DH$779,$DS$11:$DS$779)</f>
        <v>0</v>
      </c>
      <c r="EC70" s="1029" cm="1">
        <f t="array" aca="1" ref="EC70" ca="1">SUMPRODUCT(($CX$11:$CX$779=DY70)*($CY$11:$CY$779=DX70),$DH$11:$DH$779,$DT$11:$DT$779)</f>
        <v>0</v>
      </c>
      <c r="ED70" s="920">
        <f t="shared" ca="1" si="45"/>
        <v>0</v>
      </c>
      <c r="EE70" s="920">
        <f t="shared" ca="1" si="46"/>
        <v>0</v>
      </c>
      <c r="EF70" s="1238"/>
      <c r="EG70" s="1238"/>
      <c r="EH70" s="1238"/>
      <c r="EI70" s="1238"/>
      <c r="EJ70" s="1238"/>
    </row>
    <row r="71" spans="5:140" ht="15" x14ac:dyDescent="0.2">
      <c r="E71" s="4" t="str">
        <v>tivozanib</v>
      </c>
      <c r="J71" s="599">
        <f t="shared" ref="J71:W71" si="66">J56*i_SE_util</f>
        <v>4.9974522065392171E-2</v>
      </c>
      <c r="K71" s="745"/>
      <c r="L71" s="745"/>
      <c r="M71" s="745"/>
      <c r="N71" s="745"/>
      <c r="O71" s="599">
        <f t="shared" si="66"/>
        <v>0</v>
      </c>
      <c r="P71" s="599">
        <f t="shared" si="66"/>
        <v>0</v>
      </c>
      <c r="Q71" s="599">
        <f t="shared" si="66"/>
        <v>0</v>
      </c>
      <c r="R71" s="599">
        <f t="shared" si="66"/>
        <v>1.2902805074146866E-2</v>
      </c>
      <c r="S71" s="599">
        <f t="shared" si="66"/>
        <v>1.6065749508665358E-3</v>
      </c>
      <c r="T71" s="599">
        <f t="shared" si="66"/>
        <v>0</v>
      </c>
      <c r="U71" s="599">
        <f t="shared" si="66"/>
        <v>2.9560979095944254E-3</v>
      </c>
      <c r="V71" s="599">
        <f t="shared" si="66"/>
        <v>0</v>
      </c>
      <c r="W71" s="599">
        <f t="shared" si="66"/>
        <v>3.2559999999999999E-2</v>
      </c>
      <c r="Z71" s="599">
        <f t="shared" ref="Z71:AM71" si="67">Z56*i_SE_util</f>
        <v>2.3460000000000002E-2</v>
      </c>
      <c r="AA71" s="599">
        <f t="shared" si="67"/>
        <v>0</v>
      </c>
      <c r="AB71" s="599">
        <f t="shared" si="67"/>
        <v>0</v>
      </c>
      <c r="AC71" s="599">
        <f t="shared" si="67"/>
        <v>0</v>
      </c>
      <c r="AD71" s="599">
        <f t="shared" si="67"/>
        <v>0</v>
      </c>
      <c r="AE71" s="599">
        <f t="shared" si="67"/>
        <v>0</v>
      </c>
      <c r="AF71" s="599">
        <f t="shared" si="67"/>
        <v>0</v>
      </c>
      <c r="AG71" s="599">
        <f t="shared" si="67"/>
        <v>0</v>
      </c>
      <c r="AH71" s="599">
        <f t="shared" si="67"/>
        <v>3.286E-2</v>
      </c>
      <c r="AI71" s="599">
        <f t="shared" si="67"/>
        <v>0</v>
      </c>
      <c r="AJ71" s="599">
        <f t="shared" si="67"/>
        <v>4.6899999999999997E-3</v>
      </c>
      <c r="AK71" s="599">
        <f t="shared" si="67"/>
        <v>4.6899999999999997E-3</v>
      </c>
      <c r="AL71" s="599">
        <f t="shared" si="67"/>
        <v>0</v>
      </c>
      <c r="AM71" s="599">
        <f t="shared" si="67"/>
        <v>3.4300000000000004E-2</v>
      </c>
      <c r="AP71" s="599">
        <f t="shared" ref="AP71:BC71" si="68">AP56*i_SE_util</f>
        <v>0</v>
      </c>
      <c r="AQ71" s="877"/>
      <c r="AR71" s="877"/>
      <c r="AS71" s="877"/>
      <c r="AT71" s="877"/>
      <c r="AU71" s="599">
        <f t="shared" si="68"/>
        <v>0</v>
      </c>
      <c r="AV71" s="599">
        <f t="shared" si="68"/>
        <v>0</v>
      </c>
      <c r="AW71" s="599">
        <f t="shared" si="68"/>
        <v>0</v>
      </c>
      <c r="AX71" s="599">
        <f t="shared" si="68"/>
        <v>0</v>
      </c>
      <c r="AY71" s="599">
        <f t="shared" si="68"/>
        <v>0</v>
      </c>
      <c r="AZ71" s="599">
        <f t="shared" si="68"/>
        <v>1.8950000000000002E-2</v>
      </c>
      <c r="BA71" s="599">
        <f t="shared" si="68"/>
        <v>3.7909999999999999E-2</v>
      </c>
      <c r="BB71" s="599">
        <f t="shared" si="68"/>
        <v>0</v>
      </c>
      <c r="BC71" s="599">
        <f t="shared" si="68"/>
        <v>4.3140000000000005E-2</v>
      </c>
      <c r="BF71" s="604"/>
      <c r="BG71" s="604"/>
      <c r="BH71" s="604"/>
      <c r="BI71" s="604"/>
      <c r="BJ71" s="604"/>
      <c r="BK71" s="604"/>
      <c r="BL71" s="604"/>
      <c r="BM71" s="604"/>
      <c r="BN71" s="604"/>
      <c r="BO71" s="604"/>
      <c r="BP71" s="604"/>
      <c r="BQ71" s="604"/>
      <c r="BR71" s="604"/>
      <c r="BS71" s="78"/>
      <c r="CK71" s="61" t="s">
        <v>31</v>
      </c>
      <c r="CL71" s="61">
        <v>2</v>
      </c>
      <c r="CM71" s="61" t="str">
        <v>tivozanib</v>
      </c>
      <c r="CN71" s="17">
        <v>6</v>
      </c>
      <c r="CO71" s="61" t="str" cm="1">
        <f t="array" ref="CO71">INDEX(List_comparators,CP70+1)</f>
        <v>cabozantinib_plus_nivolumab</v>
      </c>
      <c r="CP71" s="17">
        <v>1</v>
      </c>
      <c r="CQ71" s="601">
        <f t="shared" ca="1" si="36"/>
        <v>0</v>
      </c>
      <c r="CR71" s="601">
        <f t="shared" ca="1" si="37"/>
        <v>0</v>
      </c>
      <c r="CS71" s="669">
        <f t="shared" ca="1" si="50"/>
        <v>0</v>
      </c>
      <c r="CT71" s="669">
        <f t="shared" ca="1" si="39"/>
        <v>0</v>
      </c>
      <c r="CU71" s="1123">
        <f>MATCH(CZ71,'Resource use and costs'!$BA$11:$BA$53,0)</f>
        <v>37</v>
      </c>
      <c r="CV71" s="1223"/>
      <c r="CW71" s="1241">
        <f t="shared" si="12"/>
        <v>1</v>
      </c>
      <c r="CX71" s="899" t="s">
        <v>764</v>
      </c>
      <c r="CY71" s="899" t="s">
        <v>585</v>
      </c>
      <c r="CZ71" s="899" t="s">
        <v>119</v>
      </c>
      <c r="DA71" s="899" t="s">
        <v>579</v>
      </c>
      <c r="DB71" s="899" t="s">
        <v>327</v>
      </c>
      <c r="DC71" s="899" cm="1">
        <f t="array" aca="1" ref="DC71" ca="1">_xlfn.IFNA(OFFSET($I$49,MATCH(CY71,$I$50:$I$63,0),MATCH(CZ71,TRANSPOSE($J$49:$W$49),0)),0)</f>
        <v>0</v>
      </c>
      <c r="DD71" s="899" cm="1">
        <f t="array" aca="1" ref="DD71" ca="1">_xlfn.IFNA(OFFSET($Y$49,MATCH($CZ71,$Y$50:$Y$63,0),MATCH($DA71,TRANSPOSE($Z$49:$AM$49),0)),0)</f>
        <v>0</v>
      </c>
      <c r="DE71" s="899" cm="1">
        <f t="array" aca="1" ref="DE71" ca="1">_xlfn.IFNA(OFFSET($AO$49,MATCH($DA71,$AO$50:$AO$63,0),MATCH($DB71,TRANSPOSE($AP$49:$BC$49),0)),0)</f>
        <v>0.56859999999999999</v>
      </c>
      <c r="DF71" s="881">
        <f t="shared" ca="1" si="8"/>
        <v>0</v>
      </c>
      <c r="DG71" s="910">
        <f t="shared" ca="1" si="9"/>
        <v>1</v>
      </c>
      <c r="DH71" s="881">
        <f t="shared" ca="1" si="10"/>
        <v>0</v>
      </c>
      <c r="DI71" s="1460">
        <f t="shared" ca="1" si="40"/>
        <v>0</v>
      </c>
      <c r="DJ71" s="909">
        <f>_xlfn.IFNA(INDEX('Resource use and costs'!$CQ$11:$CQ$53,MATCH($CZ71,'Resource use and costs'!$BA$11:$BA$53,0)),0)*_xlfn.IFNA(INDEX(DY$10:DY$23,MATCH($CZ71,$DX$10:$DX$23,0)),0)</f>
        <v>944.50399999999979</v>
      </c>
      <c r="DK71" s="909">
        <f>IF(dd_PartSA_2_lines = "Yes",0,_xlfn.IFNA(INDEX('Resource use and costs'!$CR$11:$CR$53,MATCH(DA71,'Resource use and costs'!$BA$11:$BA$53,0)),0)*_xlfn.IFNA(INDEX(EA$10:EA$23,MATCH($DA71,$DX$10:$DX$23,0)),0))</f>
        <v>26054.50921</v>
      </c>
      <c r="DL71" s="909">
        <f>IF(dd_PartSA_2_lines = "Yes",0,_xlfn.IFNA(INDEX('Resource use and costs'!$CS$11:$CS$53,MATCH(DB71,'Resource use and costs'!$BA$11:$BA$53,0)),0)*_xlfn.IFNA(INDEX(EC$10:EC$23,MATCH($DB71,$DX$10:$DX$23,0)),0))</f>
        <v>18438.751749999999</v>
      </c>
      <c r="DM71" s="909">
        <f t="shared" si="13"/>
        <v>45437.76496</v>
      </c>
      <c r="DN71" s="909">
        <f>SUM(_xlfn.IFNA(INDEX('Resource use and costs'!$DU$12:$DU$25,MATCH(CZ71,'Resource use and costs'!$DS$12:$DS$25,0)),0),_xlfn.IFNA(INDEX('Resource use and costs'!$DU$12:$DU$25,MATCH(DA71,'Resource use and costs'!$DS$12:$DS$25,0)),0),_xlfn.IFNA(INDEX('Resource use and costs'!$DU$12:$DU$25,MATCH(DB71,'Resource use and costs'!$DS$12:$DS$25,0)),0))</f>
        <v>394.5</v>
      </c>
      <c r="DO71" s="921">
        <f>_xlfn.IFNA(INDEX('Resource use and costs'!$DY$12:$DY$25,MATCH(CZ71,'Resource use and costs'!$DS$12:$DS$25,0)),0)*_xlfn.IFNA(INDEX(DY$10:DY$23,MATCH($CZ71,$DX$10:$DX$23,0)),0)</f>
        <v>82.971428571428561</v>
      </c>
      <c r="DP71" s="921">
        <f>IF(dd_PartSA_2_lines = "Yes",0,_xlfn.IFNA(INDEX('Resource use and costs'!$DZ$12:$DZ$25,MATCH(DA71,'Resource use and costs'!$DS$12:$DS$25,0)),0)*_xlfn.IFNA(INDEX(EA$10:EA$23,MATCH($DA71,$DX$10:$DX$23,0)),0))</f>
        <v>4108.3597166</v>
      </c>
      <c r="DQ71" s="921">
        <f>IF(dd_PartSA_2_lines = "Yes",0,_xlfn.IFNA(INDEX('Resource use and costs'!$EA$12:$EA$25,MATCH(DB71,'Resource use and costs'!$DS$12:$DS$25,0)),0)*_xlfn.IFNA(INDEX(EC$10:EC$23,MATCH($DB71,$DX$10:$DX$23,0)),0))</f>
        <v>230.68099999999998</v>
      </c>
      <c r="DR71" s="921">
        <f t="shared" si="14"/>
        <v>4816.5121451714285</v>
      </c>
      <c r="DS71" s="1004">
        <f ca="1">SUMIFS('Safety parameters'!$DM$6:$DM$18,'Safety parameters'!$DK$6:$DK$18,CZ71,'Safety parameters'!$DL$6:$DL$18,1)+IF(dd_PartSA_2_lines = "Yes",0,SUMIFS('Safety parameters'!$DM$6:$DM$18,'Safety parameters'!$DK$6:$DK$18,DA71,'Safety parameters'!$DL$6:$DL$18,2)+SUMIFS('Safety parameters'!$DM$6:$DM$18,'Safety parameters'!$DK$6:$DK$18,DB71,'Safety parameters'!$DL$6:$DL$18,2))</f>
        <v>1795.3624225558742</v>
      </c>
      <c r="DT71" s="910">
        <f ca="1">SUMIFS('Safety parameters'!$DO$6:$DO$18,'Safety parameters'!$DK$6:$DK$18,CZ71,'Safety parameters'!$DL$6:$DL$18,1)+IF(dd_PartSA_2_lines = "Yes",0,SUMIFS('Safety parameters'!$DO$6:$DO$18,'Safety parameters'!$DK$6:$DK$18,DA71,'Safety parameters'!$DL$6:$DL$18,2)+SUMIFS('Safety parameters'!$DO$6:$DO$18,'Safety parameters'!$DK$6:$DK$18,DB71,'Safety parameters'!$DL$6:$DL$18,2))</f>
        <v>-1.6339008205166216E-2</v>
      </c>
      <c r="DX71" s="61" t="str">
        <v>cabozantinib_plus_nivolumab</v>
      </c>
      <c r="DY71" s="61" t="s">
        <v>794</v>
      </c>
      <c r="DZ71" s="920" cm="1">
        <f t="array" aca="1" ref="DZ71" ca="1">SUMPRODUCT(($CX$11:$CX$779=DY71)*($CY$11:$CY$779=DX71),$DH$11:$DH$779,$DM$11:$DM$779)</f>
        <v>0</v>
      </c>
      <c r="EA71" s="920" cm="1">
        <f t="array" aca="1" ref="EA71" ca="1">SUMPRODUCT(($CX$11:$CX$779=DY71)*($CY$11:$CY$779=DX71),$DH$11:$DH$779,$DR$11:$DR$779)</f>
        <v>0</v>
      </c>
      <c r="EB71" s="920" cm="1">
        <f t="array" aca="1" ref="EB71" ca="1">SUMPRODUCT(($CX$11:$CX$779=DY71)*($CY$11:$CY$779=DX71),$DH$11:$DH$779,$DS$11:$DS$779)</f>
        <v>0</v>
      </c>
      <c r="EC71" s="1029" cm="1">
        <f t="array" aca="1" ref="EC71" ca="1">SUMPRODUCT(($CX$11:$CX$779=DY71)*($CY$11:$CY$779=DX71),$DH$11:$DH$779,$DT$11:$DT$779)</f>
        <v>0</v>
      </c>
      <c r="ED71" s="920">
        <f t="shared" ca="1" si="45"/>
        <v>0</v>
      </c>
      <c r="EE71" s="920">
        <f t="shared" ca="1" si="46"/>
        <v>0</v>
      </c>
      <c r="EF71" s="1238"/>
      <c r="EG71" s="1238"/>
      <c r="EH71" s="1238"/>
      <c r="EI71" s="1238"/>
      <c r="EJ71" s="1238"/>
    </row>
    <row r="72" spans="5:140" ht="15" x14ac:dyDescent="0.2">
      <c r="E72" s="4" t="str">
        <v>sunitinib</v>
      </c>
      <c r="J72" s="599">
        <f t="shared" ref="J72:W72" si="69">J57*i_SE_util</f>
        <v>3.8380000000000004E-2</v>
      </c>
      <c r="K72" s="745"/>
      <c r="L72" s="745"/>
      <c r="M72" s="745"/>
      <c r="N72" s="745"/>
      <c r="O72" s="599">
        <f t="shared" si="69"/>
        <v>3.700000000000001E-4</v>
      </c>
      <c r="P72" s="599">
        <f t="shared" si="69"/>
        <v>2.2300000000000006E-3</v>
      </c>
      <c r="Q72" s="599">
        <f t="shared" si="69"/>
        <v>0</v>
      </c>
      <c r="R72" s="599">
        <f t="shared" si="69"/>
        <v>2.1610000000000004E-2</v>
      </c>
      <c r="S72" s="599">
        <f t="shared" si="69"/>
        <v>3.700000000000001E-4</v>
      </c>
      <c r="T72" s="599">
        <f t="shared" si="69"/>
        <v>0</v>
      </c>
      <c r="U72" s="599">
        <f t="shared" si="69"/>
        <v>4.4700000000000009E-3</v>
      </c>
      <c r="V72" s="599">
        <f t="shared" si="69"/>
        <v>0</v>
      </c>
      <c r="W72" s="599">
        <f t="shared" si="69"/>
        <v>3.2570000000000002E-2</v>
      </c>
      <c r="Z72" s="599">
        <f t="shared" ref="Z72:AM72" si="70">Z57*i_SE_util</f>
        <v>1.46E-2</v>
      </c>
      <c r="AA72" s="599">
        <f t="shared" si="70"/>
        <v>0</v>
      </c>
      <c r="AB72" s="599">
        <f t="shared" si="70"/>
        <v>0</v>
      </c>
      <c r="AC72" s="599">
        <f t="shared" si="70"/>
        <v>0</v>
      </c>
      <c r="AD72" s="599">
        <f t="shared" si="70"/>
        <v>0</v>
      </c>
      <c r="AE72" s="599">
        <f t="shared" si="70"/>
        <v>0</v>
      </c>
      <c r="AF72" s="599">
        <f t="shared" si="70"/>
        <v>0</v>
      </c>
      <c r="AG72" s="599">
        <f t="shared" si="70"/>
        <v>0</v>
      </c>
      <c r="AH72" s="599">
        <f t="shared" si="70"/>
        <v>5.1100000000000007E-2</v>
      </c>
      <c r="AI72" s="599">
        <f t="shared" si="70"/>
        <v>0</v>
      </c>
      <c r="AJ72" s="599">
        <f t="shared" si="70"/>
        <v>0</v>
      </c>
      <c r="AK72" s="599">
        <f t="shared" si="70"/>
        <v>0</v>
      </c>
      <c r="AL72" s="599">
        <f t="shared" si="70"/>
        <v>0</v>
      </c>
      <c r="AM72" s="599">
        <f t="shared" si="70"/>
        <v>3.4300000000000004E-2</v>
      </c>
      <c r="AP72" s="599">
        <f t="shared" ref="AP72:BC72" si="71">AP57*i_SE_util</f>
        <v>0</v>
      </c>
      <c r="AQ72" s="877"/>
      <c r="AR72" s="877"/>
      <c r="AS72" s="877"/>
      <c r="AT72" s="877"/>
      <c r="AU72" s="599">
        <f t="shared" si="71"/>
        <v>0</v>
      </c>
      <c r="AV72" s="599">
        <f t="shared" si="71"/>
        <v>0</v>
      </c>
      <c r="AW72" s="599">
        <f t="shared" si="71"/>
        <v>0</v>
      </c>
      <c r="AX72" s="599">
        <f t="shared" si="71"/>
        <v>0</v>
      </c>
      <c r="AY72" s="599">
        <f t="shared" si="71"/>
        <v>0</v>
      </c>
      <c r="AZ72" s="599">
        <f t="shared" si="71"/>
        <v>1.8950000000000002E-2</v>
      </c>
      <c r="BA72" s="599">
        <f t="shared" si="71"/>
        <v>3.7909999999999999E-2</v>
      </c>
      <c r="BB72" s="599">
        <f t="shared" si="71"/>
        <v>0</v>
      </c>
      <c r="BC72" s="599">
        <f t="shared" si="71"/>
        <v>4.3140000000000005E-2</v>
      </c>
      <c r="BF72" s="604"/>
      <c r="BG72" s="604"/>
      <c r="BH72" s="604"/>
      <c r="BI72" s="604"/>
      <c r="BJ72" s="604"/>
      <c r="BK72" s="604"/>
      <c r="BL72" s="604"/>
      <c r="BM72" s="604"/>
      <c r="BN72" s="604"/>
      <c r="BO72" s="604"/>
      <c r="BP72" s="604"/>
      <c r="BQ72" s="604"/>
      <c r="BR72" s="604"/>
      <c r="BS72" s="78"/>
      <c r="CK72" s="61" t="s">
        <v>31</v>
      </c>
      <c r="CL72" s="61">
        <v>2</v>
      </c>
      <c r="CM72" s="61" t="str">
        <v>sunitinib</v>
      </c>
      <c r="CN72" s="17">
        <v>7</v>
      </c>
      <c r="CO72" s="61" t="str" cm="1">
        <f t="array" ref="CO72">INDEX(List_comparators,CP71+1)</f>
        <v>cabozantinib_plus_nivolumab</v>
      </c>
      <c r="CP72" s="17">
        <v>1</v>
      </c>
      <c r="CQ72" s="601">
        <f t="shared" ca="1" si="36"/>
        <v>0</v>
      </c>
      <c r="CR72" s="601">
        <f t="shared" ca="1" si="37"/>
        <v>0</v>
      </c>
      <c r="CS72" s="669">
        <f t="shared" ca="1" si="50"/>
        <v>0</v>
      </c>
      <c r="CT72" s="669">
        <f t="shared" ca="1" si="39"/>
        <v>0</v>
      </c>
      <c r="CU72" s="1123">
        <f>MATCH(CZ72,'Resource use and costs'!$BA$11:$BA$53,0)</f>
        <v>37</v>
      </c>
      <c r="CV72" s="1223"/>
      <c r="CW72" s="1241">
        <f t="shared" si="12"/>
        <v>1</v>
      </c>
      <c r="CX72" s="899" t="s">
        <v>764</v>
      </c>
      <c r="CY72" s="899" t="s">
        <v>585</v>
      </c>
      <c r="CZ72" s="899" t="s">
        <v>119</v>
      </c>
      <c r="DA72" s="899" t="s">
        <v>579</v>
      </c>
      <c r="DB72" s="899" t="s">
        <v>765</v>
      </c>
      <c r="DC72" s="899" cm="1">
        <f t="array" aca="1" ref="DC72" ca="1">_xlfn.IFNA(OFFSET($I$49,MATCH(CY72,$I$50:$I$63,0),MATCH(CZ72,TRANSPOSE($J$49:$W$49),0)),0)</f>
        <v>0</v>
      </c>
      <c r="DD72" s="899" cm="1">
        <f t="array" aca="1" ref="DD72" ca="1">_xlfn.IFNA(OFFSET($Y$49,MATCH($CZ72,$Y$50:$Y$63,0),MATCH($DA72,TRANSPOSE($Z$49:$AM$49),0)),0)</f>
        <v>0</v>
      </c>
      <c r="DE72" s="899" cm="1">
        <f t="array" aca="1" ref="DE72" ca="1">_xlfn.IFNA(OFFSET($AO$49,MATCH($DA72,$AO$50:$AO$63,0),MATCH($DB72,TRANSPOSE($AP$49:$BC$49),0)),0)</f>
        <v>0.43140000000000001</v>
      </c>
      <c r="DF72" s="881">
        <f t="shared" ca="1" si="8"/>
        <v>0</v>
      </c>
      <c r="DG72" s="910">
        <f t="shared" ca="1" si="9"/>
        <v>1</v>
      </c>
      <c r="DH72" s="881">
        <f t="shared" ca="1" si="10"/>
        <v>0</v>
      </c>
      <c r="DI72" s="1460">
        <f t="shared" ca="1" si="40"/>
        <v>0</v>
      </c>
      <c r="DJ72" s="909">
        <f>_xlfn.IFNA(INDEX('Resource use and costs'!$CQ$11:$CQ$53,MATCH($CZ72,'Resource use and costs'!$BA$11:$BA$53,0)),0)*_xlfn.IFNA(INDEX(DY$10:DY$23,MATCH($CZ72,$DX$10:$DX$23,0)),0)</f>
        <v>944.50399999999979</v>
      </c>
      <c r="DK72" s="909">
        <f>IF(dd_PartSA_2_lines = "Yes",0,_xlfn.IFNA(INDEX('Resource use and costs'!$CR$11:$CR$53,MATCH(DA72,'Resource use and costs'!$BA$11:$BA$53,0)),0)*_xlfn.IFNA(INDEX(EA$10:EA$23,MATCH($DA72,$DX$10:$DX$23,0)),0))</f>
        <v>26054.50921</v>
      </c>
      <c r="DL72" s="909">
        <f>IF(dd_PartSA_2_lines = "Yes",0,_xlfn.IFNA(INDEX('Resource use and costs'!$CS$11:$CS$53,MATCH(DB72,'Resource use and costs'!$BA$11:$BA$53,0)),0)*_xlfn.IFNA(INDEX(EC$10:EC$23,MATCH($DB72,$DX$10:$DX$23,0)),0))</f>
        <v>0</v>
      </c>
      <c r="DM72" s="909">
        <f t="shared" si="13"/>
        <v>26999.013210000001</v>
      </c>
      <c r="DN72" s="909">
        <f>SUM(_xlfn.IFNA(INDEX('Resource use and costs'!$DU$12:$DU$25,MATCH(CZ72,'Resource use and costs'!$DS$12:$DS$25,0)),0),_xlfn.IFNA(INDEX('Resource use and costs'!$DU$12:$DU$25,MATCH(DA72,'Resource use and costs'!$DS$12:$DS$25,0)),0),_xlfn.IFNA(INDEX('Resource use and costs'!$DU$12:$DU$25,MATCH(DB72,'Resource use and costs'!$DS$12:$DS$25,0)),0))</f>
        <v>197.25</v>
      </c>
      <c r="DO72" s="921">
        <f>_xlfn.IFNA(INDEX('Resource use and costs'!$DY$12:$DY$25,MATCH(CZ72,'Resource use and costs'!$DS$12:$DS$25,0)),0)*_xlfn.IFNA(INDEX(DY$10:DY$23,MATCH($CZ72,$DX$10:$DX$23,0)),0)</f>
        <v>82.971428571428561</v>
      </c>
      <c r="DP72" s="921">
        <f>IF(dd_PartSA_2_lines = "Yes",0,_xlfn.IFNA(INDEX('Resource use and costs'!$DZ$12:$DZ$25,MATCH(DA72,'Resource use and costs'!$DS$12:$DS$25,0)),0)*_xlfn.IFNA(INDEX(EA$10:EA$23,MATCH($DA72,$DX$10:$DX$23,0)),0))</f>
        <v>4108.3597166</v>
      </c>
      <c r="DQ72" s="921">
        <f>IF(dd_PartSA_2_lines = "Yes",0,_xlfn.IFNA(INDEX('Resource use and costs'!$EA$12:$EA$25,MATCH(DB72,'Resource use and costs'!$DS$12:$DS$25,0)),0)*_xlfn.IFNA(INDEX(EC$10:EC$23,MATCH($DB72,$DX$10:$DX$23,0)),0))</f>
        <v>0</v>
      </c>
      <c r="DR72" s="921">
        <f t="shared" si="14"/>
        <v>4388.5811451714289</v>
      </c>
      <c r="DS72" s="1004">
        <f ca="1">SUMIFS('Safety parameters'!$DM$6:$DM$18,'Safety parameters'!$DK$6:$DK$18,CZ72,'Safety parameters'!$DL$6:$DL$18,1)+IF(dd_PartSA_2_lines = "Yes",0,SUMIFS('Safety parameters'!$DM$6:$DM$18,'Safety parameters'!$DK$6:$DK$18,DA72,'Safety parameters'!$DL$6:$DL$18,2)+SUMIFS('Safety parameters'!$DM$6:$DM$18,'Safety parameters'!$DK$6:$DK$18,DB72,'Safety parameters'!$DL$6:$DL$18,2))</f>
        <v>161.1337489904144</v>
      </c>
      <c r="DT72" s="910">
        <f ca="1">SUMIFS('Safety parameters'!$DO$6:$DO$18,'Safety parameters'!$DK$6:$DK$18,CZ72,'Safety parameters'!$DL$6:$DL$18,1)+IF(dd_PartSA_2_lines = "Yes",0,SUMIFS('Safety parameters'!$DO$6:$DO$18,'Safety parameters'!$DK$6:$DK$18,DA72,'Safety parameters'!$DL$6:$DL$18,2)+SUMIFS('Safety parameters'!$DO$6:$DO$18,'Safety parameters'!$DK$6:$DK$18,DB72,'Safety parameters'!$DL$6:$DL$18,2))</f>
        <v>-1.5970841976847864E-3</v>
      </c>
      <c r="DX72" s="61" t="str">
        <v>nivolumab_plus_ipilimumab</v>
      </c>
      <c r="DY72" s="61" t="s">
        <v>794</v>
      </c>
      <c r="DZ72" s="920" cm="1">
        <f t="array" aca="1" ref="DZ72" ca="1">SUMPRODUCT(($CX$11:$CX$779=DY72)*($CY$11:$CY$779=DX72),$DH$11:$DH$779,$DM$11:$DM$779)</f>
        <v>0</v>
      </c>
      <c r="EA72" s="920" cm="1">
        <f t="array" aca="1" ref="EA72" ca="1">SUMPRODUCT(($CX$11:$CX$779=DY72)*($CY$11:$CY$779=DX72),$DH$11:$DH$779,$DR$11:$DR$779)</f>
        <v>0</v>
      </c>
      <c r="EB72" s="920" cm="1">
        <f t="array" aca="1" ref="EB72" ca="1">SUMPRODUCT(($CX$11:$CX$779=DY72)*($CY$11:$CY$779=DX72),$DH$11:$DH$779,$DS$11:$DS$779)</f>
        <v>0</v>
      </c>
      <c r="EC72" s="1029" cm="1">
        <f t="array" aca="1" ref="EC72" ca="1">SUMPRODUCT(($CX$11:$CX$779=DY72)*($CY$11:$CY$779=DX72),$DH$11:$DH$779,$DT$11:$DT$779)</f>
        <v>0</v>
      </c>
      <c r="ED72" s="920">
        <f t="shared" ca="1" si="45"/>
        <v>0</v>
      </c>
      <c r="EE72" s="920">
        <f t="shared" ca="1" si="46"/>
        <v>0</v>
      </c>
      <c r="EF72" s="1238"/>
      <c r="EG72" s="1238"/>
      <c r="EH72" s="1238"/>
      <c r="EI72" s="1238"/>
      <c r="EJ72" s="1238"/>
    </row>
    <row r="73" spans="5:140" ht="15" x14ac:dyDescent="0.2">
      <c r="E73" s="4" t="str">
        <v>cabozantinib</v>
      </c>
      <c r="J73" s="599">
        <f t="shared" ref="J73:W73" si="72">J58*i_SE_util</f>
        <v>5.9511111111111105E-2</v>
      </c>
      <c r="K73" s="745"/>
      <c r="L73" s="745"/>
      <c r="M73" s="745"/>
      <c r="N73" s="745"/>
      <c r="O73" s="599">
        <f t="shared" si="72"/>
        <v>0</v>
      </c>
      <c r="P73" s="599">
        <f t="shared" si="72"/>
        <v>0</v>
      </c>
      <c r="Q73" s="599">
        <f t="shared" si="72"/>
        <v>1.4897774790919953E-3</v>
      </c>
      <c r="R73" s="599">
        <f t="shared" si="72"/>
        <v>0</v>
      </c>
      <c r="S73" s="599">
        <f t="shared" si="72"/>
        <v>4.4593339307048988E-3</v>
      </c>
      <c r="T73" s="599">
        <f t="shared" si="72"/>
        <v>0</v>
      </c>
      <c r="U73" s="599">
        <f t="shared" si="72"/>
        <v>1.4897774790919953E-3</v>
      </c>
      <c r="V73" s="599">
        <f t="shared" si="72"/>
        <v>0</v>
      </c>
      <c r="W73" s="599">
        <f t="shared" si="72"/>
        <v>3.3050000000000003E-2</v>
      </c>
      <c r="Z73" s="599">
        <f t="shared" ref="Z73:AM73" si="73">Z58*i_SE_util</f>
        <v>2.9100000000000001E-2</v>
      </c>
      <c r="AA73" s="599">
        <f t="shared" si="73"/>
        <v>0</v>
      </c>
      <c r="AB73" s="599">
        <f t="shared" si="73"/>
        <v>0</v>
      </c>
      <c r="AC73" s="599">
        <f t="shared" si="73"/>
        <v>0</v>
      </c>
      <c r="AD73" s="599">
        <f t="shared" si="73"/>
        <v>0</v>
      </c>
      <c r="AE73" s="599">
        <f t="shared" si="73"/>
        <v>0</v>
      </c>
      <c r="AF73" s="599">
        <f t="shared" si="73"/>
        <v>9.4000000000000008E-4</v>
      </c>
      <c r="AG73" s="599">
        <f t="shared" si="73"/>
        <v>0</v>
      </c>
      <c r="AH73" s="599">
        <f t="shared" si="73"/>
        <v>0</v>
      </c>
      <c r="AI73" s="599">
        <f t="shared" si="73"/>
        <v>1.6889999999999999E-2</v>
      </c>
      <c r="AJ73" s="599">
        <f t="shared" si="73"/>
        <v>6.5699999999999995E-3</v>
      </c>
      <c r="AK73" s="599">
        <f t="shared" si="73"/>
        <v>1.2200000000000001E-2</v>
      </c>
      <c r="AL73" s="599">
        <f t="shared" si="73"/>
        <v>0</v>
      </c>
      <c r="AM73" s="599">
        <f t="shared" si="73"/>
        <v>3.4300000000000004E-2</v>
      </c>
      <c r="AP73" s="599">
        <f t="shared" ref="AP73:BC73" si="74">AP58*i_SE_util</f>
        <v>0</v>
      </c>
      <c r="AQ73" s="877"/>
      <c r="AR73" s="877"/>
      <c r="AS73" s="877"/>
      <c r="AT73" s="877"/>
      <c r="AU73" s="599">
        <f t="shared" si="74"/>
        <v>0</v>
      </c>
      <c r="AV73" s="599">
        <f t="shared" si="74"/>
        <v>0</v>
      </c>
      <c r="AW73" s="599">
        <f t="shared" si="74"/>
        <v>0</v>
      </c>
      <c r="AX73" s="599">
        <f t="shared" si="74"/>
        <v>0</v>
      </c>
      <c r="AY73" s="599">
        <f t="shared" si="74"/>
        <v>0</v>
      </c>
      <c r="AZ73" s="599">
        <f t="shared" si="74"/>
        <v>1.8090000000000002E-2</v>
      </c>
      <c r="BA73" s="599">
        <f t="shared" si="74"/>
        <v>3.8769999999999999E-2</v>
      </c>
      <c r="BB73" s="599">
        <f t="shared" si="74"/>
        <v>0</v>
      </c>
      <c r="BC73" s="599">
        <f t="shared" si="74"/>
        <v>4.3140000000000005E-2</v>
      </c>
      <c r="BF73" s="604"/>
      <c r="BG73" s="604"/>
      <c r="BH73" s="604"/>
      <c r="BI73" s="604"/>
      <c r="BJ73" s="604"/>
      <c r="BK73" s="604"/>
      <c r="BL73" s="604"/>
      <c r="BM73" s="604"/>
      <c r="BN73" s="604"/>
      <c r="BO73" s="604"/>
      <c r="BP73" s="604"/>
      <c r="BQ73" s="604"/>
      <c r="BR73" s="604"/>
      <c r="BS73" s="78"/>
      <c r="CK73" s="61" t="s">
        <v>31</v>
      </c>
      <c r="CL73" s="61">
        <v>2</v>
      </c>
      <c r="CM73" s="61" t="str">
        <v>cabozantinib</v>
      </c>
      <c r="CN73" s="17">
        <v>8</v>
      </c>
      <c r="CO73" s="61" t="str" cm="1">
        <f t="array" ref="CO73">INDEX(List_comparators,CP72+1)</f>
        <v>cabozantinib_plus_nivolumab</v>
      </c>
      <c r="CP73" s="17">
        <v>1</v>
      </c>
      <c r="CQ73" s="601">
        <f t="shared" ca="1" si="36"/>
        <v>0</v>
      </c>
      <c r="CR73" s="601">
        <f t="shared" ca="1" si="37"/>
        <v>0</v>
      </c>
      <c r="CS73" s="669">
        <f t="shared" ca="1" si="50"/>
        <v>0</v>
      </c>
      <c r="CT73" s="669">
        <f t="shared" ca="1" si="39"/>
        <v>0</v>
      </c>
      <c r="CU73" s="1123">
        <f>MATCH(CZ73,'Resource use and costs'!$BA$11:$BA$53,0)</f>
        <v>43</v>
      </c>
      <c r="CV73" s="1223"/>
      <c r="CW73" s="1241">
        <f t="shared" si="12"/>
        <v>1</v>
      </c>
      <c r="CX73" s="899" t="s">
        <v>764</v>
      </c>
      <c r="CY73" s="899" t="s">
        <v>585</v>
      </c>
      <c r="CZ73" s="899" t="s">
        <v>333</v>
      </c>
      <c r="DA73" s="899" t="s">
        <v>327</v>
      </c>
      <c r="DB73" s="899" t="s">
        <v>765</v>
      </c>
      <c r="DC73" s="899" cm="1">
        <f t="array" aca="1" ref="DC73" ca="1">_xlfn.IFNA(OFFSET($I$49,MATCH(CY73,$I$50:$I$63,0),MATCH(CZ73,TRANSPOSE($J$49:$W$49),0)),0)</f>
        <v>3.0800000000000004E-2</v>
      </c>
      <c r="DD73" s="899" cm="1">
        <f t="array" aca="1" ref="DD73" ca="1">_xlfn.IFNA(OFFSET($Y$49,MATCH($CZ73,$Y$50:$Y$63,0),MATCH($DA73,TRANSPOSE($Z$49:$AM$49),0)),0)</f>
        <v>0</v>
      </c>
      <c r="DE73" s="899">
        <v>1</v>
      </c>
      <c r="DF73" s="881">
        <f t="shared" ca="1" si="8"/>
        <v>0</v>
      </c>
      <c r="DG73" s="910">
        <f t="shared" ca="1" si="9"/>
        <v>1</v>
      </c>
      <c r="DH73" s="881">
        <f t="shared" ca="1" si="10"/>
        <v>0</v>
      </c>
      <c r="DI73" s="1460">
        <f t="shared" ca="1" si="40"/>
        <v>0</v>
      </c>
      <c r="DJ73" s="909">
        <f>_xlfn.IFNA(INDEX('Resource use and costs'!$CQ$11:$CQ$53,MATCH($CZ73,'Resource use and costs'!$BA$11:$BA$53,0)),0)*_xlfn.IFNA(INDEX(DY$10:DY$23,MATCH($CZ73,$DX$10:$DX$23,0)),0)</f>
        <v>54336.641519999976</v>
      </c>
      <c r="DK73" s="909">
        <f>IF(dd_PartSA_2_lines = "Yes",0,_xlfn.IFNA(INDEX('Resource use and costs'!$CR$11:$CR$53,MATCH(DA73,'Resource use and costs'!$BA$11:$BA$53,0)),0)*_xlfn.IFNA(INDEX(EA$10:EA$23,MATCH($DA73,$DX$10:$DX$23,0)),0))</f>
        <v>21421.066008214286</v>
      </c>
      <c r="DL73" s="909">
        <f>IF(dd_PartSA_2_lines = "Yes",0,_xlfn.IFNA(INDEX('Resource use and costs'!$CS$11:$CS$53,MATCH(DB73,'Resource use and costs'!$BA$11:$BA$53,0)),0)*_xlfn.IFNA(INDEX(EC$10:EC$23,MATCH($DB73,$DX$10:$DX$23,0)),0))</f>
        <v>0</v>
      </c>
      <c r="DM73" s="909">
        <f t="shared" si="13"/>
        <v>75757.707528214261</v>
      </c>
      <c r="DN73" s="909">
        <f>SUM(_xlfn.IFNA(INDEX('Resource use and costs'!$DU$12:$DU$25,MATCH(CZ73,'Resource use and costs'!$DS$12:$DS$25,0)),0),_xlfn.IFNA(INDEX('Resource use and costs'!$DU$12:$DU$25,MATCH(DA73,'Resource use and costs'!$DS$12:$DS$25,0)),0),_xlfn.IFNA(INDEX('Resource use and costs'!$DU$12:$DU$25,MATCH(DB73,'Resource use and costs'!$DS$12:$DS$25,0)),0))</f>
        <v>394.5</v>
      </c>
      <c r="DO73" s="921">
        <f>_xlfn.IFNA(INDEX('Resource use and costs'!$DY$12:$DY$25,MATCH(CZ73,'Resource use and costs'!$DS$12:$DS$25,0)),0)*_xlfn.IFNA(INDEX(DY$10:DY$23,MATCH($CZ73,$DX$10:$DX$23,0)),0)</f>
        <v>810.54285714285697</v>
      </c>
      <c r="DP73" s="921">
        <f>IF(dd_PartSA_2_lines = "Yes",0,_xlfn.IFNA(INDEX('Resource use and costs'!$DZ$12:$DZ$25,MATCH(DA73,'Resource use and costs'!$DS$12:$DS$25,0)),0)*_xlfn.IFNA(INDEX(EA$10:EA$23,MATCH($DA73,$DX$10:$DX$23,0)),0))</f>
        <v>267.99172714285714</v>
      </c>
      <c r="DQ73" s="921">
        <f>IF(dd_PartSA_2_lines = "Yes",0,_xlfn.IFNA(INDEX('Resource use and costs'!$EA$12:$EA$25,MATCH(DB73,'Resource use and costs'!$DS$12:$DS$25,0)),0)*_xlfn.IFNA(INDEX(EC$10:EC$23,MATCH($DB73,$DX$10:$DX$23,0)),0))</f>
        <v>0</v>
      </c>
      <c r="DR73" s="921">
        <f t="shared" si="14"/>
        <v>1473.0345842857141</v>
      </c>
      <c r="DS73" s="1004">
        <f ca="1">SUMIFS('Safety parameters'!$DM$6:$DM$18,'Safety parameters'!$DK$6:$DK$18,CZ73,'Safety parameters'!$DL$6:$DL$18,1)+IF(dd_PartSA_2_lines = "Yes",0,SUMIFS('Safety parameters'!$DM$6:$DM$18,'Safety parameters'!$DK$6:$DK$18,DA73,'Safety parameters'!$DL$6:$DL$18,2)+SUMIFS('Safety parameters'!$DM$6:$DM$18,'Safety parameters'!$DK$6:$DK$18,DB73,'Safety parameters'!$DL$6:$DL$18,2))</f>
        <v>1634.2286735654598</v>
      </c>
      <c r="DT73" s="910">
        <f ca="1">SUMIFS('Safety parameters'!$DO$6:$DO$18,'Safety parameters'!$DK$6:$DK$18,CZ73,'Safety parameters'!$DL$6:$DL$18,1)+IF(dd_PartSA_2_lines = "Yes",0,SUMIFS('Safety parameters'!$DO$6:$DO$18,'Safety parameters'!$DK$6:$DK$18,DA73,'Safety parameters'!$DL$6:$DL$18,2)+SUMIFS('Safety parameters'!$DO$6:$DO$18,'Safety parameters'!$DK$6:$DK$18,DB73,'Safety parameters'!$DL$6:$DL$18,2))</f>
        <v>-1.4741924007481429E-2</v>
      </c>
      <c r="DX73" s="61" t="str">
        <v>lenvatinib_plus_pembrolizumab</v>
      </c>
      <c r="DY73" s="61" t="s">
        <v>794</v>
      </c>
      <c r="DZ73" s="920" cm="1">
        <f t="array" aca="1" ref="DZ73" ca="1">SUMPRODUCT(($CX$11:$CX$779=DY73)*($CY$11:$CY$779=DX73),$DH$11:$DH$779,$DM$11:$DM$779)</f>
        <v>0</v>
      </c>
      <c r="EA73" s="920" cm="1">
        <f t="array" aca="1" ref="EA73" ca="1">SUMPRODUCT(($CX$11:$CX$779=DY73)*($CY$11:$CY$779=DX73),$DH$11:$DH$779,$DR$11:$DR$779)</f>
        <v>0</v>
      </c>
      <c r="EB73" s="920" cm="1">
        <f t="array" aca="1" ref="EB73" ca="1">SUMPRODUCT(($CX$11:$CX$779=DY73)*($CY$11:$CY$779=DX73),$DH$11:$DH$779,$DS$11:$DS$779)</f>
        <v>0</v>
      </c>
      <c r="EC73" s="1029" cm="1">
        <f t="array" aca="1" ref="EC73" ca="1">SUMPRODUCT(($CX$11:$CX$779=DY73)*($CY$11:$CY$779=DX73),$DH$11:$DH$779,$DT$11:$DT$779)</f>
        <v>0</v>
      </c>
      <c r="ED73" s="920">
        <f t="shared" ca="1" si="45"/>
        <v>0</v>
      </c>
      <c r="EE73" s="920">
        <f t="shared" ca="1" si="46"/>
        <v>0</v>
      </c>
      <c r="EF73" s="1238"/>
      <c r="EG73" s="1238"/>
      <c r="EH73" s="1238"/>
      <c r="EI73" s="1238"/>
      <c r="EJ73" s="1238"/>
    </row>
    <row r="74" spans="5:140" ht="15" x14ac:dyDescent="0.2">
      <c r="E74" s="4" t="str">
        <v>lenvatinib_plus_everolimus</v>
      </c>
      <c r="J74" s="599">
        <f t="shared" ref="J74:W74" si="75">J59*i_SE_util</f>
        <v>0</v>
      </c>
      <c r="K74" s="745"/>
      <c r="L74" s="745"/>
      <c r="M74" s="745"/>
      <c r="N74" s="745"/>
      <c r="O74" s="599">
        <f t="shared" si="75"/>
        <v>0</v>
      </c>
      <c r="P74" s="599">
        <f t="shared" si="75"/>
        <v>0</v>
      </c>
      <c r="Q74" s="599">
        <f t="shared" si="75"/>
        <v>0</v>
      </c>
      <c r="R74" s="599">
        <f t="shared" si="75"/>
        <v>0</v>
      </c>
      <c r="S74" s="599">
        <f t="shared" si="75"/>
        <v>0</v>
      </c>
      <c r="T74" s="599">
        <f t="shared" si="75"/>
        <v>0</v>
      </c>
      <c r="U74" s="599">
        <f t="shared" si="75"/>
        <v>0</v>
      </c>
      <c r="V74" s="599">
        <f t="shared" si="75"/>
        <v>0</v>
      </c>
      <c r="W74" s="599">
        <f t="shared" si="75"/>
        <v>0.1</v>
      </c>
      <c r="Z74" s="599">
        <f t="shared" ref="Z74:AM74" si="76">Z59*i_SE_util</f>
        <v>8.2100000000000003E-3</v>
      </c>
      <c r="AA74" s="599">
        <f t="shared" si="76"/>
        <v>0</v>
      </c>
      <c r="AB74" s="599">
        <f t="shared" si="76"/>
        <v>0</v>
      </c>
      <c r="AC74" s="599">
        <f t="shared" si="76"/>
        <v>0</v>
      </c>
      <c r="AD74" s="599">
        <f t="shared" si="76"/>
        <v>0</v>
      </c>
      <c r="AE74" s="599">
        <f t="shared" si="76"/>
        <v>8.2100000000000003E-3</v>
      </c>
      <c r="AF74" s="599">
        <f t="shared" si="76"/>
        <v>0</v>
      </c>
      <c r="AG74" s="599">
        <f t="shared" si="76"/>
        <v>0</v>
      </c>
      <c r="AH74" s="599">
        <f t="shared" si="76"/>
        <v>4.9270000000000008E-2</v>
      </c>
      <c r="AI74" s="599">
        <f t="shared" si="76"/>
        <v>0</v>
      </c>
      <c r="AJ74" s="599">
        <f t="shared" si="76"/>
        <v>0</v>
      </c>
      <c r="AK74" s="599">
        <f t="shared" si="76"/>
        <v>0</v>
      </c>
      <c r="AL74" s="599">
        <f t="shared" si="76"/>
        <v>0</v>
      </c>
      <c r="AM74" s="599">
        <f t="shared" si="76"/>
        <v>3.4300000000000004E-2</v>
      </c>
      <c r="AP74" s="599">
        <f t="shared" ref="AP74:BC74" si="77">AP59*i_SE_util</f>
        <v>0</v>
      </c>
      <c r="AQ74" s="877"/>
      <c r="AR74" s="877"/>
      <c r="AS74" s="877"/>
      <c r="AT74" s="877"/>
      <c r="AU74" s="599">
        <f t="shared" si="77"/>
        <v>0</v>
      </c>
      <c r="AV74" s="599">
        <f t="shared" si="77"/>
        <v>0</v>
      </c>
      <c r="AW74" s="599">
        <f t="shared" si="77"/>
        <v>0</v>
      </c>
      <c r="AX74" s="599">
        <f t="shared" si="77"/>
        <v>0</v>
      </c>
      <c r="AY74" s="599">
        <f t="shared" si="77"/>
        <v>0</v>
      </c>
      <c r="AZ74" s="599">
        <f t="shared" si="77"/>
        <v>0</v>
      </c>
      <c r="BA74" s="599">
        <f t="shared" si="77"/>
        <v>5.6860000000000001E-2</v>
      </c>
      <c r="BB74" s="599">
        <f t="shared" si="77"/>
        <v>0</v>
      </c>
      <c r="BC74" s="599">
        <f t="shared" si="77"/>
        <v>4.3140000000000005E-2</v>
      </c>
      <c r="BF74" s="604"/>
      <c r="BG74" s="604"/>
      <c r="BH74" s="604"/>
      <c r="BI74" s="604"/>
      <c r="BJ74" s="604"/>
      <c r="BK74" s="604"/>
      <c r="BL74" s="604"/>
      <c r="BM74" s="604"/>
      <c r="BN74" s="604"/>
      <c r="BO74" s="604"/>
      <c r="BP74" s="604"/>
      <c r="BQ74" s="604"/>
      <c r="BR74" s="604"/>
      <c r="BS74" s="78"/>
      <c r="CK74" s="61" t="s">
        <v>31</v>
      </c>
      <c r="CL74" s="61">
        <v>2</v>
      </c>
      <c r="CM74" s="61" t="str">
        <v>lenvatinib_plus_everolimus</v>
      </c>
      <c r="CN74" s="17">
        <v>9</v>
      </c>
      <c r="CO74" s="61" t="str" cm="1">
        <f t="array" ref="CO74">INDEX(List_comparators,CP73+1)</f>
        <v>cabozantinib_plus_nivolumab</v>
      </c>
      <c r="CP74" s="17">
        <v>1</v>
      </c>
      <c r="CQ74" s="601">
        <f t="shared" ca="1" si="36"/>
        <v>0</v>
      </c>
      <c r="CR74" s="601">
        <f t="shared" ca="1" si="37"/>
        <v>0</v>
      </c>
      <c r="CS74" s="669">
        <f t="shared" ca="1" si="50"/>
        <v>0</v>
      </c>
      <c r="CT74" s="669">
        <f t="shared" ca="1" si="39"/>
        <v>0</v>
      </c>
      <c r="CU74" s="1123">
        <f>MATCH(CZ74,'Resource use and costs'!$BA$11:$BA$53,0)</f>
        <v>43</v>
      </c>
      <c r="CV74" s="1223"/>
      <c r="CW74" s="1241">
        <f t="shared" si="12"/>
        <v>1</v>
      </c>
      <c r="CX74" s="899" t="s">
        <v>764</v>
      </c>
      <c r="CY74" s="899" t="s">
        <v>585</v>
      </c>
      <c r="CZ74" s="899" t="s">
        <v>333</v>
      </c>
      <c r="DA74" s="899" t="s">
        <v>765</v>
      </c>
      <c r="DB74" s="899"/>
      <c r="DC74" s="899" cm="1">
        <f t="array" aca="1" ref="DC74" ca="1">_xlfn.IFNA(OFFSET($I$49,MATCH(CY74,$I$50:$I$63,0),MATCH(CZ74,TRANSPOSE($J$49:$W$49),0)),0)</f>
        <v>3.0800000000000004E-2</v>
      </c>
      <c r="DD74" s="899" cm="1">
        <f t="array" aca="1" ref="DD74" ca="1">_xlfn.IFNA(OFFSET($Y$49,MATCH($CZ74,$Y$50:$Y$63,0),MATCH($DA74,TRANSPOSE($Z$49:$AM$49),0)),0)</f>
        <v>0.34300000000000003</v>
      </c>
      <c r="DE74" s="899" cm="1">
        <f t="array" aca="1" ref="DE74" ca="1">_xlfn.IFNA(OFFSET($AO$49,MATCH($DA74,$AO$50:$AO$63,0),MATCH($DB74,TRANSPOSE($AP$49:$BC$49),0)),0)</f>
        <v>0</v>
      </c>
      <c r="DF74" s="881">
        <f t="shared" ca="1" si="8"/>
        <v>1.0564400000000002E-2</v>
      </c>
      <c r="DG74" s="910">
        <f t="shared" ca="1" si="9"/>
        <v>1</v>
      </c>
      <c r="DH74" s="881">
        <f t="shared" ca="1" si="10"/>
        <v>1.0564400000000002E-2</v>
      </c>
      <c r="DI74" s="1460">
        <f t="shared" ca="1" si="40"/>
        <v>2.4720696000000002</v>
      </c>
      <c r="DJ74" s="909">
        <f>_xlfn.IFNA(INDEX('Resource use and costs'!$CQ$11:$CQ$53,MATCH($CZ74,'Resource use and costs'!$BA$11:$BA$53,0)),0)*_xlfn.IFNA(INDEX(DY$10:DY$23,MATCH($CZ74,$DX$10:$DX$23,0)),0)</f>
        <v>54336.641519999976</v>
      </c>
      <c r="DK74" s="909">
        <f>IF(dd_PartSA_2_lines = "Yes",0,_xlfn.IFNA(INDEX('Resource use and costs'!$CR$11:$CR$53,MATCH(DA74,'Resource use and costs'!$BA$11:$BA$53,0)),0)*_xlfn.IFNA(INDEX(EA$10:EA$23,MATCH($DA74,$DX$10:$DX$23,0)),0))</f>
        <v>0</v>
      </c>
      <c r="DL74" s="909">
        <f>IF(dd_PartSA_2_lines = "Yes",0,_xlfn.IFNA(INDEX('Resource use and costs'!$CS$11:$CS$53,MATCH(DB74,'Resource use and costs'!$BA$11:$BA$53,0)),0)*_xlfn.IFNA(INDEX(EC$10:EC$23,MATCH($DB74,$DX$10:$DX$23,0)),0))</f>
        <v>0</v>
      </c>
      <c r="DM74" s="909">
        <f t="shared" si="13"/>
        <v>54336.641519999976</v>
      </c>
      <c r="DN74" s="909">
        <f>SUM(_xlfn.IFNA(INDEX('Resource use and costs'!$DU$12:$DU$25,MATCH(CZ74,'Resource use and costs'!$DS$12:$DS$25,0)),0),_xlfn.IFNA(INDEX('Resource use and costs'!$DU$12:$DU$25,MATCH(DA74,'Resource use and costs'!$DS$12:$DS$25,0)),0),_xlfn.IFNA(INDEX('Resource use and costs'!$DU$12:$DU$25,MATCH(DB74,'Resource use and costs'!$DS$12:$DS$25,0)),0))</f>
        <v>197.25</v>
      </c>
      <c r="DO74" s="921">
        <f>_xlfn.IFNA(INDEX('Resource use and costs'!$DY$12:$DY$25,MATCH(CZ74,'Resource use and costs'!$DS$12:$DS$25,0)),0)*_xlfn.IFNA(INDEX(DY$10:DY$23,MATCH($CZ74,$DX$10:$DX$23,0)),0)</f>
        <v>810.54285714285697</v>
      </c>
      <c r="DP74" s="921">
        <f>IF(dd_PartSA_2_lines = "Yes",0,_xlfn.IFNA(INDEX('Resource use and costs'!$DZ$12:$DZ$25,MATCH(DA74,'Resource use and costs'!$DS$12:$DS$25,0)),0)*_xlfn.IFNA(INDEX(EA$10:EA$23,MATCH($DA74,$DX$10:$DX$23,0)),0))</f>
        <v>0</v>
      </c>
      <c r="DQ74" s="921">
        <f>IF(dd_PartSA_2_lines = "Yes",0,_xlfn.IFNA(INDEX('Resource use and costs'!$EA$12:$EA$25,MATCH(DB74,'Resource use and costs'!$DS$12:$DS$25,0)),0)*_xlfn.IFNA(INDEX(EC$10:EC$23,MATCH($DB74,$DX$10:$DX$23,0)),0))</f>
        <v>0</v>
      </c>
      <c r="DR74" s="921">
        <f t="shared" si="14"/>
        <v>1007.792857142857</v>
      </c>
      <c r="DS74" s="1004">
        <f>SUMIFS('Safety parameters'!$DM$6:$DM$18,'Safety parameters'!$DK$6:$DK$18,CZ74,'Safety parameters'!$DL$6:$DL$18,1)+IF(dd_PartSA_2_lines = "Yes",0,SUMIFS('Safety parameters'!$DM$6:$DM$18,'Safety parameters'!$DK$6:$DK$18,DA74,'Safety parameters'!$DL$6:$DL$18,2)+SUMIFS('Safety parameters'!$DM$6:$DM$18,'Safety parameters'!$DK$6:$DK$18,DB74,'Safety parameters'!$DL$6:$DL$18,2))</f>
        <v>0</v>
      </c>
      <c r="DT74" s="910">
        <f>SUMIFS('Safety parameters'!$DO$6:$DO$18,'Safety parameters'!$DK$6:$DK$18,CZ74,'Safety parameters'!$DL$6:$DL$18,1)+IF(dd_PartSA_2_lines = "Yes",0,SUMIFS('Safety parameters'!$DO$6:$DO$18,'Safety parameters'!$DK$6:$DK$18,DA74,'Safety parameters'!$DL$6:$DL$18,2)+SUMIFS('Safety parameters'!$DO$6:$DO$18,'Safety parameters'!$DK$6:$DK$18,DB74,'Safety parameters'!$DL$6:$DL$18,2))</f>
        <v>0</v>
      </c>
      <c r="DX74" s="61" t="str">
        <v>avelumab_plus_axitinib</v>
      </c>
      <c r="DY74" s="61" t="s">
        <v>794</v>
      </c>
      <c r="DZ74" s="920" cm="1">
        <f t="array" aca="1" ref="DZ74" ca="1">SUMPRODUCT(($CX$11:$CX$779=DY74)*($CY$11:$CY$779=DX74),$DH$11:$DH$779,$DM$11:$DM$779)</f>
        <v>0</v>
      </c>
      <c r="EA74" s="920" cm="1">
        <f t="array" aca="1" ref="EA74" ca="1">SUMPRODUCT(($CX$11:$CX$779=DY74)*($CY$11:$CY$779=DX74),$DH$11:$DH$779,$DR$11:$DR$779)</f>
        <v>0</v>
      </c>
      <c r="EB74" s="920" cm="1">
        <f t="array" aca="1" ref="EB74" ca="1">SUMPRODUCT(($CX$11:$CX$779=DY74)*($CY$11:$CY$779=DX74),$DH$11:$DH$779,$DS$11:$DS$779)</f>
        <v>0</v>
      </c>
      <c r="EC74" s="1029" cm="1">
        <f t="array" aca="1" ref="EC74" ca="1">SUMPRODUCT(($CX$11:$CX$779=DY74)*($CY$11:$CY$779=DX74),$DH$11:$DH$779,$DT$11:$DT$779)</f>
        <v>0</v>
      </c>
      <c r="ED74" s="920">
        <f t="shared" ca="1" si="45"/>
        <v>0</v>
      </c>
      <c r="EE74" s="920">
        <f t="shared" ca="1" si="46"/>
        <v>0</v>
      </c>
      <c r="EF74" s="1238"/>
      <c r="EG74" s="1238"/>
      <c r="EH74" s="1238"/>
      <c r="EI74" s="1238"/>
      <c r="EJ74" s="1238"/>
    </row>
    <row r="75" spans="5:140" ht="15" x14ac:dyDescent="0.2">
      <c r="E75" s="4" t="str">
        <v>everolimus</v>
      </c>
      <c r="J75" s="599">
        <f t="shared" ref="J75:W75" si="78">J60*i_SE_util</f>
        <v>0</v>
      </c>
      <c r="K75" s="745"/>
      <c r="L75" s="745"/>
      <c r="M75" s="745"/>
      <c r="N75" s="745"/>
      <c r="O75" s="599">
        <f t="shared" si="78"/>
        <v>0</v>
      </c>
      <c r="P75" s="599">
        <f t="shared" si="78"/>
        <v>0</v>
      </c>
      <c r="Q75" s="599">
        <f t="shared" si="78"/>
        <v>0</v>
      </c>
      <c r="R75" s="599">
        <f t="shared" si="78"/>
        <v>0</v>
      </c>
      <c r="S75" s="599">
        <f t="shared" si="78"/>
        <v>0</v>
      </c>
      <c r="T75" s="599">
        <f t="shared" si="78"/>
        <v>0</v>
      </c>
      <c r="U75" s="599">
        <f t="shared" si="78"/>
        <v>0</v>
      </c>
      <c r="V75" s="599">
        <f t="shared" si="78"/>
        <v>0</v>
      </c>
      <c r="W75" s="599">
        <f t="shared" si="78"/>
        <v>0.1</v>
      </c>
      <c r="Z75" s="599">
        <f t="shared" ref="Z75:AM75" si="79">Z60*i_SE_util</f>
        <v>0</v>
      </c>
      <c r="AA75" s="599">
        <f t="shared" si="79"/>
        <v>0</v>
      </c>
      <c r="AB75" s="599">
        <f t="shared" si="79"/>
        <v>0</v>
      </c>
      <c r="AC75" s="599">
        <f t="shared" si="79"/>
        <v>0</v>
      </c>
      <c r="AD75" s="599">
        <f t="shared" si="79"/>
        <v>0</v>
      </c>
      <c r="AE75" s="599">
        <f t="shared" si="79"/>
        <v>0</v>
      </c>
      <c r="AF75" s="599">
        <f t="shared" si="79"/>
        <v>0</v>
      </c>
      <c r="AG75" s="599">
        <f t="shared" si="79"/>
        <v>0</v>
      </c>
      <c r="AH75" s="599">
        <f t="shared" si="79"/>
        <v>0</v>
      </c>
      <c r="AI75" s="599">
        <f t="shared" si="79"/>
        <v>0</v>
      </c>
      <c r="AJ75" s="599">
        <f t="shared" si="79"/>
        <v>0</v>
      </c>
      <c r="AK75" s="599">
        <f t="shared" si="79"/>
        <v>0</v>
      </c>
      <c r="AL75" s="599">
        <f t="shared" si="79"/>
        <v>0</v>
      </c>
      <c r="AM75" s="599">
        <f t="shared" si="79"/>
        <v>0.1</v>
      </c>
      <c r="AP75" s="599">
        <f t="shared" ref="AP75:BC75" si="80">AP60*i_SE_util</f>
        <v>0</v>
      </c>
      <c r="AQ75" s="877"/>
      <c r="AR75" s="877"/>
      <c r="AS75" s="877"/>
      <c r="AT75" s="877"/>
      <c r="AU75" s="599">
        <f t="shared" si="80"/>
        <v>0</v>
      </c>
      <c r="AV75" s="599">
        <f t="shared" si="80"/>
        <v>0</v>
      </c>
      <c r="AW75" s="599">
        <f t="shared" si="80"/>
        <v>0</v>
      </c>
      <c r="AX75" s="599">
        <f t="shared" si="80"/>
        <v>0</v>
      </c>
      <c r="AY75" s="599">
        <f t="shared" si="80"/>
        <v>0</v>
      </c>
      <c r="AZ75" s="599">
        <f t="shared" si="80"/>
        <v>0</v>
      </c>
      <c r="BA75" s="599">
        <f t="shared" si="80"/>
        <v>0</v>
      </c>
      <c r="BB75" s="599">
        <f t="shared" si="80"/>
        <v>0</v>
      </c>
      <c r="BC75" s="599">
        <f t="shared" si="80"/>
        <v>0.1</v>
      </c>
      <c r="BF75" s="604"/>
      <c r="BG75" s="604"/>
      <c r="BH75" s="604"/>
      <c r="BI75" s="604"/>
      <c r="BJ75" s="604"/>
      <c r="BK75" s="604"/>
      <c r="BL75" s="604"/>
      <c r="BM75" s="604"/>
      <c r="BN75" s="604"/>
      <c r="BO75" s="604"/>
      <c r="BP75" s="604"/>
      <c r="BQ75" s="604"/>
      <c r="BR75" s="604"/>
      <c r="BS75" s="78"/>
      <c r="CK75" s="61" t="s">
        <v>31</v>
      </c>
      <c r="CL75" s="61">
        <v>2</v>
      </c>
      <c r="CM75" s="61" t="str">
        <v>everolimus</v>
      </c>
      <c r="CN75" s="17">
        <v>10</v>
      </c>
      <c r="CO75" s="61" t="str" cm="1">
        <f t="array" ref="CO75">INDEX(List_comparators,CP74+1)</f>
        <v>cabozantinib_plus_nivolumab</v>
      </c>
      <c r="CP75" s="17">
        <v>1</v>
      </c>
      <c r="CQ75" s="601">
        <f t="shared" ca="1" si="36"/>
        <v>0</v>
      </c>
      <c r="CR75" s="601">
        <f t="shared" ca="1" si="37"/>
        <v>0</v>
      </c>
      <c r="CS75" s="669">
        <f t="shared" ca="1" si="50"/>
        <v>0</v>
      </c>
      <c r="CT75" s="669">
        <f t="shared" ca="1" si="39"/>
        <v>0</v>
      </c>
      <c r="CU75" s="1123">
        <f>MATCH(CZ75,'Resource use and costs'!$BA$11:$BA$53,0)</f>
        <v>43</v>
      </c>
      <c r="CV75" s="1223"/>
      <c r="CW75" s="1241">
        <f t="shared" si="12"/>
        <v>1</v>
      </c>
      <c r="CX75" s="899" t="s">
        <v>764</v>
      </c>
      <c r="CY75" s="899" t="s">
        <v>585</v>
      </c>
      <c r="CZ75" s="899" t="s">
        <v>333</v>
      </c>
      <c r="DA75" s="899" t="s">
        <v>118</v>
      </c>
      <c r="DB75" s="899" t="s">
        <v>327</v>
      </c>
      <c r="DC75" s="899" cm="1">
        <f t="array" aca="1" ref="DC75" ca="1">_xlfn.IFNA(OFFSET($I$49,MATCH(CY75,$I$50:$I$63,0),MATCH(CZ75,TRANSPOSE($J$49:$W$49),0)),0)</f>
        <v>3.0800000000000004E-2</v>
      </c>
      <c r="DD75" s="899">
        <f ca="1">1-DD73-DD74-DD77</f>
        <v>0.57489999999999997</v>
      </c>
      <c r="DE75" s="899">
        <f ca="1">1-DE76</f>
        <v>0.56859999999999999</v>
      </c>
      <c r="DF75" s="881">
        <f t="shared" ref="DF75:DF138" ca="1" si="81">IF(AND(ISBLANK(DA75),ISBLANK(DA75)),DC75,IF(ISBLANK(DB75),DC75*DD75,DC75*DD75*DE75))</f>
        <v>1.0068154712E-2</v>
      </c>
      <c r="DG75" s="910">
        <f t="shared" ref="DG75:DG138" ca="1" si="82">IF(dd_reduceBSC="No",(1-SUMIFS($DF$11:$DF$779,$CY$11:$CY$779,CY75,$CX$11:$CX$779,CX75,$CW$11:$CW$779,0))/SUMIFS($DF$11:$DF$779,$CY$11:$CY$779,CY75,$CX$11:$CX$779,CX75,$CW$11:$CW$779,1),1/SUMIFS($DF$11:$DF$779,$CY$11:$CY$779,CY75,$CX$11:$CX$779,CX75,$CW$11:$CW$779,1))</f>
        <v>1</v>
      </c>
      <c r="DH75" s="881">
        <f t="shared" ref="DH75:DH138" ca="1" si="83">IF(CZ75="BSC",IF(dd_reduceBSC="No",DF75,0),DF75*DG75)</f>
        <v>1.0068154712E-2</v>
      </c>
      <c r="DI75" s="1460">
        <f t="shared" ca="1" si="40"/>
        <v>2.3559482026079999</v>
      </c>
      <c r="DJ75" s="909">
        <f>_xlfn.IFNA(INDEX('Resource use and costs'!$CQ$11:$CQ$53,MATCH($CZ75,'Resource use and costs'!$BA$11:$BA$53,0)),0)*_xlfn.IFNA(INDEX(DY$10:DY$23,MATCH($CZ75,$DX$10:$DX$23,0)),0)</f>
        <v>54336.641519999976</v>
      </c>
      <c r="DK75" s="909">
        <f>IF(dd_PartSA_2_lines = "Yes",0,_xlfn.IFNA(INDEX('Resource use and costs'!$CR$11:$CR$53,MATCH(DA75,'Resource use and costs'!$BA$11:$BA$53,0)),0)*_xlfn.IFNA(INDEX(EA$10:EA$23,MATCH($DA75,$DX$10:$DX$23,0)),0))</f>
        <v>50308.075122000002</v>
      </c>
      <c r="DL75" s="909">
        <f>IF(dd_PartSA_2_lines = "Yes",0,_xlfn.IFNA(INDEX('Resource use and costs'!$CS$11:$CS$53,MATCH(DB75,'Resource use and costs'!$BA$11:$BA$53,0)),0)*_xlfn.IFNA(INDEX(EC$10:EC$23,MATCH($DB75,$DX$10:$DX$23,0)),0))</f>
        <v>18438.751749999999</v>
      </c>
      <c r="DM75" s="909">
        <f t="shared" si="13"/>
        <v>123083.46839199998</v>
      </c>
      <c r="DN75" s="909">
        <f>SUM(_xlfn.IFNA(INDEX('Resource use and costs'!$DU$12:$DU$25,MATCH(CZ75,'Resource use and costs'!$DS$12:$DS$25,0)),0),_xlfn.IFNA(INDEX('Resource use and costs'!$DU$12:$DU$25,MATCH(DA75,'Resource use and costs'!$DS$12:$DS$25,0)),0),_xlfn.IFNA(INDEX('Resource use and costs'!$DU$12:$DU$25,MATCH(DB75,'Resource use and costs'!$DS$12:$DS$25,0)),0))</f>
        <v>591.75</v>
      </c>
      <c r="DO75" s="921">
        <f>_xlfn.IFNA(INDEX('Resource use and costs'!$DY$12:$DY$25,MATCH(CZ75,'Resource use and costs'!$DS$12:$DS$25,0)),0)*_xlfn.IFNA(INDEX(DY$10:DY$23,MATCH($CZ75,$DX$10:$DX$23,0)),0)</f>
        <v>810.54285714285697</v>
      </c>
      <c r="DP75" s="921">
        <f>IF(dd_PartSA_2_lines = "Yes",0,_xlfn.IFNA(INDEX('Resource use and costs'!$DZ$12:$DZ$25,MATCH(DA75,'Resource use and costs'!$DS$12:$DS$25,0)),0)*_xlfn.IFNA(INDEX(EA$10:EA$23,MATCH($DA75,$DX$10:$DX$23,0)),0))</f>
        <v>461.1445457142857</v>
      </c>
      <c r="DQ75" s="921">
        <f>IF(dd_PartSA_2_lines = "Yes",0,_xlfn.IFNA(INDEX('Resource use and costs'!$EA$12:$EA$25,MATCH(DB75,'Resource use and costs'!$DS$12:$DS$25,0)),0)*_xlfn.IFNA(INDEX(EC$10:EC$23,MATCH($DB75,$DX$10:$DX$23,0)),0))</f>
        <v>230.68099999999998</v>
      </c>
      <c r="DR75" s="921">
        <f t="shared" si="14"/>
        <v>2094.1184028571424</v>
      </c>
      <c r="DS75" s="1004">
        <f ca="1">SUMIFS('Safety parameters'!$DM$6:$DM$18,'Safety parameters'!$DK$6:$DK$18,CZ75,'Safety parameters'!$DL$6:$DL$18,1)+IF(dd_PartSA_2_lines = "Yes",0,SUMIFS('Safety parameters'!$DM$6:$DM$18,'Safety parameters'!$DK$6:$DK$18,DA75,'Safety parameters'!$DL$6:$DL$18,2)+SUMIFS('Safety parameters'!$DM$6:$DM$18,'Safety parameters'!$DK$6:$DK$18,DB75,'Safety parameters'!$DL$6:$DL$18,2))</f>
        <v>2377.8779733688434</v>
      </c>
      <c r="DT75" s="910">
        <f ca="1">SUMIFS('Safety parameters'!$DO$6:$DO$18,'Safety parameters'!$DK$6:$DK$18,CZ75,'Safety parameters'!$DL$6:$DL$18,1)+IF(dd_PartSA_2_lines = "Yes",0,SUMIFS('Safety parameters'!$DO$6:$DO$18,'Safety parameters'!$DK$6:$DK$18,DA75,'Safety parameters'!$DL$6:$DL$18,2)+SUMIFS('Safety parameters'!$DO$6:$DO$18,'Safety parameters'!$DK$6:$DK$18,DB75,'Safety parameters'!$DL$6:$DL$18,2))</f>
        <v>-2.1764250363717368E-2</v>
      </c>
      <c r="DX75" s="61" t="str">
        <v>pazopanib</v>
      </c>
      <c r="DY75" s="61" t="s">
        <v>794</v>
      </c>
      <c r="DZ75" s="920" cm="1">
        <f t="array" aca="1" ref="DZ75" ca="1">SUMPRODUCT(($CX$11:$CX$779=DY75)*($CY$11:$CY$779=DX75),$DH$11:$DH$779,$DM$11:$DM$779)</f>
        <v>54145.221186743445</v>
      </c>
      <c r="EA75" s="920" cm="1">
        <f t="array" aca="1" ref="EA75" ca="1">SUMPRODUCT(($CX$11:$CX$779=DY75)*($CY$11:$CY$779=DX75),$DH$11:$DH$779,$DR$11:$DR$779)</f>
        <v>4320.7038910866731</v>
      </c>
      <c r="EB75" s="920" cm="1">
        <f t="array" aca="1" ref="EB75" ca="1">SUMPRODUCT(($CX$11:$CX$779=DY75)*($CY$11:$CY$779=DX75),$DH$11:$DH$779,$DS$11:$DS$779)</f>
        <v>787.56392801428228</v>
      </c>
      <c r="EC75" s="1029" cm="1">
        <f t="array" aca="1" ref="EC75" ca="1">SUMPRODUCT(($CX$11:$CX$779=DY75)*($CY$11:$CY$779=DX75),$DH$11:$DH$779,$DT$11:$DT$779)</f>
        <v>-7.1626461973015015E-3</v>
      </c>
      <c r="ED75" s="920">
        <f t="shared" ca="1" si="45"/>
        <v>10829.044237348689</v>
      </c>
      <c r="EE75" s="920">
        <f t="shared" ca="1" si="46"/>
        <v>864.14077821733463</v>
      </c>
      <c r="EF75" s="1238"/>
      <c r="EG75" s="1238"/>
      <c r="EH75" s="1238"/>
      <c r="EI75" s="1238"/>
      <c r="EJ75" s="1238"/>
    </row>
    <row r="76" spans="5:140" ht="15" x14ac:dyDescent="0.2">
      <c r="E76" s="4" t="str">
        <v>axitinib</v>
      </c>
      <c r="J76" s="599">
        <f t="shared" ref="J76:W76" si="84">J61*i_SE_util</f>
        <v>0</v>
      </c>
      <c r="K76" s="745"/>
      <c r="L76" s="745"/>
      <c r="M76" s="745"/>
      <c r="N76" s="745"/>
      <c r="O76" s="599">
        <f t="shared" si="84"/>
        <v>0</v>
      </c>
      <c r="P76" s="599">
        <f t="shared" si="84"/>
        <v>0</v>
      </c>
      <c r="Q76" s="599">
        <f t="shared" si="84"/>
        <v>0</v>
      </c>
      <c r="R76" s="599">
        <f t="shared" si="84"/>
        <v>0</v>
      </c>
      <c r="S76" s="599">
        <f t="shared" si="84"/>
        <v>0</v>
      </c>
      <c r="T76" s="599">
        <f t="shared" si="84"/>
        <v>0</v>
      </c>
      <c r="U76" s="599">
        <f t="shared" si="84"/>
        <v>0</v>
      </c>
      <c r="V76" s="599">
        <f t="shared" si="84"/>
        <v>0</v>
      </c>
      <c r="W76" s="599">
        <f t="shared" si="84"/>
        <v>0.1</v>
      </c>
      <c r="Z76" s="599">
        <f t="shared" ref="Z76:AM76" si="85">Z61*i_SE_util</f>
        <v>3.2850000000000004E-2</v>
      </c>
      <c r="AA76" s="599">
        <f t="shared" si="85"/>
        <v>0</v>
      </c>
      <c r="AB76" s="599">
        <f t="shared" si="85"/>
        <v>0</v>
      </c>
      <c r="AC76" s="599">
        <f t="shared" si="85"/>
        <v>0</v>
      </c>
      <c r="AD76" s="599">
        <f t="shared" si="85"/>
        <v>0</v>
      </c>
      <c r="AE76" s="599">
        <f t="shared" si="85"/>
        <v>0</v>
      </c>
      <c r="AF76" s="599">
        <f t="shared" si="85"/>
        <v>0</v>
      </c>
      <c r="AG76" s="599">
        <f t="shared" si="85"/>
        <v>0</v>
      </c>
      <c r="AH76" s="599">
        <f t="shared" si="85"/>
        <v>3.2850000000000004E-2</v>
      </c>
      <c r="AI76" s="599">
        <f t="shared" si="85"/>
        <v>0</v>
      </c>
      <c r="AJ76" s="599">
        <f t="shared" si="85"/>
        <v>0</v>
      </c>
      <c r="AK76" s="599">
        <f t="shared" si="85"/>
        <v>0</v>
      </c>
      <c r="AL76" s="599">
        <f t="shared" si="85"/>
        <v>0</v>
      </c>
      <c r="AM76" s="599">
        <f t="shared" si="85"/>
        <v>3.4300000000000004E-2</v>
      </c>
      <c r="AP76" s="599">
        <f t="shared" ref="AP76:BC76" si="86">AP61*i_SE_util</f>
        <v>0</v>
      </c>
      <c r="AQ76" s="877"/>
      <c r="AR76" s="877"/>
      <c r="AS76" s="877"/>
      <c r="AT76" s="877"/>
      <c r="AU76" s="599">
        <f t="shared" si="86"/>
        <v>0</v>
      </c>
      <c r="AV76" s="599">
        <f t="shared" si="86"/>
        <v>0</v>
      </c>
      <c r="AW76" s="599">
        <f t="shared" si="86"/>
        <v>0</v>
      </c>
      <c r="AX76" s="599">
        <f t="shared" si="86"/>
        <v>0</v>
      </c>
      <c r="AY76" s="599">
        <f t="shared" si="86"/>
        <v>0</v>
      </c>
      <c r="AZ76" s="599">
        <f t="shared" si="86"/>
        <v>5.6860000000000001E-2</v>
      </c>
      <c r="BA76" s="599">
        <f t="shared" si="86"/>
        <v>0</v>
      </c>
      <c r="BB76" s="599">
        <f t="shared" si="86"/>
        <v>0</v>
      </c>
      <c r="BC76" s="599">
        <f t="shared" si="86"/>
        <v>4.3140000000000005E-2</v>
      </c>
      <c r="BF76" s="604"/>
      <c r="BG76" s="604"/>
      <c r="BH76" s="604"/>
      <c r="BI76" s="604"/>
      <c r="BJ76" s="604"/>
      <c r="BK76" s="604"/>
      <c r="BL76" s="604"/>
      <c r="BM76" s="604"/>
      <c r="BN76" s="604"/>
      <c r="BO76" s="604"/>
      <c r="BP76" s="604"/>
      <c r="BQ76" s="604"/>
      <c r="BR76" s="604"/>
      <c r="BS76" s="78"/>
      <c r="CK76" s="61" t="s">
        <v>31</v>
      </c>
      <c r="CL76" s="61">
        <v>2</v>
      </c>
      <c r="CM76" s="61" t="str">
        <v>axitinib</v>
      </c>
      <c r="CN76" s="17">
        <v>11</v>
      </c>
      <c r="CO76" s="61" t="str" cm="1">
        <f t="array" ref="CO76">INDEX(List_comparators,CP75+1)</f>
        <v>cabozantinib_plus_nivolumab</v>
      </c>
      <c r="CP76" s="17">
        <v>1</v>
      </c>
      <c r="CQ76" s="601">
        <f t="shared" ca="1" si="36"/>
        <v>0</v>
      </c>
      <c r="CR76" s="601">
        <f t="shared" ca="1" si="37"/>
        <v>0</v>
      </c>
      <c r="CS76" s="669">
        <f t="shared" ca="1" si="50"/>
        <v>0</v>
      </c>
      <c r="CT76" s="669">
        <f t="shared" ca="1" si="39"/>
        <v>0</v>
      </c>
      <c r="CU76" s="1123">
        <f>MATCH(CZ76,'Resource use and costs'!$BA$11:$BA$53,0)</f>
        <v>43</v>
      </c>
      <c r="CV76" s="1223"/>
      <c r="CW76" s="1241">
        <f t="shared" ref="CW76:CW139" si="87">IF(CZ76="BSC",0,1)</f>
        <v>1</v>
      </c>
      <c r="CX76" s="899" t="s">
        <v>764</v>
      </c>
      <c r="CY76" s="899" t="s">
        <v>585</v>
      </c>
      <c r="CZ76" s="899" t="s">
        <v>333</v>
      </c>
      <c r="DA76" s="899" t="s">
        <v>118</v>
      </c>
      <c r="DB76" s="899" t="s">
        <v>765</v>
      </c>
      <c r="DC76" s="899" cm="1">
        <f t="array" aca="1" ref="DC76" ca="1">_xlfn.IFNA(OFFSET($I$49,MATCH(CY76,$I$50:$I$63,0),MATCH(CZ76,TRANSPOSE($J$49:$W$49),0)),0)</f>
        <v>3.0800000000000004E-2</v>
      </c>
      <c r="DD76" s="899">
        <f ca="1">DD75</f>
        <v>0.57489999999999997</v>
      </c>
      <c r="DE76" s="899" cm="1">
        <f t="array" aca="1" ref="DE76" ca="1">_xlfn.IFNA(OFFSET($AO$49,MATCH($DA76,$AO$50:$AO$63,0),MATCH($DB76,TRANSPOSE($AP$49:$BC$49),0)),0)</f>
        <v>0.43140000000000001</v>
      </c>
      <c r="DF76" s="881">
        <f t="shared" ca="1" si="81"/>
        <v>7.6387652880000002E-3</v>
      </c>
      <c r="DG76" s="910">
        <f t="shared" ca="1" si="82"/>
        <v>1</v>
      </c>
      <c r="DH76" s="881">
        <f t="shared" ca="1" si="83"/>
        <v>7.6387652880000002E-3</v>
      </c>
      <c r="DI76" s="1460">
        <f t="shared" ca="1" si="40"/>
        <v>1.787471077392</v>
      </c>
      <c r="DJ76" s="909">
        <f>_xlfn.IFNA(INDEX('Resource use and costs'!$CQ$11:$CQ$53,MATCH($CZ76,'Resource use and costs'!$BA$11:$BA$53,0)),0)*_xlfn.IFNA(INDEX(DY$10:DY$23,MATCH($CZ76,$DX$10:$DX$23,0)),0)</f>
        <v>54336.641519999976</v>
      </c>
      <c r="DK76" s="909">
        <f>IF(dd_PartSA_2_lines = "Yes",0,_xlfn.IFNA(INDEX('Resource use and costs'!$CR$11:$CR$53,MATCH(DA76,'Resource use and costs'!$BA$11:$BA$53,0)),0)*_xlfn.IFNA(INDEX(EA$10:EA$23,MATCH($DA76,$DX$10:$DX$23,0)),0))</f>
        <v>50308.075122000002</v>
      </c>
      <c r="DL76" s="909">
        <f>IF(dd_PartSA_2_lines = "Yes",0,_xlfn.IFNA(INDEX('Resource use and costs'!$CS$11:$CS$53,MATCH(DB76,'Resource use and costs'!$BA$11:$BA$53,0)),0)*_xlfn.IFNA(INDEX(EC$10:EC$23,MATCH($DB76,$DX$10:$DX$23,0)),0))</f>
        <v>0</v>
      </c>
      <c r="DM76" s="909">
        <f t="shared" ref="DM76:DM139" si="88">SUM(DJ76:DL76)</f>
        <v>104644.71664199998</v>
      </c>
      <c r="DN76" s="909">
        <f>SUM(_xlfn.IFNA(INDEX('Resource use and costs'!$DU$12:$DU$25,MATCH(CZ76,'Resource use and costs'!$DS$12:$DS$25,0)),0),_xlfn.IFNA(INDEX('Resource use and costs'!$DU$12:$DU$25,MATCH(DA76,'Resource use and costs'!$DS$12:$DS$25,0)),0),_xlfn.IFNA(INDEX('Resource use and costs'!$DU$12:$DU$25,MATCH(DB76,'Resource use and costs'!$DS$12:$DS$25,0)),0))</f>
        <v>394.5</v>
      </c>
      <c r="DO76" s="921">
        <f>_xlfn.IFNA(INDEX('Resource use and costs'!$DY$12:$DY$25,MATCH(CZ76,'Resource use and costs'!$DS$12:$DS$25,0)),0)*_xlfn.IFNA(INDEX(DY$10:DY$23,MATCH($CZ76,$DX$10:$DX$23,0)),0)</f>
        <v>810.54285714285697</v>
      </c>
      <c r="DP76" s="921">
        <f>IF(dd_PartSA_2_lines = "Yes",0,_xlfn.IFNA(INDEX('Resource use and costs'!$DZ$12:$DZ$25,MATCH(DA76,'Resource use and costs'!$DS$12:$DS$25,0)),0)*_xlfn.IFNA(INDEX(EA$10:EA$23,MATCH($DA76,$DX$10:$DX$23,0)),0))</f>
        <v>461.1445457142857</v>
      </c>
      <c r="DQ76" s="921">
        <f>IF(dd_PartSA_2_lines = "Yes",0,_xlfn.IFNA(INDEX('Resource use and costs'!$EA$12:$EA$25,MATCH(DB76,'Resource use and costs'!$DS$12:$DS$25,0)),0)*_xlfn.IFNA(INDEX(EC$10:EC$23,MATCH($DB76,$DX$10:$DX$23,0)),0))</f>
        <v>0</v>
      </c>
      <c r="DR76" s="921">
        <f t="shared" ref="DR76:DR139" si="89">SUM(DN76:DQ76)</f>
        <v>1666.1874028571426</v>
      </c>
      <c r="DS76" s="1004">
        <f ca="1">SUMIFS('Safety parameters'!$DM$6:$DM$18,'Safety parameters'!$DK$6:$DK$18,CZ76,'Safety parameters'!$DL$6:$DL$18,1)+IF(dd_PartSA_2_lines = "Yes",0,SUMIFS('Safety parameters'!$DM$6:$DM$18,'Safety parameters'!$DK$6:$DK$18,DA76,'Safety parameters'!$DL$6:$DL$18,2)+SUMIFS('Safety parameters'!$DM$6:$DM$18,'Safety parameters'!$DK$6:$DK$18,DB76,'Safety parameters'!$DL$6:$DL$18,2))</f>
        <v>743.64929980338343</v>
      </c>
      <c r="DT76" s="910">
        <f ca="1">SUMIFS('Safety parameters'!$DO$6:$DO$18,'Safety parameters'!$DK$6:$DK$18,CZ76,'Safety parameters'!$DL$6:$DL$18,1)+IF(dd_PartSA_2_lines = "Yes",0,SUMIFS('Safety parameters'!$DO$6:$DO$18,'Safety parameters'!$DK$6:$DK$18,DA76,'Safety parameters'!$DL$6:$DL$18,2)+SUMIFS('Safety parameters'!$DO$6:$DO$18,'Safety parameters'!$DK$6:$DK$18,DB76,'Safety parameters'!$DL$6:$DL$18,2))</f>
        <v>-7.0223263562359372E-3</v>
      </c>
      <c r="DX76" s="61" t="str">
        <v>tivozanib</v>
      </c>
      <c r="DY76" s="61" t="s">
        <v>794</v>
      </c>
      <c r="DZ76" s="920" cm="1">
        <f t="array" aca="1" ref="DZ76" ca="1">SUMPRODUCT(($CX$11:$CX$779=DY76)*($CY$11:$CY$779=DX76),$DH$11:$DH$779,$DM$11:$DM$779)</f>
        <v>56145.45768759949</v>
      </c>
      <c r="EA76" s="920" cm="1">
        <f t="array" aca="1" ref="EA76" ca="1">SUMPRODUCT(($CX$11:$CX$779=DY76)*($CY$11:$CY$779=DX76),$DH$11:$DH$779,$DR$11:$DR$779)</f>
        <v>5129.5419305434834</v>
      </c>
      <c r="EB76" s="920" cm="1">
        <f t="array" aca="1" ref="EB76" ca="1">SUMPRODUCT(($CX$11:$CX$779=DY76)*($CY$11:$CY$779=DX76),$DH$11:$DH$779,$DS$11:$DS$779)</f>
        <v>702.27646992982636</v>
      </c>
      <c r="EC76" s="1029" cm="1">
        <f t="array" aca="1" ref="EC76" ca="1">SUMPRODUCT(($CX$11:$CX$779=DY76)*($CY$11:$CY$779=DX76),$DH$11:$DH$779,$DT$11:$DT$779)</f>
        <v>-6.4190123904707009E-3</v>
      </c>
      <c r="ED76" s="920">
        <f t="shared" ca="1" si="45"/>
        <v>11229.091537519898</v>
      </c>
      <c r="EE76" s="920">
        <f t="shared" ca="1" si="46"/>
        <v>1025.9083861086967</v>
      </c>
      <c r="EF76" s="1238"/>
      <c r="EG76" s="1238"/>
      <c r="EH76" s="1238"/>
      <c r="EI76" s="1238"/>
      <c r="EJ76" s="1238"/>
    </row>
    <row r="77" spans="5:140" ht="15" x14ac:dyDescent="0.2">
      <c r="E77" s="4" t="str">
        <v>sorafenib</v>
      </c>
      <c r="J77" s="599">
        <f t="shared" ref="J77:W77" si="90">J62*i_SE_util</f>
        <v>0</v>
      </c>
      <c r="K77" s="745"/>
      <c r="L77" s="745"/>
      <c r="M77" s="745"/>
      <c r="N77" s="745"/>
      <c r="O77" s="599">
        <f t="shared" si="90"/>
        <v>0</v>
      </c>
      <c r="P77" s="599">
        <f t="shared" si="90"/>
        <v>0</v>
      </c>
      <c r="Q77" s="599">
        <f t="shared" si="90"/>
        <v>0</v>
      </c>
      <c r="R77" s="599">
        <f t="shared" si="90"/>
        <v>0</v>
      </c>
      <c r="S77" s="599">
        <f t="shared" si="90"/>
        <v>0</v>
      </c>
      <c r="T77" s="599">
        <f t="shared" si="90"/>
        <v>0</v>
      </c>
      <c r="U77" s="599">
        <f t="shared" si="90"/>
        <v>0</v>
      </c>
      <c r="V77" s="599">
        <f t="shared" si="90"/>
        <v>0</v>
      </c>
      <c r="W77" s="599">
        <f t="shared" si="90"/>
        <v>0.1</v>
      </c>
      <c r="Z77" s="599">
        <f t="shared" ref="Z77:AM77" si="91">Z62*i_SE_util</f>
        <v>0</v>
      </c>
      <c r="AA77" s="599">
        <f t="shared" si="91"/>
        <v>0</v>
      </c>
      <c r="AB77" s="599">
        <f t="shared" si="91"/>
        <v>0</v>
      </c>
      <c r="AC77" s="599">
        <f t="shared" si="91"/>
        <v>0</v>
      </c>
      <c r="AD77" s="599">
        <f t="shared" si="91"/>
        <v>0</v>
      </c>
      <c r="AE77" s="599">
        <f t="shared" si="91"/>
        <v>0</v>
      </c>
      <c r="AF77" s="599">
        <f t="shared" si="91"/>
        <v>0</v>
      </c>
      <c r="AG77" s="599">
        <f t="shared" si="91"/>
        <v>0</v>
      </c>
      <c r="AH77" s="599">
        <f t="shared" si="91"/>
        <v>0</v>
      </c>
      <c r="AI77" s="599">
        <f t="shared" si="91"/>
        <v>0</v>
      </c>
      <c r="AJ77" s="599">
        <f t="shared" si="91"/>
        <v>0</v>
      </c>
      <c r="AK77" s="599">
        <f t="shared" si="91"/>
        <v>0</v>
      </c>
      <c r="AL77" s="599">
        <f t="shared" si="91"/>
        <v>0</v>
      </c>
      <c r="AM77" s="599">
        <f t="shared" si="91"/>
        <v>0.1</v>
      </c>
      <c r="AP77" s="599">
        <f t="shared" ref="AP77:BC77" si="92">AP62*i_SE_util</f>
        <v>0</v>
      </c>
      <c r="AQ77" s="877"/>
      <c r="AR77" s="877"/>
      <c r="AS77" s="877"/>
      <c r="AT77" s="877"/>
      <c r="AU77" s="599">
        <f t="shared" si="92"/>
        <v>0</v>
      </c>
      <c r="AV77" s="599">
        <f t="shared" si="92"/>
        <v>0</v>
      </c>
      <c r="AW77" s="599">
        <f t="shared" si="92"/>
        <v>0</v>
      </c>
      <c r="AX77" s="599">
        <f t="shared" si="92"/>
        <v>0</v>
      </c>
      <c r="AY77" s="599">
        <f t="shared" si="92"/>
        <v>0</v>
      </c>
      <c r="AZ77" s="599">
        <f t="shared" si="92"/>
        <v>0</v>
      </c>
      <c r="BA77" s="599">
        <f t="shared" si="92"/>
        <v>0</v>
      </c>
      <c r="BB77" s="599">
        <f t="shared" si="92"/>
        <v>0</v>
      </c>
      <c r="BC77" s="599">
        <f t="shared" si="92"/>
        <v>0.1</v>
      </c>
      <c r="BF77" s="604"/>
      <c r="BG77" s="604"/>
      <c r="BH77" s="604"/>
      <c r="BI77" s="604"/>
      <c r="BJ77" s="604"/>
      <c r="BK77" s="604"/>
      <c r="BL77" s="604"/>
      <c r="BM77" s="604"/>
      <c r="BN77" s="604"/>
      <c r="BO77" s="604"/>
      <c r="BP77" s="604"/>
      <c r="BQ77" s="604"/>
      <c r="BR77" s="604"/>
      <c r="BS77" s="78"/>
      <c r="CK77" s="61" t="s">
        <v>31</v>
      </c>
      <c r="CL77" s="61">
        <v>2</v>
      </c>
      <c r="CM77" s="61" t="str">
        <v>sorafenib</v>
      </c>
      <c r="CN77" s="17">
        <v>12</v>
      </c>
      <c r="CO77" s="61" t="str" cm="1">
        <f t="array" ref="CO77">INDEX(List_comparators,CP76+1)</f>
        <v>cabozantinib_plus_nivolumab</v>
      </c>
      <c r="CP77" s="17">
        <v>1</v>
      </c>
      <c r="CQ77" s="601">
        <f t="shared" ca="1" si="36"/>
        <v>0</v>
      </c>
      <c r="CR77" s="601">
        <f t="shared" ca="1" si="37"/>
        <v>0</v>
      </c>
      <c r="CS77" s="669">
        <f t="shared" ca="1" si="50"/>
        <v>0</v>
      </c>
      <c r="CT77" s="669">
        <f t="shared" ca="1" si="39"/>
        <v>0</v>
      </c>
      <c r="CU77" s="1123">
        <f>MATCH(CZ77,'Resource use and costs'!$BA$11:$BA$53,0)</f>
        <v>43</v>
      </c>
      <c r="CV77" s="1223"/>
      <c r="CW77" s="1241">
        <f t="shared" si="87"/>
        <v>1</v>
      </c>
      <c r="CX77" s="899" t="s">
        <v>764</v>
      </c>
      <c r="CY77" s="899" t="s">
        <v>585</v>
      </c>
      <c r="CZ77" s="899" t="s">
        <v>333</v>
      </c>
      <c r="DA77" s="899" t="s">
        <v>579</v>
      </c>
      <c r="DB77" s="899" t="s">
        <v>327</v>
      </c>
      <c r="DC77" s="899" cm="1">
        <f t="array" aca="1" ref="DC77" ca="1">_xlfn.IFNA(OFFSET($I$49,MATCH(CY77,$I$50:$I$63,0),MATCH(CZ77,TRANSPOSE($J$49:$W$49),0)),0)</f>
        <v>3.0800000000000004E-2</v>
      </c>
      <c r="DD77" s="899" cm="1">
        <f t="array" aca="1" ref="DD77" ca="1">_xlfn.IFNA(OFFSET($Y$49,MATCH($CZ77,$Y$50:$Y$63,0),MATCH($DA77,TRANSPOSE($Z$49:$AM$49),0)),0)</f>
        <v>8.2100000000000006E-2</v>
      </c>
      <c r="DE77" s="899" cm="1">
        <f t="array" aca="1" ref="DE77" ca="1">_xlfn.IFNA(OFFSET($AO$49,MATCH($DA77,$AO$50:$AO$63,0),MATCH($DB77,TRANSPOSE($AP$49:$BC$49),0)),0)</f>
        <v>0.56859999999999999</v>
      </c>
      <c r="DF77" s="881">
        <f t="shared" ca="1" si="81"/>
        <v>1.4378074480000003E-3</v>
      </c>
      <c r="DG77" s="910">
        <f t="shared" ca="1" si="82"/>
        <v>1</v>
      </c>
      <c r="DH77" s="881">
        <f t="shared" ca="1" si="83"/>
        <v>1.4378074480000003E-3</v>
      </c>
      <c r="DI77" s="1460">
        <f t="shared" ca="1" si="40"/>
        <v>0.33644694283200005</v>
      </c>
      <c r="DJ77" s="909">
        <f>_xlfn.IFNA(INDEX('Resource use and costs'!$CQ$11:$CQ$53,MATCH($CZ77,'Resource use and costs'!$BA$11:$BA$53,0)),0)*_xlfn.IFNA(INDEX(DY$10:DY$23,MATCH($CZ77,$DX$10:$DX$23,0)),0)</f>
        <v>54336.641519999976</v>
      </c>
      <c r="DK77" s="909">
        <f>IF(dd_PartSA_2_lines = "Yes",0,_xlfn.IFNA(INDEX('Resource use and costs'!$CR$11:$CR$53,MATCH(DA77,'Resource use and costs'!$BA$11:$BA$53,0)),0)*_xlfn.IFNA(INDEX(EA$10:EA$23,MATCH($DA77,$DX$10:$DX$23,0)),0))</f>
        <v>26054.50921</v>
      </c>
      <c r="DL77" s="909">
        <f>IF(dd_PartSA_2_lines = "Yes",0,_xlfn.IFNA(INDEX('Resource use and costs'!$CS$11:$CS$53,MATCH(DB77,'Resource use and costs'!$BA$11:$BA$53,0)),0)*_xlfn.IFNA(INDEX(EC$10:EC$23,MATCH($DB77,$DX$10:$DX$23,0)),0))</f>
        <v>18438.751749999999</v>
      </c>
      <c r="DM77" s="909">
        <f t="shared" si="88"/>
        <v>98829.902479999975</v>
      </c>
      <c r="DN77" s="909">
        <f>SUM(_xlfn.IFNA(INDEX('Resource use and costs'!$DU$12:$DU$25,MATCH(CZ77,'Resource use and costs'!$DS$12:$DS$25,0)),0),_xlfn.IFNA(INDEX('Resource use and costs'!$DU$12:$DU$25,MATCH(DA77,'Resource use and costs'!$DS$12:$DS$25,0)),0),_xlfn.IFNA(INDEX('Resource use and costs'!$DU$12:$DU$25,MATCH(DB77,'Resource use and costs'!$DS$12:$DS$25,0)),0))</f>
        <v>394.5</v>
      </c>
      <c r="DO77" s="921">
        <f>_xlfn.IFNA(INDEX('Resource use and costs'!$DY$12:$DY$25,MATCH(CZ77,'Resource use and costs'!$DS$12:$DS$25,0)),0)*_xlfn.IFNA(INDEX(DY$10:DY$23,MATCH($CZ77,$DX$10:$DX$23,0)),0)</f>
        <v>810.54285714285697</v>
      </c>
      <c r="DP77" s="921">
        <f>IF(dd_PartSA_2_lines = "Yes",0,_xlfn.IFNA(INDEX('Resource use and costs'!$DZ$12:$DZ$25,MATCH(DA77,'Resource use and costs'!$DS$12:$DS$25,0)),0)*_xlfn.IFNA(INDEX(EA$10:EA$23,MATCH($DA77,$DX$10:$DX$23,0)),0))</f>
        <v>4108.3597166</v>
      </c>
      <c r="DQ77" s="921">
        <f>IF(dd_PartSA_2_lines = "Yes",0,_xlfn.IFNA(INDEX('Resource use and costs'!$EA$12:$EA$25,MATCH(DB77,'Resource use and costs'!$DS$12:$DS$25,0)),0)*_xlfn.IFNA(INDEX(EC$10:EC$23,MATCH($DB77,$DX$10:$DX$23,0)),0))</f>
        <v>230.68099999999998</v>
      </c>
      <c r="DR77" s="921">
        <f t="shared" si="89"/>
        <v>5544.0835737428561</v>
      </c>
      <c r="DS77" s="1004">
        <f ca="1">SUMIFS('Safety parameters'!$DM$6:$DM$18,'Safety parameters'!$DK$6:$DK$18,CZ77,'Safety parameters'!$DL$6:$DL$18,1)+IF(dd_PartSA_2_lines = "Yes",0,SUMIFS('Safety parameters'!$DM$6:$DM$18,'Safety parameters'!$DK$6:$DK$18,DA77,'Safety parameters'!$DL$6:$DL$18,2)+SUMIFS('Safety parameters'!$DM$6:$DM$18,'Safety parameters'!$DK$6:$DK$18,DB77,'Safety parameters'!$DL$6:$DL$18,2))</f>
        <v>1795.3624225558742</v>
      </c>
      <c r="DT77" s="910">
        <f ca="1">SUMIFS('Safety parameters'!$DO$6:$DO$18,'Safety parameters'!$DK$6:$DK$18,CZ77,'Safety parameters'!$DL$6:$DL$18,1)+IF(dd_PartSA_2_lines = "Yes",0,SUMIFS('Safety parameters'!$DO$6:$DO$18,'Safety parameters'!$DK$6:$DK$18,DA77,'Safety parameters'!$DL$6:$DL$18,2)+SUMIFS('Safety parameters'!$DO$6:$DO$18,'Safety parameters'!$DK$6:$DK$18,DB77,'Safety parameters'!$DL$6:$DL$18,2))</f>
        <v>-1.6339008205166216E-2</v>
      </c>
      <c r="DX77" s="61" t="str">
        <v>sunitinib</v>
      </c>
      <c r="DY77" s="61" t="s">
        <v>794</v>
      </c>
      <c r="DZ77" s="920" cm="1">
        <f t="array" aca="1" ref="DZ77" ca="1">SUMPRODUCT(($CX$11:$CX$779=DY77)*($CY$11:$CY$779=DX77),$DH$11:$DH$779,$DM$11:$DM$779)</f>
        <v>53124.520052788168</v>
      </c>
      <c r="EA77" s="920" cm="1">
        <f t="array" aca="1" ref="EA77" ca="1">SUMPRODUCT(($CX$11:$CX$779=DY77)*($CY$11:$CY$779=DX77),$DH$11:$DH$779,$DR$11:$DR$779)</f>
        <v>4412.7836851617676</v>
      </c>
      <c r="EB77" s="920" cm="1">
        <f t="array" aca="1" ref="EB77" ca="1">SUMPRODUCT(($CX$11:$CX$779=DY77)*($CY$11:$CY$779=DX77),$DH$11:$DH$779,$DS$11:$DS$779)</f>
        <v>758.6544728391118</v>
      </c>
      <c r="EC77" s="1029" cm="1">
        <f t="array" aca="1" ref="EC77" ca="1">SUMPRODUCT(($CX$11:$CX$779=DY77)*($CY$11:$CY$779=DX77),$DH$11:$DH$779,$DT$11:$DT$779)</f>
        <v>-6.9006721497158804E-3</v>
      </c>
      <c r="ED77" s="920">
        <f t="shared" ca="1" si="45"/>
        <v>10624.904010557635</v>
      </c>
      <c r="EE77" s="920">
        <f t="shared" ca="1" si="46"/>
        <v>882.55673703235357</v>
      </c>
      <c r="EF77" s="1238"/>
      <c r="EG77" s="1238"/>
      <c r="EH77" s="1238"/>
      <c r="EI77" s="1238"/>
      <c r="EJ77" s="1238"/>
    </row>
    <row r="78" spans="5:140" ht="16.5" thickBot="1" x14ac:dyDescent="0.3">
      <c r="E78" s="4" t="str">
        <v>placebo_BSC</v>
      </c>
      <c r="J78" s="599">
        <f t="shared" ref="J78:W78" si="93">J63*i_SE_util</f>
        <v>0</v>
      </c>
      <c r="K78" s="745"/>
      <c r="L78" s="745"/>
      <c r="M78" s="745"/>
      <c r="N78" s="745"/>
      <c r="O78" s="599">
        <f t="shared" si="93"/>
        <v>0</v>
      </c>
      <c r="P78" s="599">
        <f t="shared" si="93"/>
        <v>0</v>
      </c>
      <c r="Q78" s="599">
        <f t="shared" si="93"/>
        <v>0</v>
      </c>
      <c r="R78" s="599">
        <f t="shared" si="93"/>
        <v>0</v>
      </c>
      <c r="S78" s="599">
        <f t="shared" si="93"/>
        <v>0</v>
      </c>
      <c r="T78" s="599">
        <f t="shared" si="93"/>
        <v>0</v>
      </c>
      <c r="U78" s="599">
        <f t="shared" si="93"/>
        <v>0</v>
      </c>
      <c r="V78" s="599">
        <f t="shared" si="93"/>
        <v>0</v>
      </c>
      <c r="W78" s="599">
        <f t="shared" si="93"/>
        <v>0.1</v>
      </c>
      <c r="Z78" s="599">
        <f t="shared" ref="Z78:AM78" si="94">Z63*i_SE_util</f>
        <v>0</v>
      </c>
      <c r="AA78" s="599">
        <f t="shared" si="94"/>
        <v>0</v>
      </c>
      <c r="AB78" s="599">
        <f t="shared" si="94"/>
        <v>0</v>
      </c>
      <c r="AC78" s="599">
        <f t="shared" si="94"/>
        <v>0</v>
      </c>
      <c r="AD78" s="599">
        <f t="shared" si="94"/>
        <v>0</v>
      </c>
      <c r="AE78" s="599">
        <f t="shared" si="94"/>
        <v>0</v>
      </c>
      <c r="AF78" s="599">
        <f t="shared" si="94"/>
        <v>0</v>
      </c>
      <c r="AG78" s="599">
        <f t="shared" si="94"/>
        <v>0</v>
      </c>
      <c r="AH78" s="599">
        <f t="shared" si="94"/>
        <v>0</v>
      </c>
      <c r="AI78" s="599">
        <f t="shared" si="94"/>
        <v>0</v>
      </c>
      <c r="AJ78" s="599">
        <f t="shared" si="94"/>
        <v>0</v>
      </c>
      <c r="AK78" s="599">
        <f t="shared" si="94"/>
        <v>0</v>
      </c>
      <c r="AL78" s="599">
        <f t="shared" si="94"/>
        <v>0</v>
      </c>
      <c r="AM78" s="599">
        <f t="shared" si="94"/>
        <v>0.1</v>
      </c>
      <c r="AP78" s="599">
        <f t="shared" ref="AP78:BC78" si="95">AP63*i_SE_util</f>
        <v>0</v>
      </c>
      <c r="AQ78" s="877"/>
      <c r="AR78" s="877"/>
      <c r="AS78" s="877"/>
      <c r="AT78" s="877"/>
      <c r="AU78" s="599">
        <f t="shared" si="95"/>
        <v>0</v>
      </c>
      <c r="AV78" s="599">
        <f t="shared" si="95"/>
        <v>0</v>
      </c>
      <c r="AW78" s="599">
        <f t="shared" si="95"/>
        <v>0</v>
      </c>
      <c r="AX78" s="599">
        <f t="shared" si="95"/>
        <v>0</v>
      </c>
      <c r="AY78" s="599">
        <f t="shared" si="95"/>
        <v>0</v>
      </c>
      <c r="AZ78" s="599">
        <f t="shared" si="95"/>
        <v>0</v>
      </c>
      <c r="BA78" s="599">
        <f t="shared" si="95"/>
        <v>0</v>
      </c>
      <c r="BB78" s="599">
        <f t="shared" si="95"/>
        <v>0</v>
      </c>
      <c r="BC78" s="599">
        <f t="shared" si="95"/>
        <v>0.1</v>
      </c>
      <c r="BF78" s="604"/>
      <c r="BG78" s="606"/>
      <c r="BH78" s="604"/>
      <c r="BI78" s="604"/>
      <c r="BJ78" s="604"/>
      <c r="BK78" s="604"/>
      <c r="BL78" s="604"/>
      <c r="BM78" s="604"/>
      <c r="BN78" s="604"/>
      <c r="BO78" s="604"/>
      <c r="BP78" s="604"/>
      <c r="BQ78" s="604"/>
      <c r="BR78" s="604"/>
      <c r="BS78" s="78"/>
      <c r="CK78" s="506" t="s">
        <v>31</v>
      </c>
      <c r="CL78" s="506">
        <v>2</v>
      </c>
      <c r="CM78" s="506" t="str">
        <v>placebo_BSC</v>
      </c>
      <c r="CN78" s="19">
        <v>999</v>
      </c>
      <c r="CO78" s="506" t="str" cm="1">
        <f t="array" ref="CO78">INDEX(List_comparators,CP65+1)</f>
        <v>cabozantinib_plus_nivolumab</v>
      </c>
      <c r="CP78" s="19">
        <v>1</v>
      </c>
      <c r="CQ78" s="602">
        <f t="shared" ca="1" si="36"/>
        <v>0</v>
      </c>
      <c r="CR78" s="602">
        <f t="shared" ca="1" si="37"/>
        <v>0</v>
      </c>
      <c r="CS78" s="670">
        <v>0</v>
      </c>
      <c r="CT78" s="670">
        <f t="shared" ca="1" si="39"/>
        <v>0</v>
      </c>
      <c r="CU78" s="1123">
        <f>MATCH(CZ78,'Resource use and costs'!$BA$11:$BA$53,0)</f>
        <v>43</v>
      </c>
      <c r="CV78" s="1223"/>
      <c r="CW78" s="1241">
        <f t="shared" si="87"/>
        <v>1</v>
      </c>
      <c r="CX78" s="899" t="s">
        <v>764</v>
      </c>
      <c r="CY78" s="899" t="s">
        <v>585</v>
      </c>
      <c r="CZ78" s="899" t="s">
        <v>333</v>
      </c>
      <c r="DA78" s="899" t="s">
        <v>579</v>
      </c>
      <c r="DB78" s="899" t="s">
        <v>765</v>
      </c>
      <c r="DC78" s="899" cm="1">
        <f t="array" aca="1" ref="DC78" ca="1">_xlfn.IFNA(OFFSET($I$49,MATCH(CY78,$I$50:$I$63,0),MATCH(CZ78,TRANSPOSE($J$49:$W$49),0)),0)</f>
        <v>3.0800000000000004E-2</v>
      </c>
      <c r="DD78" s="899" cm="1">
        <f t="array" aca="1" ref="DD78" ca="1">_xlfn.IFNA(OFFSET($Y$49,MATCH($CZ78,$Y$50:$Y$63,0),MATCH($DA78,TRANSPOSE($Z$49:$AM$49),0)),0)</f>
        <v>8.2100000000000006E-2</v>
      </c>
      <c r="DE78" s="899" cm="1">
        <f t="array" aca="1" ref="DE78" ca="1">_xlfn.IFNA(OFFSET($AO$49,MATCH($DA78,$AO$50:$AO$63,0),MATCH($DB78,TRANSPOSE($AP$49:$BC$49),0)),0)</f>
        <v>0.43140000000000001</v>
      </c>
      <c r="DF78" s="881">
        <f t="shared" ca="1" si="81"/>
        <v>1.0908725520000003E-3</v>
      </c>
      <c r="DG78" s="910">
        <f t="shared" ca="1" si="82"/>
        <v>1</v>
      </c>
      <c r="DH78" s="881">
        <f t="shared" ca="1" si="83"/>
        <v>1.0908725520000003E-3</v>
      </c>
      <c r="DI78" s="1460">
        <f t="shared" ca="1" si="40"/>
        <v>0.25526417716800009</v>
      </c>
      <c r="DJ78" s="909">
        <f>_xlfn.IFNA(INDEX('Resource use and costs'!$CQ$11:$CQ$53,MATCH($CZ78,'Resource use and costs'!$BA$11:$BA$53,0)),0)*_xlfn.IFNA(INDEX(DY$10:DY$23,MATCH($CZ78,$DX$10:$DX$23,0)),0)</f>
        <v>54336.641519999976</v>
      </c>
      <c r="DK78" s="909">
        <f>IF(dd_PartSA_2_lines = "Yes",0,_xlfn.IFNA(INDEX('Resource use and costs'!$CR$11:$CR$53,MATCH(DA78,'Resource use and costs'!$BA$11:$BA$53,0)),0)*_xlfn.IFNA(INDEX(EA$10:EA$23,MATCH($DA78,$DX$10:$DX$23,0)),0))</f>
        <v>26054.50921</v>
      </c>
      <c r="DL78" s="909">
        <f>IF(dd_PartSA_2_lines = "Yes",0,_xlfn.IFNA(INDEX('Resource use and costs'!$CS$11:$CS$53,MATCH(DB78,'Resource use and costs'!$BA$11:$BA$53,0)),0)*_xlfn.IFNA(INDEX(EC$10:EC$23,MATCH($DB78,$DX$10:$DX$23,0)),0))</f>
        <v>0</v>
      </c>
      <c r="DM78" s="909">
        <f t="shared" si="88"/>
        <v>80391.150729999979</v>
      </c>
      <c r="DN78" s="909">
        <f>SUM(_xlfn.IFNA(INDEX('Resource use and costs'!$DU$12:$DU$25,MATCH(CZ78,'Resource use and costs'!$DS$12:$DS$25,0)),0),_xlfn.IFNA(INDEX('Resource use and costs'!$DU$12:$DU$25,MATCH(DA78,'Resource use and costs'!$DS$12:$DS$25,0)),0),_xlfn.IFNA(INDEX('Resource use and costs'!$DU$12:$DU$25,MATCH(DB78,'Resource use and costs'!$DS$12:$DS$25,0)),0))</f>
        <v>197.25</v>
      </c>
      <c r="DO78" s="921">
        <f>_xlfn.IFNA(INDEX('Resource use and costs'!$DY$12:$DY$25,MATCH(CZ78,'Resource use and costs'!$DS$12:$DS$25,0)),0)*_xlfn.IFNA(INDEX(DY$10:DY$23,MATCH($CZ78,$DX$10:$DX$23,0)),0)</f>
        <v>810.54285714285697</v>
      </c>
      <c r="DP78" s="921">
        <f>IF(dd_PartSA_2_lines = "Yes",0,_xlfn.IFNA(INDEX('Resource use and costs'!$DZ$12:$DZ$25,MATCH(DA78,'Resource use and costs'!$DS$12:$DS$25,0)),0)*_xlfn.IFNA(INDEX(EA$10:EA$23,MATCH($DA78,$DX$10:$DX$23,0)),0))</f>
        <v>4108.3597166</v>
      </c>
      <c r="DQ78" s="921">
        <f>IF(dd_PartSA_2_lines = "Yes",0,_xlfn.IFNA(INDEX('Resource use and costs'!$EA$12:$EA$25,MATCH(DB78,'Resource use and costs'!$DS$12:$DS$25,0)),0)*_xlfn.IFNA(INDEX(EC$10:EC$23,MATCH($DB78,$DX$10:$DX$23,0)),0))</f>
        <v>0</v>
      </c>
      <c r="DR78" s="921">
        <f t="shared" si="89"/>
        <v>5116.1525737428565</v>
      </c>
      <c r="DS78" s="1004">
        <f ca="1">SUMIFS('Safety parameters'!$DM$6:$DM$18,'Safety parameters'!$DK$6:$DK$18,CZ78,'Safety parameters'!$DL$6:$DL$18,1)+IF(dd_PartSA_2_lines = "Yes",0,SUMIFS('Safety parameters'!$DM$6:$DM$18,'Safety parameters'!$DK$6:$DK$18,DA78,'Safety parameters'!$DL$6:$DL$18,2)+SUMIFS('Safety parameters'!$DM$6:$DM$18,'Safety parameters'!$DK$6:$DK$18,DB78,'Safety parameters'!$DL$6:$DL$18,2))</f>
        <v>161.1337489904144</v>
      </c>
      <c r="DT78" s="910">
        <f ca="1">SUMIFS('Safety parameters'!$DO$6:$DO$18,'Safety parameters'!$DK$6:$DK$18,CZ78,'Safety parameters'!$DL$6:$DL$18,1)+IF(dd_PartSA_2_lines = "Yes",0,SUMIFS('Safety parameters'!$DO$6:$DO$18,'Safety parameters'!$DK$6:$DK$18,DA78,'Safety parameters'!$DL$6:$DL$18,2)+SUMIFS('Safety parameters'!$DO$6:$DO$18,'Safety parameters'!$DK$6:$DK$18,DB78,'Safety parameters'!$DL$6:$DL$18,2))</f>
        <v>-1.5970841976847864E-3</v>
      </c>
      <c r="DX78" s="61" t="str">
        <v>cabozantinib</v>
      </c>
      <c r="DY78" s="61" t="s">
        <v>794</v>
      </c>
      <c r="DZ78" s="920" cm="1">
        <f t="array" aca="1" ref="DZ78" ca="1">SUMPRODUCT(($CX$11:$CX$779=DY78)*($CY$11:$CY$779=DX78),$DH$11:$DH$779,$DM$11:$DM$779)</f>
        <v>50797.532217307962</v>
      </c>
      <c r="EA78" s="920" cm="1">
        <f t="array" aca="1" ref="EA78" ca="1">SUMPRODUCT(($CX$11:$CX$779=DY78)*($CY$11:$CY$779=DX78),$DH$11:$DH$779,$DR$11:$DR$779)</f>
        <v>5888.8635141016002</v>
      </c>
      <c r="EB78" s="920" cm="1">
        <f t="array" aca="1" ref="EB78" ca="1">SUMPRODUCT(($CX$11:$CX$779=DY78)*($CY$11:$CY$779=DX78),$DH$11:$DH$779,$DS$11:$DS$779)</f>
        <v>757.44728156704537</v>
      </c>
      <c r="EC78" s="1029" cm="1">
        <f t="array" aca="1" ref="EC78" ca="1">SUMPRODUCT(($CX$11:$CX$779=DY78)*($CY$11:$CY$779=DX78),$DH$11:$DH$779,$DT$11:$DT$779)</f>
        <v>-7.2146617637174719E-3</v>
      </c>
      <c r="ED78" s="920">
        <f t="shared" ca="1" si="45"/>
        <v>10159.506443461592</v>
      </c>
      <c r="EE78" s="920">
        <f t="shared" ca="1" si="46"/>
        <v>1177.7727028203201</v>
      </c>
      <c r="EF78" s="1238"/>
      <c r="EG78" s="1238"/>
      <c r="EH78" s="1238"/>
      <c r="EI78" s="1238"/>
      <c r="EJ78" s="1238"/>
    </row>
    <row r="79" spans="5:140" ht="15.75" x14ac:dyDescent="0.25">
      <c r="K79" s="684"/>
      <c r="L79" s="684"/>
      <c r="M79" s="684"/>
      <c r="N79" s="684"/>
      <c r="BE79" s="876" t="s">
        <v>795</v>
      </c>
      <c r="CK79" s="505" t="s">
        <v>31</v>
      </c>
      <c r="CL79" s="505">
        <v>2</v>
      </c>
      <c r="CM79" s="61" t="str" cm="1">
        <f t="array" ref="CM79:CM92">List_comparators</f>
        <v>nivolumab_monotherapy</v>
      </c>
      <c r="CN79" s="17">
        <v>0</v>
      </c>
      <c r="CO79" s="61" t="str" cm="1">
        <f t="array" ref="CO79">INDEX(List_comparators,CP79+1)</f>
        <v>nivolumab_plus_ipilimumab</v>
      </c>
      <c r="CP79" s="17">
        <v>2</v>
      </c>
      <c r="CQ79" s="603">
        <f t="shared" ca="1" si="36"/>
        <v>0</v>
      </c>
      <c r="CR79" s="603">
        <f t="shared" ca="1" si="37"/>
        <v>0</v>
      </c>
      <c r="CS79" s="669">
        <f t="shared" ref="CS79:CS91" ca="1" si="96">OFFSET($J$81,IF(CN79=999,13,CN79),CP79)</f>
        <v>0</v>
      </c>
      <c r="CT79" s="669">
        <f t="shared" ca="1" si="39"/>
        <v>0</v>
      </c>
      <c r="CU79" s="1123">
        <f>MATCH(CZ79,'Resource use and costs'!$BA$11:$BA$53,0)</f>
        <v>1</v>
      </c>
      <c r="CV79" s="1223"/>
      <c r="CW79" s="1241">
        <f t="shared" si="87"/>
        <v>1</v>
      </c>
      <c r="CX79" s="899" t="s">
        <v>764</v>
      </c>
      <c r="CY79" s="899" t="s">
        <v>585</v>
      </c>
      <c r="CZ79" s="899" t="s">
        <v>579</v>
      </c>
      <c r="DA79" s="899" t="s">
        <v>327</v>
      </c>
      <c r="DB79" s="899" t="s">
        <v>765</v>
      </c>
      <c r="DC79" s="899" cm="1">
        <f t="array" aca="1" ref="DC79" ca="1">_xlfn.IFNA(OFFSET($I$49,MATCH(CY79,$I$50:$I$63,0),MATCH(CZ79,TRANSPOSE($J$49:$W$49),0)),0)</f>
        <v>0.36970000000000003</v>
      </c>
      <c r="DD79" s="899" cm="1">
        <f t="array" aca="1" ref="DD79" ca="1">_xlfn.IFNA(OFFSET($Y$49,MATCH($CZ79,$Y$50:$Y$63,0),MATCH($DA79,TRANSPOSE($Z$49:$AM$49),0)),0)</f>
        <v>5.2400000000000002E-2</v>
      </c>
      <c r="DE79" s="899" cm="1">
        <f t="array" aca="1" ref="DE79" ca="1">_xlfn.IFNA(OFFSET($AO$49,MATCH($DA79,$AO$50:$AO$63,0),MATCH($DB79,TRANSPOSE($AP$49:$BC$49),0)),0)</f>
        <v>0.43140000000000001</v>
      </c>
      <c r="DF79" s="881">
        <f t="shared" ca="1" si="81"/>
        <v>8.357201592000001E-3</v>
      </c>
      <c r="DG79" s="910">
        <f t="shared" ca="1" si="82"/>
        <v>1</v>
      </c>
      <c r="DH79" s="881">
        <f t="shared" ca="1" si="83"/>
        <v>8.357201592000001E-3</v>
      </c>
      <c r="DI79" s="1460">
        <f t="shared" ca="1" si="40"/>
        <v>1.9555851725280002</v>
      </c>
      <c r="DJ79" s="909">
        <f>_xlfn.IFNA(INDEX('Resource use and costs'!$CQ$11:$CQ$53,MATCH($CZ79,'Resource use and costs'!$BA$11:$BA$53,0)),0)*_xlfn.IFNA(INDEX(DY$10:DY$23,MATCH($CZ79,$DX$10:$DX$23,0)),0)</f>
        <v>56693.786091428577</v>
      </c>
      <c r="DK79" s="909">
        <f>IF(dd_PartSA_2_lines = "Yes",0,_xlfn.IFNA(INDEX('Resource use and costs'!$CR$11:$CR$53,MATCH(DA79,'Resource use and costs'!$BA$11:$BA$53,0)),0)*_xlfn.IFNA(INDEX(EA$10:EA$23,MATCH($DA79,$DX$10:$DX$23,0)),0))</f>
        <v>21421.066008214286</v>
      </c>
      <c r="DL79" s="909">
        <f>IF(dd_PartSA_2_lines = "Yes",0,_xlfn.IFNA(INDEX('Resource use and costs'!$CS$11:$CS$53,MATCH(DB79,'Resource use and costs'!$BA$11:$BA$53,0)),0)*_xlfn.IFNA(INDEX(EC$10:EC$23,MATCH($DB79,$DX$10:$DX$23,0)),0))</f>
        <v>0</v>
      </c>
      <c r="DM79" s="909">
        <f t="shared" si="88"/>
        <v>78114.852099642856</v>
      </c>
      <c r="DN79" s="909">
        <f>SUM(_xlfn.IFNA(INDEX('Resource use and costs'!$DU$12:$DU$25,MATCH(CZ79,'Resource use and costs'!$DS$12:$DS$25,0)),0),_xlfn.IFNA(INDEX('Resource use and costs'!$DU$12:$DU$25,MATCH(DA79,'Resource use and costs'!$DS$12:$DS$25,0)),0),_xlfn.IFNA(INDEX('Resource use and costs'!$DU$12:$DU$25,MATCH(DB79,'Resource use and costs'!$DS$12:$DS$25,0)),0))</f>
        <v>197.25</v>
      </c>
      <c r="DO79" s="921">
        <f>_xlfn.IFNA(INDEX('Resource use and costs'!$DY$12:$DY$25,MATCH(CZ79,'Resource use and costs'!$DS$12:$DS$25,0)),0)*_xlfn.IFNA(INDEX(DY$10:DY$23,MATCH($CZ79,$DX$10:$DX$23,0)),0)</f>
        <v>8939.6605049142872</v>
      </c>
      <c r="DP79" s="921">
        <f>IF(dd_PartSA_2_lines = "Yes",0,_xlfn.IFNA(INDEX('Resource use and costs'!$DZ$12:$DZ$25,MATCH(DA79,'Resource use and costs'!$DS$12:$DS$25,0)),0)*_xlfn.IFNA(INDEX(EA$10:EA$23,MATCH($DA79,$DX$10:$DX$23,0)),0))</f>
        <v>267.99172714285714</v>
      </c>
      <c r="DQ79" s="921">
        <f>IF(dd_PartSA_2_lines = "Yes",0,_xlfn.IFNA(INDEX('Resource use and costs'!$EA$12:$EA$25,MATCH(DB79,'Resource use and costs'!$DS$12:$DS$25,0)),0)*_xlfn.IFNA(INDEX(EC$10:EC$23,MATCH($DB79,$DX$10:$DX$23,0)),0))</f>
        <v>0</v>
      </c>
      <c r="DR79" s="921">
        <f t="shared" si="89"/>
        <v>9404.9022320571439</v>
      </c>
      <c r="DS79" s="1004">
        <f ca="1">SUMIFS('Safety parameters'!$DM$6:$DM$18,'Safety parameters'!$DK$6:$DK$18,CZ79,'Safety parameters'!$DL$6:$DL$18,1)+IF(dd_PartSA_2_lines = "Yes",0,SUMIFS('Safety parameters'!$DM$6:$DM$18,'Safety parameters'!$DK$6:$DK$18,DA79,'Safety parameters'!$DL$6:$DL$18,2)+SUMIFS('Safety parameters'!$DM$6:$DM$18,'Safety parameters'!$DK$6:$DK$18,DB79,'Safety parameters'!$DL$6:$DL$18,2))</f>
        <v>1634.2286735654598</v>
      </c>
      <c r="DT79" s="910">
        <f ca="1">SUMIFS('Safety parameters'!$DO$6:$DO$18,'Safety parameters'!$DK$6:$DK$18,CZ79,'Safety parameters'!$DL$6:$DL$18,1)+IF(dd_PartSA_2_lines = "Yes",0,SUMIFS('Safety parameters'!$DO$6:$DO$18,'Safety parameters'!$DK$6:$DK$18,DA79,'Safety parameters'!$DL$6:$DL$18,2)+SUMIFS('Safety parameters'!$DO$6:$DO$18,'Safety parameters'!$DK$6:$DK$18,DB79,'Safety parameters'!$DL$6:$DL$18,2))</f>
        <v>-1.4741924007481429E-2</v>
      </c>
      <c r="DX79" s="61" t="str">
        <v>lenvatinib_plus_everolimus</v>
      </c>
      <c r="DY79" s="61" t="s">
        <v>794</v>
      </c>
      <c r="DZ79" s="920" cm="1">
        <f t="array" aca="1" ref="DZ79" ca="1">SUMPRODUCT(($CX$11:$CX$779=DY79)*($CY$11:$CY$779=DX79),$DH$11:$DH$779,$DM$11:$DM$779)</f>
        <v>0</v>
      </c>
      <c r="EA79" s="920" cm="1">
        <f t="array" aca="1" ref="EA79" ca="1">SUMPRODUCT(($CX$11:$CX$779=DY79)*($CY$11:$CY$779=DX79),$DH$11:$DH$779,$DR$11:$DR$779)</f>
        <v>0</v>
      </c>
      <c r="EB79" s="920" cm="1">
        <f t="array" aca="1" ref="EB79" ca="1">SUMPRODUCT(($CX$11:$CX$779=DY79)*($CY$11:$CY$779=DX79),$DH$11:$DH$779,$DS$11:$DS$779)</f>
        <v>0</v>
      </c>
      <c r="EC79" s="1029" cm="1">
        <f t="array" aca="1" ref="EC79" ca="1">SUMPRODUCT(($CX$11:$CX$779=DY79)*($CY$11:$CY$779=DX79),$DH$11:$DH$779,$DT$11:$DT$779)</f>
        <v>0</v>
      </c>
      <c r="ED79" s="920">
        <f t="shared" ca="1" si="45"/>
        <v>0</v>
      </c>
      <c r="EE79" s="920">
        <f t="shared" ca="1" si="46"/>
        <v>0</v>
      </c>
      <c r="EF79" s="1238"/>
      <c r="EG79" s="1238"/>
      <c r="EH79" s="1238"/>
      <c r="EI79" s="1238"/>
      <c r="EJ79" s="1238"/>
    </row>
    <row r="80" spans="5:140" ht="15" x14ac:dyDescent="0.2">
      <c r="I80" s="4" t="s">
        <v>796</v>
      </c>
      <c r="K80" s="684"/>
      <c r="L80" s="684"/>
      <c r="M80" s="684"/>
      <c r="N80" s="684"/>
      <c r="Y80" s="4" t="s">
        <v>796</v>
      </c>
      <c r="AO80" s="4" t="s">
        <v>796</v>
      </c>
      <c r="CK80" s="61" t="s">
        <v>31</v>
      </c>
      <c r="CL80" s="61">
        <v>2</v>
      </c>
      <c r="CM80" s="61" t="str">
        <v>cabozantinib_plus_nivolumab</v>
      </c>
      <c r="CN80" s="17">
        <v>1</v>
      </c>
      <c r="CO80" s="61" t="str" cm="1">
        <f t="array" ref="CO80">INDEX(List_comparators,CP79+1)</f>
        <v>nivolumab_plus_ipilimumab</v>
      </c>
      <c r="CP80" s="17">
        <v>2</v>
      </c>
      <c r="CQ80" s="601">
        <f t="shared" ca="1" si="36"/>
        <v>0</v>
      </c>
      <c r="CR80" s="601">
        <f t="shared" ca="1" si="37"/>
        <v>0</v>
      </c>
      <c r="CS80" s="669">
        <f t="shared" ca="1" si="96"/>
        <v>0</v>
      </c>
      <c r="CT80" s="669">
        <f t="shared" ca="1" si="39"/>
        <v>0</v>
      </c>
      <c r="CU80" s="1123">
        <f>MATCH(CZ80,'Resource use and costs'!$BA$11:$BA$53,0)</f>
        <v>1</v>
      </c>
      <c r="CV80" s="1223"/>
      <c r="CW80" s="1241">
        <f t="shared" si="87"/>
        <v>1</v>
      </c>
      <c r="CX80" s="899" t="s">
        <v>764</v>
      </c>
      <c r="CY80" s="899" t="s">
        <v>585</v>
      </c>
      <c r="CZ80" s="899" t="s">
        <v>579</v>
      </c>
      <c r="DA80" s="899" t="s">
        <v>327</v>
      </c>
      <c r="DB80" s="899" t="s">
        <v>119</v>
      </c>
      <c r="DC80" s="899" cm="1">
        <f t="array" aca="1" ref="DC80" ca="1">_xlfn.IFNA(OFFSET($I$49,MATCH(CY80,$I$50:$I$63,0),MATCH(CZ80,TRANSPOSE($J$49:$W$49),0)),0)</f>
        <v>0.36970000000000003</v>
      </c>
      <c r="DD80" s="899" cm="1">
        <f t="array" aca="1" ref="DD80" ca="1">_xlfn.IFNA(OFFSET($Y$49,MATCH($CZ80,$Y$50:$Y$63,0),MATCH($DA80,TRANSPOSE($Z$49:$AM$49),0)),0)</f>
        <v>5.2400000000000002E-2</v>
      </c>
      <c r="DE80" s="899" cm="1">
        <f t="array" aca="1" ref="DE80" ca="1">_xlfn.IFNA(OFFSET($AO$49,MATCH($DA80,$AO$50:$AO$63,0),MATCH($DB80,TRANSPOSE($AP$49:$BC$49),0)),0)</f>
        <v>0.56859999999999999</v>
      </c>
      <c r="DF80" s="881">
        <f t="shared" ca="1" si="81"/>
        <v>1.1015078408000001E-2</v>
      </c>
      <c r="DG80" s="910">
        <f t="shared" ca="1" si="82"/>
        <v>1</v>
      </c>
      <c r="DH80" s="881">
        <f t="shared" ca="1" si="83"/>
        <v>1.1015078408000001E-2</v>
      </c>
      <c r="DI80" s="1460">
        <f t="shared" ca="1" si="40"/>
        <v>2.5775283474720001</v>
      </c>
      <c r="DJ80" s="909">
        <f>_xlfn.IFNA(INDEX('Resource use and costs'!$CQ$11:$CQ$53,MATCH($CZ80,'Resource use and costs'!$BA$11:$BA$53,0)),0)*_xlfn.IFNA(INDEX(DY$10:DY$23,MATCH($CZ80,$DX$10:$DX$23,0)),0)</f>
        <v>56693.786091428577</v>
      </c>
      <c r="DK80" s="909">
        <f>IF(dd_PartSA_2_lines = "Yes",0,_xlfn.IFNA(INDEX('Resource use and costs'!$CR$11:$CR$53,MATCH(DA80,'Resource use and costs'!$BA$11:$BA$53,0)),0)*_xlfn.IFNA(INDEX(EA$10:EA$23,MATCH($DA80,$DX$10:$DX$23,0)),0))</f>
        <v>21421.066008214286</v>
      </c>
      <c r="DL80" s="909">
        <f>IF(dd_PartSA_2_lines = "Yes",0,_xlfn.IFNA(INDEX('Resource use and costs'!$CS$11:$CS$53,MATCH(DB80,'Resource use and costs'!$BA$11:$BA$53,0)),0)*_xlfn.IFNA(INDEX(EC$10:EC$23,MATCH($DB80,$DX$10:$DX$23,0)),0))</f>
        <v>2915.4763433333328</v>
      </c>
      <c r="DM80" s="909">
        <f t="shared" si="88"/>
        <v>81030.328442976184</v>
      </c>
      <c r="DN80" s="909">
        <f>SUM(_xlfn.IFNA(INDEX('Resource use and costs'!$DU$12:$DU$25,MATCH(CZ80,'Resource use and costs'!$DS$12:$DS$25,0)),0),_xlfn.IFNA(INDEX('Resource use and costs'!$DU$12:$DU$25,MATCH(DA80,'Resource use and costs'!$DS$12:$DS$25,0)),0),_xlfn.IFNA(INDEX('Resource use and costs'!$DU$12:$DU$25,MATCH(DB80,'Resource use and costs'!$DS$12:$DS$25,0)),0))</f>
        <v>394.5</v>
      </c>
      <c r="DO80" s="921">
        <f>_xlfn.IFNA(INDEX('Resource use and costs'!$DY$12:$DY$25,MATCH(CZ80,'Resource use and costs'!$DS$12:$DS$25,0)),0)*_xlfn.IFNA(INDEX(DY$10:DY$23,MATCH($CZ80,$DX$10:$DX$23,0)),0)</f>
        <v>8939.6605049142872</v>
      </c>
      <c r="DP80" s="921">
        <f>IF(dd_PartSA_2_lines = "Yes",0,_xlfn.IFNA(INDEX('Resource use and costs'!$DZ$12:$DZ$25,MATCH(DA80,'Resource use and costs'!$DS$12:$DS$25,0)),0)*_xlfn.IFNA(INDEX(EA$10:EA$23,MATCH($DA80,$DX$10:$DX$23,0)),0))</f>
        <v>267.99172714285714</v>
      </c>
      <c r="DQ80" s="921">
        <f>IF(dd_PartSA_2_lines = "Yes",0,_xlfn.IFNA(INDEX('Resource use and costs'!$EA$12:$EA$25,MATCH(DB80,'Resource use and costs'!$DS$12:$DS$25,0)),0)*_xlfn.IFNA(INDEX(EC$10:EC$23,MATCH($DB80,$DX$10:$DX$23,0)),0))</f>
        <v>256.11457142857142</v>
      </c>
      <c r="DR80" s="921">
        <f t="shared" si="89"/>
        <v>9858.2668034857161</v>
      </c>
      <c r="DS80" s="1004">
        <f ca="1">SUMIFS('Safety parameters'!$DM$6:$DM$18,'Safety parameters'!$DK$6:$DK$18,CZ80,'Safety parameters'!$DL$6:$DL$18,1)+IF(dd_PartSA_2_lines = "Yes",0,SUMIFS('Safety parameters'!$DM$6:$DM$18,'Safety parameters'!$DK$6:$DK$18,DA80,'Safety parameters'!$DL$6:$DL$18,2)+SUMIFS('Safety parameters'!$DM$6:$DM$18,'Safety parameters'!$DK$6:$DK$18,DB80,'Safety parameters'!$DL$6:$DL$18,2))</f>
        <v>1967.1040569407746</v>
      </c>
      <c r="DT80" s="910">
        <f ca="1">SUMIFS('Safety parameters'!$DO$6:$DO$18,'Safety parameters'!$DK$6:$DK$18,CZ80,'Safety parameters'!$DL$6:$DL$18,1)+IF(dd_PartSA_2_lines = "Yes",0,SUMIFS('Safety parameters'!$DO$6:$DO$18,'Safety parameters'!$DK$6:$DK$18,DA80,'Safety parameters'!$DL$6:$DL$18,2)+SUMIFS('Safety parameters'!$DO$6:$DO$18,'Safety parameters'!$DK$6:$DK$18,DB80,'Safety parameters'!$DL$6:$DL$18,2))</f>
        <v>-1.7409497544119149E-2</v>
      </c>
      <c r="DX80" s="61" t="str">
        <v>everolimus</v>
      </c>
      <c r="DY80" s="61" t="s">
        <v>794</v>
      </c>
      <c r="DZ80" s="920" cm="1">
        <f t="array" aca="1" ref="DZ80" ca="1">SUMPRODUCT(($CX$11:$CX$779=DY80)*($CY$11:$CY$779=DX80),$DH$11:$DH$779,$DM$11:$DM$779)</f>
        <v>0</v>
      </c>
      <c r="EA80" s="920" cm="1">
        <f t="array" aca="1" ref="EA80" ca="1">SUMPRODUCT(($CX$11:$CX$779=DY80)*($CY$11:$CY$779=DX80),$DH$11:$DH$779,$DR$11:$DR$779)</f>
        <v>0</v>
      </c>
      <c r="EB80" s="920" cm="1">
        <f t="array" aca="1" ref="EB80" ca="1">SUMPRODUCT(($CX$11:$CX$779=DY80)*($CY$11:$CY$779=DX80),$DH$11:$DH$779,$DS$11:$DS$779)</f>
        <v>0</v>
      </c>
      <c r="EC80" s="1029" cm="1">
        <f t="array" aca="1" ref="EC80" ca="1">SUMPRODUCT(($CX$11:$CX$779=DY80)*($CY$11:$CY$779=DX80),$DH$11:$DH$779,$DT$11:$DT$779)</f>
        <v>0</v>
      </c>
      <c r="ED80" s="920">
        <f t="shared" ca="1" si="45"/>
        <v>0</v>
      </c>
      <c r="EE80" s="920">
        <f t="shared" ca="1" si="46"/>
        <v>0</v>
      </c>
      <c r="EF80" s="1238"/>
      <c r="EG80" s="1238"/>
      <c r="EH80" s="1238"/>
      <c r="EI80" s="1238"/>
      <c r="EJ80" s="1238"/>
    </row>
    <row r="81" spans="5:140" ht="15" x14ac:dyDescent="0.2">
      <c r="E81" s="4" t="str" cm="1">
        <f t="array" ref="E81:E94">List_comparators</f>
        <v>nivolumab_monotherapy</v>
      </c>
      <c r="J81" s="1462">
        <f t="shared" ref="J81:J92" si="97">CHOOSE(i_sub_txt_prop_num,300*i_days_to_weeks,322.06*i_days_to_weeks)</f>
        <v>46.008571428571429</v>
      </c>
      <c r="K81" s="683"/>
      <c r="L81" s="683"/>
      <c r="M81" s="683"/>
      <c r="N81" s="683"/>
      <c r="O81" s="1021">
        <f t="shared" ref="O81:O92" si="98">CHOOSE(i_sub_txt_prop_num,200*i_days_to_weeks,304.55*i_days_to_weeks)</f>
        <v>43.50714285714286</v>
      </c>
      <c r="P81" s="1378">
        <f t="shared" ref="P81:P92" si="99">CHOOSE(i_sub_txt_prop_num,30,306.73*i_days_to_weeks)</f>
        <v>43.818571428571431</v>
      </c>
      <c r="Q81" s="1021">
        <f t="shared" ref="Q81:Q92" si="100">CHOOSE(i_sub_txt_prop_num,250*i_days_to_weeks,311.02*i_days_to_weeks)</f>
        <v>44.431428571428569</v>
      </c>
      <c r="R81" s="1021">
        <f t="shared" ref="R81:R92" si="101">CHOOSE(i_sub_txt_prop_num,320*i_days_to_weeks,340.4*i_days_to_weeks)</f>
        <v>48.628571428571419</v>
      </c>
      <c r="S81" s="1021">
        <f t="shared" ref="S81:S92" si="102">CHOOSE(i_sub_txt_prop_num,160*i_days_to_weeks,515.8*i_days_to_weeks)</f>
        <v>73.685714285714269</v>
      </c>
      <c r="T81" s="1417">
        <f t="shared" ref="T81:T92" si="103">CHOOSE(i_sub_txt_prop_num,110*i_days_to_weeks,110*i_days_to_weeks)</f>
        <v>15.714285714285714</v>
      </c>
      <c r="U81" s="1021">
        <f t="shared" ref="U81:U92" si="104">CHOOSE(i_sub_txt_prop_num,230*i_days_to_weeks,202.09*i_days_to_weeks)</f>
        <v>28.869999999999997</v>
      </c>
      <c r="V81" s="78"/>
      <c r="W81" s="667"/>
      <c r="Y81" s="740" t="str" cm="1">
        <f t="array" ref="Y81:Y94">List_comparators</f>
        <v>nivolumab_monotherapy</v>
      </c>
      <c r="Z81" s="1021">
        <f t="shared" ref="Z81:Z92" si="105">CHOOSE(i_sub_txt_prop_num,J81,152.74*i_days_to_weeks)</f>
        <v>21.82</v>
      </c>
      <c r="AA81" s="745"/>
      <c r="AB81" s="745"/>
      <c r="AC81" s="745"/>
      <c r="AD81" s="745"/>
      <c r="AE81" s="1021">
        <f t="shared" ref="AE81:AE92" si="106">CHOOSE(i_sub_txt_prop_num,O81,AG81)</f>
        <v>21.714285714285712</v>
      </c>
      <c r="AF81" s="1418">
        <f t="shared" ref="AF81:AF92" si="107">CHOOSE(i_sub_txt_prop_num,P81,AG81)</f>
        <v>21.714285714285712</v>
      </c>
      <c r="AG81" s="1021">
        <f t="shared" ref="AG81:AG92" si="108">CHOOSE(i_sub_txt_prop_num,Q81,152*i_days_to_weeks)</f>
        <v>21.714285714285712</v>
      </c>
      <c r="AH81" s="1021">
        <f t="shared" ref="AH81:AH92" si="109">CHOOSE(i_sub_txt_prop_num,R81,446.66*i_days_to_weeks)</f>
        <v>63.808571428571426</v>
      </c>
      <c r="AI81" s="1021">
        <f t="shared" ref="AI81:AI92" si="110">CHOOSE(i_sub_txt_prop_num,S81,231.03*i_days_to_weeks)</f>
        <v>33.004285714285714</v>
      </c>
      <c r="AJ81" s="1021">
        <f t="shared" ref="AJ81:AJ92" si="111">CHOOSE(i_sub_txt_prop_num,T81,94.83*i_days_to_weeks)</f>
        <v>13.547142857142855</v>
      </c>
      <c r="AK81" s="1021">
        <f t="shared" ref="AK81:AK92" si="112">CHOOSE(i_sub_txt_prop_num,U81,183.97*i_days_to_weeks)</f>
        <v>26.28142857142857</v>
      </c>
      <c r="AL81" s="667"/>
      <c r="AM81" s="667"/>
      <c r="AP81" s="1021">
        <f t="shared" ref="AP81:AP92" si="113">CHOOSE(i_sub_txt_prop_num,Z81,Z81)</f>
        <v>21.82</v>
      </c>
      <c r="AQ81" s="877"/>
      <c r="AR81" s="877"/>
      <c r="AS81" s="877"/>
      <c r="AT81" s="877"/>
      <c r="AU81" s="1021">
        <f t="shared" ref="AU81:AU92" si="114">CHOOSE(i_sub_txt_prop_num,AE81,AE81)</f>
        <v>21.714285714285712</v>
      </c>
      <c r="AV81" s="1418">
        <f t="shared" ref="AV81:AV92" si="115">CHOOSE(i_sub_txt_prop_num,AF81,AF81)</f>
        <v>21.714285714285712</v>
      </c>
      <c r="AW81" s="1021">
        <f t="shared" ref="AW81:AW92" si="116">CHOOSE(i_sub_txt_prop_num,AG81,AG81)</f>
        <v>21.714285714285712</v>
      </c>
      <c r="AX81" s="1021">
        <f t="shared" ref="AX81:AX92" si="117">CHOOSE(i_sub_txt_prop_num,AH81,AH81)</f>
        <v>63.808571428571426</v>
      </c>
      <c r="AY81" s="1021">
        <f t="shared" ref="AY81:AY92" si="118">CHOOSE(i_sub_txt_prop_num,AI81,AI81)</f>
        <v>33.004285714285714</v>
      </c>
      <c r="AZ81" s="1021">
        <f t="shared" ref="AZ81:AZ92" si="119">CHOOSE(i_sub_txt_prop_num,AJ81,171.56*i_days_to_weeks)</f>
        <v>24.508571428571429</v>
      </c>
      <c r="BA81" s="1021">
        <f t="shared" ref="BA81:BA92" si="120">CHOOSE(i_sub_txt_prop_num,AK81,156.5*i_days_to_weeks)</f>
        <v>22.357142857142858</v>
      </c>
      <c r="BB81" s="667"/>
      <c r="BC81" s="667"/>
      <c r="BE81" s="4" t="s">
        <v>797</v>
      </c>
      <c r="CK81" s="61" t="s">
        <v>31</v>
      </c>
      <c r="CL81" s="61">
        <v>2</v>
      </c>
      <c r="CM81" s="61" t="str">
        <v>nivolumab_plus_ipilimumab</v>
      </c>
      <c r="CN81" s="17">
        <v>2</v>
      </c>
      <c r="CO81" s="61" t="str" cm="1">
        <f t="array" ref="CO81">INDEX(List_comparators,CP80+1)</f>
        <v>nivolumab_plus_ipilimumab</v>
      </c>
      <c r="CP81" s="17">
        <v>2</v>
      </c>
      <c r="CQ81" s="601">
        <f t="shared" ca="1" si="36"/>
        <v>0</v>
      </c>
      <c r="CR81" s="601">
        <f t="shared" ca="1" si="37"/>
        <v>0</v>
      </c>
      <c r="CS81" s="669">
        <f t="shared" ca="1" si="96"/>
        <v>0</v>
      </c>
      <c r="CT81" s="669">
        <f t="shared" ca="1" si="39"/>
        <v>0</v>
      </c>
      <c r="CU81" s="1123">
        <f>MATCH(CZ81,'Resource use and costs'!$BA$11:$BA$53,0)</f>
        <v>1</v>
      </c>
      <c r="CV81" s="1223"/>
      <c r="CW81" s="1241">
        <f t="shared" si="87"/>
        <v>1</v>
      </c>
      <c r="CX81" s="899" t="s">
        <v>764</v>
      </c>
      <c r="CY81" s="899" t="s">
        <v>585</v>
      </c>
      <c r="CZ81" s="899" t="s">
        <v>579</v>
      </c>
      <c r="DA81" s="899" t="s">
        <v>765</v>
      </c>
      <c r="DB81" s="899"/>
      <c r="DC81" s="899" cm="1">
        <f t="array" aca="1" ref="DC81" ca="1">_xlfn.IFNA(OFFSET($I$49,MATCH(CY81,$I$50:$I$63,0),MATCH(CZ81,TRANSPOSE($J$49:$W$49),0)),0)</f>
        <v>0.36970000000000003</v>
      </c>
      <c r="DD81" s="899" cm="1">
        <f t="array" aca="1" ref="DD81" ca="1">_xlfn.IFNA(OFFSET($Y$49,MATCH($CZ81,$Y$50:$Y$63,0),MATCH($DA81,TRANSPOSE($Z$49:$AM$49),0)),0)</f>
        <v>0.3453</v>
      </c>
      <c r="DE81" s="899" cm="1">
        <f t="array" aca="1" ref="DE81" ca="1">_xlfn.IFNA(OFFSET($AO$49,MATCH($DA81,$AO$50:$AO$63,0),MATCH($DB81,TRANSPOSE($AP$49:$BC$49),0)),0)</f>
        <v>0</v>
      </c>
      <c r="DF81" s="881">
        <f t="shared" ca="1" si="81"/>
        <v>0.12765741</v>
      </c>
      <c r="DG81" s="910">
        <f t="shared" ca="1" si="82"/>
        <v>1</v>
      </c>
      <c r="DH81" s="881">
        <f t="shared" ca="1" si="83"/>
        <v>0.12765741</v>
      </c>
      <c r="DI81" s="1460">
        <f t="shared" ca="1" si="40"/>
        <v>29.871833939999998</v>
      </c>
      <c r="DJ81" s="909">
        <f>_xlfn.IFNA(INDEX('Resource use and costs'!$CQ$11:$CQ$53,MATCH($CZ81,'Resource use and costs'!$BA$11:$BA$53,0)),0)*_xlfn.IFNA(INDEX(DY$10:DY$23,MATCH($CZ81,$DX$10:$DX$23,0)),0)</f>
        <v>56693.786091428577</v>
      </c>
      <c r="DK81" s="909">
        <f>IF(dd_PartSA_2_lines = "Yes",0,_xlfn.IFNA(INDEX('Resource use and costs'!$CR$11:$CR$53,MATCH(DA81,'Resource use and costs'!$BA$11:$BA$53,0)),0)*_xlfn.IFNA(INDEX(EA$10:EA$23,MATCH($DA81,$DX$10:$DX$23,0)),0))</f>
        <v>0</v>
      </c>
      <c r="DL81" s="909">
        <f>IF(dd_PartSA_2_lines = "Yes",0,_xlfn.IFNA(INDEX('Resource use and costs'!$CS$11:$CS$53,MATCH(DB81,'Resource use and costs'!$BA$11:$BA$53,0)),0)*_xlfn.IFNA(INDEX(EC$10:EC$23,MATCH($DB81,$DX$10:$DX$23,0)),0))</f>
        <v>0</v>
      </c>
      <c r="DM81" s="909">
        <f t="shared" si="88"/>
        <v>56693.786091428577</v>
      </c>
      <c r="DN81" s="909">
        <f>SUM(_xlfn.IFNA(INDEX('Resource use and costs'!$DU$12:$DU$25,MATCH(CZ81,'Resource use and costs'!$DS$12:$DS$25,0)),0),_xlfn.IFNA(INDEX('Resource use and costs'!$DU$12:$DU$25,MATCH(DA81,'Resource use and costs'!$DS$12:$DS$25,0)),0),_xlfn.IFNA(INDEX('Resource use and costs'!$DU$12:$DU$25,MATCH(DB81,'Resource use and costs'!$DS$12:$DS$25,0)),0))</f>
        <v>0</v>
      </c>
      <c r="DO81" s="921">
        <f>_xlfn.IFNA(INDEX('Resource use and costs'!$DY$12:$DY$25,MATCH(CZ81,'Resource use and costs'!$DS$12:$DS$25,0)),0)*_xlfn.IFNA(INDEX(DY$10:DY$23,MATCH($CZ81,$DX$10:$DX$23,0)),0)</f>
        <v>8939.6605049142872</v>
      </c>
      <c r="DP81" s="921">
        <f>IF(dd_PartSA_2_lines = "Yes",0,_xlfn.IFNA(INDEX('Resource use and costs'!$DZ$12:$DZ$25,MATCH(DA81,'Resource use and costs'!$DS$12:$DS$25,0)),0)*_xlfn.IFNA(INDEX(EA$10:EA$23,MATCH($DA81,$DX$10:$DX$23,0)),0))</f>
        <v>0</v>
      </c>
      <c r="DQ81" s="921">
        <f>IF(dd_PartSA_2_lines = "Yes",0,_xlfn.IFNA(INDEX('Resource use and costs'!$EA$12:$EA$25,MATCH(DB81,'Resource use and costs'!$DS$12:$DS$25,0)),0)*_xlfn.IFNA(INDEX(EC$10:EC$23,MATCH($DB81,$DX$10:$DX$23,0)),0))</f>
        <v>0</v>
      </c>
      <c r="DR81" s="921">
        <f t="shared" si="89"/>
        <v>8939.6605049142872</v>
      </c>
      <c r="DS81" s="1004">
        <f>SUMIFS('Safety parameters'!$DM$6:$DM$18,'Safety parameters'!$DK$6:$DK$18,CZ81,'Safety parameters'!$DL$6:$DL$18,1)+IF(dd_PartSA_2_lines = "Yes",0,SUMIFS('Safety parameters'!$DM$6:$DM$18,'Safety parameters'!$DK$6:$DK$18,DA81,'Safety parameters'!$DL$6:$DL$18,2)+SUMIFS('Safety parameters'!$DM$6:$DM$18,'Safety parameters'!$DK$6:$DK$18,DB81,'Safety parameters'!$DL$6:$DL$18,2))</f>
        <v>0</v>
      </c>
      <c r="DT81" s="910">
        <f>SUMIFS('Safety parameters'!$DO$6:$DO$18,'Safety parameters'!$DK$6:$DK$18,CZ81,'Safety parameters'!$DL$6:$DL$18,1)+IF(dd_PartSA_2_lines = "Yes",0,SUMIFS('Safety parameters'!$DO$6:$DO$18,'Safety parameters'!$DK$6:$DK$18,DA81,'Safety parameters'!$DL$6:$DL$18,2)+SUMIFS('Safety parameters'!$DO$6:$DO$18,'Safety parameters'!$DK$6:$DK$18,DB81,'Safety parameters'!$DL$6:$DL$18,2))</f>
        <v>0</v>
      </c>
      <c r="DX81" s="61" t="str">
        <v>axitinib</v>
      </c>
      <c r="DY81" s="61" t="s">
        <v>794</v>
      </c>
      <c r="DZ81" s="920" cm="1">
        <f t="array" aca="1" ref="DZ81" ca="1">SUMPRODUCT(($CX$11:$CX$779=DY81)*($CY$11:$CY$779=DX81),$DH$11:$DH$779,$DM$11:$DM$779)</f>
        <v>0</v>
      </c>
      <c r="EA81" s="920" cm="1">
        <f t="array" aca="1" ref="EA81" ca="1">SUMPRODUCT(($CX$11:$CX$779=DY81)*($CY$11:$CY$779=DX81),$DH$11:$DH$779,$DR$11:$DR$779)</f>
        <v>0</v>
      </c>
      <c r="EB81" s="920" cm="1">
        <f t="array" aca="1" ref="EB81" ca="1">SUMPRODUCT(($CX$11:$CX$779=DY81)*($CY$11:$CY$779=DX81),$DH$11:$DH$779,$DS$11:$DS$779)</f>
        <v>0</v>
      </c>
      <c r="EC81" s="1029" cm="1">
        <f t="array" aca="1" ref="EC81" ca="1">SUMPRODUCT(($CX$11:$CX$779=DY81)*($CY$11:$CY$779=DX81),$DH$11:$DH$779,$DT$11:$DT$779)</f>
        <v>0</v>
      </c>
      <c r="ED81" s="920">
        <f t="shared" ca="1" si="45"/>
        <v>0</v>
      </c>
      <c r="EE81" s="920">
        <f t="shared" ca="1" si="46"/>
        <v>0</v>
      </c>
      <c r="EF81" s="1238"/>
      <c r="EG81" s="1238"/>
      <c r="EH81" s="1238"/>
      <c r="EI81" s="1238"/>
      <c r="EJ81" s="1238"/>
    </row>
    <row r="82" spans="5:140" ht="15" x14ac:dyDescent="0.2">
      <c r="E82" s="4" t="str">
        <v>cabozantinib_plus_nivolumab</v>
      </c>
      <c r="J82" s="1462">
        <f t="shared" si="97"/>
        <v>46.008571428571429</v>
      </c>
      <c r="K82" s="683"/>
      <c r="L82" s="683"/>
      <c r="M82" s="683"/>
      <c r="N82" s="683"/>
      <c r="O82" s="1021">
        <f t="shared" si="98"/>
        <v>43.50714285714286</v>
      </c>
      <c r="P82" s="1378">
        <f t="shared" si="99"/>
        <v>43.818571428571431</v>
      </c>
      <c r="Q82" s="1021">
        <f t="shared" si="100"/>
        <v>44.431428571428569</v>
      </c>
      <c r="R82" s="1021">
        <f t="shared" si="101"/>
        <v>48.628571428571419</v>
      </c>
      <c r="S82" s="1021">
        <f t="shared" si="102"/>
        <v>73.685714285714269</v>
      </c>
      <c r="T82" s="1417">
        <f t="shared" si="103"/>
        <v>15.714285714285714</v>
      </c>
      <c r="U82" s="1021">
        <f t="shared" si="104"/>
        <v>28.869999999999997</v>
      </c>
      <c r="V82" s="911"/>
      <c r="W82" s="667"/>
      <c r="Y82" s="740" t="str">
        <v>cabozantinib_plus_nivolumab</v>
      </c>
      <c r="Z82" s="1021">
        <f t="shared" si="105"/>
        <v>21.82</v>
      </c>
      <c r="AA82" s="745"/>
      <c r="AB82" s="745"/>
      <c r="AC82" s="745"/>
      <c r="AD82" s="745"/>
      <c r="AE82" s="1021">
        <f t="shared" si="106"/>
        <v>21.714285714285712</v>
      </c>
      <c r="AF82" s="1418">
        <f t="shared" si="107"/>
        <v>21.714285714285712</v>
      </c>
      <c r="AG82" s="1021">
        <f t="shared" si="108"/>
        <v>21.714285714285712</v>
      </c>
      <c r="AH82" s="1021">
        <f t="shared" si="109"/>
        <v>63.808571428571426</v>
      </c>
      <c r="AI82" s="1021">
        <f t="shared" si="110"/>
        <v>33.004285714285714</v>
      </c>
      <c r="AJ82" s="1021">
        <f t="shared" si="111"/>
        <v>13.547142857142855</v>
      </c>
      <c r="AK82" s="1021">
        <f t="shared" si="112"/>
        <v>26.28142857142857</v>
      </c>
      <c r="AL82" s="667"/>
      <c r="AM82" s="667"/>
      <c r="AP82" s="1021">
        <f t="shared" si="113"/>
        <v>21.82</v>
      </c>
      <c r="AQ82" s="877"/>
      <c r="AR82" s="877"/>
      <c r="AS82" s="877"/>
      <c r="AT82" s="877"/>
      <c r="AU82" s="1021">
        <f t="shared" si="114"/>
        <v>21.714285714285712</v>
      </c>
      <c r="AV82" s="1418">
        <f t="shared" si="115"/>
        <v>21.714285714285712</v>
      </c>
      <c r="AW82" s="1021">
        <f t="shared" si="116"/>
        <v>21.714285714285712</v>
      </c>
      <c r="AX82" s="1021">
        <f t="shared" si="117"/>
        <v>63.808571428571426</v>
      </c>
      <c r="AY82" s="1021">
        <f t="shared" si="118"/>
        <v>33.004285714285714</v>
      </c>
      <c r="AZ82" s="1021">
        <f t="shared" si="119"/>
        <v>24.508571428571429</v>
      </c>
      <c r="BA82" s="1021">
        <f t="shared" si="120"/>
        <v>22.357142857142858</v>
      </c>
      <c r="BB82" s="667"/>
      <c r="BC82" s="747"/>
      <c r="BE82" s="4" t="s">
        <v>798</v>
      </c>
      <c r="CK82" s="61" t="s">
        <v>31</v>
      </c>
      <c r="CL82" s="61">
        <v>2</v>
      </c>
      <c r="CM82" s="61" t="str">
        <v>lenvatinib_plus_pembrolizumab</v>
      </c>
      <c r="CN82" s="17">
        <v>3</v>
      </c>
      <c r="CO82" s="61" t="str" cm="1">
        <f t="array" ref="CO82">INDEX(List_comparators,CP81+1)</f>
        <v>nivolumab_plus_ipilimumab</v>
      </c>
      <c r="CP82" s="17">
        <v>2</v>
      </c>
      <c r="CQ82" s="601">
        <f t="shared" ca="1" si="36"/>
        <v>0</v>
      </c>
      <c r="CR82" s="601">
        <f t="shared" ca="1" si="37"/>
        <v>0</v>
      </c>
      <c r="CS82" s="669">
        <f t="shared" ca="1" si="96"/>
        <v>0</v>
      </c>
      <c r="CT82" s="669">
        <f t="shared" ca="1" si="39"/>
        <v>0</v>
      </c>
      <c r="CU82" s="1123">
        <f>MATCH(CZ82,'Resource use and costs'!$BA$11:$BA$53,0)</f>
        <v>1</v>
      </c>
      <c r="CV82" s="1223"/>
      <c r="CW82" s="1241">
        <f t="shared" si="87"/>
        <v>1</v>
      </c>
      <c r="CX82" s="899" t="s">
        <v>764</v>
      </c>
      <c r="CY82" s="899" t="s">
        <v>585</v>
      </c>
      <c r="CZ82" s="899" t="s">
        <v>579</v>
      </c>
      <c r="DA82" s="899" t="s">
        <v>118</v>
      </c>
      <c r="DB82" s="899" t="s">
        <v>327</v>
      </c>
      <c r="DC82" s="899" cm="1">
        <f t="array" aca="1" ref="DC82" ca="1">_xlfn.IFNA(OFFSET($I$49,MATCH(CY82,$I$50:$I$63,0),MATCH(CZ82,TRANSPOSE($J$49:$W$49),0)),0)</f>
        <v>0.36970000000000003</v>
      </c>
      <c r="DD82" s="899">
        <f ca="1">1-DD79-DD81-DD85-DD87</f>
        <v>0.54340000000000011</v>
      </c>
      <c r="DE82" s="899" cm="1">
        <f t="array" aca="1" ref="DE82" ca="1">_xlfn.IFNA(OFFSET($AO$49,MATCH($DA82,$AO$50:$AO$63,0),MATCH($DB82,TRANSPOSE($AP$49:$BC$49),0)),0)</f>
        <v>0.38769999999999999</v>
      </c>
      <c r="DF82" s="881">
        <f t="shared" ca="1" si="81"/>
        <v>7.7886983746000019E-2</v>
      </c>
      <c r="DG82" s="910">
        <f t="shared" ca="1" si="82"/>
        <v>1</v>
      </c>
      <c r="DH82" s="881">
        <f t="shared" ca="1" si="83"/>
        <v>7.7886983746000019E-2</v>
      </c>
      <c r="DI82" s="1460">
        <f t="shared" ca="1" si="40"/>
        <v>18.225554196564005</v>
      </c>
      <c r="DJ82" s="909">
        <f>_xlfn.IFNA(INDEX('Resource use and costs'!$CQ$11:$CQ$53,MATCH($CZ82,'Resource use and costs'!$BA$11:$BA$53,0)),0)*_xlfn.IFNA(INDEX(DY$10:DY$23,MATCH($CZ82,$DX$10:$DX$23,0)),0)</f>
        <v>56693.786091428577</v>
      </c>
      <c r="DK82" s="909">
        <f>IF(dd_PartSA_2_lines = "Yes",0,_xlfn.IFNA(INDEX('Resource use and costs'!$CR$11:$CR$53,MATCH(DA82,'Resource use and costs'!$BA$11:$BA$53,0)),0)*_xlfn.IFNA(INDEX(EA$10:EA$23,MATCH($DA82,$DX$10:$DX$23,0)),0))</f>
        <v>50308.075122000002</v>
      </c>
      <c r="DL82" s="909">
        <f>IF(dd_PartSA_2_lines = "Yes",0,_xlfn.IFNA(INDEX('Resource use and costs'!$CS$11:$CS$53,MATCH(DB82,'Resource use and costs'!$BA$11:$BA$53,0)),0)*_xlfn.IFNA(INDEX(EC$10:EC$23,MATCH($DB82,$DX$10:$DX$23,0)),0))</f>
        <v>18438.751749999999</v>
      </c>
      <c r="DM82" s="909">
        <f t="shared" si="88"/>
        <v>125440.61296342858</v>
      </c>
      <c r="DN82" s="909">
        <f>SUM(_xlfn.IFNA(INDEX('Resource use and costs'!$DU$12:$DU$25,MATCH(CZ82,'Resource use and costs'!$DS$12:$DS$25,0)),0),_xlfn.IFNA(INDEX('Resource use and costs'!$DU$12:$DU$25,MATCH(DA82,'Resource use and costs'!$DS$12:$DS$25,0)),0),_xlfn.IFNA(INDEX('Resource use and costs'!$DU$12:$DU$25,MATCH(DB82,'Resource use and costs'!$DS$12:$DS$25,0)),0))</f>
        <v>394.5</v>
      </c>
      <c r="DO82" s="921">
        <f>_xlfn.IFNA(INDEX('Resource use and costs'!$DY$12:$DY$25,MATCH(CZ82,'Resource use and costs'!$DS$12:$DS$25,0)),0)*_xlfn.IFNA(INDEX(DY$10:DY$23,MATCH($CZ82,$DX$10:$DX$23,0)),0)</f>
        <v>8939.6605049142872</v>
      </c>
      <c r="DP82" s="921">
        <f>IF(dd_PartSA_2_lines = "Yes",0,_xlfn.IFNA(INDEX('Resource use and costs'!$DZ$12:$DZ$25,MATCH(DA82,'Resource use and costs'!$DS$12:$DS$25,0)),0)*_xlfn.IFNA(INDEX(EA$10:EA$23,MATCH($DA82,$DX$10:$DX$23,0)),0))</f>
        <v>461.1445457142857</v>
      </c>
      <c r="DQ82" s="921">
        <f>IF(dd_PartSA_2_lines = "Yes",0,_xlfn.IFNA(INDEX('Resource use and costs'!$EA$12:$EA$25,MATCH(DB82,'Resource use and costs'!$DS$12:$DS$25,0)),0)*_xlfn.IFNA(INDEX(EC$10:EC$23,MATCH($DB82,$DX$10:$DX$23,0)),0))</f>
        <v>230.68099999999998</v>
      </c>
      <c r="DR82" s="921">
        <f t="shared" si="89"/>
        <v>10025.986050628573</v>
      </c>
      <c r="DS82" s="1004">
        <f ca="1">SUMIFS('Safety parameters'!$DM$6:$DM$18,'Safety parameters'!$DK$6:$DK$18,CZ82,'Safety parameters'!$DL$6:$DL$18,1)+IF(dd_PartSA_2_lines = "Yes",0,SUMIFS('Safety parameters'!$DM$6:$DM$18,'Safety parameters'!$DK$6:$DK$18,DA82,'Safety parameters'!$DL$6:$DL$18,2)+SUMIFS('Safety parameters'!$DM$6:$DM$18,'Safety parameters'!$DK$6:$DK$18,DB82,'Safety parameters'!$DL$6:$DL$18,2))</f>
        <v>2377.8779733688434</v>
      </c>
      <c r="DT82" s="910">
        <f ca="1">SUMIFS('Safety parameters'!$DO$6:$DO$18,'Safety parameters'!$DK$6:$DK$18,CZ82,'Safety parameters'!$DL$6:$DL$18,1)+IF(dd_PartSA_2_lines = "Yes",0,SUMIFS('Safety parameters'!$DO$6:$DO$18,'Safety parameters'!$DK$6:$DK$18,DA82,'Safety parameters'!$DL$6:$DL$18,2)+SUMIFS('Safety parameters'!$DO$6:$DO$18,'Safety parameters'!$DK$6:$DK$18,DB82,'Safety parameters'!$DL$6:$DL$18,2))</f>
        <v>-2.1764250363717368E-2</v>
      </c>
      <c r="DX82" s="61" t="str">
        <v>sorafenib</v>
      </c>
      <c r="DY82" s="61" t="s">
        <v>794</v>
      </c>
      <c r="DZ82" s="920" cm="1">
        <f t="array" aca="1" ref="DZ82" ca="1">SUMPRODUCT(($CX$11:$CX$779=DY82)*($CY$11:$CY$779=DX82),$DH$11:$DH$779,$DM$11:$DM$779)</f>
        <v>0</v>
      </c>
      <c r="EA82" s="920" cm="1">
        <f t="array" aca="1" ref="EA82" ca="1">SUMPRODUCT(($CX$11:$CX$779=DY82)*($CY$11:$CY$779=DX82),$DH$11:$DH$779,$DR$11:$DR$779)</f>
        <v>0</v>
      </c>
      <c r="EB82" s="920" cm="1">
        <f t="array" aca="1" ref="EB82" ca="1">SUMPRODUCT(($CX$11:$CX$779=DY82)*($CY$11:$CY$779=DX82),$DH$11:$DH$779,$DS$11:$DS$779)</f>
        <v>0</v>
      </c>
      <c r="EC82" s="1029" cm="1">
        <f t="array" aca="1" ref="EC82" ca="1">SUMPRODUCT(($CX$11:$CX$779=DY82)*($CY$11:$CY$779=DX82),$DH$11:$DH$779,$DT$11:$DT$779)</f>
        <v>0</v>
      </c>
      <c r="ED82" s="920">
        <f t="shared" ca="1" si="45"/>
        <v>0</v>
      </c>
      <c r="EE82" s="920">
        <f t="shared" ca="1" si="46"/>
        <v>0</v>
      </c>
      <c r="EF82" s="1238"/>
      <c r="EG82" s="1238"/>
      <c r="EH82" s="1238"/>
      <c r="EI82" s="1238"/>
      <c r="EJ82" s="1238"/>
    </row>
    <row r="83" spans="5:140" ht="15" x14ac:dyDescent="0.2">
      <c r="E83" s="4" t="str">
        <v>nivolumab_plus_ipilimumab</v>
      </c>
      <c r="J83" s="1462">
        <f t="shared" si="97"/>
        <v>46.008571428571429</v>
      </c>
      <c r="K83" s="683"/>
      <c r="L83" s="683"/>
      <c r="M83" s="683"/>
      <c r="N83" s="683"/>
      <c r="O83" s="1021">
        <f t="shared" si="98"/>
        <v>43.50714285714286</v>
      </c>
      <c r="P83" s="1378">
        <f t="shared" si="99"/>
        <v>43.818571428571431</v>
      </c>
      <c r="Q83" s="1021">
        <f t="shared" si="100"/>
        <v>44.431428571428569</v>
      </c>
      <c r="R83" s="1021">
        <f t="shared" si="101"/>
        <v>48.628571428571419</v>
      </c>
      <c r="S83" s="1021">
        <f t="shared" si="102"/>
        <v>73.685714285714269</v>
      </c>
      <c r="T83" s="1417">
        <f t="shared" si="103"/>
        <v>15.714285714285714</v>
      </c>
      <c r="U83" s="1021">
        <f t="shared" si="104"/>
        <v>28.869999999999997</v>
      </c>
      <c r="V83" s="911"/>
      <c r="W83" s="667"/>
      <c r="Y83" s="740" t="str">
        <v>nivolumab_plus_ipilimumab</v>
      </c>
      <c r="Z83" s="1021">
        <f t="shared" si="105"/>
        <v>21.82</v>
      </c>
      <c r="AA83" s="745"/>
      <c r="AB83" s="745"/>
      <c r="AC83" s="745"/>
      <c r="AD83" s="745"/>
      <c r="AE83" s="1021">
        <f t="shared" si="106"/>
        <v>21.714285714285712</v>
      </c>
      <c r="AF83" s="1418">
        <f t="shared" si="107"/>
        <v>21.714285714285712</v>
      </c>
      <c r="AG83" s="1021">
        <f t="shared" si="108"/>
        <v>21.714285714285712</v>
      </c>
      <c r="AH83" s="1021">
        <f t="shared" si="109"/>
        <v>63.808571428571426</v>
      </c>
      <c r="AI83" s="1021">
        <f t="shared" si="110"/>
        <v>33.004285714285714</v>
      </c>
      <c r="AJ83" s="1021">
        <f t="shared" si="111"/>
        <v>13.547142857142855</v>
      </c>
      <c r="AK83" s="1021">
        <f t="shared" si="112"/>
        <v>26.28142857142857</v>
      </c>
      <c r="AL83" s="667"/>
      <c r="AM83" s="667"/>
      <c r="AP83" s="1021">
        <f t="shared" si="113"/>
        <v>21.82</v>
      </c>
      <c r="AQ83" s="877"/>
      <c r="AR83" s="877"/>
      <c r="AS83" s="877"/>
      <c r="AT83" s="877"/>
      <c r="AU83" s="1021">
        <f t="shared" si="114"/>
        <v>21.714285714285712</v>
      </c>
      <c r="AV83" s="1418">
        <f t="shared" si="115"/>
        <v>21.714285714285712</v>
      </c>
      <c r="AW83" s="1021">
        <f t="shared" si="116"/>
        <v>21.714285714285712</v>
      </c>
      <c r="AX83" s="1021">
        <f t="shared" si="117"/>
        <v>63.808571428571426</v>
      </c>
      <c r="AY83" s="1021">
        <f t="shared" si="118"/>
        <v>33.004285714285714</v>
      </c>
      <c r="AZ83" s="1021">
        <f t="shared" si="119"/>
        <v>24.508571428571429</v>
      </c>
      <c r="BA83" s="1021">
        <f t="shared" si="120"/>
        <v>22.357142857142858</v>
      </c>
      <c r="BB83" s="667"/>
      <c r="BC83" s="667"/>
      <c r="CK83" s="61" t="s">
        <v>31</v>
      </c>
      <c r="CL83" s="61">
        <v>2</v>
      </c>
      <c r="CM83" s="61" t="str">
        <v>avelumab_plus_axitinib</v>
      </c>
      <c r="CN83" s="17">
        <v>4</v>
      </c>
      <c r="CO83" s="61" t="str" cm="1">
        <f t="array" ref="CO83">INDEX(List_comparators,CP82+1)</f>
        <v>nivolumab_plus_ipilimumab</v>
      </c>
      <c r="CP83" s="17">
        <v>2</v>
      </c>
      <c r="CQ83" s="601">
        <f t="shared" ref="CQ83:CQ114" ca="1" si="121">OFFSET($J$50,IF(CN83=999,13,CN83),CP83)</f>
        <v>0</v>
      </c>
      <c r="CR83" s="601">
        <f t="shared" ref="CR83:CR114" ca="1" si="122">OFFSET($J$65,IF(CN83=999,13,CN83),CP83)</f>
        <v>0</v>
      </c>
      <c r="CS83" s="669">
        <f t="shared" ca="1" si="96"/>
        <v>0</v>
      </c>
      <c r="CT83" s="669">
        <f t="shared" ref="CT83:CT114" ca="1" si="123">OFFSET($J$97,IF(CN83=999,13,CN83),CP83)</f>
        <v>0</v>
      </c>
      <c r="CU83" s="1123">
        <f>MATCH(CZ83,'Resource use and costs'!$BA$11:$BA$53,0)</f>
        <v>1</v>
      </c>
      <c r="CV83" s="1223"/>
      <c r="CW83" s="1241">
        <f t="shared" si="87"/>
        <v>1</v>
      </c>
      <c r="CX83" s="899" t="s">
        <v>764</v>
      </c>
      <c r="CY83" s="899" t="s">
        <v>585</v>
      </c>
      <c r="CZ83" s="899" t="s">
        <v>579</v>
      </c>
      <c r="DA83" s="899" t="s">
        <v>118</v>
      </c>
      <c r="DB83" s="899" t="s">
        <v>765</v>
      </c>
      <c r="DC83" s="899" cm="1">
        <f t="array" aca="1" ref="DC83" ca="1">_xlfn.IFNA(OFFSET($I$49,MATCH(CY83,$I$50:$I$63,0),MATCH(CZ83,TRANSPOSE($J$49:$W$49),0)),0)</f>
        <v>0.36970000000000003</v>
      </c>
      <c r="DD83" s="899">
        <f ca="1">DD82</f>
        <v>0.54340000000000011</v>
      </c>
      <c r="DE83" s="899" cm="1">
        <f t="array" aca="1" ref="DE83" ca="1">_xlfn.IFNA(OFFSET($AO$49,MATCH($DA83,$AO$50:$AO$63,0),MATCH($DB83,TRANSPOSE($AP$49:$BC$49),0)),0)</f>
        <v>0.43140000000000001</v>
      </c>
      <c r="DF83" s="881">
        <f t="shared" ca="1" si="81"/>
        <v>8.6666094372000027E-2</v>
      </c>
      <c r="DG83" s="910">
        <f t="shared" ca="1" si="82"/>
        <v>1</v>
      </c>
      <c r="DH83" s="881">
        <f t="shared" ca="1" si="83"/>
        <v>8.6666094372000027E-2</v>
      </c>
      <c r="DI83" s="1460">
        <f t="shared" ca="1" si="40"/>
        <v>20.279866083048006</v>
      </c>
      <c r="DJ83" s="909">
        <f>_xlfn.IFNA(INDEX('Resource use and costs'!$CQ$11:$CQ$53,MATCH($CZ83,'Resource use and costs'!$BA$11:$BA$53,0)),0)*_xlfn.IFNA(INDEX(DY$10:DY$23,MATCH($CZ83,$DX$10:$DX$23,0)),0)</f>
        <v>56693.786091428577</v>
      </c>
      <c r="DK83" s="909">
        <f>IF(dd_PartSA_2_lines = "Yes",0,_xlfn.IFNA(INDEX('Resource use and costs'!$CR$11:$CR$53,MATCH(DA83,'Resource use and costs'!$BA$11:$BA$53,0)),0)*_xlfn.IFNA(INDEX(EA$10:EA$23,MATCH($DA83,$DX$10:$DX$23,0)),0))</f>
        <v>50308.075122000002</v>
      </c>
      <c r="DL83" s="909">
        <f>IF(dd_PartSA_2_lines = "Yes",0,_xlfn.IFNA(INDEX('Resource use and costs'!$CS$11:$CS$53,MATCH(DB83,'Resource use and costs'!$BA$11:$BA$53,0)),0)*_xlfn.IFNA(INDEX(EC$10:EC$23,MATCH($DB83,$DX$10:$DX$23,0)),0))</f>
        <v>0</v>
      </c>
      <c r="DM83" s="909">
        <f t="shared" si="88"/>
        <v>107001.86121342858</v>
      </c>
      <c r="DN83" s="909">
        <f>SUM(_xlfn.IFNA(INDEX('Resource use and costs'!$DU$12:$DU$25,MATCH(CZ83,'Resource use and costs'!$DS$12:$DS$25,0)),0),_xlfn.IFNA(INDEX('Resource use and costs'!$DU$12:$DU$25,MATCH(DA83,'Resource use and costs'!$DS$12:$DS$25,0)),0),_xlfn.IFNA(INDEX('Resource use and costs'!$DU$12:$DU$25,MATCH(DB83,'Resource use and costs'!$DS$12:$DS$25,0)),0))</f>
        <v>197.25</v>
      </c>
      <c r="DO83" s="921">
        <f>_xlfn.IFNA(INDEX('Resource use and costs'!$DY$12:$DY$25,MATCH(CZ83,'Resource use and costs'!$DS$12:$DS$25,0)),0)*_xlfn.IFNA(INDEX(DY$10:DY$23,MATCH($CZ83,$DX$10:$DX$23,0)),0)</f>
        <v>8939.6605049142872</v>
      </c>
      <c r="DP83" s="921">
        <f>IF(dd_PartSA_2_lines = "Yes",0,_xlfn.IFNA(INDEX('Resource use and costs'!$DZ$12:$DZ$25,MATCH(DA83,'Resource use and costs'!$DS$12:$DS$25,0)),0)*_xlfn.IFNA(INDEX(EA$10:EA$23,MATCH($DA83,$DX$10:$DX$23,0)),0))</f>
        <v>461.1445457142857</v>
      </c>
      <c r="DQ83" s="921">
        <f>IF(dd_PartSA_2_lines = "Yes",0,_xlfn.IFNA(INDEX('Resource use and costs'!$EA$12:$EA$25,MATCH(DB83,'Resource use and costs'!$DS$12:$DS$25,0)),0)*_xlfn.IFNA(INDEX(EC$10:EC$23,MATCH($DB83,$DX$10:$DX$23,0)),0))</f>
        <v>0</v>
      </c>
      <c r="DR83" s="921">
        <f t="shared" si="89"/>
        <v>9598.0550506285726</v>
      </c>
      <c r="DS83" s="1004">
        <f ca="1">SUMIFS('Safety parameters'!$DM$6:$DM$18,'Safety parameters'!$DK$6:$DK$18,CZ83,'Safety parameters'!$DL$6:$DL$18,1)+IF(dd_PartSA_2_lines = "Yes",0,SUMIFS('Safety parameters'!$DM$6:$DM$18,'Safety parameters'!$DK$6:$DK$18,DA83,'Safety parameters'!$DL$6:$DL$18,2)+SUMIFS('Safety parameters'!$DM$6:$DM$18,'Safety parameters'!$DK$6:$DK$18,DB83,'Safety parameters'!$DL$6:$DL$18,2))</f>
        <v>743.64929980338343</v>
      </c>
      <c r="DT83" s="910">
        <f ca="1">SUMIFS('Safety parameters'!$DO$6:$DO$18,'Safety parameters'!$DK$6:$DK$18,CZ83,'Safety parameters'!$DL$6:$DL$18,1)+IF(dd_PartSA_2_lines = "Yes",0,SUMIFS('Safety parameters'!$DO$6:$DO$18,'Safety parameters'!$DK$6:$DK$18,DA83,'Safety parameters'!$DL$6:$DL$18,2)+SUMIFS('Safety parameters'!$DO$6:$DO$18,'Safety parameters'!$DK$6:$DK$18,DB83,'Safety parameters'!$DL$6:$DL$18,2))</f>
        <v>-7.0223263562359372E-3</v>
      </c>
      <c r="DX83" s="61" t="str">
        <v>placebo_BSC</v>
      </c>
      <c r="DY83" s="61" t="s">
        <v>794</v>
      </c>
      <c r="DZ83" s="920" cm="1">
        <f t="array" aca="1" ref="DZ83" ca="1">SUMPRODUCT(($CX$11:$CX$779=DY83)*($CY$11:$CY$779=DX83),$DH$11:$DH$779,$DM$11:$DM$779)</f>
        <v>0</v>
      </c>
      <c r="EA83" s="920" cm="1">
        <f t="array" aca="1" ref="EA83" ca="1">SUMPRODUCT(($CX$11:$CX$779=DY83)*($CY$11:$CY$779=DX83),$DH$11:$DH$779,$DR$11:$DR$779)</f>
        <v>0</v>
      </c>
      <c r="EB83" s="920" cm="1">
        <f t="array" aca="1" ref="EB83" ca="1">SUMPRODUCT(($CX$11:$CX$779=DY83)*($CY$11:$CY$779=DX83),$DH$11:$DH$779,$DS$11:$DS$779)</f>
        <v>0</v>
      </c>
      <c r="EC83" s="1029" cm="1">
        <f t="array" aca="1" ref="EC83" ca="1">SUMPRODUCT(($CX$11:$CX$779=DY83)*($CY$11:$CY$779=DX83),$DH$11:$DH$779,$DT$11:$DT$779)</f>
        <v>0</v>
      </c>
      <c r="ED83" s="920">
        <f t="shared" ca="1" si="45"/>
        <v>0</v>
      </c>
      <c r="EE83" s="920">
        <f t="shared" ca="1" si="46"/>
        <v>0</v>
      </c>
      <c r="EF83" s="1238"/>
      <c r="EG83" s="1238"/>
      <c r="EH83" s="1238"/>
      <c r="EI83" s="1238"/>
      <c r="EJ83" s="1238"/>
    </row>
    <row r="84" spans="5:140" ht="15" x14ac:dyDescent="0.2">
      <c r="E84" s="4" t="str">
        <v>lenvatinib_plus_pembrolizumab</v>
      </c>
      <c r="J84" s="1462">
        <f t="shared" si="97"/>
        <v>46.008571428571429</v>
      </c>
      <c r="K84" s="683"/>
      <c r="L84" s="683"/>
      <c r="M84" s="683"/>
      <c r="N84" s="683"/>
      <c r="O84" s="1021">
        <f t="shared" si="98"/>
        <v>43.50714285714286</v>
      </c>
      <c r="P84" s="1378">
        <f t="shared" si="99"/>
        <v>43.818571428571431</v>
      </c>
      <c r="Q84" s="1021">
        <f t="shared" si="100"/>
        <v>44.431428571428569</v>
      </c>
      <c r="R84" s="1021">
        <f t="shared" si="101"/>
        <v>48.628571428571419</v>
      </c>
      <c r="S84" s="1021">
        <f t="shared" si="102"/>
        <v>73.685714285714269</v>
      </c>
      <c r="T84" s="1417">
        <f t="shared" si="103"/>
        <v>15.714285714285714</v>
      </c>
      <c r="U84" s="1021">
        <f t="shared" si="104"/>
        <v>28.869999999999997</v>
      </c>
      <c r="V84" s="911"/>
      <c r="W84" s="667"/>
      <c r="Y84" s="740" t="str">
        <v>lenvatinib_plus_pembrolizumab</v>
      </c>
      <c r="Z84" s="1021">
        <f t="shared" si="105"/>
        <v>21.82</v>
      </c>
      <c r="AA84" s="745"/>
      <c r="AB84" s="745"/>
      <c r="AC84" s="745"/>
      <c r="AD84" s="745"/>
      <c r="AE84" s="1021">
        <f t="shared" si="106"/>
        <v>21.714285714285712</v>
      </c>
      <c r="AF84" s="1418">
        <f t="shared" si="107"/>
        <v>21.714285714285712</v>
      </c>
      <c r="AG84" s="1021">
        <f t="shared" si="108"/>
        <v>21.714285714285712</v>
      </c>
      <c r="AH84" s="1021">
        <f t="shared" si="109"/>
        <v>63.808571428571426</v>
      </c>
      <c r="AI84" s="1021">
        <f t="shared" si="110"/>
        <v>33.004285714285714</v>
      </c>
      <c r="AJ84" s="1021">
        <f t="shared" si="111"/>
        <v>13.547142857142855</v>
      </c>
      <c r="AK84" s="1021">
        <f t="shared" si="112"/>
        <v>26.28142857142857</v>
      </c>
      <c r="AL84" s="667"/>
      <c r="AM84" s="667"/>
      <c r="AP84" s="1021">
        <f t="shared" si="113"/>
        <v>21.82</v>
      </c>
      <c r="AQ84" s="877"/>
      <c r="AR84" s="877"/>
      <c r="AS84" s="877"/>
      <c r="AT84" s="877"/>
      <c r="AU84" s="1021">
        <f t="shared" si="114"/>
        <v>21.714285714285712</v>
      </c>
      <c r="AV84" s="1418">
        <f t="shared" si="115"/>
        <v>21.714285714285712</v>
      </c>
      <c r="AW84" s="1021">
        <f t="shared" si="116"/>
        <v>21.714285714285712</v>
      </c>
      <c r="AX84" s="1021">
        <f t="shared" si="117"/>
        <v>63.808571428571426</v>
      </c>
      <c r="AY84" s="1021">
        <f t="shared" si="118"/>
        <v>33.004285714285714</v>
      </c>
      <c r="AZ84" s="1021">
        <f t="shared" si="119"/>
        <v>24.508571428571429</v>
      </c>
      <c r="BA84" s="1021">
        <f t="shared" si="120"/>
        <v>22.357142857142858</v>
      </c>
      <c r="BB84" s="667"/>
      <c r="BC84" s="667"/>
      <c r="CK84" s="61" t="s">
        <v>31</v>
      </c>
      <c r="CL84" s="61">
        <v>2</v>
      </c>
      <c r="CM84" s="61" t="str">
        <v>pazopanib</v>
      </c>
      <c r="CN84" s="17">
        <v>5</v>
      </c>
      <c r="CO84" s="61" t="str" cm="1">
        <f t="array" ref="CO84">INDEX(List_comparators,CP83+1)</f>
        <v>nivolumab_plus_ipilimumab</v>
      </c>
      <c r="CP84" s="17">
        <v>2</v>
      </c>
      <c r="CQ84" s="601">
        <f t="shared" ca="1" si="121"/>
        <v>0</v>
      </c>
      <c r="CR84" s="601">
        <f t="shared" ca="1" si="122"/>
        <v>0</v>
      </c>
      <c r="CS84" s="669">
        <f t="shared" ca="1" si="96"/>
        <v>0</v>
      </c>
      <c r="CT84" s="669">
        <f t="shared" ca="1" si="123"/>
        <v>0</v>
      </c>
      <c r="CU84" s="1123">
        <f>MATCH(CZ84,'Resource use and costs'!$BA$11:$BA$53,0)</f>
        <v>1</v>
      </c>
      <c r="CV84" s="1223"/>
      <c r="CW84" s="1241">
        <f t="shared" si="87"/>
        <v>1</v>
      </c>
      <c r="CX84" s="899" t="s">
        <v>764</v>
      </c>
      <c r="CY84" s="899" t="s">
        <v>585</v>
      </c>
      <c r="CZ84" s="899" t="s">
        <v>579</v>
      </c>
      <c r="DA84" s="899" t="s">
        <v>118</v>
      </c>
      <c r="DB84" s="899" t="s">
        <v>119</v>
      </c>
      <c r="DC84" s="899" cm="1">
        <f t="array" aca="1" ref="DC84" ca="1">_xlfn.IFNA(OFFSET($I$49,MATCH(CY84,$I$50:$I$63,0),MATCH(CZ84,TRANSPOSE($J$49:$W$49),0)),0)</f>
        <v>0.36970000000000003</v>
      </c>
      <c r="DD84" s="899">
        <f ca="1">DD83</f>
        <v>0.54340000000000011</v>
      </c>
      <c r="DE84" s="899" cm="1">
        <f t="array" aca="1" ref="DE84" ca="1">_xlfn.IFNA(OFFSET($AO$49,MATCH($DA84,$AO$50:$AO$63,0),MATCH($DB84,TRANSPOSE($AP$49:$BC$49),0)),0)</f>
        <v>0.18090000000000001</v>
      </c>
      <c r="DF84" s="881">
        <f t="shared" ca="1" si="81"/>
        <v>3.6341901882000011E-2</v>
      </c>
      <c r="DG84" s="910">
        <f t="shared" ca="1" si="82"/>
        <v>1</v>
      </c>
      <c r="DH84" s="881">
        <f t="shared" ca="1" si="83"/>
        <v>3.6341901882000011E-2</v>
      </c>
      <c r="DI84" s="1460">
        <f t="shared" ca="1" si="40"/>
        <v>8.5040050403880016</v>
      </c>
      <c r="DJ84" s="909">
        <f>_xlfn.IFNA(INDEX('Resource use and costs'!$CQ$11:$CQ$53,MATCH($CZ84,'Resource use and costs'!$BA$11:$BA$53,0)),0)*_xlfn.IFNA(INDEX(DY$10:DY$23,MATCH($CZ84,$DX$10:$DX$23,0)),0)</f>
        <v>56693.786091428577</v>
      </c>
      <c r="DK84" s="909">
        <f>IF(dd_PartSA_2_lines = "Yes",0,_xlfn.IFNA(INDEX('Resource use and costs'!$CR$11:$CR$53,MATCH(DA84,'Resource use and costs'!$BA$11:$BA$53,0)),0)*_xlfn.IFNA(INDEX(EA$10:EA$23,MATCH($DA84,$DX$10:$DX$23,0)),0))</f>
        <v>50308.075122000002</v>
      </c>
      <c r="DL84" s="909">
        <f>IF(dd_PartSA_2_lines = "Yes",0,_xlfn.IFNA(INDEX('Resource use and costs'!$CS$11:$CS$53,MATCH(DB84,'Resource use and costs'!$BA$11:$BA$53,0)),0)*_xlfn.IFNA(INDEX(EC$10:EC$23,MATCH($DB84,$DX$10:$DX$23,0)),0))</f>
        <v>2915.4763433333328</v>
      </c>
      <c r="DM84" s="909">
        <f t="shared" si="88"/>
        <v>109917.33755676191</v>
      </c>
      <c r="DN84" s="909">
        <f>SUM(_xlfn.IFNA(INDEX('Resource use and costs'!$DU$12:$DU$25,MATCH(CZ84,'Resource use and costs'!$DS$12:$DS$25,0)),0),_xlfn.IFNA(INDEX('Resource use and costs'!$DU$12:$DU$25,MATCH(DA84,'Resource use and costs'!$DS$12:$DS$25,0)),0),_xlfn.IFNA(INDEX('Resource use and costs'!$DU$12:$DU$25,MATCH(DB84,'Resource use and costs'!$DS$12:$DS$25,0)),0))</f>
        <v>394.5</v>
      </c>
      <c r="DO84" s="921">
        <f>_xlfn.IFNA(INDEX('Resource use and costs'!$DY$12:$DY$25,MATCH(CZ84,'Resource use and costs'!$DS$12:$DS$25,0)),0)*_xlfn.IFNA(INDEX(DY$10:DY$23,MATCH($CZ84,$DX$10:$DX$23,0)),0)</f>
        <v>8939.6605049142872</v>
      </c>
      <c r="DP84" s="921">
        <f>IF(dd_PartSA_2_lines = "Yes",0,_xlfn.IFNA(INDEX('Resource use and costs'!$DZ$12:$DZ$25,MATCH(DA84,'Resource use and costs'!$DS$12:$DS$25,0)),0)*_xlfn.IFNA(INDEX(EA$10:EA$23,MATCH($DA84,$DX$10:$DX$23,0)),0))</f>
        <v>461.1445457142857</v>
      </c>
      <c r="DQ84" s="921">
        <f>IF(dd_PartSA_2_lines = "Yes",0,_xlfn.IFNA(INDEX('Resource use and costs'!$EA$12:$EA$25,MATCH(DB84,'Resource use and costs'!$DS$12:$DS$25,0)),0)*_xlfn.IFNA(INDEX(EC$10:EC$23,MATCH($DB84,$DX$10:$DX$23,0)),0))</f>
        <v>256.11457142857142</v>
      </c>
      <c r="DR84" s="921">
        <f t="shared" si="89"/>
        <v>10051.419622057145</v>
      </c>
      <c r="DS84" s="1004">
        <f ca="1">SUMIFS('Safety parameters'!$DM$6:$DM$18,'Safety parameters'!$DK$6:$DK$18,CZ84,'Safety parameters'!$DL$6:$DL$18,1)+IF(dd_PartSA_2_lines = "Yes",0,SUMIFS('Safety parameters'!$DM$6:$DM$18,'Safety parameters'!$DK$6:$DK$18,DA84,'Safety parameters'!$DL$6:$DL$18,2)+SUMIFS('Safety parameters'!$DM$6:$DM$18,'Safety parameters'!$DK$6:$DK$18,DB84,'Safety parameters'!$DL$6:$DL$18,2))</f>
        <v>1076.5246831786983</v>
      </c>
      <c r="DT84" s="910">
        <f ca="1">SUMIFS('Safety parameters'!$DO$6:$DO$18,'Safety parameters'!$DK$6:$DK$18,CZ84,'Safety parameters'!$DL$6:$DL$18,1)+IF(dd_PartSA_2_lines = "Yes",0,SUMIFS('Safety parameters'!$DO$6:$DO$18,'Safety parameters'!$DK$6:$DK$18,DA84,'Safety parameters'!$DL$6:$DL$18,2)+SUMIFS('Safety parameters'!$DO$6:$DO$18,'Safety parameters'!$DK$6:$DK$18,DB84,'Safety parameters'!$DL$6:$DL$18,2))</f>
        <v>-9.689899892873657E-3</v>
      </c>
    </row>
    <row r="85" spans="5:140" ht="15" x14ac:dyDescent="0.2">
      <c r="E85" s="4" t="str">
        <v>avelumab_plus_axitinib</v>
      </c>
      <c r="J85" s="1462">
        <f t="shared" si="97"/>
        <v>46.008571428571429</v>
      </c>
      <c r="K85" s="683"/>
      <c r="L85" s="683"/>
      <c r="M85" s="683"/>
      <c r="N85" s="683"/>
      <c r="O85" s="1021">
        <f t="shared" si="98"/>
        <v>43.50714285714286</v>
      </c>
      <c r="P85" s="1378">
        <f t="shared" si="99"/>
        <v>43.818571428571431</v>
      </c>
      <c r="Q85" s="1021">
        <f t="shared" si="100"/>
        <v>44.431428571428569</v>
      </c>
      <c r="R85" s="1021">
        <f t="shared" si="101"/>
        <v>48.628571428571419</v>
      </c>
      <c r="S85" s="1021">
        <f t="shared" si="102"/>
        <v>73.685714285714269</v>
      </c>
      <c r="T85" s="1417">
        <f t="shared" si="103"/>
        <v>15.714285714285714</v>
      </c>
      <c r="U85" s="1021">
        <f t="shared" si="104"/>
        <v>28.869999999999997</v>
      </c>
      <c r="V85" s="911"/>
      <c r="W85" s="667"/>
      <c r="Y85" s="740" t="str">
        <v>avelumab_plus_axitinib</v>
      </c>
      <c r="Z85" s="1021">
        <f t="shared" si="105"/>
        <v>21.82</v>
      </c>
      <c r="AA85" s="745"/>
      <c r="AB85" s="745"/>
      <c r="AC85" s="745"/>
      <c r="AD85" s="745"/>
      <c r="AE85" s="1021">
        <f t="shared" si="106"/>
        <v>21.714285714285712</v>
      </c>
      <c r="AF85" s="1418">
        <f t="shared" si="107"/>
        <v>21.714285714285712</v>
      </c>
      <c r="AG85" s="1021">
        <f t="shared" si="108"/>
        <v>21.714285714285712</v>
      </c>
      <c r="AH85" s="1021">
        <f t="shared" si="109"/>
        <v>63.808571428571426</v>
      </c>
      <c r="AI85" s="1021">
        <f t="shared" si="110"/>
        <v>33.004285714285714</v>
      </c>
      <c r="AJ85" s="1021">
        <f t="shared" si="111"/>
        <v>13.547142857142855</v>
      </c>
      <c r="AK85" s="1021">
        <f t="shared" si="112"/>
        <v>26.28142857142857</v>
      </c>
      <c r="AL85" s="667"/>
      <c r="AM85" s="667"/>
      <c r="AP85" s="1021">
        <f t="shared" si="113"/>
        <v>21.82</v>
      </c>
      <c r="AQ85" s="877"/>
      <c r="AR85" s="877"/>
      <c r="AS85" s="877"/>
      <c r="AT85" s="877"/>
      <c r="AU85" s="1021">
        <f t="shared" si="114"/>
        <v>21.714285714285712</v>
      </c>
      <c r="AV85" s="1418">
        <f t="shared" si="115"/>
        <v>21.714285714285712</v>
      </c>
      <c r="AW85" s="1021">
        <f t="shared" si="116"/>
        <v>21.714285714285712</v>
      </c>
      <c r="AX85" s="1021">
        <f t="shared" si="117"/>
        <v>63.808571428571426</v>
      </c>
      <c r="AY85" s="1021">
        <f t="shared" si="118"/>
        <v>33.004285714285714</v>
      </c>
      <c r="AZ85" s="1021">
        <f t="shared" si="119"/>
        <v>24.508571428571429</v>
      </c>
      <c r="BA85" s="1021">
        <f t="shared" si="120"/>
        <v>22.357142857142858</v>
      </c>
      <c r="BB85" s="667"/>
      <c r="BC85" s="667"/>
      <c r="CK85" s="61" t="s">
        <v>31</v>
      </c>
      <c r="CL85" s="61">
        <v>2</v>
      </c>
      <c r="CM85" s="61" t="str">
        <v>tivozanib</v>
      </c>
      <c r="CN85" s="17">
        <v>6</v>
      </c>
      <c r="CO85" s="61" t="str" cm="1">
        <f t="array" ref="CO85">INDEX(List_comparators,CP84+1)</f>
        <v>nivolumab_plus_ipilimumab</v>
      </c>
      <c r="CP85" s="17">
        <v>2</v>
      </c>
      <c r="CQ85" s="601">
        <f t="shared" ca="1" si="121"/>
        <v>0</v>
      </c>
      <c r="CR85" s="601">
        <f t="shared" ca="1" si="122"/>
        <v>0</v>
      </c>
      <c r="CS85" s="669">
        <f t="shared" ca="1" si="96"/>
        <v>0</v>
      </c>
      <c r="CT85" s="669">
        <f t="shared" ca="1" si="123"/>
        <v>0</v>
      </c>
      <c r="CU85" s="1123">
        <f>MATCH(CZ85,'Resource use and costs'!$BA$11:$BA$53,0)</f>
        <v>1</v>
      </c>
      <c r="CV85" s="1223"/>
      <c r="CW85" s="1241">
        <f t="shared" si="87"/>
        <v>1</v>
      </c>
      <c r="CX85" s="899" t="s">
        <v>764</v>
      </c>
      <c r="CY85" s="899" t="s">
        <v>585</v>
      </c>
      <c r="CZ85" s="899" t="s">
        <v>579</v>
      </c>
      <c r="DA85" s="899" t="s">
        <v>119</v>
      </c>
      <c r="DB85" s="899" t="s">
        <v>327</v>
      </c>
      <c r="DC85" s="899" cm="1">
        <f t="array" aca="1" ref="DC85" ca="1">_xlfn.IFNA(OFFSET($I$49,MATCH(CY85,$I$50:$I$63,0),MATCH(CZ85,TRANSPOSE($J$49:$W$49),0)),0)</f>
        <v>0.36970000000000003</v>
      </c>
      <c r="DD85" s="899" cm="1">
        <f t="array" aca="1" ref="DD85" ca="1">_xlfn.IFNA(OFFSET($Y$49,MATCH($CZ85,$Y$50:$Y$63,0),MATCH($DA85,TRANSPOSE($Z$49:$AM$49),0)),0)</f>
        <v>6.4999999999999997E-3</v>
      </c>
      <c r="DE85" s="899" cm="1">
        <f t="array" aca="1" ref="DE85" ca="1">_xlfn.IFNA(OFFSET($AO$49,MATCH($DA85,$AO$50:$AO$63,0),MATCH($DB85,TRANSPOSE($AP$49:$BC$49),0)),0)</f>
        <v>0</v>
      </c>
      <c r="DF85" s="881">
        <f t="shared" ca="1" si="81"/>
        <v>0</v>
      </c>
      <c r="DG85" s="910">
        <f t="shared" ca="1" si="82"/>
        <v>1</v>
      </c>
      <c r="DH85" s="881">
        <f t="shared" ca="1" si="83"/>
        <v>0</v>
      </c>
      <c r="DI85" s="1460">
        <f t="shared" ca="1" si="40"/>
        <v>0</v>
      </c>
      <c r="DJ85" s="909">
        <f>_xlfn.IFNA(INDEX('Resource use and costs'!$CQ$11:$CQ$53,MATCH($CZ85,'Resource use and costs'!$BA$11:$BA$53,0)),0)*_xlfn.IFNA(INDEX(DY$10:DY$23,MATCH($CZ85,$DX$10:$DX$23,0)),0)</f>
        <v>56693.786091428577</v>
      </c>
      <c r="DK85" s="909">
        <f>IF(dd_PartSA_2_lines = "Yes",0,_xlfn.IFNA(INDEX('Resource use and costs'!$CR$11:$CR$53,MATCH(DA85,'Resource use and costs'!$BA$11:$BA$53,0)),0)*_xlfn.IFNA(INDEX(EA$10:EA$23,MATCH($DA85,$DX$10:$DX$23,0)),0))</f>
        <v>848.17532499999982</v>
      </c>
      <c r="DL85" s="909">
        <f>IF(dd_PartSA_2_lines = "Yes",0,_xlfn.IFNA(INDEX('Resource use and costs'!$CS$11:$CS$53,MATCH(DB85,'Resource use and costs'!$BA$11:$BA$53,0)),0)*_xlfn.IFNA(INDEX(EC$10:EC$23,MATCH($DB85,$DX$10:$DX$23,0)),0))</f>
        <v>18438.751749999999</v>
      </c>
      <c r="DM85" s="909">
        <f t="shared" si="88"/>
        <v>75980.71316642857</v>
      </c>
      <c r="DN85" s="909">
        <f>SUM(_xlfn.IFNA(INDEX('Resource use and costs'!$DU$12:$DU$25,MATCH(CZ85,'Resource use and costs'!$DS$12:$DS$25,0)),0),_xlfn.IFNA(INDEX('Resource use and costs'!$DU$12:$DU$25,MATCH(DA85,'Resource use and costs'!$DS$12:$DS$25,0)),0),_xlfn.IFNA(INDEX('Resource use and costs'!$DU$12:$DU$25,MATCH(DB85,'Resource use and costs'!$DS$12:$DS$25,0)),0))</f>
        <v>394.5</v>
      </c>
      <c r="DO85" s="921">
        <f>_xlfn.IFNA(INDEX('Resource use and costs'!$DY$12:$DY$25,MATCH(CZ85,'Resource use and costs'!$DS$12:$DS$25,0)),0)*_xlfn.IFNA(INDEX(DY$10:DY$23,MATCH($CZ85,$DX$10:$DX$23,0)),0)</f>
        <v>8939.6605049142872</v>
      </c>
      <c r="DP85" s="921">
        <f>IF(dd_PartSA_2_lines = "Yes",0,_xlfn.IFNA(INDEX('Resource use and costs'!$DZ$12:$DZ$25,MATCH(DA85,'Resource use and costs'!$DS$12:$DS$25,0)),0)*_xlfn.IFNA(INDEX(EA$10:EA$23,MATCH($DA85,$DX$10:$DX$23,0)),0))</f>
        <v>74.50928571428571</v>
      </c>
      <c r="DQ85" s="921">
        <f>IF(dd_PartSA_2_lines = "Yes",0,_xlfn.IFNA(INDEX('Resource use and costs'!$EA$12:$EA$25,MATCH(DB85,'Resource use and costs'!$DS$12:$DS$25,0)),0)*_xlfn.IFNA(INDEX(EC$10:EC$23,MATCH($DB85,$DX$10:$DX$23,0)),0))</f>
        <v>230.68099999999998</v>
      </c>
      <c r="DR85" s="921">
        <f t="shared" si="89"/>
        <v>9639.350790628574</v>
      </c>
      <c r="DS85" s="1004">
        <f ca="1">SUMIFS('Safety parameters'!$DM$6:$DM$18,'Safety parameters'!$DK$6:$DK$18,CZ85,'Safety parameters'!$DL$6:$DL$18,1)+IF(dd_PartSA_2_lines = "Yes",0,SUMIFS('Safety parameters'!$DM$6:$DM$18,'Safety parameters'!$DK$6:$DK$18,DA85,'Safety parameters'!$DL$6:$DL$18,2)+SUMIFS('Safety parameters'!$DM$6:$DM$18,'Safety parameters'!$DK$6:$DK$18,DB85,'Safety parameters'!$DL$6:$DL$18,2))</f>
        <v>1967.1040569407746</v>
      </c>
      <c r="DT85" s="910">
        <f ca="1">SUMIFS('Safety parameters'!$DO$6:$DO$18,'Safety parameters'!$DK$6:$DK$18,CZ85,'Safety parameters'!$DL$6:$DL$18,1)+IF(dd_PartSA_2_lines = "Yes",0,SUMIFS('Safety parameters'!$DO$6:$DO$18,'Safety parameters'!$DK$6:$DK$18,DA85,'Safety parameters'!$DL$6:$DL$18,2)+SUMIFS('Safety parameters'!$DO$6:$DO$18,'Safety parameters'!$DK$6:$DK$18,DB85,'Safety parameters'!$DL$6:$DL$18,2))</f>
        <v>-1.7409497544119149E-2</v>
      </c>
    </row>
    <row r="86" spans="5:140" ht="15" x14ac:dyDescent="0.2">
      <c r="E86" s="4" t="str">
        <v>pazopanib</v>
      </c>
      <c r="J86" s="1462">
        <f t="shared" si="97"/>
        <v>46.008571428571429</v>
      </c>
      <c r="K86" s="683"/>
      <c r="L86" s="683"/>
      <c r="M86" s="683"/>
      <c r="N86" s="683"/>
      <c r="O86" s="1021">
        <f t="shared" si="98"/>
        <v>43.50714285714286</v>
      </c>
      <c r="P86" s="1378">
        <f t="shared" si="99"/>
        <v>43.818571428571431</v>
      </c>
      <c r="Q86" s="1021">
        <f t="shared" si="100"/>
        <v>44.431428571428569</v>
      </c>
      <c r="R86" s="1021">
        <f t="shared" si="101"/>
        <v>48.628571428571419</v>
      </c>
      <c r="S86" s="1021">
        <f t="shared" si="102"/>
        <v>73.685714285714269</v>
      </c>
      <c r="T86" s="1417">
        <f t="shared" si="103"/>
        <v>15.714285714285714</v>
      </c>
      <c r="U86" s="1021">
        <f t="shared" si="104"/>
        <v>28.869999999999997</v>
      </c>
      <c r="V86" s="78"/>
      <c r="W86" s="667"/>
      <c r="Y86" s="740" t="str">
        <v>pazopanib</v>
      </c>
      <c r="Z86" s="1021">
        <f t="shared" si="105"/>
        <v>21.82</v>
      </c>
      <c r="AA86" s="745"/>
      <c r="AB86" s="745"/>
      <c r="AC86" s="745"/>
      <c r="AD86" s="745"/>
      <c r="AE86" s="1021">
        <f t="shared" si="106"/>
        <v>21.714285714285712</v>
      </c>
      <c r="AF86" s="1418">
        <f t="shared" si="107"/>
        <v>21.714285714285712</v>
      </c>
      <c r="AG86" s="1021">
        <f t="shared" si="108"/>
        <v>21.714285714285712</v>
      </c>
      <c r="AH86" s="1021">
        <f t="shared" si="109"/>
        <v>63.808571428571426</v>
      </c>
      <c r="AI86" s="1021">
        <f t="shared" si="110"/>
        <v>33.004285714285714</v>
      </c>
      <c r="AJ86" s="1021">
        <f t="shared" si="111"/>
        <v>13.547142857142855</v>
      </c>
      <c r="AK86" s="1021">
        <f t="shared" si="112"/>
        <v>26.28142857142857</v>
      </c>
      <c r="AL86" s="667"/>
      <c r="AM86" s="667"/>
      <c r="AP86" s="1021">
        <f t="shared" si="113"/>
        <v>21.82</v>
      </c>
      <c r="AQ86" s="877"/>
      <c r="AR86" s="877"/>
      <c r="AS86" s="877"/>
      <c r="AT86" s="877"/>
      <c r="AU86" s="1021">
        <f t="shared" si="114"/>
        <v>21.714285714285712</v>
      </c>
      <c r="AV86" s="1418">
        <f t="shared" si="115"/>
        <v>21.714285714285712</v>
      </c>
      <c r="AW86" s="1021">
        <f t="shared" si="116"/>
        <v>21.714285714285712</v>
      </c>
      <c r="AX86" s="1021">
        <f t="shared" si="117"/>
        <v>63.808571428571426</v>
      </c>
      <c r="AY86" s="1021">
        <f t="shared" si="118"/>
        <v>33.004285714285714</v>
      </c>
      <c r="AZ86" s="1021">
        <f t="shared" si="119"/>
        <v>24.508571428571429</v>
      </c>
      <c r="BA86" s="1021">
        <f t="shared" si="120"/>
        <v>22.357142857142858</v>
      </c>
      <c r="BB86" s="667"/>
      <c r="BC86" s="667"/>
      <c r="CK86" s="61" t="s">
        <v>31</v>
      </c>
      <c r="CL86" s="61">
        <v>2</v>
      </c>
      <c r="CM86" s="61" t="str">
        <v>sunitinib</v>
      </c>
      <c r="CN86" s="17">
        <v>7</v>
      </c>
      <c r="CO86" s="61" t="str" cm="1">
        <f t="array" ref="CO86">INDEX(List_comparators,CP85+1)</f>
        <v>nivolumab_plus_ipilimumab</v>
      </c>
      <c r="CP86" s="17">
        <v>2</v>
      </c>
      <c r="CQ86" s="601">
        <f t="shared" ca="1" si="121"/>
        <v>0</v>
      </c>
      <c r="CR86" s="601">
        <f t="shared" ca="1" si="122"/>
        <v>0</v>
      </c>
      <c r="CS86" s="669">
        <f t="shared" ca="1" si="96"/>
        <v>0</v>
      </c>
      <c r="CT86" s="669">
        <f t="shared" ca="1" si="123"/>
        <v>0</v>
      </c>
      <c r="CU86" s="1123">
        <f>MATCH(CZ86,'Resource use and costs'!$BA$11:$BA$53,0)</f>
        <v>1</v>
      </c>
      <c r="CV86" s="1223"/>
      <c r="CW86" s="1241">
        <f t="shared" si="87"/>
        <v>1</v>
      </c>
      <c r="CX86" s="899" t="s">
        <v>764</v>
      </c>
      <c r="CY86" s="899" t="s">
        <v>585</v>
      </c>
      <c r="CZ86" s="899" t="s">
        <v>579</v>
      </c>
      <c r="DA86" s="899" t="s">
        <v>119</v>
      </c>
      <c r="DB86" s="899" t="s">
        <v>765</v>
      </c>
      <c r="DC86" s="899" cm="1">
        <f t="array" aca="1" ref="DC86" ca="1">_xlfn.IFNA(OFFSET($I$49,MATCH(CY86,$I$50:$I$63,0),MATCH(CZ86,TRANSPOSE($J$49:$W$49),0)),0)</f>
        <v>0.36970000000000003</v>
      </c>
      <c r="DD86" s="899" cm="1">
        <f t="array" aca="1" ref="DD86" ca="1">_xlfn.IFNA(OFFSET($Y$49,MATCH($CZ86,$Y$50:$Y$63,0),MATCH($DA86,TRANSPOSE($Z$49:$AM$49),0)),0)</f>
        <v>6.4999999999999997E-3</v>
      </c>
      <c r="DE86" s="899" cm="1">
        <f t="array" aca="1" ref="DE86" ca="1">_xlfn.IFNA(OFFSET($AO$49,MATCH($DA86,$AO$50:$AO$63,0),MATCH($DB86,TRANSPOSE($AP$49:$BC$49),0)),0)</f>
        <v>1</v>
      </c>
      <c r="DF86" s="881">
        <f t="shared" ca="1" si="81"/>
        <v>2.4030499999999999E-3</v>
      </c>
      <c r="DG86" s="910">
        <f t="shared" ca="1" si="82"/>
        <v>1</v>
      </c>
      <c r="DH86" s="881">
        <f t="shared" ca="1" si="83"/>
        <v>2.4030499999999999E-3</v>
      </c>
      <c r="DI86" s="1460">
        <f t="shared" ca="1" si="40"/>
        <v>0.56231370000000003</v>
      </c>
      <c r="DJ86" s="909">
        <f>_xlfn.IFNA(INDEX('Resource use and costs'!$CQ$11:$CQ$53,MATCH($CZ86,'Resource use and costs'!$BA$11:$BA$53,0)),0)*_xlfn.IFNA(INDEX(DY$10:DY$23,MATCH($CZ86,$DX$10:$DX$23,0)),0)</f>
        <v>56693.786091428577</v>
      </c>
      <c r="DK86" s="909">
        <f>IF(dd_PartSA_2_lines = "Yes",0,_xlfn.IFNA(INDEX('Resource use and costs'!$CR$11:$CR$53,MATCH(DA86,'Resource use and costs'!$BA$11:$BA$53,0)),0)*_xlfn.IFNA(INDEX(EA$10:EA$23,MATCH($DA86,$DX$10:$DX$23,0)),0))</f>
        <v>848.17532499999982</v>
      </c>
      <c r="DL86" s="909">
        <f>IF(dd_PartSA_2_lines = "Yes",0,_xlfn.IFNA(INDEX('Resource use and costs'!$CS$11:$CS$53,MATCH(DB86,'Resource use and costs'!$BA$11:$BA$53,0)),0)*_xlfn.IFNA(INDEX(EC$10:EC$23,MATCH($DB86,$DX$10:$DX$23,0)),0))</f>
        <v>0</v>
      </c>
      <c r="DM86" s="909">
        <f t="shared" si="88"/>
        <v>57541.961416428574</v>
      </c>
      <c r="DN86" s="909">
        <f>SUM(_xlfn.IFNA(INDEX('Resource use and costs'!$DU$12:$DU$25,MATCH(CZ86,'Resource use and costs'!$DS$12:$DS$25,0)),0),_xlfn.IFNA(INDEX('Resource use and costs'!$DU$12:$DU$25,MATCH(DA86,'Resource use and costs'!$DS$12:$DS$25,0)),0),_xlfn.IFNA(INDEX('Resource use and costs'!$DU$12:$DU$25,MATCH(DB86,'Resource use and costs'!$DS$12:$DS$25,0)),0))</f>
        <v>197.25</v>
      </c>
      <c r="DO86" s="921">
        <f>_xlfn.IFNA(INDEX('Resource use and costs'!$DY$12:$DY$25,MATCH(CZ86,'Resource use and costs'!$DS$12:$DS$25,0)),0)*_xlfn.IFNA(INDEX(DY$10:DY$23,MATCH($CZ86,$DX$10:$DX$23,0)),0)</f>
        <v>8939.6605049142872</v>
      </c>
      <c r="DP86" s="921">
        <f>IF(dd_PartSA_2_lines = "Yes",0,_xlfn.IFNA(INDEX('Resource use and costs'!$DZ$12:$DZ$25,MATCH(DA86,'Resource use and costs'!$DS$12:$DS$25,0)),0)*_xlfn.IFNA(INDEX(EA$10:EA$23,MATCH($DA86,$DX$10:$DX$23,0)),0))</f>
        <v>74.50928571428571</v>
      </c>
      <c r="DQ86" s="921">
        <f>IF(dd_PartSA_2_lines = "Yes",0,_xlfn.IFNA(INDEX('Resource use and costs'!$EA$12:$EA$25,MATCH(DB86,'Resource use and costs'!$DS$12:$DS$25,0)),0)*_xlfn.IFNA(INDEX(EC$10:EC$23,MATCH($DB86,$DX$10:$DX$23,0)),0))</f>
        <v>0</v>
      </c>
      <c r="DR86" s="921">
        <f t="shared" si="89"/>
        <v>9211.4197906285735</v>
      </c>
      <c r="DS86" s="1004">
        <f ca="1">SUMIFS('Safety parameters'!$DM$6:$DM$18,'Safety parameters'!$DK$6:$DK$18,CZ86,'Safety parameters'!$DL$6:$DL$18,1)+IF(dd_PartSA_2_lines = "Yes",0,SUMIFS('Safety parameters'!$DM$6:$DM$18,'Safety parameters'!$DK$6:$DK$18,DA86,'Safety parameters'!$DL$6:$DL$18,2)+SUMIFS('Safety parameters'!$DM$6:$DM$18,'Safety parameters'!$DK$6:$DK$18,DB86,'Safety parameters'!$DL$6:$DL$18,2))</f>
        <v>332.87538337531487</v>
      </c>
      <c r="DT86" s="910">
        <f ca="1">SUMIFS('Safety parameters'!$DO$6:$DO$18,'Safety parameters'!$DK$6:$DK$18,CZ86,'Safety parameters'!$DL$6:$DL$18,1)+IF(dd_PartSA_2_lines = "Yes",0,SUMIFS('Safety parameters'!$DO$6:$DO$18,'Safety parameters'!$DK$6:$DK$18,DA86,'Safety parameters'!$DL$6:$DL$18,2)+SUMIFS('Safety parameters'!$DO$6:$DO$18,'Safety parameters'!$DK$6:$DK$18,DB86,'Safety parameters'!$DL$6:$DL$18,2))</f>
        <v>-2.6675735366377194E-3</v>
      </c>
    </row>
    <row r="87" spans="5:140" ht="15" x14ac:dyDescent="0.2">
      <c r="E87" s="4" t="str">
        <v>tivozanib</v>
      </c>
      <c r="J87" s="1462">
        <f t="shared" si="97"/>
        <v>46.008571428571429</v>
      </c>
      <c r="K87" s="683"/>
      <c r="L87" s="683"/>
      <c r="M87" s="683"/>
      <c r="N87" s="683"/>
      <c r="O87" s="1021">
        <f t="shared" si="98"/>
        <v>43.50714285714286</v>
      </c>
      <c r="P87" s="1378">
        <f t="shared" si="99"/>
        <v>43.818571428571431</v>
      </c>
      <c r="Q87" s="1021">
        <f t="shared" si="100"/>
        <v>44.431428571428569</v>
      </c>
      <c r="R87" s="1021">
        <f t="shared" si="101"/>
        <v>48.628571428571419</v>
      </c>
      <c r="S87" s="1021">
        <f t="shared" si="102"/>
        <v>73.685714285714269</v>
      </c>
      <c r="T87" s="1417">
        <f t="shared" si="103"/>
        <v>15.714285714285714</v>
      </c>
      <c r="U87" s="1021">
        <f t="shared" si="104"/>
        <v>28.869999999999997</v>
      </c>
      <c r="V87" s="78"/>
      <c r="W87" s="667"/>
      <c r="Y87" s="740" t="str">
        <v>tivozanib</v>
      </c>
      <c r="Z87" s="1021">
        <f t="shared" si="105"/>
        <v>21.82</v>
      </c>
      <c r="AA87" s="745"/>
      <c r="AB87" s="745"/>
      <c r="AC87" s="745"/>
      <c r="AD87" s="745"/>
      <c r="AE87" s="1021">
        <f t="shared" si="106"/>
        <v>21.714285714285712</v>
      </c>
      <c r="AF87" s="1418">
        <f t="shared" si="107"/>
        <v>21.714285714285712</v>
      </c>
      <c r="AG87" s="1021">
        <f t="shared" si="108"/>
        <v>21.714285714285712</v>
      </c>
      <c r="AH87" s="1021">
        <f t="shared" si="109"/>
        <v>63.808571428571426</v>
      </c>
      <c r="AI87" s="1021">
        <f t="shared" si="110"/>
        <v>33.004285714285714</v>
      </c>
      <c r="AJ87" s="1021">
        <f t="shared" si="111"/>
        <v>13.547142857142855</v>
      </c>
      <c r="AK87" s="1021">
        <f t="shared" si="112"/>
        <v>26.28142857142857</v>
      </c>
      <c r="AL87" s="667"/>
      <c r="AM87" s="667"/>
      <c r="AP87" s="1021">
        <f t="shared" si="113"/>
        <v>21.82</v>
      </c>
      <c r="AQ87" s="877"/>
      <c r="AR87" s="877"/>
      <c r="AS87" s="877"/>
      <c r="AT87" s="877"/>
      <c r="AU87" s="1021">
        <f t="shared" si="114"/>
        <v>21.714285714285712</v>
      </c>
      <c r="AV87" s="1418">
        <f t="shared" si="115"/>
        <v>21.714285714285712</v>
      </c>
      <c r="AW87" s="1021">
        <f t="shared" si="116"/>
        <v>21.714285714285712</v>
      </c>
      <c r="AX87" s="1021">
        <f t="shared" si="117"/>
        <v>63.808571428571426</v>
      </c>
      <c r="AY87" s="1021">
        <f t="shared" si="118"/>
        <v>33.004285714285714</v>
      </c>
      <c r="AZ87" s="1021">
        <f t="shared" si="119"/>
        <v>24.508571428571429</v>
      </c>
      <c r="BA87" s="1021">
        <f t="shared" si="120"/>
        <v>22.357142857142858</v>
      </c>
      <c r="BB87" s="667"/>
      <c r="BC87" s="667"/>
      <c r="CK87" s="61" t="s">
        <v>31</v>
      </c>
      <c r="CL87" s="61">
        <v>2</v>
      </c>
      <c r="CM87" s="61" t="str">
        <v>cabozantinib</v>
      </c>
      <c r="CN87" s="17">
        <v>8</v>
      </c>
      <c r="CO87" s="61" t="str" cm="1">
        <f t="array" ref="CO87">INDEX(List_comparators,CP86+1)</f>
        <v>nivolumab_plus_ipilimumab</v>
      </c>
      <c r="CP87" s="17">
        <v>2</v>
      </c>
      <c r="CQ87" s="601">
        <f t="shared" ca="1" si="121"/>
        <v>0</v>
      </c>
      <c r="CR87" s="601">
        <f t="shared" ca="1" si="122"/>
        <v>0</v>
      </c>
      <c r="CS87" s="669">
        <f t="shared" ca="1" si="96"/>
        <v>0</v>
      </c>
      <c r="CT87" s="669">
        <f t="shared" ca="1" si="123"/>
        <v>0</v>
      </c>
      <c r="CU87" s="1123">
        <f>MATCH(CZ87,'Resource use and costs'!$BA$11:$BA$53,0)</f>
        <v>1</v>
      </c>
      <c r="CV87" s="1223"/>
      <c r="CW87" s="1241">
        <f t="shared" si="87"/>
        <v>1</v>
      </c>
      <c r="CX87" s="899" t="s">
        <v>764</v>
      </c>
      <c r="CY87" s="899" t="s">
        <v>585</v>
      </c>
      <c r="CZ87" s="899" t="s">
        <v>579</v>
      </c>
      <c r="DA87" s="899" t="s">
        <v>333</v>
      </c>
      <c r="DB87" s="899" t="s">
        <v>327</v>
      </c>
      <c r="DC87" s="899" cm="1">
        <f t="array" aca="1" ref="DC87" ca="1">_xlfn.IFNA(OFFSET($I$49,MATCH(CY87,$I$50:$I$63,0),MATCH(CZ87,TRANSPOSE($J$49:$W$49),0)),0)</f>
        <v>0.36970000000000003</v>
      </c>
      <c r="DD87" s="899" cm="1">
        <f t="array" aca="1" ref="DD87" ca="1">_xlfn.IFNA(OFFSET($Y$49,MATCH($CZ87,$Y$50:$Y$63,0),MATCH($DA87,TRANSPOSE($Z$49:$AM$49),0)),0)</f>
        <v>5.2400000000000002E-2</v>
      </c>
      <c r="DE87" s="899" cm="1">
        <f t="array" aca="1" ref="DE87" ca="1">_xlfn.IFNA(OFFSET($AO$49,MATCH($DA87,$AO$50:$AO$63,0),MATCH($DB87,TRANSPOSE($AP$49:$BC$49),0)),0)</f>
        <v>0.56859999999999999</v>
      </c>
      <c r="DF87" s="881">
        <f t="shared" ca="1" si="81"/>
        <v>1.1015078408000001E-2</v>
      </c>
      <c r="DG87" s="910">
        <f t="shared" ca="1" si="82"/>
        <v>1</v>
      </c>
      <c r="DH87" s="881">
        <f t="shared" ca="1" si="83"/>
        <v>1.1015078408000001E-2</v>
      </c>
      <c r="DI87" s="1460">
        <f t="shared" ca="1" si="40"/>
        <v>2.5775283474720001</v>
      </c>
      <c r="DJ87" s="909">
        <f>_xlfn.IFNA(INDEX('Resource use and costs'!$CQ$11:$CQ$53,MATCH($CZ87,'Resource use and costs'!$BA$11:$BA$53,0)),0)*_xlfn.IFNA(INDEX(DY$10:DY$23,MATCH($CZ87,$DX$10:$DX$23,0)),0)</f>
        <v>56693.786091428577</v>
      </c>
      <c r="DK87" s="909">
        <f>IF(dd_PartSA_2_lines = "Yes",0,_xlfn.IFNA(INDEX('Resource use and costs'!$CR$11:$CR$53,MATCH(DA87,'Resource use and costs'!$BA$11:$BA$53,0)),0)*_xlfn.IFNA(INDEX(EA$10:EA$23,MATCH($DA87,$DX$10:$DX$23,0)),0))</f>
        <v>24337.716731999997</v>
      </c>
      <c r="DL87" s="909">
        <f>IF(dd_PartSA_2_lines = "Yes",0,_xlfn.IFNA(INDEX('Resource use and costs'!$CS$11:$CS$53,MATCH(DB87,'Resource use and costs'!$BA$11:$BA$53,0)),0)*_xlfn.IFNA(INDEX(EC$10:EC$23,MATCH($DB87,$DX$10:$DX$23,0)),0))</f>
        <v>18438.751749999999</v>
      </c>
      <c r="DM87" s="909">
        <f t="shared" si="88"/>
        <v>99470.254573428567</v>
      </c>
      <c r="DN87" s="909">
        <f>SUM(_xlfn.IFNA(INDEX('Resource use and costs'!$DU$12:$DU$25,MATCH(CZ87,'Resource use and costs'!$DS$12:$DS$25,0)),0),_xlfn.IFNA(INDEX('Resource use and costs'!$DU$12:$DU$25,MATCH(DA87,'Resource use and costs'!$DS$12:$DS$25,0)),0),_xlfn.IFNA(INDEX('Resource use and costs'!$DU$12:$DU$25,MATCH(DB87,'Resource use and costs'!$DS$12:$DS$25,0)),0))</f>
        <v>394.5</v>
      </c>
      <c r="DO87" s="921">
        <f>_xlfn.IFNA(INDEX('Resource use and costs'!$DY$12:$DY$25,MATCH(CZ87,'Resource use and costs'!$DS$12:$DS$25,0)),0)*_xlfn.IFNA(INDEX(DY$10:DY$23,MATCH($CZ87,$DX$10:$DX$23,0)),0)</f>
        <v>8939.6605049142872</v>
      </c>
      <c r="DP87" s="921">
        <f>IF(dd_PartSA_2_lines = "Yes",0,_xlfn.IFNA(INDEX('Resource use and costs'!$DZ$12:$DZ$25,MATCH(DA87,'Resource use and costs'!$DS$12:$DS$25,0)),0)*_xlfn.IFNA(INDEX(EA$10:EA$23,MATCH($DA87,$DX$10:$DX$23,0)),0))</f>
        <v>363.04714285714283</v>
      </c>
      <c r="DQ87" s="921">
        <f>IF(dd_PartSA_2_lines = "Yes",0,_xlfn.IFNA(INDEX('Resource use and costs'!$EA$12:$EA$25,MATCH(DB87,'Resource use and costs'!$DS$12:$DS$25,0)),0)*_xlfn.IFNA(INDEX(EC$10:EC$23,MATCH($DB87,$DX$10:$DX$23,0)),0))</f>
        <v>230.68099999999998</v>
      </c>
      <c r="DR87" s="921">
        <f t="shared" si="89"/>
        <v>9927.8886477714314</v>
      </c>
      <c r="DS87" s="1004">
        <f ca="1">SUMIFS('Safety parameters'!$DM$6:$DM$18,'Safety parameters'!$DK$6:$DK$18,CZ87,'Safety parameters'!$DL$6:$DL$18,1)+IF(dd_PartSA_2_lines = "Yes",0,SUMIFS('Safety parameters'!$DM$6:$DM$18,'Safety parameters'!$DK$6:$DK$18,DA87,'Safety parameters'!$DL$6:$DL$18,2)+SUMIFS('Safety parameters'!$DM$6:$DM$18,'Safety parameters'!$DK$6:$DK$18,DB87,'Safety parameters'!$DL$6:$DL$18,2))</f>
        <v>2577.0992943484653</v>
      </c>
      <c r="DT87" s="910">
        <f ca="1">SUMIFS('Safety parameters'!$DO$6:$DO$18,'Safety parameters'!$DK$6:$DK$18,CZ87,'Safety parameters'!$DL$6:$DL$18,1)+IF(dd_PartSA_2_lines = "Yes",0,SUMIFS('Safety parameters'!$DO$6:$DO$18,'Safety parameters'!$DK$6:$DK$18,DA87,'Safety parameters'!$DL$6:$DL$18,2)+SUMIFS('Safety parameters'!$DO$6:$DO$18,'Safety parameters'!$DK$6:$DK$18,DB87,'Safety parameters'!$DL$6:$DL$18,2))</f>
        <v>-2.4384674689096917E-2</v>
      </c>
    </row>
    <row r="88" spans="5:140" ht="15" x14ac:dyDescent="0.2">
      <c r="E88" s="4" t="str">
        <v>sunitinib</v>
      </c>
      <c r="J88" s="1462">
        <f t="shared" si="97"/>
        <v>46.008571428571429</v>
      </c>
      <c r="K88" s="683"/>
      <c r="L88" s="683"/>
      <c r="M88" s="683"/>
      <c r="N88" s="683"/>
      <c r="O88" s="1021">
        <f t="shared" si="98"/>
        <v>43.50714285714286</v>
      </c>
      <c r="P88" s="1378">
        <f t="shared" si="99"/>
        <v>43.818571428571431</v>
      </c>
      <c r="Q88" s="1021">
        <f t="shared" si="100"/>
        <v>44.431428571428569</v>
      </c>
      <c r="R88" s="1021">
        <f t="shared" si="101"/>
        <v>48.628571428571419</v>
      </c>
      <c r="S88" s="1021">
        <f t="shared" si="102"/>
        <v>73.685714285714269</v>
      </c>
      <c r="T88" s="1417">
        <f t="shared" si="103"/>
        <v>15.714285714285714</v>
      </c>
      <c r="U88" s="1021">
        <f t="shared" si="104"/>
        <v>28.869999999999997</v>
      </c>
      <c r="V88" s="911"/>
      <c r="W88" s="667"/>
      <c r="Y88" s="740" t="str">
        <v>sunitinib</v>
      </c>
      <c r="Z88" s="1021">
        <f t="shared" si="105"/>
        <v>21.82</v>
      </c>
      <c r="AA88" s="745"/>
      <c r="AB88" s="745"/>
      <c r="AC88" s="745"/>
      <c r="AD88" s="745"/>
      <c r="AE88" s="1021">
        <f t="shared" si="106"/>
        <v>21.714285714285712</v>
      </c>
      <c r="AF88" s="1418">
        <f t="shared" si="107"/>
        <v>21.714285714285712</v>
      </c>
      <c r="AG88" s="1021">
        <f t="shared" si="108"/>
        <v>21.714285714285712</v>
      </c>
      <c r="AH88" s="1021">
        <f t="shared" si="109"/>
        <v>63.808571428571426</v>
      </c>
      <c r="AI88" s="1021">
        <f t="shared" si="110"/>
        <v>33.004285714285714</v>
      </c>
      <c r="AJ88" s="1021">
        <f t="shared" si="111"/>
        <v>13.547142857142855</v>
      </c>
      <c r="AK88" s="1021">
        <f t="shared" si="112"/>
        <v>26.28142857142857</v>
      </c>
      <c r="AL88" s="667"/>
      <c r="AM88" s="667"/>
      <c r="AP88" s="1021">
        <f t="shared" si="113"/>
        <v>21.82</v>
      </c>
      <c r="AQ88" s="877"/>
      <c r="AR88" s="877"/>
      <c r="AS88" s="877"/>
      <c r="AT88" s="877"/>
      <c r="AU88" s="1021">
        <f t="shared" si="114"/>
        <v>21.714285714285712</v>
      </c>
      <c r="AV88" s="1418">
        <f t="shared" si="115"/>
        <v>21.714285714285712</v>
      </c>
      <c r="AW88" s="1021">
        <f t="shared" si="116"/>
        <v>21.714285714285712</v>
      </c>
      <c r="AX88" s="1021">
        <f t="shared" si="117"/>
        <v>63.808571428571426</v>
      </c>
      <c r="AY88" s="1021">
        <f t="shared" si="118"/>
        <v>33.004285714285714</v>
      </c>
      <c r="AZ88" s="1021">
        <f t="shared" si="119"/>
        <v>24.508571428571429</v>
      </c>
      <c r="BA88" s="1021">
        <f t="shared" si="120"/>
        <v>22.357142857142858</v>
      </c>
      <c r="BB88" s="667"/>
      <c r="BC88" s="747"/>
      <c r="CK88" s="61" t="s">
        <v>31</v>
      </c>
      <c r="CL88" s="61">
        <v>2</v>
      </c>
      <c r="CM88" s="61" t="str">
        <v>lenvatinib_plus_everolimus</v>
      </c>
      <c r="CN88" s="17">
        <v>9</v>
      </c>
      <c r="CO88" s="61" t="str" cm="1">
        <f t="array" ref="CO88">INDEX(List_comparators,CP87+1)</f>
        <v>nivolumab_plus_ipilimumab</v>
      </c>
      <c r="CP88" s="17">
        <v>2</v>
      </c>
      <c r="CQ88" s="601">
        <f t="shared" ca="1" si="121"/>
        <v>0</v>
      </c>
      <c r="CR88" s="601">
        <f t="shared" ca="1" si="122"/>
        <v>0</v>
      </c>
      <c r="CS88" s="669">
        <f t="shared" ca="1" si="96"/>
        <v>0</v>
      </c>
      <c r="CT88" s="669">
        <f t="shared" ca="1" si="123"/>
        <v>0</v>
      </c>
      <c r="CU88" s="1123">
        <f>MATCH(CZ88,'Resource use and costs'!$BA$11:$BA$53,0)</f>
        <v>1</v>
      </c>
      <c r="CV88" s="1223"/>
      <c r="CW88" s="1241">
        <f t="shared" si="87"/>
        <v>1</v>
      </c>
      <c r="CX88" s="899" t="s">
        <v>764</v>
      </c>
      <c r="CY88" s="899" t="s">
        <v>585</v>
      </c>
      <c r="CZ88" s="899" t="s">
        <v>579</v>
      </c>
      <c r="DA88" s="899" t="s">
        <v>333</v>
      </c>
      <c r="DB88" s="899" t="s">
        <v>765</v>
      </c>
      <c r="DC88" s="899" cm="1">
        <f t="array" aca="1" ref="DC88" ca="1">_xlfn.IFNA(OFFSET($I$49,MATCH(CY88,$I$50:$I$63,0),MATCH(CZ88,TRANSPOSE($J$49:$W$49),0)),0)</f>
        <v>0.36970000000000003</v>
      </c>
      <c r="DD88" s="899" cm="1">
        <f t="array" aca="1" ref="DD88" ca="1">_xlfn.IFNA(OFFSET($Y$49,MATCH($CZ88,$Y$50:$Y$63,0),MATCH($DA88,TRANSPOSE($Z$49:$AM$49),0)),0)</f>
        <v>5.2400000000000002E-2</v>
      </c>
      <c r="DE88" s="899" cm="1">
        <f t="array" aca="1" ref="DE88" ca="1">_xlfn.IFNA(OFFSET($AO$49,MATCH($DA88,$AO$50:$AO$63,0),MATCH($DB88,TRANSPOSE($AP$49:$BC$49),0)),0)</f>
        <v>0.43140000000000001</v>
      </c>
      <c r="DF88" s="881">
        <f t="shared" ca="1" si="81"/>
        <v>8.357201592000001E-3</v>
      </c>
      <c r="DG88" s="910">
        <f t="shared" ca="1" si="82"/>
        <v>1</v>
      </c>
      <c r="DH88" s="881">
        <f t="shared" ca="1" si="83"/>
        <v>8.357201592000001E-3</v>
      </c>
      <c r="DI88" s="1460">
        <f t="shared" ca="1" si="40"/>
        <v>1.9555851725280002</v>
      </c>
      <c r="DJ88" s="909">
        <f>_xlfn.IFNA(INDEX('Resource use and costs'!$CQ$11:$CQ$53,MATCH($CZ88,'Resource use and costs'!$BA$11:$BA$53,0)),0)*_xlfn.IFNA(INDEX(DY$10:DY$23,MATCH($CZ88,$DX$10:$DX$23,0)),0)</f>
        <v>56693.786091428577</v>
      </c>
      <c r="DK88" s="909">
        <f>IF(dd_PartSA_2_lines = "Yes",0,_xlfn.IFNA(INDEX('Resource use and costs'!$CR$11:$CR$53,MATCH(DA88,'Resource use and costs'!$BA$11:$BA$53,0)),0)*_xlfn.IFNA(INDEX(EA$10:EA$23,MATCH($DA88,$DX$10:$DX$23,0)),0))</f>
        <v>24337.716731999997</v>
      </c>
      <c r="DL88" s="909">
        <f>IF(dd_PartSA_2_lines = "Yes",0,_xlfn.IFNA(INDEX('Resource use and costs'!$CS$11:$CS$53,MATCH(DB88,'Resource use and costs'!$BA$11:$BA$53,0)),0)*_xlfn.IFNA(INDEX(EC$10:EC$23,MATCH($DB88,$DX$10:$DX$23,0)),0))</f>
        <v>0</v>
      </c>
      <c r="DM88" s="909">
        <f t="shared" si="88"/>
        <v>81031.502823428571</v>
      </c>
      <c r="DN88" s="909">
        <f>SUM(_xlfn.IFNA(INDEX('Resource use and costs'!$DU$12:$DU$25,MATCH(CZ88,'Resource use and costs'!$DS$12:$DS$25,0)),0),_xlfn.IFNA(INDEX('Resource use and costs'!$DU$12:$DU$25,MATCH(DA88,'Resource use and costs'!$DS$12:$DS$25,0)),0),_xlfn.IFNA(INDEX('Resource use and costs'!$DU$12:$DU$25,MATCH(DB88,'Resource use and costs'!$DS$12:$DS$25,0)),0))</f>
        <v>197.25</v>
      </c>
      <c r="DO88" s="921">
        <f>_xlfn.IFNA(INDEX('Resource use and costs'!$DY$12:$DY$25,MATCH(CZ88,'Resource use and costs'!$DS$12:$DS$25,0)),0)*_xlfn.IFNA(INDEX(DY$10:DY$23,MATCH($CZ88,$DX$10:$DX$23,0)),0)</f>
        <v>8939.6605049142872</v>
      </c>
      <c r="DP88" s="921">
        <f>IF(dd_PartSA_2_lines = "Yes",0,_xlfn.IFNA(INDEX('Resource use and costs'!$DZ$12:$DZ$25,MATCH(DA88,'Resource use and costs'!$DS$12:$DS$25,0)),0)*_xlfn.IFNA(INDEX(EA$10:EA$23,MATCH($DA88,$DX$10:$DX$23,0)),0))</f>
        <v>363.04714285714283</v>
      </c>
      <c r="DQ88" s="921">
        <f>IF(dd_PartSA_2_lines = "Yes",0,_xlfn.IFNA(INDEX('Resource use and costs'!$EA$12:$EA$25,MATCH(DB88,'Resource use and costs'!$DS$12:$DS$25,0)),0)*_xlfn.IFNA(INDEX(EC$10:EC$23,MATCH($DB88,$DX$10:$DX$23,0)),0))</f>
        <v>0</v>
      </c>
      <c r="DR88" s="921">
        <f t="shared" si="89"/>
        <v>9499.9576477714309</v>
      </c>
      <c r="DS88" s="1004">
        <f ca="1">SUMIFS('Safety parameters'!$DM$6:$DM$18,'Safety parameters'!$DK$6:$DK$18,CZ88,'Safety parameters'!$DL$6:$DL$18,1)+IF(dd_PartSA_2_lines = "Yes",0,SUMIFS('Safety parameters'!$DM$6:$DM$18,'Safety parameters'!$DK$6:$DK$18,DA88,'Safety parameters'!$DL$6:$DL$18,2)+SUMIFS('Safety parameters'!$DM$6:$DM$18,'Safety parameters'!$DK$6:$DK$18,DB88,'Safety parameters'!$DL$6:$DL$18,2))</f>
        <v>942.87062078300573</v>
      </c>
      <c r="DT88" s="910">
        <f ca="1">SUMIFS('Safety parameters'!$DO$6:$DO$18,'Safety parameters'!$DK$6:$DK$18,CZ88,'Safety parameters'!$DL$6:$DL$18,1)+IF(dd_PartSA_2_lines = "Yes",0,SUMIFS('Safety parameters'!$DO$6:$DO$18,'Safety parameters'!$DK$6:$DK$18,DA88,'Safety parameters'!$DL$6:$DL$18,2)+SUMIFS('Safety parameters'!$DO$6:$DO$18,'Safety parameters'!$DK$6:$DK$18,DB88,'Safety parameters'!$DL$6:$DL$18,2))</f>
        <v>-9.6427506816154883E-3</v>
      </c>
    </row>
    <row r="89" spans="5:140" ht="15" x14ac:dyDescent="0.2">
      <c r="E89" s="4" t="str">
        <v>cabozantinib</v>
      </c>
      <c r="J89" s="1462">
        <f t="shared" si="97"/>
        <v>46.008571428571429</v>
      </c>
      <c r="K89" s="683"/>
      <c r="L89" s="683"/>
      <c r="M89" s="683"/>
      <c r="N89" s="683"/>
      <c r="O89" s="1021">
        <f t="shared" si="98"/>
        <v>43.50714285714286</v>
      </c>
      <c r="P89" s="1378">
        <f t="shared" si="99"/>
        <v>43.818571428571431</v>
      </c>
      <c r="Q89" s="1021">
        <f t="shared" si="100"/>
        <v>44.431428571428569</v>
      </c>
      <c r="R89" s="1021">
        <f t="shared" si="101"/>
        <v>48.628571428571419</v>
      </c>
      <c r="S89" s="1021">
        <f t="shared" si="102"/>
        <v>73.685714285714269</v>
      </c>
      <c r="T89" s="1417">
        <f t="shared" si="103"/>
        <v>15.714285714285714</v>
      </c>
      <c r="U89" s="1021">
        <f t="shared" si="104"/>
        <v>28.869999999999997</v>
      </c>
      <c r="V89" s="911"/>
      <c r="W89" s="667"/>
      <c r="Y89" s="740" t="str">
        <v>cabozantinib</v>
      </c>
      <c r="Z89" s="1021">
        <f t="shared" si="105"/>
        <v>21.82</v>
      </c>
      <c r="AA89" s="745"/>
      <c r="AB89" s="745"/>
      <c r="AC89" s="745"/>
      <c r="AD89" s="745"/>
      <c r="AE89" s="1021">
        <f t="shared" si="106"/>
        <v>21.714285714285712</v>
      </c>
      <c r="AF89" s="1418">
        <f t="shared" si="107"/>
        <v>21.714285714285712</v>
      </c>
      <c r="AG89" s="1021">
        <f t="shared" si="108"/>
        <v>21.714285714285712</v>
      </c>
      <c r="AH89" s="1021">
        <f t="shared" si="109"/>
        <v>63.808571428571426</v>
      </c>
      <c r="AI89" s="1021">
        <f t="shared" si="110"/>
        <v>33.004285714285714</v>
      </c>
      <c r="AJ89" s="1021">
        <f t="shared" si="111"/>
        <v>13.547142857142855</v>
      </c>
      <c r="AK89" s="1021">
        <f t="shared" si="112"/>
        <v>26.28142857142857</v>
      </c>
      <c r="AL89" s="667"/>
      <c r="AM89" s="667"/>
      <c r="AP89" s="1021">
        <f t="shared" si="113"/>
        <v>21.82</v>
      </c>
      <c r="AQ89" s="877"/>
      <c r="AR89" s="877"/>
      <c r="AS89" s="877"/>
      <c r="AT89" s="877"/>
      <c r="AU89" s="1021">
        <f t="shared" si="114"/>
        <v>21.714285714285712</v>
      </c>
      <c r="AV89" s="1418">
        <f t="shared" si="115"/>
        <v>21.714285714285712</v>
      </c>
      <c r="AW89" s="1021">
        <f t="shared" si="116"/>
        <v>21.714285714285712</v>
      </c>
      <c r="AX89" s="1021">
        <f t="shared" si="117"/>
        <v>63.808571428571426</v>
      </c>
      <c r="AY89" s="1021">
        <f t="shared" si="118"/>
        <v>33.004285714285714</v>
      </c>
      <c r="AZ89" s="1021">
        <f t="shared" si="119"/>
        <v>24.508571428571429</v>
      </c>
      <c r="BA89" s="1021">
        <f t="shared" si="120"/>
        <v>22.357142857142858</v>
      </c>
      <c r="BB89" s="667"/>
      <c r="BC89" s="667"/>
      <c r="CK89" s="61" t="s">
        <v>31</v>
      </c>
      <c r="CL89" s="61">
        <v>2</v>
      </c>
      <c r="CM89" s="61" t="str">
        <v>everolimus</v>
      </c>
      <c r="CN89" s="17">
        <v>10</v>
      </c>
      <c r="CO89" s="61" t="str" cm="1">
        <f t="array" ref="CO89">INDEX(List_comparators,CP88+1)</f>
        <v>nivolumab_plus_ipilimumab</v>
      </c>
      <c r="CP89" s="17">
        <v>2</v>
      </c>
      <c r="CQ89" s="601">
        <f t="shared" ca="1" si="121"/>
        <v>0</v>
      </c>
      <c r="CR89" s="601">
        <f t="shared" ca="1" si="122"/>
        <v>0</v>
      </c>
      <c r="CS89" s="669">
        <f t="shared" ca="1" si="96"/>
        <v>0</v>
      </c>
      <c r="CT89" s="669">
        <f t="shared" ca="1" si="123"/>
        <v>0</v>
      </c>
      <c r="CU89" s="1123">
        <f>MATCH(CZ89,'Resource use and costs'!$BA$11:$BA$53,0)</f>
        <v>40</v>
      </c>
      <c r="CV89" s="1223"/>
      <c r="CW89" s="1241">
        <f t="shared" si="87"/>
        <v>1</v>
      </c>
      <c r="CX89" s="899" t="s">
        <v>764</v>
      </c>
      <c r="CY89" s="899" t="s">
        <v>117</v>
      </c>
      <c r="CZ89" s="899" t="s">
        <v>327</v>
      </c>
      <c r="DA89" s="899" t="s">
        <v>765</v>
      </c>
      <c r="DB89" s="899"/>
      <c r="DC89" s="899" cm="1">
        <f t="array" aca="1" ref="DC89" ca="1">_xlfn.IFNA(OFFSET($I$49,MATCH(CY89,$I$50:$I$63,0),MATCH(CZ89,TRANSPOSE($J$49:$W$49),0)),0)</f>
        <v>4.4700000000000011E-2</v>
      </c>
      <c r="DD89" s="899" cm="1">
        <f t="array" aca="1" ref="DD89" ca="1">_xlfn.IFNA(OFFSET($Y$49,MATCH($CZ89,$Y$50:$Y$63,0),MATCH($DA89,TRANSPOSE($Z$49:$AM$49),0)),0)</f>
        <v>0.34300000000000003</v>
      </c>
      <c r="DE89" s="899" cm="1">
        <f t="array" aca="1" ref="DE89" ca="1">_xlfn.IFNA(OFFSET($AO$49,MATCH($DA89,$AO$50:$AO$63,0),MATCH($DB89,TRANSPOSE($AP$49:$BC$49),0)),0)</f>
        <v>0</v>
      </c>
      <c r="DF89" s="881">
        <f t="shared" ca="1" si="81"/>
        <v>1.5332100000000005E-2</v>
      </c>
      <c r="DG89" s="910">
        <f t="shared" ca="1" si="82"/>
        <v>0.99547352429578406</v>
      </c>
      <c r="DH89" s="881">
        <f t="shared" ca="1" si="83"/>
        <v>1.5262699621855396E-2</v>
      </c>
      <c r="DI89" s="1460">
        <f t="shared" ref="DI89:DI125" ca="1" si="124">326*DH89</f>
        <v>4.9756400767248596</v>
      </c>
      <c r="DJ89" s="909">
        <f>_xlfn.IFNA(INDEX('Resource use and costs'!$CQ$11:$CQ$53,MATCH($CZ89,'Resource use and costs'!$BA$11:$BA$53,0)),0)*_xlfn.IFNA(INDEX(DY$10:DY$23,MATCH($CZ89,$DX$10:$DX$23,0)),0)</f>
        <v>19241.032205</v>
      </c>
      <c r="DK89" s="909">
        <f>IF(dd_PartSA_2_lines = "Yes",0,_xlfn.IFNA(INDEX('Resource use and costs'!$CR$11:$CR$53,MATCH(DA89,'Resource use and costs'!$BA$11:$BA$53,0)),0)*_xlfn.IFNA(INDEX(EA$10:EA$23,MATCH($DA89,$DX$10:$DX$23,0)),0))</f>
        <v>0</v>
      </c>
      <c r="DL89" s="909">
        <f>IF(dd_PartSA_2_lines = "Yes",0,_xlfn.IFNA(INDEX('Resource use and costs'!$CS$11:$CS$53,MATCH(DB89,'Resource use and costs'!$BA$11:$BA$53,0)),0)*_xlfn.IFNA(INDEX(EC$10:EC$23,MATCH($DB89,$DX$10:$DX$23,0)),0))</f>
        <v>0</v>
      </c>
      <c r="DM89" s="909">
        <f t="shared" si="88"/>
        <v>19241.032205</v>
      </c>
      <c r="DN89" s="909">
        <f>SUM(_xlfn.IFNA(INDEX('Resource use and costs'!$DU$12:$DU$25,MATCH(CZ89,'Resource use and costs'!$DS$12:$DS$25,0)),0),_xlfn.IFNA(INDEX('Resource use and costs'!$DU$12:$DU$25,MATCH(DA89,'Resource use and costs'!$DS$12:$DS$25,0)),0),_xlfn.IFNA(INDEX('Resource use and costs'!$DU$12:$DU$25,MATCH(DB89,'Resource use and costs'!$DS$12:$DS$25,0)),0))</f>
        <v>197.25</v>
      </c>
      <c r="DO89" s="921">
        <f>_xlfn.IFNA(INDEX('Resource use and costs'!$DY$12:$DY$25,MATCH(CZ89,'Resource use and costs'!$DS$12:$DS$25,0)),0)*_xlfn.IFNA(INDEX(DY$10:DY$23,MATCH($CZ89,$DX$10:$DX$23,0)),0)</f>
        <v>240.71806000000001</v>
      </c>
      <c r="DP89" s="921">
        <f>IF(dd_PartSA_2_lines = "Yes",0,_xlfn.IFNA(INDEX('Resource use and costs'!$DZ$12:$DZ$25,MATCH(DA89,'Resource use and costs'!$DS$12:$DS$25,0)),0)*_xlfn.IFNA(INDEX(EA$10:EA$23,MATCH($DA89,$DX$10:$DX$23,0)),0))</f>
        <v>0</v>
      </c>
      <c r="DQ89" s="921">
        <f>IF(dd_PartSA_2_lines = "Yes",0,_xlfn.IFNA(INDEX('Resource use and costs'!$EA$12:$EA$25,MATCH(DB89,'Resource use and costs'!$DS$12:$DS$25,0)),0)*_xlfn.IFNA(INDEX(EC$10:EC$23,MATCH($DB89,$DX$10:$DX$23,0)),0))</f>
        <v>0</v>
      </c>
      <c r="DR89" s="921">
        <f t="shared" si="89"/>
        <v>437.96806000000004</v>
      </c>
      <c r="DS89" s="1004">
        <f>SUMIFS('Safety parameters'!$DM$6:$DM$18,'Safety parameters'!$DK$6:$DK$18,CZ89,'Safety parameters'!$DL$6:$DL$18,1)+IF(dd_PartSA_2_lines = "Yes",0,SUMIFS('Safety parameters'!$DM$6:$DM$18,'Safety parameters'!$DK$6:$DK$18,DA89,'Safety parameters'!$DL$6:$DL$18,2)+SUMIFS('Safety parameters'!$DM$6:$DM$18,'Safety parameters'!$DK$6:$DK$18,DB89,'Safety parameters'!$DL$6:$DL$18,2))</f>
        <v>0</v>
      </c>
      <c r="DT89" s="910">
        <f>SUMIFS('Safety parameters'!$DO$6:$DO$18,'Safety parameters'!$DK$6:$DK$18,CZ89,'Safety parameters'!$DL$6:$DL$18,1)+IF(dd_PartSA_2_lines = "Yes",0,SUMIFS('Safety parameters'!$DO$6:$DO$18,'Safety parameters'!$DK$6:$DK$18,DA89,'Safety parameters'!$DL$6:$DL$18,2)+SUMIFS('Safety parameters'!$DO$6:$DO$18,'Safety parameters'!$DK$6:$DK$18,DB89,'Safety parameters'!$DL$6:$DL$18,2))</f>
        <v>0</v>
      </c>
    </row>
    <row r="90" spans="5:140" ht="15" x14ac:dyDescent="0.2">
      <c r="E90" s="4" t="str">
        <v>lenvatinib_plus_everolimus</v>
      </c>
      <c r="J90" s="1462">
        <f t="shared" si="97"/>
        <v>46.008571428571429</v>
      </c>
      <c r="K90" s="683"/>
      <c r="L90" s="683"/>
      <c r="M90" s="683"/>
      <c r="N90" s="683"/>
      <c r="O90" s="1021">
        <f t="shared" si="98"/>
        <v>43.50714285714286</v>
      </c>
      <c r="P90" s="1378">
        <f t="shared" si="99"/>
        <v>43.818571428571431</v>
      </c>
      <c r="Q90" s="1021">
        <f t="shared" si="100"/>
        <v>44.431428571428569</v>
      </c>
      <c r="R90" s="1021">
        <f t="shared" si="101"/>
        <v>48.628571428571419</v>
      </c>
      <c r="S90" s="1021">
        <f t="shared" si="102"/>
        <v>73.685714285714269</v>
      </c>
      <c r="T90" s="1417">
        <f t="shared" si="103"/>
        <v>15.714285714285714</v>
      </c>
      <c r="U90" s="1021">
        <f t="shared" si="104"/>
        <v>28.869999999999997</v>
      </c>
      <c r="V90" s="911"/>
      <c r="W90" s="667"/>
      <c r="Y90" s="740" t="str">
        <v>lenvatinib_plus_everolimus</v>
      </c>
      <c r="Z90" s="1021">
        <f t="shared" si="105"/>
        <v>21.82</v>
      </c>
      <c r="AA90" s="745"/>
      <c r="AB90" s="745"/>
      <c r="AC90" s="745"/>
      <c r="AD90" s="745"/>
      <c r="AE90" s="1021">
        <f t="shared" si="106"/>
        <v>21.714285714285712</v>
      </c>
      <c r="AF90" s="1418">
        <f t="shared" si="107"/>
        <v>21.714285714285712</v>
      </c>
      <c r="AG90" s="1021">
        <f t="shared" si="108"/>
        <v>21.714285714285712</v>
      </c>
      <c r="AH90" s="1021">
        <f t="shared" si="109"/>
        <v>63.808571428571426</v>
      </c>
      <c r="AI90" s="1021">
        <f t="shared" si="110"/>
        <v>33.004285714285714</v>
      </c>
      <c r="AJ90" s="1021">
        <f t="shared" si="111"/>
        <v>13.547142857142855</v>
      </c>
      <c r="AK90" s="1021">
        <f t="shared" si="112"/>
        <v>26.28142857142857</v>
      </c>
      <c r="AL90" s="667"/>
      <c r="AM90" s="667"/>
      <c r="AP90" s="1021">
        <f t="shared" si="113"/>
        <v>21.82</v>
      </c>
      <c r="AQ90" s="877"/>
      <c r="AR90" s="877"/>
      <c r="AS90" s="877"/>
      <c r="AT90" s="877"/>
      <c r="AU90" s="1021">
        <f t="shared" si="114"/>
        <v>21.714285714285712</v>
      </c>
      <c r="AV90" s="1418">
        <f t="shared" si="115"/>
        <v>21.714285714285712</v>
      </c>
      <c r="AW90" s="1021">
        <f t="shared" si="116"/>
        <v>21.714285714285712</v>
      </c>
      <c r="AX90" s="1021">
        <f t="shared" si="117"/>
        <v>63.808571428571426</v>
      </c>
      <c r="AY90" s="1021">
        <f t="shared" si="118"/>
        <v>33.004285714285714</v>
      </c>
      <c r="AZ90" s="1021">
        <f t="shared" si="119"/>
        <v>24.508571428571429</v>
      </c>
      <c r="BA90" s="1021">
        <f t="shared" si="120"/>
        <v>22.357142857142858</v>
      </c>
      <c r="BB90" s="667"/>
      <c r="BC90" s="667"/>
      <c r="CK90" s="61" t="s">
        <v>31</v>
      </c>
      <c r="CL90" s="61">
        <v>2</v>
      </c>
      <c r="CM90" s="61" t="str">
        <v>axitinib</v>
      </c>
      <c r="CN90" s="17">
        <v>11</v>
      </c>
      <c r="CO90" s="61" t="str" cm="1">
        <f t="array" ref="CO90">INDEX(List_comparators,CP89+1)</f>
        <v>nivolumab_plus_ipilimumab</v>
      </c>
      <c r="CP90" s="17">
        <v>2</v>
      </c>
      <c r="CQ90" s="601">
        <f t="shared" ca="1" si="121"/>
        <v>0</v>
      </c>
      <c r="CR90" s="601">
        <f t="shared" ca="1" si="122"/>
        <v>0</v>
      </c>
      <c r="CS90" s="669">
        <f t="shared" ca="1" si="96"/>
        <v>0</v>
      </c>
      <c r="CT90" s="669">
        <f t="shared" ca="1" si="123"/>
        <v>0</v>
      </c>
      <c r="CU90" s="1123">
        <f>MATCH(CZ90,'Resource use and costs'!$BA$11:$BA$53,0)</f>
        <v>40</v>
      </c>
      <c r="CV90" s="1223"/>
      <c r="CW90" s="1241">
        <f t="shared" si="87"/>
        <v>1</v>
      </c>
      <c r="CX90" s="899" t="s">
        <v>764</v>
      </c>
      <c r="CY90" s="899" t="s">
        <v>117</v>
      </c>
      <c r="CZ90" s="899" t="s">
        <v>327</v>
      </c>
      <c r="DA90" s="899" t="s">
        <v>118</v>
      </c>
      <c r="DB90" s="899" t="s">
        <v>765</v>
      </c>
      <c r="DC90" s="899" cm="1">
        <f t="array" aca="1" ref="DC90" ca="1">_xlfn.IFNA(OFFSET($I$49,MATCH(CY90,$I$50:$I$63,0),MATCH(CZ90,TRANSPOSE($J$49:$W$49),0)),0)</f>
        <v>4.4700000000000011E-2</v>
      </c>
      <c r="DD90" s="899" cm="1">
        <f t="array" aca="1" ref="DD90" ca="1">_xlfn.IFNA(OFFSET($Y$49,MATCH($CZ90,$Y$50:$Y$63,0),MATCH($DA90,TRANSPOSE($Z$49:$AM$49),0)),0)</f>
        <v>0.32850000000000001</v>
      </c>
      <c r="DE90" s="899" cm="1">
        <f t="array" aca="1" ref="DE90" ca="1">_xlfn.IFNA(OFFSET($AO$49,MATCH($DA90,$AO$50:$AO$63,0),MATCH($DB90,TRANSPOSE($AP$49:$BC$49),0)),0)</f>
        <v>0.43140000000000001</v>
      </c>
      <c r="DF90" s="881">
        <f t="shared" ca="1" si="81"/>
        <v>6.3346560300000018E-3</v>
      </c>
      <c r="DG90" s="910">
        <f t="shared" ca="1" si="82"/>
        <v>0.99547352429578406</v>
      </c>
      <c r="DH90" s="881">
        <f t="shared" ca="1" si="83"/>
        <v>6.3059823633856418E-3</v>
      </c>
      <c r="DI90" s="1460">
        <f t="shared" ca="1" si="124"/>
        <v>2.0557502504637193</v>
      </c>
      <c r="DJ90" s="909">
        <f>_xlfn.IFNA(INDEX('Resource use and costs'!$CQ$11:$CQ$53,MATCH($CZ90,'Resource use and costs'!$BA$11:$BA$53,0)),0)*_xlfn.IFNA(INDEX(DY$10:DY$23,MATCH($CZ90,$DX$10:$DX$23,0)),0)</f>
        <v>19241.032205</v>
      </c>
      <c r="DK90" s="909">
        <f>IF(dd_PartSA_2_lines = "Yes",0,_xlfn.IFNA(INDEX('Resource use and costs'!$CR$11:$CR$53,MATCH(DA90,'Resource use and costs'!$BA$11:$BA$53,0)),0)*_xlfn.IFNA(INDEX(EA$10:EA$23,MATCH($DA90,$DX$10:$DX$23,0)),0))</f>
        <v>50308.075122000002</v>
      </c>
      <c r="DL90" s="909">
        <f>IF(dd_PartSA_2_lines = "Yes",0,_xlfn.IFNA(INDEX('Resource use and costs'!$CS$11:$CS$53,MATCH(DB90,'Resource use and costs'!$BA$11:$BA$53,0)),0)*_xlfn.IFNA(INDEX(EC$10:EC$23,MATCH($DB90,$DX$10:$DX$23,0)),0))</f>
        <v>0</v>
      </c>
      <c r="DM90" s="909">
        <f t="shared" si="88"/>
        <v>69549.107327000005</v>
      </c>
      <c r="DN90" s="909">
        <f>SUM(_xlfn.IFNA(INDEX('Resource use and costs'!$DU$12:$DU$25,MATCH(CZ90,'Resource use and costs'!$DS$12:$DS$25,0)),0),_xlfn.IFNA(INDEX('Resource use and costs'!$DU$12:$DU$25,MATCH(DA90,'Resource use and costs'!$DS$12:$DS$25,0)),0),_xlfn.IFNA(INDEX('Resource use and costs'!$DU$12:$DU$25,MATCH(DB90,'Resource use and costs'!$DS$12:$DS$25,0)),0))</f>
        <v>394.5</v>
      </c>
      <c r="DO90" s="921">
        <f>_xlfn.IFNA(INDEX('Resource use and costs'!$DY$12:$DY$25,MATCH(CZ90,'Resource use and costs'!$DS$12:$DS$25,0)),0)*_xlfn.IFNA(INDEX(DY$10:DY$23,MATCH($CZ90,$DX$10:$DX$23,0)),0)</f>
        <v>240.71806000000001</v>
      </c>
      <c r="DP90" s="921">
        <f>IF(dd_PartSA_2_lines = "Yes",0,_xlfn.IFNA(INDEX('Resource use and costs'!$DZ$12:$DZ$25,MATCH(DA90,'Resource use and costs'!$DS$12:$DS$25,0)),0)*_xlfn.IFNA(INDEX(EA$10:EA$23,MATCH($DA90,$DX$10:$DX$23,0)),0))</f>
        <v>461.1445457142857</v>
      </c>
      <c r="DQ90" s="921">
        <f>IF(dd_PartSA_2_lines = "Yes",0,_xlfn.IFNA(INDEX('Resource use and costs'!$EA$12:$EA$25,MATCH(DB90,'Resource use and costs'!$DS$12:$DS$25,0)),0)*_xlfn.IFNA(INDEX(EC$10:EC$23,MATCH($DB90,$DX$10:$DX$23,0)),0))</f>
        <v>0</v>
      </c>
      <c r="DR90" s="921">
        <f t="shared" si="89"/>
        <v>1096.3626057142858</v>
      </c>
      <c r="DS90" s="1004">
        <f ca="1">SUMIFS('Safety parameters'!$DM$6:$DM$18,'Safety parameters'!$DK$6:$DK$18,CZ90,'Safety parameters'!$DL$6:$DL$18,1)+IF(dd_PartSA_2_lines = "Yes",0,SUMIFS('Safety parameters'!$DM$6:$DM$18,'Safety parameters'!$DK$6:$DK$18,DA90,'Safety parameters'!$DL$6:$DL$18,2)+SUMIFS('Safety parameters'!$DM$6:$DM$18,'Safety parameters'!$DK$6:$DK$18,DB90,'Safety parameters'!$DL$6:$DL$18,2))</f>
        <v>743.64929980338343</v>
      </c>
      <c r="DT90" s="910">
        <f ca="1">SUMIFS('Safety parameters'!$DO$6:$DO$18,'Safety parameters'!$DK$6:$DK$18,CZ90,'Safety parameters'!$DL$6:$DL$18,1)+IF(dd_PartSA_2_lines = "Yes",0,SUMIFS('Safety parameters'!$DO$6:$DO$18,'Safety parameters'!$DK$6:$DK$18,DA90,'Safety parameters'!$DL$6:$DL$18,2)+SUMIFS('Safety parameters'!$DO$6:$DO$18,'Safety parameters'!$DK$6:$DK$18,DB90,'Safety parameters'!$DL$6:$DL$18,2))</f>
        <v>-7.0223263562359372E-3</v>
      </c>
    </row>
    <row r="91" spans="5:140" ht="15" x14ac:dyDescent="0.2">
      <c r="E91" s="4" t="str">
        <v>everolimus</v>
      </c>
      <c r="J91" s="1462">
        <f t="shared" si="97"/>
        <v>46.008571428571429</v>
      </c>
      <c r="K91" s="683"/>
      <c r="L91" s="683"/>
      <c r="M91" s="683"/>
      <c r="N91" s="683"/>
      <c r="O91" s="1021">
        <f t="shared" si="98"/>
        <v>43.50714285714286</v>
      </c>
      <c r="P91" s="1378">
        <f t="shared" si="99"/>
        <v>43.818571428571431</v>
      </c>
      <c r="Q91" s="1021">
        <f t="shared" si="100"/>
        <v>44.431428571428569</v>
      </c>
      <c r="R91" s="1021">
        <f t="shared" si="101"/>
        <v>48.628571428571419</v>
      </c>
      <c r="S91" s="1021">
        <f t="shared" si="102"/>
        <v>73.685714285714269</v>
      </c>
      <c r="T91" s="1417">
        <f t="shared" si="103"/>
        <v>15.714285714285714</v>
      </c>
      <c r="U91" s="1021">
        <f t="shared" si="104"/>
        <v>28.869999999999997</v>
      </c>
      <c r="V91" s="911"/>
      <c r="W91" s="667"/>
      <c r="Y91" s="740" t="str">
        <v>everolimus</v>
      </c>
      <c r="Z91" s="1021">
        <f t="shared" si="105"/>
        <v>21.82</v>
      </c>
      <c r="AA91" s="745"/>
      <c r="AB91" s="745"/>
      <c r="AC91" s="745"/>
      <c r="AD91" s="745"/>
      <c r="AE91" s="1021">
        <f t="shared" si="106"/>
        <v>21.714285714285712</v>
      </c>
      <c r="AF91" s="1418">
        <f t="shared" si="107"/>
        <v>21.714285714285712</v>
      </c>
      <c r="AG91" s="1021">
        <f t="shared" si="108"/>
        <v>21.714285714285712</v>
      </c>
      <c r="AH91" s="1021">
        <f t="shared" si="109"/>
        <v>63.808571428571426</v>
      </c>
      <c r="AI91" s="1021">
        <f t="shared" si="110"/>
        <v>33.004285714285714</v>
      </c>
      <c r="AJ91" s="1021">
        <f t="shared" si="111"/>
        <v>13.547142857142855</v>
      </c>
      <c r="AK91" s="1021">
        <f t="shared" si="112"/>
        <v>26.28142857142857</v>
      </c>
      <c r="AL91" s="667"/>
      <c r="AM91" s="667"/>
      <c r="AP91" s="1021">
        <f t="shared" si="113"/>
        <v>21.82</v>
      </c>
      <c r="AQ91" s="877"/>
      <c r="AR91" s="877"/>
      <c r="AS91" s="877"/>
      <c r="AT91" s="877"/>
      <c r="AU91" s="1021">
        <f t="shared" si="114"/>
        <v>21.714285714285712</v>
      </c>
      <c r="AV91" s="1418">
        <f t="shared" si="115"/>
        <v>21.714285714285712</v>
      </c>
      <c r="AW91" s="1021">
        <f t="shared" si="116"/>
        <v>21.714285714285712</v>
      </c>
      <c r="AX91" s="1021">
        <f t="shared" si="117"/>
        <v>63.808571428571426</v>
      </c>
      <c r="AY91" s="1021">
        <f t="shared" si="118"/>
        <v>33.004285714285714</v>
      </c>
      <c r="AZ91" s="1021">
        <f t="shared" si="119"/>
        <v>24.508571428571429</v>
      </c>
      <c r="BA91" s="1021">
        <f t="shared" si="120"/>
        <v>22.357142857142858</v>
      </c>
      <c r="BB91" s="667"/>
      <c r="BC91" s="667"/>
      <c r="CK91" s="61" t="s">
        <v>31</v>
      </c>
      <c r="CL91" s="61">
        <v>2</v>
      </c>
      <c r="CM91" s="61" t="str">
        <v>sorafenib</v>
      </c>
      <c r="CN91" s="17">
        <v>12</v>
      </c>
      <c r="CO91" s="61" t="str" cm="1">
        <f t="array" ref="CO91">INDEX(List_comparators,CP90+1)</f>
        <v>nivolumab_plus_ipilimumab</v>
      </c>
      <c r="CP91" s="17">
        <v>2</v>
      </c>
      <c r="CQ91" s="601">
        <f t="shared" ca="1" si="121"/>
        <v>0</v>
      </c>
      <c r="CR91" s="601">
        <f t="shared" ca="1" si="122"/>
        <v>0</v>
      </c>
      <c r="CS91" s="669">
        <f t="shared" ca="1" si="96"/>
        <v>0</v>
      </c>
      <c r="CT91" s="669">
        <f t="shared" ca="1" si="123"/>
        <v>0</v>
      </c>
      <c r="CU91" s="1123">
        <f>MATCH(CZ91,'Resource use and costs'!$BA$11:$BA$53,0)</f>
        <v>40</v>
      </c>
      <c r="CV91" s="1223"/>
      <c r="CW91" s="1241">
        <f t="shared" si="87"/>
        <v>1</v>
      </c>
      <c r="CX91" s="899" t="s">
        <v>764</v>
      </c>
      <c r="CY91" s="899" t="s">
        <v>117</v>
      </c>
      <c r="CZ91" s="899" t="s">
        <v>327</v>
      </c>
      <c r="DA91" s="899" t="s">
        <v>118</v>
      </c>
      <c r="DB91" s="899" t="s">
        <v>119</v>
      </c>
      <c r="DC91" s="899" cm="1">
        <f t="array" aca="1" ref="DC91" ca="1">_xlfn.IFNA(OFFSET($I$49,MATCH(CY91,$I$50:$I$63,0),MATCH(CZ91,TRANSPOSE($J$49:$W$49),0)),0)</f>
        <v>4.4700000000000011E-2</v>
      </c>
      <c r="DD91" s="899" cm="1">
        <f t="array" aca="1" ref="DD91" ca="1">_xlfn.IFNA(OFFSET($Y$49,MATCH($CZ91,$Y$50:$Y$63,0),MATCH($DA91,TRANSPOSE($Z$49:$AM$49),0)),0)</f>
        <v>0.32850000000000001</v>
      </c>
      <c r="DE91" s="899">
        <f ca="1">1-DE90</f>
        <v>0.56859999999999999</v>
      </c>
      <c r="DF91" s="881">
        <f t="shared" ca="1" si="81"/>
        <v>8.3492939700000029E-3</v>
      </c>
      <c r="DG91" s="910">
        <f t="shared" ca="1" si="82"/>
        <v>0.99547352429578406</v>
      </c>
      <c r="DH91" s="881">
        <f t="shared" ca="1" si="83"/>
        <v>8.3115010936974411E-3</v>
      </c>
      <c r="DI91" s="1460">
        <f t="shared" ca="1" si="124"/>
        <v>2.7095493565453657</v>
      </c>
      <c r="DJ91" s="909">
        <f>_xlfn.IFNA(INDEX('Resource use and costs'!$CQ$11:$CQ$53,MATCH($CZ91,'Resource use and costs'!$BA$11:$BA$53,0)),0)*_xlfn.IFNA(INDEX(DY$10:DY$23,MATCH($CZ91,$DX$10:$DX$23,0)),0)</f>
        <v>19241.032205</v>
      </c>
      <c r="DK91" s="909">
        <f>IF(dd_PartSA_2_lines = "Yes",0,_xlfn.IFNA(INDEX('Resource use and costs'!$CR$11:$CR$53,MATCH(DA91,'Resource use and costs'!$BA$11:$BA$53,0)),0)*_xlfn.IFNA(INDEX(EA$10:EA$23,MATCH($DA91,$DX$10:$DX$23,0)),0))</f>
        <v>50308.075122000002</v>
      </c>
      <c r="DL91" s="909">
        <f>IF(dd_PartSA_2_lines = "Yes",0,_xlfn.IFNA(INDEX('Resource use and costs'!$CS$11:$CS$53,MATCH(DB91,'Resource use and costs'!$BA$11:$BA$53,0)),0)*_xlfn.IFNA(INDEX(EC$10:EC$23,MATCH($DB91,$DX$10:$DX$23,0)),0))</f>
        <v>2915.4763433333328</v>
      </c>
      <c r="DM91" s="909">
        <f t="shared" si="88"/>
        <v>72464.583670333333</v>
      </c>
      <c r="DN91" s="909">
        <f>SUM(_xlfn.IFNA(INDEX('Resource use and costs'!$DU$12:$DU$25,MATCH(CZ91,'Resource use and costs'!$DS$12:$DS$25,0)),0),_xlfn.IFNA(INDEX('Resource use and costs'!$DU$12:$DU$25,MATCH(DA91,'Resource use and costs'!$DS$12:$DS$25,0)),0),_xlfn.IFNA(INDEX('Resource use and costs'!$DU$12:$DU$25,MATCH(DB91,'Resource use and costs'!$DS$12:$DS$25,0)),0))</f>
        <v>591.75</v>
      </c>
      <c r="DO91" s="921">
        <f>_xlfn.IFNA(INDEX('Resource use and costs'!$DY$12:$DY$25,MATCH(CZ91,'Resource use and costs'!$DS$12:$DS$25,0)),0)*_xlfn.IFNA(INDEX(DY$10:DY$23,MATCH($CZ91,$DX$10:$DX$23,0)),0)</f>
        <v>240.71806000000001</v>
      </c>
      <c r="DP91" s="921">
        <f>IF(dd_PartSA_2_lines = "Yes",0,_xlfn.IFNA(INDEX('Resource use and costs'!$DZ$12:$DZ$25,MATCH(DA91,'Resource use and costs'!$DS$12:$DS$25,0)),0)*_xlfn.IFNA(INDEX(EA$10:EA$23,MATCH($DA91,$DX$10:$DX$23,0)),0))</f>
        <v>461.1445457142857</v>
      </c>
      <c r="DQ91" s="921">
        <f>IF(dd_PartSA_2_lines = "Yes",0,_xlfn.IFNA(INDEX('Resource use and costs'!$EA$12:$EA$25,MATCH(DB91,'Resource use and costs'!$DS$12:$DS$25,0)),0)*_xlfn.IFNA(INDEX(EC$10:EC$23,MATCH($DB91,$DX$10:$DX$23,0)),0))</f>
        <v>256.11457142857142</v>
      </c>
      <c r="DR91" s="921">
        <f t="shared" si="89"/>
        <v>1549.7271771428573</v>
      </c>
      <c r="DS91" s="1004">
        <f ca="1">SUMIFS('Safety parameters'!$DM$6:$DM$18,'Safety parameters'!$DK$6:$DK$18,CZ91,'Safety parameters'!$DL$6:$DL$18,1)+IF(dd_PartSA_2_lines = "Yes",0,SUMIFS('Safety parameters'!$DM$6:$DM$18,'Safety parameters'!$DK$6:$DK$18,DA91,'Safety parameters'!$DL$6:$DL$18,2)+SUMIFS('Safety parameters'!$DM$6:$DM$18,'Safety parameters'!$DK$6:$DK$18,DB91,'Safety parameters'!$DL$6:$DL$18,2))</f>
        <v>1076.5246831786983</v>
      </c>
      <c r="DT91" s="910">
        <f ca="1">SUMIFS('Safety parameters'!$DO$6:$DO$18,'Safety parameters'!$DK$6:$DK$18,CZ91,'Safety parameters'!$DL$6:$DL$18,1)+IF(dd_PartSA_2_lines = "Yes",0,SUMIFS('Safety parameters'!$DO$6:$DO$18,'Safety parameters'!$DK$6:$DK$18,DA91,'Safety parameters'!$DL$6:$DL$18,2)+SUMIFS('Safety parameters'!$DO$6:$DO$18,'Safety parameters'!$DK$6:$DK$18,DB91,'Safety parameters'!$DL$6:$DL$18,2))</f>
        <v>-9.689899892873657E-3</v>
      </c>
    </row>
    <row r="92" spans="5:140" ht="15.75" thickBot="1" x14ac:dyDescent="0.25">
      <c r="E92" s="4" t="str">
        <v>axitinib</v>
      </c>
      <c r="J92" s="1462">
        <f t="shared" si="97"/>
        <v>46.008571428571429</v>
      </c>
      <c r="K92" s="683"/>
      <c r="L92" s="683"/>
      <c r="M92" s="683"/>
      <c r="N92" s="683"/>
      <c r="O92" s="1021">
        <f t="shared" si="98"/>
        <v>43.50714285714286</v>
      </c>
      <c r="P92" s="1378">
        <f t="shared" si="99"/>
        <v>43.818571428571431</v>
      </c>
      <c r="Q92" s="1021">
        <f t="shared" si="100"/>
        <v>44.431428571428569</v>
      </c>
      <c r="R92" s="1021">
        <f t="shared" si="101"/>
        <v>48.628571428571419</v>
      </c>
      <c r="S92" s="1021">
        <f t="shared" si="102"/>
        <v>73.685714285714269</v>
      </c>
      <c r="T92" s="1417">
        <f t="shared" si="103"/>
        <v>15.714285714285714</v>
      </c>
      <c r="U92" s="1021">
        <f t="shared" si="104"/>
        <v>28.869999999999997</v>
      </c>
      <c r="V92" s="78"/>
      <c r="W92" s="667"/>
      <c r="Y92" s="740" t="str">
        <v>axitinib</v>
      </c>
      <c r="Z92" s="1021">
        <f t="shared" si="105"/>
        <v>21.82</v>
      </c>
      <c r="AA92" s="745"/>
      <c r="AB92" s="745"/>
      <c r="AC92" s="745"/>
      <c r="AD92" s="745"/>
      <c r="AE92" s="1021">
        <f t="shared" si="106"/>
        <v>21.714285714285712</v>
      </c>
      <c r="AF92" s="1418">
        <f t="shared" si="107"/>
        <v>21.714285714285712</v>
      </c>
      <c r="AG92" s="1021">
        <f t="shared" si="108"/>
        <v>21.714285714285712</v>
      </c>
      <c r="AH92" s="1021">
        <f t="shared" si="109"/>
        <v>63.808571428571426</v>
      </c>
      <c r="AI92" s="1021">
        <f t="shared" si="110"/>
        <v>33.004285714285714</v>
      </c>
      <c r="AJ92" s="1021">
        <f t="shared" si="111"/>
        <v>13.547142857142855</v>
      </c>
      <c r="AK92" s="1021">
        <f t="shared" si="112"/>
        <v>26.28142857142857</v>
      </c>
      <c r="AL92" s="667"/>
      <c r="AM92" s="667"/>
      <c r="AP92" s="1021">
        <f t="shared" si="113"/>
        <v>21.82</v>
      </c>
      <c r="AQ92" s="877"/>
      <c r="AR92" s="877"/>
      <c r="AS92" s="877"/>
      <c r="AT92" s="877"/>
      <c r="AU92" s="1021">
        <f t="shared" si="114"/>
        <v>21.714285714285712</v>
      </c>
      <c r="AV92" s="1418">
        <f t="shared" si="115"/>
        <v>21.714285714285712</v>
      </c>
      <c r="AW92" s="1021">
        <f t="shared" si="116"/>
        <v>21.714285714285712</v>
      </c>
      <c r="AX92" s="1021">
        <f t="shared" si="117"/>
        <v>63.808571428571426</v>
      </c>
      <c r="AY92" s="1021">
        <f t="shared" si="118"/>
        <v>33.004285714285714</v>
      </c>
      <c r="AZ92" s="1021">
        <f t="shared" si="119"/>
        <v>24.508571428571429</v>
      </c>
      <c r="BA92" s="1021">
        <f t="shared" si="120"/>
        <v>22.357142857142858</v>
      </c>
      <c r="BB92" s="667"/>
      <c r="BC92" s="667"/>
      <c r="CK92" s="506" t="s">
        <v>31</v>
      </c>
      <c r="CL92" s="506">
        <v>2</v>
      </c>
      <c r="CM92" s="506" t="str">
        <v>placebo_BSC</v>
      </c>
      <c r="CN92" s="19">
        <v>999</v>
      </c>
      <c r="CO92" s="506" t="str" cm="1">
        <f t="array" ref="CO92">INDEX(List_comparators,CP79+1)</f>
        <v>nivolumab_plus_ipilimumab</v>
      </c>
      <c r="CP92" s="19">
        <v>2</v>
      </c>
      <c r="CQ92" s="602">
        <f t="shared" ca="1" si="121"/>
        <v>0</v>
      </c>
      <c r="CR92" s="602">
        <f t="shared" ca="1" si="122"/>
        <v>0</v>
      </c>
      <c r="CS92" s="670">
        <v>0</v>
      </c>
      <c r="CT92" s="670">
        <f t="shared" ca="1" si="123"/>
        <v>0</v>
      </c>
      <c r="CU92" s="1123">
        <f>MATCH(CZ92,'Resource use and costs'!$BA$11:$BA$53,0)</f>
        <v>40</v>
      </c>
      <c r="CV92" s="1223"/>
      <c r="CW92" s="1241">
        <f t="shared" si="87"/>
        <v>1</v>
      </c>
      <c r="CX92" s="899" t="s">
        <v>764</v>
      </c>
      <c r="CY92" s="899" t="s">
        <v>117</v>
      </c>
      <c r="CZ92" s="899" t="s">
        <v>327</v>
      </c>
      <c r="DA92" s="899" t="s">
        <v>119</v>
      </c>
      <c r="DB92" s="899" t="s">
        <v>765</v>
      </c>
      <c r="DC92" s="899" cm="1">
        <f t="array" aca="1" ref="DC92" ca="1">_xlfn.IFNA(OFFSET($I$49,MATCH(CY92,$I$50:$I$63,0),MATCH(CZ92,TRANSPOSE($J$49:$W$49),0)),0)</f>
        <v>4.4700000000000011E-2</v>
      </c>
      <c r="DD92" s="899" cm="1">
        <f t="array" aca="1" ref="DD92" ca="1">_xlfn.IFNA(OFFSET($Y$49,MATCH($CZ92,$Y$50:$Y$63,0),MATCH($DA92,TRANSPOSE($Z$49:$AM$49),0)),0)</f>
        <v>0</v>
      </c>
      <c r="DE92" s="899" cm="1">
        <f t="array" aca="1" ref="DE92" ca="1">_xlfn.IFNA(OFFSET($AO$49,MATCH($DA92,$AO$50:$AO$63,0),MATCH($DB92,TRANSPOSE($AP$49:$BC$49),0)),0)</f>
        <v>1</v>
      </c>
      <c r="DF92" s="881">
        <f t="shared" ca="1" si="81"/>
        <v>0</v>
      </c>
      <c r="DG92" s="910">
        <f t="shared" ca="1" si="82"/>
        <v>0.99547352429578406</v>
      </c>
      <c r="DH92" s="881">
        <f t="shared" ca="1" si="83"/>
        <v>0</v>
      </c>
      <c r="DI92" s="1460">
        <f t="shared" ca="1" si="124"/>
        <v>0</v>
      </c>
      <c r="DJ92" s="909">
        <f>_xlfn.IFNA(INDEX('Resource use and costs'!$CQ$11:$CQ$53,MATCH($CZ92,'Resource use and costs'!$BA$11:$BA$53,0)),0)*_xlfn.IFNA(INDEX(DY$10:DY$23,MATCH($CZ92,$DX$10:$DX$23,0)),0)</f>
        <v>19241.032205</v>
      </c>
      <c r="DK92" s="909">
        <f>IF(dd_PartSA_2_lines = "Yes",0,_xlfn.IFNA(INDEX('Resource use and costs'!$CR$11:$CR$53,MATCH(DA92,'Resource use and costs'!$BA$11:$BA$53,0)),0)*_xlfn.IFNA(INDEX(EA$10:EA$23,MATCH($DA92,$DX$10:$DX$23,0)),0))</f>
        <v>848.17532499999982</v>
      </c>
      <c r="DL92" s="909">
        <f>IF(dd_PartSA_2_lines = "Yes",0,_xlfn.IFNA(INDEX('Resource use and costs'!$CS$11:$CS$53,MATCH(DB92,'Resource use and costs'!$BA$11:$BA$53,0)),0)*_xlfn.IFNA(INDEX(EC$10:EC$23,MATCH($DB92,$DX$10:$DX$23,0)),0))</f>
        <v>0</v>
      </c>
      <c r="DM92" s="909">
        <f t="shared" si="88"/>
        <v>20089.20753</v>
      </c>
      <c r="DN92" s="909">
        <f>SUM(_xlfn.IFNA(INDEX('Resource use and costs'!$DU$12:$DU$25,MATCH(CZ92,'Resource use and costs'!$DS$12:$DS$25,0)),0),_xlfn.IFNA(INDEX('Resource use and costs'!$DU$12:$DU$25,MATCH(DA92,'Resource use and costs'!$DS$12:$DS$25,0)),0),_xlfn.IFNA(INDEX('Resource use and costs'!$DU$12:$DU$25,MATCH(DB92,'Resource use and costs'!$DS$12:$DS$25,0)),0))</f>
        <v>394.5</v>
      </c>
      <c r="DO92" s="921">
        <f>_xlfn.IFNA(INDEX('Resource use and costs'!$DY$12:$DY$25,MATCH(CZ92,'Resource use and costs'!$DS$12:$DS$25,0)),0)*_xlfn.IFNA(INDEX(DY$10:DY$23,MATCH($CZ92,$DX$10:$DX$23,0)),0)</f>
        <v>240.71806000000001</v>
      </c>
      <c r="DP92" s="921">
        <f>IF(dd_PartSA_2_lines = "Yes",0,_xlfn.IFNA(INDEX('Resource use and costs'!$DZ$12:$DZ$25,MATCH(DA92,'Resource use and costs'!$DS$12:$DS$25,0)),0)*_xlfn.IFNA(INDEX(EA$10:EA$23,MATCH($DA92,$DX$10:$DX$23,0)),0))</f>
        <v>74.50928571428571</v>
      </c>
      <c r="DQ92" s="921">
        <f>IF(dd_PartSA_2_lines = "Yes",0,_xlfn.IFNA(INDEX('Resource use and costs'!$EA$12:$EA$25,MATCH(DB92,'Resource use and costs'!$DS$12:$DS$25,0)),0)*_xlfn.IFNA(INDEX(EC$10:EC$23,MATCH($DB92,$DX$10:$DX$23,0)),0))</f>
        <v>0</v>
      </c>
      <c r="DR92" s="921">
        <f t="shared" si="89"/>
        <v>709.72734571428578</v>
      </c>
      <c r="DS92" s="1004">
        <f ca="1">SUMIFS('Safety parameters'!$DM$6:$DM$18,'Safety parameters'!$DK$6:$DK$18,CZ92,'Safety parameters'!$DL$6:$DL$18,1)+IF(dd_PartSA_2_lines = "Yes",0,SUMIFS('Safety parameters'!$DM$6:$DM$18,'Safety parameters'!$DK$6:$DK$18,DA92,'Safety parameters'!$DL$6:$DL$18,2)+SUMIFS('Safety parameters'!$DM$6:$DM$18,'Safety parameters'!$DK$6:$DK$18,DB92,'Safety parameters'!$DL$6:$DL$18,2))</f>
        <v>332.87538337531487</v>
      </c>
      <c r="DT92" s="910">
        <f ca="1">SUMIFS('Safety parameters'!$DO$6:$DO$18,'Safety parameters'!$DK$6:$DK$18,CZ92,'Safety parameters'!$DL$6:$DL$18,1)+IF(dd_PartSA_2_lines = "Yes",0,SUMIFS('Safety parameters'!$DO$6:$DO$18,'Safety parameters'!$DK$6:$DK$18,DA92,'Safety parameters'!$DL$6:$DL$18,2)+SUMIFS('Safety parameters'!$DO$6:$DO$18,'Safety parameters'!$DK$6:$DK$18,DB92,'Safety parameters'!$DL$6:$DL$18,2))</f>
        <v>-2.6675735366377194E-3</v>
      </c>
    </row>
    <row r="93" spans="5:140" ht="15" x14ac:dyDescent="0.2">
      <c r="E93" s="4" t="str">
        <v>sorafenib</v>
      </c>
      <c r="J93" s="667"/>
      <c r="K93" s="683"/>
      <c r="L93" s="683"/>
      <c r="M93" s="683"/>
      <c r="N93" s="683"/>
      <c r="O93" s="667"/>
      <c r="P93" s="667"/>
      <c r="Q93" s="667"/>
      <c r="R93" s="667"/>
      <c r="S93" s="667"/>
      <c r="T93" s="667"/>
      <c r="U93" s="667"/>
      <c r="V93" s="911"/>
      <c r="W93" s="667"/>
      <c r="Y93" s="740" t="str">
        <v>sorafenib</v>
      </c>
      <c r="Z93" s="667"/>
      <c r="AA93" s="667"/>
      <c r="AB93" s="667"/>
      <c r="AC93" s="667"/>
      <c r="AD93" s="667"/>
      <c r="AE93" s="667"/>
      <c r="AF93" s="667"/>
      <c r="AG93" s="667"/>
      <c r="AH93" s="667"/>
      <c r="AI93" s="667"/>
      <c r="AJ93" s="667"/>
      <c r="AK93" s="667"/>
      <c r="AL93" s="667"/>
      <c r="AM93" s="667"/>
      <c r="AP93" s="667"/>
      <c r="AQ93" s="877"/>
      <c r="AR93" s="877"/>
      <c r="AS93" s="877"/>
      <c r="AT93" s="877"/>
      <c r="AU93" s="667"/>
      <c r="AV93" s="667"/>
      <c r="AW93" s="667"/>
      <c r="AX93" s="667"/>
      <c r="AY93" s="667"/>
      <c r="AZ93" s="667"/>
      <c r="BA93" s="667"/>
      <c r="BB93" s="667"/>
      <c r="BC93" s="667"/>
      <c r="CK93" s="505" t="s">
        <v>31</v>
      </c>
      <c r="CL93" s="505">
        <v>2</v>
      </c>
      <c r="CM93" s="61" t="str" cm="1">
        <f t="array" ref="CM93:CM106">List_comparators</f>
        <v>nivolumab_monotherapy</v>
      </c>
      <c r="CN93" s="17">
        <v>0</v>
      </c>
      <c r="CO93" s="61" t="str" cm="1">
        <f t="array" ref="CO93">INDEX(List_comparators,CP93+1)</f>
        <v>lenvatinib_plus_pembrolizumab</v>
      </c>
      <c r="CP93" s="17">
        <v>3</v>
      </c>
      <c r="CQ93" s="603">
        <f t="shared" ca="1" si="121"/>
        <v>0</v>
      </c>
      <c r="CR93" s="603">
        <f t="shared" ca="1" si="122"/>
        <v>0</v>
      </c>
      <c r="CS93" s="669">
        <f t="shared" ref="CS93:CS105" ca="1" si="125">OFFSET($J$81,IF(CN93=999,13,CN93),CP93)</f>
        <v>0</v>
      </c>
      <c r="CT93" s="669">
        <f t="shared" ca="1" si="123"/>
        <v>0</v>
      </c>
      <c r="CU93" s="1123">
        <f>MATCH(CZ93,'Resource use and costs'!$BA$11:$BA$53,0)</f>
        <v>40</v>
      </c>
      <c r="CV93" s="1223"/>
      <c r="CW93" s="1241">
        <f t="shared" si="87"/>
        <v>1</v>
      </c>
      <c r="CX93" s="899" t="s">
        <v>764</v>
      </c>
      <c r="CY93" s="899" t="s">
        <v>117</v>
      </c>
      <c r="CZ93" s="899" t="s">
        <v>327</v>
      </c>
      <c r="DA93" s="899" t="s">
        <v>579</v>
      </c>
      <c r="DB93" s="899" t="s">
        <v>765</v>
      </c>
      <c r="DC93" s="899" cm="1">
        <f t="array" aca="1" ref="DC93" ca="1">_xlfn.IFNA(OFFSET($I$49,MATCH(CY93,$I$50:$I$63,0),MATCH(CZ93,TRANSPOSE($J$49:$W$49),0)),0)</f>
        <v>4.4700000000000011E-2</v>
      </c>
      <c r="DD93" s="899" cm="1">
        <f t="array" aca="1" ref="DD93" ca="1">_xlfn.IFNA(OFFSET($Y$49,MATCH($CZ93,$Y$50:$Y$63,0),MATCH($DA93,TRANSPOSE($Z$49:$AM$49),0)),0)</f>
        <v>0.32850000000000001</v>
      </c>
      <c r="DE93" s="899" cm="1">
        <f t="array" aca="1" ref="DE93" ca="1">_xlfn.IFNA(OFFSET($AO$49,MATCH($DA93,$AO$50:$AO$63,0),MATCH($DB93,TRANSPOSE($AP$49:$BC$49),0)),0)</f>
        <v>0.43140000000000001</v>
      </c>
      <c r="DF93" s="881">
        <f t="shared" ca="1" si="81"/>
        <v>6.3346560300000018E-3</v>
      </c>
      <c r="DG93" s="910">
        <f t="shared" ca="1" si="82"/>
        <v>0.99547352429578406</v>
      </c>
      <c r="DH93" s="881">
        <f t="shared" ca="1" si="83"/>
        <v>6.3059823633856418E-3</v>
      </c>
      <c r="DI93" s="1460">
        <f t="shared" ca="1" si="124"/>
        <v>2.0557502504637193</v>
      </c>
      <c r="DJ93" s="909">
        <f>_xlfn.IFNA(INDEX('Resource use and costs'!$CQ$11:$CQ$53,MATCH($CZ93,'Resource use and costs'!$BA$11:$BA$53,0)),0)*_xlfn.IFNA(INDEX(DY$10:DY$23,MATCH($CZ93,$DX$10:$DX$23,0)),0)</f>
        <v>19241.032205</v>
      </c>
      <c r="DK93" s="909">
        <f>IF(dd_PartSA_2_lines = "Yes",0,_xlfn.IFNA(INDEX('Resource use and costs'!$CR$11:$CR$53,MATCH(DA93,'Resource use and costs'!$BA$11:$BA$53,0)),0)*_xlfn.IFNA(INDEX(EA$10:EA$23,MATCH($DA93,$DX$10:$DX$23,0)),0))</f>
        <v>26054.50921</v>
      </c>
      <c r="DL93" s="909">
        <f>IF(dd_PartSA_2_lines = "Yes",0,_xlfn.IFNA(INDEX('Resource use and costs'!$CS$11:$CS$53,MATCH(DB93,'Resource use and costs'!$BA$11:$BA$53,0)),0)*_xlfn.IFNA(INDEX(EC$10:EC$23,MATCH($DB93,$DX$10:$DX$23,0)),0))</f>
        <v>0</v>
      </c>
      <c r="DM93" s="909">
        <f t="shared" si="88"/>
        <v>45295.541415</v>
      </c>
      <c r="DN93" s="909">
        <f>SUM(_xlfn.IFNA(INDEX('Resource use and costs'!$DU$12:$DU$25,MATCH(CZ93,'Resource use and costs'!$DS$12:$DS$25,0)),0),_xlfn.IFNA(INDEX('Resource use and costs'!$DU$12:$DU$25,MATCH(DA93,'Resource use and costs'!$DS$12:$DS$25,0)),0),_xlfn.IFNA(INDEX('Resource use and costs'!$DU$12:$DU$25,MATCH(DB93,'Resource use and costs'!$DS$12:$DS$25,0)),0))</f>
        <v>197.25</v>
      </c>
      <c r="DO93" s="921">
        <f>_xlfn.IFNA(INDEX('Resource use and costs'!$DY$12:$DY$25,MATCH(CZ93,'Resource use and costs'!$DS$12:$DS$25,0)),0)*_xlfn.IFNA(INDEX(DY$10:DY$23,MATCH($CZ93,$DX$10:$DX$23,0)),0)</f>
        <v>240.71806000000001</v>
      </c>
      <c r="DP93" s="921">
        <f>IF(dd_PartSA_2_lines = "Yes",0,_xlfn.IFNA(INDEX('Resource use and costs'!$DZ$12:$DZ$25,MATCH(DA93,'Resource use and costs'!$DS$12:$DS$25,0)),0)*_xlfn.IFNA(INDEX(EA$10:EA$23,MATCH($DA93,$DX$10:$DX$23,0)),0))</f>
        <v>4108.3597166</v>
      </c>
      <c r="DQ93" s="921">
        <f>IF(dd_PartSA_2_lines = "Yes",0,_xlfn.IFNA(INDEX('Resource use and costs'!$EA$12:$EA$25,MATCH(DB93,'Resource use and costs'!$DS$12:$DS$25,0)),0)*_xlfn.IFNA(INDEX(EC$10:EC$23,MATCH($DB93,$DX$10:$DX$23,0)),0))</f>
        <v>0</v>
      </c>
      <c r="DR93" s="921">
        <f t="shared" si="89"/>
        <v>4546.3277766000001</v>
      </c>
      <c r="DS93" s="1004">
        <f ca="1">SUMIFS('Safety parameters'!$DM$6:$DM$18,'Safety parameters'!$DK$6:$DK$18,CZ93,'Safety parameters'!$DL$6:$DL$18,1)+IF(dd_PartSA_2_lines = "Yes",0,SUMIFS('Safety parameters'!$DM$6:$DM$18,'Safety parameters'!$DK$6:$DK$18,DA93,'Safety parameters'!$DL$6:$DL$18,2)+SUMIFS('Safety parameters'!$DM$6:$DM$18,'Safety parameters'!$DK$6:$DK$18,DB93,'Safety parameters'!$DL$6:$DL$18,2))</f>
        <v>161.1337489904144</v>
      </c>
      <c r="DT93" s="910">
        <f ca="1">SUMIFS('Safety parameters'!$DO$6:$DO$18,'Safety parameters'!$DK$6:$DK$18,CZ93,'Safety parameters'!$DL$6:$DL$18,1)+IF(dd_PartSA_2_lines = "Yes",0,SUMIFS('Safety parameters'!$DO$6:$DO$18,'Safety parameters'!$DK$6:$DK$18,DA93,'Safety parameters'!$DL$6:$DL$18,2)+SUMIFS('Safety parameters'!$DO$6:$DO$18,'Safety parameters'!$DK$6:$DK$18,DB93,'Safety parameters'!$DL$6:$DL$18,2))</f>
        <v>-1.5970841976847864E-3</v>
      </c>
    </row>
    <row r="94" spans="5:140" ht="15" x14ac:dyDescent="0.2">
      <c r="E94" s="4" t="str">
        <v>placebo_BSC</v>
      </c>
      <c r="J94" s="667"/>
      <c r="K94" s="683"/>
      <c r="L94" s="683"/>
      <c r="M94" s="683"/>
      <c r="N94" s="683"/>
      <c r="O94" s="667"/>
      <c r="P94" s="667"/>
      <c r="Q94" s="667"/>
      <c r="R94" s="667"/>
      <c r="S94" s="667"/>
      <c r="T94" s="667"/>
      <c r="U94" s="667"/>
      <c r="V94" s="78"/>
      <c r="W94" s="667"/>
      <c r="Y94" s="740" t="str">
        <v>placebo_BSC</v>
      </c>
      <c r="Z94" s="667"/>
      <c r="AA94" s="667"/>
      <c r="AB94" s="667"/>
      <c r="AC94" s="667"/>
      <c r="AD94" s="667"/>
      <c r="AE94" s="667"/>
      <c r="AF94" s="667"/>
      <c r="AG94" s="667"/>
      <c r="AH94" s="667"/>
      <c r="AI94" s="667"/>
      <c r="AJ94" s="667"/>
      <c r="AK94" s="667"/>
      <c r="AL94" s="667"/>
      <c r="AM94" s="667"/>
      <c r="AP94" s="667"/>
      <c r="AQ94" s="877"/>
      <c r="AR94" s="877"/>
      <c r="AS94" s="877"/>
      <c r="AT94" s="877"/>
      <c r="AU94" s="667"/>
      <c r="AV94" s="667"/>
      <c r="AW94" s="667"/>
      <c r="AX94" s="667"/>
      <c r="AY94" s="667"/>
      <c r="AZ94" s="667"/>
      <c r="BA94" s="667"/>
      <c r="BB94" s="667"/>
      <c r="BC94" s="667"/>
      <c r="CK94" s="61" t="s">
        <v>31</v>
      </c>
      <c r="CL94" s="61">
        <v>2</v>
      </c>
      <c r="CM94" s="61" t="str">
        <v>cabozantinib_plus_nivolumab</v>
      </c>
      <c r="CN94" s="17">
        <v>1</v>
      </c>
      <c r="CO94" s="61" t="str" cm="1">
        <f t="array" ref="CO94">INDEX(List_comparators,CP93+1)</f>
        <v>lenvatinib_plus_pembrolizumab</v>
      </c>
      <c r="CP94" s="17">
        <v>3</v>
      </c>
      <c r="CQ94" s="601">
        <f t="shared" ca="1" si="121"/>
        <v>0</v>
      </c>
      <c r="CR94" s="601">
        <f t="shared" ca="1" si="122"/>
        <v>0</v>
      </c>
      <c r="CS94" s="669">
        <f t="shared" ca="1" si="125"/>
        <v>0</v>
      </c>
      <c r="CT94" s="669">
        <f t="shared" ca="1" si="123"/>
        <v>0</v>
      </c>
      <c r="CU94" s="1123">
        <f>MATCH(CZ94,'Resource use and costs'!$BA$11:$BA$53,0)</f>
        <v>40</v>
      </c>
      <c r="CV94" s="1223"/>
      <c r="CW94" s="1241">
        <f t="shared" si="87"/>
        <v>1</v>
      </c>
      <c r="CX94" s="899" t="s">
        <v>764</v>
      </c>
      <c r="CY94" s="899" t="s">
        <v>117</v>
      </c>
      <c r="CZ94" s="899" t="s">
        <v>327</v>
      </c>
      <c r="DA94" s="899" t="s">
        <v>579</v>
      </c>
      <c r="DB94" s="899" t="s">
        <v>119</v>
      </c>
      <c r="DC94" s="899" cm="1">
        <f t="array" aca="1" ref="DC94" ca="1">_xlfn.IFNA(OFFSET($I$49,MATCH(CY94,$I$50:$I$63,0),MATCH(CZ94,TRANSPOSE($J$49:$W$49),0)),0)</f>
        <v>4.4700000000000011E-2</v>
      </c>
      <c r="DD94" s="899" cm="1">
        <f t="array" aca="1" ref="DD94" ca="1">_xlfn.IFNA(OFFSET($Y$49,MATCH($CZ94,$Y$50:$Y$63,0),MATCH($DA94,TRANSPOSE($Z$49:$AM$49),0)),0)</f>
        <v>0.32850000000000001</v>
      </c>
      <c r="DE94" s="899">
        <f ca="1">1-DE93</f>
        <v>0.56859999999999999</v>
      </c>
      <c r="DF94" s="881">
        <f t="shared" ca="1" si="81"/>
        <v>8.3492939700000029E-3</v>
      </c>
      <c r="DG94" s="910">
        <f t="shared" ca="1" si="82"/>
        <v>0.99547352429578406</v>
      </c>
      <c r="DH94" s="881">
        <f t="shared" ca="1" si="83"/>
        <v>8.3115010936974411E-3</v>
      </c>
      <c r="DI94" s="1460">
        <f t="shared" ca="1" si="124"/>
        <v>2.7095493565453657</v>
      </c>
      <c r="DJ94" s="909">
        <f>_xlfn.IFNA(INDEX('Resource use and costs'!$CQ$11:$CQ$53,MATCH($CZ94,'Resource use and costs'!$BA$11:$BA$53,0)),0)*_xlfn.IFNA(INDEX(DY$10:DY$23,MATCH($CZ94,$DX$10:$DX$23,0)),0)</f>
        <v>19241.032205</v>
      </c>
      <c r="DK94" s="909">
        <f>IF(dd_PartSA_2_lines = "Yes",0,_xlfn.IFNA(INDEX('Resource use and costs'!$CR$11:$CR$53,MATCH(DA94,'Resource use and costs'!$BA$11:$BA$53,0)),0)*_xlfn.IFNA(INDEX(EA$10:EA$23,MATCH($DA94,$DX$10:$DX$23,0)),0))</f>
        <v>26054.50921</v>
      </c>
      <c r="DL94" s="909">
        <f>IF(dd_PartSA_2_lines = "Yes",0,_xlfn.IFNA(INDEX('Resource use and costs'!$CS$11:$CS$53,MATCH(DB94,'Resource use and costs'!$BA$11:$BA$53,0)),0)*_xlfn.IFNA(INDEX(EC$10:EC$23,MATCH($DB94,$DX$10:$DX$23,0)),0))</f>
        <v>2915.4763433333328</v>
      </c>
      <c r="DM94" s="909">
        <f t="shared" si="88"/>
        <v>48211.017758333335</v>
      </c>
      <c r="DN94" s="909">
        <f>SUM(_xlfn.IFNA(INDEX('Resource use and costs'!$DU$12:$DU$25,MATCH(CZ94,'Resource use and costs'!$DS$12:$DS$25,0)),0),_xlfn.IFNA(INDEX('Resource use and costs'!$DU$12:$DU$25,MATCH(DA94,'Resource use and costs'!$DS$12:$DS$25,0)),0),_xlfn.IFNA(INDEX('Resource use and costs'!$DU$12:$DU$25,MATCH(DB94,'Resource use and costs'!$DS$12:$DS$25,0)),0))</f>
        <v>394.5</v>
      </c>
      <c r="DO94" s="921">
        <f>_xlfn.IFNA(INDEX('Resource use and costs'!$DY$12:$DY$25,MATCH(CZ94,'Resource use and costs'!$DS$12:$DS$25,0)),0)*_xlfn.IFNA(INDEX(DY$10:DY$23,MATCH($CZ94,$DX$10:$DX$23,0)),0)</f>
        <v>240.71806000000001</v>
      </c>
      <c r="DP94" s="921">
        <f>IF(dd_PartSA_2_lines = "Yes",0,_xlfn.IFNA(INDEX('Resource use and costs'!$DZ$12:$DZ$25,MATCH(DA94,'Resource use and costs'!$DS$12:$DS$25,0)),0)*_xlfn.IFNA(INDEX(EA$10:EA$23,MATCH($DA94,$DX$10:$DX$23,0)),0))</f>
        <v>4108.3597166</v>
      </c>
      <c r="DQ94" s="921">
        <f>IF(dd_PartSA_2_lines = "Yes",0,_xlfn.IFNA(INDEX('Resource use and costs'!$EA$12:$EA$25,MATCH(DB94,'Resource use and costs'!$DS$12:$DS$25,0)),0)*_xlfn.IFNA(INDEX(EC$10:EC$23,MATCH($DB94,$DX$10:$DX$23,0)),0))</f>
        <v>256.11457142857142</v>
      </c>
      <c r="DR94" s="921">
        <f t="shared" si="89"/>
        <v>4999.6923480285714</v>
      </c>
      <c r="DS94" s="1004">
        <f ca="1">SUMIFS('Safety parameters'!$DM$6:$DM$18,'Safety parameters'!$DK$6:$DK$18,CZ94,'Safety parameters'!$DL$6:$DL$18,1)+IF(dd_PartSA_2_lines = "Yes",0,SUMIFS('Safety parameters'!$DM$6:$DM$18,'Safety parameters'!$DK$6:$DK$18,DA94,'Safety parameters'!$DL$6:$DL$18,2)+SUMIFS('Safety parameters'!$DM$6:$DM$18,'Safety parameters'!$DK$6:$DK$18,DB94,'Safety parameters'!$DL$6:$DL$18,2))</f>
        <v>494.00913236572927</v>
      </c>
      <c r="DT94" s="910">
        <f ca="1">SUMIFS('Safety parameters'!$DO$6:$DO$18,'Safety parameters'!$DK$6:$DK$18,CZ94,'Safety parameters'!$DL$6:$DL$18,1)+IF(dd_PartSA_2_lines = "Yes",0,SUMIFS('Safety parameters'!$DO$6:$DO$18,'Safety parameters'!$DK$6:$DK$18,DA94,'Safety parameters'!$DL$6:$DL$18,2)+SUMIFS('Safety parameters'!$DO$6:$DO$18,'Safety parameters'!$DK$6:$DK$18,DB94,'Safety parameters'!$DL$6:$DL$18,2))</f>
        <v>-4.2646577343225054E-3</v>
      </c>
    </row>
    <row r="95" spans="5:140" ht="15" x14ac:dyDescent="0.2">
      <c r="Y95" s="4" t="s">
        <v>161</v>
      </c>
      <c r="CK95" s="61" t="s">
        <v>31</v>
      </c>
      <c r="CL95" s="61">
        <v>2</v>
      </c>
      <c r="CM95" s="61" t="str">
        <v>nivolumab_plus_ipilimumab</v>
      </c>
      <c r="CN95" s="17">
        <v>2</v>
      </c>
      <c r="CO95" s="61" t="str" cm="1">
        <f t="array" ref="CO95">INDEX(List_comparators,CP94+1)</f>
        <v>lenvatinib_plus_pembrolizumab</v>
      </c>
      <c r="CP95" s="17">
        <v>3</v>
      </c>
      <c r="CQ95" s="601">
        <f t="shared" ca="1" si="121"/>
        <v>0</v>
      </c>
      <c r="CR95" s="601">
        <f t="shared" ca="1" si="122"/>
        <v>0</v>
      </c>
      <c r="CS95" s="669">
        <f t="shared" ca="1" si="125"/>
        <v>0</v>
      </c>
      <c r="CT95" s="669">
        <f t="shared" ca="1" si="123"/>
        <v>0</v>
      </c>
      <c r="CU95" s="1123" t="e">
        <f>MATCH(CZ95,'Resource use and costs'!$BA$11:$BA$53,0)</f>
        <v>#N/A</v>
      </c>
      <c r="CV95" s="1223"/>
      <c r="CW95" s="1241">
        <f t="shared" si="87"/>
        <v>0</v>
      </c>
      <c r="CX95" s="899" t="s">
        <v>764</v>
      </c>
      <c r="CY95" s="899" t="s">
        <v>117</v>
      </c>
      <c r="CZ95" s="899" t="s">
        <v>765</v>
      </c>
      <c r="DA95" s="899"/>
      <c r="DB95" s="899"/>
      <c r="DC95" s="899" cm="1">
        <f t="array" aca="1" ref="DC95" ca="1">_xlfn.IFNA(OFFSET($I$49,MATCH(CY95,$I$50:$I$63,0),MATCH(CZ95,TRANSPOSE($J$49:$W$49),0)),0)</f>
        <v>0.32569999999999999</v>
      </c>
      <c r="DD95" s="899" cm="1">
        <f t="array" aca="1" ref="DD95" ca="1">_xlfn.IFNA(OFFSET($Y$49,MATCH($CZ95,$Y$50:$Y$63,0),MATCH($DA95,TRANSPOSE($Z$49:$AM$49),0)),0)</f>
        <v>0</v>
      </c>
      <c r="DE95" s="899" cm="1">
        <f t="array" aca="1" ref="DE95" ca="1">_xlfn.IFNA(OFFSET($AO$49,MATCH($DA95,$AO$50:$AO$63,0),MATCH($DB95,TRANSPOSE($AP$49:$BC$49),0)),0)</f>
        <v>0</v>
      </c>
      <c r="DF95" s="881">
        <f t="shared" ca="1" si="81"/>
        <v>0.32569999999999999</v>
      </c>
      <c r="DG95" s="910">
        <f t="shared" ca="1" si="82"/>
        <v>0.99547352429578406</v>
      </c>
      <c r="DH95" s="881">
        <f t="shared" ca="1" si="83"/>
        <v>0.32569999999999999</v>
      </c>
      <c r="DI95" s="1460">
        <f t="shared" ca="1" si="124"/>
        <v>106.17819999999999</v>
      </c>
      <c r="DJ95" s="909">
        <f>_xlfn.IFNA(INDEX('Resource use and costs'!$CQ$11:$CQ$53,MATCH($CZ95,'Resource use and costs'!$BA$11:$BA$53,0)),0)*_xlfn.IFNA(INDEX(DY$10:DY$23,MATCH($CZ95,$DX$10:$DX$23,0)),0)</f>
        <v>0</v>
      </c>
      <c r="DK95" s="909">
        <f>IF(dd_PartSA_2_lines = "Yes",0,_xlfn.IFNA(INDEX('Resource use and costs'!$CR$11:$CR$53,MATCH(DA95,'Resource use and costs'!$BA$11:$BA$53,0)),0)*_xlfn.IFNA(INDEX(EA$10:EA$23,MATCH($DA95,$DX$10:$DX$23,0)),0))</f>
        <v>0</v>
      </c>
      <c r="DL95" s="909">
        <f>IF(dd_PartSA_2_lines = "Yes",0,_xlfn.IFNA(INDEX('Resource use and costs'!$CS$11:$CS$53,MATCH(DB95,'Resource use and costs'!$BA$11:$BA$53,0)),0)*_xlfn.IFNA(INDEX(EC$10:EC$23,MATCH($DB95,$DX$10:$DX$23,0)),0))</f>
        <v>0</v>
      </c>
      <c r="DM95" s="909">
        <f t="shared" si="88"/>
        <v>0</v>
      </c>
      <c r="DN95" s="909">
        <f>SUM(_xlfn.IFNA(INDEX('Resource use and costs'!$DU$12:$DU$25,MATCH(CZ95,'Resource use and costs'!$DS$12:$DS$25,0)),0),_xlfn.IFNA(INDEX('Resource use and costs'!$DU$12:$DU$25,MATCH(DA95,'Resource use and costs'!$DS$12:$DS$25,0)),0),_xlfn.IFNA(INDEX('Resource use and costs'!$DU$12:$DU$25,MATCH(DB95,'Resource use and costs'!$DS$12:$DS$25,0)),0))</f>
        <v>0</v>
      </c>
      <c r="DO95" s="921">
        <f>_xlfn.IFNA(INDEX('Resource use and costs'!$DY$12:$DY$25,MATCH(CZ95,'Resource use and costs'!$DS$12:$DS$25,0)),0)*_xlfn.IFNA(INDEX(DY$10:DY$23,MATCH($CZ95,$DX$10:$DX$23,0)),0)</f>
        <v>0</v>
      </c>
      <c r="DP95" s="921">
        <f>IF(dd_PartSA_2_lines = "Yes",0,_xlfn.IFNA(INDEX('Resource use and costs'!$DZ$12:$DZ$25,MATCH(DA95,'Resource use and costs'!$DS$12:$DS$25,0)),0)*_xlfn.IFNA(INDEX(EA$10:EA$23,MATCH($DA95,$DX$10:$DX$23,0)),0))</f>
        <v>0</v>
      </c>
      <c r="DQ95" s="921">
        <f>IF(dd_PartSA_2_lines = "Yes",0,_xlfn.IFNA(INDEX('Resource use and costs'!$EA$12:$EA$25,MATCH(DB95,'Resource use and costs'!$DS$12:$DS$25,0)),0)*_xlfn.IFNA(INDEX(EC$10:EC$23,MATCH($DB95,$DX$10:$DX$23,0)),0))</f>
        <v>0</v>
      </c>
      <c r="DR95" s="921">
        <f t="shared" si="89"/>
        <v>0</v>
      </c>
      <c r="DS95" s="1004">
        <f>SUMIFS('Safety parameters'!$DM$6:$DM$18,'Safety parameters'!$DK$6:$DK$18,CZ95,'Safety parameters'!$DL$6:$DL$18,1)+IF(dd_PartSA_2_lines = "Yes",0,SUMIFS('Safety parameters'!$DM$6:$DM$18,'Safety parameters'!$DK$6:$DK$18,DA95,'Safety parameters'!$DL$6:$DL$18,2)+SUMIFS('Safety parameters'!$DM$6:$DM$18,'Safety parameters'!$DK$6:$DK$18,DB95,'Safety parameters'!$DL$6:$DL$18,2))</f>
        <v>0</v>
      </c>
      <c r="DT95" s="910">
        <f>SUMIFS('Safety parameters'!$DO$6:$DO$18,'Safety parameters'!$DK$6:$DK$18,CZ95,'Safety parameters'!$DL$6:$DL$18,1)+IF(dd_PartSA_2_lines = "Yes",0,SUMIFS('Safety parameters'!$DO$6:$DO$18,'Safety parameters'!$DK$6:$DK$18,DA95,'Safety parameters'!$DL$6:$DL$18,2)+SUMIFS('Safety parameters'!$DO$6:$DO$18,'Safety parameters'!$DK$6:$DK$18,DB95,'Safety parameters'!$DL$6:$DL$18,2))</f>
        <v>0</v>
      </c>
    </row>
    <row r="96" spans="5:140" ht="15" x14ac:dyDescent="0.2">
      <c r="I96" s="4" t="s">
        <v>799</v>
      </c>
      <c r="K96" s="684"/>
      <c r="L96" s="684"/>
      <c r="M96" s="684"/>
      <c r="N96" s="684"/>
      <c r="Y96" s="4" t="s">
        <v>799</v>
      </c>
      <c r="AO96" s="4" t="s">
        <v>799</v>
      </c>
      <c r="CK96" s="61" t="s">
        <v>31</v>
      </c>
      <c r="CL96" s="61">
        <v>2</v>
      </c>
      <c r="CM96" s="61" t="str">
        <v>lenvatinib_plus_pembrolizumab</v>
      </c>
      <c r="CN96" s="17">
        <v>3</v>
      </c>
      <c r="CO96" s="61" t="str" cm="1">
        <f t="array" ref="CO96">INDEX(List_comparators,CP95+1)</f>
        <v>lenvatinib_plus_pembrolizumab</v>
      </c>
      <c r="CP96" s="17">
        <v>3</v>
      </c>
      <c r="CQ96" s="601">
        <f t="shared" ca="1" si="121"/>
        <v>0</v>
      </c>
      <c r="CR96" s="601">
        <f t="shared" ca="1" si="122"/>
        <v>0</v>
      </c>
      <c r="CS96" s="669">
        <f t="shared" ca="1" si="125"/>
        <v>0</v>
      </c>
      <c r="CT96" s="669">
        <f t="shared" ca="1" si="123"/>
        <v>0</v>
      </c>
      <c r="CU96" s="1123">
        <f>MATCH(CZ96,'Resource use and costs'!$BA$11:$BA$53,0)</f>
        <v>30</v>
      </c>
      <c r="CV96" s="1223"/>
      <c r="CW96" s="1241">
        <f t="shared" si="87"/>
        <v>1</v>
      </c>
      <c r="CX96" s="899" t="s">
        <v>764</v>
      </c>
      <c r="CY96" s="899" t="s">
        <v>117</v>
      </c>
      <c r="CZ96" s="899" t="s">
        <v>118</v>
      </c>
      <c r="DA96" s="899" t="s">
        <v>327</v>
      </c>
      <c r="DB96" s="899" t="s">
        <v>765</v>
      </c>
      <c r="DC96" s="899">
        <f ca="1">1-DC89-DC95-DC104-DC116</f>
        <v>0.24580000000000002</v>
      </c>
      <c r="DD96" s="899" cm="1">
        <f t="array" aca="1" ref="DD96" ca="1">_xlfn.IFNA(OFFSET($Y$49,MATCH($CZ96,$Y$50:$Y$63,0),MATCH($DA96,TRANSPOSE($Z$49:$AM$49),0)),0)</f>
        <v>0.122</v>
      </c>
      <c r="DE96" s="899" cm="1">
        <f t="array" aca="1" ref="DE96" ca="1">_xlfn.IFNA(OFFSET($AO$49,MATCH($DA96,$AO$50:$AO$63,0),MATCH($DB96,TRANSPOSE($AP$49:$BC$49),0)),0)</f>
        <v>0.43140000000000001</v>
      </c>
      <c r="DF96" s="881">
        <f t="shared" ca="1" si="81"/>
        <v>1.2936650640000002E-2</v>
      </c>
      <c r="DG96" s="910">
        <f t="shared" ca="1" si="82"/>
        <v>0.99547352429578406</v>
      </c>
      <c r="DH96" s="881">
        <f t="shared" ca="1" si="83"/>
        <v>1.2878093205184113E-2</v>
      </c>
      <c r="DI96" s="1460">
        <f t="shared" ca="1" si="124"/>
        <v>4.1982583848900212</v>
      </c>
      <c r="DJ96" s="909">
        <f>_xlfn.IFNA(INDEX('Resource use and costs'!$CQ$11:$CQ$53,MATCH($CZ96,'Resource use and costs'!$BA$11:$BA$53,0)),0)*_xlfn.IFNA(INDEX(DY$10:DY$23,MATCH($CZ96,$DX$10:$DX$23,0)),0)</f>
        <v>45284.183573333321</v>
      </c>
      <c r="DK96" s="909">
        <f>IF(dd_PartSA_2_lines = "Yes",0,_xlfn.IFNA(INDEX('Resource use and costs'!$CR$11:$CR$53,MATCH(DA96,'Resource use and costs'!$BA$11:$BA$53,0)),0)*_xlfn.IFNA(INDEX(EA$10:EA$23,MATCH($DA96,$DX$10:$DX$23,0)),0))</f>
        <v>21421.066008214286</v>
      </c>
      <c r="DL96" s="909">
        <f>IF(dd_PartSA_2_lines = "Yes",0,_xlfn.IFNA(INDEX('Resource use and costs'!$CS$11:$CS$53,MATCH(DB96,'Resource use and costs'!$BA$11:$BA$53,0)),0)*_xlfn.IFNA(INDEX(EC$10:EC$23,MATCH($DB96,$DX$10:$DX$23,0)),0))</f>
        <v>0</v>
      </c>
      <c r="DM96" s="909">
        <f t="shared" si="88"/>
        <v>66705.2495815476</v>
      </c>
      <c r="DN96" s="909">
        <f>SUM(_xlfn.IFNA(INDEX('Resource use and costs'!$DU$12:$DU$25,MATCH(CZ96,'Resource use and costs'!$DS$12:$DS$25,0)),0),_xlfn.IFNA(INDEX('Resource use and costs'!$DU$12:$DU$25,MATCH(DA96,'Resource use and costs'!$DS$12:$DS$25,0)),0),_xlfn.IFNA(INDEX('Resource use and costs'!$DU$12:$DU$25,MATCH(DB96,'Resource use and costs'!$DS$12:$DS$25,0)),0))</f>
        <v>394.5</v>
      </c>
      <c r="DO96" s="921">
        <f>_xlfn.IFNA(INDEX('Resource use and costs'!$DY$12:$DY$25,MATCH(CZ96,'Resource use and costs'!$DS$12:$DS$25,0)),0)*_xlfn.IFNA(INDEX(DY$10:DY$23,MATCH($CZ96,$DX$10:$DX$23,0)),0)</f>
        <v>415.09348571428563</v>
      </c>
      <c r="DP96" s="921">
        <f>IF(dd_PartSA_2_lines = "Yes",0,_xlfn.IFNA(INDEX('Resource use and costs'!$DZ$12:$DZ$25,MATCH(DA96,'Resource use and costs'!$DS$12:$DS$25,0)),0)*_xlfn.IFNA(INDEX(EA$10:EA$23,MATCH($DA96,$DX$10:$DX$23,0)),0))</f>
        <v>267.99172714285714</v>
      </c>
      <c r="DQ96" s="921">
        <f>IF(dd_PartSA_2_lines = "Yes",0,_xlfn.IFNA(INDEX('Resource use and costs'!$EA$12:$EA$25,MATCH(DB96,'Resource use and costs'!$DS$12:$DS$25,0)),0)*_xlfn.IFNA(INDEX(EC$10:EC$23,MATCH($DB96,$DX$10:$DX$23,0)),0))</f>
        <v>0</v>
      </c>
      <c r="DR96" s="921">
        <f t="shared" si="89"/>
        <v>1077.5852128571428</v>
      </c>
      <c r="DS96" s="1004">
        <f ca="1">SUMIFS('Safety parameters'!$DM$6:$DM$18,'Safety parameters'!$DK$6:$DK$18,CZ96,'Safety parameters'!$DL$6:$DL$18,1)+IF(dd_PartSA_2_lines = "Yes",0,SUMIFS('Safety parameters'!$DM$6:$DM$18,'Safety parameters'!$DK$6:$DK$18,DA96,'Safety parameters'!$DL$6:$DL$18,2)+SUMIFS('Safety parameters'!$DM$6:$DM$18,'Safety parameters'!$DK$6:$DK$18,DB96,'Safety parameters'!$DL$6:$DL$18,2))</f>
        <v>2366.0578362496171</v>
      </c>
      <c r="DT96" s="910">
        <f ca="1">SUMIFS('Safety parameters'!$DO$6:$DO$18,'Safety parameters'!$DK$6:$DK$18,CZ96,'Safety parameters'!$DL$6:$DL$18,1)+IF(dd_PartSA_2_lines = "Yes",0,SUMIFS('Safety parameters'!$DO$6:$DO$18,'Safety parameters'!$DK$6:$DK$18,DA96,'Safety parameters'!$DL$6:$DL$18,2)+SUMIFS('Safety parameters'!$DO$6:$DO$18,'Safety parameters'!$DK$6:$DK$18,DB96,'Safety parameters'!$DL$6:$DL$18,2))</f>
        <v>-2.125891351595622E-2</v>
      </c>
    </row>
    <row r="97" spans="5:124" ht="15" x14ac:dyDescent="0.2">
      <c r="E97" s="4" t="str" cm="1">
        <f t="array" ref="E97:E110">List_comparators</f>
        <v>nivolumab_monotherapy</v>
      </c>
      <c r="J97" s="1224">
        <f t="shared" ref="J97:J108" si="126">CHOOSE(i_sub_txt_prop_num,15.86*i_days_to_weeks,27.52*i_days_to_weeks)</f>
        <v>3.9314285714285711</v>
      </c>
      <c r="K97" s="877"/>
      <c r="L97" s="877"/>
      <c r="M97" s="877"/>
      <c r="N97" s="877"/>
      <c r="O97" s="668">
        <f t="shared" ref="O97:O108" si="127">CHOOSE(i_sub_txt_prop_num,10.11*i_days_to_weeks,86.02*i_days_to_weeks)</f>
        <v>12.288571428571426</v>
      </c>
      <c r="P97" s="668">
        <f t="shared" ref="P97:P108" si="128">CHOOSE(i_sub_txt_prop_num,36.22*i_days_to_weeks,36.22*i_days_to_weeks)</f>
        <v>5.1742857142857135</v>
      </c>
      <c r="Q97" s="668">
        <f t="shared" ref="Q97:Q108" si="129">CHOOSE(i_sub_txt_prop_num,9.2*i_days_to_weeks,67.68*i_days_to_weeks)</f>
        <v>9.668571428571429</v>
      </c>
      <c r="R97" s="668">
        <f t="shared" ref="R97:R108" si="130">CHOOSE(i_sub_txt_prop_num,20.49*i_days_to_weeks,20.49*i_days_to_weeks)</f>
        <v>2.9271428571428566</v>
      </c>
      <c r="S97" s="668">
        <f t="shared" ref="S97:S108" si="131">CHOOSE(i_sub_txt_prop_num,8.57*i_days_to_weeks,110.81*i_days_to_weeks)</f>
        <v>15.83</v>
      </c>
      <c r="T97" s="668">
        <f t="shared" ref="T97:T108" si="132">CHOOSE(i_sub_txt_prop_num,8.57*i_days_to_weeks,8.57*i_days_to_weeks)</f>
        <v>1.2242857142857142</v>
      </c>
      <c r="U97" s="668">
        <f t="shared" ref="U97:U108" si="133">CHOOSE(i_sub_txt_prop_num,5.55*i_days_to_weeks,50.02*i_days_to_weeks)</f>
        <v>7.1457142857142859</v>
      </c>
      <c r="V97" s="78"/>
      <c r="W97" s="667"/>
      <c r="X97" s="927"/>
      <c r="Y97" s="927"/>
      <c r="Z97" s="668">
        <f t="shared" ref="Z97:Z108" si="134">CHOOSE(i_sub_txt_prop_num,J97,28.8*i_days_to_weeks)</f>
        <v>4.1142857142857139</v>
      </c>
      <c r="AA97" s="877"/>
      <c r="AB97" s="877"/>
      <c r="AC97" s="877"/>
      <c r="AD97" s="877"/>
      <c r="AE97" s="1224">
        <f t="shared" ref="AE97:AE108" si="135">CHOOSE(i_sub_txt_prop_num,O97,AG97)</f>
        <v>5.5785714285714283</v>
      </c>
      <c r="AF97" s="1224">
        <f t="shared" ref="AF97:AF108" si="136">CHOOSE(i_sub_txt_prop_num,P97,AG97)</f>
        <v>5.5785714285714283</v>
      </c>
      <c r="AG97" s="668">
        <f t="shared" ref="AG97:AG108" si="137">CHOOSE(i_sub_txt_prop_num,Q97,39.05*i_days_to_weeks)</f>
        <v>5.5785714285714283</v>
      </c>
      <c r="AH97" s="668">
        <f t="shared" ref="AH97:AH108" si="138">CHOOSE(i_sub_txt_prop_num,R97,50.53*i_days_to_weeks)</f>
        <v>7.218571428571428</v>
      </c>
      <c r="AI97" s="668">
        <f t="shared" ref="AI97:AI108" si="139">CHOOSE(i_sub_txt_prop_num,S97,48.24*i_days_to_weeks)</f>
        <v>6.8914285714285715</v>
      </c>
      <c r="AJ97" s="668">
        <f t="shared" ref="AJ97:AJ108" si="140">CHOOSE(i_sub_txt_prop_num,T97,22.44*i_days_to_weeks)</f>
        <v>3.2057142857142855</v>
      </c>
      <c r="AK97" s="668">
        <f t="shared" ref="AK97:AK108" si="141">CHOOSE(i_sub_txt_prop_num,U97,30.04*i_days_to_weeks)</f>
        <v>4.2914285714285709</v>
      </c>
      <c r="AL97" s="78"/>
      <c r="AM97" s="667"/>
      <c r="AN97" s="927"/>
      <c r="AO97" s="927"/>
      <c r="AP97" s="668">
        <f t="shared" ref="AP97:AP108" si="142">CHOOSE(i_sub_txt_prop_num,Z97,Z97)</f>
        <v>4.1142857142857139</v>
      </c>
      <c r="AQ97" s="877"/>
      <c r="AR97" s="877"/>
      <c r="AS97" s="877"/>
      <c r="AT97" s="877"/>
      <c r="AU97" s="668">
        <f t="shared" ref="AU97:AU108" si="143">CHOOSE(i_sub_txt_prop_num,AE97,AE97)</f>
        <v>5.5785714285714283</v>
      </c>
      <c r="AV97" s="668">
        <f t="shared" ref="AV97:AV108" si="144">CHOOSE(i_sub_txt_prop_num,AF97,AF97)</f>
        <v>5.5785714285714283</v>
      </c>
      <c r="AW97" s="668">
        <f t="shared" ref="AW97:AW108" si="145">CHOOSE(i_sub_txt_prop_num,AG97,AG97)</f>
        <v>5.5785714285714283</v>
      </c>
      <c r="AX97" s="668">
        <f t="shared" ref="AX97:AX108" si="146">CHOOSE(i_sub_txt_prop_num,AH97,AH97)</f>
        <v>7.218571428571428</v>
      </c>
      <c r="AY97" s="668">
        <f t="shared" ref="AY97:AY108" si="147">CHOOSE(i_sub_txt_prop_num,AI97,AI97)</f>
        <v>6.8914285714285715</v>
      </c>
      <c r="AZ97" s="668">
        <f t="shared" ref="AZ97:AZ108" si="148">CHOOSE(i_sub_txt_prop_num,AJ97,80.95*i_days_to_weeks)</f>
        <v>11.564285714285713</v>
      </c>
      <c r="BA97" s="668">
        <f t="shared" ref="BA97:BA108" si="149">CHOOSE(i_sub_txt_prop_num,AK97,30.66*i_days_to_weeks)</f>
        <v>4.38</v>
      </c>
      <c r="BB97" s="78"/>
      <c r="BC97" s="667"/>
      <c r="CK97" s="61" t="s">
        <v>31</v>
      </c>
      <c r="CL97" s="61">
        <v>2</v>
      </c>
      <c r="CM97" s="61" t="str">
        <v>avelumab_plus_axitinib</v>
      </c>
      <c r="CN97" s="17">
        <v>4</v>
      </c>
      <c r="CO97" s="61" t="str" cm="1">
        <f t="array" ref="CO97">INDEX(List_comparators,CP96+1)</f>
        <v>lenvatinib_plus_pembrolizumab</v>
      </c>
      <c r="CP97" s="17">
        <v>3</v>
      </c>
      <c r="CQ97" s="601">
        <f t="shared" ca="1" si="121"/>
        <v>0</v>
      </c>
      <c r="CR97" s="601">
        <f t="shared" ca="1" si="122"/>
        <v>0</v>
      </c>
      <c r="CS97" s="669">
        <f t="shared" ca="1" si="125"/>
        <v>0</v>
      </c>
      <c r="CT97" s="669">
        <f t="shared" ca="1" si="123"/>
        <v>0</v>
      </c>
      <c r="CU97" s="1123">
        <f>MATCH(CZ97,'Resource use and costs'!$BA$11:$BA$53,0)</f>
        <v>30</v>
      </c>
      <c r="CV97" s="1223"/>
      <c r="CW97" s="1241">
        <f t="shared" si="87"/>
        <v>1</v>
      </c>
      <c r="CX97" s="899" t="s">
        <v>764</v>
      </c>
      <c r="CY97" s="899" t="s">
        <v>117</v>
      </c>
      <c r="CZ97" s="899" t="s">
        <v>118</v>
      </c>
      <c r="DA97" s="899" t="s">
        <v>327</v>
      </c>
      <c r="DB97" s="899" t="s">
        <v>119</v>
      </c>
      <c r="DC97" s="899">
        <f t="shared" ref="DC97:DC103" ca="1" si="150">DC96</f>
        <v>0.24580000000000002</v>
      </c>
      <c r="DD97" s="899" cm="1">
        <f t="array" aca="1" ref="DD97" ca="1">_xlfn.IFNA(OFFSET($Y$49,MATCH($CZ97,$Y$50:$Y$63,0),MATCH($DA97,TRANSPOSE($Z$49:$AM$49),0)),0)</f>
        <v>0.122</v>
      </c>
      <c r="DE97" s="899" cm="1">
        <f t="array" aca="1" ref="DE97" ca="1">_xlfn.IFNA(OFFSET($AO$49,MATCH($DA97,$AO$50:$AO$63,0),MATCH($DB97,TRANSPOSE($AP$49:$BC$49),0)),0)</f>
        <v>0.56859999999999999</v>
      </c>
      <c r="DF97" s="881">
        <f t="shared" ca="1" si="81"/>
        <v>1.7050949360000001E-2</v>
      </c>
      <c r="DG97" s="910">
        <f t="shared" ca="1" si="82"/>
        <v>0.99547352429578406</v>
      </c>
      <c r="DH97" s="881">
        <f t="shared" ca="1" si="83"/>
        <v>1.6973768651988144E-2</v>
      </c>
      <c r="DI97" s="1460">
        <f t="shared" ca="1" si="124"/>
        <v>5.5334485805481348</v>
      </c>
      <c r="DJ97" s="909">
        <f>_xlfn.IFNA(INDEX('Resource use and costs'!$CQ$11:$CQ$53,MATCH($CZ97,'Resource use and costs'!$BA$11:$BA$53,0)),0)*_xlfn.IFNA(INDEX(DY$10:DY$23,MATCH($CZ97,$DX$10:$DX$23,0)),0)</f>
        <v>45284.183573333321</v>
      </c>
      <c r="DK97" s="909">
        <f>IF(dd_PartSA_2_lines = "Yes",0,_xlfn.IFNA(INDEX('Resource use and costs'!$CR$11:$CR$53,MATCH(DA97,'Resource use and costs'!$BA$11:$BA$53,0)),0)*_xlfn.IFNA(INDEX(EA$10:EA$23,MATCH($DA97,$DX$10:$DX$23,0)),0))</f>
        <v>21421.066008214286</v>
      </c>
      <c r="DL97" s="909">
        <f>IF(dd_PartSA_2_lines = "Yes",0,_xlfn.IFNA(INDEX('Resource use and costs'!$CS$11:$CS$53,MATCH(DB97,'Resource use and costs'!$BA$11:$BA$53,0)),0)*_xlfn.IFNA(INDEX(EC$10:EC$23,MATCH($DB97,$DX$10:$DX$23,0)),0))</f>
        <v>2915.4763433333328</v>
      </c>
      <c r="DM97" s="909">
        <f t="shared" si="88"/>
        <v>69620.725924880928</v>
      </c>
      <c r="DN97" s="909">
        <f>SUM(_xlfn.IFNA(INDEX('Resource use and costs'!$DU$12:$DU$25,MATCH(CZ97,'Resource use and costs'!$DS$12:$DS$25,0)),0),_xlfn.IFNA(INDEX('Resource use and costs'!$DU$12:$DU$25,MATCH(DA97,'Resource use and costs'!$DS$12:$DS$25,0)),0),_xlfn.IFNA(INDEX('Resource use and costs'!$DU$12:$DU$25,MATCH(DB97,'Resource use and costs'!$DS$12:$DS$25,0)),0))</f>
        <v>591.75</v>
      </c>
      <c r="DO97" s="921">
        <f>_xlfn.IFNA(INDEX('Resource use and costs'!$DY$12:$DY$25,MATCH(CZ97,'Resource use and costs'!$DS$12:$DS$25,0)),0)*_xlfn.IFNA(INDEX(DY$10:DY$23,MATCH($CZ97,$DX$10:$DX$23,0)),0)</f>
        <v>415.09348571428563</v>
      </c>
      <c r="DP97" s="921">
        <f>IF(dd_PartSA_2_lines = "Yes",0,_xlfn.IFNA(INDEX('Resource use and costs'!$DZ$12:$DZ$25,MATCH(DA97,'Resource use and costs'!$DS$12:$DS$25,0)),0)*_xlfn.IFNA(INDEX(EA$10:EA$23,MATCH($DA97,$DX$10:$DX$23,0)),0))</f>
        <v>267.99172714285714</v>
      </c>
      <c r="DQ97" s="921">
        <f>IF(dd_PartSA_2_lines = "Yes",0,_xlfn.IFNA(INDEX('Resource use and costs'!$EA$12:$EA$25,MATCH(DB97,'Resource use and costs'!$DS$12:$DS$25,0)),0)*_xlfn.IFNA(INDEX(EC$10:EC$23,MATCH($DB97,$DX$10:$DX$23,0)),0))</f>
        <v>256.11457142857142</v>
      </c>
      <c r="DR97" s="921">
        <f t="shared" si="89"/>
        <v>1530.9497842857143</v>
      </c>
      <c r="DS97" s="1004">
        <f ca="1">SUMIFS('Safety parameters'!$DM$6:$DM$18,'Safety parameters'!$DK$6:$DK$18,CZ97,'Safety parameters'!$DL$6:$DL$18,1)+IF(dd_PartSA_2_lines = "Yes",0,SUMIFS('Safety parameters'!$DM$6:$DM$18,'Safety parameters'!$DK$6:$DK$18,DA97,'Safety parameters'!$DL$6:$DL$18,2)+SUMIFS('Safety parameters'!$DM$6:$DM$18,'Safety parameters'!$DK$6:$DK$18,DB97,'Safety parameters'!$DL$6:$DL$18,2))</f>
        <v>2698.9332196249325</v>
      </c>
      <c r="DT97" s="910">
        <f ca="1">SUMIFS('Safety parameters'!$DO$6:$DO$18,'Safety parameters'!$DK$6:$DK$18,CZ97,'Safety parameters'!$DL$6:$DL$18,1)+IF(dd_PartSA_2_lines = "Yes",0,SUMIFS('Safety parameters'!$DO$6:$DO$18,'Safety parameters'!$DK$6:$DK$18,DA97,'Safety parameters'!$DL$6:$DL$18,2)+SUMIFS('Safety parameters'!$DO$6:$DO$18,'Safety parameters'!$DK$6:$DK$18,DB97,'Safety parameters'!$DL$6:$DL$18,2))</f>
        <v>-2.3926487052593939E-2</v>
      </c>
    </row>
    <row r="98" spans="5:124" ht="15" x14ac:dyDescent="0.2">
      <c r="E98" s="4" t="str">
        <v>cabozantinib_plus_nivolumab</v>
      </c>
      <c r="J98" s="1224">
        <f t="shared" si="126"/>
        <v>3.9314285714285711</v>
      </c>
      <c r="K98" s="877"/>
      <c r="L98" s="877"/>
      <c r="M98" s="877"/>
      <c r="N98" s="877"/>
      <c r="O98" s="668">
        <f t="shared" si="127"/>
        <v>12.288571428571426</v>
      </c>
      <c r="P98" s="668">
        <f t="shared" si="128"/>
        <v>5.1742857142857135</v>
      </c>
      <c r="Q98" s="668">
        <f t="shared" si="129"/>
        <v>9.668571428571429</v>
      </c>
      <c r="R98" s="668">
        <f t="shared" si="130"/>
        <v>2.9271428571428566</v>
      </c>
      <c r="S98" s="668">
        <f t="shared" si="131"/>
        <v>15.83</v>
      </c>
      <c r="T98" s="668">
        <f t="shared" si="132"/>
        <v>1.2242857142857142</v>
      </c>
      <c r="U98" s="668">
        <f t="shared" si="133"/>
        <v>7.1457142857142859</v>
      </c>
      <c r="V98" s="911"/>
      <c r="W98" s="667"/>
      <c r="X98" s="927"/>
      <c r="Y98" s="927"/>
      <c r="Z98" s="668">
        <f t="shared" si="134"/>
        <v>4.1142857142857139</v>
      </c>
      <c r="AA98" s="877"/>
      <c r="AB98" s="877"/>
      <c r="AC98" s="877"/>
      <c r="AD98" s="877"/>
      <c r="AE98" s="1224">
        <f t="shared" si="135"/>
        <v>5.5785714285714283</v>
      </c>
      <c r="AF98" s="1224">
        <f t="shared" si="136"/>
        <v>5.5785714285714283</v>
      </c>
      <c r="AG98" s="668">
        <f t="shared" si="137"/>
        <v>5.5785714285714283</v>
      </c>
      <c r="AH98" s="668">
        <f t="shared" si="138"/>
        <v>7.218571428571428</v>
      </c>
      <c r="AI98" s="668">
        <f t="shared" si="139"/>
        <v>6.8914285714285715</v>
      </c>
      <c r="AJ98" s="668">
        <f t="shared" si="140"/>
        <v>3.2057142857142855</v>
      </c>
      <c r="AK98" s="668">
        <f t="shared" si="141"/>
        <v>4.2914285714285709</v>
      </c>
      <c r="AL98" s="911"/>
      <c r="AM98" s="667"/>
      <c r="AN98" s="927"/>
      <c r="AO98" s="927"/>
      <c r="AP98" s="668">
        <f t="shared" si="142"/>
        <v>4.1142857142857139</v>
      </c>
      <c r="AQ98" s="877"/>
      <c r="AR98" s="877"/>
      <c r="AS98" s="877"/>
      <c r="AT98" s="877"/>
      <c r="AU98" s="668">
        <f t="shared" si="143"/>
        <v>5.5785714285714283</v>
      </c>
      <c r="AV98" s="668">
        <f t="shared" si="144"/>
        <v>5.5785714285714283</v>
      </c>
      <c r="AW98" s="668">
        <f t="shared" si="145"/>
        <v>5.5785714285714283</v>
      </c>
      <c r="AX98" s="668">
        <f t="shared" si="146"/>
        <v>7.218571428571428</v>
      </c>
      <c r="AY98" s="668">
        <f t="shared" si="147"/>
        <v>6.8914285714285715</v>
      </c>
      <c r="AZ98" s="668">
        <f t="shared" si="148"/>
        <v>11.564285714285713</v>
      </c>
      <c r="BA98" s="668">
        <f t="shared" si="149"/>
        <v>4.38</v>
      </c>
      <c r="BB98" s="911"/>
      <c r="BC98" s="667"/>
      <c r="CK98" s="61" t="s">
        <v>31</v>
      </c>
      <c r="CL98" s="61">
        <v>2</v>
      </c>
      <c r="CM98" s="61" t="str">
        <v>pazopanib</v>
      </c>
      <c r="CN98" s="17">
        <v>5</v>
      </c>
      <c r="CO98" s="61" t="str" cm="1">
        <f t="array" ref="CO98">INDEX(List_comparators,CP97+1)</f>
        <v>lenvatinib_plus_pembrolizumab</v>
      </c>
      <c r="CP98" s="17">
        <v>3</v>
      </c>
      <c r="CQ98" s="601">
        <f t="shared" ca="1" si="121"/>
        <v>0</v>
      </c>
      <c r="CR98" s="601">
        <f t="shared" ca="1" si="122"/>
        <v>0</v>
      </c>
      <c r="CS98" s="669">
        <f t="shared" ca="1" si="125"/>
        <v>0</v>
      </c>
      <c r="CT98" s="669">
        <f t="shared" ca="1" si="123"/>
        <v>0</v>
      </c>
      <c r="CU98" s="1123">
        <f>MATCH(CZ98,'Resource use and costs'!$BA$11:$BA$53,0)</f>
        <v>30</v>
      </c>
      <c r="CV98" s="1223"/>
      <c r="CW98" s="1241">
        <f t="shared" si="87"/>
        <v>1</v>
      </c>
      <c r="CX98" s="899" t="s">
        <v>764</v>
      </c>
      <c r="CY98" s="899" t="s">
        <v>117</v>
      </c>
      <c r="CZ98" s="899" t="s">
        <v>118</v>
      </c>
      <c r="DA98" s="899" t="s">
        <v>765</v>
      </c>
      <c r="DB98" s="899"/>
      <c r="DC98" s="899">
        <f t="shared" ca="1" si="150"/>
        <v>0.24580000000000002</v>
      </c>
      <c r="DD98" s="899" cm="1">
        <f t="array" aca="1" ref="DD98" ca="1">_xlfn.IFNA(OFFSET($Y$49,MATCH($CZ98,$Y$50:$Y$63,0),MATCH($DA98,TRANSPOSE($Z$49:$AM$49),0)),0)</f>
        <v>0.34300000000000003</v>
      </c>
      <c r="DE98" s="899" cm="1">
        <f t="array" aca="1" ref="DE98" ca="1">_xlfn.IFNA(OFFSET($AO$49,MATCH($DA98,$AO$50:$AO$63,0),MATCH($DB98,TRANSPOSE($AP$49:$BC$49),0)),0)</f>
        <v>0</v>
      </c>
      <c r="DF98" s="881">
        <f t="shared" ca="1" si="81"/>
        <v>8.4309400000000007E-2</v>
      </c>
      <c r="DG98" s="910">
        <f t="shared" ca="1" si="82"/>
        <v>0.99547352429578406</v>
      </c>
      <c r="DH98" s="881">
        <f t="shared" ca="1" si="83"/>
        <v>8.3927775549262978E-2</v>
      </c>
      <c r="DI98" s="1460">
        <f t="shared" ca="1" si="124"/>
        <v>27.36045482905973</v>
      </c>
      <c r="DJ98" s="909">
        <f>_xlfn.IFNA(INDEX('Resource use and costs'!$CQ$11:$CQ$53,MATCH($CZ98,'Resource use and costs'!$BA$11:$BA$53,0)),0)*_xlfn.IFNA(INDEX(DY$10:DY$23,MATCH($CZ98,$DX$10:$DX$23,0)),0)</f>
        <v>45284.183573333321</v>
      </c>
      <c r="DK98" s="909">
        <f>IF(dd_PartSA_2_lines = "Yes",0,_xlfn.IFNA(INDEX('Resource use and costs'!$CR$11:$CR$53,MATCH(DA98,'Resource use and costs'!$BA$11:$BA$53,0)),0)*_xlfn.IFNA(INDEX(EA$10:EA$23,MATCH($DA98,$DX$10:$DX$23,0)),0))</f>
        <v>0</v>
      </c>
      <c r="DL98" s="909">
        <f>IF(dd_PartSA_2_lines = "Yes",0,_xlfn.IFNA(INDEX('Resource use and costs'!$CS$11:$CS$53,MATCH(DB98,'Resource use and costs'!$BA$11:$BA$53,0)),0)*_xlfn.IFNA(INDEX(EC$10:EC$23,MATCH($DB98,$DX$10:$DX$23,0)),0))</f>
        <v>0</v>
      </c>
      <c r="DM98" s="909">
        <f t="shared" si="88"/>
        <v>45284.183573333321</v>
      </c>
      <c r="DN98" s="909">
        <f>SUM(_xlfn.IFNA(INDEX('Resource use and costs'!$DU$12:$DU$25,MATCH(CZ98,'Resource use and costs'!$DS$12:$DS$25,0)),0),_xlfn.IFNA(INDEX('Resource use and costs'!$DU$12:$DU$25,MATCH(DA98,'Resource use and costs'!$DS$12:$DS$25,0)),0),_xlfn.IFNA(INDEX('Resource use and costs'!$DU$12:$DU$25,MATCH(DB98,'Resource use and costs'!$DS$12:$DS$25,0)),0))</f>
        <v>197.25</v>
      </c>
      <c r="DO98" s="921">
        <f>_xlfn.IFNA(INDEX('Resource use and costs'!$DY$12:$DY$25,MATCH(CZ98,'Resource use and costs'!$DS$12:$DS$25,0)),0)*_xlfn.IFNA(INDEX(DY$10:DY$23,MATCH($CZ98,$DX$10:$DX$23,0)),0)</f>
        <v>415.09348571428563</v>
      </c>
      <c r="DP98" s="921">
        <f>IF(dd_PartSA_2_lines = "Yes",0,_xlfn.IFNA(INDEX('Resource use and costs'!$DZ$12:$DZ$25,MATCH(DA98,'Resource use and costs'!$DS$12:$DS$25,0)),0)*_xlfn.IFNA(INDEX(EA$10:EA$23,MATCH($DA98,$DX$10:$DX$23,0)),0))</f>
        <v>0</v>
      </c>
      <c r="DQ98" s="921">
        <f>IF(dd_PartSA_2_lines = "Yes",0,_xlfn.IFNA(INDEX('Resource use and costs'!$EA$12:$EA$25,MATCH(DB98,'Resource use and costs'!$DS$12:$DS$25,0)),0)*_xlfn.IFNA(INDEX(EC$10:EC$23,MATCH($DB98,$DX$10:$DX$23,0)),0))</f>
        <v>0</v>
      </c>
      <c r="DR98" s="921">
        <f t="shared" si="89"/>
        <v>612.34348571428563</v>
      </c>
      <c r="DS98" s="1004">
        <f ca="1">SUMIFS('Safety parameters'!$DM$6:$DM$18,'Safety parameters'!$DK$6:$DK$18,CZ98,'Safety parameters'!$DL$6:$DL$18,1)+IF(dd_PartSA_2_lines = "Yes",0,SUMIFS('Safety parameters'!$DM$6:$DM$18,'Safety parameters'!$DK$6:$DK$18,DA98,'Safety parameters'!$DL$6:$DL$18,2)+SUMIFS('Safety parameters'!$DM$6:$DM$18,'Safety parameters'!$DK$6:$DK$18,DB98,'Safety parameters'!$DL$6:$DL$18,2))</f>
        <v>731.82916268415761</v>
      </c>
      <c r="DT98" s="910">
        <f ca="1">SUMIFS('Safety parameters'!$DO$6:$DO$18,'Safety parameters'!$DK$6:$DK$18,CZ98,'Safety parameters'!$DL$6:$DL$18,1)+IF(dd_PartSA_2_lines = "Yes",0,SUMIFS('Safety parameters'!$DO$6:$DO$18,'Safety parameters'!$DK$6:$DK$18,DA98,'Safety parameters'!$DL$6:$DL$18,2)+SUMIFS('Safety parameters'!$DO$6:$DO$18,'Safety parameters'!$DK$6:$DK$18,DB98,'Safety parameters'!$DL$6:$DL$18,2))</f>
        <v>-6.5169895084747891E-3</v>
      </c>
    </row>
    <row r="99" spans="5:124" ht="15" x14ac:dyDescent="0.2">
      <c r="E99" s="4" t="str">
        <v>nivolumab_plus_ipilimumab</v>
      </c>
      <c r="J99" s="1224">
        <f t="shared" si="126"/>
        <v>3.9314285714285711</v>
      </c>
      <c r="K99" s="877"/>
      <c r="L99" s="877"/>
      <c r="M99" s="877"/>
      <c r="N99" s="877"/>
      <c r="O99" s="668">
        <f t="shared" si="127"/>
        <v>12.288571428571426</v>
      </c>
      <c r="P99" s="668">
        <f t="shared" si="128"/>
        <v>5.1742857142857135</v>
      </c>
      <c r="Q99" s="668">
        <f t="shared" si="129"/>
        <v>9.668571428571429</v>
      </c>
      <c r="R99" s="668">
        <f t="shared" si="130"/>
        <v>2.9271428571428566</v>
      </c>
      <c r="S99" s="668">
        <f t="shared" si="131"/>
        <v>15.83</v>
      </c>
      <c r="T99" s="668">
        <f t="shared" si="132"/>
        <v>1.2242857142857142</v>
      </c>
      <c r="U99" s="668">
        <f t="shared" si="133"/>
        <v>7.1457142857142859</v>
      </c>
      <c r="V99" s="911"/>
      <c r="W99" s="667"/>
      <c r="X99" s="927"/>
      <c r="Y99" s="927"/>
      <c r="Z99" s="668">
        <f t="shared" si="134"/>
        <v>4.1142857142857139</v>
      </c>
      <c r="AA99" s="877"/>
      <c r="AB99" s="877"/>
      <c r="AC99" s="877"/>
      <c r="AD99" s="877"/>
      <c r="AE99" s="1224">
        <f t="shared" si="135"/>
        <v>5.5785714285714283</v>
      </c>
      <c r="AF99" s="1224">
        <f t="shared" si="136"/>
        <v>5.5785714285714283</v>
      </c>
      <c r="AG99" s="668">
        <f t="shared" si="137"/>
        <v>5.5785714285714283</v>
      </c>
      <c r="AH99" s="668">
        <f t="shared" si="138"/>
        <v>7.218571428571428</v>
      </c>
      <c r="AI99" s="668">
        <f t="shared" si="139"/>
        <v>6.8914285714285715</v>
      </c>
      <c r="AJ99" s="668">
        <f t="shared" si="140"/>
        <v>3.2057142857142855</v>
      </c>
      <c r="AK99" s="668">
        <f t="shared" si="141"/>
        <v>4.2914285714285709</v>
      </c>
      <c r="AL99" s="911"/>
      <c r="AM99" s="667"/>
      <c r="AN99" s="927"/>
      <c r="AO99" s="927"/>
      <c r="AP99" s="668">
        <f t="shared" si="142"/>
        <v>4.1142857142857139</v>
      </c>
      <c r="AQ99" s="877"/>
      <c r="AR99" s="877"/>
      <c r="AS99" s="877"/>
      <c r="AT99" s="877"/>
      <c r="AU99" s="668">
        <f t="shared" si="143"/>
        <v>5.5785714285714283</v>
      </c>
      <c r="AV99" s="668">
        <f t="shared" si="144"/>
        <v>5.5785714285714283</v>
      </c>
      <c r="AW99" s="668">
        <f t="shared" si="145"/>
        <v>5.5785714285714283</v>
      </c>
      <c r="AX99" s="668">
        <f t="shared" si="146"/>
        <v>7.218571428571428</v>
      </c>
      <c r="AY99" s="668">
        <f t="shared" si="147"/>
        <v>6.8914285714285715</v>
      </c>
      <c r="AZ99" s="668">
        <f t="shared" si="148"/>
        <v>11.564285714285713</v>
      </c>
      <c r="BA99" s="668">
        <f t="shared" si="149"/>
        <v>4.38</v>
      </c>
      <c r="BB99" s="911"/>
      <c r="BC99" s="667"/>
      <c r="CK99" s="61" t="s">
        <v>31</v>
      </c>
      <c r="CL99" s="61">
        <v>2</v>
      </c>
      <c r="CM99" s="61" t="str">
        <v>tivozanib</v>
      </c>
      <c r="CN99" s="17">
        <v>6</v>
      </c>
      <c r="CO99" s="61" t="str" cm="1">
        <f t="array" ref="CO99">INDEX(List_comparators,CP98+1)</f>
        <v>lenvatinib_plus_pembrolizumab</v>
      </c>
      <c r="CP99" s="17">
        <v>3</v>
      </c>
      <c r="CQ99" s="601">
        <f t="shared" ca="1" si="121"/>
        <v>0</v>
      </c>
      <c r="CR99" s="601">
        <f t="shared" ca="1" si="122"/>
        <v>0</v>
      </c>
      <c r="CS99" s="669">
        <f t="shared" ca="1" si="125"/>
        <v>0</v>
      </c>
      <c r="CT99" s="669">
        <f t="shared" ca="1" si="123"/>
        <v>0</v>
      </c>
      <c r="CU99" s="1123">
        <f>MATCH(CZ99,'Resource use and costs'!$BA$11:$BA$53,0)</f>
        <v>30</v>
      </c>
      <c r="CV99" s="1223"/>
      <c r="CW99" s="1241">
        <f t="shared" si="87"/>
        <v>1</v>
      </c>
      <c r="CX99" s="899" t="s">
        <v>764</v>
      </c>
      <c r="CY99" s="899" t="s">
        <v>117</v>
      </c>
      <c r="CZ99" s="899" t="s">
        <v>118</v>
      </c>
      <c r="DA99" s="899" t="s">
        <v>119</v>
      </c>
      <c r="DB99" s="899" t="s">
        <v>327</v>
      </c>
      <c r="DC99" s="899">
        <f t="shared" ca="1" si="150"/>
        <v>0.24580000000000002</v>
      </c>
      <c r="DD99" s="899" cm="1">
        <f t="array" aca="1" ref="DD99" ca="1">_xlfn.IFNA(OFFSET($Y$49,MATCH($CZ99,$Y$50:$Y$63,0),MATCH($DA99,TRANSPOSE($Z$49:$AM$49),0)),0)</f>
        <v>6.5699999999999995E-2</v>
      </c>
      <c r="DE99" s="899" cm="1">
        <f t="array" aca="1" ref="DE99" ca="1">_xlfn.IFNA(OFFSET($AO$49,MATCH($DA99,$AO$50:$AO$63,0),MATCH($DB99,TRANSPOSE($AP$49:$BC$49),0)),0)</f>
        <v>0</v>
      </c>
      <c r="DF99" s="881">
        <f t="shared" ca="1" si="81"/>
        <v>0</v>
      </c>
      <c r="DG99" s="910">
        <f t="shared" ca="1" si="82"/>
        <v>0.99547352429578406</v>
      </c>
      <c r="DH99" s="881">
        <f t="shared" ca="1" si="83"/>
        <v>0</v>
      </c>
      <c r="DI99" s="1460">
        <f t="shared" ca="1" si="124"/>
        <v>0</v>
      </c>
      <c r="DJ99" s="909">
        <f>_xlfn.IFNA(INDEX('Resource use and costs'!$CQ$11:$CQ$53,MATCH($CZ99,'Resource use and costs'!$BA$11:$BA$53,0)),0)*_xlfn.IFNA(INDEX(DY$10:DY$23,MATCH($CZ99,$DX$10:$DX$23,0)),0)</f>
        <v>45284.183573333321</v>
      </c>
      <c r="DK99" s="909">
        <f>IF(dd_PartSA_2_lines = "Yes",0,_xlfn.IFNA(INDEX('Resource use and costs'!$CR$11:$CR$53,MATCH(DA99,'Resource use and costs'!$BA$11:$BA$53,0)),0)*_xlfn.IFNA(INDEX(EA$10:EA$23,MATCH($DA99,$DX$10:$DX$23,0)),0))</f>
        <v>848.17532499999982</v>
      </c>
      <c r="DL99" s="909">
        <f>IF(dd_PartSA_2_lines = "Yes",0,_xlfn.IFNA(INDEX('Resource use and costs'!$CS$11:$CS$53,MATCH(DB99,'Resource use and costs'!$BA$11:$BA$53,0)),0)*_xlfn.IFNA(INDEX(EC$10:EC$23,MATCH($DB99,$DX$10:$DX$23,0)),0))</f>
        <v>18438.751749999999</v>
      </c>
      <c r="DM99" s="909">
        <f t="shared" si="88"/>
        <v>64571.110648333313</v>
      </c>
      <c r="DN99" s="909">
        <f>SUM(_xlfn.IFNA(INDEX('Resource use and costs'!$DU$12:$DU$25,MATCH(CZ99,'Resource use and costs'!$DS$12:$DS$25,0)),0),_xlfn.IFNA(INDEX('Resource use and costs'!$DU$12:$DU$25,MATCH(DA99,'Resource use and costs'!$DS$12:$DS$25,0)),0),_xlfn.IFNA(INDEX('Resource use and costs'!$DU$12:$DU$25,MATCH(DB99,'Resource use and costs'!$DS$12:$DS$25,0)),0))</f>
        <v>591.75</v>
      </c>
      <c r="DO99" s="921">
        <f>_xlfn.IFNA(INDEX('Resource use and costs'!$DY$12:$DY$25,MATCH(CZ99,'Resource use and costs'!$DS$12:$DS$25,0)),0)*_xlfn.IFNA(INDEX(DY$10:DY$23,MATCH($CZ99,$DX$10:$DX$23,0)),0)</f>
        <v>415.09348571428563</v>
      </c>
      <c r="DP99" s="921">
        <f>IF(dd_PartSA_2_lines = "Yes",0,_xlfn.IFNA(INDEX('Resource use and costs'!$DZ$12:$DZ$25,MATCH(DA99,'Resource use and costs'!$DS$12:$DS$25,0)),0)*_xlfn.IFNA(INDEX(EA$10:EA$23,MATCH($DA99,$DX$10:$DX$23,0)),0))</f>
        <v>74.50928571428571</v>
      </c>
      <c r="DQ99" s="921">
        <f>IF(dd_PartSA_2_lines = "Yes",0,_xlfn.IFNA(INDEX('Resource use and costs'!$EA$12:$EA$25,MATCH(DB99,'Resource use and costs'!$DS$12:$DS$25,0)),0)*_xlfn.IFNA(INDEX(EC$10:EC$23,MATCH($DB99,$DX$10:$DX$23,0)),0))</f>
        <v>230.68099999999998</v>
      </c>
      <c r="DR99" s="921">
        <f t="shared" si="89"/>
        <v>1312.0337714285713</v>
      </c>
      <c r="DS99" s="1004">
        <f ca="1">SUMIFS('Safety parameters'!$DM$6:$DM$18,'Safety parameters'!$DK$6:$DK$18,CZ99,'Safety parameters'!$DL$6:$DL$18,1)+IF(dd_PartSA_2_lines = "Yes",0,SUMIFS('Safety parameters'!$DM$6:$DM$18,'Safety parameters'!$DK$6:$DK$18,DA99,'Safety parameters'!$DL$6:$DL$18,2)+SUMIFS('Safety parameters'!$DM$6:$DM$18,'Safety parameters'!$DK$6:$DK$18,DB99,'Safety parameters'!$DL$6:$DL$18,2))</f>
        <v>2698.9332196249325</v>
      </c>
      <c r="DT99" s="910">
        <f ca="1">SUMIFS('Safety parameters'!$DO$6:$DO$18,'Safety parameters'!$DK$6:$DK$18,CZ99,'Safety parameters'!$DL$6:$DL$18,1)+IF(dd_PartSA_2_lines = "Yes",0,SUMIFS('Safety parameters'!$DO$6:$DO$18,'Safety parameters'!$DK$6:$DK$18,DA99,'Safety parameters'!$DL$6:$DL$18,2)+SUMIFS('Safety parameters'!$DO$6:$DO$18,'Safety parameters'!$DK$6:$DK$18,DB99,'Safety parameters'!$DL$6:$DL$18,2))</f>
        <v>-2.3926487052593939E-2</v>
      </c>
    </row>
    <row r="100" spans="5:124" ht="15" x14ac:dyDescent="0.2">
      <c r="E100" s="4" t="str">
        <v>lenvatinib_plus_pembrolizumab</v>
      </c>
      <c r="J100" s="1224">
        <f t="shared" si="126"/>
        <v>3.9314285714285711</v>
      </c>
      <c r="K100" s="877"/>
      <c r="L100" s="877"/>
      <c r="M100" s="877"/>
      <c r="N100" s="877"/>
      <c r="O100" s="668">
        <f t="shared" si="127"/>
        <v>12.288571428571426</v>
      </c>
      <c r="P100" s="668">
        <f t="shared" si="128"/>
        <v>5.1742857142857135</v>
      </c>
      <c r="Q100" s="668">
        <f t="shared" si="129"/>
        <v>9.668571428571429</v>
      </c>
      <c r="R100" s="668">
        <f t="shared" si="130"/>
        <v>2.9271428571428566</v>
      </c>
      <c r="S100" s="668">
        <f t="shared" si="131"/>
        <v>15.83</v>
      </c>
      <c r="T100" s="668">
        <f t="shared" si="132"/>
        <v>1.2242857142857142</v>
      </c>
      <c r="U100" s="668">
        <f t="shared" si="133"/>
        <v>7.1457142857142859</v>
      </c>
      <c r="V100" s="911"/>
      <c r="W100" s="667"/>
      <c r="X100" s="927"/>
      <c r="Y100" s="927"/>
      <c r="Z100" s="668">
        <f t="shared" si="134"/>
        <v>4.1142857142857139</v>
      </c>
      <c r="AA100" s="877"/>
      <c r="AB100" s="877"/>
      <c r="AC100" s="877"/>
      <c r="AD100" s="877"/>
      <c r="AE100" s="1224">
        <f t="shared" si="135"/>
        <v>5.5785714285714283</v>
      </c>
      <c r="AF100" s="1224">
        <f t="shared" si="136"/>
        <v>5.5785714285714283</v>
      </c>
      <c r="AG100" s="668">
        <f t="shared" si="137"/>
        <v>5.5785714285714283</v>
      </c>
      <c r="AH100" s="668">
        <f t="shared" si="138"/>
        <v>7.218571428571428</v>
      </c>
      <c r="AI100" s="668">
        <f t="shared" si="139"/>
        <v>6.8914285714285715</v>
      </c>
      <c r="AJ100" s="668">
        <f t="shared" si="140"/>
        <v>3.2057142857142855</v>
      </c>
      <c r="AK100" s="668">
        <f t="shared" si="141"/>
        <v>4.2914285714285709</v>
      </c>
      <c r="AL100" s="911"/>
      <c r="AM100" s="667"/>
      <c r="AN100" s="927"/>
      <c r="AO100" s="927"/>
      <c r="AP100" s="668">
        <f t="shared" si="142"/>
        <v>4.1142857142857139</v>
      </c>
      <c r="AQ100" s="877"/>
      <c r="AR100" s="877"/>
      <c r="AS100" s="877"/>
      <c r="AT100" s="877"/>
      <c r="AU100" s="668">
        <f t="shared" si="143"/>
        <v>5.5785714285714283</v>
      </c>
      <c r="AV100" s="668">
        <f t="shared" si="144"/>
        <v>5.5785714285714283</v>
      </c>
      <c r="AW100" s="668">
        <f t="shared" si="145"/>
        <v>5.5785714285714283</v>
      </c>
      <c r="AX100" s="668">
        <f t="shared" si="146"/>
        <v>7.218571428571428</v>
      </c>
      <c r="AY100" s="668">
        <f t="shared" si="147"/>
        <v>6.8914285714285715</v>
      </c>
      <c r="AZ100" s="668">
        <f t="shared" si="148"/>
        <v>11.564285714285713</v>
      </c>
      <c r="BA100" s="668">
        <f t="shared" si="149"/>
        <v>4.38</v>
      </c>
      <c r="BB100" s="911"/>
      <c r="BC100" s="667"/>
      <c r="CK100" s="61" t="s">
        <v>31</v>
      </c>
      <c r="CL100" s="61">
        <v>2</v>
      </c>
      <c r="CM100" s="61" t="str">
        <v>sunitinib</v>
      </c>
      <c r="CN100" s="17">
        <v>7</v>
      </c>
      <c r="CO100" s="61" t="str" cm="1">
        <f t="array" ref="CO100">INDEX(List_comparators,CP99+1)</f>
        <v>lenvatinib_plus_pembrolizumab</v>
      </c>
      <c r="CP100" s="17">
        <v>3</v>
      </c>
      <c r="CQ100" s="601">
        <f t="shared" ca="1" si="121"/>
        <v>0</v>
      </c>
      <c r="CR100" s="601">
        <f t="shared" ca="1" si="122"/>
        <v>0</v>
      </c>
      <c r="CS100" s="669">
        <f t="shared" ca="1" si="125"/>
        <v>0</v>
      </c>
      <c r="CT100" s="669">
        <f t="shared" ca="1" si="123"/>
        <v>0</v>
      </c>
      <c r="CU100" s="1123">
        <f>MATCH(CZ100,'Resource use and costs'!$BA$11:$BA$53,0)</f>
        <v>30</v>
      </c>
      <c r="CV100" s="1223"/>
      <c r="CW100" s="1241">
        <f t="shared" si="87"/>
        <v>1</v>
      </c>
      <c r="CX100" s="899" t="s">
        <v>764</v>
      </c>
      <c r="CY100" s="899" t="s">
        <v>117</v>
      </c>
      <c r="CZ100" s="899" t="s">
        <v>118</v>
      </c>
      <c r="DA100" s="899" t="s">
        <v>119</v>
      </c>
      <c r="DB100" s="899" t="s">
        <v>765</v>
      </c>
      <c r="DC100" s="899">
        <f t="shared" ca="1" si="150"/>
        <v>0.24580000000000002</v>
      </c>
      <c r="DD100" s="899" cm="1">
        <f t="array" aca="1" ref="DD100" ca="1">_xlfn.IFNA(OFFSET($Y$49,MATCH($CZ100,$Y$50:$Y$63,0),MATCH($DA100,TRANSPOSE($Z$49:$AM$49),0)),0)</f>
        <v>6.5699999999999995E-2</v>
      </c>
      <c r="DE100" s="899" cm="1">
        <f t="array" aca="1" ref="DE100" ca="1">_xlfn.IFNA(OFFSET($AO$49,MATCH($DA100,$AO$50:$AO$63,0),MATCH($DB100,TRANSPOSE($AP$49:$BC$49),0)),0)</f>
        <v>1</v>
      </c>
      <c r="DF100" s="881">
        <f t="shared" ca="1" si="81"/>
        <v>1.614906E-2</v>
      </c>
      <c r="DG100" s="910">
        <f t="shared" ca="1" si="82"/>
        <v>0.99547352429578406</v>
      </c>
      <c r="DH100" s="881">
        <f t="shared" ca="1" si="83"/>
        <v>1.6075961672264074E-2</v>
      </c>
      <c r="DI100" s="1460">
        <f t="shared" ca="1" si="124"/>
        <v>5.2407635051580881</v>
      </c>
      <c r="DJ100" s="909">
        <f>_xlfn.IFNA(INDEX('Resource use and costs'!$CQ$11:$CQ$53,MATCH($CZ100,'Resource use and costs'!$BA$11:$BA$53,0)),0)*_xlfn.IFNA(INDEX(DY$10:DY$23,MATCH($CZ100,$DX$10:$DX$23,0)),0)</f>
        <v>45284.183573333321</v>
      </c>
      <c r="DK100" s="909">
        <f>IF(dd_PartSA_2_lines = "Yes",0,_xlfn.IFNA(INDEX('Resource use and costs'!$CR$11:$CR$53,MATCH(DA100,'Resource use and costs'!$BA$11:$BA$53,0)),0)*_xlfn.IFNA(INDEX(EA$10:EA$23,MATCH($DA100,$DX$10:$DX$23,0)),0))</f>
        <v>848.17532499999982</v>
      </c>
      <c r="DL100" s="909">
        <f>IF(dd_PartSA_2_lines = "Yes",0,_xlfn.IFNA(INDEX('Resource use and costs'!$CS$11:$CS$53,MATCH(DB100,'Resource use and costs'!$BA$11:$BA$53,0)),0)*_xlfn.IFNA(INDEX(EC$10:EC$23,MATCH($DB100,$DX$10:$DX$23,0)),0))</f>
        <v>0</v>
      </c>
      <c r="DM100" s="909">
        <f t="shared" si="88"/>
        <v>46132.358898333317</v>
      </c>
      <c r="DN100" s="909">
        <f>SUM(_xlfn.IFNA(INDEX('Resource use and costs'!$DU$12:$DU$25,MATCH(CZ100,'Resource use and costs'!$DS$12:$DS$25,0)),0),_xlfn.IFNA(INDEX('Resource use and costs'!$DU$12:$DU$25,MATCH(DA100,'Resource use and costs'!$DS$12:$DS$25,0)),0),_xlfn.IFNA(INDEX('Resource use and costs'!$DU$12:$DU$25,MATCH(DB100,'Resource use and costs'!$DS$12:$DS$25,0)),0))</f>
        <v>394.5</v>
      </c>
      <c r="DO100" s="921">
        <f>_xlfn.IFNA(INDEX('Resource use and costs'!$DY$12:$DY$25,MATCH(CZ100,'Resource use and costs'!$DS$12:$DS$25,0)),0)*_xlfn.IFNA(INDEX(DY$10:DY$23,MATCH($CZ100,$DX$10:$DX$23,0)),0)</f>
        <v>415.09348571428563</v>
      </c>
      <c r="DP100" s="921">
        <f>IF(dd_PartSA_2_lines = "Yes",0,_xlfn.IFNA(INDEX('Resource use and costs'!$DZ$12:$DZ$25,MATCH(DA100,'Resource use and costs'!$DS$12:$DS$25,0)),0)*_xlfn.IFNA(INDEX(EA$10:EA$23,MATCH($DA100,$DX$10:$DX$23,0)),0))</f>
        <v>74.50928571428571</v>
      </c>
      <c r="DQ100" s="921">
        <f>IF(dd_PartSA_2_lines = "Yes",0,_xlfn.IFNA(INDEX('Resource use and costs'!$EA$12:$EA$25,MATCH(DB100,'Resource use and costs'!$DS$12:$DS$25,0)),0)*_xlfn.IFNA(INDEX(EC$10:EC$23,MATCH($DB100,$DX$10:$DX$23,0)),0))</f>
        <v>0</v>
      </c>
      <c r="DR100" s="921">
        <f t="shared" si="89"/>
        <v>884.10277142857137</v>
      </c>
      <c r="DS100" s="1004">
        <f ca="1">SUMIFS('Safety parameters'!$DM$6:$DM$18,'Safety parameters'!$DK$6:$DK$18,CZ100,'Safety parameters'!$DL$6:$DL$18,1)+IF(dd_PartSA_2_lines = "Yes",0,SUMIFS('Safety parameters'!$DM$6:$DM$18,'Safety parameters'!$DK$6:$DK$18,DA100,'Safety parameters'!$DL$6:$DL$18,2)+SUMIFS('Safety parameters'!$DM$6:$DM$18,'Safety parameters'!$DK$6:$DK$18,DB100,'Safety parameters'!$DL$6:$DL$18,2))</f>
        <v>1064.7045460594725</v>
      </c>
      <c r="DT100" s="910">
        <f ca="1">SUMIFS('Safety parameters'!$DO$6:$DO$18,'Safety parameters'!$DK$6:$DK$18,CZ100,'Safety parameters'!$DL$6:$DL$18,1)+IF(dd_PartSA_2_lines = "Yes",0,SUMIFS('Safety parameters'!$DO$6:$DO$18,'Safety parameters'!$DK$6:$DK$18,DA100,'Safety parameters'!$DL$6:$DL$18,2)+SUMIFS('Safety parameters'!$DO$6:$DO$18,'Safety parameters'!$DK$6:$DK$18,DB100,'Safety parameters'!$DL$6:$DL$18,2))</f>
        <v>-9.184563045112509E-3</v>
      </c>
    </row>
    <row r="101" spans="5:124" ht="15" x14ac:dyDescent="0.2">
      <c r="E101" s="4" t="str">
        <v>avelumab_plus_axitinib</v>
      </c>
      <c r="J101" s="1224">
        <f t="shared" si="126"/>
        <v>3.9314285714285711</v>
      </c>
      <c r="K101" s="877"/>
      <c r="L101" s="877"/>
      <c r="M101" s="877"/>
      <c r="N101" s="877"/>
      <c r="O101" s="668">
        <f t="shared" si="127"/>
        <v>12.288571428571426</v>
      </c>
      <c r="P101" s="668">
        <f t="shared" si="128"/>
        <v>5.1742857142857135</v>
      </c>
      <c r="Q101" s="668">
        <f t="shared" si="129"/>
        <v>9.668571428571429</v>
      </c>
      <c r="R101" s="668">
        <f t="shared" si="130"/>
        <v>2.9271428571428566</v>
      </c>
      <c r="S101" s="668">
        <f t="shared" si="131"/>
        <v>15.83</v>
      </c>
      <c r="T101" s="668">
        <f t="shared" si="132"/>
        <v>1.2242857142857142</v>
      </c>
      <c r="U101" s="668">
        <f t="shared" si="133"/>
        <v>7.1457142857142859</v>
      </c>
      <c r="V101" s="911"/>
      <c r="W101" s="667"/>
      <c r="X101" s="927"/>
      <c r="Y101" s="927"/>
      <c r="Z101" s="668">
        <f t="shared" si="134"/>
        <v>4.1142857142857139</v>
      </c>
      <c r="AA101" s="877"/>
      <c r="AB101" s="877"/>
      <c r="AC101" s="877"/>
      <c r="AD101" s="877"/>
      <c r="AE101" s="1224">
        <f t="shared" si="135"/>
        <v>5.5785714285714283</v>
      </c>
      <c r="AF101" s="1224">
        <f t="shared" si="136"/>
        <v>5.5785714285714283</v>
      </c>
      <c r="AG101" s="668">
        <f t="shared" si="137"/>
        <v>5.5785714285714283</v>
      </c>
      <c r="AH101" s="668">
        <f t="shared" si="138"/>
        <v>7.218571428571428</v>
      </c>
      <c r="AI101" s="668">
        <f t="shared" si="139"/>
        <v>6.8914285714285715</v>
      </c>
      <c r="AJ101" s="668">
        <f t="shared" si="140"/>
        <v>3.2057142857142855</v>
      </c>
      <c r="AK101" s="668">
        <f t="shared" si="141"/>
        <v>4.2914285714285709</v>
      </c>
      <c r="AL101" s="911"/>
      <c r="AM101" s="667"/>
      <c r="AN101" s="927"/>
      <c r="AO101" s="927"/>
      <c r="AP101" s="668">
        <f t="shared" si="142"/>
        <v>4.1142857142857139</v>
      </c>
      <c r="AQ101" s="877"/>
      <c r="AR101" s="877"/>
      <c r="AS101" s="877"/>
      <c r="AT101" s="877"/>
      <c r="AU101" s="668">
        <f t="shared" si="143"/>
        <v>5.5785714285714283</v>
      </c>
      <c r="AV101" s="668">
        <f t="shared" si="144"/>
        <v>5.5785714285714283</v>
      </c>
      <c r="AW101" s="668">
        <f t="shared" si="145"/>
        <v>5.5785714285714283</v>
      </c>
      <c r="AX101" s="668">
        <f t="shared" si="146"/>
        <v>7.218571428571428</v>
      </c>
      <c r="AY101" s="668">
        <f t="shared" si="147"/>
        <v>6.8914285714285715</v>
      </c>
      <c r="AZ101" s="668">
        <f t="shared" si="148"/>
        <v>11.564285714285713</v>
      </c>
      <c r="BA101" s="668">
        <f t="shared" si="149"/>
        <v>4.38</v>
      </c>
      <c r="BB101" s="911"/>
      <c r="BC101" s="667"/>
      <c r="CK101" s="61" t="s">
        <v>31</v>
      </c>
      <c r="CL101" s="61">
        <v>2</v>
      </c>
      <c r="CM101" s="61" t="str">
        <v>cabozantinib</v>
      </c>
      <c r="CN101" s="17">
        <v>8</v>
      </c>
      <c r="CO101" s="61" t="str" cm="1">
        <f t="array" ref="CO101">INDEX(List_comparators,CP100+1)</f>
        <v>lenvatinib_plus_pembrolizumab</v>
      </c>
      <c r="CP101" s="17">
        <v>3</v>
      </c>
      <c r="CQ101" s="601">
        <f t="shared" ca="1" si="121"/>
        <v>0</v>
      </c>
      <c r="CR101" s="601">
        <f t="shared" ca="1" si="122"/>
        <v>0</v>
      </c>
      <c r="CS101" s="669">
        <f t="shared" ca="1" si="125"/>
        <v>0</v>
      </c>
      <c r="CT101" s="669">
        <f t="shared" ca="1" si="123"/>
        <v>0</v>
      </c>
      <c r="CU101" s="1123">
        <f>MATCH(CZ101,'Resource use and costs'!$BA$11:$BA$53,0)</f>
        <v>30</v>
      </c>
      <c r="CV101" s="1223"/>
      <c r="CW101" s="1241">
        <f t="shared" si="87"/>
        <v>1</v>
      </c>
      <c r="CX101" s="899" t="s">
        <v>764</v>
      </c>
      <c r="CY101" s="899" t="s">
        <v>117</v>
      </c>
      <c r="CZ101" s="899" t="s">
        <v>118</v>
      </c>
      <c r="DA101" s="899" t="s">
        <v>579</v>
      </c>
      <c r="DB101" s="899" t="s">
        <v>327</v>
      </c>
      <c r="DC101" s="899">
        <f t="shared" ca="1" si="150"/>
        <v>0.24580000000000002</v>
      </c>
      <c r="DD101" s="899">
        <f ca="1">1-DD96-DD98-DD99</f>
        <v>0.46929999999999994</v>
      </c>
      <c r="DE101" s="899" cm="1">
        <f t="array" aca="1" ref="DE101" ca="1">_xlfn.IFNA(OFFSET($AO$49,MATCH($DA101,$AO$50:$AO$63,0),MATCH($DB101,TRANSPOSE($AP$49:$BC$49),0)),0)</f>
        <v>0.56859999999999999</v>
      </c>
      <c r="DF101" s="881">
        <f t="shared" ca="1" si="81"/>
        <v>6.5590250283999993E-2</v>
      </c>
      <c r="DG101" s="910">
        <f t="shared" ca="1" si="82"/>
        <v>0.99547352429578406</v>
      </c>
      <c r="DH101" s="881">
        <f t="shared" ca="1" si="83"/>
        <v>6.529335760965603E-2</v>
      </c>
      <c r="DI101" s="1460">
        <f t="shared" ca="1" si="124"/>
        <v>21.285634580747868</v>
      </c>
      <c r="DJ101" s="909">
        <f>_xlfn.IFNA(INDEX('Resource use and costs'!$CQ$11:$CQ$53,MATCH($CZ101,'Resource use and costs'!$BA$11:$BA$53,0)),0)*_xlfn.IFNA(INDEX(DY$10:DY$23,MATCH($CZ101,$DX$10:$DX$23,0)),0)</f>
        <v>45284.183573333321</v>
      </c>
      <c r="DK101" s="909">
        <f>IF(dd_PartSA_2_lines = "Yes",0,_xlfn.IFNA(INDEX('Resource use and costs'!$CR$11:$CR$53,MATCH(DA101,'Resource use and costs'!$BA$11:$BA$53,0)),0)*_xlfn.IFNA(INDEX(EA$10:EA$23,MATCH($DA101,$DX$10:$DX$23,0)),0))</f>
        <v>26054.50921</v>
      </c>
      <c r="DL101" s="909">
        <f>IF(dd_PartSA_2_lines = "Yes",0,_xlfn.IFNA(INDEX('Resource use and costs'!$CS$11:$CS$53,MATCH(DB101,'Resource use and costs'!$BA$11:$BA$53,0)),0)*_xlfn.IFNA(INDEX(EC$10:EC$23,MATCH($DB101,$DX$10:$DX$23,0)),0))</f>
        <v>18438.751749999999</v>
      </c>
      <c r="DM101" s="909">
        <f t="shared" si="88"/>
        <v>89777.444533333313</v>
      </c>
      <c r="DN101" s="909">
        <f>SUM(_xlfn.IFNA(INDEX('Resource use and costs'!$DU$12:$DU$25,MATCH(CZ101,'Resource use and costs'!$DS$12:$DS$25,0)),0),_xlfn.IFNA(INDEX('Resource use and costs'!$DU$12:$DU$25,MATCH(DA101,'Resource use and costs'!$DS$12:$DS$25,0)),0),_xlfn.IFNA(INDEX('Resource use and costs'!$DU$12:$DU$25,MATCH(DB101,'Resource use and costs'!$DS$12:$DS$25,0)),0))</f>
        <v>394.5</v>
      </c>
      <c r="DO101" s="921">
        <f>_xlfn.IFNA(INDEX('Resource use and costs'!$DY$12:$DY$25,MATCH(CZ101,'Resource use and costs'!$DS$12:$DS$25,0)),0)*_xlfn.IFNA(INDEX(DY$10:DY$23,MATCH($CZ101,$DX$10:$DX$23,0)),0)</f>
        <v>415.09348571428563</v>
      </c>
      <c r="DP101" s="921">
        <f>IF(dd_PartSA_2_lines = "Yes",0,_xlfn.IFNA(INDEX('Resource use and costs'!$DZ$12:$DZ$25,MATCH(DA101,'Resource use and costs'!$DS$12:$DS$25,0)),0)*_xlfn.IFNA(INDEX(EA$10:EA$23,MATCH($DA101,$DX$10:$DX$23,0)),0))</f>
        <v>4108.3597166</v>
      </c>
      <c r="DQ101" s="921">
        <f>IF(dd_PartSA_2_lines = "Yes",0,_xlfn.IFNA(INDEX('Resource use and costs'!$EA$12:$EA$25,MATCH(DB101,'Resource use and costs'!$DS$12:$DS$25,0)),0)*_xlfn.IFNA(INDEX(EC$10:EC$23,MATCH($DB101,$DX$10:$DX$23,0)),0))</f>
        <v>230.68099999999998</v>
      </c>
      <c r="DR101" s="921">
        <f t="shared" si="89"/>
        <v>5148.6342023142852</v>
      </c>
      <c r="DS101" s="1004">
        <f ca="1">SUMIFS('Safety parameters'!$DM$6:$DM$18,'Safety parameters'!$DK$6:$DK$18,CZ101,'Safety parameters'!$DL$6:$DL$18,1)+IF(dd_PartSA_2_lines = "Yes",0,SUMIFS('Safety parameters'!$DM$6:$DM$18,'Safety parameters'!$DK$6:$DK$18,DA101,'Safety parameters'!$DL$6:$DL$18,2)+SUMIFS('Safety parameters'!$DM$6:$DM$18,'Safety parameters'!$DK$6:$DK$18,DB101,'Safety parameters'!$DL$6:$DL$18,2))</f>
        <v>2527.1915852400316</v>
      </c>
      <c r="DT101" s="910">
        <f ca="1">SUMIFS('Safety parameters'!$DO$6:$DO$18,'Safety parameters'!$DK$6:$DK$18,CZ101,'Safety parameters'!$DL$6:$DL$18,1)+IF(dd_PartSA_2_lines = "Yes",0,SUMIFS('Safety parameters'!$DO$6:$DO$18,'Safety parameters'!$DK$6:$DK$18,DA101,'Safety parameters'!$DL$6:$DL$18,2)+SUMIFS('Safety parameters'!$DO$6:$DO$18,'Safety parameters'!$DK$6:$DK$18,DB101,'Safety parameters'!$DL$6:$DL$18,2))</f>
        <v>-2.2855997713641003E-2</v>
      </c>
    </row>
    <row r="102" spans="5:124" ht="15" x14ac:dyDescent="0.2">
      <c r="E102" s="4" t="str">
        <v>pazopanib</v>
      </c>
      <c r="J102" s="1224">
        <f t="shared" si="126"/>
        <v>3.9314285714285711</v>
      </c>
      <c r="K102" s="877"/>
      <c r="L102" s="877"/>
      <c r="M102" s="877"/>
      <c r="N102" s="877"/>
      <c r="O102" s="668">
        <f t="shared" si="127"/>
        <v>12.288571428571426</v>
      </c>
      <c r="P102" s="668">
        <f t="shared" si="128"/>
        <v>5.1742857142857135</v>
      </c>
      <c r="Q102" s="668">
        <f t="shared" si="129"/>
        <v>9.668571428571429</v>
      </c>
      <c r="R102" s="668">
        <f t="shared" si="130"/>
        <v>2.9271428571428566</v>
      </c>
      <c r="S102" s="668">
        <f t="shared" si="131"/>
        <v>15.83</v>
      </c>
      <c r="T102" s="668">
        <f t="shared" si="132"/>
        <v>1.2242857142857142</v>
      </c>
      <c r="U102" s="668">
        <f t="shared" si="133"/>
        <v>7.1457142857142859</v>
      </c>
      <c r="V102" s="78"/>
      <c r="W102" s="667"/>
      <c r="X102" s="927"/>
      <c r="Y102" s="927"/>
      <c r="Z102" s="668">
        <f t="shared" si="134"/>
        <v>4.1142857142857139</v>
      </c>
      <c r="AA102" s="877"/>
      <c r="AB102" s="877"/>
      <c r="AC102" s="877"/>
      <c r="AD102" s="877"/>
      <c r="AE102" s="1224">
        <f t="shared" si="135"/>
        <v>5.5785714285714283</v>
      </c>
      <c r="AF102" s="1224">
        <f t="shared" si="136"/>
        <v>5.5785714285714283</v>
      </c>
      <c r="AG102" s="668">
        <f t="shared" si="137"/>
        <v>5.5785714285714283</v>
      </c>
      <c r="AH102" s="668">
        <f t="shared" si="138"/>
        <v>7.218571428571428</v>
      </c>
      <c r="AI102" s="668">
        <f t="shared" si="139"/>
        <v>6.8914285714285715</v>
      </c>
      <c r="AJ102" s="668">
        <f t="shared" si="140"/>
        <v>3.2057142857142855</v>
      </c>
      <c r="AK102" s="668">
        <f t="shared" si="141"/>
        <v>4.2914285714285709</v>
      </c>
      <c r="AL102" s="78"/>
      <c r="AM102" s="667"/>
      <c r="AN102" s="927"/>
      <c r="AO102" s="927"/>
      <c r="AP102" s="668">
        <f t="shared" si="142"/>
        <v>4.1142857142857139</v>
      </c>
      <c r="AQ102" s="877"/>
      <c r="AR102" s="877"/>
      <c r="AS102" s="877"/>
      <c r="AT102" s="877"/>
      <c r="AU102" s="668">
        <f t="shared" si="143"/>
        <v>5.5785714285714283</v>
      </c>
      <c r="AV102" s="668">
        <f t="shared" si="144"/>
        <v>5.5785714285714283</v>
      </c>
      <c r="AW102" s="668">
        <f t="shared" si="145"/>
        <v>5.5785714285714283</v>
      </c>
      <c r="AX102" s="668">
        <f t="shared" si="146"/>
        <v>7.218571428571428</v>
      </c>
      <c r="AY102" s="668">
        <f t="shared" si="147"/>
        <v>6.8914285714285715</v>
      </c>
      <c r="AZ102" s="668">
        <f t="shared" si="148"/>
        <v>11.564285714285713</v>
      </c>
      <c r="BA102" s="668">
        <f t="shared" si="149"/>
        <v>4.38</v>
      </c>
      <c r="BB102" s="78"/>
      <c r="BC102" s="667"/>
      <c r="CK102" s="61" t="s">
        <v>31</v>
      </c>
      <c r="CL102" s="61">
        <v>2</v>
      </c>
      <c r="CM102" s="61" t="str">
        <v>lenvatinib_plus_everolimus</v>
      </c>
      <c r="CN102" s="17">
        <v>9</v>
      </c>
      <c r="CO102" s="61" t="str" cm="1">
        <f t="array" ref="CO102">INDEX(List_comparators,CP101+1)</f>
        <v>lenvatinib_plus_pembrolizumab</v>
      </c>
      <c r="CP102" s="17">
        <v>3</v>
      </c>
      <c r="CQ102" s="601">
        <f t="shared" ca="1" si="121"/>
        <v>0</v>
      </c>
      <c r="CR102" s="601">
        <f t="shared" ca="1" si="122"/>
        <v>0</v>
      </c>
      <c r="CS102" s="669">
        <f t="shared" ca="1" si="125"/>
        <v>0</v>
      </c>
      <c r="CT102" s="669">
        <f t="shared" ca="1" si="123"/>
        <v>0</v>
      </c>
      <c r="CU102" s="1123">
        <f>MATCH(CZ102,'Resource use and costs'!$BA$11:$BA$53,0)</f>
        <v>30</v>
      </c>
      <c r="CV102" s="1223"/>
      <c r="CW102" s="1241">
        <f t="shared" si="87"/>
        <v>1</v>
      </c>
      <c r="CX102" s="899" t="s">
        <v>764</v>
      </c>
      <c r="CY102" s="899" t="s">
        <v>117</v>
      </c>
      <c r="CZ102" s="899" t="s">
        <v>118</v>
      </c>
      <c r="DA102" s="899" t="s">
        <v>579</v>
      </c>
      <c r="DB102" s="899" t="s">
        <v>765</v>
      </c>
      <c r="DC102" s="899">
        <f t="shared" ca="1" si="150"/>
        <v>0.24580000000000002</v>
      </c>
      <c r="DD102" s="899">
        <f ca="1">DD101</f>
        <v>0.46929999999999994</v>
      </c>
      <c r="DE102" s="899" cm="1">
        <f t="array" aca="1" ref="DE102" ca="1">_xlfn.IFNA(OFFSET($AO$49,MATCH($DA102,$AO$50:$AO$63,0),MATCH($DB102,TRANSPOSE($AP$49:$BC$49),0)),0)</f>
        <v>0.43140000000000001</v>
      </c>
      <c r="DF102" s="881">
        <f t="shared" ca="1" si="81"/>
        <v>4.9763689715999995E-2</v>
      </c>
      <c r="DG102" s="910">
        <f t="shared" ca="1" si="82"/>
        <v>0.99547352429578406</v>
      </c>
      <c r="DH102" s="881">
        <f t="shared" ca="1" si="83"/>
        <v>4.9538435583548382E-2</v>
      </c>
      <c r="DI102" s="1460">
        <f t="shared" ca="1" si="124"/>
        <v>16.149530000236773</v>
      </c>
      <c r="DJ102" s="909">
        <f>_xlfn.IFNA(INDEX('Resource use and costs'!$CQ$11:$CQ$53,MATCH($CZ102,'Resource use and costs'!$BA$11:$BA$53,0)),0)*_xlfn.IFNA(INDEX(DY$10:DY$23,MATCH($CZ102,$DX$10:$DX$23,0)),0)</f>
        <v>45284.183573333321</v>
      </c>
      <c r="DK102" s="909">
        <f>IF(dd_PartSA_2_lines = "Yes",0,_xlfn.IFNA(INDEX('Resource use and costs'!$CR$11:$CR$53,MATCH(DA102,'Resource use and costs'!$BA$11:$BA$53,0)),0)*_xlfn.IFNA(INDEX(EA$10:EA$23,MATCH($DA102,$DX$10:$DX$23,0)),0))</f>
        <v>26054.50921</v>
      </c>
      <c r="DL102" s="909">
        <f>IF(dd_PartSA_2_lines = "Yes",0,_xlfn.IFNA(INDEX('Resource use and costs'!$CS$11:$CS$53,MATCH(DB102,'Resource use and costs'!$BA$11:$BA$53,0)),0)*_xlfn.IFNA(INDEX(EC$10:EC$23,MATCH($DB102,$DX$10:$DX$23,0)),0))</f>
        <v>0</v>
      </c>
      <c r="DM102" s="909">
        <f t="shared" si="88"/>
        <v>71338.692783333317</v>
      </c>
      <c r="DN102" s="909">
        <f>SUM(_xlfn.IFNA(INDEX('Resource use and costs'!$DU$12:$DU$25,MATCH(CZ102,'Resource use and costs'!$DS$12:$DS$25,0)),0),_xlfn.IFNA(INDEX('Resource use and costs'!$DU$12:$DU$25,MATCH(DA102,'Resource use and costs'!$DS$12:$DS$25,0)),0),_xlfn.IFNA(INDEX('Resource use and costs'!$DU$12:$DU$25,MATCH(DB102,'Resource use and costs'!$DS$12:$DS$25,0)),0))</f>
        <v>197.25</v>
      </c>
      <c r="DO102" s="921">
        <f>_xlfn.IFNA(INDEX('Resource use and costs'!$DY$12:$DY$25,MATCH(CZ102,'Resource use and costs'!$DS$12:$DS$25,0)),0)*_xlfn.IFNA(INDEX(DY$10:DY$23,MATCH($CZ102,$DX$10:$DX$23,0)),0)</f>
        <v>415.09348571428563</v>
      </c>
      <c r="DP102" s="921">
        <f>IF(dd_PartSA_2_lines = "Yes",0,_xlfn.IFNA(INDEX('Resource use and costs'!$DZ$12:$DZ$25,MATCH(DA102,'Resource use and costs'!$DS$12:$DS$25,0)),0)*_xlfn.IFNA(INDEX(EA$10:EA$23,MATCH($DA102,$DX$10:$DX$23,0)),0))</f>
        <v>4108.3597166</v>
      </c>
      <c r="DQ102" s="921">
        <f>IF(dd_PartSA_2_lines = "Yes",0,_xlfn.IFNA(INDEX('Resource use and costs'!$EA$12:$EA$25,MATCH(DB102,'Resource use and costs'!$DS$12:$DS$25,0)),0)*_xlfn.IFNA(INDEX(EC$10:EC$23,MATCH($DB102,$DX$10:$DX$23,0)),0))</f>
        <v>0</v>
      </c>
      <c r="DR102" s="921">
        <f t="shared" si="89"/>
        <v>4720.7032023142856</v>
      </c>
      <c r="DS102" s="1004">
        <f ca="1">SUMIFS('Safety parameters'!$DM$6:$DM$18,'Safety parameters'!$DK$6:$DK$18,CZ102,'Safety parameters'!$DL$6:$DL$18,1)+IF(dd_PartSA_2_lines = "Yes",0,SUMIFS('Safety parameters'!$DM$6:$DM$18,'Safety parameters'!$DK$6:$DK$18,DA102,'Safety parameters'!$DL$6:$DL$18,2)+SUMIFS('Safety parameters'!$DM$6:$DM$18,'Safety parameters'!$DK$6:$DK$18,DB102,'Safety parameters'!$DL$6:$DL$18,2))</f>
        <v>892.96291167457207</v>
      </c>
      <c r="DT102" s="910">
        <f ca="1">SUMIFS('Safety parameters'!$DO$6:$DO$18,'Safety parameters'!$DK$6:$DK$18,CZ102,'Safety parameters'!$DL$6:$DL$18,1)+IF(dd_PartSA_2_lines = "Yes",0,SUMIFS('Safety parameters'!$DO$6:$DO$18,'Safety parameters'!$DK$6:$DK$18,DA102,'Safety parameters'!$DL$6:$DL$18,2)+SUMIFS('Safety parameters'!$DO$6:$DO$18,'Safety parameters'!$DK$6:$DK$18,DB102,'Safety parameters'!$DL$6:$DL$18,2))</f>
        <v>-8.1140737061595747E-3</v>
      </c>
    </row>
    <row r="103" spans="5:124" ht="15" x14ac:dyDescent="0.2">
      <c r="E103" s="4" t="str">
        <v>tivozanib</v>
      </c>
      <c r="J103" s="1224">
        <f t="shared" si="126"/>
        <v>3.9314285714285711</v>
      </c>
      <c r="K103" s="877"/>
      <c r="L103" s="877"/>
      <c r="M103" s="877"/>
      <c r="N103" s="877"/>
      <c r="O103" s="668">
        <f t="shared" si="127"/>
        <v>12.288571428571426</v>
      </c>
      <c r="P103" s="668">
        <f t="shared" si="128"/>
        <v>5.1742857142857135</v>
      </c>
      <c r="Q103" s="668">
        <f t="shared" si="129"/>
        <v>9.668571428571429</v>
      </c>
      <c r="R103" s="668">
        <f t="shared" si="130"/>
        <v>2.9271428571428566</v>
      </c>
      <c r="S103" s="668">
        <f t="shared" si="131"/>
        <v>15.83</v>
      </c>
      <c r="T103" s="668">
        <f t="shared" si="132"/>
        <v>1.2242857142857142</v>
      </c>
      <c r="U103" s="668">
        <f t="shared" si="133"/>
        <v>7.1457142857142859</v>
      </c>
      <c r="V103" s="78"/>
      <c r="W103" s="667"/>
      <c r="X103" s="927"/>
      <c r="Y103" s="927"/>
      <c r="Z103" s="668">
        <f t="shared" si="134"/>
        <v>4.1142857142857139</v>
      </c>
      <c r="AA103" s="877"/>
      <c r="AB103" s="877"/>
      <c r="AC103" s="877"/>
      <c r="AD103" s="877"/>
      <c r="AE103" s="1224">
        <f t="shared" si="135"/>
        <v>5.5785714285714283</v>
      </c>
      <c r="AF103" s="1224">
        <f t="shared" si="136"/>
        <v>5.5785714285714283</v>
      </c>
      <c r="AG103" s="668">
        <f t="shared" si="137"/>
        <v>5.5785714285714283</v>
      </c>
      <c r="AH103" s="668">
        <f t="shared" si="138"/>
        <v>7.218571428571428</v>
      </c>
      <c r="AI103" s="668">
        <f t="shared" si="139"/>
        <v>6.8914285714285715</v>
      </c>
      <c r="AJ103" s="668">
        <f t="shared" si="140"/>
        <v>3.2057142857142855</v>
      </c>
      <c r="AK103" s="668">
        <f t="shared" si="141"/>
        <v>4.2914285714285709</v>
      </c>
      <c r="AL103" s="78"/>
      <c r="AM103" s="667"/>
      <c r="AN103" s="927"/>
      <c r="AO103" s="927"/>
      <c r="AP103" s="668">
        <f t="shared" si="142"/>
        <v>4.1142857142857139</v>
      </c>
      <c r="AQ103" s="877"/>
      <c r="AR103" s="877"/>
      <c r="AS103" s="877"/>
      <c r="AT103" s="877"/>
      <c r="AU103" s="668">
        <f t="shared" si="143"/>
        <v>5.5785714285714283</v>
      </c>
      <c r="AV103" s="668">
        <f t="shared" si="144"/>
        <v>5.5785714285714283</v>
      </c>
      <c r="AW103" s="668">
        <f t="shared" si="145"/>
        <v>5.5785714285714283</v>
      </c>
      <c r="AX103" s="668">
        <f t="shared" si="146"/>
        <v>7.218571428571428</v>
      </c>
      <c r="AY103" s="668">
        <f t="shared" si="147"/>
        <v>6.8914285714285715</v>
      </c>
      <c r="AZ103" s="668">
        <f t="shared" si="148"/>
        <v>11.564285714285713</v>
      </c>
      <c r="BA103" s="668">
        <f t="shared" si="149"/>
        <v>4.38</v>
      </c>
      <c r="BB103" s="78"/>
      <c r="BC103" s="667"/>
      <c r="CK103" s="61" t="s">
        <v>31</v>
      </c>
      <c r="CL103" s="61">
        <v>2</v>
      </c>
      <c r="CM103" s="61" t="str">
        <v>everolimus</v>
      </c>
      <c r="CN103" s="17">
        <v>10</v>
      </c>
      <c r="CO103" s="61" t="str" cm="1">
        <f t="array" ref="CO103">INDEX(List_comparators,CP102+1)</f>
        <v>lenvatinib_plus_pembrolizumab</v>
      </c>
      <c r="CP103" s="17">
        <v>3</v>
      </c>
      <c r="CQ103" s="601">
        <f t="shared" ca="1" si="121"/>
        <v>0</v>
      </c>
      <c r="CR103" s="601">
        <f t="shared" ca="1" si="122"/>
        <v>0</v>
      </c>
      <c r="CS103" s="669">
        <f t="shared" ca="1" si="125"/>
        <v>0</v>
      </c>
      <c r="CT103" s="669">
        <f t="shared" ca="1" si="123"/>
        <v>0</v>
      </c>
      <c r="CU103" s="1123">
        <f>MATCH(CZ103,'Resource use and costs'!$BA$11:$BA$53,0)</f>
        <v>30</v>
      </c>
      <c r="CV103" s="1223"/>
      <c r="CW103" s="1241">
        <f t="shared" si="87"/>
        <v>1</v>
      </c>
      <c r="CX103" s="899" t="s">
        <v>764</v>
      </c>
      <c r="CY103" s="899" t="s">
        <v>117</v>
      </c>
      <c r="CZ103" s="899" t="s">
        <v>118</v>
      </c>
      <c r="DA103" s="899" t="s">
        <v>579</v>
      </c>
      <c r="DB103" s="899" t="s">
        <v>119</v>
      </c>
      <c r="DC103" s="899">
        <f t="shared" ca="1" si="150"/>
        <v>0.24580000000000002</v>
      </c>
      <c r="DD103" s="899">
        <f ca="1">DD101</f>
        <v>0.46929999999999994</v>
      </c>
      <c r="DE103" s="899" cm="1">
        <f t="array" aca="1" ref="DE103" ca="1">_xlfn.IFNA(OFFSET($AO$49,MATCH($DA103,$AO$50:$AO$63,0),MATCH($DB103,TRANSPOSE($AP$49:$BC$49),0)),0)</f>
        <v>0</v>
      </c>
      <c r="DF103" s="881">
        <f t="shared" ca="1" si="81"/>
        <v>0</v>
      </c>
      <c r="DG103" s="910">
        <f t="shared" ca="1" si="82"/>
        <v>0.99547352429578406</v>
      </c>
      <c r="DH103" s="881">
        <f t="shared" ca="1" si="83"/>
        <v>0</v>
      </c>
      <c r="DI103" s="1460">
        <f t="shared" ca="1" si="124"/>
        <v>0</v>
      </c>
      <c r="DJ103" s="909">
        <f>_xlfn.IFNA(INDEX('Resource use and costs'!$CQ$11:$CQ$53,MATCH($CZ103,'Resource use and costs'!$BA$11:$BA$53,0)),0)*_xlfn.IFNA(INDEX(DY$10:DY$23,MATCH($CZ103,$DX$10:$DX$23,0)),0)</f>
        <v>45284.183573333321</v>
      </c>
      <c r="DK103" s="909">
        <f>IF(dd_PartSA_2_lines = "Yes",0,_xlfn.IFNA(INDEX('Resource use and costs'!$CR$11:$CR$53,MATCH(DA103,'Resource use and costs'!$BA$11:$BA$53,0)),0)*_xlfn.IFNA(INDEX(EA$10:EA$23,MATCH($DA103,$DX$10:$DX$23,0)),0))</f>
        <v>26054.50921</v>
      </c>
      <c r="DL103" s="909">
        <f>IF(dd_PartSA_2_lines = "Yes",0,_xlfn.IFNA(INDEX('Resource use and costs'!$CS$11:$CS$53,MATCH(DB103,'Resource use and costs'!$BA$11:$BA$53,0)),0)*_xlfn.IFNA(INDEX(EC$10:EC$23,MATCH($DB103,$DX$10:$DX$23,0)),0))</f>
        <v>2915.4763433333328</v>
      </c>
      <c r="DM103" s="909">
        <f t="shared" si="88"/>
        <v>74254.169126666646</v>
      </c>
      <c r="DN103" s="909">
        <f>SUM(_xlfn.IFNA(INDEX('Resource use and costs'!$DU$12:$DU$25,MATCH(CZ103,'Resource use and costs'!$DS$12:$DS$25,0)),0),_xlfn.IFNA(INDEX('Resource use and costs'!$DU$12:$DU$25,MATCH(DA103,'Resource use and costs'!$DS$12:$DS$25,0)),0),_xlfn.IFNA(INDEX('Resource use and costs'!$DU$12:$DU$25,MATCH(DB103,'Resource use and costs'!$DS$12:$DS$25,0)),0))</f>
        <v>394.5</v>
      </c>
      <c r="DO103" s="921">
        <f>_xlfn.IFNA(INDEX('Resource use and costs'!$DY$12:$DY$25,MATCH(CZ103,'Resource use and costs'!$DS$12:$DS$25,0)),0)*_xlfn.IFNA(INDEX(DY$10:DY$23,MATCH($CZ103,$DX$10:$DX$23,0)),0)</f>
        <v>415.09348571428563</v>
      </c>
      <c r="DP103" s="921">
        <f>IF(dd_PartSA_2_lines = "Yes",0,_xlfn.IFNA(INDEX('Resource use and costs'!$DZ$12:$DZ$25,MATCH(DA103,'Resource use and costs'!$DS$12:$DS$25,0)),0)*_xlfn.IFNA(INDEX(EA$10:EA$23,MATCH($DA103,$DX$10:$DX$23,0)),0))</f>
        <v>4108.3597166</v>
      </c>
      <c r="DQ103" s="921">
        <f>IF(dd_PartSA_2_lines = "Yes",0,_xlfn.IFNA(INDEX('Resource use and costs'!$EA$12:$EA$25,MATCH(DB103,'Resource use and costs'!$DS$12:$DS$25,0)),0)*_xlfn.IFNA(INDEX(EC$10:EC$23,MATCH($DB103,$DX$10:$DX$23,0)),0))</f>
        <v>256.11457142857142</v>
      </c>
      <c r="DR103" s="921">
        <f t="shared" si="89"/>
        <v>5174.0677737428568</v>
      </c>
      <c r="DS103" s="1004">
        <f ca="1">SUMIFS('Safety parameters'!$DM$6:$DM$18,'Safety parameters'!$DK$6:$DK$18,CZ103,'Safety parameters'!$DL$6:$DL$18,1)+IF(dd_PartSA_2_lines = "Yes",0,SUMIFS('Safety parameters'!$DM$6:$DM$18,'Safety parameters'!$DK$6:$DK$18,DA103,'Safety parameters'!$DL$6:$DL$18,2)+SUMIFS('Safety parameters'!$DM$6:$DM$18,'Safety parameters'!$DK$6:$DK$18,DB103,'Safety parameters'!$DL$6:$DL$18,2))</f>
        <v>1225.8382950498869</v>
      </c>
      <c r="DT103" s="910">
        <f ca="1">SUMIFS('Safety parameters'!$DO$6:$DO$18,'Safety parameters'!$DK$6:$DK$18,CZ103,'Safety parameters'!$DL$6:$DL$18,1)+IF(dd_PartSA_2_lines = "Yes",0,SUMIFS('Safety parameters'!$DO$6:$DO$18,'Safety parameters'!$DK$6:$DK$18,DA103,'Safety parameters'!$DL$6:$DL$18,2)+SUMIFS('Safety parameters'!$DO$6:$DO$18,'Safety parameters'!$DK$6:$DK$18,DB103,'Safety parameters'!$DL$6:$DL$18,2))</f>
        <v>-1.0781647242797295E-2</v>
      </c>
    </row>
    <row r="104" spans="5:124" ht="15" x14ac:dyDescent="0.2">
      <c r="E104" s="4" t="str">
        <v>sunitinib</v>
      </c>
      <c r="J104" s="1224">
        <f t="shared" si="126"/>
        <v>3.9314285714285711</v>
      </c>
      <c r="K104" s="877"/>
      <c r="L104" s="877"/>
      <c r="M104" s="877"/>
      <c r="N104" s="877"/>
      <c r="O104" s="668">
        <f t="shared" si="127"/>
        <v>12.288571428571426</v>
      </c>
      <c r="P104" s="668">
        <f t="shared" si="128"/>
        <v>5.1742857142857135</v>
      </c>
      <c r="Q104" s="668">
        <f t="shared" si="129"/>
        <v>9.668571428571429</v>
      </c>
      <c r="R104" s="668">
        <f t="shared" si="130"/>
        <v>2.9271428571428566</v>
      </c>
      <c r="S104" s="668">
        <f t="shared" si="131"/>
        <v>15.83</v>
      </c>
      <c r="T104" s="668">
        <f t="shared" si="132"/>
        <v>1.2242857142857142</v>
      </c>
      <c r="U104" s="668">
        <f t="shared" si="133"/>
        <v>7.1457142857142859</v>
      </c>
      <c r="V104" s="911"/>
      <c r="W104" s="667"/>
      <c r="X104" s="927"/>
      <c r="Y104" s="927"/>
      <c r="Z104" s="668">
        <f t="shared" si="134"/>
        <v>4.1142857142857139</v>
      </c>
      <c r="AA104" s="877"/>
      <c r="AB104" s="877"/>
      <c r="AC104" s="877"/>
      <c r="AD104" s="877"/>
      <c r="AE104" s="1224">
        <f t="shared" si="135"/>
        <v>5.5785714285714283</v>
      </c>
      <c r="AF104" s="1224">
        <f t="shared" si="136"/>
        <v>5.5785714285714283</v>
      </c>
      <c r="AG104" s="668">
        <f t="shared" si="137"/>
        <v>5.5785714285714283</v>
      </c>
      <c r="AH104" s="668">
        <f t="shared" si="138"/>
        <v>7.218571428571428</v>
      </c>
      <c r="AI104" s="668">
        <f t="shared" si="139"/>
        <v>6.8914285714285715</v>
      </c>
      <c r="AJ104" s="668">
        <f t="shared" si="140"/>
        <v>3.2057142857142855</v>
      </c>
      <c r="AK104" s="668">
        <f t="shared" si="141"/>
        <v>4.2914285714285709</v>
      </c>
      <c r="AL104" s="911"/>
      <c r="AM104" s="667"/>
      <c r="AN104" s="927"/>
      <c r="AO104" s="927"/>
      <c r="AP104" s="668">
        <f t="shared" si="142"/>
        <v>4.1142857142857139</v>
      </c>
      <c r="AQ104" s="877"/>
      <c r="AR104" s="877"/>
      <c r="AS104" s="877"/>
      <c r="AT104" s="877"/>
      <c r="AU104" s="668">
        <f t="shared" si="143"/>
        <v>5.5785714285714283</v>
      </c>
      <c r="AV104" s="668">
        <f t="shared" si="144"/>
        <v>5.5785714285714283</v>
      </c>
      <c r="AW104" s="668">
        <f t="shared" si="145"/>
        <v>5.5785714285714283</v>
      </c>
      <c r="AX104" s="668">
        <f t="shared" si="146"/>
        <v>7.218571428571428</v>
      </c>
      <c r="AY104" s="668">
        <f t="shared" si="147"/>
        <v>6.8914285714285715</v>
      </c>
      <c r="AZ104" s="668">
        <f t="shared" si="148"/>
        <v>11.564285714285713</v>
      </c>
      <c r="BA104" s="668">
        <f t="shared" si="149"/>
        <v>4.38</v>
      </c>
      <c r="BB104" s="911"/>
      <c r="BC104" s="667"/>
      <c r="CK104" s="61" t="s">
        <v>31</v>
      </c>
      <c r="CL104" s="61">
        <v>2</v>
      </c>
      <c r="CM104" s="61" t="str">
        <v>axitinib</v>
      </c>
      <c r="CN104" s="17">
        <v>11</v>
      </c>
      <c r="CO104" s="61" t="str" cm="1">
        <f t="array" ref="CO104">INDEX(List_comparators,CP103+1)</f>
        <v>lenvatinib_plus_pembrolizumab</v>
      </c>
      <c r="CP104" s="17">
        <v>3</v>
      </c>
      <c r="CQ104" s="601">
        <f t="shared" ca="1" si="121"/>
        <v>0</v>
      </c>
      <c r="CR104" s="601">
        <f t="shared" ca="1" si="122"/>
        <v>0</v>
      </c>
      <c r="CS104" s="669">
        <f t="shared" ca="1" si="125"/>
        <v>0</v>
      </c>
      <c r="CT104" s="669">
        <f t="shared" ca="1" si="123"/>
        <v>0</v>
      </c>
      <c r="CU104" s="1123">
        <f>MATCH(CZ104,'Resource use and costs'!$BA$11:$BA$53,0)</f>
        <v>37</v>
      </c>
      <c r="CV104" s="1223"/>
      <c r="CW104" s="1241">
        <f t="shared" si="87"/>
        <v>1</v>
      </c>
      <c r="CX104" s="899" t="s">
        <v>764</v>
      </c>
      <c r="CY104" s="899" t="s">
        <v>117</v>
      </c>
      <c r="CZ104" s="899" t="s">
        <v>119</v>
      </c>
      <c r="DA104" s="899" t="s">
        <v>327</v>
      </c>
      <c r="DB104" s="899" t="s">
        <v>765</v>
      </c>
      <c r="DC104" s="899" cm="1">
        <f t="array" aca="1" ref="DC104" ca="1">_xlfn.IFNA(OFFSET($I$49,MATCH(CY104,$I$50:$I$63,0),MATCH(CZ104,TRANSPOSE($J$49:$W$49),0)),0)</f>
        <v>0</v>
      </c>
      <c r="DD104" s="899" cm="1">
        <f t="array" aca="1" ref="DD104" ca="1">_xlfn.IFNA(OFFSET($Y$49,MATCH($CZ104,$Y$50:$Y$63,0),MATCH($DA104,TRANSPOSE($Z$49:$AM$49),0)),0)</f>
        <v>0</v>
      </c>
      <c r="DE104" s="899" cm="1">
        <f t="array" aca="1" ref="DE104" ca="1">_xlfn.IFNA(OFFSET($AO$49,MATCH($DA104,$AO$50:$AO$63,0),MATCH($DB104,TRANSPOSE($AP$49:$BC$49),0)),0)</f>
        <v>0.43140000000000001</v>
      </c>
      <c r="DF104" s="881">
        <f t="shared" ca="1" si="81"/>
        <v>0</v>
      </c>
      <c r="DG104" s="910">
        <f t="shared" ca="1" si="82"/>
        <v>0.99547352429578406</v>
      </c>
      <c r="DH104" s="881">
        <f t="shared" ca="1" si="83"/>
        <v>0</v>
      </c>
      <c r="DI104" s="1460">
        <f t="shared" ca="1" si="124"/>
        <v>0</v>
      </c>
      <c r="DJ104" s="909">
        <f>_xlfn.IFNA(INDEX('Resource use and costs'!$CQ$11:$CQ$53,MATCH($CZ104,'Resource use and costs'!$BA$11:$BA$53,0)),0)*_xlfn.IFNA(INDEX(DY$10:DY$23,MATCH($CZ104,$DX$10:$DX$23,0)),0)</f>
        <v>944.50399999999979</v>
      </c>
      <c r="DK104" s="909">
        <f>IF(dd_PartSA_2_lines = "Yes",0,_xlfn.IFNA(INDEX('Resource use and costs'!$CR$11:$CR$53,MATCH(DA104,'Resource use and costs'!$BA$11:$BA$53,0)),0)*_xlfn.IFNA(INDEX(EA$10:EA$23,MATCH($DA104,$DX$10:$DX$23,0)),0))</f>
        <v>21421.066008214286</v>
      </c>
      <c r="DL104" s="909">
        <f>IF(dd_PartSA_2_lines = "Yes",0,_xlfn.IFNA(INDEX('Resource use and costs'!$CS$11:$CS$53,MATCH(DB104,'Resource use and costs'!$BA$11:$BA$53,0)),0)*_xlfn.IFNA(INDEX(EC$10:EC$23,MATCH($DB104,$DX$10:$DX$23,0)),0))</f>
        <v>0</v>
      </c>
      <c r="DM104" s="909">
        <f t="shared" si="88"/>
        <v>22365.570008214287</v>
      </c>
      <c r="DN104" s="909">
        <f>SUM(_xlfn.IFNA(INDEX('Resource use and costs'!$DU$12:$DU$25,MATCH(CZ104,'Resource use and costs'!$DS$12:$DS$25,0)),0),_xlfn.IFNA(INDEX('Resource use and costs'!$DU$12:$DU$25,MATCH(DA104,'Resource use and costs'!$DS$12:$DS$25,0)),0),_xlfn.IFNA(INDEX('Resource use and costs'!$DU$12:$DU$25,MATCH(DB104,'Resource use and costs'!$DS$12:$DS$25,0)),0))</f>
        <v>394.5</v>
      </c>
      <c r="DO104" s="921">
        <f>_xlfn.IFNA(INDEX('Resource use and costs'!$DY$12:$DY$25,MATCH(CZ104,'Resource use and costs'!$DS$12:$DS$25,0)),0)*_xlfn.IFNA(INDEX(DY$10:DY$23,MATCH($CZ104,$DX$10:$DX$23,0)),0)</f>
        <v>82.971428571428561</v>
      </c>
      <c r="DP104" s="921">
        <f>IF(dd_PartSA_2_lines = "Yes",0,_xlfn.IFNA(INDEX('Resource use and costs'!$DZ$12:$DZ$25,MATCH(DA104,'Resource use and costs'!$DS$12:$DS$25,0)),0)*_xlfn.IFNA(INDEX(EA$10:EA$23,MATCH($DA104,$DX$10:$DX$23,0)),0))</f>
        <v>267.99172714285714</v>
      </c>
      <c r="DQ104" s="921">
        <f>IF(dd_PartSA_2_lines = "Yes",0,_xlfn.IFNA(INDEX('Resource use and costs'!$EA$12:$EA$25,MATCH(DB104,'Resource use and costs'!$DS$12:$DS$25,0)),0)*_xlfn.IFNA(INDEX(EC$10:EC$23,MATCH($DB104,$DX$10:$DX$23,0)),0))</f>
        <v>0</v>
      </c>
      <c r="DR104" s="921">
        <f t="shared" si="89"/>
        <v>745.46315571428568</v>
      </c>
      <c r="DS104" s="1004">
        <f ca="1">SUMIFS('Safety parameters'!$DM$6:$DM$18,'Safety parameters'!$DK$6:$DK$18,CZ104,'Safety parameters'!$DL$6:$DL$18,1)+IF(dd_PartSA_2_lines = "Yes",0,SUMIFS('Safety parameters'!$DM$6:$DM$18,'Safety parameters'!$DK$6:$DK$18,DA104,'Safety parameters'!$DL$6:$DL$18,2)+SUMIFS('Safety parameters'!$DM$6:$DM$18,'Safety parameters'!$DK$6:$DK$18,DB104,'Safety parameters'!$DL$6:$DL$18,2))</f>
        <v>1634.2286735654598</v>
      </c>
      <c r="DT104" s="910">
        <f ca="1">SUMIFS('Safety parameters'!$DO$6:$DO$18,'Safety parameters'!$DK$6:$DK$18,CZ104,'Safety parameters'!$DL$6:$DL$18,1)+IF(dd_PartSA_2_lines = "Yes",0,SUMIFS('Safety parameters'!$DO$6:$DO$18,'Safety parameters'!$DK$6:$DK$18,DA104,'Safety parameters'!$DL$6:$DL$18,2)+SUMIFS('Safety parameters'!$DO$6:$DO$18,'Safety parameters'!$DK$6:$DK$18,DB104,'Safety parameters'!$DL$6:$DL$18,2))</f>
        <v>-1.4741924007481429E-2</v>
      </c>
    </row>
    <row r="105" spans="5:124" ht="15" x14ac:dyDescent="0.2">
      <c r="E105" s="4" t="str">
        <v>cabozantinib</v>
      </c>
      <c r="J105" s="1224">
        <f t="shared" si="126"/>
        <v>3.9314285714285711</v>
      </c>
      <c r="K105" s="877"/>
      <c r="L105" s="877"/>
      <c r="M105" s="877"/>
      <c r="N105" s="877"/>
      <c r="O105" s="668">
        <f t="shared" si="127"/>
        <v>12.288571428571426</v>
      </c>
      <c r="P105" s="668">
        <f t="shared" si="128"/>
        <v>5.1742857142857135</v>
      </c>
      <c r="Q105" s="668">
        <f t="shared" si="129"/>
        <v>9.668571428571429</v>
      </c>
      <c r="R105" s="668">
        <f t="shared" si="130"/>
        <v>2.9271428571428566</v>
      </c>
      <c r="S105" s="668">
        <f t="shared" si="131"/>
        <v>15.83</v>
      </c>
      <c r="T105" s="668">
        <f t="shared" si="132"/>
        <v>1.2242857142857142</v>
      </c>
      <c r="U105" s="668">
        <f t="shared" si="133"/>
        <v>7.1457142857142859</v>
      </c>
      <c r="V105" s="911"/>
      <c r="W105" s="667"/>
      <c r="X105" s="927"/>
      <c r="Y105" s="927"/>
      <c r="Z105" s="668">
        <f t="shared" si="134"/>
        <v>4.1142857142857139</v>
      </c>
      <c r="AA105" s="877"/>
      <c r="AB105" s="877"/>
      <c r="AC105" s="877"/>
      <c r="AD105" s="877"/>
      <c r="AE105" s="1224">
        <f t="shared" si="135"/>
        <v>5.5785714285714283</v>
      </c>
      <c r="AF105" s="1224">
        <f t="shared" si="136"/>
        <v>5.5785714285714283</v>
      </c>
      <c r="AG105" s="668">
        <f t="shared" si="137"/>
        <v>5.5785714285714283</v>
      </c>
      <c r="AH105" s="668">
        <f t="shared" si="138"/>
        <v>7.218571428571428</v>
      </c>
      <c r="AI105" s="668">
        <f t="shared" si="139"/>
        <v>6.8914285714285715</v>
      </c>
      <c r="AJ105" s="668">
        <f t="shared" si="140"/>
        <v>3.2057142857142855</v>
      </c>
      <c r="AK105" s="668">
        <f t="shared" si="141"/>
        <v>4.2914285714285709</v>
      </c>
      <c r="AL105" s="911"/>
      <c r="AM105" s="667"/>
      <c r="AN105" s="927"/>
      <c r="AO105" s="927"/>
      <c r="AP105" s="668">
        <f t="shared" si="142"/>
        <v>4.1142857142857139</v>
      </c>
      <c r="AQ105" s="877"/>
      <c r="AR105" s="877"/>
      <c r="AS105" s="877"/>
      <c r="AT105" s="877"/>
      <c r="AU105" s="668">
        <f t="shared" si="143"/>
        <v>5.5785714285714283</v>
      </c>
      <c r="AV105" s="668">
        <f t="shared" si="144"/>
        <v>5.5785714285714283</v>
      </c>
      <c r="AW105" s="668">
        <f t="shared" si="145"/>
        <v>5.5785714285714283</v>
      </c>
      <c r="AX105" s="668">
        <f t="shared" si="146"/>
        <v>7.218571428571428</v>
      </c>
      <c r="AY105" s="668">
        <f t="shared" si="147"/>
        <v>6.8914285714285715</v>
      </c>
      <c r="AZ105" s="668">
        <f t="shared" si="148"/>
        <v>11.564285714285713</v>
      </c>
      <c r="BA105" s="668">
        <f t="shared" si="149"/>
        <v>4.38</v>
      </c>
      <c r="BB105" s="911"/>
      <c r="BC105" s="667"/>
      <c r="CK105" s="61" t="s">
        <v>31</v>
      </c>
      <c r="CL105" s="61">
        <v>2</v>
      </c>
      <c r="CM105" s="61" t="str">
        <v>sorafenib</v>
      </c>
      <c r="CN105" s="17">
        <v>12</v>
      </c>
      <c r="CO105" s="61" t="str" cm="1">
        <f t="array" ref="CO105">INDEX(List_comparators,CP104+1)</f>
        <v>lenvatinib_plus_pembrolizumab</v>
      </c>
      <c r="CP105" s="17">
        <v>3</v>
      </c>
      <c r="CQ105" s="601">
        <f t="shared" ca="1" si="121"/>
        <v>0</v>
      </c>
      <c r="CR105" s="601">
        <f t="shared" ca="1" si="122"/>
        <v>0</v>
      </c>
      <c r="CS105" s="669">
        <f t="shared" ca="1" si="125"/>
        <v>0</v>
      </c>
      <c r="CT105" s="669">
        <f t="shared" ca="1" si="123"/>
        <v>0</v>
      </c>
      <c r="CU105" s="1123">
        <f>MATCH(CZ105,'Resource use and costs'!$BA$11:$BA$53,0)</f>
        <v>37</v>
      </c>
      <c r="CV105" s="1223"/>
      <c r="CW105" s="1241">
        <f t="shared" si="87"/>
        <v>1</v>
      </c>
      <c r="CX105" s="899" t="s">
        <v>764</v>
      </c>
      <c r="CY105" s="899" t="s">
        <v>117</v>
      </c>
      <c r="CZ105" s="899" t="s">
        <v>119</v>
      </c>
      <c r="DA105" s="899" t="s">
        <v>765</v>
      </c>
      <c r="DB105" s="899"/>
      <c r="DC105" s="899" cm="1">
        <f t="array" aca="1" ref="DC105" ca="1">_xlfn.IFNA(OFFSET($I$49,MATCH(CY105,$I$50:$I$63,0),MATCH(CZ105,TRANSPOSE($J$49:$W$49),0)),0)</f>
        <v>0</v>
      </c>
      <c r="DD105" s="899" cm="1">
        <f t="array" aca="1" ref="DD105" ca="1">_xlfn.IFNA(OFFSET($Y$49,MATCH($CZ105,$Y$50:$Y$63,0),MATCH($DA105,TRANSPOSE($Z$49:$AM$49),0)),0)</f>
        <v>1</v>
      </c>
      <c r="DE105" s="899" cm="1">
        <f t="array" aca="1" ref="DE105" ca="1">_xlfn.IFNA(OFFSET($AO$49,MATCH($DA105,$AO$50:$AO$63,0),MATCH($DB105,TRANSPOSE($AP$49:$BC$49),0)),0)</f>
        <v>0</v>
      </c>
      <c r="DF105" s="881">
        <f t="shared" ca="1" si="81"/>
        <v>0</v>
      </c>
      <c r="DG105" s="910">
        <f t="shared" ca="1" si="82"/>
        <v>0.99547352429578406</v>
      </c>
      <c r="DH105" s="881">
        <f t="shared" ca="1" si="83"/>
        <v>0</v>
      </c>
      <c r="DI105" s="1460">
        <f t="shared" ca="1" si="124"/>
        <v>0</v>
      </c>
      <c r="DJ105" s="909">
        <f>_xlfn.IFNA(INDEX('Resource use and costs'!$CQ$11:$CQ$53,MATCH($CZ105,'Resource use and costs'!$BA$11:$BA$53,0)),0)*_xlfn.IFNA(INDEX(DY$10:DY$23,MATCH($CZ105,$DX$10:$DX$23,0)),0)</f>
        <v>944.50399999999979</v>
      </c>
      <c r="DK105" s="909">
        <f>IF(dd_PartSA_2_lines = "Yes",0,_xlfn.IFNA(INDEX('Resource use and costs'!$CR$11:$CR$53,MATCH(DA105,'Resource use and costs'!$BA$11:$BA$53,0)),0)*_xlfn.IFNA(INDEX(EA$10:EA$23,MATCH($DA105,$DX$10:$DX$23,0)),0))</f>
        <v>0</v>
      </c>
      <c r="DL105" s="909">
        <f>IF(dd_PartSA_2_lines = "Yes",0,_xlfn.IFNA(INDEX('Resource use and costs'!$CS$11:$CS$53,MATCH(DB105,'Resource use and costs'!$BA$11:$BA$53,0)),0)*_xlfn.IFNA(INDEX(EC$10:EC$23,MATCH($DB105,$DX$10:$DX$23,0)),0))</f>
        <v>0</v>
      </c>
      <c r="DM105" s="909">
        <f t="shared" si="88"/>
        <v>944.50399999999979</v>
      </c>
      <c r="DN105" s="909">
        <f>SUM(_xlfn.IFNA(INDEX('Resource use and costs'!$DU$12:$DU$25,MATCH(CZ105,'Resource use and costs'!$DS$12:$DS$25,0)),0),_xlfn.IFNA(INDEX('Resource use and costs'!$DU$12:$DU$25,MATCH(DA105,'Resource use and costs'!$DS$12:$DS$25,0)),0),_xlfn.IFNA(INDEX('Resource use and costs'!$DU$12:$DU$25,MATCH(DB105,'Resource use and costs'!$DS$12:$DS$25,0)),0))</f>
        <v>197.25</v>
      </c>
      <c r="DO105" s="921">
        <f>_xlfn.IFNA(INDEX('Resource use and costs'!$DY$12:$DY$25,MATCH(CZ105,'Resource use and costs'!$DS$12:$DS$25,0)),0)*_xlfn.IFNA(INDEX(DY$10:DY$23,MATCH($CZ105,$DX$10:$DX$23,0)),0)</f>
        <v>82.971428571428561</v>
      </c>
      <c r="DP105" s="921">
        <f>IF(dd_PartSA_2_lines = "Yes",0,_xlfn.IFNA(INDEX('Resource use and costs'!$DZ$12:$DZ$25,MATCH(DA105,'Resource use and costs'!$DS$12:$DS$25,0)),0)*_xlfn.IFNA(INDEX(EA$10:EA$23,MATCH($DA105,$DX$10:$DX$23,0)),0))</f>
        <v>0</v>
      </c>
      <c r="DQ105" s="921">
        <f>IF(dd_PartSA_2_lines = "Yes",0,_xlfn.IFNA(INDEX('Resource use and costs'!$EA$12:$EA$25,MATCH(DB105,'Resource use and costs'!$DS$12:$DS$25,0)),0)*_xlfn.IFNA(INDEX(EC$10:EC$23,MATCH($DB105,$DX$10:$DX$23,0)),0))</f>
        <v>0</v>
      </c>
      <c r="DR105" s="921">
        <f t="shared" si="89"/>
        <v>280.22142857142853</v>
      </c>
      <c r="DS105" s="1004">
        <f>SUMIFS('Safety parameters'!$DM$6:$DM$18,'Safety parameters'!$DK$6:$DK$18,CZ105,'Safety parameters'!$DL$6:$DL$18,1)+IF(dd_PartSA_2_lines = "Yes",0,SUMIFS('Safety parameters'!$DM$6:$DM$18,'Safety parameters'!$DK$6:$DK$18,DA105,'Safety parameters'!$DL$6:$DL$18,2)+SUMIFS('Safety parameters'!$DM$6:$DM$18,'Safety parameters'!$DK$6:$DK$18,DB105,'Safety parameters'!$DL$6:$DL$18,2))</f>
        <v>0</v>
      </c>
      <c r="DT105" s="910">
        <f>SUMIFS('Safety parameters'!$DO$6:$DO$18,'Safety parameters'!$DK$6:$DK$18,CZ105,'Safety parameters'!$DL$6:$DL$18,1)+IF(dd_PartSA_2_lines = "Yes",0,SUMIFS('Safety parameters'!$DO$6:$DO$18,'Safety parameters'!$DK$6:$DK$18,DA105,'Safety parameters'!$DL$6:$DL$18,2)+SUMIFS('Safety parameters'!$DO$6:$DO$18,'Safety parameters'!$DK$6:$DK$18,DB105,'Safety parameters'!$DL$6:$DL$18,2))</f>
        <v>0</v>
      </c>
    </row>
    <row r="106" spans="5:124" ht="15.75" thickBot="1" x14ac:dyDescent="0.25">
      <c r="E106" s="4" t="str">
        <v>lenvatinib_plus_everolimus</v>
      </c>
      <c r="J106" s="1224">
        <f t="shared" si="126"/>
        <v>3.9314285714285711</v>
      </c>
      <c r="K106" s="877"/>
      <c r="L106" s="877"/>
      <c r="M106" s="877"/>
      <c r="N106" s="877"/>
      <c r="O106" s="668">
        <f t="shared" si="127"/>
        <v>12.288571428571426</v>
      </c>
      <c r="P106" s="668">
        <f t="shared" si="128"/>
        <v>5.1742857142857135</v>
      </c>
      <c r="Q106" s="668">
        <f t="shared" si="129"/>
        <v>9.668571428571429</v>
      </c>
      <c r="R106" s="668">
        <f t="shared" si="130"/>
        <v>2.9271428571428566</v>
      </c>
      <c r="S106" s="668">
        <f t="shared" si="131"/>
        <v>15.83</v>
      </c>
      <c r="T106" s="668">
        <f t="shared" si="132"/>
        <v>1.2242857142857142</v>
      </c>
      <c r="U106" s="668">
        <f t="shared" si="133"/>
        <v>7.1457142857142859</v>
      </c>
      <c r="V106" s="911"/>
      <c r="W106" s="667"/>
      <c r="X106" s="927"/>
      <c r="Y106" s="927"/>
      <c r="Z106" s="668">
        <f t="shared" si="134"/>
        <v>4.1142857142857139</v>
      </c>
      <c r="AA106" s="877"/>
      <c r="AB106" s="877"/>
      <c r="AC106" s="877"/>
      <c r="AD106" s="877"/>
      <c r="AE106" s="1224">
        <f t="shared" si="135"/>
        <v>5.5785714285714283</v>
      </c>
      <c r="AF106" s="1224">
        <f t="shared" si="136"/>
        <v>5.5785714285714283</v>
      </c>
      <c r="AG106" s="668">
        <f t="shared" si="137"/>
        <v>5.5785714285714283</v>
      </c>
      <c r="AH106" s="668">
        <f t="shared" si="138"/>
        <v>7.218571428571428</v>
      </c>
      <c r="AI106" s="668">
        <f t="shared" si="139"/>
        <v>6.8914285714285715</v>
      </c>
      <c r="AJ106" s="668">
        <f t="shared" si="140"/>
        <v>3.2057142857142855</v>
      </c>
      <c r="AK106" s="668">
        <f t="shared" si="141"/>
        <v>4.2914285714285709</v>
      </c>
      <c r="AL106" s="911"/>
      <c r="AM106" s="667"/>
      <c r="AN106" s="927"/>
      <c r="AO106" s="927"/>
      <c r="AP106" s="668">
        <f t="shared" si="142"/>
        <v>4.1142857142857139</v>
      </c>
      <c r="AQ106" s="877"/>
      <c r="AR106" s="877"/>
      <c r="AS106" s="877"/>
      <c r="AT106" s="877"/>
      <c r="AU106" s="668">
        <f t="shared" si="143"/>
        <v>5.5785714285714283</v>
      </c>
      <c r="AV106" s="668">
        <f t="shared" si="144"/>
        <v>5.5785714285714283</v>
      </c>
      <c r="AW106" s="668">
        <f t="shared" si="145"/>
        <v>5.5785714285714283</v>
      </c>
      <c r="AX106" s="668">
        <f t="shared" si="146"/>
        <v>7.218571428571428</v>
      </c>
      <c r="AY106" s="668">
        <f t="shared" si="147"/>
        <v>6.8914285714285715</v>
      </c>
      <c r="AZ106" s="668">
        <f t="shared" si="148"/>
        <v>11.564285714285713</v>
      </c>
      <c r="BA106" s="668">
        <f t="shared" si="149"/>
        <v>4.38</v>
      </c>
      <c r="BB106" s="911"/>
      <c r="BC106" s="667"/>
      <c r="CK106" s="506" t="s">
        <v>31</v>
      </c>
      <c r="CL106" s="506">
        <v>2</v>
      </c>
      <c r="CM106" s="506" t="str">
        <v>placebo_BSC</v>
      </c>
      <c r="CN106" s="19">
        <v>999</v>
      </c>
      <c r="CO106" s="506" t="str" cm="1">
        <f t="array" ref="CO106">INDEX(List_comparators,CP93+1)</f>
        <v>lenvatinib_plus_pembrolizumab</v>
      </c>
      <c r="CP106" s="19">
        <v>3</v>
      </c>
      <c r="CQ106" s="602">
        <f t="shared" ca="1" si="121"/>
        <v>0</v>
      </c>
      <c r="CR106" s="602">
        <f t="shared" ca="1" si="122"/>
        <v>0</v>
      </c>
      <c r="CS106" s="670">
        <v>0</v>
      </c>
      <c r="CT106" s="670">
        <f t="shared" ca="1" si="123"/>
        <v>0</v>
      </c>
      <c r="CU106" s="1123">
        <f>MATCH(CZ106,'Resource use and costs'!$BA$11:$BA$53,0)</f>
        <v>37</v>
      </c>
      <c r="CV106" s="1223"/>
      <c r="CW106" s="1241">
        <f t="shared" si="87"/>
        <v>1</v>
      </c>
      <c r="CX106" s="899" t="s">
        <v>764</v>
      </c>
      <c r="CY106" s="899" t="s">
        <v>117</v>
      </c>
      <c r="CZ106" s="899" t="s">
        <v>119</v>
      </c>
      <c r="DA106" s="899" t="s">
        <v>118</v>
      </c>
      <c r="DB106" s="899" t="s">
        <v>327</v>
      </c>
      <c r="DC106" s="899" cm="1">
        <f t="array" aca="1" ref="DC106" ca="1">_xlfn.IFNA(OFFSET($I$49,MATCH(CY106,$I$50:$I$63,0),MATCH(CZ106,TRANSPOSE($J$49:$W$49),0)),0)</f>
        <v>0</v>
      </c>
      <c r="DD106" s="899" cm="1">
        <f t="array" aca="1" ref="DD106" ca="1">_xlfn.IFNA(OFFSET($Y$49,MATCH($CZ106,$Y$50:$Y$63,0),MATCH($DA106,TRANSPOSE($Z$49:$AM$49),0)),0)</f>
        <v>0</v>
      </c>
      <c r="DE106" s="899" cm="1">
        <f t="array" aca="1" ref="DE106" ca="1">_xlfn.IFNA(OFFSET($AO$49,MATCH($DA106,$AO$50:$AO$63,0),MATCH($DB106,TRANSPOSE($AP$49:$BC$49),0)),0)</f>
        <v>0.38769999999999999</v>
      </c>
      <c r="DF106" s="881">
        <f t="shared" ca="1" si="81"/>
        <v>0</v>
      </c>
      <c r="DG106" s="910">
        <f t="shared" ca="1" si="82"/>
        <v>0.99547352429578406</v>
      </c>
      <c r="DH106" s="881">
        <f t="shared" ca="1" si="83"/>
        <v>0</v>
      </c>
      <c r="DI106" s="1460">
        <f t="shared" ca="1" si="124"/>
        <v>0</v>
      </c>
      <c r="DJ106" s="909">
        <f>_xlfn.IFNA(INDEX('Resource use and costs'!$CQ$11:$CQ$53,MATCH($CZ106,'Resource use and costs'!$BA$11:$BA$53,0)),0)*_xlfn.IFNA(INDEX(DY$10:DY$23,MATCH($CZ106,$DX$10:$DX$23,0)),0)</f>
        <v>944.50399999999979</v>
      </c>
      <c r="DK106" s="909">
        <f>IF(dd_PartSA_2_lines = "Yes",0,_xlfn.IFNA(INDEX('Resource use and costs'!$CR$11:$CR$53,MATCH(DA106,'Resource use and costs'!$BA$11:$BA$53,0)),0)*_xlfn.IFNA(INDEX(EA$10:EA$23,MATCH($DA106,$DX$10:$DX$23,0)),0))</f>
        <v>50308.075122000002</v>
      </c>
      <c r="DL106" s="909">
        <f>IF(dd_PartSA_2_lines = "Yes",0,_xlfn.IFNA(INDEX('Resource use and costs'!$CS$11:$CS$53,MATCH(DB106,'Resource use and costs'!$BA$11:$BA$53,0)),0)*_xlfn.IFNA(INDEX(EC$10:EC$23,MATCH($DB106,$DX$10:$DX$23,0)),0))</f>
        <v>18438.751749999999</v>
      </c>
      <c r="DM106" s="909">
        <f t="shared" si="88"/>
        <v>69691.330872000006</v>
      </c>
      <c r="DN106" s="909">
        <f>SUM(_xlfn.IFNA(INDEX('Resource use and costs'!$DU$12:$DU$25,MATCH(CZ106,'Resource use and costs'!$DS$12:$DS$25,0)),0),_xlfn.IFNA(INDEX('Resource use and costs'!$DU$12:$DU$25,MATCH(DA106,'Resource use and costs'!$DS$12:$DS$25,0)),0),_xlfn.IFNA(INDEX('Resource use and costs'!$DU$12:$DU$25,MATCH(DB106,'Resource use and costs'!$DS$12:$DS$25,0)),0))</f>
        <v>591.75</v>
      </c>
      <c r="DO106" s="921">
        <f>_xlfn.IFNA(INDEX('Resource use and costs'!$DY$12:$DY$25,MATCH(CZ106,'Resource use and costs'!$DS$12:$DS$25,0)),0)*_xlfn.IFNA(INDEX(DY$10:DY$23,MATCH($CZ106,$DX$10:$DX$23,0)),0)</f>
        <v>82.971428571428561</v>
      </c>
      <c r="DP106" s="921">
        <f>IF(dd_PartSA_2_lines = "Yes",0,_xlfn.IFNA(INDEX('Resource use and costs'!$DZ$12:$DZ$25,MATCH(DA106,'Resource use and costs'!$DS$12:$DS$25,0)),0)*_xlfn.IFNA(INDEX(EA$10:EA$23,MATCH($DA106,$DX$10:$DX$23,0)),0))</f>
        <v>461.1445457142857</v>
      </c>
      <c r="DQ106" s="921">
        <f>IF(dd_PartSA_2_lines = "Yes",0,_xlfn.IFNA(INDEX('Resource use and costs'!$EA$12:$EA$25,MATCH(DB106,'Resource use and costs'!$DS$12:$DS$25,0)),0)*_xlfn.IFNA(INDEX(EC$10:EC$23,MATCH($DB106,$DX$10:$DX$23,0)),0))</f>
        <v>230.68099999999998</v>
      </c>
      <c r="DR106" s="921">
        <f t="shared" si="89"/>
        <v>1366.5469742857142</v>
      </c>
      <c r="DS106" s="1004">
        <f ca="1">SUMIFS('Safety parameters'!$DM$6:$DM$18,'Safety parameters'!$DK$6:$DK$18,CZ106,'Safety parameters'!$DL$6:$DL$18,1)+IF(dd_PartSA_2_lines = "Yes",0,SUMIFS('Safety parameters'!$DM$6:$DM$18,'Safety parameters'!$DK$6:$DK$18,DA106,'Safety parameters'!$DL$6:$DL$18,2)+SUMIFS('Safety parameters'!$DM$6:$DM$18,'Safety parameters'!$DK$6:$DK$18,DB106,'Safety parameters'!$DL$6:$DL$18,2))</f>
        <v>2377.8779733688434</v>
      </c>
      <c r="DT106" s="910">
        <f ca="1">SUMIFS('Safety parameters'!$DO$6:$DO$18,'Safety parameters'!$DK$6:$DK$18,CZ106,'Safety parameters'!$DL$6:$DL$18,1)+IF(dd_PartSA_2_lines = "Yes",0,SUMIFS('Safety parameters'!$DO$6:$DO$18,'Safety parameters'!$DK$6:$DK$18,DA106,'Safety parameters'!$DL$6:$DL$18,2)+SUMIFS('Safety parameters'!$DO$6:$DO$18,'Safety parameters'!$DK$6:$DK$18,DB106,'Safety parameters'!$DL$6:$DL$18,2))</f>
        <v>-2.1764250363717368E-2</v>
      </c>
    </row>
    <row r="107" spans="5:124" ht="15" x14ac:dyDescent="0.2">
      <c r="E107" s="4" t="str">
        <v>everolimus</v>
      </c>
      <c r="J107" s="1224">
        <f t="shared" si="126"/>
        <v>3.9314285714285711</v>
      </c>
      <c r="K107" s="877"/>
      <c r="L107" s="877"/>
      <c r="M107" s="877"/>
      <c r="N107" s="877"/>
      <c r="O107" s="668">
        <f t="shared" si="127"/>
        <v>12.288571428571426</v>
      </c>
      <c r="P107" s="668">
        <f t="shared" si="128"/>
        <v>5.1742857142857135</v>
      </c>
      <c r="Q107" s="668">
        <f t="shared" si="129"/>
        <v>9.668571428571429</v>
      </c>
      <c r="R107" s="668">
        <f t="shared" si="130"/>
        <v>2.9271428571428566</v>
      </c>
      <c r="S107" s="668">
        <f t="shared" si="131"/>
        <v>15.83</v>
      </c>
      <c r="T107" s="668">
        <f t="shared" si="132"/>
        <v>1.2242857142857142</v>
      </c>
      <c r="U107" s="668">
        <f t="shared" si="133"/>
        <v>7.1457142857142859</v>
      </c>
      <c r="V107" s="911"/>
      <c r="W107" s="667"/>
      <c r="X107" s="927"/>
      <c r="Y107" s="927"/>
      <c r="Z107" s="668">
        <f t="shared" si="134"/>
        <v>4.1142857142857139</v>
      </c>
      <c r="AA107" s="877"/>
      <c r="AB107" s="877"/>
      <c r="AC107" s="877"/>
      <c r="AD107" s="877"/>
      <c r="AE107" s="1224">
        <f t="shared" si="135"/>
        <v>5.5785714285714283</v>
      </c>
      <c r="AF107" s="1224">
        <f t="shared" si="136"/>
        <v>5.5785714285714283</v>
      </c>
      <c r="AG107" s="668">
        <f t="shared" si="137"/>
        <v>5.5785714285714283</v>
      </c>
      <c r="AH107" s="668">
        <f t="shared" si="138"/>
        <v>7.218571428571428</v>
      </c>
      <c r="AI107" s="668">
        <f t="shared" si="139"/>
        <v>6.8914285714285715</v>
      </c>
      <c r="AJ107" s="668">
        <f t="shared" si="140"/>
        <v>3.2057142857142855</v>
      </c>
      <c r="AK107" s="668">
        <f t="shared" si="141"/>
        <v>4.2914285714285709</v>
      </c>
      <c r="AL107" s="911"/>
      <c r="AM107" s="667"/>
      <c r="AN107" s="927"/>
      <c r="AO107" s="927"/>
      <c r="AP107" s="668">
        <f t="shared" si="142"/>
        <v>4.1142857142857139</v>
      </c>
      <c r="AQ107" s="877"/>
      <c r="AR107" s="877"/>
      <c r="AS107" s="877"/>
      <c r="AT107" s="877"/>
      <c r="AU107" s="668">
        <f t="shared" si="143"/>
        <v>5.5785714285714283</v>
      </c>
      <c r="AV107" s="668">
        <f t="shared" si="144"/>
        <v>5.5785714285714283</v>
      </c>
      <c r="AW107" s="668">
        <f t="shared" si="145"/>
        <v>5.5785714285714283</v>
      </c>
      <c r="AX107" s="668">
        <f t="shared" si="146"/>
        <v>7.218571428571428</v>
      </c>
      <c r="AY107" s="668">
        <f t="shared" si="147"/>
        <v>6.8914285714285715</v>
      </c>
      <c r="AZ107" s="668">
        <f t="shared" si="148"/>
        <v>11.564285714285713</v>
      </c>
      <c r="BA107" s="668">
        <f t="shared" si="149"/>
        <v>4.38</v>
      </c>
      <c r="BB107" s="911"/>
      <c r="BC107" s="667"/>
      <c r="CK107" s="505" t="s">
        <v>31</v>
      </c>
      <c r="CL107" s="505">
        <v>2</v>
      </c>
      <c r="CM107" s="61" t="str" cm="1">
        <f t="array" ref="CM107:CM120">List_comparators</f>
        <v>nivolumab_monotherapy</v>
      </c>
      <c r="CN107" s="17">
        <v>0</v>
      </c>
      <c r="CO107" s="61" t="str" cm="1">
        <f t="array" ref="CO107">INDEX(List_comparators,CP107+1)</f>
        <v>avelumab_plus_axitinib</v>
      </c>
      <c r="CP107" s="17">
        <v>4</v>
      </c>
      <c r="CQ107" s="603">
        <f t="shared" ca="1" si="121"/>
        <v>0</v>
      </c>
      <c r="CR107" s="603">
        <f t="shared" ca="1" si="122"/>
        <v>0</v>
      </c>
      <c r="CS107" s="669">
        <f t="shared" ref="CS107:CS119" ca="1" si="151">OFFSET($J$81,IF(CN107=999,13,CN107),CP107)</f>
        <v>0</v>
      </c>
      <c r="CT107" s="669">
        <f t="shared" ca="1" si="123"/>
        <v>0</v>
      </c>
      <c r="CU107" s="1123">
        <f>MATCH(CZ107,'Resource use and costs'!$BA$11:$BA$53,0)</f>
        <v>37</v>
      </c>
      <c r="CV107" s="1223"/>
      <c r="CW107" s="1241">
        <f t="shared" si="87"/>
        <v>1</v>
      </c>
      <c r="CX107" s="899" t="s">
        <v>764</v>
      </c>
      <c r="CY107" s="899" t="s">
        <v>117</v>
      </c>
      <c r="CZ107" s="899" t="s">
        <v>119</v>
      </c>
      <c r="DA107" s="899" t="s">
        <v>118</v>
      </c>
      <c r="DB107" s="899" t="s">
        <v>765</v>
      </c>
      <c r="DC107" s="899" cm="1">
        <f t="array" aca="1" ref="DC107" ca="1">_xlfn.IFNA(OFFSET($I$49,MATCH(CY107,$I$50:$I$63,0),MATCH(CZ107,TRANSPOSE($J$49:$W$49),0)),0)</f>
        <v>0</v>
      </c>
      <c r="DD107" s="899" cm="1">
        <f t="array" aca="1" ref="DD107" ca="1">_xlfn.IFNA(OFFSET($Y$49,MATCH($CZ107,$Y$50:$Y$63,0),MATCH($DA107,TRANSPOSE($Z$49:$AM$49),0)),0)</f>
        <v>0</v>
      </c>
      <c r="DE107" s="899" cm="1">
        <f t="array" aca="1" ref="DE107" ca="1">_xlfn.IFNA(OFFSET($AO$49,MATCH($DA107,$AO$50:$AO$63,0),MATCH($DB107,TRANSPOSE($AP$49:$BC$49),0)),0)</f>
        <v>0.43140000000000001</v>
      </c>
      <c r="DF107" s="881">
        <f t="shared" ca="1" si="81"/>
        <v>0</v>
      </c>
      <c r="DG107" s="910">
        <f t="shared" ca="1" si="82"/>
        <v>0.99547352429578406</v>
      </c>
      <c r="DH107" s="881">
        <f t="shared" ca="1" si="83"/>
        <v>0</v>
      </c>
      <c r="DI107" s="1460">
        <f t="shared" ca="1" si="124"/>
        <v>0</v>
      </c>
      <c r="DJ107" s="909">
        <f>_xlfn.IFNA(INDEX('Resource use and costs'!$CQ$11:$CQ$53,MATCH($CZ107,'Resource use and costs'!$BA$11:$BA$53,0)),0)*_xlfn.IFNA(INDEX(DY$10:DY$23,MATCH($CZ107,$DX$10:$DX$23,0)),0)</f>
        <v>944.50399999999979</v>
      </c>
      <c r="DK107" s="909">
        <f>IF(dd_PartSA_2_lines = "Yes",0,_xlfn.IFNA(INDEX('Resource use and costs'!$CR$11:$CR$53,MATCH(DA107,'Resource use and costs'!$BA$11:$BA$53,0)),0)*_xlfn.IFNA(INDEX(EA$10:EA$23,MATCH($DA107,$DX$10:$DX$23,0)),0))</f>
        <v>50308.075122000002</v>
      </c>
      <c r="DL107" s="909">
        <f>IF(dd_PartSA_2_lines = "Yes",0,_xlfn.IFNA(INDEX('Resource use and costs'!$CS$11:$CS$53,MATCH(DB107,'Resource use and costs'!$BA$11:$BA$53,0)),0)*_xlfn.IFNA(INDEX(EC$10:EC$23,MATCH($DB107,$DX$10:$DX$23,0)),0))</f>
        <v>0</v>
      </c>
      <c r="DM107" s="909">
        <f t="shared" si="88"/>
        <v>51252.579122000003</v>
      </c>
      <c r="DN107" s="909">
        <f>SUM(_xlfn.IFNA(INDEX('Resource use and costs'!$DU$12:$DU$25,MATCH(CZ107,'Resource use and costs'!$DS$12:$DS$25,0)),0),_xlfn.IFNA(INDEX('Resource use and costs'!$DU$12:$DU$25,MATCH(DA107,'Resource use and costs'!$DS$12:$DS$25,0)),0),_xlfn.IFNA(INDEX('Resource use and costs'!$DU$12:$DU$25,MATCH(DB107,'Resource use and costs'!$DS$12:$DS$25,0)),0))</f>
        <v>394.5</v>
      </c>
      <c r="DO107" s="921">
        <f>_xlfn.IFNA(INDEX('Resource use and costs'!$DY$12:$DY$25,MATCH(CZ107,'Resource use and costs'!$DS$12:$DS$25,0)),0)*_xlfn.IFNA(INDEX(DY$10:DY$23,MATCH($CZ107,$DX$10:$DX$23,0)),0)</f>
        <v>82.971428571428561</v>
      </c>
      <c r="DP107" s="921">
        <f>IF(dd_PartSA_2_lines = "Yes",0,_xlfn.IFNA(INDEX('Resource use and costs'!$DZ$12:$DZ$25,MATCH(DA107,'Resource use and costs'!$DS$12:$DS$25,0)),0)*_xlfn.IFNA(INDEX(EA$10:EA$23,MATCH($DA107,$DX$10:$DX$23,0)),0))</f>
        <v>461.1445457142857</v>
      </c>
      <c r="DQ107" s="921">
        <f>IF(dd_PartSA_2_lines = "Yes",0,_xlfn.IFNA(INDEX('Resource use and costs'!$EA$12:$EA$25,MATCH(DB107,'Resource use and costs'!$DS$12:$DS$25,0)),0)*_xlfn.IFNA(INDEX(EC$10:EC$23,MATCH($DB107,$DX$10:$DX$23,0)),0))</f>
        <v>0</v>
      </c>
      <c r="DR107" s="921">
        <f t="shared" si="89"/>
        <v>938.61597428571417</v>
      </c>
      <c r="DS107" s="1004">
        <f ca="1">SUMIFS('Safety parameters'!$DM$6:$DM$18,'Safety parameters'!$DK$6:$DK$18,CZ107,'Safety parameters'!$DL$6:$DL$18,1)+IF(dd_PartSA_2_lines = "Yes",0,SUMIFS('Safety parameters'!$DM$6:$DM$18,'Safety parameters'!$DK$6:$DK$18,DA107,'Safety parameters'!$DL$6:$DL$18,2)+SUMIFS('Safety parameters'!$DM$6:$DM$18,'Safety parameters'!$DK$6:$DK$18,DB107,'Safety parameters'!$DL$6:$DL$18,2))</f>
        <v>743.64929980338343</v>
      </c>
      <c r="DT107" s="910">
        <f ca="1">SUMIFS('Safety parameters'!$DO$6:$DO$18,'Safety parameters'!$DK$6:$DK$18,CZ107,'Safety parameters'!$DL$6:$DL$18,1)+IF(dd_PartSA_2_lines = "Yes",0,SUMIFS('Safety parameters'!$DO$6:$DO$18,'Safety parameters'!$DK$6:$DK$18,DA107,'Safety parameters'!$DL$6:$DL$18,2)+SUMIFS('Safety parameters'!$DO$6:$DO$18,'Safety parameters'!$DK$6:$DK$18,DB107,'Safety parameters'!$DL$6:$DL$18,2))</f>
        <v>-7.0223263562359372E-3</v>
      </c>
    </row>
    <row r="108" spans="5:124" ht="15" x14ac:dyDescent="0.2">
      <c r="E108" s="4" t="str">
        <v>axitinib</v>
      </c>
      <c r="J108" s="1224">
        <f t="shared" si="126"/>
        <v>3.9314285714285711</v>
      </c>
      <c r="K108" s="877"/>
      <c r="L108" s="877"/>
      <c r="M108" s="877"/>
      <c r="N108" s="877"/>
      <c r="O108" s="668">
        <f t="shared" si="127"/>
        <v>12.288571428571426</v>
      </c>
      <c r="P108" s="668">
        <f t="shared" si="128"/>
        <v>5.1742857142857135</v>
      </c>
      <c r="Q108" s="668">
        <f t="shared" si="129"/>
        <v>9.668571428571429</v>
      </c>
      <c r="R108" s="668">
        <f t="shared" si="130"/>
        <v>2.9271428571428566</v>
      </c>
      <c r="S108" s="668">
        <f t="shared" si="131"/>
        <v>15.83</v>
      </c>
      <c r="T108" s="668">
        <f t="shared" si="132"/>
        <v>1.2242857142857142</v>
      </c>
      <c r="U108" s="668">
        <f t="shared" si="133"/>
        <v>7.1457142857142859</v>
      </c>
      <c r="V108" s="78"/>
      <c r="W108" s="667"/>
      <c r="X108" s="927"/>
      <c r="Y108" s="927"/>
      <c r="Z108" s="668">
        <f t="shared" si="134"/>
        <v>4.1142857142857139</v>
      </c>
      <c r="AA108" s="877"/>
      <c r="AB108" s="877"/>
      <c r="AC108" s="877"/>
      <c r="AD108" s="877"/>
      <c r="AE108" s="1224">
        <f t="shared" si="135"/>
        <v>5.5785714285714283</v>
      </c>
      <c r="AF108" s="1224">
        <f t="shared" si="136"/>
        <v>5.5785714285714283</v>
      </c>
      <c r="AG108" s="668">
        <f t="shared" si="137"/>
        <v>5.5785714285714283</v>
      </c>
      <c r="AH108" s="668">
        <f t="shared" si="138"/>
        <v>7.218571428571428</v>
      </c>
      <c r="AI108" s="668">
        <f t="shared" si="139"/>
        <v>6.8914285714285715</v>
      </c>
      <c r="AJ108" s="668">
        <f t="shared" si="140"/>
        <v>3.2057142857142855</v>
      </c>
      <c r="AK108" s="668">
        <f t="shared" si="141"/>
        <v>4.2914285714285709</v>
      </c>
      <c r="AL108" s="78"/>
      <c r="AM108" s="667"/>
      <c r="AN108" s="927"/>
      <c r="AO108" s="927"/>
      <c r="AP108" s="668">
        <f t="shared" si="142"/>
        <v>4.1142857142857139</v>
      </c>
      <c r="AQ108" s="877"/>
      <c r="AR108" s="877"/>
      <c r="AS108" s="877"/>
      <c r="AT108" s="877"/>
      <c r="AU108" s="668">
        <f t="shared" si="143"/>
        <v>5.5785714285714283</v>
      </c>
      <c r="AV108" s="668">
        <f t="shared" si="144"/>
        <v>5.5785714285714283</v>
      </c>
      <c r="AW108" s="668">
        <f t="shared" si="145"/>
        <v>5.5785714285714283</v>
      </c>
      <c r="AX108" s="668">
        <f t="shared" si="146"/>
        <v>7.218571428571428</v>
      </c>
      <c r="AY108" s="668">
        <f t="shared" si="147"/>
        <v>6.8914285714285715</v>
      </c>
      <c r="AZ108" s="668">
        <f t="shared" si="148"/>
        <v>11.564285714285713</v>
      </c>
      <c r="BA108" s="668">
        <f t="shared" si="149"/>
        <v>4.38</v>
      </c>
      <c r="BB108" s="78"/>
      <c r="BC108" s="667"/>
      <c r="CK108" s="61" t="s">
        <v>31</v>
      </c>
      <c r="CL108" s="61">
        <v>2</v>
      </c>
      <c r="CM108" s="61" t="str">
        <v>cabozantinib_plus_nivolumab</v>
      </c>
      <c r="CN108" s="17">
        <v>1</v>
      </c>
      <c r="CO108" s="61" t="str" cm="1">
        <f t="array" ref="CO108">INDEX(List_comparators,CP107+1)</f>
        <v>avelumab_plus_axitinib</v>
      </c>
      <c r="CP108" s="17">
        <v>4</v>
      </c>
      <c r="CQ108" s="601">
        <f t="shared" ca="1" si="121"/>
        <v>0</v>
      </c>
      <c r="CR108" s="601">
        <f t="shared" ca="1" si="122"/>
        <v>0</v>
      </c>
      <c r="CS108" s="669">
        <f t="shared" ca="1" si="151"/>
        <v>0</v>
      </c>
      <c r="CT108" s="669">
        <f t="shared" ca="1" si="123"/>
        <v>0</v>
      </c>
      <c r="CU108" s="1123">
        <f>MATCH(CZ108,'Resource use and costs'!$BA$11:$BA$53,0)</f>
        <v>37</v>
      </c>
      <c r="CV108" s="1223"/>
      <c r="CW108" s="1241">
        <f t="shared" si="87"/>
        <v>1</v>
      </c>
      <c r="CX108" s="899" t="s">
        <v>764</v>
      </c>
      <c r="CY108" s="899" t="s">
        <v>117</v>
      </c>
      <c r="CZ108" s="899" t="s">
        <v>119</v>
      </c>
      <c r="DA108" s="899" t="s">
        <v>579</v>
      </c>
      <c r="DB108" s="899" t="s">
        <v>327</v>
      </c>
      <c r="DC108" s="899" cm="1">
        <f t="array" aca="1" ref="DC108" ca="1">_xlfn.IFNA(OFFSET($I$49,MATCH(CY108,$I$50:$I$63,0),MATCH(CZ108,TRANSPOSE($J$49:$W$49),0)),0)</f>
        <v>0</v>
      </c>
      <c r="DD108" s="899" cm="1">
        <f t="array" aca="1" ref="DD108" ca="1">_xlfn.IFNA(OFFSET($Y$49,MATCH($CZ108,$Y$50:$Y$63,0),MATCH($DA108,TRANSPOSE($Z$49:$AM$49),0)),0)</f>
        <v>0</v>
      </c>
      <c r="DE108" s="899" cm="1">
        <f t="array" aca="1" ref="DE108" ca="1">_xlfn.IFNA(OFFSET($AO$49,MATCH($DA108,$AO$50:$AO$63,0),MATCH($DB108,TRANSPOSE($AP$49:$BC$49),0)),0)</f>
        <v>0.56859999999999999</v>
      </c>
      <c r="DF108" s="881">
        <f t="shared" ca="1" si="81"/>
        <v>0</v>
      </c>
      <c r="DG108" s="910">
        <f t="shared" ca="1" si="82"/>
        <v>0.99547352429578406</v>
      </c>
      <c r="DH108" s="881">
        <f t="shared" ca="1" si="83"/>
        <v>0</v>
      </c>
      <c r="DI108" s="1460">
        <f t="shared" ca="1" si="124"/>
        <v>0</v>
      </c>
      <c r="DJ108" s="909">
        <f>_xlfn.IFNA(INDEX('Resource use and costs'!$CQ$11:$CQ$53,MATCH($CZ108,'Resource use and costs'!$BA$11:$BA$53,0)),0)*_xlfn.IFNA(INDEX(DY$10:DY$23,MATCH($CZ108,$DX$10:$DX$23,0)),0)</f>
        <v>944.50399999999979</v>
      </c>
      <c r="DK108" s="909">
        <f>IF(dd_PartSA_2_lines = "Yes",0,_xlfn.IFNA(INDEX('Resource use and costs'!$CR$11:$CR$53,MATCH(DA108,'Resource use and costs'!$BA$11:$BA$53,0)),0)*_xlfn.IFNA(INDEX(EA$10:EA$23,MATCH($DA108,$DX$10:$DX$23,0)),0))</f>
        <v>26054.50921</v>
      </c>
      <c r="DL108" s="909">
        <f>IF(dd_PartSA_2_lines = "Yes",0,_xlfn.IFNA(INDEX('Resource use and costs'!$CS$11:$CS$53,MATCH(DB108,'Resource use and costs'!$BA$11:$BA$53,0)),0)*_xlfn.IFNA(INDEX(EC$10:EC$23,MATCH($DB108,$DX$10:$DX$23,0)),0))</f>
        <v>18438.751749999999</v>
      </c>
      <c r="DM108" s="909">
        <f t="shared" si="88"/>
        <v>45437.76496</v>
      </c>
      <c r="DN108" s="909">
        <f>SUM(_xlfn.IFNA(INDEX('Resource use and costs'!$DU$12:$DU$25,MATCH(CZ108,'Resource use and costs'!$DS$12:$DS$25,0)),0),_xlfn.IFNA(INDEX('Resource use and costs'!$DU$12:$DU$25,MATCH(DA108,'Resource use and costs'!$DS$12:$DS$25,0)),0),_xlfn.IFNA(INDEX('Resource use and costs'!$DU$12:$DU$25,MATCH(DB108,'Resource use and costs'!$DS$12:$DS$25,0)),0))</f>
        <v>394.5</v>
      </c>
      <c r="DO108" s="921">
        <f>_xlfn.IFNA(INDEX('Resource use and costs'!$DY$12:$DY$25,MATCH(CZ108,'Resource use and costs'!$DS$12:$DS$25,0)),0)*_xlfn.IFNA(INDEX(DY$10:DY$23,MATCH($CZ108,$DX$10:$DX$23,0)),0)</f>
        <v>82.971428571428561</v>
      </c>
      <c r="DP108" s="921">
        <f>IF(dd_PartSA_2_lines = "Yes",0,_xlfn.IFNA(INDEX('Resource use and costs'!$DZ$12:$DZ$25,MATCH(DA108,'Resource use and costs'!$DS$12:$DS$25,0)),0)*_xlfn.IFNA(INDEX(EA$10:EA$23,MATCH($DA108,$DX$10:$DX$23,0)),0))</f>
        <v>4108.3597166</v>
      </c>
      <c r="DQ108" s="921">
        <f>IF(dd_PartSA_2_lines = "Yes",0,_xlfn.IFNA(INDEX('Resource use and costs'!$EA$12:$EA$25,MATCH(DB108,'Resource use and costs'!$DS$12:$DS$25,0)),0)*_xlfn.IFNA(INDEX(EC$10:EC$23,MATCH($DB108,$DX$10:$DX$23,0)),0))</f>
        <v>230.68099999999998</v>
      </c>
      <c r="DR108" s="921">
        <f t="shared" si="89"/>
        <v>4816.5121451714285</v>
      </c>
      <c r="DS108" s="1004">
        <f ca="1">SUMIFS('Safety parameters'!$DM$6:$DM$18,'Safety parameters'!$DK$6:$DK$18,CZ108,'Safety parameters'!$DL$6:$DL$18,1)+IF(dd_PartSA_2_lines = "Yes",0,SUMIFS('Safety parameters'!$DM$6:$DM$18,'Safety parameters'!$DK$6:$DK$18,DA108,'Safety parameters'!$DL$6:$DL$18,2)+SUMIFS('Safety parameters'!$DM$6:$DM$18,'Safety parameters'!$DK$6:$DK$18,DB108,'Safety parameters'!$DL$6:$DL$18,2))</f>
        <v>1795.3624225558742</v>
      </c>
      <c r="DT108" s="910">
        <f ca="1">SUMIFS('Safety parameters'!$DO$6:$DO$18,'Safety parameters'!$DK$6:$DK$18,CZ108,'Safety parameters'!$DL$6:$DL$18,1)+IF(dd_PartSA_2_lines = "Yes",0,SUMIFS('Safety parameters'!$DO$6:$DO$18,'Safety parameters'!$DK$6:$DK$18,DA108,'Safety parameters'!$DL$6:$DL$18,2)+SUMIFS('Safety parameters'!$DO$6:$DO$18,'Safety parameters'!$DK$6:$DK$18,DB108,'Safety parameters'!$DL$6:$DL$18,2))</f>
        <v>-1.6339008205166216E-2</v>
      </c>
    </row>
    <row r="109" spans="5:124" ht="15" x14ac:dyDescent="0.2">
      <c r="E109" s="4" t="str">
        <v>sorafenib</v>
      </c>
      <c r="J109" s="667"/>
      <c r="K109" s="877"/>
      <c r="L109" s="877"/>
      <c r="M109" s="877"/>
      <c r="N109" s="877"/>
      <c r="O109" s="667"/>
      <c r="P109" s="667"/>
      <c r="Q109" s="667"/>
      <c r="R109" s="667"/>
      <c r="S109" s="667"/>
      <c r="T109" s="667"/>
      <c r="U109" s="667"/>
      <c r="V109" s="911"/>
      <c r="W109" s="667"/>
      <c r="X109" s="927"/>
      <c r="Y109" s="927"/>
      <c r="Z109" s="667"/>
      <c r="AA109" s="877"/>
      <c r="AB109" s="877"/>
      <c r="AC109" s="877"/>
      <c r="AD109" s="877"/>
      <c r="AE109" s="667"/>
      <c r="AF109" s="667"/>
      <c r="AG109" s="667"/>
      <c r="AH109" s="667"/>
      <c r="AI109" s="667"/>
      <c r="AJ109" s="667"/>
      <c r="AK109" s="667"/>
      <c r="AL109" s="911"/>
      <c r="AM109" s="667"/>
      <c r="AN109" s="927"/>
      <c r="AO109" s="927"/>
      <c r="AP109" s="667"/>
      <c r="AQ109" s="877"/>
      <c r="AR109" s="877"/>
      <c r="AS109" s="877"/>
      <c r="AT109" s="877"/>
      <c r="AU109" s="667"/>
      <c r="AV109" s="667"/>
      <c r="AW109" s="667"/>
      <c r="AX109" s="667"/>
      <c r="AY109" s="667"/>
      <c r="AZ109" s="667"/>
      <c r="BA109" s="667"/>
      <c r="BB109" s="911"/>
      <c r="BC109" s="667"/>
      <c r="CK109" s="61" t="s">
        <v>31</v>
      </c>
      <c r="CL109" s="61">
        <v>2</v>
      </c>
      <c r="CM109" s="61" t="str">
        <v>nivolumab_plus_ipilimumab</v>
      </c>
      <c r="CN109" s="17">
        <v>2</v>
      </c>
      <c r="CO109" s="61" t="str" cm="1">
        <f t="array" ref="CO109">INDEX(List_comparators,CP108+1)</f>
        <v>avelumab_plus_axitinib</v>
      </c>
      <c r="CP109" s="17">
        <v>4</v>
      </c>
      <c r="CQ109" s="601">
        <f t="shared" ca="1" si="121"/>
        <v>0</v>
      </c>
      <c r="CR109" s="601">
        <f t="shared" ca="1" si="122"/>
        <v>0</v>
      </c>
      <c r="CS109" s="669">
        <f t="shared" ca="1" si="151"/>
        <v>0</v>
      </c>
      <c r="CT109" s="669">
        <f t="shared" ca="1" si="123"/>
        <v>0</v>
      </c>
      <c r="CU109" s="1123">
        <f>MATCH(CZ109,'Resource use and costs'!$BA$11:$BA$53,0)</f>
        <v>37</v>
      </c>
      <c r="CV109" s="1223"/>
      <c r="CW109" s="1241">
        <f t="shared" si="87"/>
        <v>1</v>
      </c>
      <c r="CX109" s="899" t="s">
        <v>764</v>
      </c>
      <c r="CY109" s="899" t="s">
        <v>117</v>
      </c>
      <c r="CZ109" s="899" t="s">
        <v>119</v>
      </c>
      <c r="DA109" s="899" t="s">
        <v>579</v>
      </c>
      <c r="DB109" s="899" t="s">
        <v>765</v>
      </c>
      <c r="DC109" s="899" cm="1">
        <f t="array" aca="1" ref="DC109" ca="1">_xlfn.IFNA(OFFSET($I$49,MATCH(CY109,$I$50:$I$63,0),MATCH(CZ109,TRANSPOSE($J$49:$W$49),0)),0)</f>
        <v>0</v>
      </c>
      <c r="DD109" s="899" cm="1">
        <f t="array" aca="1" ref="DD109" ca="1">_xlfn.IFNA(OFFSET($Y$49,MATCH($CZ109,$Y$50:$Y$63,0),MATCH($DA109,TRANSPOSE($Z$49:$AM$49),0)),0)</f>
        <v>0</v>
      </c>
      <c r="DE109" s="899" cm="1">
        <f t="array" aca="1" ref="DE109" ca="1">_xlfn.IFNA(OFFSET($AO$49,MATCH($DA109,$AO$50:$AO$63,0),MATCH($DB109,TRANSPOSE($AP$49:$BC$49),0)),0)</f>
        <v>0.43140000000000001</v>
      </c>
      <c r="DF109" s="881">
        <f t="shared" ca="1" si="81"/>
        <v>0</v>
      </c>
      <c r="DG109" s="910">
        <f t="shared" ca="1" si="82"/>
        <v>0.99547352429578406</v>
      </c>
      <c r="DH109" s="881">
        <f t="shared" ca="1" si="83"/>
        <v>0</v>
      </c>
      <c r="DI109" s="1460">
        <f t="shared" ca="1" si="124"/>
        <v>0</v>
      </c>
      <c r="DJ109" s="909">
        <f>_xlfn.IFNA(INDEX('Resource use and costs'!$CQ$11:$CQ$53,MATCH($CZ109,'Resource use and costs'!$BA$11:$BA$53,0)),0)*_xlfn.IFNA(INDEX(DY$10:DY$23,MATCH($CZ109,$DX$10:$DX$23,0)),0)</f>
        <v>944.50399999999979</v>
      </c>
      <c r="DK109" s="909">
        <f>IF(dd_PartSA_2_lines = "Yes",0,_xlfn.IFNA(INDEX('Resource use and costs'!$CR$11:$CR$53,MATCH(DA109,'Resource use and costs'!$BA$11:$BA$53,0)),0)*_xlfn.IFNA(INDEX(EA$10:EA$23,MATCH($DA109,$DX$10:$DX$23,0)),0))</f>
        <v>26054.50921</v>
      </c>
      <c r="DL109" s="909">
        <f>IF(dd_PartSA_2_lines = "Yes",0,_xlfn.IFNA(INDEX('Resource use and costs'!$CS$11:$CS$53,MATCH(DB109,'Resource use and costs'!$BA$11:$BA$53,0)),0)*_xlfn.IFNA(INDEX(EC$10:EC$23,MATCH($DB109,$DX$10:$DX$23,0)),0))</f>
        <v>0</v>
      </c>
      <c r="DM109" s="909">
        <f t="shared" si="88"/>
        <v>26999.013210000001</v>
      </c>
      <c r="DN109" s="909">
        <f>SUM(_xlfn.IFNA(INDEX('Resource use and costs'!$DU$12:$DU$25,MATCH(CZ109,'Resource use and costs'!$DS$12:$DS$25,0)),0),_xlfn.IFNA(INDEX('Resource use and costs'!$DU$12:$DU$25,MATCH(DA109,'Resource use and costs'!$DS$12:$DS$25,0)),0),_xlfn.IFNA(INDEX('Resource use and costs'!$DU$12:$DU$25,MATCH(DB109,'Resource use and costs'!$DS$12:$DS$25,0)),0))</f>
        <v>197.25</v>
      </c>
      <c r="DO109" s="921">
        <f>_xlfn.IFNA(INDEX('Resource use and costs'!$DY$12:$DY$25,MATCH(CZ109,'Resource use and costs'!$DS$12:$DS$25,0)),0)*_xlfn.IFNA(INDEX(DY$10:DY$23,MATCH($CZ109,$DX$10:$DX$23,0)),0)</f>
        <v>82.971428571428561</v>
      </c>
      <c r="DP109" s="921">
        <f>IF(dd_PartSA_2_lines = "Yes",0,_xlfn.IFNA(INDEX('Resource use and costs'!$DZ$12:$DZ$25,MATCH(DA109,'Resource use and costs'!$DS$12:$DS$25,0)),0)*_xlfn.IFNA(INDEX(EA$10:EA$23,MATCH($DA109,$DX$10:$DX$23,0)),0))</f>
        <v>4108.3597166</v>
      </c>
      <c r="DQ109" s="921">
        <f>IF(dd_PartSA_2_lines = "Yes",0,_xlfn.IFNA(INDEX('Resource use and costs'!$EA$12:$EA$25,MATCH(DB109,'Resource use and costs'!$DS$12:$DS$25,0)),0)*_xlfn.IFNA(INDEX(EC$10:EC$23,MATCH($DB109,$DX$10:$DX$23,0)),0))</f>
        <v>0</v>
      </c>
      <c r="DR109" s="921">
        <f t="shared" si="89"/>
        <v>4388.5811451714289</v>
      </c>
      <c r="DS109" s="1004">
        <f ca="1">SUMIFS('Safety parameters'!$DM$6:$DM$18,'Safety parameters'!$DK$6:$DK$18,CZ109,'Safety parameters'!$DL$6:$DL$18,1)+IF(dd_PartSA_2_lines = "Yes",0,SUMIFS('Safety parameters'!$DM$6:$DM$18,'Safety parameters'!$DK$6:$DK$18,DA109,'Safety parameters'!$DL$6:$DL$18,2)+SUMIFS('Safety parameters'!$DM$6:$DM$18,'Safety parameters'!$DK$6:$DK$18,DB109,'Safety parameters'!$DL$6:$DL$18,2))</f>
        <v>161.1337489904144</v>
      </c>
      <c r="DT109" s="910">
        <f ca="1">SUMIFS('Safety parameters'!$DO$6:$DO$18,'Safety parameters'!$DK$6:$DK$18,CZ109,'Safety parameters'!$DL$6:$DL$18,1)+IF(dd_PartSA_2_lines = "Yes",0,SUMIFS('Safety parameters'!$DO$6:$DO$18,'Safety parameters'!$DK$6:$DK$18,DA109,'Safety parameters'!$DL$6:$DL$18,2)+SUMIFS('Safety parameters'!$DO$6:$DO$18,'Safety parameters'!$DK$6:$DK$18,DB109,'Safety parameters'!$DL$6:$DL$18,2))</f>
        <v>-1.5970841976847864E-3</v>
      </c>
    </row>
    <row r="110" spans="5:124" ht="15" x14ac:dyDescent="0.2">
      <c r="E110" s="4" t="str">
        <v>placebo_BSC</v>
      </c>
      <c r="J110" s="667"/>
      <c r="K110" s="877"/>
      <c r="L110" s="877"/>
      <c r="M110" s="877"/>
      <c r="N110" s="877"/>
      <c r="O110" s="667"/>
      <c r="P110" s="667"/>
      <c r="Q110" s="667"/>
      <c r="R110" s="667"/>
      <c r="S110" s="667"/>
      <c r="T110" s="667"/>
      <c r="U110" s="667"/>
      <c r="V110" s="78"/>
      <c r="W110" s="667"/>
      <c r="X110" s="927"/>
      <c r="Y110" s="927"/>
      <c r="Z110" s="667"/>
      <c r="AA110" s="877"/>
      <c r="AB110" s="877"/>
      <c r="AC110" s="877"/>
      <c r="AD110" s="877"/>
      <c r="AE110" s="667"/>
      <c r="AF110" s="667"/>
      <c r="AG110" s="667"/>
      <c r="AH110" s="667"/>
      <c r="AI110" s="667"/>
      <c r="AJ110" s="667"/>
      <c r="AK110" s="667"/>
      <c r="AL110" s="78"/>
      <c r="AM110" s="667"/>
      <c r="AN110" s="927"/>
      <c r="AO110" s="927"/>
      <c r="AP110" s="667"/>
      <c r="AQ110" s="877"/>
      <c r="AR110" s="877"/>
      <c r="AS110" s="877"/>
      <c r="AT110" s="877"/>
      <c r="AU110" s="667"/>
      <c r="AV110" s="667"/>
      <c r="AW110" s="667"/>
      <c r="AX110" s="667"/>
      <c r="AY110" s="667"/>
      <c r="AZ110" s="667"/>
      <c r="BA110" s="667"/>
      <c r="BB110" s="78"/>
      <c r="BC110" s="667"/>
      <c r="CK110" s="61" t="s">
        <v>31</v>
      </c>
      <c r="CL110" s="61">
        <v>2</v>
      </c>
      <c r="CM110" s="61" t="str">
        <v>lenvatinib_plus_pembrolizumab</v>
      </c>
      <c r="CN110" s="17">
        <v>3</v>
      </c>
      <c r="CO110" s="61" t="str" cm="1">
        <f t="array" ref="CO110">INDEX(List_comparators,CP109+1)</f>
        <v>avelumab_plus_axitinib</v>
      </c>
      <c r="CP110" s="17">
        <v>4</v>
      </c>
      <c r="CQ110" s="601">
        <f t="shared" ca="1" si="121"/>
        <v>0</v>
      </c>
      <c r="CR110" s="601">
        <f t="shared" ca="1" si="122"/>
        <v>0</v>
      </c>
      <c r="CS110" s="669">
        <f t="shared" ca="1" si="151"/>
        <v>0</v>
      </c>
      <c r="CT110" s="669">
        <f t="shared" ca="1" si="123"/>
        <v>0</v>
      </c>
      <c r="CU110" s="1123">
        <f>MATCH(CZ110,'Resource use and costs'!$BA$11:$BA$53,0)</f>
        <v>43</v>
      </c>
      <c r="CV110" s="1223"/>
      <c r="CW110" s="1241">
        <f t="shared" si="87"/>
        <v>1</v>
      </c>
      <c r="CX110" s="899" t="s">
        <v>764</v>
      </c>
      <c r="CY110" s="899" t="s">
        <v>117</v>
      </c>
      <c r="CZ110" s="899" t="s">
        <v>333</v>
      </c>
      <c r="DA110" s="899" t="s">
        <v>327</v>
      </c>
      <c r="DB110" s="899" t="s">
        <v>765</v>
      </c>
      <c r="DC110" s="899" cm="1">
        <f t="array" aca="1" ref="DC110" ca="1">_xlfn.IFNA(OFFSET($I$49,MATCH(CY110,$I$50:$I$63,0),MATCH(CZ110,TRANSPOSE($J$49:$W$49),0)),0)</f>
        <v>3.700000000000001E-3</v>
      </c>
      <c r="DD110" s="899" cm="1">
        <f t="array" aca="1" ref="DD110" ca="1">_xlfn.IFNA(OFFSET($Y$49,MATCH($CZ110,$Y$50:$Y$63,0),MATCH($DA110,TRANSPOSE($Z$49:$AM$49),0)),0)</f>
        <v>0</v>
      </c>
      <c r="DE110" s="899" cm="1">
        <f t="array" aca="1" ref="DE110" ca="1">_xlfn.IFNA(OFFSET($AO$49,MATCH($DA110,$AO$50:$AO$63,0),MATCH($DB110,TRANSPOSE($AP$49:$BC$49),0)),0)</f>
        <v>0.43140000000000001</v>
      </c>
      <c r="DF110" s="881">
        <f t="shared" ca="1" si="81"/>
        <v>0</v>
      </c>
      <c r="DG110" s="910">
        <f t="shared" ca="1" si="82"/>
        <v>0.99547352429578406</v>
      </c>
      <c r="DH110" s="881">
        <f t="shared" ca="1" si="83"/>
        <v>0</v>
      </c>
      <c r="DI110" s="1460">
        <f t="shared" ca="1" si="124"/>
        <v>0</v>
      </c>
      <c r="DJ110" s="909">
        <f>_xlfn.IFNA(INDEX('Resource use and costs'!$CQ$11:$CQ$53,MATCH($CZ110,'Resource use and costs'!$BA$11:$BA$53,0)),0)*_xlfn.IFNA(INDEX(DY$10:DY$23,MATCH($CZ110,$DX$10:$DX$23,0)),0)</f>
        <v>54336.641519999976</v>
      </c>
      <c r="DK110" s="909">
        <f>IF(dd_PartSA_2_lines = "Yes",0,_xlfn.IFNA(INDEX('Resource use and costs'!$CR$11:$CR$53,MATCH(DA110,'Resource use and costs'!$BA$11:$BA$53,0)),0)*_xlfn.IFNA(INDEX(EA$10:EA$23,MATCH($DA110,$DX$10:$DX$23,0)),0))</f>
        <v>21421.066008214286</v>
      </c>
      <c r="DL110" s="909">
        <f>IF(dd_PartSA_2_lines = "Yes",0,_xlfn.IFNA(INDEX('Resource use and costs'!$CS$11:$CS$53,MATCH(DB110,'Resource use and costs'!$BA$11:$BA$53,0)),0)*_xlfn.IFNA(INDEX(EC$10:EC$23,MATCH($DB110,$DX$10:$DX$23,0)),0))</f>
        <v>0</v>
      </c>
      <c r="DM110" s="909">
        <f t="shared" si="88"/>
        <v>75757.707528214261</v>
      </c>
      <c r="DN110" s="909">
        <f>SUM(_xlfn.IFNA(INDEX('Resource use and costs'!$DU$12:$DU$25,MATCH(CZ110,'Resource use and costs'!$DS$12:$DS$25,0)),0),_xlfn.IFNA(INDEX('Resource use and costs'!$DU$12:$DU$25,MATCH(DA110,'Resource use and costs'!$DS$12:$DS$25,0)),0),_xlfn.IFNA(INDEX('Resource use and costs'!$DU$12:$DU$25,MATCH(DB110,'Resource use and costs'!$DS$12:$DS$25,0)),0))</f>
        <v>394.5</v>
      </c>
      <c r="DO110" s="921">
        <f>_xlfn.IFNA(INDEX('Resource use and costs'!$DY$12:$DY$25,MATCH(CZ110,'Resource use and costs'!$DS$12:$DS$25,0)),0)*_xlfn.IFNA(INDEX(DY$10:DY$23,MATCH($CZ110,$DX$10:$DX$23,0)),0)</f>
        <v>810.54285714285697</v>
      </c>
      <c r="DP110" s="921">
        <f>IF(dd_PartSA_2_lines = "Yes",0,_xlfn.IFNA(INDEX('Resource use and costs'!$DZ$12:$DZ$25,MATCH(DA110,'Resource use and costs'!$DS$12:$DS$25,0)),0)*_xlfn.IFNA(INDEX(EA$10:EA$23,MATCH($DA110,$DX$10:$DX$23,0)),0))</f>
        <v>267.99172714285714</v>
      </c>
      <c r="DQ110" s="921">
        <f>IF(dd_PartSA_2_lines = "Yes",0,_xlfn.IFNA(INDEX('Resource use and costs'!$EA$12:$EA$25,MATCH(DB110,'Resource use and costs'!$DS$12:$DS$25,0)),0)*_xlfn.IFNA(INDEX(EC$10:EC$23,MATCH($DB110,$DX$10:$DX$23,0)),0))</f>
        <v>0</v>
      </c>
      <c r="DR110" s="921">
        <f t="shared" si="89"/>
        <v>1473.0345842857141</v>
      </c>
      <c r="DS110" s="1004">
        <f ca="1">SUMIFS('Safety parameters'!$DM$6:$DM$18,'Safety parameters'!$DK$6:$DK$18,CZ110,'Safety parameters'!$DL$6:$DL$18,1)+IF(dd_PartSA_2_lines = "Yes",0,SUMIFS('Safety parameters'!$DM$6:$DM$18,'Safety parameters'!$DK$6:$DK$18,DA110,'Safety parameters'!$DL$6:$DL$18,2)+SUMIFS('Safety parameters'!$DM$6:$DM$18,'Safety parameters'!$DK$6:$DK$18,DB110,'Safety parameters'!$DL$6:$DL$18,2))</f>
        <v>1634.2286735654598</v>
      </c>
      <c r="DT110" s="910">
        <f ca="1">SUMIFS('Safety parameters'!$DO$6:$DO$18,'Safety parameters'!$DK$6:$DK$18,CZ110,'Safety parameters'!$DL$6:$DL$18,1)+IF(dd_PartSA_2_lines = "Yes",0,SUMIFS('Safety parameters'!$DO$6:$DO$18,'Safety parameters'!$DK$6:$DK$18,DA110,'Safety parameters'!$DL$6:$DL$18,2)+SUMIFS('Safety parameters'!$DO$6:$DO$18,'Safety parameters'!$DK$6:$DK$18,DB110,'Safety parameters'!$DL$6:$DL$18,2))</f>
        <v>-1.4741924007481429E-2</v>
      </c>
    </row>
    <row r="111" spans="5:124" ht="15" x14ac:dyDescent="0.2">
      <c r="CK111" s="61" t="s">
        <v>31</v>
      </c>
      <c r="CL111" s="61">
        <v>2</v>
      </c>
      <c r="CM111" s="61" t="str">
        <v>avelumab_plus_axitinib</v>
      </c>
      <c r="CN111" s="17">
        <v>4</v>
      </c>
      <c r="CO111" s="61" t="str" cm="1">
        <f t="array" ref="CO111">INDEX(List_comparators,CP110+1)</f>
        <v>avelumab_plus_axitinib</v>
      </c>
      <c r="CP111" s="17">
        <v>4</v>
      </c>
      <c r="CQ111" s="601">
        <f t="shared" ca="1" si="121"/>
        <v>0</v>
      </c>
      <c r="CR111" s="601">
        <f t="shared" ca="1" si="122"/>
        <v>0</v>
      </c>
      <c r="CS111" s="669">
        <f t="shared" ca="1" si="151"/>
        <v>0</v>
      </c>
      <c r="CT111" s="669">
        <f t="shared" ca="1" si="123"/>
        <v>0</v>
      </c>
      <c r="CU111" s="1123">
        <f>MATCH(CZ111,'Resource use and costs'!$BA$11:$BA$53,0)</f>
        <v>43</v>
      </c>
      <c r="CV111" s="1223"/>
      <c r="CW111" s="1241">
        <f t="shared" si="87"/>
        <v>1</v>
      </c>
      <c r="CX111" s="899" t="s">
        <v>764</v>
      </c>
      <c r="CY111" s="899" t="s">
        <v>117</v>
      </c>
      <c r="CZ111" s="899" t="s">
        <v>333</v>
      </c>
      <c r="DA111" s="899" t="s">
        <v>765</v>
      </c>
      <c r="DB111" s="899"/>
      <c r="DC111" s="899" cm="1">
        <f t="array" aca="1" ref="DC111" ca="1">_xlfn.IFNA(OFFSET($I$49,MATCH(CY111,$I$50:$I$63,0),MATCH(CZ111,TRANSPOSE($J$49:$W$49),0)),0)</f>
        <v>3.700000000000001E-3</v>
      </c>
      <c r="DD111" s="899" cm="1">
        <f t="array" aca="1" ref="DD111" ca="1">_xlfn.IFNA(OFFSET($Y$49,MATCH($CZ111,$Y$50:$Y$63,0),MATCH($DA111,TRANSPOSE($Z$49:$AM$49),0)),0)</f>
        <v>0.34300000000000003</v>
      </c>
      <c r="DE111" s="899" cm="1">
        <f t="array" aca="1" ref="DE111" ca="1">_xlfn.IFNA(OFFSET($AO$49,MATCH($DA111,$AO$50:$AO$63,0),MATCH($DB111,TRANSPOSE($AP$49:$BC$49),0)),0)</f>
        <v>0</v>
      </c>
      <c r="DF111" s="881">
        <f t="shared" ca="1" si="81"/>
        <v>1.2691000000000004E-3</v>
      </c>
      <c r="DG111" s="910">
        <f t="shared" ca="1" si="82"/>
        <v>0.99547352429578406</v>
      </c>
      <c r="DH111" s="881">
        <f t="shared" ca="1" si="83"/>
        <v>1.2633554496837801E-3</v>
      </c>
      <c r="DI111" s="1460">
        <f t="shared" ca="1" si="124"/>
        <v>0.4118538765969123</v>
      </c>
      <c r="DJ111" s="909">
        <f>_xlfn.IFNA(INDEX('Resource use and costs'!$CQ$11:$CQ$53,MATCH($CZ111,'Resource use and costs'!$BA$11:$BA$53,0)),0)*_xlfn.IFNA(INDEX(DY$10:DY$23,MATCH($CZ111,$DX$10:$DX$23,0)),0)</f>
        <v>54336.641519999976</v>
      </c>
      <c r="DK111" s="909">
        <f>IF(dd_PartSA_2_lines = "Yes",0,_xlfn.IFNA(INDEX('Resource use and costs'!$CR$11:$CR$53,MATCH(DA111,'Resource use and costs'!$BA$11:$BA$53,0)),0)*_xlfn.IFNA(INDEX(EA$10:EA$23,MATCH($DA111,$DX$10:$DX$23,0)),0))</f>
        <v>0</v>
      </c>
      <c r="DL111" s="909">
        <f>IF(dd_PartSA_2_lines = "Yes",0,_xlfn.IFNA(INDEX('Resource use and costs'!$CS$11:$CS$53,MATCH(DB111,'Resource use and costs'!$BA$11:$BA$53,0)),0)*_xlfn.IFNA(INDEX(EC$10:EC$23,MATCH($DB111,$DX$10:$DX$23,0)),0))</f>
        <v>0</v>
      </c>
      <c r="DM111" s="909">
        <f t="shared" si="88"/>
        <v>54336.641519999976</v>
      </c>
      <c r="DN111" s="909">
        <f>SUM(_xlfn.IFNA(INDEX('Resource use and costs'!$DU$12:$DU$25,MATCH(CZ111,'Resource use and costs'!$DS$12:$DS$25,0)),0),_xlfn.IFNA(INDEX('Resource use and costs'!$DU$12:$DU$25,MATCH(DA111,'Resource use and costs'!$DS$12:$DS$25,0)),0),_xlfn.IFNA(INDEX('Resource use and costs'!$DU$12:$DU$25,MATCH(DB111,'Resource use and costs'!$DS$12:$DS$25,0)),0))</f>
        <v>197.25</v>
      </c>
      <c r="DO111" s="921">
        <f>_xlfn.IFNA(INDEX('Resource use and costs'!$DY$12:$DY$25,MATCH(CZ111,'Resource use and costs'!$DS$12:$DS$25,0)),0)*_xlfn.IFNA(INDEX(DY$10:DY$23,MATCH($CZ111,$DX$10:$DX$23,0)),0)</f>
        <v>810.54285714285697</v>
      </c>
      <c r="DP111" s="921">
        <f>IF(dd_PartSA_2_lines = "Yes",0,_xlfn.IFNA(INDEX('Resource use and costs'!$DZ$12:$DZ$25,MATCH(DA111,'Resource use and costs'!$DS$12:$DS$25,0)),0)*_xlfn.IFNA(INDEX(EA$10:EA$23,MATCH($DA111,$DX$10:$DX$23,0)),0))</f>
        <v>0</v>
      </c>
      <c r="DQ111" s="921">
        <f>IF(dd_PartSA_2_lines = "Yes",0,_xlfn.IFNA(INDEX('Resource use and costs'!$EA$12:$EA$25,MATCH(DB111,'Resource use and costs'!$DS$12:$DS$25,0)),0)*_xlfn.IFNA(INDEX(EC$10:EC$23,MATCH($DB111,$DX$10:$DX$23,0)),0))</f>
        <v>0</v>
      </c>
      <c r="DR111" s="921">
        <f t="shared" si="89"/>
        <v>1007.792857142857</v>
      </c>
      <c r="DS111" s="1004">
        <f>SUMIFS('Safety parameters'!$DM$6:$DM$18,'Safety parameters'!$DK$6:$DK$18,CZ111,'Safety parameters'!$DL$6:$DL$18,1)+IF(dd_PartSA_2_lines = "Yes",0,SUMIFS('Safety parameters'!$DM$6:$DM$18,'Safety parameters'!$DK$6:$DK$18,DA111,'Safety parameters'!$DL$6:$DL$18,2)+SUMIFS('Safety parameters'!$DM$6:$DM$18,'Safety parameters'!$DK$6:$DK$18,DB111,'Safety parameters'!$DL$6:$DL$18,2))</f>
        <v>0</v>
      </c>
      <c r="DT111" s="910">
        <f>SUMIFS('Safety parameters'!$DO$6:$DO$18,'Safety parameters'!$DK$6:$DK$18,CZ111,'Safety parameters'!$DL$6:$DL$18,1)+IF(dd_PartSA_2_lines = "Yes",0,SUMIFS('Safety parameters'!$DO$6:$DO$18,'Safety parameters'!$DK$6:$DK$18,DA111,'Safety parameters'!$DL$6:$DL$18,2)+SUMIFS('Safety parameters'!$DO$6:$DO$18,'Safety parameters'!$DK$6:$DK$18,DB111,'Safety parameters'!$DL$6:$DL$18,2))</f>
        <v>0</v>
      </c>
    </row>
    <row r="112" spans="5:124" ht="15" x14ac:dyDescent="0.2">
      <c r="H112" s="4" t="s">
        <v>800</v>
      </c>
      <c r="J112" s="4" t="s">
        <v>31</v>
      </c>
      <c r="L112" s="4" t="s">
        <v>801</v>
      </c>
      <c r="N112" s="4" t="s">
        <v>802</v>
      </c>
      <c r="CK112" s="61" t="s">
        <v>31</v>
      </c>
      <c r="CL112" s="61">
        <v>2</v>
      </c>
      <c r="CM112" s="61" t="str">
        <v>pazopanib</v>
      </c>
      <c r="CN112" s="17">
        <v>5</v>
      </c>
      <c r="CO112" s="61" t="str" cm="1">
        <f t="array" ref="CO112">INDEX(List_comparators,CP111+1)</f>
        <v>avelumab_plus_axitinib</v>
      </c>
      <c r="CP112" s="17">
        <v>4</v>
      </c>
      <c r="CQ112" s="601">
        <f t="shared" ca="1" si="121"/>
        <v>0</v>
      </c>
      <c r="CR112" s="601">
        <f t="shared" ca="1" si="122"/>
        <v>0</v>
      </c>
      <c r="CS112" s="669">
        <f t="shared" ca="1" si="151"/>
        <v>0</v>
      </c>
      <c r="CT112" s="669">
        <f t="shared" ca="1" si="123"/>
        <v>0</v>
      </c>
      <c r="CU112" s="1123">
        <f>MATCH(CZ112,'Resource use and costs'!$BA$11:$BA$53,0)</f>
        <v>43</v>
      </c>
      <c r="CV112" s="1223"/>
      <c r="CW112" s="1241">
        <f t="shared" si="87"/>
        <v>1</v>
      </c>
      <c r="CX112" s="899" t="s">
        <v>764</v>
      </c>
      <c r="CY112" s="899" t="s">
        <v>117</v>
      </c>
      <c r="CZ112" s="899" t="s">
        <v>333</v>
      </c>
      <c r="DA112" s="899" t="s">
        <v>118</v>
      </c>
      <c r="DB112" s="899" t="s">
        <v>327</v>
      </c>
      <c r="DC112" s="899" cm="1">
        <f t="array" aca="1" ref="DC112" ca="1">_xlfn.IFNA(OFFSET($I$49,MATCH(CY112,$I$50:$I$63,0),MATCH(CZ112,TRANSPOSE($J$49:$W$49),0)),0)</f>
        <v>3.700000000000001E-3</v>
      </c>
      <c r="DD112" s="899" cm="1">
        <f t="array" aca="1" ref="DD112" ca="1">_xlfn.IFNA(OFFSET($Y$49,MATCH($CZ112,$Y$50:$Y$63,0),MATCH($DA112,TRANSPOSE($Z$49:$AM$49),0)),0)</f>
        <v>0.49270000000000003</v>
      </c>
      <c r="DE112" s="899" cm="1">
        <f t="array" aca="1" ref="DE112" ca="1">_xlfn.IFNA(OFFSET($AO$49,MATCH($DA112,$AO$50:$AO$63,0),MATCH($DB112,TRANSPOSE($AP$49:$BC$49),0)),0)</f>
        <v>0.38769999999999999</v>
      </c>
      <c r="DF112" s="881">
        <f t="shared" ca="1" si="81"/>
        <v>7.0677322300000025E-4</v>
      </c>
      <c r="DG112" s="910">
        <f t="shared" ca="1" si="82"/>
        <v>0.99547352429578406</v>
      </c>
      <c r="DH112" s="881">
        <f t="shared" ca="1" si="83"/>
        <v>7.0357403117770039E-4</v>
      </c>
      <c r="DI112" s="1460">
        <f t="shared" ca="1" si="124"/>
        <v>0.22936513416393034</v>
      </c>
      <c r="DJ112" s="909">
        <f>_xlfn.IFNA(INDEX('Resource use and costs'!$CQ$11:$CQ$53,MATCH($CZ112,'Resource use and costs'!$BA$11:$BA$53,0)),0)*_xlfn.IFNA(INDEX(DY$10:DY$23,MATCH($CZ112,$DX$10:$DX$23,0)),0)</f>
        <v>54336.641519999976</v>
      </c>
      <c r="DK112" s="909">
        <f>IF(dd_PartSA_2_lines = "Yes",0,_xlfn.IFNA(INDEX('Resource use and costs'!$CR$11:$CR$53,MATCH(DA112,'Resource use and costs'!$BA$11:$BA$53,0)),0)*_xlfn.IFNA(INDEX(EA$10:EA$23,MATCH($DA112,$DX$10:$DX$23,0)),0))</f>
        <v>50308.075122000002</v>
      </c>
      <c r="DL112" s="909">
        <f>IF(dd_PartSA_2_lines = "Yes",0,_xlfn.IFNA(INDEX('Resource use and costs'!$CS$11:$CS$53,MATCH(DB112,'Resource use and costs'!$BA$11:$BA$53,0)),0)*_xlfn.IFNA(INDEX(EC$10:EC$23,MATCH($DB112,$DX$10:$DX$23,0)),0))</f>
        <v>18438.751749999999</v>
      </c>
      <c r="DM112" s="909">
        <f t="shared" si="88"/>
        <v>123083.46839199998</v>
      </c>
      <c r="DN112" s="909">
        <f>SUM(_xlfn.IFNA(INDEX('Resource use and costs'!$DU$12:$DU$25,MATCH(CZ112,'Resource use and costs'!$DS$12:$DS$25,0)),0),_xlfn.IFNA(INDEX('Resource use and costs'!$DU$12:$DU$25,MATCH(DA112,'Resource use and costs'!$DS$12:$DS$25,0)),0),_xlfn.IFNA(INDEX('Resource use and costs'!$DU$12:$DU$25,MATCH(DB112,'Resource use and costs'!$DS$12:$DS$25,0)),0))</f>
        <v>591.75</v>
      </c>
      <c r="DO112" s="921">
        <f>_xlfn.IFNA(INDEX('Resource use and costs'!$DY$12:$DY$25,MATCH(CZ112,'Resource use and costs'!$DS$12:$DS$25,0)),0)*_xlfn.IFNA(INDEX(DY$10:DY$23,MATCH($CZ112,$DX$10:$DX$23,0)),0)</f>
        <v>810.54285714285697</v>
      </c>
      <c r="DP112" s="921">
        <f>IF(dd_PartSA_2_lines = "Yes",0,_xlfn.IFNA(INDEX('Resource use and costs'!$DZ$12:$DZ$25,MATCH(DA112,'Resource use and costs'!$DS$12:$DS$25,0)),0)*_xlfn.IFNA(INDEX(EA$10:EA$23,MATCH($DA112,$DX$10:$DX$23,0)),0))</f>
        <v>461.1445457142857</v>
      </c>
      <c r="DQ112" s="921">
        <f>IF(dd_PartSA_2_lines = "Yes",0,_xlfn.IFNA(INDEX('Resource use and costs'!$EA$12:$EA$25,MATCH(DB112,'Resource use and costs'!$DS$12:$DS$25,0)),0)*_xlfn.IFNA(INDEX(EC$10:EC$23,MATCH($DB112,$DX$10:$DX$23,0)),0))</f>
        <v>230.68099999999998</v>
      </c>
      <c r="DR112" s="921">
        <f t="shared" si="89"/>
        <v>2094.1184028571424</v>
      </c>
      <c r="DS112" s="1004">
        <f ca="1">SUMIFS('Safety parameters'!$DM$6:$DM$18,'Safety parameters'!$DK$6:$DK$18,CZ112,'Safety parameters'!$DL$6:$DL$18,1)+IF(dd_PartSA_2_lines = "Yes",0,SUMIFS('Safety parameters'!$DM$6:$DM$18,'Safety parameters'!$DK$6:$DK$18,DA112,'Safety parameters'!$DL$6:$DL$18,2)+SUMIFS('Safety parameters'!$DM$6:$DM$18,'Safety parameters'!$DK$6:$DK$18,DB112,'Safety parameters'!$DL$6:$DL$18,2))</f>
        <v>2377.8779733688434</v>
      </c>
      <c r="DT112" s="910">
        <f ca="1">SUMIFS('Safety parameters'!$DO$6:$DO$18,'Safety parameters'!$DK$6:$DK$18,CZ112,'Safety parameters'!$DL$6:$DL$18,1)+IF(dd_PartSA_2_lines = "Yes",0,SUMIFS('Safety parameters'!$DO$6:$DO$18,'Safety parameters'!$DK$6:$DK$18,DA112,'Safety parameters'!$DL$6:$DL$18,2)+SUMIFS('Safety parameters'!$DO$6:$DO$18,'Safety parameters'!$DK$6:$DK$18,DB112,'Safety parameters'!$DL$6:$DL$18,2))</f>
        <v>-2.1764250363717368E-2</v>
      </c>
    </row>
    <row r="113" spans="8:124" ht="15" x14ac:dyDescent="0.2">
      <c r="J113" s="4" t="s">
        <v>158</v>
      </c>
      <c r="K113" s="4" t="s">
        <v>161</v>
      </c>
      <c r="L113" s="4" t="s">
        <v>158</v>
      </c>
      <c r="M113" s="4" t="s">
        <v>161</v>
      </c>
      <c r="N113" s="4" t="s">
        <v>158</v>
      </c>
      <c r="O113" s="4" t="s">
        <v>161</v>
      </c>
      <c r="CK113" s="61" t="s">
        <v>31</v>
      </c>
      <c r="CL113" s="61">
        <v>2</v>
      </c>
      <c r="CM113" s="61" t="str">
        <v>tivozanib</v>
      </c>
      <c r="CN113" s="17">
        <v>6</v>
      </c>
      <c r="CO113" s="61" t="str" cm="1">
        <f t="array" ref="CO113">INDEX(List_comparators,CP112+1)</f>
        <v>avelumab_plus_axitinib</v>
      </c>
      <c r="CP113" s="17">
        <v>4</v>
      </c>
      <c r="CQ113" s="601">
        <f t="shared" ca="1" si="121"/>
        <v>0</v>
      </c>
      <c r="CR113" s="601">
        <f t="shared" ca="1" si="122"/>
        <v>0</v>
      </c>
      <c r="CS113" s="669">
        <f t="shared" ca="1" si="151"/>
        <v>0</v>
      </c>
      <c r="CT113" s="669">
        <f t="shared" ca="1" si="123"/>
        <v>0</v>
      </c>
      <c r="CU113" s="1123">
        <f>MATCH(CZ113,'Resource use and costs'!$BA$11:$BA$53,0)</f>
        <v>43</v>
      </c>
      <c r="CV113" s="1223"/>
      <c r="CW113" s="1241">
        <f t="shared" si="87"/>
        <v>1</v>
      </c>
      <c r="CX113" s="899" t="s">
        <v>764</v>
      </c>
      <c r="CY113" s="899" t="s">
        <v>117</v>
      </c>
      <c r="CZ113" s="899" t="s">
        <v>333</v>
      </c>
      <c r="DA113" s="899" t="s">
        <v>118</v>
      </c>
      <c r="DB113" s="899" t="s">
        <v>765</v>
      </c>
      <c r="DC113" s="899" cm="1">
        <f t="array" aca="1" ref="DC113" ca="1">_xlfn.IFNA(OFFSET($I$49,MATCH(CY113,$I$50:$I$63,0),MATCH(CZ113,TRANSPOSE($J$49:$W$49),0)),0)</f>
        <v>3.700000000000001E-3</v>
      </c>
      <c r="DD113" s="899" cm="1">
        <f t="array" aca="1" ref="DD113" ca="1">_xlfn.IFNA(OFFSET($Y$49,MATCH($CZ113,$Y$50:$Y$63,0),MATCH($DA113,TRANSPOSE($Z$49:$AM$49),0)),0)</f>
        <v>0.49270000000000003</v>
      </c>
      <c r="DE113" s="899" cm="1">
        <f t="array" aca="1" ref="DE113" ca="1">_xlfn.IFNA(OFFSET($AO$49,MATCH($DA113,$AO$50:$AO$63,0),MATCH($DB113,TRANSPOSE($AP$49:$BC$49),0)),0)</f>
        <v>0.43140000000000001</v>
      </c>
      <c r="DF113" s="881">
        <f t="shared" ca="1" si="81"/>
        <v>7.8643788600000033E-4</v>
      </c>
      <c r="DG113" s="910">
        <f t="shared" ca="1" si="82"/>
        <v>0.99547352429578406</v>
      </c>
      <c r="DH113" s="881">
        <f t="shared" ca="1" si="83"/>
        <v>7.8287809401614641E-4</v>
      </c>
      <c r="DI113" s="1460">
        <f t="shared" ca="1" si="124"/>
        <v>0.25521825864926373</v>
      </c>
      <c r="DJ113" s="909">
        <f>_xlfn.IFNA(INDEX('Resource use and costs'!$CQ$11:$CQ$53,MATCH($CZ113,'Resource use and costs'!$BA$11:$BA$53,0)),0)*_xlfn.IFNA(INDEX(DY$10:DY$23,MATCH($CZ113,$DX$10:$DX$23,0)),0)</f>
        <v>54336.641519999976</v>
      </c>
      <c r="DK113" s="909">
        <f>IF(dd_PartSA_2_lines = "Yes",0,_xlfn.IFNA(INDEX('Resource use and costs'!$CR$11:$CR$53,MATCH(DA113,'Resource use and costs'!$BA$11:$BA$53,0)),0)*_xlfn.IFNA(INDEX(EA$10:EA$23,MATCH($DA113,$DX$10:$DX$23,0)),0))</f>
        <v>50308.075122000002</v>
      </c>
      <c r="DL113" s="909">
        <f>IF(dd_PartSA_2_lines = "Yes",0,_xlfn.IFNA(INDEX('Resource use and costs'!$CS$11:$CS$53,MATCH(DB113,'Resource use and costs'!$BA$11:$BA$53,0)),0)*_xlfn.IFNA(INDEX(EC$10:EC$23,MATCH($DB113,$DX$10:$DX$23,0)),0))</f>
        <v>0</v>
      </c>
      <c r="DM113" s="909">
        <f t="shared" si="88"/>
        <v>104644.71664199998</v>
      </c>
      <c r="DN113" s="909">
        <f>SUM(_xlfn.IFNA(INDEX('Resource use and costs'!$DU$12:$DU$25,MATCH(CZ113,'Resource use and costs'!$DS$12:$DS$25,0)),0),_xlfn.IFNA(INDEX('Resource use and costs'!$DU$12:$DU$25,MATCH(DA113,'Resource use and costs'!$DS$12:$DS$25,0)),0),_xlfn.IFNA(INDEX('Resource use and costs'!$DU$12:$DU$25,MATCH(DB113,'Resource use and costs'!$DS$12:$DS$25,0)),0))</f>
        <v>394.5</v>
      </c>
      <c r="DO113" s="921">
        <f>_xlfn.IFNA(INDEX('Resource use and costs'!$DY$12:$DY$25,MATCH(CZ113,'Resource use and costs'!$DS$12:$DS$25,0)),0)*_xlfn.IFNA(INDEX(DY$10:DY$23,MATCH($CZ113,$DX$10:$DX$23,0)),0)</f>
        <v>810.54285714285697</v>
      </c>
      <c r="DP113" s="921">
        <f>IF(dd_PartSA_2_lines = "Yes",0,_xlfn.IFNA(INDEX('Resource use and costs'!$DZ$12:$DZ$25,MATCH(DA113,'Resource use and costs'!$DS$12:$DS$25,0)),0)*_xlfn.IFNA(INDEX(EA$10:EA$23,MATCH($DA113,$DX$10:$DX$23,0)),0))</f>
        <v>461.1445457142857</v>
      </c>
      <c r="DQ113" s="921">
        <f>IF(dd_PartSA_2_lines = "Yes",0,_xlfn.IFNA(INDEX('Resource use and costs'!$EA$12:$EA$25,MATCH(DB113,'Resource use and costs'!$DS$12:$DS$25,0)),0)*_xlfn.IFNA(INDEX(EC$10:EC$23,MATCH($DB113,$DX$10:$DX$23,0)),0))</f>
        <v>0</v>
      </c>
      <c r="DR113" s="921">
        <f t="shared" si="89"/>
        <v>1666.1874028571426</v>
      </c>
      <c r="DS113" s="1004">
        <f ca="1">SUMIFS('Safety parameters'!$DM$6:$DM$18,'Safety parameters'!$DK$6:$DK$18,CZ113,'Safety parameters'!$DL$6:$DL$18,1)+IF(dd_PartSA_2_lines = "Yes",0,SUMIFS('Safety parameters'!$DM$6:$DM$18,'Safety parameters'!$DK$6:$DK$18,DA113,'Safety parameters'!$DL$6:$DL$18,2)+SUMIFS('Safety parameters'!$DM$6:$DM$18,'Safety parameters'!$DK$6:$DK$18,DB113,'Safety parameters'!$DL$6:$DL$18,2))</f>
        <v>743.64929980338343</v>
      </c>
      <c r="DT113" s="910">
        <f ca="1">SUMIFS('Safety parameters'!$DO$6:$DO$18,'Safety parameters'!$DK$6:$DK$18,CZ113,'Safety parameters'!$DL$6:$DL$18,1)+IF(dd_PartSA_2_lines = "Yes",0,SUMIFS('Safety parameters'!$DO$6:$DO$18,'Safety parameters'!$DK$6:$DK$18,DA113,'Safety parameters'!$DL$6:$DL$18,2)+SUMIFS('Safety parameters'!$DO$6:$DO$18,'Safety parameters'!$DK$6:$DK$18,DB113,'Safety parameters'!$DL$6:$DL$18,2))</f>
        <v>-7.0223263562359372E-3</v>
      </c>
    </row>
    <row r="114" spans="8:124" ht="15" x14ac:dyDescent="0.2">
      <c r="H114" s="4" t="s">
        <v>803</v>
      </c>
      <c r="J114" s="1416">
        <v>0.25</v>
      </c>
      <c r="K114" s="1046">
        <v>0</v>
      </c>
      <c r="L114" s="1416">
        <v>0.25</v>
      </c>
      <c r="M114" s="1046">
        <v>0</v>
      </c>
      <c r="N114" s="1416">
        <v>0.25</v>
      </c>
      <c r="O114" s="1046">
        <v>0</v>
      </c>
      <c r="CK114" s="61" t="s">
        <v>31</v>
      </c>
      <c r="CL114" s="61">
        <v>2</v>
      </c>
      <c r="CM114" s="61" t="str">
        <v>sunitinib</v>
      </c>
      <c r="CN114" s="17">
        <v>7</v>
      </c>
      <c r="CO114" s="61" t="str" cm="1">
        <f t="array" ref="CO114">INDEX(List_comparators,CP113+1)</f>
        <v>avelumab_plus_axitinib</v>
      </c>
      <c r="CP114" s="17">
        <v>4</v>
      </c>
      <c r="CQ114" s="601">
        <f t="shared" ca="1" si="121"/>
        <v>0</v>
      </c>
      <c r="CR114" s="601">
        <f t="shared" ca="1" si="122"/>
        <v>0</v>
      </c>
      <c r="CS114" s="669">
        <f t="shared" ca="1" si="151"/>
        <v>0</v>
      </c>
      <c r="CT114" s="669">
        <f t="shared" ca="1" si="123"/>
        <v>0</v>
      </c>
      <c r="CU114" s="1123">
        <f>MATCH(CZ114,'Resource use and costs'!$BA$11:$BA$53,0)</f>
        <v>43</v>
      </c>
      <c r="CV114" s="1223"/>
      <c r="CW114" s="1241">
        <f t="shared" si="87"/>
        <v>1</v>
      </c>
      <c r="CX114" s="899" t="s">
        <v>764</v>
      </c>
      <c r="CY114" s="899" t="s">
        <v>117</v>
      </c>
      <c r="CZ114" s="899" t="s">
        <v>333</v>
      </c>
      <c r="DA114" s="899" t="s">
        <v>579</v>
      </c>
      <c r="DB114" s="899" t="s">
        <v>327</v>
      </c>
      <c r="DC114" s="899" cm="1">
        <f t="array" aca="1" ref="DC114" ca="1">_xlfn.IFNA(OFFSET($I$49,MATCH(CY114,$I$50:$I$63,0),MATCH(CZ114,TRANSPOSE($J$49:$W$49),0)),0)</f>
        <v>3.700000000000001E-3</v>
      </c>
      <c r="DD114" s="899" cm="1">
        <f t="array" aca="1" ref="DD114" ca="1">_xlfn.IFNA(OFFSET($Y$49,MATCH($CZ114,$Y$50:$Y$63,0),MATCH($DA114,TRANSPOSE($Z$49:$AM$49),0)),0)</f>
        <v>8.2100000000000006E-2</v>
      </c>
      <c r="DE114" s="899" cm="1">
        <f t="array" aca="1" ref="DE114" ca="1">_xlfn.IFNA(OFFSET($AO$49,MATCH($DA114,$AO$50:$AO$63,0),MATCH($DB114,TRANSPOSE($AP$49:$BC$49),0)),0)</f>
        <v>0.56859999999999999</v>
      </c>
      <c r="DF114" s="881">
        <f t="shared" ca="1" si="81"/>
        <v>1.7272362200000004E-4</v>
      </c>
      <c r="DG114" s="910">
        <f t="shared" ca="1" si="82"/>
        <v>0.99547352429578406</v>
      </c>
      <c r="DH114" s="881">
        <f t="shared" ca="1" si="83"/>
        <v>1.7194179272147285E-4</v>
      </c>
      <c r="DI114" s="1460">
        <f t="shared" ca="1" si="124"/>
        <v>5.605302442720015E-2</v>
      </c>
      <c r="DJ114" s="909">
        <f>_xlfn.IFNA(INDEX('Resource use and costs'!$CQ$11:$CQ$53,MATCH($CZ114,'Resource use and costs'!$BA$11:$BA$53,0)),0)*_xlfn.IFNA(INDEX(DY$10:DY$23,MATCH($CZ114,$DX$10:$DX$23,0)),0)</f>
        <v>54336.641519999976</v>
      </c>
      <c r="DK114" s="909">
        <f>IF(dd_PartSA_2_lines = "Yes",0,_xlfn.IFNA(INDEX('Resource use and costs'!$CR$11:$CR$53,MATCH(DA114,'Resource use and costs'!$BA$11:$BA$53,0)),0)*_xlfn.IFNA(INDEX(EA$10:EA$23,MATCH($DA114,$DX$10:$DX$23,0)),0))</f>
        <v>26054.50921</v>
      </c>
      <c r="DL114" s="909">
        <f>IF(dd_PartSA_2_lines = "Yes",0,_xlfn.IFNA(INDEX('Resource use and costs'!$CS$11:$CS$53,MATCH(DB114,'Resource use and costs'!$BA$11:$BA$53,0)),0)*_xlfn.IFNA(INDEX(EC$10:EC$23,MATCH($DB114,$DX$10:$DX$23,0)),0))</f>
        <v>18438.751749999999</v>
      </c>
      <c r="DM114" s="909">
        <f t="shared" si="88"/>
        <v>98829.902479999975</v>
      </c>
      <c r="DN114" s="909">
        <f>SUM(_xlfn.IFNA(INDEX('Resource use and costs'!$DU$12:$DU$25,MATCH(CZ114,'Resource use and costs'!$DS$12:$DS$25,0)),0),_xlfn.IFNA(INDEX('Resource use and costs'!$DU$12:$DU$25,MATCH(DA114,'Resource use and costs'!$DS$12:$DS$25,0)),0),_xlfn.IFNA(INDEX('Resource use and costs'!$DU$12:$DU$25,MATCH(DB114,'Resource use and costs'!$DS$12:$DS$25,0)),0))</f>
        <v>394.5</v>
      </c>
      <c r="DO114" s="921">
        <f>_xlfn.IFNA(INDEX('Resource use and costs'!$DY$12:$DY$25,MATCH(CZ114,'Resource use and costs'!$DS$12:$DS$25,0)),0)*_xlfn.IFNA(INDEX(DY$10:DY$23,MATCH($CZ114,$DX$10:$DX$23,0)),0)</f>
        <v>810.54285714285697</v>
      </c>
      <c r="DP114" s="921">
        <f>IF(dd_PartSA_2_lines = "Yes",0,_xlfn.IFNA(INDEX('Resource use and costs'!$DZ$12:$DZ$25,MATCH(DA114,'Resource use and costs'!$DS$12:$DS$25,0)),0)*_xlfn.IFNA(INDEX(EA$10:EA$23,MATCH($DA114,$DX$10:$DX$23,0)),0))</f>
        <v>4108.3597166</v>
      </c>
      <c r="DQ114" s="921">
        <f>IF(dd_PartSA_2_lines = "Yes",0,_xlfn.IFNA(INDEX('Resource use and costs'!$EA$12:$EA$25,MATCH(DB114,'Resource use and costs'!$DS$12:$DS$25,0)),0)*_xlfn.IFNA(INDEX(EC$10:EC$23,MATCH($DB114,$DX$10:$DX$23,0)),0))</f>
        <v>230.68099999999998</v>
      </c>
      <c r="DR114" s="921">
        <f t="shared" si="89"/>
        <v>5544.0835737428561</v>
      </c>
      <c r="DS114" s="1004">
        <f ca="1">SUMIFS('Safety parameters'!$DM$6:$DM$18,'Safety parameters'!$DK$6:$DK$18,CZ114,'Safety parameters'!$DL$6:$DL$18,1)+IF(dd_PartSA_2_lines = "Yes",0,SUMIFS('Safety parameters'!$DM$6:$DM$18,'Safety parameters'!$DK$6:$DK$18,DA114,'Safety parameters'!$DL$6:$DL$18,2)+SUMIFS('Safety parameters'!$DM$6:$DM$18,'Safety parameters'!$DK$6:$DK$18,DB114,'Safety parameters'!$DL$6:$DL$18,2))</f>
        <v>1795.3624225558742</v>
      </c>
      <c r="DT114" s="910">
        <f ca="1">SUMIFS('Safety parameters'!$DO$6:$DO$18,'Safety parameters'!$DK$6:$DK$18,CZ114,'Safety parameters'!$DL$6:$DL$18,1)+IF(dd_PartSA_2_lines = "Yes",0,SUMIFS('Safety parameters'!$DO$6:$DO$18,'Safety parameters'!$DK$6:$DK$18,DA114,'Safety parameters'!$DL$6:$DL$18,2)+SUMIFS('Safety parameters'!$DO$6:$DO$18,'Safety parameters'!$DK$6:$DK$18,DB114,'Safety parameters'!$DL$6:$DL$18,2))</f>
        <v>-1.6339008205166216E-2</v>
      </c>
    </row>
    <row r="115" spans="8:124" ht="15" x14ac:dyDescent="0.2">
      <c r="CK115" s="61" t="s">
        <v>31</v>
      </c>
      <c r="CL115" s="61">
        <v>2</v>
      </c>
      <c r="CM115" s="61" t="str">
        <v>cabozantinib</v>
      </c>
      <c r="CN115" s="17">
        <v>8</v>
      </c>
      <c r="CO115" s="61" t="str" cm="1">
        <f t="array" ref="CO115">INDEX(List_comparators,CP114+1)</f>
        <v>avelumab_plus_axitinib</v>
      </c>
      <c r="CP115" s="17">
        <v>4</v>
      </c>
      <c r="CQ115" s="601">
        <f t="shared" ref="CQ115:CQ146" ca="1" si="152">OFFSET($J$50,IF(CN115=999,13,CN115),CP115)</f>
        <v>0</v>
      </c>
      <c r="CR115" s="601">
        <f t="shared" ref="CR115:CR146" ca="1" si="153">OFFSET($J$65,IF(CN115=999,13,CN115),CP115)</f>
        <v>0</v>
      </c>
      <c r="CS115" s="669">
        <f t="shared" ca="1" si="151"/>
        <v>0</v>
      </c>
      <c r="CT115" s="669">
        <f t="shared" ref="CT115:CT146" ca="1" si="154">OFFSET($J$97,IF(CN115=999,13,CN115),CP115)</f>
        <v>0</v>
      </c>
      <c r="CU115" s="1123">
        <f>MATCH(CZ115,'Resource use and costs'!$BA$11:$BA$53,0)</f>
        <v>43</v>
      </c>
      <c r="CV115" s="1223"/>
      <c r="CW115" s="1241">
        <f t="shared" si="87"/>
        <v>1</v>
      </c>
      <c r="CX115" s="899" t="s">
        <v>764</v>
      </c>
      <c r="CY115" s="899" t="s">
        <v>117</v>
      </c>
      <c r="CZ115" s="899" t="s">
        <v>333</v>
      </c>
      <c r="DA115" s="899" t="s">
        <v>579</v>
      </c>
      <c r="DB115" s="899" t="s">
        <v>765</v>
      </c>
      <c r="DC115" s="899" cm="1">
        <f t="array" aca="1" ref="DC115" ca="1">_xlfn.IFNA(OFFSET($I$49,MATCH(CY115,$I$50:$I$63,0),MATCH(CZ115,TRANSPOSE($J$49:$W$49),0)),0)</f>
        <v>3.700000000000001E-3</v>
      </c>
      <c r="DD115" s="899" cm="1">
        <f t="array" aca="1" ref="DD115" ca="1">_xlfn.IFNA(OFFSET($Y$49,MATCH($CZ115,$Y$50:$Y$63,0),MATCH($DA115,TRANSPOSE($Z$49:$AM$49),0)),0)</f>
        <v>8.2100000000000006E-2</v>
      </c>
      <c r="DE115" s="899" cm="1">
        <f t="array" aca="1" ref="DE115" ca="1">_xlfn.IFNA(OFFSET($AO$49,MATCH($DA115,$AO$50:$AO$63,0),MATCH($DB115,TRANSPOSE($AP$49:$BC$49),0)),0)</f>
        <v>0.43140000000000001</v>
      </c>
      <c r="DF115" s="881">
        <f t="shared" ca="1" si="81"/>
        <v>1.3104637800000004E-4</v>
      </c>
      <c r="DG115" s="910">
        <f t="shared" ca="1" si="82"/>
        <v>0.99547352429578406</v>
      </c>
      <c r="DH115" s="881">
        <f t="shared" ca="1" si="83"/>
        <v>1.3045319975385754E-4</v>
      </c>
      <c r="DI115" s="1460">
        <f t="shared" ca="1" si="124"/>
        <v>4.2527743119757558E-2</v>
      </c>
      <c r="DJ115" s="909">
        <f>_xlfn.IFNA(INDEX('Resource use and costs'!$CQ$11:$CQ$53,MATCH($CZ115,'Resource use and costs'!$BA$11:$BA$53,0)),0)*_xlfn.IFNA(INDEX(DY$10:DY$23,MATCH($CZ115,$DX$10:$DX$23,0)),0)</f>
        <v>54336.641519999976</v>
      </c>
      <c r="DK115" s="909">
        <f>IF(dd_PartSA_2_lines = "Yes",0,_xlfn.IFNA(INDEX('Resource use and costs'!$CR$11:$CR$53,MATCH(DA115,'Resource use and costs'!$BA$11:$BA$53,0)),0)*_xlfn.IFNA(INDEX(EA$10:EA$23,MATCH($DA115,$DX$10:$DX$23,0)),0))</f>
        <v>26054.50921</v>
      </c>
      <c r="DL115" s="909">
        <f>IF(dd_PartSA_2_lines = "Yes",0,_xlfn.IFNA(INDEX('Resource use and costs'!$CS$11:$CS$53,MATCH(DB115,'Resource use and costs'!$BA$11:$BA$53,0)),0)*_xlfn.IFNA(INDEX(EC$10:EC$23,MATCH($DB115,$DX$10:$DX$23,0)),0))</f>
        <v>0</v>
      </c>
      <c r="DM115" s="909">
        <f t="shared" si="88"/>
        <v>80391.150729999979</v>
      </c>
      <c r="DN115" s="909">
        <f>SUM(_xlfn.IFNA(INDEX('Resource use and costs'!$DU$12:$DU$25,MATCH(CZ115,'Resource use and costs'!$DS$12:$DS$25,0)),0),_xlfn.IFNA(INDEX('Resource use and costs'!$DU$12:$DU$25,MATCH(DA115,'Resource use and costs'!$DS$12:$DS$25,0)),0),_xlfn.IFNA(INDEX('Resource use and costs'!$DU$12:$DU$25,MATCH(DB115,'Resource use and costs'!$DS$12:$DS$25,0)),0))</f>
        <v>197.25</v>
      </c>
      <c r="DO115" s="921">
        <f>_xlfn.IFNA(INDEX('Resource use and costs'!$DY$12:$DY$25,MATCH(CZ115,'Resource use and costs'!$DS$12:$DS$25,0)),0)*_xlfn.IFNA(INDEX(DY$10:DY$23,MATCH($CZ115,$DX$10:$DX$23,0)),0)</f>
        <v>810.54285714285697</v>
      </c>
      <c r="DP115" s="921">
        <f>IF(dd_PartSA_2_lines = "Yes",0,_xlfn.IFNA(INDEX('Resource use and costs'!$DZ$12:$DZ$25,MATCH(DA115,'Resource use and costs'!$DS$12:$DS$25,0)),0)*_xlfn.IFNA(INDEX(EA$10:EA$23,MATCH($DA115,$DX$10:$DX$23,0)),0))</f>
        <v>4108.3597166</v>
      </c>
      <c r="DQ115" s="921">
        <f>IF(dd_PartSA_2_lines = "Yes",0,_xlfn.IFNA(INDEX('Resource use and costs'!$EA$12:$EA$25,MATCH(DB115,'Resource use and costs'!$DS$12:$DS$25,0)),0)*_xlfn.IFNA(INDEX(EC$10:EC$23,MATCH($DB115,$DX$10:$DX$23,0)),0))</f>
        <v>0</v>
      </c>
      <c r="DR115" s="921">
        <f t="shared" si="89"/>
        <v>5116.1525737428565</v>
      </c>
      <c r="DS115" s="1004">
        <f ca="1">SUMIFS('Safety parameters'!$DM$6:$DM$18,'Safety parameters'!$DK$6:$DK$18,CZ115,'Safety parameters'!$DL$6:$DL$18,1)+IF(dd_PartSA_2_lines = "Yes",0,SUMIFS('Safety parameters'!$DM$6:$DM$18,'Safety parameters'!$DK$6:$DK$18,DA115,'Safety parameters'!$DL$6:$DL$18,2)+SUMIFS('Safety parameters'!$DM$6:$DM$18,'Safety parameters'!$DK$6:$DK$18,DB115,'Safety parameters'!$DL$6:$DL$18,2))</f>
        <v>161.1337489904144</v>
      </c>
      <c r="DT115" s="910">
        <f ca="1">SUMIFS('Safety parameters'!$DO$6:$DO$18,'Safety parameters'!$DK$6:$DK$18,CZ115,'Safety parameters'!$DL$6:$DL$18,1)+IF(dd_PartSA_2_lines = "Yes",0,SUMIFS('Safety parameters'!$DO$6:$DO$18,'Safety parameters'!$DK$6:$DK$18,DA115,'Safety parameters'!$DL$6:$DL$18,2)+SUMIFS('Safety parameters'!$DO$6:$DO$18,'Safety parameters'!$DK$6:$DK$18,DB115,'Safety parameters'!$DL$6:$DL$18,2))</f>
        <v>-1.5970841976847864E-3</v>
      </c>
    </row>
    <row r="116" spans="8:124" ht="15" x14ac:dyDescent="0.2">
      <c r="CK116" s="61" t="s">
        <v>31</v>
      </c>
      <c r="CL116" s="61">
        <v>2</v>
      </c>
      <c r="CM116" s="61" t="str">
        <v>lenvatinib_plus_everolimus</v>
      </c>
      <c r="CN116" s="17">
        <v>9</v>
      </c>
      <c r="CO116" s="61" t="str" cm="1">
        <f t="array" ref="CO116">INDEX(List_comparators,CP115+1)</f>
        <v>avelumab_plus_axitinib</v>
      </c>
      <c r="CP116" s="17">
        <v>4</v>
      </c>
      <c r="CQ116" s="601">
        <f t="shared" ca="1" si="152"/>
        <v>0</v>
      </c>
      <c r="CR116" s="601">
        <f t="shared" ca="1" si="153"/>
        <v>0</v>
      </c>
      <c r="CS116" s="669">
        <f t="shared" ca="1" si="151"/>
        <v>0</v>
      </c>
      <c r="CT116" s="669">
        <f t="shared" ca="1" si="154"/>
        <v>0</v>
      </c>
      <c r="CU116" s="1123">
        <f>MATCH(CZ116,'Resource use and costs'!$BA$11:$BA$53,0)</f>
        <v>1</v>
      </c>
      <c r="CV116" s="1223"/>
      <c r="CW116" s="1241">
        <f t="shared" si="87"/>
        <v>1</v>
      </c>
      <c r="CX116" s="899" t="s">
        <v>764</v>
      </c>
      <c r="CY116" s="899" t="s">
        <v>117</v>
      </c>
      <c r="CZ116" s="899" t="s">
        <v>579</v>
      </c>
      <c r="DA116" s="899" t="s">
        <v>327</v>
      </c>
      <c r="DB116" s="899" t="s">
        <v>765</v>
      </c>
      <c r="DC116" s="899" cm="1">
        <f t="array" aca="1" ref="DC116" ca="1">_xlfn.IFNA(OFFSET($I$49,MATCH(CY116,$I$50:$I$63,0),MATCH(CZ116,TRANSPOSE($J$49:$W$49),0)),0)</f>
        <v>0.38380000000000003</v>
      </c>
      <c r="DD116" s="899" cm="1">
        <f t="array" aca="1" ref="DD116" ca="1">_xlfn.IFNA(OFFSET($Y$49,MATCH($CZ116,$Y$50:$Y$63,0),MATCH($DA116,TRANSPOSE($Z$49:$AM$49),0)),0)</f>
        <v>5.2400000000000002E-2</v>
      </c>
      <c r="DE116" s="899" cm="1">
        <f t="array" aca="1" ref="DE116" ca="1">_xlfn.IFNA(OFFSET($AO$49,MATCH($DA116,$AO$50:$AO$63,0),MATCH($DB116,TRANSPOSE($AP$49:$BC$49),0)),0)</f>
        <v>0.43140000000000001</v>
      </c>
      <c r="DF116" s="881">
        <f t="shared" ca="1" si="81"/>
        <v>8.6759371680000009E-3</v>
      </c>
      <c r="DG116" s="910">
        <f t="shared" ca="1" si="82"/>
        <v>0.99547352429578406</v>
      </c>
      <c r="DH116" s="881">
        <f t="shared" ca="1" si="83"/>
        <v>8.6366657491977455E-3</v>
      </c>
      <c r="DI116" s="1460">
        <f t="shared" ca="1" si="124"/>
        <v>2.8155530342384649</v>
      </c>
      <c r="DJ116" s="909">
        <f>_xlfn.IFNA(INDEX('Resource use and costs'!$CQ$11:$CQ$53,MATCH($CZ116,'Resource use and costs'!$BA$11:$BA$53,0)),0)*_xlfn.IFNA(INDEX(DY$10:DY$23,MATCH($CZ116,$DX$10:$DX$23,0)),0)</f>
        <v>56693.786091428577</v>
      </c>
      <c r="DK116" s="909">
        <f>IF(dd_PartSA_2_lines = "Yes",0,_xlfn.IFNA(INDEX('Resource use and costs'!$CR$11:$CR$53,MATCH(DA116,'Resource use and costs'!$BA$11:$BA$53,0)),0)*_xlfn.IFNA(INDEX(EA$10:EA$23,MATCH($DA116,$DX$10:$DX$23,0)),0))</f>
        <v>21421.066008214286</v>
      </c>
      <c r="DL116" s="909">
        <f>IF(dd_PartSA_2_lines = "Yes",0,_xlfn.IFNA(INDEX('Resource use and costs'!$CS$11:$CS$53,MATCH(DB116,'Resource use and costs'!$BA$11:$BA$53,0)),0)*_xlfn.IFNA(INDEX(EC$10:EC$23,MATCH($DB116,$DX$10:$DX$23,0)),0))</f>
        <v>0</v>
      </c>
      <c r="DM116" s="909">
        <f t="shared" si="88"/>
        <v>78114.852099642856</v>
      </c>
      <c r="DN116" s="909">
        <f>SUM(_xlfn.IFNA(INDEX('Resource use and costs'!$DU$12:$DU$25,MATCH(CZ116,'Resource use and costs'!$DS$12:$DS$25,0)),0),_xlfn.IFNA(INDEX('Resource use and costs'!$DU$12:$DU$25,MATCH(DA116,'Resource use and costs'!$DS$12:$DS$25,0)),0),_xlfn.IFNA(INDEX('Resource use and costs'!$DU$12:$DU$25,MATCH(DB116,'Resource use and costs'!$DS$12:$DS$25,0)),0))</f>
        <v>197.25</v>
      </c>
      <c r="DO116" s="921">
        <f>_xlfn.IFNA(INDEX('Resource use and costs'!$DY$12:$DY$25,MATCH(CZ116,'Resource use and costs'!$DS$12:$DS$25,0)),0)*_xlfn.IFNA(INDEX(DY$10:DY$23,MATCH($CZ116,$DX$10:$DX$23,0)),0)</f>
        <v>8939.6605049142872</v>
      </c>
      <c r="DP116" s="921">
        <f>IF(dd_PartSA_2_lines = "Yes",0,_xlfn.IFNA(INDEX('Resource use and costs'!$DZ$12:$DZ$25,MATCH(DA116,'Resource use and costs'!$DS$12:$DS$25,0)),0)*_xlfn.IFNA(INDEX(EA$10:EA$23,MATCH($DA116,$DX$10:$DX$23,0)),0))</f>
        <v>267.99172714285714</v>
      </c>
      <c r="DQ116" s="921">
        <f>IF(dd_PartSA_2_lines = "Yes",0,_xlfn.IFNA(INDEX('Resource use and costs'!$EA$12:$EA$25,MATCH(DB116,'Resource use and costs'!$DS$12:$DS$25,0)),0)*_xlfn.IFNA(INDEX(EC$10:EC$23,MATCH($DB116,$DX$10:$DX$23,0)),0))</f>
        <v>0</v>
      </c>
      <c r="DR116" s="921">
        <f t="shared" si="89"/>
        <v>9404.9022320571439</v>
      </c>
      <c r="DS116" s="1004">
        <f ca="1">SUMIFS('Safety parameters'!$DM$6:$DM$18,'Safety parameters'!$DK$6:$DK$18,CZ116,'Safety parameters'!$DL$6:$DL$18,1)+IF(dd_PartSA_2_lines = "Yes",0,SUMIFS('Safety parameters'!$DM$6:$DM$18,'Safety parameters'!$DK$6:$DK$18,DA116,'Safety parameters'!$DL$6:$DL$18,2)+SUMIFS('Safety parameters'!$DM$6:$DM$18,'Safety parameters'!$DK$6:$DK$18,DB116,'Safety parameters'!$DL$6:$DL$18,2))</f>
        <v>1634.2286735654598</v>
      </c>
      <c r="DT116" s="910">
        <f ca="1">SUMIFS('Safety parameters'!$DO$6:$DO$18,'Safety parameters'!$DK$6:$DK$18,CZ116,'Safety parameters'!$DL$6:$DL$18,1)+IF(dd_PartSA_2_lines = "Yes",0,SUMIFS('Safety parameters'!$DO$6:$DO$18,'Safety parameters'!$DK$6:$DK$18,DA116,'Safety parameters'!$DL$6:$DL$18,2)+SUMIFS('Safety parameters'!$DO$6:$DO$18,'Safety parameters'!$DK$6:$DK$18,DB116,'Safety parameters'!$DL$6:$DL$18,2))</f>
        <v>-1.4741924007481429E-2</v>
      </c>
    </row>
    <row r="117" spans="8:124" ht="15" x14ac:dyDescent="0.2">
      <c r="H117" s="4" t="s">
        <v>804</v>
      </c>
      <c r="CK117" s="61" t="s">
        <v>31</v>
      </c>
      <c r="CL117" s="61">
        <v>2</v>
      </c>
      <c r="CM117" s="61" t="str">
        <v>everolimus</v>
      </c>
      <c r="CN117" s="17">
        <v>10</v>
      </c>
      <c r="CO117" s="61" t="str" cm="1">
        <f t="array" ref="CO117">INDEX(List_comparators,CP116+1)</f>
        <v>avelumab_plus_axitinib</v>
      </c>
      <c r="CP117" s="17">
        <v>4</v>
      </c>
      <c r="CQ117" s="601">
        <f t="shared" ca="1" si="152"/>
        <v>0</v>
      </c>
      <c r="CR117" s="601">
        <f t="shared" ca="1" si="153"/>
        <v>0</v>
      </c>
      <c r="CS117" s="669">
        <f t="shared" ca="1" si="151"/>
        <v>0</v>
      </c>
      <c r="CT117" s="669">
        <f t="shared" ca="1" si="154"/>
        <v>0</v>
      </c>
      <c r="CU117" s="1123">
        <f>MATCH(CZ117,'Resource use and costs'!$BA$11:$BA$53,0)</f>
        <v>1</v>
      </c>
      <c r="CV117" s="1223"/>
      <c r="CW117" s="1241">
        <f t="shared" si="87"/>
        <v>1</v>
      </c>
      <c r="CX117" s="899" t="s">
        <v>764</v>
      </c>
      <c r="CY117" s="899" t="s">
        <v>117</v>
      </c>
      <c r="CZ117" s="899" t="s">
        <v>579</v>
      </c>
      <c r="DA117" s="899" t="s">
        <v>327</v>
      </c>
      <c r="DB117" s="899" t="s">
        <v>119</v>
      </c>
      <c r="DC117" s="899" cm="1">
        <f t="array" aca="1" ref="DC117" ca="1">_xlfn.IFNA(OFFSET($I$49,MATCH(CY117,$I$50:$I$63,0),MATCH(CZ117,TRANSPOSE($J$49:$W$49),0)),0)</f>
        <v>0.38380000000000003</v>
      </c>
      <c r="DD117" s="899" cm="1">
        <f t="array" aca="1" ref="DD117" ca="1">_xlfn.IFNA(OFFSET($Y$49,MATCH($CZ117,$Y$50:$Y$63,0),MATCH($DA117,TRANSPOSE($Z$49:$AM$49),0)),0)</f>
        <v>5.2400000000000002E-2</v>
      </c>
      <c r="DE117" s="899" cm="1">
        <f t="array" aca="1" ref="DE117" ca="1">_xlfn.IFNA(OFFSET($AO$49,MATCH($DA117,$AO$50:$AO$63,0),MATCH($DB117,TRANSPOSE($AP$49:$BC$49),0)),0)</f>
        <v>0.56859999999999999</v>
      </c>
      <c r="DF117" s="881">
        <f t="shared" ca="1" si="81"/>
        <v>1.1435182832000002E-2</v>
      </c>
      <c r="DG117" s="910">
        <f t="shared" ca="1" si="82"/>
        <v>0.99547352429578406</v>
      </c>
      <c r="DH117" s="881">
        <f t="shared" ca="1" si="83"/>
        <v>1.1383421754737687E-2</v>
      </c>
      <c r="DI117" s="1460">
        <f t="shared" ca="1" si="124"/>
        <v>3.7109954920444861</v>
      </c>
      <c r="DJ117" s="909">
        <f>_xlfn.IFNA(INDEX('Resource use and costs'!$CQ$11:$CQ$53,MATCH($CZ117,'Resource use and costs'!$BA$11:$BA$53,0)),0)*_xlfn.IFNA(INDEX(DY$10:DY$23,MATCH($CZ117,$DX$10:$DX$23,0)),0)</f>
        <v>56693.786091428577</v>
      </c>
      <c r="DK117" s="909">
        <f>IF(dd_PartSA_2_lines = "Yes",0,_xlfn.IFNA(INDEX('Resource use and costs'!$CR$11:$CR$53,MATCH(DA117,'Resource use and costs'!$BA$11:$BA$53,0)),0)*_xlfn.IFNA(INDEX(EA$10:EA$23,MATCH($DA117,$DX$10:$DX$23,0)),0))</f>
        <v>21421.066008214286</v>
      </c>
      <c r="DL117" s="909">
        <f>IF(dd_PartSA_2_lines = "Yes",0,_xlfn.IFNA(INDEX('Resource use and costs'!$CS$11:$CS$53,MATCH(DB117,'Resource use and costs'!$BA$11:$BA$53,0)),0)*_xlfn.IFNA(INDEX(EC$10:EC$23,MATCH($DB117,$DX$10:$DX$23,0)),0))</f>
        <v>2915.4763433333328</v>
      </c>
      <c r="DM117" s="909">
        <f t="shared" si="88"/>
        <v>81030.328442976184</v>
      </c>
      <c r="DN117" s="909">
        <f>SUM(_xlfn.IFNA(INDEX('Resource use and costs'!$DU$12:$DU$25,MATCH(CZ117,'Resource use and costs'!$DS$12:$DS$25,0)),0),_xlfn.IFNA(INDEX('Resource use and costs'!$DU$12:$DU$25,MATCH(DA117,'Resource use and costs'!$DS$12:$DS$25,0)),0),_xlfn.IFNA(INDEX('Resource use and costs'!$DU$12:$DU$25,MATCH(DB117,'Resource use and costs'!$DS$12:$DS$25,0)),0))</f>
        <v>394.5</v>
      </c>
      <c r="DO117" s="921">
        <f>_xlfn.IFNA(INDEX('Resource use and costs'!$DY$12:$DY$25,MATCH(CZ117,'Resource use and costs'!$DS$12:$DS$25,0)),0)*_xlfn.IFNA(INDEX(DY$10:DY$23,MATCH($CZ117,$DX$10:$DX$23,0)),0)</f>
        <v>8939.6605049142872</v>
      </c>
      <c r="DP117" s="921">
        <f>IF(dd_PartSA_2_lines = "Yes",0,_xlfn.IFNA(INDEX('Resource use and costs'!$DZ$12:$DZ$25,MATCH(DA117,'Resource use and costs'!$DS$12:$DS$25,0)),0)*_xlfn.IFNA(INDEX(EA$10:EA$23,MATCH($DA117,$DX$10:$DX$23,0)),0))</f>
        <v>267.99172714285714</v>
      </c>
      <c r="DQ117" s="921">
        <f>IF(dd_PartSA_2_lines = "Yes",0,_xlfn.IFNA(INDEX('Resource use and costs'!$EA$12:$EA$25,MATCH(DB117,'Resource use and costs'!$DS$12:$DS$25,0)),0)*_xlfn.IFNA(INDEX(EC$10:EC$23,MATCH($DB117,$DX$10:$DX$23,0)),0))</f>
        <v>256.11457142857142</v>
      </c>
      <c r="DR117" s="921">
        <f t="shared" si="89"/>
        <v>9858.2668034857161</v>
      </c>
      <c r="DS117" s="1004">
        <f ca="1">SUMIFS('Safety parameters'!$DM$6:$DM$18,'Safety parameters'!$DK$6:$DK$18,CZ117,'Safety parameters'!$DL$6:$DL$18,1)+IF(dd_PartSA_2_lines = "Yes",0,SUMIFS('Safety parameters'!$DM$6:$DM$18,'Safety parameters'!$DK$6:$DK$18,DA117,'Safety parameters'!$DL$6:$DL$18,2)+SUMIFS('Safety parameters'!$DM$6:$DM$18,'Safety parameters'!$DK$6:$DK$18,DB117,'Safety parameters'!$DL$6:$DL$18,2))</f>
        <v>1967.1040569407746</v>
      </c>
      <c r="DT117" s="910">
        <f ca="1">SUMIFS('Safety parameters'!$DO$6:$DO$18,'Safety parameters'!$DK$6:$DK$18,CZ117,'Safety parameters'!$DL$6:$DL$18,1)+IF(dd_PartSA_2_lines = "Yes",0,SUMIFS('Safety parameters'!$DO$6:$DO$18,'Safety parameters'!$DK$6:$DK$18,DA117,'Safety parameters'!$DL$6:$DL$18,2)+SUMIFS('Safety parameters'!$DO$6:$DO$18,'Safety parameters'!$DK$6:$DK$18,DB117,'Safety parameters'!$DL$6:$DL$18,2))</f>
        <v>-1.7409497544119149E-2</v>
      </c>
    </row>
    <row r="118" spans="8:124" ht="15" x14ac:dyDescent="0.2">
      <c r="J118" s="4" t="s">
        <v>158</v>
      </c>
      <c r="K118" s="4" t="s">
        <v>161</v>
      </c>
      <c r="L118" s="4" t="s">
        <v>158</v>
      </c>
      <c r="M118" s="4" t="s">
        <v>161</v>
      </c>
      <c r="N118" s="4" t="s">
        <v>158</v>
      </c>
      <c r="O118" s="4" t="s">
        <v>161</v>
      </c>
      <c r="CK118" s="61" t="s">
        <v>31</v>
      </c>
      <c r="CL118" s="61">
        <v>2</v>
      </c>
      <c r="CM118" s="61" t="str">
        <v>axitinib</v>
      </c>
      <c r="CN118" s="17">
        <v>11</v>
      </c>
      <c r="CO118" s="61" t="str" cm="1">
        <f t="array" ref="CO118">INDEX(List_comparators,CP117+1)</f>
        <v>avelumab_plus_axitinib</v>
      </c>
      <c r="CP118" s="17">
        <v>4</v>
      </c>
      <c r="CQ118" s="601">
        <f t="shared" ca="1" si="152"/>
        <v>0</v>
      </c>
      <c r="CR118" s="601">
        <f t="shared" ca="1" si="153"/>
        <v>0</v>
      </c>
      <c r="CS118" s="669">
        <f t="shared" ca="1" si="151"/>
        <v>0</v>
      </c>
      <c r="CT118" s="669">
        <f t="shared" ca="1" si="154"/>
        <v>0</v>
      </c>
      <c r="CU118" s="1123">
        <f>MATCH(CZ118,'Resource use and costs'!$BA$11:$BA$53,0)</f>
        <v>1</v>
      </c>
      <c r="CV118" s="1223"/>
      <c r="CW118" s="1241">
        <f t="shared" si="87"/>
        <v>1</v>
      </c>
      <c r="CX118" s="899" t="s">
        <v>764</v>
      </c>
      <c r="CY118" s="899" t="s">
        <v>117</v>
      </c>
      <c r="CZ118" s="899" t="s">
        <v>579</v>
      </c>
      <c r="DA118" s="899" t="s">
        <v>765</v>
      </c>
      <c r="DB118" s="899"/>
      <c r="DC118" s="899" cm="1">
        <f t="array" aca="1" ref="DC118" ca="1">_xlfn.IFNA(OFFSET($I$49,MATCH(CY118,$I$50:$I$63,0),MATCH(CZ118,TRANSPOSE($J$49:$W$49),0)),0)</f>
        <v>0.38380000000000003</v>
      </c>
      <c r="DD118" s="899" cm="1">
        <f t="array" aca="1" ref="DD118" ca="1">_xlfn.IFNA(OFFSET($Y$49,MATCH($CZ118,$Y$50:$Y$63,0),MATCH($DA118,TRANSPOSE($Z$49:$AM$49),0)),0)</f>
        <v>0.3453</v>
      </c>
      <c r="DE118" s="899" cm="1">
        <f t="array" aca="1" ref="DE118" ca="1">_xlfn.IFNA(OFFSET($AO$49,MATCH($DA118,$AO$50:$AO$63,0),MATCH($DB118,TRANSPOSE($AP$49:$BC$49),0)),0)</f>
        <v>0</v>
      </c>
      <c r="DF118" s="881">
        <f t="shared" ca="1" si="81"/>
        <v>0.13252614000000001</v>
      </c>
      <c r="DG118" s="910">
        <f t="shared" ca="1" si="82"/>
        <v>0.99547352429578406</v>
      </c>
      <c r="DH118" s="881">
        <f t="shared" ca="1" si="83"/>
        <v>0.13192626364711649</v>
      </c>
      <c r="DI118" s="1460">
        <f t="shared" ca="1" si="124"/>
        <v>43.007961948959974</v>
      </c>
      <c r="DJ118" s="909">
        <f>_xlfn.IFNA(INDEX('Resource use and costs'!$CQ$11:$CQ$53,MATCH($CZ118,'Resource use and costs'!$BA$11:$BA$53,0)),0)*_xlfn.IFNA(INDEX(DY$10:DY$23,MATCH($CZ118,$DX$10:$DX$23,0)),0)</f>
        <v>56693.786091428577</v>
      </c>
      <c r="DK118" s="909">
        <f>IF(dd_PartSA_2_lines = "Yes",0,_xlfn.IFNA(INDEX('Resource use and costs'!$CR$11:$CR$53,MATCH(DA118,'Resource use and costs'!$BA$11:$BA$53,0)),0)*_xlfn.IFNA(INDEX(EA$10:EA$23,MATCH($DA118,$DX$10:$DX$23,0)),0))</f>
        <v>0</v>
      </c>
      <c r="DL118" s="909">
        <f>IF(dd_PartSA_2_lines = "Yes",0,_xlfn.IFNA(INDEX('Resource use and costs'!$CS$11:$CS$53,MATCH(DB118,'Resource use and costs'!$BA$11:$BA$53,0)),0)*_xlfn.IFNA(INDEX(EC$10:EC$23,MATCH($DB118,$DX$10:$DX$23,0)),0))</f>
        <v>0</v>
      </c>
      <c r="DM118" s="909">
        <f t="shared" si="88"/>
        <v>56693.786091428577</v>
      </c>
      <c r="DN118" s="909">
        <f>SUM(_xlfn.IFNA(INDEX('Resource use and costs'!$DU$12:$DU$25,MATCH(CZ118,'Resource use and costs'!$DS$12:$DS$25,0)),0),_xlfn.IFNA(INDEX('Resource use and costs'!$DU$12:$DU$25,MATCH(DA118,'Resource use and costs'!$DS$12:$DS$25,0)),0),_xlfn.IFNA(INDEX('Resource use and costs'!$DU$12:$DU$25,MATCH(DB118,'Resource use and costs'!$DS$12:$DS$25,0)),0))</f>
        <v>0</v>
      </c>
      <c r="DO118" s="921">
        <f>_xlfn.IFNA(INDEX('Resource use and costs'!$DY$12:$DY$25,MATCH(CZ118,'Resource use and costs'!$DS$12:$DS$25,0)),0)*_xlfn.IFNA(INDEX(DY$10:DY$23,MATCH($CZ118,$DX$10:$DX$23,0)),0)</f>
        <v>8939.6605049142872</v>
      </c>
      <c r="DP118" s="921">
        <f>IF(dd_PartSA_2_lines = "Yes",0,_xlfn.IFNA(INDEX('Resource use and costs'!$DZ$12:$DZ$25,MATCH(DA118,'Resource use and costs'!$DS$12:$DS$25,0)),0)*_xlfn.IFNA(INDEX(EA$10:EA$23,MATCH($DA118,$DX$10:$DX$23,0)),0))</f>
        <v>0</v>
      </c>
      <c r="DQ118" s="921">
        <f>IF(dd_PartSA_2_lines = "Yes",0,_xlfn.IFNA(INDEX('Resource use and costs'!$EA$12:$EA$25,MATCH(DB118,'Resource use and costs'!$DS$12:$DS$25,0)),0)*_xlfn.IFNA(INDEX(EC$10:EC$23,MATCH($DB118,$DX$10:$DX$23,0)),0))</f>
        <v>0</v>
      </c>
      <c r="DR118" s="921">
        <f t="shared" si="89"/>
        <v>8939.6605049142872</v>
      </c>
      <c r="DS118" s="1004">
        <f>SUMIFS('Safety parameters'!$DM$6:$DM$18,'Safety parameters'!$DK$6:$DK$18,CZ118,'Safety parameters'!$DL$6:$DL$18,1)+IF(dd_PartSA_2_lines = "Yes",0,SUMIFS('Safety parameters'!$DM$6:$DM$18,'Safety parameters'!$DK$6:$DK$18,DA118,'Safety parameters'!$DL$6:$DL$18,2)+SUMIFS('Safety parameters'!$DM$6:$DM$18,'Safety parameters'!$DK$6:$DK$18,DB118,'Safety parameters'!$DL$6:$DL$18,2))</f>
        <v>0</v>
      </c>
      <c r="DT118" s="910">
        <f>SUMIFS('Safety parameters'!$DO$6:$DO$18,'Safety parameters'!$DK$6:$DK$18,CZ118,'Safety parameters'!$DL$6:$DL$18,1)+IF(dd_PartSA_2_lines = "Yes",0,SUMIFS('Safety parameters'!$DO$6:$DO$18,'Safety parameters'!$DK$6:$DK$18,DA118,'Safety parameters'!$DL$6:$DL$18,2)+SUMIFS('Safety parameters'!$DO$6:$DO$18,'Safety parameters'!$DK$6:$DK$18,DB118,'Safety parameters'!$DL$6:$DL$18,2))</f>
        <v>0</v>
      </c>
    </row>
    <row r="119" spans="8:124" ht="15" x14ac:dyDescent="0.2">
      <c r="H119" s="4" t="s">
        <v>803</v>
      </c>
      <c r="J119" s="1416">
        <v>0.25</v>
      </c>
      <c r="K119" s="1046">
        <v>0</v>
      </c>
      <c r="L119" s="1416">
        <v>0.25</v>
      </c>
      <c r="M119" s="1046">
        <v>0</v>
      </c>
      <c r="N119" s="1416">
        <v>0.25</v>
      </c>
      <c r="O119" s="1046">
        <v>0</v>
      </c>
      <c r="CK119" s="61" t="s">
        <v>31</v>
      </c>
      <c r="CL119" s="61">
        <v>2</v>
      </c>
      <c r="CM119" s="61" t="str">
        <v>sorafenib</v>
      </c>
      <c r="CN119" s="17">
        <v>12</v>
      </c>
      <c r="CO119" s="61" t="str" cm="1">
        <f t="array" ref="CO119">INDEX(List_comparators,CP118+1)</f>
        <v>avelumab_plus_axitinib</v>
      </c>
      <c r="CP119" s="17">
        <v>4</v>
      </c>
      <c r="CQ119" s="601">
        <f t="shared" ca="1" si="152"/>
        <v>0</v>
      </c>
      <c r="CR119" s="601">
        <f t="shared" ca="1" si="153"/>
        <v>0</v>
      </c>
      <c r="CS119" s="669">
        <f t="shared" ca="1" si="151"/>
        <v>0</v>
      </c>
      <c r="CT119" s="669">
        <f t="shared" ca="1" si="154"/>
        <v>0</v>
      </c>
      <c r="CU119" s="1123">
        <f>MATCH(CZ119,'Resource use and costs'!$BA$11:$BA$53,0)</f>
        <v>1</v>
      </c>
      <c r="CV119" s="1223"/>
      <c r="CW119" s="1241">
        <f t="shared" si="87"/>
        <v>1</v>
      </c>
      <c r="CX119" s="899" t="s">
        <v>764</v>
      </c>
      <c r="CY119" s="899" t="s">
        <v>117</v>
      </c>
      <c r="CZ119" s="899" t="s">
        <v>579</v>
      </c>
      <c r="DA119" s="899" t="s">
        <v>118</v>
      </c>
      <c r="DB119" s="899" t="s">
        <v>327</v>
      </c>
      <c r="DC119" s="899" cm="1">
        <f t="array" aca="1" ref="DC119" ca="1">_xlfn.IFNA(OFFSET($I$49,MATCH(CY119,$I$50:$I$63,0),MATCH(CZ119,TRANSPOSE($J$49:$W$49),0)),0)</f>
        <v>0.38380000000000003</v>
      </c>
      <c r="DD119" s="899">
        <f ca="1">1-DD116-DD118-DD122-DD124</f>
        <v>0.54340000000000011</v>
      </c>
      <c r="DE119" s="899" cm="1">
        <f t="array" aca="1" ref="DE119" ca="1">_xlfn.IFNA(OFFSET($AO$49,MATCH($DA119,$AO$50:$AO$63,0),MATCH($DB119,TRANSPOSE($AP$49:$BC$49),0)),0)</f>
        <v>0.38769999999999999</v>
      </c>
      <c r="DF119" s="881">
        <f t="shared" ca="1" si="81"/>
        <v>8.0857517884000016E-2</v>
      </c>
      <c r="DG119" s="910">
        <f t="shared" ca="1" si="82"/>
        <v>0.99547352429578406</v>
      </c>
      <c r="DH119" s="881">
        <f t="shared" ca="1" si="83"/>
        <v>8.0491518293794889E-2</v>
      </c>
      <c r="DI119" s="1460">
        <f t="shared" ca="1" si="124"/>
        <v>26.240234963777134</v>
      </c>
      <c r="DJ119" s="909">
        <f>_xlfn.IFNA(INDEX('Resource use and costs'!$CQ$11:$CQ$53,MATCH($CZ119,'Resource use and costs'!$BA$11:$BA$53,0)),0)*_xlfn.IFNA(INDEX(DY$10:DY$23,MATCH($CZ119,$DX$10:$DX$23,0)),0)</f>
        <v>56693.786091428577</v>
      </c>
      <c r="DK119" s="909">
        <f>IF(dd_PartSA_2_lines = "Yes",0,_xlfn.IFNA(INDEX('Resource use and costs'!$CR$11:$CR$53,MATCH(DA119,'Resource use and costs'!$BA$11:$BA$53,0)),0)*_xlfn.IFNA(INDEX(EA$10:EA$23,MATCH($DA119,$DX$10:$DX$23,0)),0))</f>
        <v>50308.075122000002</v>
      </c>
      <c r="DL119" s="909">
        <f>IF(dd_PartSA_2_lines = "Yes",0,_xlfn.IFNA(INDEX('Resource use and costs'!$CS$11:$CS$53,MATCH(DB119,'Resource use and costs'!$BA$11:$BA$53,0)),0)*_xlfn.IFNA(INDEX(EC$10:EC$23,MATCH($DB119,$DX$10:$DX$23,0)),0))</f>
        <v>18438.751749999999</v>
      </c>
      <c r="DM119" s="909">
        <f t="shared" si="88"/>
        <v>125440.61296342858</v>
      </c>
      <c r="DN119" s="909">
        <f>SUM(_xlfn.IFNA(INDEX('Resource use and costs'!$DU$12:$DU$25,MATCH(CZ119,'Resource use and costs'!$DS$12:$DS$25,0)),0),_xlfn.IFNA(INDEX('Resource use and costs'!$DU$12:$DU$25,MATCH(DA119,'Resource use and costs'!$DS$12:$DS$25,0)),0),_xlfn.IFNA(INDEX('Resource use and costs'!$DU$12:$DU$25,MATCH(DB119,'Resource use and costs'!$DS$12:$DS$25,0)),0))</f>
        <v>394.5</v>
      </c>
      <c r="DO119" s="921">
        <f>_xlfn.IFNA(INDEX('Resource use and costs'!$DY$12:$DY$25,MATCH(CZ119,'Resource use and costs'!$DS$12:$DS$25,0)),0)*_xlfn.IFNA(INDEX(DY$10:DY$23,MATCH($CZ119,$DX$10:$DX$23,0)),0)</f>
        <v>8939.6605049142872</v>
      </c>
      <c r="DP119" s="921">
        <f>IF(dd_PartSA_2_lines = "Yes",0,_xlfn.IFNA(INDEX('Resource use and costs'!$DZ$12:$DZ$25,MATCH(DA119,'Resource use and costs'!$DS$12:$DS$25,0)),0)*_xlfn.IFNA(INDEX(EA$10:EA$23,MATCH($DA119,$DX$10:$DX$23,0)),0))</f>
        <v>461.1445457142857</v>
      </c>
      <c r="DQ119" s="921">
        <f>IF(dd_PartSA_2_lines = "Yes",0,_xlfn.IFNA(INDEX('Resource use and costs'!$EA$12:$EA$25,MATCH(DB119,'Resource use and costs'!$DS$12:$DS$25,0)),0)*_xlfn.IFNA(INDEX(EC$10:EC$23,MATCH($DB119,$DX$10:$DX$23,0)),0))</f>
        <v>230.68099999999998</v>
      </c>
      <c r="DR119" s="921">
        <f t="shared" si="89"/>
        <v>10025.986050628573</v>
      </c>
      <c r="DS119" s="1004">
        <f ca="1">SUMIFS('Safety parameters'!$DM$6:$DM$18,'Safety parameters'!$DK$6:$DK$18,CZ119,'Safety parameters'!$DL$6:$DL$18,1)+IF(dd_PartSA_2_lines = "Yes",0,SUMIFS('Safety parameters'!$DM$6:$DM$18,'Safety parameters'!$DK$6:$DK$18,DA119,'Safety parameters'!$DL$6:$DL$18,2)+SUMIFS('Safety parameters'!$DM$6:$DM$18,'Safety parameters'!$DK$6:$DK$18,DB119,'Safety parameters'!$DL$6:$DL$18,2))</f>
        <v>2377.8779733688434</v>
      </c>
      <c r="DT119" s="910">
        <f ca="1">SUMIFS('Safety parameters'!$DO$6:$DO$18,'Safety parameters'!$DK$6:$DK$18,CZ119,'Safety parameters'!$DL$6:$DL$18,1)+IF(dd_PartSA_2_lines = "Yes",0,SUMIFS('Safety parameters'!$DO$6:$DO$18,'Safety parameters'!$DK$6:$DK$18,DA119,'Safety parameters'!$DL$6:$DL$18,2)+SUMIFS('Safety parameters'!$DO$6:$DO$18,'Safety parameters'!$DK$6:$DK$18,DB119,'Safety parameters'!$DL$6:$DL$18,2))</f>
        <v>-2.1764250363717368E-2</v>
      </c>
    </row>
    <row r="120" spans="8:124" ht="15.75" thickBot="1" x14ac:dyDescent="0.25">
      <c r="CK120" s="506" t="s">
        <v>31</v>
      </c>
      <c r="CL120" s="506">
        <v>2</v>
      </c>
      <c r="CM120" s="506" t="str">
        <v>placebo_BSC</v>
      </c>
      <c r="CN120" s="19">
        <v>999</v>
      </c>
      <c r="CO120" s="506" t="str" cm="1">
        <f t="array" ref="CO120">INDEX(List_comparators,CP107+1)</f>
        <v>avelumab_plus_axitinib</v>
      </c>
      <c r="CP120" s="19">
        <v>4</v>
      </c>
      <c r="CQ120" s="602">
        <f t="shared" ca="1" si="152"/>
        <v>0</v>
      </c>
      <c r="CR120" s="602">
        <f t="shared" ca="1" si="153"/>
        <v>0</v>
      </c>
      <c r="CS120" s="670">
        <v>0</v>
      </c>
      <c r="CT120" s="670">
        <f t="shared" ca="1" si="154"/>
        <v>0</v>
      </c>
      <c r="CU120" s="1123">
        <f>MATCH(CZ120,'Resource use and costs'!$BA$11:$BA$53,0)</f>
        <v>1</v>
      </c>
      <c r="CV120" s="1223"/>
      <c r="CW120" s="1241">
        <f t="shared" si="87"/>
        <v>1</v>
      </c>
      <c r="CX120" s="899" t="s">
        <v>764</v>
      </c>
      <c r="CY120" s="899" t="s">
        <v>117</v>
      </c>
      <c r="CZ120" s="899" t="s">
        <v>579</v>
      </c>
      <c r="DA120" s="899" t="s">
        <v>118</v>
      </c>
      <c r="DB120" s="899" t="s">
        <v>765</v>
      </c>
      <c r="DC120" s="899" cm="1">
        <f t="array" aca="1" ref="DC120" ca="1">_xlfn.IFNA(OFFSET($I$49,MATCH(CY120,$I$50:$I$63,0),MATCH(CZ120,TRANSPOSE($J$49:$W$49),0)),0)</f>
        <v>0.38380000000000003</v>
      </c>
      <c r="DD120" s="899">
        <f ca="1">DD119</f>
        <v>0.54340000000000011</v>
      </c>
      <c r="DE120" s="899" cm="1">
        <f t="array" aca="1" ref="DE120" ca="1">_xlfn.IFNA(OFFSET($AO$49,MATCH($DA120,$AO$50:$AO$63,0),MATCH($DB120,TRANSPOSE($AP$49:$BC$49),0)),0)</f>
        <v>0.43140000000000001</v>
      </c>
      <c r="DF120" s="881">
        <f t="shared" ca="1" si="81"/>
        <v>8.9971455288000032E-2</v>
      </c>
      <c r="DG120" s="910">
        <f t="shared" ca="1" si="82"/>
        <v>0.99547352429578406</v>
      </c>
      <c r="DH120" s="881">
        <f t="shared" ca="1" si="83"/>
        <v>8.9564201681565953E-2</v>
      </c>
      <c r="DI120" s="1460">
        <f t="shared" ca="1" si="124"/>
        <v>29.1979297481905</v>
      </c>
      <c r="DJ120" s="909">
        <f>_xlfn.IFNA(INDEX('Resource use and costs'!$CQ$11:$CQ$53,MATCH($CZ120,'Resource use and costs'!$BA$11:$BA$53,0)),0)*_xlfn.IFNA(INDEX(DY$10:DY$23,MATCH($CZ120,$DX$10:$DX$23,0)),0)</f>
        <v>56693.786091428577</v>
      </c>
      <c r="DK120" s="909">
        <f>IF(dd_PartSA_2_lines = "Yes",0,_xlfn.IFNA(INDEX('Resource use and costs'!$CR$11:$CR$53,MATCH(DA120,'Resource use and costs'!$BA$11:$BA$53,0)),0)*_xlfn.IFNA(INDEX(EA$10:EA$23,MATCH($DA120,$DX$10:$DX$23,0)),0))</f>
        <v>50308.075122000002</v>
      </c>
      <c r="DL120" s="909">
        <f>IF(dd_PartSA_2_lines = "Yes",0,_xlfn.IFNA(INDEX('Resource use and costs'!$CS$11:$CS$53,MATCH(DB120,'Resource use and costs'!$BA$11:$BA$53,0)),0)*_xlfn.IFNA(INDEX(EC$10:EC$23,MATCH($DB120,$DX$10:$DX$23,0)),0))</f>
        <v>0</v>
      </c>
      <c r="DM120" s="909">
        <f t="shared" si="88"/>
        <v>107001.86121342858</v>
      </c>
      <c r="DN120" s="909">
        <f>SUM(_xlfn.IFNA(INDEX('Resource use and costs'!$DU$12:$DU$25,MATCH(CZ120,'Resource use and costs'!$DS$12:$DS$25,0)),0),_xlfn.IFNA(INDEX('Resource use and costs'!$DU$12:$DU$25,MATCH(DA120,'Resource use and costs'!$DS$12:$DS$25,0)),0),_xlfn.IFNA(INDEX('Resource use and costs'!$DU$12:$DU$25,MATCH(DB120,'Resource use and costs'!$DS$12:$DS$25,0)),0))</f>
        <v>197.25</v>
      </c>
      <c r="DO120" s="921">
        <f>_xlfn.IFNA(INDEX('Resource use and costs'!$DY$12:$DY$25,MATCH(CZ120,'Resource use and costs'!$DS$12:$DS$25,0)),0)*_xlfn.IFNA(INDEX(DY$10:DY$23,MATCH($CZ120,$DX$10:$DX$23,0)),0)</f>
        <v>8939.6605049142872</v>
      </c>
      <c r="DP120" s="921">
        <f>IF(dd_PartSA_2_lines = "Yes",0,_xlfn.IFNA(INDEX('Resource use and costs'!$DZ$12:$DZ$25,MATCH(DA120,'Resource use and costs'!$DS$12:$DS$25,0)),0)*_xlfn.IFNA(INDEX(EA$10:EA$23,MATCH($DA120,$DX$10:$DX$23,0)),0))</f>
        <v>461.1445457142857</v>
      </c>
      <c r="DQ120" s="921">
        <f>IF(dd_PartSA_2_lines = "Yes",0,_xlfn.IFNA(INDEX('Resource use and costs'!$EA$12:$EA$25,MATCH(DB120,'Resource use and costs'!$DS$12:$DS$25,0)),0)*_xlfn.IFNA(INDEX(EC$10:EC$23,MATCH($DB120,$DX$10:$DX$23,0)),0))</f>
        <v>0</v>
      </c>
      <c r="DR120" s="921">
        <f t="shared" si="89"/>
        <v>9598.0550506285726</v>
      </c>
      <c r="DS120" s="1004">
        <f ca="1">SUMIFS('Safety parameters'!$DM$6:$DM$18,'Safety parameters'!$DK$6:$DK$18,CZ120,'Safety parameters'!$DL$6:$DL$18,1)+IF(dd_PartSA_2_lines = "Yes",0,SUMIFS('Safety parameters'!$DM$6:$DM$18,'Safety parameters'!$DK$6:$DK$18,DA120,'Safety parameters'!$DL$6:$DL$18,2)+SUMIFS('Safety parameters'!$DM$6:$DM$18,'Safety parameters'!$DK$6:$DK$18,DB120,'Safety parameters'!$DL$6:$DL$18,2))</f>
        <v>743.64929980338343</v>
      </c>
      <c r="DT120" s="910">
        <f ca="1">SUMIFS('Safety parameters'!$DO$6:$DO$18,'Safety parameters'!$DK$6:$DK$18,CZ120,'Safety parameters'!$DL$6:$DL$18,1)+IF(dd_PartSA_2_lines = "Yes",0,SUMIFS('Safety parameters'!$DO$6:$DO$18,'Safety parameters'!$DK$6:$DK$18,DA120,'Safety parameters'!$DL$6:$DL$18,2)+SUMIFS('Safety parameters'!$DO$6:$DO$18,'Safety parameters'!$DK$6:$DK$18,DB120,'Safety parameters'!$DL$6:$DL$18,2))</f>
        <v>-7.0223263562359372E-3</v>
      </c>
    </row>
    <row r="121" spans="8:124" ht="15" x14ac:dyDescent="0.2">
      <c r="CK121" s="505" t="s">
        <v>31</v>
      </c>
      <c r="CL121" s="505">
        <v>2</v>
      </c>
      <c r="CM121" s="61" t="str" cm="1">
        <f t="array" ref="CM121:CM134">List_comparators</f>
        <v>nivolumab_monotherapy</v>
      </c>
      <c r="CN121" s="17">
        <v>0</v>
      </c>
      <c r="CO121" s="61" t="str" cm="1">
        <f t="array" ref="CO121">INDEX(List_comparators,CP121+1)</f>
        <v>pazopanib</v>
      </c>
      <c r="CP121" s="17">
        <v>5</v>
      </c>
      <c r="CQ121" s="603">
        <f t="shared" ca="1" si="152"/>
        <v>0</v>
      </c>
      <c r="CR121" s="603">
        <f t="shared" ca="1" si="153"/>
        <v>0</v>
      </c>
      <c r="CS121" s="669">
        <f t="shared" ref="CS121:CS133" ca="1" si="155">OFFSET($J$81,IF(CN121=999,13,CN121),CP121)</f>
        <v>43.50714285714286</v>
      </c>
      <c r="CT121" s="669">
        <f t="shared" ca="1" si="154"/>
        <v>12.288571428571426</v>
      </c>
      <c r="CU121" s="1123">
        <f>MATCH(CZ121,'Resource use and costs'!$BA$11:$BA$53,0)</f>
        <v>1</v>
      </c>
      <c r="CV121" s="1223"/>
      <c r="CW121" s="1241">
        <f t="shared" si="87"/>
        <v>1</v>
      </c>
      <c r="CX121" s="899" t="s">
        <v>764</v>
      </c>
      <c r="CY121" s="899" t="s">
        <v>117</v>
      </c>
      <c r="CZ121" s="899" t="s">
        <v>579</v>
      </c>
      <c r="DA121" s="899" t="s">
        <v>118</v>
      </c>
      <c r="DB121" s="899" t="s">
        <v>119</v>
      </c>
      <c r="DC121" s="899" cm="1">
        <f t="array" aca="1" ref="DC121" ca="1">_xlfn.IFNA(OFFSET($I$49,MATCH(CY121,$I$50:$I$63,0),MATCH(CZ121,TRANSPOSE($J$49:$W$49),0)),0)</f>
        <v>0.38380000000000003</v>
      </c>
      <c r="DD121" s="899">
        <f ca="1">DD120</f>
        <v>0.54340000000000011</v>
      </c>
      <c r="DE121" s="899" cm="1">
        <f t="array" aca="1" ref="DE121" ca="1">_xlfn.IFNA(OFFSET($AO$49,MATCH($DA121,$AO$50:$AO$63,0),MATCH($DB121,TRANSPOSE($AP$49:$BC$49),0)),0)</f>
        <v>0.18090000000000001</v>
      </c>
      <c r="DF121" s="881">
        <f t="shared" ca="1" si="81"/>
        <v>3.7727946828000014E-2</v>
      </c>
      <c r="DG121" s="910">
        <f t="shared" ca="1" si="82"/>
        <v>0.99547352429578406</v>
      </c>
      <c r="DH121" s="881">
        <f t="shared" ca="1" si="83"/>
        <v>3.7557172193313122E-2</v>
      </c>
      <c r="DI121" s="1460">
        <f t="shared" ca="1" si="124"/>
        <v>12.243638135020078</v>
      </c>
      <c r="DJ121" s="909">
        <f>_xlfn.IFNA(INDEX('Resource use and costs'!$CQ$11:$CQ$53,MATCH($CZ121,'Resource use and costs'!$BA$11:$BA$53,0)),0)*_xlfn.IFNA(INDEX(DY$10:DY$23,MATCH($CZ121,$DX$10:$DX$23,0)),0)</f>
        <v>56693.786091428577</v>
      </c>
      <c r="DK121" s="909">
        <f>IF(dd_PartSA_2_lines = "Yes",0,_xlfn.IFNA(INDEX('Resource use and costs'!$CR$11:$CR$53,MATCH(DA121,'Resource use and costs'!$BA$11:$BA$53,0)),0)*_xlfn.IFNA(INDEX(EA$10:EA$23,MATCH($DA121,$DX$10:$DX$23,0)),0))</f>
        <v>50308.075122000002</v>
      </c>
      <c r="DL121" s="909">
        <f>IF(dd_PartSA_2_lines = "Yes",0,_xlfn.IFNA(INDEX('Resource use and costs'!$CS$11:$CS$53,MATCH(DB121,'Resource use and costs'!$BA$11:$BA$53,0)),0)*_xlfn.IFNA(INDEX(EC$10:EC$23,MATCH($DB121,$DX$10:$DX$23,0)),0))</f>
        <v>2915.4763433333328</v>
      </c>
      <c r="DM121" s="909">
        <f t="shared" si="88"/>
        <v>109917.33755676191</v>
      </c>
      <c r="DN121" s="909">
        <f>SUM(_xlfn.IFNA(INDEX('Resource use and costs'!$DU$12:$DU$25,MATCH(CZ121,'Resource use and costs'!$DS$12:$DS$25,0)),0),_xlfn.IFNA(INDEX('Resource use and costs'!$DU$12:$DU$25,MATCH(DA121,'Resource use and costs'!$DS$12:$DS$25,0)),0),_xlfn.IFNA(INDEX('Resource use and costs'!$DU$12:$DU$25,MATCH(DB121,'Resource use and costs'!$DS$12:$DS$25,0)),0))</f>
        <v>394.5</v>
      </c>
      <c r="DO121" s="921">
        <f>_xlfn.IFNA(INDEX('Resource use and costs'!$DY$12:$DY$25,MATCH(CZ121,'Resource use and costs'!$DS$12:$DS$25,0)),0)*_xlfn.IFNA(INDEX(DY$10:DY$23,MATCH($CZ121,$DX$10:$DX$23,0)),0)</f>
        <v>8939.6605049142872</v>
      </c>
      <c r="DP121" s="921">
        <f>IF(dd_PartSA_2_lines = "Yes",0,_xlfn.IFNA(INDEX('Resource use and costs'!$DZ$12:$DZ$25,MATCH(DA121,'Resource use and costs'!$DS$12:$DS$25,0)),0)*_xlfn.IFNA(INDEX(EA$10:EA$23,MATCH($DA121,$DX$10:$DX$23,0)),0))</f>
        <v>461.1445457142857</v>
      </c>
      <c r="DQ121" s="921">
        <f>IF(dd_PartSA_2_lines = "Yes",0,_xlfn.IFNA(INDEX('Resource use and costs'!$EA$12:$EA$25,MATCH(DB121,'Resource use and costs'!$DS$12:$DS$25,0)),0)*_xlfn.IFNA(INDEX(EC$10:EC$23,MATCH($DB121,$DX$10:$DX$23,0)),0))</f>
        <v>256.11457142857142</v>
      </c>
      <c r="DR121" s="921">
        <f t="shared" si="89"/>
        <v>10051.419622057145</v>
      </c>
      <c r="DS121" s="1004">
        <f ca="1">SUMIFS('Safety parameters'!$DM$6:$DM$18,'Safety parameters'!$DK$6:$DK$18,CZ121,'Safety parameters'!$DL$6:$DL$18,1)+IF(dd_PartSA_2_lines = "Yes",0,SUMIFS('Safety parameters'!$DM$6:$DM$18,'Safety parameters'!$DK$6:$DK$18,DA121,'Safety parameters'!$DL$6:$DL$18,2)+SUMIFS('Safety parameters'!$DM$6:$DM$18,'Safety parameters'!$DK$6:$DK$18,DB121,'Safety parameters'!$DL$6:$DL$18,2))</f>
        <v>1076.5246831786983</v>
      </c>
      <c r="DT121" s="910">
        <f ca="1">SUMIFS('Safety parameters'!$DO$6:$DO$18,'Safety parameters'!$DK$6:$DK$18,CZ121,'Safety parameters'!$DL$6:$DL$18,1)+IF(dd_PartSA_2_lines = "Yes",0,SUMIFS('Safety parameters'!$DO$6:$DO$18,'Safety parameters'!$DK$6:$DK$18,DA121,'Safety parameters'!$DL$6:$DL$18,2)+SUMIFS('Safety parameters'!$DO$6:$DO$18,'Safety parameters'!$DK$6:$DK$18,DB121,'Safety parameters'!$DL$6:$DL$18,2))</f>
        <v>-9.689899892873657E-3</v>
      </c>
    </row>
    <row r="122" spans="8:124" ht="15" x14ac:dyDescent="0.2">
      <c r="CK122" s="61" t="s">
        <v>31</v>
      </c>
      <c r="CL122" s="61">
        <v>2</v>
      </c>
      <c r="CM122" s="61" t="str">
        <v>cabozantinib_plus_nivolumab</v>
      </c>
      <c r="CN122" s="17">
        <v>1</v>
      </c>
      <c r="CO122" s="61" t="str" cm="1">
        <f t="array" ref="CO122">INDEX(List_comparators,CP121+1)</f>
        <v>pazopanib</v>
      </c>
      <c r="CP122" s="17">
        <v>5</v>
      </c>
      <c r="CQ122" s="601">
        <f t="shared" ca="1" si="152"/>
        <v>0</v>
      </c>
      <c r="CR122" s="601">
        <f t="shared" ca="1" si="153"/>
        <v>0</v>
      </c>
      <c r="CS122" s="669">
        <f t="shared" ca="1" si="155"/>
        <v>43.50714285714286</v>
      </c>
      <c r="CT122" s="669">
        <f t="shared" ca="1" si="154"/>
        <v>12.288571428571426</v>
      </c>
      <c r="CU122" s="1123">
        <f>MATCH(CZ122,'Resource use and costs'!$BA$11:$BA$53,0)</f>
        <v>1</v>
      </c>
      <c r="CV122" s="1223"/>
      <c r="CW122" s="1241">
        <f t="shared" si="87"/>
        <v>1</v>
      </c>
      <c r="CX122" s="899" t="s">
        <v>764</v>
      </c>
      <c r="CY122" s="899" t="s">
        <v>117</v>
      </c>
      <c r="CZ122" s="899" t="s">
        <v>579</v>
      </c>
      <c r="DA122" s="899" t="s">
        <v>119</v>
      </c>
      <c r="DB122" s="899" t="s">
        <v>327</v>
      </c>
      <c r="DC122" s="899" cm="1">
        <f t="array" aca="1" ref="DC122" ca="1">_xlfn.IFNA(OFFSET($I$49,MATCH(CY122,$I$50:$I$63,0),MATCH(CZ122,TRANSPOSE($J$49:$W$49),0)),0)</f>
        <v>0.38380000000000003</v>
      </c>
      <c r="DD122" s="899" cm="1">
        <f t="array" aca="1" ref="DD122" ca="1">_xlfn.IFNA(OFFSET($Y$49,MATCH($CZ122,$Y$50:$Y$63,0),MATCH($DA122,TRANSPOSE($Z$49:$AM$49),0)),0)</f>
        <v>6.4999999999999997E-3</v>
      </c>
      <c r="DE122" s="899" cm="1">
        <f t="array" aca="1" ref="DE122" ca="1">_xlfn.IFNA(OFFSET($AO$49,MATCH($DA122,$AO$50:$AO$63,0),MATCH($DB122,TRANSPOSE($AP$49:$BC$49),0)),0)</f>
        <v>0</v>
      </c>
      <c r="DF122" s="881">
        <f t="shared" ca="1" si="81"/>
        <v>0</v>
      </c>
      <c r="DG122" s="910">
        <f t="shared" ca="1" si="82"/>
        <v>0.99547352429578406</v>
      </c>
      <c r="DH122" s="881">
        <f t="shared" ca="1" si="83"/>
        <v>0</v>
      </c>
      <c r="DI122" s="1460">
        <f t="shared" ca="1" si="124"/>
        <v>0</v>
      </c>
      <c r="DJ122" s="909">
        <f>_xlfn.IFNA(INDEX('Resource use and costs'!$CQ$11:$CQ$53,MATCH($CZ122,'Resource use and costs'!$BA$11:$BA$53,0)),0)*_xlfn.IFNA(INDEX(DY$10:DY$23,MATCH($CZ122,$DX$10:$DX$23,0)),0)</f>
        <v>56693.786091428577</v>
      </c>
      <c r="DK122" s="909">
        <f>IF(dd_PartSA_2_lines = "Yes",0,_xlfn.IFNA(INDEX('Resource use and costs'!$CR$11:$CR$53,MATCH(DA122,'Resource use and costs'!$BA$11:$BA$53,0)),0)*_xlfn.IFNA(INDEX(EA$10:EA$23,MATCH($DA122,$DX$10:$DX$23,0)),0))</f>
        <v>848.17532499999982</v>
      </c>
      <c r="DL122" s="909">
        <f>IF(dd_PartSA_2_lines = "Yes",0,_xlfn.IFNA(INDEX('Resource use and costs'!$CS$11:$CS$53,MATCH(DB122,'Resource use and costs'!$BA$11:$BA$53,0)),0)*_xlfn.IFNA(INDEX(EC$10:EC$23,MATCH($DB122,$DX$10:$DX$23,0)),0))</f>
        <v>18438.751749999999</v>
      </c>
      <c r="DM122" s="909">
        <f t="shared" si="88"/>
        <v>75980.71316642857</v>
      </c>
      <c r="DN122" s="909">
        <f>SUM(_xlfn.IFNA(INDEX('Resource use and costs'!$DU$12:$DU$25,MATCH(CZ122,'Resource use and costs'!$DS$12:$DS$25,0)),0),_xlfn.IFNA(INDEX('Resource use and costs'!$DU$12:$DU$25,MATCH(DA122,'Resource use and costs'!$DS$12:$DS$25,0)),0),_xlfn.IFNA(INDEX('Resource use and costs'!$DU$12:$DU$25,MATCH(DB122,'Resource use and costs'!$DS$12:$DS$25,0)),0))</f>
        <v>394.5</v>
      </c>
      <c r="DO122" s="921">
        <f>_xlfn.IFNA(INDEX('Resource use and costs'!$DY$12:$DY$25,MATCH(CZ122,'Resource use and costs'!$DS$12:$DS$25,0)),0)*_xlfn.IFNA(INDEX(DY$10:DY$23,MATCH($CZ122,$DX$10:$DX$23,0)),0)</f>
        <v>8939.6605049142872</v>
      </c>
      <c r="DP122" s="921">
        <f>IF(dd_PartSA_2_lines = "Yes",0,_xlfn.IFNA(INDEX('Resource use and costs'!$DZ$12:$DZ$25,MATCH(DA122,'Resource use and costs'!$DS$12:$DS$25,0)),0)*_xlfn.IFNA(INDEX(EA$10:EA$23,MATCH($DA122,$DX$10:$DX$23,0)),0))</f>
        <v>74.50928571428571</v>
      </c>
      <c r="DQ122" s="921">
        <f>IF(dd_PartSA_2_lines = "Yes",0,_xlfn.IFNA(INDEX('Resource use and costs'!$EA$12:$EA$25,MATCH(DB122,'Resource use and costs'!$DS$12:$DS$25,0)),0)*_xlfn.IFNA(INDEX(EC$10:EC$23,MATCH($DB122,$DX$10:$DX$23,0)),0))</f>
        <v>230.68099999999998</v>
      </c>
      <c r="DR122" s="921">
        <f t="shared" si="89"/>
        <v>9639.350790628574</v>
      </c>
      <c r="DS122" s="1004">
        <f ca="1">SUMIFS('Safety parameters'!$DM$6:$DM$18,'Safety parameters'!$DK$6:$DK$18,CZ122,'Safety parameters'!$DL$6:$DL$18,1)+IF(dd_PartSA_2_lines = "Yes",0,SUMIFS('Safety parameters'!$DM$6:$DM$18,'Safety parameters'!$DK$6:$DK$18,DA122,'Safety parameters'!$DL$6:$DL$18,2)+SUMIFS('Safety parameters'!$DM$6:$DM$18,'Safety parameters'!$DK$6:$DK$18,DB122,'Safety parameters'!$DL$6:$DL$18,2))</f>
        <v>1967.1040569407746</v>
      </c>
      <c r="DT122" s="910">
        <f ca="1">SUMIFS('Safety parameters'!$DO$6:$DO$18,'Safety parameters'!$DK$6:$DK$18,CZ122,'Safety parameters'!$DL$6:$DL$18,1)+IF(dd_PartSA_2_lines = "Yes",0,SUMIFS('Safety parameters'!$DO$6:$DO$18,'Safety parameters'!$DK$6:$DK$18,DA122,'Safety parameters'!$DL$6:$DL$18,2)+SUMIFS('Safety parameters'!$DO$6:$DO$18,'Safety parameters'!$DK$6:$DK$18,DB122,'Safety parameters'!$DL$6:$DL$18,2))</f>
        <v>-1.7409497544119149E-2</v>
      </c>
    </row>
    <row r="123" spans="8:124" ht="15" x14ac:dyDescent="0.2">
      <c r="J123" s="913" t="str" cm="1">
        <f t="array" ref="J123:W123">TRANSPOSE(List_comparators)</f>
        <v>nivolumab_monotherapy</v>
      </c>
      <c r="K123" s="913" t="str">
        <v>cabozantinib_plus_nivolumab</v>
      </c>
      <c r="L123" s="913" t="str">
        <v>nivolumab_plus_ipilimumab</v>
      </c>
      <c r="M123" s="913" t="str">
        <v>lenvatinib_plus_pembrolizumab</v>
      </c>
      <c r="N123" s="511" t="str">
        <v>avelumab_plus_axitinib</v>
      </c>
      <c r="O123" s="511" t="str">
        <v>pazopanib</v>
      </c>
      <c r="P123" s="511" t="str">
        <v>tivozanib</v>
      </c>
      <c r="Q123" s="511" t="str">
        <v>sunitinib</v>
      </c>
      <c r="R123" s="511" t="str">
        <v>cabozantinib</v>
      </c>
      <c r="S123" s="511" t="str">
        <v>lenvatinib_plus_everolimus</v>
      </c>
      <c r="T123" s="511" t="str">
        <v>everolimus</v>
      </c>
      <c r="U123" s="511" t="str">
        <v>axitinib</v>
      </c>
      <c r="V123" s="511" t="str">
        <v>sorafenib</v>
      </c>
      <c r="W123" s="511" t="str">
        <v>placebo_BSC</v>
      </c>
      <c r="CK123" s="61" t="s">
        <v>31</v>
      </c>
      <c r="CL123" s="61">
        <v>2</v>
      </c>
      <c r="CM123" s="61" t="str">
        <v>nivolumab_plus_ipilimumab</v>
      </c>
      <c r="CN123" s="17">
        <v>2</v>
      </c>
      <c r="CO123" s="61" t="str" cm="1">
        <f t="array" ref="CO123">INDEX(List_comparators,CP122+1)</f>
        <v>pazopanib</v>
      </c>
      <c r="CP123" s="17">
        <v>5</v>
      </c>
      <c r="CQ123" s="601">
        <f t="shared" ca="1" si="152"/>
        <v>4.6654820499111543E-2</v>
      </c>
      <c r="CR123" s="601">
        <f t="shared" ca="1" si="153"/>
        <v>4.6654820499111545E-3</v>
      </c>
      <c r="CS123" s="669">
        <f t="shared" ca="1" si="155"/>
        <v>43.50714285714286</v>
      </c>
      <c r="CT123" s="669">
        <f t="shared" ca="1" si="154"/>
        <v>12.288571428571426</v>
      </c>
      <c r="CU123" s="1123">
        <f>MATCH(CZ123,'Resource use and costs'!$BA$11:$BA$53,0)</f>
        <v>1</v>
      </c>
      <c r="CV123" s="1223"/>
      <c r="CW123" s="1241">
        <f t="shared" si="87"/>
        <v>1</v>
      </c>
      <c r="CX123" s="899" t="s">
        <v>764</v>
      </c>
      <c r="CY123" s="899" t="s">
        <v>117</v>
      </c>
      <c r="CZ123" s="899" t="s">
        <v>579</v>
      </c>
      <c r="DA123" s="899" t="s">
        <v>119</v>
      </c>
      <c r="DB123" s="899" t="s">
        <v>765</v>
      </c>
      <c r="DC123" s="899" cm="1">
        <f t="array" aca="1" ref="DC123" ca="1">_xlfn.IFNA(OFFSET($I$49,MATCH(CY123,$I$50:$I$63,0),MATCH(CZ123,TRANSPOSE($J$49:$W$49),0)),0)</f>
        <v>0.38380000000000003</v>
      </c>
      <c r="DD123" s="899" cm="1">
        <f t="array" aca="1" ref="DD123" ca="1">_xlfn.IFNA(OFFSET($Y$49,MATCH($CZ123,$Y$50:$Y$63,0),MATCH($DA123,TRANSPOSE($Z$49:$AM$49),0)),0)</f>
        <v>6.4999999999999997E-3</v>
      </c>
      <c r="DE123" s="899" cm="1">
        <f t="array" aca="1" ref="DE123" ca="1">_xlfn.IFNA(OFFSET($AO$49,MATCH($DA123,$AO$50:$AO$63,0),MATCH($DB123,TRANSPOSE($AP$49:$BC$49),0)),0)</f>
        <v>1</v>
      </c>
      <c r="DF123" s="881">
        <f t="shared" ca="1" si="81"/>
        <v>2.4946999999999999E-3</v>
      </c>
      <c r="DG123" s="910">
        <f t="shared" ca="1" si="82"/>
        <v>0.99547352429578406</v>
      </c>
      <c r="DH123" s="881">
        <f t="shared" ca="1" si="83"/>
        <v>2.4834078010606926E-3</v>
      </c>
      <c r="DI123" s="1460">
        <f t="shared" ca="1" si="124"/>
        <v>0.80959094314578584</v>
      </c>
      <c r="DJ123" s="909">
        <f>_xlfn.IFNA(INDEX('Resource use and costs'!$CQ$11:$CQ$53,MATCH($CZ123,'Resource use and costs'!$BA$11:$BA$53,0)),0)*_xlfn.IFNA(INDEX(DY$10:DY$23,MATCH($CZ123,$DX$10:$DX$23,0)),0)</f>
        <v>56693.786091428577</v>
      </c>
      <c r="DK123" s="909">
        <f>IF(dd_PartSA_2_lines = "Yes",0,_xlfn.IFNA(INDEX('Resource use and costs'!$CR$11:$CR$53,MATCH(DA123,'Resource use and costs'!$BA$11:$BA$53,0)),0)*_xlfn.IFNA(INDEX(EA$10:EA$23,MATCH($DA123,$DX$10:$DX$23,0)),0))</f>
        <v>848.17532499999982</v>
      </c>
      <c r="DL123" s="909">
        <f>IF(dd_PartSA_2_lines = "Yes",0,_xlfn.IFNA(INDEX('Resource use and costs'!$CS$11:$CS$53,MATCH(DB123,'Resource use and costs'!$BA$11:$BA$53,0)),0)*_xlfn.IFNA(INDEX(EC$10:EC$23,MATCH($DB123,$DX$10:$DX$23,0)),0))</f>
        <v>0</v>
      </c>
      <c r="DM123" s="909">
        <f t="shared" si="88"/>
        <v>57541.961416428574</v>
      </c>
      <c r="DN123" s="909">
        <f>SUM(_xlfn.IFNA(INDEX('Resource use and costs'!$DU$12:$DU$25,MATCH(CZ123,'Resource use and costs'!$DS$12:$DS$25,0)),0),_xlfn.IFNA(INDEX('Resource use and costs'!$DU$12:$DU$25,MATCH(DA123,'Resource use and costs'!$DS$12:$DS$25,0)),0),_xlfn.IFNA(INDEX('Resource use and costs'!$DU$12:$DU$25,MATCH(DB123,'Resource use and costs'!$DS$12:$DS$25,0)),0))</f>
        <v>197.25</v>
      </c>
      <c r="DO123" s="921">
        <f>_xlfn.IFNA(INDEX('Resource use and costs'!$DY$12:$DY$25,MATCH(CZ123,'Resource use and costs'!$DS$12:$DS$25,0)),0)*_xlfn.IFNA(INDEX(DY$10:DY$23,MATCH($CZ123,$DX$10:$DX$23,0)),0)</f>
        <v>8939.6605049142872</v>
      </c>
      <c r="DP123" s="921">
        <f>IF(dd_PartSA_2_lines = "Yes",0,_xlfn.IFNA(INDEX('Resource use and costs'!$DZ$12:$DZ$25,MATCH(DA123,'Resource use and costs'!$DS$12:$DS$25,0)),0)*_xlfn.IFNA(INDEX(EA$10:EA$23,MATCH($DA123,$DX$10:$DX$23,0)),0))</f>
        <v>74.50928571428571</v>
      </c>
      <c r="DQ123" s="921">
        <f>IF(dd_PartSA_2_lines = "Yes",0,_xlfn.IFNA(INDEX('Resource use and costs'!$EA$12:$EA$25,MATCH(DB123,'Resource use and costs'!$DS$12:$DS$25,0)),0)*_xlfn.IFNA(INDEX(EC$10:EC$23,MATCH($DB123,$DX$10:$DX$23,0)),0))</f>
        <v>0</v>
      </c>
      <c r="DR123" s="921">
        <f t="shared" si="89"/>
        <v>9211.4197906285735</v>
      </c>
      <c r="DS123" s="1004">
        <f ca="1">SUMIFS('Safety parameters'!$DM$6:$DM$18,'Safety parameters'!$DK$6:$DK$18,CZ123,'Safety parameters'!$DL$6:$DL$18,1)+IF(dd_PartSA_2_lines = "Yes",0,SUMIFS('Safety parameters'!$DM$6:$DM$18,'Safety parameters'!$DK$6:$DK$18,DA123,'Safety parameters'!$DL$6:$DL$18,2)+SUMIFS('Safety parameters'!$DM$6:$DM$18,'Safety parameters'!$DK$6:$DK$18,DB123,'Safety parameters'!$DL$6:$DL$18,2))</f>
        <v>332.87538337531487</v>
      </c>
      <c r="DT123" s="910">
        <f ca="1">SUMIFS('Safety parameters'!$DO$6:$DO$18,'Safety parameters'!$DK$6:$DK$18,CZ123,'Safety parameters'!$DL$6:$DL$18,1)+IF(dd_PartSA_2_lines = "Yes",0,SUMIFS('Safety parameters'!$DO$6:$DO$18,'Safety parameters'!$DK$6:$DK$18,DA123,'Safety parameters'!$DL$6:$DL$18,2)+SUMIFS('Safety parameters'!$DO$6:$DO$18,'Safety parameters'!$DK$6:$DK$18,DB123,'Safety parameters'!$DL$6:$DL$18,2))</f>
        <v>-2.6675735366377194E-3</v>
      </c>
    </row>
    <row r="124" spans="8:124" ht="15" x14ac:dyDescent="0.2">
      <c r="I124" s="913" t="s">
        <v>158</v>
      </c>
      <c r="J124" s="914" t="str">
        <f t="shared" ref="J124:V124" si="156">J123</f>
        <v>nivolumab_monotherapy</v>
      </c>
      <c r="K124" s="914" t="str">
        <f t="shared" si="156"/>
        <v>cabozantinib_plus_nivolumab</v>
      </c>
      <c r="L124" s="914" t="str">
        <f t="shared" si="156"/>
        <v>nivolumab_plus_ipilimumab</v>
      </c>
      <c r="M124" s="914" t="str">
        <f t="shared" si="156"/>
        <v>lenvatinib_plus_pembrolizumab</v>
      </c>
      <c r="N124" s="914" t="str">
        <f t="shared" si="156"/>
        <v>avelumab_plus_axitinib</v>
      </c>
      <c r="O124" s="914" t="str">
        <f t="shared" si="156"/>
        <v>pazopanib</v>
      </c>
      <c r="P124" s="914" t="str">
        <f t="shared" si="156"/>
        <v>tivozanib</v>
      </c>
      <c r="Q124" s="914" t="str">
        <f t="shared" si="156"/>
        <v>sunitinib</v>
      </c>
      <c r="R124" s="914" t="str">
        <f t="shared" si="156"/>
        <v>cabozantinib</v>
      </c>
      <c r="S124" s="914" t="str">
        <f t="shared" si="156"/>
        <v>lenvatinib_plus_everolimus</v>
      </c>
      <c r="T124" s="914" t="str">
        <f t="shared" si="156"/>
        <v>everolimus</v>
      </c>
      <c r="U124" s="914" t="str">
        <f t="shared" si="156"/>
        <v>axitinib</v>
      </c>
      <c r="V124" s="915" t="str">
        <f t="shared" si="156"/>
        <v>sorafenib</v>
      </c>
      <c r="W124" s="916" t="s">
        <v>765</v>
      </c>
      <c r="CK124" s="61" t="s">
        <v>31</v>
      </c>
      <c r="CL124" s="61">
        <v>2</v>
      </c>
      <c r="CM124" s="61" t="str">
        <v>lenvatinib_plus_pembrolizumab</v>
      </c>
      <c r="CN124" s="17">
        <v>3</v>
      </c>
      <c r="CO124" s="61" t="str" cm="1">
        <f t="array" ref="CO124">INDEX(List_comparators,CP123+1)</f>
        <v>pazopanib</v>
      </c>
      <c r="CP124" s="17">
        <v>5</v>
      </c>
      <c r="CQ124" s="601">
        <f t="shared" ca="1" si="152"/>
        <v>0</v>
      </c>
      <c r="CR124" s="601">
        <f t="shared" ca="1" si="153"/>
        <v>0</v>
      </c>
      <c r="CS124" s="669">
        <f t="shared" ca="1" si="155"/>
        <v>43.50714285714286</v>
      </c>
      <c r="CT124" s="669">
        <f t="shared" ca="1" si="154"/>
        <v>12.288571428571426</v>
      </c>
      <c r="CU124" s="1123">
        <f>MATCH(CZ124,'Resource use and costs'!$BA$11:$BA$53,0)</f>
        <v>1</v>
      </c>
      <c r="CV124" s="1223"/>
      <c r="CW124" s="1241">
        <f t="shared" si="87"/>
        <v>1</v>
      </c>
      <c r="CX124" s="899" t="s">
        <v>764</v>
      </c>
      <c r="CY124" s="899" t="s">
        <v>117</v>
      </c>
      <c r="CZ124" s="899" t="s">
        <v>579</v>
      </c>
      <c r="DA124" s="899" t="s">
        <v>333</v>
      </c>
      <c r="DB124" s="899" t="s">
        <v>327</v>
      </c>
      <c r="DC124" s="899" cm="1">
        <f t="array" aca="1" ref="DC124" ca="1">_xlfn.IFNA(OFFSET($I$49,MATCH(CY124,$I$50:$I$63,0),MATCH(CZ124,TRANSPOSE($J$49:$W$49),0)),0)</f>
        <v>0.38380000000000003</v>
      </c>
      <c r="DD124" s="899" cm="1">
        <f t="array" aca="1" ref="DD124" ca="1">_xlfn.IFNA(OFFSET($Y$49,MATCH($CZ124,$Y$50:$Y$63,0),MATCH($DA124,TRANSPOSE($Z$49:$AM$49),0)),0)</f>
        <v>5.2400000000000002E-2</v>
      </c>
      <c r="DE124" s="899" cm="1">
        <f t="array" aca="1" ref="DE124" ca="1">_xlfn.IFNA(OFFSET($AO$49,MATCH($DA124,$AO$50:$AO$63,0),MATCH($DB124,TRANSPOSE($AP$49:$BC$49),0)),0)</f>
        <v>0.56859999999999999</v>
      </c>
      <c r="DF124" s="881">
        <f t="shared" ca="1" si="81"/>
        <v>1.1435182832000002E-2</v>
      </c>
      <c r="DG124" s="910">
        <f t="shared" ca="1" si="82"/>
        <v>0.99547352429578406</v>
      </c>
      <c r="DH124" s="881">
        <f t="shared" ca="1" si="83"/>
        <v>1.1383421754737687E-2</v>
      </c>
      <c r="DI124" s="1460">
        <f t="shared" ca="1" si="124"/>
        <v>3.7109954920444861</v>
      </c>
      <c r="DJ124" s="909">
        <f>_xlfn.IFNA(INDEX('Resource use and costs'!$CQ$11:$CQ$53,MATCH($CZ124,'Resource use and costs'!$BA$11:$BA$53,0)),0)*_xlfn.IFNA(INDEX(DY$10:DY$23,MATCH($CZ124,$DX$10:$DX$23,0)),0)</f>
        <v>56693.786091428577</v>
      </c>
      <c r="DK124" s="909">
        <f>IF(dd_PartSA_2_lines = "Yes",0,_xlfn.IFNA(INDEX('Resource use and costs'!$CR$11:$CR$53,MATCH(DA124,'Resource use and costs'!$BA$11:$BA$53,0)),0)*_xlfn.IFNA(INDEX(EA$10:EA$23,MATCH($DA124,$DX$10:$DX$23,0)),0))</f>
        <v>24337.716731999997</v>
      </c>
      <c r="DL124" s="909">
        <f>IF(dd_PartSA_2_lines = "Yes",0,_xlfn.IFNA(INDEX('Resource use and costs'!$CS$11:$CS$53,MATCH(DB124,'Resource use and costs'!$BA$11:$BA$53,0)),0)*_xlfn.IFNA(INDEX(EC$10:EC$23,MATCH($DB124,$DX$10:$DX$23,0)),0))</f>
        <v>18438.751749999999</v>
      </c>
      <c r="DM124" s="909">
        <f t="shared" si="88"/>
        <v>99470.254573428567</v>
      </c>
      <c r="DN124" s="909">
        <f>SUM(_xlfn.IFNA(INDEX('Resource use and costs'!$DU$12:$DU$25,MATCH(CZ124,'Resource use and costs'!$DS$12:$DS$25,0)),0),_xlfn.IFNA(INDEX('Resource use and costs'!$DU$12:$DU$25,MATCH(DA124,'Resource use and costs'!$DS$12:$DS$25,0)),0),_xlfn.IFNA(INDEX('Resource use and costs'!$DU$12:$DU$25,MATCH(DB124,'Resource use and costs'!$DS$12:$DS$25,0)),0))</f>
        <v>394.5</v>
      </c>
      <c r="DO124" s="921">
        <f>_xlfn.IFNA(INDEX('Resource use and costs'!$DY$12:$DY$25,MATCH(CZ124,'Resource use and costs'!$DS$12:$DS$25,0)),0)*_xlfn.IFNA(INDEX(DY$10:DY$23,MATCH($CZ124,$DX$10:$DX$23,0)),0)</f>
        <v>8939.6605049142872</v>
      </c>
      <c r="DP124" s="921">
        <f>IF(dd_PartSA_2_lines = "Yes",0,_xlfn.IFNA(INDEX('Resource use and costs'!$DZ$12:$DZ$25,MATCH(DA124,'Resource use and costs'!$DS$12:$DS$25,0)),0)*_xlfn.IFNA(INDEX(EA$10:EA$23,MATCH($DA124,$DX$10:$DX$23,0)),0))</f>
        <v>363.04714285714283</v>
      </c>
      <c r="DQ124" s="921">
        <f>IF(dd_PartSA_2_lines = "Yes",0,_xlfn.IFNA(INDEX('Resource use and costs'!$EA$12:$EA$25,MATCH(DB124,'Resource use and costs'!$DS$12:$DS$25,0)),0)*_xlfn.IFNA(INDEX(EC$10:EC$23,MATCH($DB124,$DX$10:$DX$23,0)),0))</f>
        <v>230.68099999999998</v>
      </c>
      <c r="DR124" s="921">
        <f t="shared" si="89"/>
        <v>9927.8886477714314</v>
      </c>
      <c r="DS124" s="1004">
        <f ca="1">SUMIFS('Safety parameters'!$DM$6:$DM$18,'Safety parameters'!$DK$6:$DK$18,CZ124,'Safety parameters'!$DL$6:$DL$18,1)+IF(dd_PartSA_2_lines = "Yes",0,SUMIFS('Safety parameters'!$DM$6:$DM$18,'Safety parameters'!$DK$6:$DK$18,DA124,'Safety parameters'!$DL$6:$DL$18,2)+SUMIFS('Safety parameters'!$DM$6:$DM$18,'Safety parameters'!$DK$6:$DK$18,DB124,'Safety parameters'!$DL$6:$DL$18,2))</f>
        <v>2577.0992943484653</v>
      </c>
      <c r="DT124" s="910">
        <f ca="1">SUMIFS('Safety parameters'!$DO$6:$DO$18,'Safety parameters'!$DK$6:$DK$18,CZ124,'Safety parameters'!$DL$6:$DL$18,1)+IF(dd_PartSA_2_lines = "Yes",0,SUMIFS('Safety parameters'!$DO$6:$DO$18,'Safety parameters'!$DK$6:$DK$18,DA124,'Safety parameters'!$DL$6:$DL$18,2)+SUMIFS('Safety parameters'!$DO$6:$DO$18,'Safety parameters'!$DK$6:$DK$18,DB124,'Safety parameters'!$DL$6:$DL$18,2))</f>
        <v>-2.4384674689096917E-2</v>
      </c>
    </row>
    <row r="125" spans="8:124" ht="15" x14ac:dyDescent="0.2">
      <c r="I125" s="865" t="str" cm="1">
        <f t="array" ref="I125:I138">List_comparators</f>
        <v>nivolumab_monotherapy</v>
      </c>
      <c r="J125" s="911"/>
      <c r="K125" s="912"/>
      <c r="L125" s="912"/>
      <c r="M125" s="912"/>
      <c r="N125" s="912"/>
      <c r="O125" s="1046">
        <f>CHOOSE(i_sub_txt_prop_num,0,0)</f>
        <v>0</v>
      </c>
      <c r="P125" s="911"/>
      <c r="Q125" s="911"/>
      <c r="R125" s="911"/>
      <c r="S125" s="911"/>
      <c r="T125" s="1046">
        <f>CHOOSE(i_sub_txt_prop_num,0,0)</f>
        <v>0</v>
      </c>
      <c r="U125" s="1046">
        <f>CHOOSE(i_sub_txt_prop_num,0,0)</f>
        <v>0</v>
      </c>
      <c r="V125" s="911"/>
      <c r="W125" s="1046">
        <f>IF(X125&lt;&gt;0,CHOOSE(i_sub_txt_prop_num,0.381456,0.381456),1)</f>
        <v>1</v>
      </c>
      <c r="X125" s="917">
        <f t="shared" ref="X125:X138" si="157">SUM(J125:V125)</f>
        <v>0</v>
      </c>
      <c r="CK125" s="61" t="s">
        <v>31</v>
      </c>
      <c r="CL125" s="61">
        <v>2</v>
      </c>
      <c r="CM125" s="61" t="str">
        <v>avelumab_plus_axitinib</v>
      </c>
      <c r="CN125" s="17">
        <v>4</v>
      </c>
      <c r="CO125" s="61" t="str" cm="1">
        <f t="array" ref="CO125">INDEX(List_comparators,CP124+1)</f>
        <v>pazopanib</v>
      </c>
      <c r="CP125" s="17">
        <v>5</v>
      </c>
      <c r="CQ125" s="601">
        <f t="shared" ca="1" si="152"/>
        <v>0</v>
      </c>
      <c r="CR125" s="601">
        <f t="shared" ca="1" si="153"/>
        <v>0</v>
      </c>
      <c r="CS125" s="669">
        <f t="shared" ca="1" si="155"/>
        <v>43.50714285714286</v>
      </c>
      <c r="CT125" s="669">
        <f t="shared" ca="1" si="154"/>
        <v>12.288571428571426</v>
      </c>
      <c r="CU125" s="1123">
        <f>MATCH(CZ125,'Resource use and costs'!$BA$11:$BA$53,0)</f>
        <v>1</v>
      </c>
      <c r="CV125" s="1223"/>
      <c r="CW125" s="1241">
        <f t="shared" si="87"/>
        <v>1</v>
      </c>
      <c r="CX125" s="899" t="s">
        <v>764</v>
      </c>
      <c r="CY125" s="899" t="s">
        <v>117</v>
      </c>
      <c r="CZ125" s="899" t="s">
        <v>579</v>
      </c>
      <c r="DA125" s="899" t="s">
        <v>333</v>
      </c>
      <c r="DB125" s="899" t="s">
        <v>765</v>
      </c>
      <c r="DC125" s="899" cm="1">
        <f t="array" aca="1" ref="DC125" ca="1">_xlfn.IFNA(OFFSET($I$49,MATCH(CY125,$I$50:$I$63,0),MATCH(CZ125,TRANSPOSE($J$49:$W$49),0)),0)</f>
        <v>0.38380000000000003</v>
      </c>
      <c r="DD125" s="899" cm="1">
        <f t="array" aca="1" ref="DD125" ca="1">_xlfn.IFNA(OFFSET($Y$49,MATCH($CZ125,$Y$50:$Y$63,0),MATCH($DA125,TRANSPOSE($Z$49:$AM$49),0)),0)</f>
        <v>5.2400000000000002E-2</v>
      </c>
      <c r="DE125" s="899" cm="1">
        <f t="array" aca="1" ref="DE125" ca="1">_xlfn.IFNA(OFFSET($AO$49,MATCH($DA125,$AO$50:$AO$63,0),MATCH($DB125,TRANSPOSE($AP$49:$BC$49),0)),0)</f>
        <v>0.43140000000000001</v>
      </c>
      <c r="DF125" s="881">
        <f t="shared" ca="1" si="81"/>
        <v>8.6759371680000009E-3</v>
      </c>
      <c r="DG125" s="910">
        <f t="shared" ca="1" si="82"/>
        <v>0.99547352429578406</v>
      </c>
      <c r="DH125" s="881">
        <f t="shared" ca="1" si="83"/>
        <v>8.6366657491977455E-3</v>
      </c>
      <c r="DI125" s="1460">
        <f t="shared" ca="1" si="124"/>
        <v>2.8155530342384649</v>
      </c>
      <c r="DJ125" s="909">
        <f>_xlfn.IFNA(INDEX('Resource use and costs'!$CQ$11:$CQ$53,MATCH($CZ125,'Resource use and costs'!$BA$11:$BA$53,0)),0)*_xlfn.IFNA(INDEX(DY$10:DY$23,MATCH($CZ125,$DX$10:$DX$23,0)),0)</f>
        <v>56693.786091428577</v>
      </c>
      <c r="DK125" s="909">
        <f>IF(dd_PartSA_2_lines = "Yes",0,_xlfn.IFNA(INDEX('Resource use and costs'!$CR$11:$CR$53,MATCH(DA125,'Resource use and costs'!$BA$11:$BA$53,0)),0)*_xlfn.IFNA(INDEX(EA$10:EA$23,MATCH($DA125,$DX$10:$DX$23,0)),0))</f>
        <v>24337.716731999997</v>
      </c>
      <c r="DL125" s="909">
        <f>IF(dd_PartSA_2_lines = "Yes",0,_xlfn.IFNA(INDEX('Resource use and costs'!$CS$11:$CS$53,MATCH(DB125,'Resource use and costs'!$BA$11:$BA$53,0)),0)*_xlfn.IFNA(INDEX(EC$10:EC$23,MATCH($DB125,$DX$10:$DX$23,0)),0))</f>
        <v>0</v>
      </c>
      <c r="DM125" s="909">
        <f t="shared" si="88"/>
        <v>81031.502823428571</v>
      </c>
      <c r="DN125" s="909">
        <f>SUM(_xlfn.IFNA(INDEX('Resource use and costs'!$DU$12:$DU$25,MATCH(CZ125,'Resource use and costs'!$DS$12:$DS$25,0)),0),_xlfn.IFNA(INDEX('Resource use and costs'!$DU$12:$DU$25,MATCH(DA125,'Resource use and costs'!$DS$12:$DS$25,0)),0),_xlfn.IFNA(INDEX('Resource use and costs'!$DU$12:$DU$25,MATCH(DB125,'Resource use and costs'!$DS$12:$DS$25,0)),0))</f>
        <v>197.25</v>
      </c>
      <c r="DO125" s="921">
        <f>_xlfn.IFNA(INDEX('Resource use and costs'!$DY$12:$DY$25,MATCH(CZ125,'Resource use and costs'!$DS$12:$DS$25,0)),0)*_xlfn.IFNA(INDEX(DY$10:DY$23,MATCH($CZ125,$DX$10:$DX$23,0)),0)</f>
        <v>8939.6605049142872</v>
      </c>
      <c r="DP125" s="921">
        <f>IF(dd_PartSA_2_lines = "Yes",0,_xlfn.IFNA(INDEX('Resource use and costs'!$DZ$12:$DZ$25,MATCH(DA125,'Resource use and costs'!$DS$12:$DS$25,0)),0)*_xlfn.IFNA(INDEX(EA$10:EA$23,MATCH($DA125,$DX$10:$DX$23,0)),0))</f>
        <v>363.04714285714283</v>
      </c>
      <c r="DQ125" s="921">
        <f>IF(dd_PartSA_2_lines = "Yes",0,_xlfn.IFNA(INDEX('Resource use and costs'!$EA$12:$EA$25,MATCH(DB125,'Resource use and costs'!$DS$12:$DS$25,0)),0)*_xlfn.IFNA(INDEX(EC$10:EC$23,MATCH($DB125,$DX$10:$DX$23,0)),0))</f>
        <v>0</v>
      </c>
      <c r="DR125" s="921">
        <f t="shared" si="89"/>
        <v>9499.9576477714309</v>
      </c>
      <c r="DS125" s="1004">
        <f ca="1">SUMIFS('Safety parameters'!$DM$6:$DM$18,'Safety parameters'!$DK$6:$DK$18,CZ125,'Safety parameters'!$DL$6:$DL$18,1)+IF(dd_PartSA_2_lines = "Yes",0,SUMIFS('Safety parameters'!$DM$6:$DM$18,'Safety parameters'!$DK$6:$DK$18,DA125,'Safety parameters'!$DL$6:$DL$18,2)+SUMIFS('Safety parameters'!$DM$6:$DM$18,'Safety parameters'!$DK$6:$DK$18,DB125,'Safety parameters'!$DL$6:$DL$18,2))</f>
        <v>942.87062078300573</v>
      </c>
      <c r="DT125" s="910">
        <f ca="1">SUMIFS('Safety parameters'!$DO$6:$DO$18,'Safety parameters'!$DK$6:$DK$18,CZ125,'Safety parameters'!$DL$6:$DL$18,1)+IF(dd_PartSA_2_lines = "Yes",0,SUMIFS('Safety parameters'!$DO$6:$DO$18,'Safety parameters'!$DK$6:$DK$18,DA125,'Safety parameters'!$DL$6:$DL$18,2)+SUMIFS('Safety parameters'!$DO$6:$DO$18,'Safety parameters'!$DK$6:$DK$18,DB125,'Safety parameters'!$DL$6:$DL$18,2))</f>
        <v>-9.6427506816154883E-3</v>
      </c>
    </row>
    <row r="126" spans="8:124" ht="15" x14ac:dyDescent="0.2">
      <c r="H126" s="4" t="s">
        <v>805</v>
      </c>
      <c r="I126" s="865" t="str">
        <v>cabozantinib_plus_nivolumab</v>
      </c>
      <c r="J126" s="1047">
        <f>CHOOSE(i_sub_txt_prop_num,0.06,J129)</f>
        <v>2.2499999999999999E-2</v>
      </c>
      <c r="K126" s="918"/>
      <c r="L126" s="918"/>
      <c r="M126" s="918"/>
      <c r="N126" s="918"/>
      <c r="O126" s="1046">
        <f>CHOOSE(i_sub_txt_prop_num,0.09059,O129)</f>
        <v>0</v>
      </c>
      <c r="P126" s="1047">
        <f>CHOOSE(i_sub_txt_prop_num,0,P129)</f>
        <v>4.4999999999999998E-2</v>
      </c>
      <c r="Q126" s="1047">
        <f>CHOOSE(i_sub_txt_prop_num,0.13,Q129)</f>
        <v>3.3700000000000001E-2</v>
      </c>
      <c r="R126" s="1046">
        <f>CHOOSE(i_sub_txt_prop_num,0.02475,0)</f>
        <v>0</v>
      </c>
      <c r="S126" s="1047">
        <f>CHOOSE(i_sub_txt_prop_num,0.0375,S129+R129)</f>
        <v>0.57320000000000004</v>
      </c>
      <c r="T126" s="1046">
        <f>CHOOSE(i_sub_txt_prop_num,0.07426,T129)</f>
        <v>0</v>
      </c>
      <c r="U126" s="1046">
        <f>CHOOSE(i_sub_txt_prop_num,0.20593,U129)</f>
        <v>0</v>
      </c>
      <c r="V126" s="1046">
        <f>CHOOSE(i_sub_txt_prop_num,0%,V129)</f>
        <v>0</v>
      </c>
      <c r="W126" s="1047">
        <f>IF(X126&lt;&gt;0,CHOOSE(i_sub_txt_prop_num,1-SUM(J126:V126),0.381456),1)</f>
        <v>0.38145600000000002</v>
      </c>
      <c r="X126" s="917">
        <f t="shared" si="157"/>
        <v>0.67440000000000011</v>
      </c>
      <c r="CK126" s="61" t="s">
        <v>31</v>
      </c>
      <c r="CL126" s="61">
        <v>2</v>
      </c>
      <c r="CM126" s="61" t="str">
        <v>pazopanib</v>
      </c>
      <c r="CN126" s="17">
        <v>5</v>
      </c>
      <c r="CO126" s="61" t="str" cm="1">
        <f t="array" ref="CO126">INDEX(List_comparators,CP125+1)</f>
        <v>pazopanib</v>
      </c>
      <c r="CP126" s="17">
        <v>5</v>
      </c>
      <c r="CQ126" s="601">
        <f t="shared" ca="1" si="152"/>
        <v>0</v>
      </c>
      <c r="CR126" s="601">
        <f t="shared" ca="1" si="153"/>
        <v>0</v>
      </c>
      <c r="CS126" s="669">
        <f t="shared" ca="1" si="155"/>
        <v>43.50714285714286</v>
      </c>
      <c r="CT126" s="669">
        <f t="shared" ca="1" si="154"/>
        <v>12.288571428571426</v>
      </c>
      <c r="CU126" s="1123">
        <f>MATCH(CZ126,'Resource use and costs'!$BA$11:$BA$53,0)</f>
        <v>40</v>
      </c>
      <c r="CV126" s="1223"/>
      <c r="CW126" s="1241">
        <f t="shared" si="87"/>
        <v>1</v>
      </c>
      <c r="CX126" s="899" t="s">
        <v>764</v>
      </c>
      <c r="CY126" s="899" t="s">
        <v>319</v>
      </c>
      <c r="CZ126" s="899" t="s">
        <v>327</v>
      </c>
      <c r="DA126" s="899" t="s">
        <v>765</v>
      </c>
      <c r="DB126" s="899"/>
      <c r="DC126" s="899" cm="1">
        <f t="array" aca="1" ref="DC126" ca="1">_xlfn.IFNA(OFFSET($I$49,MATCH(CY126,$I$50:$I$63,0),MATCH(CZ126,TRANSPOSE($J$49:$W$49),0)),0)</f>
        <v>2.9560979095944254E-2</v>
      </c>
      <c r="DD126" s="899" cm="1">
        <f t="array" aca="1" ref="DD126" ca="1">_xlfn.IFNA(OFFSET($Y$49,MATCH($CZ126,$Y$50:$Y$63,0),MATCH($DA126,TRANSPOSE($Z$49:$AM$49),0)),0)</f>
        <v>0.34300000000000003</v>
      </c>
      <c r="DE126" s="899" cm="1">
        <f t="array" aca="1" ref="DE126" ca="1">_xlfn.IFNA(OFFSET($AO$49,MATCH($DA126,$AO$50:$AO$63,0),MATCH($DB126,TRANSPOSE($AP$49:$BC$49),0)),0)</f>
        <v>0</v>
      </c>
      <c r="DF126" s="881">
        <f t="shared" ca="1" si="81"/>
        <v>1.013941582990888E-2</v>
      </c>
      <c r="DG126" s="910">
        <f t="shared" ca="1" si="82"/>
        <v>0.98859556831386541</v>
      </c>
      <c r="DH126" s="881">
        <f t="shared" ca="1" si="83"/>
        <v>1.0023781554739373E-2</v>
      </c>
      <c r="DI126" s="1460">
        <f t="shared" ref="DI126:DI162" ca="1" si="158">104*DH126</f>
        <v>1.0424732816928948</v>
      </c>
      <c r="DJ126" s="909">
        <f>_xlfn.IFNA(INDEX('Resource use and costs'!$CQ$11:$CQ$53,MATCH($CZ126,'Resource use and costs'!$BA$11:$BA$53,0)),0)*_xlfn.IFNA(INDEX(DY$10:DY$23,MATCH($CZ126,$DX$10:$DX$23,0)),0)</f>
        <v>19241.032205</v>
      </c>
      <c r="DK126" s="909">
        <f>IF(dd_PartSA_2_lines = "Yes",0,_xlfn.IFNA(INDEX('Resource use and costs'!$CR$11:$CR$53,MATCH(DA126,'Resource use and costs'!$BA$11:$BA$53,0)),0)*_xlfn.IFNA(INDEX(EA$10:EA$23,MATCH($DA126,$DX$10:$DX$23,0)),0))</f>
        <v>0</v>
      </c>
      <c r="DL126" s="909">
        <f>IF(dd_PartSA_2_lines = "Yes",0,_xlfn.IFNA(INDEX('Resource use and costs'!$CS$11:$CS$53,MATCH(DB126,'Resource use and costs'!$BA$11:$BA$53,0)),0)*_xlfn.IFNA(INDEX(EC$10:EC$23,MATCH($DB126,$DX$10:$DX$23,0)),0))</f>
        <v>0</v>
      </c>
      <c r="DM126" s="909">
        <f t="shared" si="88"/>
        <v>19241.032205</v>
      </c>
      <c r="DN126" s="909">
        <f>SUM(_xlfn.IFNA(INDEX('Resource use and costs'!$DU$12:$DU$25,MATCH(CZ126,'Resource use and costs'!$DS$12:$DS$25,0)),0),_xlfn.IFNA(INDEX('Resource use and costs'!$DU$12:$DU$25,MATCH(DA126,'Resource use and costs'!$DS$12:$DS$25,0)),0),_xlfn.IFNA(INDEX('Resource use and costs'!$DU$12:$DU$25,MATCH(DB126,'Resource use and costs'!$DS$12:$DS$25,0)),0))</f>
        <v>197.25</v>
      </c>
      <c r="DO126" s="921">
        <f>_xlfn.IFNA(INDEX('Resource use and costs'!$DY$12:$DY$25,MATCH(CZ126,'Resource use and costs'!$DS$12:$DS$25,0)),0)*_xlfn.IFNA(INDEX(DY$10:DY$23,MATCH($CZ126,$DX$10:$DX$23,0)),0)</f>
        <v>240.71806000000001</v>
      </c>
      <c r="DP126" s="921">
        <f>IF(dd_PartSA_2_lines = "Yes",0,_xlfn.IFNA(INDEX('Resource use and costs'!$DZ$12:$DZ$25,MATCH(DA126,'Resource use and costs'!$DS$12:$DS$25,0)),0)*_xlfn.IFNA(INDEX(EA$10:EA$23,MATCH($DA126,$DX$10:$DX$23,0)),0))</f>
        <v>0</v>
      </c>
      <c r="DQ126" s="921">
        <f>IF(dd_PartSA_2_lines = "Yes",0,_xlfn.IFNA(INDEX('Resource use and costs'!$EA$12:$EA$25,MATCH(DB126,'Resource use and costs'!$DS$12:$DS$25,0)),0)*_xlfn.IFNA(INDEX(EC$10:EC$23,MATCH($DB126,$DX$10:$DX$23,0)),0))</f>
        <v>0</v>
      </c>
      <c r="DR126" s="921">
        <f t="shared" si="89"/>
        <v>437.96806000000004</v>
      </c>
      <c r="DS126" s="1004">
        <f>SUMIFS('Safety parameters'!$DM$6:$DM$18,'Safety parameters'!$DK$6:$DK$18,CZ126,'Safety parameters'!$DL$6:$DL$18,1)+IF(dd_PartSA_2_lines = "Yes",0,SUMIFS('Safety parameters'!$DM$6:$DM$18,'Safety parameters'!$DK$6:$DK$18,DA126,'Safety parameters'!$DL$6:$DL$18,2)+SUMIFS('Safety parameters'!$DM$6:$DM$18,'Safety parameters'!$DK$6:$DK$18,DB126,'Safety parameters'!$DL$6:$DL$18,2))</f>
        <v>0</v>
      </c>
      <c r="DT126" s="910">
        <f>SUMIFS('Safety parameters'!$DO$6:$DO$18,'Safety parameters'!$DK$6:$DK$18,CZ126,'Safety parameters'!$DL$6:$DL$18,1)+IF(dd_PartSA_2_lines = "Yes",0,SUMIFS('Safety parameters'!$DO$6:$DO$18,'Safety parameters'!$DK$6:$DK$18,DA126,'Safety parameters'!$DL$6:$DL$18,2)+SUMIFS('Safety parameters'!$DO$6:$DO$18,'Safety parameters'!$DK$6:$DK$18,DB126,'Safety parameters'!$DL$6:$DL$18,2))</f>
        <v>0</v>
      </c>
    </row>
    <row r="127" spans="8:124" ht="15" x14ac:dyDescent="0.2">
      <c r="I127" s="865" t="str">
        <v>nivolumab_plus_ipilimumab</v>
      </c>
      <c r="J127" s="1046">
        <f>CHOOSE(i_sub_txt_prop_num,0.08175,0)</f>
        <v>0</v>
      </c>
      <c r="K127" s="912"/>
      <c r="L127" s="912"/>
      <c r="M127" s="912"/>
      <c r="N127" s="912"/>
      <c r="O127" s="1020">
        <f>CHOOSE(i_sub_txt_prop_num,0.12,0.044)</f>
        <v>4.3999999999999997E-2</v>
      </c>
      <c r="P127" s="1020">
        <f>CHOOSE(i_sub_txt_prop_num,0.001,0.0879)</f>
        <v>8.7900000000000006E-2</v>
      </c>
      <c r="Q127" s="1020">
        <f>CHOOSE(i_sub_txt_prop_num,0.15,0.0733)</f>
        <v>7.3300000000000004E-2</v>
      </c>
      <c r="R127" s="1020">
        <f>CHOOSE(i_sub_txt_prop_num,0.055,0.42583)</f>
        <v>0.42582999999999999</v>
      </c>
      <c r="S127" s="1046">
        <f>CHOOSE(i_sub_txt_prop_num,0.01195,0%)</f>
        <v>0</v>
      </c>
      <c r="T127" s="1046">
        <f>CHOOSE(i_sub_txt_prop_num,0.05945,0)</f>
        <v>0</v>
      </c>
      <c r="U127" s="1020">
        <f>CHOOSE(i_sub_txt_prop_num,0.08,0.0049)</f>
        <v>4.8999999999999998E-3</v>
      </c>
      <c r="V127" s="1046">
        <f>CHOOSE(i_sub_txt_prop_num,0,0)</f>
        <v>0</v>
      </c>
      <c r="W127" s="1463">
        <f>IF(X127&lt;&gt;0,CHOOSE(i_sub_txt_prop_num,1-SUM(J126:V126),0.3257),1)</f>
        <v>0.32569999999999999</v>
      </c>
      <c r="X127" s="917">
        <f t="shared" si="157"/>
        <v>0.63593</v>
      </c>
      <c r="CK127" s="61" t="s">
        <v>31</v>
      </c>
      <c r="CL127" s="61">
        <v>2</v>
      </c>
      <c r="CM127" s="61" t="str">
        <v>tivozanib</v>
      </c>
      <c r="CN127" s="17">
        <v>6</v>
      </c>
      <c r="CO127" s="61" t="str" cm="1">
        <f t="array" ref="CO127">INDEX(List_comparators,CP126+1)</f>
        <v>pazopanib</v>
      </c>
      <c r="CP127" s="17">
        <v>5</v>
      </c>
      <c r="CQ127" s="601">
        <f t="shared" ca="1" si="152"/>
        <v>0</v>
      </c>
      <c r="CR127" s="601">
        <f t="shared" ca="1" si="153"/>
        <v>0</v>
      </c>
      <c r="CS127" s="669">
        <f t="shared" ca="1" si="155"/>
        <v>43.50714285714286</v>
      </c>
      <c r="CT127" s="669">
        <f t="shared" ca="1" si="154"/>
        <v>12.288571428571426</v>
      </c>
      <c r="CU127" s="1123">
        <f>MATCH(CZ127,'Resource use and costs'!$BA$11:$BA$53,0)</f>
        <v>40</v>
      </c>
      <c r="CV127" s="1223"/>
      <c r="CW127" s="1241">
        <f t="shared" si="87"/>
        <v>1</v>
      </c>
      <c r="CX127" s="899" t="s">
        <v>764</v>
      </c>
      <c r="CY127" s="899" t="s">
        <v>319</v>
      </c>
      <c r="CZ127" s="899" t="s">
        <v>327</v>
      </c>
      <c r="DA127" s="899" t="s">
        <v>118</v>
      </c>
      <c r="DB127" s="899" t="s">
        <v>765</v>
      </c>
      <c r="DC127" s="899" cm="1">
        <f t="array" aca="1" ref="DC127" ca="1">_xlfn.IFNA(OFFSET($I$49,MATCH(CY127,$I$50:$I$63,0),MATCH(CZ127,TRANSPOSE($J$49:$W$49),0)),0)</f>
        <v>2.9560979095944254E-2</v>
      </c>
      <c r="DD127" s="899" cm="1">
        <f t="array" aca="1" ref="DD127" ca="1">_xlfn.IFNA(OFFSET($Y$49,MATCH($CZ127,$Y$50:$Y$63,0),MATCH($DA127,TRANSPOSE($Z$49:$AM$49),0)),0)</f>
        <v>0.32850000000000001</v>
      </c>
      <c r="DE127" s="899" cm="1">
        <f t="array" aca="1" ref="DE127" ca="1">_xlfn.IFNA(OFFSET($AO$49,MATCH($DA127,$AO$50:$AO$63,0),MATCH($DB127,TRANSPOSE($AP$49:$BC$49),0)),0)</f>
        <v>0.43140000000000001</v>
      </c>
      <c r="DF127" s="881">
        <f t="shared" ca="1" si="81"/>
        <v>4.1892311964838308E-3</v>
      </c>
      <c r="DG127" s="910">
        <f t="shared" ca="1" si="82"/>
        <v>0.98859556831386541</v>
      </c>
      <c r="DH127" s="881">
        <f t="shared" ca="1" si="83"/>
        <v>4.141455395486107E-3</v>
      </c>
      <c r="DI127" s="1460">
        <f t="shared" ca="1" si="158"/>
        <v>0.43071136113055514</v>
      </c>
      <c r="DJ127" s="909">
        <f>_xlfn.IFNA(INDEX('Resource use and costs'!$CQ$11:$CQ$53,MATCH($CZ127,'Resource use and costs'!$BA$11:$BA$53,0)),0)*_xlfn.IFNA(INDEX(DY$10:DY$23,MATCH($CZ127,$DX$10:$DX$23,0)),0)</f>
        <v>19241.032205</v>
      </c>
      <c r="DK127" s="909">
        <f>IF(dd_PartSA_2_lines = "Yes",0,_xlfn.IFNA(INDEX('Resource use and costs'!$CR$11:$CR$53,MATCH(DA127,'Resource use and costs'!$BA$11:$BA$53,0)),0)*_xlfn.IFNA(INDEX(EA$10:EA$23,MATCH($DA127,$DX$10:$DX$23,0)),0))</f>
        <v>50308.075122000002</v>
      </c>
      <c r="DL127" s="909">
        <f>IF(dd_PartSA_2_lines = "Yes",0,_xlfn.IFNA(INDEX('Resource use and costs'!$CS$11:$CS$53,MATCH(DB127,'Resource use and costs'!$BA$11:$BA$53,0)),0)*_xlfn.IFNA(INDEX(EC$10:EC$23,MATCH($DB127,$DX$10:$DX$23,0)),0))</f>
        <v>0</v>
      </c>
      <c r="DM127" s="909">
        <f t="shared" si="88"/>
        <v>69549.107327000005</v>
      </c>
      <c r="DN127" s="909">
        <f>SUM(_xlfn.IFNA(INDEX('Resource use and costs'!$DU$12:$DU$25,MATCH(CZ127,'Resource use and costs'!$DS$12:$DS$25,0)),0),_xlfn.IFNA(INDEX('Resource use and costs'!$DU$12:$DU$25,MATCH(DA127,'Resource use and costs'!$DS$12:$DS$25,0)),0),_xlfn.IFNA(INDEX('Resource use and costs'!$DU$12:$DU$25,MATCH(DB127,'Resource use and costs'!$DS$12:$DS$25,0)),0))</f>
        <v>394.5</v>
      </c>
      <c r="DO127" s="921">
        <f>_xlfn.IFNA(INDEX('Resource use and costs'!$DY$12:$DY$25,MATCH(CZ127,'Resource use and costs'!$DS$12:$DS$25,0)),0)*_xlfn.IFNA(INDEX(DY$10:DY$23,MATCH($CZ127,$DX$10:$DX$23,0)),0)</f>
        <v>240.71806000000001</v>
      </c>
      <c r="DP127" s="921">
        <f>IF(dd_PartSA_2_lines = "Yes",0,_xlfn.IFNA(INDEX('Resource use and costs'!$DZ$12:$DZ$25,MATCH(DA127,'Resource use and costs'!$DS$12:$DS$25,0)),0)*_xlfn.IFNA(INDEX(EA$10:EA$23,MATCH($DA127,$DX$10:$DX$23,0)),0))</f>
        <v>461.1445457142857</v>
      </c>
      <c r="DQ127" s="921">
        <f>IF(dd_PartSA_2_lines = "Yes",0,_xlfn.IFNA(INDEX('Resource use and costs'!$EA$12:$EA$25,MATCH(DB127,'Resource use and costs'!$DS$12:$DS$25,0)),0)*_xlfn.IFNA(INDEX(EC$10:EC$23,MATCH($DB127,$DX$10:$DX$23,0)),0))</f>
        <v>0</v>
      </c>
      <c r="DR127" s="921">
        <f t="shared" si="89"/>
        <v>1096.3626057142858</v>
      </c>
      <c r="DS127" s="1004">
        <f ca="1">SUMIFS('Safety parameters'!$DM$6:$DM$18,'Safety parameters'!$DK$6:$DK$18,CZ127,'Safety parameters'!$DL$6:$DL$18,1)+IF(dd_PartSA_2_lines = "Yes",0,SUMIFS('Safety parameters'!$DM$6:$DM$18,'Safety parameters'!$DK$6:$DK$18,DA127,'Safety parameters'!$DL$6:$DL$18,2)+SUMIFS('Safety parameters'!$DM$6:$DM$18,'Safety parameters'!$DK$6:$DK$18,DB127,'Safety parameters'!$DL$6:$DL$18,2))</f>
        <v>743.64929980338343</v>
      </c>
      <c r="DT127" s="910">
        <f ca="1">SUMIFS('Safety parameters'!$DO$6:$DO$18,'Safety parameters'!$DK$6:$DK$18,CZ127,'Safety parameters'!$DL$6:$DL$18,1)+IF(dd_PartSA_2_lines = "Yes",0,SUMIFS('Safety parameters'!$DO$6:$DO$18,'Safety parameters'!$DK$6:$DK$18,DA127,'Safety parameters'!$DL$6:$DL$18,2)+SUMIFS('Safety parameters'!$DO$6:$DO$18,'Safety parameters'!$DK$6:$DK$18,DB127,'Safety parameters'!$DL$6:$DL$18,2))</f>
        <v>-7.0223263562359372E-3</v>
      </c>
    </row>
    <row r="128" spans="8:124" ht="15" x14ac:dyDescent="0.2">
      <c r="H128" s="4" t="s">
        <v>806</v>
      </c>
      <c r="I128" s="865" t="str">
        <v>lenvatinib_plus_pembrolizumab</v>
      </c>
      <c r="J128" s="1020">
        <f>CHOOSE(i_sub_txt_prop_num,0.06256,J129)</f>
        <v>2.2499999999999999E-2</v>
      </c>
      <c r="K128" s="912"/>
      <c r="L128" s="912"/>
      <c r="M128" s="912"/>
      <c r="N128" s="912"/>
      <c r="O128" s="1046">
        <f>CHOOSE(i_sub_txt_prop_num,0.02234,O129)</f>
        <v>0</v>
      </c>
      <c r="P128" s="1020">
        <f>CHOOSE(i_sub_txt_prop_num,0.0015,P129)</f>
        <v>4.4999999999999998E-2</v>
      </c>
      <c r="Q128" s="1020">
        <f>CHOOSE(i_sub_txt_prop_num,0.04,Q129)</f>
        <v>3.3700000000000001E-2</v>
      </c>
      <c r="R128" s="1020">
        <f>CHOOSE(i_sub_txt_prop_num,0.1225,R129+S129)</f>
        <v>0.57320000000000004</v>
      </c>
      <c r="S128" s="1046">
        <f>CHOOSE(i_sub_txt_prop_num,0,0)</f>
        <v>0</v>
      </c>
      <c r="T128" s="1046">
        <f>CHOOSE(i_sub_txt_prop_num,0.06479,T129)</f>
        <v>0</v>
      </c>
      <c r="U128" s="1046">
        <f>CHOOSE(i_sub_txt_prop_num,0.04022,U129)</f>
        <v>0</v>
      </c>
      <c r="V128" s="1046">
        <f>CHOOSE(i_sub_txt_prop_num,0,V129)</f>
        <v>0</v>
      </c>
      <c r="W128" s="1463">
        <f>IF(X128&lt;&gt;0,CHOOSE(i_sub_txt_prop_num,1-SUM(J126:V126),0.381456),1)</f>
        <v>0.38145600000000002</v>
      </c>
      <c r="X128" s="917">
        <f t="shared" si="157"/>
        <v>0.67440000000000011</v>
      </c>
      <c r="CK128" s="61" t="s">
        <v>31</v>
      </c>
      <c r="CL128" s="61">
        <v>2</v>
      </c>
      <c r="CM128" s="61" t="str">
        <v>sunitinib</v>
      </c>
      <c r="CN128" s="17">
        <v>7</v>
      </c>
      <c r="CO128" s="61" t="str" cm="1">
        <f t="array" ref="CO128">INDEX(List_comparators,CP127+1)</f>
        <v>pazopanib</v>
      </c>
      <c r="CP128" s="17">
        <v>5</v>
      </c>
      <c r="CQ128" s="601">
        <f t="shared" ca="1" si="152"/>
        <v>3.700000000000001E-3</v>
      </c>
      <c r="CR128" s="601">
        <f t="shared" ca="1" si="153"/>
        <v>3.700000000000001E-4</v>
      </c>
      <c r="CS128" s="669">
        <f t="shared" ca="1" si="155"/>
        <v>43.50714285714286</v>
      </c>
      <c r="CT128" s="669">
        <f t="shared" ca="1" si="154"/>
        <v>12.288571428571426</v>
      </c>
      <c r="CU128" s="1123">
        <f>MATCH(CZ128,'Resource use and costs'!$BA$11:$BA$53,0)</f>
        <v>40</v>
      </c>
      <c r="CV128" s="1223"/>
      <c r="CW128" s="1241">
        <f t="shared" si="87"/>
        <v>1</v>
      </c>
      <c r="CX128" s="899" t="s">
        <v>764</v>
      </c>
      <c r="CY128" s="899" t="s">
        <v>319</v>
      </c>
      <c r="CZ128" s="899" t="s">
        <v>327</v>
      </c>
      <c r="DA128" s="899" t="s">
        <v>118</v>
      </c>
      <c r="DB128" s="899" t="s">
        <v>119</v>
      </c>
      <c r="DC128" s="899" cm="1">
        <f t="array" aca="1" ref="DC128" ca="1">_xlfn.IFNA(OFFSET($I$49,MATCH(CY128,$I$50:$I$63,0),MATCH(CZ128,TRANSPOSE($J$49:$W$49),0)),0)</f>
        <v>2.9560979095944254E-2</v>
      </c>
      <c r="DD128" s="899" cm="1">
        <f t="array" aca="1" ref="DD128" ca="1">_xlfn.IFNA(OFFSET($Y$49,MATCH($CZ128,$Y$50:$Y$63,0),MATCH($DA128,TRANSPOSE($Z$49:$AM$49),0)),0)</f>
        <v>0.32850000000000001</v>
      </c>
      <c r="DE128" s="899">
        <f ca="1">1-DE127</f>
        <v>0.56859999999999999</v>
      </c>
      <c r="DF128" s="881">
        <f t="shared" ca="1" si="81"/>
        <v>5.5215504365338577E-3</v>
      </c>
      <c r="DG128" s="910">
        <f t="shared" ca="1" si="82"/>
        <v>0.98859556831386541</v>
      </c>
      <c r="DH128" s="881">
        <f t="shared" ca="1" si="83"/>
        <v>5.4585802917788608E-3</v>
      </c>
      <c r="DI128" s="1460">
        <f t="shared" ca="1" si="158"/>
        <v>0.56769235034500154</v>
      </c>
      <c r="DJ128" s="909">
        <f>_xlfn.IFNA(INDEX('Resource use and costs'!$CQ$11:$CQ$53,MATCH($CZ128,'Resource use and costs'!$BA$11:$BA$53,0)),0)*_xlfn.IFNA(INDEX(DY$10:DY$23,MATCH($CZ128,$DX$10:$DX$23,0)),0)</f>
        <v>19241.032205</v>
      </c>
      <c r="DK128" s="909">
        <f>IF(dd_PartSA_2_lines = "Yes",0,_xlfn.IFNA(INDEX('Resource use and costs'!$CR$11:$CR$53,MATCH(DA128,'Resource use and costs'!$BA$11:$BA$53,0)),0)*_xlfn.IFNA(INDEX(EA$10:EA$23,MATCH($DA128,$DX$10:$DX$23,0)),0))</f>
        <v>50308.075122000002</v>
      </c>
      <c r="DL128" s="909">
        <f>IF(dd_PartSA_2_lines = "Yes",0,_xlfn.IFNA(INDEX('Resource use and costs'!$CS$11:$CS$53,MATCH(DB128,'Resource use and costs'!$BA$11:$BA$53,0)),0)*_xlfn.IFNA(INDEX(EC$10:EC$23,MATCH($DB128,$DX$10:$DX$23,0)),0))</f>
        <v>2915.4763433333328</v>
      </c>
      <c r="DM128" s="909">
        <f t="shared" si="88"/>
        <v>72464.583670333333</v>
      </c>
      <c r="DN128" s="909">
        <f>SUM(_xlfn.IFNA(INDEX('Resource use and costs'!$DU$12:$DU$25,MATCH(CZ128,'Resource use and costs'!$DS$12:$DS$25,0)),0),_xlfn.IFNA(INDEX('Resource use and costs'!$DU$12:$DU$25,MATCH(DA128,'Resource use and costs'!$DS$12:$DS$25,0)),0),_xlfn.IFNA(INDEX('Resource use and costs'!$DU$12:$DU$25,MATCH(DB128,'Resource use and costs'!$DS$12:$DS$25,0)),0))</f>
        <v>591.75</v>
      </c>
      <c r="DO128" s="921">
        <f>_xlfn.IFNA(INDEX('Resource use and costs'!$DY$12:$DY$25,MATCH(CZ128,'Resource use and costs'!$DS$12:$DS$25,0)),0)*_xlfn.IFNA(INDEX(DY$10:DY$23,MATCH($CZ128,$DX$10:$DX$23,0)),0)</f>
        <v>240.71806000000001</v>
      </c>
      <c r="DP128" s="921">
        <f>IF(dd_PartSA_2_lines = "Yes",0,_xlfn.IFNA(INDEX('Resource use and costs'!$DZ$12:$DZ$25,MATCH(DA128,'Resource use and costs'!$DS$12:$DS$25,0)),0)*_xlfn.IFNA(INDEX(EA$10:EA$23,MATCH($DA128,$DX$10:$DX$23,0)),0))</f>
        <v>461.1445457142857</v>
      </c>
      <c r="DQ128" s="921">
        <f>IF(dd_PartSA_2_lines = "Yes",0,_xlfn.IFNA(INDEX('Resource use and costs'!$EA$12:$EA$25,MATCH(DB128,'Resource use and costs'!$DS$12:$DS$25,0)),0)*_xlfn.IFNA(INDEX(EC$10:EC$23,MATCH($DB128,$DX$10:$DX$23,0)),0))</f>
        <v>256.11457142857142</v>
      </c>
      <c r="DR128" s="921">
        <f t="shared" si="89"/>
        <v>1549.7271771428573</v>
      </c>
      <c r="DS128" s="1004">
        <f ca="1">SUMIFS('Safety parameters'!$DM$6:$DM$18,'Safety parameters'!$DK$6:$DK$18,CZ128,'Safety parameters'!$DL$6:$DL$18,1)+IF(dd_PartSA_2_lines = "Yes",0,SUMIFS('Safety parameters'!$DM$6:$DM$18,'Safety parameters'!$DK$6:$DK$18,DA128,'Safety parameters'!$DL$6:$DL$18,2)+SUMIFS('Safety parameters'!$DM$6:$DM$18,'Safety parameters'!$DK$6:$DK$18,DB128,'Safety parameters'!$DL$6:$DL$18,2))</f>
        <v>1076.5246831786983</v>
      </c>
      <c r="DT128" s="910">
        <f ca="1">SUMIFS('Safety parameters'!$DO$6:$DO$18,'Safety parameters'!$DK$6:$DK$18,CZ128,'Safety parameters'!$DL$6:$DL$18,1)+IF(dd_PartSA_2_lines = "Yes",0,SUMIFS('Safety parameters'!$DO$6:$DO$18,'Safety parameters'!$DK$6:$DK$18,DA128,'Safety parameters'!$DL$6:$DL$18,2)+SUMIFS('Safety parameters'!$DO$6:$DO$18,'Safety parameters'!$DK$6:$DK$18,DB128,'Safety parameters'!$DL$6:$DL$18,2))</f>
        <v>-9.689899892873657E-3</v>
      </c>
    </row>
    <row r="129" spans="9:124" ht="15" x14ac:dyDescent="0.2">
      <c r="I129" s="865" t="str">
        <v>avelumab_plus_axitinib</v>
      </c>
      <c r="J129" s="1020">
        <f>CHOOSE(i_sub_txt_prop_num,0.0595,0.0225)</f>
        <v>2.2499999999999999E-2</v>
      </c>
      <c r="K129" s="912"/>
      <c r="L129" s="912"/>
      <c r="M129" s="912"/>
      <c r="N129" s="912"/>
      <c r="O129" s="1046">
        <f>CHOOSE(i_sub_txt_prop_num,0.02125,0%)</f>
        <v>0</v>
      </c>
      <c r="P129" s="1020">
        <f>CHOOSE(i_sub_txt_prop_num,0.0018,0.045)</f>
        <v>4.4999999999999998E-2</v>
      </c>
      <c r="Q129" s="1020">
        <f>CHOOSE(i_sub_txt_prop_num,0.045,0.0337)</f>
        <v>3.3700000000000001E-2</v>
      </c>
      <c r="R129" s="1020">
        <f>CHOOSE(i_sub_txt_prop_num,0.1175,0.3709)</f>
        <v>0.37090000000000001</v>
      </c>
      <c r="S129" s="1020">
        <f>CHOOSE(i_sub_txt_prop_num,0.03,0.2023)</f>
        <v>0.20230000000000001</v>
      </c>
      <c r="T129" s="1046">
        <f>CHOOSE(i_sub_txt_prop_num,0.06163,0)</f>
        <v>0</v>
      </c>
      <c r="U129" s="1046">
        <f>CHOOSE(i_sub_txt_prop_num,0.03825,0)</f>
        <v>0</v>
      </c>
      <c r="V129" s="1046">
        <f>CHOOSE(i_sub_txt_prop_num,0,0)</f>
        <v>0</v>
      </c>
      <c r="W129" s="1463">
        <f>IF(X129&lt;&gt;0,CHOOSE(i_sub_txt_prop_num,1-SUM(J126:V126),0.3256),1)</f>
        <v>0.3256</v>
      </c>
      <c r="X129" s="917">
        <f t="shared" si="157"/>
        <v>0.6744</v>
      </c>
      <c r="CK129" s="61" t="s">
        <v>31</v>
      </c>
      <c r="CL129" s="61">
        <v>2</v>
      </c>
      <c r="CM129" s="61" t="str">
        <v>cabozantinib</v>
      </c>
      <c r="CN129" s="17">
        <v>8</v>
      </c>
      <c r="CO129" s="61" t="str" cm="1">
        <f t="array" ref="CO129">INDEX(List_comparators,CP128+1)</f>
        <v>pazopanib</v>
      </c>
      <c r="CP129" s="17">
        <v>5</v>
      </c>
      <c r="CQ129" s="601">
        <f t="shared" ca="1" si="152"/>
        <v>0</v>
      </c>
      <c r="CR129" s="601">
        <f t="shared" ca="1" si="153"/>
        <v>0</v>
      </c>
      <c r="CS129" s="669">
        <f t="shared" ca="1" si="155"/>
        <v>43.50714285714286</v>
      </c>
      <c r="CT129" s="669">
        <f t="shared" ca="1" si="154"/>
        <v>12.288571428571426</v>
      </c>
      <c r="CU129" s="1123">
        <f>MATCH(CZ129,'Resource use and costs'!$BA$11:$BA$53,0)</f>
        <v>40</v>
      </c>
      <c r="CV129" s="1223"/>
      <c r="CW129" s="1241">
        <f t="shared" si="87"/>
        <v>1</v>
      </c>
      <c r="CX129" s="899" t="s">
        <v>764</v>
      </c>
      <c r="CY129" s="899" t="s">
        <v>319</v>
      </c>
      <c r="CZ129" s="899" t="s">
        <v>327</v>
      </c>
      <c r="DA129" s="899" t="s">
        <v>119</v>
      </c>
      <c r="DB129" s="899" t="s">
        <v>765</v>
      </c>
      <c r="DC129" s="899" cm="1">
        <f t="array" aca="1" ref="DC129" ca="1">_xlfn.IFNA(OFFSET($I$49,MATCH(CY129,$I$50:$I$63,0),MATCH(CZ129,TRANSPOSE($J$49:$W$49),0)),0)</f>
        <v>2.9560979095944254E-2</v>
      </c>
      <c r="DD129" s="899">
        <f ca="1">1-DD127-DD130</f>
        <v>0.34299999999999997</v>
      </c>
      <c r="DE129" s="899" cm="1">
        <f t="array" aca="1" ref="DE129" ca="1">_xlfn.IFNA(OFFSET($AO$49,MATCH($DA129,$AO$50:$AO$63,0),MATCH($DB129,TRANSPOSE($AP$49:$BC$49),0)),0)</f>
        <v>1</v>
      </c>
      <c r="DF129" s="881">
        <f t="shared" ca="1" si="81"/>
        <v>1.0139415829908878E-2</v>
      </c>
      <c r="DG129" s="910">
        <f t="shared" ca="1" si="82"/>
        <v>0.98859556831386541</v>
      </c>
      <c r="DH129" s="881">
        <f t="shared" ca="1" si="83"/>
        <v>1.0023781554739371E-2</v>
      </c>
      <c r="DI129" s="1460">
        <f t="shared" ca="1" si="158"/>
        <v>1.0424732816928945</v>
      </c>
      <c r="DJ129" s="909">
        <f>_xlfn.IFNA(INDEX('Resource use and costs'!$CQ$11:$CQ$53,MATCH($CZ129,'Resource use and costs'!$BA$11:$BA$53,0)),0)*_xlfn.IFNA(INDEX(DY$10:DY$23,MATCH($CZ129,$DX$10:$DX$23,0)),0)</f>
        <v>19241.032205</v>
      </c>
      <c r="DK129" s="909">
        <f>IF(dd_PartSA_2_lines = "Yes",0,_xlfn.IFNA(INDEX('Resource use and costs'!$CR$11:$CR$53,MATCH(DA129,'Resource use and costs'!$BA$11:$BA$53,0)),0)*_xlfn.IFNA(INDEX(EA$10:EA$23,MATCH($DA129,$DX$10:$DX$23,0)),0))</f>
        <v>848.17532499999982</v>
      </c>
      <c r="DL129" s="909">
        <f>IF(dd_PartSA_2_lines = "Yes",0,_xlfn.IFNA(INDEX('Resource use and costs'!$CS$11:$CS$53,MATCH(DB129,'Resource use and costs'!$BA$11:$BA$53,0)),0)*_xlfn.IFNA(INDEX(EC$10:EC$23,MATCH($DB129,$DX$10:$DX$23,0)),0))</f>
        <v>0</v>
      </c>
      <c r="DM129" s="909">
        <f t="shared" si="88"/>
        <v>20089.20753</v>
      </c>
      <c r="DN129" s="909">
        <f>SUM(_xlfn.IFNA(INDEX('Resource use and costs'!$DU$12:$DU$25,MATCH(CZ129,'Resource use and costs'!$DS$12:$DS$25,0)),0),_xlfn.IFNA(INDEX('Resource use and costs'!$DU$12:$DU$25,MATCH(DA129,'Resource use and costs'!$DS$12:$DS$25,0)),0),_xlfn.IFNA(INDEX('Resource use and costs'!$DU$12:$DU$25,MATCH(DB129,'Resource use and costs'!$DS$12:$DS$25,0)),0))</f>
        <v>394.5</v>
      </c>
      <c r="DO129" s="921">
        <f>_xlfn.IFNA(INDEX('Resource use and costs'!$DY$12:$DY$25,MATCH(CZ129,'Resource use and costs'!$DS$12:$DS$25,0)),0)*_xlfn.IFNA(INDEX(DY$10:DY$23,MATCH($CZ129,$DX$10:$DX$23,0)),0)</f>
        <v>240.71806000000001</v>
      </c>
      <c r="DP129" s="921">
        <f>IF(dd_PartSA_2_lines = "Yes",0,_xlfn.IFNA(INDEX('Resource use and costs'!$DZ$12:$DZ$25,MATCH(DA129,'Resource use and costs'!$DS$12:$DS$25,0)),0)*_xlfn.IFNA(INDEX(EA$10:EA$23,MATCH($DA129,$DX$10:$DX$23,0)),0))</f>
        <v>74.50928571428571</v>
      </c>
      <c r="DQ129" s="921">
        <f>IF(dd_PartSA_2_lines = "Yes",0,_xlfn.IFNA(INDEX('Resource use and costs'!$EA$12:$EA$25,MATCH(DB129,'Resource use and costs'!$DS$12:$DS$25,0)),0)*_xlfn.IFNA(INDEX(EC$10:EC$23,MATCH($DB129,$DX$10:$DX$23,0)),0))</f>
        <v>0</v>
      </c>
      <c r="DR129" s="921">
        <f t="shared" si="89"/>
        <v>709.72734571428578</v>
      </c>
      <c r="DS129" s="1004">
        <f ca="1">SUMIFS('Safety parameters'!$DM$6:$DM$18,'Safety parameters'!$DK$6:$DK$18,CZ129,'Safety parameters'!$DL$6:$DL$18,1)+IF(dd_PartSA_2_lines = "Yes",0,SUMIFS('Safety parameters'!$DM$6:$DM$18,'Safety parameters'!$DK$6:$DK$18,DA129,'Safety parameters'!$DL$6:$DL$18,2)+SUMIFS('Safety parameters'!$DM$6:$DM$18,'Safety parameters'!$DK$6:$DK$18,DB129,'Safety parameters'!$DL$6:$DL$18,2))</f>
        <v>332.87538337531487</v>
      </c>
      <c r="DT129" s="910">
        <f ca="1">SUMIFS('Safety parameters'!$DO$6:$DO$18,'Safety parameters'!$DK$6:$DK$18,CZ129,'Safety parameters'!$DL$6:$DL$18,1)+IF(dd_PartSA_2_lines = "Yes",0,SUMIFS('Safety parameters'!$DO$6:$DO$18,'Safety parameters'!$DK$6:$DK$18,DA129,'Safety parameters'!$DL$6:$DL$18,2)+SUMIFS('Safety parameters'!$DO$6:$DO$18,'Safety parameters'!$DK$6:$DK$18,DB129,'Safety parameters'!$DL$6:$DL$18,2))</f>
        <v>-2.6675735366377194E-3</v>
      </c>
    </row>
    <row r="130" spans="9:124" ht="15" x14ac:dyDescent="0.2">
      <c r="I130" s="865" t="str">
        <v>pazopanib</v>
      </c>
      <c r="J130" s="1020">
        <f>CHOOSE(i_sub_txt_prop_num,0.44322,0.3697)</f>
        <v>0.36969999999999997</v>
      </c>
      <c r="K130" s="912"/>
      <c r="L130" s="912"/>
      <c r="M130" s="912"/>
      <c r="N130" s="912"/>
      <c r="O130" s="1046">
        <f>CHOOSE(i_sub_txt_prop_num,0,0)</f>
        <v>0</v>
      </c>
      <c r="P130" s="1020">
        <f>CHOOSE(i_sub_txt_prop_num,0,0.0411)</f>
        <v>4.1099999999999998E-2</v>
      </c>
      <c r="Q130" s="1020">
        <f>CHOOSE(i_sub_txt_prop_num,0.015,0.0154)</f>
        <v>1.54E-2</v>
      </c>
      <c r="R130" s="1020">
        <f>CHOOSE(i_sub_txt_prop_num,0,0.2054)</f>
        <v>0.2054</v>
      </c>
      <c r="S130" s="1020">
        <f>CHOOSE(i_sub_txt_prop_num,0,0.0308)</f>
        <v>3.0800000000000001E-2</v>
      </c>
      <c r="T130" s="1046">
        <f>CHOOSE(i_sub_txt_prop_num,0.046,0)</f>
        <v>0</v>
      </c>
      <c r="U130" s="1020">
        <f>CHOOSE(i_sub_txt_prop_num,0.09,0.0103)</f>
        <v>1.03E-2</v>
      </c>
      <c r="V130" s="911"/>
      <c r="W130" s="1463">
        <f>IF(X130&lt;&gt;0,CHOOSE(i_sub_txt_prop_num,1-SUM(J126:V126),0.3273),1)</f>
        <v>0.32729999999999998</v>
      </c>
      <c r="X130" s="917">
        <f t="shared" si="157"/>
        <v>0.67269999999999996</v>
      </c>
      <c r="CK130" s="61" t="s">
        <v>31</v>
      </c>
      <c r="CL130" s="61">
        <v>2</v>
      </c>
      <c r="CM130" s="61" t="str">
        <v>lenvatinib_plus_everolimus</v>
      </c>
      <c r="CN130" s="17">
        <v>9</v>
      </c>
      <c r="CO130" s="61" t="str" cm="1">
        <f t="array" ref="CO130">INDEX(List_comparators,CP129+1)</f>
        <v>pazopanib</v>
      </c>
      <c r="CP130" s="17">
        <v>5</v>
      </c>
      <c r="CQ130" s="601">
        <f t="shared" ca="1" si="152"/>
        <v>0</v>
      </c>
      <c r="CR130" s="601">
        <f t="shared" ca="1" si="153"/>
        <v>0</v>
      </c>
      <c r="CS130" s="669">
        <f t="shared" ca="1" si="155"/>
        <v>43.50714285714286</v>
      </c>
      <c r="CT130" s="669">
        <f t="shared" ca="1" si="154"/>
        <v>12.288571428571426</v>
      </c>
      <c r="CU130" s="1123">
        <f>MATCH(CZ130,'Resource use and costs'!$BA$11:$BA$53,0)</f>
        <v>40</v>
      </c>
      <c r="CV130" s="1223"/>
      <c r="CW130" s="1241">
        <f t="shared" si="87"/>
        <v>1</v>
      </c>
      <c r="CX130" s="899" t="s">
        <v>764</v>
      </c>
      <c r="CY130" s="899" t="s">
        <v>319</v>
      </c>
      <c r="CZ130" s="899" t="s">
        <v>327</v>
      </c>
      <c r="DA130" s="899" t="s">
        <v>579</v>
      </c>
      <c r="DB130" s="899" t="s">
        <v>765</v>
      </c>
      <c r="DC130" s="899" cm="1">
        <f t="array" aca="1" ref="DC130" ca="1">_xlfn.IFNA(OFFSET($I$49,MATCH(CY130,$I$50:$I$63,0),MATCH(CZ130,TRANSPOSE($J$49:$W$49),0)),0)</f>
        <v>2.9560979095944254E-2</v>
      </c>
      <c r="DD130" s="899" cm="1">
        <f t="array" aca="1" ref="DD130" ca="1">_xlfn.IFNA(OFFSET($Y$49,MATCH($CZ130,$Y$50:$Y$63,0),MATCH($DA130,TRANSPOSE($Z$49:$AM$49),0)),0)</f>
        <v>0.32850000000000001</v>
      </c>
      <c r="DE130" s="899" cm="1">
        <f t="array" aca="1" ref="DE130" ca="1">_xlfn.IFNA(OFFSET($AO$49,MATCH($DA130,$AO$50:$AO$63,0),MATCH($DB130,TRANSPOSE($AP$49:$BC$49),0)),0)</f>
        <v>0.43140000000000001</v>
      </c>
      <c r="DF130" s="881">
        <f t="shared" ca="1" si="81"/>
        <v>4.1892311964838308E-3</v>
      </c>
      <c r="DG130" s="910">
        <f t="shared" ca="1" si="82"/>
        <v>0.98859556831386541</v>
      </c>
      <c r="DH130" s="881">
        <f t="shared" ca="1" si="83"/>
        <v>4.141455395486107E-3</v>
      </c>
      <c r="DI130" s="1460">
        <f t="shared" ca="1" si="158"/>
        <v>0.43071136113055514</v>
      </c>
      <c r="DJ130" s="909">
        <f>_xlfn.IFNA(INDEX('Resource use and costs'!$CQ$11:$CQ$53,MATCH($CZ130,'Resource use and costs'!$BA$11:$BA$53,0)),0)*_xlfn.IFNA(INDEX(DY$10:DY$23,MATCH($CZ130,$DX$10:$DX$23,0)),0)</f>
        <v>19241.032205</v>
      </c>
      <c r="DK130" s="909">
        <f>IF(dd_PartSA_2_lines = "Yes",0,_xlfn.IFNA(INDEX('Resource use and costs'!$CR$11:$CR$53,MATCH(DA130,'Resource use and costs'!$BA$11:$BA$53,0)),0)*_xlfn.IFNA(INDEX(EA$10:EA$23,MATCH($DA130,$DX$10:$DX$23,0)),0))</f>
        <v>26054.50921</v>
      </c>
      <c r="DL130" s="909">
        <f>IF(dd_PartSA_2_lines = "Yes",0,_xlfn.IFNA(INDEX('Resource use and costs'!$CS$11:$CS$53,MATCH(DB130,'Resource use and costs'!$BA$11:$BA$53,0)),0)*_xlfn.IFNA(INDEX(EC$10:EC$23,MATCH($DB130,$DX$10:$DX$23,0)),0))</f>
        <v>0</v>
      </c>
      <c r="DM130" s="909">
        <f t="shared" si="88"/>
        <v>45295.541415</v>
      </c>
      <c r="DN130" s="909">
        <f>SUM(_xlfn.IFNA(INDEX('Resource use and costs'!$DU$12:$DU$25,MATCH(CZ130,'Resource use and costs'!$DS$12:$DS$25,0)),0),_xlfn.IFNA(INDEX('Resource use and costs'!$DU$12:$DU$25,MATCH(DA130,'Resource use and costs'!$DS$12:$DS$25,0)),0),_xlfn.IFNA(INDEX('Resource use and costs'!$DU$12:$DU$25,MATCH(DB130,'Resource use and costs'!$DS$12:$DS$25,0)),0))</f>
        <v>197.25</v>
      </c>
      <c r="DO130" s="921">
        <f>_xlfn.IFNA(INDEX('Resource use and costs'!$DY$12:$DY$25,MATCH(CZ130,'Resource use and costs'!$DS$12:$DS$25,0)),0)*_xlfn.IFNA(INDEX(DY$10:DY$23,MATCH($CZ130,$DX$10:$DX$23,0)),0)</f>
        <v>240.71806000000001</v>
      </c>
      <c r="DP130" s="921">
        <f>IF(dd_PartSA_2_lines = "Yes",0,_xlfn.IFNA(INDEX('Resource use and costs'!$DZ$12:$DZ$25,MATCH(DA130,'Resource use and costs'!$DS$12:$DS$25,0)),0)*_xlfn.IFNA(INDEX(EA$10:EA$23,MATCH($DA130,$DX$10:$DX$23,0)),0))</f>
        <v>4108.3597166</v>
      </c>
      <c r="DQ130" s="921">
        <f>IF(dd_PartSA_2_lines = "Yes",0,_xlfn.IFNA(INDEX('Resource use and costs'!$EA$12:$EA$25,MATCH(DB130,'Resource use and costs'!$DS$12:$DS$25,0)),0)*_xlfn.IFNA(INDEX(EC$10:EC$23,MATCH($DB130,$DX$10:$DX$23,0)),0))</f>
        <v>0</v>
      </c>
      <c r="DR130" s="921">
        <f t="shared" si="89"/>
        <v>4546.3277766000001</v>
      </c>
      <c r="DS130" s="1004">
        <f ca="1">SUMIFS('Safety parameters'!$DM$6:$DM$18,'Safety parameters'!$DK$6:$DK$18,CZ130,'Safety parameters'!$DL$6:$DL$18,1)+IF(dd_PartSA_2_lines = "Yes",0,SUMIFS('Safety parameters'!$DM$6:$DM$18,'Safety parameters'!$DK$6:$DK$18,DA130,'Safety parameters'!$DL$6:$DL$18,2)+SUMIFS('Safety parameters'!$DM$6:$DM$18,'Safety parameters'!$DK$6:$DK$18,DB130,'Safety parameters'!$DL$6:$DL$18,2))</f>
        <v>161.1337489904144</v>
      </c>
      <c r="DT130" s="910">
        <f ca="1">SUMIFS('Safety parameters'!$DO$6:$DO$18,'Safety parameters'!$DK$6:$DK$18,CZ130,'Safety parameters'!$DL$6:$DL$18,1)+IF(dd_PartSA_2_lines = "Yes",0,SUMIFS('Safety parameters'!$DO$6:$DO$18,'Safety parameters'!$DK$6:$DK$18,DA130,'Safety parameters'!$DL$6:$DL$18,2)+SUMIFS('Safety parameters'!$DO$6:$DO$18,'Safety parameters'!$DK$6:$DK$18,DB130,'Safety parameters'!$DL$6:$DL$18,2))</f>
        <v>-1.5970841976847864E-3</v>
      </c>
    </row>
    <row r="131" spans="9:124" ht="15" x14ac:dyDescent="0.2">
      <c r="I131" s="865" t="str">
        <v>tivozanib</v>
      </c>
      <c r="J131" s="1020">
        <f>CHOOSE(i_sub_txt_prop_num,0.38609,0.4977)</f>
        <v>0.49769999999999998</v>
      </c>
      <c r="K131" s="912"/>
      <c r="L131" s="912"/>
      <c r="M131" s="912"/>
      <c r="N131" s="912"/>
      <c r="O131" s="1046">
        <f>CHOOSE(i_sub_txt_prop_num,0.03087,0%)</f>
        <v>0</v>
      </c>
      <c r="P131" s="1046">
        <f>CHOOSE(i_sub_txt_prop_num,0,0%)</f>
        <v>0</v>
      </c>
      <c r="Q131" s="1046">
        <f>CHOOSE(i_sub_txt_prop_num,0,0%)</f>
        <v>0</v>
      </c>
      <c r="R131" s="1020">
        <f>CHOOSE(i_sub_txt_prop_num,0.13,0.1285)</f>
        <v>0.1285</v>
      </c>
      <c r="S131" s="1020">
        <f>CHOOSE(i_sub_txt_prop_num,0.012,0.016)</f>
        <v>1.6E-2</v>
      </c>
      <c r="T131" s="1046">
        <f>CHOOSE(i_sub_txt_prop_num,0.04007,0)</f>
        <v>0</v>
      </c>
      <c r="U131" s="1020">
        <f>CHOOSE(i_sub_txt_prop_num,0.08,0.02944)</f>
        <v>2.9440000000000001E-2</v>
      </c>
      <c r="V131" s="911"/>
      <c r="W131" s="1463">
        <f>IF(X131&lt;&gt;0,CHOOSE(i_sub_txt_prop_num,1-SUM(J126:V126),0.3256),1)</f>
        <v>0.3256</v>
      </c>
      <c r="X131" s="917">
        <f t="shared" si="157"/>
        <v>0.67164000000000001</v>
      </c>
      <c r="CK131" s="61" t="s">
        <v>31</v>
      </c>
      <c r="CL131" s="61">
        <v>2</v>
      </c>
      <c r="CM131" s="61" t="str">
        <v>everolimus</v>
      </c>
      <c r="CN131" s="17">
        <v>10</v>
      </c>
      <c r="CO131" s="61" t="str" cm="1">
        <f t="array" ref="CO131">INDEX(List_comparators,CP130+1)</f>
        <v>pazopanib</v>
      </c>
      <c r="CP131" s="17">
        <v>5</v>
      </c>
      <c r="CQ131" s="601">
        <f t="shared" ca="1" si="152"/>
        <v>0</v>
      </c>
      <c r="CR131" s="601">
        <f t="shared" ca="1" si="153"/>
        <v>0</v>
      </c>
      <c r="CS131" s="669">
        <f t="shared" ca="1" si="155"/>
        <v>43.50714285714286</v>
      </c>
      <c r="CT131" s="669">
        <f t="shared" ca="1" si="154"/>
        <v>12.288571428571426</v>
      </c>
      <c r="CU131" s="1123">
        <f>MATCH(CZ131,'Resource use and costs'!$BA$11:$BA$53,0)</f>
        <v>40</v>
      </c>
      <c r="CV131" s="1223"/>
      <c r="CW131" s="1241">
        <f t="shared" si="87"/>
        <v>1</v>
      </c>
      <c r="CX131" s="899" t="s">
        <v>764</v>
      </c>
      <c r="CY131" s="899" t="s">
        <v>319</v>
      </c>
      <c r="CZ131" s="899" t="s">
        <v>327</v>
      </c>
      <c r="DA131" s="899" t="s">
        <v>579</v>
      </c>
      <c r="DB131" s="899" t="s">
        <v>119</v>
      </c>
      <c r="DC131" s="899" cm="1">
        <f t="array" aca="1" ref="DC131" ca="1">_xlfn.IFNA(OFFSET($I$49,MATCH(CY131,$I$50:$I$63,0),MATCH(CZ131,TRANSPOSE($J$49:$W$49),0)),0)</f>
        <v>2.9560979095944254E-2</v>
      </c>
      <c r="DD131" s="899" cm="1">
        <f t="array" aca="1" ref="DD131" ca="1">_xlfn.IFNA(OFFSET($Y$49,MATCH($CZ131,$Y$50:$Y$63,0),MATCH($DA131,TRANSPOSE($Z$49:$AM$49),0)),0)</f>
        <v>0.32850000000000001</v>
      </c>
      <c r="DE131" s="899">
        <f ca="1">1-DE130</f>
        <v>0.56859999999999999</v>
      </c>
      <c r="DF131" s="881">
        <f t="shared" ca="1" si="81"/>
        <v>5.5215504365338577E-3</v>
      </c>
      <c r="DG131" s="910">
        <f t="shared" ca="1" si="82"/>
        <v>0.98859556831386541</v>
      </c>
      <c r="DH131" s="881">
        <f t="shared" ca="1" si="83"/>
        <v>5.4585802917788608E-3</v>
      </c>
      <c r="DI131" s="1460">
        <f t="shared" ca="1" si="158"/>
        <v>0.56769235034500154</v>
      </c>
      <c r="DJ131" s="909">
        <f>_xlfn.IFNA(INDEX('Resource use and costs'!$CQ$11:$CQ$53,MATCH($CZ131,'Resource use and costs'!$BA$11:$BA$53,0)),0)*_xlfn.IFNA(INDEX(DY$10:DY$23,MATCH($CZ131,$DX$10:$DX$23,0)),0)</f>
        <v>19241.032205</v>
      </c>
      <c r="DK131" s="909">
        <f>IF(dd_PartSA_2_lines = "Yes",0,_xlfn.IFNA(INDEX('Resource use and costs'!$CR$11:$CR$53,MATCH(DA131,'Resource use and costs'!$BA$11:$BA$53,0)),0)*_xlfn.IFNA(INDEX(EA$10:EA$23,MATCH($DA131,$DX$10:$DX$23,0)),0))</f>
        <v>26054.50921</v>
      </c>
      <c r="DL131" s="909">
        <f>IF(dd_PartSA_2_lines = "Yes",0,_xlfn.IFNA(INDEX('Resource use and costs'!$CS$11:$CS$53,MATCH(DB131,'Resource use and costs'!$BA$11:$BA$53,0)),0)*_xlfn.IFNA(INDEX(EC$10:EC$23,MATCH($DB131,$DX$10:$DX$23,0)),0))</f>
        <v>2915.4763433333328</v>
      </c>
      <c r="DM131" s="909">
        <f t="shared" si="88"/>
        <v>48211.017758333335</v>
      </c>
      <c r="DN131" s="909">
        <f>SUM(_xlfn.IFNA(INDEX('Resource use and costs'!$DU$12:$DU$25,MATCH(CZ131,'Resource use and costs'!$DS$12:$DS$25,0)),0),_xlfn.IFNA(INDEX('Resource use and costs'!$DU$12:$DU$25,MATCH(DA131,'Resource use and costs'!$DS$12:$DS$25,0)),0),_xlfn.IFNA(INDEX('Resource use and costs'!$DU$12:$DU$25,MATCH(DB131,'Resource use and costs'!$DS$12:$DS$25,0)),0))</f>
        <v>394.5</v>
      </c>
      <c r="DO131" s="921">
        <f>_xlfn.IFNA(INDEX('Resource use and costs'!$DY$12:$DY$25,MATCH(CZ131,'Resource use and costs'!$DS$12:$DS$25,0)),0)*_xlfn.IFNA(INDEX(DY$10:DY$23,MATCH($CZ131,$DX$10:$DX$23,0)),0)</f>
        <v>240.71806000000001</v>
      </c>
      <c r="DP131" s="921">
        <f>IF(dd_PartSA_2_lines = "Yes",0,_xlfn.IFNA(INDEX('Resource use and costs'!$DZ$12:$DZ$25,MATCH(DA131,'Resource use and costs'!$DS$12:$DS$25,0)),0)*_xlfn.IFNA(INDEX(EA$10:EA$23,MATCH($DA131,$DX$10:$DX$23,0)),0))</f>
        <v>4108.3597166</v>
      </c>
      <c r="DQ131" s="921">
        <f>IF(dd_PartSA_2_lines = "Yes",0,_xlfn.IFNA(INDEX('Resource use and costs'!$EA$12:$EA$25,MATCH(DB131,'Resource use and costs'!$DS$12:$DS$25,0)),0)*_xlfn.IFNA(INDEX(EC$10:EC$23,MATCH($DB131,$DX$10:$DX$23,0)),0))</f>
        <v>256.11457142857142</v>
      </c>
      <c r="DR131" s="921">
        <f t="shared" si="89"/>
        <v>4999.6923480285714</v>
      </c>
      <c r="DS131" s="1004">
        <f ca="1">SUMIFS('Safety parameters'!$DM$6:$DM$18,'Safety parameters'!$DK$6:$DK$18,CZ131,'Safety parameters'!$DL$6:$DL$18,1)+IF(dd_PartSA_2_lines = "Yes",0,SUMIFS('Safety parameters'!$DM$6:$DM$18,'Safety parameters'!$DK$6:$DK$18,DA131,'Safety parameters'!$DL$6:$DL$18,2)+SUMIFS('Safety parameters'!$DM$6:$DM$18,'Safety parameters'!$DK$6:$DK$18,DB131,'Safety parameters'!$DL$6:$DL$18,2))</f>
        <v>494.00913236572927</v>
      </c>
      <c r="DT131" s="910">
        <f ca="1">SUMIFS('Safety parameters'!$DO$6:$DO$18,'Safety parameters'!$DK$6:$DK$18,CZ131,'Safety parameters'!$DL$6:$DL$18,1)+IF(dd_PartSA_2_lines = "Yes",0,SUMIFS('Safety parameters'!$DO$6:$DO$18,'Safety parameters'!$DK$6:$DK$18,DA131,'Safety parameters'!$DL$6:$DL$18,2)+SUMIFS('Safety parameters'!$DO$6:$DO$18,'Safety parameters'!$DK$6:$DK$18,DB131,'Safety parameters'!$DL$6:$DL$18,2))</f>
        <v>-4.2646577343225054E-3</v>
      </c>
    </row>
    <row r="132" spans="9:124" ht="15" x14ac:dyDescent="0.2">
      <c r="I132" s="865" t="str">
        <v>sunitinib</v>
      </c>
      <c r="J132" s="1047">
        <f>CHOOSE(i_sub_txt_prop_num,0.35,0.3838)</f>
        <v>0.38379999999999997</v>
      </c>
      <c r="K132" s="918"/>
      <c r="L132" s="918"/>
      <c r="M132" s="918"/>
      <c r="N132" s="918"/>
      <c r="O132" s="1047">
        <f>CHOOSE(i_sub_txt_prop_num,0.02,0.0037)</f>
        <v>3.7000000000000002E-3</v>
      </c>
      <c r="P132" s="1047">
        <f>CHOOSE(i_sub_txt_prop_num,0,0.0223)</f>
        <v>2.23E-2</v>
      </c>
      <c r="Q132" s="1047">
        <f>CHOOSE(i_sub_txt_prop_num,0,0)</f>
        <v>0</v>
      </c>
      <c r="R132" s="1047">
        <f>CHOOSE(i_sub_txt_prop_num,0.13,0.2161)</f>
        <v>0.21609999999999999</v>
      </c>
      <c r="S132" s="1047">
        <f>CHOOSE(i_sub_txt_prop_num,0.012,0.0037)</f>
        <v>3.7000000000000002E-3</v>
      </c>
      <c r="T132" s="1046">
        <f>CHOOSE(i_sub_txt_prop_num,0.03,0)</f>
        <v>0</v>
      </c>
      <c r="U132" s="1047">
        <f>CHOOSE(i_sub_txt_prop_num,0.07,0.0447)</f>
        <v>4.4699999999999997E-2</v>
      </c>
      <c r="V132" s="1046">
        <f>CHOOSE(i_sub_txt_prop_num,0,0)</f>
        <v>0</v>
      </c>
      <c r="W132" s="1464">
        <f>IF(X132&lt;&gt;0,CHOOSE(i_sub_txt_prop_num,1-SUM(J126:V126),0.3257),1)</f>
        <v>0.32569999999999999</v>
      </c>
      <c r="X132" s="917">
        <f t="shared" si="157"/>
        <v>0.6742999999999999</v>
      </c>
      <c r="CK132" s="61" t="s">
        <v>31</v>
      </c>
      <c r="CL132" s="61">
        <v>2</v>
      </c>
      <c r="CM132" s="61" t="str">
        <v>axitinib</v>
      </c>
      <c r="CN132" s="17">
        <v>11</v>
      </c>
      <c r="CO132" s="61" t="str" cm="1">
        <f t="array" ref="CO132">INDEX(List_comparators,CP131+1)</f>
        <v>pazopanib</v>
      </c>
      <c r="CP132" s="17">
        <v>5</v>
      </c>
      <c r="CQ132" s="601">
        <f t="shared" ca="1" si="152"/>
        <v>0</v>
      </c>
      <c r="CR132" s="601">
        <f t="shared" ca="1" si="153"/>
        <v>0</v>
      </c>
      <c r="CS132" s="669">
        <f t="shared" ca="1" si="155"/>
        <v>43.50714285714286</v>
      </c>
      <c r="CT132" s="669">
        <f t="shared" ca="1" si="154"/>
        <v>12.288571428571426</v>
      </c>
      <c r="CU132" s="1123" t="e">
        <f>MATCH(CZ132,'Resource use and costs'!$BA$11:$BA$53,0)</f>
        <v>#N/A</v>
      </c>
      <c r="CV132" s="1223"/>
      <c r="CW132" s="1241">
        <f t="shared" si="87"/>
        <v>0</v>
      </c>
      <c r="CX132" s="899" t="s">
        <v>764</v>
      </c>
      <c r="CY132" s="899" t="s">
        <v>319</v>
      </c>
      <c r="CZ132" s="899" t="s">
        <v>765</v>
      </c>
      <c r="DA132" s="899"/>
      <c r="DB132" s="899"/>
      <c r="DC132" s="899" cm="1">
        <f t="array" aca="1" ref="DC132" ca="1">_xlfn.IFNA(OFFSET($I$49,MATCH(CY132,$I$50:$I$63,0),MATCH(CZ132,TRANSPOSE($J$49:$W$49),0)),0)</f>
        <v>0.3256</v>
      </c>
      <c r="DD132" s="899" cm="1">
        <f t="array" aca="1" ref="DD132" ca="1">_xlfn.IFNA(OFFSET($Y$49,MATCH($CZ132,$Y$50:$Y$63,0),MATCH($DA132,TRANSPOSE($Z$49:$AM$49),0)),0)</f>
        <v>0</v>
      </c>
      <c r="DE132" s="899" cm="1">
        <f t="array" aca="1" ref="DE132" ca="1">_xlfn.IFNA(OFFSET($AO$49,MATCH($DA132,$AO$50:$AO$63,0),MATCH($DB132,TRANSPOSE($AP$49:$BC$49),0)),0)</f>
        <v>0</v>
      </c>
      <c r="DF132" s="881">
        <f t="shared" ca="1" si="81"/>
        <v>0.3256</v>
      </c>
      <c r="DG132" s="910">
        <f t="shared" ca="1" si="82"/>
        <v>0.98859556831386541</v>
      </c>
      <c r="DH132" s="881">
        <f t="shared" ca="1" si="83"/>
        <v>0.3256</v>
      </c>
      <c r="DI132" s="1460">
        <f t="shared" ca="1" si="158"/>
        <v>33.862400000000001</v>
      </c>
      <c r="DJ132" s="909">
        <f>_xlfn.IFNA(INDEX('Resource use and costs'!$CQ$11:$CQ$53,MATCH($CZ132,'Resource use and costs'!$BA$11:$BA$53,0)),0)*_xlfn.IFNA(INDEX(DY$10:DY$23,MATCH($CZ132,$DX$10:$DX$23,0)),0)</f>
        <v>0</v>
      </c>
      <c r="DK132" s="909">
        <f>IF(dd_PartSA_2_lines = "Yes",0,_xlfn.IFNA(INDEX('Resource use and costs'!$CR$11:$CR$53,MATCH(DA132,'Resource use and costs'!$BA$11:$BA$53,0)),0)*_xlfn.IFNA(INDEX(EA$10:EA$23,MATCH($DA132,$DX$10:$DX$23,0)),0))</f>
        <v>0</v>
      </c>
      <c r="DL132" s="909">
        <f>IF(dd_PartSA_2_lines = "Yes",0,_xlfn.IFNA(INDEX('Resource use and costs'!$CS$11:$CS$53,MATCH(DB132,'Resource use and costs'!$BA$11:$BA$53,0)),0)*_xlfn.IFNA(INDEX(EC$10:EC$23,MATCH($DB132,$DX$10:$DX$23,0)),0))</f>
        <v>0</v>
      </c>
      <c r="DM132" s="909">
        <f t="shared" si="88"/>
        <v>0</v>
      </c>
      <c r="DN132" s="909">
        <f>SUM(_xlfn.IFNA(INDEX('Resource use and costs'!$DU$12:$DU$25,MATCH(CZ132,'Resource use and costs'!$DS$12:$DS$25,0)),0),_xlfn.IFNA(INDEX('Resource use and costs'!$DU$12:$DU$25,MATCH(DA132,'Resource use and costs'!$DS$12:$DS$25,0)),0),_xlfn.IFNA(INDEX('Resource use and costs'!$DU$12:$DU$25,MATCH(DB132,'Resource use and costs'!$DS$12:$DS$25,0)),0))</f>
        <v>0</v>
      </c>
      <c r="DO132" s="921">
        <f>_xlfn.IFNA(INDEX('Resource use and costs'!$DY$12:$DY$25,MATCH(CZ132,'Resource use and costs'!$DS$12:$DS$25,0)),0)*_xlfn.IFNA(INDEX(DY$10:DY$23,MATCH($CZ132,$DX$10:$DX$23,0)),0)</f>
        <v>0</v>
      </c>
      <c r="DP132" s="921">
        <f>IF(dd_PartSA_2_lines = "Yes",0,_xlfn.IFNA(INDEX('Resource use and costs'!$DZ$12:$DZ$25,MATCH(DA132,'Resource use and costs'!$DS$12:$DS$25,0)),0)*_xlfn.IFNA(INDEX(EA$10:EA$23,MATCH($DA132,$DX$10:$DX$23,0)),0))</f>
        <v>0</v>
      </c>
      <c r="DQ132" s="921">
        <f>IF(dd_PartSA_2_lines = "Yes",0,_xlfn.IFNA(INDEX('Resource use and costs'!$EA$12:$EA$25,MATCH(DB132,'Resource use and costs'!$DS$12:$DS$25,0)),0)*_xlfn.IFNA(INDEX(EC$10:EC$23,MATCH($DB132,$DX$10:$DX$23,0)),0))</f>
        <v>0</v>
      </c>
      <c r="DR132" s="921">
        <f t="shared" si="89"/>
        <v>0</v>
      </c>
      <c r="DS132" s="1004">
        <f>SUMIFS('Safety parameters'!$DM$6:$DM$18,'Safety parameters'!$DK$6:$DK$18,CZ132,'Safety parameters'!$DL$6:$DL$18,1)+IF(dd_PartSA_2_lines = "Yes",0,SUMIFS('Safety parameters'!$DM$6:$DM$18,'Safety parameters'!$DK$6:$DK$18,DA132,'Safety parameters'!$DL$6:$DL$18,2)+SUMIFS('Safety parameters'!$DM$6:$DM$18,'Safety parameters'!$DK$6:$DK$18,DB132,'Safety parameters'!$DL$6:$DL$18,2))</f>
        <v>0</v>
      </c>
      <c r="DT132" s="910">
        <f>SUMIFS('Safety parameters'!$DO$6:$DO$18,'Safety parameters'!$DK$6:$DK$18,CZ132,'Safety parameters'!$DL$6:$DL$18,1)+IF(dd_PartSA_2_lines = "Yes",0,SUMIFS('Safety parameters'!$DO$6:$DO$18,'Safety parameters'!$DK$6:$DK$18,DA132,'Safety parameters'!$DL$6:$DL$18,2)+SUMIFS('Safety parameters'!$DO$6:$DO$18,'Safety parameters'!$DK$6:$DK$18,DB132,'Safety parameters'!$DL$6:$DL$18,2))</f>
        <v>0</v>
      </c>
    </row>
    <row r="133" spans="9:124" ht="15" x14ac:dyDescent="0.2">
      <c r="I133" s="865" t="str">
        <v>cabozantinib</v>
      </c>
      <c r="J133" s="1020">
        <f>CHOOSE(i_sub_txt_prop_num,0.035,0.5952)</f>
        <v>0.59519999999999995</v>
      </c>
      <c r="K133" s="912"/>
      <c r="L133" s="912"/>
      <c r="M133" s="912"/>
      <c r="N133" s="912"/>
      <c r="O133" s="1046">
        <f>CHOOSE(i_sub_txt_prop_num,0.11666,0%)</f>
        <v>0</v>
      </c>
      <c r="P133" s="1046">
        <f>CHOOSE(i_sub_txt_prop_num,0,0%)</f>
        <v>0</v>
      </c>
      <c r="Q133" s="1020">
        <f>CHOOSE(i_sub_txt_prop_num,0.07,0.0149)</f>
        <v>1.49E-2</v>
      </c>
      <c r="R133" s="1046">
        <f>CHOOSE(i_sub_txt_prop_num,0,0)</f>
        <v>0</v>
      </c>
      <c r="S133" s="1020">
        <f>CHOOSE(i_sub_txt_prop_num,0%,0.0446)</f>
        <v>4.4600000000000001E-2</v>
      </c>
      <c r="T133" s="1046">
        <f>CHOOSE(i_sub_txt_prop_num,0.04666,0)</f>
        <v>0</v>
      </c>
      <c r="U133" s="1020">
        <f>CHOOSE(i_sub_txt_prop_num,0.14,0.0149)</f>
        <v>1.49E-2</v>
      </c>
      <c r="V133" s="1046">
        <f>CHOOSE(i_sub_txt_prop_num,0,0)</f>
        <v>0</v>
      </c>
      <c r="W133" s="1463">
        <f>IF(X133&lt;&gt;0,CHOOSE(i_sub_txt_prop_num,1-SUM(J126:V126),0.3305),1)</f>
        <v>0.33050000000000002</v>
      </c>
      <c r="X133" s="917">
        <f t="shared" si="157"/>
        <v>0.66959999999999997</v>
      </c>
      <c r="CK133" s="61" t="s">
        <v>31</v>
      </c>
      <c r="CL133" s="61">
        <v>2</v>
      </c>
      <c r="CM133" s="61" t="str">
        <v>sorafenib</v>
      </c>
      <c r="CN133" s="17">
        <v>12</v>
      </c>
      <c r="CO133" s="61" t="str" cm="1">
        <f t="array" ref="CO133">INDEX(List_comparators,CP132+1)</f>
        <v>pazopanib</v>
      </c>
      <c r="CP133" s="17">
        <v>5</v>
      </c>
      <c r="CQ133" s="601">
        <f t="shared" ca="1" si="152"/>
        <v>0</v>
      </c>
      <c r="CR133" s="601">
        <f t="shared" ca="1" si="153"/>
        <v>0</v>
      </c>
      <c r="CS133" s="669">
        <f t="shared" ca="1" si="155"/>
        <v>0</v>
      </c>
      <c r="CT133" s="669">
        <f t="shared" ca="1" si="154"/>
        <v>0</v>
      </c>
      <c r="CU133" s="1123">
        <f>MATCH(CZ133,'Resource use and costs'!$BA$11:$BA$53,0)</f>
        <v>30</v>
      </c>
      <c r="CV133" s="1223"/>
      <c r="CW133" s="1241">
        <f t="shared" si="87"/>
        <v>1</v>
      </c>
      <c r="CX133" s="899" t="s">
        <v>764</v>
      </c>
      <c r="CY133" s="899" t="s">
        <v>319</v>
      </c>
      <c r="CZ133" s="899" t="s">
        <v>118</v>
      </c>
      <c r="DA133" s="899" t="s">
        <v>327</v>
      </c>
      <c r="DB133" s="899" t="s">
        <v>765</v>
      </c>
      <c r="DC133" s="899" cm="1">
        <f t="array" aca="1" ref="DC133" ca="1">_xlfn.IFNA(OFFSET($I$49,MATCH(CY133,$I$50:$I$63,0),MATCH(CZ133,TRANSPOSE($J$49:$W$49),0)),0)</f>
        <v>0.12902805074146864</v>
      </c>
      <c r="DD133" s="899" cm="1">
        <f t="array" aca="1" ref="DD133" ca="1">_xlfn.IFNA(OFFSET($Y$49,MATCH($CZ133,$Y$50:$Y$63,0),MATCH($DA133,TRANSPOSE($Z$49:$AM$49),0)),0)</f>
        <v>0.122</v>
      </c>
      <c r="DE133" s="899" cm="1">
        <f t="array" aca="1" ref="DE133" ca="1">_xlfn.IFNA(OFFSET($AO$49,MATCH($DA133,$AO$50:$AO$63,0),MATCH($DB133,TRANSPOSE($AP$49:$BC$49),0)),0)</f>
        <v>0.43140000000000001</v>
      </c>
      <c r="DF133" s="881">
        <f t="shared" ca="1" si="81"/>
        <v>6.7908495329640876E-3</v>
      </c>
      <c r="DG133" s="910">
        <f t="shared" ca="1" si="82"/>
        <v>0.98859556831386541</v>
      </c>
      <c r="DH133" s="881">
        <f t="shared" ca="1" si="83"/>
        <v>6.7134037533745795E-3</v>
      </c>
      <c r="DI133" s="1460">
        <f t="shared" ca="1" si="158"/>
        <v>0.69819399035095631</v>
      </c>
      <c r="DJ133" s="909">
        <f>_xlfn.IFNA(INDEX('Resource use and costs'!$CQ$11:$CQ$53,MATCH($CZ133,'Resource use and costs'!$BA$11:$BA$53,0)),0)*_xlfn.IFNA(INDEX(DY$10:DY$23,MATCH($CZ133,$DX$10:$DX$23,0)),0)</f>
        <v>45284.183573333321</v>
      </c>
      <c r="DK133" s="909">
        <f>IF(dd_PartSA_2_lines = "Yes",0,_xlfn.IFNA(INDEX('Resource use and costs'!$CR$11:$CR$53,MATCH(DA133,'Resource use and costs'!$BA$11:$BA$53,0)),0)*_xlfn.IFNA(INDEX(EA$10:EA$23,MATCH($DA133,$DX$10:$DX$23,0)),0))</f>
        <v>21421.066008214286</v>
      </c>
      <c r="DL133" s="909">
        <f>IF(dd_PartSA_2_lines = "Yes",0,_xlfn.IFNA(INDEX('Resource use and costs'!$CS$11:$CS$53,MATCH(DB133,'Resource use and costs'!$BA$11:$BA$53,0)),0)*_xlfn.IFNA(INDEX(EC$10:EC$23,MATCH($DB133,$DX$10:$DX$23,0)),0))</f>
        <v>0</v>
      </c>
      <c r="DM133" s="909">
        <f t="shared" si="88"/>
        <v>66705.2495815476</v>
      </c>
      <c r="DN133" s="909">
        <f>SUM(_xlfn.IFNA(INDEX('Resource use and costs'!$DU$12:$DU$25,MATCH(CZ133,'Resource use and costs'!$DS$12:$DS$25,0)),0),_xlfn.IFNA(INDEX('Resource use and costs'!$DU$12:$DU$25,MATCH(DA133,'Resource use and costs'!$DS$12:$DS$25,0)),0),_xlfn.IFNA(INDEX('Resource use and costs'!$DU$12:$DU$25,MATCH(DB133,'Resource use and costs'!$DS$12:$DS$25,0)),0))</f>
        <v>394.5</v>
      </c>
      <c r="DO133" s="921">
        <f>_xlfn.IFNA(INDEX('Resource use and costs'!$DY$12:$DY$25,MATCH(CZ133,'Resource use and costs'!$DS$12:$DS$25,0)),0)*_xlfn.IFNA(INDEX(DY$10:DY$23,MATCH($CZ133,$DX$10:$DX$23,0)),0)</f>
        <v>415.09348571428563</v>
      </c>
      <c r="DP133" s="921">
        <f>IF(dd_PartSA_2_lines = "Yes",0,_xlfn.IFNA(INDEX('Resource use and costs'!$DZ$12:$DZ$25,MATCH(DA133,'Resource use and costs'!$DS$12:$DS$25,0)),0)*_xlfn.IFNA(INDEX(EA$10:EA$23,MATCH($DA133,$DX$10:$DX$23,0)),0))</f>
        <v>267.99172714285714</v>
      </c>
      <c r="DQ133" s="921">
        <f>IF(dd_PartSA_2_lines = "Yes",0,_xlfn.IFNA(INDEX('Resource use and costs'!$EA$12:$EA$25,MATCH(DB133,'Resource use and costs'!$DS$12:$DS$25,0)),0)*_xlfn.IFNA(INDEX(EC$10:EC$23,MATCH($DB133,$DX$10:$DX$23,0)),0))</f>
        <v>0</v>
      </c>
      <c r="DR133" s="921">
        <f t="shared" si="89"/>
        <v>1077.5852128571428</v>
      </c>
      <c r="DS133" s="1004">
        <f ca="1">SUMIFS('Safety parameters'!$DM$6:$DM$18,'Safety parameters'!$DK$6:$DK$18,CZ133,'Safety parameters'!$DL$6:$DL$18,1)+IF(dd_PartSA_2_lines = "Yes",0,SUMIFS('Safety parameters'!$DM$6:$DM$18,'Safety parameters'!$DK$6:$DK$18,DA133,'Safety parameters'!$DL$6:$DL$18,2)+SUMIFS('Safety parameters'!$DM$6:$DM$18,'Safety parameters'!$DK$6:$DK$18,DB133,'Safety parameters'!$DL$6:$DL$18,2))</f>
        <v>2366.0578362496171</v>
      </c>
      <c r="DT133" s="910">
        <f ca="1">SUMIFS('Safety parameters'!$DO$6:$DO$18,'Safety parameters'!$DK$6:$DK$18,CZ133,'Safety parameters'!$DL$6:$DL$18,1)+IF(dd_PartSA_2_lines = "Yes",0,SUMIFS('Safety parameters'!$DO$6:$DO$18,'Safety parameters'!$DK$6:$DK$18,DA133,'Safety parameters'!$DL$6:$DL$18,2)+SUMIFS('Safety parameters'!$DO$6:$DO$18,'Safety parameters'!$DK$6:$DK$18,DB133,'Safety parameters'!$DL$6:$DL$18,2))</f>
        <v>-2.125891351595622E-2</v>
      </c>
    </row>
    <row r="134" spans="9:124" ht="15.75" thickBot="1" x14ac:dyDescent="0.25">
      <c r="I134" s="865" t="str">
        <v>lenvatinib_plus_everolimus</v>
      </c>
      <c r="J134" s="911"/>
      <c r="K134" s="912"/>
      <c r="L134" s="912"/>
      <c r="M134" s="912"/>
      <c r="N134" s="912"/>
      <c r="O134" s="1046">
        <f>CHOOSE(i_sub_txt_prop_num,0,0)</f>
        <v>0</v>
      </c>
      <c r="P134" s="911"/>
      <c r="Q134" s="911"/>
      <c r="R134" s="911"/>
      <c r="S134" s="911"/>
      <c r="T134" s="1046">
        <f>CHOOSE(i_sub_txt_prop_num,0,0)</f>
        <v>0</v>
      </c>
      <c r="U134" s="1046">
        <f>CHOOSE(i_sub_txt_prop_num,0,0)</f>
        <v>0</v>
      </c>
      <c r="V134" s="1046">
        <f>CHOOSE(i_sub_txt_prop_num,0,0)</f>
        <v>0</v>
      </c>
      <c r="W134" s="1463">
        <f>IF(X134&lt;&gt;0,CHOOSE(i_sub_txt_prop_num,1-SUM(J126:V126),0.381456),1)</f>
        <v>1</v>
      </c>
      <c r="X134" s="917">
        <f t="shared" si="157"/>
        <v>0</v>
      </c>
      <c r="CK134" s="506" t="s">
        <v>31</v>
      </c>
      <c r="CL134" s="506">
        <v>2</v>
      </c>
      <c r="CM134" s="506" t="str">
        <v>placebo_BSC</v>
      </c>
      <c r="CN134" s="19">
        <v>999</v>
      </c>
      <c r="CO134" s="506" t="str" cm="1">
        <f t="array" ref="CO134">INDEX(List_comparators,CP121+1)</f>
        <v>pazopanib</v>
      </c>
      <c r="CP134" s="19">
        <v>5</v>
      </c>
      <c r="CQ134" s="602">
        <f t="shared" ca="1" si="152"/>
        <v>0</v>
      </c>
      <c r="CR134" s="602">
        <f t="shared" ca="1" si="153"/>
        <v>0</v>
      </c>
      <c r="CS134" s="670">
        <v>0</v>
      </c>
      <c r="CT134" s="670">
        <f t="shared" ca="1" si="154"/>
        <v>0</v>
      </c>
      <c r="CU134" s="1123">
        <f>MATCH(CZ134,'Resource use and costs'!$BA$11:$BA$53,0)</f>
        <v>30</v>
      </c>
      <c r="CV134" s="1223"/>
      <c r="CW134" s="1241">
        <f t="shared" si="87"/>
        <v>1</v>
      </c>
      <c r="CX134" s="899" t="s">
        <v>764</v>
      </c>
      <c r="CY134" s="899" t="s">
        <v>319</v>
      </c>
      <c r="CZ134" s="899" t="s">
        <v>118</v>
      </c>
      <c r="DA134" s="899" t="s">
        <v>327</v>
      </c>
      <c r="DB134" s="899" t="s">
        <v>119</v>
      </c>
      <c r="DC134" s="899" cm="1">
        <f t="array" aca="1" ref="DC134" ca="1">_xlfn.IFNA(OFFSET($I$49,MATCH(CY134,$I$50:$I$63,0),MATCH(CZ134,TRANSPOSE($J$49:$W$49),0)),0)</f>
        <v>0.12902805074146864</v>
      </c>
      <c r="DD134" s="899" cm="1">
        <f t="array" aca="1" ref="DD134" ca="1">_xlfn.IFNA(OFFSET($Y$49,MATCH($CZ134,$Y$50:$Y$63,0),MATCH($DA134,TRANSPOSE($Z$49:$AM$49),0)),0)</f>
        <v>0.122</v>
      </c>
      <c r="DE134" s="899" cm="1">
        <f t="array" aca="1" ref="DE134" ca="1">_xlfn.IFNA(OFFSET($AO$49,MATCH($DA134,$AO$50:$AO$63,0),MATCH($DB134,TRANSPOSE($AP$49:$BC$49),0)),0)</f>
        <v>0.56859999999999999</v>
      </c>
      <c r="DF134" s="881">
        <f t="shared" ca="1" si="81"/>
        <v>8.9505726574950865E-3</v>
      </c>
      <c r="DG134" s="910">
        <f t="shared" ca="1" si="82"/>
        <v>0.98859556831386541</v>
      </c>
      <c r="DH134" s="881">
        <f t="shared" ca="1" si="83"/>
        <v>8.8484964630709002E-3</v>
      </c>
      <c r="DI134" s="1460">
        <f t="shared" ca="1" si="158"/>
        <v>0.92024363215937366</v>
      </c>
      <c r="DJ134" s="909">
        <f>_xlfn.IFNA(INDEX('Resource use and costs'!$CQ$11:$CQ$53,MATCH($CZ134,'Resource use and costs'!$BA$11:$BA$53,0)),0)*_xlfn.IFNA(INDEX(DY$10:DY$23,MATCH($CZ134,$DX$10:$DX$23,0)),0)</f>
        <v>45284.183573333321</v>
      </c>
      <c r="DK134" s="909">
        <f>IF(dd_PartSA_2_lines = "Yes",0,_xlfn.IFNA(INDEX('Resource use and costs'!$CR$11:$CR$53,MATCH(DA134,'Resource use and costs'!$BA$11:$BA$53,0)),0)*_xlfn.IFNA(INDEX(EA$10:EA$23,MATCH($DA134,$DX$10:$DX$23,0)),0))</f>
        <v>21421.066008214286</v>
      </c>
      <c r="DL134" s="909">
        <f>IF(dd_PartSA_2_lines = "Yes",0,_xlfn.IFNA(INDEX('Resource use and costs'!$CS$11:$CS$53,MATCH(DB134,'Resource use and costs'!$BA$11:$BA$53,0)),0)*_xlfn.IFNA(INDEX(EC$10:EC$23,MATCH($DB134,$DX$10:$DX$23,0)),0))</f>
        <v>2915.4763433333328</v>
      </c>
      <c r="DM134" s="909">
        <f t="shared" si="88"/>
        <v>69620.725924880928</v>
      </c>
      <c r="DN134" s="909">
        <f>SUM(_xlfn.IFNA(INDEX('Resource use and costs'!$DU$12:$DU$25,MATCH(CZ134,'Resource use and costs'!$DS$12:$DS$25,0)),0),_xlfn.IFNA(INDEX('Resource use and costs'!$DU$12:$DU$25,MATCH(DA134,'Resource use and costs'!$DS$12:$DS$25,0)),0),_xlfn.IFNA(INDEX('Resource use and costs'!$DU$12:$DU$25,MATCH(DB134,'Resource use and costs'!$DS$12:$DS$25,0)),0))</f>
        <v>591.75</v>
      </c>
      <c r="DO134" s="921">
        <f>_xlfn.IFNA(INDEX('Resource use and costs'!$DY$12:$DY$25,MATCH(CZ134,'Resource use and costs'!$DS$12:$DS$25,0)),0)*_xlfn.IFNA(INDEX(DY$10:DY$23,MATCH($CZ134,$DX$10:$DX$23,0)),0)</f>
        <v>415.09348571428563</v>
      </c>
      <c r="DP134" s="921">
        <f>IF(dd_PartSA_2_lines = "Yes",0,_xlfn.IFNA(INDEX('Resource use and costs'!$DZ$12:$DZ$25,MATCH(DA134,'Resource use and costs'!$DS$12:$DS$25,0)),0)*_xlfn.IFNA(INDEX(EA$10:EA$23,MATCH($DA134,$DX$10:$DX$23,0)),0))</f>
        <v>267.99172714285714</v>
      </c>
      <c r="DQ134" s="921">
        <f>IF(dd_PartSA_2_lines = "Yes",0,_xlfn.IFNA(INDEX('Resource use and costs'!$EA$12:$EA$25,MATCH(DB134,'Resource use and costs'!$DS$12:$DS$25,0)),0)*_xlfn.IFNA(INDEX(EC$10:EC$23,MATCH($DB134,$DX$10:$DX$23,0)),0))</f>
        <v>256.11457142857142</v>
      </c>
      <c r="DR134" s="921">
        <f t="shared" si="89"/>
        <v>1530.9497842857143</v>
      </c>
      <c r="DS134" s="1004">
        <f ca="1">SUMIFS('Safety parameters'!$DM$6:$DM$18,'Safety parameters'!$DK$6:$DK$18,CZ134,'Safety parameters'!$DL$6:$DL$18,1)+IF(dd_PartSA_2_lines = "Yes",0,SUMIFS('Safety parameters'!$DM$6:$DM$18,'Safety parameters'!$DK$6:$DK$18,DA134,'Safety parameters'!$DL$6:$DL$18,2)+SUMIFS('Safety parameters'!$DM$6:$DM$18,'Safety parameters'!$DK$6:$DK$18,DB134,'Safety parameters'!$DL$6:$DL$18,2))</f>
        <v>2698.9332196249325</v>
      </c>
      <c r="DT134" s="910">
        <f ca="1">SUMIFS('Safety parameters'!$DO$6:$DO$18,'Safety parameters'!$DK$6:$DK$18,CZ134,'Safety parameters'!$DL$6:$DL$18,1)+IF(dd_PartSA_2_lines = "Yes",0,SUMIFS('Safety parameters'!$DO$6:$DO$18,'Safety parameters'!$DK$6:$DK$18,DA134,'Safety parameters'!$DL$6:$DL$18,2)+SUMIFS('Safety parameters'!$DO$6:$DO$18,'Safety parameters'!$DK$6:$DK$18,DB134,'Safety parameters'!$DL$6:$DL$18,2))</f>
        <v>-2.3926487052593939E-2</v>
      </c>
    </row>
    <row r="135" spans="9:124" ht="15" x14ac:dyDescent="0.2">
      <c r="I135" s="865" t="str">
        <v>everolimus</v>
      </c>
      <c r="J135" s="911"/>
      <c r="K135" s="912"/>
      <c r="L135" s="912"/>
      <c r="M135" s="912"/>
      <c r="N135" s="912"/>
      <c r="O135" s="1046">
        <f>CHOOSE(i_sub_txt_prop_num,0,0)</f>
        <v>0</v>
      </c>
      <c r="P135" s="911"/>
      <c r="Q135" s="911"/>
      <c r="R135" s="911"/>
      <c r="S135" s="911"/>
      <c r="T135" s="911"/>
      <c r="U135" s="1046">
        <f>CHOOSE(i_sub_txt_prop_num,0,0)</f>
        <v>0</v>
      </c>
      <c r="V135" s="1046">
        <f>CHOOSE(i_sub_txt_prop_num,0,0)</f>
        <v>0</v>
      </c>
      <c r="W135" s="1463">
        <f>IF(X135&lt;&gt;0,CHOOSE(i_sub_txt_prop_num,1-SUM(J127:V127),0.381456),1)</f>
        <v>1</v>
      </c>
      <c r="X135" s="917">
        <f t="shared" si="157"/>
        <v>0</v>
      </c>
      <c r="CK135" s="505" t="s">
        <v>31</v>
      </c>
      <c r="CL135" s="505">
        <v>2</v>
      </c>
      <c r="CM135" s="61" t="str" cm="1">
        <f t="array" ref="CM135:CM148">List_comparators</f>
        <v>nivolumab_monotherapy</v>
      </c>
      <c r="CN135" s="17">
        <v>0</v>
      </c>
      <c r="CO135" s="61" t="str" cm="1">
        <f t="array" ref="CO135">INDEX(List_comparators,CP135+1)</f>
        <v>tivozanib</v>
      </c>
      <c r="CP135" s="17">
        <v>6</v>
      </c>
      <c r="CQ135" s="603">
        <f t="shared" ca="1" si="152"/>
        <v>0</v>
      </c>
      <c r="CR135" s="603">
        <f t="shared" ca="1" si="153"/>
        <v>0</v>
      </c>
      <c r="CS135" s="669">
        <f t="shared" ref="CS135:CS147" ca="1" si="159">OFFSET($J$81,IF(CN135=999,13,CN135),CP135)</f>
        <v>43.818571428571431</v>
      </c>
      <c r="CT135" s="669">
        <f t="shared" ca="1" si="154"/>
        <v>5.1742857142857135</v>
      </c>
      <c r="CU135" s="1123">
        <f>MATCH(CZ135,'Resource use and costs'!$BA$11:$BA$53,0)</f>
        <v>30</v>
      </c>
      <c r="CV135" s="1223"/>
      <c r="CW135" s="1241">
        <f t="shared" si="87"/>
        <v>1</v>
      </c>
      <c r="CX135" s="899" t="s">
        <v>764</v>
      </c>
      <c r="CY135" s="899" t="s">
        <v>319</v>
      </c>
      <c r="CZ135" s="899" t="s">
        <v>118</v>
      </c>
      <c r="DA135" s="899" t="s">
        <v>765</v>
      </c>
      <c r="DB135" s="899"/>
      <c r="DC135" s="899" cm="1">
        <f t="array" aca="1" ref="DC135" ca="1">_xlfn.IFNA(OFFSET($I$49,MATCH(CY135,$I$50:$I$63,0),MATCH(CZ135,TRANSPOSE($J$49:$W$49),0)),0)</f>
        <v>0.12902805074146864</v>
      </c>
      <c r="DD135" s="899" cm="1">
        <f t="array" aca="1" ref="DD135" ca="1">_xlfn.IFNA(OFFSET($Y$49,MATCH($CZ135,$Y$50:$Y$63,0),MATCH($DA135,TRANSPOSE($Z$49:$AM$49),0)),0)</f>
        <v>0.34300000000000003</v>
      </c>
      <c r="DE135" s="899" cm="1">
        <f t="array" aca="1" ref="DE135" ca="1">_xlfn.IFNA(OFFSET($AO$49,MATCH($DA135,$AO$50:$AO$63,0),MATCH($DB135,TRANSPOSE($AP$49:$BC$49),0)),0)</f>
        <v>0</v>
      </c>
      <c r="DF135" s="881">
        <f t="shared" ca="1" si="81"/>
        <v>4.4256621404323751E-2</v>
      </c>
      <c r="DG135" s="910">
        <f t="shared" ca="1" si="82"/>
        <v>0.98859556831386541</v>
      </c>
      <c r="DH135" s="881">
        <f t="shared" ca="1" si="83"/>
        <v>4.3751899788859017E-2</v>
      </c>
      <c r="DI135" s="1460">
        <f t="shared" ca="1" si="158"/>
        <v>4.5501975780413382</v>
      </c>
      <c r="DJ135" s="909">
        <f>_xlfn.IFNA(INDEX('Resource use and costs'!$CQ$11:$CQ$53,MATCH($CZ135,'Resource use and costs'!$BA$11:$BA$53,0)),0)*_xlfn.IFNA(INDEX(DY$10:DY$23,MATCH($CZ135,$DX$10:$DX$23,0)),0)</f>
        <v>45284.183573333321</v>
      </c>
      <c r="DK135" s="909">
        <f>IF(dd_PartSA_2_lines = "Yes",0,_xlfn.IFNA(INDEX('Resource use and costs'!$CR$11:$CR$53,MATCH(DA135,'Resource use and costs'!$BA$11:$BA$53,0)),0)*_xlfn.IFNA(INDEX(EA$10:EA$23,MATCH($DA135,$DX$10:$DX$23,0)),0))</f>
        <v>0</v>
      </c>
      <c r="DL135" s="909">
        <f>IF(dd_PartSA_2_lines = "Yes",0,_xlfn.IFNA(INDEX('Resource use and costs'!$CS$11:$CS$53,MATCH(DB135,'Resource use and costs'!$BA$11:$BA$53,0)),0)*_xlfn.IFNA(INDEX(EC$10:EC$23,MATCH($DB135,$DX$10:$DX$23,0)),0))</f>
        <v>0</v>
      </c>
      <c r="DM135" s="909">
        <f t="shared" si="88"/>
        <v>45284.183573333321</v>
      </c>
      <c r="DN135" s="909">
        <f>SUM(_xlfn.IFNA(INDEX('Resource use and costs'!$DU$12:$DU$25,MATCH(CZ135,'Resource use and costs'!$DS$12:$DS$25,0)),0),_xlfn.IFNA(INDEX('Resource use and costs'!$DU$12:$DU$25,MATCH(DA135,'Resource use and costs'!$DS$12:$DS$25,0)),0),_xlfn.IFNA(INDEX('Resource use and costs'!$DU$12:$DU$25,MATCH(DB135,'Resource use and costs'!$DS$12:$DS$25,0)),0))</f>
        <v>197.25</v>
      </c>
      <c r="DO135" s="921">
        <f>_xlfn.IFNA(INDEX('Resource use and costs'!$DY$12:$DY$25,MATCH(CZ135,'Resource use and costs'!$DS$12:$DS$25,0)),0)*_xlfn.IFNA(INDEX(DY$10:DY$23,MATCH($CZ135,$DX$10:$DX$23,0)),0)</f>
        <v>415.09348571428563</v>
      </c>
      <c r="DP135" s="921">
        <f>IF(dd_PartSA_2_lines = "Yes",0,_xlfn.IFNA(INDEX('Resource use and costs'!$DZ$12:$DZ$25,MATCH(DA135,'Resource use and costs'!$DS$12:$DS$25,0)),0)*_xlfn.IFNA(INDEX(EA$10:EA$23,MATCH($DA135,$DX$10:$DX$23,0)),0))</f>
        <v>0</v>
      </c>
      <c r="DQ135" s="921">
        <f>IF(dd_PartSA_2_lines = "Yes",0,_xlfn.IFNA(INDEX('Resource use and costs'!$EA$12:$EA$25,MATCH(DB135,'Resource use and costs'!$DS$12:$DS$25,0)),0)*_xlfn.IFNA(INDEX(EC$10:EC$23,MATCH($DB135,$DX$10:$DX$23,0)),0))</f>
        <v>0</v>
      </c>
      <c r="DR135" s="921">
        <f t="shared" si="89"/>
        <v>612.34348571428563</v>
      </c>
      <c r="DS135" s="1004">
        <f ca="1">SUMIFS('Safety parameters'!$DM$6:$DM$18,'Safety parameters'!$DK$6:$DK$18,CZ135,'Safety parameters'!$DL$6:$DL$18,1)+IF(dd_PartSA_2_lines = "Yes",0,SUMIFS('Safety parameters'!$DM$6:$DM$18,'Safety parameters'!$DK$6:$DK$18,DA135,'Safety parameters'!$DL$6:$DL$18,2)+SUMIFS('Safety parameters'!$DM$6:$DM$18,'Safety parameters'!$DK$6:$DK$18,DB135,'Safety parameters'!$DL$6:$DL$18,2))</f>
        <v>731.82916268415761</v>
      </c>
      <c r="DT135" s="910">
        <f ca="1">SUMIFS('Safety parameters'!$DO$6:$DO$18,'Safety parameters'!$DK$6:$DK$18,CZ135,'Safety parameters'!$DL$6:$DL$18,1)+IF(dd_PartSA_2_lines = "Yes",0,SUMIFS('Safety parameters'!$DO$6:$DO$18,'Safety parameters'!$DK$6:$DK$18,DA135,'Safety parameters'!$DL$6:$DL$18,2)+SUMIFS('Safety parameters'!$DO$6:$DO$18,'Safety parameters'!$DK$6:$DK$18,DB135,'Safety parameters'!$DL$6:$DL$18,2))</f>
        <v>-6.5169895084747891E-3</v>
      </c>
    </row>
    <row r="136" spans="9:124" ht="15" x14ac:dyDescent="0.2">
      <c r="I136" s="865" t="str">
        <v>axitinib</v>
      </c>
      <c r="J136" s="911"/>
      <c r="K136" s="912"/>
      <c r="L136" s="912"/>
      <c r="M136" s="912"/>
      <c r="N136" s="912"/>
      <c r="O136" s="911"/>
      <c r="P136" s="911"/>
      <c r="Q136" s="911"/>
      <c r="R136" s="911"/>
      <c r="S136" s="911"/>
      <c r="T136" s="911"/>
      <c r="U136" s="911"/>
      <c r="V136" s="911"/>
      <c r="W136" s="1463">
        <f>IF(X136&lt;&gt;0,CHOOSE(i_sub_txt_prop_num,1-SUM(J128:V128),0.381456),1)</f>
        <v>1</v>
      </c>
      <c r="X136" s="917">
        <f t="shared" si="157"/>
        <v>0</v>
      </c>
      <c r="CK136" s="61" t="s">
        <v>31</v>
      </c>
      <c r="CL136" s="61">
        <v>2</v>
      </c>
      <c r="CM136" s="61" t="str">
        <v>cabozantinib_plus_nivolumab</v>
      </c>
      <c r="CN136" s="17">
        <v>1</v>
      </c>
      <c r="CO136" s="61" t="str" cm="1">
        <f t="array" ref="CO136">INDEX(List_comparators,CP135+1)</f>
        <v>tivozanib</v>
      </c>
      <c r="CP136" s="17">
        <v>6</v>
      </c>
      <c r="CQ136" s="601">
        <f t="shared" ca="1" si="152"/>
        <v>4.269746893695351E-2</v>
      </c>
      <c r="CR136" s="601">
        <f t="shared" ca="1" si="153"/>
        <v>4.2697468936953508E-3</v>
      </c>
      <c r="CS136" s="669">
        <f t="shared" ca="1" si="159"/>
        <v>43.818571428571431</v>
      </c>
      <c r="CT136" s="669">
        <f t="shared" ca="1" si="154"/>
        <v>5.1742857142857135</v>
      </c>
      <c r="CU136" s="1123">
        <f>MATCH(CZ136,'Resource use and costs'!$BA$11:$BA$53,0)</f>
        <v>30</v>
      </c>
      <c r="CV136" s="1223"/>
      <c r="CW136" s="1241">
        <f t="shared" si="87"/>
        <v>1</v>
      </c>
      <c r="CX136" s="899" t="s">
        <v>764</v>
      </c>
      <c r="CY136" s="899" t="s">
        <v>319</v>
      </c>
      <c r="CZ136" s="899" t="s">
        <v>118</v>
      </c>
      <c r="DA136" s="899" t="s">
        <v>119</v>
      </c>
      <c r="DB136" s="899" t="s">
        <v>327</v>
      </c>
      <c r="DC136" s="899" cm="1">
        <f t="array" aca="1" ref="DC136" ca="1">_xlfn.IFNA(OFFSET($I$49,MATCH(CY136,$I$50:$I$63,0),MATCH(CZ136,TRANSPOSE($J$49:$W$49),0)),0)</f>
        <v>0.12902805074146864</v>
      </c>
      <c r="DD136" s="899" cm="1">
        <f t="array" aca="1" ref="DD136" ca="1">_xlfn.IFNA(OFFSET($Y$49,MATCH($CZ136,$Y$50:$Y$63,0),MATCH($DA136,TRANSPOSE($Z$49:$AM$49),0)),0)</f>
        <v>6.5699999999999995E-2</v>
      </c>
      <c r="DE136" s="899" cm="1">
        <f t="array" aca="1" ref="DE136" ca="1">_xlfn.IFNA(OFFSET($AO$49,MATCH($DA136,$AO$50:$AO$63,0),MATCH($DB136,TRANSPOSE($AP$49:$BC$49),0)),0)</f>
        <v>0</v>
      </c>
      <c r="DF136" s="881">
        <f t="shared" ca="1" si="81"/>
        <v>0</v>
      </c>
      <c r="DG136" s="910">
        <f t="shared" ca="1" si="82"/>
        <v>0.98859556831386541</v>
      </c>
      <c r="DH136" s="881">
        <f t="shared" ca="1" si="83"/>
        <v>0</v>
      </c>
      <c r="DI136" s="1460">
        <f t="shared" ca="1" si="158"/>
        <v>0</v>
      </c>
      <c r="DJ136" s="909">
        <f>_xlfn.IFNA(INDEX('Resource use and costs'!$CQ$11:$CQ$53,MATCH($CZ136,'Resource use and costs'!$BA$11:$BA$53,0)),0)*_xlfn.IFNA(INDEX(DY$10:DY$23,MATCH($CZ136,$DX$10:$DX$23,0)),0)</f>
        <v>45284.183573333321</v>
      </c>
      <c r="DK136" s="909">
        <f>IF(dd_PartSA_2_lines = "Yes",0,_xlfn.IFNA(INDEX('Resource use and costs'!$CR$11:$CR$53,MATCH(DA136,'Resource use and costs'!$BA$11:$BA$53,0)),0)*_xlfn.IFNA(INDEX(EA$10:EA$23,MATCH($DA136,$DX$10:$DX$23,0)),0))</f>
        <v>848.17532499999982</v>
      </c>
      <c r="DL136" s="909">
        <f>IF(dd_PartSA_2_lines = "Yes",0,_xlfn.IFNA(INDEX('Resource use and costs'!$CS$11:$CS$53,MATCH(DB136,'Resource use and costs'!$BA$11:$BA$53,0)),0)*_xlfn.IFNA(INDEX(EC$10:EC$23,MATCH($DB136,$DX$10:$DX$23,0)),0))</f>
        <v>18438.751749999999</v>
      </c>
      <c r="DM136" s="909">
        <f t="shared" si="88"/>
        <v>64571.110648333313</v>
      </c>
      <c r="DN136" s="909">
        <f>SUM(_xlfn.IFNA(INDEX('Resource use and costs'!$DU$12:$DU$25,MATCH(CZ136,'Resource use and costs'!$DS$12:$DS$25,0)),0),_xlfn.IFNA(INDEX('Resource use and costs'!$DU$12:$DU$25,MATCH(DA136,'Resource use and costs'!$DS$12:$DS$25,0)),0),_xlfn.IFNA(INDEX('Resource use and costs'!$DU$12:$DU$25,MATCH(DB136,'Resource use and costs'!$DS$12:$DS$25,0)),0))</f>
        <v>591.75</v>
      </c>
      <c r="DO136" s="921">
        <f>_xlfn.IFNA(INDEX('Resource use and costs'!$DY$12:$DY$25,MATCH(CZ136,'Resource use and costs'!$DS$12:$DS$25,0)),0)*_xlfn.IFNA(INDEX(DY$10:DY$23,MATCH($CZ136,$DX$10:$DX$23,0)),0)</f>
        <v>415.09348571428563</v>
      </c>
      <c r="DP136" s="921">
        <f>IF(dd_PartSA_2_lines = "Yes",0,_xlfn.IFNA(INDEX('Resource use and costs'!$DZ$12:$DZ$25,MATCH(DA136,'Resource use and costs'!$DS$12:$DS$25,0)),0)*_xlfn.IFNA(INDEX(EA$10:EA$23,MATCH($DA136,$DX$10:$DX$23,0)),0))</f>
        <v>74.50928571428571</v>
      </c>
      <c r="DQ136" s="921">
        <f>IF(dd_PartSA_2_lines = "Yes",0,_xlfn.IFNA(INDEX('Resource use and costs'!$EA$12:$EA$25,MATCH(DB136,'Resource use and costs'!$DS$12:$DS$25,0)),0)*_xlfn.IFNA(INDEX(EC$10:EC$23,MATCH($DB136,$DX$10:$DX$23,0)),0))</f>
        <v>230.68099999999998</v>
      </c>
      <c r="DR136" s="921">
        <f t="shared" si="89"/>
        <v>1312.0337714285713</v>
      </c>
      <c r="DS136" s="1004">
        <f ca="1">SUMIFS('Safety parameters'!$DM$6:$DM$18,'Safety parameters'!$DK$6:$DK$18,CZ136,'Safety parameters'!$DL$6:$DL$18,1)+IF(dd_PartSA_2_lines = "Yes",0,SUMIFS('Safety parameters'!$DM$6:$DM$18,'Safety parameters'!$DK$6:$DK$18,DA136,'Safety parameters'!$DL$6:$DL$18,2)+SUMIFS('Safety parameters'!$DM$6:$DM$18,'Safety parameters'!$DK$6:$DK$18,DB136,'Safety parameters'!$DL$6:$DL$18,2))</f>
        <v>2698.9332196249325</v>
      </c>
      <c r="DT136" s="910">
        <f ca="1">SUMIFS('Safety parameters'!$DO$6:$DO$18,'Safety parameters'!$DK$6:$DK$18,CZ136,'Safety parameters'!$DL$6:$DL$18,1)+IF(dd_PartSA_2_lines = "Yes",0,SUMIFS('Safety parameters'!$DO$6:$DO$18,'Safety parameters'!$DK$6:$DK$18,DA136,'Safety parameters'!$DL$6:$DL$18,2)+SUMIFS('Safety parameters'!$DO$6:$DO$18,'Safety parameters'!$DK$6:$DK$18,DB136,'Safety parameters'!$DL$6:$DL$18,2))</f>
        <v>-2.3926487052593939E-2</v>
      </c>
    </row>
    <row r="137" spans="9:124" ht="15" x14ac:dyDescent="0.2">
      <c r="I137" s="865" t="str">
        <v>sorafenib</v>
      </c>
      <c r="J137" s="911"/>
      <c r="K137" s="912"/>
      <c r="L137" s="912"/>
      <c r="M137" s="912"/>
      <c r="N137" s="912"/>
      <c r="O137" s="1046">
        <f t="shared" ref="O137:V137" si="160">CHOOSE(i_sub_txt_prop_num,0,0)</f>
        <v>0</v>
      </c>
      <c r="P137" s="1046">
        <f t="shared" si="160"/>
        <v>0</v>
      </c>
      <c r="Q137" s="1046">
        <f t="shared" si="160"/>
        <v>0</v>
      </c>
      <c r="R137" s="1046">
        <f t="shared" si="160"/>
        <v>0</v>
      </c>
      <c r="S137" s="1046">
        <f t="shared" si="160"/>
        <v>0</v>
      </c>
      <c r="T137" s="1046">
        <f t="shared" si="160"/>
        <v>0</v>
      </c>
      <c r="U137" s="1046">
        <f t="shared" si="160"/>
        <v>0</v>
      </c>
      <c r="V137" s="1046">
        <f t="shared" si="160"/>
        <v>0</v>
      </c>
      <c r="W137" s="1463">
        <f>IF(X137&lt;&gt;0,CHOOSE(i_sub_txt_prop_num,1-SUM(J129:V129),0.381456),1)</f>
        <v>1</v>
      </c>
      <c r="X137" s="917">
        <f t="shared" si="157"/>
        <v>0</v>
      </c>
      <c r="CK137" s="61" t="s">
        <v>31</v>
      </c>
      <c r="CL137" s="61">
        <v>2</v>
      </c>
      <c r="CM137" s="61" t="str">
        <v>nivolumab_plus_ipilimumab</v>
      </c>
      <c r="CN137" s="17">
        <v>2</v>
      </c>
      <c r="CO137" s="61" t="str" cm="1">
        <f t="array" ref="CO137">INDEX(List_comparators,CP136+1)</f>
        <v>tivozanib</v>
      </c>
      <c r="CP137" s="17">
        <v>6</v>
      </c>
      <c r="CQ137" s="601">
        <f t="shared" ca="1" si="152"/>
        <v>9.3203607315270554E-2</v>
      </c>
      <c r="CR137" s="601">
        <f t="shared" ca="1" si="153"/>
        <v>9.3203607315270557E-3</v>
      </c>
      <c r="CS137" s="669">
        <f t="shared" ca="1" si="159"/>
        <v>43.818571428571431</v>
      </c>
      <c r="CT137" s="669">
        <f t="shared" ca="1" si="154"/>
        <v>5.1742857142857135</v>
      </c>
      <c r="CU137" s="1123">
        <f>MATCH(CZ137,'Resource use and costs'!$BA$11:$BA$53,0)</f>
        <v>30</v>
      </c>
      <c r="CV137" s="1223"/>
      <c r="CW137" s="1241">
        <f t="shared" si="87"/>
        <v>1</v>
      </c>
      <c r="CX137" s="899" t="s">
        <v>764</v>
      </c>
      <c r="CY137" s="899" t="s">
        <v>319</v>
      </c>
      <c r="CZ137" s="899" t="s">
        <v>118</v>
      </c>
      <c r="DA137" s="899" t="s">
        <v>119</v>
      </c>
      <c r="DB137" s="899" t="s">
        <v>765</v>
      </c>
      <c r="DC137" s="899" cm="1">
        <f t="array" aca="1" ref="DC137" ca="1">_xlfn.IFNA(OFFSET($I$49,MATCH(CY137,$I$50:$I$63,0),MATCH(CZ137,TRANSPOSE($J$49:$W$49),0)),0)</f>
        <v>0.12902805074146864</v>
      </c>
      <c r="DD137" s="899" cm="1">
        <f t="array" aca="1" ref="DD137" ca="1">_xlfn.IFNA(OFFSET($Y$49,MATCH($CZ137,$Y$50:$Y$63,0),MATCH($DA137,TRANSPOSE($Z$49:$AM$49),0)),0)</f>
        <v>6.5699999999999995E-2</v>
      </c>
      <c r="DE137" s="899" cm="1">
        <f t="array" aca="1" ref="DE137" ca="1">_xlfn.IFNA(OFFSET($AO$49,MATCH($DA137,$AO$50:$AO$63,0),MATCH($DB137,TRANSPOSE($AP$49:$BC$49),0)),0)</f>
        <v>1</v>
      </c>
      <c r="DF137" s="881">
        <f t="shared" ca="1" si="81"/>
        <v>8.4771429337144894E-3</v>
      </c>
      <c r="DG137" s="910">
        <f t="shared" ca="1" si="82"/>
        <v>0.98859556831386541</v>
      </c>
      <c r="DH137" s="881">
        <f t="shared" ca="1" si="83"/>
        <v>8.3804659362333445E-3</v>
      </c>
      <c r="DI137" s="1460">
        <f t="shared" ca="1" si="158"/>
        <v>0.87156845736826782</v>
      </c>
      <c r="DJ137" s="909">
        <f>_xlfn.IFNA(INDEX('Resource use and costs'!$CQ$11:$CQ$53,MATCH($CZ137,'Resource use and costs'!$BA$11:$BA$53,0)),0)*_xlfn.IFNA(INDEX(DY$10:DY$23,MATCH($CZ137,$DX$10:$DX$23,0)),0)</f>
        <v>45284.183573333321</v>
      </c>
      <c r="DK137" s="909">
        <f>IF(dd_PartSA_2_lines = "Yes",0,_xlfn.IFNA(INDEX('Resource use and costs'!$CR$11:$CR$53,MATCH(DA137,'Resource use and costs'!$BA$11:$BA$53,0)),0)*_xlfn.IFNA(INDEX(EA$10:EA$23,MATCH($DA137,$DX$10:$DX$23,0)),0))</f>
        <v>848.17532499999982</v>
      </c>
      <c r="DL137" s="909">
        <f>IF(dd_PartSA_2_lines = "Yes",0,_xlfn.IFNA(INDEX('Resource use and costs'!$CS$11:$CS$53,MATCH(DB137,'Resource use and costs'!$BA$11:$BA$53,0)),0)*_xlfn.IFNA(INDEX(EC$10:EC$23,MATCH($DB137,$DX$10:$DX$23,0)),0))</f>
        <v>0</v>
      </c>
      <c r="DM137" s="909">
        <f t="shared" si="88"/>
        <v>46132.358898333317</v>
      </c>
      <c r="DN137" s="909">
        <f>SUM(_xlfn.IFNA(INDEX('Resource use and costs'!$DU$12:$DU$25,MATCH(CZ137,'Resource use and costs'!$DS$12:$DS$25,0)),0),_xlfn.IFNA(INDEX('Resource use and costs'!$DU$12:$DU$25,MATCH(DA137,'Resource use and costs'!$DS$12:$DS$25,0)),0),_xlfn.IFNA(INDEX('Resource use and costs'!$DU$12:$DU$25,MATCH(DB137,'Resource use and costs'!$DS$12:$DS$25,0)),0))</f>
        <v>394.5</v>
      </c>
      <c r="DO137" s="921">
        <f>_xlfn.IFNA(INDEX('Resource use and costs'!$DY$12:$DY$25,MATCH(CZ137,'Resource use and costs'!$DS$12:$DS$25,0)),0)*_xlfn.IFNA(INDEX(DY$10:DY$23,MATCH($CZ137,$DX$10:$DX$23,0)),0)</f>
        <v>415.09348571428563</v>
      </c>
      <c r="DP137" s="921">
        <f>IF(dd_PartSA_2_lines = "Yes",0,_xlfn.IFNA(INDEX('Resource use and costs'!$DZ$12:$DZ$25,MATCH(DA137,'Resource use and costs'!$DS$12:$DS$25,0)),0)*_xlfn.IFNA(INDEX(EA$10:EA$23,MATCH($DA137,$DX$10:$DX$23,0)),0))</f>
        <v>74.50928571428571</v>
      </c>
      <c r="DQ137" s="921">
        <f>IF(dd_PartSA_2_lines = "Yes",0,_xlfn.IFNA(INDEX('Resource use and costs'!$EA$12:$EA$25,MATCH(DB137,'Resource use and costs'!$DS$12:$DS$25,0)),0)*_xlfn.IFNA(INDEX(EC$10:EC$23,MATCH($DB137,$DX$10:$DX$23,0)),0))</f>
        <v>0</v>
      </c>
      <c r="DR137" s="921">
        <f t="shared" si="89"/>
        <v>884.10277142857137</v>
      </c>
      <c r="DS137" s="1004">
        <f ca="1">SUMIFS('Safety parameters'!$DM$6:$DM$18,'Safety parameters'!$DK$6:$DK$18,CZ137,'Safety parameters'!$DL$6:$DL$18,1)+IF(dd_PartSA_2_lines = "Yes",0,SUMIFS('Safety parameters'!$DM$6:$DM$18,'Safety parameters'!$DK$6:$DK$18,DA137,'Safety parameters'!$DL$6:$DL$18,2)+SUMIFS('Safety parameters'!$DM$6:$DM$18,'Safety parameters'!$DK$6:$DK$18,DB137,'Safety parameters'!$DL$6:$DL$18,2))</f>
        <v>1064.7045460594725</v>
      </c>
      <c r="DT137" s="910">
        <f ca="1">SUMIFS('Safety parameters'!$DO$6:$DO$18,'Safety parameters'!$DK$6:$DK$18,CZ137,'Safety parameters'!$DL$6:$DL$18,1)+IF(dd_PartSA_2_lines = "Yes",0,SUMIFS('Safety parameters'!$DO$6:$DO$18,'Safety parameters'!$DK$6:$DK$18,DA137,'Safety parameters'!$DL$6:$DL$18,2)+SUMIFS('Safety parameters'!$DO$6:$DO$18,'Safety parameters'!$DK$6:$DK$18,DB137,'Safety parameters'!$DL$6:$DL$18,2))</f>
        <v>-9.184563045112509E-3</v>
      </c>
    </row>
    <row r="138" spans="9:124" ht="15" x14ac:dyDescent="0.2">
      <c r="I138" s="865" t="str">
        <v>placebo_BSC</v>
      </c>
      <c r="J138" s="911"/>
      <c r="K138" s="912"/>
      <c r="L138" s="912"/>
      <c r="M138" s="912"/>
      <c r="N138" s="912"/>
      <c r="O138" s="911"/>
      <c r="P138" s="911"/>
      <c r="Q138" s="911"/>
      <c r="R138" s="911"/>
      <c r="S138" s="911"/>
      <c r="T138" s="911"/>
      <c r="U138" s="911"/>
      <c r="V138" s="911"/>
      <c r="W138" s="1463">
        <f>IF(X138&lt;&gt;0,CHOOSE(i_sub_txt_prop_num,1-SUM(J130:V130),0.381456),1)</f>
        <v>1</v>
      </c>
      <c r="X138" s="917">
        <f t="shared" si="157"/>
        <v>0</v>
      </c>
      <c r="CK138" s="61" t="s">
        <v>31</v>
      </c>
      <c r="CL138" s="61">
        <v>2</v>
      </c>
      <c r="CM138" s="61" t="str">
        <v>lenvatinib_plus_pembrolizumab</v>
      </c>
      <c r="CN138" s="17">
        <v>3</v>
      </c>
      <c r="CO138" s="61" t="str" cm="1">
        <f t="array" ref="CO138">INDEX(List_comparators,CP137+1)</f>
        <v>tivozanib</v>
      </c>
      <c r="CP138" s="17">
        <v>6</v>
      </c>
      <c r="CQ138" s="601">
        <f t="shared" ca="1" si="152"/>
        <v>4.269746893695351E-2</v>
      </c>
      <c r="CR138" s="601">
        <f t="shared" ca="1" si="153"/>
        <v>4.2697468936953508E-3</v>
      </c>
      <c r="CS138" s="669">
        <f t="shared" ca="1" si="159"/>
        <v>43.818571428571431</v>
      </c>
      <c r="CT138" s="669">
        <f t="shared" ca="1" si="154"/>
        <v>5.1742857142857135</v>
      </c>
      <c r="CU138" s="1123">
        <f>MATCH(CZ138,'Resource use and costs'!$BA$11:$BA$53,0)</f>
        <v>30</v>
      </c>
      <c r="CV138" s="1223"/>
      <c r="CW138" s="1241">
        <f t="shared" si="87"/>
        <v>1</v>
      </c>
      <c r="CX138" s="899" t="s">
        <v>764</v>
      </c>
      <c r="CY138" s="899" t="s">
        <v>319</v>
      </c>
      <c r="CZ138" s="899" t="s">
        <v>118</v>
      </c>
      <c r="DA138" s="899" t="s">
        <v>579</v>
      </c>
      <c r="DB138" s="899" t="s">
        <v>327</v>
      </c>
      <c r="DC138" s="899" cm="1">
        <f t="array" aca="1" ref="DC138" ca="1">_xlfn.IFNA(OFFSET($I$49,MATCH(CY138,$I$50:$I$63,0),MATCH(CZ138,TRANSPOSE($J$49:$W$49),0)),0)</f>
        <v>0.12902805074146864</v>
      </c>
      <c r="DD138" s="899">
        <f ca="1">1-DD133-DD135-DD136</f>
        <v>0.46929999999999994</v>
      </c>
      <c r="DE138" s="899" cm="1">
        <f t="array" aca="1" ref="DE138" ca="1">_xlfn.IFNA(OFFSET($AO$49,MATCH($DA138,$AO$50:$AO$63,0),MATCH($DB138,TRANSPOSE($AP$49:$BC$49),0)),0)</f>
        <v>0.56859999999999999</v>
      </c>
      <c r="DF138" s="881">
        <f t="shared" ca="1" si="81"/>
        <v>3.4430358591495437E-2</v>
      </c>
      <c r="DG138" s="910">
        <f t="shared" ca="1" si="82"/>
        <v>0.98859556831386541</v>
      </c>
      <c r="DH138" s="881">
        <f t="shared" ca="1" si="83"/>
        <v>3.4037699919009609E-2</v>
      </c>
      <c r="DI138" s="1460">
        <f t="shared" ca="1" si="158"/>
        <v>3.5399207915769995</v>
      </c>
      <c r="DJ138" s="909">
        <f>_xlfn.IFNA(INDEX('Resource use and costs'!$CQ$11:$CQ$53,MATCH($CZ138,'Resource use and costs'!$BA$11:$BA$53,0)),0)*_xlfn.IFNA(INDEX(DY$10:DY$23,MATCH($CZ138,$DX$10:$DX$23,0)),0)</f>
        <v>45284.183573333321</v>
      </c>
      <c r="DK138" s="909">
        <f>IF(dd_PartSA_2_lines = "Yes",0,_xlfn.IFNA(INDEX('Resource use and costs'!$CR$11:$CR$53,MATCH(DA138,'Resource use and costs'!$BA$11:$BA$53,0)),0)*_xlfn.IFNA(INDEX(EA$10:EA$23,MATCH($DA138,$DX$10:$DX$23,0)),0))</f>
        <v>26054.50921</v>
      </c>
      <c r="DL138" s="909">
        <f>IF(dd_PartSA_2_lines = "Yes",0,_xlfn.IFNA(INDEX('Resource use and costs'!$CS$11:$CS$53,MATCH(DB138,'Resource use and costs'!$BA$11:$BA$53,0)),0)*_xlfn.IFNA(INDEX(EC$10:EC$23,MATCH($DB138,$DX$10:$DX$23,0)),0))</f>
        <v>18438.751749999999</v>
      </c>
      <c r="DM138" s="909">
        <f t="shared" si="88"/>
        <v>89777.444533333313</v>
      </c>
      <c r="DN138" s="909">
        <f>SUM(_xlfn.IFNA(INDEX('Resource use and costs'!$DU$12:$DU$25,MATCH(CZ138,'Resource use and costs'!$DS$12:$DS$25,0)),0),_xlfn.IFNA(INDEX('Resource use and costs'!$DU$12:$DU$25,MATCH(DA138,'Resource use and costs'!$DS$12:$DS$25,0)),0),_xlfn.IFNA(INDEX('Resource use and costs'!$DU$12:$DU$25,MATCH(DB138,'Resource use and costs'!$DS$12:$DS$25,0)),0))</f>
        <v>394.5</v>
      </c>
      <c r="DO138" s="921">
        <f>_xlfn.IFNA(INDEX('Resource use and costs'!$DY$12:$DY$25,MATCH(CZ138,'Resource use and costs'!$DS$12:$DS$25,0)),0)*_xlfn.IFNA(INDEX(DY$10:DY$23,MATCH($CZ138,$DX$10:$DX$23,0)),0)</f>
        <v>415.09348571428563</v>
      </c>
      <c r="DP138" s="921">
        <f>IF(dd_PartSA_2_lines = "Yes",0,_xlfn.IFNA(INDEX('Resource use and costs'!$DZ$12:$DZ$25,MATCH(DA138,'Resource use and costs'!$DS$12:$DS$25,0)),0)*_xlfn.IFNA(INDEX(EA$10:EA$23,MATCH($DA138,$DX$10:$DX$23,0)),0))</f>
        <v>4108.3597166</v>
      </c>
      <c r="DQ138" s="921">
        <f>IF(dd_PartSA_2_lines = "Yes",0,_xlfn.IFNA(INDEX('Resource use and costs'!$EA$12:$EA$25,MATCH(DB138,'Resource use and costs'!$DS$12:$DS$25,0)),0)*_xlfn.IFNA(INDEX(EC$10:EC$23,MATCH($DB138,$DX$10:$DX$23,0)),0))</f>
        <v>230.68099999999998</v>
      </c>
      <c r="DR138" s="921">
        <f t="shared" si="89"/>
        <v>5148.6342023142852</v>
      </c>
      <c r="DS138" s="1004">
        <f ca="1">SUMIFS('Safety parameters'!$DM$6:$DM$18,'Safety parameters'!$DK$6:$DK$18,CZ138,'Safety parameters'!$DL$6:$DL$18,1)+IF(dd_PartSA_2_lines = "Yes",0,SUMIFS('Safety parameters'!$DM$6:$DM$18,'Safety parameters'!$DK$6:$DK$18,DA138,'Safety parameters'!$DL$6:$DL$18,2)+SUMIFS('Safety parameters'!$DM$6:$DM$18,'Safety parameters'!$DK$6:$DK$18,DB138,'Safety parameters'!$DL$6:$DL$18,2))</f>
        <v>2527.1915852400316</v>
      </c>
      <c r="DT138" s="910">
        <f ca="1">SUMIFS('Safety parameters'!$DO$6:$DO$18,'Safety parameters'!$DK$6:$DK$18,CZ138,'Safety parameters'!$DL$6:$DL$18,1)+IF(dd_PartSA_2_lines = "Yes",0,SUMIFS('Safety parameters'!$DO$6:$DO$18,'Safety parameters'!$DK$6:$DK$18,DA138,'Safety parameters'!$DL$6:$DL$18,2)+SUMIFS('Safety parameters'!$DO$6:$DO$18,'Safety parameters'!$DK$6:$DK$18,DB138,'Safety parameters'!$DL$6:$DL$18,2))</f>
        <v>-2.2855997713641003E-2</v>
      </c>
    </row>
    <row r="139" spans="9:124" ht="15" x14ac:dyDescent="0.2">
      <c r="J139" s="58"/>
      <c r="K139" s="58"/>
      <c r="L139" s="58"/>
      <c r="M139" s="58"/>
      <c r="N139" s="58"/>
      <c r="O139" s="58"/>
      <c r="P139" s="58"/>
      <c r="Q139" s="58"/>
      <c r="R139" s="58"/>
      <c r="S139" s="58"/>
      <c r="T139" s="58"/>
      <c r="U139" s="58"/>
      <c r="V139" s="58"/>
      <c r="W139" s="58"/>
      <c r="CK139" s="61" t="s">
        <v>31</v>
      </c>
      <c r="CL139" s="61">
        <v>2</v>
      </c>
      <c r="CM139" s="61" t="str">
        <v>avelumab_plus_axitinib</v>
      </c>
      <c r="CN139" s="17">
        <v>4</v>
      </c>
      <c r="CO139" s="61" t="str" cm="1">
        <f t="array" ref="CO139">INDEX(List_comparators,CP138+1)</f>
        <v>tivozanib</v>
      </c>
      <c r="CP139" s="17">
        <v>6</v>
      </c>
      <c r="CQ139" s="601">
        <f t="shared" ca="1" si="152"/>
        <v>4.6553152323976062E-2</v>
      </c>
      <c r="CR139" s="601">
        <f t="shared" ca="1" si="153"/>
        <v>4.6553152323976065E-3</v>
      </c>
      <c r="CS139" s="669">
        <f t="shared" ca="1" si="159"/>
        <v>43.818571428571431</v>
      </c>
      <c r="CT139" s="669">
        <f t="shared" ca="1" si="154"/>
        <v>5.1742857142857135</v>
      </c>
      <c r="CU139" s="1123">
        <f>MATCH(CZ139,'Resource use and costs'!$BA$11:$BA$53,0)</f>
        <v>30</v>
      </c>
      <c r="CV139" s="1223"/>
      <c r="CW139" s="1241">
        <f t="shared" si="87"/>
        <v>1</v>
      </c>
      <c r="CX139" s="899" t="s">
        <v>764</v>
      </c>
      <c r="CY139" s="899" t="s">
        <v>319</v>
      </c>
      <c r="CZ139" s="899" t="s">
        <v>118</v>
      </c>
      <c r="DA139" s="899" t="s">
        <v>579</v>
      </c>
      <c r="DB139" s="899" t="s">
        <v>765</v>
      </c>
      <c r="DC139" s="899" cm="1">
        <f t="array" aca="1" ref="DC139" ca="1">_xlfn.IFNA(OFFSET($I$49,MATCH(CY139,$I$50:$I$63,0),MATCH(CZ139,TRANSPOSE($J$49:$W$49),0)),0)</f>
        <v>0.12902805074146864</v>
      </c>
      <c r="DD139" s="899">
        <f ca="1">DD138</f>
        <v>0.46929999999999994</v>
      </c>
      <c r="DE139" s="899" cm="1">
        <f t="array" aca="1" ref="DE139" ca="1">_xlfn.IFNA(OFFSET($AO$49,MATCH($DA139,$AO$50:$AO$63,0),MATCH($DB139,TRANSPOSE($AP$49:$BC$49),0)),0)</f>
        <v>0.43140000000000001</v>
      </c>
      <c r="DF139" s="881">
        <f t="shared" ref="DF139:DF202" ca="1" si="161">IF(AND(ISBLANK(DA139),ISBLANK(DA139)),DC139,IF(ISBLANK(DB139),DC139*DD139,DC139*DD139*DE139))</f>
        <v>2.6122505621475788E-2</v>
      </c>
      <c r="DG139" s="910">
        <f t="shared" ref="DG139:DG202" ca="1" si="162">IF(dd_reduceBSC="No",(1-SUMIFS($DF$11:$DF$779,$CY$11:$CY$779,CY139,$CX$11:$CX$779,CX139,$CW$11:$CW$779,0))/SUMIFS($DF$11:$DF$779,$CY$11:$CY$779,CY139,$CX$11:$CX$779,CX139,$CW$11:$CW$779,1),1/SUMIFS($DF$11:$DF$779,$CY$11:$CY$779,CY139,$CX$11:$CX$779,CX139,$CW$11:$CW$779,1))</f>
        <v>0.98859556831386541</v>
      </c>
      <c r="DH139" s="881">
        <f t="shared" ref="DH139:DH202" ca="1" si="163">IF(CZ139="BSC",IF(dd_reduceBSC="No",DF139,0),DF139*DG139)</f>
        <v>2.5824593290645001E-2</v>
      </c>
      <c r="DI139" s="1460">
        <f t="shared" ca="1" si="158"/>
        <v>2.6857577022270802</v>
      </c>
      <c r="DJ139" s="909">
        <f>_xlfn.IFNA(INDEX('Resource use and costs'!$CQ$11:$CQ$53,MATCH($CZ139,'Resource use and costs'!$BA$11:$BA$53,0)),0)*_xlfn.IFNA(INDEX(DY$10:DY$23,MATCH($CZ139,$DX$10:$DX$23,0)),0)</f>
        <v>45284.183573333321</v>
      </c>
      <c r="DK139" s="909">
        <f>IF(dd_PartSA_2_lines = "Yes",0,_xlfn.IFNA(INDEX('Resource use and costs'!$CR$11:$CR$53,MATCH(DA139,'Resource use and costs'!$BA$11:$BA$53,0)),0)*_xlfn.IFNA(INDEX(EA$10:EA$23,MATCH($DA139,$DX$10:$DX$23,0)),0))</f>
        <v>26054.50921</v>
      </c>
      <c r="DL139" s="909">
        <f>IF(dd_PartSA_2_lines = "Yes",0,_xlfn.IFNA(INDEX('Resource use and costs'!$CS$11:$CS$53,MATCH(DB139,'Resource use and costs'!$BA$11:$BA$53,0)),0)*_xlfn.IFNA(INDEX(EC$10:EC$23,MATCH($DB139,$DX$10:$DX$23,0)),0))</f>
        <v>0</v>
      </c>
      <c r="DM139" s="909">
        <f t="shared" si="88"/>
        <v>71338.692783333317</v>
      </c>
      <c r="DN139" s="909">
        <f>SUM(_xlfn.IFNA(INDEX('Resource use and costs'!$DU$12:$DU$25,MATCH(CZ139,'Resource use and costs'!$DS$12:$DS$25,0)),0),_xlfn.IFNA(INDEX('Resource use and costs'!$DU$12:$DU$25,MATCH(DA139,'Resource use and costs'!$DS$12:$DS$25,0)),0),_xlfn.IFNA(INDEX('Resource use and costs'!$DU$12:$DU$25,MATCH(DB139,'Resource use and costs'!$DS$12:$DS$25,0)),0))</f>
        <v>197.25</v>
      </c>
      <c r="DO139" s="921">
        <f>_xlfn.IFNA(INDEX('Resource use and costs'!$DY$12:$DY$25,MATCH(CZ139,'Resource use and costs'!$DS$12:$DS$25,0)),0)*_xlfn.IFNA(INDEX(DY$10:DY$23,MATCH($CZ139,$DX$10:$DX$23,0)),0)</f>
        <v>415.09348571428563</v>
      </c>
      <c r="DP139" s="921">
        <f>IF(dd_PartSA_2_lines = "Yes",0,_xlfn.IFNA(INDEX('Resource use and costs'!$DZ$12:$DZ$25,MATCH(DA139,'Resource use and costs'!$DS$12:$DS$25,0)),0)*_xlfn.IFNA(INDEX(EA$10:EA$23,MATCH($DA139,$DX$10:$DX$23,0)),0))</f>
        <v>4108.3597166</v>
      </c>
      <c r="DQ139" s="921">
        <f>IF(dd_PartSA_2_lines = "Yes",0,_xlfn.IFNA(INDEX('Resource use and costs'!$EA$12:$EA$25,MATCH(DB139,'Resource use and costs'!$DS$12:$DS$25,0)),0)*_xlfn.IFNA(INDEX(EC$10:EC$23,MATCH($DB139,$DX$10:$DX$23,0)),0))</f>
        <v>0</v>
      </c>
      <c r="DR139" s="921">
        <f t="shared" si="89"/>
        <v>4720.7032023142856</v>
      </c>
      <c r="DS139" s="1004">
        <f ca="1">SUMIFS('Safety parameters'!$DM$6:$DM$18,'Safety parameters'!$DK$6:$DK$18,CZ139,'Safety parameters'!$DL$6:$DL$18,1)+IF(dd_PartSA_2_lines = "Yes",0,SUMIFS('Safety parameters'!$DM$6:$DM$18,'Safety parameters'!$DK$6:$DK$18,DA139,'Safety parameters'!$DL$6:$DL$18,2)+SUMIFS('Safety parameters'!$DM$6:$DM$18,'Safety parameters'!$DK$6:$DK$18,DB139,'Safety parameters'!$DL$6:$DL$18,2))</f>
        <v>892.96291167457207</v>
      </c>
      <c r="DT139" s="910">
        <f ca="1">SUMIFS('Safety parameters'!$DO$6:$DO$18,'Safety parameters'!$DK$6:$DK$18,CZ139,'Safety parameters'!$DL$6:$DL$18,1)+IF(dd_PartSA_2_lines = "Yes",0,SUMIFS('Safety parameters'!$DO$6:$DO$18,'Safety parameters'!$DK$6:$DK$18,DA139,'Safety parameters'!$DL$6:$DL$18,2)+SUMIFS('Safety parameters'!$DO$6:$DO$18,'Safety parameters'!$DK$6:$DK$18,DB139,'Safety parameters'!$DL$6:$DL$18,2))</f>
        <v>-8.1140737061595747E-3</v>
      </c>
    </row>
    <row r="140" spans="9:124" ht="15" x14ac:dyDescent="0.2">
      <c r="CK140" s="61" t="s">
        <v>31</v>
      </c>
      <c r="CL140" s="61">
        <v>2</v>
      </c>
      <c r="CM140" s="61" t="str">
        <v>pazopanib</v>
      </c>
      <c r="CN140" s="17">
        <v>5</v>
      </c>
      <c r="CO140" s="61" t="str" cm="1">
        <f t="array" ref="CO140">INDEX(List_comparators,CP139+1)</f>
        <v>tivozanib</v>
      </c>
      <c r="CP140" s="17">
        <v>6</v>
      </c>
      <c r="CQ140" s="601">
        <f t="shared" ca="1" si="152"/>
        <v>4.1100000000000005E-2</v>
      </c>
      <c r="CR140" s="601">
        <f t="shared" ca="1" si="153"/>
        <v>4.1100000000000008E-3</v>
      </c>
      <c r="CS140" s="669">
        <f t="shared" ca="1" si="159"/>
        <v>43.818571428571431</v>
      </c>
      <c r="CT140" s="669">
        <f t="shared" ca="1" si="154"/>
        <v>5.1742857142857135</v>
      </c>
      <c r="CU140" s="1123">
        <f>MATCH(CZ140,'Resource use and costs'!$BA$11:$BA$53,0)</f>
        <v>30</v>
      </c>
      <c r="CV140" s="1223"/>
      <c r="CW140" s="1241">
        <f t="shared" ref="CW140:CW203" si="164">IF(CZ140="BSC",0,1)</f>
        <v>1</v>
      </c>
      <c r="CX140" s="899" t="s">
        <v>764</v>
      </c>
      <c r="CY140" s="899" t="s">
        <v>319</v>
      </c>
      <c r="CZ140" s="899" t="s">
        <v>118</v>
      </c>
      <c r="DA140" s="899" t="s">
        <v>579</v>
      </c>
      <c r="DB140" s="899" t="s">
        <v>119</v>
      </c>
      <c r="DC140" s="899" cm="1">
        <f t="array" aca="1" ref="DC140" ca="1">_xlfn.IFNA(OFFSET($I$49,MATCH(CY140,$I$50:$I$63,0),MATCH(CZ140,TRANSPOSE($J$49:$W$49),0)),0)</f>
        <v>0.12902805074146864</v>
      </c>
      <c r="DD140" s="899">
        <f ca="1">DD139</f>
        <v>0.46929999999999994</v>
      </c>
      <c r="DE140" s="899" cm="1">
        <f t="array" aca="1" ref="DE140" ca="1">_xlfn.IFNA(OFFSET($AO$49,MATCH($DA140,$AO$50:$AO$63,0),MATCH($DB140,TRANSPOSE($AP$49:$BC$49),0)),0)</f>
        <v>0</v>
      </c>
      <c r="DF140" s="881">
        <f t="shared" ca="1" si="161"/>
        <v>0</v>
      </c>
      <c r="DG140" s="910">
        <f t="shared" ca="1" si="162"/>
        <v>0.98859556831386541</v>
      </c>
      <c r="DH140" s="881">
        <f t="shared" ca="1" si="163"/>
        <v>0</v>
      </c>
      <c r="DI140" s="1460">
        <f t="shared" ca="1" si="158"/>
        <v>0</v>
      </c>
      <c r="DJ140" s="909">
        <f>_xlfn.IFNA(INDEX('Resource use and costs'!$CQ$11:$CQ$53,MATCH($CZ140,'Resource use and costs'!$BA$11:$BA$53,0)),0)*_xlfn.IFNA(INDEX(DY$10:DY$23,MATCH($CZ140,$DX$10:$DX$23,0)),0)</f>
        <v>45284.183573333321</v>
      </c>
      <c r="DK140" s="909">
        <f>IF(dd_PartSA_2_lines = "Yes",0,_xlfn.IFNA(INDEX('Resource use and costs'!$CR$11:$CR$53,MATCH(DA140,'Resource use and costs'!$BA$11:$BA$53,0)),0)*_xlfn.IFNA(INDEX(EA$10:EA$23,MATCH($DA140,$DX$10:$DX$23,0)),0))</f>
        <v>26054.50921</v>
      </c>
      <c r="DL140" s="909">
        <f>IF(dd_PartSA_2_lines = "Yes",0,_xlfn.IFNA(INDEX('Resource use and costs'!$CS$11:$CS$53,MATCH(DB140,'Resource use and costs'!$BA$11:$BA$53,0)),0)*_xlfn.IFNA(INDEX(EC$10:EC$23,MATCH($DB140,$DX$10:$DX$23,0)),0))</f>
        <v>2915.4763433333328</v>
      </c>
      <c r="DM140" s="909">
        <f t="shared" ref="DM140:DM203" si="165">SUM(DJ140:DL140)</f>
        <v>74254.169126666646</v>
      </c>
      <c r="DN140" s="909">
        <f>SUM(_xlfn.IFNA(INDEX('Resource use and costs'!$DU$12:$DU$25,MATCH(CZ140,'Resource use and costs'!$DS$12:$DS$25,0)),0),_xlfn.IFNA(INDEX('Resource use and costs'!$DU$12:$DU$25,MATCH(DA140,'Resource use and costs'!$DS$12:$DS$25,0)),0),_xlfn.IFNA(INDEX('Resource use and costs'!$DU$12:$DU$25,MATCH(DB140,'Resource use and costs'!$DS$12:$DS$25,0)),0))</f>
        <v>394.5</v>
      </c>
      <c r="DO140" s="921">
        <f>_xlfn.IFNA(INDEX('Resource use and costs'!$DY$12:$DY$25,MATCH(CZ140,'Resource use and costs'!$DS$12:$DS$25,0)),0)*_xlfn.IFNA(INDEX(DY$10:DY$23,MATCH($CZ140,$DX$10:$DX$23,0)),0)</f>
        <v>415.09348571428563</v>
      </c>
      <c r="DP140" s="921">
        <f>IF(dd_PartSA_2_lines = "Yes",0,_xlfn.IFNA(INDEX('Resource use and costs'!$DZ$12:$DZ$25,MATCH(DA140,'Resource use and costs'!$DS$12:$DS$25,0)),0)*_xlfn.IFNA(INDEX(EA$10:EA$23,MATCH($DA140,$DX$10:$DX$23,0)),0))</f>
        <v>4108.3597166</v>
      </c>
      <c r="DQ140" s="921">
        <f>IF(dd_PartSA_2_lines = "Yes",0,_xlfn.IFNA(INDEX('Resource use and costs'!$EA$12:$EA$25,MATCH(DB140,'Resource use and costs'!$DS$12:$DS$25,0)),0)*_xlfn.IFNA(INDEX(EC$10:EC$23,MATCH($DB140,$DX$10:$DX$23,0)),0))</f>
        <v>256.11457142857142</v>
      </c>
      <c r="DR140" s="921">
        <f t="shared" ref="DR140:DR203" si="166">SUM(DN140:DQ140)</f>
        <v>5174.0677737428568</v>
      </c>
      <c r="DS140" s="1004">
        <f ca="1">SUMIFS('Safety parameters'!$DM$6:$DM$18,'Safety parameters'!$DK$6:$DK$18,CZ140,'Safety parameters'!$DL$6:$DL$18,1)+IF(dd_PartSA_2_lines = "Yes",0,SUMIFS('Safety parameters'!$DM$6:$DM$18,'Safety parameters'!$DK$6:$DK$18,DA140,'Safety parameters'!$DL$6:$DL$18,2)+SUMIFS('Safety parameters'!$DM$6:$DM$18,'Safety parameters'!$DK$6:$DK$18,DB140,'Safety parameters'!$DL$6:$DL$18,2))</f>
        <v>1225.8382950498869</v>
      </c>
      <c r="DT140" s="910">
        <f ca="1">SUMIFS('Safety parameters'!$DO$6:$DO$18,'Safety parameters'!$DK$6:$DK$18,CZ140,'Safety parameters'!$DL$6:$DL$18,1)+IF(dd_PartSA_2_lines = "Yes",0,SUMIFS('Safety parameters'!$DO$6:$DO$18,'Safety parameters'!$DK$6:$DK$18,DA140,'Safety parameters'!$DL$6:$DL$18,2)+SUMIFS('Safety parameters'!$DO$6:$DO$18,'Safety parameters'!$DK$6:$DK$18,DB140,'Safety parameters'!$DL$6:$DL$18,2))</f>
        <v>-1.0781647242797295E-2</v>
      </c>
    </row>
    <row r="141" spans="9:124" ht="15" x14ac:dyDescent="0.2">
      <c r="CK141" s="61" t="s">
        <v>31</v>
      </c>
      <c r="CL141" s="61">
        <v>2</v>
      </c>
      <c r="CM141" s="61" t="str">
        <v>tivozanib</v>
      </c>
      <c r="CN141" s="17">
        <v>6</v>
      </c>
      <c r="CO141" s="61" t="str" cm="1">
        <f t="array" ref="CO141">INDEX(List_comparators,CP140+1)</f>
        <v>tivozanib</v>
      </c>
      <c r="CP141" s="17">
        <v>6</v>
      </c>
      <c r="CQ141" s="601">
        <f t="shared" ca="1" si="152"/>
        <v>0</v>
      </c>
      <c r="CR141" s="601">
        <f t="shared" ca="1" si="153"/>
        <v>0</v>
      </c>
      <c r="CS141" s="669">
        <f t="shared" ca="1" si="159"/>
        <v>43.818571428571431</v>
      </c>
      <c r="CT141" s="669">
        <f t="shared" ca="1" si="154"/>
        <v>5.1742857142857135</v>
      </c>
      <c r="CU141" s="1123">
        <f>MATCH(CZ141,'Resource use and costs'!$BA$11:$BA$53,0)</f>
        <v>37</v>
      </c>
      <c r="CV141" s="1223"/>
      <c r="CW141" s="1241">
        <f t="shared" si="164"/>
        <v>1</v>
      </c>
      <c r="CX141" s="899" t="s">
        <v>764</v>
      </c>
      <c r="CY141" s="899" t="s">
        <v>319</v>
      </c>
      <c r="CZ141" s="899" t="s">
        <v>119</v>
      </c>
      <c r="DA141" s="899" t="s">
        <v>327</v>
      </c>
      <c r="DB141" s="899" t="s">
        <v>765</v>
      </c>
      <c r="DC141" s="899" cm="1">
        <f t="array" aca="1" ref="DC141" ca="1">_xlfn.IFNA(OFFSET($I$49,MATCH(CY141,$I$50:$I$63,0),MATCH(CZ141,TRANSPOSE($J$49:$W$49),0)),0)</f>
        <v>0</v>
      </c>
      <c r="DD141" s="899" cm="1">
        <f t="array" aca="1" ref="DD141" ca="1">_xlfn.IFNA(OFFSET($Y$49,MATCH($CZ141,$Y$50:$Y$63,0),MATCH($DA141,TRANSPOSE($Z$49:$AM$49),0)),0)</f>
        <v>0</v>
      </c>
      <c r="DE141" s="899" cm="1">
        <f t="array" aca="1" ref="DE141" ca="1">_xlfn.IFNA(OFFSET($AO$49,MATCH($DA141,$AO$50:$AO$63,0),MATCH($DB141,TRANSPOSE($AP$49:$BC$49),0)),0)</f>
        <v>0.43140000000000001</v>
      </c>
      <c r="DF141" s="881">
        <f t="shared" ca="1" si="161"/>
        <v>0</v>
      </c>
      <c r="DG141" s="910">
        <f t="shared" ca="1" si="162"/>
        <v>0.98859556831386541</v>
      </c>
      <c r="DH141" s="881">
        <f t="shared" ca="1" si="163"/>
        <v>0</v>
      </c>
      <c r="DI141" s="1460">
        <f t="shared" ca="1" si="158"/>
        <v>0</v>
      </c>
      <c r="DJ141" s="909">
        <f>_xlfn.IFNA(INDEX('Resource use and costs'!$CQ$11:$CQ$53,MATCH($CZ141,'Resource use and costs'!$BA$11:$BA$53,0)),0)*_xlfn.IFNA(INDEX(DY$10:DY$23,MATCH($CZ141,$DX$10:$DX$23,0)),0)</f>
        <v>944.50399999999979</v>
      </c>
      <c r="DK141" s="909">
        <f>IF(dd_PartSA_2_lines = "Yes",0,_xlfn.IFNA(INDEX('Resource use and costs'!$CR$11:$CR$53,MATCH(DA141,'Resource use and costs'!$BA$11:$BA$53,0)),0)*_xlfn.IFNA(INDEX(EA$10:EA$23,MATCH($DA141,$DX$10:$DX$23,0)),0))</f>
        <v>21421.066008214286</v>
      </c>
      <c r="DL141" s="909">
        <f>IF(dd_PartSA_2_lines = "Yes",0,_xlfn.IFNA(INDEX('Resource use and costs'!$CS$11:$CS$53,MATCH(DB141,'Resource use and costs'!$BA$11:$BA$53,0)),0)*_xlfn.IFNA(INDEX(EC$10:EC$23,MATCH($DB141,$DX$10:$DX$23,0)),0))</f>
        <v>0</v>
      </c>
      <c r="DM141" s="909">
        <f t="shared" si="165"/>
        <v>22365.570008214287</v>
      </c>
      <c r="DN141" s="909">
        <f>SUM(_xlfn.IFNA(INDEX('Resource use and costs'!$DU$12:$DU$25,MATCH(CZ141,'Resource use and costs'!$DS$12:$DS$25,0)),0),_xlfn.IFNA(INDEX('Resource use and costs'!$DU$12:$DU$25,MATCH(DA141,'Resource use and costs'!$DS$12:$DS$25,0)),0),_xlfn.IFNA(INDEX('Resource use and costs'!$DU$12:$DU$25,MATCH(DB141,'Resource use and costs'!$DS$12:$DS$25,0)),0))</f>
        <v>394.5</v>
      </c>
      <c r="DO141" s="921">
        <f>_xlfn.IFNA(INDEX('Resource use and costs'!$DY$12:$DY$25,MATCH(CZ141,'Resource use and costs'!$DS$12:$DS$25,0)),0)*_xlfn.IFNA(INDEX(DY$10:DY$23,MATCH($CZ141,$DX$10:$DX$23,0)),0)</f>
        <v>82.971428571428561</v>
      </c>
      <c r="DP141" s="921">
        <f>IF(dd_PartSA_2_lines = "Yes",0,_xlfn.IFNA(INDEX('Resource use and costs'!$DZ$12:$DZ$25,MATCH(DA141,'Resource use and costs'!$DS$12:$DS$25,0)),0)*_xlfn.IFNA(INDEX(EA$10:EA$23,MATCH($DA141,$DX$10:$DX$23,0)),0))</f>
        <v>267.99172714285714</v>
      </c>
      <c r="DQ141" s="921">
        <f>IF(dd_PartSA_2_lines = "Yes",0,_xlfn.IFNA(INDEX('Resource use and costs'!$EA$12:$EA$25,MATCH(DB141,'Resource use and costs'!$DS$12:$DS$25,0)),0)*_xlfn.IFNA(INDEX(EC$10:EC$23,MATCH($DB141,$DX$10:$DX$23,0)),0))</f>
        <v>0</v>
      </c>
      <c r="DR141" s="921">
        <f t="shared" si="166"/>
        <v>745.46315571428568</v>
      </c>
      <c r="DS141" s="1004">
        <f ca="1">SUMIFS('Safety parameters'!$DM$6:$DM$18,'Safety parameters'!$DK$6:$DK$18,CZ141,'Safety parameters'!$DL$6:$DL$18,1)+IF(dd_PartSA_2_lines = "Yes",0,SUMIFS('Safety parameters'!$DM$6:$DM$18,'Safety parameters'!$DK$6:$DK$18,DA141,'Safety parameters'!$DL$6:$DL$18,2)+SUMIFS('Safety parameters'!$DM$6:$DM$18,'Safety parameters'!$DK$6:$DK$18,DB141,'Safety parameters'!$DL$6:$DL$18,2))</f>
        <v>1634.2286735654598</v>
      </c>
      <c r="DT141" s="910">
        <f ca="1">SUMIFS('Safety parameters'!$DO$6:$DO$18,'Safety parameters'!$DK$6:$DK$18,CZ141,'Safety parameters'!$DL$6:$DL$18,1)+IF(dd_PartSA_2_lines = "Yes",0,SUMIFS('Safety parameters'!$DO$6:$DO$18,'Safety parameters'!$DK$6:$DK$18,DA141,'Safety parameters'!$DL$6:$DL$18,2)+SUMIFS('Safety parameters'!$DO$6:$DO$18,'Safety parameters'!$DK$6:$DK$18,DB141,'Safety parameters'!$DL$6:$DL$18,2))</f>
        <v>-1.4741924007481429E-2</v>
      </c>
    </row>
    <row r="142" spans="9:124" ht="15" x14ac:dyDescent="0.2">
      <c r="CK142" s="61" t="s">
        <v>31</v>
      </c>
      <c r="CL142" s="61">
        <v>2</v>
      </c>
      <c r="CM142" s="61" t="str">
        <v>sunitinib</v>
      </c>
      <c r="CN142" s="17">
        <v>7</v>
      </c>
      <c r="CO142" s="61" t="str" cm="1">
        <f t="array" ref="CO142">INDEX(List_comparators,CP141+1)</f>
        <v>tivozanib</v>
      </c>
      <c r="CP142" s="17">
        <v>6</v>
      </c>
      <c r="CQ142" s="601">
        <f t="shared" ca="1" si="152"/>
        <v>2.2300000000000004E-2</v>
      </c>
      <c r="CR142" s="601">
        <f t="shared" ca="1" si="153"/>
        <v>2.2300000000000006E-3</v>
      </c>
      <c r="CS142" s="669">
        <f t="shared" ca="1" si="159"/>
        <v>43.818571428571431</v>
      </c>
      <c r="CT142" s="669">
        <f t="shared" ca="1" si="154"/>
        <v>5.1742857142857135</v>
      </c>
      <c r="CU142" s="1123">
        <f>MATCH(CZ142,'Resource use and costs'!$BA$11:$BA$53,0)</f>
        <v>37</v>
      </c>
      <c r="CV142" s="1223"/>
      <c r="CW142" s="1241">
        <f t="shared" si="164"/>
        <v>1</v>
      </c>
      <c r="CX142" s="899" t="s">
        <v>764</v>
      </c>
      <c r="CY142" s="899" t="s">
        <v>319</v>
      </c>
      <c r="CZ142" s="899" t="s">
        <v>119</v>
      </c>
      <c r="DA142" s="899" t="s">
        <v>765</v>
      </c>
      <c r="DB142" s="899"/>
      <c r="DC142" s="899" cm="1">
        <f t="array" aca="1" ref="DC142" ca="1">_xlfn.IFNA(OFFSET($I$49,MATCH(CY142,$I$50:$I$63,0),MATCH(CZ142,TRANSPOSE($J$49:$W$49),0)),0)</f>
        <v>0</v>
      </c>
      <c r="DD142" s="899" cm="1">
        <f t="array" aca="1" ref="DD142" ca="1">_xlfn.IFNA(OFFSET($Y$49,MATCH($CZ142,$Y$50:$Y$63,0),MATCH($DA142,TRANSPOSE($Z$49:$AM$49),0)),0)</f>
        <v>1</v>
      </c>
      <c r="DE142" s="899" cm="1">
        <f t="array" aca="1" ref="DE142" ca="1">_xlfn.IFNA(OFFSET($AO$49,MATCH($DA142,$AO$50:$AO$63,0),MATCH($DB142,TRANSPOSE($AP$49:$BC$49),0)),0)</f>
        <v>0</v>
      </c>
      <c r="DF142" s="881">
        <f t="shared" ca="1" si="161"/>
        <v>0</v>
      </c>
      <c r="DG142" s="910">
        <f t="shared" ca="1" si="162"/>
        <v>0.98859556831386541</v>
      </c>
      <c r="DH142" s="881">
        <f t="shared" ca="1" si="163"/>
        <v>0</v>
      </c>
      <c r="DI142" s="1460">
        <f t="shared" ca="1" si="158"/>
        <v>0</v>
      </c>
      <c r="DJ142" s="909">
        <f>_xlfn.IFNA(INDEX('Resource use and costs'!$CQ$11:$CQ$53,MATCH($CZ142,'Resource use and costs'!$BA$11:$BA$53,0)),0)*_xlfn.IFNA(INDEX(DY$10:DY$23,MATCH($CZ142,$DX$10:$DX$23,0)),0)</f>
        <v>944.50399999999979</v>
      </c>
      <c r="DK142" s="909">
        <f>IF(dd_PartSA_2_lines = "Yes",0,_xlfn.IFNA(INDEX('Resource use and costs'!$CR$11:$CR$53,MATCH(DA142,'Resource use and costs'!$BA$11:$BA$53,0)),0)*_xlfn.IFNA(INDEX(EA$10:EA$23,MATCH($DA142,$DX$10:$DX$23,0)),0))</f>
        <v>0</v>
      </c>
      <c r="DL142" s="909">
        <f>IF(dd_PartSA_2_lines = "Yes",0,_xlfn.IFNA(INDEX('Resource use and costs'!$CS$11:$CS$53,MATCH(DB142,'Resource use and costs'!$BA$11:$BA$53,0)),0)*_xlfn.IFNA(INDEX(EC$10:EC$23,MATCH($DB142,$DX$10:$DX$23,0)),0))</f>
        <v>0</v>
      </c>
      <c r="DM142" s="909">
        <f t="shared" si="165"/>
        <v>944.50399999999979</v>
      </c>
      <c r="DN142" s="909">
        <f>SUM(_xlfn.IFNA(INDEX('Resource use and costs'!$DU$12:$DU$25,MATCH(CZ142,'Resource use and costs'!$DS$12:$DS$25,0)),0),_xlfn.IFNA(INDEX('Resource use and costs'!$DU$12:$DU$25,MATCH(DA142,'Resource use and costs'!$DS$12:$DS$25,0)),0),_xlfn.IFNA(INDEX('Resource use and costs'!$DU$12:$DU$25,MATCH(DB142,'Resource use and costs'!$DS$12:$DS$25,0)),0))</f>
        <v>197.25</v>
      </c>
      <c r="DO142" s="921">
        <f>_xlfn.IFNA(INDEX('Resource use and costs'!$DY$12:$DY$25,MATCH(CZ142,'Resource use and costs'!$DS$12:$DS$25,0)),0)*_xlfn.IFNA(INDEX(DY$10:DY$23,MATCH($CZ142,$DX$10:$DX$23,0)),0)</f>
        <v>82.971428571428561</v>
      </c>
      <c r="DP142" s="921">
        <f>IF(dd_PartSA_2_lines = "Yes",0,_xlfn.IFNA(INDEX('Resource use and costs'!$DZ$12:$DZ$25,MATCH(DA142,'Resource use and costs'!$DS$12:$DS$25,0)),0)*_xlfn.IFNA(INDEX(EA$10:EA$23,MATCH($DA142,$DX$10:$DX$23,0)),0))</f>
        <v>0</v>
      </c>
      <c r="DQ142" s="921">
        <f>IF(dd_PartSA_2_lines = "Yes",0,_xlfn.IFNA(INDEX('Resource use and costs'!$EA$12:$EA$25,MATCH(DB142,'Resource use and costs'!$DS$12:$DS$25,0)),0)*_xlfn.IFNA(INDEX(EC$10:EC$23,MATCH($DB142,$DX$10:$DX$23,0)),0))</f>
        <v>0</v>
      </c>
      <c r="DR142" s="921">
        <f t="shared" si="166"/>
        <v>280.22142857142853</v>
      </c>
      <c r="DS142" s="1004">
        <f>SUMIFS('Safety parameters'!$DM$6:$DM$18,'Safety parameters'!$DK$6:$DK$18,CZ142,'Safety parameters'!$DL$6:$DL$18,1)+IF(dd_PartSA_2_lines = "Yes",0,SUMIFS('Safety parameters'!$DM$6:$DM$18,'Safety parameters'!$DK$6:$DK$18,DA142,'Safety parameters'!$DL$6:$DL$18,2)+SUMIFS('Safety parameters'!$DM$6:$DM$18,'Safety parameters'!$DK$6:$DK$18,DB142,'Safety parameters'!$DL$6:$DL$18,2))</f>
        <v>0</v>
      </c>
      <c r="DT142" s="910">
        <f>SUMIFS('Safety parameters'!$DO$6:$DO$18,'Safety parameters'!$DK$6:$DK$18,CZ142,'Safety parameters'!$DL$6:$DL$18,1)+IF(dd_PartSA_2_lines = "Yes",0,SUMIFS('Safety parameters'!$DO$6:$DO$18,'Safety parameters'!$DK$6:$DK$18,DA142,'Safety parameters'!$DL$6:$DL$18,2)+SUMIFS('Safety parameters'!$DO$6:$DO$18,'Safety parameters'!$DK$6:$DK$18,DB142,'Safety parameters'!$DL$6:$DL$18,2))</f>
        <v>0</v>
      </c>
    </row>
    <row r="143" spans="9:124" ht="15" x14ac:dyDescent="0.2">
      <c r="CK143" s="61" t="s">
        <v>31</v>
      </c>
      <c r="CL143" s="61">
        <v>2</v>
      </c>
      <c r="CM143" s="61" t="str">
        <v>cabozantinib</v>
      </c>
      <c r="CN143" s="17">
        <v>8</v>
      </c>
      <c r="CO143" s="61" t="str" cm="1">
        <f t="array" ref="CO143">INDEX(List_comparators,CP142+1)</f>
        <v>tivozanib</v>
      </c>
      <c r="CP143" s="17">
        <v>6</v>
      </c>
      <c r="CQ143" s="601">
        <f t="shared" ca="1" si="152"/>
        <v>0</v>
      </c>
      <c r="CR143" s="601">
        <f t="shared" ca="1" si="153"/>
        <v>0</v>
      </c>
      <c r="CS143" s="669">
        <f t="shared" ca="1" si="159"/>
        <v>43.818571428571431</v>
      </c>
      <c r="CT143" s="669">
        <f t="shared" ca="1" si="154"/>
        <v>5.1742857142857135</v>
      </c>
      <c r="CU143" s="1123">
        <f>MATCH(CZ143,'Resource use and costs'!$BA$11:$BA$53,0)</f>
        <v>37</v>
      </c>
      <c r="CV143" s="1223"/>
      <c r="CW143" s="1241">
        <f t="shared" si="164"/>
        <v>1</v>
      </c>
      <c r="CX143" s="899" t="s">
        <v>764</v>
      </c>
      <c r="CY143" s="899" t="s">
        <v>319</v>
      </c>
      <c r="CZ143" s="899" t="s">
        <v>119</v>
      </c>
      <c r="DA143" s="899" t="s">
        <v>118</v>
      </c>
      <c r="DB143" s="899" t="s">
        <v>327</v>
      </c>
      <c r="DC143" s="899" cm="1">
        <f t="array" aca="1" ref="DC143" ca="1">_xlfn.IFNA(OFFSET($I$49,MATCH(CY143,$I$50:$I$63,0),MATCH(CZ143,TRANSPOSE($J$49:$W$49),0)),0)</f>
        <v>0</v>
      </c>
      <c r="DD143" s="899" cm="1">
        <f t="array" aca="1" ref="DD143" ca="1">_xlfn.IFNA(OFFSET($Y$49,MATCH($CZ143,$Y$50:$Y$63,0),MATCH($DA143,TRANSPOSE($Z$49:$AM$49),0)),0)</f>
        <v>0</v>
      </c>
      <c r="DE143" s="899">
        <f ca="1">1-DE144</f>
        <v>0.56859999999999999</v>
      </c>
      <c r="DF143" s="881">
        <f t="shared" ca="1" si="161"/>
        <v>0</v>
      </c>
      <c r="DG143" s="910">
        <f t="shared" ca="1" si="162"/>
        <v>0.98859556831386541</v>
      </c>
      <c r="DH143" s="881">
        <f t="shared" ca="1" si="163"/>
        <v>0</v>
      </c>
      <c r="DI143" s="1460">
        <f t="shared" ca="1" si="158"/>
        <v>0</v>
      </c>
      <c r="DJ143" s="909">
        <f>_xlfn.IFNA(INDEX('Resource use and costs'!$CQ$11:$CQ$53,MATCH($CZ143,'Resource use and costs'!$BA$11:$BA$53,0)),0)*_xlfn.IFNA(INDEX(DY$10:DY$23,MATCH($CZ143,$DX$10:$DX$23,0)),0)</f>
        <v>944.50399999999979</v>
      </c>
      <c r="DK143" s="909">
        <f>IF(dd_PartSA_2_lines = "Yes",0,_xlfn.IFNA(INDEX('Resource use and costs'!$CR$11:$CR$53,MATCH(DA143,'Resource use and costs'!$BA$11:$BA$53,0)),0)*_xlfn.IFNA(INDEX(EA$10:EA$23,MATCH($DA143,$DX$10:$DX$23,0)),0))</f>
        <v>50308.075122000002</v>
      </c>
      <c r="DL143" s="909">
        <f>IF(dd_PartSA_2_lines = "Yes",0,_xlfn.IFNA(INDEX('Resource use and costs'!$CS$11:$CS$53,MATCH(DB143,'Resource use and costs'!$BA$11:$BA$53,0)),0)*_xlfn.IFNA(INDEX(EC$10:EC$23,MATCH($DB143,$DX$10:$DX$23,0)),0))</f>
        <v>18438.751749999999</v>
      </c>
      <c r="DM143" s="909">
        <f t="shared" si="165"/>
        <v>69691.330872000006</v>
      </c>
      <c r="DN143" s="909">
        <f>SUM(_xlfn.IFNA(INDEX('Resource use and costs'!$DU$12:$DU$25,MATCH(CZ143,'Resource use and costs'!$DS$12:$DS$25,0)),0),_xlfn.IFNA(INDEX('Resource use and costs'!$DU$12:$DU$25,MATCH(DA143,'Resource use and costs'!$DS$12:$DS$25,0)),0),_xlfn.IFNA(INDEX('Resource use and costs'!$DU$12:$DU$25,MATCH(DB143,'Resource use and costs'!$DS$12:$DS$25,0)),0))</f>
        <v>591.75</v>
      </c>
      <c r="DO143" s="921">
        <f>_xlfn.IFNA(INDEX('Resource use and costs'!$DY$12:$DY$25,MATCH(CZ143,'Resource use and costs'!$DS$12:$DS$25,0)),0)*_xlfn.IFNA(INDEX(DY$10:DY$23,MATCH($CZ143,$DX$10:$DX$23,0)),0)</f>
        <v>82.971428571428561</v>
      </c>
      <c r="DP143" s="921">
        <f>IF(dd_PartSA_2_lines = "Yes",0,_xlfn.IFNA(INDEX('Resource use and costs'!$DZ$12:$DZ$25,MATCH(DA143,'Resource use and costs'!$DS$12:$DS$25,0)),0)*_xlfn.IFNA(INDEX(EA$10:EA$23,MATCH($DA143,$DX$10:$DX$23,0)),0))</f>
        <v>461.1445457142857</v>
      </c>
      <c r="DQ143" s="921">
        <f>IF(dd_PartSA_2_lines = "Yes",0,_xlfn.IFNA(INDEX('Resource use and costs'!$EA$12:$EA$25,MATCH(DB143,'Resource use and costs'!$DS$12:$DS$25,0)),0)*_xlfn.IFNA(INDEX(EC$10:EC$23,MATCH($DB143,$DX$10:$DX$23,0)),0))</f>
        <v>230.68099999999998</v>
      </c>
      <c r="DR143" s="921">
        <f t="shared" si="166"/>
        <v>1366.5469742857142</v>
      </c>
      <c r="DS143" s="1004">
        <f ca="1">SUMIFS('Safety parameters'!$DM$6:$DM$18,'Safety parameters'!$DK$6:$DK$18,CZ143,'Safety parameters'!$DL$6:$DL$18,1)+IF(dd_PartSA_2_lines = "Yes",0,SUMIFS('Safety parameters'!$DM$6:$DM$18,'Safety parameters'!$DK$6:$DK$18,DA143,'Safety parameters'!$DL$6:$DL$18,2)+SUMIFS('Safety parameters'!$DM$6:$DM$18,'Safety parameters'!$DK$6:$DK$18,DB143,'Safety parameters'!$DL$6:$DL$18,2))</f>
        <v>2377.8779733688434</v>
      </c>
      <c r="DT143" s="910">
        <f ca="1">SUMIFS('Safety parameters'!$DO$6:$DO$18,'Safety parameters'!$DK$6:$DK$18,CZ143,'Safety parameters'!$DL$6:$DL$18,1)+IF(dd_PartSA_2_lines = "Yes",0,SUMIFS('Safety parameters'!$DO$6:$DO$18,'Safety parameters'!$DK$6:$DK$18,DA143,'Safety parameters'!$DL$6:$DL$18,2)+SUMIFS('Safety parameters'!$DO$6:$DO$18,'Safety parameters'!$DK$6:$DK$18,DB143,'Safety parameters'!$DL$6:$DL$18,2))</f>
        <v>-2.1764250363717368E-2</v>
      </c>
    </row>
    <row r="144" spans="9:124" ht="15" x14ac:dyDescent="0.2">
      <c r="CK144" s="61" t="s">
        <v>31</v>
      </c>
      <c r="CL144" s="61">
        <v>2</v>
      </c>
      <c r="CM144" s="61" t="str">
        <v>lenvatinib_plus_everolimus</v>
      </c>
      <c r="CN144" s="17">
        <v>9</v>
      </c>
      <c r="CO144" s="61" t="str" cm="1">
        <f t="array" ref="CO144">INDEX(List_comparators,CP143+1)</f>
        <v>tivozanib</v>
      </c>
      <c r="CP144" s="17">
        <v>6</v>
      </c>
      <c r="CQ144" s="601">
        <f t="shared" ca="1" si="152"/>
        <v>0</v>
      </c>
      <c r="CR144" s="601">
        <f t="shared" ca="1" si="153"/>
        <v>0</v>
      </c>
      <c r="CS144" s="669">
        <f t="shared" ca="1" si="159"/>
        <v>43.818571428571431</v>
      </c>
      <c r="CT144" s="669">
        <f t="shared" ca="1" si="154"/>
        <v>5.1742857142857135</v>
      </c>
      <c r="CU144" s="1123">
        <f>MATCH(CZ144,'Resource use and costs'!$BA$11:$BA$53,0)</f>
        <v>37</v>
      </c>
      <c r="CV144" s="1223"/>
      <c r="CW144" s="1241">
        <f t="shared" si="164"/>
        <v>1</v>
      </c>
      <c r="CX144" s="899" t="s">
        <v>764</v>
      </c>
      <c r="CY144" s="899" t="s">
        <v>319</v>
      </c>
      <c r="CZ144" s="899" t="s">
        <v>119</v>
      </c>
      <c r="DA144" s="899" t="s">
        <v>118</v>
      </c>
      <c r="DB144" s="899" t="s">
        <v>765</v>
      </c>
      <c r="DC144" s="899" cm="1">
        <f t="array" aca="1" ref="DC144" ca="1">_xlfn.IFNA(OFFSET($I$49,MATCH(CY144,$I$50:$I$63,0),MATCH(CZ144,TRANSPOSE($J$49:$W$49),0)),0)</f>
        <v>0</v>
      </c>
      <c r="DD144" s="899" cm="1">
        <f t="array" aca="1" ref="DD144" ca="1">_xlfn.IFNA(OFFSET($Y$49,MATCH($CZ144,$Y$50:$Y$63,0),MATCH($DA144,TRANSPOSE($Z$49:$AM$49),0)),0)</f>
        <v>0</v>
      </c>
      <c r="DE144" s="899" cm="1">
        <f t="array" aca="1" ref="DE144" ca="1">_xlfn.IFNA(OFFSET($AO$49,MATCH($DA144,$AO$50:$AO$63,0),MATCH($DB144,TRANSPOSE($AP$49:$BC$49),0)),0)</f>
        <v>0.43140000000000001</v>
      </c>
      <c r="DF144" s="881">
        <f t="shared" ca="1" si="161"/>
        <v>0</v>
      </c>
      <c r="DG144" s="910">
        <f t="shared" ca="1" si="162"/>
        <v>0.98859556831386541</v>
      </c>
      <c r="DH144" s="881">
        <f t="shared" ca="1" si="163"/>
        <v>0</v>
      </c>
      <c r="DI144" s="1460">
        <f t="shared" ca="1" si="158"/>
        <v>0</v>
      </c>
      <c r="DJ144" s="909">
        <f>_xlfn.IFNA(INDEX('Resource use and costs'!$CQ$11:$CQ$53,MATCH($CZ144,'Resource use and costs'!$BA$11:$BA$53,0)),0)*_xlfn.IFNA(INDEX(DY$10:DY$23,MATCH($CZ144,$DX$10:$DX$23,0)),0)</f>
        <v>944.50399999999979</v>
      </c>
      <c r="DK144" s="909">
        <f>IF(dd_PartSA_2_lines = "Yes",0,_xlfn.IFNA(INDEX('Resource use and costs'!$CR$11:$CR$53,MATCH(DA144,'Resource use and costs'!$BA$11:$BA$53,0)),0)*_xlfn.IFNA(INDEX(EA$10:EA$23,MATCH($DA144,$DX$10:$DX$23,0)),0))</f>
        <v>50308.075122000002</v>
      </c>
      <c r="DL144" s="909">
        <f>IF(dd_PartSA_2_lines = "Yes",0,_xlfn.IFNA(INDEX('Resource use and costs'!$CS$11:$CS$53,MATCH(DB144,'Resource use and costs'!$BA$11:$BA$53,0)),0)*_xlfn.IFNA(INDEX(EC$10:EC$23,MATCH($DB144,$DX$10:$DX$23,0)),0))</f>
        <v>0</v>
      </c>
      <c r="DM144" s="909">
        <f t="shared" si="165"/>
        <v>51252.579122000003</v>
      </c>
      <c r="DN144" s="909">
        <f>SUM(_xlfn.IFNA(INDEX('Resource use and costs'!$DU$12:$DU$25,MATCH(CZ144,'Resource use and costs'!$DS$12:$DS$25,0)),0),_xlfn.IFNA(INDEX('Resource use and costs'!$DU$12:$DU$25,MATCH(DA144,'Resource use and costs'!$DS$12:$DS$25,0)),0),_xlfn.IFNA(INDEX('Resource use and costs'!$DU$12:$DU$25,MATCH(DB144,'Resource use and costs'!$DS$12:$DS$25,0)),0))</f>
        <v>394.5</v>
      </c>
      <c r="DO144" s="921">
        <f>_xlfn.IFNA(INDEX('Resource use and costs'!$DY$12:$DY$25,MATCH(CZ144,'Resource use and costs'!$DS$12:$DS$25,0)),0)*_xlfn.IFNA(INDEX(DY$10:DY$23,MATCH($CZ144,$DX$10:$DX$23,0)),0)</f>
        <v>82.971428571428561</v>
      </c>
      <c r="DP144" s="921">
        <f>IF(dd_PartSA_2_lines = "Yes",0,_xlfn.IFNA(INDEX('Resource use and costs'!$DZ$12:$DZ$25,MATCH(DA144,'Resource use and costs'!$DS$12:$DS$25,0)),0)*_xlfn.IFNA(INDEX(EA$10:EA$23,MATCH($DA144,$DX$10:$DX$23,0)),0))</f>
        <v>461.1445457142857</v>
      </c>
      <c r="DQ144" s="921">
        <f>IF(dd_PartSA_2_lines = "Yes",0,_xlfn.IFNA(INDEX('Resource use and costs'!$EA$12:$EA$25,MATCH(DB144,'Resource use and costs'!$DS$12:$DS$25,0)),0)*_xlfn.IFNA(INDEX(EC$10:EC$23,MATCH($DB144,$DX$10:$DX$23,0)),0))</f>
        <v>0</v>
      </c>
      <c r="DR144" s="921">
        <f t="shared" si="166"/>
        <v>938.61597428571417</v>
      </c>
      <c r="DS144" s="1004">
        <f ca="1">SUMIFS('Safety parameters'!$DM$6:$DM$18,'Safety parameters'!$DK$6:$DK$18,CZ144,'Safety parameters'!$DL$6:$DL$18,1)+IF(dd_PartSA_2_lines = "Yes",0,SUMIFS('Safety parameters'!$DM$6:$DM$18,'Safety parameters'!$DK$6:$DK$18,DA144,'Safety parameters'!$DL$6:$DL$18,2)+SUMIFS('Safety parameters'!$DM$6:$DM$18,'Safety parameters'!$DK$6:$DK$18,DB144,'Safety parameters'!$DL$6:$DL$18,2))</f>
        <v>743.64929980338343</v>
      </c>
      <c r="DT144" s="910">
        <f ca="1">SUMIFS('Safety parameters'!$DO$6:$DO$18,'Safety parameters'!$DK$6:$DK$18,CZ144,'Safety parameters'!$DL$6:$DL$18,1)+IF(dd_PartSA_2_lines = "Yes",0,SUMIFS('Safety parameters'!$DO$6:$DO$18,'Safety parameters'!$DK$6:$DK$18,DA144,'Safety parameters'!$DL$6:$DL$18,2)+SUMIFS('Safety parameters'!$DO$6:$DO$18,'Safety parameters'!$DK$6:$DK$18,DB144,'Safety parameters'!$DL$6:$DL$18,2))</f>
        <v>-7.0223263562359372E-3</v>
      </c>
    </row>
    <row r="145" spans="9:124" ht="15" x14ac:dyDescent="0.2">
      <c r="CK145" s="61" t="s">
        <v>31</v>
      </c>
      <c r="CL145" s="61">
        <v>2</v>
      </c>
      <c r="CM145" s="61" t="str">
        <v>everolimus</v>
      </c>
      <c r="CN145" s="17">
        <v>10</v>
      </c>
      <c r="CO145" s="61" t="str" cm="1">
        <f t="array" ref="CO145">INDEX(List_comparators,CP144+1)</f>
        <v>tivozanib</v>
      </c>
      <c r="CP145" s="17">
        <v>6</v>
      </c>
      <c r="CQ145" s="601">
        <f t="shared" ca="1" si="152"/>
        <v>0</v>
      </c>
      <c r="CR145" s="601">
        <f t="shared" ca="1" si="153"/>
        <v>0</v>
      </c>
      <c r="CS145" s="669">
        <f t="shared" ca="1" si="159"/>
        <v>43.818571428571431</v>
      </c>
      <c r="CT145" s="669">
        <f t="shared" ca="1" si="154"/>
        <v>5.1742857142857135</v>
      </c>
      <c r="CU145" s="1123">
        <f>MATCH(CZ145,'Resource use and costs'!$BA$11:$BA$53,0)</f>
        <v>37</v>
      </c>
      <c r="CV145" s="1223"/>
      <c r="CW145" s="1241">
        <f t="shared" si="164"/>
        <v>1</v>
      </c>
      <c r="CX145" s="899" t="s">
        <v>764</v>
      </c>
      <c r="CY145" s="899" t="s">
        <v>319</v>
      </c>
      <c r="CZ145" s="899" t="s">
        <v>119</v>
      </c>
      <c r="DA145" s="899" t="s">
        <v>579</v>
      </c>
      <c r="DB145" s="899" t="s">
        <v>327</v>
      </c>
      <c r="DC145" s="899" cm="1">
        <f t="array" aca="1" ref="DC145" ca="1">_xlfn.IFNA(OFFSET($I$49,MATCH(CY145,$I$50:$I$63,0),MATCH(CZ145,TRANSPOSE($J$49:$W$49),0)),0)</f>
        <v>0</v>
      </c>
      <c r="DD145" s="899" cm="1">
        <f t="array" aca="1" ref="DD145" ca="1">_xlfn.IFNA(OFFSET($Y$49,MATCH($CZ145,$Y$50:$Y$63,0),MATCH($DA145,TRANSPOSE($Z$49:$AM$49),0)),0)</f>
        <v>0</v>
      </c>
      <c r="DE145" s="899" cm="1">
        <f t="array" aca="1" ref="DE145" ca="1">_xlfn.IFNA(OFFSET($AO$49,MATCH($DA145,$AO$50:$AO$63,0),MATCH($DB145,TRANSPOSE($AP$49:$BC$49),0)),0)</f>
        <v>0.56859999999999999</v>
      </c>
      <c r="DF145" s="881">
        <f t="shared" ca="1" si="161"/>
        <v>0</v>
      </c>
      <c r="DG145" s="910">
        <f t="shared" ca="1" si="162"/>
        <v>0.98859556831386541</v>
      </c>
      <c r="DH145" s="881">
        <f t="shared" ca="1" si="163"/>
        <v>0</v>
      </c>
      <c r="DI145" s="1460">
        <f t="shared" ca="1" si="158"/>
        <v>0</v>
      </c>
      <c r="DJ145" s="909">
        <f>_xlfn.IFNA(INDEX('Resource use and costs'!$CQ$11:$CQ$53,MATCH($CZ145,'Resource use and costs'!$BA$11:$BA$53,0)),0)*_xlfn.IFNA(INDEX(DY$10:DY$23,MATCH($CZ145,$DX$10:$DX$23,0)),0)</f>
        <v>944.50399999999979</v>
      </c>
      <c r="DK145" s="909">
        <f>IF(dd_PartSA_2_lines = "Yes",0,_xlfn.IFNA(INDEX('Resource use and costs'!$CR$11:$CR$53,MATCH(DA145,'Resource use and costs'!$BA$11:$BA$53,0)),0)*_xlfn.IFNA(INDEX(EA$10:EA$23,MATCH($DA145,$DX$10:$DX$23,0)),0))</f>
        <v>26054.50921</v>
      </c>
      <c r="DL145" s="909">
        <f>IF(dd_PartSA_2_lines = "Yes",0,_xlfn.IFNA(INDEX('Resource use and costs'!$CS$11:$CS$53,MATCH(DB145,'Resource use and costs'!$BA$11:$BA$53,0)),0)*_xlfn.IFNA(INDEX(EC$10:EC$23,MATCH($DB145,$DX$10:$DX$23,0)),0))</f>
        <v>18438.751749999999</v>
      </c>
      <c r="DM145" s="909">
        <f t="shared" si="165"/>
        <v>45437.76496</v>
      </c>
      <c r="DN145" s="909">
        <f>SUM(_xlfn.IFNA(INDEX('Resource use and costs'!$DU$12:$DU$25,MATCH(CZ145,'Resource use and costs'!$DS$12:$DS$25,0)),0),_xlfn.IFNA(INDEX('Resource use and costs'!$DU$12:$DU$25,MATCH(DA145,'Resource use and costs'!$DS$12:$DS$25,0)),0),_xlfn.IFNA(INDEX('Resource use and costs'!$DU$12:$DU$25,MATCH(DB145,'Resource use and costs'!$DS$12:$DS$25,0)),0))</f>
        <v>394.5</v>
      </c>
      <c r="DO145" s="921">
        <f>_xlfn.IFNA(INDEX('Resource use and costs'!$DY$12:$DY$25,MATCH(CZ145,'Resource use and costs'!$DS$12:$DS$25,0)),0)*_xlfn.IFNA(INDEX(DY$10:DY$23,MATCH($CZ145,$DX$10:$DX$23,0)),0)</f>
        <v>82.971428571428561</v>
      </c>
      <c r="DP145" s="921">
        <f>IF(dd_PartSA_2_lines = "Yes",0,_xlfn.IFNA(INDEX('Resource use and costs'!$DZ$12:$DZ$25,MATCH(DA145,'Resource use and costs'!$DS$12:$DS$25,0)),0)*_xlfn.IFNA(INDEX(EA$10:EA$23,MATCH($DA145,$DX$10:$DX$23,0)),0))</f>
        <v>4108.3597166</v>
      </c>
      <c r="DQ145" s="921">
        <f>IF(dd_PartSA_2_lines = "Yes",0,_xlfn.IFNA(INDEX('Resource use and costs'!$EA$12:$EA$25,MATCH(DB145,'Resource use and costs'!$DS$12:$DS$25,0)),0)*_xlfn.IFNA(INDEX(EC$10:EC$23,MATCH($DB145,$DX$10:$DX$23,0)),0))</f>
        <v>230.68099999999998</v>
      </c>
      <c r="DR145" s="921">
        <f t="shared" si="166"/>
        <v>4816.5121451714285</v>
      </c>
      <c r="DS145" s="1004">
        <f ca="1">SUMIFS('Safety parameters'!$DM$6:$DM$18,'Safety parameters'!$DK$6:$DK$18,CZ145,'Safety parameters'!$DL$6:$DL$18,1)+IF(dd_PartSA_2_lines = "Yes",0,SUMIFS('Safety parameters'!$DM$6:$DM$18,'Safety parameters'!$DK$6:$DK$18,DA145,'Safety parameters'!$DL$6:$DL$18,2)+SUMIFS('Safety parameters'!$DM$6:$DM$18,'Safety parameters'!$DK$6:$DK$18,DB145,'Safety parameters'!$DL$6:$DL$18,2))</f>
        <v>1795.3624225558742</v>
      </c>
      <c r="DT145" s="910">
        <f ca="1">SUMIFS('Safety parameters'!$DO$6:$DO$18,'Safety parameters'!$DK$6:$DK$18,CZ145,'Safety parameters'!$DL$6:$DL$18,1)+IF(dd_PartSA_2_lines = "Yes",0,SUMIFS('Safety parameters'!$DO$6:$DO$18,'Safety parameters'!$DK$6:$DK$18,DA145,'Safety parameters'!$DL$6:$DL$18,2)+SUMIFS('Safety parameters'!$DO$6:$DO$18,'Safety parameters'!$DK$6:$DK$18,DB145,'Safety parameters'!$DL$6:$DL$18,2))</f>
        <v>-1.6339008205166216E-2</v>
      </c>
    </row>
    <row r="146" spans="9:124" ht="15" x14ac:dyDescent="0.2">
      <c r="I146" s="865"/>
      <c r="CK146" s="61" t="s">
        <v>31</v>
      </c>
      <c r="CL146" s="61">
        <v>2</v>
      </c>
      <c r="CM146" s="61" t="str">
        <v>axitinib</v>
      </c>
      <c r="CN146" s="17">
        <v>11</v>
      </c>
      <c r="CO146" s="61" t="str" cm="1">
        <f t="array" ref="CO146">INDEX(List_comparators,CP145+1)</f>
        <v>tivozanib</v>
      </c>
      <c r="CP146" s="17">
        <v>6</v>
      </c>
      <c r="CQ146" s="601">
        <f t="shared" ca="1" si="152"/>
        <v>0</v>
      </c>
      <c r="CR146" s="601">
        <f t="shared" ca="1" si="153"/>
        <v>0</v>
      </c>
      <c r="CS146" s="669">
        <f t="shared" ca="1" si="159"/>
        <v>43.818571428571431</v>
      </c>
      <c r="CT146" s="669">
        <f t="shared" ca="1" si="154"/>
        <v>5.1742857142857135</v>
      </c>
      <c r="CU146" s="1123">
        <f>MATCH(CZ146,'Resource use and costs'!$BA$11:$BA$53,0)</f>
        <v>37</v>
      </c>
      <c r="CV146" s="1223"/>
      <c r="CW146" s="1241">
        <f t="shared" si="164"/>
        <v>1</v>
      </c>
      <c r="CX146" s="899" t="s">
        <v>764</v>
      </c>
      <c r="CY146" s="899" t="s">
        <v>319</v>
      </c>
      <c r="CZ146" s="899" t="s">
        <v>119</v>
      </c>
      <c r="DA146" s="899" t="s">
        <v>579</v>
      </c>
      <c r="DB146" s="899" t="s">
        <v>765</v>
      </c>
      <c r="DC146" s="899" cm="1">
        <f t="array" aca="1" ref="DC146" ca="1">_xlfn.IFNA(OFFSET($I$49,MATCH(CY146,$I$50:$I$63,0),MATCH(CZ146,TRANSPOSE($J$49:$W$49),0)),0)</f>
        <v>0</v>
      </c>
      <c r="DD146" s="899" cm="1">
        <f t="array" aca="1" ref="DD146" ca="1">_xlfn.IFNA(OFFSET($Y$49,MATCH($CZ146,$Y$50:$Y$63,0),MATCH($DA146,TRANSPOSE($Z$49:$AM$49),0)),0)</f>
        <v>0</v>
      </c>
      <c r="DE146" s="899" cm="1">
        <f t="array" aca="1" ref="DE146" ca="1">_xlfn.IFNA(OFFSET($AO$49,MATCH($DA146,$AO$50:$AO$63,0),MATCH($DB146,TRANSPOSE($AP$49:$BC$49),0)),0)</f>
        <v>0.43140000000000001</v>
      </c>
      <c r="DF146" s="881">
        <f t="shared" ca="1" si="161"/>
        <v>0</v>
      </c>
      <c r="DG146" s="910">
        <f t="shared" ca="1" si="162"/>
        <v>0.98859556831386541</v>
      </c>
      <c r="DH146" s="881">
        <f t="shared" ca="1" si="163"/>
        <v>0</v>
      </c>
      <c r="DI146" s="1460">
        <f t="shared" ca="1" si="158"/>
        <v>0</v>
      </c>
      <c r="DJ146" s="909">
        <f>_xlfn.IFNA(INDEX('Resource use and costs'!$CQ$11:$CQ$53,MATCH($CZ146,'Resource use and costs'!$BA$11:$BA$53,0)),0)*_xlfn.IFNA(INDEX(DY$10:DY$23,MATCH($CZ146,$DX$10:$DX$23,0)),0)</f>
        <v>944.50399999999979</v>
      </c>
      <c r="DK146" s="909">
        <f>IF(dd_PartSA_2_lines = "Yes",0,_xlfn.IFNA(INDEX('Resource use and costs'!$CR$11:$CR$53,MATCH(DA146,'Resource use and costs'!$BA$11:$BA$53,0)),0)*_xlfn.IFNA(INDEX(EA$10:EA$23,MATCH($DA146,$DX$10:$DX$23,0)),0))</f>
        <v>26054.50921</v>
      </c>
      <c r="DL146" s="909">
        <f>IF(dd_PartSA_2_lines = "Yes",0,_xlfn.IFNA(INDEX('Resource use and costs'!$CS$11:$CS$53,MATCH(DB146,'Resource use and costs'!$BA$11:$BA$53,0)),0)*_xlfn.IFNA(INDEX(EC$10:EC$23,MATCH($DB146,$DX$10:$DX$23,0)),0))</f>
        <v>0</v>
      </c>
      <c r="DM146" s="909">
        <f t="shared" si="165"/>
        <v>26999.013210000001</v>
      </c>
      <c r="DN146" s="909">
        <f>SUM(_xlfn.IFNA(INDEX('Resource use and costs'!$DU$12:$DU$25,MATCH(CZ146,'Resource use and costs'!$DS$12:$DS$25,0)),0),_xlfn.IFNA(INDEX('Resource use and costs'!$DU$12:$DU$25,MATCH(DA146,'Resource use and costs'!$DS$12:$DS$25,0)),0),_xlfn.IFNA(INDEX('Resource use and costs'!$DU$12:$DU$25,MATCH(DB146,'Resource use and costs'!$DS$12:$DS$25,0)),0))</f>
        <v>197.25</v>
      </c>
      <c r="DO146" s="921">
        <f>_xlfn.IFNA(INDEX('Resource use and costs'!$DY$12:$DY$25,MATCH(CZ146,'Resource use and costs'!$DS$12:$DS$25,0)),0)*_xlfn.IFNA(INDEX(DY$10:DY$23,MATCH($CZ146,$DX$10:$DX$23,0)),0)</f>
        <v>82.971428571428561</v>
      </c>
      <c r="DP146" s="921">
        <f>IF(dd_PartSA_2_lines = "Yes",0,_xlfn.IFNA(INDEX('Resource use and costs'!$DZ$12:$DZ$25,MATCH(DA146,'Resource use and costs'!$DS$12:$DS$25,0)),0)*_xlfn.IFNA(INDEX(EA$10:EA$23,MATCH($DA146,$DX$10:$DX$23,0)),0))</f>
        <v>4108.3597166</v>
      </c>
      <c r="DQ146" s="921">
        <f>IF(dd_PartSA_2_lines = "Yes",0,_xlfn.IFNA(INDEX('Resource use and costs'!$EA$12:$EA$25,MATCH(DB146,'Resource use and costs'!$DS$12:$DS$25,0)),0)*_xlfn.IFNA(INDEX(EC$10:EC$23,MATCH($DB146,$DX$10:$DX$23,0)),0))</f>
        <v>0</v>
      </c>
      <c r="DR146" s="921">
        <f t="shared" si="166"/>
        <v>4388.5811451714289</v>
      </c>
      <c r="DS146" s="1004">
        <f ca="1">SUMIFS('Safety parameters'!$DM$6:$DM$18,'Safety parameters'!$DK$6:$DK$18,CZ146,'Safety parameters'!$DL$6:$DL$18,1)+IF(dd_PartSA_2_lines = "Yes",0,SUMIFS('Safety parameters'!$DM$6:$DM$18,'Safety parameters'!$DK$6:$DK$18,DA146,'Safety parameters'!$DL$6:$DL$18,2)+SUMIFS('Safety parameters'!$DM$6:$DM$18,'Safety parameters'!$DK$6:$DK$18,DB146,'Safety parameters'!$DL$6:$DL$18,2))</f>
        <v>161.1337489904144</v>
      </c>
      <c r="DT146" s="910">
        <f ca="1">SUMIFS('Safety parameters'!$DO$6:$DO$18,'Safety parameters'!$DK$6:$DK$18,CZ146,'Safety parameters'!$DL$6:$DL$18,1)+IF(dd_PartSA_2_lines = "Yes",0,SUMIFS('Safety parameters'!$DO$6:$DO$18,'Safety parameters'!$DK$6:$DK$18,DA146,'Safety parameters'!$DL$6:$DL$18,2)+SUMIFS('Safety parameters'!$DO$6:$DO$18,'Safety parameters'!$DK$6:$DK$18,DB146,'Safety parameters'!$DL$6:$DL$18,2))</f>
        <v>-1.5970841976847864E-3</v>
      </c>
    </row>
    <row r="147" spans="9:124" ht="15" x14ac:dyDescent="0.2">
      <c r="I147" s="865"/>
      <c r="CK147" s="61" t="s">
        <v>31</v>
      </c>
      <c r="CL147" s="61">
        <v>2</v>
      </c>
      <c r="CM147" s="61" t="str">
        <v>sorafenib</v>
      </c>
      <c r="CN147" s="17">
        <v>12</v>
      </c>
      <c r="CO147" s="61" t="str" cm="1">
        <f t="array" ref="CO147">INDEX(List_comparators,CP146+1)</f>
        <v>tivozanib</v>
      </c>
      <c r="CP147" s="17">
        <v>6</v>
      </c>
      <c r="CQ147" s="601">
        <f t="shared" ref="CQ147:CQ178" ca="1" si="167">OFFSET($J$50,IF(CN147=999,13,CN147),CP147)</f>
        <v>0</v>
      </c>
      <c r="CR147" s="601">
        <f t="shared" ref="CR147:CR178" ca="1" si="168">OFFSET($J$65,IF(CN147=999,13,CN147),CP147)</f>
        <v>0</v>
      </c>
      <c r="CS147" s="669">
        <f t="shared" ca="1" si="159"/>
        <v>0</v>
      </c>
      <c r="CT147" s="669">
        <f t="shared" ref="CT147:CT178" ca="1" si="169">OFFSET($J$97,IF(CN147=999,13,CN147),CP147)</f>
        <v>0</v>
      </c>
      <c r="CU147" s="1123">
        <f>MATCH(CZ147,'Resource use and costs'!$BA$11:$BA$53,0)</f>
        <v>43</v>
      </c>
      <c r="CV147" s="1223"/>
      <c r="CW147" s="1241">
        <f t="shared" si="164"/>
        <v>1</v>
      </c>
      <c r="CX147" s="899" t="s">
        <v>764</v>
      </c>
      <c r="CY147" s="899" t="s">
        <v>319</v>
      </c>
      <c r="CZ147" s="899" t="s">
        <v>333</v>
      </c>
      <c r="DA147" s="899" t="s">
        <v>327</v>
      </c>
      <c r="DB147" s="899" t="s">
        <v>765</v>
      </c>
      <c r="DC147" s="899" cm="1">
        <f t="array" aca="1" ref="DC147" ca="1">_xlfn.IFNA(OFFSET($I$49,MATCH(CY147,$I$50:$I$63,0),MATCH(CZ147,TRANSPOSE($J$49:$W$49),0)),0)</f>
        <v>1.6065749508665357E-2</v>
      </c>
      <c r="DD147" s="899" cm="1">
        <f t="array" aca="1" ref="DD147" ca="1">_xlfn.IFNA(OFFSET($Y$49,MATCH($CZ147,$Y$50:$Y$63,0),MATCH($DA147,TRANSPOSE($Z$49:$AM$49),0)),0)</f>
        <v>0</v>
      </c>
      <c r="DE147" s="899">
        <v>1</v>
      </c>
      <c r="DF147" s="881">
        <f t="shared" ca="1" si="161"/>
        <v>0</v>
      </c>
      <c r="DG147" s="910">
        <f t="shared" ca="1" si="162"/>
        <v>0.98859556831386541</v>
      </c>
      <c r="DH147" s="881">
        <f t="shared" ca="1" si="163"/>
        <v>0</v>
      </c>
      <c r="DI147" s="1460">
        <f t="shared" ca="1" si="158"/>
        <v>0</v>
      </c>
      <c r="DJ147" s="909">
        <f>_xlfn.IFNA(INDEX('Resource use and costs'!$CQ$11:$CQ$53,MATCH($CZ147,'Resource use and costs'!$BA$11:$BA$53,0)),0)*_xlfn.IFNA(INDEX(DY$10:DY$23,MATCH($CZ147,$DX$10:$DX$23,0)),0)</f>
        <v>54336.641519999976</v>
      </c>
      <c r="DK147" s="909">
        <f>IF(dd_PartSA_2_lines = "Yes",0,_xlfn.IFNA(INDEX('Resource use and costs'!$CR$11:$CR$53,MATCH(DA147,'Resource use and costs'!$BA$11:$BA$53,0)),0)*_xlfn.IFNA(INDEX(EA$10:EA$23,MATCH($DA147,$DX$10:$DX$23,0)),0))</f>
        <v>21421.066008214286</v>
      </c>
      <c r="DL147" s="909">
        <f>IF(dd_PartSA_2_lines = "Yes",0,_xlfn.IFNA(INDEX('Resource use and costs'!$CS$11:$CS$53,MATCH(DB147,'Resource use and costs'!$BA$11:$BA$53,0)),0)*_xlfn.IFNA(INDEX(EC$10:EC$23,MATCH($DB147,$DX$10:$DX$23,0)),0))</f>
        <v>0</v>
      </c>
      <c r="DM147" s="909">
        <f t="shared" si="165"/>
        <v>75757.707528214261</v>
      </c>
      <c r="DN147" s="909">
        <f>SUM(_xlfn.IFNA(INDEX('Resource use and costs'!$DU$12:$DU$25,MATCH(CZ147,'Resource use and costs'!$DS$12:$DS$25,0)),0),_xlfn.IFNA(INDEX('Resource use and costs'!$DU$12:$DU$25,MATCH(DA147,'Resource use and costs'!$DS$12:$DS$25,0)),0),_xlfn.IFNA(INDEX('Resource use and costs'!$DU$12:$DU$25,MATCH(DB147,'Resource use and costs'!$DS$12:$DS$25,0)),0))</f>
        <v>394.5</v>
      </c>
      <c r="DO147" s="921">
        <f>_xlfn.IFNA(INDEX('Resource use and costs'!$DY$12:$DY$25,MATCH(CZ147,'Resource use and costs'!$DS$12:$DS$25,0)),0)*_xlfn.IFNA(INDEX(DY$10:DY$23,MATCH($CZ147,$DX$10:$DX$23,0)),0)</f>
        <v>810.54285714285697</v>
      </c>
      <c r="DP147" s="921">
        <f>IF(dd_PartSA_2_lines = "Yes",0,_xlfn.IFNA(INDEX('Resource use and costs'!$DZ$12:$DZ$25,MATCH(DA147,'Resource use and costs'!$DS$12:$DS$25,0)),0)*_xlfn.IFNA(INDEX(EA$10:EA$23,MATCH($DA147,$DX$10:$DX$23,0)),0))</f>
        <v>267.99172714285714</v>
      </c>
      <c r="DQ147" s="921">
        <f>IF(dd_PartSA_2_lines = "Yes",0,_xlfn.IFNA(INDEX('Resource use and costs'!$EA$12:$EA$25,MATCH(DB147,'Resource use and costs'!$DS$12:$DS$25,0)),0)*_xlfn.IFNA(INDEX(EC$10:EC$23,MATCH($DB147,$DX$10:$DX$23,0)),0))</f>
        <v>0</v>
      </c>
      <c r="DR147" s="921">
        <f t="shared" si="166"/>
        <v>1473.0345842857141</v>
      </c>
      <c r="DS147" s="1004">
        <f ca="1">SUMIFS('Safety parameters'!$DM$6:$DM$18,'Safety parameters'!$DK$6:$DK$18,CZ147,'Safety parameters'!$DL$6:$DL$18,1)+IF(dd_PartSA_2_lines = "Yes",0,SUMIFS('Safety parameters'!$DM$6:$DM$18,'Safety parameters'!$DK$6:$DK$18,DA147,'Safety parameters'!$DL$6:$DL$18,2)+SUMIFS('Safety parameters'!$DM$6:$DM$18,'Safety parameters'!$DK$6:$DK$18,DB147,'Safety parameters'!$DL$6:$DL$18,2))</f>
        <v>1634.2286735654598</v>
      </c>
      <c r="DT147" s="910">
        <f ca="1">SUMIFS('Safety parameters'!$DO$6:$DO$18,'Safety parameters'!$DK$6:$DK$18,CZ147,'Safety parameters'!$DL$6:$DL$18,1)+IF(dd_PartSA_2_lines = "Yes",0,SUMIFS('Safety parameters'!$DO$6:$DO$18,'Safety parameters'!$DK$6:$DK$18,DA147,'Safety parameters'!$DL$6:$DL$18,2)+SUMIFS('Safety parameters'!$DO$6:$DO$18,'Safety parameters'!$DK$6:$DK$18,DB147,'Safety parameters'!$DL$6:$DL$18,2))</f>
        <v>-1.4741924007481429E-2</v>
      </c>
    </row>
    <row r="148" spans="9:124" ht="15.75" thickBot="1" x14ac:dyDescent="0.25">
      <c r="I148" s="865"/>
      <c r="CK148" s="506" t="s">
        <v>31</v>
      </c>
      <c r="CL148" s="506">
        <v>2</v>
      </c>
      <c r="CM148" s="506" t="str">
        <v>placebo_BSC</v>
      </c>
      <c r="CN148" s="19">
        <v>999</v>
      </c>
      <c r="CO148" s="506" t="str" cm="1">
        <f t="array" ref="CO148">INDEX(List_comparators,CP135+1)</f>
        <v>tivozanib</v>
      </c>
      <c r="CP148" s="19">
        <v>6</v>
      </c>
      <c r="CQ148" s="602">
        <f t="shared" ca="1" si="167"/>
        <v>0</v>
      </c>
      <c r="CR148" s="602">
        <f t="shared" ca="1" si="168"/>
        <v>0</v>
      </c>
      <c r="CS148" s="670">
        <v>0</v>
      </c>
      <c r="CT148" s="670">
        <f t="shared" ca="1" si="169"/>
        <v>0</v>
      </c>
      <c r="CU148" s="1123">
        <f>MATCH(CZ148,'Resource use and costs'!$BA$11:$BA$53,0)</f>
        <v>43</v>
      </c>
      <c r="CV148" s="1223"/>
      <c r="CW148" s="1241">
        <f t="shared" si="164"/>
        <v>1</v>
      </c>
      <c r="CX148" s="899" t="s">
        <v>764</v>
      </c>
      <c r="CY148" s="899" t="s">
        <v>319</v>
      </c>
      <c r="CZ148" s="899" t="s">
        <v>333</v>
      </c>
      <c r="DA148" s="899" t="s">
        <v>765</v>
      </c>
      <c r="DB148" s="899"/>
      <c r="DC148" s="899" cm="1">
        <f t="array" aca="1" ref="DC148" ca="1">_xlfn.IFNA(OFFSET($I$49,MATCH(CY148,$I$50:$I$63,0),MATCH(CZ148,TRANSPOSE($J$49:$W$49),0)),0)</f>
        <v>1.6065749508665357E-2</v>
      </c>
      <c r="DD148" s="899" cm="1">
        <f t="array" aca="1" ref="DD148" ca="1">_xlfn.IFNA(OFFSET($Y$49,MATCH($CZ148,$Y$50:$Y$63,0),MATCH($DA148,TRANSPOSE($Z$49:$AM$49),0)),0)</f>
        <v>0.34300000000000003</v>
      </c>
      <c r="DE148" s="899" cm="1">
        <f t="array" aca="1" ref="DE148" ca="1">_xlfn.IFNA(OFFSET($AO$49,MATCH($DA148,$AO$50:$AO$63,0),MATCH($DB148,TRANSPOSE($AP$49:$BC$49),0)),0)</f>
        <v>0</v>
      </c>
      <c r="DF148" s="881">
        <f t="shared" ca="1" si="161"/>
        <v>5.510552081472218E-3</v>
      </c>
      <c r="DG148" s="910">
        <f t="shared" ca="1" si="162"/>
        <v>0.98859556831386541</v>
      </c>
      <c r="DH148" s="881">
        <f t="shared" ca="1" si="163"/>
        <v>5.4477073667061815E-3</v>
      </c>
      <c r="DI148" s="1460">
        <f t="shared" ca="1" si="158"/>
        <v>0.56656156613744291</v>
      </c>
      <c r="DJ148" s="909">
        <f>_xlfn.IFNA(INDEX('Resource use and costs'!$CQ$11:$CQ$53,MATCH($CZ148,'Resource use and costs'!$BA$11:$BA$53,0)),0)*_xlfn.IFNA(INDEX(DY$10:DY$23,MATCH($CZ148,$DX$10:$DX$23,0)),0)</f>
        <v>54336.641519999976</v>
      </c>
      <c r="DK148" s="909">
        <f>IF(dd_PartSA_2_lines = "Yes",0,_xlfn.IFNA(INDEX('Resource use and costs'!$CR$11:$CR$53,MATCH(DA148,'Resource use and costs'!$BA$11:$BA$53,0)),0)*_xlfn.IFNA(INDEX(EA$10:EA$23,MATCH($DA148,$DX$10:$DX$23,0)),0))</f>
        <v>0</v>
      </c>
      <c r="DL148" s="909">
        <f>IF(dd_PartSA_2_lines = "Yes",0,_xlfn.IFNA(INDEX('Resource use and costs'!$CS$11:$CS$53,MATCH(DB148,'Resource use and costs'!$BA$11:$BA$53,0)),0)*_xlfn.IFNA(INDEX(EC$10:EC$23,MATCH($DB148,$DX$10:$DX$23,0)),0))</f>
        <v>0</v>
      </c>
      <c r="DM148" s="909">
        <f t="shared" si="165"/>
        <v>54336.641519999976</v>
      </c>
      <c r="DN148" s="909">
        <f>SUM(_xlfn.IFNA(INDEX('Resource use and costs'!$DU$12:$DU$25,MATCH(CZ148,'Resource use and costs'!$DS$12:$DS$25,0)),0),_xlfn.IFNA(INDEX('Resource use and costs'!$DU$12:$DU$25,MATCH(DA148,'Resource use and costs'!$DS$12:$DS$25,0)),0),_xlfn.IFNA(INDEX('Resource use and costs'!$DU$12:$DU$25,MATCH(DB148,'Resource use and costs'!$DS$12:$DS$25,0)),0))</f>
        <v>197.25</v>
      </c>
      <c r="DO148" s="921">
        <f>_xlfn.IFNA(INDEX('Resource use and costs'!$DY$12:$DY$25,MATCH(CZ148,'Resource use and costs'!$DS$12:$DS$25,0)),0)*_xlfn.IFNA(INDEX(DY$10:DY$23,MATCH($CZ148,$DX$10:$DX$23,0)),0)</f>
        <v>810.54285714285697</v>
      </c>
      <c r="DP148" s="921">
        <f>IF(dd_PartSA_2_lines = "Yes",0,_xlfn.IFNA(INDEX('Resource use and costs'!$DZ$12:$DZ$25,MATCH(DA148,'Resource use and costs'!$DS$12:$DS$25,0)),0)*_xlfn.IFNA(INDEX(EA$10:EA$23,MATCH($DA148,$DX$10:$DX$23,0)),0))</f>
        <v>0</v>
      </c>
      <c r="DQ148" s="921">
        <f>IF(dd_PartSA_2_lines = "Yes",0,_xlfn.IFNA(INDEX('Resource use and costs'!$EA$12:$EA$25,MATCH(DB148,'Resource use and costs'!$DS$12:$DS$25,0)),0)*_xlfn.IFNA(INDEX(EC$10:EC$23,MATCH($DB148,$DX$10:$DX$23,0)),0))</f>
        <v>0</v>
      </c>
      <c r="DR148" s="921">
        <f t="shared" si="166"/>
        <v>1007.792857142857</v>
      </c>
      <c r="DS148" s="1004">
        <f>SUMIFS('Safety parameters'!$DM$6:$DM$18,'Safety parameters'!$DK$6:$DK$18,CZ148,'Safety parameters'!$DL$6:$DL$18,1)+IF(dd_PartSA_2_lines = "Yes",0,SUMIFS('Safety parameters'!$DM$6:$DM$18,'Safety parameters'!$DK$6:$DK$18,DA148,'Safety parameters'!$DL$6:$DL$18,2)+SUMIFS('Safety parameters'!$DM$6:$DM$18,'Safety parameters'!$DK$6:$DK$18,DB148,'Safety parameters'!$DL$6:$DL$18,2))</f>
        <v>0</v>
      </c>
      <c r="DT148" s="910">
        <f>SUMIFS('Safety parameters'!$DO$6:$DO$18,'Safety parameters'!$DK$6:$DK$18,CZ148,'Safety parameters'!$DL$6:$DL$18,1)+IF(dd_PartSA_2_lines = "Yes",0,SUMIFS('Safety parameters'!$DO$6:$DO$18,'Safety parameters'!$DK$6:$DK$18,DA148,'Safety parameters'!$DL$6:$DL$18,2)+SUMIFS('Safety parameters'!$DO$6:$DO$18,'Safety parameters'!$DK$6:$DK$18,DB148,'Safety parameters'!$DL$6:$DL$18,2))</f>
        <v>0</v>
      </c>
    </row>
    <row r="149" spans="9:124" ht="15" x14ac:dyDescent="0.2">
      <c r="I149" s="865"/>
      <c r="CK149" s="505" t="s">
        <v>31</v>
      </c>
      <c r="CL149" s="505">
        <v>2</v>
      </c>
      <c r="CM149" s="61" t="str" cm="1">
        <f t="array" ref="CM149:CM162">List_comparators</f>
        <v>nivolumab_monotherapy</v>
      </c>
      <c r="CN149" s="17">
        <v>0</v>
      </c>
      <c r="CO149" s="61" t="str" cm="1">
        <f t="array" ref="CO149">INDEX(List_comparators,CP149+1)</f>
        <v>sunitinib</v>
      </c>
      <c r="CP149" s="17">
        <v>7</v>
      </c>
      <c r="CQ149" s="603">
        <f t="shared" ca="1" si="167"/>
        <v>0</v>
      </c>
      <c r="CR149" s="603">
        <f t="shared" ca="1" si="168"/>
        <v>0</v>
      </c>
      <c r="CS149" s="669">
        <f t="shared" ref="CS149:CS161" ca="1" si="170">OFFSET($J$81,IF(CN149=999,13,CN149),CP149)</f>
        <v>44.431428571428569</v>
      </c>
      <c r="CT149" s="669">
        <f t="shared" ca="1" si="169"/>
        <v>9.668571428571429</v>
      </c>
      <c r="CU149" s="1123">
        <f>MATCH(CZ149,'Resource use and costs'!$BA$11:$BA$53,0)</f>
        <v>43</v>
      </c>
      <c r="CV149" s="1223"/>
      <c r="CW149" s="1241">
        <f t="shared" si="164"/>
        <v>1</v>
      </c>
      <c r="CX149" s="899" t="s">
        <v>764</v>
      </c>
      <c r="CY149" s="899" t="s">
        <v>319</v>
      </c>
      <c r="CZ149" s="899" t="s">
        <v>333</v>
      </c>
      <c r="DA149" s="899" t="s">
        <v>118</v>
      </c>
      <c r="DB149" s="899" t="s">
        <v>327</v>
      </c>
      <c r="DC149" s="899" cm="1">
        <f t="array" aca="1" ref="DC149" ca="1">_xlfn.IFNA(OFFSET($I$49,MATCH(CY149,$I$50:$I$63,0),MATCH(CZ149,TRANSPOSE($J$49:$W$49),0)),0)</f>
        <v>1.6065749508665357E-2</v>
      </c>
      <c r="DD149" s="899">
        <f ca="1">1-DD151-DD148</f>
        <v>0.57489999999999997</v>
      </c>
      <c r="DE149" s="899">
        <f ca="1">1-DE150</f>
        <v>0.56859999999999999</v>
      </c>
      <c r="DF149" s="881">
        <f t="shared" ca="1" si="161"/>
        <v>5.2517029745935313E-3</v>
      </c>
      <c r="DG149" s="910">
        <f t="shared" ca="1" si="162"/>
        <v>0.98859556831386541</v>
      </c>
      <c r="DH149" s="881">
        <f t="shared" ca="1" si="163"/>
        <v>5.1918102867839098E-3</v>
      </c>
      <c r="DI149" s="1460">
        <f t="shared" ca="1" si="158"/>
        <v>0.53994826982552657</v>
      </c>
      <c r="DJ149" s="909">
        <f>_xlfn.IFNA(INDEX('Resource use and costs'!$CQ$11:$CQ$53,MATCH($CZ149,'Resource use and costs'!$BA$11:$BA$53,0)),0)*_xlfn.IFNA(INDEX(DY$10:DY$23,MATCH($CZ149,$DX$10:$DX$23,0)),0)</f>
        <v>54336.641519999976</v>
      </c>
      <c r="DK149" s="909">
        <f>IF(dd_PartSA_2_lines = "Yes",0,_xlfn.IFNA(INDEX('Resource use and costs'!$CR$11:$CR$53,MATCH(DA149,'Resource use and costs'!$BA$11:$BA$53,0)),0)*_xlfn.IFNA(INDEX(EA$10:EA$23,MATCH($DA149,$DX$10:$DX$23,0)),0))</f>
        <v>50308.075122000002</v>
      </c>
      <c r="DL149" s="909">
        <f>IF(dd_PartSA_2_lines = "Yes",0,_xlfn.IFNA(INDEX('Resource use and costs'!$CS$11:$CS$53,MATCH(DB149,'Resource use and costs'!$BA$11:$BA$53,0)),0)*_xlfn.IFNA(INDEX(EC$10:EC$23,MATCH($DB149,$DX$10:$DX$23,0)),0))</f>
        <v>18438.751749999999</v>
      </c>
      <c r="DM149" s="909">
        <f t="shared" si="165"/>
        <v>123083.46839199998</v>
      </c>
      <c r="DN149" s="909">
        <f>SUM(_xlfn.IFNA(INDEX('Resource use and costs'!$DU$12:$DU$25,MATCH(CZ149,'Resource use and costs'!$DS$12:$DS$25,0)),0),_xlfn.IFNA(INDEX('Resource use and costs'!$DU$12:$DU$25,MATCH(DA149,'Resource use and costs'!$DS$12:$DS$25,0)),0),_xlfn.IFNA(INDEX('Resource use and costs'!$DU$12:$DU$25,MATCH(DB149,'Resource use and costs'!$DS$12:$DS$25,0)),0))</f>
        <v>591.75</v>
      </c>
      <c r="DO149" s="921">
        <f>_xlfn.IFNA(INDEX('Resource use and costs'!$DY$12:$DY$25,MATCH(CZ149,'Resource use and costs'!$DS$12:$DS$25,0)),0)*_xlfn.IFNA(INDEX(DY$10:DY$23,MATCH($CZ149,$DX$10:$DX$23,0)),0)</f>
        <v>810.54285714285697</v>
      </c>
      <c r="DP149" s="921">
        <f>IF(dd_PartSA_2_lines = "Yes",0,_xlfn.IFNA(INDEX('Resource use and costs'!$DZ$12:$DZ$25,MATCH(DA149,'Resource use and costs'!$DS$12:$DS$25,0)),0)*_xlfn.IFNA(INDEX(EA$10:EA$23,MATCH($DA149,$DX$10:$DX$23,0)),0))</f>
        <v>461.1445457142857</v>
      </c>
      <c r="DQ149" s="921">
        <f>IF(dd_PartSA_2_lines = "Yes",0,_xlfn.IFNA(INDEX('Resource use and costs'!$EA$12:$EA$25,MATCH(DB149,'Resource use and costs'!$DS$12:$DS$25,0)),0)*_xlfn.IFNA(INDEX(EC$10:EC$23,MATCH($DB149,$DX$10:$DX$23,0)),0))</f>
        <v>230.68099999999998</v>
      </c>
      <c r="DR149" s="921">
        <f t="shared" si="166"/>
        <v>2094.1184028571424</v>
      </c>
      <c r="DS149" s="1004">
        <f ca="1">SUMIFS('Safety parameters'!$DM$6:$DM$18,'Safety parameters'!$DK$6:$DK$18,CZ149,'Safety parameters'!$DL$6:$DL$18,1)+IF(dd_PartSA_2_lines = "Yes",0,SUMIFS('Safety parameters'!$DM$6:$DM$18,'Safety parameters'!$DK$6:$DK$18,DA149,'Safety parameters'!$DL$6:$DL$18,2)+SUMIFS('Safety parameters'!$DM$6:$DM$18,'Safety parameters'!$DK$6:$DK$18,DB149,'Safety parameters'!$DL$6:$DL$18,2))</f>
        <v>2377.8779733688434</v>
      </c>
      <c r="DT149" s="910">
        <f ca="1">SUMIFS('Safety parameters'!$DO$6:$DO$18,'Safety parameters'!$DK$6:$DK$18,CZ149,'Safety parameters'!$DL$6:$DL$18,1)+IF(dd_PartSA_2_lines = "Yes",0,SUMIFS('Safety parameters'!$DO$6:$DO$18,'Safety parameters'!$DK$6:$DK$18,DA149,'Safety parameters'!$DL$6:$DL$18,2)+SUMIFS('Safety parameters'!$DO$6:$DO$18,'Safety parameters'!$DK$6:$DK$18,DB149,'Safety parameters'!$DL$6:$DL$18,2))</f>
        <v>-2.1764250363717368E-2</v>
      </c>
    </row>
    <row r="150" spans="9:124" ht="15" x14ac:dyDescent="0.2">
      <c r="I150" s="865"/>
      <c r="CK150" s="61" t="s">
        <v>31</v>
      </c>
      <c r="CL150" s="61">
        <v>2</v>
      </c>
      <c r="CM150" s="61" t="str">
        <v>cabozantinib_plus_nivolumab</v>
      </c>
      <c r="CN150" s="17">
        <v>1</v>
      </c>
      <c r="CO150" s="61" t="str" cm="1">
        <f t="array" ref="CO150">INDEX(List_comparators,CP149+1)</f>
        <v>sunitinib</v>
      </c>
      <c r="CP150" s="17">
        <v>7</v>
      </c>
      <c r="CQ150" s="601">
        <f t="shared" ca="1" si="167"/>
        <v>3.1975660070562968E-2</v>
      </c>
      <c r="CR150" s="601">
        <f t="shared" ca="1" si="168"/>
        <v>3.1975660070562972E-3</v>
      </c>
      <c r="CS150" s="669">
        <f t="shared" ca="1" si="170"/>
        <v>44.431428571428569</v>
      </c>
      <c r="CT150" s="669">
        <f t="shared" ca="1" si="169"/>
        <v>9.668571428571429</v>
      </c>
      <c r="CU150" s="1123">
        <f>MATCH(CZ150,'Resource use and costs'!$BA$11:$BA$53,0)</f>
        <v>43</v>
      </c>
      <c r="CV150" s="1223"/>
      <c r="CW150" s="1241">
        <f t="shared" si="164"/>
        <v>1</v>
      </c>
      <c r="CX150" s="899" t="s">
        <v>764</v>
      </c>
      <c r="CY150" s="899" t="s">
        <v>319</v>
      </c>
      <c r="CZ150" s="899" t="s">
        <v>333</v>
      </c>
      <c r="DA150" s="899" t="s">
        <v>118</v>
      </c>
      <c r="DB150" s="899" t="s">
        <v>765</v>
      </c>
      <c r="DC150" s="899" cm="1">
        <f t="array" aca="1" ref="DC150" ca="1">_xlfn.IFNA(OFFSET($I$49,MATCH(CY150,$I$50:$I$63,0),MATCH(CZ150,TRANSPOSE($J$49:$W$49),0)),0)</f>
        <v>1.6065749508665357E-2</v>
      </c>
      <c r="DD150" s="899">
        <f ca="1">DD149</f>
        <v>0.57489999999999997</v>
      </c>
      <c r="DE150" s="899" cm="1">
        <f t="array" aca="1" ref="DE150" ca="1">_xlfn.IFNA(OFFSET($AO$49,MATCH($DA150,$AO$50:$AO$63,0),MATCH($DB150,TRANSPOSE($AP$49:$BC$49),0)),0)</f>
        <v>0.43140000000000001</v>
      </c>
      <c r="DF150" s="881">
        <f t="shared" ca="1" si="161"/>
        <v>3.9844964179381812E-3</v>
      </c>
      <c r="DG150" s="910">
        <f t="shared" ca="1" si="162"/>
        <v>0.98859556831386541</v>
      </c>
      <c r="DH150" s="881">
        <f t="shared" ca="1" si="163"/>
        <v>3.9390555007361569E-3</v>
      </c>
      <c r="DI150" s="1460">
        <f t="shared" ca="1" si="158"/>
        <v>0.40966177207656029</v>
      </c>
      <c r="DJ150" s="909">
        <f>_xlfn.IFNA(INDEX('Resource use and costs'!$CQ$11:$CQ$53,MATCH($CZ150,'Resource use and costs'!$BA$11:$BA$53,0)),0)*_xlfn.IFNA(INDEX(DY$10:DY$23,MATCH($CZ150,$DX$10:$DX$23,0)),0)</f>
        <v>54336.641519999976</v>
      </c>
      <c r="DK150" s="909">
        <f>IF(dd_PartSA_2_lines = "Yes",0,_xlfn.IFNA(INDEX('Resource use and costs'!$CR$11:$CR$53,MATCH(DA150,'Resource use and costs'!$BA$11:$BA$53,0)),0)*_xlfn.IFNA(INDEX(EA$10:EA$23,MATCH($DA150,$DX$10:$DX$23,0)),0))</f>
        <v>50308.075122000002</v>
      </c>
      <c r="DL150" s="909">
        <f>IF(dd_PartSA_2_lines = "Yes",0,_xlfn.IFNA(INDEX('Resource use and costs'!$CS$11:$CS$53,MATCH(DB150,'Resource use and costs'!$BA$11:$BA$53,0)),0)*_xlfn.IFNA(INDEX(EC$10:EC$23,MATCH($DB150,$DX$10:$DX$23,0)),0))</f>
        <v>0</v>
      </c>
      <c r="DM150" s="909">
        <f t="shared" si="165"/>
        <v>104644.71664199998</v>
      </c>
      <c r="DN150" s="909">
        <f>SUM(_xlfn.IFNA(INDEX('Resource use and costs'!$DU$12:$DU$25,MATCH(CZ150,'Resource use and costs'!$DS$12:$DS$25,0)),0),_xlfn.IFNA(INDEX('Resource use and costs'!$DU$12:$DU$25,MATCH(DA150,'Resource use and costs'!$DS$12:$DS$25,0)),0),_xlfn.IFNA(INDEX('Resource use and costs'!$DU$12:$DU$25,MATCH(DB150,'Resource use and costs'!$DS$12:$DS$25,0)),0))</f>
        <v>394.5</v>
      </c>
      <c r="DO150" s="921">
        <f>_xlfn.IFNA(INDEX('Resource use and costs'!$DY$12:$DY$25,MATCH(CZ150,'Resource use and costs'!$DS$12:$DS$25,0)),0)*_xlfn.IFNA(INDEX(DY$10:DY$23,MATCH($CZ150,$DX$10:$DX$23,0)),0)</f>
        <v>810.54285714285697</v>
      </c>
      <c r="DP150" s="921">
        <f>IF(dd_PartSA_2_lines = "Yes",0,_xlfn.IFNA(INDEX('Resource use and costs'!$DZ$12:$DZ$25,MATCH(DA150,'Resource use and costs'!$DS$12:$DS$25,0)),0)*_xlfn.IFNA(INDEX(EA$10:EA$23,MATCH($DA150,$DX$10:$DX$23,0)),0))</f>
        <v>461.1445457142857</v>
      </c>
      <c r="DQ150" s="921">
        <f>IF(dd_PartSA_2_lines = "Yes",0,_xlfn.IFNA(INDEX('Resource use and costs'!$EA$12:$EA$25,MATCH(DB150,'Resource use and costs'!$DS$12:$DS$25,0)),0)*_xlfn.IFNA(INDEX(EC$10:EC$23,MATCH($DB150,$DX$10:$DX$23,0)),0))</f>
        <v>0</v>
      </c>
      <c r="DR150" s="921">
        <f t="shared" si="166"/>
        <v>1666.1874028571426</v>
      </c>
      <c r="DS150" s="1004">
        <f ca="1">SUMIFS('Safety parameters'!$DM$6:$DM$18,'Safety parameters'!$DK$6:$DK$18,CZ150,'Safety parameters'!$DL$6:$DL$18,1)+IF(dd_PartSA_2_lines = "Yes",0,SUMIFS('Safety parameters'!$DM$6:$DM$18,'Safety parameters'!$DK$6:$DK$18,DA150,'Safety parameters'!$DL$6:$DL$18,2)+SUMIFS('Safety parameters'!$DM$6:$DM$18,'Safety parameters'!$DK$6:$DK$18,DB150,'Safety parameters'!$DL$6:$DL$18,2))</f>
        <v>743.64929980338343</v>
      </c>
      <c r="DT150" s="910">
        <f ca="1">SUMIFS('Safety parameters'!$DO$6:$DO$18,'Safety parameters'!$DK$6:$DK$18,CZ150,'Safety parameters'!$DL$6:$DL$18,1)+IF(dd_PartSA_2_lines = "Yes",0,SUMIFS('Safety parameters'!$DO$6:$DO$18,'Safety parameters'!$DK$6:$DK$18,DA150,'Safety parameters'!$DL$6:$DL$18,2)+SUMIFS('Safety parameters'!$DO$6:$DO$18,'Safety parameters'!$DK$6:$DK$18,DB150,'Safety parameters'!$DL$6:$DL$18,2))</f>
        <v>-7.0223263562359372E-3</v>
      </c>
    </row>
    <row r="151" spans="9:124" ht="15" x14ac:dyDescent="0.2">
      <c r="I151" s="865"/>
      <c r="CK151" s="61" t="s">
        <v>31</v>
      </c>
      <c r="CL151" s="61">
        <v>2</v>
      </c>
      <c r="CM151" s="61" t="str">
        <v>nivolumab_plus_ipilimumab</v>
      </c>
      <c r="CN151" s="17">
        <v>2</v>
      </c>
      <c r="CO151" s="61" t="str" cm="1">
        <f t="array" ref="CO151">INDEX(List_comparators,CP150+1)</f>
        <v>sunitinib</v>
      </c>
      <c r="CP151" s="17">
        <v>7</v>
      </c>
      <c r="CQ151" s="601">
        <f t="shared" ca="1" si="167"/>
        <v>7.7722689604201728E-2</v>
      </c>
      <c r="CR151" s="601">
        <f t="shared" ca="1" si="168"/>
        <v>7.7722689604201728E-3</v>
      </c>
      <c r="CS151" s="669">
        <f t="shared" ca="1" si="170"/>
        <v>44.431428571428569</v>
      </c>
      <c r="CT151" s="669">
        <f t="shared" ca="1" si="169"/>
        <v>9.668571428571429</v>
      </c>
      <c r="CU151" s="1123">
        <f>MATCH(CZ151,'Resource use and costs'!$BA$11:$BA$53,0)</f>
        <v>43</v>
      </c>
      <c r="CV151" s="1223"/>
      <c r="CW151" s="1241">
        <f t="shared" si="164"/>
        <v>1</v>
      </c>
      <c r="CX151" s="899" t="s">
        <v>764</v>
      </c>
      <c r="CY151" s="899" t="s">
        <v>319</v>
      </c>
      <c r="CZ151" s="899" t="s">
        <v>333</v>
      </c>
      <c r="DA151" s="899" t="s">
        <v>579</v>
      </c>
      <c r="DB151" s="899" t="s">
        <v>327</v>
      </c>
      <c r="DC151" s="899" cm="1">
        <f t="array" aca="1" ref="DC151" ca="1">_xlfn.IFNA(OFFSET($I$49,MATCH(CY151,$I$50:$I$63,0),MATCH(CZ151,TRANSPOSE($J$49:$W$49),0)),0)</f>
        <v>1.6065749508665357E-2</v>
      </c>
      <c r="DD151" s="899" cm="1">
        <f t="array" aca="1" ref="DD151" ca="1">_xlfn.IFNA(OFFSET($Y$49,MATCH($CZ151,$Y$50:$Y$63,0),MATCH($DA151,TRANSPOSE($Z$49:$AM$49),0)),0)</f>
        <v>8.2100000000000006E-2</v>
      </c>
      <c r="DE151" s="899" cm="1">
        <f t="array" aca="1" ref="DE151" ca="1">_xlfn.IFNA(OFFSET($AO$49,MATCH($DA151,$AO$50:$AO$63,0),MATCH($DB151,TRANSPOSE($AP$49:$BC$49),0)),0)</f>
        <v>0.56859999999999999</v>
      </c>
      <c r="DF151" s="881">
        <f t="shared" ca="1" si="161"/>
        <v>7.4998228250848671E-4</v>
      </c>
      <c r="DG151" s="910">
        <f t="shared" ca="1" si="162"/>
        <v>0.98859556831386541</v>
      </c>
      <c r="DH151" s="881">
        <f t="shared" ca="1" si="163"/>
        <v>7.4142916080180735E-4</v>
      </c>
      <c r="DI151" s="1460">
        <f t="shared" ca="1" si="158"/>
        <v>7.7108632723387971E-2</v>
      </c>
      <c r="DJ151" s="909">
        <f>_xlfn.IFNA(INDEX('Resource use and costs'!$CQ$11:$CQ$53,MATCH($CZ151,'Resource use and costs'!$BA$11:$BA$53,0)),0)*_xlfn.IFNA(INDEX(DY$10:DY$23,MATCH($CZ151,$DX$10:$DX$23,0)),0)</f>
        <v>54336.641519999976</v>
      </c>
      <c r="DK151" s="909">
        <f>IF(dd_PartSA_2_lines = "Yes",0,_xlfn.IFNA(INDEX('Resource use and costs'!$CR$11:$CR$53,MATCH(DA151,'Resource use and costs'!$BA$11:$BA$53,0)),0)*_xlfn.IFNA(INDEX(EA$10:EA$23,MATCH($DA151,$DX$10:$DX$23,0)),0))</f>
        <v>26054.50921</v>
      </c>
      <c r="DL151" s="909">
        <f>IF(dd_PartSA_2_lines = "Yes",0,_xlfn.IFNA(INDEX('Resource use and costs'!$CS$11:$CS$53,MATCH(DB151,'Resource use and costs'!$BA$11:$BA$53,0)),0)*_xlfn.IFNA(INDEX(EC$10:EC$23,MATCH($DB151,$DX$10:$DX$23,0)),0))</f>
        <v>18438.751749999999</v>
      </c>
      <c r="DM151" s="909">
        <f t="shared" si="165"/>
        <v>98829.902479999975</v>
      </c>
      <c r="DN151" s="909">
        <f>SUM(_xlfn.IFNA(INDEX('Resource use and costs'!$DU$12:$DU$25,MATCH(CZ151,'Resource use and costs'!$DS$12:$DS$25,0)),0),_xlfn.IFNA(INDEX('Resource use and costs'!$DU$12:$DU$25,MATCH(DA151,'Resource use and costs'!$DS$12:$DS$25,0)),0),_xlfn.IFNA(INDEX('Resource use and costs'!$DU$12:$DU$25,MATCH(DB151,'Resource use and costs'!$DS$12:$DS$25,0)),0))</f>
        <v>394.5</v>
      </c>
      <c r="DO151" s="921">
        <f>_xlfn.IFNA(INDEX('Resource use and costs'!$DY$12:$DY$25,MATCH(CZ151,'Resource use and costs'!$DS$12:$DS$25,0)),0)*_xlfn.IFNA(INDEX(DY$10:DY$23,MATCH($CZ151,$DX$10:$DX$23,0)),0)</f>
        <v>810.54285714285697</v>
      </c>
      <c r="DP151" s="921">
        <f>IF(dd_PartSA_2_lines = "Yes",0,_xlfn.IFNA(INDEX('Resource use and costs'!$DZ$12:$DZ$25,MATCH(DA151,'Resource use and costs'!$DS$12:$DS$25,0)),0)*_xlfn.IFNA(INDEX(EA$10:EA$23,MATCH($DA151,$DX$10:$DX$23,0)),0))</f>
        <v>4108.3597166</v>
      </c>
      <c r="DQ151" s="921">
        <f>IF(dd_PartSA_2_lines = "Yes",0,_xlfn.IFNA(INDEX('Resource use and costs'!$EA$12:$EA$25,MATCH(DB151,'Resource use and costs'!$DS$12:$DS$25,0)),0)*_xlfn.IFNA(INDEX(EC$10:EC$23,MATCH($DB151,$DX$10:$DX$23,0)),0))</f>
        <v>230.68099999999998</v>
      </c>
      <c r="DR151" s="921">
        <f t="shared" si="166"/>
        <v>5544.0835737428561</v>
      </c>
      <c r="DS151" s="1004">
        <f ca="1">SUMIFS('Safety parameters'!$DM$6:$DM$18,'Safety parameters'!$DK$6:$DK$18,CZ151,'Safety parameters'!$DL$6:$DL$18,1)+IF(dd_PartSA_2_lines = "Yes",0,SUMIFS('Safety parameters'!$DM$6:$DM$18,'Safety parameters'!$DK$6:$DK$18,DA151,'Safety parameters'!$DL$6:$DL$18,2)+SUMIFS('Safety parameters'!$DM$6:$DM$18,'Safety parameters'!$DK$6:$DK$18,DB151,'Safety parameters'!$DL$6:$DL$18,2))</f>
        <v>1795.3624225558742</v>
      </c>
      <c r="DT151" s="910">
        <f ca="1">SUMIFS('Safety parameters'!$DO$6:$DO$18,'Safety parameters'!$DK$6:$DK$18,CZ151,'Safety parameters'!$DL$6:$DL$18,1)+IF(dd_PartSA_2_lines = "Yes",0,SUMIFS('Safety parameters'!$DO$6:$DO$18,'Safety parameters'!$DK$6:$DK$18,DA151,'Safety parameters'!$DL$6:$DL$18,2)+SUMIFS('Safety parameters'!$DO$6:$DO$18,'Safety parameters'!$DK$6:$DK$18,DB151,'Safety parameters'!$DL$6:$DL$18,2))</f>
        <v>-1.6339008205166216E-2</v>
      </c>
    </row>
    <row r="152" spans="9:124" ht="15" x14ac:dyDescent="0.2">
      <c r="I152" s="865"/>
      <c r="CK152" s="61" t="s">
        <v>31</v>
      </c>
      <c r="CL152" s="61">
        <v>2</v>
      </c>
      <c r="CM152" s="61" t="str">
        <v>lenvatinib_plus_pembrolizumab</v>
      </c>
      <c r="CN152" s="17">
        <v>3</v>
      </c>
      <c r="CO152" s="61" t="str" cm="1">
        <f t="array" ref="CO152">INDEX(List_comparators,CP151+1)</f>
        <v>sunitinib</v>
      </c>
      <c r="CP152" s="17">
        <v>7</v>
      </c>
      <c r="CQ152" s="601">
        <f t="shared" ca="1" si="167"/>
        <v>3.1975660070562968E-2</v>
      </c>
      <c r="CR152" s="601">
        <f t="shared" ca="1" si="168"/>
        <v>3.1975660070562972E-3</v>
      </c>
      <c r="CS152" s="669">
        <f t="shared" ca="1" si="170"/>
        <v>44.431428571428569</v>
      </c>
      <c r="CT152" s="669">
        <f t="shared" ca="1" si="169"/>
        <v>9.668571428571429</v>
      </c>
      <c r="CU152" s="1123">
        <f>MATCH(CZ152,'Resource use and costs'!$BA$11:$BA$53,0)</f>
        <v>43</v>
      </c>
      <c r="CV152" s="1223"/>
      <c r="CW152" s="1241">
        <f t="shared" si="164"/>
        <v>1</v>
      </c>
      <c r="CX152" s="899" t="s">
        <v>764</v>
      </c>
      <c r="CY152" s="899" t="s">
        <v>319</v>
      </c>
      <c r="CZ152" s="899" t="s">
        <v>333</v>
      </c>
      <c r="DA152" s="899" t="s">
        <v>579</v>
      </c>
      <c r="DB152" s="899" t="s">
        <v>765</v>
      </c>
      <c r="DC152" s="899" cm="1">
        <f t="array" aca="1" ref="DC152" ca="1">_xlfn.IFNA(OFFSET($I$49,MATCH(CY152,$I$50:$I$63,0),MATCH(CZ152,TRANSPOSE($J$49:$W$49),0)),0)</f>
        <v>1.6065749508665357E-2</v>
      </c>
      <c r="DD152" s="899" cm="1">
        <f t="array" aca="1" ref="DD152" ca="1">_xlfn.IFNA(OFFSET($Y$49,MATCH($CZ152,$Y$50:$Y$63,0),MATCH($DA152,TRANSPOSE($Z$49:$AM$49),0)),0)</f>
        <v>8.2100000000000006E-2</v>
      </c>
      <c r="DE152" s="899" cm="1">
        <f t="array" aca="1" ref="DE152" ca="1">_xlfn.IFNA(OFFSET($AO$49,MATCH($DA152,$AO$50:$AO$63,0),MATCH($DB152,TRANSPOSE($AP$49:$BC$49),0)),0)</f>
        <v>0.43140000000000001</v>
      </c>
      <c r="DF152" s="881">
        <f t="shared" ca="1" si="161"/>
        <v>5.6901575215293919E-4</v>
      </c>
      <c r="DG152" s="910">
        <f t="shared" ca="1" si="162"/>
        <v>0.98859556831386541</v>
      </c>
      <c r="DH152" s="881">
        <f t="shared" ca="1" si="163"/>
        <v>5.6252645087917648E-4</v>
      </c>
      <c r="DI152" s="1460">
        <f t="shared" ca="1" si="158"/>
        <v>5.8502750891434356E-2</v>
      </c>
      <c r="DJ152" s="909">
        <f>_xlfn.IFNA(INDEX('Resource use and costs'!$CQ$11:$CQ$53,MATCH($CZ152,'Resource use and costs'!$BA$11:$BA$53,0)),0)*_xlfn.IFNA(INDEX(DY$10:DY$23,MATCH($CZ152,$DX$10:$DX$23,0)),0)</f>
        <v>54336.641519999976</v>
      </c>
      <c r="DK152" s="909">
        <f>IF(dd_PartSA_2_lines = "Yes",0,_xlfn.IFNA(INDEX('Resource use and costs'!$CR$11:$CR$53,MATCH(DA152,'Resource use and costs'!$BA$11:$BA$53,0)),0)*_xlfn.IFNA(INDEX(EA$10:EA$23,MATCH($DA152,$DX$10:$DX$23,0)),0))</f>
        <v>26054.50921</v>
      </c>
      <c r="DL152" s="909">
        <f>IF(dd_PartSA_2_lines = "Yes",0,_xlfn.IFNA(INDEX('Resource use and costs'!$CS$11:$CS$53,MATCH(DB152,'Resource use and costs'!$BA$11:$BA$53,0)),0)*_xlfn.IFNA(INDEX(EC$10:EC$23,MATCH($DB152,$DX$10:$DX$23,0)),0))</f>
        <v>0</v>
      </c>
      <c r="DM152" s="909">
        <f t="shared" si="165"/>
        <v>80391.150729999979</v>
      </c>
      <c r="DN152" s="909">
        <f>SUM(_xlfn.IFNA(INDEX('Resource use and costs'!$DU$12:$DU$25,MATCH(CZ152,'Resource use and costs'!$DS$12:$DS$25,0)),0),_xlfn.IFNA(INDEX('Resource use and costs'!$DU$12:$DU$25,MATCH(DA152,'Resource use and costs'!$DS$12:$DS$25,0)),0),_xlfn.IFNA(INDEX('Resource use and costs'!$DU$12:$DU$25,MATCH(DB152,'Resource use and costs'!$DS$12:$DS$25,0)),0))</f>
        <v>197.25</v>
      </c>
      <c r="DO152" s="921">
        <f>_xlfn.IFNA(INDEX('Resource use and costs'!$DY$12:$DY$25,MATCH(CZ152,'Resource use and costs'!$DS$12:$DS$25,0)),0)*_xlfn.IFNA(INDEX(DY$10:DY$23,MATCH($CZ152,$DX$10:$DX$23,0)),0)</f>
        <v>810.54285714285697</v>
      </c>
      <c r="DP152" s="921">
        <f>IF(dd_PartSA_2_lines = "Yes",0,_xlfn.IFNA(INDEX('Resource use and costs'!$DZ$12:$DZ$25,MATCH(DA152,'Resource use and costs'!$DS$12:$DS$25,0)),0)*_xlfn.IFNA(INDEX(EA$10:EA$23,MATCH($DA152,$DX$10:$DX$23,0)),0))</f>
        <v>4108.3597166</v>
      </c>
      <c r="DQ152" s="921">
        <f>IF(dd_PartSA_2_lines = "Yes",0,_xlfn.IFNA(INDEX('Resource use and costs'!$EA$12:$EA$25,MATCH(DB152,'Resource use and costs'!$DS$12:$DS$25,0)),0)*_xlfn.IFNA(INDEX(EC$10:EC$23,MATCH($DB152,$DX$10:$DX$23,0)),0))</f>
        <v>0</v>
      </c>
      <c r="DR152" s="921">
        <f t="shared" si="166"/>
        <v>5116.1525737428565</v>
      </c>
      <c r="DS152" s="1004">
        <f ca="1">SUMIFS('Safety parameters'!$DM$6:$DM$18,'Safety parameters'!$DK$6:$DK$18,CZ152,'Safety parameters'!$DL$6:$DL$18,1)+IF(dd_PartSA_2_lines = "Yes",0,SUMIFS('Safety parameters'!$DM$6:$DM$18,'Safety parameters'!$DK$6:$DK$18,DA152,'Safety parameters'!$DL$6:$DL$18,2)+SUMIFS('Safety parameters'!$DM$6:$DM$18,'Safety parameters'!$DK$6:$DK$18,DB152,'Safety parameters'!$DL$6:$DL$18,2))</f>
        <v>161.1337489904144</v>
      </c>
      <c r="DT152" s="910">
        <f ca="1">SUMIFS('Safety parameters'!$DO$6:$DO$18,'Safety parameters'!$DK$6:$DK$18,CZ152,'Safety parameters'!$DL$6:$DL$18,1)+IF(dd_PartSA_2_lines = "Yes",0,SUMIFS('Safety parameters'!$DO$6:$DO$18,'Safety parameters'!$DK$6:$DK$18,DA152,'Safety parameters'!$DL$6:$DL$18,2)+SUMIFS('Safety parameters'!$DO$6:$DO$18,'Safety parameters'!$DK$6:$DK$18,DB152,'Safety parameters'!$DL$6:$DL$18,2))</f>
        <v>-1.5970841976847864E-3</v>
      </c>
    </row>
    <row r="153" spans="9:124" ht="15" x14ac:dyDescent="0.2">
      <c r="I153" s="865"/>
      <c r="CK153" s="61" t="s">
        <v>31</v>
      </c>
      <c r="CL153" s="61">
        <v>2</v>
      </c>
      <c r="CM153" s="61" t="str">
        <v>avelumab_plus_axitinib</v>
      </c>
      <c r="CN153" s="17">
        <v>4</v>
      </c>
      <c r="CO153" s="61" t="str" cm="1">
        <f t="array" ref="CO153">INDEX(List_comparators,CP152+1)</f>
        <v>sunitinib</v>
      </c>
      <c r="CP153" s="17">
        <v>7</v>
      </c>
      <c r="CQ153" s="601">
        <f t="shared" ca="1" si="167"/>
        <v>3.4863138518177635E-2</v>
      </c>
      <c r="CR153" s="601">
        <f t="shared" ca="1" si="168"/>
        <v>3.4863138518177635E-3</v>
      </c>
      <c r="CS153" s="669">
        <f t="shared" ca="1" si="170"/>
        <v>44.431428571428569</v>
      </c>
      <c r="CT153" s="669">
        <f t="shared" ca="1" si="169"/>
        <v>9.668571428571429</v>
      </c>
      <c r="CU153" s="1123">
        <f>MATCH(CZ153,'Resource use and costs'!$BA$11:$BA$53,0)</f>
        <v>1</v>
      </c>
      <c r="CV153" s="1223"/>
      <c r="CW153" s="1241">
        <f t="shared" si="164"/>
        <v>1</v>
      </c>
      <c r="CX153" s="899" t="s">
        <v>764</v>
      </c>
      <c r="CY153" s="899" t="s">
        <v>319</v>
      </c>
      <c r="CZ153" s="899" t="s">
        <v>579</v>
      </c>
      <c r="DA153" s="899" t="s">
        <v>327</v>
      </c>
      <c r="DB153" s="899" t="s">
        <v>765</v>
      </c>
      <c r="DC153" s="899" cm="1">
        <f t="array" aca="1" ref="DC153" ca="1">_xlfn.IFNA(OFFSET($I$49,MATCH(CY153,$I$50:$I$63,0),MATCH(CZ153,TRANSPOSE($J$49:$W$49),0)),0)</f>
        <v>0.49974522065392168</v>
      </c>
      <c r="DD153" s="899" cm="1">
        <f t="array" aca="1" ref="DD153" ca="1">_xlfn.IFNA(OFFSET($Y$49,MATCH($CZ153,$Y$50:$Y$63,0),MATCH($DA153,TRANSPOSE($Z$49:$AM$49),0)),0)</f>
        <v>5.2400000000000002E-2</v>
      </c>
      <c r="DE153" s="899" cm="1">
        <f t="array" aca="1" ref="DE153" ca="1">_xlfn.IFNA(OFFSET($AO$49,MATCH($DA153,$AO$50:$AO$63,0),MATCH($DB153,TRANSPOSE($AP$49:$BC$49),0)),0)</f>
        <v>0.43140000000000001</v>
      </c>
      <c r="DF153" s="881">
        <f t="shared" ca="1" si="161"/>
        <v>1.1296920621161336E-2</v>
      </c>
      <c r="DG153" s="910">
        <f t="shared" ca="1" si="162"/>
        <v>0.98859556831386541</v>
      </c>
      <c r="DH153" s="881">
        <f t="shared" ca="1" si="163"/>
        <v>1.1168085661673616E-2</v>
      </c>
      <c r="DI153" s="1460">
        <f t="shared" ca="1" si="158"/>
        <v>1.1614809088140561</v>
      </c>
      <c r="DJ153" s="909">
        <f>_xlfn.IFNA(INDEX('Resource use and costs'!$CQ$11:$CQ$53,MATCH($CZ153,'Resource use and costs'!$BA$11:$BA$53,0)),0)*_xlfn.IFNA(INDEX(DY$10:DY$23,MATCH($CZ153,$DX$10:$DX$23,0)),0)</f>
        <v>56693.786091428577</v>
      </c>
      <c r="DK153" s="909">
        <f>IF(dd_PartSA_2_lines = "Yes",0,_xlfn.IFNA(INDEX('Resource use and costs'!$CR$11:$CR$53,MATCH(DA153,'Resource use and costs'!$BA$11:$BA$53,0)),0)*_xlfn.IFNA(INDEX(EA$10:EA$23,MATCH($DA153,$DX$10:$DX$23,0)),0))</f>
        <v>21421.066008214286</v>
      </c>
      <c r="DL153" s="909">
        <f>IF(dd_PartSA_2_lines = "Yes",0,_xlfn.IFNA(INDEX('Resource use and costs'!$CS$11:$CS$53,MATCH(DB153,'Resource use and costs'!$BA$11:$BA$53,0)),0)*_xlfn.IFNA(INDEX(EC$10:EC$23,MATCH($DB153,$DX$10:$DX$23,0)),0))</f>
        <v>0</v>
      </c>
      <c r="DM153" s="909">
        <f t="shared" si="165"/>
        <v>78114.852099642856</v>
      </c>
      <c r="DN153" s="909">
        <f>SUM(_xlfn.IFNA(INDEX('Resource use and costs'!$DU$12:$DU$25,MATCH(CZ153,'Resource use and costs'!$DS$12:$DS$25,0)),0),_xlfn.IFNA(INDEX('Resource use and costs'!$DU$12:$DU$25,MATCH(DA153,'Resource use and costs'!$DS$12:$DS$25,0)),0),_xlfn.IFNA(INDEX('Resource use and costs'!$DU$12:$DU$25,MATCH(DB153,'Resource use and costs'!$DS$12:$DS$25,0)),0))</f>
        <v>197.25</v>
      </c>
      <c r="DO153" s="921">
        <f>_xlfn.IFNA(INDEX('Resource use and costs'!$DY$12:$DY$25,MATCH(CZ153,'Resource use and costs'!$DS$12:$DS$25,0)),0)*_xlfn.IFNA(INDEX(DY$10:DY$23,MATCH($CZ153,$DX$10:$DX$23,0)),0)</f>
        <v>8939.6605049142872</v>
      </c>
      <c r="DP153" s="921">
        <f>IF(dd_PartSA_2_lines = "Yes",0,_xlfn.IFNA(INDEX('Resource use and costs'!$DZ$12:$DZ$25,MATCH(DA153,'Resource use and costs'!$DS$12:$DS$25,0)),0)*_xlfn.IFNA(INDEX(EA$10:EA$23,MATCH($DA153,$DX$10:$DX$23,0)),0))</f>
        <v>267.99172714285714</v>
      </c>
      <c r="DQ153" s="921">
        <f>IF(dd_PartSA_2_lines = "Yes",0,_xlfn.IFNA(INDEX('Resource use and costs'!$EA$12:$EA$25,MATCH(DB153,'Resource use and costs'!$DS$12:$DS$25,0)),0)*_xlfn.IFNA(INDEX(EC$10:EC$23,MATCH($DB153,$DX$10:$DX$23,0)),0))</f>
        <v>0</v>
      </c>
      <c r="DR153" s="921">
        <f t="shared" si="166"/>
        <v>9404.9022320571439</v>
      </c>
      <c r="DS153" s="1004">
        <f ca="1">SUMIFS('Safety parameters'!$DM$6:$DM$18,'Safety parameters'!$DK$6:$DK$18,CZ153,'Safety parameters'!$DL$6:$DL$18,1)+IF(dd_PartSA_2_lines = "Yes",0,SUMIFS('Safety parameters'!$DM$6:$DM$18,'Safety parameters'!$DK$6:$DK$18,DA153,'Safety parameters'!$DL$6:$DL$18,2)+SUMIFS('Safety parameters'!$DM$6:$DM$18,'Safety parameters'!$DK$6:$DK$18,DB153,'Safety parameters'!$DL$6:$DL$18,2))</f>
        <v>1634.2286735654598</v>
      </c>
      <c r="DT153" s="910">
        <f ca="1">SUMIFS('Safety parameters'!$DO$6:$DO$18,'Safety parameters'!$DK$6:$DK$18,CZ153,'Safety parameters'!$DL$6:$DL$18,1)+IF(dd_PartSA_2_lines = "Yes",0,SUMIFS('Safety parameters'!$DO$6:$DO$18,'Safety parameters'!$DK$6:$DK$18,DA153,'Safety parameters'!$DL$6:$DL$18,2)+SUMIFS('Safety parameters'!$DO$6:$DO$18,'Safety parameters'!$DK$6:$DK$18,DB153,'Safety parameters'!$DL$6:$DL$18,2))</f>
        <v>-1.4741924007481429E-2</v>
      </c>
    </row>
    <row r="154" spans="9:124" ht="15" x14ac:dyDescent="0.2">
      <c r="I154" s="865"/>
      <c r="CK154" s="61" t="s">
        <v>31</v>
      </c>
      <c r="CL154" s="61">
        <v>2</v>
      </c>
      <c r="CM154" s="61" t="str">
        <v>pazopanib</v>
      </c>
      <c r="CN154" s="17">
        <v>5</v>
      </c>
      <c r="CO154" s="61" t="str" cm="1">
        <f t="array" ref="CO154">INDEX(List_comparators,CP153+1)</f>
        <v>sunitinib</v>
      </c>
      <c r="CP154" s="17">
        <v>7</v>
      </c>
      <c r="CQ154" s="601">
        <f t="shared" ca="1" si="167"/>
        <v>1.5400000000000002E-2</v>
      </c>
      <c r="CR154" s="601">
        <f t="shared" ca="1" si="168"/>
        <v>1.5400000000000004E-3</v>
      </c>
      <c r="CS154" s="669">
        <f t="shared" ca="1" si="170"/>
        <v>44.431428571428569</v>
      </c>
      <c r="CT154" s="669">
        <f t="shared" ca="1" si="169"/>
        <v>9.668571428571429</v>
      </c>
      <c r="CU154" s="1123">
        <f>MATCH(CZ154,'Resource use and costs'!$BA$11:$BA$53,0)</f>
        <v>1</v>
      </c>
      <c r="CV154" s="1223"/>
      <c r="CW154" s="1241">
        <f t="shared" si="164"/>
        <v>1</v>
      </c>
      <c r="CX154" s="899" t="s">
        <v>764</v>
      </c>
      <c r="CY154" s="899" t="s">
        <v>319</v>
      </c>
      <c r="CZ154" s="899" t="s">
        <v>579</v>
      </c>
      <c r="DA154" s="899" t="s">
        <v>327</v>
      </c>
      <c r="DB154" s="899" t="s">
        <v>119</v>
      </c>
      <c r="DC154" s="899" cm="1">
        <f t="array" aca="1" ref="DC154" ca="1">_xlfn.IFNA(OFFSET($I$49,MATCH(CY154,$I$50:$I$63,0),MATCH(CZ154,TRANSPOSE($J$49:$W$49),0)),0)</f>
        <v>0.49974522065392168</v>
      </c>
      <c r="DD154" s="899" cm="1">
        <f t="array" aca="1" ref="DD154" ca="1">_xlfn.IFNA(OFFSET($Y$49,MATCH($CZ154,$Y$50:$Y$63,0),MATCH($DA154,TRANSPOSE($Z$49:$AM$49),0)),0)</f>
        <v>5.2400000000000002E-2</v>
      </c>
      <c r="DE154" s="899" cm="1">
        <f t="array" aca="1" ref="DE154" ca="1">_xlfn.IFNA(OFFSET($AO$49,MATCH($DA154,$AO$50:$AO$63,0),MATCH($DB154,TRANSPOSE($AP$49:$BC$49),0)),0)</f>
        <v>0.56859999999999999</v>
      </c>
      <c r="DF154" s="881">
        <f t="shared" ca="1" si="161"/>
        <v>1.4889728941104161E-2</v>
      </c>
      <c r="DG154" s="910">
        <f t="shared" ca="1" si="162"/>
        <v>0.98859556831386541</v>
      </c>
      <c r="DH154" s="881">
        <f t="shared" ca="1" si="163"/>
        <v>1.4719920044570277E-2</v>
      </c>
      <c r="DI154" s="1460">
        <f t="shared" ca="1" si="158"/>
        <v>1.5308716846353088</v>
      </c>
      <c r="DJ154" s="909">
        <f>_xlfn.IFNA(INDEX('Resource use and costs'!$CQ$11:$CQ$53,MATCH($CZ154,'Resource use and costs'!$BA$11:$BA$53,0)),0)*_xlfn.IFNA(INDEX(DY$10:DY$23,MATCH($CZ154,$DX$10:$DX$23,0)),0)</f>
        <v>56693.786091428577</v>
      </c>
      <c r="DK154" s="909">
        <f>IF(dd_PartSA_2_lines = "Yes",0,_xlfn.IFNA(INDEX('Resource use and costs'!$CR$11:$CR$53,MATCH(DA154,'Resource use and costs'!$BA$11:$BA$53,0)),0)*_xlfn.IFNA(INDEX(EA$10:EA$23,MATCH($DA154,$DX$10:$DX$23,0)),0))</f>
        <v>21421.066008214286</v>
      </c>
      <c r="DL154" s="909">
        <f>IF(dd_PartSA_2_lines = "Yes",0,_xlfn.IFNA(INDEX('Resource use and costs'!$CS$11:$CS$53,MATCH(DB154,'Resource use and costs'!$BA$11:$BA$53,0)),0)*_xlfn.IFNA(INDEX(EC$10:EC$23,MATCH($DB154,$DX$10:$DX$23,0)),0))</f>
        <v>2915.4763433333328</v>
      </c>
      <c r="DM154" s="909">
        <f t="shared" si="165"/>
        <v>81030.328442976184</v>
      </c>
      <c r="DN154" s="909">
        <f>SUM(_xlfn.IFNA(INDEX('Resource use and costs'!$DU$12:$DU$25,MATCH(CZ154,'Resource use and costs'!$DS$12:$DS$25,0)),0),_xlfn.IFNA(INDEX('Resource use and costs'!$DU$12:$DU$25,MATCH(DA154,'Resource use and costs'!$DS$12:$DS$25,0)),0),_xlfn.IFNA(INDEX('Resource use and costs'!$DU$12:$DU$25,MATCH(DB154,'Resource use and costs'!$DS$12:$DS$25,0)),0))</f>
        <v>394.5</v>
      </c>
      <c r="DO154" s="921">
        <f>_xlfn.IFNA(INDEX('Resource use and costs'!$DY$12:$DY$25,MATCH(CZ154,'Resource use and costs'!$DS$12:$DS$25,0)),0)*_xlfn.IFNA(INDEX(DY$10:DY$23,MATCH($CZ154,$DX$10:$DX$23,0)),0)</f>
        <v>8939.6605049142872</v>
      </c>
      <c r="DP154" s="921">
        <f>IF(dd_PartSA_2_lines = "Yes",0,_xlfn.IFNA(INDEX('Resource use and costs'!$DZ$12:$DZ$25,MATCH(DA154,'Resource use and costs'!$DS$12:$DS$25,0)),0)*_xlfn.IFNA(INDEX(EA$10:EA$23,MATCH($DA154,$DX$10:$DX$23,0)),0))</f>
        <v>267.99172714285714</v>
      </c>
      <c r="DQ154" s="921">
        <f>IF(dd_PartSA_2_lines = "Yes",0,_xlfn.IFNA(INDEX('Resource use and costs'!$EA$12:$EA$25,MATCH(DB154,'Resource use and costs'!$DS$12:$DS$25,0)),0)*_xlfn.IFNA(INDEX(EC$10:EC$23,MATCH($DB154,$DX$10:$DX$23,0)),0))</f>
        <v>256.11457142857142</v>
      </c>
      <c r="DR154" s="921">
        <f t="shared" si="166"/>
        <v>9858.2668034857161</v>
      </c>
      <c r="DS154" s="1004">
        <f ca="1">SUMIFS('Safety parameters'!$DM$6:$DM$18,'Safety parameters'!$DK$6:$DK$18,CZ154,'Safety parameters'!$DL$6:$DL$18,1)+IF(dd_PartSA_2_lines = "Yes",0,SUMIFS('Safety parameters'!$DM$6:$DM$18,'Safety parameters'!$DK$6:$DK$18,DA154,'Safety parameters'!$DL$6:$DL$18,2)+SUMIFS('Safety parameters'!$DM$6:$DM$18,'Safety parameters'!$DK$6:$DK$18,DB154,'Safety parameters'!$DL$6:$DL$18,2))</f>
        <v>1967.1040569407746</v>
      </c>
      <c r="DT154" s="910">
        <f ca="1">SUMIFS('Safety parameters'!$DO$6:$DO$18,'Safety parameters'!$DK$6:$DK$18,CZ154,'Safety parameters'!$DL$6:$DL$18,1)+IF(dd_PartSA_2_lines = "Yes",0,SUMIFS('Safety parameters'!$DO$6:$DO$18,'Safety parameters'!$DK$6:$DK$18,DA154,'Safety parameters'!$DL$6:$DL$18,2)+SUMIFS('Safety parameters'!$DO$6:$DO$18,'Safety parameters'!$DK$6:$DK$18,DB154,'Safety parameters'!$DL$6:$DL$18,2))</f>
        <v>-1.7409497544119149E-2</v>
      </c>
    </row>
    <row r="155" spans="9:124" ht="15" x14ac:dyDescent="0.2">
      <c r="I155" s="865"/>
      <c r="CK155" s="61" t="s">
        <v>31</v>
      </c>
      <c r="CL155" s="61">
        <v>2</v>
      </c>
      <c r="CM155" s="61" t="str">
        <v>tivozanib</v>
      </c>
      <c r="CN155" s="17">
        <v>6</v>
      </c>
      <c r="CO155" s="61" t="str" cm="1">
        <f t="array" ref="CO155">INDEX(List_comparators,CP154+1)</f>
        <v>sunitinib</v>
      </c>
      <c r="CP155" s="17">
        <v>7</v>
      </c>
      <c r="CQ155" s="601">
        <f t="shared" ca="1" si="167"/>
        <v>0</v>
      </c>
      <c r="CR155" s="601">
        <f t="shared" ca="1" si="168"/>
        <v>0</v>
      </c>
      <c r="CS155" s="669">
        <f t="shared" ca="1" si="170"/>
        <v>44.431428571428569</v>
      </c>
      <c r="CT155" s="669">
        <f t="shared" ca="1" si="169"/>
        <v>9.668571428571429</v>
      </c>
      <c r="CU155" s="1123">
        <f>MATCH(CZ155,'Resource use and costs'!$BA$11:$BA$53,0)</f>
        <v>1</v>
      </c>
      <c r="CV155" s="1223"/>
      <c r="CW155" s="1241">
        <f t="shared" si="164"/>
        <v>1</v>
      </c>
      <c r="CX155" s="899" t="s">
        <v>764</v>
      </c>
      <c r="CY155" s="899" t="s">
        <v>319</v>
      </c>
      <c r="CZ155" s="899" t="s">
        <v>579</v>
      </c>
      <c r="DA155" s="899" t="s">
        <v>765</v>
      </c>
      <c r="DB155" s="899"/>
      <c r="DC155" s="899" cm="1">
        <f t="array" aca="1" ref="DC155" ca="1">_xlfn.IFNA(OFFSET($I$49,MATCH(CY155,$I$50:$I$63,0),MATCH(CZ155,TRANSPOSE($J$49:$W$49),0)),0)</f>
        <v>0.49974522065392168</v>
      </c>
      <c r="DD155" s="899" cm="1">
        <f t="array" aca="1" ref="DD155" ca="1">_xlfn.IFNA(OFFSET($Y$49,MATCH($CZ155,$Y$50:$Y$63,0),MATCH($DA155,TRANSPOSE($Z$49:$AM$49),0)),0)</f>
        <v>0.3453</v>
      </c>
      <c r="DE155" s="899" cm="1">
        <f t="array" aca="1" ref="DE155" ca="1">_xlfn.IFNA(OFFSET($AO$49,MATCH($DA155,$AO$50:$AO$63,0),MATCH($DB155,TRANSPOSE($AP$49:$BC$49),0)),0)</f>
        <v>0</v>
      </c>
      <c r="DF155" s="881">
        <f t="shared" ca="1" si="161"/>
        <v>0.17256202469179915</v>
      </c>
      <c r="DG155" s="910">
        <f t="shared" ca="1" si="162"/>
        <v>0.98859556831386541</v>
      </c>
      <c r="DH155" s="881">
        <f t="shared" ca="1" si="163"/>
        <v>0.17059405286958046</v>
      </c>
      <c r="DI155" s="1460">
        <f t="shared" ca="1" si="158"/>
        <v>17.741781498436367</v>
      </c>
      <c r="DJ155" s="909">
        <f>_xlfn.IFNA(INDEX('Resource use and costs'!$CQ$11:$CQ$53,MATCH($CZ155,'Resource use and costs'!$BA$11:$BA$53,0)),0)*_xlfn.IFNA(INDEX(DY$10:DY$23,MATCH($CZ155,$DX$10:$DX$23,0)),0)</f>
        <v>56693.786091428577</v>
      </c>
      <c r="DK155" s="909">
        <f>IF(dd_PartSA_2_lines = "Yes",0,_xlfn.IFNA(INDEX('Resource use and costs'!$CR$11:$CR$53,MATCH(DA155,'Resource use and costs'!$BA$11:$BA$53,0)),0)*_xlfn.IFNA(INDEX(EA$10:EA$23,MATCH($DA155,$DX$10:$DX$23,0)),0))</f>
        <v>0</v>
      </c>
      <c r="DL155" s="909">
        <f>IF(dd_PartSA_2_lines = "Yes",0,_xlfn.IFNA(INDEX('Resource use and costs'!$CS$11:$CS$53,MATCH(DB155,'Resource use and costs'!$BA$11:$BA$53,0)),0)*_xlfn.IFNA(INDEX(EC$10:EC$23,MATCH($DB155,$DX$10:$DX$23,0)),0))</f>
        <v>0</v>
      </c>
      <c r="DM155" s="909">
        <f t="shared" si="165"/>
        <v>56693.786091428577</v>
      </c>
      <c r="DN155" s="909">
        <f>SUM(_xlfn.IFNA(INDEX('Resource use and costs'!$DU$12:$DU$25,MATCH(CZ155,'Resource use and costs'!$DS$12:$DS$25,0)),0),_xlfn.IFNA(INDEX('Resource use and costs'!$DU$12:$DU$25,MATCH(DA155,'Resource use and costs'!$DS$12:$DS$25,0)),0),_xlfn.IFNA(INDEX('Resource use and costs'!$DU$12:$DU$25,MATCH(DB155,'Resource use and costs'!$DS$12:$DS$25,0)),0))</f>
        <v>0</v>
      </c>
      <c r="DO155" s="921">
        <f>_xlfn.IFNA(INDEX('Resource use and costs'!$DY$12:$DY$25,MATCH(CZ155,'Resource use and costs'!$DS$12:$DS$25,0)),0)*_xlfn.IFNA(INDEX(DY$10:DY$23,MATCH($CZ155,$DX$10:$DX$23,0)),0)</f>
        <v>8939.6605049142872</v>
      </c>
      <c r="DP155" s="921">
        <f>IF(dd_PartSA_2_lines = "Yes",0,_xlfn.IFNA(INDEX('Resource use and costs'!$DZ$12:$DZ$25,MATCH(DA155,'Resource use and costs'!$DS$12:$DS$25,0)),0)*_xlfn.IFNA(INDEX(EA$10:EA$23,MATCH($DA155,$DX$10:$DX$23,0)),0))</f>
        <v>0</v>
      </c>
      <c r="DQ155" s="921">
        <f>IF(dd_PartSA_2_lines = "Yes",0,_xlfn.IFNA(INDEX('Resource use and costs'!$EA$12:$EA$25,MATCH(DB155,'Resource use and costs'!$DS$12:$DS$25,0)),0)*_xlfn.IFNA(INDEX(EC$10:EC$23,MATCH($DB155,$DX$10:$DX$23,0)),0))</f>
        <v>0</v>
      </c>
      <c r="DR155" s="921">
        <f t="shared" si="166"/>
        <v>8939.6605049142872</v>
      </c>
      <c r="DS155" s="1004">
        <f>SUMIFS('Safety parameters'!$DM$6:$DM$18,'Safety parameters'!$DK$6:$DK$18,CZ155,'Safety parameters'!$DL$6:$DL$18,1)+IF(dd_PartSA_2_lines = "Yes",0,SUMIFS('Safety parameters'!$DM$6:$DM$18,'Safety parameters'!$DK$6:$DK$18,DA155,'Safety parameters'!$DL$6:$DL$18,2)+SUMIFS('Safety parameters'!$DM$6:$DM$18,'Safety parameters'!$DK$6:$DK$18,DB155,'Safety parameters'!$DL$6:$DL$18,2))</f>
        <v>0</v>
      </c>
      <c r="DT155" s="910">
        <f>SUMIFS('Safety parameters'!$DO$6:$DO$18,'Safety parameters'!$DK$6:$DK$18,CZ155,'Safety parameters'!$DL$6:$DL$18,1)+IF(dd_PartSA_2_lines = "Yes",0,SUMIFS('Safety parameters'!$DO$6:$DO$18,'Safety parameters'!$DK$6:$DK$18,DA155,'Safety parameters'!$DL$6:$DL$18,2)+SUMIFS('Safety parameters'!$DO$6:$DO$18,'Safety parameters'!$DK$6:$DK$18,DB155,'Safety parameters'!$DL$6:$DL$18,2))</f>
        <v>0</v>
      </c>
    </row>
    <row r="156" spans="9:124" ht="15" x14ac:dyDescent="0.2">
      <c r="I156" s="865"/>
      <c r="CK156" s="61" t="s">
        <v>31</v>
      </c>
      <c r="CL156" s="61">
        <v>2</v>
      </c>
      <c r="CM156" s="61" t="str">
        <v>sunitinib</v>
      </c>
      <c r="CN156" s="17">
        <v>7</v>
      </c>
      <c r="CO156" s="61" t="str" cm="1">
        <f t="array" ref="CO156">INDEX(List_comparators,CP155+1)</f>
        <v>sunitinib</v>
      </c>
      <c r="CP156" s="17">
        <v>7</v>
      </c>
      <c r="CQ156" s="601">
        <f t="shared" ca="1" si="167"/>
        <v>0</v>
      </c>
      <c r="CR156" s="601">
        <f t="shared" ca="1" si="168"/>
        <v>0</v>
      </c>
      <c r="CS156" s="669">
        <f t="shared" ca="1" si="170"/>
        <v>44.431428571428569</v>
      </c>
      <c r="CT156" s="669">
        <f t="shared" ca="1" si="169"/>
        <v>9.668571428571429</v>
      </c>
      <c r="CU156" s="1123">
        <f>MATCH(CZ156,'Resource use and costs'!$BA$11:$BA$53,0)</f>
        <v>1</v>
      </c>
      <c r="CV156" s="1223"/>
      <c r="CW156" s="1241">
        <f t="shared" si="164"/>
        <v>1</v>
      </c>
      <c r="CX156" s="899" t="s">
        <v>764</v>
      </c>
      <c r="CY156" s="899" t="s">
        <v>319</v>
      </c>
      <c r="CZ156" s="899" t="s">
        <v>579</v>
      </c>
      <c r="DA156" s="899" t="s">
        <v>118</v>
      </c>
      <c r="DB156" s="899" t="s">
        <v>327</v>
      </c>
      <c r="DC156" s="899" cm="1">
        <f t="array" aca="1" ref="DC156" ca="1">_xlfn.IFNA(OFFSET($I$49,MATCH(CY156,$I$50:$I$63,0),MATCH(CZ156,TRANSPOSE($J$49:$W$49),0)),0)</f>
        <v>0.49974522065392168</v>
      </c>
      <c r="DD156" s="899">
        <f ca="1">1-DD153-DD155-DD159-DD161</f>
        <v>0.54340000000000011</v>
      </c>
      <c r="DE156" s="899" cm="1">
        <f t="array" aca="1" ref="DE156" ca="1">_xlfn.IFNA(OFFSET($AO$49,MATCH($DA156,$AO$50:$AO$63,0),MATCH($DB156,TRANSPOSE($AP$49:$BC$49),0)),0)</f>
        <v>0.38769999999999999</v>
      </c>
      <c r="DF156" s="881">
        <f t="shared" ca="1" si="161"/>
        <v>0.10528441406062534</v>
      </c>
      <c r="DG156" s="910">
        <f t="shared" ca="1" si="162"/>
        <v>0.98859556831386541</v>
      </c>
      <c r="DH156" s="881">
        <f t="shared" ca="1" si="163"/>
        <v>0.10408370515285624</v>
      </c>
      <c r="DI156" s="1460">
        <f t="shared" ca="1" si="158"/>
        <v>10.824705335897049</v>
      </c>
      <c r="DJ156" s="909">
        <f>_xlfn.IFNA(INDEX('Resource use and costs'!$CQ$11:$CQ$53,MATCH($CZ156,'Resource use and costs'!$BA$11:$BA$53,0)),0)*_xlfn.IFNA(INDEX(DY$10:DY$23,MATCH($CZ156,$DX$10:$DX$23,0)),0)</f>
        <v>56693.786091428577</v>
      </c>
      <c r="DK156" s="909">
        <f>IF(dd_PartSA_2_lines = "Yes",0,_xlfn.IFNA(INDEX('Resource use and costs'!$CR$11:$CR$53,MATCH(DA156,'Resource use and costs'!$BA$11:$BA$53,0)),0)*_xlfn.IFNA(INDEX(EA$10:EA$23,MATCH($DA156,$DX$10:$DX$23,0)),0))</f>
        <v>50308.075122000002</v>
      </c>
      <c r="DL156" s="909">
        <f>IF(dd_PartSA_2_lines = "Yes",0,_xlfn.IFNA(INDEX('Resource use and costs'!$CS$11:$CS$53,MATCH(DB156,'Resource use and costs'!$BA$11:$BA$53,0)),0)*_xlfn.IFNA(INDEX(EC$10:EC$23,MATCH($DB156,$DX$10:$DX$23,0)),0))</f>
        <v>18438.751749999999</v>
      </c>
      <c r="DM156" s="909">
        <f t="shared" si="165"/>
        <v>125440.61296342858</v>
      </c>
      <c r="DN156" s="909">
        <f>SUM(_xlfn.IFNA(INDEX('Resource use and costs'!$DU$12:$DU$25,MATCH(CZ156,'Resource use and costs'!$DS$12:$DS$25,0)),0),_xlfn.IFNA(INDEX('Resource use and costs'!$DU$12:$DU$25,MATCH(DA156,'Resource use and costs'!$DS$12:$DS$25,0)),0),_xlfn.IFNA(INDEX('Resource use and costs'!$DU$12:$DU$25,MATCH(DB156,'Resource use and costs'!$DS$12:$DS$25,0)),0))</f>
        <v>394.5</v>
      </c>
      <c r="DO156" s="921">
        <f>_xlfn.IFNA(INDEX('Resource use and costs'!$DY$12:$DY$25,MATCH(CZ156,'Resource use and costs'!$DS$12:$DS$25,0)),0)*_xlfn.IFNA(INDEX(DY$10:DY$23,MATCH($CZ156,$DX$10:$DX$23,0)),0)</f>
        <v>8939.6605049142872</v>
      </c>
      <c r="DP156" s="921">
        <f>IF(dd_PartSA_2_lines = "Yes",0,_xlfn.IFNA(INDEX('Resource use and costs'!$DZ$12:$DZ$25,MATCH(DA156,'Resource use and costs'!$DS$12:$DS$25,0)),0)*_xlfn.IFNA(INDEX(EA$10:EA$23,MATCH($DA156,$DX$10:$DX$23,0)),0))</f>
        <v>461.1445457142857</v>
      </c>
      <c r="DQ156" s="921">
        <f>IF(dd_PartSA_2_lines = "Yes",0,_xlfn.IFNA(INDEX('Resource use and costs'!$EA$12:$EA$25,MATCH(DB156,'Resource use and costs'!$DS$12:$DS$25,0)),0)*_xlfn.IFNA(INDEX(EC$10:EC$23,MATCH($DB156,$DX$10:$DX$23,0)),0))</f>
        <v>230.68099999999998</v>
      </c>
      <c r="DR156" s="921">
        <f t="shared" si="166"/>
        <v>10025.986050628573</v>
      </c>
      <c r="DS156" s="1004">
        <f ca="1">SUMIFS('Safety parameters'!$DM$6:$DM$18,'Safety parameters'!$DK$6:$DK$18,CZ156,'Safety parameters'!$DL$6:$DL$18,1)+IF(dd_PartSA_2_lines = "Yes",0,SUMIFS('Safety parameters'!$DM$6:$DM$18,'Safety parameters'!$DK$6:$DK$18,DA156,'Safety parameters'!$DL$6:$DL$18,2)+SUMIFS('Safety parameters'!$DM$6:$DM$18,'Safety parameters'!$DK$6:$DK$18,DB156,'Safety parameters'!$DL$6:$DL$18,2))</f>
        <v>2377.8779733688434</v>
      </c>
      <c r="DT156" s="910">
        <f ca="1">SUMIFS('Safety parameters'!$DO$6:$DO$18,'Safety parameters'!$DK$6:$DK$18,CZ156,'Safety parameters'!$DL$6:$DL$18,1)+IF(dd_PartSA_2_lines = "Yes",0,SUMIFS('Safety parameters'!$DO$6:$DO$18,'Safety parameters'!$DK$6:$DK$18,DA156,'Safety parameters'!$DL$6:$DL$18,2)+SUMIFS('Safety parameters'!$DO$6:$DO$18,'Safety parameters'!$DK$6:$DK$18,DB156,'Safety parameters'!$DL$6:$DL$18,2))</f>
        <v>-2.1764250363717368E-2</v>
      </c>
    </row>
    <row r="157" spans="9:124" ht="15" x14ac:dyDescent="0.2">
      <c r="I157" s="865"/>
      <c r="CK157" s="61" t="s">
        <v>31</v>
      </c>
      <c r="CL157" s="61">
        <v>2</v>
      </c>
      <c r="CM157" s="61" t="str">
        <v>cabozantinib</v>
      </c>
      <c r="CN157" s="17">
        <v>8</v>
      </c>
      <c r="CO157" s="61" t="str" cm="1">
        <f t="array" ref="CO157">INDEX(List_comparators,CP156+1)</f>
        <v>sunitinib</v>
      </c>
      <c r="CP157" s="17">
        <v>7</v>
      </c>
      <c r="CQ157" s="601">
        <f t="shared" ca="1" si="167"/>
        <v>1.4897774790919952E-2</v>
      </c>
      <c r="CR157" s="601">
        <f t="shared" ca="1" si="168"/>
        <v>1.4897774790919953E-3</v>
      </c>
      <c r="CS157" s="669">
        <f t="shared" ca="1" si="170"/>
        <v>44.431428571428569</v>
      </c>
      <c r="CT157" s="669">
        <f t="shared" ca="1" si="169"/>
        <v>9.668571428571429</v>
      </c>
      <c r="CU157" s="1123">
        <f>MATCH(CZ157,'Resource use and costs'!$BA$11:$BA$53,0)</f>
        <v>1</v>
      </c>
      <c r="CV157" s="1223"/>
      <c r="CW157" s="1241">
        <f t="shared" si="164"/>
        <v>1</v>
      </c>
      <c r="CX157" s="899" t="s">
        <v>764</v>
      </c>
      <c r="CY157" s="899" t="s">
        <v>319</v>
      </c>
      <c r="CZ157" s="899" t="s">
        <v>579</v>
      </c>
      <c r="DA157" s="899" t="s">
        <v>118</v>
      </c>
      <c r="DB157" s="899" t="s">
        <v>765</v>
      </c>
      <c r="DC157" s="899" cm="1">
        <f t="array" aca="1" ref="DC157" ca="1">_xlfn.IFNA(OFFSET($I$49,MATCH(CY157,$I$50:$I$63,0),MATCH(CZ157,TRANSPOSE($J$49:$W$49),0)),0)</f>
        <v>0.49974522065392168</v>
      </c>
      <c r="DD157" s="899">
        <f ca="1">DD156</f>
        <v>0.54340000000000011</v>
      </c>
      <c r="DE157" s="899" cm="1">
        <f t="array" aca="1" ref="DE157" ca="1">_xlfn.IFNA(OFFSET($AO$49,MATCH($DA157,$AO$50:$AO$63,0),MATCH($DB157,TRANSPOSE($AP$49:$BC$49),0)),0)</f>
        <v>0.43140000000000001</v>
      </c>
      <c r="DF157" s="881">
        <f t="shared" ca="1" si="161"/>
        <v>0.11715165392250136</v>
      </c>
      <c r="DG157" s="910">
        <f t="shared" ca="1" si="162"/>
        <v>0.98859556831386541</v>
      </c>
      <c r="DH157" s="881">
        <f t="shared" ca="1" si="163"/>
        <v>0.11581560588842452</v>
      </c>
      <c r="DI157" s="1460">
        <f t="shared" ca="1" si="158"/>
        <v>12.044823012396149</v>
      </c>
      <c r="DJ157" s="909">
        <f>_xlfn.IFNA(INDEX('Resource use and costs'!$CQ$11:$CQ$53,MATCH($CZ157,'Resource use and costs'!$BA$11:$BA$53,0)),0)*_xlfn.IFNA(INDEX(DY$10:DY$23,MATCH($CZ157,$DX$10:$DX$23,0)),0)</f>
        <v>56693.786091428577</v>
      </c>
      <c r="DK157" s="909">
        <f>IF(dd_PartSA_2_lines = "Yes",0,_xlfn.IFNA(INDEX('Resource use and costs'!$CR$11:$CR$53,MATCH(DA157,'Resource use and costs'!$BA$11:$BA$53,0)),0)*_xlfn.IFNA(INDEX(EA$10:EA$23,MATCH($DA157,$DX$10:$DX$23,0)),0))</f>
        <v>50308.075122000002</v>
      </c>
      <c r="DL157" s="909">
        <f>IF(dd_PartSA_2_lines = "Yes",0,_xlfn.IFNA(INDEX('Resource use and costs'!$CS$11:$CS$53,MATCH(DB157,'Resource use and costs'!$BA$11:$BA$53,0)),0)*_xlfn.IFNA(INDEX(EC$10:EC$23,MATCH($DB157,$DX$10:$DX$23,0)),0))</f>
        <v>0</v>
      </c>
      <c r="DM157" s="909">
        <f t="shared" si="165"/>
        <v>107001.86121342858</v>
      </c>
      <c r="DN157" s="909">
        <f>SUM(_xlfn.IFNA(INDEX('Resource use and costs'!$DU$12:$DU$25,MATCH(CZ157,'Resource use and costs'!$DS$12:$DS$25,0)),0),_xlfn.IFNA(INDEX('Resource use and costs'!$DU$12:$DU$25,MATCH(DA157,'Resource use and costs'!$DS$12:$DS$25,0)),0),_xlfn.IFNA(INDEX('Resource use and costs'!$DU$12:$DU$25,MATCH(DB157,'Resource use and costs'!$DS$12:$DS$25,0)),0))</f>
        <v>197.25</v>
      </c>
      <c r="DO157" s="921">
        <f>_xlfn.IFNA(INDEX('Resource use and costs'!$DY$12:$DY$25,MATCH(CZ157,'Resource use and costs'!$DS$12:$DS$25,0)),0)*_xlfn.IFNA(INDEX(DY$10:DY$23,MATCH($CZ157,$DX$10:$DX$23,0)),0)</f>
        <v>8939.6605049142872</v>
      </c>
      <c r="DP157" s="921">
        <f>IF(dd_PartSA_2_lines = "Yes",0,_xlfn.IFNA(INDEX('Resource use and costs'!$DZ$12:$DZ$25,MATCH(DA157,'Resource use and costs'!$DS$12:$DS$25,0)),0)*_xlfn.IFNA(INDEX(EA$10:EA$23,MATCH($DA157,$DX$10:$DX$23,0)),0))</f>
        <v>461.1445457142857</v>
      </c>
      <c r="DQ157" s="921">
        <f>IF(dd_PartSA_2_lines = "Yes",0,_xlfn.IFNA(INDEX('Resource use and costs'!$EA$12:$EA$25,MATCH(DB157,'Resource use and costs'!$DS$12:$DS$25,0)),0)*_xlfn.IFNA(INDEX(EC$10:EC$23,MATCH($DB157,$DX$10:$DX$23,0)),0))</f>
        <v>0</v>
      </c>
      <c r="DR157" s="921">
        <f t="shared" si="166"/>
        <v>9598.0550506285726</v>
      </c>
      <c r="DS157" s="1004">
        <f ca="1">SUMIFS('Safety parameters'!$DM$6:$DM$18,'Safety parameters'!$DK$6:$DK$18,CZ157,'Safety parameters'!$DL$6:$DL$18,1)+IF(dd_PartSA_2_lines = "Yes",0,SUMIFS('Safety parameters'!$DM$6:$DM$18,'Safety parameters'!$DK$6:$DK$18,DA157,'Safety parameters'!$DL$6:$DL$18,2)+SUMIFS('Safety parameters'!$DM$6:$DM$18,'Safety parameters'!$DK$6:$DK$18,DB157,'Safety parameters'!$DL$6:$DL$18,2))</f>
        <v>743.64929980338343</v>
      </c>
      <c r="DT157" s="910">
        <f ca="1">SUMIFS('Safety parameters'!$DO$6:$DO$18,'Safety parameters'!$DK$6:$DK$18,CZ157,'Safety parameters'!$DL$6:$DL$18,1)+IF(dd_PartSA_2_lines = "Yes",0,SUMIFS('Safety parameters'!$DO$6:$DO$18,'Safety parameters'!$DK$6:$DK$18,DA157,'Safety parameters'!$DL$6:$DL$18,2)+SUMIFS('Safety parameters'!$DO$6:$DO$18,'Safety parameters'!$DK$6:$DK$18,DB157,'Safety parameters'!$DL$6:$DL$18,2))</f>
        <v>-7.0223263562359372E-3</v>
      </c>
    </row>
    <row r="158" spans="9:124" ht="15" x14ac:dyDescent="0.2">
      <c r="I158" s="865"/>
      <c r="CK158" s="61" t="s">
        <v>31</v>
      </c>
      <c r="CL158" s="61">
        <v>2</v>
      </c>
      <c r="CM158" s="61" t="str">
        <v>lenvatinib_plus_everolimus</v>
      </c>
      <c r="CN158" s="17">
        <v>9</v>
      </c>
      <c r="CO158" s="61" t="str" cm="1">
        <f t="array" ref="CO158">INDEX(List_comparators,CP157+1)</f>
        <v>sunitinib</v>
      </c>
      <c r="CP158" s="17">
        <v>7</v>
      </c>
      <c r="CQ158" s="601">
        <f t="shared" ca="1" si="167"/>
        <v>0</v>
      </c>
      <c r="CR158" s="601">
        <f t="shared" ca="1" si="168"/>
        <v>0</v>
      </c>
      <c r="CS158" s="669">
        <f t="shared" ca="1" si="170"/>
        <v>44.431428571428569</v>
      </c>
      <c r="CT158" s="669">
        <f t="shared" ca="1" si="169"/>
        <v>9.668571428571429</v>
      </c>
      <c r="CU158" s="1123">
        <f>MATCH(CZ158,'Resource use and costs'!$BA$11:$BA$53,0)</f>
        <v>1</v>
      </c>
      <c r="CV158" s="1223"/>
      <c r="CW158" s="1241">
        <f t="shared" si="164"/>
        <v>1</v>
      </c>
      <c r="CX158" s="899" t="s">
        <v>764</v>
      </c>
      <c r="CY158" s="899" t="s">
        <v>319</v>
      </c>
      <c r="CZ158" s="899" t="s">
        <v>579</v>
      </c>
      <c r="DA158" s="899" t="s">
        <v>118</v>
      </c>
      <c r="DB158" s="899" t="s">
        <v>119</v>
      </c>
      <c r="DC158" s="899" cm="1">
        <f t="array" aca="1" ref="DC158" ca="1">_xlfn.IFNA(OFFSET($I$49,MATCH(CY158,$I$50:$I$63,0),MATCH(CZ158,TRANSPOSE($J$49:$W$49),0)),0)</f>
        <v>0.49974522065392168</v>
      </c>
      <c r="DD158" s="899" cm="1">
        <f t="array" aca="1" ref="DD158" ca="1">_xlfn.IFNA(OFFSET($Y$49,MATCH($CZ158,$Y$50:$Y$63,0),MATCH($DA158,TRANSPOSE($Z$49:$AM$49),0)),0)</f>
        <v>0.51729999999999998</v>
      </c>
      <c r="DE158" s="899" cm="1">
        <f t="array" aca="1" ref="DE158" ca="1">_xlfn.IFNA(OFFSET($AO$49,MATCH($DA158,$AO$50:$AO$63,0),MATCH($DB158,TRANSPOSE($AP$49:$BC$49),0)),0)</f>
        <v>0.18090000000000001</v>
      </c>
      <c r="DF158" s="881">
        <f t="shared" ca="1" si="161"/>
        <v>4.6765942858349105E-2</v>
      </c>
      <c r="DG158" s="910">
        <f t="shared" ca="1" si="162"/>
        <v>0.98859556831386541</v>
      </c>
      <c r="DH158" s="881">
        <f t="shared" ca="1" si="163"/>
        <v>4.623260385778339E-2</v>
      </c>
      <c r="DI158" s="1460">
        <f t="shared" ca="1" si="158"/>
        <v>4.8081908012094727</v>
      </c>
      <c r="DJ158" s="909">
        <f>_xlfn.IFNA(INDEX('Resource use and costs'!$CQ$11:$CQ$53,MATCH($CZ158,'Resource use and costs'!$BA$11:$BA$53,0)),0)*_xlfn.IFNA(INDEX(DY$10:DY$23,MATCH($CZ158,$DX$10:$DX$23,0)),0)</f>
        <v>56693.786091428577</v>
      </c>
      <c r="DK158" s="909">
        <f>IF(dd_PartSA_2_lines = "Yes",0,_xlfn.IFNA(INDEX('Resource use and costs'!$CR$11:$CR$53,MATCH(DA158,'Resource use and costs'!$BA$11:$BA$53,0)),0)*_xlfn.IFNA(INDEX(EA$10:EA$23,MATCH($DA158,$DX$10:$DX$23,0)),0))</f>
        <v>50308.075122000002</v>
      </c>
      <c r="DL158" s="909">
        <f>IF(dd_PartSA_2_lines = "Yes",0,_xlfn.IFNA(INDEX('Resource use and costs'!$CS$11:$CS$53,MATCH(DB158,'Resource use and costs'!$BA$11:$BA$53,0)),0)*_xlfn.IFNA(INDEX(EC$10:EC$23,MATCH($DB158,$DX$10:$DX$23,0)),0))</f>
        <v>2915.4763433333328</v>
      </c>
      <c r="DM158" s="909">
        <f t="shared" si="165"/>
        <v>109917.33755676191</v>
      </c>
      <c r="DN158" s="909">
        <f>SUM(_xlfn.IFNA(INDEX('Resource use and costs'!$DU$12:$DU$25,MATCH(CZ158,'Resource use and costs'!$DS$12:$DS$25,0)),0),_xlfn.IFNA(INDEX('Resource use and costs'!$DU$12:$DU$25,MATCH(DA158,'Resource use and costs'!$DS$12:$DS$25,0)),0),_xlfn.IFNA(INDEX('Resource use and costs'!$DU$12:$DU$25,MATCH(DB158,'Resource use and costs'!$DS$12:$DS$25,0)),0))</f>
        <v>394.5</v>
      </c>
      <c r="DO158" s="921">
        <f>_xlfn.IFNA(INDEX('Resource use and costs'!$DY$12:$DY$25,MATCH(CZ158,'Resource use and costs'!$DS$12:$DS$25,0)),0)*_xlfn.IFNA(INDEX(DY$10:DY$23,MATCH($CZ158,$DX$10:$DX$23,0)),0)</f>
        <v>8939.6605049142872</v>
      </c>
      <c r="DP158" s="921">
        <f>IF(dd_PartSA_2_lines = "Yes",0,_xlfn.IFNA(INDEX('Resource use and costs'!$DZ$12:$DZ$25,MATCH(DA158,'Resource use and costs'!$DS$12:$DS$25,0)),0)*_xlfn.IFNA(INDEX(EA$10:EA$23,MATCH($DA158,$DX$10:$DX$23,0)),0))</f>
        <v>461.1445457142857</v>
      </c>
      <c r="DQ158" s="921">
        <f>IF(dd_PartSA_2_lines = "Yes",0,_xlfn.IFNA(INDEX('Resource use and costs'!$EA$12:$EA$25,MATCH(DB158,'Resource use and costs'!$DS$12:$DS$25,0)),0)*_xlfn.IFNA(INDEX(EC$10:EC$23,MATCH($DB158,$DX$10:$DX$23,0)),0))</f>
        <v>256.11457142857142</v>
      </c>
      <c r="DR158" s="921">
        <f t="shared" si="166"/>
        <v>10051.419622057145</v>
      </c>
      <c r="DS158" s="1004">
        <f ca="1">SUMIFS('Safety parameters'!$DM$6:$DM$18,'Safety parameters'!$DK$6:$DK$18,CZ158,'Safety parameters'!$DL$6:$DL$18,1)+IF(dd_PartSA_2_lines = "Yes",0,SUMIFS('Safety parameters'!$DM$6:$DM$18,'Safety parameters'!$DK$6:$DK$18,DA158,'Safety parameters'!$DL$6:$DL$18,2)+SUMIFS('Safety parameters'!$DM$6:$DM$18,'Safety parameters'!$DK$6:$DK$18,DB158,'Safety parameters'!$DL$6:$DL$18,2))</f>
        <v>1076.5246831786983</v>
      </c>
      <c r="DT158" s="910">
        <f ca="1">SUMIFS('Safety parameters'!$DO$6:$DO$18,'Safety parameters'!$DK$6:$DK$18,CZ158,'Safety parameters'!$DL$6:$DL$18,1)+IF(dd_PartSA_2_lines = "Yes",0,SUMIFS('Safety parameters'!$DO$6:$DO$18,'Safety parameters'!$DK$6:$DK$18,DA158,'Safety parameters'!$DL$6:$DL$18,2)+SUMIFS('Safety parameters'!$DO$6:$DO$18,'Safety parameters'!$DK$6:$DK$18,DB158,'Safety parameters'!$DL$6:$DL$18,2))</f>
        <v>-9.689899892873657E-3</v>
      </c>
    </row>
    <row r="159" spans="9:124" ht="15" x14ac:dyDescent="0.2">
      <c r="I159" s="865"/>
      <c r="CK159" s="61" t="s">
        <v>31</v>
      </c>
      <c r="CL159" s="61">
        <v>2</v>
      </c>
      <c r="CM159" s="61" t="str">
        <v>everolimus</v>
      </c>
      <c r="CN159" s="17">
        <v>10</v>
      </c>
      <c r="CO159" s="61" t="str" cm="1">
        <f t="array" ref="CO159">INDEX(List_comparators,CP158+1)</f>
        <v>sunitinib</v>
      </c>
      <c r="CP159" s="17">
        <v>7</v>
      </c>
      <c r="CQ159" s="601">
        <f t="shared" ca="1" si="167"/>
        <v>0</v>
      </c>
      <c r="CR159" s="601">
        <f t="shared" ca="1" si="168"/>
        <v>0</v>
      </c>
      <c r="CS159" s="669">
        <f t="shared" ca="1" si="170"/>
        <v>44.431428571428569</v>
      </c>
      <c r="CT159" s="669">
        <f t="shared" ca="1" si="169"/>
        <v>9.668571428571429</v>
      </c>
      <c r="CU159" s="1123">
        <f>MATCH(CZ159,'Resource use and costs'!$BA$11:$BA$53,0)</f>
        <v>1</v>
      </c>
      <c r="CV159" s="1223"/>
      <c r="CW159" s="1241">
        <f t="shared" si="164"/>
        <v>1</v>
      </c>
      <c r="CX159" s="899" t="s">
        <v>764</v>
      </c>
      <c r="CY159" s="899" t="s">
        <v>319</v>
      </c>
      <c r="CZ159" s="899" t="s">
        <v>579</v>
      </c>
      <c r="DA159" s="899" t="s">
        <v>119</v>
      </c>
      <c r="DB159" s="899" t="s">
        <v>327</v>
      </c>
      <c r="DC159" s="899" cm="1">
        <f t="array" aca="1" ref="DC159" ca="1">_xlfn.IFNA(OFFSET($I$49,MATCH(CY159,$I$50:$I$63,0),MATCH(CZ159,TRANSPOSE($J$49:$W$49),0)),0)</f>
        <v>0.49974522065392168</v>
      </c>
      <c r="DD159" s="899" cm="1">
        <f t="array" aca="1" ref="DD159" ca="1">_xlfn.IFNA(OFFSET($Y$49,MATCH($CZ159,$Y$50:$Y$63,0),MATCH($DA159,TRANSPOSE($Z$49:$AM$49),0)),0)</f>
        <v>6.4999999999999997E-3</v>
      </c>
      <c r="DE159" s="899" cm="1">
        <f t="array" aca="1" ref="DE159" ca="1">_xlfn.IFNA(OFFSET($AO$49,MATCH($DA159,$AO$50:$AO$63,0),MATCH($DB159,TRANSPOSE($AP$49:$BC$49),0)),0)</f>
        <v>0</v>
      </c>
      <c r="DF159" s="881">
        <f t="shared" ca="1" si="161"/>
        <v>0</v>
      </c>
      <c r="DG159" s="910">
        <f t="shared" ca="1" si="162"/>
        <v>0.98859556831386541</v>
      </c>
      <c r="DH159" s="881">
        <f t="shared" ca="1" si="163"/>
        <v>0</v>
      </c>
      <c r="DI159" s="1460">
        <f t="shared" ca="1" si="158"/>
        <v>0</v>
      </c>
      <c r="DJ159" s="909">
        <f>_xlfn.IFNA(INDEX('Resource use and costs'!$CQ$11:$CQ$53,MATCH($CZ159,'Resource use and costs'!$BA$11:$BA$53,0)),0)*_xlfn.IFNA(INDEX(DY$10:DY$23,MATCH($CZ159,$DX$10:$DX$23,0)),0)</f>
        <v>56693.786091428577</v>
      </c>
      <c r="DK159" s="909">
        <f>IF(dd_PartSA_2_lines = "Yes",0,_xlfn.IFNA(INDEX('Resource use and costs'!$CR$11:$CR$53,MATCH(DA159,'Resource use and costs'!$BA$11:$BA$53,0)),0)*_xlfn.IFNA(INDEX(EA$10:EA$23,MATCH($DA159,$DX$10:$DX$23,0)),0))</f>
        <v>848.17532499999982</v>
      </c>
      <c r="DL159" s="909">
        <f>IF(dd_PartSA_2_lines = "Yes",0,_xlfn.IFNA(INDEX('Resource use and costs'!$CS$11:$CS$53,MATCH(DB159,'Resource use and costs'!$BA$11:$BA$53,0)),0)*_xlfn.IFNA(INDEX(EC$10:EC$23,MATCH($DB159,$DX$10:$DX$23,0)),0))</f>
        <v>18438.751749999999</v>
      </c>
      <c r="DM159" s="909">
        <f t="shared" si="165"/>
        <v>75980.71316642857</v>
      </c>
      <c r="DN159" s="909">
        <f>SUM(_xlfn.IFNA(INDEX('Resource use and costs'!$DU$12:$DU$25,MATCH(CZ159,'Resource use and costs'!$DS$12:$DS$25,0)),0),_xlfn.IFNA(INDEX('Resource use and costs'!$DU$12:$DU$25,MATCH(DA159,'Resource use and costs'!$DS$12:$DS$25,0)),0),_xlfn.IFNA(INDEX('Resource use and costs'!$DU$12:$DU$25,MATCH(DB159,'Resource use and costs'!$DS$12:$DS$25,0)),0))</f>
        <v>394.5</v>
      </c>
      <c r="DO159" s="921">
        <f>_xlfn.IFNA(INDEX('Resource use and costs'!$DY$12:$DY$25,MATCH(CZ159,'Resource use and costs'!$DS$12:$DS$25,0)),0)*_xlfn.IFNA(INDEX(DY$10:DY$23,MATCH($CZ159,$DX$10:$DX$23,0)),0)</f>
        <v>8939.6605049142872</v>
      </c>
      <c r="DP159" s="921">
        <f>IF(dd_PartSA_2_lines = "Yes",0,_xlfn.IFNA(INDEX('Resource use and costs'!$DZ$12:$DZ$25,MATCH(DA159,'Resource use and costs'!$DS$12:$DS$25,0)),0)*_xlfn.IFNA(INDEX(EA$10:EA$23,MATCH($DA159,$DX$10:$DX$23,0)),0))</f>
        <v>74.50928571428571</v>
      </c>
      <c r="DQ159" s="921">
        <f>IF(dd_PartSA_2_lines = "Yes",0,_xlfn.IFNA(INDEX('Resource use and costs'!$EA$12:$EA$25,MATCH(DB159,'Resource use and costs'!$DS$12:$DS$25,0)),0)*_xlfn.IFNA(INDEX(EC$10:EC$23,MATCH($DB159,$DX$10:$DX$23,0)),0))</f>
        <v>230.68099999999998</v>
      </c>
      <c r="DR159" s="921">
        <f t="shared" si="166"/>
        <v>9639.350790628574</v>
      </c>
      <c r="DS159" s="1004">
        <f ca="1">SUMIFS('Safety parameters'!$DM$6:$DM$18,'Safety parameters'!$DK$6:$DK$18,CZ159,'Safety parameters'!$DL$6:$DL$18,1)+IF(dd_PartSA_2_lines = "Yes",0,SUMIFS('Safety parameters'!$DM$6:$DM$18,'Safety parameters'!$DK$6:$DK$18,DA159,'Safety parameters'!$DL$6:$DL$18,2)+SUMIFS('Safety parameters'!$DM$6:$DM$18,'Safety parameters'!$DK$6:$DK$18,DB159,'Safety parameters'!$DL$6:$DL$18,2))</f>
        <v>1967.1040569407746</v>
      </c>
      <c r="DT159" s="910">
        <f ca="1">SUMIFS('Safety parameters'!$DO$6:$DO$18,'Safety parameters'!$DK$6:$DK$18,CZ159,'Safety parameters'!$DL$6:$DL$18,1)+IF(dd_PartSA_2_lines = "Yes",0,SUMIFS('Safety parameters'!$DO$6:$DO$18,'Safety parameters'!$DK$6:$DK$18,DA159,'Safety parameters'!$DL$6:$DL$18,2)+SUMIFS('Safety parameters'!$DO$6:$DO$18,'Safety parameters'!$DK$6:$DK$18,DB159,'Safety parameters'!$DL$6:$DL$18,2))</f>
        <v>-1.7409497544119149E-2</v>
      </c>
    </row>
    <row r="160" spans="9:124" ht="15" x14ac:dyDescent="0.2">
      <c r="CK160" s="61" t="s">
        <v>31</v>
      </c>
      <c r="CL160" s="61">
        <v>2</v>
      </c>
      <c r="CM160" s="61" t="str">
        <v>axitinib</v>
      </c>
      <c r="CN160" s="17">
        <v>11</v>
      </c>
      <c r="CO160" s="61" t="str" cm="1">
        <f t="array" ref="CO160">INDEX(List_comparators,CP159+1)</f>
        <v>sunitinib</v>
      </c>
      <c r="CP160" s="17">
        <v>7</v>
      </c>
      <c r="CQ160" s="601">
        <f t="shared" ca="1" si="167"/>
        <v>0</v>
      </c>
      <c r="CR160" s="601">
        <f t="shared" ca="1" si="168"/>
        <v>0</v>
      </c>
      <c r="CS160" s="669">
        <f t="shared" ca="1" si="170"/>
        <v>44.431428571428569</v>
      </c>
      <c r="CT160" s="669">
        <f t="shared" ca="1" si="169"/>
        <v>9.668571428571429</v>
      </c>
      <c r="CU160" s="1123">
        <f>MATCH(CZ160,'Resource use and costs'!$BA$11:$BA$53,0)</f>
        <v>1</v>
      </c>
      <c r="CV160" s="1223"/>
      <c r="CW160" s="1241">
        <f t="shared" si="164"/>
        <v>1</v>
      </c>
      <c r="CX160" s="899" t="s">
        <v>764</v>
      </c>
      <c r="CY160" s="899" t="s">
        <v>319</v>
      </c>
      <c r="CZ160" s="899" t="s">
        <v>579</v>
      </c>
      <c r="DA160" s="899" t="s">
        <v>119</v>
      </c>
      <c r="DB160" s="899" t="s">
        <v>765</v>
      </c>
      <c r="DC160" s="899" cm="1">
        <f t="array" aca="1" ref="DC160" ca="1">_xlfn.IFNA(OFFSET($I$49,MATCH(CY160,$I$50:$I$63,0),MATCH(CZ160,TRANSPOSE($J$49:$W$49),0)),0)</f>
        <v>0.49974522065392168</v>
      </c>
      <c r="DD160" s="899" cm="1">
        <f t="array" aca="1" ref="DD160" ca="1">_xlfn.IFNA(OFFSET($Y$49,MATCH($CZ160,$Y$50:$Y$63,0),MATCH($DA160,TRANSPOSE($Z$49:$AM$49),0)),0)</f>
        <v>6.4999999999999997E-3</v>
      </c>
      <c r="DE160" s="899" cm="1">
        <f t="array" aca="1" ref="DE160" ca="1">_xlfn.IFNA(OFFSET($AO$49,MATCH($DA160,$AO$50:$AO$63,0),MATCH($DB160,TRANSPOSE($AP$49:$BC$49),0)),0)</f>
        <v>1</v>
      </c>
      <c r="DF160" s="881">
        <f t="shared" ca="1" si="161"/>
        <v>3.2483439342504907E-3</v>
      </c>
      <c r="DG160" s="910">
        <f t="shared" ca="1" si="162"/>
        <v>0.98859556831386541</v>
      </c>
      <c r="DH160" s="881">
        <f t="shared" ca="1" si="163"/>
        <v>3.2112984177592612E-3</v>
      </c>
      <c r="DI160" s="1460">
        <f t="shared" ca="1" si="158"/>
        <v>0.33397503544696316</v>
      </c>
      <c r="DJ160" s="909">
        <f>_xlfn.IFNA(INDEX('Resource use and costs'!$CQ$11:$CQ$53,MATCH($CZ160,'Resource use and costs'!$BA$11:$BA$53,0)),0)*_xlfn.IFNA(INDEX(DY$10:DY$23,MATCH($CZ160,$DX$10:$DX$23,0)),0)</f>
        <v>56693.786091428577</v>
      </c>
      <c r="DK160" s="909">
        <f>IF(dd_PartSA_2_lines = "Yes",0,_xlfn.IFNA(INDEX('Resource use and costs'!$CR$11:$CR$53,MATCH(DA160,'Resource use and costs'!$BA$11:$BA$53,0)),0)*_xlfn.IFNA(INDEX(EA$10:EA$23,MATCH($DA160,$DX$10:$DX$23,0)),0))</f>
        <v>848.17532499999982</v>
      </c>
      <c r="DL160" s="909">
        <f>IF(dd_PartSA_2_lines = "Yes",0,_xlfn.IFNA(INDEX('Resource use and costs'!$CS$11:$CS$53,MATCH(DB160,'Resource use and costs'!$BA$11:$BA$53,0)),0)*_xlfn.IFNA(INDEX(EC$10:EC$23,MATCH($DB160,$DX$10:$DX$23,0)),0))</f>
        <v>0</v>
      </c>
      <c r="DM160" s="909">
        <f t="shared" si="165"/>
        <v>57541.961416428574</v>
      </c>
      <c r="DN160" s="909">
        <f>SUM(_xlfn.IFNA(INDEX('Resource use and costs'!$DU$12:$DU$25,MATCH(CZ160,'Resource use and costs'!$DS$12:$DS$25,0)),0),_xlfn.IFNA(INDEX('Resource use and costs'!$DU$12:$DU$25,MATCH(DA160,'Resource use and costs'!$DS$12:$DS$25,0)),0),_xlfn.IFNA(INDEX('Resource use and costs'!$DU$12:$DU$25,MATCH(DB160,'Resource use and costs'!$DS$12:$DS$25,0)),0))</f>
        <v>197.25</v>
      </c>
      <c r="DO160" s="921">
        <f>_xlfn.IFNA(INDEX('Resource use and costs'!$DY$12:$DY$25,MATCH(CZ160,'Resource use and costs'!$DS$12:$DS$25,0)),0)*_xlfn.IFNA(INDEX(DY$10:DY$23,MATCH($CZ160,$DX$10:$DX$23,0)),0)</f>
        <v>8939.6605049142872</v>
      </c>
      <c r="DP160" s="921">
        <f>IF(dd_PartSA_2_lines = "Yes",0,_xlfn.IFNA(INDEX('Resource use and costs'!$DZ$12:$DZ$25,MATCH(DA160,'Resource use and costs'!$DS$12:$DS$25,0)),0)*_xlfn.IFNA(INDEX(EA$10:EA$23,MATCH($DA160,$DX$10:$DX$23,0)),0))</f>
        <v>74.50928571428571</v>
      </c>
      <c r="DQ160" s="921">
        <f>IF(dd_PartSA_2_lines = "Yes",0,_xlfn.IFNA(INDEX('Resource use and costs'!$EA$12:$EA$25,MATCH(DB160,'Resource use and costs'!$DS$12:$DS$25,0)),0)*_xlfn.IFNA(INDEX(EC$10:EC$23,MATCH($DB160,$DX$10:$DX$23,0)),0))</f>
        <v>0</v>
      </c>
      <c r="DR160" s="921">
        <f t="shared" si="166"/>
        <v>9211.4197906285735</v>
      </c>
      <c r="DS160" s="1004">
        <f ca="1">SUMIFS('Safety parameters'!$DM$6:$DM$18,'Safety parameters'!$DK$6:$DK$18,CZ160,'Safety parameters'!$DL$6:$DL$18,1)+IF(dd_PartSA_2_lines = "Yes",0,SUMIFS('Safety parameters'!$DM$6:$DM$18,'Safety parameters'!$DK$6:$DK$18,DA160,'Safety parameters'!$DL$6:$DL$18,2)+SUMIFS('Safety parameters'!$DM$6:$DM$18,'Safety parameters'!$DK$6:$DK$18,DB160,'Safety parameters'!$DL$6:$DL$18,2))</f>
        <v>332.87538337531487</v>
      </c>
      <c r="DT160" s="910">
        <f ca="1">SUMIFS('Safety parameters'!$DO$6:$DO$18,'Safety parameters'!$DK$6:$DK$18,CZ160,'Safety parameters'!$DL$6:$DL$18,1)+IF(dd_PartSA_2_lines = "Yes",0,SUMIFS('Safety parameters'!$DO$6:$DO$18,'Safety parameters'!$DK$6:$DK$18,DA160,'Safety parameters'!$DL$6:$DL$18,2)+SUMIFS('Safety parameters'!$DO$6:$DO$18,'Safety parameters'!$DK$6:$DK$18,DB160,'Safety parameters'!$DL$6:$DL$18,2))</f>
        <v>-2.6675735366377194E-3</v>
      </c>
    </row>
    <row r="161" spans="89:124" ht="15" x14ac:dyDescent="0.2">
      <c r="CK161" s="61" t="s">
        <v>31</v>
      </c>
      <c r="CL161" s="61">
        <v>2</v>
      </c>
      <c r="CM161" s="61" t="str">
        <v>sorafenib</v>
      </c>
      <c r="CN161" s="17">
        <v>12</v>
      </c>
      <c r="CO161" s="61" t="str" cm="1">
        <f t="array" ref="CO161">INDEX(List_comparators,CP160+1)</f>
        <v>sunitinib</v>
      </c>
      <c r="CP161" s="17">
        <v>7</v>
      </c>
      <c r="CQ161" s="601">
        <f t="shared" ca="1" si="167"/>
        <v>0</v>
      </c>
      <c r="CR161" s="601">
        <f t="shared" ca="1" si="168"/>
        <v>0</v>
      </c>
      <c r="CS161" s="669">
        <f t="shared" ca="1" si="170"/>
        <v>0</v>
      </c>
      <c r="CT161" s="669">
        <f t="shared" ca="1" si="169"/>
        <v>0</v>
      </c>
      <c r="CU161" s="1123">
        <f>MATCH(CZ161,'Resource use and costs'!$BA$11:$BA$53,0)</f>
        <v>1</v>
      </c>
      <c r="CV161" s="1223"/>
      <c r="CW161" s="1241">
        <f t="shared" si="164"/>
        <v>1</v>
      </c>
      <c r="CX161" s="899" t="s">
        <v>764</v>
      </c>
      <c r="CY161" s="899" t="s">
        <v>319</v>
      </c>
      <c r="CZ161" s="899" t="s">
        <v>579</v>
      </c>
      <c r="DA161" s="899" t="s">
        <v>333</v>
      </c>
      <c r="DB161" s="899" t="s">
        <v>327</v>
      </c>
      <c r="DC161" s="899" cm="1">
        <f t="array" aca="1" ref="DC161" ca="1">_xlfn.IFNA(OFFSET($I$49,MATCH(CY161,$I$50:$I$63,0),MATCH(CZ161,TRANSPOSE($J$49:$W$49),0)),0)</f>
        <v>0.49974522065392168</v>
      </c>
      <c r="DD161" s="899" cm="1">
        <f t="array" aca="1" ref="DD161" ca="1">_xlfn.IFNA(OFFSET($Y$49,MATCH($CZ161,$Y$50:$Y$63,0),MATCH($DA161,TRANSPOSE($Z$49:$AM$49),0)),0)</f>
        <v>5.2400000000000002E-2</v>
      </c>
      <c r="DE161" s="899" cm="1">
        <f t="array" aca="1" ref="DE161" ca="1">_xlfn.IFNA(OFFSET($AO$49,MATCH($DA161,$AO$50:$AO$63,0),MATCH($DB161,TRANSPOSE($AP$49:$BC$49),0)),0)</f>
        <v>0.56859999999999999</v>
      </c>
      <c r="DF161" s="881">
        <f t="shared" ca="1" si="161"/>
        <v>1.4889728941104161E-2</v>
      </c>
      <c r="DG161" s="910">
        <f t="shared" ca="1" si="162"/>
        <v>0.98859556831386541</v>
      </c>
      <c r="DH161" s="881">
        <f t="shared" ca="1" si="163"/>
        <v>1.4719920044570277E-2</v>
      </c>
      <c r="DI161" s="1460">
        <f t="shared" ca="1" si="158"/>
        <v>1.5308716846353088</v>
      </c>
      <c r="DJ161" s="909">
        <f>_xlfn.IFNA(INDEX('Resource use and costs'!$CQ$11:$CQ$53,MATCH($CZ161,'Resource use and costs'!$BA$11:$BA$53,0)),0)*_xlfn.IFNA(INDEX(DY$10:DY$23,MATCH($CZ161,$DX$10:$DX$23,0)),0)</f>
        <v>56693.786091428577</v>
      </c>
      <c r="DK161" s="909">
        <f>IF(dd_PartSA_2_lines = "Yes",0,_xlfn.IFNA(INDEX('Resource use and costs'!$CR$11:$CR$53,MATCH(DA161,'Resource use and costs'!$BA$11:$BA$53,0)),0)*_xlfn.IFNA(INDEX(EA$10:EA$23,MATCH($DA161,$DX$10:$DX$23,0)),0))</f>
        <v>24337.716731999997</v>
      </c>
      <c r="DL161" s="909">
        <f>IF(dd_PartSA_2_lines = "Yes",0,_xlfn.IFNA(INDEX('Resource use and costs'!$CS$11:$CS$53,MATCH(DB161,'Resource use and costs'!$BA$11:$BA$53,0)),0)*_xlfn.IFNA(INDEX(EC$10:EC$23,MATCH($DB161,$DX$10:$DX$23,0)),0))</f>
        <v>18438.751749999999</v>
      </c>
      <c r="DM161" s="909">
        <f t="shared" si="165"/>
        <v>99470.254573428567</v>
      </c>
      <c r="DN161" s="909">
        <f>SUM(_xlfn.IFNA(INDEX('Resource use and costs'!$DU$12:$DU$25,MATCH(CZ161,'Resource use and costs'!$DS$12:$DS$25,0)),0),_xlfn.IFNA(INDEX('Resource use and costs'!$DU$12:$DU$25,MATCH(DA161,'Resource use and costs'!$DS$12:$DS$25,0)),0),_xlfn.IFNA(INDEX('Resource use and costs'!$DU$12:$DU$25,MATCH(DB161,'Resource use and costs'!$DS$12:$DS$25,0)),0))</f>
        <v>394.5</v>
      </c>
      <c r="DO161" s="921">
        <f>_xlfn.IFNA(INDEX('Resource use and costs'!$DY$12:$DY$25,MATCH(CZ161,'Resource use and costs'!$DS$12:$DS$25,0)),0)*_xlfn.IFNA(INDEX(DY$10:DY$23,MATCH($CZ161,$DX$10:$DX$23,0)),0)</f>
        <v>8939.6605049142872</v>
      </c>
      <c r="DP161" s="921">
        <f>IF(dd_PartSA_2_lines = "Yes",0,_xlfn.IFNA(INDEX('Resource use and costs'!$DZ$12:$DZ$25,MATCH(DA161,'Resource use and costs'!$DS$12:$DS$25,0)),0)*_xlfn.IFNA(INDEX(EA$10:EA$23,MATCH($DA161,$DX$10:$DX$23,0)),0))</f>
        <v>363.04714285714283</v>
      </c>
      <c r="DQ161" s="921">
        <f>IF(dd_PartSA_2_lines = "Yes",0,_xlfn.IFNA(INDEX('Resource use and costs'!$EA$12:$EA$25,MATCH(DB161,'Resource use and costs'!$DS$12:$DS$25,0)),0)*_xlfn.IFNA(INDEX(EC$10:EC$23,MATCH($DB161,$DX$10:$DX$23,0)),0))</f>
        <v>230.68099999999998</v>
      </c>
      <c r="DR161" s="921">
        <f t="shared" si="166"/>
        <v>9927.8886477714314</v>
      </c>
      <c r="DS161" s="1004">
        <f ca="1">SUMIFS('Safety parameters'!$DM$6:$DM$18,'Safety parameters'!$DK$6:$DK$18,CZ161,'Safety parameters'!$DL$6:$DL$18,1)+IF(dd_PartSA_2_lines = "Yes",0,SUMIFS('Safety parameters'!$DM$6:$DM$18,'Safety parameters'!$DK$6:$DK$18,DA161,'Safety parameters'!$DL$6:$DL$18,2)+SUMIFS('Safety parameters'!$DM$6:$DM$18,'Safety parameters'!$DK$6:$DK$18,DB161,'Safety parameters'!$DL$6:$DL$18,2))</f>
        <v>2577.0992943484653</v>
      </c>
      <c r="DT161" s="910">
        <f ca="1">SUMIFS('Safety parameters'!$DO$6:$DO$18,'Safety parameters'!$DK$6:$DK$18,CZ161,'Safety parameters'!$DL$6:$DL$18,1)+IF(dd_PartSA_2_lines = "Yes",0,SUMIFS('Safety parameters'!$DO$6:$DO$18,'Safety parameters'!$DK$6:$DK$18,DA161,'Safety parameters'!$DL$6:$DL$18,2)+SUMIFS('Safety parameters'!$DO$6:$DO$18,'Safety parameters'!$DK$6:$DK$18,DB161,'Safety parameters'!$DL$6:$DL$18,2))</f>
        <v>-2.4384674689096917E-2</v>
      </c>
    </row>
    <row r="162" spans="89:124" ht="15.75" thickBot="1" x14ac:dyDescent="0.25">
      <c r="CK162" s="506" t="s">
        <v>31</v>
      </c>
      <c r="CL162" s="506">
        <v>2</v>
      </c>
      <c r="CM162" s="506" t="str">
        <v>placebo_BSC</v>
      </c>
      <c r="CN162" s="19">
        <v>999</v>
      </c>
      <c r="CO162" s="506" t="str" cm="1">
        <f t="array" ref="CO162">INDEX(List_comparators,CP149+1)</f>
        <v>sunitinib</v>
      </c>
      <c r="CP162" s="19">
        <v>7</v>
      </c>
      <c r="CQ162" s="602">
        <f t="shared" ca="1" si="167"/>
        <v>0</v>
      </c>
      <c r="CR162" s="602">
        <f t="shared" ca="1" si="168"/>
        <v>0</v>
      </c>
      <c r="CS162" s="670">
        <v>0</v>
      </c>
      <c r="CT162" s="670">
        <f t="shared" ca="1" si="169"/>
        <v>0</v>
      </c>
      <c r="CU162" s="1123">
        <f>MATCH(CZ162,'Resource use and costs'!$BA$11:$BA$53,0)</f>
        <v>1</v>
      </c>
      <c r="CV162" s="1223"/>
      <c r="CW162" s="1241">
        <f t="shared" si="164"/>
        <v>1</v>
      </c>
      <c r="CX162" s="899" t="s">
        <v>764</v>
      </c>
      <c r="CY162" s="899" t="s">
        <v>319</v>
      </c>
      <c r="CZ162" s="899" t="s">
        <v>579</v>
      </c>
      <c r="DA162" s="899" t="s">
        <v>333</v>
      </c>
      <c r="DB162" s="899" t="s">
        <v>765</v>
      </c>
      <c r="DC162" s="899" cm="1">
        <f t="array" aca="1" ref="DC162" ca="1">_xlfn.IFNA(OFFSET($I$49,MATCH(CY162,$I$50:$I$63,0),MATCH(CZ162,TRANSPOSE($J$49:$W$49),0)),0)</f>
        <v>0.49974522065392168</v>
      </c>
      <c r="DD162" s="899" cm="1">
        <f t="array" aca="1" ref="DD162" ca="1">_xlfn.IFNA(OFFSET($Y$49,MATCH($CZ162,$Y$50:$Y$63,0),MATCH($DA162,TRANSPOSE($Z$49:$AM$49),0)),0)</f>
        <v>5.2400000000000002E-2</v>
      </c>
      <c r="DE162" s="899" cm="1">
        <f t="array" aca="1" ref="DE162" ca="1">_xlfn.IFNA(OFFSET($AO$49,MATCH($DA162,$AO$50:$AO$63,0),MATCH($DB162,TRANSPOSE($AP$49:$BC$49),0)),0)</f>
        <v>0.43140000000000001</v>
      </c>
      <c r="DF162" s="881">
        <f t="shared" ca="1" si="161"/>
        <v>1.1296920621161336E-2</v>
      </c>
      <c r="DG162" s="910">
        <f t="shared" ca="1" si="162"/>
        <v>0.98859556831386541</v>
      </c>
      <c r="DH162" s="881">
        <f t="shared" ca="1" si="163"/>
        <v>1.1168085661673616E-2</v>
      </c>
      <c r="DI162" s="1460">
        <f t="shared" ca="1" si="158"/>
        <v>1.1614809088140561</v>
      </c>
      <c r="DJ162" s="909">
        <f>_xlfn.IFNA(INDEX('Resource use and costs'!$CQ$11:$CQ$53,MATCH($CZ162,'Resource use and costs'!$BA$11:$BA$53,0)),0)*_xlfn.IFNA(INDEX(DY$10:DY$23,MATCH($CZ162,$DX$10:$DX$23,0)),0)</f>
        <v>56693.786091428577</v>
      </c>
      <c r="DK162" s="909">
        <f>IF(dd_PartSA_2_lines = "Yes",0,_xlfn.IFNA(INDEX('Resource use and costs'!$CR$11:$CR$53,MATCH(DA162,'Resource use and costs'!$BA$11:$BA$53,0)),0)*_xlfn.IFNA(INDEX(EA$10:EA$23,MATCH($DA162,$DX$10:$DX$23,0)),0))</f>
        <v>24337.716731999997</v>
      </c>
      <c r="DL162" s="909">
        <f>IF(dd_PartSA_2_lines = "Yes",0,_xlfn.IFNA(INDEX('Resource use and costs'!$CS$11:$CS$53,MATCH(DB162,'Resource use and costs'!$BA$11:$BA$53,0)),0)*_xlfn.IFNA(INDEX(EC$10:EC$23,MATCH($DB162,$DX$10:$DX$23,0)),0))</f>
        <v>0</v>
      </c>
      <c r="DM162" s="909">
        <f t="shared" si="165"/>
        <v>81031.502823428571</v>
      </c>
      <c r="DN162" s="909">
        <f>SUM(_xlfn.IFNA(INDEX('Resource use and costs'!$DU$12:$DU$25,MATCH(CZ162,'Resource use and costs'!$DS$12:$DS$25,0)),0),_xlfn.IFNA(INDEX('Resource use and costs'!$DU$12:$DU$25,MATCH(DA162,'Resource use and costs'!$DS$12:$DS$25,0)),0),_xlfn.IFNA(INDEX('Resource use and costs'!$DU$12:$DU$25,MATCH(DB162,'Resource use and costs'!$DS$12:$DS$25,0)),0))</f>
        <v>197.25</v>
      </c>
      <c r="DO162" s="921">
        <f>_xlfn.IFNA(INDEX('Resource use and costs'!$DY$12:$DY$25,MATCH(CZ162,'Resource use and costs'!$DS$12:$DS$25,0)),0)*_xlfn.IFNA(INDEX(DY$10:DY$23,MATCH($CZ162,$DX$10:$DX$23,0)),0)</f>
        <v>8939.6605049142872</v>
      </c>
      <c r="DP162" s="921">
        <f>IF(dd_PartSA_2_lines = "Yes",0,_xlfn.IFNA(INDEX('Resource use and costs'!$DZ$12:$DZ$25,MATCH(DA162,'Resource use and costs'!$DS$12:$DS$25,0)),0)*_xlfn.IFNA(INDEX(EA$10:EA$23,MATCH($DA162,$DX$10:$DX$23,0)),0))</f>
        <v>363.04714285714283</v>
      </c>
      <c r="DQ162" s="921">
        <f>IF(dd_PartSA_2_lines = "Yes",0,_xlfn.IFNA(INDEX('Resource use and costs'!$EA$12:$EA$25,MATCH(DB162,'Resource use and costs'!$DS$12:$DS$25,0)),0)*_xlfn.IFNA(INDEX(EC$10:EC$23,MATCH($DB162,$DX$10:$DX$23,0)),0))</f>
        <v>0</v>
      </c>
      <c r="DR162" s="921">
        <f t="shared" si="166"/>
        <v>9499.9576477714309</v>
      </c>
      <c r="DS162" s="1004">
        <f ca="1">SUMIFS('Safety parameters'!$DM$6:$DM$18,'Safety parameters'!$DK$6:$DK$18,CZ162,'Safety parameters'!$DL$6:$DL$18,1)+IF(dd_PartSA_2_lines = "Yes",0,SUMIFS('Safety parameters'!$DM$6:$DM$18,'Safety parameters'!$DK$6:$DK$18,DA162,'Safety parameters'!$DL$6:$DL$18,2)+SUMIFS('Safety parameters'!$DM$6:$DM$18,'Safety parameters'!$DK$6:$DK$18,DB162,'Safety parameters'!$DL$6:$DL$18,2))</f>
        <v>942.87062078300573</v>
      </c>
      <c r="DT162" s="910">
        <f ca="1">SUMIFS('Safety parameters'!$DO$6:$DO$18,'Safety parameters'!$DK$6:$DK$18,CZ162,'Safety parameters'!$DL$6:$DL$18,1)+IF(dd_PartSA_2_lines = "Yes",0,SUMIFS('Safety parameters'!$DO$6:$DO$18,'Safety parameters'!$DK$6:$DK$18,DA162,'Safety parameters'!$DL$6:$DL$18,2)+SUMIFS('Safety parameters'!$DO$6:$DO$18,'Safety parameters'!$DK$6:$DK$18,DB162,'Safety parameters'!$DL$6:$DL$18,2))</f>
        <v>-9.6427506816154883E-3</v>
      </c>
    </row>
    <row r="163" spans="89:124" ht="15" x14ac:dyDescent="0.2">
      <c r="CK163" s="505" t="s">
        <v>31</v>
      </c>
      <c r="CL163" s="505">
        <v>2</v>
      </c>
      <c r="CM163" s="61" t="str" cm="1">
        <f t="array" ref="CM163:CM176">List_comparators</f>
        <v>nivolumab_monotherapy</v>
      </c>
      <c r="CN163" s="17">
        <v>0</v>
      </c>
      <c r="CO163" s="61" t="str" cm="1">
        <f t="array" ref="CO163">INDEX(List_comparators,CP163+1)</f>
        <v>cabozantinib</v>
      </c>
      <c r="CP163" s="17">
        <v>8</v>
      </c>
      <c r="CQ163" s="603">
        <f t="shared" ca="1" si="167"/>
        <v>0</v>
      </c>
      <c r="CR163" s="603">
        <f t="shared" ca="1" si="168"/>
        <v>0</v>
      </c>
      <c r="CS163" s="669">
        <f t="shared" ref="CS163:CS175" ca="1" si="171">OFFSET($J$81,IF(CN163=999,13,CN163),CP163)</f>
        <v>48.628571428571419</v>
      </c>
      <c r="CT163" s="669">
        <f t="shared" ca="1" si="169"/>
        <v>2.9271428571428566</v>
      </c>
      <c r="CU163" s="1123" t="e">
        <f>MATCH(CZ163,'Resource use and costs'!$BA$11:$BA$53,0)</f>
        <v>#N/A</v>
      </c>
      <c r="CV163" s="1223"/>
      <c r="CW163" s="1241">
        <f t="shared" si="164"/>
        <v>0</v>
      </c>
      <c r="CX163" s="899" t="s">
        <v>773</v>
      </c>
      <c r="CY163" s="899" t="s">
        <v>583</v>
      </c>
      <c r="CZ163" s="899" t="s">
        <v>765</v>
      </c>
      <c r="DA163" s="899"/>
      <c r="DB163" s="899"/>
      <c r="DC163" s="899" cm="1">
        <f t="array" aca="1" ref="DC163" ca="1">_xlfn.IFNA(OFFSET($I$49,MATCH(CY163,$I$50:$I$63,0),MATCH(CZ163,TRANSPOSE($J$49:$W$49),0)),0)</f>
        <v>0.3256</v>
      </c>
      <c r="DD163" s="899" cm="1">
        <f t="array" aca="1" ref="DD163" ca="1">_xlfn.IFNA(OFFSET($Y$49,MATCH($CZ163,$Y$50:$Y$63,0),MATCH($DA163,TRANSPOSE($Z$49:$AM$49),0)),0)</f>
        <v>0</v>
      </c>
      <c r="DE163" s="899" cm="1">
        <f t="array" aca="1" ref="DE163" ca="1">_xlfn.IFNA(OFFSET($AO$49,MATCH($DA163,$AO$50:$AO$63,0),MATCH($DB163,TRANSPOSE($AP$49:$BC$49),0)),0)</f>
        <v>0</v>
      </c>
      <c r="DF163" s="881">
        <f t="shared" ca="1" si="161"/>
        <v>0.3256</v>
      </c>
      <c r="DG163" s="910">
        <f t="shared" ca="1" si="162"/>
        <v>0.99999999999999967</v>
      </c>
      <c r="DH163" s="881">
        <f t="shared" ca="1" si="163"/>
        <v>0.3256</v>
      </c>
      <c r="DI163" s="1460">
        <f t="shared" ref="DI163:DI181" ca="1" si="172">168*DH163</f>
        <v>54.700800000000001</v>
      </c>
      <c r="DJ163" s="909">
        <f>_xlfn.IFNA(INDEX('Resource use and costs'!$CQ$11:$CQ$53,MATCH($CZ163,'Resource use and costs'!$BA$11:$BA$53,0)),0)*_xlfn.IFNA(INDEX(DY$10:DY$23,MATCH($CZ163,$DX$10:$DX$23,0)),0)</f>
        <v>0</v>
      </c>
      <c r="DK163" s="909">
        <f>IF(dd_PartSA_2_lines = "Yes",0,_xlfn.IFNA(INDEX('Resource use and costs'!$CR$11:$CR$53,MATCH(DA163,'Resource use and costs'!$BA$11:$BA$53,0)),0)*_xlfn.IFNA(INDEX(EA$10:EA$23,MATCH($DA163,$DX$10:$DX$23,0)),0))</f>
        <v>0</v>
      </c>
      <c r="DL163" s="909">
        <f>IF(dd_PartSA_2_lines = "Yes",0,_xlfn.IFNA(INDEX('Resource use and costs'!$CS$11:$CS$53,MATCH(DB163,'Resource use and costs'!$BA$11:$BA$53,0)),0)*_xlfn.IFNA(INDEX(EC$10:EC$23,MATCH($DB163,$DX$10:$DX$23,0)),0))</f>
        <v>0</v>
      </c>
      <c r="DM163" s="909">
        <f t="shared" si="165"/>
        <v>0</v>
      </c>
      <c r="DN163" s="909">
        <f>SUM(_xlfn.IFNA(INDEX('Resource use and costs'!$DU$12:$DU$25,MATCH(CZ163,'Resource use and costs'!$DS$12:$DS$25,0)),0),_xlfn.IFNA(INDEX('Resource use and costs'!$DU$12:$DU$25,MATCH(DA163,'Resource use and costs'!$DS$12:$DS$25,0)),0),_xlfn.IFNA(INDEX('Resource use and costs'!$DU$12:$DU$25,MATCH(DB163,'Resource use and costs'!$DS$12:$DS$25,0)),0))</f>
        <v>0</v>
      </c>
      <c r="DO163" s="921">
        <f>_xlfn.IFNA(INDEX('Resource use and costs'!$DY$12:$DY$25,MATCH(CZ163,'Resource use and costs'!$DS$12:$DS$25,0)),0)*_xlfn.IFNA(INDEX(DY$10:DY$23,MATCH($CZ163,$DX$10:$DX$23,0)),0)</f>
        <v>0</v>
      </c>
      <c r="DP163" s="921">
        <f>IF(dd_PartSA_2_lines = "Yes",0,_xlfn.IFNA(INDEX('Resource use and costs'!$DZ$12:$DZ$25,MATCH(DA163,'Resource use and costs'!$DS$12:$DS$25,0)),0)*_xlfn.IFNA(INDEX(EA$10:EA$23,MATCH($DA163,$DX$10:$DX$23,0)),0))</f>
        <v>0</v>
      </c>
      <c r="DQ163" s="921">
        <f>IF(dd_PartSA_2_lines = "Yes",0,_xlfn.IFNA(INDEX('Resource use and costs'!$EA$12:$EA$25,MATCH(DB163,'Resource use and costs'!$DS$12:$DS$25,0)),0)*_xlfn.IFNA(INDEX(EC$10:EC$23,MATCH($DB163,$DX$10:$DX$23,0)),0))</f>
        <v>0</v>
      </c>
      <c r="DR163" s="921">
        <f t="shared" si="166"/>
        <v>0</v>
      </c>
      <c r="DS163" s="1004">
        <f>SUMIFS('Safety parameters'!$DM$6:$DM$18,'Safety parameters'!$DK$6:$DK$18,CZ163,'Safety parameters'!$DL$6:$DL$18,1)+IF(dd_PartSA_2_lines = "Yes",0,SUMIFS('Safety parameters'!$DM$6:$DM$18,'Safety parameters'!$DK$6:$DK$18,DA163,'Safety parameters'!$DL$6:$DL$18,2)+SUMIFS('Safety parameters'!$DM$6:$DM$18,'Safety parameters'!$DK$6:$DK$18,DB163,'Safety parameters'!$DL$6:$DL$18,2))</f>
        <v>0</v>
      </c>
      <c r="DT163" s="910">
        <f>SUMIFS('Safety parameters'!$DO$6:$DO$18,'Safety parameters'!$DK$6:$DK$18,CZ163,'Safety parameters'!$DL$6:$DL$18,1)+IF(dd_PartSA_2_lines = "Yes",0,SUMIFS('Safety parameters'!$DO$6:$DO$18,'Safety parameters'!$DK$6:$DK$18,DA163,'Safety parameters'!$DL$6:$DL$18,2)+SUMIFS('Safety parameters'!$DO$6:$DO$18,'Safety parameters'!$DK$6:$DK$18,DB163,'Safety parameters'!$DL$6:$DL$18,2))</f>
        <v>0</v>
      </c>
    </row>
    <row r="164" spans="89:124" ht="15" x14ac:dyDescent="0.2">
      <c r="CK164" s="61" t="s">
        <v>31</v>
      </c>
      <c r="CL164" s="61">
        <v>2</v>
      </c>
      <c r="CM164" s="61" t="str">
        <v>cabozantinib_plus_nivolumab</v>
      </c>
      <c r="CN164" s="17">
        <v>1</v>
      </c>
      <c r="CO164" s="61" t="str" cm="1">
        <f t="array" ref="CO164">INDEX(List_comparators,CP163+1)</f>
        <v>cabozantinib</v>
      </c>
      <c r="CP164" s="17">
        <v>8</v>
      </c>
      <c r="CQ164" s="601">
        <f t="shared" ca="1" si="167"/>
        <v>0</v>
      </c>
      <c r="CR164" s="601">
        <f t="shared" ca="1" si="168"/>
        <v>0</v>
      </c>
      <c r="CS164" s="669">
        <f t="shared" ca="1" si="171"/>
        <v>48.628571428571419</v>
      </c>
      <c r="CT164" s="669">
        <f t="shared" ca="1" si="169"/>
        <v>2.9271428571428566</v>
      </c>
      <c r="CU164" s="1123">
        <f>MATCH(CZ164,'Resource use and costs'!$BA$11:$BA$53,0)</f>
        <v>30</v>
      </c>
      <c r="CV164" s="1223"/>
      <c r="CW164" s="1241">
        <f t="shared" si="164"/>
        <v>1</v>
      </c>
      <c r="CX164" s="899" t="s">
        <v>773</v>
      </c>
      <c r="CY164" s="899" t="s">
        <v>583</v>
      </c>
      <c r="CZ164" s="899" t="s">
        <v>118</v>
      </c>
      <c r="DA164" s="899" t="s">
        <v>765</v>
      </c>
      <c r="DB164" s="899"/>
      <c r="DC164" s="899" cm="1">
        <f t="array" aca="1" ref="DC164" ca="1">_xlfn.IFNA(OFFSET($I$49,MATCH(CY164,$I$50:$I$63,0),MATCH(CZ164,TRANSPOSE($J$49:$W$49),0)),0)</f>
        <v>0.38370142659917167</v>
      </c>
      <c r="DD164" s="899" cm="1">
        <f t="array" aca="1" ref="DD164" ca="1">_xlfn.IFNA(OFFSET($Y$49,MATCH($CZ164,$Y$50:$Y$63,0),MATCH($DA164,TRANSPOSE($Z$49:$AM$49),0)),0)</f>
        <v>0.34300000000000003</v>
      </c>
      <c r="DE164" s="899" cm="1">
        <f t="array" aca="1" ref="DE164" ca="1">_xlfn.IFNA(OFFSET($AO$49,MATCH($DA164,$AO$50:$AO$63,0),MATCH($DB164,TRANSPOSE($AP$49:$BC$49),0)),0)</f>
        <v>0</v>
      </c>
      <c r="DF164" s="881">
        <f t="shared" ca="1" si="161"/>
        <v>0.13160958932351588</v>
      </c>
      <c r="DG164" s="910">
        <f t="shared" ca="1" si="162"/>
        <v>0.99999999999999967</v>
      </c>
      <c r="DH164" s="881">
        <f t="shared" ca="1" si="163"/>
        <v>0.13160958932351582</v>
      </c>
      <c r="DI164" s="1460">
        <f t="shared" ca="1" si="172"/>
        <v>22.11041100635066</v>
      </c>
      <c r="DJ164" s="909">
        <f>_xlfn.IFNA(INDEX('Resource use and costs'!$CQ$11:$CQ$53,MATCH($CZ164,'Resource use and costs'!$BA$11:$BA$53,0)),0)*_xlfn.IFNA(INDEX(DY$10:DY$23,MATCH($CZ164,$DX$10:$DX$23,0)),0)</f>
        <v>45284.183573333321</v>
      </c>
      <c r="DK164" s="909">
        <f>IF(dd_PartSA_2_lines = "Yes",0,_xlfn.IFNA(INDEX('Resource use and costs'!$CR$11:$CR$53,MATCH(DA164,'Resource use and costs'!$BA$11:$BA$53,0)),0)*_xlfn.IFNA(INDEX(EA$10:EA$23,MATCH($DA164,$DX$10:$DX$23,0)),0))</f>
        <v>0</v>
      </c>
      <c r="DL164" s="909">
        <f>IF(dd_PartSA_2_lines = "Yes",0,_xlfn.IFNA(INDEX('Resource use and costs'!$CS$11:$CS$53,MATCH(DB164,'Resource use and costs'!$BA$11:$BA$53,0)),0)*_xlfn.IFNA(INDEX(EC$10:EC$23,MATCH($DB164,$DX$10:$DX$23,0)),0))</f>
        <v>0</v>
      </c>
      <c r="DM164" s="909">
        <f t="shared" si="165"/>
        <v>45284.183573333321</v>
      </c>
      <c r="DN164" s="909">
        <f>SUM(_xlfn.IFNA(INDEX('Resource use and costs'!$DU$12:$DU$25,MATCH(CZ164,'Resource use and costs'!$DS$12:$DS$25,0)),0),_xlfn.IFNA(INDEX('Resource use and costs'!$DU$12:$DU$25,MATCH(DA164,'Resource use and costs'!$DS$12:$DS$25,0)),0),_xlfn.IFNA(INDEX('Resource use and costs'!$DU$12:$DU$25,MATCH(DB164,'Resource use and costs'!$DS$12:$DS$25,0)),0))</f>
        <v>197.25</v>
      </c>
      <c r="DO164" s="921">
        <f>_xlfn.IFNA(INDEX('Resource use and costs'!$DY$12:$DY$25,MATCH(CZ164,'Resource use and costs'!$DS$12:$DS$25,0)),0)*_xlfn.IFNA(INDEX(DY$10:DY$23,MATCH($CZ164,$DX$10:$DX$23,0)),0)</f>
        <v>415.09348571428563</v>
      </c>
      <c r="DP164" s="921">
        <f>IF(dd_PartSA_2_lines = "Yes",0,_xlfn.IFNA(INDEX('Resource use and costs'!$DZ$12:$DZ$25,MATCH(DA164,'Resource use and costs'!$DS$12:$DS$25,0)),0)*_xlfn.IFNA(INDEX(EA$10:EA$23,MATCH($DA164,$DX$10:$DX$23,0)),0))</f>
        <v>0</v>
      </c>
      <c r="DQ164" s="921">
        <f>IF(dd_PartSA_2_lines = "Yes",0,_xlfn.IFNA(INDEX('Resource use and costs'!$EA$12:$EA$25,MATCH(DB164,'Resource use and costs'!$DS$12:$DS$25,0)),0)*_xlfn.IFNA(INDEX(EC$10:EC$23,MATCH($DB164,$DX$10:$DX$23,0)),0))</f>
        <v>0</v>
      </c>
      <c r="DR164" s="921">
        <f t="shared" si="166"/>
        <v>612.34348571428563</v>
      </c>
      <c r="DS164" s="1004">
        <f ca="1">SUMIFS('Safety parameters'!$DM$6:$DM$18,'Safety parameters'!$DK$6:$DK$18,CZ164,'Safety parameters'!$DL$6:$DL$18,1)+IF(dd_PartSA_2_lines = "Yes",0,SUMIFS('Safety parameters'!$DM$6:$DM$18,'Safety parameters'!$DK$6:$DK$18,DA164,'Safety parameters'!$DL$6:$DL$18,2)+SUMIFS('Safety parameters'!$DM$6:$DM$18,'Safety parameters'!$DK$6:$DK$18,DB164,'Safety parameters'!$DL$6:$DL$18,2))</f>
        <v>731.82916268415761</v>
      </c>
      <c r="DT164" s="910">
        <f ca="1">SUMIFS('Safety parameters'!$DO$6:$DO$18,'Safety parameters'!$DK$6:$DK$18,CZ164,'Safety parameters'!$DL$6:$DL$18,1)+IF(dd_PartSA_2_lines = "Yes",0,SUMIFS('Safety parameters'!$DO$6:$DO$18,'Safety parameters'!$DK$6:$DK$18,DA164,'Safety parameters'!$DL$6:$DL$18,2)+SUMIFS('Safety parameters'!$DO$6:$DO$18,'Safety parameters'!$DK$6:$DK$18,DB164,'Safety parameters'!$DL$6:$DL$18,2))</f>
        <v>-6.5169895084747891E-3</v>
      </c>
    </row>
    <row r="165" spans="89:124" ht="15" x14ac:dyDescent="0.2">
      <c r="CK165" s="61" t="s">
        <v>31</v>
      </c>
      <c r="CL165" s="61">
        <v>2</v>
      </c>
      <c r="CM165" s="61" t="str">
        <v>nivolumab_plus_ipilimumab</v>
      </c>
      <c r="CN165" s="17">
        <v>2</v>
      </c>
      <c r="CO165" s="61" t="str" cm="1">
        <f t="array" ref="CO165">INDEX(List_comparators,CP164+1)</f>
        <v>cabozantinib</v>
      </c>
      <c r="CP165" s="17">
        <v>8</v>
      </c>
      <c r="CQ165" s="601">
        <f t="shared" ca="1" si="167"/>
        <v>0.45152323211674239</v>
      </c>
      <c r="CR165" s="601">
        <f t="shared" ca="1" si="168"/>
        <v>4.5152323211674242E-2</v>
      </c>
      <c r="CS165" s="669">
        <f t="shared" ca="1" si="171"/>
        <v>48.628571428571419</v>
      </c>
      <c r="CT165" s="669">
        <f t="shared" ca="1" si="169"/>
        <v>2.9271428571428566</v>
      </c>
      <c r="CU165" s="1123">
        <f>MATCH(CZ165,'Resource use and costs'!$BA$11:$BA$53,0)</f>
        <v>30</v>
      </c>
      <c r="CV165" s="1223"/>
      <c r="CW165" s="1241">
        <f t="shared" si="164"/>
        <v>1</v>
      </c>
      <c r="CX165" s="899" t="s">
        <v>773</v>
      </c>
      <c r="CY165" s="899" t="s">
        <v>583</v>
      </c>
      <c r="CZ165" s="899" t="s">
        <v>118</v>
      </c>
      <c r="DA165" s="899" t="s">
        <v>119</v>
      </c>
      <c r="DB165" s="899" t="s">
        <v>765</v>
      </c>
      <c r="DC165" s="899" cm="1">
        <f t="array" aca="1" ref="DC165" ca="1">_xlfn.IFNA(OFFSET($I$49,MATCH(CY165,$I$50:$I$63,0),MATCH(CZ165,TRANSPOSE($J$49:$W$49),0)),0)</f>
        <v>0.38370142659917167</v>
      </c>
      <c r="DD165" s="899">
        <f ca="1">1-DD164</f>
        <v>0.65700000000000003</v>
      </c>
      <c r="DE165" s="899" cm="1">
        <f t="array" aca="1" ref="DE165" ca="1">_xlfn.IFNA(OFFSET($AO$49,MATCH($DA165,$AO$50:$AO$63,0),MATCH($DB165,TRANSPOSE($AP$49:$BC$49),0)),0)</f>
        <v>1</v>
      </c>
      <c r="DF165" s="881">
        <f t="shared" ca="1" si="161"/>
        <v>0.25209183727565582</v>
      </c>
      <c r="DG165" s="910">
        <f t="shared" ca="1" si="162"/>
        <v>0.99999999999999967</v>
      </c>
      <c r="DH165" s="881">
        <f t="shared" ca="1" si="163"/>
        <v>0.25209183727565571</v>
      </c>
      <c r="DI165" s="1460">
        <f t="shared" ca="1" si="172"/>
        <v>42.351428662310155</v>
      </c>
      <c r="DJ165" s="909">
        <f>_xlfn.IFNA(INDEX('Resource use and costs'!$CQ$11:$CQ$53,MATCH($CZ165,'Resource use and costs'!$BA$11:$BA$53,0)),0)*_xlfn.IFNA(INDEX(DY$10:DY$23,MATCH($CZ165,$DX$10:$DX$23,0)),0)</f>
        <v>45284.183573333321</v>
      </c>
      <c r="DK165" s="909">
        <f>IF(dd_PartSA_2_lines = "Yes",0,_xlfn.IFNA(INDEX('Resource use and costs'!$CR$11:$CR$53,MATCH(DA165,'Resource use and costs'!$BA$11:$BA$53,0)),0)*_xlfn.IFNA(INDEX(EA$10:EA$23,MATCH($DA165,$DX$10:$DX$23,0)),0))</f>
        <v>848.17532499999982</v>
      </c>
      <c r="DL165" s="909">
        <f>IF(dd_PartSA_2_lines = "Yes",0,_xlfn.IFNA(INDEX('Resource use and costs'!$CS$11:$CS$53,MATCH(DB165,'Resource use and costs'!$BA$11:$BA$53,0)),0)*_xlfn.IFNA(INDEX(EC$10:EC$23,MATCH($DB165,$DX$10:$DX$23,0)),0))</f>
        <v>0</v>
      </c>
      <c r="DM165" s="909">
        <f t="shared" si="165"/>
        <v>46132.358898333317</v>
      </c>
      <c r="DN165" s="909">
        <f>SUM(_xlfn.IFNA(INDEX('Resource use and costs'!$DU$12:$DU$25,MATCH(CZ165,'Resource use and costs'!$DS$12:$DS$25,0)),0),_xlfn.IFNA(INDEX('Resource use and costs'!$DU$12:$DU$25,MATCH(DA165,'Resource use and costs'!$DS$12:$DS$25,0)),0),_xlfn.IFNA(INDEX('Resource use and costs'!$DU$12:$DU$25,MATCH(DB165,'Resource use and costs'!$DS$12:$DS$25,0)),0))</f>
        <v>394.5</v>
      </c>
      <c r="DO165" s="921">
        <f>_xlfn.IFNA(INDEX('Resource use and costs'!$DY$12:$DY$25,MATCH(CZ165,'Resource use and costs'!$DS$12:$DS$25,0)),0)*_xlfn.IFNA(INDEX(DY$10:DY$23,MATCH($CZ165,$DX$10:$DX$23,0)),0)</f>
        <v>415.09348571428563</v>
      </c>
      <c r="DP165" s="921">
        <f>IF(dd_PartSA_2_lines = "Yes",0,_xlfn.IFNA(INDEX('Resource use and costs'!$DZ$12:$DZ$25,MATCH(DA165,'Resource use and costs'!$DS$12:$DS$25,0)),0)*_xlfn.IFNA(INDEX(EA$10:EA$23,MATCH($DA165,$DX$10:$DX$23,0)),0))</f>
        <v>74.50928571428571</v>
      </c>
      <c r="DQ165" s="921">
        <f>IF(dd_PartSA_2_lines = "Yes",0,_xlfn.IFNA(INDEX('Resource use and costs'!$EA$12:$EA$25,MATCH(DB165,'Resource use and costs'!$DS$12:$DS$25,0)),0)*_xlfn.IFNA(INDEX(EC$10:EC$23,MATCH($DB165,$DX$10:$DX$23,0)),0))</f>
        <v>0</v>
      </c>
      <c r="DR165" s="921">
        <f t="shared" si="166"/>
        <v>884.10277142857137</v>
      </c>
      <c r="DS165" s="1004">
        <f ca="1">SUMIFS('Safety parameters'!$DM$6:$DM$18,'Safety parameters'!$DK$6:$DK$18,CZ165,'Safety parameters'!$DL$6:$DL$18,1)+IF(dd_PartSA_2_lines = "Yes",0,SUMIFS('Safety parameters'!$DM$6:$DM$18,'Safety parameters'!$DK$6:$DK$18,DA165,'Safety parameters'!$DL$6:$DL$18,2)+SUMIFS('Safety parameters'!$DM$6:$DM$18,'Safety parameters'!$DK$6:$DK$18,DB165,'Safety parameters'!$DL$6:$DL$18,2))</f>
        <v>1064.7045460594725</v>
      </c>
      <c r="DT165" s="910">
        <f ca="1">SUMIFS('Safety parameters'!$DO$6:$DO$18,'Safety parameters'!$DK$6:$DK$18,CZ165,'Safety parameters'!$DL$6:$DL$18,1)+IF(dd_PartSA_2_lines = "Yes",0,SUMIFS('Safety parameters'!$DO$6:$DO$18,'Safety parameters'!$DK$6:$DK$18,DA165,'Safety parameters'!$DL$6:$DL$18,2)+SUMIFS('Safety parameters'!$DO$6:$DO$18,'Safety parameters'!$DK$6:$DK$18,DB165,'Safety parameters'!$DL$6:$DL$18,2))</f>
        <v>-9.184563045112509E-3</v>
      </c>
    </row>
    <row r="166" spans="89:124" ht="15" x14ac:dyDescent="0.2">
      <c r="CK166" s="61" t="s">
        <v>31</v>
      </c>
      <c r="CL166" s="61">
        <v>2</v>
      </c>
      <c r="CM166" s="61" t="str">
        <v>lenvatinib_plus_pembrolizumab</v>
      </c>
      <c r="CN166" s="17">
        <v>3</v>
      </c>
      <c r="CO166" s="61" t="str" cm="1">
        <f t="array" ref="CO166">INDEX(List_comparators,CP165+1)</f>
        <v>cabozantinib</v>
      </c>
      <c r="CP166" s="17">
        <v>8</v>
      </c>
      <c r="CQ166" s="601">
        <f t="shared" ca="1" si="167"/>
        <v>0.54387087099248355</v>
      </c>
      <c r="CR166" s="601">
        <f t="shared" ca="1" si="168"/>
        <v>5.438708709924836E-2</v>
      </c>
      <c r="CS166" s="669">
        <f t="shared" ca="1" si="171"/>
        <v>48.628571428571419</v>
      </c>
      <c r="CT166" s="669">
        <f t="shared" ca="1" si="169"/>
        <v>2.9271428571428566</v>
      </c>
      <c r="CU166" s="1123">
        <f>MATCH(CZ166,'Resource use and costs'!$BA$11:$BA$53,0)</f>
        <v>37</v>
      </c>
      <c r="CV166" s="1223"/>
      <c r="CW166" s="1241">
        <f t="shared" si="164"/>
        <v>1</v>
      </c>
      <c r="CX166" s="899" t="s">
        <v>773</v>
      </c>
      <c r="CY166" s="899" t="s">
        <v>583</v>
      </c>
      <c r="CZ166" s="899" t="s">
        <v>119</v>
      </c>
      <c r="DA166" s="899" t="s">
        <v>765</v>
      </c>
      <c r="DB166" s="899"/>
      <c r="DC166" s="899" cm="1">
        <f t="array" aca="1" ref="DC166" ca="1">_xlfn.IFNA(OFFSET($I$49,MATCH(CY166,$I$50:$I$63,0),MATCH(CZ166,TRANSPOSE($J$49:$W$49),0)),0)</f>
        <v>0</v>
      </c>
      <c r="DD166" s="899" cm="1">
        <f t="array" aca="1" ref="DD166" ca="1">_xlfn.IFNA(OFFSET($Y$49,MATCH($CZ166,$Y$50:$Y$63,0),MATCH($DA166,TRANSPOSE($Z$49:$AM$49),0)),0)</f>
        <v>1</v>
      </c>
      <c r="DE166" s="899" cm="1">
        <f t="array" aca="1" ref="DE166" ca="1">_xlfn.IFNA(OFFSET($AO$49,MATCH($DA166,$AO$50:$AO$63,0),MATCH($DB166,TRANSPOSE($AP$49:$BC$49),0)),0)</f>
        <v>0</v>
      </c>
      <c r="DF166" s="881">
        <f t="shared" ca="1" si="161"/>
        <v>0</v>
      </c>
      <c r="DG166" s="910">
        <f t="shared" ca="1" si="162"/>
        <v>0.99999999999999967</v>
      </c>
      <c r="DH166" s="881">
        <f t="shared" ca="1" si="163"/>
        <v>0</v>
      </c>
      <c r="DI166" s="1460">
        <f t="shared" ca="1" si="172"/>
        <v>0</v>
      </c>
      <c r="DJ166" s="909">
        <f>_xlfn.IFNA(INDEX('Resource use and costs'!$CQ$11:$CQ$53,MATCH($CZ166,'Resource use and costs'!$BA$11:$BA$53,0)),0)*_xlfn.IFNA(INDEX(DY$10:DY$23,MATCH($CZ166,$DX$10:$DX$23,0)),0)</f>
        <v>944.50399999999979</v>
      </c>
      <c r="DK166" s="909">
        <f>IF(dd_PartSA_2_lines = "Yes",0,_xlfn.IFNA(INDEX('Resource use and costs'!$CR$11:$CR$53,MATCH(DA166,'Resource use and costs'!$BA$11:$BA$53,0)),0)*_xlfn.IFNA(INDEX(EA$10:EA$23,MATCH($DA166,$DX$10:$DX$23,0)),0))</f>
        <v>0</v>
      </c>
      <c r="DL166" s="909">
        <f>IF(dd_PartSA_2_lines = "Yes",0,_xlfn.IFNA(INDEX('Resource use and costs'!$CS$11:$CS$53,MATCH(DB166,'Resource use and costs'!$BA$11:$BA$53,0)),0)*_xlfn.IFNA(INDEX(EC$10:EC$23,MATCH($DB166,$DX$10:$DX$23,0)),0))</f>
        <v>0</v>
      </c>
      <c r="DM166" s="909">
        <f t="shared" si="165"/>
        <v>944.50399999999979</v>
      </c>
      <c r="DN166" s="909">
        <f>SUM(_xlfn.IFNA(INDEX('Resource use and costs'!$DU$12:$DU$25,MATCH(CZ166,'Resource use and costs'!$DS$12:$DS$25,0)),0),_xlfn.IFNA(INDEX('Resource use and costs'!$DU$12:$DU$25,MATCH(DA166,'Resource use and costs'!$DS$12:$DS$25,0)),0),_xlfn.IFNA(INDEX('Resource use and costs'!$DU$12:$DU$25,MATCH(DB166,'Resource use and costs'!$DS$12:$DS$25,0)),0))</f>
        <v>197.25</v>
      </c>
      <c r="DO166" s="921">
        <f>_xlfn.IFNA(INDEX('Resource use and costs'!$DY$12:$DY$25,MATCH(CZ166,'Resource use and costs'!$DS$12:$DS$25,0)),0)*_xlfn.IFNA(INDEX(DY$10:DY$23,MATCH($CZ166,$DX$10:$DX$23,0)),0)</f>
        <v>82.971428571428561</v>
      </c>
      <c r="DP166" s="921">
        <f>IF(dd_PartSA_2_lines = "Yes",0,_xlfn.IFNA(INDEX('Resource use and costs'!$DZ$12:$DZ$25,MATCH(DA166,'Resource use and costs'!$DS$12:$DS$25,0)),0)*_xlfn.IFNA(INDEX(EA$10:EA$23,MATCH($DA166,$DX$10:$DX$23,0)),0))</f>
        <v>0</v>
      </c>
      <c r="DQ166" s="921">
        <f>IF(dd_PartSA_2_lines = "Yes",0,_xlfn.IFNA(INDEX('Resource use and costs'!$EA$12:$EA$25,MATCH(DB166,'Resource use and costs'!$DS$12:$DS$25,0)),0)*_xlfn.IFNA(INDEX(EC$10:EC$23,MATCH($DB166,$DX$10:$DX$23,0)),0))</f>
        <v>0</v>
      </c>
      <c r="DR166" s="921">
        <f t="shared" si="166"/>
        <v>280.22142857142853</v>
      </c>
      <c r="DS166" s="1004">
        <f>SUMIFS('Safety parameters'!$DM$6:$DM$18,'Safety parameters'!$DK$6:$DK$18,CZ166,'Safety parameters'!$DL$6:$DL$18,1)+IF(dd_PartSA_2_lines = "Yes",0,SUMIFS('Safety parameters'!$DM$6:$DM$18,'Safety parameters'!$DK$6:$DK$18,DA166,'Safety parameters'!$DL$6:$DL$18,2)+SUMIFS('Safety parameters'!$DM$6:$DM$18,'Safety parameters'!$DK$6:$DK$18,DB166,'Safety parameters'!$DL$6:$DL$18,2))</f>
        <v>0</v>
      </c>
      <c r="DT166" s="910">
        <f>SUMIFS('Safety parameters'!$DO$6:$DO$18,'Safety parameters'!$DK$6:$DK$18,CZ166,'Safety parameters'!$DL$6:$DL$18,1)+IF(dd_PartSA_2_lines = "Yes",0,SUMIFS('Safety parameters'!$DO$6:$DO$18,'Safety parameters'!$DK$6:$DK$18,DA166,'Safety parameters'!$DL$6:$DL$18,2)+SUMIFS('Safety parameters'!$DO$6:$DO$18,'Safety parameters'!$DK$6:$DK$18,DB166,'Safety parameters'!$DL$6:$DL$18,2))</f>
        <v>0</v>
      </c>
    </row>
    <row r="167" spans="89:124" ht="15" x14ac:dyDescent="0.2">
      <c r="CK167" s="61" t="s">
        <v>31</v>
      </c>
      <c r="CL167" s="61">
        <v>2</v>
      </c>
      <c r="CM167" s="61" t="str">
        <v>avelumab_plus_axitinib</v>
      </c>
      <c r="CN167" s="17">
        <v>4</v>
      </c>
      <c r="CO167" s="61" t="str" cm="1">
        <f t="array" ref="CO167">INDEX(List_comparators,CP166+1)</f>
        <v>cabozantinib</v>
      </c>
      <c r="CP167" s="17">
        <v>8</v>
      </c>
      <c r="CQ167" s="601">
        <f t="shared" ca="1" si="167"/>
        <v>0.38370142659917167</v>
      </c>
      <c r="CR167" s="601">
        <f t="shared" ca="1" si="168"/>
        <v>3.8370142659917172E-2</v>
      </c>
      <c r="CS167" s="669">
        <f t="shared" ca="1" si="171"/>
        <v>48.628571428571419</v>
      </c>
      <c r="CT167" s="669">
        <f t="shared" ca="1" si="169"/>
        <v>2.9271428571428566</v>
      </c>
      <c r="CU167" s="1123">
        <f>MATCH(CZ167,'Resource use and costs'!$BA$11:$BA$53,0)</f>
        <v>37</v>
      </c>
      <c r="CV167" s="1223"/>
      <c r="CW167" s="1241">
        <f t="shared" si="164"/>
        <v>1</v>
      </c>
      <c r="CX167" s="899" t="s">
        <v>773</v>
      </c>
      <c r="CY167" s="899" t="s">
        <v>583</v>
      </c>
      <c r="CZ167" s="899" t="s">
        <v>119</v>
      </c>
      <c r="DA167" s="899" t="s">
        <v>118</v>
      </c>
      <c r="DB167" s="899" t="s">
        <v>765</v>
      </c>
      <c r="DC167" s="899" cm="1">
        <f t="array" aca="1" ref="DC167" ca="1">_xlfn.IFNA(OFFSET($I$49,MATCH(CY167,$I$50:$I$63,0),MATCH(CZ167,TRANSPOSE($J$49:$W$49),0)),0)</f>
        <v>0</v>
      </c>
      <c r="DD167" s="899" cm="1">
        <f t="array" aca="1" ref="DD167" ca="1">_xlfn.IFNA(OFFSET($Y$49,MATCH($CZ167,$Y$50:$Y$63,0),MATCH($DA167,TRANSPOSE($Z$49:$AM$49),0)),0)</f>
        <v>0</v>
      </c>
      <c r="DE167" s="899" cm="1">
        <f t="array" aca="1" ref="DE167" ca="1">_xlfn.IFNA(OFFSET($AO$49,MATCH($DA167,$AO$50:$AO$63,0),MATCH($DB167,TRANSPOSE($AP$49:$BC$49),0)),0)</f>
        <v>0.43140000000000001</v>
      </c>
      <c r="DF167" s="881">
        <f t="shared" ca="1" si="161"/>
        <v>0</v>
      </c>
      <c r="DG167" s="910">
        <f t="shared" ca="1" si="162"/>
        <v>0.99999999999999967</v>
      </c>
      <c r="DH167" s="881">
        <f t="shared" ca="1" si="163"/>
        <v>0</v>
      </c>
      <c r="DI167" s="1460">
        <f t="shared" ca="1" si="172"/>
        <v>0</v>
      </c>
      <c r="DJ167" s="909">
        <f>_xlfn.IFNA(INDEX('Resource use and costs'!$CQ$11:$CQ$53,MATCH($CZ167,'Resource use and costs'!$BA$11:$BA$53,0)),0)*_xlfn.IFNA(INDEX(DY$10:DY$23,MATCH($CZ167,$DX$10:$DX$23,0)),0)</f>
        <v>944.50399999999979</v>
      </c>
      <c r="DK167" s="909">
        <f>IF(dd_PartSA_2_lines = "Yes",0,_xlfn.IFNA(INDEX('Resource use and costs'!$CR$11:$CR$53,MATCH(DA167,'Resource use and costs'!$BA$11:$BA$53,0)),0)*_xlfn.IFNA(INDEX(EA$10:EA$23,MATCH($DA167,$DX$10:$DX$23,0)),0))</f>
        <v>50308.075122000002</v>
      </c>
      <c r="DL167" s="909">
        <f>IF(dd_PartSA_2_lines = "Yes",0,_xlfn.IFNA(INDEX('Resource use and costs'!$CS$11:$CS$53,MATCH(DB167,'Resource use and costs'!$BA$11:$BA$53,0)),0)*_xlfn.IFNA(INDEX(EC$10:EC$23,MATCH($DB167,$DX$10:$DX$23,0)),0))</f>
        <v>0</v>
      </c>
      <c r="DM167" s="909">
        <f t="shared" si="165"/>
        <v>51252.579122000003</v>
      </c>
      <c r="DN167" s="909">
        <f>SUM(_xlfn.IFNA(INDEX('Resource use and costs'!$DU$12:$DU$25,MATCH(CZ167,'Resource use and costs'!$DS$12:$DS$25,0)),0),_xlfn.IFNA(INDEX('Resource use and costs'!$DU$12:$DU$25,MATCH(DA167,'Resource use and costs'!$DS$12:$DS$25,0)),0),_xlfn.IFNA(INDEX('Resource use and costs'!$DU$12:$DU$25,MATCH(DB167,'Resource use and costs'!$DS$12:$DS$25,0)),0))</f>
        <v>394.5</v>
      </c>
      <c r="DO167" s="921">
        <f>_xlfn.IFNA(INDEX('Resource use and costs'!$DY$12:$DY$25,MATCH(CZ167,'Resource use and costs'!$DS$12:$DS$25,0)),0)*_xlfn.IFNA(INDEX(DY$10:DY$23,MATCH($CZ167,$DX$10:$DX$23,0)),0)</f>
        <v>82.971428571428561</v>
      </c>
      <c r="DP167" s="921">
        <f>IF(dd_PartSA_2_lines = "Yes",0,_xlfn.IFNA(INDEX('Resource use and costs'!$DZ$12:$DZ$25,MATCH(DA167,'Resource use and costs'!$DS$12:$DS$25,0)),0)*_xlfn.IFNA(INDEX(EA$10:EA$23,MATCH($DA167,$DX$10:$DX$23,0)),0))</f>
        <v>461.1445457142857</v>
      </c>
      <c r="DQ167" s="921">
        <f>IF(dd_PartSA_2_lines = "Yes",0,_xlfn.IFNA(INDEX('Resource use and costs'!$EA$12:$EA$25,MATCH(DB167,'Resource use and costs'!$DS$12:$DS$25,0)),0)*_xlfn.IFNA(INDEX(EC$10:EC$23,MATCH($DB167,$DX$10:$DX$23,0)),0))</f>
        <v>0</v>
      </c>
      <c r="DR167" s="921">
        <f t="shared" si="166"/>
        <v>938.61597428571417</v>
      </c>
      <c r="DS167" s="1004">
        <f ca="1">SUMIFS('Safety parameters'!$DM$6:$DM$18,'Safety parameters'!$DK$6:$DK$18,CZ167,'Safety parameters'!$DL$6:$DL$18,1)+IF(dd_PartSA_2_lines = "Yes",0,SUMIFS('Safety parameters'!$DM$6:$DM$18,'Safety parameters'!$DK$6:$DK$18,DA167,'Safety parameters'!$DL$6:$DL$18,2)+SUMIFS('Safety parameters'!$DM$6:$DM$18,'Safety parameters'!$DK$6:$DK$18,DB167,'Safety parameters'!$DL$6:$DL$18,2))</f>
        <v>743.64929980338343</v>
      </c>
      <c r="DT167" s="910">
        <f ca="1">SUMIFS('Safety parameters'!$DO$6:$DO$18,'Safety parameters'!$DK$6:$DK$18,CZ167,'Safety parameters'!$DL$6:$DL$18,1)+IF(dd_PartSA_2_lines = "Yes",0,SUMIFS('Safety parameters'!$DO$6:$DO$18,'Safety parameters'!$DK$6:$DK$18,DA167,'Safety parameters'!$DL$6:$DL$18,2)+SUMIFS('Safety parameters'!$DO$6:$DO$18,'Safety parameters'!$DK$6:$DK$18,DB167,'Safety parameters'!$DL$6:$DL$18,2))</f>
        <v>-7.0223263562359372E-3</v>
      </c>
    </row>
    <row r="168" spans="89:124" ht="15" x14ac:dyDescent="0.2">
      <c r="CK168" s="61" t="s">
        <v>31</v>
      </c>
      <c r="CL168" s="61">
        <v>2</v>
      </c>
      <c r="CM168" s="61" t="str">
        <v>pazopanib</v>
      </c>
      <c r="CN168" s="17">
        <v>5</v>
      </c>
      <c r="CO168" s="61" t="str" cm="1">
        <f t="array" ref="CO168">INDEX(List_comparators,CP167+1)</f>
        <v>cabozantinib</v>
      </c>
      <c r="CP168" s="17">
        <v>8</v>
      </c>
      <c r="CQ168" s="601">
        <f t="shared" ca="1" si="167"/>
        <v>0.20540000000000003</v>
      </c>
      <c r="CR168" s="601">
        <f t="shared" ca="1" si="168"/>
        <v>2.0540000000000003E-2</v>
      </c>
      <c r="CS168" s="669">
        <f t="shared" ca="1" si="171"/>
        <v>48.628571428571419</v>
      </c>
      <c r="CT168" s="669">
        <f t="shared" ca="1" si="169"/>
        <v>2.9271428571428566</v>
      </c>
      <c r="CU168" s="1123">
        <f>MATCH(CZ168,'Resource use and costs'!$BA$11:$BA$53,0)</f>
        <v>43</v>
      </c>
      <c r="CV168" s="1223"/>
      <c r="CW168" s="1241">
        <f t="shared" si="164"/>
        <v>1</v>
      </c>
      <c r="CX168" s="899" t="s">
        <v>773</v>
      </c>
      <c r="CY168" s="899" t="s">
        <v>583</v>
      </c>
      <c r="CZ168" s="899" t="s">
        <v>333</v>
      </c>
      <c r="DA168" s="899" t="s">
        <v>765</v>
      </c>
      <c r="DB168" s="899"/>
      <c r="DC168" s="899" cm="1">
        <f t="array" aca="1" ref="DC168" ca="1">_xlfn.IFNA(OFFSET($I$49,MATCH(CY168,$I$50:$I$63,0),MATCH(CZ168,TRANSPOSE($J$49:$W$49),0)),0)</f>
        <v>0.20928228255867465</v>
      </c>
      <c r="DD168" s="899" cm="1">
        <f t="array" aca="1" ref="DD168" ca="1">_xlfn.IFNA(OFFSET($Y$49,MATCH($CZ168,$Y$50:$Y$63,0),MATCH($DA168,TRANSPOSE($Z$49:$AM$49),0)),0)</f>
        <v>0.34300000000000003</v>
      </c>
      <c r="DE168" s="899" cm="1">
        <f t="array" aca="1" ref="DE168" ca="1">_xlfn.IFNA(OFFSET($AO$49,MATCH($DA168,$AO$50:$AO$63,0),MATCH($DB168,TRANSPOSE($AP$49:$BC$49),0)),0)</f>
        <v>0</v>
      </c>
      <c r="DF168" s="881">
        <f t="shared" ca="1" si="161"/>
        <v>7.1783822917625403E-2</v>
      </c>
      <c r="DG168" s="910">
        <f t="shared" ca="1" si="162"/>
        <v>0.99999999999999967</v>
      </c>
      <c r="DH168" s="881">
        <f t="shared" ca="1" si="163"/>
        <v>7.1783822917625376E-2</v>
      </c>
      <c r="DI168" s="1460">
        <f t="shared" ca="1" si="172"/>
        <v>12.059682250161064</v>
      </c>
      <c r="DJ168" s="909">
        <f>_xlfn.IFNA(INDEX('Resource use and costs'!$CQ$11:$CQ$53,MATCH($CZ168,'Resource use and costs'!$BA$11:$BA$53,0)),0)*_xlfn.IFNA(INDEX(DY$10:DY$23,MATCH($CZ168,$DX$10:$DX$23,0)),0)</f>
        <v>54336.641519999976</v>
      </c>
      <c r="DK168" s="909">
        <f>IF(dd_PartSA_2_lines = "Yes",0,_xlfn.IFNA(INDEX('Resource use and costs'!$CR$11:$CR$53,MATCH(DA168,'Resource use and costs'!$BA$11:$BA$53,0)),0)*_xlfn.IFNA(INDEX(EA$10:EA$23,MATCH($DA168,$DX$10:$DX$23,0)),0))</f>
        <v>0</v>
      </c>
      <c r="DL168" s="909">
        <f>IF(dd_PartSA_2_lines = "Yes",0,_xlfn.IFNA(INDEX('Resource use and costs'!$CS$11:$CS$53,MATCH(DB168,'Resource use and costs'!$BA$11:$BA$53,0)),0)*_xlfn.IFNA(INDEX(EC$10:EC$23,MATCH($DB168,$DX$10:$DX$23,0)),0))</f>
        <v>0</v>
      </c>
      <c r="DM168" s="909">
        <f t="shared" si="165"/>
        <v>54336.641519999976</v>
      </c>
      <c r="DN168" s="909">
        <f>SUM(_xlfn.IFNA(INDEX('Resource use and costs'!$DU$12:$DU$25,MATCH(CZ168,'Resource use and costs'!$DS$12:$DS$25,0)),0),_xlfn.IFNA(INDEX('Resource use and costs'!$DU$12:$DU$25,MATCH(DA168,'Resource use and costs'!$DS$12:$DS$25,0)),0),_xlfn.IFNA(INDEX('Resource use and costs'!$DU$12:$DU$25,MATCH(DB168,'Resource use and costs'!$DS$12:$DS$25,0)),0))</f>
        <v>197.25</v>
      </c>
      <c r="DO168" s="921">
        <f>_xlfn.IFNA(INDEX('Resource use and costs'!$DY$12:$DY$25,MATCH(CZ168,'Resource use and costs'!$DS$12:$DS$25,0)),0)*_xlfn.IFNA(INDEX(DY$10:DY$23,MATCH($CZ168,$DX$10:$DX$23,0)),0)</f>
        <v>810.54285714285697</v>
      </c>
      <c r="DP168" s="921">
        <f>IF(dd_PartSA_2_lines = "Yes",0,_xlfn.IFNA(INDEX('Resource use and costs'!$DZ$12:$DZ$25,MATCH(DA168,'Resource use and costs'!$DS$12:$DS$25,0)),0)*_xlfn.IFNA(INDEX(EA$10:EA$23,MATCH($DA168,$DX$10:$DX$23,0)),0))</f>
        <v>0</v>
      </c>
      <c r="DQ168" s="921">
        <f>IF(dd_PartSA_2_lines = "Yes",0,_xlfn.IFNA(INDEX('Resource use and costs'!$EA$12:$EA$25,MATCH(DB168,'Resource use and costs'!$DS$12:$DS$25,0)),0)*_xlfn.IFNA(INDEX(EC$10:EC$23,MATCH($DB168,$DX$10:$DX$23,0)),0))</f>
        <v>0</v>
      </c>
      <c r="DR168" s="921">
        <f t="shared" si="166"/>
        <v>1007.792857142857</v>
      </c>
      <c r="DS168" s="1004">
        <f>SUMIFS('Safety parameters'!$DM$6:$DM$18,'Safety parameters'!$DK$6:$DK$18,CZ168,'Safety parameters'!$DL$6:$DL$18,1)+IF(dd_PartSA_2_lines = "Yes",0,SUMIFS('Safety parameters'!$DM$6:$DM$18,'Safety parameters'!$DK$6:$DK$18,DA168,'Safety parameters'!$DL$6:$DL$18,2)+SUMIFS('Safety parameters'!$DM$6:$DM$18,'Safety parameters'!$DK$6:$DK$18,DB168,'Safety parameters'!$DL$6:$DL$18,2))</f>
        <v>0</v>
      </c>
      <c r="DT168" s="910">
        <f>SUMIFS('Safety parameters'!$DO$6:$DO$18,'Safety parameters'!$DK$6:$DK$18,CZ168,'Safety parameters'!$DL$6:$DL$18,1)+IF(dd_PartSA_2_lines = "Yes",0,SUMIFS('Safety parameters'!$DO$6:$DO$18,'Safety parameters'!$DK$6:$DK$18,DA168,'Safety parameters'!$DL$6:$DL$18,2)+SUMIFS('Safety parameters'!$DO$6:$DO$18,'Safety parameters'!$DK$6:$DK$18,DB168,'Safety parameters'!$DL$6:$DL$18,2))</f>
        <v>0</v>
      </c>
    </row>
    <row r="169" spans="89:124" ht="15" x14ac:dyDescent="0.2">
      <c r="CK169" s="61" t="s">
        <v>31</v>
      </c>
      <c r="CL169" s="61">
        <v>2</v>
      </c>
      <c r="CM169" s="61" t="str">
        <v>tivozanib</v>
      </c>
      <c r="CN169" s="17">
        <v>6</v>
      </c>
      <c r="CO169" s="61" t="str" cm="1">
        <f t="array" ref="CO169">INDEX(List_comparators,CP168+1)</f>
        <v>cabozantinib</v>
      </c>
      <c r="CP169" s="17">
        <v>8</v>
      </c>
      <c r="CQ169" s="601">
        <f t="shared" ca="1" si="167"/>
        <v>0.12902805074146864</v>
      </c>
      <c r="CR169" s="601">
        <f t="shared" ca="1" si="168"/>
        <v>1.2902805074146866E-2</v>
      </c>
      <c r="CS169" s="669">
        <f t="shared" ca="1" si="171"/>
        <v>48.628571428571419</v>
      </c>
      <c r="CT169" s="669">
        <f t="shared" ca="1" si="169"/>
        <v>2.9271428571428566</v>
      </c>
      <c r="CU169" s="1123">
        <f>MATCH(CZ169,'Resource use and costs'!$BA$11:$BA$53,0)</f>
        <v>43</v>
      </c>
      <c r="CV169" s="1223"/>
      <c r="CW169" s="1241">
        <f t="shared" si="164"/>
        <v>1</v>
      </c>
      <c r="CX169" s="899" t="s">
        <v>773</v>
      </c>
      <c r="CY169" s="899" t="s">
        <v>583</v>
      </c>
      <c r="CZ169" s="899" t="s">
        <v>333</v>
      </c>
      <c r="DA169" s="899" t="s">
        <v>118</v>
      </c>
      <c r="DB169" s="899" t="s">
        <v>765</v>
      </c>
      <c r="DC169" s="899" cm="1">
        <f t="array" aca="1" ref="DC169" ca="1">_xlfn.IFNA(OFFSET($I$49,MATCH(CY169,$I$50:$I$63,0),MATCH(CZ169,TRANSPOSE($J$49:$W$49),0)),0)</f>
        <v>0.20928228255867465</v>
      </c>
      <c r="DD169" s="899">
        <f ca="1">1-DD168</f>
        <v>0.65700000000000003</v>
      </c>
      <c r="DE169" s="899">
        <v>1</v>
      </c>
      <c r="DF169" s="881">
        <f t="shared" ca="1" si="161"/>
        <v>0.13749845964104926</v>
      </c>
      <c r="DG169" s="910">
        <f t="shared" ca="1" si="162"/>
        <v>0.99999999999999967</v>
      </c>
      <c r="DH169" s="881">
        <f t="shared" ca="1" si="163"/>
        <v>0.1374984596410492</v>
      </c>
      <c r="DI169" s="1460">
        <f t="shared" ca="1" si="172"/>
        <v>23.099741219696266</v>
      </c>
      <c r="DJ169" s="909">
        <f>_xlfn.IFNA(INDEX('Resource use and costs'!$CQ$11:$CQ$53,MATCH($CZ169,'Resource use and costs'!$BA$11:$BA$53,0)),0)*_xlfn.IFNA(INDEX(DY$10:DY$23,MATCH($CZ169,$DX$10:$DX$23,0)),0)</f>
        <v>54336.641519999976</v>
      </c>
      <c r="DK169" s="909">
        <f>IF(dd_PartSA_2_lines = "Yes",0,_xlfn.IFNA(INDEX('Resource use and costs'!$CR$11:$CR$53,MATCH(DA169,'Resource use and costs'!$BA$11:$BA$53,0)),0)*_xlfn.IFNA(INDEX(EA$10:EA$23,MATCH($DA169,$DX$10:$DX$23,0)),0))</f>
        <v>50308.075122000002</v>
      </c>
      <c r="DL169" s="909">
        <f>IF(dd_PartSA_2_lines = "Yes",0,_xlfn.IFNA(INDEX('Resource use and costs'!$CS$11:$CS$53,MATCH(DB169,'Resource use and costs'!$BA$11:$BA$53,0)),0)*_xlfn.IFNA(INDEX(EC$10:EC$23,MATCH($DB169,$DX$10:$DX$23,0)),0))</f>
        <v>0</v>
      </c>
      <c r="DM169" s="909">
        <f t="shared" si="165"/>
        <v>104644.71664199998</v>
      </c>
      <c r="DN169" s="909">
        <f>SUM(_xlfn.IFNA(INDEX('Resource use and costs'!$DU$12:$DU$25,MATCH(CZ169,'Resource use and costs'!$DS$12:$DS$25,0)),0),_xlfn.IFNA(INDEX('Resource use and costs'!$DU$12:$DU$25,MATCH(DA169,'Resource use and costs'!$DS$12:$DS$25,0)),0),_xlfn.IFNA(INDEX('Resource use and costs'!$DU$12:$DU$25,MATCH(DB169,'Resource use and costs'!$DS$12:$DS$25,0)),0))</f>
        <v>394.5</v>
      </c>
      <c r="DO169" s="921">
        <f>_xlfn.IFNA(INDEX('Resource use and costs'!$DY$12:$DY$25,MATCH(CZ169,'Resource use and costs'!$DS$12:$DS$25,0)),0)*_xlfn.IFNA(INDEX(DY$10:DY$23,MATCH($CZ169,$DX$10:$DX$23,0)),0)</f>
        <v>810.54285714285697</v>
      </c>
      <c r="DP169" s="921">
        <f>IF(dd_PartSA_2_lines = "Yes",0,_xlfn.IFNA(INDEX('Resource use and costs'!$DZ$12:$DZ$25,MATCH(DA169,'Resource use and costs'!$DS$12:$DS$25,0)),0)*_xlfn.IFNA(INDEX(EA$10:EA$23,MATCH($DA169,$DX$10:$DX$23,0)),0))</f>
        <v>461.1445457142857</v>
      </c>
      <c r="DQ169" s="921">
        <f>IF(dd_PartSA_2_lines = "Yes",0,_xlfn.IFNA(INDEX('Resource use and costs'!$EA$12:$EA$25,MATCH(DB169,'Resource use and costs'!$DS$12:$DS$25,0)),0)*_xlfn.IFNA(INDEX(EC$10:EC$23,MATCH($DB169,$DX$10:$DX$23,0)),0))</f>
        <v>0</v>
      </c>
      <c r="DR169" s="921">
        <f t="shared" si="166"/>
        <v>1666.1874028571426</v>
      </c>
      <c r="DS169" s="1004">
        <f ca="1">SUMIFS('Safety parameters'!$DM$6:$DM$18,'Safety parameters'!$DK$6:$DK$18,CZ169,'Safety parameters'!$DL$6:$DL$18,1)+IF(dd_PartSA_2_lines = "Yes",0,SUMIFS('Safety parameters'!$DM$6:$DM$18,'Safety parameters'!$DK$6:$DK$18,DA169,'Safety parameters'!$DL$6:$DL$18,2)+SUMIFS('Safety parameters'!$DM$6:$DM$18,'Safety parameters'!$DK$6:$DK$18,DB169,'Safety parameters'!$DL$6:$DL$18,2))</f>
        <v>743.64929980338343</v>
      </c>
      <c r="DT169" s="910">
        <f ca="1">SUMIFS('Safety parameters'!$DO$6:$DO$18,'Safety parameters'!$DK$6:$DK$18,CZ169,'Safety parameters'!$DL$6:$DL$18,1)+IF(dd_PartSA_2_lines = "Yes",0,SUMIFS('Safety parameters'!$DO$6:$DO$18,'Safety parameters'!$DK$6:$DK$18,DA169,'Safety parameters'!$DL$6:$DL$18,2)+SUMIFS('Safety parameters'!$DO$6:$DO$18,'Safety parameters'!$DK$6:$DK$18,DB169,'Safety parameters'!$DL$6:$DL$18,2))</f>
        <v>-7.0223263562359372E-3</v>
      </c>
    </row>
    <row r="170" spans="89:124" ht="15" x14ac:dyDescent="0.2">
      <c r="CK170" s="61" t="s">
        <v>31</v>
      </c>
      <c r="CL170" s="61">
        <v>2</v>
      </c>
      <c r="CM170" s="61" t="str">
        <v>sunitinib</v>
      </c>
      <c r="CN170" s="17">
        <v>7</v>
      </c>
      <c r="CO170" s="61" t="str" cm="1">
        <f t="array" ref="CO170">INDEX(List_comparators,CP169+1)</f>
        <v>cabozantinib</v>
      </c>
      <c r="CP170" s="17">
        <v>8</v>
      </c>
      <c r="CQ170" s="601">
        <f t="shared" ca="1" si="167"/>
        <v>0.21610000000000001</v>
      </c>
      <c r="CR170" s="601">
        <f t="shared" ca="1" si="168"/>
        <v>2.1610000000000004E-2</v>
      </c>
      <c r="CS170" s="669">
        <f t="shared" ca="1" si="171"/>
        <v>48.628571428571419</v>
      </c>
      <c r="CT170" s="669">
        <f t="shared" ca="1" si="169"/>
        <v>2.9271428571428566</v>
      </c>
      <c r="CU170" s="1123">
        <f>MATCH(CZ170,'Resource use and costs'!$BA$11:$BA$53,0)</f>
        <v>21</v>
      </c>
      <c r="CV170" s="1223"/>
      <c r="CW170" s="1241">
        <f t="shared" si="164"/>
        <v>1</v>
      </c>
      <c r="CX170" s="899" t="s">
        <v>773</v>
      </c>
      <c r="CY170" s="899" t="s">
        <v>583</v>
      </c>
      <c r="CZ170" s="899" t="s">
        <v>585</v>
      </c>
      <c r="DA170" s="899" t="s">
        <v>765</v>
      </c>
      <c r="DB170" s="899"/>
      <c r="DC170" s="899" cm="1">
        <f t="array" aca="1" ref="DC170" ca="1">_xlfn.IFNA(OFFSET($I$49,MATCH(CY170,$I$50:$I$63,0),MATCH(CZ170,TRANSPOSE($J$49:$W$49),0)),0)</f>
        <v>0</v>
      </c>
      <c r="DD170" s="899" cm="1">
        <f t="array" aca="1" ref="DD170" ca="1">_xlfn.IFNA(OFFSET($Y$49,MATCH($CZ170,$Y$50:$Y$63,0),MATCH($DA170,TRANSPOSE($Z$49:$AM$49),0)),0)</f>
        <v>0.34300000000000003</v>
      </c>
      <c r="DE170" s="899" cm="1">
        <f t="array" aca="1" ref="DE170" ca="1">_xlfn.IFNA(OFFSET($AO$49,MATCH($DA170,$AO$50:$AO$63,0),MATCH($DB170,TRANSPOSE($AP$49:$BC$49),0)),0)</f>
        <v>0</v>
      </c>
      <c r="DF170" s="881">
        <f t="shared" ca="1" si="161"/>
        <v>0</v>
      </c>
      <c r="DG170" s="910">
        <f t="shared" ca="1" si="162"/>
        <v>0.99999999999999967</v>
      </c>
      <c r="DH170" s="881">
        <f t="shared" ca="1" si="163"/>
        <v>0</v>
      </c>
      <c r="DI170" s="1460">
        <f t="shared" ca="1" si="172"/>
        <v>0</v>
      </c>
      <c r="DJ170" s="909">
        <f>_xlfn.IFNA(INDEX('Resource use and costs'!$CQ$11:$CQ$53,MATCH($CZ170,'Resource use and costs'!$BA$11:$BA$53,0)),0)*_xlfn.IFNA(INDEX(DY$10:DY$23,MATCH($CZ170,$DX$10:$DX$23,0)),0)</f>
        <v>4551.2486654444447</v>
      </c>
      <c r="DK170" s="909">
        <f>IF(dd_PartSA_2_lines = "Yes",0,_xlfn.IFNA(INDEX('Resource use and costs'!$CR$11:$CR$53,MATCH(DA170,'Resource use and costs'!$BA$11:$BA$53,0)),0)*_xlfn.IFNA(INDEX(EA$10:EA$23,MATCH($DA170,$DX$10:$DX$23,0)),0))</f>
        <v>0</v>
      </c>
      <c r="DL170" s="909">
        <f>IF(dd_PartSA_2_lines = "Yes",0,_xlfn.IFNA(INDEX('Resource use and costs'!$CS$11:$CS$53,MATCH(DB170,'Resource use and costs'!$BA$11:$BA$53,0)),0)*_xlfn.IFNA(INDEX(EC$10:EC$23,MATCH($DB170,$DX$10:$DX$23,0)),0))</f>
        <v>0</v>
      </c>
      <c r="DM170" s="909">
        <f t="shared" si="165"/>
        <v>4551.2486654444447</v>
      </c>
      <c r="DN170" s="909">
        <f>SUM(_xlfn.IFNA(INDEX('Resource use and costs'!$DU$12:$DU$25,MATCH(CZ170,'Resource use and costs'!$DS$12:$DS$25,0)),0),_xlfn.IFNA(INDEX('Resource use and costs'!$DU$12:$DU$25,MATCH(DA170,'Resource use and costs'!$DS$12:$DS$25,0)),0),_xlfn.IFNA(INDEX('Resource use and costs'!$DU$12:$DU$25,MATCH(DB170,'Resource use and costs'!$DS$12:$DS$25,0)),0))</f>
        <v>197.25</v>
      </c>
      <c r="DO170" s="921">
        <f>_xlfn.IFNA(INDEX('Resource use and costs'!$DY$12:$DY$25,MATCH(CZ170,'Resource use and costs'!$DS$12:$DS$25,0)),0)*_xlfn.IFNA(INDEX(DY$10:DY$23,MATCH($CZ170,$DX$10:$DX$23,0)),0)</f>
        <v>410.14183571428572</v>
      </c>
      <c r="DP170" s="921">
        <f>IF(dd_PartSA_2_lines = "Yes",0,_xlfn.IFNA(INDEX('Resource use and costs'!$DZ$12:$DZ$25,MATCH(DA170,'Resource use and costs'!$DS$12:$DS$25,0)),0)*_xlfn.IFNA(INDEX(EA$10:EA$23,MATCH($DA170,$DX$10:$DX$23,0)),0))</f>
        <v>0</v>
      </c>
      <c r="DQ170" s="921">
        <f>IF(dd_PartSA_2_lines = "Yes",0,_xlfn.IFNA(INDEX('Resource use and costs'!$EA$12:$EA$25,MATCH(DB170,'Resource use and costs'!$DS$12:$DS$25,0)),0)*_xlfn.IFNA(INDEX(EC$10:EC$23,MATCH($DB170,$DX$10:$DX$23,0)),0))</f>
        <v>0</v>
      </c>
      <c r="DR170" s="921">
        <f t="shared" si="166"/>
        <v>607.39183571428566</v>
      </c>
      <c r="DS170" s="1004">
        <f ca="1">SUMIFS('Safety parameters'!$DM$6:$DM$18,'Safety parameters'!$DK$6:$DK$18,CZ170,'Safety parameters'!$DL$6:$DL$18,1)+IF(dd_PartSA_2_lines = "Yes",0,SUMIFS('Safety parameters'!$DM$6:$DM$18,'Safety parameters'!$DK$6:$DK$18,DA170,'Safety parameters'!$DL$6:$DL$18,2)+SUMIFS('Safety parameters'!$DM$6:$DM$18,'Safety parameters'!$DK$6:$DK$18,DB170,'Safety parameters'!$DL$6:$DL$18,2))</f>
        <v>511.60827353266905</v>
      </c>
      <c r="DT170" s="910">
        <f ca="1">SUMIFS('Safety parameters'!$DO$6:$DO$18,'Safety parameters'!$DK$6:$DK$18,CZ170,'Safety parameters'!$DL$6:$DL$18,1)+IF(dd_PartSA_2_lines = "Yes",0,SUMIFS('Safety parameters'!$DO$6:$DO$18,'Safety parameters'!$DK$6:$DK$18,DA170,'Safety parameters'!$DL$6:$DL$18,2)+SUMIFS('Safety parameters'!$DO$6:$DO$18,'Safety parameters'!$DK$6:$DK$18,DB170,'Safety parameters'!$DL$6:$DL$18,2))</f>
        <v>-5.0447816550466236E-3</v>
      </c>
    </row>
    <row r="171" spans="89:124" ht="15" x14ac:dyDescent="0.2">
      <c r="CK171" s="61" t="s">
        <v>31</v>
      </c>
      <c r="CL171" s="61">
        <v>2</v>
      </c>
      <c r="CM171" s="61" t="str">
        <v>cabozantinib</v>
      </c>
      <c r="CN171" s="17">
        <v>8</v>
      </c>
      <c r="CO171" s="61" t="str" cm="1">
        <f t="array" ref="CO171">INDEX(List_comparators,CP170+1)</f>
        <v>cabozantinib</v>
      </c>
      <c r="CP171" s="17">
        <v>8</v>
      </c>
      <c r="CQ171" s="601">
        <f t="shared" ca="1" si="167"/>
        <v>0</v>
      </c>
      <c r="CR171" s="601">
        <f t="shared" ca="1" si="168"/>
        <v>0</v>
      </c>
      <c r="CS171" s="669">
        <f t="shared" ca="1" si="171"/>
        <v>48.628571428571419</v>
      </c>
      <c r="CT171" s="669">
        <f t="shared" ca="1" si="169"/>
        <v>2.9271428571428566</v>
      </c>
      <c r="CU171" s="1123">
        <f>MATCH(CZ171,'Resource use and costs'!$BA$11:$BA$53,0)</f>
        <v>21</v>
      </c>
      <c r="CV171" s="1223"/>
      <c r="CW171" s="1241">
        <f t="shared" si="164"/>
        <v>1</v>
      </c>
      <c r="CX171" s="899" t="s">
        <v>773</v>
      </c>
      <c r="CY171" s="899" t="s">
        <v>583</v>
      </c>
      <c r="CZ171" s="899" t="s">
        <v>585</v>
      </c>
      <c r="DA171" s="899" t="s">
        <v>118</v>
      </c>
      <c r="DB171" s="899" t="s">
        <v>765</v>
      </c>
      <c r="DC171" s="899" cm="1">
        <f t="array" aca="1" ref="DC171" ca="1">_xlfn.IFNA(OFFSET($I$49,MATCH(CY171,$I$50:$I$63,0),MATCH(CZ171,TRANSPOSE($J$49:$W$49),0)),0)</f>
        <v>0</v>
      </c>
      <c r="DD171" s="899" cm="1">
        <f t="array" aca="1" ref="DD171" ca="1">_xlfn.IFNA(OFFSET($Y$49,MATCH($CZ171,$Y$50:$Y$63,0),MATCH($DA171,TRANSPOSE($Z$49:$AM$49),0)),0)</f>
        <v>0.32850000000000001</v>
      </c>
      <c r="DE171" s="899" cm="1">
        <f t="array" aca="1" ref="DE171" ca="1">_xlfn.IFNA(OFFSET($AO$49,MATCH($DA171,$AO$50:$AO$63,0),MATCH($DB171,TRANSPOSE($AP$49:$BC$49),0)),0)</f>
        <v>0.43140000000000001</v>
      </c>
      <c r="DF171" s="881">
        <f t="shared" ca="1" si="161"/>
        <v>0</v>
      </c>
      <c r="DG171" s="910">
        <f t="shared" ca="1" si="162"/>
        <v>0.99999999999999967</v>
      </c>
      <c r="DH171" s="881">
        <f t="shared" ca="1" si="163"/>
        <v>0</v>
      </c>
      <c r="DI171" s="1460">
        <f t="shared" ca="1" si="172"/>
        <v>0</v>
      </c>
      <c r="DJ171" s="909">
        <f>_xlfn.IFNA(INDEX('Resource use and costs'!$CQ$11:$CQ$53,MATCH($CZ171,'Resource use and costs'!$BA$11:$BA$53,0)),0)*_xlfn.IFNA(INDEX(DY$10:DY$23,MATCH($CZ171,$DX$10:$DX$23,0)),0)</f>
        <v>4551.2486654444447</v>
      </c>
      <c r="DK171" s="909">
        <f>IF(dd_PartSA_2_lines = "Yes",0,_xlfn.IFNA(INDEX('Resource use and costs'!$CR$11:$CR$53,MATCH(DA171,'Resource use and costs'!$BA$11:$BA$53,0)),0)*_xlfn.IFNA(INDEX(EA$10:EA$23,MATCH($DA171,$DX$10:$DX$23,0)),0))</f>
        <v>50308.075122000002</v>
      </c>
      <c r="DL171" s="909">
        <f>IF(dd_PartSA_2_lines = "Yes",0,_xlfn.IFNA(INDEX('Resource use and costs'!$CS$11:$CS$53,MATCH(DB171,'Resource use and costs'!$BA$11:$BA$53,0)),0)*_xlfn.IFNA(INDEX(EC$10:EC$23,MATCH($DB171,$DX$10:$DX$23,0)),0))</f>
        <v>0</v>
      </c>
      <c r="DM171" s="909">
        <f t="shared" si="165"/>
        <v>54859.323787444446</v>
      </c>
      <c r="DN171" s="909">
        <f>SUM(_xlfn.IFNA(INDEX('Resource use and costs'!$DU$12:$DU$25,MATCH(CZ171,'Resource use and costs'!$DS$12:$DS$25,0)),0),_xlfn.IFNA(INDEX('Resource use and costs'!$DU$12:$DU$25,MATCH(DA171,'Resource use and costs'!$DS$12:$DS$25,0)),0),_xlfn.IFNA(INDEX('Resource use and costs'!$DU$12:$DU$25,MATCH(DB171,'Resource use and costs'!$DS$12:$DS$25,0)),0))</f>
        <v>394.5</v>
      </c>
      <c r="DO171" s="921">
        <f>_xlfn.IFNA(INDEX('Resource use and costs'!$DY$12:$DY$25,MATCH(CZ171,'Resource use and costs'!$DS$12:$DS$25,0)),0)*_xlfn.IFNA(INDEX(DY$10:DY$23,MATCH($CZ171,$DX$10:$DX$23,0)),0)</f>
        <v>410.14183571428572</v>
      </c>
      <c r="DP171" s="921">
        <f>IF(dd_PartSA_2_lines = "Yes",0,_xlfn.IFNA(INDEX('Resource use and costs'!$DZ$12:$DZ$25,MATCH(DA171,'Resource use and costs'!$DS$12:$DS$25,0)),0)*_xlfn.IFNA(INDEX(EA$10:EA$23,MATCH($DA171,$DX$10:$DX$23,0)),0))</f>
        <v>461.1445457142857</v>
      </c>
      <c r="DQ171" s="921">
        <f>IF(dd_PartSA_2_lines = "Yes",0,_xlfn.IFNA(INDEX('Resource use and costs'!$EA$12:$EA$25,MATCH(DB171,'Resource use and costs'!$DS$12:$DS$25,0)),0)*_xlfn.IFNA(INDEX(EC$10:EC$23,MATCH($DB171,$DX$10:$DX$23,0)),0))</f>
        <v>0</v>
      </c>
      <c r="DR171" s="921">
        <f t="shared" si="166"/>
        <v>1265.7863814285713</v>
      </c>
      <c r="DS171" s="1004">
        <f ca="1">SUMIFS('Safety parameters'!$DM$6:$DM$18,'Safety parameters'!$DK$6:$DK$18,CZ171,'Safety parameters'!$DL$6:$DL$18,1)+IF(dd_PartSA_2_lines = "Yes",0,SUMIFS('Safety parameters'!$DM$6:$DM$18,'Safety parameters'!$DK$6:$DK$18,DA171,'Safety parameters'!$DL$6:$DL$18,2)+SUMIFS('Safety parameters'!$DM$6:$DM$18,'Safety parameters'!$DK$6:$DK$18,DB171,'Safety parameters'!$DL$6:$DL$18,2))</f>
        <v>1255.2575733360525</v>
      </c>
      <c r="DT171" s="910">
        <f ca="1">SUMIFS('Safety parameters'!$DO$6:$DO$18,'Safety parameters'!$DK$6:$DK$18,CZ171,'Safety parameters'!$DL$6:$DL$18,1)+IF(dd_PartSA_2_lines = "Yes",0,SUMIFS('Safety parameters'!$DO$6:$DO$18,'Safety parameters'!$DK$6:$DK$18,DA171,'Safety parameters'!$DL$6:$DL$18,2)+SUMIFS('Safety parameters'!$DO$6:$DO$18,'Safety parameters'!$DK$6:$DK$18,DB171,'Safety parameters'!$DL$6:$DL$18,2))</f>
        <v>-1.2067108011282562E-2</v>
      </c>
    </row>
    <row r="172" spans="89:124" ht="15" x14ac:dyDescent="0.2">
      <c r="CK172" s="61" t="s">
        <v>31</v>
      </c>
      <c r="CL172" s="61">
        <v>2</v>
      </c>
      <c r="CM172" s="61" t="str">
        <v>lenvatinib_plus_everolimus</v>
      </c>
      <c r="CN172" s="17">
        <v>9</v>
      </c>
      <c r="CO172" s="61" t="str" cm="1">
        <f t="array" ref="CO172">INDEX(List_comparators,CP171+1)</f>
        <v>cabozantinib</v>
      </c>
      <c r="CP172" s="17">
        <v>8</v>
      </c>
      <c r="CQ172" s="601">
        <f t="shared" ca="1" si="167"/>
        <v>0</v>
      </c>
      <c r="CR172" s="601">
        <f t="shared" ca="1" si="168"/>
        <v>0</v>
      </c>
      <c r="CS172" s="669">
        <f t="shared" ca="1" si="171"/>
        <v>48.628571428571419</v>
      </c>
      <c r="CT172" s="669">
        <f t="shared" ca="1" si="169"/>
        <v>2.9271428571428566</v>
      </c>
      <c r="CU172" s="1123">
        <f>MATCH(CZ172,'Resource use and costs'!$BA$11:$BA$53,0)</f>
        <v>21</v>
      </c>
      <c r="CV172" s="1223"/>
      <c r="CW172" s="1241">
        <f t="shared" si="164"/>
        <v>1</v>
      </c>
      <c r="CX172" s="899" t="s">
        <v>773</v>
      </c>
      <c r="CY172" s="899" t="s">
        <v>583</v>
      </c>
      <c r="CZ172" s="899" t="s">
        <v>585</v>
      </c>
      <c r="DA172" s="899" t="s">
        <v>118</v>
      </c>
      <c r="DB172" s="899" t="s">
        <v>119</v>
      </c>
      <c r="DC172" s="899" cm="1">
        <f t="array" aca="1" ref="DC172" ca="1">_xlfn.IFNA(OFFSET($I$49,MATCH(CY172,$I$50:$I$63,0),MATCH(CZ172,TRANSPOSE($J$49:$W$49),0)),0)</f>
        <v>0</v>
      </c>
      <c r="DD172" s="899">
        <f ca="1">1-DD171</f>
        <v>0.67149999999999999</v>
      </c>
      <c r="DE172" s="899">
        <f ca="1">1-DE171</f>
        <v>0.56859999999999999</v>
      </c>
      <c r="DF172" s="881">
        <f t="shared" ca="1" si="161"/>
        <v>0</v>
      </c>
      <c r="DG172" s="910">
        <f t="shared" ca="1" si="162"/>
        <v>0.99999999999999967</v>
      </c>
      <c r="DH172" s="881">
        <f t="shared" ca="1" si="163"/>
        <v>0</v>
      </c>
      <c r="DI172" s="1460">
        <f t="shared" ca="1" si="172"/>
        <v>0</v>
      </c>
      <c r="DJ172" s="909">
        <f>_xlfn.IFNA(INDEX('Resource use and costs'!$CQ$11:$CQ$53,MATCH($CZ172,'Resource use and costs'!$BA$11:$BA$53,0)),0)*_xlfn.IFNA(INDEX(DY$10:DY$23,MATCH($CZ172,$DX$10:$DX$23,0)),0)</f>
        <v>4551.2486654444447</v>
      </c>
      <c r="DK172" s="909">
        <f>IF(dd_PartSA_2_lines = "Yes",0,_xlfn.IFNA(INDEX('Resource use and costs'!$CR$11:$CR$53,MATCH(DA172,'Resource use and costs'!$BA$11:$BA$53,0)),0)*_xlfn.IFNA(INDEX(EA$10:EA$23,MATCH($DA172,$DX$10:$DX$23,0)),0))</f>
        <v>50308.075122000002</v>
      </c>
      <c r="DL172" s="909">
        <f>IF(dd_PartSA_2_lines = "Yes",0,_xlfn.IFNA(INDEX('Resource use and costs'!$CS$11:$CS$53,MATCH(DB172,'Resource use and costs'!$BA$11:$BA$53,0)),0)*_xlfn.IFNA(INDEX(EC$10:EC$23,MATCH($DB172,$DX$10:$DX$23,0)),0))</f>
        <v>2915.4763433333328</v>
      </c>
      <c r="DM172" s="909">
        <f t="shared" si="165"/>
        <v>57774.800130777781</v>
      </c>
      <c r="DN172" s="909">
        <f>SUM(_xlfn.IFNA(INDEX('Resource use and costs'!$DU$12:$DU$25,MATCH(CZ172,'Resource use and costs'!$DS$12:$DS$25,0)),0),_xlfn.IFNA(INDEX('Resource use and costs'!$DU$12:$DU$25,MATCH(DA172,'Resource use and costs'!$DS$12:$DS$25,0)),0),_xlfn.IFNA(INDEX('Resource use and costs'!$DU$12:$DU$25,MATCH(DB172,'Resource use and costs'!$DS$12:$DS$25,0)),0))</f>
        <v>591.75</v>
      </c>
      <c r="DO172" s="921">
        <f>_xlfn.IFNA(INDEX('Resource use and costs'!$DY$12:$DY$25,MATCH(CZ172,'Resource use and costs'!$DS$12:$DS$25,0)),0)*_xlfn.IFNA(INDEX(DY$10:DY$23,MATCH($CZ172,$DX$10:$DX$23,0)),0)</f>
        <v>410.14183571428572</v>
      </c>
      <c r="DP172" s="921">
        <f>IF(dd_PartSA_2_lines = "Yes",0,_xlfn.IFNA(INDEX('Resource use and costs'!$DZ$12:$DZ$25,MATCH(DA172,'Resource use and costs'!$DS$12:$DS$25,0)),0)*_xlfn.IFNA(INDEX(EA$10:EA$23,MATCH($DA172,$DX$10:$DX$23,0)),0))</f>
        <v>461.1445457142857</v>
      </c>
      <c r="DQ172" s="921">
        <f>IF(dd_PartSA_2_lines = "Yes",0,_xlfn.IFNA(INDEX('Resource use and costs'!$EA$12:$EA$25,MATCH(DB172,'Resource use and costs'!$DS$12:$DS$25,0)),0)*_xlfn.IFNA(INDEX(EC$10:EC$23,MATCH($DB172,$DX$10:$DX$23,0)),0))</f>
        <v>256.11457142857142</v>
      </c>
      <c r="DR172" s="921">
        <f t="shared" si="166"/>
        <v>1719.1509528571428</v>
      </c>
      <c r="DS172" s="1004">
        <f ca="1">SUMIFS('Safety parameters'!$DM$6:$DM$18,'Safety parameters'!$DK$6:$DK$18,CZ172,'Safety parameters'!$DL$6:$DL$18,1)+IF(dd_PartSA_2_lines = "Yes",0,SUMIFS('Safety parameters'!$DM$6:$DM$18,'Safety parameters'!$DK$6:$DK$18,DA172,'Safety parameters'!$DL$6:$DL$18,2)+SUMIFS('Safety parameters'!$DM$6:$DM$18,'Safety parameters'!$DK$6:$DK$18,DB172,'Safety parameters'!$DL$6:$DL$18,2))</f>
        <v>1588.1329567113673</v>
      </c>
      <c r="DT172" s="910">
        <f ca="1">SUMIFS('Safety parameters'!$DO$6:$DO$18,'Safety parameters'!$DK$6:$DK$18,CZ172,'Safety parameters'!$DL$6:$DL$18,1)+IF(dd_PartSA_2_lines = "Yes",0,SUMIFS('Safety parameters'!$DO$6:$DO$18,'Safety parameters'!$DK$6:$DK$18,DA172,'Safety parameters'!$DL$6:$DL$18,2)+SUMIFS('Safety parameters'!$DO$6:$DO$18,'Safety parameters'!$DK$6:$DK$18,DB172,'Safety parameters'!$DL$6:$DL$18,2))</f>
        <v>-1.4734681547920282E-2</v>
      </c>
    </row>
    <row r="173" spans="89:124" ht="15" x14ac:dyDescent="0.2">
      <c r="CK173" s="61" t="s">
        <v>31</v>
      </c>
      <c r="CL173" s="61">
        <v>2</v>
      </c>
      <c r="CM173" s="61" t="str">
        <v>everolimus</v>
      </c>
      <c r="CN173" s="17">
        <v>10</v>
      </c>
      <c r="CO173" s="61" t="str" cm="1">
        <f t="array" ref="CO173">INDEX(List_comparators,CP172+1)</f>
        <v>cabozantinib</v>
      </c>
      <c r="CP173" s="17">
        <v>8</v>
      </c>
      <c r="CQ173" s="601">
        <f t="shared" ca="1" si="167"/>
        <v>0</v>
      </c>
      <c r="CR173" s="601">
        <f t="shared" ca="1" si="168"/>
        <v>0</v>
      </c>
      <c r="CS173" s="669">
        <f t="shared" ca="1" si="171"/>
        <v>48.628571428571419</v>
      </c>
      <c r="CT173" s="669">
        <f t="shared" ca="1" si="169"/>
        <v>2.9271428571428566</v>
      </c>
      <c r="CU173" s="1123">
        <f>MATCH(CZ173,'Resource use and costs'!$BA$11:$BA$53,0)</f>
        <v>21</v>
      </c>
      <c r="CV173" s="1223"/>
      <c r="CW173" s="1241">
        <f t="shared" si="164"/>
        <v>1</v>
      </c>
      <c r="CX173" s="899" t="s">
        <v>773</v>
      </c>
      <c r="CY173" s="899" t="s">
        <v>583</v>
      </c>
      <c r="CZ173" s="899" t="s">
        <v>585</v>
      </c>
      <c r="DA173" s="899" t="s">
        <v>119</v>
      </c>
      <c r="DB173" s="899" t="s">
        <v>765</v>
      </c>
      <c r="DC173" s="899" cm="1">
        <f t="array" aca="1" ref="DC173" ca="1">_xlfn.IFNA(OFFSET($I$49,MATCH(CY173,$I$50:$I$63,0),MATCH(CZ173,TRANSPOSE($J$49:$W$49),0)),0)</f>
        <v>0</v>
      </c>
      <c r="DD173" s="899" cm="1">
        <f t="array" aca="1" ref="DD173" ca="1">_xlfn.IFNA(OFFSET($Y$49,MATCH($CZ173,$Y$50:$Y$63,0),MATCH($DA173,TRANSPOSE($Z$49:$AM$49),0)),0)</f>
        <v>0</v>
      </c>
      <c r="DE173" s="899" cm="1">
        <f t="array" aca="1" ref="DE173" ca="1">_xlfn.IFNA(OFFSET($AO$49,MATCH($DA173,$AO$50:$AO$63,0),MATCH($DB173,TRANSPOSE($AP$49:$BC$49),0)),0)</f>
        <v>1</v>
      </c>
      <c r="DF173" s="881">
        <f t="shared" ca="1" si="161"/>
        <v>0</v>
      </c>
      <c r="DG173" s="910">
        <f t="shared" ca="1" si="162"/>
        <v>0.99999999999999967</v>
      </c>
      <c r="DH173" s="881">
        <f t="shared" ca="1" si="163"/>
        <v>0</v>
      </c>
      <c r="DI173" s="1460">
        <f t="shared" ca="1" si="172"/>
        <v>0</v>
      </c>
      <c r="DJ173" s="909">
        <f>_xlfn.IFNA(INDEX('Resource use and costs'!$CQ$11:$CQ$53,MATCH($CZ173,'Resource use and costs'!$BA$11:$BA$53,0)),0)*_xlfn.IFNA(INDEX(DY$10:DY$23,MATCH($CZ173,$DX$10:$DX$23,0)),0)</f>
        <v>4551.2486654444447</v>
      </c>
      <c r="DK173" s="909">
        <f>IF(dd_PartSA_2_lines = "Yes",0,_xlfn.IFNA(INDEX('Resource use and costs'!$CR$11:$CR$53,MATCH(DA173,'Resource use and costs'!$BA$11:$BA$53,0)),0)*_xlfn.IFNA(INDEX(EA$10:EA$23,MATCH($DA173,$DX$10:$DX$23,0)),0))</f>
        <v>848.17532499999982</v>
      </c>
      <c r="DL173" s="909">
        <f>IF(dd_PartSA_2_lines = "Yes",0,_xlfn.IFNA(INDEX('Resource use and costs'!$CS$11:$CS$53,MATCH(DB173,'Resource use and costs'!$BA$11:$BA$53,0)),0)*_xlfn.IFNA(INDEX(EC$10:EC$23,MATCH($DB173,$DX$10:$DX$23,0)),0))</f>
        <v>0</v>
      </c>
      <c r="DM173" s="909">
        <f t="shared" si="165"/>
        <v>5399.4239904444448</v>
      </c>
      <c r="DN173" s="909">
        <f>SUM(_xlfn.IFNA(INDEX('Resource use and costs'!$DU$12:$DU$25,MATCH(CZ173,'Resource use and costs'!$DS$12:$DS$25,0)),0),_xlfn.IFNA(INDEX('Resource use and costs'!$DU$12:$DU$25,MATCH(DA173,'Resource use and costs'!$DS$12:$DS$25,0)),0),_xlfn.IFNA(INDEX('Resource use and costs'!$DU$12:$DU$25,MATCH(DB173,'Resource use and costs'!$DS$12:$DS$25,0)),0))</f>
        <v>394.5</v>
      </c>
      <c r="DO173" s="921">
        <f>_xlfn.IFNA(INDEX('Resource use and costs'!$DY$12:$DY$25,MATCH(CZ173,'Resource use and costs'!$DS$12:$DS$25,0)),0)*_xlfn.IFNA(INDEX(DY$10:DY$23,MATCH($CZ173,$DX$10:$DX$23,0)),0)</f>
        <v>410.14183571428572</v>
      </c>
      <c r="DP173" s="921">
        <f>IF(dd_PartSA_2_lines = "Yes",0,_xlfn.IFNA(INDEX('Resource use and costs'!$DZ$12:$DZ$25,MATCH(DA173,'Resource use and costs'!$DS$12:$DS$25,0)),0)*_xlfn.IFNA(INDEX(EA$10:EA$23,MATCH($DA173,$DX$10:$DX$23,0)),0))</f>
        <v>74.50928571428571</v>
      </c>
      <c r="DQ173" s="921">
        <f>IF(dd_PartSA_2_lines = "Yes",0,_xlfn.IFNA(INDEX('Resource use and costs'!$EA$12:$EA$25,MATCH(DB173,'Resource use and costs'!$DS$12:$DS$25,0)),0)*_xlfn.IFNA(INDEX(EC$10:EC$23,MATCH($DB173,$DX$10:$DX$23,0)),0))</f>
        <v>0</v>
      </c>
      <c r="DR173" s="921">
        <f t="shared" si="166"/>
        <v>879.1511214285714</v>
      </c>
      <c r="DS173" s="1004">
        <f ca="1">SUMIFS('Safety parameters'!$DM$6:$DM$18,'Safety parameters'!$DK$6:$DK$18,CZ173,'Safety parameters'!$DL$6:$DL$18,1)+IF(dd_PartSA_2_lines = "Yes",0,SUMIFS('Safety parameters'!$DM$6:$DM$18,'Safety parameters'!$DK$6:$DK$18,DA173,'Safety parameters'!$DL$6:$DL$18,2)+SUMIFS('Safety parameters'!$DM$6:$DM$18,'Safety parameters'!$DK$6:$DK$18,DB173,'Safety parameters'!$DL$6:$DL$18,2))</f>
        <v>844.48365690798391</v>
      </c>
      <c r="DT173" s="910">
        <f ca="1">SUMIFS('Safety parameters'!$DO$6:$DO$18,'Safety parameters'!$DK$6:$DK$18,CZ173,'Safety parameters'!$DL$6:$DL$18,1)+IF(dd_PartSA_2_lines = "Yes",0,SUMIFS('Safety parameters'!$DO$6:$DO$18,'Safety parameters'!$DK$6:$DK$18,DA173,'Safety parameters'!$DL$6:$DL$18,2)+SUMIFS('Safety parameters'!$DO$6:$DO$18,'Safety parameters'!$DK$6:$DK$18,DB173,'Safety parameters'!$DL$6:$DL$18,2))</f>
        <v>-7.7123551916843426E-3</v>
      </c>
    </row>
    <row r="174" spans="89:124" ht="15" x14ac:dyDescent="0.2">
      <c r="CK174" s="61" t="s">
        <v>31</v>
      </c>
      <c r="CL174" s="61">
        <v>2</v>
      </c>
      <c r="CM174" s="61" t="str">
        <v>axitinib</v>
      </c>
      <c r="CN174" s="17">
        <v>11</v>
      </c>
      <c r="CO174" s="61" t="str" cm="1">
        <f t="array" ref="CO174">INDEX(List_comparators,CP173+1)</f>
        <v>cabozantinib</v>
      </c>
      <c r="CP174" s="17">
        <v>8</v>
      </c>
      <c r="CQ174" s="601">
        <f t="shared" ca="1" si="167"/>
        <v>0</v>
      </c>
      <c r="CR174" s="601">
        <f t="shared" ca="1" si="168"/>
        <v>0</v>
      </c>
      <c r="CS174" s="669">
        <f t="shared" ca="1" si="171"/>
        <v>48.628571428571419</v>
      </c>
      <c r="CT174" s="669">
        <f t="shared" ca="1" si="169"/>
        <v>2.9271428571428566</v>
      </c>
      <c r="CU174" s="1123">
        <f>MATCH(CZ174,'Resource use and costs'!$BA$11:$BA$53,0)</f>
        <v>27</v>
      </c>
      <c r="CV174" s="1223"/>
      <c r="CW174" s="1241">
        <f t="shared" si="164"/>
        <v>1</v>
      </c>
      <c r="CX174" s="899" t="s">
        <v>773</v>
      </c>
      <c r="CY174" s="899" t="s">
        <v>583</v>
      </c>
      <c r="CZ174" s="899" t="s">
        <v>117</v>
      </c>
      <c r="DA174" s="899" t="s">
        <v>765</v>
      </c>
      <c r="DB174" s="899"/>
      <c r="DC174" s="899" cm="1">
        <f t="array" aca="1" ref="DC174" ca="1">_xlfn.IFNA(OFFSET($I$49,MATCH(CY174,$I$50:$I$63,0),MATCH(CZ174,TRANSPOSE($J$49:$W$49),0)),0)</f>
        <v>3.4863138518177635E-2</v>
      </c>
      <c r="DD174" s="899" cm="1">
        <f t="array" aca="1" ref="DD174" ca="1">_xlfn.IFNA(OFFSET($Y$49,MATCH($CZ174,$Y$50:$Y$63,0),MATCH($DA174,TRANSPOSE($Z$49:$AM$49),0)),0)</f>
        <v>0.34300000000000003</v>
      </c>
      <c r="DE174" s="899" cm="1">
        <f t="array" aca="1" ref="DE174" ca="1">_xlfn.IFNA(OFFSET($AO$49,MATCH($DA174,$AO$50:$AO$63,0),MATCH($DB174,TRANSPOSE($AP$49:$BC$49),0)),0)</f>
        <v>0</v>
      </c>
      <c r="DF174" s="881">
        <f t="shared" ca="1" si="161"/>
        <v>1.195805651173493E-2</v>
      </c>
      <c r="DG174" s="910">
        <f t="shared" ca="1" si="162"/>
        <v>0.99999999999999967</v>
      </c>
      <c r="DH174" s="881">
        <f t="shared" ca="1" si="163"/>
        <v>1.1958056511734927E-2</v>
      </c>
      <c r="DI174" s="1460">
        <f t="shared" ca="1" si="172"/>
        <v>2.0089534939714677</v>
      </c>
      <c r="DJ174" s="909">
        <f>_xlfn.IFNA(INDEX('Resource use and costs'!$CQ$11:$CQ$53,MATCH($CZ174,'Resource use and costs'!$BA$11:$BA$53,0)),0)*_xlfn.IFNA(INDEX(DY$10:DY$23,MATCH($CZ174,$DX$10:$DX$23,0)),0)</f>
        <v>2860.9927072190476</v>
      </c>
      <c r="DK174" s="909">
        <f>IF(dd_PartSA_2_lines = "Yes",0,_xlfn.IFNA(INDEX('Resource use and costs'!$CR$11:$CR$53,MATCH(DA174,'Resource use and costs'!$BA$11:$BA$53,0)),0)*_xlfn.IFNA(INDEX(EA$10:EA$23,MATCH($DA174,$DX$10:$DX$23,0)),0))</f>
        <v>0</v>
      </c>
      <c r="DL174" s="909">
        <f>IF(dd_PartSA_2_lines = "Yes",0,_xlfn.IFNA(INDEX('Resource use and costs'!$CS$11:$CS$53,MATCH(DB174,'Resource use and costs'!$BA$11:$BA$53,0)),0)*_xlfn.IFNA(INDEX(EC$10:EC$23,MATCH($DB174,$DX$10:$DX$23,0)),0))</f>
        <v>0</v>
      </c>
      <c r="DM174" s="909">
        <f t="shared" si="165"/>
        <v>2860.9927072190476</v>
      </c>
      <c r="DN174" s="909">
        <f>SUM(_xlfn.IFNA(INDEX('Resource use and costs'!$DU$12:$DU$25,MATCH(CZ174,'Resource use and costs'!$DS$12:$DS$25,0)),0),_xlfn.IFNA(INDEX('Resource use and costs'!$DU$12:$DU$25,MATCH(DA174,'Resource use and costs'!$DS$12:$DS$25,0)),0),_xlfn.IFNA(INDEX('Resource use and costs'!$DU$12:$DU$25,MATCH(DB174,'Resource use and costs'!$DS$12:$DS$25,0)),0))</f>
        <v>197.25</v>
      </c>
      <c r="DO174" s="921">
        <f>_xlfn.IFNA(INDEX('Resource use and costs'!$DY$12:$DY$25,MATCH(CZ174,'Resource use and costs'!$DS$12:$DS$25,0)),0)*_xlfn.IFNA(INDEX(DY$10:DY$23,MATCH($CZ174,$DX$10:$DX$23,0)),0)</f>
        <v>405.17019714285709</v>
      </c>
      <c r="DP174" s="921">
        <f>IF(dd_PartSA_2_lines = "Yes",0,_xlfn.IFNA(INDEX('Resource use and costs'!$DZ$12:$DZ$25,MATCH(DA174,'Resource use and costs'!$DS$12:$DS$25,0)),0)*_xlfn.IFNA(INDEX(EA$10:EA$23,MATCH($DA174,$DX$10:$DX$23,0)),0))</f>
        <v>0</v>
      </c>
      <c r="DQ174" s="921">
        <f>IF(dd_PartSA_2_lines = "Yes",0,_xlfn.IFNA(INDEX('Resource use and costs'!$EA$12:$EA$25,MATCH(DB174,'Resource use and costs'!$DS$12:$DS$25,0)),0)*_xlfn.IFNA(INDEX(EC$10:EC$23,MATCH($DB174,$DX$10:$DX$23,0)),0))</f>
        <v>0</v>
      </c>
      <c r="DR174" s="921">
        <f t="shared" si="166"/>
        <v>602.42019714285709</v>
      </c>
      <c r="DS174" s="1004">
        <f ca="1">SUMIFS('Safety parameters'!$DM$6:$DM$18,'Safety parameters'!$DK$6:$DK$18,CZ174,'Safety parameters'!$DL$6:$DL$18,1)+IF(dd_PartSA_2_lines = "Yes",0,SUMIFS('Safety parameters'!$DM$6:$DM$18,'Safety parameters'!$DK$6:$DK$18,DA174,'Safety parameters'!$DL$6:$DL$18,2)+SUMIFS('Safety parameters'!$DM$6:$DM$18,'Safety parameters'!$DK$6:$DK$18,DB174,'Safety parameters'!$DL$6:$DL$18,2))</f>
        <v>603.81337500000006</v>
      </c>
      <c r="DT174" s="910">
        <f ca="1">SUMIFS('Safety parameters'!$DO$6:$DO$18,'Safety parameters'!$DK$6:$DK$18,CZ174,'Safety parameters'!$DL$6:$DL$18,1)+IF(dd_PartSA_2_lines = "Yes",0,SUMIFS('Safety parameters'!$DO$6:$DO$18,'Safety parameters'!$DK$6:$DK$18,DA174,'Safety parameters'!$DL$6:$DL$18,2)+SUMIFS('Safety parameters'!$DO$6:$DO$18,'Safety parameters'!$DK$6:$DK$18,DB174,'Safety parameters'!$DL$6:$DL$18,2))</f>
        <v>-5.4260780287474324E-3</v>
      </c>
    </row>
    <row r="175" spans="89:124" ht="15" x14ac:dyDescent="0.2">
      <c r="CK175" s="61" t="s">
        <v>31</v>
      </c>
      <c r="CL175" s="61">
        <v>2</v>
      </c>
      <c r="CM175" s="61" t="str">
        <v>sorafenib</v>
      </c>
      <c r="CN175" s="17">
        <v>12</v>
      </c>
      <c r="CO175" s="61" t="str" cm="1">
        <f t="array" ref="CO175">INDEX(List_comparators,CP174+1)</f>
        <v>cabozantinib</v>
      </c>
      <c r="CP175" s="17">
        <v>8</v>
      </c>
      <c r="CQ175" s="601">
        <f t="shared" ca="1" si="167"/>
        <v>0</v>
      </c>
      <c r="CR175" s="601">
        <f t="shared" ca="1" si="168"/>
        <v>0</v>
      </c>
      <c r="CS175" s="669">
        <f t="shared" ca="1" si="171"/>
        <v>0</v>
      </c>
      <c r="CT175" s="669">
        <f t="shared" ca="1" si="169"/>
        <v>0</v>
      </c>
      <c r="CU175" s="1123">
        <f>MATCH(CZ175,'Resource use and costs'!$BA$11:$BA$53,0)</f>
        <v>27</v>
      </c>
      <c r="CV175" s="1223"/>
      <c r="CW175" s="1241">
        <f t="shared" si="164"/>
        <v>1</v>
      </c>
      <c r="CX175" s="899" t="s">
        <v>773</v>
      </c>
      <c r="CY175" s="899" t="s">
        <v>583</v>
      </c>
      <c r="CZ175" s="899" t="s">
        <v>117</v>
      </c>
      <c r="DA175" s="899" t="s">
        <v>118</v>
      </c>
      <c r="DB175" s="899" t="s">
        <v>765</v>
      </c>
      <c r="DC175" s="899" cm="1">
        <f t="array" aca="1" ref="DC175" ca="1">_xlfn.IFNA(OFFSET($I$49,MATCH(CY175,$I$50:$I$63,0),MATCH(CZ175,TRANSPOSE($J$49:$W$49),0)),0)</f>
        <v>3.4863138518177635E-2</v>
      </c>
      <c r="DD175" s="899">
        <f ca="1">DD176</f>
        <v>0.65700000000000003</v>
      </c>
      <c r="DE175" s="899" cm="1">
        <f t="array" aca="1" ref="DE175" ca="1">_xlfn.IFNA(OFFSET($AO$49,MATCH($DA175,$AO$50:$AO$63,0),MATCH($DB175,TRANSPOSE($AP$49:$BC$49),0)),0)</f>
        <v>0.43140000000000001</v>
      </c>
      <c r="DF175" s="881">
        <f t="shared" ca="1" si="161"/>
        <v>9.8812523775793845E-3</v>
      </c>
      <c r="DG175" s="910">
        <f t="shared" ca="1" si="162"/>
        <v>0.99999999999999967</v>
      </c>
      <c r="DH175" s="881">
        <f t="shared" ca="1" si="163"/>
        <v>9.881252377579381E-3</v>
      </c>
      <c r="DI175" s="1460">
        <f t="shared" ca="1" si="172"/>
        <v>1.660050399433336</v>
      </c>
      <c r="DJ175" s="909">
        <f>_xlfn.IFNA(INDEX('Resource use and costs'!$CQ$11:$CQ$53,MATCH($CZ175,'Resource use and costs'!$BA$11:$BA$53,0)),0)*_xlfn.IFNA(INDEX(DY$10:DY$23,MATCH($CZ175,$DX$10:$DX$23,0)),0)</f>
        <v>2860.9927072190476</v>
      </c>
      <c r="DK175" s="909">
        <f>IF(dd_PartSA_2_lines = "Yes",0,_xlfn.IFNA(INDEX('Resource use and costs'!$CR$11:$CR$53,MATCH(DA175,'Resource use and costs'!$BA$11:$BA$53,0)),0)*_xlfn.IFNA(INDEX(EA$10:EA$23,MATCH($DA175,$DX$10:$DX$23,0)),0))</f>
        <v>50308.075122000002</v>
      </c>
      <c r="DL175" s="909">
        <f>IF(dd_PartSA_2_lines = "Yes",0,_xlfn.IFNA(INDEX('Resource use and costs'!$CS$11:$CS$53,MATCH(DB175,'Resource use and costs'!$BA$11:$BA$53,0)),0)*_xlfn.IFNA(INDEX(EC$10:EC$23,MATCH($DB175,$DX$10:$DX$23,0)),0))</f>
        <v>0</v>
      </c>
      <c r="DM175" s="909">
        <f t="shared" si="165"/>
        <v>53169.06782921905</v>
      </c>
      <c r="DN175" s="909">
        <f>SUM(_xlfn.IFNA(INDEX('Resource use and costs'!$DU$12:$DU$25,MATCH(CZ175,'Resource use and costs'!$DS$12:$DS$25,0)),0),_xlfn.IFNA(INDEX('Resource use and costs'!$DU$12:$DU$25,MATCH(DA175,'Resource use and costs'!$DS$12:$DS$25,0)),0),_xlfn.IFNA(INDEX('Resource use and costs'!$DU$12:$DU$25,MATCH(DB175,'Resource use and costs'!$DS$12:$DS$25,0)),0))</f>
        <v>394.5</v>
      </c>
      <c r="DO175" s="921">
        <f>_xlfn.IFNA(INDEX('Resource use and costs'!$DY$12:$DY$25,MATCH(CZ175,'Resource use and costs'!$DS$12:$DS$25,0)),0)*_xlfn.IFNA(INDEX(DY$10:DY$23,MATCH($CZ175,$DX$10:$DX$23,0)),0)</f>
        <v>405.17019714285709</v>
      </c>
      <c r="DP175" s="921">
        <f>IF(dd_PartSA_2_lines = "Yes",0,_xlfn.IFNA(INDEX('Resource use and costs'!$DZ$12:$DZ$25,MATCH(DA175,'Resource use and costs'!$DS$12:$DS$25,0)),0)*_xlfn.IFNA(INDEX(EA$10:EA$23,MATCH($DA175,$DX$10:$DX$23,0)),0))</f>
        <v>461.1445457142857</v>
      </c>
      <c r="DQ175" s="921">
        <f>IF(dd_PartSA_2_lines = "Yes",0,_xlfn.IFNA(INDEX('Resource use and costs'!$EA$12:$EA$25,MATCH(DB175,'Resource use and costs'!$DS$12:$DS$25,0)),0)*_xlfn.IFNA(INDEX(EC$10:EC$23,MATCH($DB175,$DX$10:$DX$23,0)),0))</f>
        <v>0</v>
      </c>
      <c r="DR175" s="921">
        <f t="shared" si="166"/>
        <v>1260.8147428571428</v>
      </c>
      <c r="DS175" s="1004">
        <f ca="1">SUMIFS('Safety parameters'!$DM$6:$DM$18,'Safety parameters'!$DK$6:$DK$18,CZ175,'Safety parameters'!$DL$6:$DL$18,1)+IF(dd_PartSA_2_lines = "Yes",0,SUMIFS('Safety parameters'!$DM$6:$DM$18,'Safety parameters'!$DK$6:$DK$18,DA175,'Safety parameters'!$DL$6:$DL$18,2)+SUMIFS('Safety parameters'!$DM$6:$DM$18,'Safety parameters'!$DK$6:$DK$18,DB175,'Safety parameters'!$DL$6:$DL$18,2))</f>
        <v>1347.4626748033834</v>
      </c>
      <c r="DT175" s="910">
        <f ca="1">SUMIFS('Safety parameters'!$DO$6:$DO$18,'Safety parameters'!$DK$6:$DK$18,CZ175,'Safety parameters'!$DL$6:$DL$18,1)+IF(dd_PartSA_2_lines = "Yes",0,SUMIFS('Safety parameters'!$DO$6:$DO$18,'Safety parameters'!$DK$6:$DK$18,DA175,'Safety parameters'!$DL$6:$DL$18,2)+SUMIFS('Safety parameters'!$DO$6:$DO$18,'Safety parameters'!$DK$6:$DK$18,DB175,'Safety parameters'!$DL$6:$DL$18,2))</f>
        <v>-1.244840438498337E-2</v>
      </c>
    </row>
    <row r="176" spans="89:124" ht="15.75" thickBot="1" x14ac:dyDescent="0.25">
      <c r="CK176" s="506" t="s">
        <v>31</v>
      </c>
      <c r="CL176" s="506">
        <v>2</v>
      </c>
      <c r="CM176" s="506" t="str">
        <v>placebo_BSC</v>
      </c>
      <c r="CN176" s="19">
        <v>999</v>
      </c>
      <c r="CO176" s="506" t="str" cm="1">
        <f t="array" ref="CO176">INDEX(List_comparators,CP163+1)</f>
        <v>cabozantinib</v>
      </c>
      <c r="CP176" s="19">
        <v>8</v>
      </c>
      <c r="CQ176" s="602">
        <f t="shared" ca="1" si="167"/>
        <v>0</v>
      </c>
      <c r="CR176" s="602">
        <f t="shared" ca="1" si="168"/>
        <v>0</v>
      </c>
      <c r="CS176" s="670">
        <v>0</v>
      </c>
      <c r="CT176" s="670">
        <f t="shared" ca="1" si="169"/>
        <v>0</v>
      </c>
      <c r="CU176" s="1123">
        <f>MATCH(CZ176,'Resource use and costs'!$BA$11:$BA$53,0)</f>
        <v>27</v>
      </c>
      <c r="CV176" s="1223"/>
      <c r="CW176" s="1241">
        <f t="shared" si="164"/>
        <v>1</v>
      </c>
      <c r="CX176" s="899" t="s">
        <v>773</v>
      </c>
      <c r="CY176" s="899" t="s">
        <v>583</v>
      </c>
      <c r="CZ176" s="899" t="s">
        <v>117</v>
      </c>
      <c r="DA176" s="899" t="s">
        <v>118</v>
      </c>
      <c r="DB176" s="899" t="s">
        <v>119</v>
      </c>
      <c r="DC176" s="899" cm="1">
        <f t="array" aca="1" ref="DC176" ca="1">_xlfn.IFNA(OFFSET($I$49,MATCH(CY176,$I$50:$I$63,0),MATCH(CZ176,TRANSPOSE($J$49:$W$49),0)),0)</f>
        <v>3.4863138518177635E-2</v>
      </c>
      <c r="DD176" s="899">
        <f ca="1">1-DD174-DD177</f>
        <v>0.65700000000000003</v>
      </c>
      <c r="DE176" s="899">
        <f ca="1">1-DE175</f>
        <v>0.56859999999999999</v>
      </c>
      <c r="DF176" s="881">
        <f t="shared" ca="1" si="161"/>
        <v>1.3023829628863323E-2</v>
      </c>
      <c r="DG176" s="910">
        <f t="shared" ca="1" si="162"/>
        <v>0.99999999999999967</v>
      </c>
      <c r="DH176" s="881">
        <f t="shared" ca="1" si="163"/>
        <v>1.3023829628863318E-2</v>
      </c>
      <c r="DI176" s="1460">
        <f t="shared" ca="1" si="172"/>
        <v>2.1880033776490375</v>
      </c>
      <c r="DJ176" s="909">
        <f>_xlfn.IFNA(INDEX('Resource use and costs'!$CQ$11:$CQ$53,MATCH($CZ176,'Resource use and costs'!$BA$11:$BA$53,0)),0)*_xlfn.IFNA(INDEX(DY$10:DY$23,MATCH($CZ176,$DX$10:$DX$23,0)),0)</f>
        <v>2860.9927072190476</v>
      </c>
      <c r="DK176" s="909">
        <f>IF(dd_PartSA_2_lines = "Yes",0,_xlfn.IFNA(INDEX('Resource use and costs'!$CR$11:$CR$53,MATCH(DA176,'Resource use and costs'!$BA$11:$BA$53,0)),0)*_xlfn.IFNA(INDEX(EA$10:EA$23,MATCH($DA176,$DX$10:$DX$23,0)),0))</f>
        <v>50308.075122000002</v>
      </c>
      <c r="DL176" s="909">
        <f>IF(dd_PartSA_2_lines = "Yes",0,_xlfn.IFNA(INDEX('Resource use and costs'!$CS$11:$CS$53,MATCH(DB176,'Resource use and costs'!$BA$11:$BA$53,0)),0)*_xlfn.IFNA(INDEX(EC$10:EC$23,MATCH($DB176,$DX$10:$DX$23,0)),0))</f>
        <v>2915.4763433333328</v>
      </c>
      <c r="DM176" s="909">
        <f t="shared" si="165"/>
        <v>56084.544172552385</v>
      </c>
      <c r="DN176" s="909">
        <f>SUM(_xlfn.IFNA(INDEX('Resource use and costs'!$DU$12:$DU$25,MATCH(CZ176,'Resource use and costs'!$DS$12:$DS$25,0)),0),_xlfn.IFNA(INDEX('Resource use and costs'!$DU$12:$DU$25,MATCH(DA176,'Resource use and costs'!$DS$12:$DS$25,0)),0),_xlfn.IFNA(INDEX('Resource use and costs'!$DU$12:$DU$25,MATCH(DB176,'Resource use and costs'!$DS$12:$DS$25,0)),0))</f>
        <v>591.75</v>
      </c>
      <c r="DO176" s="921">
        <f>_xlfn.IFNA(INDEX('Resource use and costs'!$DY$12:$DY$25,MATCH(CZ176,'Resource use and costs'!$DS$12:$DS$25,0)),0)*_xlfn.IFNA(INDEX(DY$10:DY$23,MATCH($CZ176,$DX$10:$DX$23,0)),0)</f>
        <v>405.17019714285709</v>
      </c>
      <c r="DP176" s="921">
        <f>IF(dd_PartSA_2_lines = "Yes",0,_xlfn.IFNA(INDEX('Resource use and costs'!$DZ$12:$DZ$25,MATCH(DA176,'Resource use and costs'!$DS$12:$DS$25,0)),0)*_xlfn.IFNA(INDEX(EA$10:EA$23,MATCH($DA176,$DX$10:$DX$23,0)),0))</f>
        <v>461.1445457142857</v>
      </c>
      <c r="DQ176" s="921">
        <f>IF(dd_PartSA_2_lines = "Yes",0,_xlfn.IFNA(INDEX('Resource use and costs'!$EA$12:$EA$25,MATCH(DB176,'Resource use and costs'!$DS$12:$DS$25,0)),0)*_xlfn.IFNA(INDEX(EC$10:EC$23,MATCH($DB176,$DX$10:$DX$23,0)),0))</f>
        <v>256.11457142857142</v>
      </c>
      <c r="DR176" s="921">
        <f t="shared" si="166"/>
        <v>1714.1793142857143</v>
      </c>
      <c r="DS176" s="1004">
        <f ca="1">SUMIFS('Safety parameters'!$DM$6:$DM$18,'Safety parameters'!$DK$6:$DK$18,CZ176,'Safety parameters'!$DL$6:$DL$18,1)+IF(dd_PartSA_2_lines = "Yes",0,SUMIFS('Safety parameters'!$DM$6:$DM$18,'Safety parameters'!$DK$6:$DK$18,DA176,'Safety parameters'!$DL$6:$DL$18,2)+SUMIFS('Safety parameters'!$DM$6:$DM$18,'Safety parameters'!$DK$6:$DK$18,DB176,'Safety parameters'!$DL$6:$DL$18,2))</f>
        <v>1680.3380581786982</v>
      </c>
      <c r="DT176" s="910">
        <f ca="1">SUMIFS('Safety parameters'!$DO$6:$DO$18,'Safety parameters'!$DK$6:$DK$18,CZ176,'Safety parameters'!$DL$6:$DL$18,1)+IF(dd_PartSA_2_lines = "Yes",0,SUMIFS('Safety parameters'!$DO$6:$DO$18,'Safety parameters'!$DK$6:$DK$18,DA176,'Safety parameters'!$DL$6:$DL$18,2)+SUMIFS('Safety parameters'!$DO$6:$DO$18,'Safety parameters'!$DK$6:$DK$18,DB176,'Safety parameters'!$DL$6:$DL$18,2))</f>
        <v>-1.5115977921621089E-2</v>
      </c>
    </row>
    <row r="177" spans="89:124" ht="15" x14ac:dyDescent="0.2">
      <c r="CK177" s="505" t="s">
        <v>31</v>
      </c>
      <c r="CL177" s="505">
        <v>2</v>
      </c>
      <c r="CM177" s="61" t="str" cm="1">
        <f t="array" ref="CM177:CM190">List_comparators</f>
        <v>nivolumab_monotherapy</v>
      </c>
      <c r="CN177" s="17">
        <v>0</v>
      </c>
      <c r="CO177" s="61" t="str" cm="1">
        <f t="array" ref="CO177">INDEX(List_comparators,CP177+1)</f>
        <v>lenvatinib_plus_everolimus</v>
      </c>
      <c r="CP177" s="17">
        <v>9</v>
      </c>
      <c r="CQ177" s="603">
        <f t="shared" ca="1" si="167"/>
        <v>0</v>
      </c>
      <c r="CR177" s="603">
        <f t="shared" ca="1" si="168"/>
        <v>0</v>
      </c>
      <c r="CS177" s="669">
        <f t="shared" ref="CS177:CS189" ca="1" si="173">OFFSET($J$81,IF(CN177=999,13,CN177),CP177)</f>
        <v>73.685714285714269</v>
      </c>
      <c r="CT177" s="669">
        <f t="shared" ca="1" si="169"/>
        <v>15.83</v>
      </c>
      <c r="CU177" s="1123">
        <f>MATCH(CZ177,'Resource use and costs'!$BA$11:$BA$53,0)</f>
        <v>27</v>
      </c>
      <c r="CV177" s="1223"/>
      <c r="CW177" s="1241">
        <f t="shared" si="164"/>
        <v>1</v>
      </c>
      <c r="CX177" s="899" t="s">
        <v>773</v>
      </c>
      <c r="CY177" s="899" t="s">
        <v>583</v>
      </c>
      <c r="CZ177" s="899" t="s">
        <v>117</v>
      </c>
      <c r="DA177" s="899" t="s">
        <v>119</v>
      </c>
      <c r="DB177" s="899" t="s">
        <v>765</v>
      </c>
      <c r="DC177" s="899" cm="1">
        <f t="array" aca="1" ref="DC177" ca="1">_xlfn.IFNA(OFFSET($I$49,MATCH(CY177,$I$50:$I$63,0),MATCH(CZ177,TRANSPOSE($J$49:$W$49),0)),0)</f>
        <v>3.4863138518177635E-2</v>
      </c>
      <c r="DD177" s="899" cm="1">
        <f t="array" aca="1" ref="DD177" ca="1">_xlfn.IFNA(OFFSET($Y$49,MATCH($CZ177,$Y$50:$Y$63,0),MATCH($DA177,TRANSPOSE($Z$49:$AM$49),0)),0)</f>
        <v>0</v>
      </c>
      <c r="DE177" s="899" cm="1">
        <f t="array" aca="1" ref="DE177" ca="1">_xlfn.IFNA(OFFSET($AO$49,MATCH($DA177,$AO$50:$AO$63,0),MATCH($DB177,TRANSPOSE($AP$49:$BC$49),0)),0)</f>
        <v>1</v>
      </c>
      <c r="DF177" s="881">
        <f t="shared" ca="1" si="161"/>
        <v>0</v>
      </c>
      <c r="DG177" s="910">
        <f t="shared" ca="1" si="162"/>
        <v>0.99999999999999967</v>
      </c>
      <c r="DH177" s="881">
        <f t="shared" ca="1" si="163"/>
        <v>0</v>
      </c>
      <c r="DI177" s="1460">
        <f t="shared" ca="1" si="172"/>
        <v>0</v>
      </c>
      <c r="DJ177" s="909">
        <f>_xlfn.IFNA(INDEX('Resource use and costs'!$CQ$11:$CQ$53,MATCH($CZ177,'Resource use and costs'!$BA$11:$BA$53,0)),0)*_xlfn.IFNA(INDEX(DY$10:DY$23,MATCH($CZ177,$DX$10:$DX$23,0)),0)</f>
        <v>2860.9927072190476</v>
      </c>
      <c r="DK177" s="909">
        <f>IF(dd_PartSA_2_lines = "Yes",0,_xlfn.IFNA(INDEX('Resource use and costs'!$CR$11:$CR$53,MATCH(DA177,'Resource use and costs'!$BA$11:$BA$53,0)),0)*_xlfn.IFNA(INDEX(EA$10:EA$23,MATCH($DA177,$DX$10:$DX$23,0)),0))</f>
        <v>848.17532499999982</v>
      </c>
      <c r="DL177" s="909">
        <f>IF(dd_PartSA_2_lines = "Yes",0,_xlfn.IFNA(INDEX('Resource use and costs'!$CS$11:$CS$53,MATCH(DB177,'Resource use and costs'!$BA$11:$BA$53,0)),0)*_xlfn.IFNA(INDEX(EC$10:EC$23,MATCH($DB177,$DX$10:$DX$23,0)),0))</f>
        <v>0</v>
      </c>
      <c r="DM177" s="909">
        <f t="shared" si="165"/>
        <v>3709.1680322190473</v>
      </c>
      <c r="DN177" s="909">
        <f>SUM(_xlfn.IFNA(INDEX('Resource use and costs'!$DU$12:$DU$25,MATCH(CZ177,'Resource use and costs'!$DS$12:$DS$25,0)),0),_xlfn.IFNA(INDEX('Resource use and costs'!$DU$12:$DU$25,MATCH(DA177,'Resource use and costs'!$DS$12:$DS$25,0)),0),_xlfn.IFNA(INDEX('Resource use and costs'!$DU$12:$DU$25,MATCH(DB177,'Resource use and costs'!$DS$12:$DS$25,0)),0))</f>
        <v>394.5</v>
      </c>
      <c r="DO177" s="921">
        <f>_xlfn.IFNA(INDEX('Resource use and costs'!$DY$12:$DY$25,MATCH(CZ177,'Resource use and costs'!$DS$12:$DS$25,0)),0)*_xlfn.IFNA(INDEX(DY$10:DY$23,MATCH($CZ177,$DX$10:$DX$23,0)),0)</f>
        <v>405.17019714285709</v>
      </c>
      <c r="DP177" s="921">
        <f>IF(dd_PartSA_2_lines = "Yes",0,_xlfn.IFNA(INDEX('Resource use and costs'!$DZ$12:$DZ$25,MATCH(DA177,'Resource use and costs'!$DS$12:$DS$25,0)),0)*_xlfn.IFNA(INDEX(EA$10:EA$23,MATCH($DA177,$DX$10:$DX$23,0)),0))</f>
        <v>74.50928571428571</v>
      </c>
      <c r="DQ177" s="921">
        <f>IF(dd_PartSA_2_lines = "Yes",0,_xlfn.IFNA(INDEX('Resource use and costs'!$EA$12:$EA$25,MATCH(DB177,'Resource use and costs'!$DS$12:$DS$25,0)),0)*_xlfn.IFNA(INDEX(EC$10:EC$23,MATCH($DB177,$DX$10:$DX$23,0)),0))</f>
        <v>0</v>
      </c>
      <c r="DR177" s="921">
        <f t="shared" si="166"/>
        <v>874.17948285714283</v>
      </c>
      <c r="DS177" s="1004">
        <f ca="1">SUMIFS('Safety parameters'!$DM$6:$DM$18,'Safety parameters'!$DK$6:$DK$18,CZ177,'Safety parameters'!$DL$6:$DL$18,1)+IF(dd_PartSA_2_lines = "Yes",0,SUMIFS('Safety parameters'!$DM$6:$DM$18,'Safety parameters'!$DK$6:$DK$18,DA177,'Safety parameters'!$DL$6:$DL$18,2)+SUMIFS('Safety parameters'!$DM$6:$DM$18,'Safety parameters'!$DK$6:$DK$18,DB177,'Safety parameters'!$DL$6:$DL$18,2))</f>
        <v>936.68875837531493</v>
      </c>
      <c r="DT177" s="910">
        <f ca="1">SUMIFS('Safety parameters'!$DO$6:$DO$18,'Safety parameters'!$DK$6:$DK$18,CZ177,'Safety parameters'!$DL$6:$DL$18,1)+IF(dd_PartSA_2_lines = "Yes",0,SUMIFS('Safety parameters'!$DO$6:$DO$18,'Safety parameters'!$DK$6:$DK$18,DA177,'Safety parameters'!$DL$6:$DL$18,2)+SUMIFS('Safety parameters'!$DO$6:$DO$18,'Safety parameters'!$DK$6:$DK$18,DB177,'Safety parameters'!$DL$6:$DL$18,2))</f>
        <v>-8.0936515653851522E-3</v>
      </c>
    </row>
    <row r="178" spans="89:124" ht="15" x14ac:dyDescent="0.2">
      <c r="CK178" s="61" t="s">
        <v>31</v>
      </c>
      <c r="CL178" s="61">
        <v>2</v>
      </c>
      <c r="CM178" s="61" t="str">
        <v>cabozantinib_plus_nivolumab</v>
      </c>
      <c r="CN178" s="17">
        <v>1</v>
      </c>
      <c r="CO178" s="61" t="str" cm="1">
        <f t="array" ref="CO178">INDEX(List_comparators,CP177+1)</f>
        <v>lenvatinib_plus_everolimus</v>
      </c>
      <c r="CP178" s="17">
        <v>9</v>
      </c>
      <c r="CQ178" s="601">
        <f t="shared" ca="1" si="167"/>
        <v>0.54387087099248355</v>
      </c>
      <c r="CR178" s="601">
        <f t="shared" ca="1" si="168"/>
        <v>5.438708709924836E-2</v>
      </c>
      <c r="CS178" s="669">
        <f t="shared" ca="1" si="173"/>
        <v>73.685714285714269</v>
      </c>
      <c r="CT178" s="669">
        <f t="shared" ca="1" si="169"/>
        <v>15.83</v>
      </c>
      <c r="CU178" s="1123">
        <f>MATCH(CZ178,'Resource use and costs'!$BA$11:$BA$53,0)</f>
        <v>24</v>
      </c>
      <c r="CV178" s="1223"/>
      <c r="CW178" s="1241">
        <f t="shared" si="164"/>
        <v>1</v>
      </c>
      <c r="CX178" s="899" t="s">
        <v>773</v>
      </c>
      <c r="CY178" s="899" t="s">
        <v>583</v>
      </c>
      <c r="CZ178" s="899" t="s">
        <v>319</v>
      </c>
      <c r="DA178" s="899" t="s">
        <v>765</v>
      </c>
      <c r="DB178" s="899"/>
      <c r="DC178" s="899" cm="1">
        <f t="array" aca="1" ref="DC178" ca="1">_xlfn.IFNA(OFFSET($I$49,MATCH(CY178,$I$50:$I$63,0),MATCH(CZ178,TRANSPOSE($J$49:$W$49),0)),0)</f>
        <v>4.6553152323976062E-2</v>
      </c>
      <c r="DD178" s="899" cm="1">
        <f t="array" aca="1" ref="DD178" ca="1">_xlfn.IFNA(OFFSET($Y$49,MATCH($CZ178,$Y$50:$Y$63,0),MATCH($DA178,TRANSPOSE($Z$49:$AM$49),0)),0)</f>
        <v>0.34300000000000003</v>
      </c>
      <c r="DE178" s="899" cm="1">
        <f t="array" aca="1" ref="DE178" ca="1">_xlfn.IFNA(OFFSET($AO$49,MATCH($DA178,$AO$50:$AO$63,0),MATCH($DB178,TRANSPOSE($AP$49:$BC$49),0)),0)</f>
        <v>0</v>
      </c>
      <c r="DF178" s="881">
        <f t="shared" ca="1" si="161"/>
        <v>1.5967731247123789E-2</v>
      </c>
      <c r="DG178" s="910">
        <f t="shared" ca="1" si="162"/>
        <v>0.99999999999999967</v>
      </c>
      <c r="DH178" s="881">
        <f t="shared" ca="1" si="163"/>
        <v>1.5967731247123782E-2</v>
      </c>
      <c r="DI178" s="1460">
        <f t="shared" ca="1" si="172"/>
        <v>2.6825788495167955</v>
      </c>
      <c r="DJ178" s="909">
        <f>_xlfn.IFNA(INDEX('Resource use and costs'!$CQ$11:$CQ$53,MATCH($CZ178,'Resource use and costs'!$BA$11:$BA$53,0)),0)*_xlfn.IFNA(INDEX(DY$10:DY$23,MATCH($CZ178,$DX$10:$DX$23,0)),0)</f>
        <v>20680.612971428574</v>
      </c>
      <c r="DK178" s="909">
        <f>IF(dd_PartSA_2_lines = "Yes",0,_xlfn.IFNA(INDEX('Resource use and costs'!$CR$11:$CR$53,MATCH(DA178,'Resource use and costs'!$BA$11:$BA$53,0)),0)*_xlfn.IFNA(INDEX(EA$10:EA$23,MATCH($DA178,$DX$10:$DX$23,0)),0))</f>
        <v>0</v>
      </c>
      <c r="DL178" s="909">
        <f>IF(dd_PartSA_2_lines = "Yes",0,_xlfn.IFNA(INDEX('Resource use and costs'!$CS$11:$CS$53,MATCH(DB178,'Resource use and costs'!$BA$11:$BA$53,0)),0)*_xlfn.IFNA(INDEX(EC$10:EC$23,MATCH($DB178,$DX$10:$DX$23,0)),0))</f>
        <v>0</v>
      </c>
      <c r="DM178" s="909">
        <f t="shared" si="165"/>
        <v>20680.612971428574</v>
      </c>
      <c r="DN178" s="909">
        <f>SUM(_xlfn.IFNA(INDEX('Resource use and costs'!$DU$12:$DU$25,MATCH(CZ178,'Resource use and costs'!$DS$12:$DS$25,0)),0),_xlfn.IFNA(INDEX('Resource use and costs'!$DU$12:$DU$25,MATCH(DA178,'Resource use and costs'!$DS$12:$DS$25,0)),0),_xlfn.IFNA(INDEX('Resource use and costs'!$DU$12:$DU$25,MATCH(DB178,'Resource use and costs'!$DS$12:$DS$25,0)),0))</f>
        <v>197.25</v>
      </c>
      <c r="DO178" s="921">
        <f>_xlfn.IFNA(INDEX('Resource use and costs'!$DY$12:$DY$25,MATCH(CZ178,'Resource use and costs'!$DS$12:$DS$25,0)),0)*_xlfn.IFNA(INDEX(DY$10:DY$23,MATCH($CZ178,$DX$10:$DX$23,0)),0)</f>
        <v>443.44394285714293</v>
      </c>
      <c r="DP178" s="921">
        <f>IF(dd_PartSA_2_lines = "Yes",0,_xlfn.IFNA(INDEX('Resource use and costs'!$DZ$12:$DZ$25,MATCH(DA178,'Resource use and costs'!$DS$12:$DS$25,0)),0)*_xlfn.IFNA(INDEX(EA$10:EA$23,MATCH($DA178,$DX$10:$DX$23,0)),0))</f>
        <v>0</v>
      </c>
      <c r="DQ178" s="921">
        <f>IF(dd_PartSA_2_lines = "Yes",0,_xlfn.IFNA(INDEX('Resource use and costs'!$EA$12:$EA$25,MATCH(DB178,'Resource use and costs'!$DS$12:$DS$25,0)),0)*_xlfn.IFNA(INDEX(EC$10:EC$23,MATCH($DB178,$DX$10:$DX$23,0)),0))</f>
        <v>0</v>
      </c>
      <c r="DR178" s="921">
        <f t="shared" si="166"/>
        <v>640.69394285714293</v>
      </c>
      <c r="DS178" s="1004">
        <f ca="1">SUMIFS('Safety parameters'!$DM$6:$DM$18,'Safety parameters'!$DK$6:$DK$18,CZ178,'Safety parameters'!$DL$6:$DL$18,1)+IF(dd_PartSA_2_lines = "Yes",0,SUMIFS('Safety parameters'!$DM$6:$DM$18,'Safety parameters'!$DK$6:$DK$18,DA178,'Safety parameters'!$DL$6:$DL$18,2)+SUMIFS('Safety parameters'!$DM$6:$DM$18,'Safety parameters'!$DK$6:$DK$18,DB178,'Safety parameters'!$DL$6:$DL$18,2))</f>
        <v>407.93605269805306</v>
      </c>
      <c r="DT178" s="910">
        <f ca="1">SUMIFS('Safety parameters'!$DO$6:$DO$18,'Safety parameters'!$DK$6:$DK$18,CZ178,'Safety parameters'!$DL$6:$DL$18,1)+IF(dd_PartSA_2_lines = "Yes",0,SUMIFS('Safety parameters'!$DO$6:$DO$18,'Safety parameters'!$DK$6:$DK$18,DA178,'Safety parameters'!$DL$6:$DL$18,2)+SUMIFS('Safety parameters'!$DO$6:$DO$18,'Safety parameters'!$DK$6:$DK$18,DB178,'Safety parameters'!$DL$6:$DL$18,2))</f>
        <v>-3.453954640319298E-3</v>
      </c>
    </row>
    <row r="179" spans="89:124" ht="15" x14ac:dyDescent="0.2">
      <c r="CK179" s="61" t="s">
        <v>31</v>
      </c>
      <c r="CL179" s="61">
        <v>2</v>
      </c>
      <c r="CM179" s="61" t="str">
        <v>nivolumab_plus_ipilimumab</v>
      </c>
      <c r="CN179" s="17">
        <v>2</v>
      </c>
      <c r="CO179" s="61" t="str" cm="1">
        <f t="array" ref="CO179">INDEX(List_comparators,CP178+1)</f>
        <v>lenvatinib_plus_everolimus</v>
      </c>
      <c r="CP179" s="17">
        <v>9</v>
      </c>
      <c r="CQ179" s="601">
        <f t="shared" ref="CQ179:CQ210" ca="1" si="174">OFFSET($J$50,IF(CN179=999,13,CN179),CP179)</f>
        <v>0</v>
      </c>
      <c r="CR179" s="601">
        <f t="shared" ref="CR179:CR210" ca="1" si="175">OFFSET($J$65,IF(CN179=999,13,CN179),CP179)</f>
        <v>0</v>
      </c>
      <c r="CS179" s="669">
        <f t="shared" ca="1" si="173"/>
        <v>73.685714285714269</v>
      </c>
      <c r="CT179" s="669">
        <f t="shared" ref="CT179:CT210" ca="1" si="176">OFFSET($J$97,IF(CN179=999,13,CN179),CP179)</f>
        <v>15.83</v>
      </c>
      <c r="CU179" s="1123">
        <f>MATCH(CZ179,'Resource use and costs'!$BA$11:$BA$53,0)</f>
        <v>24</v>
      </c>
      <c r="CV179" s="1223"/>
      <c r="CW179" s="1241">
        <f t="shared" si="164"/>
        <v>1</v>
      </c>
      <c r="CX179" s="899" t="s">
        <v>773</v>
      </c>
      <c r="CY179" s="899" t="s">
        <v>583</v>
      </c>
      <c r="CZ179" s="899" t="s">
        <v>319</v>
      </c>
      <c r="DA179" s="899" t="s">
        <v>118</v>
      </c>
      <c r="DB179" s="899" t="s">
        <v>765</v>
      </c>
      <c r="DC179" s="899" cm="1">
        <f t="array" aca="1" ref="DC179" ca="1">_xlfn.IFNA(OFFSET($I$49,MATCH(CY179,$I$50:$I$63,0),MATCH(CZ179,TRANSPOSE($J$49:$W$49),0)),0)</f>
        <v>4.6553152323976062E-2</v>
      </c>
      <c r="DD179" s="899">
        <f ca="1">1-DD178-DD181</f>
        <v>0.61010000000000009</v>
      </c>
      <c r="DE179" s="899" cm="1">
        <f t="array" aca="1" ref="DE179" ca="1">_xlfn.IFNA(OFFSET($AO$49,MATCH($DA179,$AO$50:$AO$63,0),MATCH($DB179,TRANSPOSE($AP$49:$BC$49),0)),0)</f>
        <v>0.43140000000000001</v>
      </c>
      <c r="DF179" s="881">
        <f t="shared" ca="1" si="161"/>
        <v>1.2252656549654855E-2</v>
      </c>
      <c r="DG179" s="910">
        <f t="shared" ca="1" si="162"/>
        <v>0.99999999999999967</v>
      </c>
      <c r="DH179" s="881">
        <f t="shared" ca="1" si="163"/>
        <v>1.2252656549654852E-2</v>
      </c>
      <c r="DI179" s="1460">
        <f t="shared" ca="1" si="172"/>
        <v>2.0584463003420153</v>
      </c>
      <c r="DJ179" s="909">
        <f>_xlfn.IFNA(INDEX('Resource use and costs'!$CQ$11:$CQ$53,MATCH($CZ179,'Resource use and costs'!$BA$11:$BA$53,0)),0)*_xlfn.IFNA(INDEX(DY$10:DY$23,MATCH($CZ179,$DX$10:$DX$23,0)),0)</f>
        <v>20680.612971428574</v>
      </c>
      <c r="DK179" s="909">
        <f>IF(dd_PartSA_2_lines = "Yes",0,_xlfn.IFNA(INDEX('Resource use and costs'!$CR$11:$CR$53,MATCH(DA179,'Resource use and costs'!$BA$11:$BA$53,0)),0)*_xlfn.IFNA(INDEX(EA$10:EA$23,MATCH($DA179,$DX$10:$DX$23,0)),0))</f>
        <v>50308.075122000002</v>
      </c>
      <c r="DL179" s="909">
        <f>IF(dd_PartSA_2_lines = "Yes",0,_xlfn.IFNA(INDEX('Resource use and costs'!$CS$11:$CS$53,MATCH(DB179,'Resource use and costs'!$BA$11:$BA$53,0)),0)*_xlfn.IFNA(INDEX(EC$10:EC$23,MATCH($DB179,$DX$10:$DX$23,0)),0))</f>
        <v>0</v>
      </c>
      <c r="DM179" s="909">
        <f t="shared" si="165"/>
        <v>70988.688093428573</v>
      </c>
      <c r="DN179" s="909">
        <f>SUM(_xlfn.IFNA(INDEX('Resource use and costs'!$DU$12:$DU$25,MATCH(CZ179,'Resource use and costs'!$DS$12:$DS$25,0)),0),_xlfn.IFNA(INDEX('Resource use and costs'!$DU$12:$DU$25,MATCH(DA179,'Resource use and costs'!$DS$12:$DS$25,0)),0),_xlfn.IFNA(INDEX('Resource use and costs'!$DU$12:$DU$25,MATCH(DB179,'Resource use and costs'!$DS$12:$DS$25,0)),0))</f>
        <v>394.5</v>
      </c>
      <c r="DO179" s="921">
        <f>_xlfn.IFNA(INDEX('Resource use and costs'!$DY$12:$DY$25,MATCH(CZ179,'Resource use and costs'!$DS$12:$DS$25,0)),0)*_xlfn.IFNA(INDEX(DY$10:DY$23,MATCH($CZ179,$DX$10:$DX$23,0)),0)</f>
        <v>443.44394285714293</v>
      </c>
      <c r="DP179" s="921">
        <f>IF(dd_PartSA_2_lines = "Yes",0,_xlfn.IFNA(INDEX('Resource use and costs'!$DZ$12:$DZ$25,MATCH(DA179,'Resource use and costs'!$DS$12:$DS$25,0)),0)*_xlfn.IFNA(INDEX(EA$10:EA$23,MATCH($DA179,$DX$10:$DX$23,0)),0))</f>
        <v>461.1445457142857</v>
      </c>
      <c r="DQ179" s="921">
        <f>IF(dd_PartSA_2_lines = "Yes",0,_xlfn.IFNA(INDEX('Resource use and costs'!$EA$12:$EA$25,MATCH(DB179,'Resource use and costs'!$DS$12:$DS$25,0)),0)*_xlfn.IFNA(INDEX(EC$10:EC$23,MATCH($DB179,$DX$10:$DX$23,0)),0))</f>
        <v>0</v>
      </c>
      <c r="DR179" s="921">
        <f t="shared" si="166"/>
        <v>1299.0884885714286</v>
      </c>
      <c r="DS179" s="1004">
        <f ca="1">SUMIFS('Safety parameters'!$DM$6:$DM$18,'Safety parameters'!$DK$6:$DK$18,CZ179,'Safety parameters'!$DL$6:$DL$18,1)+IF(dd_PartSA_2_lines = "Yes",0,SUMIFS('Safety parameters'!$DM$6:$DM$18,'Safety parameters'!$DK$6:$DK$18,DA179,'Safety parameters'!$DL$6:$DL$18,2)+SUMIFS('Safety parameters'!$DM$6:$DM$18,'Safety parameters'!$DK$6:$DK$18,DB179,'Safety parameters'!$DL$6:$DL$18,2))</f>
        <v>1151.5853525014365</v>
      </c>
      <c r="DT179" s="910">
        <f ca="1">SUMIFS('Safety parameters'!$DO$6:$DO$18,'Safety parameters'!$DK$6:$DK$18,CZ179,'Safety parameters'!$DL$6:$DL$18,1)+IF(dd_PartSA_2_lines = "Yes",0,SUMIFS('Safety parameters'!$DO$6:$DO$18,'Safety parameters'!$DK$6:$DK$18,DA179,'Safety parameters'!$DL$6:$DL$18,2)+SUMIFS('Safety parameters'!$DO$6:$DO$18,'Safety parameters'!$DK$6:$DK$18,DB179,'Safety parameters'!$DL$6:$DL$18,2))</f>
        <v>-1.0476280996555235E-2</v>
      </c>
    </row>
    <row r="180" spans="89:124" ht="15" x14ac:dyDescent="0.2">
      <c r="CK180" s="61" t="s">
        <v>31</v>
      </c>
      <c r="CL180" s="61">
        <v>2</v>
      </c>
      <c r="CM180" s="61" t="str">
        <v>lenvatinib_plus_pembrolizumab</v>
      </c>
      <c r="CN180" s="17">
        <v>3</v>
      </c>
      <c r="CO180" s="61" t="str" cm="1">
        <f t="array" ref="CO180">INDEX(List_comparators,CP179+1)</f>
        <v>lenvatinib_plus_everolimus</v>
      </c>
      <c r="CP180" s="17">
        <v>9</v>
      </c>
      <c r="CQ180" s="601">
        <f t="shared" ca="1" si="174"/>
        <v>0</v>
      </c>
      <c r="CR180" s="601">
        <f t="shared" ca="1" si="175"/>
        <v>0</v>
      </c>
      <c r="CS180" s="669">
        <f t="shared" ca="1" si="173"/>
        <v>73.685714285714269</v>
      </c>
      <c r="CT180" s="669">
        <f t="shared" ca="1" si="176"/>
        <v>15.83</v>
      </c>
      <c r="CU180" s="1123">
        <f>MATCH(CZ180,'Resource use and costs'!$BA$11:$BA$53,0)</f>
        <v>24</v>
      </c>
      <c r="CV180" s="1223"/>
      <c r="CW180" s="1241">
        <f t="shared" si="164"/>
        <v>1</v>
      </c>
      <c r="CX180" s="899" t="s">
        <v>773</v>
      </c>
      <c r="CY180" s="899" t="s">
        <v>583</v>
      </c>
      <c r="CZ180" s="899" t="s">
        <v>319</v>
      </c>
      <c r="DA180" s="899" t="s">
        <v>118</v>
      </c>
      <c r="DB180" s="899" t="s">
        <v>119</v>
      </c>
      <c r="DC180" s="899" cm="1">
        <f t="array" aca="1" ref="DC180" ca="1">_xlfn.IFNA(OFFSET($I$49,MATCH(CY180,$I$50:$I$63,0),MATCH(CZ180,TRANSPOSE($J$49:$W$49),0)),0)</f>
        <v>4.6553152323976062E-2</v>
      </c>
      <c r="DD180" s="899">
        <f ca="1">1-DD178-DD181</f>
        <v>0.61010000000000009</v>
      </c>
      <c r="DE180" s="899">
        <f ca="1">1-DE179</f>
        <v>0.56859999999999999</v>
      </c>
      <c r="DF180" s="881">
        <f t="shared" ca="1" si="161"/>
        <v>1.6149421683202946E-2</v>
      </c>
      <c r="DG180" s="910">
        <f t="shared" ca="1" si="162"/>
        <v>0.99999999999999967</v>
      </c>
      <c r="DH180" s="881">
        <f t="shared" ca="1" si="163"/>
        <v>1.6149421683202939E-2</v>
      </c>
      <c r="DI180" s="1460">
        <f t="shared" ca="1" si="172"/>
        <v>2.7131028427780937</v>
      </c>
      <c r="DJ180" s="909">
        <f>_xlfn.IFNA(INDEX('Resource use and costs'!$CQ$11:$CQ$53,MATCH($CZ180,'Resource use and costs'!$BA$11:$BA$53,0)),0)*_xlfn.IFNA(INDEX(DY$10:DY$23,MATCH($CZ180,$DX$10:$DX$23,0)),0)</f>
        <v>20680.612971428574</v>
      </c>
      <c r="DK180" s="909">
        <f>IF(dd_PartSA_2_lines = "Yes",0,_xlfn.IFNA(INDEX('Resource use and costs'!$CR$11:$CR$53,MATCH(DA180,'Resource use and costs'!$BA$11:$BA$53,0)),0)*_xlfn.IFNA(INDEX(EA$10:EA$23,MATCH($DA180,$DX$10:$DX$23,0)),0))</f>
        <v>50308.075122000002</v>
      </c>
      <c r="DL180" s="909">
        <f>IF(dd_PartSA_2_lines = "Yes",0,_xlfn.IFNA(INDEX('Resource use and costs'!$CS$11:$CS$53,MATCH(DB180,'Resource use and costs'!$BA$11:$BA$53,0)),0)*_xlfn.IFNA(INDEX(EC$10:EC$23,MATCH($DB180,$DX$10:$DX$23,0)),0))</f>
        <v>2915.4763433333328</v>
      </c>
      <c r="DM180" s="909">
        <f t="shared" si="165"/>
        <v>73904.164436761901</v>
      </c>
      <c r="DN180" s="909">
        <f>SUM(_xlfn.IFNA(INDEX('Resource use and costs'!$DU$12:$DU$25,MATCH(CZ180,'Resource use and costs'!$DS$12:$DS$25,0)),0),_xlfn.IFNA(INDEX('Resource use and costs'!$DU$12:$DU$25,MATCH(DA180,'Resource use and costs'!$DS$12:$DS$25,0)),0),_xlfn.IFNA(INDEX('Resource use and costs'!$DU$12:$DU$25,MATCH(DB180,'Resource use and costs'!$DS$12:$DS$25,0)),0))</f>
        <v>591.75</v>
      </c>
      <c r="DO180" s="921">
        <f>_xlfn.IFNA(INDEX('Resource use and costs'!$DY$12:$DY$25,MATCH(CZ180,'Resource use and costs'!$DS$12:$DS$25,0)),0)*_xlfn.IFNA(INDEX(DY$10:DY$23,MATCH($CZ180,$DX$10:$DX$23,0)),0)</f>
        <v>443.44394285714293</v>
      </c>
      <c r="DP180" s="921">
        <f>IF(dd_PartSA_2_lines = "Yes",0,_xlfn.IFNA(INDEX('Resource use and costs'!$DZ$12:$DZ$25,MATCH(DA180,'Resource use and costs'!$DS$12:$DS$25,0)),0)*_xlfn.IFNA(INDEX(EA$10:EA$23,MATCH($DA180,$DX$10:$DX$23,0)),0))</f>
        <v>461.1445457142857</v>
      </c>
      <c r="DQ180" s="921">
        <f>IF(dd_PartSA_2_lines = "Yes",0,_xlfn.IFNA(INDEX('Resource use and costs'!$EA$12:$EA$25,MATCH(DB180,'Resource use and costs'!$DS$12:$DS$25,0)),0)*_xlfn.IFNA(INDEX(EC$10:EC$23,MATCH($DB180,$DX$10:$DX$23,0)),0))</f>
        <v>256.11457142857142</v>
      </c>
      <c r="DR180" s="921">
        <f t="shared" si="166"/>
        <v>1752.4530600000001</v>
      </c>
      <c r="DS180" s="1004">
        <f ca="1">SUMIFS('Safety parameters'!$DM$6:$DM$18,'Safety parameters'!$DK$6:$DK$18,CZ180,'Safety parameters'!$DL$6:$DL$18,1)+IF(dd_PartSA_2_lines = "Yes",0,SUMIFS('Safety parameters'!$DM$6:$DM$18,'Safety parameters'!$DK$6:$DK$18,DA180,'Safety parameters'!$DL$6:$DL$18,2)+SUMIFS('Safety parameters'!$DM$6:$DM$18,'Safety parameters'!$DK$6:$DK$18,DB180,'Safety parameters'!$DL$6:$DL$18,2))</f>
        <v>1484.4607358767514</v>
      </c>
      <c r="DT180" s="910">
        <f ca="1">SUMIFS('Safety parameters'!$DO$6:$DO$18,'Safety parameters'!$DK$6:$DK$18,CZ180,'Safety parameters'!$DL$6:$DL$18,1)+IF(dd_PartSA_2_lines = "Yes",0,SUMIFS('Safety parameters'!$DO$6:$DO$18,'Safety parameters'!$DK$6:$DK$18,DA180,'Safety parameters'!$DL$6:$DL$18,2)+SUMIFS('Safety parameters'!$DO$6:$DO$18,'Safety parameters'!$DK$6:$DK$18,DB180,'Safety parameters'!$DL$6:$DL$18,2))</f>
        <v>-1.3143854533192955E-2</v>
      </c>
    </row>
    <row r="181" spans="89:124" ht="15" x14ac:dyDescent="0.2">
      <c r="CK181" s="61" t="s">
        <v>31</v>
      </c>
      <c r="CL181" s="61">
        <v>2</v>
      </c>
      <c r="CM181" s="61" t="str">
        <v>avelumab_plus_axitinib</v>
      </c>
      <c r="CN181" s="17">
        <v>4</v>
      </c>
      <c r="CO181" s="61" t="str" cm="1">
        <f t="array" ref="CO181">INDEX(List_comparators,CP180+1)</f>
        <v>lenvatinib_plus_everolimus</v>
      </c>
      <c r="CP181" s="17">
        <v>9</v>
      </c>
      <c r="CQ181" s="601">
        <f t="shared" ca="1" si="174"/>
        <v>0.20928228255867465</v>
      </c>
      <c r="CR181" s="601">
        <f t="shared" ca="1" si="175"/>
        <v>2.0928228255867466E-2</v>
      </c>
      <c r="CS181" s="669">
        <f t="shared" ca="1" si="173"/>
        <v>73.685714285714269</v>
      </c>
      <c r="CT181" s="669">
        <f t="shared" ca="1" si="176"/>
        <v>15.83</v>
      </c>
      <c r="CU181" s="1123">
        <f>MATCH(CZ181,'Resource use and costs'!$BA$11:$BA$53,0)</f>
        <v>24</v>
      </c>
      <c r="CV181" s="1223"/>
      <c r="CW181" s="1241">
        <f t="shared" si="164"/>
        <v>1</v>
      </c>
      <c r="CX181" s="899" t="s">
        <v>773</v>
      </c>
      <c r="CY181" s="899" t="s">
        <v>583</v>
      </c>
      <c r="CZ181" s="899" t="s">
        <v>319</v>
      </c>
      <c r="DA181" s="899" t="s">
        <v>119</v>
      </c>
      <c r="DB181" s="899" t="s">
        <v>765</v>
      </c>
      <c r="DC181" s="899" cm="1">
        <f t="array" aca="1" ref="DC181" ca="1">_xlfn.IFNA(OFFSET($I$49,MATCH(CY181,$I$50:$I$63,0),MATCH(CZ181,TRANSPOSE($J$49:$W$49),0)),0)</f>
        <v>4.6553152323976062E-2</v>
      </c>
      <c r="DD181" s="899" cm="1">
        <f t="array" aca="1" ref="DD181" ca="1">_xlfn.IFNA(OFFSET($Y$49,MATCH($CZ181,$Y$50:$Y$63,0),MATCH($DA181,TRANSPOSE($Z$49:$AM$49),0)),0)</f>
        <v>4.6899999999999997E-2</v>
      </c>
      <c r="DE181" s="899" cm="1">
        <f t="array" aca="1" ref="DE181" ca="1">_xlfn.IFNA(OFFSET($AO$49,MATCH($DA181,$AO$50:$AO$63,0),MATCH($DB181,TRANSPOSE($AP$49:$BC$49),0)),0)</f>
        <v>1</v>
      </c>
      <c r="DF181" s="881">
        <f t="shared" ca="1" si="161"/>
        <v>2.1833428439944772E-3</v>
      </c>
      <c r="DG181" s="910">
        <f t="shared" ca="1" si="162"/>
        <v>0.99999999999999967</v>
      </c>
      <c r="DH181" s="881">
        <f t="shared" ca="1" si="163"/>
        <v>2.1833428439944763E-3</v>
      </c>
      <c r="DI181" s="1460">
        <f t="shared" ca="1" si="172"/>
        <v>0.36680159779107202</v>
      </c>
      <c r="DJ181" s="909">
        <f>_xlfn.IFNA(INDEX('Resource use and costs'!$CQ$11:$CQ$53,MATCH($CZ181,'Resource use and costs'!$BA$11:$BA$53,0)),0)*_xlfn.IFNA(INDEX(DY$10:DY$23,MATCH($CZ181,$DX$10:$DX$23,0)),0)</f>
        <v>20680.612971428574</v>
      </c>
      <c r="DK181" s="909">
        <f>IF(dd_PartSA_2_lines = "Yes",0,_xlfn.IFNA(INDEX('Resource use and costs'!$CR$11:$CR$53,MATCH(DA181,'Resource use and costs'!$BA$11:$BA$53,0)),0)*_xlfn.IFNA(INDEX(EA$10:EA$23,MATCH($DA181,$DX$10:$DX$23,0)),0))</f>
        <v>848.17532499999982</v>
      </c>
      <c r="DL181" s="909">
        <f>IF(dd_PartSA_2_lines = "Yes",0,_xlfn.IFNA(INDEX('Resource use and costs'!$CS$11:$CS$53,MATCH(DB181,'Resource use and costs'!$BA$11:$BA$53,0)),0)*_xlfn.IFNA(INDEX(EC$10:EC$23,MATCH($DB181,$DX$10:$DX$23,0)),0))</f>
        <v>0</v>
      </c>
      <c r="DM181" s="909">
        <f t="shared" si="165"/>
        <v>21528.788296428575</v>
      </c>
      <c r="DN181" s="909">
        <f>SUM(_xlfn.IFNA(INDEX('Resource use and costs'!$DU$12:$DU$25,MATCH(CZ181,'Resource use and costs'!$DS$12:$DS$25,0)),0),_xlfn.IFNA(INDEX('Resource use and costs'!$DU$12:$DU$25,MATCH(DA181,'Resource use and costs'!$DS$12:$DS$25,0)),0),_xlfn.IFNA(INDEX('Resource use and costs'!$DU$12:$DU$25,MATCH(DB181,'Resource use and costs'!$DS$12:$DS$25,0)),0))</f>
        <v>394.5</v>
      </c>
      <c r="DO181" s="921">
        <f>_xlfn.IFNA(INDEX('Resource use and costs'!$DY$12:$DY$25,MATCH(CZ181,'Resource use and costs'!$DS$12:$DS$25,0)),0)*_xlfn.IFNA(INDEX(DY$10:DY$23,MATCH($CZ181,$DX$10:$DX$23,0)),0)</f>
        <v>443.44394285714293</v>
      </c>
      <c r="DP181" s="921">
        <f>IF(dd_PartSA_2_lines = "Yes",0,_xlfn.IFNA(INDEX('Resource use and costs'!$DZ$12:$DZ$25,MATCH(DA181,'Resource use and costs'!$DS$12:$DS$25,0)),0)*_xlfn.IFNA(INDEX(EA$10:EA$23,MATCH($DA181,$DX$10:$DX$23,0)),0))</f>
        <v>74.50928571428571</v>
      </c>
      <c r="DQ181" s="921">
        <f>IF(dd_PartSA_2_lines = "Yes",0,_xlfn.IFNA(INDEX('Resource use and costs'!$EA$12:$EA$25,MATCH(DB181,'Resource use and costs'!$DS$12:$DS$25,0)),0)*_xlfn.IFNA(INDEX(EC$10:EC$23,MATCH($DB181,$DX$10:$DX$23,0)),0))</f>
        <v>0</v>
      </c>
      <c r="DR181" s="921">
        <f t="shared" si="166"/>
        <v>912.45322857142867</v>
      </c>
      <c r="DS181" s="1004">
        <f ca="1">SUMIFS('Safety parameters'!$DM$6:$DM$18,'Safety parameters'!$DK$6:$DK$18,CZ181,'Safety parameters'!$DL$6:$DL$18,1)+IF(dd_PartSA_2_lines = "Yes",0,SUMIFS('Safety parameters'!$DM$6:$DM$18,'Safety parameters'!$DK$6:$DK$18,DA181,'Safety parameters'!$DL$6:$DL$18,2)+SUMIFS('Safety parameters'!$DM$6:$DM$18,'Safety parameters'!$DK$6:$DK$18,DB181,'Safety parameters'!$DL$6:$DL$18,2))</f>
        <v>740.81143607336799</v>
      </c>
      <c r="DT181" s="910">
        <f ca="1">SUMIFS('Safety parameters'!$DO$6:$DO$18,'Safety parameters'!$DK$6:$DK$18,CZ181,'Safety parameters'!$DL$6:$DL$18,1)+IF(dd_PartSA_2_lines = "Yes",0,SUMIFS('Safety parameters'!$DO$6:$DO$18,'Safety parameters'!$DK$6:$DK$18,DA181,'Safety parameters'!$DL$6:$DL$18,2)+SUMIFS('Safety parameters'!$DO$6:$DO$18,'Safety parameters'!$DK$6:$DK$18,DB181,'Safety parameters'!$DL$6:$DL$18,2))</f>
        <v>-6.1215281769570178E-3</v>
      </c>
    </row>
    <row r="182" spans="89:124" ht="15" x14ac:dyDescent="0.2">
      <c r="CK182" s="61" t="s">
        <v>31</v>
      </c>
      <c r="CL182" s="61">
        <v>2</v>
      </c>
      <c r="CM182" s="61" t="str">
        <v>pazopanib</v>
      </c>
      <c r="CN182" s="17">
        <v>5</v>
      </c>
      <c r="CO182" s="61" t="str" cm="1">
        <f t="array" ref="CO182">INDEX(List_comparators,CP181+1)</f>
        <v>lenvatinib_plus_everolimus</v>
      </c>
      <c r="CP182" s="17">
        <v>9</v>
      </c>
      <c r="CQ182" s="601">
        <f t="shared" ca="1" si="174"/>
        <v>3.0800000000000004E-2</v>
      </c>
      <c r="CR182" s="601">
        <f t="shared" ca="1" si="175"/>
        <v>3.0800000000000007E-3</v>
      </c>
      <c r="CS182" s="669">
        <f t="shared" ca="1" si="173"/>
        <v>73.685714285714269</v>
      </c>
      <c r="CT182" s="669">
        <f t="shared" ca="1" si="176"/>
        <v>15.83</v>
      </c>
      <c r="CU182" s="1123">
        <f>MATCH(CZ182,'Resource use and costs'!$BA$11:$BA$53,0)</f>
        <v>40</v>
      </c>
      <c r="CV182" s="1223"/>
      <c r="CW182" s="1241">
        <f t="shared" si="164"/>
        <v>1</v>
      </c>
      <c r="CX182" s="899" t="s">
        <v>773</v>
      </c>
      <c r="CY182" s="899" t="s">
        <v>118</v>
      </c>
      <c r="CZ182" s="899" t="s">
        <v>327</v>
      </c>
      <c r="DA182" s="899" t="s">
        <v>765</v>
      </c>
      <c r="DB182" s="899"/>
      <c r="DC182" s="899" cm="1">
        <f t="array" aca="1" ref="DC182" ca="1">_xlfn.IFNA(OFFSET($I$49,MATCH(CY182,$I$50:$I$63,0),MATCH(CZ182,TRANSPOSE($J$49:$W$49),0)),0)</f>
        <v>1.4897774790919952E-2</v>
      </c>
      <c r="DD182" s="899" cm="1">
        <f t="array" aca="1" ref="DD182" ca="1">_xlfn.IFNA(OFFSET($Y$49,MATCH($CZ182,$Y$50:$Y$63,0),MATCH($DA182,TRANSPOSE($Z$49:$AM$49),0)),0)</f>
        <v>0.34300000000000003</v>
      </c>
      <c r="DE182" s="899" cm="1">
        <f t="array" aca="1" ref="DE182" ca="1">_xlfn.IFNA(OFFSET($AO$49,MATCH($DA182,$AO$50:$AO$63,0),MATCH($DB182,TRANSPOSE($AP$49:$BC$49),0)),0)</f>
        <v>0</v>
      </c>
      <c r="DF182" s="881">
        <f t="shared" ca="1" si="161"/>
        <v>5.109936753285544E-3</v>
      </c>
      <c r="DG182" s="910">
        <f t="shared" ca="1" si="162"/>
        <v>1.0010447133454794</v>
      </c>
      <c r="DH182" s="881">
        <f t="shared" ca="1" si="163"/>
        <v>5.1152751724062567E-3</v>
      </c>
      <c r="DI182" s="1460">
        <f t="shared" ref="DI182:DI245" ca="1" si="177">114*DH182</f>
        <v>0.58314136965431329</v>
      </c>
      <c r="DJ182" s="909">
        <f>_xlfn.IFNA(INDEX('Resource use and costs'!$CQ$11:$CQ$53,MATCH($CZ182,'Resource use and costs'!$BA$11:$BA$53,0)),0)*_xlfn.IFNA(INDEX(DY$10:DY$23,MATCH($CZ182,$DX$10:$DX$23,0)),0)</f>
        <v>19241.032205</v>
      </c>
      <c r="DK182" s="909">
        <f>IF(dd_PartSA_2_lines = "Yes",0,_xlfn.IFNA(INDEX('Resource use and costs'!$CR$11:$CR$53,MATCH(DA182,'Resource use and costs'!$BA$11:$BA$53,0)),0)*_xlfn.IFNA(INDEX(EA$10:EA$23,MATCH($DA182,$DX$10:$DX$23,0)),0))</f>
        <v>0</v>
      </c>
      <c r="DL182" s="909">
        <f>IF(dd_PartSA_2_lines = "Yes",0,_xlfn.IFNA(INDEX('Resource use and costs'!$CS$11:$CS$53,MATCH(DB182,'Resource use and costs'!$BA$11:$BA$53,0)),0)*_xlfn.IFNA(INDEX(EC$10:EC$23,MATCH($DB182,$DX$10:$DX$23,0)),0))</f>
        <v>0</v>
      </c>
      <c r="DM182" s="909">
        <f t="shared" si="165"/>
        <v>19241.032205</v>
      </c>
      <c r="DN182" s="909">
        <f>SUM(_xlfn.IFNA(INDEX('Resource use and costs'!$DU$12:$DU$25,MATCH(CZ182,'Resource use and costs'!$DS$12:$DS$25,0)),0),_xlfn.IFNA(INDEX('Resource use and costs'!$DU$12:$DU$25,MATCH(DA182,'Resource use and costs'!$DS$12:$DS$25,0)),0),_xlfn.IFNA(INDEX('Resource use and costs'!$DU$12:$DU$25,MATCH(DB182,'Resource use and costs'!$DS$12:$DS$25,0)),0))</f>
        <v>197.25</v>
      </c>
      <c r="DO182" s="921">
        <f>_xlfn.IFNA(INDEX('Resource use and costs'!$DY$12:$DY$25,MATCH(CZ182,'Resource use and costs'!$DS$12:$DS$25,0)),0)*_xlfn.IFNA(INDEX(DY$10:DY$23,MATCH($CZ182,$DX$10:$DX$23,0)),0)</f>
        <v>240.71806000000001</v>
      </c>
      <c r="DP182" s="921">
        <f>IF(dd_PartSA_2_lines = "Yes",0,_xlfn.IFNA(INDEX('Resource use and costs'!$DZ$12:$DZ$25,MATCH(DA182,'Resource use and costs'!$DS$12:$DS$25,0)),0)*_xlfn.IFNA(INDEX(EA$10:EA$23,MATCH($DA182,$DX$10:$DX$23,0)),0))</f>
        <v>0</v>
      </c>
      <c r="DQ182" s="921">
        <f>IF(dd_PartSA_2_lines = "Yes",0,_xlfn.IFNA(INDEX('Resource use and costs'!$EA$12:$EA$25,MATCH(DB182,'Resource use and costs'!$DS$12:$DS$25,0)),0)*_xlfn.IFNA(INDEX(EC$10:EC$23,MATCH($DB182,$DX$10:$DX$23,0)),0))</f>
        <v>0</v>
      </c>
      <c r="DR182" s="921">
        <f t="shared" si="166"/>
        <v>437.96806000000004</v>
      </c>
      <c r="DS182" s="1004">
        <f>SUMIFS('Safety parameters'!$DM$6:$DM$18,'Safety parameters'!$DK$6:$DK$18,CZ182,'Safety parameters'!$DL$6:$DL$18,1)+IF(dd_PartSA_2_lines = "Yes",0,SUMIFS('Safety parameters'!$DM$6:$DM$18,'Safety parameters'!$DK$6:$DK$18,DA182,'Safety parameters'!$DL$6:$DL$18,2)+SUMIFS('Safety parameters'!$DM$6:$DM$18,'Safety parameters'!$DK$6:$DK$18,DB182,'Safety parameters'!$DL$6:$DL$18,2))</f>
        <v>0</v>
      </c>
      <c r="DT182" s="910">
        <f>SUMIFS('Safety parameters'!$DO$6:$DO$18,'Safety parameters'!$DK$6:$DK$18,CZ182,'Safety parameters'!$DL$6:$DL$18,1)+IF(dd_PartSA_2_lines = "Yes",0,SUMIFS('Safety parameters'!$DO$6:$DO$18,'Safety parameters'!$DK$6:$DK$18,DA182,'Safety parameters'!$DL$6:$DL$18,2)+SUMIFS('Safety parameters'!$DO$6:$DO$18,'Safety parameters'!$DK$6:$DK$18,DB182,'Safety parameters'!$DL$6:$DL$18,2))</f>
        <v>0</v>
      </c>
    </row>
    <row r="183" spans="89:124" ht="15" x14ac:dyDescent="0.2">
      <c r="CK183" s="61" t="s">
        <v>31</v>
      </c>
      <c r="CL183" s="61">
        <v>2</v>
      </c>
      <c r="CM183" s="61" t="str">
        <v>tivozanib</v>
      </c>
      <c r="CN183" s="17">
        <v>6</v>
      </c>
      <c r="CO183" s="61" t="str" cm="1">
        <f t="array" ref="CO183">INDEX(List_comparators,CP182+1)</f>
        <v>lenvatinib_plus_everolimus</v>
      </c>
      <c r="CP183" s="17">
        <v>9</v>
      </c>
      <c r="CQ183" s="601">
        <f t="shared" ca="1" si="174"/>
        <v>1.6065749508665357E-2</v>
      </c>
      <c r="CR183" s="601">
        <f t="shared" ca="1" si="175"/>
        <v>1.6065749508665358E-3</v>
      </c>
      <c r="CS183" s="669">
        <f t="shared" ca="1" si="173"/>
        <v>73.685714285714269</v>
      </c>
      <c r="CT183" s="669">
        <f t="shared" ca="1" si="176"/>
        <v>15.83</v>
      </c>
      <c r="CU183" s="1123">
        <f>MATCH(CZ183,'Resource use and costs'!$BA$11:$BA$53,0)</f>
        <v>40</v>
      </c>
      <c r="CV183" s="1223"/>
      <c r="CW183" s="1241">
        <f t="shared" si="164"/>
        <v>1</v>
      </c>
      <c r="CX183" s="899" t="s">
        <v>773</v>
      </c>
      <c r="CY183" s="899" t="s">
        <v>118</v>
      </c>
      <c r="CZ183" s="899" t="s">
        <v>327</v>
      </c>
      <c r="DA183" s="899" t="s">
        <v>119</v>
      </c>
      <c r="DB183" s="899" t="s">
        <v>765</v>
      </c>
      <c r="DC183" s="899" cm="1">
        <f t="array" aca="1" ref="DC183" ca="1">_xlfn.IFNA(OFFSET($I$49,MATCH(CY183,$I$50:$I$63,0),MATCH(CZ183,TRANSPOSE($J$49:$W$49),0)),0)</f>
        <v>1.4897774790919952E-2</v>
      </c>
      <c r="DD183" s="899" cm="1">
        <f t="array" aca="1" ref="DD183" ca="1">_xlfn.IFNA(OFFSET($Y$49,MATCH($CZ183,$Y$50:$Y$63,0),MATCH($DA183,TRANSPOSE($Z$49:$AM$49),0)),0)</f>
        <v>0</v>
      </c>
      <c r="DE183" s="899" cm="1">
        <f t="array" aca="1" ref="DE183" ca="1">_xlfn.IFNA(OFFSET($AO$49,MATCH($DA183,$AO$50:$AO$63,0),MATCH($DB183,TRANSPOSE($AP$49:$BC$49),0)),0)</f>
        <v>1</v>
      </c>
      <c r="DF183" s="881">
        <f t="shared" ca="1" si="161"/>
        <v>0</v>
      </c>
      <c r="DG183" s="910">
        <f t="shared" ca="1" si="162"/>
        <v>1.0010447133454794</v>
      </c>
      <c r="DH183" s="881">
        <f t="shared" ca="1" si="163"/>
        <v>0</v>
      </c>
      <c r="DI183" s="1460">
        <f t="shared" ca="1" si="177"/>
        <v>0</v>
      </c>
      <c r="DJ183" s="909">
        <f>_xlfn.IFNA(INDEX('Resource use and costs'!$CQ$11:$CQ$53,MATCH($CZ183,'Resource use and costs'!$BA$11:$BA$53,0)),0)*_xlfn.IFNA(INDEX(DY$10:DY$23,MATCH($CZ183,$DX$10:$DX$23,0)),0)</f>
        <v>19241.032205</v>
      </c>
      <c r="DK183" s="909">
        <f>IF(dd_PartSA_2_lines = "Yes",0,_xlfn.IFNA(INDEX('Resource use and costs'!$CR$11:$CR$53,MATCH(DA183,'Resource use and costs'!$BA$11:$BA$53,0)),0)*_xlfn.IFNA(INDEX(EA$10:EA$23,MATCH($DA183,$DX$10:$DX$23,0)),0))</f>
        <v>848.17532499999982</v>
      </c>
      <c r="DL183" s="909">
        <f>IF(dd_PartSA_2_lines = "Yes",0,_xlfn.IFNA(INDEX('Resource use and costs'!$CS$11:$CS$53,MATCH(DB183,'Resource use and costs'!$BA$11:$BA$53,0)),0)*_xlfn.IFNA(INDEX(EC$10:EC$23,MATCH($DB183,$DX$10:$DX$23,0)),0))</f>
        <v>0</v>
      </c>
      <c r="DM183" s="909">
        <f t="shared" si="165"/>
        <v>20089.20753</v>
      </c>
      <c r="DN183" s="909">
        <f>SUM(_xlfn.IFNA(INDEX('Resource use and costs'!$DU$12:$DU$25,MATCH(CZ183,'Resource use and costs'!$DS$12:$DS$25,0)),0),_xlfn.IFNA(INDEX('Resource use and costs'!$DU$12:$DU$25,MATCH(DA183,'Resource use and costs'!$DS$12:$DS$25,0)),0),_xlfn.IFNA(INDEX('Resource use and costs'!$DU$12:$DU$25,MATCH(DB183,'Resource use and costs'!$DS$12:$DS$25,0)),0))</f>
        <v>394.5</v>
      </c>
      <c r="DO183" s="921">
        <f>_xlfn.IFNA(INDEX('Resource use and costs'!$DY$12:$DY$25,MATCH(CZ183,'Resource use and costs'!$DS$12:$DS$25,0)),0)*_xlfn.IFNA(INDEX(DY$10:DY$23,MATCH($CZ183,$DX$10:$DX$23,0)),0)</f>
        <v>240.71806000000001</v>
      </c>
      <c r="DP183" s="921">
        <f>IF(dd_PartSA_2_lines = "Yes",0,_xlfn.IFNA(INDEX('Resource use and costs'!$DZ$12:$DZ$25,MATCH(DA183,'Resource use and costs'!$DS$12:$DS$25,0)),0)*_xlfn.IFNA(INDEX(EA$10:EA$23,MATCH($DA183,$DX$10:$DX$23,0)),0))</f>
        <v>74.50928571428571</v>
      </c>
      <c r="DQ183" s="921">
        <f>IF(dd_PartSA_2_lines = "Yes",0,_xlfn.IFNA(INDEX('Resource use and costs'!$EA$12:$EA$25,MATCH(DB183,'Resource use and costs'!$DS$12:$DS$25,0)),0)*_xlfn.IFNA(INDEX(EC$10:EC$23,MATCH($DB183,$DX$10:$DX$23,0)),0))</f>
        <v>0</v>
      </c>
      <c r="DR183" s="921">
        <f t="shared" si="166"/>
        <v>709.72734571428578</v>
      </c>
      <c r="DS183" s="1004">
        <f ca="1">SUMIFS('Safety parameters'!$DM$6:$DM$18,'Safety parameters'!$DK$6:$DK$18,CZ183,'Safety parameters'!$DL$6:$DL$18,1)+IF(dd_PartSA_2_lines = "Yes",0,SUMIFS('Safety parameters'!$DM$6:$DM$18,'Safety parameters'!$DK$6:$DK$18,DA183,'Safety parameters'!$DL$6:$DL$18,2)+SUMIFS('Safety parameters'!$DM$6:$DM$18,'Safety parameters'!$DK$6:$DK$18,DB183,'Safety parameters'!$DL$6:$DL$18,2))</f>
        <v>332.87538337531487</v>
      </c>
      <c r="DT183" s="910">
        <f ca="1">SUMIFS('Safety parameters'!$DO$6:$DO$18,'Safety parameters'!$DK$6:$DK$18,CZ183,'Safety parameters'!$DL$6:$DL$18,1)+IF(dd_PartSA_2_lines = "Yes",0,SUMIFS('Safety parameters'!$DO$6:$DO$18,'Safety parameters'!$DK$6:$DK$18,DA183,'Safety parameters'!$DL$6:$DL$18,2)+SUMIFS('Safety parameters'!$DO$6:$DO$18,'Safety parameters'!$DK$6:$DK$18,DB183,'Safety parameters'!$DL$6:$DL$18,2))</f>
        <v>-2.6675735366377194E-3</v>
      </c>
    </row>
    <row r="184" spans="89:124" ht="15" x14ac:dyDescent="0.2">
      <c r="CK184" s="61" t="s">
        <v>31</v>
      </c>
      <c r="CL184" s="61">
        <v>2</v>
      </c>
      <c r="CM184" s="61" t="str">
        <v>sunitinib</v>
      </c>
      <c r="CN184" s="17">
        <v>7</v>
      </c>
      <c r="CO184" s="61" t="str" cm="1">
        <f t="array" ref="CO184">INDEX(List_comparators,CP183+1)</f>
        <v>lenvatinib_plus_everolimus</v>
      </c>
      <c r="CP184" s="17">
        <v>9</v>
      </c>
      <c r="CQ184" s="601">
        <f t="shared" ca="1" si="174"/>
        <v>3.700000000000001E-3</v>
      </c>
      <c r="CR184" s="601">
        <f t="shared" ca="1" si="175"/>
        <v>3.700000000000001E-4</v>
      </c>
      <c r="CS184" s="669">
        <f t="shared" ca="1" si="173"/>
        <v>73.685714285714269</v>
      </c>
      <c r="CT184" s="669">
        <f t="shared" ca="1" si="176"/>
        <v>15.83</v>
      </c>
      <c r="CU184" s="1123">
        <f>MATCH(CZ184,'Resource use and costs'!$BA$11:$BA$53,0)</f>
        <v>40</v>
      </c>
      <c r="CV184" s="1223"/>
      <c r="CW184" s="1241">
        <f t="shared" si="164"/>
        <v>1</v>
      </c>
      <c r="CX184" s="899" t="s">
        <v>773</v>
      </c>
      <c r="CY184" s="899" t="s">
        <v>118</v>
      </c>
      <c r="CZ184" s="899" t="s">
        <v>327</v>
      </c>
      <c r="DA184" s="899" t="s">
        <v>579</v>
      </c>
      <c r="DB184" s="899" t="s">
        <v>765</v>
      </c>
      <c r="DC184" s="899" cm="1">
        <f t="array" aca="1" ref="DC184" ca="1">_xlfn.IFNA(OFFSET($I$49,MATCH(CY184,$I$50:$I$63,0),MATCH(CZ184,TRANSPOSE($J$49:$W$49),0)),0)</f>
        <v>1.4897774790919952E-2</v>
      </c>
      <c r="DD184" s="899">
        <f ca="1">1-DD182-DD183-DD186-DD188-DD190</f>
        <v>0.65700000000000003</v>
      </c>
      <c r="DE184" s="899" cm="1">
        <f t="array" aca="1" ref="DE184" ca="1">_xlfn.IFNA(OFFSET($AO$49,MATCH($DA184,$AO$50:$AO$63,0),MATCH($DB184,TRANSPOSE($AP$49:$BC$49),0)),0)</f>
        <v>0.43140000000000001</v>
      </c>
      <c r="DF184" s="881">
        <f t="shared" ca="1" si="161"/>
        <v>4.2224733294354841E-3</v>
      </c>
      <c r="DG184" s="910">
        <f t="shared" ca="1" si="162"/>
        <v>1.0010447133454794</v>
      </c>
      <c r="DH184" s="881">
        <f t="shared" ca="1" si="163"/>
        <v>4.2268846036736763E-3</v>
      </c>
      <c r="DI184" s="1460">
        <f t="shared" ca="1" si="177"/>
        <v>0.4818648448187991</v>
      </c>
      <c r="DJ184" s="909">
        <f>_xlfn.IFNA(INDEX('Resource use and costs'!$CQ$11:$CQ$53,MATCH($CZ184,'Resource use and costs'!$BA$11:$BA$53,0)),0)*_xlfn.IFNA(INDEX(DY$10:DY$23,MATCH($CZ184,$DX$10:$DX$23,0)),0)</f>
        <v>19241.032205</v>
      </c>
      <c r="DK184" s="909">
        <f>IF(dd_PartSA_2_lines = "Yes",0,_xlfn.IFNA(INDEX('Resource use and costs'!$CR$11:$CR$53,MATCH(DA184,'Resource use and costs'!$BA$11:$BA$53,0)),0)*_xlfn.IFNA(INDEX(EA$10:EA$23,MATCH($DA184,$DX$10:$DX$23,0)),0))</f>
        <v>26054.50921</v>
      </c>
      <c r="DL184" s="909">
        <f>IF(dd_PartSA_2_lines = "Yes",0,_xlfn.IFNA(INDEX('Resource use and costs'!$CS$11:$CS$53,MATCH(DB184,'Resource use and costs'!$BA$11:$BA$53,0)),0)*_xlfn.IFNA(INDEX(EC$10:EC$23,MATCH($DB184,$DX$10:$DX$23,0)),0))</f>
        <v>0</v>
      </c>
      <c r="DM184" s="909">
        <f t="shared" si="165"/>
        <v>45295.541415</v>
      </c>
      <c r="DN184" s="909">
        <f>SUM(_xlfn.IFNA(INDEX('Resource use and costs'!$DU$12:$DU$25,MATCH(CZ184,'Resource use and costs'!$DS$12:$DS$25,0)),0),_xlfn.IFNA(INDEX('Resource use and costs'!$DU$12:$DU$25,MATCH(DA184,'Resource use and costs'!$DS$12:$DS$25,0)),0),_xlfn.IFNA(INDEX('Resource use and costs'!$DU$12:$DU$25,MATCH(DB184,'Resource use and costs'!$DS$12:$DS$25,0)),0))</f>
        <v>197.25</v>
      </c>
      <c r="DO184" s="921">
        <f>_xlfn.IFNA(INDEX('Resource use and costs'!$DY$12:$DY$25,MATCH(CZ184,'Resource use and costs'!$DS$12:$DS$25,0)),0)*_xlfn.IFNA(INDEX(DY$10:DY$23,MATCH($CZ184,$DX$10:$DX$23,0)),0)</f>
        <v>240.71806000000001</v>
      </c>
      <c r="DP184" s="921">
        <f>IF(dd_PartSA_2_lines = "Yes",0,_xlfn.IFNA(INDEX('Resource use and costs'!$DZ$12:$DZ$25,MATCH(DA184,'Resource use and costs'!$DS$12:$DS$25,0)),0)*_xlfn.IFNA(INDEX(EA$10:EA$23,MATCH($DA184,$DX$10:$DX$23,0)),0))</f>
        <v>4108.3597166</v>
      </c>
      <c r="DQ184" s="921">
        <f>IF(dd_PartSA_2_lines = "Yes",0,_xlfn.IFNA(INDEX('Resource use and costs'!$EA$12:$EA$25,MATCH(DB184,'Resource use and costs'!$DS$12:$DS$25,0)),0)*_xlfn.IFNA(INDEX(EC$10:EC$23,MATCH($DB184,$DX$10:$DX$23,0)),0))</f>
        <v>0</v>
      </c>
      <c r="DR184" s="921">
        <f t="shared" si="166"/>
        <v>4546.3277766000001</v>
      </c>
      <c r="DS184" s="1004">
        <f ca="1">SUMIFS('Safety parameters'!$DM$6:$DM$18,'Safety parameters'!$DK$6:$DK$18,CZ184,'Safety parameters'!$DL$6:$DL$18,1)+IF(dd_PartSA_2_lines = "Yes",0,SUMIFS('Safety parameters'!$DM$6:$DM$18,'Safety parameters'!$DK$6:$DK$18,DA184,'Safety parameters'!$DL$6:$DL$18,2)+SUMIFS('Safety parameters'!$DM$6:$DM$18,'Safety parameters'!$DK$6:$DK$18,DB184,'Safety parameters'!$DL$6:$DL$18,2))</f>
        <v>161.1337489904144</v>
      </c>
      <c r="DT184" s="910">
        <f ca="1">SUMIFS('Safety parameters'!$DO$6:$DO$18,'Safety parameters'!$DK$6:$DK$18,CZ184,'Safety parameters'!$DL$6:$DL$18,1)+IF(dd_PartSA_2_lines = "Yes",0,SUMIFS('Safety parameters'!$DO$6:$DO$18,'Safety parameters'!$DK$6:$DK$18,DA184,'Safety parameters'!$DL$6:$DL$18,2)+SUMIFS('Safety parameters'!$DO$6:$DO$18,'Safety parameters'!$DK$6:$DK$18,DB184,'Safety parameters'!$DL$6:$DL$18,2))</f>
        <v>-1.5970841976847864E-3</v>
      </c>
    </row>
    <row r="185" spans="89:124" ht="15" x14ac:dyDescent="0.2">
      <c r="CK185" s="61" t="s">
        <v>31</v>
      </c>
      <c r="CL185" s="61">
        <v>2</v>
      </c>
      <c r="CM185" s="61" t="str">
        <v>cabozantinib</v>
      </c>
      <c r="CN185" s="17">
        <v>8</v>
      </c>
      <c r="CO185" s="61" t="str" cm="1">
        <f t="array" ref="CO185">INDEX(List_comparators,CP184+1)</f>
        <v>lenvatinib_plus_everolimus</v>
      </c>
      <c r="CP185" s="17">
        <v>9</v>
      </c>
      <c r="CQ185" s="601">
        <f t="shared" ca="1" si="174"/>
        <v>4.4593339307048986E-2</v>
      </c>
      <c r="CR185" s="601">
        <f t="shared" ca="1" si="175"/>
        <v>4.4593339307048988E-3</v>
      </c>
      <c r="CS185" s="669">
        <f t="shared" ca="1" si="173"/>
        <v>73.685714285714269</v>
      </c>
      <c r="CT185" s="669">
        <f t="shared" ca="1" si="176"/>
        <v>15.83</v>
      </c>
      <c r="CU185" s="1123">
        <f>MATCH(CZ185,'Resource use and costs'!$BA$11:$BA$53,0)</f>
        <v>40</v>
      </c>
      <c r="CV185" s="1223"/>
      <c r="CW185" s="1241">
        <f t="shared" si="164"/>
        <v>1</v>
      </c>
      <c r="CX185" s="899" t="s">
        <v>773</v>
      </c>
      <c r="CY185" s="899" t="s">
        <v>118</v>
      </c>
      <c r="CZ185" s="899" t="s">
        <v>327</v>
      </c>
      <c r="DA185" s="899" t="s">
        <v>579</v>
      </c>
      <c r="DB185" s="899" t="s">
        <v>119</v>
      </c>
      <c r="DC185" s="899" cm="1">
        <f t="array" aca="1" ref="DC185" ca="1">_xlfn.IFNA(OFFSET($I$49,MATCH(CY185,$I$50:$I$63,0),MATCH(CZ185,TRANSPOSE($J$49:$W$49),0)),0)</f>
        <v>1.4897774790919952E-2</v>
      </c>
      <c r="DD185" s="899">
        <f ca="1">DD184</f>
        <v>0.65700000000000003</v>
      </c>
      <c r="DE185" s="899">
        <f ca="1">1-DE184</f>
        <v>0.56859999999999999</v>
      </c>
      <c r="DF185" s="881">
        <f t="shared" ca="1" si="161"/>
        <v>5.5653647081989254E-3</v>
      </c>
      <c r="DG185" s="910">
        <f t="shared" ca="1" si="162"/>
        <v>1.0010447133454794</v>
      </c>
      <c r="DH185" s="881">
        <f t="shared" ca="1" si="163"/>
        <v>5.5711789189820411E-3</v>
      </c>
      <c r="DI185" s="1460">
        <f t="shared" ca="1" si="177"/>
        <v>0.63511439676395265</v>
      </c>
      <c r="DJ185" s="909">
        <f>_xlfn.IFNA(INDEX('Resource use and costs'!$CQ$11:$CQ$53,MATCH($CZ185,'Resource use and costs'!$BA$11:$BA$53,0)),0)*_xlfn.IFNA(INDEX(DY$10:DY$23,MATCH($CZ185,$DX$10:$DX$23,0)),0)</f>
        <v>19241.032205</v>
      </c>
      <c r="DK185" s="909">
        <f>IF(dd_PartSA_2_lines = "Yes",0,_xlfn.IFNA(INDEX('Resource use and costs'!$CR$11:$CR$53,MATCH(DA185,'Resource use and costs'!$BA$11:$BA$53,0)),0)*_xlfn.IFNA(INDEX(EA$10:EA$23,MATCH($DA185,$DX$10:$DX$23,0)),0))</f>
        <v>26054.50921</v>
      </c>
      <c r="DL185" s="909">
        <f>IF(dd_PartSA_2_lines = "Yes",0,_xlfn.IFNA(INDEX('Resource use and costs'!$CS$11:$CS$53,MATCH(DB185,'Resource use and costs'!$BA$11:$BA$53,0)),0)*_xlfn.IFNA(INDEX(EC$10:EC$23,MATCH($DB185,$DX$10:$DX$23,0)),0))</f>
        <v>2915.4763433333328</v>
      </c>
      <c r="DM185" s="909">
        <f t="shared" si="165"/>
        <v>48211.017758333335</v>
      </c>
      <c r="DN185" s="909">
        <f>SUM(_xlfn.IFNA(INDEX('Resource use and costs'!$DU$12:$DU$25,MATCH(CZ185,'Resource use and costs'!$DS$12:$DS$25,0)),0),_xlfn.IFNA(INDEX('Resource use and costs'!$DU$12:$DU$25,MATCH(DA185,'Resource use and costs'!$DS$12:$DS$25,0)),0),_xlfn.IFNA(INDEX('Resource use and costs'!$DU$12:$DU$25,MATCH(DB185,'Resource use and costs'!$DS$12:$DS$25,0)),0))</f>
        <v>394.5</v>
      </c>
      <c r="DO185" s="921">
        <f>_xlfn.IFNA(INDEX('Resource use and costs'!$DY$12:$DY$25,MATCH(CZ185,'Resource use and costs'!$DS$12:$DS$25,0)),0)*_xlfn.IFNA(INDEX(DY$10:DY$23,MATCH($CZ185,$DX$10:$DX$23,0)),0)</f>
        <v>240.71806000000001</v>
      </c>
      <c r="DP185" s="921">
        <f>IF(dd_PartSA_2_lines = "Yes",0,_xlfn.IFNA(INDEX('Resource use and costs'!$DZ$12:$DZ$25,MATCH(DA185,'Resource use and costs'!$DS$12:$DS$25,0)),0)*_xlfn.IFNA(INDEX(EA$10:EA$23,MATCH($DA185,$DX$10:$DX$23,0)),0))</f>
        <v>4108.3597166</v>
      </c>
      <c r="DQ185" s="921">
        <f>IF(dd_PartSA_2_lines = "Yes",0,_xlfn.IFNA(INDEX('Resource use and costs'!$EA$12:$EA$25,MATCH(DB185,'Resource use and costs'!$DS$12:$DS$25,0)),0)*_xlfn.IFNA(INDEX(EC$10:EC$23,MATCH($DB185,$DX$10:$DX$23,0)),0))</f>
        <v>256.11457142857142</v>
      </c>
      <c r="DR185" s="921">
        <f t="shared" si="166"/>
        <v>4999.6923480285714</v>
      </c>
      <c r="DS185" s="1004">
        <f ca="1">SUMIFS('Safety parameters'!$DM$6:$DM$18,'Safety parameters'!$DK$6:$DK$18,CZ185,'Safety parameters'!$DL$6:$DL$18,1)+IF(dd_PartSA_2_lines = "Yes",0,SUMIFS('Safety parameters'!$DM$6:$DM$18,'Safety parameters'!$DK$6:$DK$18,DA185,'Safety parameters'!$DL$6:$DL$18,2)+SUMIFS('Safety parameters'!$DM$6:$DM$18,'Safety parameters'!$DK$6:$DK$18,DB185,'Safety parameters'!$DL$6:$DL$18,2))</f>
        <v>494.00913236572927</v>
      </c>
      <c r="DT185" s="910">
        <f ca="1">SUMIFS('Safety parameters'!$DO$6:$DO$18,'Safety parameters'!$DK$6:$DK$18,CZ185,'Safety parameters'!$DL$6:$DL$18,1)+IF(dd_PartSA_2_lines = "Yes",0,SUMIFS('Safety parameters'!$DO$6:$DO$18,'Safety parameters'!$DK$6:$DK$18,DA185,'Safety parameters'!$DL$6:$DL$18,2)+SUMIFS('Safety parameters'!$DO$6:$DO$18,'Safety parameters'!$DK$6:$DK$18,DB185,'Safety parameters'!$DL$6:$DL$18,2))</f>
        <v>-4.2646577343225054E-3</v>
      </c>
    </row>
    <row r="186" spans="89:124" ht="15" x14ac:dyDescent="0.2">
      <c r="CK186" s="61" t="s">
        <v>31</v>
      </c>
      <c r="CL186" s="61">
        <v>2</v>
      </c>
      <c r="CM186" s="61" t="str">
        <v>lenvatinib_plus_everolimus</v>
      </c>
      <c r="CN186" s="17">
        <v>9</v>
      </c>
      <c r="CO186" s="61" t="str" cm="1">
        <f t="array" ref="CO186">INDEX(List_comparators,CP185+1)</f>
        <v>lenvatinib_plus_everolimus</v>
      </c>
      <c r="CP186" s="17">
        <v>9</v>
      </c>
      <c r="CQ186" s="601">
        <f t="shared" ca="1" si="174"/>
        <v>0</v>
      </c>
      <c r="CR186" s="601">
        <f t="shared" ca="1" si="175"/>
        <v>0</v>
      </c>
      <c r="CS186" s="669">
        <f t="shared" ca="1" si="173"/>
        <v>73.685714285714269</v>
      </c>
      <c r="CT186" s="669">
        <f t="shared" ca="1" si="176"/>
        <v>15.83</v>
      </c>
      <c r="CU186" s="1123">
        <f>MATCH(CZ186,'Resource use and costs'!$BA$11:$BA$53,0)</f>
        <v>40</v>
      </c>
      <c r="CV186" s="1223"/>
      <c r="CW186" s="1241">
        <f t="shared" si="164"/>
        <v>1</v>
      </c>
      <c r="CX186" s="899" t="s">
        <v>773</v>
      </c>
      <c r="CY186" s="899" t="s">
        <v>118</v>
      </c>
      <c r="CZ186" s="899" t="s">
        <v>327</v>
      </c>
      <c r="DA186" s="899" t="s">
        <v>585</v>
      </c>
      <c r="DB186" s="899" t="s">
        <v>765</v>
      </c>
      <c r="DC186" s="899" cm="1">
        <f t="array" aca="1" ref="DC186" ca="1">_xlfn.IFNA(OFFSET($I$49,MATCH(CY186,$I$50:$I$63,0),MATCH(CZ186,TRANSPOSE($J$49:$W$49),0)),0)</f>
        <v>1.4897774790919952E-2</v>
      </c>
      <c r="DD186" s="899" cm="1">
        <f t="array" aca="1" ref="DD186" ca="1">_xlfn.IFNA(OFFSET($Y$49,MATCH($CZ186,$Y$50:$Y$63,0),MATCH($DA186,TRANSPOSE($Z$49:$AM$49),0)),0)</f>
        <v>0</v>
      </c>
      <c r="DE186" s="899" cm="1">
        <f t="array" aca="1" ref="DE186" ca="1">_xlfn.IFNA(OFFSET($AO$49,MATCH($DA186,$AO$50:$AO$63,0),MATCH($DB186,TRANSPOSE($AP$49:$BC$49),0)),0)</f>
        <v>0.43140000000000001</v>
      </c>
      <c r="DF186" s="881">
        <f t="shared" ca="1" si="161"/>
        <v>0</v>
      </c>
      <c r="DG186" s="910">
        <f t="shared" ca="1" si="162"/>
        <v>1.0010447133454794</v>
      </c>
      <c r="DH186" s="881">
        <f t="shared" ca="1" si="163"/>
        <v>0</v>
      </c>
      <c r="DI186" s="1460">
        <f t="shared" ca="1" si="177"/>
        <v>0</v>
      </c>
      <c r="DJ186" s="909">
        <f>_xlfn.IFNA(INDEX('Resource use and costs'!$CQ$11:$CQ$53,MATCH($CZ186,'Resource use and costs'!$BA$11:$BA$53,0)),0)*_xlfn.IFNA(INDEX(DY$10:DY$23,MATCH($CZ186,$DX$10:$DX$23,0)),0)</f>
        <v>19241.032205</v>
      </c>
      <c r="DK186" s="909">
        <f>IF(dd_PartSA_2_lines = "Yes",0,_xlfn.IFNA(INDEX('Resource use and costs'!$CR$11:$CR$53,MATCH(DA186,'Resource use and costs'!$BA$11:$BA$53,0)),0)*_xlfn.IFNA(INDEX(EA$10:EA$23,MATCH($DA186,$DX$10:$DX$23,0)),0))</f>
        <v>1987.9066666666663</v>
      </c>
      <c r="DL186" s="909">
        <f>IF(dd_PartSA_2_lines = "Yes",0,_xlfn.IFNA(INDEX('Resource use and costs'!$CS$11:$CS$53,MATCH(DB186,'Resource use and costs'!$BA$11:$BA$53,0)),0)*_xlfn.IFNA(INDEX(EC$10:EC$23,MATCH($DB186,$DX$10:$DX$23,0)),0))</f>
        <v>0</v>
      </c>
      <c r="DM186" s="909">
        <f t="shared" si="165"/>
        <v>21228.938871666665</v>
      </c>
      <c r="DN186" s="909">
        <f>SUM(_xlfn.IFNA(INDEX('Resource use and costs'!$DU$12:$DU$25,MATCH(CZ186,'Resource use and costs'!$DS$12:$DS$25,0)),0),_xlfn.IFNA(INDEX('Resource use and costs'!$DU$12:$DU$25,MATCH(DA186,'Resource use and costs'!$DS$12:$DS$25,0)),0),_xlfn.IFNA(INDEX('Resource use and costs'!$DU$12:$DU$25,MATCH(DB186,'Resource use and costs'!$DS$12:$DS$25,0)),0))</f>
        <v>394.5</v>
      </c>
      <c r="DO186" s="921">
        <f>_xlfn.IFNA(INDEX('Resource use and costs'!$DY$12:$DY$25,MATCH(CZ186,'Resource use and costs'!$DS$12:$DS$25,0)),0)*_xlfn.IFNA(INDEX(DY$10:DY$23,MATCH($CZ186,$DX$10:$DX$23,0)),0)</f>
        <v>240.71806000000001</v>
      </c>
      <c r="DP186" s="921">
        <f>IF(dd_PartSA_2_lines = "Yes",0,_xlfn.IFNA(INDEX('Resource use and costs'!$DZ$12:$DZ$25,MATCH(DA186,'Resource use and costs'!$DS$12:$DS$25,0)),0)*_xlfn.IFNA(INDEX(EA$10:EA$23,MATCH($DA186,$DX$10:$DX$23,0)),0))</f>
        <v>179.14285714285711</v>
      </c>
      <c r="DQ186" s="921">
        <f>IF(dd_PartSA_2_lines = "Yes",0,_xlfn.IFNA(INDEX('Resource use and costs'!$EA$12:$EA$25,MATCH(DB186,'Resource use and costs'!$DS$12:$DS$25,0)),0)*_xlfn.IFNA(INDEX(EC$10:EC$23,MATCH($DB186,$DX$10:$DX$23,0)),0))</f>
        <v>0</v>
      </c>
      <c r="DR186" s="921">
        <f t="shared" si="166"/>
        <v>814.36091714285715</v>
      </c>
      <c r="DS186" s="1004">
        <f>SUMIFS('Safety parameters'!$DM$6:$DM$18,'Safety parameters'!$DK$6:$DK$18,CZ186,'Safety parameters'!$DL$6:$DL$18,1)+IF(dd_PartSA_2_lines = "Yes",0,SUMIFS('Safety parameters'!$DM$6:$DM$18,'Safety parameters'!$DK$6:$DK$18,DA186,'Safety parameters'!$DL$6:$DL$18,2)+SUMIFS('Safety parameters'!$DM$6:$DM$18,'Safety parameters'!$DK$6:$DK$18,DB186,'Safety parameters'!$DL$6:$DL$18,2))</f>
        <v>0</v>
      </c>
      <c r="DT186" s="910">
        <f>SUMIFS('Safety parameters'!$DO$6:$DO$18,'Safety parameters'!$DK$6:$DK$18,CZ186,'Safety parameters'!$DL$6:$DL$18,1)+IF(dd_PartSA_2_lines = "Yes",0,SUMIFS('Safety parameters'!$DO$6:$DO$18,'Safety parameters'!$DK$6:$DK$18,DA186,'Safety parameters'!$DL$6:$DL$18,2)+SUMIFS('Safety parameters'!$DO$6:$DO$18,'Safety parameters'!$DK$6:$DK$18,DB186,'Safety parameters'!$DL$6:$DL$18,2))</f>
        <v>0</v>
      </c>
    </row>
    <row r="187" spans="89:124" ht="15" x14ac:dyDescent="0.2">
      <c r="CK187" s="61" t="s">
        <v>31</v>
      </c>
      <c r="CL187" s="61">
        <v>2</v>
      </c>
      <c r="CM187" s="61" t="str">
        <v>everolimus</v>
      </c>
      <c r="CN187" s="17">
        <v>10</v>
      </c>
      <c r="CO187" s="61" t="str" cm="1">
        <f t="array" ref="CO187">INDEX(List_comparators,CP186+1)</f>
        <v>lenvatinib_plus_everolimus</v>
      </c>
      <c r="CP187" s="17">
        <v>9</v>
      </c>
      <c r="CQ187" s="601">
        <f t="shared" ca="1" si="174"/>
        <v>0</v>
      </c>
      <c r="CR187" s="601">
        <f t="shared" ca="1" si="175"/>
        <v>0</v>
      </c>
      <c r="CS187" s="669">
        <f t="shared" ca="1" si="173"/>
        <v>73.685714285714269</v>
      </c>
      <c r="CT187" s="669">
        <f t="shared" ca="1" si="176"/>
        <v>15.83</v>
      </c>
      <c r="CU187" s="1123">
        <f>MATCH(CZ187,'Resource use and costs'!$BA$11:$BA$53,0)</f>
        <v>40</v>
      </c>
      <c r="CV187" s="1223"/>
      <c r="CW187" s="1241">
        <f t="shared" si="164"/>
        <v>1</v>
      </c>
      <c r="CX187" s="899" t="s">
        <v>773</v>
      </c>
      <c r="CY187" s="899" t="s">
        <v>118</v>
      </c>
      <c r="CZ187" s="899" t="s">
        <v>327</v>
      </c>
      <c r="DA187" s="899" t="s">
        <v>585</v>
      </c>
      <c r="DB187" s="899" t="s">
        <v>119</v>
      </c>
      <c r="DC187" s="899" cm="1">
        <f t="array" aca="1" ref="DC187" ca="1">_xlfn.IFNA(OFFSET($I$49,MATCH(CY187,$I$50:$I$63,0),MATCH(CZ187,TRANSPOSE($J$49:$W$49),0)),0)</f>
        <v>1.4897774790919952E-2</v>
      </c>
      <c r="DD187" s="899" cm="1">
        <f t="array" aca="1" ref="DD187" ca="1">_xlfn.IFNA(OFFSET($Y$49,MATCH($CZ187,$Y$50:$Y$63,0),MATCH($DA187,TRANSPOSE($Z$49:$AM$49),0)),0)</f>
        <v>0</v>
      </c>
      <c r="DE187" s="899" cm="1">
        <f t="array" aca="1" ref="DE187" ca="1">_xlfn.IFNA(OFFSET($AO$49,MATCH($DA187,$AO$50:$AO$63,0),MATCH($DB187,TRANSPOSE($AP$49:$BC$49),0)),0)</f>
        <v>0.1895</v>
      </c>
      <c r="DF187" s="881">
        <f t="shared" ca="1" si="161"/>
        <v>0</v>
      </c>
      <c r="DG187" s="910">
        <f t="shared" ca="1" si="162"/>
        <v>1.0010447133454794</v>
      </c>
      <c r="DH187" s="881">
        <f t="shared" ca="1" si="163"/>
        <v>0</v>
      </c>
      <c r="DI187" s="1460">
        <f t="shared" ca="1" si="177"/>
        <v>0</v>
      </c>
      <c r="DJ187" s="909">
        <f>_xlfn.IFNA(INDEX('Resource use and costs'!$CQ$11:$CQ$53,MATCH($CZ187,'Resource use and costs'!$BA$11:$BA$53,0)),0)*_xlfn.IFNA(INDEX(DY$10:DY$23,MATCH($CZ187,$DX$10:$DX$23,0)),0)</f>
        <v>19241.032205</v>
      </c>
      <c r="DK187" s="909">
        <f>IF(dd_PartSA_2_lines = "Yes",0,_xlfn.IFNA(INDEX('Resource use and costs'!$CR$11:$CR$53,MATCH(DA187,'Resource use and costs'!$BA$11:$BA$53,0)),0)*_xlfn.IFNA(INDEX(EA$10:EA$23,MATCH($DA187,$DX$10:$DX$23,0)),0))</f>
        <v>1987.9066666666663</v>
      </c>
      <c r="DL187" s="909">
        <f>IF(dd_PartSA_2_lines = "Yes",0,_xlfn.IFNA(INDEX('Resource use and costs'!$CS$11:$CS$53,MATCH(DB187,'Resource use and costs'!$BA$11:$BA$53,0)),0)*_xlfn.IFNA(INDEX(EC$10:EC$23,MATCH($DB187,$DX$10:$DX$23,0)),0))</f>
        <v>2915.4763433333328</v>
      </c>
      <c r="DM187" s="909">
        <f t="shared" si="165"/>
        <v>24144.415214999997</v>
      </c>
      <c r="DN187" s="909">
        <f>SUM(_xlfn.IFNA(INDEX('Resource use and costs'!$DU$12:$DU$25,MATCH(CZ187,'Resource use and costs'!$DS$12:$DS$25,0)),0),_xlfn.IFNA(INDEX('Resource use and costs'!$DU$12:$DU$25,MATCH(DA187,'Resource use and costs'!$DS$12:$DS$25,0)),0),_xlfn.IFNA(INDEX('Resource use and costs'!$DU$12:$DU$25,MATCH(DB187,'Resource use and costs'!$DS$12:$DS$25,0)),0))</f>
        <v>591.75</v>
      </c>
      <c r="DO187" s="921">
        <f>_xlfn.IFNA(INDEX('Resource use and costs'!$DY$12:$DY$25,MATCH(CZ187,'Resource use and costs'!$DS$12:$DS$25,0)),0)*_xlfn.IFNA(INDEX(DY$10:DY$23,MATCH($CZ187,$DX$10:$DX$23,0)),0)</f>
        <v>240.71806000000001</v>
      </c>
      <c r="DP187" s="921">
        <f>IF(dd_PartSA_2_lines = "Yes",0,_xlfn.IFNA(INDEX('Resource use and costs'!$DZ$12:$DZ$25,MATCH(DA187,'Resource use and costs'!$DS$12:$DS$25,0)),0)*_xlfn.IFNA(INDEX(EA$10:EA$23,MATCH($DA187,$DX$10:$DX$23,0)),0))</f>
        <v>179.14285714285711</v>
      </c>
      <c r="DQ187" s="921">
        <f>IF(dd_PartSA_2_lines = "Yes",0,_xlfn.IFNA(INDEX('Resource use and costs'!$EA$12:$EA$25,MATCH(DB187,'Resource use and costs'!$DS$12:$DS$25,0)),0)*_xlfn.IFNA(INDEX(EC$10:EC$23,MATCH($DB187,$DX$10:$DX$23,0)),0))</f>
        <v>256.11457142857142</v>
      </c>
      <c r="DR187" s="921">
        <f t="shared" si="166"/>
        <v>1267.7254885714285</v>
      </c>
      <c r="DS187" s="1004">
        <f ca="1">SUMIFS('Safety parameters'!$DM$6:$DM$18,'Safety parameters'!$DK$6:$DK$18,CZ187,'Safety parameters'!$DL$6:$DL$18,1)+IF(dd_PartSA_2_lines = "Yes",0,SUMIFS('Safety parameters'!$DM$6:$DM$18,'Safety parameters'!$DK$6:$DK$18,DA187,'Safety parameters'!$DL$6:$DL$18,2)+SUMIFS('Safety parameters'!$DM$6:$DM$18,'Safety parameters'!$DK$6:$DK$18,DB187,'Safety parameters'!$DL$6:$DL$18,2))</f>
        <v>332.87538337531487</v>
      </c>
      <c r="DT187" s="910">
        <f ca="1">SUMIFS('Safety parameters'!$DO$6:$DO$18,'Safety parameters'!$DK$6:$DK$18,CZ187,'Safety parameters'!$DL$6:$DL$18,1)+IF(dd_PartSA_2_lines = "Yes",0,SUMIFS('Safety parameters'!$DO$6:$DO$18,'Safety parameters'!$DK$6:$DK$18,DA187,'Safety parameters'!$DL$6:$DL$18,2)+SUMIFS('Safety parameters'!$DO$6:$DO$18,'Safety parameters'!$DK$6:$DK$18,DB187,'Safety parameters'!$DL$6:$DL$18,2))</f>
        <v>-2.6675735366377194E-3</v>
      </c>
    </row>
    <row r="188" spans="89:124" ht="15" x14ac:dyDescent="0.2">
      <c r="CK188" s="61" t="s">
        <v>31</v>
      </c>
      <c r="CL188" s="61">
        <v>2</v>
      </c>
      <c r="CM188" s="61" t="str">
        <v>axitinib</v>
      </c>
      <c r="CN188" s="17">
        <v>11</v>
      </c>
      <c r="CO188" s="61" t="str" cm="1">
        <f t="array" ref="CO188">INDEX(List_comparators,CP187+1)</f>
        <v>lenvatinib_plus_everolimus</v>
      </c>
      <c r="CP188" s="17">
        <v>9</v>
      </c>
      <c r="CQ188" s="601">
        <f t="shared" ca="1" si="174"/>
        <v>0</v>
      </c>
      <c r="CR188" s="601">
        <f t="shared" ca="1" si="175"/>
        <v>0</v>
      </c>
      <c r="CS188" s="669">
        <f t="shared" ca="1" si="173"/>
        <v>73.685714285714269</v>
      </c>
      <c r="CT188" s="669">
        <f t="shared" ca="1" si="176"/>
        <v>15.83</v>
      </c>
      <c r="CU188" s="1123">
        <f>MATCH(CZ188,'Resource use and costs'!$BA$11:$BA$53,0)</f>
        <v>40</v>
      </c>
      <c r="CV188" s="1223"/>
      <c r="CW188" s="1241">
        <f t="shared" si="164"/>
        <v>1</v>
      </c>
      <c r="CX188" s="899" t="s">
        <v>773</v>
      </c>
      <c r="CY188" s="899" t="s">
        <v>118</v>
      </c>
      <c r="CZ188" s="899" t="s">
        <v>327</v>
      </c>
      <c r="DA188" s="899" t="s">
        <v>117</v>
      </c>
      <c r="DB188" s="899" t="s">
        <v>765</v>
      </c>
      <c r="DC188" s="899" cm="1">
        <f t="array" aca="1" ref="DC188" ca="1">_xlfn.IFNA(OFFSET($I$49,MATCH(CY188,$I$50:$I$63,0),MATCH(CZ188,TRANSPOSE($J$49:$W$49),0)),0)</f>
        <v>1.4897774790919952E-2</v>
      </c>
      <c r="DD188" s="899" cm="1">
        <f t="array" aca="1" ref="DD188" ca="1">_xlfn.IFNA(OFFSET($Y$49,MATCH($CZ188,$Y$50:$Y$63,0),MATCH($DA188,TRANSPOSE($Z$49:$AM$49),0)),0)</f>
        <v>0</v>
      </c>
      <c r="DE188" s="899" cm="1">
        <f t="array" aca="1" ref="DE188" ca="1">_xlfn.IFNA(OFFSET($AO$49,MATCH($DA188,$AO$50:$AO$63,0),MATCH($DB188,TRANSPOSE($AP$49:$BC$49),0)),0)</f>
        <v>0.43140000000000001</v>
      </c>
      <c r="DF188" s="881">
        <f t="shared" ca="1" si="161"/>
        <v>0</v>
      </c>
      <c r="DG188" s="910">
        <f t="shared" ca="1" si="162"/>
        <v>1.0010447133454794</v>
      </c>
      <c r="DH188" s="881">
        <f t="shared" ca="1" si="163"/>
        <v>0</v>
      </c>
      <c r="DI188" s="1460">
        <f t="shared" ca="1" si="177"/>
        <v>0</v>
      </c>
      <c r="DJ188" s="909">
        <f>_xlfn.IFNA(INDEX('Resource use and costs'!$CQ$11:$CQ$53,MATCH($CZ188,'Resource use and costs'!$BA$11:$BA$53,0)),0)*_xlfn.IFNA(INDEX(DY$10:DY$23,MATCH($CZ188,$DX$10:$DX$23,0)),0)</f>
        <v>19241.032205</v>
      </c>
      <c r="DK188" s="909">
        <f>IF(dd_PartSA_2_lines = "Yes",0,_xlfn.IFNA(INDEX('Resource use and costs'!$CR$11:$CR$53,MATCH(DA188,'Resource use and costs'!$BA$11:$BA$53,0)),0)*_xlfn.IFNA(INDEX(EA$10:EA$23,MATCH($DA188,$DX$10:$DX$23,0)),0))</f>
        <v>1602.2899047619044</v>
      </c>
      <c r="DL188" s="909">
        <f>IF(dd_PartSA_2_lines = "Yes",0,_xlfn.IFNA(INDEX('Resource use and costs'!$CS$11:$CS$53,MATCH(DB188,'Resource use and costs'!$BA$11:$BA$53,0)),0)*_xlfn.IFNA(INDEX(EC$10:EC$23,MATCH($DB188,$DX$10:$DX$23,0)),0))</f>
        <v>0</v>
      </c>
      <c r="DM188" s="909">
        <f t="shared" si="165"/>
        <v>20843.322109761903</v>
      </c>
      <c r="DN188" s="909">
        <f>SUM(_xlfn.IFNA(INDEX('Resource use and costs'!$DU$12:$DU$25,MATCH(CZ188,'Resource use and costs'!$DS$12:$DS$25,0)),0),_xlfn.IFNA(INDEX('Resource use and costs'!$DU$12:$DU$25,MATCH(DA188,'Resource use and costs'!$DS$12:$DS$25,0)),0),_xlfn.IFNA(INDEX('Resource use and costs'!$DU$12:$DU$25,MATCH(DB188,'Resource use and costs'!$DS$12:$DS$25,0)),0))</f>
        <v>394.5</v>
      </c>
      <c r="DO188" s="921">
        <f>_xlfn.IFNA(INDEX('Resource use and costs'!$DY$12:$DY$25,MATCH(CZ188,'Resource use and costs'!$DS$12:$DS$25,0)),0)*_xlfn.IFNA(INDEX(DY$10:DY$23,MATCH($CZ188,$DX$10:$DX$23,0)),0)</f>
        <v>240.71806000000001</v>
      </c>
      <c r="DP188" s="921">
        <f>IF(dd_PartSA_2_lines = "Yes",0,_xlfn.IFNA(INDEX('Resource use and costs'!$DZ$12:$DZ$25,MATCH(DA188,'Resource use and costs'!$DS$12:$DS$25,0)),0)*_xlfn.IFNA(INDEX(EA$10:EA$23,MATCH($DA188,$DX$10:$DX$23,0)),0))</f>
        <v>226.91428571428568</v>
      </c>
      <c r="DQ188" s="921">
        <f>IF(dd_PartSA_2_lines = "Yes",0,_xlfn.IFNA(INDEX('Resource use and costs'!$EA$12:$EA$25,MATCH(DB188,'Resource use and costs'!$DS$12:$DS$25,0)),0)*_xlfn.IFNA(INDEX(EC$10:EC$23,MATCH($DB188,$DX$10:$DX$23,0)),0))</f>
        <v>0</v>
      </c>
      <c r="DR188" s="921">
        <f t="shared" si="166"/>
        <v>862.13234571428575</v>
      </c>
      <c r="DS188" s="1004">
        <f>SUMIFS('Safety parameters'!$DM$6:$DM$18,'Safety parameters'!$DK$6:$DK$18,CZ188,'Safety parameters'!$DL$6:$DL$18,1)+IF(dd_PartSA_2_lines = "Yes",0,SUMIFS('Safety parameters'!$DM$6:$DM$18,'Safety parameters'!$DK$6:$DK$18,DA188,'Safety parameters'!$DL$6:$DL$18,2)+SUMIFS('Safety parameters'!$DM$6:$DM$18,'Safety parameters'!$DK$6:$DK$18,DB188,'Safety parameters'!$DL$6:$DL$18,2))</f>
        <v>0</v>
      </c>
      <c r="DT188" s="910">
        <f>SUMIFS('Safety parameters'!$DO$6:$DO$18,'Safety parameters'!$DK$6:$DK$18,CZ188,'Safety parameters'!$DL$6:$DL$18,1)+IF(dd_PartSA_2_lines = "Yes",0,SUMIFS('Safety parameters'!$DO$6:$DO$18,'Safety parameters'!$DK$6:$DK$18,DA188,'Safety parameters'!$DL$6:$DL$18,2)+SUMIFS('Safety parameters'!$DO$6:$DO$18,'Safety parameters'!$DK$6:$DK$18,DB188,'Safety parameters'!$DL$6:$DL$18,2))</f>
        <v>0</v>
      </c>
    </row>
    <row r="189" spans="89:124" ht="15" x14ac:dyDescent="0.2">
      <c r="CK189" s="61" t="s">
        <v>31</v>
      </c>
      <c r="CL189" s="61">
        <v>2</v>
      </c>
      <c r="CM189" s="61" t="str">
        <v>sorafenib</v>
      </c>
      <c r="CN189" s="17">
        <v>12</v>
      </c>
      <c r="CO189" s="61" t="str" cm="1">
        <f t="array" ref="CO189">INDEX(List_comparators,CP188+1)</f>
        <v>lenvatinib_plus_everolimus</v>
      </c>
      <c r="CP189" s="17">
        <v>9</v>
      </c>
      <c r="CQ189" s="601">
        <f t="shared" ca="1" si="174"/>
        <v>0</v>
      </c>
      <c r="CR189" s="601">
        <f t="shared" ca="1" si="175"/>
        <v>0</v>
      </c>
      <c r="CS189" s="669">
        <f t="shared" ca="1" si="173"/>
        <v>0</v>
      </c>
      <c r="CT189" s="669">
        <f t="shared" ca="1" si="176"/>
        <v>0</v>
      </c>
      <c r="CU189" s="1123">
        <f>MATCH(CZ189,'Resource use and costs'!$BA$11:$BA$53,0)</f>
        <v>40</v>
      </c>
      <c r="CV189" s="1223"/>
      <c r="CW189" s="1241">
        <f t="shared" si="164"/>
        <v>1</v>
      </c>
      <c r="CX189" s="899" t="s">
        <v>773</v>
      </c>
      <c r="CY189" s="899" t="s">
        <v>118</v>
      </c>
      <c r="CZ189" s="899" t="s">
        <v>327</v>
      </c>
      <c r="DA189" s="899" t="s">
        <v>117</v>
      </c>
      <c r="DB189" s="899" t="s">
        <v>119</v>
      </c>
      <c r="DC189" s="899" cm="1">
        <f t="array" aca="1" ref="DC189" ca="1">_xlfn.IFNA(OFFSET($I$49,MATCH(CY189,$I$50:$I$63,0),MATCH(CZ189,TRANSPOSE($J$49:$W$49),0)),0)</f>
        <v>1.4897774790919952E-2</v>
      </c>
      <c r="DD189" s="899" cm="1">
        <f t="array" aca="1" ref="DD189" ca="1">_xlfn.IFNA(OFFSET($Y$49,MATCH($CZ189,$Y$50:$Y$63,0),MATCH($DA189,TRANSPOSE($Z$49:$AM$49),0)),0)</f>
        <v>0</v>
      </c>
      <c r="DE189" s="899" cm="1">
        <f t="array" aca="1" ref="DE189" ca="1">_xlfn.IFNA(OFFSET($AO$49,MATCH($DA189,$AO$50:$AO$63,0),MATCH($DB189,TRANSPOSE($AP$49:$BC$49),0)),0)</f>
        <v>0.1895</v>
      </c>
      <c r="DF189" s="881">
        <f t="shared" ca="1" si="161"/>
        <v>0</v>
      </c>
      <c r="DG189" s="910">
        <f t="shared" ca="1" si="162"/>
        <v>1.0010447133454794</v>
      </c>
      <c r="DH189" s="881">
        <f t="shared" ca="1" si="163"/>
        <v>0</v>
      </c>
      <c r="DI189" s="1460">
        <f t="shared" ca="1" si="177"/>
        <v>0</v>
      </c>
      <c r="DJ189" s="909">
        <f>_xlfn.IFNA(INDEX('Resource use and costs'!$CQ$11:$CQ$53,MATCH($CZ189,'Resource use and costs'!$BA$11:$BA$53,0)),0)*_xlfn.IFNA(INDEX(DY$10:DY$23,MATCH($CZ189,$DX$10:$DX$23,0)),0)</f>
        <v>19241.032205</v>
      </c>
      <c r="DK189" s="909">
        <f>IF(dd_PartSA_2_lines = "Yes",0,_xlfn.IFNA(INDEX('Resource use and costs'!$CR$11:$CR$53,MATCH(DA189,'Resource use and costs'!$BA$11:$BA$53,0)),0)*_xlfn.IFNA(INDEX(EA$10:EA$23,MATCH($DA189,$DX$10:$DX$23,0)),0))</f>
        <v>1602.2899047619044</v>
      </c>
      <c r="DL189" s="909">
        <f>IF(dd_PartSA_2_lines = "Yes",0,_xlfn.IFNA(INDEX('Resource use and costs'!$CS$11:$CS$53,MATCH(DB189,'Resource use and costs'!$BA$11:$BA$53,0)),0)*_xlfn.IFNA(INDEX(EC$10:EC$23,MATCH($DB189,$DX$10:$DX$23,0)),0))</f>
        <v>2915.4763433333328</v>
      </c>
      <c r="DM189" s="909">
        <f t="shared" si="165"/>
        <v>23758.798453095234</v>
      </c>
      <c r="DN189" s="909">
        <f>SUM(_xlfn.IFNA(INDEX('Resource use and costs'!$DU$12:$DU$25,MATCH(CZ189,'Resource use and costs'!$DS$12:$DS$25,0)),0),_xlfn.IFNA(INDEX('Resource use and costs'!$DU$12:$DU$25,MATCH(DA189,'Resource use and costs'!$DS$12:$DS$25,0)),0),_xlfn.IFNA(INDEX('Resource use and costs'!$DU$12:$DU$25,MATCH(DB189,'Resource use and costs'!$DS$12:$DS$25,0)),0))</f>
        <v>591.75</v>
      </c>
      <c r="DO189" s="921">
        <f>_xlfn.IFNA(INDEX('Resource use and costs'!$DY$12:$DY$25,MATCH(CZ189,'Resource use and costs'!$DS$12:$DS$25,0)),0)*_xlfn.IFNA(INDEX(DY$10:DY$23,MATCH($CZ189,$DX$10:$DX$23,0)),0)</f>
        <v>240.71806000000001</v>
      </c>
      <c r="DP189" s="921">
        <f>IF(dd_PartSA_2_lines = "Yes",0,_xlfn.IFNA(INDEX('Resource use and costs'!$DZ$12:$DZ$25,MATCH(DA189,'Resource use and costs'!$DS$12:$DS$25,0)),0)*_xlfn.IFNA(INDEX(EA$10:EA$23,MATCH($DA189,$DX$10:$DX$23,0)),0))</f>
        <v>226.91428571428568</v>
      </c>
      <c r="DQ189" s="921">
        <f>IF(dd_PartSA_2_lines = "Yes",0,_xlfn.IFNA(INDEX('Resource use and costs'!$EA$12:$EA$25,MATCH(DB189,'Resource use and costs'!$DS$12:$DS$25,0)),0)*_xlfn.IFNA(INDEX(EC$10:EC$23,MATCH($DB189,$DX$10:$DX$23,0)),0))</f>
        <v>256.11457142857142</v>
      </c>
      <c r="DR189" s="921">
        <f t="shared" si="166"/>
        <v>1315.4969171428572</v>
      </c>
      <c r="DS189" s="1004">
        <f ca="1">SUMIFS('Safety parameters'!$DM$6:$DM$18,'Safety parameters'!$DK$6:$DK$18,CZ189,'Safety parameters'!$DL$6:$DL$18,1)+IF(dd_PartSA_2_lines = "Yes",0,SUMIFS('Safety parameters'!$DM$6:$DM$18,'Safety parameters'!$DK$6:$DK$18,DA189,'Safety parameters'!$DL$6:$DL$18,2)+SUMIFS('Safety parameters'!$DM$6:$DM$18,'Safety parameters'!$DK$6:$DK$18,DB189,'Safety parameters'!$DL$6:$DL$18,2))</f>
        <v>332.87538337531487</v>
      </c>
      <c r="DT189" s="910">
        <f ca="1">SUMIFS('Safety parameters'!$DO$6:$DO$18,'Safety parameters'!$DK$6:$DK$18,CZ189,'Safety parameters'!$DL$6:$DL$18,1)+IF(dd_PartSA_2_lines = "Yes",0,SUMIFS('Safety parameters'!$DO$6:$DO$18,'Safety parameters'!$DK$6:$DK$18,DA189,'Safety parameters'!$DL$6:$DL$18,2)+SUMIFS('Safety parameters'!$DO$6:$DO$18,'Safety parameters'!$DK$6:$DK$18,DB189,'Safety parameters'!$DL$6:$DL$18,2))</f>
        <v>-2.6675735366377194E-3</v>
      </c>
    </row>
    <row r="190" spans="89:124" ht="15.75" thickBot="1" x14ac:dyDescent="0.25">
      <c r="CK190" s="506" t="s">
        <v>31</v>
      </c>
      <c r="CL190" s="506">
        <v>2</v>
      </c>
      <c r="CM190" s="506" t="str">
        <v>placebo_BSC</v>
      </c>
      <c r="CN190" s="19">
        <v>999</v>
      </c>
      <c r="CO190" s="506" t="str" cm="1">
        <f t="array" ref="CO190">INDEX(List_comparators,CP177+1)</f>
        <v>lenvatinib_plus_everolimus</v>
      </c>
      <c r="CP190" s="19">
        <v>9</v>
      </c>
      <c r="CQ190" s="602">
        <f t="shared" ca="1" si="174"/>
        <v>0</v>
      </c>
      <c r="CR190" s="602">
        <f t="shared" ca="1" si="175"/>
        <v>0</v>
      </c>
      <c r="CS190" s="670">
        <v>0</v>
      </c>
      <c r="CT190" s="670">
        <f t="shared" ca="1" si="176"/>
        <v>0</v>
      </c>
      <c r="CU190" s="1123">
        <f>MATCH(CZ190,'Resource use and costs'!$BA$11:$BA$53,0)</f>
        <v>40</v>
      </c>
      <c r="CV190" s="1223"/>
      <c r="CW190" s="1241">
        <f t="shared" si="164"/>
        <v>1</v>
      </c>
      <c r="CX190" s="899" t="s">
        <v>773</v>
      </c>
      <c r="CY190" s="899" t="s">
        <v>118</v>
      </c>
      <c r="CZ190" s="899" t="s">
        <v>327</v>
      </c>
      <c r="DA190" s="899" t="s">
        <v>319</v>
      </c>
      <c r="DB190" s="899" t="s">
        <v>765</v>
      </c>
      <c r="DC190" s="899" cm="1">
        <f t="array" aca="1" ref="DC190" ca="1">_xlfn.IFNA(OFFSET($I$49,MATCH(CY190,$I$50:$I$63,0),MATCH(CZ190,TRANSPOSE($J$49:$W$49),0)),0)</f>
        <v>1.4897774790919952E-2</v>
      </c>
      <c r="DD190" s="899" cm="1">
        <f t="array" aca="1" ref="DD190" ca="1">_xlfn.IFNA(OFFSET($Y$49,MATCH($CZ190,$Y$50:$Y$63,0),MATCH($DA190,TRANSPOSE($Z$49:$AM$49),0)),0)</f>
        <v>0</v>
      </c>
      <c r="DE190" s="899" cm="1">
        <f t="array" aca="1" ref="DE190" ca="1">_xlfn.IFNA(OFFSET($AO$49,MATCH($DA190,$AO$50:$AO$63,0),MATCH($DB190,TRANSPOSE($AP$49:$BC$49),0)),0)</f>
        <v>0.43140000000000001</v>
      </c>
      <c r="DF190" s="881">
        <f t="shared" ca="1" si="161"/>
        <v>0</v>
      </c>
      <c r="DG190" s="910">
        <f t="shared" ca="1" si="162"/>
        <v>1.0010447133454794</v>
      </c>
      <c r="DH190" s="881">
        <f t="shared" ca="1" si="163"/>
        <v>0</v>
      </c>
      <c r="DI190" s="1460">
        <f t="shared" ca="1" si="177"/>
        <v>0</v>
      </c>
      <c r="DJ190" s="909">
        <f>_xlfn.IFNA(INDEX('Resource use and costs'!$CQ$11:$CQ$53,MATCH($CZ190,'Resource use and costs'!$BA$11:$BA$53,0)),0)*_xlfn.IFNA(INDEX(DY$10:DY$23,MATCH($CZ190,$DX$10:$DX$23,0)),0)</f>
        <v>19241.032205</v>
      </c>
      <c r="DK190" s="909">
        <f>IF(dd_PartSA_2_lines = "Yes",0,_xlfn.IFNA(INDEX('Resource use and costs'!$CR$11:$CR$53,MATCH(DA190,'Resource use and costs'!$BA$11:$BA$53,0)),0)*_xlfn.IFNA(INDEX(EA$10:EA$23,MATCH($DA190,$DX$10:$DX$23,0)),0))</f>
        <v>11139.428571428571</v>
      </c>
      <c r="DL190" s="909">
        <f>IF(dd_PartSA_2_lines = "Yes",0,_xlfn.IFNA(INDEX('Resource use and costs'!$CS$11:$CS$53,MATCH(DB190,'Resource use and costs'!$BA$11:$BA$53,0)),0)*_xlfn.IFNA(INDEX(EC$10:EC$23,MATCH($DB190,$DX$10:$DX$23,0)),0))</f>
        <v>0</v>
      </c>
      <c r="DM190" s="909">
        <f t="shared" si="165"/>
        <v>30380.460776428568</v>
      </c>
      <c r="DN190" s="909">
        <f>SUM(_xlfn.IFNA(INDEX('Resource use and costs'!$DU$12:$DU$25,MATCH(CZ190,'Resource use and costs'!$DS$12:$DS$25,0)),0),_xlfn.IFNA(INDEX('Resource use and costs'!$DU$12:$DU$25,MATCH(DA190,'Resource use and costs'!$DS$12:$DS$25,0)),0),_xlfn.IFNA(INDEX('Resource use and costs'!$DU$12:$DU$25,MATCH(DB190,'Resource use and costs'!$DS$12:$DS$25,0)),0))</f>
        <v>394.5</v>
      </c>
      <c r="DO190" s="921">
        <f>_xlfn.IFNA(INDEX('Resource use and costs'!$DY$12:$DY$25,MATCH(CZ190,'Resource use and costs'!$DS$12:$DS$25,0)),0)*_xlfn.IFNA(INDEX(DY$10:DY$23,MATCH($CZ190,$DX$10:$DX$23,0)),0)</f>
        <v>240.71806000000001</v>
      </c>
      <c r="DP190" s="921">
        <f>IF(dd_PartSA_2_lines = "Yes",0,_xlfn.IFNA(INDEX('Resource use and costs'!$DZ$12:$DZ$25,MATCH(DA190,'Resource use and costs'!$DS$12:$DS$25,0)),0)*_xlfn.IFNA(INDEX(EA$10:EA$23,MATCH($DA190,$DX$10:$DX$23,0)),0))</f>
        <v>238.85714285714283</v>
      </c>
      <c r="DQ190" s="921">
        <f>IF(dd_PartSA_2_lines = "Yes",0,_xlfn.IFNA(INDEX('Resource use and costs'!$EA$12:$EA$25,MATCH(DB190,'Resource use and costs'!$DS$12:$DS$25,0)),0)*_xlfn.IFNA(INDEX(EC$10:EC$23,MATCH($DB190,$DX$10:$DX$23,0)),0))</f>
        <v>0</v>
      </c>
      <c r="DR190" s="921">
        <f t="shared" si="166"/>
        <v>874.07520285714281</v>
      </c>
      <c r="DS190" s="1004">
        <f>SUMIFS('Safety parameters'!$DM$6:$DM$18,'Safety parameters'!$DK$6:$DK$18,CZ190,'Safety parameters'!$DL$6:$DL$18,1)+IF(dd_PartSA_2_lines = "Yes",0,SUMIFS('Safety parameters'!$DM$6:$DM$18,'Safety parameters'!$DK$6:$DK$18,DA190,'Safety parameters'!$DL$6:$DL$18,2)+SUMIFS('Safety parameters'!$DM$6:$DM$18,'Safety parameters'!$DK$6:$DK$18,DB190,'Safety parameters'!$DL$6:$DL$18,2))</f>
        <v>0</v>
      </c>
      <c r="DT190" s="910">
        <f>SUMIFS('Safety parameters'!$DO$6:$DO$18,'Safety parameters'!$DK$6:$DK$18,CZ190,'Safety parameters'!$DL$6:$DL$18,1)+IF(dd_PartSA_2_lines = "Yes",0,SUMIFS('Safety parameters'!$DO$6:$DO$18,'Safety parameters'!$DK$6:$DK$18,DA190,'Safety parameters'!$DL$6:$DL$18,2)+SUMIFS('Safety parameters'!$DO$6:$DO$18,'Safety parameters'!$DK$6:$DK$18,DB190,'Safety parameters'!$DL$6:$DL$18,2))</f>
        <v>0</v>
      </c>
    </row>
    <row r="191" spans="89:124" ht="15" x14ac:dyDescent="0.2">
      <c r="CK191" s="505" t="s">
        <v>31</v>
      </c>
      <c r="CL191" s="505">
        <v>2</v>
      </c>
      <c r="CM191" s="61" t="str" cm="1">
        <f t="array" ref="CM191:CM204">List_comparators</f>
        <v>nivolumab_monotherapy</v>
      </c>
      <c r="CN191" s="17">
        <v>0</v>
      </c>
      <c r="CO191" s="61" t="str" cm="1">
        <f t="array" ref="CO191">INDEX(List_comparators,CP191+1)</f>
        <v>everolimus</v>
      </c>
      <c r="CP191" s="17">
        <v>10</v>
      </c>
      <c r="CQ191" s="603">
        <f t="shared" ca="1" si="174"/>
        <v>0</v>
      </c>
      <c r="CR191" s="603">
        <f t="shared" ca="1" si="175"/>
        <v>0</v>
      </c>
      <c r="CS191" s="669">
        <f t="shared" ref="CS191:CS203" ca="1" si="178">OFFSET($J$81,IF(CN191=999,13,CN191),CP191)</f>
        <v>15.714285714285714</v>
      </c>
      <c r="CT191" s="669">
        <f t="shared" ca="1" si="176"/>
        <v>1.2242857142857142</v>
      </c>
      <c r="CU191" s="1123">
        <f>MATCH(CZ191,'Resource use and costs'!$BA$11:$BA$53,0)</f>
        <v>40</v>
      </c>
      <c r="CV191" s="1223"/>
      <c r="CW191" s="1241">
        <f t="shared" si="164"/>
        <v>1</v>
      </c>
      <c r="CX191" s="899" t="s">
        <v>773</v>
      </c>
      <c r="CY191" s="899" t="s">
        <v>118</v>
      </c>
      <c r="CZ191" s="899" t="s">
        <v>327</v>
      </c>
      <c r="DA191" s="899" t="s">
        <v>319</v>
      </c>
      <c r="DB191" s="899" t="s">
        <v>119</v>
      </c>
      <c r="DC191" s="899" cm="1">
        <f t="array" aca="1" ref="DC191" ca="1">_xlfn.IFNA(OFFSET($I$49,MATCH(CY191,$I$50:$I$63,0),MATCH(CZ191,TRANSPOSE($J$49:$W$49),0)),0)</f>
        <v>1.4897774790919952E-2</v>
      </c>
      <c r="DD191" s="899" cm="1">
        <f t="array" aca="1" ref="DD191" ca="1">_xlfn.IFNA(OFFSET($Y$49,MATCH($CZ191,$Y$50:$Y$63,0),MATCH($DA191,TRANSPOSE($Z$49:$AM$49),0)),0)</f>
        <v>0</v>
      </c>
      <c r="DE191" s="899" cm="1">
        <f t="array" aca="1" ref="DE191" ca="1">_xlfn.IFNA(OFFSET($AO$49,MATCH($DA191,$AO$50:$AO$63,0),MATCH($DB191,TRANSPOSE($AP$49:$BC$49),0)),0)</f>
        <v>0.1895</v>
      </c>
      <c r="DF191" s="881">
        <f t="shared" ca="1" si="161"/>
        <v>0</v>
      </c>
      <c r="DG191" s="910">
        <f t="shared" ca="1" si="162"/>
        <v>1.0010447133454794</v>
      </c>
      <c r="DH191" s="881">
        <f t="shared" ca="1" si="163"/>
        <v>0</v>
      </c>
      <c r="DI191" s="1460">
        <f t="shared" ca="1" si="177"/>
        <v>0</v>
      </c>
      <c r="DJ191" s="909">
        <f>_xlfn.IFNA(INDEX('Resource use and costs'!$CQ$11:$CQ$53,MATCH($CZ191,'Resource use and costs'!$BA$11:$BA$53,0)),0)*_xlfn.IFNA(INDEX(DY$10:DY$23,MATCH($CZ191,$DX$10:$DX$23,0)),0)</f>
        <v>19241.032205</v>
      </c>
      <c r="DK191" s="909">
        <f>IF(dd_PartSA_2_lines = "Yes",0,_xlfn.IFNA(INDEX('Resource use and costs'!$CR$11:$CR$53,MATCH(DA191,'Resource use and costs'!$BA$11:$BA$53,0)),0)*_xlfn.IFNA(INDEX(EA$10:EA$23,MATCH($DA191,$DX$10:$DX$23,0)),0))</f>
        <v>11139.428571428571</v>
      </c>
      <c r="DL191" s="909">
        <f>IF(dd_PartSA_2_lines = "Yes",0,_xlfn.IFNA(INDEX('Resource use and costs'!$CS$11:$CS$53,MATCH(DB191,'Resource use and costs'!$BA$11:$BA$53,0)),0)*_xlfn.IFNA(INDEX(EC$10:EC$23,MATCH($DB191,$DX$10:$DX$23,0)),0))</f>
        <v>2915.4763433333328</v>
      </c>
      <c r="DM191" s="909">
        <f t="shared" si="165"/>
        <v>33295.937119761904</v>
      </c>
      <c r="DN191" s="909">
        <f>SUM(_xlfn.IFNA(INDEX('Resource use and costs'!$DU$12:$DU$25,MATCH(CZ191,'Resource use and costs'!$DS$12:$DS$25,0)),0),_xlfn.IFNA(INDEX('Resource use and costs'!$DU$12:$DU$25,MATCH(DA191,'Resource use and costs'!$DS$12:$DS$25,0)),0),_xlfn.IFNA(INDEX('Resource use and costs'!$DU$12:$DU$25,MATCH(DB191,'Resource use and costs'!$DS$12:$DS$25,0)),0))</f>
        <v>591.75</v>
      </c>
      <c r="DO191" s="921">
        <f>_xlfn.IFNA(INDEX('Resource use and costs'!$DY$12:$DY$25,MATCH(CZ191,'Resource use and costs'!$DS$12:$DS$25,0)),0)*_xlfn.IFNA(INDEX(DY$10:DY$23,MATCH($CZ191,$DX$10:$DX$23,0)),0)</f>
        <v>240.71806000000001</v>
      </c>
      <c r="DP191" s="921">
        <f>IF(dd_PartSA_2_lines = "Yes",0,_xlfn.IFNA(INDEX('Resource use and costs'!$DZ$12:$DZ$25,MATCH(DA191,'Resource use and costs'!$DS$12:$DS$25,0)),0)*_xlfn.IFNA(INDEX(EA$10:EA$23,MATCH($DA191,$DX$10:$DX$23,0)),0))</f>
        <v>238.85714285714283</v>
      </c>
      <c r="DQ191" s="921">
        <f>IF(dd_PartSA_2_lines = "Yes",0,_xlfn.IFNA(INDEX('Resource use and costs'!$EA$12:$EA$25,MATCH(DB191,'Resource use and costs'!$DS$12:$DS$25,0)),0)*_xlfn.IFNA(INDEX(EC$10:EC$23,MATCH($DB191,$DX$10:$DX$23,0)),0))</f>
        <v>256.11457142857142</v>
      </c>
      <c r="DR191" s="921">
        <f t="shared" si="166"/>
        <v>1327.4397742857143</v>
      </c>
      <c r="DS191" s="1004">
        <f ca="1">SUMIFS('Safety parameters'!$DM$6:$DM$18,'Safety parameters'!$DK$6:$DK$18,CZ191,'Safety parameters'!$DL$6:$DL$18,1)+IF(dd_PartSA_2_lines = "Yes",0,SUMIFS('Safety parameters'!$DM$6:$DM$18,'Safety parameters'!$DK$6:$DK$18,DA191,'Safety parameters'!$DL$6:$DL$18,2)+SUMIFS('Safety parameters'!$DM$6:$DM$18,'Safety parameters'!$DK$6:$DK$18,DB191,'Safety parameters'!$DL$6:$DL$18,2))</f>
        <v>332.87538337531487</v>
      </c>
      <c r="DT191" s="910">
        <f ca="1">SUMIFS('Safety parameters'!$DO$6:$DO$18,'Safety parameters'!$DK$6:$DK$18,CZ191,'Safety parameters'!$DL$6:$DL$18,1)+IF(dd_PartSA_2_lines = "Yes",0,SUMIFS('Safety parameters'!$DO$6:$DO$18,'Safety parameters'!$DK$6:$DK$18,DA191,'Safety parameters'!$DL$6:$DL$18,2)+SUMIFS('Safety parameters'!$DO$6:$DO$18,'Safety parameters'!$DK$6:$DK$18,DB191,'Safety parameters'!$DL$6:$DL$18,2))</f>
        <v>-2.6675735366377194E-3</v>
      </c>
    </row>
    <row r="192" spans="89:124" ht="15" x14ac:dyDescent="0.2">
      <c r="CK192" s="61" t="s">
        <v>31</v>
      </c>
      <c r="CL192" s="61">
        <v>2</v>
      </c>
      <c r="CM192" s="61" t="str">
        <v>cabozantinib_plus_nivolumab</v>
      </c>
      <c r="CN192" s="17">
        <v>1</v>
      </c>
      <c r="CO192" s="61" t="str" cm="1">
        <f t="array" ref="CO192">INDEX(List_comparators,CP191+1)</f>
        <v>everolimus</v>
      </c>
      <c r="CP192" s="17">
        <v>10</v>
      </c>
      <c r="CQ192" s="601">
        <f t="shared" ca="1" si="174"/>
        <v>0</v>
      </c>
      <c r="CR192" s="601">
        <f t="shared" ca="1" si="175"/>
        <v>0</v>
      </c>
      <c r="CS192" s="669">
        <f t="shared" ca="1" si="178"/>
        <v>15.714285714285714</v>
      </c>
      <c r="CT192" s="669">
        <f t="shared" ca="1" si="176"/>
        <v>1.2242857142857142</v>
      </c>
      <c r="CU192" s="1123" t="e">
        <f>MATCH(CZ192,'Resource use and costs'!$BA$11:$BA$53,0)</f>
        <v>#N/A</v>
      </c>
      <c r="CV192" s="1223"/>
      <c r="CW192" s="1241">
        <f t="shared" si="164"/>
        <v>0</v>
      </c>
      <c r="CX192" s="899" t="s">
        <v>773</v>
      </c>
      <c r="CY192" s="899" t="s">
        <v>118</v>
      </c>
      <c r="CZ192" s="899" t="s">
        <v>765</v>
      </c>
      <c r="DA192" s="899"/>
      <c r="DB192" s="899"/>
      <c r="DC192" s="899" cm="1">
        <f t="array" aca="1" ref="DC192" ca="1">_xlfn.IFNA(OFFSET($I$49,MATCH(CY192,$I$50:$I$63,0),MATCH(CZ192,TRANSPOSE($J$49:$W$49),0)),0)</f>
        <v>0.33050000000000002</v>
      </c>
      <c r="DD192" s="899" cm="1">
        <f t="array" aca="1" ref="DD192" ca="1">_xlfn.IFNA(OFFSET($Y$49,MATCH($CZ192,$Y$50:$Y$63,0),MATCH($DA192,TRANSPOSE($Z$49:$AM$49),0)),0)</f>
        <v>0</v>
      </c>
      <c r="DE192" s="899" cm="1">
        <f t="array" aca="1" ref="DE192" ca="1">_xlfn.IFNA(OFFSET($AO$49,MATCH($DA192,$AO$50:$AO$63,0),MATCH($DB192,TRANSPOSE($AP$49:$BC$49),0)),0)</f>
        <v>0</v>
      </c>
      <c r="DF192" s="881">
        <f t="shared" ca="1" si="161"/>
        <v>0.33050000000000002</v>
      </c>
      <c r="DG192" s="910">
        <f t="shared" ca="1" si="162"/>
        <v>1.0010447133454794</v>
      </c>
      <c r="DH192" s="881">
        <f t="shared" ca="1" si="163"/>
        <v>0.33050000000000002</v>
      </c>
      <c r="DI192" s="1460">
        <f t="shared" ca="1" si="177"/>
        <v>37.677</v>
      </c>
      <c r="DJ192" s="909">
        <f>_xlfn.IFNA(INDEX('Resource use and costs'!$CQ$11:$CQ$53,MATCH($CZ192,'Resource use and costs'!$BA$11:$BA$53,0)),0)*_xlfn.IFNA(INDEX(DY$10:DY$23,MATCH($CZ192,$DX$10:$DX$23,0)),0)</f>
        <v>0</v>
      </c>
      <c r="DK192" s="909">
        <f>IF(dd_PartSA_2_lines = "Yes",0,_xlfn.IFNA(INDEX('Resource use and costs'!$CR$11:$CR$53,MATCH(DA192,'Resource use and costs'!$BA$11:$BA$53,0)),0)*_xlfn.IFNA(INDEX(EA$10:EA$23,MATCH($DA192,$DX$10:$DX$23,0)),0))</f>
        <v>0</v>
      </c>
      <c r="DL192" s="909">
        <f>IF(dd_PartSA_2_lines = "Yes",0,_xlfn.IFNA(INDEX('Resource use and costs'!$CS$11:$CS$53,MATCH(DB192,'Resource use and costs'!$BA$11:$BA$53,0)),0)*_xlfn.IFNA(INDEX(EC$10:EC$23,MATCH($DB192,$DX$10:$DX$23,0)),0))</f>
        <v>0</v>
      </c>
      <c r="DM192" s="909">
        <f t="shared" si="165"/>
        <v>0</v>
      </c>
      <c r="DN192" s="909">
        <f>SUM(_xlfn.IFNA(INDEX('Resource use and costs'!$DU$12:$DU$25,MATCH(CZ192,'Resource use and costs'!$DS$12:$DS$25,0)),0),_xlfn.IFNA(INDEX('Resource use and costs'!$DU$12:$DU$25,MATCH(DA192,'Resource use and costs'!$DS$12:$DS$25,0)),0),_xlfn.IFNA(INDEX('Resource use and costs'!$DU$12:$DU$25,MATCH(DB192,'Resource use and costs'!$DS$12:$DS$25,0)),0))</f>
        <v>0</v>
      </c>
      <c r="DO192" s="921">
        <f>_xlfn.IFNA(INDEX('Resource use and costs'!$DY$12:$DY$25,MATCH(CZ192,'Resource use and costs'!$DS$12:$DS$25,0)),0)*_xlfn.IFNA(INDEX(DY$10:DY$23,MATCH($CZ192,$DX$10:$DX$23,0)),0)</f>
        <v>0</v>
      </c>
      <c r="DP192" s="921">
        <f>IF(dd_PartSA_2_lines = "Yes",0,_xlfn.IFNA(INDEX('Resource use and costs'!$DZ$12:$DZ$25,MATCH(DA192,'Resource use and costs'!$DS$12:$DS$25,0)),0)*_xlfn.IFNA(INDEX(EA$10:EA$23,MATCH($DA192,$DX$10:$DX$23,0)),0))</f>
        <v>0</v>
      </c>
      <c r="DQ192" s="921">
        <f>IF(dd_PartSA_2_lines = "Yes",0,_xlfn.IFNA(INDEX('Resource use and costs'!$EA$12:$EA$25,MATCH(DB192,'Resource use and costs'!$DS$12:$DS$25,0)),0)*_xlfn.IFNA(INDEX(EC$10:EC$23,MATCH($DB192,$DX$10:$DX$23,0)),0))</f>
        <v>0</v>
      </c>
      <c r="DR192" s="921">
        <f t="shared" si="166"/>
        <v>0</v>
      </c>
      <c r="DS192" s="1004">
        <f>SUMIFS('Safety parameters'!$DM$6:$DM$18,'Safety parameters'!$DK$6:$DK$18,CZ192,'Safety parameters'!$DL$6:$DL$18,1)+IF(dd_PartSA_2_lines = "Yes",0,SUMIFS('Safety parameters'!$DM$6:$DM$18,'Safety parameters'!$DK$6:$DK$18,DA192,'Safety parameters'!$DL$6:$DL$18,2)+SUMIFS('Safety parameters'!$DM$6:$DM$18,'Safety parameters'!$DK$6:$DK$18,DB192,'Safety parameters'!$DL$6:$DL$18,2))</f>
        <v>0</v>
      </c>
      <c r="DT192" s="910">
        <f>SUMIFS('Safety parameters'!$DO$6:$DO$18,'Safety parameters'!$DK$6:$DK$18,CZ192,'Safety parameters'!$DL$6:$DL$18,1)+IF(dd_PartSA_2_lines = "Yes",0,SUMIFS('Safety parameters'!$DO$6:$DO$18,'Safety parameters'!$DK$6:$DK$18,DA192,'Safety parameters'!$DL$6:$DL$18,2)+SUMIFS('Safety parameters'!$DO$6:$DO$18,'Safety parameters'!$DK$6:$DK$18,DB192,'Safety parameters'!$DL$6:$DL$18,2))</f>
        <v>0</v>
      </c>
    </row>
    <row r="193" spans="89:124" ht="15" x14ac:dyDescent="0.2">
      <c r="CK193" s="61" t="s">
        <v>31</v>
      </c>
      <c r="CL193" s="61">
        <v>2</v>
      </c>
      <c r="CM193" s="61" t="str">
        <v>nivolumab_plus_ipilimumab</v>
      </c>
      <c r="CN193" s="17">
        <v>2</v>
      </c>
      <c r="CO193" s="61" t="str" cm="1">
        <f t="array" ref="CO193">INDEX(List_comparators,CP192+1)</f>
        <v>everolimus</v>
      </c>
      <c r="CP193" s="17">
        <v>10</v>
      </c>
      <c r="CQ193" s="601">
        <f t="shared" ca="1" si="174"/>
        <v>0</v>
      </c>
      <c r="CR193" s="601">
        <f t="shared" ca="1" si="175"/>
        <v>0</v>
      </c>
      <c r="CS193" s="669">
        <f t="shared" ca="1" si="178"/>
        <v>15.714285714285714</v>
      </c>
      <c r="CT193" s="669">
        <f t="shared" ca="1" si="176"/>
        <v>1.2242857142857142</v>
      </c>
      <c r="CU193" s="1123">
        <f>MATCH(CZ193,'Resource use and costs'!$BA$11:$BA$53,0)</f>
        <v>37</v>
      </c>
      <c r="CV193" s="1223"/>
      <c r="CW193" s="1241">
        <f t="shared" si="164"/>
        <v>1</v>
      </c>
      <c r="CX193" s="899" t="s">
        <v>773</v>
      </c>
      <c r="CY193" s="899" t="s">
        <v>118</v>
      </c>
      <c r="CZ193" s="899" t="s">
        <v>119</v>
      </c>
      <c r="DA193" s="899" t="s">
        <v>327</v>
      </c>
      <c r="DB193" s="899" t="s">
        <v>765</v>
      </c>
      <c r="DC193" s="899" cm="1">
        <f t="array" aca="1" ref="DC193" ca="1">_xlfn.IFNA(OFFSET($I$49,MATCH(CY193,$I$50:$I$63,0),MATCH(CZ193,TRANSPOSE($J$49:$W$49),0)),0)</f>
        <v>0</v>
      </c>
      <c r="DD193" s="899" cm="1">
        <f t="array" aca="1" ref="DD193" ca="1">_xlfn.IFNA(OFFSET($Y$49,MATCH($CZ193,$Y$50:$Y$63,0),MATCH($DA193,TRANSPOSE($Z$49:$AM$49),0)),0)</f>
        <v>0</v>
      </c>
      <c r="DE193" s="899" cm="1">
        <f t="array" aca="1" ref="DE193" ca="1">_xlfn.IFNA(OFFSET($AO$49,MATCH($DA193,$AO$50:$AO$63,0),MATCH($DB193,TRANSPOSE($AP$49:$BC$49),0)),0)</f>
        <v>0.43140000000000001</v>
      </c>
      <c r="DF193" s="881">
        <f t="shared" ca="1" si="161"/>
        <v>0</v>
      </c>
      <c r="DG193" s="910">
        <f t="shared" ca="1" si="162"/>
        <v>1.0010447133454794</v>
      </c>
      <c r="DH193" s="881">
        <f t="shared" ca="1" si="163"/>
        <v>0</v>
      </c>
      <c r="DI193" s="1460">
        <f t="shared" ca="1" si="177"/>
        <v>0</v>
      </c>
      <c r="DJ193" s="909">
        <f>_xlfn.IFNA(INDEX('Resource use and costs'!$CQ$11:$CQ$53,MATCH($CZ193,'Resource use and costs'!$BA$11:$BA$53,0)),0)*_xlfn.IFNA(INDEX(DY$10:DY$23,MATCH($CZ193,$DX$10:$DX$23,0)),0)</f>
        <v>944.50399999999979</v>
      </c>
      <c r="DK193" s="909">
        <f>IF(dd_PartSA_2_lines = "Yes",0,_xlfn.IFNA(INDEX('Resource use and costs'!$CR$11:$CR$53,MATCH(DA193,'Resource use and costs'!$BA$11:$BA$53,0)),0)*_xlfn.IFNA(INDEX(EA$10:EA$23,MATCH($DA193,$DX$10:$DX$23,0)),0))</f>
        <v>21421.066008214286</v>
      </c>
      <c r="DL193" s="909">
        <f>IF(dd_PartSA_2_lines = "Yes",0,_xlfn.IFNA(INDEX('Resource use and costs'!$CS$11:$CS$53,MATCH(DB193,'Resource use and costs'!$BA$11:$BA$53,0)),0)*_xlfn.IFNA(INDEX(EC$10:EC$23,MATCH($DB193,$DX$10:$DX$23,0)),0))</f>
        <v>0</v>
      </c>
      <c r="DM193" s="909">
        <f t="shared" si="165"/>
        <v>22365.570008214287</v>
      </c>
      <c r="DN193" s="909">
        <f>SUM(_xlfn.IFNA(INDEX('Resource use and costs'!$DU$12:$DU$25,MATCH(CZ193,'Resource use and costs'!$DS$12:$DS$25,0)),0),_xlfn.IFNA(INDEX('Resource use and costs'!$DU$12:$DU$25,MATCH(DA193,'Resource use and costs'!$DS$12:$DS$25,0)),0),_xlfn.IFNA(INDEX('Resource use and costs'!$DU$12:$DU$25,MATCH(DB193,'Resource use and costs'!$DS$12:$DS$25,0)),0))</f>
        <v>394.5</v>
      </c>
      <c r="DO193" s="921">
        <f>_xlfn.IFNA(INDEX('Resource use and costs'!$DY$12:$DY$25,MATCH(CZ193,'Resource use and costs'!$DS$12:$DS$25,0)),0)*_xlfn.IFNA(INDEX(DY$10:DY$23,MATCH($CZ193,$DX$10:$DX$23,0)),0)</f>
        <v>82.971428571428561</v>
      </c>
      <c r="DP193" s="921">
        <f>IF(dd_PartSA_2_lines = "Yes",0,_xlfn.IFNA(INDEX('Resource use and costs'!$DZ$12:$DZ$25,MATCH(DA193,'Resource use and costs'!$DS$12:$DS$25,0)),0)*_xlfn.IFNA(INDEX(EA$10:EA$23,MATCH($DA193,$DX$10:$DX$23,0)),0))</f>
        <v>267.99172714285714</v>
      </c>
      <c r="DQ193" s="921">
        <f>IF(dd_PartSA_2_lines = "Yes",0,_xlfn.IFNA(INDEX('Resource use and costs'!$EA$12:$EA$25,MATCH(DB193,'Resource use and costs'!$DS$12:$DS$25,0)),0)*_xlfn.IFNA(INDEX(EC$10:EC$23,MATCH($DB193,$DX$10:$DX$23,0)),0))</f>
        <v>0</v>
      </c>
      <c r="DR193" s="921">
        <f t="shared" si="166"/>
        <v>745.46315571428568</v>
      </c>
      <c r="DS193" s="1004">
        <f ca="1">SUMIFS('Safety parameters'!$DM$6:$DM$18,'Safety parameters'!$DK$6:$DK$18,CZ193,'Safety parameters'!$DL$6:$DL$18,1)+IF(dd_PartSA_2_lines = "Yes",0,SUMIFS('Safety parameters'!$DM$6:$DM$18,'Safety parameters'!$DK$6:$DK$18,DA193,'Safety parameters'!$DL$6:$DL$18,2)+SUMIFS('Safety parameters'!$DM$6:$DM$18,'Safety parameters'!$DK$6:$DK$18,DB193,'Safety parameters'!$DL$6:$DL$18,2))</f>
        <v>1634.2286735654598</v>
      </c>
      <c r="DT193" s="910">
        <f ca="1">SUMIFS('Safety parameters'!$DO$6:$DO$18,'Safety parameters'!$DK$6:$DK$18,CZ193,'Safety parameters'!$DL$6:$DL$18,1)+IF(dd_PartSA_2_lines = "Yes",0,SUMIFS('Safety parameters'!$DO$6:$DO$18,'Safety parameters'!$DK$6:$DK$18,DA193,'Safety parameters'!$DL$6:$DL$18,2)+SUMIFS('Safety parameters'!$DO$6:$DO$18,'Safety parameters'!$DK$6:$DK$18,DB193,'Safety parameters'!$DL$6:$DL$18,2))</f>
        <v>-1.4741924007481429E-2</v>
      </c>
    </row>
    <row r="194" spans="89:124" ht="15" x14ac:dyDescent="0.2">
      <c r="CK194" s="61" t="s">
        <v>31</v>
      </c>
      <c r="CL194" s="61">
        <v>2</v>
      </c>
      <c r="CM194" s="61" t="str">
        <v>lenvatinib_plus_pembrolizumab</v>
      </c>
      <c r="CN194" s="17">
        <v>3</v>
      </c>
      <c r="CO194" s="61" t="str" cm="1">
        <f t="array" ref="CO194">INDEX(List_comparators,CP193+1)</f>
        <v>everolimus</v>
      </c>
      <c r="CP194" s="17">
        <v>10</v>
      </c>
      <c r="CQ194" s="601">
        <f t="shared" ca="1" si="174"/>
        <v>0</v>
      </c>
      <c r="CR194" s="601">
        <f t="shared" ca="1" si="175"/>
        <v>0</v>
      </c>
      <c r="CS194" s="669">
        <f t="shared" ca="1" si="178"/>
        <v>15.714285714285714</v>
      </c>
      <c r="CT194" s="669">
        <f t="shared" ca="1" si="176"/>
        <v>1.2242857142857142</v>
      </c>
      <c r="CU194" s="1123">
        <f>MATCH(CZ194,'Resource use and costs'!$BA$11:$BA$53,0)</f>
        <v>37</v>
      </c>
      <c r="CV194" s="1223"/>
      <c r="CW194" s="1241">
        <f t="shared" si="164"/>
        <v>1</v>
      </c>
      <c r="CX194" s="899" t="s">
        <v>773</v>
      </c>
      <c r="CY194" s="899" t="s">
        <v>118</v>
      </c>
      <c r="CZ194" s="899" t="s">
        <v>119</v>
      </c>
      <c r="DA194" s="899" t="s">
        <v>765</v>
      </c>
      <c r="DB194" s="899"/>
      <c r="DC194" s="899" cm="1">
        <f t="array" aca="1" ref="DC194" ca="1">_xlfn.IFNA(OFFSET($I$49,MATCH(CY194,$I$50:$I$63,0),MATCH(CZ194,TRANSPOSE($J$49:$W$49),0)),0)</f>
        <v>0</v>
      </c>
      <c r="DD194" s="899" cm="1">
        <f t="array" aca="1" ref="DD194" ca="1">_xlfn.IFNA(OFFSET($Y$49,MATCH($CZ194,$Y$50:$Y$63,0),MATCH($DA194,TRANSPOSE($Z$49:$AM$49),0)),0)</f>
        <v>1</v>
      </c>
      <c r="DE194" s="899" cm="1">
        <f t="array" aca="1" ref="DE194" ca="1">_xlfn.IFNA(OFFSET($AO$49,MATCH($DA194,$AO$50:$AO$63,0),MATCH($DB194,TRANSPOSE($AP$49:$BC$49),0)),0)</f>
        <v>0</v>
      </c>
      <c r="DF194" s="881">
        <f t="shared" ca="1" si="161"/>
        <v>0</v>
      </c>
      <c r="DG194" s="910">
        <f t="shared" ca="1" si="162"/>
        <v>1.0010447133454794</v>
      </c>
      <c r="DH194" s="881">
        <f t="shared" ca="1" si="163"/>
        <v>0</v>
      </c>
      <c r="DI194" s="1460">
        <f t="shared" ca="1" si="177"/>
        <v>0</v>
      </c>
      <c r="DJ194" s="909">
        <f>_xlfn.IFNA(INDEX('Resource use and costs'!$CQ$11:$CQ$53,MATCH($CZ194,'Resource use and costs'!$BA$11:$BA$53,0)),0)*_xlfn.IFNA(INDEX(DY$10:DY$23,MATCH($CZ194,$DX$10:$DX$23,0)),0)</f>
        <v>944.50399999999979</v>
      </c>
      <c r="DK194" s="909">
        <f>IF(dd_PartSA_2_lines = "Yes",0,_xlfn.IFNA(INDEX('Resource use and costs'!$CR$11:$CR$53,MATCH(DA194,'Resource use and costs'!$BA$11:$BA$53,0)),0)*_xlfn.IFNA(INDEX(EA$10:EA$23,MATCH($DA194,$DX$10:$DX$23,0)),0))</f>
        <v>0</v>
      </c>
      <c r="DL194" s="909">
        <f>IF(dd_PartSA_2_lines = "Yes",0,_xlfn.IFNA(INDEX('Resource use and costs'!$CS$11:$CS$53,MATCH(DB194,'Resource use and costs'!$BA$11:$BA$53,0)),0)*_xlfn.IFNA(INDEX(EC$10:EC$23,MATCH($DB194,$DX$10:$DX$23,0)),0))</f>
        <v>0</v>
      </c>
      <c r="DM194" s="909">
        <f t="shared" si="165"/>
        <v>944.50399999999979</v>
      </c>
      <c r="DN194" s="909">
        <f>SUM(_xlfn.IFNA(INDEX('Resource use and costs'!$DU$12:$DU$25,MATCH(CZ194,'Resource use and costs'!$DS$12:$DS$25,0)),0),_xlfn.IFNA(INDEX('Resource use and costs'!$DU$12:$DU$25,MATCH(DA194,'Resource use and costs'!$DS$12:$DS$25,0)),0),_xlfn.IFNA(INDEX('Resource use and costs'!$DU$12:$DU$25,MATCH(DB194,'Resource use and costs'!$DS$12:$DS$25,0)),0))</f>
        <v>197.25</v>
      </c>
      <c r="DO194" s="921">
        <f>_xlfn.IFNA(INDEX('Resource use and costs'!$DY$12:$DY$25,MATCH(CZ194,'Resource use and costs'!$DS$12:$DS$25,0)),0)*_xlfn.IFNA(INDEX(DY$10:DY$23,MATCH($CZ194,$DX$10:$DX$23,0)),0)</f>
        <v>82.971428571428561</v>
      </c>
      <c r="DP194" s="921">
        <f>IF(dd_PartSA_2_lines = "Yes",0,_xlfn.IFNA(INDEX('Resource use and costs'!$DZ$12:$DZ$25,MATCH(DA194,'Resource use and costs'!$DS$12:$DS$25,0)),0)*_xlfn.IFNA(INDEX(EA$10:EA$23,MATCH($DA194,$DX$10:$DX$23,0)),0))</f>
        <v>0</v>
      </c>
      <c r="DQ194" s="921">
        <f>IF(dd_PartSA_2_lines = "Yes",0,_xlfn.IFNA(INDEX('Resource use and costs'!$EA$12:$EA$25,MATCH(DB194,'Resource use and costs'!$DS$12:$DS$25,0)),0)*_xlfn.IFNA(INDEX(EC$10:EC$23,MATCH($DB194,$DX$10:$DX$23,0)),0))</f>
        <v>0</v>
      </c>
      <c r="DR194" s="921">
        <f t="shared" si="166"/>
        <v>280.22142857142853</v>
      </c>
      <c r="DS194" s="1004">
        <f>SUMIFS('Safety parameters'!$DM$6:$DM$18,'Safety parameters'!$DK$6:$DK$18,CZ194,'Safety parameters'!$DL$6:$DL$18,1)+IF(dd_PartSA_2_lines = "Yes",0,SUMIFS('Safety parameters'!$DM$6:$DM$18,'Safety parameters'!$DK$6:$DK$18,DA194,'Safety parameters'!$DL$6:$DL$18,2)+SUMIFS('Safety parameters'!$DM$6:$DM$18,'Safety parameters'!$DK$6:$DK$18,DB194,'Safety parameters'!$DL$6:$DL$18,2))</f>
        <v>0</v>
      </c>
      <c r="DT194" s="910">
        <f>SUMIFS('Safety parameters'!$DO$6:$DO$18,'Safety parameters'!$DK$6:$DK$18,CZ194,'Safety parameters'!$DL$6:$DL$18,1)+IF(dd_PartSA_2_lines = "Yes",0,SUMIFS('Safety parameters'!$DO$6:$DO$18,'Safety parameters'!$DK$6:$DK$18,DA194,'Safety parameters'!$DL$6:$DL$18,2)+SUMIFS('Safety parameters'!$DO$6:$DO$18,'Safety parameters'!$DK$6:$DK$18,DB194,'Safety parameters'!$DL$6:$DL$18,2))</f>
        <v>0</v>
      </c>
    </row>
    <row r="195" spans="89:124" ht="15" x14ac:dyDescent="0.2">
      <c r="CK195" s="61" t="s">
        <v>31</v>
      </c>
      <c r="CL195" s="61">
        <v>2</v>
      </c>
      <c r="CM195" s="61" t="str">
        <v>avelumab_plus_axitinib</v>
      </c>
      <c r="CN195" s="17">
        <v>4</v>
      </c>
      <c r="CO195" s="61" t="str" cm="1">
        <f t="array" ref="CO195">INDEX(List_comparators,CP194+1)</f>
        <v>everolimus</v>
      </c>
      <c r="CP195" s="17">
        <v>10</v>
      </c>
      <c r="CQ195" s="601">
        <f t="shared" ca="1" si="174"/>
        <v>0</v>
      </c>
      <c r="CR195" s="601">
        <f t="shared" ca="1" si="175"/>
        <v>0</v>
      </c>
      <c r="CS195" s="669">
        <f t="shared" ca="1" si="178"/>
        <v>15.714285714285714</v>
      </c>
      <c r="CT195" s="669">
        <f t="shared" ca="1" si="176"/>
        <v>1.2242857142857142</v>
      </c>
      <c r="CU195" s="1123">
        <f>MATCH(CZ195,'Resource use and costs'!$BA$11:$BA$53,0)</f>
        <v>37</v>
      </c>
      <c r="CV195" s="1223"/>
      <c r="CW195" s="1241">
        <f t="shared" si="164"/>
        <v>1</v>
      </c>
      <c r="CX195" s="899" t="s">
        <v>773</v>
      </c>
      <c r="CY195" s="899" t="s">
        <v>118</v>
      </c>
      <c r="CZ195" s="899" t="s">
        <v>119</v>
      </c>
      <c r="DA195" s="899" t="s">
        <v>579</v>
      </c>
      <c r="DB195" s="899" t="s">
        <v>327</v>
      </c>
      <c r="DC195" s="899" cm="1">
        <f t="array" aca="1" ref="DC195" ca="1">_xlfn.IFNA(OFFSET($I$49,MATCH(CY195,$I$50:$I$63,0),MATCH(CZ195,TRANSPOSE($J$49:$W$49),0)),0)</f>
        <v>0</v>
      </c>
      <c r="DD195" s="899" cm="1">
        <f t="array" aca="1" ref="DD195" ca="1">_xlfn.IFNA(OFFSET($Y$49,MATCH($CZ195,$Y$50:$Y$63,0),MATCH($DA195,TRANSPOSE($Z$49:$AM$49),0)),0)</f>
        <v>0</v>
      </c>
      <c r="DE195" s="899" cm="1">
        <f t="array" aca="1" ref="DE195" ca="1">_xlfn.IFNA(OFFSET($AO$49,MATCH($DA195,$AO$50:$AO$63,0),MATCH($DB195,TRANSPOSE($AP$49:$BC$49),0)),0)</f>
        <v>0.56859999999999999</v>
      </c>
      <c r="DF195" s="881">
        <f t="shared" ca="1" si="161"/>
        <v>0</v>
      </c>
      <c r="DG195" s="910">
        <f t="shared" ca="1" si="162"/>
        <v>1.0010447133454794</v>
      </c>
      <c r="DH195" s="881">
        <f t="shared" ca="1" si="163"/>
        <v>0</v>
      </c>
      <c r="DI195" s="1460">
        <f t="shared" ca="1" si="177"/>
        <v>0</v>
      </c>
      <c r="DJ195" s="909">
        <f>_xlfn.IFNA(INDEX('Resource use and costs'!$CQ$11:$CQ$53,MATCH($CZ195,'Resource use and costs'!$BA$11:$BA$53,0)),0)*_xlfn.IFNA(INDEX(DY$10:DY$23,MATCH($CZ195,$DX$10:$DX$23,0)),0)</f>
        <v>944.50399999999979</v>
      </c>
      <c r="DK195" s="909">
        <f>IF(dd_PartSA_2_lines = "Yes",0,_xlfn.IFNA(INDEX('Resource use and costs'!$CR$11:$CR$53,MATCH(DA195,'Resource use and costs'!$BA$11:$BA$53,0)),0)*_xlfn.IFNA(INDEX(EA$10:EA$23,MATCH($DA195,$DX$10:$DX$23,0)),0))</f>
        <v>26054.50921</v>
      </c>
      <c r="DL195" s="909">
        <f>IF(dd_PartSA_2_lines = "Yes",0,_xlfn.IFNA(INDEX('Resource use and costs'!$CS$11:$CS$53,MATCH(DB195,'Resource use and costs'!$BA$11:$BA$53,0)),0)*_xlfn.IFNA(INDEX(EC$10:EC$23,MATCH($DB195,$DX$10:$DX$23,0)),0))</f>
        <v>18438.751749999999</v>
      </c>
      <c r="DM195" s="909">
        <f t="shared" si="165"/>
        <v>45437.76496</v>
      </c>
      <c r="DN195" s="909">
        <f>SUM(_xlfn.IFNA(INDEX('Resource use and costs'!$DU$12:$DU$25,MATCH(CZ195,'Resource use and costs'!$DS$12:$DS$25,0)),0),_xlfn.IFNA(INDEX('Resource use and costs'!$DU$12:$DU$25,MATCH(DA195,'Resource use and costs'!$DS$12:$DS$25,0)),0),_xlfn.IFNA(INDEX('Resource use and costs'!$DU$12:$DU$25,MATCH(DB195,'Resource use and costs'!$DS$12:$DS$25,0)),0))</f>
        <v>394.5</v>
      </c>
      <c r="DO195" s="921">
        <f>_xlfn.IFNA(INDEX('Resource use and costs'!$DY$12:$DY$25,MATCH(CZ195,'Resource use and costs'!$DS$12:$DS$25,0)),0)*_xlfn.IFNA(INDEX(DY$10:DY$23,MATCH($CZ195,$DX$10:$DX$23,0)),0)</f>
        <v>82.971428571428561</v>
      </c>
      <c r="DP195" s="921">
        <f>IF(dd_PartSA_2_lines = "Yes",0,_xlfn.IFNA(INDEX('Resource use and costs'!$DZ$12:$DZ$25,MATCH(DA195,'Resource use and costs'!$DS$12:$DS$25,0)),0)*_xlfn.IFNA(INDEX(EA$10:EA$23,MATCH($DA195,$DX$10:$DX$23,0)),0))</f>
        <v>4108.3597166</v>
      </c>
      <c r="DQ195" s="921">
        <f>IF(dd_PartSA_2_lines = "Yes",0,_xlfn.IFNA(INDEX('Resource use and costs'!$EA$12:$EA$25,MATCH(DB195,'Resource use and costs'!$DS$12:$DS$25,0)),0)*_xlfn.IFNA(INDEX(EC$10:EC$23,MATCH($DB195,$DX$10:$DX$23,0)),0))</f>
        <v>230.68099999999998</v>
      </c>
      <c r="DR195" s="921">
        <f t="shared" si="166"/>
        <v>4816.5121451714285</v>
      </c>
      <c r="DS195" s="1004">
        <f ca="1">SUMIFS('Safety parameters'!$DM$6:$DM$18,'Safety parameters'!$DK$6:$DK$18,CZ195,'Safety parameters'!$DL$6:$DL$18,1)+IF(dd_PartSA_2_lines = "Yes",0,SUMIFS('Safety parameters'!$DM$6:$DM$18,'Safety parameters'!$DK$6:$DK$18,DA195,'Safety parameters'!$DL$6:$DL$18,2)+SUMIFS('Safety parameters'!$DM$6:$DM$18,'Safety parameters'!$DK$6:$DK$18,DB195,'Safety parameters'!$DL$6:$DL$18,2))</f>
        <v>1795.3624225558742</v>
      </c>
      <c r="DT195" s="910">
        <f ca="1">SUMIFS('Safety parameters'!$DO$6:$DO$18,'Safety parameters'!$DK$6:$DK$18,CZ195,'Safety parameters'!$DL$6:$DL$18,1)+IF(dd_PartSA_2_lines = "Yes",0,SUMIFS('Safety parameters'!$DO$6:$DO$18,'Safety parameters'!$DK$6:$DK$18,DA195,'Safety parameters'!$DL$6:$DL$18,2)+SUMIFS('Safety parameters'!$DO$6:$DO$18,'Safety parameters'!$DK$6:$DK$18,DB195,'Safety parameters'!$DL$6:$DL$18,2))</f>
        <v>-1.6339008205166216E-2</v>
      </c>
    </row>
    <row r="196" spans="89:124" ht="15" x14ac:dyDescent="0.2">
      <c r="CK196" s="61" t="s">
        <v>31</v>
      </c>
      <c r="CL196" s="61">
        <v>2</v>
      </c>
      <c r="CM196" s="61" t="str">
        <v>pazopanib</v>
      </c>
      <c r="CN196" s="17">
        <v>5</v>
      </c>
      <c r="CO196" s="61" t="str" cm="1">
        <f t="array" ref="CO196">INDEX(List_comparators,CP195+1)</f>
        <v>everolimus</v>
      </c>
      <c r="CP196" s="17">
        <v>10</v>
      </c>
      <c r="CQ196" s="601">
        <f t="shared" ca="1" si="174"/>
        <v>0</v>
      </c>
      <c r="CR196" s="601">
        <f t="shared" ca="1" si="175"/>
        <v>0</v>
      </c>
      <c r="CS196" s="669">
        <f t="shared" ca="1" si="178"/>
        <v>15.714285714285714</v>
      </c>
      <c r="CT196" s="669">
        <f t="shared" ca="1" si="176"/>
        <v>1.2242857142857142</v>
      </c>
      <c r="CU196" s="1123">
        <f>MATCH(CZ196,'Resource use and costs'!$BA$11:$BA$53,0)</f>
        <v>37</v>
      </c>
      <c r="CV196" s="1223"/>
      <c r="CW196" s="1241">
        <f t="shared" si="164"/>
        <v>1</v>
      </c>
      <c r="CX196" s="899" t="s">
        <v>773</v>
      </c>
      <c r="CY196" s="899" t="s">
        <v>118</v>
      </c>
      <c r="CZ196" s="899" t="s">
        <v>119</v>
      </c>
      <c r="DA196" s="899" t="s">
        <v>579</v>
      </c>
      <c r="DB196" s="899" t="s">
        <v>765</v>
      </c>
      <c r="DC196" s="899" cm="1">
        <f t="array" aca="1" ref="DC196" ca="1">_xlfn.IFNA(OFFSET($I$49,MATCH(CY196,$I$50:$I$63,0),MATCH(CZ196,TRANSPOSE($J$49:$W$49),0)),0)</f>
        <v>0</v>
      </c>
      <c r="DD196" s="899" cm="1">
        <f t="array" aca="1" ref="DD196" ca="1">_xlfn.IFNA(OFFSET($Y$49,MATCH($CZ196,$Y$50:$Y$63,0),MATCH($DA196,TRANSPOSE($Z$49:$AM$49),0)),0)</f>
        <v>0</v>
      </c>
      <c r="DE196" s="899" cm="1">
        <f t="array" aca="1" ref="DE196" ca="1">_xlfn.IFNA(OFFSET($AO$49,MATCH($DA196,$AO$50:$AO$63,0),MATCH($DB196,TRANSPOSE($AP$49:$BC$49),0)),0)</f>
        <v>0.43140000000000001</v>
      </c>
      <c r="DF196" s="881">
        <f t="shared" ca="1" si="161"/>
        <v>0</v>
      </c>
      <c r="DG196" s="910">
        <f t="shared" ca="1" si="162"/>
        <v>1.0010447133454794</v>
      </c>
      <c r="DH196" s="881">
        <f t="shared" ca="1" si="163"/>
        <v>0</v>
      </c>
      <c r="DI196" s="1460">
        <f t="shared" ca="1" si="177"/>
        <v>0</v>
      </c>
      <c r="DJ196" s="909">
        <f>_xlfn.IFNA(INDEX('Resource use and costs'!$CQ$11:$CQ$53,MATCH($CZ196,'Resource use and costs'!$BA$11:$BA$53,0)),0)*_xlfn.IFNA(INDEX(DY$10:DY$23,MATCH($CZ196,$DX$10:$DX$23,0)),0)</f>
        <v>944.50399999999979</v>
      </c>
      <c r="DK196" s="909">
        <f>IF(dd_PartSA_2_lines = "Yes",0,_xlfn.IFNA(INDEX('Resource use and costs'!$CR$11:$CR$53,MATCH(DA196,'Resource use and costs'!$BA$11:$BA$53,0)),0)*_xlfn.IFNA(INDEX(EA$10:EA$23,MATCH($DA196,$DX$10:$DX$23,0)),0))</f>
        <v>26054.50921</v>
      </c>
      <c r="DL196" s="909">
        <f>IF(dd_PartSA_2_lines = "Yes",0,_xlfn.IFNA(INDEX('Resource use and costs'!$CS$11:$CS$53,MATCH(DB196,'Resource use and costs'!$BA$11:$BA$53,0)),0)*_xlfn.IFNA(INDEX(EC$10:EC$23,MATCH($DB196,$DX$10:$DX$23,0)),0))</f>
        <v>0</v>
      </c>
      <c r="DM196" s="909">
        <f t="shared" si="165"/>
        <v>26999.013210000001</v>
      </c>
      <c r="DN196" s="909">
        <f>SUM(_xlfn.IFNA(INDEX('Resource use and costs'!$DU$12:$DU$25,MATCH(CZ196,'Resource use and costs'!$DS$12:$DS$25,0)),0),_xlfn.IFNA(INDEX('Resource use and costs'!$DU$12:$DU$25,MATCH(DA196,'Resource use and costs'!$DS$12:$DS$25,0)),0),_xlfn.IFNA(INDEX('Resource use and costs'!$DU$12:$DU$25,MATCH(DB196,'Resource use and costs'!$DS$12:$DS$25,0)),0))</f>
        <v>197.25</v>
      </c>
      <c r="DO196" s="921">
        <f>_xlfn.IFNA(INDEX('Resource use and costs'!$DY$12:$DY$25,MATCH(CZ196,'Resource use and costs'!$DS$12:$DS$25,0)),0)*_xlfn.IFNA(INDEX(DY$10:DY$23,MATCH($CZ196,$DX$10:$DX$23,0)),0)</f>
        <v>82.971428571428561</v>
      </c>
      <c r="DP196" s="921">
        <f>IF(dd_PartSA_2_lines = "Yes",0,_xlfn.IFNA(INDEX('Resource use and costs'!$DZ$12:$DZ$25,MATCH(DA196,'Resource use and costs'!$DS$12:$DS$25,0)),0)*_xlfn.IFNA(INDEX(EA$10:EA$23,MATCH($DA196,$DX$10:$DX$23,0)),0))</f>
        <v>4108.3597166</v>
      </c>
      <c r="DQ196" s="921">
        <f>IF(dd_PartSA_2_lines = "Yes",0,_xlfn.IFNA(INDEX('Resource use and costs'!$EA$12:$EA$25,MATCH(DB196,'Resource use and costs'!$DS$12:$DS$25,0)),0)*_xlfn.IFNA(INDEX(EC$10:EC$23,MATCH($DB196,$DX$10:$DX$23,0)),0))</f>
        <v>0</v>
      </c>
      <c r="DR196" s="921">
        <f t="shared" si="166"/>
        <v>4388.5811451714289</v>
      </c>
      <c r="DS196" s="1004">
        <f ca="1">SUMIFS('Safety parameters'!$DM$6:$DM$18,'Safety parameters'!$DK$6:$DK$18,CZ196,'Safety parameters'!$DL$6:$DL$18,1)+IF(dd_PartSA_2_lines = "Yes",0,SUMIFS('Safety parameters'!$DM$6:$DM$18,'Safety parameters'!$DK$6:$DK$18,DA196,'Safety parameters'!$DL$6:$DL$18,2)+SUMIFS('Safety parameters'!$DM$6:$DM$18,'Safety parameters'!$DK$6:$DK$18,DB196,'Safety parameters'!$DL$6:$DL$18,2))</f>
        <v>161.1337489904144</v>
      </c>
      <c r="DT196" s="910">
        <f ca="1">SUMIFS('Safety parameters'!$DO$6:$DO$18,'Safety parameters'!$DK$6:$DK$18,CZ196,'Safety parameters'!$DL$6:$DL$18,1)+IF(dd_PartSA_2_lines = "Yes",0,SUMIFS('Safety parameters'!$DO$6:$DO$18,'Safety parameters'!$DK$6:$DK$18,DA196,'Safety parameters'!$DL$6:$DL$18,2)+SUMIFS('Safety parameters'!$DO$6:$DO$18,'Safety parameters'!$DK$6:$DK$18,DB196,'Safety parameters'!$DL$6:$DL$18,2))</f>
        <v>-1.5970841976847864E-3</v>
      </c>
    </row>
    <row r="197" spans="89:124" ht="15" x14ac:dyDescent="0.2">
      <c r="CK197" s="61" t="s">
        <v>31</v>
      </c>
      <c r="CL197" s="61">
        <v>2</v>
      </c>
      <c r="CM197" s="61" t="str">
        <v>tivozanib</v>
      </c>
      <c r="CN197" s="17">
        <v>6</v>
      </c>
      <c r="CO197" s="61" t="str" cm="1">
        <f t="array" ref="CO197">INDEX(List_comparators,CP196+1)</f>
        <v>everolimus</v>
      </c>
      <c r="CP197" s="17">
        <v>10</v>
      </c>
      <c r="CQ197" s="601">
        <f t="shared" ca="1" si="174"/>
        <v>0</v>
      </c>
      <c r="CR197" s="601">
        <f t="shared" ca="1" si="175"/>
        <v>0</v>
      </c>
      <c r="CS197" s="669">
        <f t="shared" ca="1" si="178"/>
        <v>15.714285714285714</v>
      </c>
      <c r="CT197" s="669">
        <f t="shared" ca="1" si="176"/>
        <v>1.2242857142857142</v>
      </c>
      <c r="CU197" s="1123">
        <f>MATCH(CZ197,'Resource use and costs'!$BA$11:$BA$53,0)</f>
        <v>37</v>
      </c>
      <c r="CV197" s="1223"/>
      <c r="CW197" s="1241">
        <f t="shared" si="164"/>
        <v>1</v>
      </c>
      <c r="CX197" s="899" t="s">
        <v>773</v>
      </c>
      <c r="CY197" s="899" t="s">
        <v>118</v>
      </c>
      <c r="CZ197" s="899" t="s">
        <v>119</v>
      </c>
      <c r="DA197" s="899" t="s">
        <v>585</v>
      </c>
      <c r="DB197" s="899" t="s">
        <v>327</v>
      </c>
      <c r="DC197" s="899" cm="1">
        <f t="array" aca="1" ref="DC197" ca="1">_xlfn.IFNA(OFFSET($I$49,MATCH(CY197,$I$50:$I$63,0),MATCH(CZ197,TRANSPOSE($J$49:$W$49),0)),0)</f>
        <v>0</v>
      </c>
      <c r="DD197" s="899" cm="1">
        <f t="array" aca="1" ref="DD197" ca="1">_xlfn.IFNA(OFFSET($Y$49,MATCH($CZ197,$Y$50:$Y$63,0),MATCH($DA197,TRANSPOSE($Z$49:$AM$49),0)),0)</f>
        <v>0</v>
      </c>
      <c r="DE197" s="899" cm="1">
        <f t="array" aca="1" ref="DE197" ca="1">_xlfn.IFNA(OFFSET($AO$49,MATCH($DA197,$AO$50:$AO$63,0),MATCH($DB197,TRANSPOSE($AP$49:$BC$49),0)),0)</f>
        <v>0.37909999999999999</v>
      </c>
      <c r="DF197" s="881">
        <f t="shared" ca="1" si="161"/>
        <v>0</v>
      </c>
      <c r="DG197" s="910">
        <f t="shared" ca="1" si="162"/>
        <v>1.0010447133454794</v>
      </c>
      <c r="DH197" s="881">
        <f t="shared" ca="1" si="163"/>
        <v>0</v>
      </c>
      <c r="DI197" s="1460">
        <f t="shared" ca="1" si="177"/>
        <v>0</v>
      </c>
      <c r="DJ197" s="909">
        <f>_xlfn.IFNA(INDEX('Resource use and costs'!$CQ$11:$CQ$53,MATCH($CZ197,'Resource use and costs'!$BA$11:$BA$53,0)),0)*_xlfn.IFNA(INDEX(DY$10:DY$23,MATCH($CZ197,$DX$10:$DX$23,0)),0)</f>
        <v>944.50399999999979</v>
      </c>
      <c r="DK197" s="909">
        <f>IF(dd_PartSA_2_lines = "Yes",0,_xlfn.IFNA(INDEX('Resource use and costs'!$CR$11:$CR$53,MATCH(DA197,'Resource use and costs'!$BA$11:$BA$53,0)),0)*_xlfn.IFNA(INDEX(EA$10:EA$23,MATCH($DA197,$DX$10:$DX$23,0)),0))</f>
        <v>1987.9066666666663</v>
      </c>
      <c r="DL197" s="909">
        <f>IF(dd_PartSA_2_lines = "Yes",0,_xlfn.IFNA(INDEX('Resource use and costs'!$CS$11:$CS$53,MATCH(DB197,'Resource use and costs'!$BA$11:$BA$53,0)),0)*_xlfn.IFNA(INDEX(EC$10:EC$23,MATCH($DB197,$DX$10:$DX$23,0)),0))</f>
        <v>18438.751749999999</v>
      </c>
      <c r="DM197" s="909">
        <f t="shared" si="165"/>
        <v>21371.162416666666</v>
      </c>
      <c r="DN197" s="909">
        <f>SUM(_xlfn.IFNA(INDEX('Resource use and costs'!$DU$12:$DU$25,MATCH(CZ197,'Resource use and costs'!$DS$12:$DS$25,0)),0),_xlfn.IFNA(INDEX('Resource use and costs'!$DU$12:$DU$25,MATCH(DA197,'Resource use and costs'!$DS$12:$DS$25,0)),0),_xlfn.IFNA(INDEX('Resource use and costs'!$DU$12:$DU$25,MATCH(DB197,'Resource use and costs'!$DS$12:$DS$25,0)),0))</f>
        <v>591.75</v>
      </c>
      <c r="DO197" s="921">
        <f>_xlfn.IFNA(INDEX('Resource use and costs'!$DY$12:$DY$25,MATCH(CZ197,'Resource use and costs'!$DS$12:$DS$25,0)),0)*_xlfn.IFNA(INDEX(DY$10:DY$23,MATCH($CZ197,$DX$10:$DX$23,0)),0)</f>
        <v>82.971428571428561</v>
      </c>
      <c r="DP197" s="921">
        <f>IF(dd_PartSA_2_lines = "Yes",0,_xlfn.IFNA(INDEX('Resource use and costs'!$DZ$12:$DZ$25,MATCH(DA197,'Resource use and costs'!$DS$12:$DS$25,0)),0)*_xlfn.IFNA(INDEX(EA$10:EA$23,MATCH($DA197,$DX$10:$DX$23,0)),0))</f>
        <v>179.14285714285711</v>
      </c>
      <c r="DQ197" s="921">
        <f>IF(dd_PartSA_2_lines = "Yes",0,_xlfn.IFNA(INDEX('Resource use and costs'!$EA$12:$EA$25,MATCH(DB197,'Resource use and costs'!$DS$12:$DS$25,0)),0)*_xlfn.IFNA(INDEX(EC$10:EC$23,MATCH($DB197,$DX$10:$DX$23,0)),0))</f>
        <v>230.68099999999998</v>
      </c>
      <c r="DR197" s="921">
        <f t="shared" si="166"/>
        <v>1084.5452857142857</v>
      </c>
      <c r="DS197" s="1004">
        <f ca="1">SUMIFS('Safety parameters'!$DM$6:$DM$18,'Safety parameters'!$DK$6:$DK$18,CZ197,'Safety parameters'!$DL$6:$DL$18,1)+IF(dd_PartSA_2_lines = "Yes",0,SUMIFS('Safety parameters'!$DM$6:$DM$18,'Safety parameters'!$DK$6:$DK$18,DA197,'Safety parameters'!$DL$6:$DL$18,2)+SUMIFS('Safety parameters'!$DM$6:$DM$18,'Safety parameters'!$DK$6:$DK$18,DB197,'Safety parameters'!$DL$6:$DL$18,2))</f>
        <v>1634.2286735654598</v>
      </c>
      <c r="DT197" s="910">
        <f ca="1">SUMIFS('Safety parameters'!$DO$6:$DO$18,'Safety parameters'!$DK$6:$DK$18,CZ197,'Safety parameters'!$DL$6:$DL$18,1)+IF(dd_PartSA_2_lines = "Yes",0,SUMIFS('Safety parameters'!$DO$6:$DO$18,'Safety parameters'!$DK$6:$DK$18,DA197,'Safety parameters'!$DL$6:$DL$18,2)+SUMIFS('Safety parameters'!$DO$6:$DO$18,'Safety parameters'!$DK$6:$DK$18,DB197,'Safety parameters'!$DL$6:$DL$18,2))</f>
        <v>-1.4741924007481429E-2</v>
      </c>
    </row>
    <row r="198" spans="89:124" ht="15" x14ac:dyDescent="0.2">
      <c r="CK198" s="61" t="s">
        <v>31</v>
      </c>
      <c r="CL198" s="61">
        <v>2</v>
      </c>
      <c r="CM198" s="61" t="str">
        <v>sunitinib</v>
      </c>
      <c r="CN198" s="17">
        <v>7</v>
      </c>
      <c r="CO198" s="61" t="str" cm="1">
        <f t="array" ref="CO198">INDEX(List_comparators,CP197+1)</f>
        <v>everolimus</v>
      </c>
      <c r="CP198" s="17">
        <v>10</v>
      </c>
      <c r="CQ198" s="601">
        <f t="shared" ca="1" si="174"/>
        <v>0</v>
      </c>
      <c r="CR198" s="601">
        <f t="shared" ca="1" si="175"/>
        <v>0</v>
      </c>
      <c r="CS198" s="669">
        <f t="shared" ca="1" si="178"/>
        <v>15.714285714285714</v>
      </c>
      <c r="CT198" s="669">
        <f t="shared" ca="1" si="176"/>
        <v>1.2242857142857142</v>
      </c>
      <c r="CU198" s="1123">
        <f>MATCH(CZ198,'Resource use and costs'!$BA$11:$BA$53,0)</f>
        <v>37</v>
      </c>
      <c r="CV198" s="1223"/>
      <c r="CW198" s="1241">
        <f t="shared" si="164"/>
        <v>1</v>
      </c>
      <c r="CX198" s="899" t="s">
        <v>773</v>
      </c>
      <c r="CY198" s="899" t="s">
        <v>118</v>
      </c>
      <c r="CZ198" s="899" t="s">
        <v>119</v>
      </c>
      <c r="DA198" s="899" t="s">
        <v>585</v>
      </c>
      <c r="DB198" s="899" t="s">
        <v>765</v>
      </c>
      <c r="DC198" s="899" cm="1">
        <f t="array" aca="1" ref="DC198" ca="1">_xlfn.IFNA(OFFSET($I$49,MATCH(CY198,$I$50:$I$63,0),MATCH(CZ198,TRANSPOSE($J$49:$W$49),0)),0)</f>
        <v>0</v>
      </c>
      <c r="DD198" s="899" cm="1">
        <f t="array" aca="1" ref="DD198" ca="1">_xlfn.IFNA(OFFSET($Y$49,MATCH($CZ198,$Y$50:$Y$63,0),MATCH($DA198,TRANSPOSE($Z$49:$AM$49),0)),0)</f>
        <v>0</v>
      </c>
      <c r="DE198" s="899" cm="1">
        <f t="array" aca="1" ref="DE198" ca="1">_xlfn.IFNA(OFFSET($AO$49,MATCH($DA198,$AO$50:$AO$63,0),MATCH($DB198,TRANSPOSE($AP$49:$BC$49),0)),0)</f>
        <v>0.43140000000000001</v>
      </c>
      <c r="DF198" s="881">
        <f t="shared" ca="1" si="161"/>
        <v>0</v>
      </c>
      <c r="DG198" s="910">
        <f t="shared" ca="1" si="162"/>
        <v>1.0010447133454794</v>
      </c>
      <c r="DH198" s="881">
        <f t="shared" ca="1" si="163"/>
        <v>0</v>
      </c>
      <c r="DI198" s="1460">
        <f t="shared" ca="1" si="177"/>
        <v>0</v>
      </c>
      <c r="DJ198" s="909">
        <f>_xlfn.IFNA(INDEX('Resource use and costs'!$CQ$11:$CQ$53,MATCH($CZ198,'Resource use and costs'!$BA$11:$BA$53,0)),0)*_xlfn.IFNA(INDEX(DY$10:DY$23,MATCH($CZ198,$DX$10:$DX$23,0)),0)</f>
        <v>944.50399999999979</v>
      </c>
      <c r="DK198" s="909">
        <f>IF(dd_PartSA_2_lines = "Yes",0,_xlfn.IFNA(INDEX('Resource use and costs'!$CR$11:$CR$53,MATCH(DA198,'Resource use and costs'!$BA$11:$BA$53,0)),0)*_xlfn.IFNA(INDEX(EA$10:EA$23,MATCH($DA198,$DX$10:$DX$23,0)),0))</f>
        <v>1987.9066666666663</v>
      </c>
      <c r="DL198" s="909">
        <f>IF(dd_PartSA_2_lines = "Yes",0,_xlfn.IFNA(INDEX('Resource use and costs'!$CS$11:$CS$53,MATCH(DB198,'Resource use and costs'!$BA$11:$BA$53,0)),0)*_xlfn.IFNA(INDEX(EC$10:EC$23,MATCH($DB198,$DX$10:$DX$23,0)),0))</f>
        <v>0</v>
      </c>
      <c r="DM198" s="909">
        <f t="shared" si="165"/>
        <v>2932.4106666666662</v>
      </c>
      <c r="DN198" s="909">
        <f>SUM(_xlfn.IFNA(INDEX('Resource use and costs'!$DU$12:$DU$25,MATCH(CZ198,'Resource use and costs'!$DS$12:$DS$25,0)),0),_xlfn.IFNA(INDEX('Resource use and costs'!$DU$12:$DU$25,MATCH(DA198,'Resource use and costs'!$DS$12:$DS$25,0)),0),_xlfn.IFNA(INDEX('Resource use and costs'!$DU$12:$DU$25,MATCH(DB198,'Resource use and costs'!$DS$12:$DS$25,0)),0))</f>
        <v>394.5</v>
      </c>
      <c r="DO198" s="921">
        <f>_xlfn.IFNA(INDEX('Resource use and costs'!$DY$12:$DY$25,MATCH(CZ198,'Resource use and costs'!$DS$12:$DS$25,0)),0)*_xlfn.IFNA(INDEX(DY$10:DY$23,MATCH($CZ198,$DX$10:$DX$23,0)),0)</f>
        <v>82.971428571428561</v>
      </c>
      <c r="DP198" s="921">
        <f>IF(dd_PartSA_2_lines = "Yes",0,_xlfn.IFNA(INDEX('Resource use and costs'!$DZ$12:$DZ$25,MATCH(DA198,'Resource use and costs'!$DS$12:$DS$25,0)),0)*_xlfn.IFNA(INDEX(EA$10:EA$23,MATCH($DA198,$DX$10:$DX$23,0)),0))</f>
        <v>179.14285714285711</v>
      </c>
      <c r="DQ198" s="921">
        <f>IF(dd_PartSA_2_lines = "Yes",0,_xlfn.IFNA(INDEX('Resource use and costs'!$EA$12:$EA$25,MATCH(DB198,'Resource use and costs'!$DS$12:$DS$25,0)),0)*_xlfn.IFNA(INDEX(EC$10:EC$23,MATCH($DB198,$DX$10:$DX$23,0)),0))</f>
        <v>0</v>
      </c>
      <c r="DR198" s="921">
        <f t="shared" si="166"/>
        <v>656.61428571428564</v>
      </c>
      <c r="DS198" s="1004">
        <f>SUMIFS('Safety parameters'!$DM$6:$DM$18,'Safety parameters'!$DK$6:$DK$18,CZ198,'Safety parameters'!$DL$6:$DL$18,1)+IF(dd_PartSA_2_lines = "Yes",0,SUMIFS('Safety parameters'!$DM$6:$DM$18,'Safety parameters'!$DK$6:$DK$18,DA198,'Safety parameters'!$DL$6:$DL$18,2)+SUMIFS('Safety parameters'!$DM$6:$DM$18,'Safety parameters'!$DK$6:$DK$18,DB198,'Safety parameters'!$DL$6:$DL$18,2))</f>
        <v>0</v>
      </c>
      <c r="DT198" s="910">
        <f>SUMIFS('Safety parameters'!$DO$6:$DO$18,'Safety parameters'!$DK$6:$DK$18,CZ198,'Safety parameters'!$DL$6:$DL$18,1)+IF(dd_PartSA_2_lines = "Yes",0,SUMIFS('Safety parameters'!$DO$6:$DO$18,'Safety parameters'!$DK$6:$DK$18,DA198,'Safety parameters'!$DL$6:$DL$18,2)+SUMIFS('Safety parameters'!$DO$6:$DO$18,'Safety parameters'!$DK$6:$DK$18,DB198,'Safety parameters'!$DL$6:$DL$18,2))</f>
        <v>0</v>
      </c>
    </row>
    <row r="199" spans="89:124" ht="15" x14ac:dyDescent="0.2">
      <c r="CK199" s="61" t="s">
        <v>31</v>
      </c>
      <c r="CL199" s="61">
        <v>2</v>
      </c>
      <c r="CM199" s="61" t="str">
        <v>cabozantinib</v>
      </c>
      <c r="CN199" s="17">
        <v>8</v>
      </c>
      <c r="CO199" s="61" t="str" cm="1">
        <f t="array" ref="CO199">INDEX(List_comparators,CP198+1)</f>
        <v>everolimus</v>
      </c>
      <c r="CP199" s="17">
        <v>10</v>
      </c>
      <c r="CQ199" s="601">
        <f t="shared" ca="1" si="174"/>
        <v>0</v>
      </c>
      <c r="CR199" s="601">
        <f t="shared" ca="1" si="175"/>
        <v>0</v>
      </c>
      <c r="CS199" s="669">
        <f t="shared" ca="1" si="178"/>
        <v>15.714285714285714</v>
      </c>
      <c r="CT199" s="669">
        <f t="shared" ca="1" si="176"/>
        <v>1.2242857142857142</v>
      </c>
      <c r="CU199" s="1123">
        <f>MATCH(CZ199,'Resource use and costs'!$BA$11:$BA$53,0)</f>
        <v>37</v>
      </c>
      <c r="CV199" s="1223"/>
      <c r="CW199" s="1241">
        <f t="shared" si="164"/>
        <v>1</v>
      </c>
      <c r="CX199" s="899" t="s">
        <v>773</v>
      </c>
      <c r="CY199" s="899" t="s">
        <v>118</v>
      </c>
      <c r="CZ199" s="899" t="s">
        <v>119</v>
      </c>
      <c r="DA199" s="899" t="s">
        <v>117</v>
      </c>
      <c r="DB199" s="899" t="s">
        <v>327</v>
      </c>
      <c r="DC199" s="899" cm="1">
        <f t="array" aca="1" ref="DC199" ca="1">_xlfn.IFNA(OFFSET($I$49,MATCH(CY199,$I$50:$I$63,0),MATCH(CZ199,TRANSPOSE($J$49:$W$49),0)),0)</f>
        <v>0</v>
      </c>
      <c r="DD199" s="899" cm="1">
        <f t="array" aca="1" ref="DD199" ca="1">_xlfn.IFNA(OFFSET($Y$49,MATCH($CZ199,$Y$50:$Y$63,0),MATCH($DA199,TRANSPOSE($Z$49:$AM$49),0)),0)</f>
        <v>0</v>
      </c>
      <c r="DE199" s="899" cm="1">
        <f t="array" aca="1" ref="DE199" ca="1">_xlfn.IFNA(OFFSET($AO$49,MATCH($DA199,$AO$50:$AO$63,0),MATCH($DB199,TRANSPOSE($AP$49:$BC$49),0)),0)</f>
        <v>0.37909999999999999</v>
      </c>
      <c r="DF199" s="881">
        <f t="shared" ca="1" si="161"/>
        <v>0</v>
      </c>
      <c r="DG199" s="910">
        <f t="shared" ca="1" si="162"/>
        <v>1.0010447133454794</v>
      </c>
      <c r="DH199" s="881">
        <f t="shared" ca="1" si="163"/>
        <v>0</v>
      </c>
      <c r="DI199" s="1460">
        <f t="shared" ca="1" si="177"/>
        <v>0</v>
      </c>
      <c r="DJ199" s="909">
        <f>_xlfn.IFNA(INDEX('Resource use and costs'!$CQ$11:$CQ$53,MATCH($CZ199,'Resource use and costs'!$BA$11:$BA$53,0)),0)*_xlfn.IFNA(INDEX(DY$10:DY$23,MATCH($CZ199,$DX$10:$DX$23,0)),0)</f>
        <v>944.50399999999979</v>
      </c>
      <c r="DK199" s="909">
        <f>IF(dd_PartSA_2_lines = "Yes",0,_xlfn.IFNA(INDEX('Resource use and costs'!$CR$11:$CR$53,MATCH(DA199,'Resource use and costs'!$BA$11:$BA$53,0)),0)*_xlfn.IFNA(INDEX(EA$10:EA$23,MATCH($DA199,$DX$10:$DX$23,0)),0))</f>
        <v>1602.2899047619044</v>
      </c>
      <c r="DL199" s="909">
        <f>IF(dd_PartSA_2_lines = "Yes",0,_xlfn.IFNA(INDEX('Resource use and costs'!$CS$11:$CS$53,MATCH(DB199,'Resource use and costs'!$BA$11:$BA$53,0)),0)*_xlfn.IFNA(INDEX(EC$10:EC$23,MATCH($DB199,$DX$10:$DX$23,0)),0))</f>
        <v>18438.751749999999</v>
      </c>
      <c r="DM199" s="909">
        <f t="shared" si="165"/>
        <v>20985.545654761903</v>
      </c>
      <c r="DN199" s="909">
        <f>SUM(_xlfn.IFNA(INDEX('Resource use and costs'!$DU$12:$DU$25,MATCH(CZ199,'Resource use and costs'!$DS$12:$DS$25,0)),0),_xlfn.IFNA(INDEX('Resource use and costs'!$DU$12:$DU$25,MATCH(DA199,'Resource use and costs'!$DS$12:$DS$25,0)),0),_xlfn.IFNA(INDEX('Resource use and costs'!$DU$12:$DU$25,MATCH(DB199,'Resource use and costs'!$DS$12:$DS$25,0)),0))</f>
        <v>591.75</v>
      </c>
      <c r="DO199" s="921">
        <f>_xlfn.IFNA(INDEX('Resource use and costs'!$DY$12:$DY$25,MATCH(CZ199,'Resource use and costs'!$DS$12:$DS$25,0)),0)*_xlfn.IFNA(INDEX(DY$10:DY$23,MATCH($CZ199,$DX$10:$DX$23,0)),0)</f>
        <v>82.971428571428561</v>
      </c>
      <c r="DP199" s="921">
        <f>IF(dd_PartSA_2_lines = "Yes",0,_xlfn.IFNA(INDEX('Resource use and costs'!$DZ$12:$DZ$25,MATCH(DA199,'Resource use and costs'!$DS$12:$DS$25,0)),0)*_xlfn.IFNA(INDEX(EA$10:EA$23,MATCH($DA199,$DX$10:$DX$23,0)),0))</f>
        <v>226.91428571428568</v>
      </c>
      <c r="DQ199" s="921">
        <f>IF(dd_PartSA_2_lines = "Yes",0,_xlfn.IFNA(INDEX('Resource use and costs'!$EA$12:$EA$25,MATCH(DB199,'Resource use and costs'!$DS$12:$DS$25,0)),0)*_xlfn.IFNA(INDEX(EC$10:EC$23,MATCH($DB199,$DX$10:$DX$23,0)),0))</f>
        <v>230.68099999999998</v>
      </c>
      <c r="DR199" s="921">
        <f t="shared" si="166"/>
        <v>1132.3167142857142</v>
      </c>
      <c r="DS199" s="1004">
        <f ca="1">SUMIFS('Safety parameters'!$DM$6:$DM$18,'Safety parameters'!$DK$6:$DK$18,CZ199,'Safety parameters'!$DL$6:$DL$18,1)+IF(dd_PartSA_2_lines = "Yes",0,SUMIFS('Safety parameters'!$DM$6:$DM$18,'Safety parameters'!$DK$6:$DK$18,DA199,'Safety parameters'!$DL$6:$DL$18,2)+SUMIFS('Safety parameters'!$DM$6:$DM$18,'Safety parameters'!$DK$6:$DK$18,DB199,'Safety parameters'!$DL$6:$DL$18,2))</f>
        <v>1634.2286735654598</v>
      </c>
      <c r="DT199" s="910">
        <f ca="1">SUMIFS('Safety parameters'!$DO$6:$DO$18,'Safety parameters'!$DK$6:$DK$18,CZ199,'Safety parameters'!$DL$6:$DL$18,1)+IF(dd_PartSA_2_lines = "Yes",0,SUMIFS('Safety parameters'!$DO$6:$DO$18,'Safety parameters'!$DK$6:$DK$18,DA199,'Safety parameters'!$DL$6:$DL$18,2)+SUMIFS('Safety parameters'!$DO$6:$DO$18,'Safety parameters'!$DK$6:$DK$18,DB199,'Safety parameters'!$DL$6:$DL$18,2))</f>
        <v>-1.4741924007481429E-2</v>
      </c>
    </row>
    <row r="200" spans="89:124" ht="15" x14ac:dyDescent="0.2">
      <c r="CK200" s="61" t="s">
        <v>31</v>
      </c>
      <c r="CL200" s="61">
        <v>2</v>
      </c>
      <c r="CM200" s="61" t="str">
        <v>lenvatinib_plus_everolimus</v>
      </c>
      <c r="CN200" s="17">
        <v>9</v>
      </c>
      <c r="CO200" s="61" t="str" cm="1">
        <f t="array" ref="CO200">INDEX(List_comparators,CP199+1)</f>
        <v>everolimus</v>
      </c>
      <c r="CP200" s="17">
        <v>10</v>
      </c>
      <c r="CQ200" s="601">
        <f t="shared" ca="1" si="174"/>
        <v>0</v>
      </c>
      <c r="CR200" s="601">
        <f t="shared" ca="1" si="175"/>
        <v>0</v>
      </c>
      <c r="CS200" s="669">
        <f t="shared" ca="1" si="178"/>
        <v>15.714285714285714</v>
      </c>
      <c r="CT200" s="669">
        <f t="shared" ca="1" si="176"/>
        <v>1.2242857142857142</v>
      </c>
      <c r="CU200" s="1123">
        <f>MATCH(CZ200,'Resource use and costs'!$BA$11:$BA$53,0)</f>
        <v>37</v>
      </c>
      <c r="CV200" s="1223"/>
      <c r="CW200" s="1241">
        <f t="shared" si="164"/>
        <v>1</v>
      </c>
      <c r="CX200" s="899" t="s">
        <v>773</v>
      </c>
      <c r="CY200" s="899" t="s">
        <v>118</v>
      </c>
      <c r="CZ200" s="899" t="s">
        <v>119</v>
      </c>
      <c r="DA200" s="899" t="s">
        <v>117</v>
      </c>
      <c r="DB200" s="899" t="s">
        <v>765</v>
      </c>
      <c r="DC200" s="899" cm="1">
        <f t="array" aca="1" ref="DC200" ca="1">_xlfn.IFNA(OFFSET($I$49,MATCH(CY200,$I$50:$I$63,0),MATCH(CZ200,TRANSPOSE($J$49:$W$49),0)),0)</f>
        <v>0</v>
      </c>
      <c r="DD200" s="899" cm="1">
        <f t="array" aca="1" ref="DD200" ca="1">_xlfn.IFNA(OFFSET($Y$49,MATCH($CZ200,$Y$50:$Y$63,0),MATCH($DA200,TRANSPOSE($Z$49:$AM$49),0)),0)</f>
        <v>0</v>
      </c>
      <c r="DE200" s="899" cm="1">
        <f t="array" aca="1" ref="DE200" ca="1">_xlfn.IFNA(OFFSET($AO$49,MATCH($DA200,$AO$50:$AO$63,0),MATCH($DB200,TRANSPOSE($AP$49:$BC$49),0)),0)</f>
        <v>0.43140000000000001</v>
      </c>
      <c r="DF200" s="881">
        <f t="shared" ca="1" si="161"/>
        <v>0</v>
      </c>
      <c r="DG200" s="910">
        <f t="shared" ca="1" si="162"/>
        <v>1.0010447133454794</v>
      </c>
      <c r="DH200" s="881">
        <f t="shared" ca="1" si="163"/>
        <v>0</v>
      </c>
      <c r="DI200" s="1460">
        <f t="shared" ca="1" si="177"/>
        <v>0</v>
      </c>
      <c r="DJ200" s="909">
        <f>_xlfn.IFNA(INDEX('Resource use and costs'!$CQ$11:$CQ$53,MATCH($CZ200,'Resource use and costs'!$BA$11:$BA$53,0)),0)*_xlfn.IFNA(INDEX(DY$10:DY$23,MATCH($CZ200,$DX$10:$DX$23,0)),0)</f>
        <v>944.50399999999979</v>
      </c>
      <c r="DK200" s="909">
        <f>IF(dd_PartSA_2_lines = "Yes",0,_xlfn.IFNA(INDEX('Resource use and costs'!$CR$11:$CR$53,MATCH(DA200,'Resource use and costs'!$BA$11:$BA$53,0)),0)*_xlfn.IFNA(INDEX(EA$10:EA$23,MATCH($DA200,$DX$10:$DX$23,0)),0))</f>
        <v>1602.2899047619044</v>
      </c>
      <c r="DL200" s="909">
        <f>IF(dd_PartSA_2_lines = "Yes",0,_xlfn.IFNA(INDEX('Resource use and costs'!$CS$11:$CS$53,MATCH(DB200,'Resource use and costs'!$BA$11:$BA$53,0)),0)*_xlfn.IFNA(INDEX(EC$10:EC$23,MATCH($DB200,$DX$10:$DX$23,0)),0))</f>
        <v>0</v>
      </c>
      <c r="DM200" s="909">
        <f t="shared" si="165"/>
        <v>2546.7939047619043</v>
      </c>
      <c r="DN200" s="909">
        <f>SUM(_xlfn.IFNA(INDEX('Resource use and costs'!$DU$12:$DU$25,MATCH(CZ200,'Resource use and costs'!$DS$12:$DS$25,0)),0),_xlfn.IFNA(INDEX('Resource use and costs'!$DU$12:$DU$25,MATCH(DA200,'Resource use and costs'!$DS$12:$DS$25,0)),0),_xlfn.IFNA(INDEX('Resource use and costs'!$DU$12:$DU$25,MATCH(DB200,'Resource use and costs'!$DS$12:$DS$25,0)),0))</f>
        <v>394.5</v>
      </c>
      <c r="DO200" s="921">
        <f>_xlfn.IFNA(INDEX('Resource use and costs'!$DY$12:$DY$25,MATCH(CZ200,'Resource use and costs'!$DS$12:$DS$25,0)),0)*_xlfn.IFNA(INDEX(DY$10:DY$23,MATCH($CZ200,$DX$10:$DX$23,0)),0)</f>
        <v>82.971428571428561</v>
      </c>
      <c r="DP200" s="921">
        <f>IF(dd_PartSA_2_lines = "Yes",0,_xlfn.IFNA(INDEX('Resource use and costs'!$DZ$12:$DZ$25,MATCH(DA200,'Resource use and costs'!$DS$12:$DS$25,0)),0)*_xlfn.IFNA(INDEX(EA$10:EA$23,MATCH($DA200,$DX$10:$DX$23,0)),0))</f>
        <v>226.91428571428568</v>
      </c>
      <c r="DQ200" s="921">
        <f>IF(dd_PartSA_2_lines = "Yes",0,_xlfn.IFNA(INDEX('Resource use and costs'!$EA$12:$EA$25,MATCH(DB200,'Resource use and costs'!$DS$12:$DS$25,0)),0)*_xlfn.IFNA(INDEX(EC$10:EC$23,MATCH($DB200,$DX$10:$DX$23,0)),0))</f>
        <v>0</v>
      </c>
      <c r="DR200" s="921">
        <f t="shared" si="166"/>
        <v>704.38571428571424</v>
      </c>
      <c r="DS200" s="1004">
        <f>SUMIFS('Safety parameters'!$DM$6:$DM$18,'Safety parameters'!$DK$6:$DK$18,CZ200,'Safety parameters'!$DL$6:$DL$18,1)+IF(dd_PartSA_2_lines = "Yes",0,SUMIFS('Safety parameters'!$DM$6:$DM$18,'Safety parameters'!$DK$6:$DK$18,DA200,'Safety parameters'!$DL$6:$DL$18,2)+SUMIFS('Safety parameters'!$DM$6:$DM$18,'Safety parameters'!$DK$6:$DK$18,DB200,'Safety parameters'!$DL$6:$DL$18,2))</f>
        <v>0</v>
      </c>
      <c r="DT200" s="910">
        <f>SUMIFS('Safety parameters'!$DO$6:$DO$18,'Safety parameters'!$DK$6:$DK$18,CZ200,'Safety parameters'!$DL$6:$DL$18,1)+IF(dd_PartSA_2_lines = "Yes",0,SUMIFS('Safety parameters'!$DO$6:$DO$18,'Safety parameters'!$DK$6:$DK$18,DA200,'Safety parameters'!$DL$6:$DL$18,2)+SUMIFS('Safety parameters'!$DO$6:$DO$18,'Safety parameters'!$DK$6:$DK$18,DB200,'Safety parameters'!$DL$6:$DL$18,2))</f>
        <v>0</v>
      </c>
    </row>
    <row r="201" spans="89:124" ht="15" x14ac:dyDescent="0.2">
      <c r="CK201" s="61" t="s">
        <v>31</v>
      </c>
      <c r="CL201" s="61">
        <v>2</v>
      </c>
      <c r="CM201" s="61" t="str">
        <v>everolimus</v>
      </c>
      <c r="CN201" s="17">
        <v>10</v>
      </c>
      <c r="CO201" s="61" t="str" cm="1">
        <f t="array" ref="CO201">INDEX(List_comparators,CP200+1)</f>
        <v>everolimus</v>
      </c>
      <c r="CP201" s="17">
        <v>10</v>
      </c>
      <c r="CQ201" s="601">
        <f t="shared" ca="1" si="174"/>
        <v>0</v>
      </c>
      <c r="CR201" s="601">
        <f t="shared" ca="1" si="175"/>
        <v>0</v>
      </c>
      <c r="CS201" s="669">
        <f t="shared" ca="1" si="178"/>
        <v>15.714285714285714</v>
      </c>
      <c r="CT201" s="669">
        <f t="shared" ca="1" si="176"/>
        <v>1.2242857142857142</v>
      </c>
      <c r="CU201" s="1123">
        <f>MATCH(CZ201,'Resource use and costs'!$BA$11:$BA$53,0)</f>
        <v>37</v>
      </c>
      <c r="CV201" s="1223"/>
      <c r="CW201" s="1241">
        <f t="shared" si="164"/>
        <v>1</v>
      </c>
      <c r="CX201" s="899" t="s">
        <v>773</v>
      </c>
      <c r="CY201" s="899" t="s">
        <v>118</v>
      </c>
      <c r="CZ201" s="899" t="s">
        <v>119</v>
      </c>
      <c r="DA201" s="899" t="s">
        <v>319</v>
      </c>
      <c r="DB201" s="899" t="s">
        <v>327</v>
      </c>
      <c r="DC201" s="899" cm="1">
        <f t="array" aca="1" ref="DC201" ca="1">_xlfn.IFNA(OFFSET($I$49,MATCH(CY201,$I$50:$I$63,0),MATCH(CZ201,TRANSPOSE($J$49:$W$49),0)),0)</f>
        <v>0</v>
      </c>
      <c r="DD201" s="899" cm="1">
        <f t="array" aca="1" ref="DD201" ca="1">_xlfn.IFNA(OFFSET($Y$49,MATCH($CZ201,$Y$50:$Y$63,0),MATCH($DA201,TRANSPOSE($Z$49:$AM$49),0)),0)</f>
        <v>0</v>
      </c>
      <c r="DE201" s="899" cm="1">
        <f t="array" aca="1" ref="DE201" ca="1">_xlfn.IFNA(OFFSET($AO$49,MATCH($DA201,$AO$50:$AO$63,0),MATCH($DB201,TRANSPOSE($AP$49:$BC$49),0)),0)</f>
        <v>0.37909999999999999</v>
      </c>
      <c r="DF201" s="881">
        <f t="shared" ca="1" si="161"/>
        <v>0</v>
      </c>
      <c r="DG201" s="910">
        <f t="shared" ca="1" si="162"/>
        <v>1.0010447133454794</v>
      </c>
      <c r="DH201" s="881">
        <f t="shared" ca="1" si="163"/>
        <v>0</v>
      </c>
      <c r="DI201" s="1460">
        <f t="shared" ca="1" si="177"/>
        <v>0</v>
      </c>
      <c r="DJ201" s="909">
        <f>_xlfn.IFNA(INDEX('Resource use and costs'!$CQ$11:$CQ$53,MATCH($CZ201,'Resource use and costs'!$BA$11:$BA$53,0)),0)*_xlfn.IFNA(INDEX(DY$10:DY$23,MATCH($CZ201,$DX$10:$DX$23,0)),0)</f>
        <v>944.50399999999979</v>
      </c>
      <c r="DK201" s="909">
        <f>IF(dd_PartSA_2_lines = "Yes",0,_xlfn.IFNA(INDEX('Resource use and costs'!$CR$11:$CR$53,MATCH(DA201,'Resource use and costs'!$BA$11:$BA$53,0)),0)*_xlfn.IFNA(INDEX(EA$10:EA$23,MATCH($DA201,$DX$10:$DX$23,0)),0))</f>
        <v>11139.428571428571</v>
      </c>
      <c r="DL201" s="909">
        <f>IF(dd_PartSA_2_lines = "Yes",0,_xlfn.IFNA(INDEX('Resource use and costs'!$CS$11:$CS$53,MATCH(DB201,'Resource use and costs'!$BA$11:$BA$53,0)),0)*_xlfn.IFNA(INDEX(EC$10:EC$23,MATCH($DB201,$DX$10:$DX$23,0)),0))</f>
        <v>18438.751749999999</v>
      </c>
      <c r="DM201" s="909">
        <f t="shared" si="165"/>
        <v>30522.684321428569</v>
      </c>
      <c r="DN201" s="909">
        <f>SUM(_xlfn.IFNA(INDEX('Resource use and costs'!$DU$12:$DU$25,MATCH(CZ201,'Resource use and costs'!$DS$12:$DS$25,0)),0),_xlfn.IFNA(INDEX('Resource use and costs'!$DU$12:$DU$25,MATCH(DA201,'Resource use and costs'!$DS$12:$DS$25,0)),0),_xlfn.IFNA(INDEX('Resource use and costs'!$DU$12:$DU$25,MATCH(DB201,'Resource use and costs'!$DS$12:$DS$25,0)),0))</f>
        <v>591.75</v>
      </c>
      <c r="DO201" s="921">
        <f>_xlfn.IFNA(INDEX('Resource use and costs'!$DY$12:$DY$25,MATCH(CZ201,'Resource use and costs'!$DS$12:$DS$25,0)),0)*_xlfn.IFNA(INDEX(DY$10:DY$23,MATCH($CZ201,$DX$10:$DX$23,0)),0)</f>
        <v>82.971428571428561</v>
      </c>
      <c r="DP201" s="921">
        <f>IF(dd_PartSA_2_lines = "Yes",0,_xlfn.IFNA(INDEX('Resource use and costs'!$DZ$12:$DZ$25,MATCH(DA201,'Resource use and costs'!$DS$12:$DS$25,0)),0)*_xlfn.IFNA(INDEX(EA$10:EA$23,MATCH($DA201,$DX$10:$DX$23,0)),0))</f>
        <v>238.85714285714283</v>
      </c>
      <c r="DQ201" s="921">
        <f>IF(dd_PartSA_2_lines = "Yes",0,_xlfn.IFNA(INDEX('Resource use and costs'!$EA$12:$EA$25,MATCH(DB201,'Resource use and costs'!$DS$12:$DS$25,0)),0)*_xlfn.IFNA(INDEX(EC$10:EC$23,MATCH($DB201,$DX$10:$DX$23,0)),0))</f>
        <v>230.68099999999998</v>
      </c>
      <c r="DR201" s="921">
        <f t="shared" si="166"/>
        <v>1144.2595714285715</v>
      </c>
      <c r="DS201" s="1004">
        <f ca="1">SUMIFS('Safety parameters'!$DM$6:$DM$18,'Safety parameters'!$DK$6:$DK$18,CZ201,'Safety parameters'!$DL$6:$DL$18,1)+IF(dd_PartSA_2_lines = "Yes",0,SUMIFS('Safety parameters'!$DM$6:$DM$18,'Safety parameters'!$DK$6:$DK$18,DA201,'Safety parameters'!$DL$6:$DL$18,2)+SUMIFS('Safety parameters'!$DM$6:$DM$18,'Safety parameters'!$DK$6:$DK$18,DB201,'Safety parameters'!$DL$6:$DL$18,2))</f>
        <v>1634.2286735654598</v>
      </c>
      <c r="DT201" s="910">
        <f ca="1">SUMIFS('Safety parameters'!$DO$6:$DO$18,'Safety parameters'!$DK$6:$DK$18,CZ201,'Safety parameters'!$DL$6:$DL$18,1)+IF(dd_PartSA_2_lines = "Yes",0,SUMIFS('Safety parameters'!$DO$6:$DO$18,'Safety parameters'!$DK$6:$DK$18,DA201,'Safety parameters'!$DL$6:$DL$18,2)+SUMIFS('Safety parameters'!$DO$6:$DO$18,'Safety parameters'!$DK$6:$DK$18,DB201,'Safety parameters'!$DL$6:$DL$18,2))</f>
        <v>-1.4741924007481429E-2</v>
      </c>
    </row>
    <row r="202" spans="89:124" ht="15" x14ac:dyDescent="0.2">
      <c r="CK202" s="61" t="s">
        <v>31</v>
      </c>
      <c r="CL202" s="61">
        <v>2</v>
      </c>
      <c r="CM202" s="61" t="str">
        <v>axitinib</v>
      </c>
      <c r="CN202" s="17">
        <v>11</v>
      </c>
      <c r="CO202" s="61" t="str" cm="1">
        <f t="array" ref="CO202">INDEX(List_comparators,CP201+1)</f>
        <v>everolimus</v>
      </c>
      <c r="CP202" s="17">
        <v>10</v>
      </c>
      <c r="CQ202" s="601">
        <f t="shared" ca="1" si="174"/>
        <v>0</v>
      </c>
      <c r="CR202" s="601">
        <f t="shared" ca="1" si="175"/>
        <v>0</v>
      </c>
      <c r="CS202" s="669">
        <f t="shared" ca="1" si="178"/>
        <v>15.714285714285714</v>
      </c>
      <c r="CT202" s="669">
        <f t="shared" ca="1" si="176"/>
        <v>1.2242857142857142</v>
      </c>
      <c r="CU202" s="1123">
        <f>MATCH(CZ202,'Resource use and costs'!$BA$11:$BA$53,0)</f>
        <v>37</v>
      </c>
      <c r="CV202" s="1223"/>
      <c r="CW202" s="1241">
        <f t="shared" si="164"/>
        <v>1</v>
      </c>
      <c r="CX202" s="899" t="s">
        <v>773</v>
      </c>
      <c r="CY202" s="899" t="s">
        <v>118</v>
      </c>
      <c r="CZ202" s="899" t="s">
        <v>119</v>
      </c>
      <c r="DA202" s="899" t="s">
        <v>319</v>
      </c>
      <c r="DB202" s="899" t="s">
        <v>765</v>
      </c>
      <c r="DC202" s="899" cm="1">
        <f t="array" aca="1" ref="DC202" ca="1">_xlfn.IFNA(OFFSET($I$49,MATCH(CY202,$I$50:$I$63,0),MATCH(CZ202,TRANSPOSE($J$49:$W$49),0)),0)</f>
        <v>0</v>
      </c>
      <c r="DD202" s="899" cm="1">
        <f t="array" aca="1" ref="DD202" ca="1">_xlfn.IFNA(OFFSET($Y$49,MATCH($CZ202,$Y$50:$Y$63,0),MATCH($DA202,TRANSPOSE($Z$49:$AM$49),0)),0)</f>
        <v>0</v>
      </c>
      <c r="DE202" s="899" cm="1">
        <f t="array" aca="1" ref="DE202" ca="1">_xlfn.IFNA(OFFSET($AO$49,MATCH($DA202,$AO$50:$AO$63,0),MATCH($DB202,TRANSPOSE($AP$49:$BC$49),0)),0)</f>
        <v>0.43140000000000001</v>
      </c>
      <c r="DF202" s="881">
        <f t="shared" ca="1" si="161"/>
        <v>0</v>
      </c>
      <c r="DG202" s="910">
        <f t="shared" ca="1" si="162"/>
        <v>1.0010447133454794</v>
      </c>
      <c r="DH202" s="881">
        <f t="shared" ca="1" si="163"/>
        <v>0</v>
      </c>
      <c r="DI202" s="1460">
        <f t="shared" ca="1" si="177"/>
        <v>0</v>
      </c>
      <c r="DJ202" s="909">
        <f>_xlfn.IFNA(INDEX('Resource use and costs'!$CQ$11:$CQ$53,MATCH($CZ202,'Resource use and costs'!$BA$11:$BA$53,0)),0)*_xlfn.IFNA(INDEX(DY$10:DY$23,MATCH($CZ202,$DX$10:$DX$23,0)),0)</f>
        <v>944.50399999999979</v>
      </c>
      <c r="DK202" s="909">
        <f>IF(dd_PartSA_2_lines = "Yes",0,_xlfn.IFNA(INDEX('Resource use and costs'!$CR$11:$CR$53,MATCH(DA202,'Resource use and costs'!$BA$11:$BA$53,0)),0)*_xlfn.IFNA(INDEX(EA$10:EA$23,MATCH($DA202,$DX$10:$DX$23,0)),0))</f>
        <v>11139.428571428571</v>
      </c>
      <c r="DL202" s="909">
        <f>IF(dd_PartSA_2_lines = "Yes",0,_xlfn.IFNA(INDEX('Resource use and costs'!$CS$11:$CS$53,MATCH(DB202,'Resource use and costs'!$BA$11:$BA$53,0)),0)*_xlfn.IFNA(INDEX(EC$10:EC$23,MATCH($DB202,$DX$10:$DX$23,0)),0))</f>
        <v>0</v>
      </c>
      <c r="DM202" s="909">
        <f t="shared" si="165"/>
        <v>12083.93257142857</v>
      </c>
      <c r="DN202" s="909">
        <f>SUM(_xlfn.IFNA(INDEX('Resource use and costs'!$DU$12:$DU$25,MATCH(CZ202,'Resource use and costs'!$DS$12:$DS$25,0)),0),_xlfn.IFNA(INDEX('Resource use and costs'!$DU$12:$DU$25,MATCH(DA202,'Resource use and costs'!$DS$12:$DS$25,0)),0),_xlfn.IFNA(INDEX('Resource use and costs'!$DU$12:$DU$25,MATCH(DB202,'Resource use and costs'!$DS$12:$DS$25,0)),0))</f>
        <v>394.5</v>
      </c>
      <c r="DO202" s="921">
        <f>_xlfn.IFNA(INDEX('Resource use and costs'!$DY$12:$DY$25,MATCH(CZ202,'Resource use and costs'!$DS$12:$DS$25,0)),0)*_xlfn.IFNA(INDEX(DY$10:DY$23,MATCH($CZ202,$DX$10:$DX$23,0)),0)</f>
        <v>82.971428571428561</v>
      </c>
      <c r="DP202" s="921">
        <f>IF(dd_PartSA_2_lines = "Yes",0,_xlfn.IFNA(INDEX('Resource use and costs'!$DZ$12:$DZ$25,MATCH(DA202,'Resource use and costs'!$DS$12:$DS$25,0)),0)*_xlfn.IFNA(INDEX(EA$10:EA$23,MATCH($DA202,$DX$10:$DX$23,0)),0))</f>
        <v>238.85714285714283</v>
      </c>
      <c r="DQ202" s="921">
        <f>IF(dd_PartSA_2_lines = "Yes",0,_xlfn.IFNA(INDEX('Resource use and costs'!$EA$12:$EA$25,MATCH(DB202,'Resource use and costs'!$DS$12:$DS$25,0)),0)*_xlfn.IFNA(INDEX(EC$10:EC$23,MATCH($DB202,$DX$10:$DX$23,0)),0))</f>
        <v>0</v>
      </c>
      <c r="DR202" s="921">
        <f t="shared" si="166"/>
        <v>716.32857142857142</v>
      </c>
      <c r="DS202" s="1004">
        <f>SUMIFS('Safety parameters'!$DM$6:$DM$18,'Safety parameters'!$DK$6:$DK$18,CZ202,'Safety parameters'!$DL$6:$DL$18,1)+IF(dd_PartSA_2_lines = "Yes",0,SUMIFS('Safety parameters'!$DM$6:$DM$18,'Safety parameters'!$DK$6:$DK$18,DA202,'Safety parameters'!$DL$6:$DL$18,2)+SUMIFS('Safety parameters'!$DM$6:$DM$18,'Safety parameters'!$DK$6:$DK$18,DB202,'Safety parameters'!$DL$6:$DL$18,2))</f>
        <v>0</v>
      </c>
      <c r="DT202" s="910">
        <f>SUMIFS('Safety parameters'!$DO$6:$DO$18,'Safety parameters'!$DK$6:$DK$18,CZ202,'Safety parameters'!$DL$6:$DL$18,1)+IF(dd_PartSA_2_lines = "Yes",0,SUMIFS('Safety parameters'!$DO$6:$DO$18,'Safety parameters'!$DK$6:$DK$18,DA202,'Safety parameters'!$DL$6:$DL$18,2)+SUMIFS('Safety parameters'!$DO$6:$DO$18,'Safety parameters'!$DK$6:$DK$18,DB202,'Safety parameters'!$DL$6:$DL$18,2))</f>
        <v>0</v>
      </c>
    </row>
    <row r="203" spans="89:124" ht="15" x14ac:dyDescent="0.2">
      <c r="CK203" s="61" t="s">
        <v>31</v>
      </c>
      <c r="CL203" s="61">
        <v>2</v>
      </c>
      <c r="CM203" s="61" t="str">
        <v>sorafenib</v>
      </c>
      <c r="CN203" s="17">
        <v>12</v>
      </c>
      <c r="CO203" s="61" t="str" cm="1">
        <f t="array" ref="CO203">INDEX(List_comparators,CP202+1)</f>
        <v>everolimus</v>
      </c>
      <c r="CP203" s="17">
        <v>10</v>
      </c>
      <c r="CQ203" s="601">
        <f t="shared" ca="1" si="174"/>
        <v>0</v>
      </c>
      <c r="CR203" s="601">
        <f t="shared" ca="1" si="175"/>
        <v>0</v>
      </c>
      <c r="CS203" s="669">
        <f t="shared" ca="1" si="178"/>
        <v>0</v>
      </c>
      <c r="CT203" s="669">
        <f t="shared" ca="1" si="176"/>
        <v>0</v>
      </c>
      <c r="CU203" s="1123">
        <f>MATCH(CZ203,'Resource use and costs'!$BA$11:$BA$53,0)</f>
        <v>43</v>
      </c>
      <c r="CV203" s="1223"/>
      <c r="CW203" s="1241">
        <f t="shared" si="164"/>
        <v>1</v>
      </c>
      <c r="CX203" s="899" t="s">
        <v>773</v>
      </c>
      <c r="CY203" s="899" t="s">
        <v>118</v>
      </c>
      <c r="CZ203" s="899" t="s">
        <v>333</v>
      </c>
      <c r="DA203" s="899" t="s">
        <v>327</v>
      </c>
      <c r="DB203" s="899" t="s">
        <v>765</v>
      </c>
      <c r="DC203" s="899" cm="1">
        <f t="array" aca="1" ref="DC203" ca="1">_xlfn.IFNA(OFFSET($I$49,MATCH(CY203,$I$50:$I$63,0),MATCH(CZ203,TRANSPOSE($J$49:$W$49),0)),0)</f>
        <v>4.4593339307048986E-2</v>
      </c>
      <c r="DD203" s="899" cm="1">
        <f t="array" aca="1" ref="DD203" ca="1">_xlfn.IFNA(OFFSET($Y$49,MATCH($CZ203,$Y$50:$Y$63,0),MATCH($DA203,TRANSPOSE($Z$49:$AM$49),0)),0)</f>
        <v>0</v>
      </c>
      <c r="DE203" s="899">
        <v>1</v>
      </c>
      <c r="DF203" s="881">
        <f t="shared" ref="DF203:DF266" ca="1" si="179">IF(AND(ISBLANK(DA203),ISBLANK(DA203)),DC203,IF(ISBLANK(DB203),DC203*DD203,DC203*DD203*DE203))</f>
        <v>0</v>
      </c>
      <c r="DG203" s="910">
        <f t="shared" ref="DG203:DG266" ca="1" si="180">IF(dd_reduceBSC="No",(1-SUMIFS($DF$11:$DF$779,$CY$11:$CY$779,CY203,$CX$11:$CX$779,CX203,$CW$11:$CW$779,0))/SUMIFS($DF$11:$DF$779,$CY$11:$CY$779,CY203,$CX$11:$CX$779,CX203,$CW$11:$CW$779,1),1/SUMIFS($DF$11:$DF$779,$CY$11:$CY$779,CY203,$CX$11:$CX$779,CX203,$CW$11:$CW$779,1))</f>
        <v>1.0010447133454794</v>
      </c>
      <c r="DH203" s="881">
        <f t="shared" ref="DH203:DH266" ca="1" si="181">IF(CZ203="BSC",IF(dd_reduceBSC="No",DF203,0),DF203*DG203)</f>
        <v>0</v>
      </c>
      <c r="DI203" s="1460">
        <f t="shared" ca="1" si="177"/>
        <v>0</v>
      </c>
      <c r="DJ203" s="909">
        <f>_xlfn.IFNA(INDEX('Resource use and costs'!$CQ$11:$CQ$53,MATCH($CZ203,'Resource use and costs'!$BA$11:$BA$53,0)),0)*_xlfn.IFNA(INDEX(DY$10:DY$23,MATCH($CZ203,$DX$10:$DX$23,0)),0)</f>
        <v>54336.641519999976</v>
      </c>
      <c r="DK203" s="909">
        <f>IF(dd_PartSA_2_lines = "Yes",0,_xlfn.IFNA(INDEX('Resource use and costs'!$CR$11:$CR$53,MATCH(DA203,'Resource use and costs'!$BA$11:$BA$53,0)),0)*_xlfn.IFNA(INDEX(EA$10:EA$23,MATCH($DA203,$DX$10:$DX$23,0)),0))</f>
        <v>21421.066008214286</v>
      </c>
      <c r="DL203" s="909">
        <f>IF(dd_PartSA_2_lines = "Yes",0,_xlfn.IFNA(INDEX('Resource use and costs'!$CS$11:$CS$53,MATCH(DB203,'Resource use and costs'!$BA$11:$BA$53,0)),0)*_xlfn.IFNA(INDEX(EC$10:EC$23,MATCH($DB203,$DX$10:$DX$23,0)),0))</f>
        <v>0</v>
      </c>
      <c r="DM203" s="909">
        <f t="shared" si="165"/>
        <v>75757.707528214261</v>
      </c>
      <c r="DN203" s="909">
        <f>SUM(_xlfn.IFNA(INDEX('Resource use and costs'!$DU$12:$DU$25,MATCH(CZ203,'Resource use and costs'!$DS$12:$DS$25,0)),0),_xlfn.IFNA(INDEX('Resource use and costs'!$DU$12:$DU$25,MATCH(DA203,'Resource use and costs'!$DS$12:$DS$25,0)),0),_xlfn.IFNA(INDEX('Resource use and costs'!$DU$12:$DU$25,MATCH(DB203,'Resource use and costs'!$DS$12:$DS$25,0)),0))</f>
        <v>394.5</v>
      </c>
      <c r="DO203" s="921">
        <f>_xlfn.IFNA(INDEX('Resource use and costs'!$DY$12:$DY$25,MATCH(CZ203,'Resource use and costs'!$DS$12:$DS$25,0)),0)*_xlfn.IFNA(INDEX(DY$10:DY$23,MATCH($CZ203,$DX$10:$DX$23,0)),0)</f>
        <v>810.54285714285697</v>
      </c>
      <c r="DP203" s="921">
        <f>IF(dd_PartSA_2_lines = "Yes",0,_xlfn.IFNA(INDEX('Resource use and costs'!$DZ$12:$DZ$25,MATCH(DA203,'Resource use and costs'!$DS$12:$DS$25,0)),0)*_xlfn.IFNA(INDEX(EA$10:EA$23,MATCH($DA203,$DX$10:$DX$23,0)),0))</f>
        <v>267.99172714285714</v>
      </c>
      <c r="DQ203" s="921">
        <f>IF(dd_PartSA_2_lines = "Yes",0,_xlfn.IFNA(INDEX('Resource use and costs'!$EA$12:$EA$25,MATCH(DB203,'Resource use and costs'!$DS$12:$DS$25,0)),0)*_xlfn.IFNA(INDEX(EC$10:EC$23,MATCH($DB203,$DX$10:$DX$23,0)),0))</f>
        <v>0</v>
      </c>
      <c r="DR203" s="921">
        <f t="shared" si="166"/>
        <v>1473.0345842857141</v>
      </c>
      <c r="DS203" s="1004">
        <f ca="1">SUMIFS('Safety parameters'!$DM$6:$DM$18,'Safety parameters'!$DK$6:$DK$18,CZ203,'Safety parameters'!$DL$6:$DL$18,1)+IF(dd_PartSA_2_lines = "Yes",0,SUMIFS('Safety parameters'!$DM$6:$DM$18,'Safety parameters'!$DK$6:$DK$18,DA203,'Safety parameters'!$DL$6:$DL$18,2)+SUMIFS('Safety parameters'!$DM$6:$DM$18,'Safety parameters'!$DK$6:$DK$18,DB203,'Safety parameters'!$DL$6:$DL$18,2))</f>
        <v>1634.2286735654598</v>
      </c>
      <c r="DT203" s="910">
        <f ca="1">SUMIFS('Safety parameters'!$DO$6:$DO$18,'Safety parameters'!$DK$6:$DK$18,CZ203,'Safety parameters'!$DL$6:$DL$18,1)+IF(dd_PartSA_2_lines = "Yes",0,SUMIFS('Safety parameters'!$DO$6:$DO$18,'Safety parameters'!$DK$6:$DK$18,DA203,'Safety parameters'!$DL$6:$DL$18,2)+SUMIFS('Safety parameters'!$DO$6:$DO$18,'Safety parameters'!$DK$6:$DK$18,DB203,'Safety parameters'!$DL$6:$DL$18,2))</f>
        <v>-1.4741924007481429E-2</v>
      </c>
    </row>
    <row r="204" spans="89:124" ht="15.75" thickBot="1" x14ac:dyDescent="0.25">
      <c r="CK204" s="506" t="s">
        <v>31</v>
      </c>
      <c r="CL204" s="506">
        <v>2</v>
      </c>
      <c r="CM204" s="506" t="str">
        <v>placebo_BSC</v>
      </c>
      <c r="CN204" s="19">
        <v>999</v>
      </c>
      <c r="CO204" s="506" t="str" cm="1">
        <f t="array" ref="CO204">INDEX(List_comparators,CP191+1)</f>
        <v>everolimus</v>
      </c>
      <c r="CP204" s="19">
        <v>10</v>
      </c>
      <c r="CQ204" s="602">
        <f t="shared" ca="1" si="174"/>
        <v>0</v>
      </c>
      <c r="CR204" s="602">
        <f t="shared" ca="1" si="175"/>
        <v>0</v>
      </c>
      <c r="CS204" s="670">
        <v>0</v>
      </c>
      <c r="CT204" s="670">
        <f t="shared" ca="1" si="176"/>
        <v>0</v>
      </c>
      <c r="CU204" s="1123">
        <f>MATCH(CZ204,'Resource use and costs'!$BA$11:$BA$53,0)</f>
        <v>43</v>
      </c>
      <c r="CV204" s="1223"/>
      <c r="CW204" s="1241">
        <f t="shared" ref="CW204:CW267" si="182">IF(CZ204="BSC",0,1)</f>
        <v>1</v>
      </c>
      <c r="CX204" s="899" t="s">
        <v>773</v>
      </c>
      <c r="CY204" s="899" t="s">
        <v>118</v>
      </c>
      <c r="CZ204" s="899" t="s">
        <v>333</v>
      </c>
      <c r="DA204" s="899" t="s">
        <v>765</v>
      </c>
      <c r="DB204" s="899"/>
      <c r="DC204" s="899" cm="1">
        <f t="array" aca="1" ref="DC204" ca="1">_xlfn.IFNA(OFFSET($I$49,MATCH(CY204,$I$50:$I$63,0),MATCH(CZ204,TRANSPOSE($J$49:$W$49),0)),0)</f>
        <v>4.4593339307048986E-2</v>
      </c>
      <c r="DD204" s="899" cm="1">
        <f t="array" aca="1" ref="DD204" ca="1">_xlfn.IFNA(OFFSET($Y$49,MATCH($CZ204,$Y$50:$Y$63,0),MATCH($DA204,TRANSPOSE($Z$49:$AM$49),0)),0)</f>
        <v>0.34300000000000003</v>
      </c>
      <c r="DE204" s="899" cm="1">
        <f t="array" aca="1" ref="DE204" ca="1">_xlfn.IFNA(OFFSET($AO$49,MATCH($DA204,$AO$50:$AO$63,0),MATCH($DB204,TRANSPOSE($AP$49:$BC$49),0)),0)</f>
        <v>0</v>
      </c>
      <c r="DF204" s="881">
        <f t="shared" ca="1" si="179"/>
        <v>1.5295515382317803E-2</v>
      </c>
      <c r="DG204" s="910">
        <f t="shared" ca="1" si="180"/>
        <v>1.0010447133454794</v>
      </c>
      <c r="DH204" s="881">
        <f t="shared" ca="1" si="181"/>
        <v>1.5311494811363697E-2</v>
      </c>
      <c r="DI204" s="1460">
        <f t="shared" ca="1" si="177"/>
        <v>1.7455104084954614</v>
      </c>
      <c r="DJ204" s="909">
        <f>_xlfn.IFNA(INDEX('Resource use and costs'!$CQ$11:$CQ$53,MATCH($CZ204,'Resource use and costs'!$BA$11:$BA$53,0)),0)*_xlfn.IFNA(INDEX(DY$10:DY$23,MATCH($CZ204,$DX$10:$DX$23,0)),0)</f>
        <v>54336.641519999976</v>
      </c>
      <c r="DK204" s="909">
        <f>IF(dd_PartSA_2_lines = "Yes",0,_xlfn.IFNA(INDEX('Resource use and costs'!$CR$11:$CR$53,MATCH(DA204,'Resource use and costs'!$BA$11:$BA$53,0)),0)*_xlfn.IFNA(INDEX(EA$10:EA$23,MATCH($DA204,$DX$10:$DX$23,0)),0))</f>
        <v>0</v>
      </c>
      <c r="DL204" s="909">
        <f>IF(dd_PartSA_2_lines = "Yes",0,_xlfn.IFNA(INDEX('Resource use and costs'!$CS$11:$CS$53,MATCH(DB204,'Resource use and costs'!$BA$11:$BA$53,0)),0)*_xlfn.IFNA(INDEX(EC$10:EC$23,MATCH($DB204,$DX$10:$DX$23,0)),0))</f>
        <v>0</v>
      </c>
      <c r="DM204" s="909">
        <f t="shared" ref="DM204:DM267" si="183">SUM(DJ204:DL204)</f>
        <v>54336.641519999976</v>
      </c>
      <c r="DN204" s="909">
        <f>SUM(_xlfn.IFNA(INDEX('Resource use and costs'!$DU$12:$DU$25,MATCH(CZ204,'Resource use and costs'!$DS$12:$DS$25,0)),0),_xlfn.IFNA(INDEX('Resource use and costs'!$DU$12:$DU$25,MATCH(DA204,'Resource use and costs'!$DS$12:$DS$25,0)),0),_xlfn.IFNA(INDEX('Resource use and costs'!$DU$12:$DU$25,MATCH(DB204,'Resource use and costs'!$DS$12:$DS$25,0)),0))</f>
        <v>197.25</v>
      </c>
      <c r="DO204" s="921">
        <f>_xlfn.IFNA(INDEX('Resource use and costs'!$DY$12:$DY$25,MATCH(CZ204,'Resource use and costs'!$DS$12:$DS$25,0)),0)*_xlfn.IFNA(INDEX(DY$10:DY$23,MATCH($CZ204,$DX$10:$DX$23,0)),0)</f>
        <v>810.54285714285697</v>
      </c>
      <c r="DP204" s="921">
        <f>IF(dd_PartSA_2_lines = "Yes",0,_xlfn.IFNA(INDEX('Resource use and costs'!$DZ$12:$DZ$25,MATCH(DA204,'Resource use and costs'!$DS$12:$DS$25,0)),0)*_xlfn.IFNA(INDEX(EA$10:EA$23,MATCH($DA204,$DX$10:$DX$23,0)),0))</f>
        <v>0</v>
      </c>
      <c r="DQ204" s="921">
        <f>IF(dd_PartSA_2_lines = "Yes",0,_xlfn.IFNA(INDEX('Resource use and costs'!$EA$12:$EA$25,MATCH(DB204,'Resource use and costs'!$DS$12:$DS$25,0)),0)*_xlfn.IFNA(INDEX(EC$10:EC$23,MATCH($DB204,$DX$10:$DX$23,0)),0))</f>
        <v>0</v>
      </c>
      <c r="DR204" s="921">
        <f t="shared" ref="DR204:DR267" si="184">SUM(DN204:DQ204)</f>
        <v>1007.792857142857</v>
      </c>
      <c r="DS204" s="1004">
        <f>SUMIFS('Safety parameters'!$DM$6:$DM$18,'Safety parameters'!$DK$6:$DK$18,CZ204,'Safety parameters'!$DL$6:$DL$18,1)+IF(dd_PartSA_2_lines = "Yes",0,SUMIFS('Safety parameters'!$DM$6:$DM$18,'Safety parameters'!$DK$6:$DK$18,DA204,'Safety parameters'!$DL$6:$DL$18,2)+SUMIFS('Safety parameters'!$DM$6:$DM$18,'Safety parameters'!$DK$6:$DK$18,DB204,'Safety parameters'!$DL$6:$DL$18,2))</f>
        <v>0</v>
      </c>
      <c r="DT204" s="910">
        <f>SUMIFS('Safety parameters'!$DO$6:$DO$18,'Safety parameters'!$DK$6:$DK$18,CZ204,'Safety parameters'!$DL$6:$DL$18,1)+IF(dd_PartSA_2_lines = "Yes",0,SUMIFS('Safety parameters'!$DO$6:$DO$18,'Safety parameters'!$DK$6:$DK$18,DA204,'Safety parameters'!$DL$6:$DL$18,2)+SUMIFS('Safety parameters'!$DO$6:$DO$18,'Safety parameters'!$DK$6:$DK$18,DB204,'Safety parameters'!$DL$6:$DL$18,2))</f>
        <v>0</v>
      </c>
    </row>
    <row r="205" spans="89:124" ht="15" x14ac:dyDescent="0.2">
      <c r="CK205" s="505" t="s">
        <v>31</v>
      </c>
      <c r="CL205" s="505">
        <v>2</v>
      </c>
      <c r="CM205" s="61" t="str" cm="1">
        <f t="array" ref="CM205:CM218">List_comparators</f>
        <v>nivolumab_monotherapy</v>
      </c>
      <c r="CN205" s="17">
        <v>0</v>
      </c>
      <c r="CO205" s="61" t="str" cm="1">
        <f t="array" ref="CO205">INDEX(List_comparators,CP205+1)</f>
        <v>axitinib</v>
      </c>
      <c r="CP205" s="17">
        <v>11</v>
      </c>
      <c r="CQ205" s="603">
        <f t="shared" ca="1" si="174"/>
        <v>0</v>
      </c>
      <c r="CR205" s="603">
        <f t="shared" ca="1" si="175"/>
        <v>0</v>
      </c>
      <c r="CS205" s="669">
        <f t="shared" ref="CS205:CS217" ca="1" si="185">OFFSET($J$81,IF(CN205=999,13,CN205),CP205)</f>
        <v>28.869999999999997</v>
      </c>
      <c r="CT205" s="669">
        <f t="shared" ca="1" si="176"/>
        <v>7.1457142857142859</v>
      </c>
      <c r="CU205" s="1123">
        <f>MATCH(CZ205,'Resource use and costs'!$BA$11:$BA$53,0)</f>
        <v>43</v>
      </c>
      <c r="CV205" s="1223"/>
      <c r="CW205" s="1241">
        <f t="shared" si="182"/>
        <v>1</v>
      </c>
      <c r="CX205" s="899" t="s">
        <v>773</v>
      </c>
      <c r="CY205" s="899" t="s">
        <v>118</v>
      </c>
      <c r="CZ205" s="899" t="s">
        <v>333</v>
      </c>
      <c r="DA205" s="899" t="s">
        <v>579</v>
      </c>
      <c r="DB205" s="899" t="s">
        <v>327</v>
      </c>
      <c r="DC205" s="899" cm="1">
        <f t="array" aca="1" ref="DC205" ca="1">_xlfn.IFNA(OFFSET($I$49,MATCH(CY205,$I$50:$I$63,0),MATCH(CZ205,TRANSPOSE($J$49:$W$49),0)),0)</f>
        <v>4.4593339307048986E-2</v>
      </c>
      <c r="DD205" s="899">
        <f ca="1">1-DD204-DD207-DD209-DD211</f>
        <v>0.57489999999999997</v>
      </c>
      <c r="DE205" s="899" cm="1">
        <f t="array" aca="1" ref="DE205" ca="1">_xlfn.IFNA(OFFSET($AO$49,MATCH($DA205,$AO$50:$AO$63,0),MATCH($DB205,TRANSPOSE($AP$49:$BC$49),0)),0)</f>
        <v>0.56859999999999999</v>
      </c>
      <c r="DF205" s="881">
        <f t="shared" ca="1" si="179"/>
        <v>1.4577033742470132E-2</v>
      </c>
      <c r="DG205" s="910">
        <f t="shared" ca="1" si="180"/>
        <v>1.0010447133454794</v>
      </c>
      <c r="DH205" s="881">
        <f t="shared" ca="1" si="181"/>
        <v>1.4592262564158394E-2</v>
      </c>
      <c r="DI205" s="1460">
        <f t="shared" ca="1" si="177"/>
        <v>1.6635179323140568</v>
      </c>
      <c r="DJ205" s="909">
        <f>_xlfn.IFNA(INDEX('Resource use and costs'!$CQ$11:$CQ$53,MATCH($CZ205,'Resource use and costs'!$BA$11:$BA$53,0)),0)*_xlfn.IFNA(INDEX(DY$10:DY$23,MATCH($CZ205,$DX$10:$DX$23,0)),0)</f>
        <v>54336.641519999976</v>
      </c>
      <c r="DK205" s="909">
        <f>IF(dd_PartSA_2_lines = "Yes",0,_xlfn.IFNA(INDEX('Resource use and costs'!$CR$11:$CR$53,MATCH(DA205,'Resource use and costs'!$BA$11:$BA$53,0)),0)*_xlfn.IFNA(INDEX(EA$10:EA$23,MATCH($DA205,$DX$10:$DX$23,0)),0))</f>
        <v>26054.50921</v>
      </c>
      <c r="DL205" s="909">
        <f>IF(dd_PartSA_2_lines = "Yes",0,_xlfn.IFNA(INDEX('Resource use and costs'!$CS$11:$CS$53,MATCH(DB205,'Resource use and costs'!$BA$11:$BA$53,0)),0)*_xlfn.IFNA(INDEX(EC$10:EC$23,MATCH($DB205,$DX$10:$DX$23,0)),0))</f>
        <v>18438.751749999999</v>
      </c>
      <c r="DM205" s="909">
        <f t="shared" si="183"/>
        <v>98829.902479999975</v>
      </c>
      <c r="DN205" s="909">
        <f>SUM(_xlfn.IFNA(INDEX('Resource use and costs'!$DU$12:$DU$25,MATCH(CZ205,'Resource use and costs'!$DS$12:$DS$25,0)),0),_xlfn.IFNA(INDEX('Resource use and costs'!$DU$12:$DU$25,MATCH(DA205,'Resource use and costs'!$DS$12:$DS$25,0)),0),_xlfn.IFNA(INDEX('Resource use and costs'!$DU$12:$DU$25,MATCH(DB205,'Resource use and costs'!$DS$12:$DS$25,0)),0))</f>
        <v>394.5</v>
      </c>
      <c r="DO205" s="921">
        <f>_xlfn.IFNA(INDEX('Resource use and costs'!$DY$12:$DY$25,MATCH(CZ205,'Resource use and costs'!$DS$12:$DS$25,0)),0)*_xlfn.IFNA(INDEX(DY$10:DY$23,MATCH($CZ205,$DX$10:$DX$23,0)),0)</f>
        <v>810.54285714285697</v>
      </c>
      <c r="DP205" s="921">
        <f>IF(dd_PartSA_2_lines = "Yes",0,_xlfn.IFNA(INDEX('Resource use and costs'!$DZ$12:$DZ$25,MATCH(DA205,'Resource use and costs'!$DS$12:$DS$25,0)),0)*_xlfn.IFNA(INDEX(EA$10:EA$23,MATCH($DA205,$DX$10:$DX$23,0)),0))</f>
        <v>4108.3597166</v>
      </c>
      <c r="DQ205" s="921">
        <f>IF(dd_PartSA_2_lines = "Yes",0,_xlfn.IFNA(INDEX('Resource use and costs'!$EA$12:$EA$25,MATCH(DB205,'Resource use and costs'!$DS$12:$DS$25,0)),0)*_xlfn.IFNA(INDEX(EC$10:EC$23,MATCH($DB205,$DX$10:$DX$23,0)),0))</f>
        <v>230.68099999999998</v>
      </c>
      <c r="DR205" s="921">
        <f t="shared" si="184"/>
        <v>5544.0835737428561</v>
      </c>
      <c r="DS205" s="1004">
        <f ca="1">SUMIFS('Safety parameters'!$DM$6:$DM$18,'Safety parameters'!$DK$6:$DK$18,CZ205,'Safety parameters'!$DL$6:$DL$18,1)+IF(dd_PartSA_2_lines = "Yes",0,SUMIFS('Safety parameters'!$DM$6:$DM$18,'Safety parameters'!$DK$6:$DK$18,DA205,'Safety parameters'!$DL$6:$DL$18,2)+SUMIFS('Safety parameters'!$DM$6:$DM$18,'Safety parameters'!$DK$6:$DK$18,DB205,'Safety parameters'!$DL$6:$DL$18,2))</f>
        <v>1795.3624225558742</v>
      </c>
      <c r="DT205" s="910">
        <f ca="1">SUMIFS('Safety parameters'!$DO$6:$DO$18,'Safety parameters'!$DK$6:$DK$18,CZ205,'Safety parameters'!$DL$6:$DL$18,1)+IF(dd_PartSA_2_lines = "Yes",0,SUMIFS('Safety parameters'!$DO$6:$DO$18,'Safety parameters'!$DK$6:$DK$18,DA205,'Safety parameters'!$DL$6:$DL$18,2)+SUMIFS('Safety parameters'!$DO$6:$DO$18,'Safety parameters'!$DK$6:$DK$18,DB205,'Safety parameters'!$DL$6:$DL$18,2))</f>
        <v>-1.6339008205166216E-2</v>
      </c>
    </row>
    <row r="206" spans="89:124" ht="15" x14ac:dyDescent="0.2">
      <c r="CK206" s="61" t="s">
        <v>31</v>
      </c>
      <c r="CL206" s="61">
        <v>2</v>
      </c>
      <c r="CM206" s="61" t="str">
        <v>cabozantinib_plus_nivolumab</v>
      </c>
      <c r="CN206" s="17">
        <v>1</v>
      </c>
      <c r="CO206" s="61" t="str" cm="1">
        <f t="array" ref="CO206">INDEX(List_comparators,CP205+1)</f>
        <v>axitinib</v>
      </c>
      <c r="CP206" s="17">
        <v>11</v>
      </c>
      <c r="CQ206" s="601">
        <f t="shared" ca="1" si="174"/>
        <v>0</v>
      </c>
      <c r="CR206" s="601">
        <f t="shared" ca="1" si="175"/>
        <v>0</v>
      </c>
      <c r="CS206" s="669">
        <f t="shared" ca="1" si="185"/>
        <v>28.869999999999997</v>
      </c>
      <c r="CT206" s="669">
        <f t="shared" ca="1" si="176"/>
        <v>7.1457142857142859</v>
      </c>
      <c r="CU206" s="1123">
        <f>MATCH(CZ206,'Resource use and costs'!$BA$11:$BA$53,0)</f>
        <v>43</v>
      </c>
      <c r="CV206" s="1223"/>
      <c r="CW206" s="1241">
        <f t="shared" si="182"/>
        <v>1</v>
      </c>
      <c r="CX206" s="899" t="s">
        <v>773</v>
      </c>
      <c r="CY206" s="899" t="s">
        <v>118</v>
      </c>
      <c r="CZ206" s="899" t="s">
        <v>333</v>
      </c>
      <c r="DA206" s="899" t="s">
        <v>579</v>
      </c>
      <c r="DB206" s="899" t="s">
        <v>765</v>
      </c>
      <c r="DC206" s="899" cm="1">
        <f t="array" aca="1" ref="DC206" ca="1">_xlfn.IFNA(OFFSET($I$49,MATCH(CY206,$I$50:$I$63,0),MATCH(CZ206,TRANSPOSE($J$49:$W$49),0)),0)</f>
        <v>4.4593339307048986E-2</v>
      </c>
      <c r="DD206" s="899">
        <f ca="1">DD205</f>
        <v>0.57489999999999997</v>
      </c>
      <c r="DE206" s="899" cm="1">
        <f t="array" aca="1" ref="DE206" ca="1">_xlfn.IFNA(OFFSET($AO$49,MATCH($DA206,$AO$50:$AO$63,0),MATCH($DB206,TRANSPOSE($AP$49:$BC$49),0)),0)</f>
        <v>0.43140000000000001</v>
      </c>
      <c r="DF206" s="881">
        <f t="shared" ca="1" si="179"/>
        <v>1.105967702515233E-2</v>
      </c>
      <c r="DG206" s="910">
        <f t="shared" ca="1" si="180"/>
        <v>1.0010447133454794</v>
      </c>
      <c r="DH206" s="881">
        <f t="shared" ca="1" si="181"/>
        <v>1.1071231217337199E-2</v>
      </c>
      <c r="DI206" s="1460">
        <f t="shared" ca="1" si="177"/>
        <v>1.2621203587764407</v>
      </c>
      <c r="DJ206" s="909">
        <f>_xlfn.IFNA(INDEX('Resource use and costs'!$CQ$11:$CQ$53,MATCH($CZ206,'Resource use and costs'!$BA$11:$BA$53,0)),0)*_xlfn.IFNA(INDEX(DY$10:DY$23,MATCH($CZ206,$DX$10:$DX$23,0)),0)</f>
        <v>54336.641519999976</v>
      </c>
      <c r="DK206" s="909">
        <f>IF(dd_PartSA_2_lines = "Yes",0,_xlfn.IFNA(INDEX('Resource use and costs'!$CR$11:$CR$53,MATCH(DA206,'Resource use and costs'!$BA$11:$BA$53,0)),0)*_xlfn.IFNA(INDEX(EA$10:EA$23,MATCH($DA206,$DX$10:$DX$23,0)),0))</f>
        <v>26054.50921</v>
      </c>
      <c r="DL206" s="909">
        <f>IF(dd_PartSA_2_lines = "Yes",0,_xlfn.IFNA(INDEX('Resource use and costs'!$CS$11:$CS$53,MATCH(DB206,'Resource use and costs'!$BA$11:$BA$53,0)),0)*_xlfn.IFNA(INDEX(EC$10:EC$23,MATCH($DB206,$DX$10:$DX$23,0)),0))</f>
        <v>0</v>
      </c>
      <c r="DM206" s="909">
        <f t="shared" si="183"/>
        <v>80391.150729999979</v>
      </c>
      <c r="DN206" s="909">
        <f>SUM(_xlfn.IFNA(INDEX('Resource use and costs'!$DU$12:$DU$25,MATCH(CZ206,'Resource use and costs'!$DS$12:$DS$25,0)),0),_xlfn.IFNA(INDEX('Resource use and costs'!$DU$12:$DU$25,MATCH(DA206,'Resource use and costs'!$DS$12:$DS$25,0)),0),_xlfn.IFNA(INDEX('Resource use and costs'!$DU$12:$DU$25,MATCH(DB206,'Resource use and costs'!$DS$12:$DS$25,0)),0))</f>
        <v>197.25</v>
      </c>
      <c r="DO206" s="921">
        <f>_xlfn.IFNA(INDEX('Resource use and costs'!$DY$12:$DY$25,MATCH(CZ206,'Resource use and costs'!$DS$12:$DS$25,0)),0)*_xlfn.IFNA(INDEX(DY$10:DY$23,MATCH($CZ206,$DX$10:$DX$23,0)),0)</f>
        <v>810.54285714285697</v>
      </c>
      <c r="DP206" s="921">
        <f>IF(dd_PartSA_2_lines = "Yes",0,_xlfn.IFNA(INDEX('Resource use and costs'!$DZ$12:$DZ$25,MATCH(DA206,'Resource use and costs'!$DS$12:$DS$25,0)),0)*_xlfn.IFNA(INDEX(EA$10:EA$23,MATCH($DA206,$DX$10:$DX$23,0)),0))</f>
        <v>4108.3597166</v>
      </c>
      <c r="DQ206" s="921">
        <f>IF(dd_PartSA_2_lines = "Yes",0,_xlfn.IFNA(INDEX('Resource use and costs'!$EA$12:$EA$25,MATCH(DB206,'Resource use and costs'!$DS$12:$DS$25,0)),0)*_xlfn.IFNA(INDEX(EC$10:EC$23,MATCH($DB206,$DX$10:$DX$23,0)),0))</f>
        <v>0</v>
      </c>
      <c r="DR206" s="921">
        <f t="shared" si="184"/>
        <v>5116.1525737428565</v>
      </c>
      <c r="DS206" s="1004">
        <f ca="1">SUMIFS('Safety parameters'!$DM$6:$DM$18,'Safety parameters'!$DK$6:$DK$18,CZ206,'Safety parameters'!$DL$6:$DL$18,1)+IF(dd_PartSA_2_lines = "Yes",0,SUMIFS('Safety parameters'!$DM$6:$DM$18,'Safety parameters'!$DK$6:$DK$18,DA206,'Safety parameters'!$DL$6:$DL$18,2)+SUMIFS('Safety parameters'!$DM$6:$DM$18,'Safety parameters'!$DK$6:$DK$18,DB206,'Safety parameters'!$DL$6:$DL$18,2))</f>
        <v>161.1337489904144</v>
      </c>
      <c r="DT206" s="910">
        <f ca="1">SUMIFS('Safety parameters'!$DO$6:$DO$18,'Safety parameters'!$DK$6:$DK$18,CZ206,'Safety parameters'!$DL$6:$DL$18,1)+IF(dd_PartSA_2_lines = "Yes",0,SUMIFS('Safety parameters'!$DO$6:$DO$18,'Safety parameters'!$DK$6:$DK$18,DA206,'Safety parameters'!$DL$6:$DL$18,2)+SUMIFS('Safety parameters'!$DO$6:$DO$18,'Safety parameters'!$DK$6:$DK$18,DB206,'Safety parameters'!$DL$6:$DL$18,2))</f>
        <v>-1.5970841976847864E-3</v>
      </c>
    </row>
    <row r="207" spans="89:124" ht="15" x14ac:dyDescent="0.2">
      <c r="CK207" s="61" t="s">
        <v>31</v>
      </c>
      <c r="CL207" s="61">
        <v>2</v>
      </c>
      <c r="CM207" s="61" t="str">
        <v>nivolumab_plus_ipilimumab</v>
      </c>
      <c r="CN207" s="17">
        <v>2</v>
      </c>
      <c r="CO207" s="61" t="str" cm="1">
        <f t="array" ref="CO207">INDEX(List_comparators,CP206+1)</f>
        <v>axitinib</v>
      </c>
      <c r="CP207" s="17">
        <v>11</v>
      </c>
      <c r="CQ207" s="601">
        <f t="shared" ca="1" si="174"/>
        <v>5.1956504646737851E-3</v>
      </c>
      <c r="CR207" s="601">
        <f t="shared" ca="1" si="175"/>
        <v>5.1956504646737849E-4</v>
      </c>
      <c r="CS207" s="669">
        <f t="shared" ca="1" si="185"/>
        <v>28.869999999999997</v>
      </c>
      <c r="CT207" s="669">
        <f t="shared" ca="1" si="176"/>
        <v>7.1457142857142859</v>
      </c>
      <c r="CU207" s="1123">
        <f>MATCH(CZ207,'Resource use and costs'!$BA$11:$BA$53,0)</f>
        <v>43</v>
      </c>
      <c r="CV207" s="1223"/>
      <c r="CW207" s="1241">
        <f t="shared" si="182"/>
        <v>1</v>
      </c>
      <c r="CX207" s="899" t="s">
        <v>773</v>
      </c>
      <c r="CY207" s="899" t="s">
        <v>118</v>
      </c>
      <c r="CZ207" s="899" t="s">
        <v>333</v>
      </c>
      <c r="DA207" s="899" t="s">
        <v>585</v>
      </c>
      <c r="DB207" s="899" t="s">
        <v>327</v>
      </c>
      <c r="DC207" s="899" cm="1">
        <f t="array" aca="1" ref="DC207" ca="1">_xlfn.IFNA(OFFSET($I$49,MATCH(CY207,$I$50:$I$63,0),MATCH(CZ207,TRANSPOSE($J$49:$W$49),0)),0)</f>
        <v>4.4593339307048986E-2</v>
      </c>
      <c r="DD207" s="899" cm="1">
        <f t="array" aca="1" ref="DD207" ca="1">_xlfn.IFNA(OFFSET($Y$49,MATCH($CZ207,$Y$50:$Y$63,0),MATCH($DA207,TRANSPOSE($Z$49:$AM$49),0)),0)</f>
        <v>8.2100000000000006E-2</v>
      </c>
      <c r="DE207" s="899">
        <f ca="1">1-DE208</f>
        <v>0.56859999999999999</v>
      </c>
      <c r="DF207" s="881">
        <f t="shared" ca="1" si="179"/>
        <v>2.0817089411320194E-3</v>
      </c>
      <c r="DG207" s="910">
        <f t="shared" ca="1" si="180"/>
        <v>1.0010447133454794</v>
      </c>
      <c r="DH207" s="881">
        <f t="shared" ca="1" si="181"/>
        <v>2.0838837302442239E-3</v>
      </c>
      <c r="DI207" s="1460">
        <f t="shared" ca="1" si="177"/>
        <v>0.23756274524784152</v>
      </c>
      <c r="DJ207" s="909">
        <f>_xlfn.IFNA(INDEX('Resource use and costs'!$CQ$11:$CQ$53,MATCH($CZ207,'Resource use and costs'!$BA$11:$BA$53,0)),0)*_xlfn.IFNA(INDEX(DY$10:DY$23,MATCH($CZ207,$DX$10:$DX$23,0)),0)</f>
        <v>54336.641519999976</v>
      </c>
      <c r="DK207" s="909">
        <f>IF(dd_PartSA_2_lines = "Yes",0,_xlfn.IFNA(INDEX('Resource use and costs'!$CR$11:$CR$53,MATCH(DA207,'Resource use and costs'!$BA$11:$BA$53,0)),0)*_xlfn.IFNA(INDEX(EA$10:EA$23,MATCH($DA207,$DX$10:$DX$23,0)),0))</f>
        <v>1987.9066666666663</v>
      </c>
      <c r="DL207" s="909">
        <f>IF(dd_PartSA_2_lines = "Yes",0,_xlfn.IFNA(INDEX('Resource use and costs'!$CS$11:$CS$53,MATCH(DB207,'Resource use and costs'!$BA$11:$BA$53,0)),0)*_xlfn.IFNA(INDEX(EC$10:EC$23,MATCH($DB207,$DX$10:$DX$23,0)),0))</f>
        <v>18438.751749999999</v>
      </c>
      <c r="DM207" s="909">
        <f t="shared" si="183"/>
        <v>74763.299936666648</v>
      </c>
      <c r="DN207" s="909">
        <f>SUM(_xlfn.IFNA(INDEX('Resource use and costs'!$DU$12:$DU$25,MATCH(CZ207,'Resource use and costs'!$DS$12:$DS$25,0)),0),_xlfn.IFNA(INDEX('Resource use and costs'!$DU$12:$DU$25,MATCH(DA207,'Resource use and costs'!$DS$12:$DS$25,0)),0),_xlfn.IFNA(INDEX('Resource use and costs'!$DU$12:$DU$25,MATCH(DB207,'Resource use and costs'!$DS$12:$DS$25,0)),0))</f>
        <v>591.75</v>
      </c>
      <c r="DO207" s="921">
        <f>_xlfn.IFNA(INDEX('Resource use and costs'!$DY$12:$DY$25,MATCH(CZ207,'Resource use and costs'!$DS$12:$DS$25,0)),0)*_xlfn.IFNA(INDEX(DY$10:DY$23,MATCH($CZ207,$DX$10:$DX$23,0)),0)</f>
        <v>810.54285714285697</v>
      </c>
      <c r="DP207" s="921">
        <f>IF(dd_PartSA_2_lines = "Yes",0,_xlfn.IFNA(INDEX('Resource use and costs'!$DZ$12:$DZ$25,MATCH(DA207,'Resource use and costs'!$DS$12:$DS$25,0)),0)*_xlfn.IFNA(INDEX(EA$10:EA$23,MATCH($DA207,$DX$10:$DX$23,0)),0))</f>
        <v>179.14285714285711</v>
      </c>
      <c r="DQ207" s="921">
        <f>IF(dd_PartSA_2_lines = "Yes",0,_xlfn.IFNA(INDEX('Resource use and costs'!$EA$12:$EA$25,MATCH(DB207,'Resource use and costs'!$DS$12:$DS$25,0)),0)*_xlfn.IFNA(INDEX(EC$10:EC$23,MATCH($DB207,$DX$10:$DX$23,0)),0))</f>
        <v>230.68099999999998</v>
      </c>
      <c r="DR207" s="921">
        <f t="shared" si="184"/>
        <v>1812.1167142857141</v>
      </c>
      <c r="DS207" s="1004">
        <f ca="1">SUMIFS('Safety parameters'!$DM$6:$DM$18,'Safety parameters'!$DK$6:$DK$18,CZ207,'Safety parameters'!$DL$6:$DL$18,1)+IF(dd_PartSA_2_lines = "Yes",0,SUMIFS('Safety parameters'!$DM$6:$DM$18,'Safety parameters'!$DK$6:$DK$18,DA207,'Safety parameters'!$DL$6:$DL$18,2)+SUMIFS('Safety parameters'!$DM$6:$DM$18,'Safety parameters'!$DK$6:$DK$18,DB207,'Safety parameters'!$DL$6:$DL$18,2))</f>
        <v>1634.2286735654598</v>
      </c>
      <c r="DT207" s="910">
        <f ca="1">SUMIFS('Safety parameters'!$DO$6:$DO$18,'Safety parameters'!$DK$6:$DK$18,CZ207,'Safety parameters'!$DL$6:$DL$18,1)+IF(dd_PartSA_2_lines = "Yes",0,SUMIFS('Safety parameters'!$DO$6:$DO$18,'Safety parameters'!$DK$6:$DK$18,DA207,'Safety parameters'!$DL$6:$DL$18,2)+SUMIFS('Safety parameters'!$DO$6:$DO$18,'Safety parameters'!$DK$6:$DK$18,DB207,'Safety parameters'!$DL$6:$DL$18,2))</f>
        <v>-1.4741924007481429E-2</v>
      </c>
    </row>
    <row r="208" spans="89:124" ht="15" x14ac:dyDescent="0.2">
      <c r="CK208" s="61" t="s">
        <v>31</v>
      </c>
      <c r="CL208" s="61">
        <v>2</v>
      </c>
      <c r="CM208" s="61" t="str">
        <v>lenvatinib_plus_pembrolizumab</v>
      </c>
      <c r="CN208" s="17">
        <v>3</v>
      </c>
      <c r="CO208" s="61" t="str" cm="1">
        <f t="array" ref="CO208">INDEX(List_comparators,CP207+1)</f>
        <v>axitinib</v>
      </c>
      <c r="CP208" s="17">
        <v>11</v>
      </c>
      <c r="CQ208" s="601">
        <f t="shared" ca="1" si="174"/>
        <v>0</v>
      </c>
      <c r="CR208" s="601">
        <f t="shared" ca="1" si="175"/>
        <v>0</v>
      </c>
      <c r="CS208" s="669">
        <f t="shared" ca="1" si="185"/>
        <v>28.869999999999997</v>
      </c>
      <c r="CT208" s="669">
        <f t="shared" ca="1" si="176"/>
        <v>7.1457142857142859</v>
      </c>
      <c r="CU208" s="1123">
        <f>MATCH(CZ208,'Resource use and costs'!$BA$11:$BA$53,0)</f>
        <v>43</v>
      </c>
      <c r="CV208" s="1223"/>
      <c r="CW208" s="1241">
        <f t="shared" si="182"/>
        <v>1</v>
      </c>
      <c r="CX208" s="899" t="s">
        <v>773</v>
      </c>
      <c r="CY208" s="899" t="s">
        <v>118</v>
      </c>
      <c r="CZ208" s="899" t="s">
        <v>333</v>
      </c>
      <c r="DA208" s="899" t="s">
        <v>585</v>
      </c>
      <c r="DB208" s="899" t="s">
        <v>765</v>
      </c>
      <c r="DC208" s="899" cm="1">
        <f t="array" aca="1" ref="DC208" ca="1">_xlfn.IFNA(OFFSET($I$49,MATCH(CY208,$I$50:$I$63,0),MATCH(CZ208,TRANSPOSE($J$49:$W$49),0)),0)</f>
        <v>4.4593339307048986E-2</v>
      </c>
      <c r="DD208" s="899" cm="1">
        <f t="array" aca="1" ref="DD208" ca="1">_xlfn.IFNA(OFFSET($Y$49,MATCH($CZ208,$Y$50:$Y$63,0),MATCH($DA208,TRANSPOSE($Z$49:$AM$49),0)),0)</f>
        <v>8.2100000000000006E-2</v>
      </c>
      <c r="DE208" s="899" cm="1">
        <f t="array" aca="1" ref="DE208" ca="1">_xlfn.IFNA(OFFSET($AO$49,MATCH($DA208,$AO$50:$AO$63,0),MATCH($DB208,TRANSPOSE($AP$49:$BC$49),0)),0)</f>
        <v>0.43140000000000001</v>
      </c>
      <c r="DF208" s="881">
        <f t="shared" ca="1" si="179"/>
        <v>1.5794042159767026E-3</v>
      </c>
      <c r="DG208" s="910">
        <f t="shared" ca="1" si="180"/>
        <v>1.0010447133454794</v>
      </c>
      <c r="DH208" s="881">
        <f t="shared" ca="1" si="181"/>
        <v>1.5810542406390399E-3</v>
      </c>
      <c r="DI208" s="1460">
        <f t="shared" ca="1" si="177"/>
        <v>0.18024018343285053</v>
      </c>
      <c r="DJ208" s="909">
        <f>_xlfn.IFNA(INDEX('Resource use and costs'!$CQ$11:$CQ$53,MATCH($CZ208,'Resource use and costs'!$BA$11:$BA$53,0)),0)*_xlfn.IFNA(INDEX(DY$10:DY$23,MATCH($CZ208,$DX$10:$DX$23,0)),0)</f>
        <v>54336.641519999976</v>
      </c>
      <c r="DK208" s="909">
        <f>IF(dd_PartSA_2_lines = "Yes",0,_xlfn.IFNA(INDEX('Resource use and costs'!$CR$11:$CR$53,MATCH(DA208,'Resource use and costs'!$BA$11:$BA$53,0)),0)*_xlfn.IFNA(INDEX(EA$10:EA$23,MATCH($DA208,$DX$10:$DX$23,0)),0))</f>
        <v>1987.9066666666663</v>
      </c>
      <c r="DL208" s="909">
        <f>IF(dd_PartSA_2_lines = "Yes",0,_xlfn.IFNA(INDEX('Resource use and costs'!$CS$11:$CS$53,MATCH(DB208,'Resource use and costs'!$BA$11:$BA$53,0)),0)*_xlfn.IFNA(INDEX(EC$10:EC$23,MATCH($DB208,$DX$10:$DX$23,0)),0))</f>
        <v>0</v>
      </c>
      <c r="DM208" s="909">
        <f t="shared" si="183"/>
        <v>56324.548186666645</v>
      </c>
      <c r="DN208" s="909">
        <f>SUM(_xlfn.IFNA(INDEX('Resource use and costs'!$DU$12:$DU$25,MATCH(CZ208,'Resource use and costs'!$DS$12:$DS$25,0)),0),_xlfn.IFNA(INDEX('Resource use and costs'!$DU$12:$DU$25,MATCH(DA208,'Resource use and costs'!$DS$12:$DS$25,0)),0),_xlfn.IFNA(INDEX('Resource use and costs'!$DU$12:$DU$25,MATCH(DB208,'Resource use and costs'!$DS$12:$DS$25,0)),0))</f>
        <v>394.5</v>
      </c>
      <c r="DO208" s="921">
        <f>_xlfn.IFNA(INDEX('Resource use and costs'!$DY$12:$DY$25,MATCH(CZ208,'Resource use and costs'!$DS$12:$DS$25,0)),0)*_xlfn.IFNA(INDEX(DY$10:DY$23,MATCH($CZ208,$DX$10:$DX$23,0)),0)</f>
        <v>810.54285714285697</v>
      </c>
      <c r="DP208" s="921">
        <f>IF(dd_PartSA_2_lines = "Yes",0,_xlfn.IFNA(INDEX('Resource use and costs'!$DZ$12:$DZ$25,MATCH(DA208,'Resource use and costs'!$DS$12:$DS$25,0)),0)*_xlfn.IFNA(INDEX(EA$10:EA$23,MATCH($DA208,$DX$10:$DX$23,0)),0))</f>
        <v>179.14285714285711</v>
      </c>
      <c r="DQ208" s="921">
        <f>IF(dd_PartSA_2_lines = "Yes",0,_xlfn.IFNA(INDEX('Resource use and costs'!$EA$12:$EA$25,MATCH(DB208,'Resource use and costs'!$DS$12:$DS$25,0)),0)*_xlfn.IFNA(INDEX(EC$10:EC$23,MATCH($DB208,$DX$10:$DX$23,0)),0))</f>
        <v>0</v>
      </c>
      <c r="DR208" s="921">
        <f t="shared" si="184"/>
        <v>1384.1857142857141</v>
      </c>
      <c r="DS208" s="1004">
        <f>SUMIFS('Safety parameters'!$DM$6:$DM$18,'Safety parameters'!$DK$6:$DK$18,CZ208,'Safety parameters'!$DL$6:$DL$18,1)+IF(dd_PartSA_2_lines = "Yes",0,SUMIFS('Safety parameters'!$DM$6:$DM$18,'Safety parameters'!$DK$6:$DK$18,DA208,'Safety parameters'!$DL$6:$DL$18,2)+SUMIFS('Safety parameters'!$DM$6:$DM$18,'Safety parameters'!$DK$6:$DK$18,DB208,'Safety parameters'!$DL$6:$DL$18,2))</f>
        <v>0</v>
      </c>
      <c r="DT208" s="910">
        <f>SUMIFS('Safety parameters'!$DO$6:$DO$18,'Safety parameters'!$DK$6:$DK$18,CZ208,'Safety parameters'!$DL$6:$DL$18,1)+IF(dd_PartSA_2_lines = "Yes",0,SUMIFS('Safety parameters'!$DO$6:$DO$18,'Safety parameters'!$DK$6:$DK$18,DA208,'Safety parameters'!$DL$6:$DL$18,2)+SUMIFS('Safety parameters'!$DO$6:$DO$18,'Safety parameters'!$DK$6:$DK$18,DB208,'Safety parameters'!$DL$6:$DL$18,2))</f>
        <v>0</v>
      </c>
    </row>
    <row r="209" spans="89:124" ht="15" x14ac:dyDescent="0.2">
      <c r="CK209" s="61" t="s">
        <v>31</v>
      </c>
      <c r="CL209" s="61">
        <v>2</v>
      </c>
      <c r="CM209" s="61" t="str">
        <v>avelumab_plus_axitinib</v>
      </c>
      <c r="CN209" s="17">
        <v>4</v>
      </c>
      <c r="CO209" s="61" t="str" cm="1">
        <f t="array" ref="CO209">INDEX(List_comparators,CP208+1)</f>
        <v>axitinib</v>
      </c>
      <c r="CP209" s="17">
        <v>11</v>
      </c>
      <c r="CQ209" s="601">
        <f t="shared" ca="1" si="174"/>
        <v>0</v>
      </c>
      <c r="CR209" s="601">
        <f t="shared" ca="1" si="175"/>
        <v>0</v>
      </c>
      <c r="CS209" s="669">
        <f t="shared" ca="1" si="185"/>
        <v>28.869999999999997</v>
      </c>
      <c r="CT209" s="669">
        <f t="shared" ca="1" si="176"/>
        <v>7.1457142857142859</v>
      </c>
      <c r="CU209" s="1123">
        <f>MATCH(CZ209,'Resource use and costs'!$BA$11:$BA$53,0)</f>
        <v>43</v>
      </c>
      <c r="CV209" s="1223"/>
      <c r="CW209" s="1241">
        <f t="shared" si="182"/>
        <v>1</v>
      </c>
      <c r="CX209" s="899" t="s">
        <v>773</v>
      </c>
      <c r="CY209" s="899" t="s">
        <v>118</v>
      </c>
      <c r="CZ209" s="899" t="s">
        <v>333</v>
      </c>
      <c r="DA209" s="899" t="s">
        <v>117</v>
      </c>
      <c r="DB209" s="899" t="s">
        <v>327</v>
      </c>
      <c r="DC209" s="899" cm="1">
        <f t="array" aca="1" ref="DC209" ca="1">_xlfn.IFNA(OFFSET($I$49,MATCH(CY209,$I$50:$I$63,0),MATCH(CZ209,TRANSPOSE($J$49:$W$49),0)),0)</f>
        <v>4.4593339307048986E-2</v>
      </c>
      <c r="DD209" s="899" cm="1">
        <f t="array" aca="1" ref="DD209" ca="1">_xlfn.IFNA(OFFSET($Y$49,MATCH($CZ209,$Y$50:$Y$63,0),MATCH($DA209,TRANSPOSE($Z$49:$AM$49),0)),0)</f>
        <v>0</v>
      </c>
      <c r="DE209" s="899">
        <f ca="1">1-DE210</f>
        <v>0.56859999999999999</v>
      </c>
      <c r="DF209" s="881">
        <f t="shared" ca="1" si="179"/>
        <v>0</v>
      </c>
      <c r="DG209" s="910">
        <f t="shared" ca="1" si="180"/>
        <v>1.0010447133454794</v>
      </c>
      <c r="DH209" s="881">
        <f t="shared" ca="1" si="181"/>
        <v>0</v>
      </c>
      <c r="DI209" s="1460">
        <f t="shared" ca="1" si="177"/>
        <v>0</v>
      </c>
      <c r="DJ209" s="909">
        <f>_xlfn.IFNA(INDEX('Resource use and costs'!$CQ$11:$CQ$53,MATCH($CZ209,'Resource use and costs'!$BA$11:$BA$53,0)),0)*_xlfn.IFNA(INDEX(DY$10:DY$23,MATCH($CZ209,$DX$10:$DX$23,0)),0)</f>
        <v>54336.641519999976</v>
      </c>
      <c r="DK209" s="909">
        <f>IF(dd_PartSA_2_lines = "Yes",0,_xlfn.IFNA(INDEX('Resource use and costs'!$CR$11:$CR$53,MATCH(DA209,'Resource use and costs'!$BA$11:$BA$53,0)),0)*_xlfn.IFNA(INDEX(EA$10:EA$23,MATCH($DA209,$DX$10:$DX$23,0)),0))</f>
        <v>1602.2899047619044</v>
      </c>
      <c r="DL209" s="909">
        <f>IF(dd_PartSA_2_lines = "Yes",0,_xlfn.IFNA(INDEX('Resource use and costs'!$CS$11:$CS$53,MATCH(DB209,'Resource use and costs'!$BA$11:$BA$53,0)),0)*_xlfn.IFNA(INDEX(EC$10:EC$23,MATCH($DB209,$DX$10:$DX$23,0)),0))</f>
        <v>18438.751749999999</v>
      </c>
      <c r="DM209" s="909">
        <f t="shared" si="183"/>
        <v>74377.683174761885</v>
      </c>
      <c r="DN209" s="909">
        <f>SUM(_xlfn.IFNA(INDEX('Resource use and costs'!$DU$12:$DU$25,MATCH(CZ209,'Resource use and costs'!$DS$12:$DS$25,0)),0),_xlfn.IFNA(INDEX('Resource use and costs'!$DU$12:$DU$25,MATCH(DA209,'Resource use and costs'!$DS$12:$DS$25,0)),0),_xlfn.IFNA(INDEX('Resource use and costs'!$DU$12:$DU$25,MATCH(DB209,'Resource use and costs'!$DS$12:$DS$25,0)),0))</f>
        <v>591.75</v>
      </c>
      <c r="DO209" s="921">
        <f>_xlfn.IFNA(INDEX('Resource use and costs'!$DY$12:$DY$25,MATCH(CZ209,'Resource use and costs'!$DS$12:$DS$25,0)),0)*_xlfn.IFNA(INDEX(DY$10:DY$23,MATCH($CZ209,$DX$10:$DX$23,0)),0)</f>
        <v>810.54285714285697</v>
      </c>
      <c r="DP209" s="921">
        <f>IF(dd_PartSA_2_lines = "Yes",0,_xlfn.IFNA(INDEX('Resource use and costs'!$DZ$12:$DZ$25,MATCH(DA209,'Resource use and costs'!$DS$12:$DS$25,0)),0)*_xlfn.IFNA(INDEX(EA$10:EA$23,MATCH($DA209,$DX$10:$DX$23,0)),0))</f>
        <v>226.91428571428568</v>
      </c>
      <c r="DQ209" s="921">
        <f>IF(dd_PartSA_2_lines = "Yes",0,_xlfn.IFNA(INDEX('Resource use and costs'!$EA$12:$EA$25,MATCH(DB209,'Resource use and costs'!$DS$12:$DS$25,0)),0)*_xlfn.IFNA(INDEX(EC$10:EC$23,MATCH($DB209,$DX$10:$DX$23,0)),0))</f>
        <v>230.68099999999998</v>
      </c>
      <c r="DR209" s="921">
        <f t="shared" si="184"/>
        <v>1859.8881428571426</v>
      </c>
      <c r="DS209" s="1004">
        <f ca="1">SUMIFS('Safety parameters'!$DM$6:$DM$18,'Safety parameters'!$DK$6:$DK$18,CZ209,'Safety parameters'!$DL$6:$DL$18,1)+IF(dd_PartSA_2_lines = "Yes",0,SUMIFS('Safety parameters'!$DM$6:$DM$18,'Safety parameters'!$DK$6:$DK$18,DA209,'Safety parameters'!$DL$6:$DL$18,2)+SUMIFS('Safety parameters'!$DM$6:$DM$18,'Safety parameters'!$DK$6:$DK$18,DB209,'Safety parameters'!$DL$6:$DL$18,2))</f>
        <v>1634.2286735654598</v>
      </c>
      <c r="DT209" s="910">
        <f ca="1">SUMIFS('Safety parameters'!$DO$6:$DO$18,'Safety parameters'!$DK$6:$DK$18,CZ209,'Safety parameters'!$DL$6:$DL$18,1)+IF(dd_PartSA_2_lines = "Yes",0,SUMIFS('Safety parameters'!$DO$6:$DO$18,'Safety parameters'!$DK$6:$DK$18,DA209,'Safety parameters'!$DL$6:$DL$18,2)+SUMIFS('Safety parameters'!$DO$6:$DO$18,'Safety parameters'!$DK$6:$DK$18,DB209,'Safety parameters'!$DL$6:$DL$18,2))</f>
        <v>-1.4741924007481429E-2</v>
      </c>
    </row>
    <row r="210" spans="89:124" ht="15" x14ac:dyDescent="0.2">
      <c r="CK210" s="61" t="s">
        <v>31</v>
      </c>
      <c r="CL210" s="61">
        <v>2</v>
      </c>
      <c r="CM210" s="61" t="str">
        <v>pazopanib</v>
      </c>
      <c r="CN210" s="17">
        <v>5</v>
      </c>
      <c r="CO210" s="61" t="str" cm="1">
        <f t="array" ref="CO210">INDEX(List_comparators,CP209+1)</f>
        <v>axitinib</v>
      </c>
      <c r="CP210" s="17">
        <v>11</v>
      </c>
      <c r="CQ210" s="601">
        <f t="shared" ca="1" si="174"/>
        <v>1.0300000000000002E-2</v>
      </c>
      <c r="CR210" s="601">
        <f t="shared" ca="1" si="175"/>
        <v>1.0300000000000003E-3</v>
      </c>
      <c r="CS210" s="669">
        <f t="shared" ca="1" si="185"/>
        <v>28.869999999999997</v>
      </c>
      <c r="CT210" s="669">
        <f t="shared" ca="1" si="176"/>
        <v>7.1457142857142859</v>
      </c>
      <c r="CU210" s="1123">
        <f>MATCH(CZ210,'Resource use and costs'!$BA$11:$BA$53,0)</f>
        <v>43</v>
      </c>
      <c r="CV210" s="1223"/>
      <c r="CW210" s="1241">
        <f t="shared" si="182"/>
        <v>1</v>
      </c>
      <c r="CX210" s="899" t="s">
        <v>773</v>
      </c>
      <c r="CY210" s="899" t="s">
        <v>118</v>
      </c>
      <c r="CZ210" s="899" t="s">
        <v>333</v>
      </c>
      <c r="DA210" s="899" t="s">
        <v>117</v>
      </c>
      <c r="DB210" s="899" t="s">
        <v>765</v>
      </c>
      <c r="DC210" s="899" cm="1">
        <f t="array" aca="1" ref="DC210" ca="1">_xlfn.IFNA(OFFSET($I$49,MATCH(CY210,$I$50:$I$63,0),MATCH(CZ210,TRANSPOSE($J$49:$W$49),0)),0)</f>
        <v>4.4593339307048986E-2</v>
      </c>
      <c r="DD210" s="899" cm="1">
        <f t="array" aca="1" ref="DD210" ca="1">_xlfn.IFNA(OFFSET($Y$49,MATCH($CZ210,$Y$50:$Y$63,0),MATCH($DA210,TRANSPOSE($Z$49:$AM$49),0)),0)</f>
        <v>0</v>
      </c>
      <c r="DE210" s="899" cm="1">
        <f t="array" aca="1" ref="DE210" ca="1">_xlfn.IFNA(OFFSET($AO$49,MATCH($DA210,$AO$50:$AO$63,0),MATCH($DB210,TRANSPOSE($AP$49:$BC$49),0)),0)</f>
        <v>0.43140000000000001</v>
      </c>
      <c r="DF210" s="881">
        <f t="shared" ca="1" si="179"/>
        <v>0</v>
      </c>
      <c r="DG210" s="910">
        <f t="shared" ca="1" si="180"/>
        <v>1.0010447133454794</v>
      </c>
      <c r="DH210" s="881">
        <f t="shared" ca="1" si="181"/>
        <v>0</v>
      </c>
      <c r="DI210" s="1460">
        <f t="shared" ca="1" si="177"/>
        <v>0</v>
      </c>
      <c r="DJ210" s="909">
        <f>_xlfn.IFNA(INDEX('Resource use and costs'!$CQ$11:$CQ$53,MATCH($CZ210,'Resource use and costs'!$BA$11:$BA$53,0)),0)*_xlfn.IFNA(INDEX(DY$10:DY$23,MATCH($CZ210,$DX$10:$DX$23,0)),0)</f>
        <v>54336.641519999976</v>
      </c>
      <c r="DK210" s="909">
        <f>IF(dd_PartSA_2_lines = "Yes",0,_xlfn.IFNA(INDEX('Resource use and costs'!$CR$11:$CR$53,MATCH(DA210,'Resource use and costs'!$BA$11:$BA$53,0)),0)*_xlfn.IFNA(INDEX(EA$10:EA$23,MATCH($DA210,$DX$10:$DX$23,0)),0))</f>
        <v>1602.2899047619044</v>
      </c>
      <c r="DL210" s="909">
        <f>IF(dd_PartSA_2_lines = "Yes",0,_xlfn.IFNA(INDEX('Resource use and costs'!$CS$11:$CS$53,MATCH(DB210,'Resource use and costs'!$BA$11:$BA$53,0)),0)*_xlfn.IFNA(INDEX(EC$10:EC$23,MATCH($DB210,$DX$10:$DX$23,0)),0))</f>
        <v>0</v>
      </c>
      <c r="DM210" s="909">
        <f t="shared" si="183"/>
        <v>55938.931424761882</v>
      </c>
      <c r="DN210" s="909">
        <f>SUM(_xlfn.IFNA(INDEX('Resource use and costs'!$DU$12:$DU$25,MATCH(CZ210,'Resource use and costs'!$DS$12:$DS$25,0)),0),_xlfn.IFNA(INDEX('Resource use and costs'!$DU$12:$DU$25,MATCH(DA210,'Resource use and costs'!$DS$12:$DS$25,0)),0),_xlfn.IFNA(INDEX('Resource use and costs'!$DU$12:$DU$25,MATCH(DB210,'Resource use and costs'!$DS$12:$DS$25,0)),0))</f>
        <v>394.5</v>
      </c>
      <c r="DO210" s="921">
        <f>_xlfn.IFNA(INDEX('Resource use and costs'!$DY$12:$DY$25,MATCH(CZ210,'Resource use and costs'!$DS$12:$DS$25,0)),0)*_xlfn.IFNA(INDEX(DY$10:DY$23,MATCH($CZ210,$DX$10:$DX$23,0)),0)</f>
        <v>810.54285714285697</v>
      </c>
      <c r="DP210" s="921">
        <f>IF(dd_PartSA_2_lines = "Yes",0,_xlfn.IFNA(INDEX('Resource use and costs'!$DZ$12:$DZ$25,MATCH(DA210,'Resource use and costs'!$DS$12:$DS$25,0)),0)*_xlfn.IFNA(INDEX(EA$10:EA$23,MATCH($DA210,$DX$10:$DX$23,0)),0))</f>
        <v>226.91428571428568</v>
      </c>
      <c r="DQ210" s="921">
        <f>IF(dd_PartSA_2_lines = "Yes",0,_xlfn.IFNA(INDEX('Resource use and costs'!$EA$12:$EA$25,MATCH(DB210,'Resource use and costs'!$DS$12:$DS$25,0)),0)*_xlfn.IFNA(INDEX(EC$10:EC$23,MATCH($DB210,$DX$10:$DX$23,0)),0))</f>
        <v>0</v>
      </c>
      <c r="DR210" s="921">
        <f t="shared" si="184"/>
        <v>1431.9571428571426</v>
      </c>
      <c r="DS210" s="1004">
        <f>SUMIFS('Safety parameters'!$DM$6:$DM$18,'Safety parameters'!$DK$6:$DK$18,CZ210,'Safety parameters'!$DL$6:$DL$18,1)+IF(dd_PartSA_2_lines = "Yes",0,SUMIFS('Safety parameters'!$DM$6:$DM$18,'Safety parameters'!$DK$6:$DK$18,DA210,'Safety parameters'!$DL$6:$DL$18,2)+SUMIFS('Safety parameters'!$DM$6:$DM$18,'Safety parameters'!$DK$6:$DK$18,DB210,'Safety parameters'!$DL$6:$DL$18,2))</f>
        <v>0</v>
      </c>
      <c r="DT210" s="910">
        <f>SUMIFS('Safety parameters'!$DO$6:$DO$18,'Safety parameters'!$DK$6:$DK$18,CZ210,'Safety parameters'!$DL$6:$DL$18,1)+IF(dd_PartSA_2_lines = "Yes",0,SUMIFS('Safety parameters'!$DO$6:$DO$18,'Safety parameters'!$DK$6:$DK$18,DA210,'Safety parameters'!$DL$6:$DL$18,2)+SUMIFS('Safety parameters'!$DO$6:$DO$18,'Safety parameters'!$DK$6:$DK$18,DB210,'Safety parameters'!$DL$6:$DL$18,2))</f>
        <v>0</v>
      </c>
    </row>
    <row r="211" spans="89:124" ht="15" x14ac:dyDescent="0.2">
      <c r="CK211" s="61" t="s">
        <v>31</v>
      </c>
      <c r="CL211" s="61">
        <v>2</v>
      </c>
      <c r="CM211" s="61" t="str">
        <v>tivozanib</v>
      </c>
      <c r="CN211" s="17">
        <v>6</v>
      </c>
      <c r="CO211" s="61" t="str" cm="1">
        <f t="array" ref="CO211">INDEX(List_comparators,CP210+1)</f>
        <v>axitinib</v>
      </c>
      <c r="CP211" s="17">
        <v>11</v>
      </c>
      <c r="CQ211" s="601">
        <f t="shared" ref="CQ211:CQ242" ca="1" si="186">OFFSET($J$50,IF(CN211=999,13,CN211),CP211)</f>
        <v>2.9560979095944254E-2</v>
      </c>
      <c r="CR211" s="601">
        <f t="shared" ref="CR211:CR246" ca="1" si="187">OFFSET($J$65,IF(CN211=999,13,CN211),CP211)</f>
        <v>2.9560979095944254E-3</v>
      </c>
      <c r="CS211" s="669">
        <f t="shared" ca="1" si="185"/>
        <v>28.869999999999997</v>
      </c>
      <c r="CT211" s="669">
        <f t="shared" ref="CT211:CT246" ca="1" si="188">OFFSET($J$97,IF(CN211=999,13,CN211),CP211)</f>
        <v>7.1457142857142859</v>
      </c>
      <c r="CU211" s="1123">
        <f>MATCH(CZ211,'Resource use and costs'!$BA$11:$BA$53,0)</f>
        <v>43</v>
      </c>
      <c r="CV211" s="1223"/>
      <c r="CW211" s="1241">
        <f t="shared" si="182"/>
        <v>1</v>
      </c>
      <c r="CX211" s="899" t="s">
        <v>773</v>
      </c>
      <c r="CY211" s="899" t="s">
        <v>118</v>
      </c>
      <c r="CZ211" s="899" t="s">
        <v>333</v>
      </c>
      <c r="DA211" s="899" t="s">
        <v>319</v>
      </c>
      <c r="DB211" s="899" t="s">
        <v>327</v>
      </c>
      <c r="DC211" s="899" cm="1">
        <f t="array" aca="1" ref="DC211" ca="1">_xlfn.IFNA(OFFSET($I$49,MATCH(CY211,$I$50:$I$63,0),MATCH(CZ211,TRANSPOSE($J$49:$W$49),0)),0)</f>
        <v>4.4593339307048986E-2</v>
      </c>
      <c r="DD211" s="899" cm="1">
        <f t="array" aca="1" ref="DD211" ca="1">_xlfn.IFNA(OFFSET($Y$49,MATCH($CZ211,$Y$50:$Y$63,0),MATCH($DA211,TRANSPOSE($Z$49:$AM$49),0)),0)</f>
        <v>0</v>
      </c>
      <c r="DE211" s="899">
        <f ca="1">1-DE212</f>
        <v>0.56859999999999999</v>
      </c>
      <c r="DF211" s="881">
        <f t="shared" ca="1" si="179"/>
        <v>0</v>
      </c>
      <c r="DG211" s="910">
        <f t="shared" ca="1" si="180"/>
        <v>1.0010447133454794</v>
      </c>
      <c r="DH211" s="881">
        <f t="shared" ca="1" si="181"/>
        <v>0</v>
      </c>
      <c r="DI211" s="1460">
        <f t="shared" ca="1" si="177"/>
        <v>0</v>
      </c>
      <c r="DJ211" s="909">
        <f>_xlfn.IFNA(INDEX('Resource use and costs'!$CQ$11:$CQ$53,MATCH($CZ211,'Resource use and costs'!$BA$11:$BA$53,0)),0)*_xlfn.IFNA(INDEX(DY$10:DY$23,MATCH($CZ211,$DX$10:$DX$23,0)),0)</f>
        <v>54336.641519999976</v>
      </c>
      <c r="DK211" s="909">
        <f>IF(dd_PartSA_2_lines = "Yes",0,_xlfn.IFNA(INDEX('Resource use and costs'!$CR$11:$CR$53,MATCH(DA211,'Resource use and costs'!$BA$11:$BA$53,0)),0)*_xlfn.IFNA(INDEX(EA$10:EA$23,MATCH($DA211,$DX$10:$DX$23,0)),0))</f>
        <v>11139.428571428571</v>
      </c>
      <c r="DL211" s="909">
        <f>IF(dd_PartSA_2_lines = "Yes",0,_xlfn.IFNA(INDEX('Resource use and costs'!$CS$11:$CS$53,MATCH(DB211,'Resource use and costs'!$BA$11:$BA$53,0)),0)*_xlfn.IFNA(INDEX(EC$10:EC$23,MATCH($DB211,$DX$10:$DX$23,0)),0))</f>
        <v>18438.751749999999</v>
      </c>
      <c r="DM211" s="909">
        <f t="shared" si="183"/>
        <v>83914.821841428551</v>
      </c>
      <c r="DN211" s="909">
        <f>SUM(_xlfn.IFNA(INDEX('Resource use and costs'!$DU$12:$DU$25,MATCH(CZ211,'Resource use and costs'!$DS$12:$DS$25,0)),0),_xlfn.IFNA(INDEX('Resource use and costs'!$DU$12:$DU$25,MATCH(DA211,'Resource use and costs'!$DS$12:$DS$25,0)),0),_xlfn.IFNA(INDEX('Resource use and costs'!$DU$12:$DU$25,MATCH(DB211,'Resource use and costs'!$DS$12:$DS$25,0)),0))</f>
        <v>591.75</v>
      </c>
      <c r="DO211" s="921">
        <f>_xlfn.IFNA(INDEX('Resource use and costs'!$DY$12:$DY$25,MATCH(CZ211,'Resource use and costs'!$DS$12:$DS$25,0)),0)*_xlfn.IFNA(INDEX(DY$10:DY$23,MATCH($CZ211,$DX$10:$DX$23,0)),0)</f>
        <v>810.54285714285697</v>
      </c>
      <c r="DP211" s="921">
        <f>IF(dd_PartSA_2_lines = "Yes",0,_xlfn.IFNA(INDEX('Resource use and costs'!$DZ$12:$DZ$25,MATCH(DA211,'Resource use and costs'!$DS$12:$DS$25,0)),0)*_xlfn.IFNA(INDEX(EA$10:EA$23,MATCH($DA211,$DX$10:$DX$23,0)),0))</f>
        <v>238.85714285714283</v>
      </c>
      <c r="DQ211" s="921">
        <f>IF(dd_PartSA_2_lines = "Yes",0,_xlfn.IFNA(INDEX('Resource use and costs'!$EA$12:$EA$25,MATCH(DB211,'Resource use and costs'!$DS$12:$DS$25,0)),0)*_xlfn.IFNA(INDEX(EC$10:EC$23,MATCH($DB211,$DX$10:$DX$23,0)),0))</f>
        <v>230.68099999999998</v>
      </c>
      <c r="DR211" s="921">
        <f t="shared" si="184"/>
        <v>1871.8309999999999</v>
      </c>
      <c r="DS211" s="1004">
        <f ca="1">SUMIFS('Safety parameters'!$DM$6:$DM$18,'Safety parameters'!$DK$6:$DK$18,CZ211,'Safety parameters'!$DL$6:$DL$18,1)+IF(dd_PartSA_2_lines = "Yes",0,SUMIFS('Safety parameters'!$DM$6:$DM$18,'Safety parameters'!$DK$6:$DK$18,DA211,'Safety parameters'!$DL$6:$DL$18,2)+SUMIFS('Safety parameters'!$DM$6:$DM$18,'Safety parameters'!$DK$6:$DK$18,DB211,'Safety parameters'!$DL$6:$DL$18,2))</f>
        <v>1634.2286735654598</v>
      </c>
      <c r="DT211" s="910">
        <f ca="1">SUMIFS('Safety parameters'!$DO$6:$DO$18,'Safety parameters'!$DK$6:$DK$18,CZ211,'Safety parameters'!$DL$6:$DL$18,1)+IF(dd_PartSA_2_lines = "Yes",0,SUMIFS('Safety parameters'!$DO$6:$DO$18,'Safety parameters'!$DK$6:$DK$18,DA211,'Safety parameters'!$DL$6:$DL$18,2)+SUMIFS('Safety parameters'!$DO$6:$DO$18,'Safety parameters'!$DK$6:$DK$18,DB211,'Safety parameters'!$DL$6:$DL$18,2))</f>
        <v>-1.4741924007481429E-2</v>
      </c>
    </row>
    <row r="212" spans="89:124" ht="15" x14ac:dyDescent="0.2">
      <c r="CK212" s="61" t="s">
        <v>31</v>
      </c>
      <c r="CL212" s="61">
        <v>2</v>
      </c>
      <c r="CM212" s="61" t="str">
        <v>sunitinib</v>
      </c>
      <c r="CN212" s="17">
        <v>7</v>
      </c>
      <c r="CO212" s="61" t="str" cm="1">
        <f t="array" ref="CO212">INDEX(List_comparators,CP211+1)</f>
        <v>axitinib</v>
      </c>
      <c r="CP212" s="17">
        <v>11</v>
      </c>
      <c r="CQ212" s="601">
        <f t="shared" ca="1" si="186"/>
        <v>4.4700000000000011E-2</v>
      </c>
      <c r="CR212" s="601">
        <f t="shared" ca="1" si="187"/>
        <v>4.4700000000000009E-3</v>
      </c>
      <c r="CS212" s="669">
        <f t="shared" ca="1" si="185"/>
        <v>28.869999999999997</v>
      </c>
      <c r="CT212" s="669">
        <f t="shared" ca="1" si="188"/>
        <v>7.1457142857142859</v>
      </c>
      <c r="CU212" s="1123">
        <f>MATCH(CZ212,'Resource use and costs'!$BA$11:$BA$53,0)</f>
        <v>43</v>
      </c>
      <c r="CV212" s="1223"/>
      <c r="CW212" s="1241">
        <f t="shared" si="182"/>
        <v>1</v>
      </c>
      <c r="CX212" s="899" t="s">
        <v>773</v>
      </c>
      <c r="CY212" s="899" t="s">
        <v>118</v>
      </c>
      <c r="CZ212" s="899" t="s">
        <v>333</v>
      </c>
      <c r="DA212" s="899" t="s">
        <v>319</v>
      </c>
      <c r="DB212" s="899" t="s">
        <v>765</v>
      </c>
      <c r="DC212" s="899" cm="1">
        <f t="array" aca="1" ref="DC212" ca="1">_xlfn.IFNA(OFFSET($I$49,MATCH(CY212,$I$50:$I$63,0),MATCH(CZ212,TRANSPOSE($J$49:$W$49),0)),0)</f>
        <v>4.4593339307048986E-2</v>
      </c>
      <c r="DD212" s="899" cm="1">
        <f t="array" aca="1" ref="DD212" ca="1">_xlfn.IFNA(OFFSET($Y$49,MATCH($CZ212,$Y$50:$Y$63,0),MATCH($DA212,TRANSPOSE($Z$49:$AM$49),0)),0)</f>
        <v>0</v>
      </c>
      <c r="DE212" s="899" cm="1">
        <f t="array" aca="1" ref="DE212" ca="1">_xlfn.IFNA(OFFSET($AO$49,MATCH($DA212,$AO$50:$AO$63,0),MATCH($DB212,TRANSPOSE($AP$49:$BC$49),0)),0)</f>
        <v>0.43140000000000001</v>
      </c>
      <c r="DF212" s="881">
        <f t="shared" ca="1" si="179"/>
        <v>0</v>
      </c>
      <c r="DG212" s="910">
        <f t="shared" ca="1" si="180"/>
        <v>1.0010447133454794</v>
      </c>
      <c r="DH212" s="881">
        <f t="shared" ca="1" si="181"/>
        <v>0</v>
      </c>
      <c r="DI212" s="1460">
        <f t="shared" ca="1" si="177"/>
        <v>0</v>
      </c>
      <c r="DJ212" s="909">
        <f>_xlfn.IFNA(INDEX('Resource use and costs'!$CQ$11:$CQ$53,MATCH($CZ212,'Resource use and costs'!$BA$11:$BA$53,0)),0)*_xlfn.IFNA(INDEX(DY$10:DY$23,MATCH($CZ212,$DX$10:$DX$23,0)),0)</f>
        <v>54336.641519999976</v>
      </c>
      <c r="DK212" s="909">
        <f>IF(dd_PartSA_2_lines = "Yes",0,_xlfn.IFNA(INDEX('Resource use and costs'!$CR$11:$CR$53,MATCH(DA212,'Resource use and costs'!$BA$11:$BA$53,0)),0)*_xlfn.IFNA(INDEX(EA$10:EA$23,MATCH($DA212,$DX$10:$DX$23,0)),0))</f>
        <v>11139.428571428571</v>
      </c>
      <c r="DL212" s="909">
        <f>IF(dd_PartSA_2_lines = "Yes",0,_xlfn.IFNA(INDEX('Resource use and costs'!$CS$11:$CS$53,MATCH(DB212,'Resource use and costs'!$BA$11:$BA$53,0)),0)*_xlfn.IFNA(INDEX(EC$10:EC$23,MATCH($DB212,$DX$10:$DX$23,0)),0))</f>
        <v>0</v>
      </c>
      <c r="DM212" s="909">
        <f t="shared" si="183"/>
        <v>65476.070091428548</v>
      </c>
      <c r="DN212" s="909">
        <f>SUM(_xlfn.IFNA(INDEX('Resource use and costs'!$DU$12:$DU$25,MATCH(CZ212,'Resource use and costs'!$DS$12:$DS$25,0)),0),_xlfn.IFNA(INDEX('Resource use and costs'!$DU$12:$DU$25,MATCH(DA212,'Resource use and costs'!$DS$12:$DS$25,0)),0),_xlfn.IFNA(INDEX('Resource use and costs'!$DU$12:$DU$25,MATCH(DB212,'Resource use and costs'!$DS$12:$DS$25,0)),0))</f>
        <v>394.5</v>
      </c>
      <c r="DO212" s="921">
        <f>_xlfn.IFNA(INDEX('Resource use and costs'!$DY$12:$DY$25,MATCH(CZ212,'Resource use and costs'!$DS$12:$DS$25,0)),0)*_xlfn.IFNA(INDEX(DY$10:DY$23,MATCH($CZ212,$DX$10:$DX$23,0)),0)</f>
        <v>810.54285714285697</v>
      </c>
      <c r="DP212" s="921">
        <f>IF(dd_PartSA_2_lines = "Yes",0,_xlfn.IFNA(INDEX('Resource use and costs'!$DZ$12:$DZ$25,MATCH(DA212,'Resource use and costs'!$DS$12:$DS$25,0)),0)*_xlfn.IFNA(INDEX(EA$10:EA$23,MATCH($DA212,$DX$10:$DX$23,0)),0))</f>
        <v>238.85714285714283</v>
      </c>
      <c r="DQ212" s="921">
        <f>IF(dd_PartSA_2_lines = "Yes",0,_xlfn.IFNA(INDEX('Resource use and costs'!$EA$12:$EA$25,MATCH(DB212,'Resource use and costs'!$DS$12:$DS$25,0)),0)*_xlfn.IFNA(INDEX(EC$10:EC$23,MATCH($DB212,$DX$10:$DX$23,0)),0))</f>
        <v>0</v>
      </c>
      <c r="DR212" s="921">
        <f t="shared" si="184"/>
        <v>1443.8999999999999</v>
      </c>
      <c r="DS212" s="1004">
        <f>SUMIFS('Safety parameters'!$DM$6:$DM$18,'Safety parameters'!$DK$6:$DK$18,CZ212,'Safety parameters'!$DL$6:$DL$18,1)+IF(dd_PartSA_2_lines = "Yes",0,SUMIFS('Safety parameters'!$DM$6:$DM$18,'Safety parameters'!$DK$6:$DK$18,DA212,'Safety parameters'!$DL$6:$DL$18,2)+SUMIFS('Safety parameters'!$DM$6:$DM$18,'Safety parameters'!$DK$6:$DK$18,DB212,'Safety parameters'!$DL$6:$DL$18,2))</f>
        <v>0</v>
      </c>
      <c r="DT212" s="910">
        <f>SUMIFS('Safety parameters'!$DO$6:$DO$18,'Safety parameters'!$DK$6:$DK$18,CZ212,'Safety parameters'!$DL$6:$DL$18,1)+IF(dd_PartSA_2_lines = "Yes",0,SUMIFS('Safety parameters'!$DO$6:$DO$18,'Safety parameters'!$DK$6:$DK$18,DA212,'Safety parameters'!$DL$6:$DL$18,2)+SUMIFS('Safety parameters'!$DO$6:$DO$18,'Safety parameters'!$DK$6:$DK$18,DB212,'Safety parameters'!$DL$6:$DL$18,2))</f>
        <v>0</v>
      </c>
    </row>
    <row r="213" spans="89:124" ht="15" x14ac:dyDescent="0.2">
      <c r="CK213" s="61" t="s">
        <v>31</v>
      </c>
      <c r="CL213" s="61">
        <v>2</v>
      </c>
      <c r="CM213" s="61" t="str">
        <v>cabozantinib</v>
      </c>
      <c r="CN213" s="17">
        <v>8</v>
      </c>
      <c r="CO213" s="61" t="str" cm="1">
        <f t="array" ref="CO213">INDEX(List_comparators,CP212+1)</f>
        <v>axitinib</v>
      </c>
      <c r="CP213" s="17">
        <v>11</v>
      </c>
      <c r="CQ213" s="601">
        <f t="shared" ca="1" si="186"/>
        <v>1.4897774790919952E-2</v>
      </c>
      <c r="CR213" s="601">
        <f t="shared" ca="1" si="187"/>
        <v>1.4897774790919953E-3</v>
      </c>
      <c r="CS213" s="669">
        <f t="shared" ca="1" si="185"/>
        <v>28.869999999999997</v>
      </c>
      <c r="CT213" s="669">
        <f t="shared" ca="1" si="188"/>
        <v>7.1457142857142859</v>
      </c>
      <c r="CU213" s="1123">
        <f>MATCH(CZ213,'Resource use and costs'!$BA$11:$BA$53,0)</f>
        <v>1</v>
      </c>
      <c r="CV213" s="1223"/>
      <c r="CW213" s="1241">
        <f t="shared" si="182"/>
        <v>1</v>
      </c>
      <c r="CX213" s="899" t="s">
        <v>773</v>
      </c>
      <c r="CY213" s="899" t="s">
        <v>118</v>
      </c>
      <c r="CZ213" s="899" t="s">
        <v>579</v>
      </c>
      <c r="DA213" s="899" t="s">
        <v>327</v>
      </c>
      <c r="DB213" s="899" t="s">
        <v>765</v>
      </c>
      <c r="DC213" s="899" cm="1">
        <f t="array" aca="1" ref="DC213" ca="1">_xlfn.IFNA(OFFSET($I$49,MATCH(CY213,$I$50:$I$63,0),MATCH(CZ213,TRANSPOSE($J$49:$W$49),0)),0)</f>
        <v>0.59511111111111104</v>
      </c>
      <c r="DD213" s="899" cm="1">
        <f t="array" aca="1" ref="DD213" ca="1">_xlfn.IFNA(OFFSET($Y$49,MATCH($CZ213,$Y$50:$Y$63,0),MATCH($DA213,TRANSPOSE($Z$49:$AM$49),0)),0)</f>
        <v>5.2400000000000002E-2</v>
      </c>
      <c r="DE213" s="899" cm="1">
        <f t="array" aca="1" ref="DE213" ca="1">_xlfn.IFNA(OFFSET($AO$49,MATCH($DA213,$AO$50:$AO$63,0),MATCH($DB213,TRANSPOSE($AP$49:$BC$49),0)),0)</f>
        <v>0.43140000000000001</v>
      </c>
      <c r="DF213" s="881">
        <f t="shared" ca="1" si="179"/>
        <v>1.3452700906666665E-2</v>
      </c>
      <c r="DG213" s="910">
        <f t="shared" ca="1" si="180"/>
        <v>1.0010447133454794</v>
      </c>
      <c r="DH213" s="881">
        <f t="shared" ca="1" si="181"/>
        <v>1.3466755122836602E-2</v>
      </c>
      <c r="DI213" s="1460">
        <f t="shared" ca="1" si="177"/>
        <v>1.5352100840033727</v>
      </c>
      <c r="DJ213" s="909">
        <f>_xlfn.IFNA(INDEX('Resource use and costs'!$CQ$11:$CQ$53,MATCH($CZ213,'Resource use and costs'!$BA$11:$BA$53,0)),0)*_xlfn.IFNA(INDEX(DY$10:DY$23,MATCH($CZ213,$DX$10:$DX$23,0)),0)</f>
        <v>56693.786091428577</v>
      </c>
      <c r="DK213" s="909">
        <f>IF(dd_PartSA_2_lines = "Yes",0,_xlfn.IFNA(INDEX('Resource use and costs'!$CR$11:$CR$53,MATCH(DA213,'Resource use and costs'!$BA$11:$BA$53,0)),0)*_xlfn.IFNA(INDEX(EA$10:EA$23,MATCH($DA213,$DX$10:$DX$23,0)),0))</f>
        <v>21421.066008214286</v>
      </c>
      <c r="DL213" s="909">
        <f>IF(dd_PartSA_2_lines = "Yes",0,_xlfn.IFNA(INDEX('Resource use and costs'!$CS$11:$CS$53,MATCH(DB213,'Resource use and costs'!$BA$11:$BA$53,0)),0)*_xlfn.IFNA(INDEX(EC$10:EC$23,MATCH($DB213,$DX$10:$DX$23,0)),0))</f>
        <v>0</v>
      </c>
      <c r="DM213" s="909">
        <f t="shared" si="183"/>
        <v>78114.852099642856</v>
      </c>
      <c r="DN213" s="909">
        <f>SUM(_xlfn.IFNA(INDEX('Resource use and costs'!$DU$12:$DU$25,MATCH(CZ213,'Resource use and costs'!$DS$12:$DS$25,0)),0),_xlfn.IFNA(INDEX('Resource use and costs'!$DU$12:$DU$25,MATCH(DA213,'Resource use and costs'!$DS$12:$DS$25,0)),0),_xlfn.IFNA(INDEX('Resource use and costs'!$DU$12:$DU$25,MATCH(DB213,'Resource use and costs'!$DS$12:$DS$25,0)),0))</f>
        <v>197.25</v>
      </c>
      <c r="DO213" s="921">
        <f>_xlfn.IFNA(INDEX('Resource use and costs'!$DY$12:$DY$25,MATCH(CZ213,'Resource use and costs'!$DS$12:$DS$25,0)),0)*_xlfn.IFNA(INDEX(DY$10:DY$23,MATCH($CZ213,$DX$10:$DX$23,0)),0)</f>
        <v>8939.6605049142872</v>
      </c>
      <c r="DP213" s="921">
        <f>IF(dd_PartSA_2_lines = "Yes",0,_xlfn.IFNA(INDEX('Resource use and costs'!$DZ$12:$DZ$25,MATCH(DA213,'Resource use and costs'!$DS$12:$DS$25,0)),0)*_xlfn.IFNA(INDEX(EA$10:EA$23,MATCH($DA213,$DX$10:$DX$23,0)),0))</f>
        <v>267.99172714285714</v>
      </c>
      <c r="DQ213" s="921">
        <f>IF(dd_PartSA_2_lines = "Yes",0,_xlfn.IFNA(INDEX('Resource use and costs'!$EA$12:$EA$25,MATCH(DB213,'Resource use and costs'!$DS$12:$DS$25,0)),0)*_xlfn.IFNA(INDEX(EC$10:EC$23,MATCH($DB213,$DX$10:$DX$23,0)),0))</f>
        <v>0</v>
      </c>
      <c r="DR213" s="921">
        <f t="shared" si="184"/>
        <v>9404.9022320571439</v>
      </c>
      <c r="DS213" s="1004">
        <f ca="1">SUMIFS('Safety parameters'!$DM$6:$DM$18,'Safety parameters'!$DK$6:$DK$18,CZ213,'Safety parameters'!$DL$6:$DL$18,1)+IF(dd_PartSA_2_lines = "Yes",0,SUMIFS('Safety parameters'!$DM$6:$DM$18,'Safety parameters'!$DK$6:$DK$18,DA213,'Safety parameters'!$DL$6:$DL$18,2)+SUMIFS('Safety parameters'!$DM$6:$DM$18,'Safety parameters'!$DK$6:$DK$18,DB213,'Safety parameters'!$DL$6:$DL$18,2))</f>
        <v>1634.2286735654598</v>
      </c>
      <c r="DT213" s="910">
        <f ca="1">SUMIFS('Safety parameters'!$DO$6:$DO$18,'Safety parameters'!$DK$6:$DK$18,CZ213,'Safety parameters'!$DL$6:$DL$18,1)+IF(dd_PartSA_2_lines = "Yes",0,SUMIFS('Safety parameters'!$DO$6:$DO$18,'Safety parameters'!$DK$6:$DK$18,DA213,'Safety parameters'!$DL$6:$DL$18,2)+SUMIFS('Safety parameters'!$DO$6:$DO$18,'Safety parameters'!$DK$6:$DK$18,DB213,'Safety parameters'!$DL$6:$DL$18,2))</f>
        <v>-1.4741924007481429E-2</v>
      </c>
    </row>
    <row r="214" spans="89:124" ht="15" x14ac:dyDescent="0.2">
      <c r="CK214" s="61" t="s">
        <v>31</v>
      </c>
      <c r="CL214" s="61">
        <v>2</v>
      </c>
      <c r="CM214" s="61" t="str">
        <v>lenvatinib_plus_everolimus</v>
      </c>
      <c r="CN214" s="17">
        <v>9</v>
      </c>
      <c r="CO214" s="61" t="str" cm="1">
        <f t="array" ref="CO214">INDEX(List_comparators,CP213+1)</f>
        <v>axitinib</v>
      </c>
      <c r="CP214" s="17">
        <v>11</v>
      </c>
      <c r="CQ214" s="601">
        <f t="shared" ca="1" si="186"/>
        <v>0</v>
      </c>
      <c r="CR214" s="601">
        <f t="shared" ca="1" si="187"/>
        <v>0</v>
      </c>
      <c r="CS214" s="669">
        <f t="shared" ca="1" si="185"/>
        <v>28.869999999999997</v>
      </c>
      <c r="CT214" s="669">
        <f t="shared" ca="1" si="188"/>
        <v>7.1457142857142859</v>
      </c>
      <c r="CU214" s="1123">
        <f>MATCH(CZ214,'Resource use and costs'!$BA$11:$BA$53,0)</f>
        <v>1</v>
      </c>
      <c r="CV214" s="1223"/>
      <c r="CW214" s="1241">
        <f t="shared" si="182"/>
        <v>1</v>
      </c>
      <c r="CX214" s="899" t="s">
        <v>773</v>
      </c>
      <c r="CY214" s="899" t="s">
        <v>118</v>
      </c>
      <c r="CZ214" s="899" t="s">
        <v>579</v>
      </c>
      <c r="DA214" s="899" t="s">
        <v>327</v>
      </c>
      <c r="DB214" s="899" t="s">
        <v>119</v>
      </c>
      <c r="DC214" s="899" cm="1">
        <f t="array" aca="1" ref="DC214" ca="1">_xlfn.IFNA(OFFSET($I$49,MATCH(CY214,$I$50:$I$63,0),MATCH(CZ214,TRANSPOSE($J$49:$W$49),0)),0)</f>
        <v>0.59511111111111104</v>
      </c>
      <c r="DD214" s="899" cm="1">
        <f t="array" aca="1" ref="DD214" ca="1">_xlfn.IFNA(OFFSET($Y$49,MATCH($CZ214,$Y$50:$Y$63,0),MATCH($DA214,TRANSPOSE($Z$49:$AM$49),0)),0)</f>
        <v>5.2400000000000002E-2</v>
      </c>
      <c r="DE214" s="899" cm="1">
        <f t="array" aca="1" ref="DE214" ca="1">_xlfn.IFNA(OFFSET($AO$49,MATCH($DA214,$AO$50:$AO$63,0),MATCH($DB214,TRANSPOSE($AP$49:$BC$49),0)),0)</f>
        <v>0.56859999999999999</v>
      </c>
      <c r="DF214" s="881">
        <f t="shared" ca="1" si="179"/>
        <v>1.7731121315555553E-2</v>
      </c>
      <c r="DG214" s="910">
        <f t="shared" ca="1" si="180"/>
        <v>1.0010447133454794</v>
      </c>
      <c r="DH214" s="881">
        <f t="shared" ca="1" si="181"/>
        <v>1.7749645254624229E-2</v>
      </c>
      <c r="DI214" s="1460">
        <f t="shared" ca="1" si="177"/>
        <v>2.0234595590271622</v>
      </c>
      <c r="DJ214" s="909">
        <f>_xlfn.IFNA(INDEX('Resource use and costs'!$CQ$11:$CQ$53,MATCH($CZ214,'Resource use and costs'!$BA$11:$BA$53,0)),0)*_xlfn.IFNA(INDEX(DY$10:DY$23,MATCH($CZ214,$DX$10:$DX$23,0)),0)</f>
        <v>56693.786091428577</v>
      </c>
      <c r="DK214" s="909">
        <f>IF(dd_PartSA_2_lines = "Yes",0,_xlfn.IFNA(INDEX('Resource use and costs'!$CR$11:$CR$53,MATCH(DA214,'Resource use and costs'!$BA$11:$BA$53,0)),0)*_xlfn.IFNA(INDEX(EA$10:EA$23,MATCH($DA214,$DX$10:$DX$23,0)),0))</f>
        <v>21421.066008214286</v>
      </c>
      <c r="DL214" s="909">
        <f>IF(dd_PartSA_2_lines = "Yes",0,_xlfn.IFNA(INDEX('Resource use and costs'!$CS$11:$CS$53,MATCH(DB214,'Resource use and costs'!$BA$11:$BA$53,0)),0)*_xlfn.IFNA(INDEX(EC$10:EC$23,MATCH($DB214,$DX$10:$DX$23,0)),0))</f>
        <v>2915.4763433333328</v>
      </c>
      <c r="DM214" s="909">
        <f t="shared" si="183"/>
        <v>81030.328442976184</v>
      </c>
      <c r="DN214" s="909">
        <f>SUM(_xlfn.IFNA(INDEX('Resource use and costs'!$DU$12:$DU$25,MATCH(CZ214,'Resource use and costs'!$DS$12:$DS$25,0)),0),_xlfn.IFNA(INDEX('Resource use and costs'!$DU$12:$DU$25,MATCH(DA214,'Resource use and costs'!$DS$12:$DS$25,0)),0),_xlfn.IFNA(INDEX('Resource use and costs'!$DU$12:$DU$25,MATCH(DB214,'Resource use and costs'!$DS$12:$DS$25,0)),0))</f>
        <v>394.5</v>
      </c>
      <c r="DO214" s="921">
        <f>_xlfn.IFNA(INDEX('Resource use and costs'!$DY$12:$DY$25,MATCH(CZ214,'Resource use and costs'!$DS$12:$DS$25,0)),0)*_xlfn.IFNA(INDEX(DY$10:DY$23,MATCH($CZ214,$DX$10:$DX$23,0)),0)</f>
        <v>8939.6605049142872</v>
      </c>
      <c r="DP214" s="921">
        <f>IF(dd_PartSA_2_lines = "Yes",0,_xlfn.IFNA(INDEX('Resource use and costs'!$DZ$12:$DZ$25,MATCH(DA214,'Resource use and costs'!$DS$12:$DS$25,0)),0)*_xlfn.IFNA(INDEX(EA$10:EA$23,MATCH($DA214,$DX$10:$DX$23,0)),0))</f>
        <v>267.99172714285714</v>
      </c>
      <c r="DQ214" s="921">
        <f>IF(dd_PartSA_2_lines = "Yes",0,_xlfn.IFNA(INDEX('Resource use and costs'!$EA$12:$EA$25,MATCH(DB214,'Resource use and costs'!$DS$12:$DS$25,0)),0)*_xlfn.IFNA(INDEX(EC$10:EC$23,MATCH($DB214,$DX$10:$DX$23,0)),0))</f>
        <v>256.11457142857142</v>
      </c>
      <c r="DR214" s="921">
        <f t="shared" si="184"/>
        <v>9858.2668034857161</v>
      </c>
      <c r="DS214" s="1004">
        <f ca="1">SUMIFS('Safety parameters'!$DM$6:$DM$18,'Safety parameters'!$DK$6:$DK$18,CZ214,'Safety parameters'!$DL$6:$DL$18,1)+IF(dd_PartSA_2_lines = "Yes",0,SUMIFS('Safety parameters'!$DM$6:$DM$18,'Safety parameters'!$DK$6:$DK$18,DA214,'Safety parameters'!$DL$6:$DL$18,2)+SUMIFS('Safety parameters'!$DM$6:$DM$18,'Safety parameters'!$DK$6:$DK$18,DB214,'Safety parameters'!$DL$6:$DL$18,2))</f>
        <v>1967.1040569407746</v>
      </c>
      <c r="DT214" s="910">
        <f ca="1">SUMIFS('Safety parameters'!$DO$6:$DO$18,'Safety parameters'!$DK$6:$DK$18,CZ214,'Safety parameters'!$DL$6:$DL$18,1)+IF(dd_PartSA_2_lines = "Yes",0,SUMIFS('Safety parameters'!$DO$6:$DO$18,'Safety parameters'!$DK$6:$DK$18,DA214,'Safety parameters'!$DL$6:$DL$18,2)+SUMIFS('Safety parameters'!$DO$6:$DO$18,'Safety parameters'!$DK$6:$DK$18,DB214,'Safety parameters'!$DL$6:$DL$18,2))</f>
        <v>-1.7409497544119149E-2</v>
      </c>
    </row>
    <row r="215" spans="89:124" ht="15" x14ac:dyDescent="0.2">
      <c r="CK215" s="61" t="s">
        <v>31</v>
      </c>
      <c r="CL215" s="61">
        <v>2</v>
      </c>
      <c r="CM215" s="61" t="str">
        <v>everolimus</v>
      </c>
      <c r="CN215" s="17">
        <v>10</v>
      </c>
      <c r="CO215" s="61" t="str" cm="1">
        <f t="array" ref="CO215">INDEX(List_comparators,CP214+1)</f>
        <v>axitinib</v>
      </c>
      <c r="CP215" s="17">
        <v>11</v>
      </c>
      <c r="CQ215" s="601">
        <f t="shared" ca="1" si="186"/>
        <v>0</v>
      </c>
      <c r="CR215" s="601">
        <f t="shared" ca="1" si="187"/>
        <v>0</v>
      </c>
      <c r="CS215" s="669">
        <f t="shared" ca="1" si="185"/>
        <v>28.869999999999997</v>
      </c>
      <c r="CT215" s="669">
        <f t="shared" ca="1" si="188"/>
        <v>7.1457142857142859</v>
      </c>
      <c r="CU215" s="1123">
        <f>MATCH(CZ215,'Resource use and costs'!$BA$11:$BA$53,0)</f>
        <v>1</v>
      </c>
      <c r="CV215" s="1223"/>
      <c r="CW215" s="1241">
        <f t="shared" si="182"/>
        <v>1</v>
      </c>
      <c r="CX215" s="899" t="s">
        <v>773</v>
      </c>
      <c r="CY215" s="899" t="s">
        <v>118</v>
      </c>
      <c r="CZ215" s="899" t="s">
        <v>579</v>
      </c>
      <c r="DA215" s="899" t="s">
        <v>765</v>
      </c>
      <c r="DB215" s="899"/>
      <c r="DC215" s="899" cm="1">
        <f t="array" aca="1" ref="DC215" ca="1">_xlfn.IFNA(OFFSET($I$49,MATCH(CY215,$I$50:$I$63,0),MATCH(CZ215,TRANSPOSE($J$49:$W$49),0)),0)</f>
        <v>0.59511111111111104</v>
      </c>
      <c r="DD215" s="899" cm="1">
        <f t="array" aca="1" ref="DD215" ca="1">_xlfn.IFNA(OFFSET($Y$49,MATCH($CZ215,$Y$50:$Y$63,0),MATCH($DA215,TRANSPOSE($Z$49:$AM$49),0)),0)</f>
        <v>0.3453</v>
      </c>
      <c r="DE215" s="899" cm="1">
        <f t="array" aca="1" ref="DE215" ca="1">_xlfn.IFNA(OFFSET($AO$49,MATCH($DA215,$AO$50:$AO$63,0),MATCH($DB215,TRANSPOSE($AP$49:$BC$49),0)),0)</f>
        <v>0</v>
      </c>
      <c r="DF215" s="881">
        <f t="shared" ca="1" si="179"/>
        <v>0.20549186666666663</v>
      </c>
      <c r="DG215" s="910">
        <f t="shared" ca="1" si="180"/>
        <v>1.0010447133454794</v>
      </c>
      <c r="DH215" s="881">
        <f t="shared" ca="1" si="181"/>
        <v>0.20570654676216077</v>
      </c>
      <c r="DI215" s="1460">
        <f t="shared" ca="1" si="177"/>
        <v>23.450546330886329</v>
      </c>
      <c r="DJ215" s="909">
        <f>_xlfn.IFNA(INDEX('Resource use and costs'!$CQ$11:$CQ$53,MATCH($CZ215,'Resource use and costs'!$BA$11:$BA$53,0)),0)*_xlfn.IFNA(INDEX(DY$10:DY$23,MATCH($CZ215,$DX$10:$DX$23,0)),0)</f>
        <v>56693.786091428577</v>
      </c>
      <c r="DK215" s="909">
        <f>IF(dd_PartSA_2_lines = "Yes",0,_xlfn.IFNA(INDEX('Resource use and costs'!$CR$11:$CR$53,MATCH(DA215,'Resource use and costs'!$BA$11:$BA$53,0)),0)*_xlfn.IFNA(INDEX(EA$10:EA$23,MATCH($DA215,$DX$10:$DX$23,0)),0))</f>
        <v>0</v>
      </c>
      <c r="DL215" s="909">
        <f>IF(dd_PartSA_2_lines = "Yes",0,_xlfn.IFNA(INDEX('Resource use and costs'!$CS$11:$CS$53,MATCH(DB215,'Resource use and costs'!$BA$11:$BA$53,0)),0)*_xlfn.IFNA(INDEX(EC$10:EC$23,MATCH($DB215,$DX$10:$DX$23,0)),0))</f>
        <v>0</v>
      </c>
      <c r="DM215" s="909">
        <f t="shared" si="183"/>
        <v>56693.786091428577</v>
      </c>
      <c r="DN215" s="909">
        <f>SUM(_xlfn.IFNA(INDEX('Resource use and costs'!$DU$12:$DU$25,MATCH(CZ215,'Resource use and costs'!$DS$12:$DS$25,0)),0),_xlfn.IFNA(INDEX('Resource use and costs'!$DU$12:$DU$25,MATCH(DA215,'Resource use and costs'!$DS$12:$DS$25,0)),0),_xlfn.IFNA(INDEX('Resource use and costs'!$DU$12:$DU$25,MATCH(DB215,'Resource use and costs'!$DS$12:$DS$25,0)),0))</f>
        <v>0</v>
      </c>
      <c r="DO215" s="921">
        <f>_xlfn.IFNA(INDEX('Resource use and costs'!$DY$12:$DY$25,MATCH(CZ215,'Resource use and costs'!$DS$12:$DS$25,0)),0)*_xlfn.IFNA(INDEX(DY$10:DY$23,MATCH($CZ215,$DX$10:$DX$23,0)),0)</f>
        <v>8939.6605049142872</v>
      </c>
      <c r="DP215" s="921">
        <f>IF(dd_PartSA_2_lines = "Yes",0,_xlfn.IFNA(INDEX('Resource use and costs'!$DZ$12:$DZ$25,MATCH(DA215,'Resource use and costs'!$DS$12:$DS$25,0)),0)*_xlfn.IFNA(INDEX(EA$10:EA$23,MATCH($DA215,$DX$10:$DX$23,0)),0))</f>
        <v>0</v>
      </c>
      <c r="DQ215" s="921">
        <f>IF(dd_PartSA_2_lines = "Yes",0,_xlfn.IFNA(INDEX('Resource use and costs'!$EA$12:$EA$25,MATCH(DB215,'Resource use and costs'!$DS$12:$DS$25,0)),0)*_xlfn.IFNA(INDEX(EC$10:EC$23,MATCH($DB215,$DX$10:$DX$23,0)),0))</f>
        <v>0</v>
      </c>
      <c r="DR215" s="921">
        <f t="shared" si="184"/>
        <v>8939.6605049142872</v>
      </c>
      <c r="DS215" s="1004">
        <f>SUMIFS('Safety parameters'!$DM$6:$DM$18,'Safety parameters'!$DK$6:$DK$18,CZ215,'Safety parameters'!$DL$6:$DL$18,1)+IF(dd_PartSA_2_lines = "Yes",0,SUMIFS('Safety parameters'!$DM$6:$DM$18,'Safety parameters'!$DK$6:$DK$18,DA215,'Safety parameters'!$DL$6:$DL$18,2)+SUMIFS('Safety parameters'!$DM$6:$DM$18,'Safety parameters'!$DK$6:$DK$18,DB215,'Safety parameters'!$DL$6:$DL$18,2))</f>
        <v>0</v>
      </c>
      <c r="DT215" s="910">
        <f>SUMIFS('Safety parameters'!$DO$6:$DO$18,'Safety parameters'!$DK$6:$DK$18,CZ215,'Safety parameters'!$DL$6:$DL$18,1)+IF(dd_PartSA_2_lines = "Yes",0,SUMIFS('Safety parameters'!$DO$6:$DO$18,'Safety parameters'!$DK$6:$DK$18,DA215,'Safety parameters'!$DL$6:$DL$18,2)+SUMIFS('Safety parameters'!$DO$6:$DO$18,'Safety parameters'!$DK$6:$DK$18,DB215,'Safety parameters'!$DL$6:$DL$18,2))</f>
        <v>0</v>
      </c>
    </row>
    <row r="216" spans="89:124" ht="15" x14ac:dyDescent="0.2">
      <c r="CK216" s="61" t="s">
        <v>31</v>
      </c>
      <c r="CL216" s="61">
        <v>2</v>
      </c>
      <c r="CM216" s="61" t="str">
        <v>axitinib</v>
      </c>
      <c r="CN216" s="17">
        <v>11</v>
      </c>
      <c r="CO216" s="61" t="str" cm="1">
        <f t="array" ref="CO216">INDEX(List_comparators,CP215+1)</f>
        <v>axitinib</v>
      </c>
      <c r="CP216" s="17">
        <v>11</v>
      </c>
      <c r="CQ216" s="601">
        <f t="shared" ca="1" si="186"/>
        <v>0</v>
      </c>
      <c r="CR216" s="601">
        <f t="shared" ca="1" si="187"/>
        <v>0</v>
      </c>
      <c r="CS216" s="669">
        <f t="shared" ca="1" si="185"/>
        <v>28.869999999999997</v>
      </c>
      <c r="CT216" s="669">
        <f t="shared" ca="1" si="188"/>
        <v>7.1457142857142859</v>
      </c>
      <c r="CU216" s="1123">
        <f>MATCH(CZ216,'Resource use and costs'!$BA$11:$BA$53,0)</f>
        <v>1</v>
      </c>
      <c r="CV216" s="1223"/>
      <c r="CW216" s="1241">
        <f t="shared" si="182"/>
        <v>1</v>
      </c>
      <c r="CX216" s="899" t="s">
        <v>773</v>
      </c>
      <c r="CY216" s="899" t="s">
        <v>118</v>
      </c>
      <c r="CZ216" s="899" t="s">
        <v>579</v>
      </c>
      <c r="DA216" s="899" t="s">
        <v>119</v>
      </c>
      <c r="DB216" s="899" t="s">
        <v>327</v>
      </c>
      <c r="DC216" s="899" cm="1">
        <f t="array" aca="1" ref="DC216" ca="1">_xlfn.IFNA(OFFSET($I$49,MATCH(CY216,$I$50:$I$63,0),MATCH(CZ216,TRANSPOSE($J$49:$W$49),0)),0)</f>
        <v>0.59511111111111104</v>
      </c>
      <c r="DD216" s="899" cm="1">
        <f t="array" aca="1" ref="DD216" ca="1">_xlfn.IFNA(OFFSET($Y$49,MATCH($CZ216,$Y$50:$Y$63,0),MATCH($DA216,TRANSPOSE($Z$49:$AM$49),0)),0)</f>
        <v>6.4999999999999997E-3</v>
      </c>
      <c r="DE216" s="899" cm="1">
        <f t="array" aca="1" ref="DE216" ca="1">_xlfn.IFNA(OFFSET($AO$49,MATCH($DA216,$AO$50:$AO$63,0),MATCH($DB216,TRANSPOSE($AP$49:$BC$49),0)),0)</f>
        <v>0</v>
      </c>
      <c r="DF216" s="881">
        <f t="shared" ca="1" si="179"/>
        <v>0</v>
      </c>
      <c r="DG216" s="910">
        <f t="shared" ca="1" si="180"/>
        <v>1.0010447133454794</v>
      </c>
      <c r="DH216" s="881">
        <f t="shared" ca="1" si="181"/>
        <v>0</v>
      </c>
      <c r="DI216" s="1460">
        <f t="shared" ca="1" si="177"/>
        <v>0</v>
      </c>
      <c r="DJ216" s="909">
        <f>_xlfn.IFNA(INDEX('Resource use and costs'!$CQ$11:$CQ$53,MATCH($CZ216,'Resource use and costs'!$BA$11:$BA$53,0)),0)*_xlfn.IFNA(INDEX(DY$10:DY$23,MATCH($CZ216,$DX$10:$DX$23,0)),0)</f>
        <v>56693.786091428577</v>
      </c>
      <c r="DK216" s="909">
        <f>IF(dd_PartSA_2_lines = "Yes",0,_xlfn.IFNA(INDEX('Resource use and costs'!$CR$11:$CR$53,MATCH(DA216,'Resource use and costs'!$BA$11:$BA$53,0)),0)*_xlfn.IFNA(INDEX(EA$10:EA$23,MATCH($DA216,$DX$10:$DX$23,0)),0))</f>
        <v>848.17532499999982</v>
      </c>
      <c r="DL216" s="909">
        <f>IF(dd_PartSA_2_lines = "Yes",0,_xlfn.IFNA(INDEX('Resource use and costs'!$CS$11:$CS$53,MATCH(DB216,'Resource use and costs'!$BA$11:$BA$53,0)),0)*_xlfn.IFNA(INDEX(EC$10:EC$23,MATCH($DB216,$DX$10:$DX$23,0)),0))</f>
        <v>18438.751749999999</v>
      </c>
      <c r="DM216" s="909">
        <f t="shared" si="183"/>
        <v>75980.71316642857</v>
      </c>
      <c r="DN216" s="909">
        <f>SUM(_xlfn.IFNA(INDEX('Resource use and costs'!$DU$12:$DU$25,MATCH(CZ216,'Resource use and costs'!$DS$12:$DS$25,0)),0),_xlfn.IFNA(INDEX('Resource use and costs'!$DU$12:$DU$25,MATCH(DA216,'Resource use and costs'!$DS$12:$DS$25,0)),0),_xlfn.IFNA(INDEX('Resource use and costs'!$DU$12:$DU$25,MATCH(DB216,'Resource use and costs'!$DS$12:$DS$25,0)),0))</f>
        <v>394.5</v>
      </c>
      <c r="DO216" s="921">
        <f>_xlfn.IFNA(INDEX('Resource use and costs'!$DY$12:$DY$25,MATCH(CZ216,'Resource use and costs'!$DS$12:$DS$25,0)),0)*_xlfn.IFNA(INDEX(DY$10:DY$23,MATCH($CZ216,$DX$10:$DX$23,0)),0)</f>
        <v>8939.6605049142872</v>
      </c>
      <c r="DP216" s="921">
        <f>IF(dd_PartSA_2_lines = "Yes",0,_xlfn.IFNA(INDEX('Resource use and costs'!$DZ$12:$DZ$25,MATCH(DA216,'Resource use and costs'!$DS$12:$DS$25,0)),0)*_xlfn.IFNA(INDEX(EA$10:EA$23,MATCH($DA216,$DX$10:$DX$23,0)),0))</f>
        <v>74.50928571428571</v>
      </c>
      <c r="DQ216" s="921">
        <f>IF(dd_PartSA_2_lines = "Yes",0,_xlfn.IFNA(INDEX('Resource use and costs'!$EA$12:$EA$25,MATCH(DB216,'Resource use and costs'!$DS$12:$DS$25,0)),0)*_xlfn.IFNA(INDEX(EC$10:EC$23,MATCH($DB216,$DX$10:$DX$23,0)),0))</f>
        <v>230.68099999999998</v>
      </c>
      <c r="DR216" s="921">
        <f t="shared" si="184"/>
        <v>9639.350790628574</v>
      </c>
      <c r="DS216" s="1004">
        <f ca="1">SUMIFS('Safety parameters'!$DM$6:$DM$18,'Safety parameters'!$DK$6:$DK$18,CZ216,'Safety parameters'!$DL$6:$DL$18,1)+IF(dd_PartSA_2_lines = "Yes",0,SUMIFS('Safety parameters'!$DM$6:$DM$18,'Safety parameters'!$DK$6:$DK$18,DA216,'Safety parameters'!$DL$6:$DL$18,2)+SUMIFS('Safety parameters'!$DM$6:$DM$18,'Safety parameters'!$DK$6:$DK$18,DB216,'Safety parameters'!$DL$6:$DL$18,2))</f>
        <v>1967.1040569407746</v>
      </c>
      <c r="DT216" s="910">
        <f ca="1">SUMIFS('Safety parameters'!$DO$6:$DO$18,'Safety parameters'!$DK$6:$DK$18,CZ216,'Safety parameters'!$DL$6:$DL$18,1)+IF(dd_PartSA_2_lines = "Yes",0,SUMIFS('Safety parameters'!$DO$6:$DO$18,'Safety parameters'!$DK$6:$DK$18,DA216,'Safety parameters'!$DL$6:$DL$18,2)+SUMIFS('Safety parameters'!$DO$6:$DO$18,'Safety parameters'!$DK$6:$DK$18,DB216,'Safety parameters'!$DL$6:$DL$18,2))</f>
        <v>-1.7409497544119149E-2</v>
      </c>
    </row>
    <row r="217" spans="89:124" ht="15" x14ac:dyDescent="0.2">
      <c r="CK217" s="61" t="s">
        <v>31</v>
      </c>
      <c r="CL217" s="61">
        <v>2</v>
      </c>
      <c r="CM217" s="61" t="str">
        <v>sorafenib</v>
      </c>
      <c r="CN217" s="17">
        <v>12</v>
      </c>
      <c r="CO217" s="61" t="str" cm="1">
        <f t="array" ref="CO217">INDEX(List_comparators,CP216+1)</f>
        <v>axitinib</v>
      </c>
      <c r="CP217" s="17">
        <v>11</v>
      </c>
      <c r="CQ217" s="601">
        <f t="shared" ca="1" si="186"/>
        <v>0</v>
      </c>
      <c r="CR217" s="601">
        <f t="shared" ca="1" si="187"/>
        <v>0</v>
      </c>
      <c r="CS217" s="669">
        <f t="shared" ca="1" si="185"/>
        <v>0</v>
      </c>
      <c r="CT217" s="669">
        <f t="shared" ca="1" si="188"/>
        <v>0</v>
      </c>
      <c r="CU217" s="1123">
        <f>MATCH(CZ217,'Resource use and costs'!$BA$11:$BA$53,0)</f>
        <v>1</v>
      </c>
      <c r="CV217" s="1223"/>
      <c r="CW217" s="1241">
        <f t="shared" si="182"/>
        <v>1</v>
      </c>
      <c r="CX217" s="899" t="s">
        <v>773</v>
      </c>
      <c r="CY217" s="899" t="s">
        <v>118</v>
      </c>
      <c r="CZ217" s="899" t="s">
        <v>579</v>
      </c>
      <c r="DA217" s="899" t="s">
        <v>119</v>
      </c>
      <c r="DB217" s="899" t="s">
        <v>765</v>
      </c>
      <c r="DC217" s="899" cm="1">
        <f t="array" aca="1" ref="DC217" ca="1">_xlfn.IFNA(OFFSET($I$49,MATCH(CY217,$I$50:$I$63,0),MATCH(CZ217,TRANSPOSE($J$49:$W$49),0)),0)</f>
        <v>0.59511111111111104</v>
      </c>
      <c r="DD217" s="899" cm="1">
        <f t="array" aca="1" ref="DD217" ca="1">_xlfn.IFNA(OFFSET($Y$49,MATCH($CZ217,$Y$50:$Y$63,0),MATCH($DA217,TRANSPOSE($Z$49:$AM$49),0)),0)</f>
        <v>6.4999999999999997E-3</v>
      </c>
      <c r="DE217" s="899" cm="1">
        <f t="array" aca="1" ref="DE217" ca="1">_xlfn.IFNA(OFFSET($AO$49,MATCH($DA217,$AO$50:$AO$63,0),MATCH($DB217,TRANSPOSE($AP$49:$BC$49),0)),0)</f>
        <v>1</v>
      </c>
      <c r="DF217" s="881">
        <f t="shared" ca="1" si="179"/>
        <v>3.8682222222222217E-3</v>
      </c>
      <c r="DG217" s="910">
        <f t="shared" ca="1" si="180"/>
        <v>1.0010447133454794</v>
      </c>
      <c r="DH217" s="881">
        <f t="shared" ca="1" si="181"/>
        <v>3.872263405601057E-3</v>
      </c>
      <c r="DI217" s="1460">
        <f t="shared" ca="1" si="177"/>
        <v>0.44143802823852052</v>
      </c>
      <c r="DJ217" s="909">
        <f>_xlfn.IFNA(INDEX('Resource use and costs'!$CQ$11:$CQ$53,MATCH($CZ217,'Resource use and costs'!$BA$11:$BA$53,0)),0)*_xlfn.IFNA(INDEX(DY$10:DY$23,MATCH($CZ217,$DX$10:$DX$23,0)),0)</f>
        <v>56693.786091428577</v>
      </c>
      <c r="DK217" s="909">
        <f>IF(dd_PartSA_2_lines = "Yes",0,_xlfn.IFNA(INDEX('Resource use and costs'!$CR$11:$CR$53,MATCH(DA217,'Resource use and costs'!$BA$11:$BA$53,0)),0)*_xlfn.IFNA(INDEX(EA$10:EA$23,MATCH($DA217,$DX$10:$DX$23,0)),0))</f>
        <v>848.17532499999982</v>
      </c>
      <c r="DL217" s="909">
        <f>IF(dd_PartSA_2_lines = "Yes",0,_xlfn.IFNA(INDEX('Resource use and costs'!$CS$11:$CS$53,MATCH(DB217,'Resource use and costs'!$BA$11:$BA$53,0)),0)*_xlfn.IFNA(INDEX(EC$10:EC$23,MATCH($DB217,$DX$10:$DX$23,0)),0))</f>
        <v>0</v>
      </c>
      <c r="DM217" s="909">
        <f t="shared" si="183"/>
        <v>57541.961416428574</v>
      </c>
      <c r="DN217" s="909">
        <f>SUM(_xlfn.IFNA(INDEX('Resource use and costs'!$DU$12:$DU$25,MATCH(CZ217,'Resource use and costs'!$DS$12:$DS$25,0)),0),_xlfn.IFNA(INDEX('Resource use and costs'!$DU$12:$DU$25,MATCH(DA217,'Resource use and costs'!$DS$12:$DS$25,0)),0),_xlfn.IFNA(INDEX('Resource use and costs'!$DU$12:$DU$25,MATCH(DB217,'Resource use and costs'!$DS$12:$DS$25,0)),0))</f>
        <v>197.25</v>
      </c>
      <c r="DO217" s="921">
        <f>_xlfn.IFNA(INDEX('Resource use and costs'!$DY$12:$DY$25,MATCH(CZ217,'Resource use and costs'!$DS$12:$DS$25,0)),0)*_xlfn.IFNA(INDEX(DY$10:DY$23,MATCH($CZ217,$DX$10:$DX$23,0)),0)</f>
        <v>8939.6605049142872</v>
      </c>
      <c r="DP217" s="921">
        <f>IF(dd_PartSA_2_lines = "Yes",0,_xlfn.IFNA(INDEX('Resource use and costs'!$DZ$12:$DZ$25,MATCH(DA217,'Resource use and costs'!$DS$12:$DS$25,0)),0)*_xlfn.IFNA(INDEX(EA$10:EA$23,MATCH($DA217,$DX$10:$DX$23,0)),0))</f>
        <v>74.50928571428571</v>
      </c>
      <c r="DQ217" s="921">
        <f>IF(dd_PartSA_2_lines = "Yes",0,_xlfn.IFNA(INDEX('Resource use and costs'!$EA$12:$EA$25,MATCH(DB217,'Resource use and costs'!$DS$12:$DS$25,0)),0)*_xlfn.IFNA(INDEX(EC$10:EC$23,MATCH($DB217,$DX$10:$DX$23,0)),0))</f>
        <v>0</v>
      </c>
      <c r="DR217" s="921">
        <f t="shared" si="184"/>
        <v>9211.4197906285735</v>
      </c>
      <c r="DS217" s="1004">
        <f ca="1">SUMIFS('Safety parameters'!$DM$6:$DM$18,'Safety parameters'!$DK$6:$DK$18,CZ217,'Safety parameters'!$DL$6:$DL$18,1)+IF(dd_PartSA_2_lines = "Yes",0,SUMIFS('Safety parameters'!$DM$6:$DM$18,'Safety parameters'!$DK$6:$DK$18,DA217,'Safety parameters'!$DL$6:$DL$18,2)+SUMIFS('Safety parameters'!$DM$6:$DM$18,'Safety parameters'!$DK$6:$DK$18,DB217,'Safety parameters'!$DL$6:$DL$18,2))</f>
        <v>332.87538337531487</v>
      </c>
      <c r="DT217" s="910">
        <f ca="1">SUMIFS('Safety parameters'!$DO$6:$DO$18,'Safety parameters'!$DK$6:$DK$18,CZ217,'Safety parameters'!$DL$6:$DL$18,1)+IF(dd_PartSA_2_lines = "Yes",0,SUMIFS('Safety parameters'!$DO$6:$DO$18,'Safety parameters'!$DK$6:$DK$18,DA217,'Safety parameters'!$DL$6:$DL$18,2)+SUMIFS('Safety parameters'!$DO$6:$DO$18,'Safety parameters'!$DK$6:$DK$18,DB217,'Safety parameters'!$DL$6:$DL$18,2))</f>
        <v>-2.6675735366377194E-3</v>
      </c>
    </row>
    <row r="218" spans="89:124" ht="15.75" thickBot="1" x14ac:dyDescent="0.25">
      <c r="CK218" s="506" t="s">
        <v>31</v>
      </c>
      <c r="CL218" s="506">
        <v>2</v>
      </c>
      <c r="CM218" s="506" t="str">
        <v>placebo_BSC</v>
      </c>
      <c r="CN218" s="19">
        <v>999</v>
      </c>
      <c r="CO218" s="506" t="str" cm="1">
        <f t="array" ref="CO218">INDEX(List_comparators,CP205+1)</f>
        <v>axitinib</v>
      </c>
      <c r="CP218" s="19">
        <v>11</v>
      </c>
      <c r="CQ218" s="602">
        <f t="shared" ca="1" si="186"/>
        <v>0</v>
      </c>
      <c r="CR218" s="602">
        <f t="shared" ca="1" si="187"/>
        <v>0</v>
      </c>
      <c r="CS218" s="670">
        <v>0</v>
      </c>
      <c r="CT218" s="670">
        <f t="shared" ca="1" si="188"/>
        <v>0</v>
      </c>
      <c r="CU218" s="1123">
        <f>MATCH(CZ218,'Resource use and costs'!$BA$11:$BA$53,0)</f>
        <v>1</v>
      </c>
      <c r="CV218" s="1223"/>
      <c r="CW218" s="1241">
        <f t="shared" si="182"/>
        <v>1</v>
      </c>
      <c r="CX218" s="899" t="s">
        <v>773</v>
      </c>
      <c r="CY218" s="899" t="s">
        <v>118</v>
      </c>
      <c r="CZ218" s="899" t="s">
        <v>579</v>
      </c>
      <c r="DA218" s="899" t="s">
        <v>333</v>
      </c>
      <c r="DB218" s="899" t="s">
        <v>327</v>
      </c>
      <c r="DC218" s="899" cm="1">
        <f t="array" aca="1" ref="DC218" ca="1">_xlfn.IFNA(OFFSET($I$49,MATCH(CY218,$I$50:$I$63,0),MATCH(CZ218,TRANSPOSE($J$49:$W$49),0)),0)</f>
        <v>0.59511111111111104</v>
      </c>
      <c r="DD218" s="899">
        <f ca="1">1-DD213-DD215-DD216-DD220-DD223-DD226</f>
        <v>0.56960000000000011</v>
      </c>
      <c r="DE218" s="899" cm="1">
        <f t="array" aca="1" ref="DE218" ca="1">_xlfn.IFNA(OFFSET($AO$49,MATCH($DA218,$AO$50:$AO$63,0),MATCH($DB218,TRANSPOSE($AP$49:$BC$49),0)),0)</f>
        <v>0.56859999999999999</v>
      </c>
      <c r="DF218" s="881">
        <f t="shared" ca="1" si="179"/>
        <v>0.19274134926222222</v>
      </c>
      <c r="DG218" s="910">
        <f t="shared" ca="1" si="180"/>
        <v>1.0010447133454794</v>
      </c>
      <c r="DH218" s="881">
        <f t="shared" ca="1" si="181"/>
        <v>0.19294270872202218</v>
      </c>
      <c r="DI218" s="1460">
        <f t="shared" ca="1" si="177"/>
        <v>21.995468794310529</v>
      </c>
      <c r="DJ218" s="909">
        <f>_xlfn.IFNA(INDEX('Resource use and costs'!$CQ$11:$CQ$53,MATCH($CZ218,'Resource use and costs'!$BA$11:$BA$53,0)),0)*_xlfn.IFNA(INDEX(DY$10:DY$23,MATCH($CZ218,$DX$10:$DX$23,0)),0)</f>
        <v>56693.786091428577</v>
      </c>
      <c r="DK218" s="909">
        <f>IF(dd_PartSA_2_lines = "Yes",0,_xlfn.IFNA(INDEX('Resource use and costs'!$CR$11:$CR$53,MATCH(DA218,'Resource use and costs'!$BA$11:$BA$53,0)),0)*_xlfn.IFNA(INDEX(EA$10:EA$23,MATCH($DA218,$DX$10:$DX$23,0)),0))</f>
        <v>24337.716731999997</v>
      </c>
      <c r="DL218" s="909">
        <f>IF(dd_PartSA_2_lines = "Yes",0,_xlfn.IFNA(INDEX('Resource use and costs'!$CS$11:$CS$53,MATCH(DB218,'Resource use and costs'!$BA$11:$BA$53,0)),0)*_xlfn.IFNA(INDEX(EC$10:EC$23,MATCH($DB218,$DX$10:$DX$23,0)),0))</f>
        <v>18438.751749999999</v>
      </c>
      <c r="DM218" s="909">
        <f t="shared" si="183"/>
        <v>99470.254573428567</v>
      </c>
      <c r="DN218" s="909">
        <f>SUM(_xlfn.IFNA(INDEX('Resource use and costs'!$DU$12:$DU$25,MATCH(CZ218,'Resource use and costs'!$DS$12:$DS$25,0)),0),_xlfn.IFNA(INDEX('Resource use and costs'!$DU$12:$DU$25,MATCH(DA218,'Resource use and costs'!$DS$12:$DS$25,0)),0),_xlfn.IFNA(INDEX('Resource use and costs'!$DU$12:$DU$25,MATCH(DB218,'Resource use and costs'!$DS$12:$DS$25,0)),0))</f>
        <v>394.5</v>
      </c>
      <c r="DO218" s="921">
        <f>_xlfn.IFNA(INDEX('Resource use and costs'!$DY$12:$DY$25,MATCH(CZ218,'Resource use and costs'!$DS$12:$DS$25,0)),0)*_xlfn.IFNA(INDEX(DY$10:DY$23,MATCH($CZ218,$DX$10:$DX$23,0)),0)</f>
        <v>8939.6605049142872</v>
      </c>
      <c r="DP218" s="921">
        <f>IF(dd_PartSA_2_lines = "Yes",0,_xlfn.IFNA(INDEX('Resource use and costs'!$DZ$12:$DZ$25,MATCH(DA218,'Resource use and costs'!$DS$12:$DS$25,0)),0)*_xlfn.IFNA(INDEX(EA$10:EA$23,MATCH($DA218,$DX$10:$DX$23,0)),0))</f>
        <v>363.04714285714283</v>
      </c>
      <c r="DQ218" s="921">
        <f>IF(dd_PartSA_2_lines = "Yes",0,_xlfn.IFNA(INDEX('Resource use and costs'!$EA$12:$EA$25,MATCH(DB218,'Resource use and costs'!$DS$12:$DS$25,0)),0)*_xlfn.IFNA(INDEX(EC$10:EC$23,MATCH($DB218,$DX$10:$DX$23,0)),0))</f>
        <v>230.68099999999998</v>
      </c>
      <c r="DR218" s="921">
        <f t="shared" si="184"/>
        <v>9927.8886477714314</v>
      </c>
      <c r="DS218" s="1004">
        <f ca="1">SUMIFS('Safety parameters'!$DM$6:$DM$18,'Safety parameters'!$DK$6:$DK$18,CZ218,'Safety parameters'!$DL$6:$DL$18,1)+IF(dd_PartSA_2_lines = "Yes",0,SUMIFS('Safety parameters'!$DM$6:$DM$18,'Safety parameters'!$DK$6:$DK$18,DA218,'Safety parameters'!$DL$6:$DL$18,2)+SUMIFS('Safety parameters'!$DM$6:$DM$18,'Safety parameters'!$DK$6:$DK$18,DB218,'Safety parameters'!$DL$6:$DL$18,2))</f>
        <v>2577.0992943484653</v>
      </c>
      <c r="DT218" s="910">
        <f ca="1">SUMIFS('Safety parameters'!$DO$6:$DO$18,'Safety parameters'!$DK$6:$DK$18,CZ218,'Safety parameters'!$DL$6:$DL$18,1)+IF(dd_PartSA_2_lines = "Yes",0,SUMIFS('Safety parameters'!$DO$6:$DO$18,'Safety parameters'!$DK$6:$DK$18,DA218,'Safety parameters'!$DL$6:$DL$18,2)+SUMIFS('Safety parameters'!$DO$6:$DO$18,'Safety parameters'!$DK$6:$DK$18,DB218,'Safety parameters'!$DL$6:$DL$18,2))</f>
        <v>-2.4384674689096917E-2</v>
      </c>
    </row>
    <row r="219" spans="89:124" ht="15" x14ac:dyDescent="0.2">
      <c r="CK219" s="505" t="s">
        <v>31</v>
      </c>
      <c r="CL219" s="505">
        <v>2</v>
      </c>
      <c r="CM219" s="61" t="str" cm="1">
        <f t="array" ref="CM219:CM232">List_comparators</f>
        <v>nivolumab_monotherapy</v>
      </c>
      <c r="CN219" s="17">
        <v>0</v>
      </c>
      <c r="CO219" s="61" t="str" cm="1">
        <f t="array" ref="CO219">INDEX(List_comparators,CP219+1)</f>
        <v>sorafenib</v>
      </c>
      <c r="CP219" s="17">
        <v>12</v>
      </c>
      <c r="CQ219" s="603">
        <f t="shared" ca="1" si="186"/>
        <v>0</v>
      </c>
      <c r="CR219" s="603">
        <f t="shared" ca="1" si="187"/>
        <v>0</v>
      </c>
      <c r="CS219" s="669">
        <f t="shared" ref="CS219:CS231" ca="1" si="189">OFFSET($J$81,IF(CN219=999,13,CN219),CP219)</f>
        <v>0</v>
      </c>
      <c r="CT219" s="669">
        <f t="shared" ca="1" si="188"/>
        <v>0</v>
      </c>
      <c r="CU219" s="1123">
        <f>MATCH(CZ219,'Resource use and costs'!$BA$11:$BA$53,0)</f>
        <v>1</v>
      </c>
      <c r="CV219" s="1223"/>
      <c r="CW219" s="1241">
        <f t="shared" si="182"/>
        <v>1</v>
      </c>
      <c r="CX219" s="899" t="s">
        <v>773</v>
      </c>
      <c r="CY219" s="899" t="s">
        <v>118</v>
      </c>
      <c r="CZ219" s="899" t="s">
        <v>579</v>
      </c>
      <c r="DA219" s="899" t="s">
        <v>333</v>
      </c>
      <c r="DB219" s="899" t="s">
        <v>765</v>
      </c>
      <c r="DC219" s="899" cm="1">
        <f t="array" aca="1" ref="DC219" ca="1">_xlfn.IFNA(OFFSET($I$49,MATCH(CY219,$I$50:$I$63,0),MATCH(CZ219,TRANSPOSE($J$49:$W$49),0)),0)</f>
        <v>0.59511111111111104</v>
      </c>
      <c r="DD219" s="899">
        <f ca="1">DD218</f>
        <v>0.56960000000000011</v>
      </c>
      <c r="DE219" s="899" cm="1">
        <f t="array" aca="1" ref="DE219" ca="1">_xlfn.IFNA(OFFSET($AO$49,MATCH($DA219,$AO$50:$AO$63,0),MATCH($DB219,TRANSPOSE($AP$49:$BC$49),0)),0)</f>
        <v>0.43140000000000001</v>
      </c>
      <c r="DF219" s="881">
        <f t="shared" ca="1" si="179"/>
        <v>0.14623393962666667</v>
      </c>
      <c r="DG219" s="910">
        <f t="shared" ca="1" si="180"/>
        <v>1.0010447133454794</v>
      </c>
      <c r="DH219" s="881">
        <f t="shared" ca="1" si="181"/>
        <v>0.14638671217495669</v>
      </c>
      <c r="DI219" s="1460">
        <f t="shared" ca="1" si="177"/>
        <v>16.688085187945063</v>
      </c>
      <c r="DJ219" s="909">
        <f>_xlfn.IFNA(INDEX('Resource use and costs'!$CQ$11:$CQ$53,MATCH($CZ219,'Resource use and costs'!$BA$11:$BA$53,0)),0)*_xlfn.IFNA(INDEX(DY$10:DY$23,MATCH($CZ219,$DX$10:$DX$23,0)),0)</f>
        <v>56693.786091428577</v>
      </c>
      <c r="DK219" s="909">
        <f>IF(dd_PartSA_2_lines = "Yes",0,_xlfn.IFNA(INDEX('Resource use and costs'!$CR$11:$CR$53,MATCH(DA219,'Resource use and costs'!$BA$11:$BA$53,0)),0)*_xlfn.IFNA(INDEX(EA$10:EA$23,MATCH($DA219,$DX$10:$DX$23,0)),0))</f>
        <v>24337.716731999997</v>
      </c>
      <c r="DL219" s="909">
        <f>IF(dd_PartSA_2_lines = "Yes",0,_xlfn.IFNA(INDEX('Resource use and costs'!$CS$11:$CS$53,MATCH(DB219,'Resource use and costs'!$BA$11:$BA$53,0)),0)*_xlfn.IFNA(INDEX(EC$10:EC$23,MATCH($DB219,$DX$10:$DX$23,0)),0))</f>
        <v>0</v>
      </c>
      <c r="DM219" s="909">
        <f t="shared" si="183"/>
        <v>81031.502823428571</v>
      </c>
      <c r="DN219" s="909">
        <f>SUM(_xlfn.IFNA(INDEX('Resource use and costs'!$DU$12:$DU$25,MATCH(CZ219,'Resource use and costs'!$DS$12:$DS$25,0)),0),_xlfn.IFNA(INDEX('Resource use and costs'!$DU$12:$DU$25,MATCH(DA219,'Resource use and costs'!$DS$12:$DS$25,0)),0),_xlfn.IFNA(INDEX('Resource use and costs'!$DU$12:$DU$25,MATCH(DB219,'Resource use and costs'!$DS$12:$DS$25,0)),0))</f>
        <v>197.25</v>
      </c>
      <c r="DO219" s="921">
        <f>_xlfn.IFNA(INDEX('Resource use and costs'!$DY$12:$DY$25,MATCH(CZ219,'Resource use and costs'!$DS$12:$DS$25,0)),0)*_xlfn.IFNA(INDEX(DY$10:DY$23,MATCH($CZ219,$DX$10:$DX$23,0)),0)</f>
        <v>8939.6605049142872</v>
      </c>
      <c r="DP219" s="921">
        <f>IF(dd_PartSA_2_lines = "Yes",0,_xlfn.IFNA(INDEX('Resource use and costs'!$DZ$12:$DZ$25,MATCH(DA219,'Resource use and costs'!$DS$12:$DS$25,0)),0)*_xlfn.IFNA(INDEX(EA$10:EA$23,MATCH($DA219,$DX$10:$DX$23,0)),0))</f>
        <v>363.04714285714283</v>
      </c>
      <c r="DQ219" s="921">
        <f>IF(dd_PartSA_2_lines = "Yes",0,_xlfn.IFNA(INDEX('Resource use and costs'!$EA$12:$EA$25,MATCH(DB219,'Resource use and costs'!$DS$12:$DS$25,0)),0)*_xlfn.IFNA(INDEX(EC$10:EC$23,MATCH($DB219,$DX$10:$DX$23,0)),0))</f>
        <v>0</v>
      </c>
      <c r="DR219" s="921">
        <f t="shared" si="184"/>
        <v>9499.9576477714309</v>
      </c>
      <c r="DS219" s="1004">
        <f ca="1">SUMIFS('Safety parameters'!$DM$6:$DM$18,'Safety parameters'!$DK$6:$DK$18,CZ219,'Safety parameters'!$DL$6:$DL$18,1)+IF(dd_PartSA_2_lines = "Yes",0,SUMIFS('Safety parameters'!$DM$6:$DM$18,'Safety parameters'!$DK$6:$DK$18,DA219,'Safety parameters'!$DL$6:$DL$18,2)+SUMIFS('Safety parameters'!$DM$6:$DM$18,'Safety parameters'!$DK$6:$DK$18,DB219,'Safety parameters'!$DL$6:$DL$18,2))</f>
        <v>942.87062078300573</v>
      </c>
      <c r="DT219" s="910">
        <f ca="1">SUMIFS('Safety parameters'!$DO$6:$DO$18,'Safety parameters'!$DK$6:$DK$18,CZ219,'Safety parameters'!$DL$6:$DL$18,1)+IF(dd_PartSA_2_lines = "Yes",0,SUMIFS('Safety parameters'!$DO$6:$DO$18,'Safety parameters'!$DK$6:$DK$18,DA219,'Safety parameters'!$DL$6:$DL$18,2)+SUMIFS('Safety parameters'!$DO$6:$DO$18,'Safety parameters'!$DK$6:$DK$18,DB219,'Safety parameters'!$DL$6:$DL$18,2))</f>
        <v>-9.6427506816154883E-3</v>
      </c>
    </row>
    <row r="220" spans="89:124" ht="15" x14ac:dyDescent="0.2">
      <c r="CK220" s="61" t="s">
        <v>31</v>
      </c>
      <c r="CL220" s="61">
        <v>2</v>
      </c>
      <c r="CM220" s="61" t="str">
        <v>cabozantinib_plus_nivolumab</v>
      </c>
      <c r="CN220" s="17">
        <v>1</v>
      </c>
      <c r="CO220" s="61" t="str" cm="1">
        <f t="array" ref="CO220">INDEX(List_comparators,CP219+1)</f>
        <v>sorafenib</v>
      </c>
      <c r="CP220" s="17">
        <v>12</v>
      </c>
      <c r="CQ220" s="601">
        <f t="shared" ca="1" si="186"/>
        <v>0</v>
      </c>
      <c r="CR220" s="601">
        <f t="shared" ca="1" si="187"/>
        <v>0</v>
      </c>
      <c r="CS220" s="669">
        <f t="shared" ca="1" si="189"/>
        <v>0</v>
      </c>
      <c r="CT220" s="669">
        <f t="shared" ca="1" si="188"/>
        <v>0</v>
      </c>
      <c r="CU220" s="1123">
        <f>MATCH(CZ220,'Resource use and costs'!$BA$11:$BA$53,0)</f>
        <v>1</v>
      </c>
      <c r="CV220" s="1223"/>
      <c r="CW220" s="1241">
        <f t="shared" si="182"/>
        <v>1</v>
      </c>
      <c r="CX220" s="899" t="s">
        <v>773</v>
      </c>
      <c r="CY220" s="899" t="s">
        <v>118</v>
      </c>
      <c r="CZ220" s="899" t="s">
        <v>579</v>
      </c>
      <c r="DA220" s="899" t="s">
        <v>585</v>
      </c>
      <c r="DB220" s="899" t="s">
        <v>327</v>
      </c>
      <c r="DC220" s="899" cm="1">
        <f t="array" aca="1" ref="DC220" ca="1">_xlfn.IFNA(OFFSET($I$49,MATCH(CY220,$I$50:$I$63,0),MATCH(CZ220,TRANSPOSE($J$49:$W$49),0)),0)</f>
        <v>0.59511111111111104</v>
      </c>
      <c r="DD220" s="899" cm="1">
        <f t="array" aca="1" ref="DD220" ca="1">_xlfn.IFNA(OFFSET($Y$49,MATCH($CZ220,$Y$50:$Y$63,0),MATCH($DA220,TRANSPOSE($Z$49:$AM$49),0)),0)</f>
        <v>0</v>
      </c>
      <c r="DE220" s="899">
        <f ca="1">1-DE221</f>
        <v>0.56859999999999999</v>
      </c>
      <c r="DF220" s="881">
        <f t="shared" ca="1" si="179"/>
        <v>0</v>
      </c>
      <c r="DG220" s="910">
        <f t="shared" ca="1" si="180"/>
        <v>1.0010447133454794</v>
      </c>
      <c r="DH220" s="881">
        <f t="shared" ca="1" si="181"/>
        <v>0</v>
      </c>
      <c r="DI220" s="1460">
        <f t="shared" ca="1" si="177"/>
        <v>0</v>
      </c>
      <c r="DJ220" s="909">
        <f>_xlfn.IFNA(INDEX('Resource use and costs'!$CQ$11:$CQ$53,MATCH($CZ220,'Resource use and costs'!$BA$11:$BA$53,0)),0)*_xlfn.IFNA(INDEX(DY$10:DY$23,MATCH($CZ220,$DX$10:$DX$23,0)),0)</f>
        <v>56693.786091428577</v>
      </c>
      <c r="DK220" s="909">
        <f>IF(dd_PartSA_2_lines = "Yes",0,_xlfn.IFNA(INDEX('Resource use and costs'!$CR$11:$CR$53,MATCH(DA220,'Resource use and costs'!$BA$11:$BA$53,0)),0)*_xlfn.IFNA(INDEX(EA$10:EA$23,MATCH($DA220,$DX$10:$DX$23,0)),0))</f>
        <v>1987.9066666666663</v>
      </c>
      <c r="DL220" s="909">
        <f>IF(dd_PartSA_2_lines = "Yes",0,_xlfn.IFNA(INDEX('Resource use and costs'!$CS$11:$CS$53,MATCH(DB220,'Resource use and costs'!$BA$11:$BA$53,0)),0)*_xlfn.IFNA(INDEX(EC$10:EC$23,MATCH($DB220,$DX$10:$DX$23,0)),0))</f>
        <v>18438.751749999999</v>
      </c>
      <c r="DM220" s="909">
        <f t="shared" si="183"/>
        <v>77120.444508095243</v>
      </c>
      <c r="DN220" s="909">
        <f>SUM(_xlfn.IFNA(INDEX('Resource use and costs'!$DU$12:$DU$25,MATCH(CZ220,'Resource use and costs'!$DS$12:$DS$25,0)),0),_xlfn.IFNA(INDEX('Resource use and costs'!$DU$12:$DU$25,MATCH(DA220,'Resource use and costs'!$DS$12:$DS$25,0)),0),_xlfn.IFNA(INDEX('Resource use and costs'!$DU$12:$DU$25,MATCH(DB220,'Resource use and costs'!$DS$12:$DS$25,0)),0))</f>
        <v>394.5</v>
      </c>
      <c r="DO220" s="921">
        <f>_xlfn.IFNA(INDEX('Resource use and costs'!$DY$12:$DY$25,MATCH(CZ220,'Resource use and costs'!$DS$12:$DS$25,0)),0)*_xlfn.IFNA(INDEX(DY$10:DY$23,MATCH($CZ220,$DX$10:$DX$23,0)),0)</f>
        <v>8939.6605049142872</v>
      </c>
      <c r="DP220" s="921">
        <f>IF(dd_PartSA_2_lines = "Yes",0,_xlfn.IFNA(INDEX('Resource use and costs'!$DZ$12:$DZ$25,MATCH(DA220,'Resource use and costs'!$DS$12:$DS$25,0)),0)*_xlfn.IFNA(INDEX(EA$10:EA$23,MATCH($DA220,$DX$10:$DX$23,0)),0))</f>
        <v>179.14285714285711</v>
      </c>
      <c r="DQ220" s="921">
        <f>IF(dd_PartSA_2_lines = "Yes",0,_xlfn.IFNA(INDEX('Resource use and costs'!$EA$12:$EA$25,MATCH(DB220,'Resource use and costs'!$DS$12:$DS$25,0)),0)*_xlfn.IFNA(INDEX(EC$10:EC$23,MATCH($DB220,$DX$10:$DX$23,0)),0))</f>
        <v>230.68099999999998</v>
      </c>
      <c r="DR220" s="921">
        <f t="shared" si="184"/>
        <v>9743.9843620571446</v>
      </c>
      <c r="DS220" s="1004">
        <f ca="1">SUMIFS('Safety parameters'!$DM$6:$DM$18,'Safety parameters'!$DK$6:$DK$18,CZ220,'Safety parameters'!$DL$6:$DL$18,1)+IF(dd_PartSA_2_lines = "Yes",0,SUMIFS('Safety parameters'!$DM$6:$DM$18,'Safety parameters'!$DK$6:$DK$18,DA220,'Safety parameters'!$DL$6:$DL$18,2)+SUMIFS('Safety parameters'!$DM$6:$DM$18,'Safety parameters'!$DK$6:$DK$18,DB220,'Safety parameters'!$DL$6:$DL$18,2))</f>
        <v>1634.2286735654598</v>
      </c>
      <c r="DT220" s="910">
        <f ca="1">SUMIFS('Safety parameters'!$DO$6:$DO$18,'Safety parameters'!$DK$6:$DK$18,CZ220,'Safety parameters'!$DL$6:$DL$18,1)+IF(dd_PartSA_2_lines = "Yes",0,SUMIFS('Safety parameters'!$DO$6:$DO$18,'Safety parameters'!$DK$6:$DK$18,DA220,'Safety parameters'!$DL$6:$DL$18,2)+SUMIFS('Safety parameters'!$DO$6:$DO$18,'Safety parameters'!$DK$6:$DK$18,DB220,'Safety parameters'!$DL$6:$DL$18,2))</f>
        <v>-1.4741924007481429E-2</v>
      </c>
    </row>
    <row r="221" spans="89:124" ht="15" x14ac:dyDescent="0.2">
      <c r="CK221" s="61" t="s">
        <v>31</v>
      </c>
      <c r="CL221" s="61">
        <v>2</v>
      </c>
      <c r="CM221" s="61" t="str">
        <v>nivolumab_plus_ipilimumab</v>
      </c>
      <c r="CN221" s="17">
        <v>2</v>
      </c>
      <c r="CO221" s="61" t="str" cm="1">
        <f t="array" ref="CO221">INDEX(List_comparators,CP220+1)</f>
        <v>sorafenib</v>
      </c>
      <c r="CP221" s="17">
        <v>12</v>
      </c>
      <c r="CQ221" s="601">
        <f t="shared" ca="1" si="186"/>
        <v>0</v>
      </c>
      <c r="CR221" s="601">
        <f t="shared" ca="1" si="187"/>
        <v>0</v>
      </c>
      <c r="CS221" s="669">
        <f t="shared" ca="1" si="189"/>
        <v>0</v>
      </c>
      <c r="CT221" s="669">
        <f t="shared" ca="1" si="188"/>
        <v>0</v>
      </c>
      <c r="CU221" s="1123">
        <f>MATCH(CZ221,'Resource use and costs'!$BA$11:$BA$53,0)</f>
        <v>1</v>
      </c>
      <c r="CV221" s="1223"/>
      <c r="CW221" s="1241">
        <f t="shared" si="182"/>
        <v>1</v>
      </c>
      <c r="CX221" s="899" t="s">
        <v>773</v>
      </c>
      <c r="CY221" s="899" t="s">
        <v>118</v>
      </c>
      <c r="CZ221" s="899" t="s">
        <v>579</v>
      </c>
      <c r="DA221" s="899" t="s">
        <v>585</v>
      </c>
      <c r="DB221" s="899" t="s">
        <v>765</v>
      </c>
      <c r="DC221" s="899" cm="1">
        <f t="array" aca="1" ref="DC221" ca="1">_xlfn.IFNA(OFFSET($I$49,MATCH(CY221,$I$50:$I$63,0),MATCH(CZ221,TRANSPOSE($J$49:$W$49),0)),0)</f>
        <v>0.59511111111111104</v>
      </c>
      <c r="DD221" s="899" cm="1">
        <f t="array" aca="1" ref="DD221" ca="1">_xlfn.IFNA(OFFSET($Y$49,MATCH($CZ221,$Y$50:$Y$63,0),MATCH($DA221,TRANSPOSE($Z$49:$AM$49),0)),0)</f>
        <v>0</v>
      </c>
      <c r="DE221" s="899" cm="1">
        <f t="array" aca="1" ref="DE221" ca="1">_xlfn.IFNA(OFFSET($AO$49,MATCH($DA221,$AO$50:$AO$63,0),MATCH($DB221,TRANSPOSE($AP$49:$BC$49),0)),0)</f>
        <v>0.43140000000000001</v>
      </c>
      <c r="DF221" s="881">
        <f t="shared" ca="1" si="179"/>
        <v>0</v>
      </c>
      <c r="DG221" s="910">
        <f t="shared" ca="1" si="180"/>
        <v>1.0010447133454794</v>
      </c>
      <c r="DH221" s="881">
        <f t="shared" ca="1" si="181"/>
        <v>0</v>
      </c>
      <c r="DI221" s="1460">
        <f t="shared" ca="1" si="177"/>
        <v>0</v>
      </c>
      <c r="DJ221" s="909">
        <f>_xlfn.IFNA(INDEX('Resource use and costs'!$CQ$11:$CQ$53,MATCH($CZ221,'Resource use and costs'!$BA$11:$BA$53,0)),0)*_xlfn.IFNA(INDEX(DY$10:DY$23,MATCH($CZ221,$DX$10:$DX$23,0)),0)</f>
        <v>56693.786091428577</v>
      </c>
      <c r="DK221" s="909">
        <f>IF(dd_PartSA_2_lines = "Yes",0,_xlfn.IFNA(INDEX('Resource use and costs'!$CR$11:$CR$53,MATCH(DA221,'Resource use and costs'!$BA$11:$BA$53,0)),0)*_xlfn.IFNA(INDEX(EA$10:EA$23,MATCH($DA221,$DX$10:$DX$23,0)),0))</f>
        <v>1987.9066666666663</v>
      </c>
      <c r="DL221" s="909">
        <f>IF(dd_PartSA_2_lines = "Yes",0,_xlfn.IFNA(INDEX('Resource use and costs'!$CS$11:$CS$53,MATCH(DB221,'Resource use and costs'!$BA$11:$BA$53,0)),0)*_xlfn.IFNA(INDEX(EC$10:EC$23,MATCH($DB221,$DX$10:$DX$23,0)),0))</f>
        <v>0</v>
      </c>
      <c r="DM221" s="909">
        <f t="shared" si="183"/>
        <v>58681.692758095247</v>
      </c>
      <c r="DN221" s="909">
        <f>SUM(_xlfn.IFNA(INDEX('Resource use and costs'!$DU$12:$DU$25,MATCH(CZ221,'Resource use and costs'!$DS$12:$DS$25,0)),0),_xlfn.IFNA(INDEX('Resource use and costs'!$DU$12:$DU$25,MATCH(DA221,'Resource use and costs'!$DS$12:$DS$25,0)),0),_xlfn.IFNA(INDEX('Resource use and costs'!$DU$12:$DU$25,MATCH(DB221,'Resource use and costs'!$DS$12:$DS$25,0)),0))</f>
        <v>197.25</v>
      </c>
      <c r="DO221" s="921">
        <f>_xlfn.IFNA(INDEX('Resource use and costs'!$DY$12:$DY$25,MATCH(CZ221,'Resource use and costs'!$DS$12:$DS$25,0)),0)*_xlfn.IFNA(INDEX(DY$10:DY$23,MATCH($CZ221,$DX$10:$DX$23,0)),0)</f>
        <v>8939.6605049142872</v>
      </c>
      <c r="DP221" s="921">
        <f>IF(dd_PartSA_2_lines = "Yes",0,_xlfn.IFNA(INDEX('Resource use and costs'!$DZ$12:$DZ$25,MATCH(DA221,'Resource use and costs'!$DS$12:$DS$25,0)),0)*_xlfn.IFNA(INDEX(EA$10:EA$23,MATCH($DA221,$DX$10:$DX$23,0)),0))</f>
        <v>179.14285714285711</v>
      </c>
      <c r="DQ221" s="921">
        <f>IF(dd_PartSA_2_lines = "Yes",0,_xlfn.IFNA(INDEX('Resource use and costs'!$EA$12:$EA$25,MATCH(DB221,'Resource use and costs'!$DS$12:$DS$25,0)),0)*_xlfn.IFNA(INDEX(EC$10:EC$23,MATCH($DB221,$DX$10:$DX$23,0)),0))</f>
        <v>0</v>
      </c>
      <c r="DR221" s="921">
        <f t="shared" si="184"/>
        <v>9316.0533620571441</v>
      </c>
      <c r="DS221" s="1004">
        <f>SUMIFS('Safety parameters'!$DM$6:$DM$18,'Safety parameters'!$DK$6:$DK$18,CZ221,'Safety parameters'!$DL$6:$DL$18,1)+IF(dd_PartSA_2_lines = "Yes",0,SUMIFS('Safety parameters'!$DM$6:$DM$18,'Safety parameters'!$DK$6:$DK$18,DA221,'Safety parameters'!$DL$6:$DL$18,2)+SUMIFS('Safety parameters'!$DM$6:$DM$18,'Safety parameters'!$DK$6:$DK$18,DB221,'Safety parameters'!$DL$6:$DL$18,2))</f>
        <v>0</v>
      </c>
      <c r="DT221" s="910">
        <f>SUMIFS('Safety parameters'!$DO$6:$DO$18,'Safety parameters'!$DK$6:$DK$18,CZ221,'Safety parameters'!$DL$6:$DL$18,1)+IF(dd_PartSA_2_lines = "Yes",0,SUMIFS('Safety parameters'!$DO$6:$DO$18,'Safety parameters'!$DK$6:$DK$18,DA221,'Safety parameters'!$DL$6:$DL$18,2)+SUMIFS('Safety parameters'!$DO$6:$DO$18,'Safety parameters'!$DK$6:$DK$18,DB221,'Safety parameters'!$DL$6:$DL$18,2))</f>
        <v>0</v>
      </c>
    </row>
    <row r="222" spans="89:124" ht="15" x14ac:dyDescent="0.2">
      <c r="CK222" s="61" t="s">
        <v>31</v>
      </c>
      <c r="CL222" s="61">
        <v>2</v>
      </c>
      <c r="CM222" s="61" t="str">
        <v>lenvatinib_plus_pembrolizumab</v>
      </c>
      <c r="CN222" s="17">
        <v>3</v>
      </c>
      <c r="CO222" s="61" t="str" cm="1">
        <f t="array" ref="CO222">INDEX(List_comparators,CP221+1)</f>
        <v>sorafenib</v>
      </c>
      <c r="CP222" s="17">
        <v>12</v>
      </c>
      <c r="CQ222" s="601">
        <f t="shared" ca="1" si="186"/>
        <v>0</v>
      </c>
      <c r="CR222" s="601">
        <f t="shared" ca="1" si="187"/>
        <v>0</v>
      </c>
      <c r="CS222" s="669">
        <f t="shared" ca="1" si="189"/>
        <v>0</v>
      </c>
      <c r="CT222" s="669">
        <f t="shared" ca="1" si="188"/>
        <v>0</v>
      </c>
      <c r="CU222" s="1123">
        <f>MATCH(CZ222,'Resource use and costs'!$BA$11:$BA$53,0)</f>
        <v>1</v>
      </c>
      <c r="CV222" s="1223"/>
      <c r="CW222" s="1241">
        <f t="shared" si="182"/>
        <v>1</v>
      </c>
      <c r="CX222" s="899" t="s">
        <v>773</v>
      </c>
      <c r="CY222" s="899" t="s">
        <v>118</v>
      </c>
      <c r="CZ222" s="899" t="s">
        <v>579</v>
      </c>
      <c r="DA222" s="899" t="s">
        <v>585</v>
      </c>
      <c r="DB222" s="899" t="s">
        <v>119</v>
      </c>
      <c r="DC222" s="899" cm="1">
        <f t="array" aca="1" ref="DC222" ca="1">_xlfn.IFNA(OFFSET($I$49,MATCH(CY222,$I$50:$I$63,0),MATCH(CZ222,TRANSPOSE($J$49:$W$49),0)),0)</f>
        <v>0.59511111111111104</v>
      </c>
      <c r="DD222" s="899" cm="1">
        <f t="array" aca="1" ref="DD222" ca="1">_xlfn.IFNA(OFFSET($Y$49,MATCH($CZ222,$Y$50:$Y$63,0),MATCH($DA222,TRANSPOSE($Z$49:$AM$49),0)),0)</f>
        <v>0</v>
      </c>
      <c r="DE222" s="899" cm="1">
        <f t="array" aca="1" ref="DE222" ca="1">_xlfn.IFNA(OFFSET($AO$49,MATCH($DA222,$AO$50:$AO$63,0),MATCH($DB222,TRANSPOSE($AP$49:$BC$49),0)),0)</f>
        <v>0.1895</v>
      </c>
      <c r="DF222" s="881">
        <f t="shared" ca="1" si="179"/>
        <v>0</v>
      </c>
      <c r="DG222" s="910">
        <f t="shared" ca="1" si="180"/>
        <v>1.0010447133454794</v>
      </c>
      <c r="DH222" s="881">
        <f t="shared" ca="1" si="181"/>
        <v>0</v>
      </c>
      <c r="DI222" s="1460">
        <f t="shared" ca="1" si="177"/>
        <v>0</v>
      </c>
      <c r="DJ222" s="909">
        <f>_xlfn.IFNA(INDEX('Resource use and costs'!$CQ$11:$CQ$53,MATCH($CZ222,'Resource use and costs'!$BA$11:$BA$53,0)),0)*_xlfn.IFNA(INDEX(DY$10:DY$23,MATCH($CZ222,$DX$10:$DX$23,0)),0)</f>
        <v>56693.786091428577</v>
      </c>
      <c r="DK222" s="909">
        <f>IF(dd_PartSA_2_lines = "Yes",0,_xlfn.IFNA(INDEX('Resource use and costs'!$CR$11:$CR$53,MATCH(DA222,'Resource use and costs'!$BA$11:$BA$53,0)),0)*_xlfn.IFNA(INDEX(EA$10:EA$23,MATCH($DA222,$DX$10:$DX$23,0)),0))</f>
        <v>1987.9066666666663</v>
      </c>
      <c r="DL222" s="909">
        <f>IF(dd_PartSA_2_lines = "Yes",0,_xlfn.IFNA(INDEX('Resource use and costs'!$CS$11:$CS$53,MATCH(DB222,'Resource use and costs'!$BA$11:$BA$53,0)),0)*_xlfn.IFNA(INDEX(EC$10:EC$23,MATCH($DB222,$DX$10:$DX$23,0)),0))</f>
        <v>2915.4763433333328</v>
      </c>
      <c r="DM222" s="909">
        <f t="shared" si="183"/>
        <v>61597.169101428583</v>
      </c>
      <c r="DN222" s="909">
        <f>SUM(_xlfn.IFNA(INDEX('Resource use and costs'!$DU$12:$DU$25,MATCH(CZ222,'Resource use and costs'!$DS$12:$DS$25,0)),0),_xlfn.IFNA(INDEX('Resource use and costs'!$DU$12:$DU$25,MATCH(DA222,'Resource use and costs'!$DS$12:$DS$25,0)),0),_xlfn.IFNA(INDEX('Resource use and costs'!$DU$12:$DU$25,MATCH(DB222,'Resource use and costs'!$DS$12:$DS$25,0)),0))</f>
        <v>394.5</v>
      </c>
      <c r="DO222" s="921">
        <f>_xlfn.IFNA(INDEX('Resource use and costs'!$DY$12:$DY$25,MATCH(CZ222,'Resource use and costs'!$DS$12:$DS$25,0)),0)*_xlfn.IFNA(INDEX(DY$10:DY$23,MATCH($CZ222,$DX$10:$DX$23,0)),0)</f>
        <v>8939.6605049142872</v>
      </c>
      <c r="DP222" s="921">
        <f>IF(dd_PartSA_2_lines = "Yes",0,_xlfn.IFNA(INDEX('Resource use and costs'!$DZ$12:$DZ$25,MATCH(DA222,'Resource use and costs'!$DS$12:$DS$25,0)),0)*_xlfn.IFNA(INDEX(EA$10:EA$23,MATCH($DA222,$DX$10:$DX$23,0)),0))</f>
        <v>179.14285714285711</v>
      </c>
      <c r="DQ222" s="921">
        <f>IF(dd_PartSA_2_lines = "Yes",0,_xlfn.IFNA(INDEX('Resource use and costs'!$EA$12:$EA$25,MATCH(DB222,'Resource use and costs'!$DS$12:$DS$25,0)),0)*_xlfn.IFNA(INDEX(EC$10:EC$23,MATCH($DB222,$DX$10:$DX$23,0)),0))</f>
        <v>256.11457142857142</v>
      </c>
      <c r="DR222" s="921">
        <f t="shared" si="184"/>
        <v>9769.4179334857163</v>
      </c>
      <c r="DS222" s="1004">
        <f ca="1">SUMIFS('Safety parameters'!$DM$6:$DM$18,'Safety parameters'!$DK$6:$DK$18,CZ222,'Safety parameters'!$DL$6:$DL$18,1)+IF(dd_PartSA_2_lines = "Yes",0,SUMIFS('Safety parameters'!$DM$6:$DM$18,'Safety parameters'!$DK$6:$DK$18,DA222,'Safety parameters'!$DL$6:$DL$18,2)+SUMIFS('Safety parameters'!$DM$6:$DM$18,'Safety parameters'!$DK$6:$DK$18,DB222,'Safety parameters'!$DL$6:$DL$18,2))</f>
        <v>332.87538337531487</v>
      </c>
      <c r="DT222" s="910">
        <f ca="1">SUMIFS('Safety parameters'!$DO$6:$DO$18,'Safety parameters'!$DK$6:$DK$18,CZ222,'Safety parameters'!$DL$6:$DL$18,1)+IF(dd_PartSA_2_lines = "Yes",0,SUMIFS('Safety parameters'!$DO$6:$DO$18,'Safety parameters'!$DK$6:$DK$18,DA222,'Safety parameters'!$DL$6:$DL$18,2)+SUMIFS('Safety parameters'!$DO$6:$DO$18,'Safety parameters'!$DK$6:$DK$18,DB222,'Safety parameters'!$DL$6:$DL$18,2))</f>
        <v>-2.6675735366377194E-3</v>
      </c>
    </row>
    <row r="223" spans="89:124" ht="15" x14ac:dyDescent="0.2">
      <c r="CK223" s="61" t="s">
        <v>31</v>
      </c>
      <c r="CL223" s="61">
        <v>2</v>
      </c>
      <c r="CM223" s="61" t="str">
        <v>avelumab_plus_axitinib</v>
      </c>
      <c r="CN223" s="17">
        <v>4</v>
      </c>
      <c r="CO223" s="61" t="str" cm="1">
        <f t="array" ref="CO223">INDEX(List_comparators,CP222+1)</f>
        <v>sorafenib</v>
      </c>
      <c r="CP223" s="17">
        <v>12</v>
      </c>
      <c r="CQ223" s="601">
        <f t="shared" ca="1" si="186"/>
        <v>0</v>
      </c>
      <c r="CR223" s="601">
        <f t="shared" ca="1" si="187"/>
        <v>0</v>
      </c>
      <c r="CS223" s="669">
        <f t="shared" ca="1" si="189"/>
        <v>0</v>
      </c>
      <c r="CT223" s="669">
        <f t="shared" ca="1" si="188"/>
        <v>0</v>
      </c>
      <c r="CU223" s="1123">
        <f>MATCH(CZ223,'Resource use and costs'!$BA$11:$BA$53,0)</f>
        <v>1</v>
      </c>
      <c r="CV223" s="1223"/>
      <c r="CW223" s="1241">
        <f t="shared" si="182"/>
        <v>1</v>
      </c>
      <c r="CX223" s="899" t="s">
        <v>773</v>
      </c>
      <c r="CY223" s="899" t="s">
        <v>118</v>
      </c>
      <c r="CZ223" s="899" t="s">
        <v>579</v>
      </c>
      <c r="DA223" s="899" t="s">
        <v>117</v>
      </c>
      <c r="DB223" s="899" t="s">
        <v>327</v>
      </c>
      <c r="DC223" s="899" cm="1">
        <f t="array" aca="1" ref="DC223" ca="1">_xlfn.IFNA(OFFSET($I$49,MATCH(CY223,$I$50:$I$63,0),MATCH(CZ223,TRANSPOSE($J$49:$W$49),0)),0)</f>
        <v>0.59511111111111104</v>
      </c>
      <c r="DD223" s="899" cm="1">
        <f t="array" aca="1" ref="DD223" ca="1">_xlfn.IFNA(OFFSET($Y$49,MATCH($CZ223,$Y$50:$Y$63,0),MATCH($DA223,TRANSPOSE($Z$49:$AM$49),0)),0)</f>
        <v>2.6200000000000001E-2</v>
      </c>
      <c r="DE223" s="899" cm="1">
        <f t="array" aca="1" ref="DE223" ca="1">_xlfn.IFNA(OFFSET($AO$49,MATCH($DA223,$AO$50:$AO$63,0),MATCH($DB223,TRANSPOSE($AP$49:$BC$49),0)),0)</f>
        <v>0.37909999999999999</v>
      </c>
      <c r="DF223" s="881">
        <f t="shared" ca="1" si="179"/>
        <v>5.9108935022222217E-3</v>
      </c>
      <c r="DG223" s="910">
        <f t="shared" ca="1" si="180"/>
        <v>1.0010447133454794</v>
      </c>
      <c r="DH223" s="881">
        <f t="shared" ca="1" si="181"/>
        <v>5.9170686915477003E-3</v>
      </c>
      <c r="DI223" s="1460">
        <f t="shared" ca="1" si="177"/>
        <v>0.67454583083643782</v>
      </c>
      <c r="DJ223" s="909">
        <f>_xlfn.IFNA(INDEX('Resource use and costs'!$CQ$11:$CQ$53,MATCH($CZ223,'Resource use and costs'!$BA$11:$BA$53,0)),0)*_xlfn.IFNA(INDEX(DY$10:DY$23,MATCH($CZ223,$DX$10:$DX$23,0)),0)</f>
        <v>56693.786091428577</v>
      </c>
      <c r="DK223" s="909">
        <f>IF(dd_PartSA_2_lines = "Yes",0,_xlfn.IFNA(INDEX('Resource use and costs'!$CR$11:$CR$53,MATCH(DA223,'Resource use and costs'!$BA$11:$BA$53,0)),0)*_xlfn.IFNA(INDEX(EA$10:EA$23,MATCH($DA223,$DX$10:$DX$23,0)),0))</f>
        <v>1602.2899047619044</v>
      </c>
      <c r="DL223" s="909">
        <f>IF(dd_PartSA_2_lines = "Yes",0,_xlfn.IFNA(INDEX('Resource use and costs'!$CS$11:$CS$53,MATCH(DB223,'Resource use and costs'!$BA$11:$BA$53,0)),0)*_xlfn.IFNA(INDEX(EC$10:EC$23,MATCH($DB223,$DX$10:$DX$23,0)),0))</f>
        <v>18438.751749999999</v>
      </c>
      <c r="DM223" s="909">
        <f t="shared" si="183"/>
        <v>76734.82774619048</v>
      </c>
      <c r="DN223" s="909">
        <f>SUM(_xlfn.IFNA(INDEX('Resource use and costs'!$DU$12:$DU$25,MATCH(CZ223,'Resource use and costs'!$DS$12:$DS$25,0)),0),_xlfn.IFNA(INDEX('Resource use and costs'!$DU$12:$DU$25,MATCH(DA223,'Resource use and costs'!$DS$12:$DS$25,0)),0),_xlfn.IFNA(INDEX('Resource use and costs'!$DU$12:$DU$25,MATCH(DB223,'Resource use and costs'!$DS$12:$DS$25,0)),0))</f>
        <v>394.5</v>
      </c>
      <c r="DO223" s="921">
        <f>_xlfn.IFNA(INDEX('Resource use and costs'!$DY$12:$DY$25,MATCH(CZ223,'Resource use and costs'!$DS$12:$DS$25,0)),0)*_xlfn.IFNA(INDEX(DY$10:DY$23,MATCH($CZ223,$DX$10:$DX$23,0)),0)</f>
        <v>8939.6605049142872</v>
      </c>
      <c r="DP223" s="921">
        <f>IF(dd_PartSA_2_lines = "Yes",0,_xlfn.IFNA(INDEX('Resource use and costs'!$DZ$12:$DZ$25,MATCH(DA223,'Resource use and costs'!$DS$12:$DS$25,0)),0)*_xlfn.IFNA(INDEX(EA$10:EA$23,MATCH($DA223,$DX$10:$DX$23,0)),0))</f>
        <v>226.91428571428568</v>
      </c>
      <c r="DQ223" s="921">
        <f>IF(dd_PartSA_2_lines = "Yes",0,_xlfn.IFNA(INDEX('Resource use and costs'!$EA$12:$EA$25,MATCH(DB223,'Resource use and costs'!$DS$12:$DS$25,0)),0)*_xlfn.IFNA(INDEX(EC$10:EC$23,MATCH($DB223,$DX$10:$DX$23,0)),0))</f>
        <v>230.68099999999998</v>
      </c>
      <c r="DR223" s="921">
        <f t="shared" si="184"/>
        <v>9791.7557906285729</v>
      </c>
      <c r="DS223" s="1004">
        <f ca="1">SUMIFS('Safety parameters'!$DM$6:$DM$18,'Safety parameters'!$DK$6:$DK$18,CZ223,'Safety parameters'!$DL$6:$DL$18,1)+IF(dd_PartSA_2_lines = "Yes",0,SUMIFS('Safety parameters'!$DM$6:$DM$18,'Safety parameters'!$DK$6:$DK$18,DA223,'Safety parameters'!$DL$6:$DL$18,2)+SUMIFS('Safety parameters'!$DM$6:$DM$18,'Safety parameters'!$DK$6:$DK$18,DB223,'Safety parameters'!$DL$6:$DL$18,2))</f>
        <v>1634.2286735654598</v>
      </c>
      <c r="DT223" s="910">
        <f ca="1">SUMIFS('Safety parameters'!$DO$6:$DO$18,'Safety parameters'!$DK$6:$DK$18,CZ223,'Safety parameters'!$DL$6:$DL$18,1)+IF(dd_PartSA_2_lines = "Yes",0,SUMIFS('Safety parameters'!$DO$6:$DO$18,'Safety parameters'!$DK$6:$DK$18,DA223,'Safety parameters'!$DL$6:$DL$18,2)+SUMIFS('Safety parameters'!$DO$6:$DO$18,'Safety parameters'!$DK$6:$DK$18,DB223,'Safety parameters'!$DL$6:$DL$18,2))</f>
        <v>-1.4741924007481429E-2</v>
      </c>
    </row>
    <row r="224" spans="89:124" ht="15" x14ac:dyDescent="0.2">
      <c r="CK224" s="61" t="s">
        <v>31</v>
      </c>
      <c r="CL224" s="61">
        <v>2</v>
      </c>
      <c r="CM224" s="61" t="str">
        <v>pazopanib</v>
      </c>
      <c r="CN224" s="17">
        <v>5</v>
      </c>
      <c r="CO224" s="61" t="str" cm="1">
        <f t="array" ref="CO224">INDEX(List_comparators,CP223+1)</f>
        <v>sorafenib</v>
      </c>
      <c r="CP224" s="17">
        <v>12</v>
      </c>
      <c r="CQ224" s="601">
        <f t="shared" ca="1" si="186"/>
        <v>0</v>
      </c>
      <c r="CR224" s="601">
        <f t="shared" ca="1" si="187"/>
        <v>0</v>
      </c>
      <c r="CS224" s="669">
        <f t="shared" ca="1" si="189"/>
        <v>0</v>
      </c>
      <c r="CT224" s="669">
        <f t="shared" ca="1" si="188"/>
        <v>0</v>
      </c>
      <c r="CU224" s="1123">
        <f>MATCH(CZ224,'Resource use and costs'!$BA$11:$BA$53,0)</f>
        <v>1</v>
      </c>
      <c r="CV224" s="1223"/>
      <c r="CW224" s="1241">
        <f t="shared" si="182"/>
        <v>1</v>
      </c>
      <c r="CX224" s="899" t="s">
        <v>773</v>
      </c>
      <c r="CY224" s="899" t="s">
        <v>118</v>
      </c>
      <c r="CZ224" s="899" t="s">
        <v>579</v>
      </c>
      <c r="DA224" s="899" t="s">
        <v>117</v>
      </c>
      <c r="DB224" s="899" t="s">
        <v>765</v>
      </c>
      <c r="DC224" s="899" cm="1">
        <f t="array" aca="1" ref="DC224" ca="1">_xlfn.IFNA(OFFSET($I$49,MATCH(CY224,$I$50:$I$63,0),MATCH(CZ224,TRANSPOSE($J$49:$W$49),0)),0)</f>
        <v>0.59511111111111104</v>
      </c>
      <c r="DD224" s="899" cm="1">
        <f t="array" aca="1" ref="DD224" ca="1">_xlfn.IFNA(OFFSET($Y$49,MATCH($CZ224,$Y$50:$Y$63,0),MATCH($DA224,TRANSPOSE($Z$49:$AM$49),0)),0)</f>
        <v>2.6200000000000001E-2</v>
      </c>
      <c r="DE224" s="899" cm="1">
        <f t="array" aca="1" ref="DE224" ca="1">_xlfn.IFNA(OFFSET($AO$49,MATCH($DA224,$AO$50:$AO$63,0),MATCH($DB224,TRANSPOSE($AP$49:$BC$49),0)),0)</f>
        <v>0.43140000000000001</v>
      </c>
      <c r="DF224" s="881">
        <f t="shared" ca="1" si="179"/>
        <v>6.7263504533333325E-3</v>
      </c>
      <c r="DG224" s="910">
        <f t="shared" ca="1" si="180"/>
        <v>1.0010447133454794</v>
      </c>
      <c r="DH224" s="881">
        <f t="shared" ca="1" si="181"/>
        <v>6.7333775614183012E-3</v>
      </c>
      <c r="DI224" s="1460">
        <f t="shared" ca="1" si="177"/>
        <v>0.76760504200168633</v>
      </c>
      <c r="DJ224" s="909">
        <f>_xlfn.IFNA(INDEX('Resource use and costs'!$CQ$11:$CQ$53,MATCH($CZ224,'Resource use and costs'!$BA$11:$BA$53,0)),0)*_xlfn.IFNA(INDEX(DY$10:DY$23,MATCH($CZ224,$DX$10:$DX$23,0)),0)</f>
        <v>56693.786091428577</v>
      </c>
      <c r="DK224" s="909">
        <f>IF(dd_PartSA_2_lines = "Yes",0,_xlfn.IFNA(INDEX('Resource use and costs'!$CR$11:$CR$53,MATCH(DA224,'Resource use and costs'!$BA$11:$BA$53,0)),0)*_xlfn.IFNA(INDEX(EA$10:EA$23,MATCH($DA224,$DX$10:$DX$23,0)),0))</f>
        <v>1602.2899047619044</v>
      </c>
      <c r="DL224" s="909">
        <f>IF(dd_PartSA_2_lines = "Yes",0,_xlfn.IFNA(INDEX('Resource use and costs'!$CS$11:$CS$53,MATCH(DB224,'Resource use and costs'!$BA$11:$BA$53,0)),0)*_xlfn.IFNA(INDEX(EC$10:EC$23,MATCH($DB224,$DX$10:$DX$23,0)),0))</f>
        <v>0</v>
      </c>
      <c r="DM224" s="909">
        <f t="shared" si="183"/>
        <v>58296.075996190484</v>
      </c>
      <c r="DN224" s="909">
        <f>SUM(_xlfn.IFNA(INDEX('Resource use and costs'!$DU$12:$DU$25,MATCH(CZ224,'Resource use and costs'!$DS$12:$DS$25,0)),0),_xlfn.IFNA(INDEX('Resource use and costs'!$DU$12:$DU$25,MATCH(DA224,'Resource use and costs'!$DS$12:$DS$25,0)),0),_xlfn.IFNA(INDEX('Resource use and costs'!$DU$12:$DU$25,MATCH(DB224,'Resource use and costs'!$DS$12:$DS$25,0)),0))</f>
        <v>197.25</v>
      </c>
      <c r="DO224" s="921">
        <f>_xlfn.IFNA(INDEX('Resource use and costs'!$DY$12:$DY$25,MATCH(CZ224,'Resource use and costs'!$DS$12:$DS$25,0)),0)*_xlfn.IFNA(INDEX(DY$10:DY$23,MATCH($CZ224,$DX$10:$DX$23,0)),0)</f>
        <v>8939.6605049142872</v>
      </c>
      <c r="DP224" s="921">
        <f>IF(dd_PartSA_2_lines = "Yes",0,_xlfn.IFNA(INDEX('Resource use and costs'!$DZ$12:$DZ$25,MATCH(DA224,'Resource use and costs'!$DS$12:$DS$25,0)),0)*_xlfn.IFNA(INDEX(EA$10:EA$23,MATCH($DA224,$DX$10:$DX$23,0)),0))</f>
        <v>226.91428571428568</v>
      </c>
      <c r="DQ224" s="921">
        <f>IF(dd_PartSA_2_lines = "Yes",0,_xlfn.IFNA(INDEX('Resource use and costs'!$EA$12:$EA$25,MATCH(DB224,'Resource use and costs'!$DS$12:$DS$25,0)),0)*_xlfn.IFNA(INDEX(EC$10:EC$23,MATCH($DB224,$DX$10:$DX$23,0)),0))</f>
        <v>0</v>
      </c>
      <c r="DR224" s="921">
        <f t="shared" si="184"/>
        <v>9363.8247906285724</v>
      </c>
      <c r="DS224" s="1004">
        <f>SUMIFS('Safety parameters'!$DM$6:$DM$18,'Safety parameters'!$DK$6:$DK$18,CZ224,'Safety parameters'!$DL$6:$DL$18,1)+IF(dd_PartSA_2_lines = "Yes",0,SUMIFS('Safety parameters'!$DM$6:$DM$18,'Safety parameters'!$DK$6:$DK$18,DA224,'Safety parameters'!$DL$6:$DL$18,2)+SUMIFS('Safety parameters'!$DM$6:$DM$18,'Safety parameters'!$DK$6:$DK$18,DB224,'Safety parameters'!$DL$6:$DL$18,2))</f>
        <v>0</v>
      </c>
      <c r="DT224" s="910">
        <f>SUMIFS('Safety parameters'!$DO$6:$DO$18,'Safety parameters'!$DK$6:$DK$18,CZ224,'Safety parameters'!$DL$6:$DL$18,1)+IF(dd_PartSA_2_lines = "Yes",0,SUMIFS('Safety parameters'!$DO$6:$DO$18,'Safety parameters'!$DK$6:$DK$18,DA224,'Safety parameters'!$DL$6:$DL$18,2)+SUMIFS('Safety parameters'!$DO$6:$DO$18,'Safety parameters'!$DK$6:$DK$18,DB224,'Safety parameters'!$DL$6:$DL$18,2))</f>
        <v>0</v>
      </c>
    </row>
    <row r="225" spans="89:124" ht="15" x14ac:dyDescent="0.2">
      <c r="CK225" s="61" t="s">
        <v>31</v>
      </c>
      <c r="CL225" s="61">
        <v>2</v>
      </c>
      <c r="CM225" s="61" t="str">
        <v>tivozanib</v>
      </c>
      <c r="CN225" s="17">
        <v>6</v>
      </c>
      <c r="CO225" s="61" t="str" cm="1">
        <f t="array" ref="CO225">INDEX(List_comparators,CP224+1)</f>
        <v>sorafenib</v>
      </c>
      <c r="CP225" s="17">
        <v>12</v>
      </c>
      <c r="CQ225" s="601">
        <f t="shared" ca="1" si="186"/>
        <v>0</v>
      </c>
      <c r="CR225" s="601">
        <f t="shared" ca="1" si="187"/>
        <v>0</v>
      </c>
      <c r="CS225" s="669">
        <f t="shared" ca="1" si="189"/>
        <v>0</v>
      </c>
      <c r="CT225" s="669">
        <f t="shared" ca="1" si="188"/>
        <v>0</v>
      </c>
      <c r="CU225" s="1123">
        <f>MATCH(CZ225,'Resource use and costs'!$BA$11:$BA$53,0)</f>
        <v>1</v>
      </c>
      <c r="CV225" s="1223"/>
      <c r="CW225" s="1241">
        <f t="shared" si="182"/>
        <v>1</v>
      </c>
      <c r="CX225" s="899" t="s">
        <v>773</v>
      </c>
      <c r="CY225" s="899" t="s">
        <v>118</v>
      </c>
      <c r="CZ225" s="899" t="s">
        <v>579</v>
      </c>
      <c r="DA225" s="899" t="s">
        <v>117</v>
      </c>
      <c r="DB225" s="899" t="s">
        <v>119</v>
      </c>
      <c r="DC225" s="899" cm="1">
        <f t="array" aca="1" ref="DC225" ca="1">_xlfn.IFNA(OFFSET($I$49,MATCH(CY225,$I$50:$I$63,0),MATCH(CZ225,TRANSPOSE($J$49:$W$49),0)),0)</f>
        <v>0.59511111111111104</v>
      </c>
      <c r="DD225" s="899" cm="1">
        <f t="array" aca="1" ref="DD225" ca="1">_xlfn.IFNA(OFFSET($Y$49,MATCH($CZ225,$Y$50:$Y$63,0),MATCH($DA225,TRANSPOSE($Z$49:$AM$49),0)),0)</f>
        <v>2.6200000000000001E-2</v>
      </c>
      <c r="DE225" s="899" cm="1">
        <f t="array" aca="1" ref="DE225" ca="1">_xlfn.IFNA(OFFSET($AO$49,MATCH($DA225,$AO$50:$AO$63,0),MATCH($DB225,TRANSPOSE($AP$49:$BC$49),0)),0)</f>
        <v>0.1895</v>
      </c>
      <c r="DF225" s="881">
        <f t="shared" ca="1" si="179"/>
        <v>2.9546671555555552E-3</v>
      </c>
      <c r="DG225" s="910">
        <f t="shared" ca="1" si="180"/>
        <v>1.0010447133454794</v>
      </c>
      <c r="DH225" s="881">
        <f t="shared" ca="1" si="181"/>
        <v>2.9577539357644139E-3</v>
      </c>
      <c r="DI225" s="1460">
        <f t="shared" ca="1" si="177"/>
        <v>0.33718394867714319</v>
      </c>
      <c r="DJ225" s="909">
        <f>_xlfn.IFNA(INDEX('Resource use and costs'!$CQ$11:$CQ$53,MATCH($CZ225,'Resource use and costs'!$BA$11:$BA$53,0)),0)*_xlfn.IFNA(INDEX(DY$10:DY$23,MATCH($CZ225,$DX$10:$DX$23,0)),0)</f>
        <v>56693.786091428577</v>
      </c>
      <c r="DK225" s="909">
        <f>IF(dd_PartSA_2_lines = "Yes",0,_xlfn.IFNA(INDEX('Resource use and costs'!$CR$11:$CR$53,MATCH(DA225,'Resource use and costs'!$BA$11:$BA$53,0)),0)*_xlfn.IFNA(INDEX(EA$10:EA$23,MATCH($DA225,$DX$10:$DX$23,0)),0))</f>
        <v>1602.2899047619044</v>
      </c>
      <c r="DL225" s="909">
        <f>IF(dd_PartSA_2_lines = "Yes",0,_xlfn.IFNA(INDEX('Resource use and costs'!$CS$11:$CS$53,MATCH(DB225,'Resource use and costs'!$BA$11:$BA$53,0)),0)*_xlfn.IFNA(INDEX(EC$10:EC$23,MATCH($DB225,$DX$10:$DX$23,0)),0))</f>
        <v>2915.4763433333328</v>
      </c>
      <c r="DM225" s="909">
        <f t="shared" si="183"/>
        <v>61211.55233952382</v>
      </c>
      <c r="DN225" s="909">
        <f>SUM(_xlfn.IFNA(INDEX('Resource use and costs'!$DU$12:$DU$25,MATCH(CZ225,'Resource use and costs'!$DS$12:$DS$25,0)),0),_xlfn.IFNA(INDEX('Resource use and costs'!$DU$12:$DU$25,MATCH(DA225,'Resource use and costs'!$DS$12:$DS$25,0)),0),_xlfn.IFNA(INDEX('Resource use and costs'!$DU$12:$DU$25,MATCH(DB225,'Resource use and costs'!$DS$12:$DS$25,0)),0))</f>
        <v>394.5</v>
      </c>
      <c r="DO225" s="921">
        <f>_xlfn.IFNA(INDEX('Resource use and costs'!$DY$12:$DY$25,MATCH(CZ225,'Resource use and costs'!$DS$12:$DS$25,0)),0)*_xlfn.IFNA(INDEX(DY$10:DY$23,MATCH($CZ225,$DX$10:$DX$23,0)),0)</f>
        <v>8939.6605049142872</v>
      </c>
      <c r="DP225" s="921">
        <f>IF(dd_PartSA_2_lines = "Yes",0,_xlfn.IFNA(INDEX('Resource use and costs'!$DZ$12:$DZ$25,MATCH(DA225,'Resource use and costs'!$DS$12:$DS$25,0)),0)*_xlfn.IFNA(INDEX(EA$10:EA$23,MATCH($DA225,$DX$10:$DX$23,0)),0))</f>
        <v>226.91428571428568</v>
      </c>
      <c r="DQ225" s="921">
        <f>IF(dd_PartSA_2_lines = "Yes",0,_xlfn.IFNA(INDEX('Resource use and costs'!$EA$12:$EA$25,MATCH(DB225,'Resource use and costs'!$DS$12:$DS$25,0)),0)*_xlfn.IFNA(INDEX(EC$10:EC$23,MATCH($DB225,$DX$10:$DX$23,0)),0))</f>
        <v>256.11457142857142</v>
      </c>
      <c r="DR225" s="921">
        <f t="shared" si="184"/>
        <v>9817.1893620571445</v>
      </c>
      <c r="DS225" s="1004">
        <f ca="1">SUMIFS('Safety parameters'!$DM$6:$DM$18,'Safety parameters'!$DK$6:$DK$18,CZ225,'Safety parameters'!$DL$6:$DL$18,1)+IF(dd_PartSA_2_lines = "Yes",0,SUMIFS('Safety parameters'!$DM$6:$DM$18,'Safety parameters'!$DK$6:$DK$18,DA225,'Safety parameters'!$DL$6:$DL$18,2)+SUMIFS('Safety parameters'!$DM$6:$DM$18,'Safety parameters'!$DK$6:$DK$18,DB225,'Safety parameters'!$DL$6:$DL$18,2))</f>
        <v>332.87538337531487</v>
      </c>
      <c r="DT225" s="910">
        <f ca="1">SUMIFS('Safety parameters'!$DO$6:$DO$18,'Safety parameters'!$DK$6:$DK$18,CZ225,'Safety parameters'!$DL$6:$DL$18,1)+IF(dd_PartSA_2_lines = "Yes",0,SUMIFS('Safety parameters'!$DO$6:$DO$18,'Safety parameters'!$DK$6:$DK$18,DA225,'Safety parameters'!$DL$6:$DL$18,2)+SUMIFS('Safety parameters'!$DO$6:$DO$18,'Safety parameters'!$DK$6:$DK$18,DB225,'Safety parameters'!$DL$6:$DL$18,2))</f>
        <v>-2.6675735366377194E-3</v>
      </c>
    </row>
    <row r="226" spans="89:124" ht="15" x14ac:dyDescent="0.2">
      <c r="CK226" s="61" t="s">
        <v>31</v>
      </c>
      <c r="CL226" s="61">
        <v>2</v>
      </c>
      <c r="CM226" s="61" t="str">
        <v>sunitinib</v>
      </c>
      <c r="CN226" s="17">
        <v>7</v>
      </c>
      <c r="CO226" s="61" t="str" cm="1">
        <f t="array" ref="CO226">INDEX(List_comparators,CP225+1)</f>
        <v>sorafenib</v>
      </c>
      <c r="CP226" s="17">
        <v>12</v>
      </c>
      <c r="CQ226" s="601">
        <f t="shared" ca="1" si="186"/>
        <v>0</v>
      </c>
      <c r="CR226" s="601">
        <f t="shared" ca="1" si="187"/>
        <v>0</v>
      </c>
      <c r="CS226" s="669">
        <f t="shared" ca="1" si="189"/>
        <v>0</v>
      </c>
      <c r="CT226" s="669">
        <f t="shared" ca="1" si="188"/>
        <v>0</v>
      </c>
      <c r="CU226" s="1123">
        <f>MATCH(CZ226,'Resource use and costs'!$BA$11:$BA$53,0)</f>
        <v>1</v>
      </c>
      <c r="CV226" s="1223"/>
      <c r="CW226" s="1241">
        <f t="shared" si="182"/>
        <v>1</v>
      </c>
      <c r="CX226" s="899" t="s">
        <v>773</v>
      </c>
      <c r="CY226" s="899" t="s">
        <v>118</v>
      </c>
      <c r="CZ226" s="899" t="s">
        <v>579</v>
      </c>
      <c r="DA226" s="899" t="s">
        <v>319</v>
      </c>
      <c r="DB226" s="899" t="s">
        <v>327</v>
      </c>
      <c r="DC226" s="899" cm="1">
        <f t="array" aca="1" ref="DC226" ca="1">_xlfn.IFNA(OFFSET($I$49,MATCH(CY226,$I$50:$I$63,0),MATCH(CZ226,TRANSPOSE($J$49:$W$49),0)),0)</f>
        <v>0.59511111111111104</v>
      </c>
      <c r="DD226" s="899" cm="1">
        <f t="array" aca="1" ref="DD226" ca="1">_xlfn.IFNA(OFFSET($Y$49,MATCH($CZ226,$Y$50:$Y$63,0),MATCH($DA226,TRANSPOSE($Z$49:$AM$49),0)),0)</f>
        <v>0</v>
      </c>
      <c r="DE226" s="899" cm="1">
        <f t="array" aca="1" ref="DE226" ca="1">_xlfn.IFNA(OFFSET($AO$49,MATCH($DA226,$AO$50:$AO$63,0),MATCH($DB226,TRANSPOSE($AP$49:$BC$49),0)),0)</f>
        <v>0.37909999999999999</v>
      </c>
      <c r="DF226" s="881">
        <f t="shared" ca="1" si="179"/>
        <v>0</v>
      </c>
      <c r="DG226" s="910">
        <f t="shared" ca="1" si="180"/>
        <v>1.0010447133454794</v>
      </c>
      <c r="DH226" s="881">
        <f t="shared" ca="1" si="181"/>
        <v>0</v>
      </c>
      <c r="DI226" s="1460">
        <f t="shared" ca="1" si="177"/>
        <v>0</v>
      </c>
      <c r="DJ226" s="909">
        <f>_xlfn.IFNA(INDEX('Resource use and costs'!$CQ$11:$CQ$53,MATCH($CZ226,'Resource use and costs'!$BA$11:$BA$53,0)),0)*_xlfn.IFNA(INDEX(DY$10:DY$23,MATCH($CZ226,$DX$10:$DX$23,0)),0)</f>
        <v>56693.786091428577</v>
      </c>
      <c r="DK226" s="909">
        <f>IF(dd_PartSA_2_lines = "Yes",0,_xlfn.IFNA(INDEX('Resource use and costs'!$CR$11:$CR$53,MATCH(DA226,'Resource use and costs'!$BA$11:$BA$53,0)),0)*_xlfn.IFNA(INDEX(EA$10:EA$23,MATCH($DA226,$DX$10:$DX$23,0)),0))</f>
        <v>11139.428571428571</v>
      </c>
      <c r="DL226" s="909">
        <f>IF(dd_PartSA_2_lines = "Yes",0,_xlfn.IFNA(INDEX('Resource use and costs'!$CS$11:$CS$53,MATCH(DB226,'Resource use and costs'!$BA$11:$BA$53,0)),0)*_xlfn.IFNA(INDEX(EC$10:EC$23,MATCH($DB226,$DX$10:$DX$23,0)),0))</f>
        <v>18438.751749999999</v>
      </c>
      <c r="DM226" s="909">
        <f t="shared" si="183"/>
        <v>86271.966412857146</v>
      </c>
      <c r="DN226" s="909">
        <f>SUM(_xlfn.IFNA(INDEX('Resource use and costs'!$DU$12:$DU$25,MATCH(CZ226,'Resource use and costs'!$DS$12:$DS$25,0)),0),_xlfn.IFNA(INDEX('Resource use and costs'!$DU$12:$DU$25,MATCH(DA226,'Resource use and costs'!$DS$12:$DS$25,0)),0),_xlfn.IFNA(INDEX('Resource use and costs'!$DU$12:$DU$25,MATCH(DB226,'Resource use and costs'!$DS$12:$DS$25,0)),0))</f>
        <v>394.5</v>
      </c>
      <c r="DO226" s="921">
        <f>_xlfn.IFNA(INDEX('Resource use and costs'!$DY$12:$DY$25,MATCH(CZ226,'Resource use and costs'!$DS$12:$DS$25,0)),0)*_xlfn.IFNA(INDEX(DY$10:DY$23,MATCH($CZ226,$DX$10:$DX$23,0)),0)</f>
        <v>8939.6605049142872</v>
      </c>
      <c r="DP226" s="921">
        <f>IF(dd_PartSA_2_lines = "Yes",0,_xlfn.IFNA(INDEX('Resource use and costs'!$DZ$12:$DZ$25,MATCH(DA226,'Resource use and costs'!$DS$12:$DS$25,0)),0)*_xlfn.IFNA(INDEX(EA$10:EA$23,MATCH($DA226,$DX$10:$DX$23,0)),0))</f>
        <v>238.85714285714283</v>
      </c>
      <c r="DQ226" s="921">
        <f>IF(dd_PartSA_2_lines = "Yes",0,_xlfn.IFNA(INDEX('Resource use and costs'!$EA$12:$EA$25,MATCH(DB226,'Resource use and costs'!$DS$12:$DS$25,0)),0)*_xlfn.IFNA(INDEX(EC$10:EC$23,MATCH($DB226,$DX$10:$DX$23,0)),0))</f>
        <v>230.68099999999998</v>
      </c>
      <c r="DR226" s="921">
        <f t="shared" si="184"/>
        <v>9803.6986477714308</v>
      </c>
      <c r="DS226" s="1004">
        <f ca="1">SUMIFS('Safety parameters'!$DM$6:$DM$18,'Safety parameters'!$DK$6:$DK$18,CZ226,'Safety parameters'!$DL$6:$DL$18,1)+IF(dd_PartSA_2_lines = "Yes",0,SUMIFS('Safety parameters'!$DM$6:$DM$18,'Safety parameters'!$DK$6:$DK$18,DA226,'Safety parameters'!$DL$6:$DL$18,2)+SUMIFS('Safety parameters'!$DM$6:$DM$18,'Safety parameters'!$DK$6:$DK$18,DB226,'Safety parameters'!$DL$6:$DL$18,2))</f>
        <v>1634.2286735654598</v>
      </c>
      <c r="DT226" s="910">
        <f ca="1">SUMIFS('Safety parameters'!$DO$6:$DO$18,'Safety parameters'!$DK$6:$DK$18,CZ226,'Safety parameters'!$DL$6:$DL$18,1)+IF(dd_PartSA_2_lines = "Yes",0,SUMIFS('Safety parameters'!$DO$6:$DO$18,'Safety parameters'!$DK$6:$DK$18,DA226,'Safety parameters'!$DL$6:$DL$18,2)+SUMIFS('Safety parameters'!$DO$6:$DO$18,'Safety parameters'!$DK$6:$DK$18,DB226,'Safety parameters'!$DL$6:$DL$18,2))</f>
        <v>-1.4741924007481429E-2</v>
      </c>
    </row>
    <row r="227" spans="89:124" ht="15" x14ac:dyDescent="0.2">
      <c r="CK227" s="61" t="s">
        <v>31</v>
      </c>
      <c r="CL227" s="61">
        <v>2</v>
      </c>
      <c r="CM227" s="61" t="str">
        <v>cabozantinib</v>
      </c>
      <c r="CN227" s="17">
        <v>8</v>
      </c>
      <c r="CO227" s="61" t="str" cm="1">
        <f t="array" ref="CO227">INDEX(List_comparators,CP226+1)</f>
        <v>sorafenib</v>
      </c>
      <c r="CP227" s="17">
        <v>12</v>
      </c>
      <c r="CQ227" s="601">
        <f t="shared" ca="1" si="186"/>
        <v>0</v>
      </c>
      <c r="CR227" s="601">
        <f t="shared" ca="1" si="187"/>
        <v>0</v>
      </c>
      <c r="CS227" s="669">
        <f t="shared" ca="1" si="189"/>
        <v>0</v>
      </c>
      <c r="CT227" s="669">
        <f t="shared" ca="1" si="188"/>
        <v>0</v>
      </c>
      <c r="CU227" s="1123">
        <f>MATCH(CZ227,'Resource use and costs'!$BA$11:$BA$53,0)</f>
        <v>1</v>
      </c>
      <c r="CV227" s="1223"/>
      <c r="CW227" s="1241">
        <f t="shared" si="182"/>
        <v>1</v>
      </c>
      <c r="CX227" s="899" t="s">
        <v>773</v>
      </c>
      <c r="CY227" s="899" t="s">
        <v>118</v>
      </c>
      <c r="CZ227" s="899" t="s">
        <v>579</v>
      </c>
      <c r="DA227" s="899" t="s">
        <v>319</v>
      </c>
      <c r="DB227" s="899" t="s">
        <v>765</v>
      </c>
      <c r="DC227" s="899" cm="1">
        <f t="array" aca="1" ref="DC227" ca="1">_xlfn.IFNA(OFFSET($I$49,MATCH(CY227,$I$50:$I$63,0),MATCH(CZ227,TRANSPOSE($J$49:$W$49),0)),0)</f>
        <v>0.59511111111111104</v>
      </c>
      <c r="DD227" s="899" cm="1">
        <f t="array" aca="1" ref="DD227" ca="1">_xlfn.IFNA(OFFSET($Y$49,MATCH($CZ227,$Y$50:$Y$63,0),MATCH($DA227,TRANSPOSE($Z$49:$AM$49),0)),0)</f>
        <v>0</v>
      </c>
      <c r="DE227" s="899" cm="1">
        <f t="array" aca="1" ref="DE227" ca="1">_xlfn.IFNA(OFFSET($AO$49,MATCH($DA227,$AO$50:$AO$63,0),MATCH($DB227,TRANSPOSE($AP$49:$BC$49),0)),0)</f>
        <v>0.43140000000000001</v>
      </c>
      <c r="DF227" s="881">
        <f t="shared" ca="1" si="179"/>
        <v>0</v>
      </c>
      <c r="DG227" s="910">
        <f t="shared" ca="1" si="180"/>
        <v>1.0010447133454794</v>
      </c>
      <c r="DH227" s="881">
        <f t="shared" ca="1" si="181"/>
        <v>0</v>
      </c>
      <c r="DI227" s="1460">
        <f t="shared" ca="1" si="177"/>
        <v>0</v>
      </c>
      <c r="DJ227" s="909">
        <f>_xlfn.IFNA(INDEX('Resource use and costs'!$CQ$11:$CQ$53,MATCH($CZ227,'Resource use and costs'!$BA$11:$BA$53,0)),0)*_xlfn.IFNA(INDEX(DY$10:DY$23,MATCH($CZ227,$DX$10:$DX$23,0)),0)</f>
        <v>56693.786091428577</v>
      </c>
      <c r="DK227" s="909">
        <f>IF(dd_PartSA_2_lines = "Yes",0,_xlfn.IFNA(INDEX('Resource use and costs'!$CR$11:$CR$53,MATCH(DA227,'Resource use and costs'!$BA$11:$BA$53,0)),0)*_xlfn.IFNA(INDEX(EA$10:EA$23,MATCH($DA227,$DX$10:$DX$23,0)),0))</f>
        <v>11139.428571428571</v>
      </c>
      <c r="DL227" s="909">
        <f>IF(dd_PartSA_2_lines = "Yes",0,_xlfn.IFNA(INDEX('Resource use and costs'!$CS$11:$CS$53,MATCH(DB227,'Resource use and costs'!$BA$11:$BA$53,0)),0)*_xlfn.IFNA(INDEX(EC$10:EC$23,MATCH($DB227,$DX$10:$DX$23,0)),0))</f>
        <v>0</v>
      </c>
      <c r="DM227" s="909">
        <f t="shared" si="183"/>
        <v>67833.21466285715</v>
      </c>
      <c r="DN227" s="909">
        <f>SUM(_xlfn.IFNA(INDEX('Resource use and costs'!$DU$12:$DU$25,MATCH(CZ227,'Resource use and costs'!$DS$12:$DS$25,0)),0),_xlfn.IFNA(INDEX('Resource use and costs'!$DU$12:$DU$25,MATCH(DA227,'Resource use and costs'!$DS$12:$DS$25,0)),0),_xlfn.IFNA(INDEX('Resource use and costs'!$DU$12:$DU$25,MATCH(DB227,'Resource use and costs'!$DS$12:$DS$25,0)),0))</f>
        <v>197.25</v>
      </c>
      <c r="DO227" s="921">
        <f>_xlfn.IFNA(INDEX('Resource use and costs'!$DY$12:$DY$25,MATCH(CZ227,'Resource use and costs'!$DS$12:$DS$25,0)),0)*_xlfn.IFNA(INDEX(DY$10:DY$23,MATCH($CZ227,$DX$10:$DX$23,0)),0)</f>
        <v>8939.6605049142872</v>
      </c>
      <c r="DP227" s="921">
        <f>IF(dd_PartSA_2_lines = "Yes",0,_xlfn.IFNA(INDEX('Resource use and costs'!$DZ$12:$DZ$25,MATCH(DA227,'Resource use and costs'!$DS$12:$DS$25,0)),0)*_xlfn.IFNA(INDEX(EA$10:EA$23,MATCH($DA227,$DX$10:$DX$23,0)),0))</f>
        <v>238.85714285714283</v>
      </c>
      <c r="DQ227" s="921">
        <f>IF(dd_PartSA_2_lines = "Yes",0,_xlfn.IFNA(INDEX('Resource use and costs'!$EA$12:$EA$25,MATCH(DB227,'Resource use and costs'!$DS$12:$DS$25,0)),0)*_xlfn.IFNA(INDEX(EC$10:EC$23,MATCH($DB227,$DX$10:$DX$23,0)),0))</f>
        <v>0</v>
      </c>
      <c r="DR227" s="921">
        <f t="shared" si="184"/>
        <v>9375.7676477714303</v>
      </c>
      <c r="DS227" s="1004">
        <f>SUMIFS('Safety parameters'!$DM$6:$DM$18,'Safety parameters'!$DK$6:$DK$18,CZ227,'Safety parameters'!$DL$6:$DL$18,1)+IF(dd_PartSA_2_lines = "Yes",0,SUMIFS('Safety parameters'!$DM$6:$DM$18,'Safety parameters'!$DK$6:$DK$18,DA227,'Safety parameters'!$DL$6:$DL$18,2)+SUMIFS('Safety parameters'!$DM$6:$DM$18,'Safety parameters'!$DK$6:$DK$18,DB227,'Safety parameters'!$DL$6:$DL$18,2))</f>
        <v>0</v>
      </c>
      <c r="DT227" s="910">
        <f>SUMIFS('Safety parameters'!$DO$6:$DO$18,'Safety parameters'!$DK$6:$DK$18,CZ227,'Safety parameters'!$DL$6:$DL$18,1)+IF(dd_PartSA_2_lines = "Yes",0,SUMIFS('Safety parameters'!$DO$6:$DO$18,'Safety parameters'!$DK$6:$DK$18,DA227,'Safety parameters'!$DL$6:$DL$18,2)+SUMIFS('Safety parameters'!$DO$6:$DO$18,'Safety parameters'!$DK$6:$DK$18,DB227,'Safety parameters'!$DL$6:$DL$18,2))</f>
        <v>0</v>
      </c>
    </row>
    <row r="228" spans="89:124" ht="15" x14ac:dyDescent="0.2">
      <c r="CK228" s="61" t="s">
        <v>31</v>
      </c>
      <c r="CL228" s="61">
        <v>2</v>
      </c>
      <c r="CM228" s="61" t="str">
        <v>lenvatinib_plus_everolimus</v>
      </c>
      <c r="CN228" s="17">
        <v>9</v>
      </c>
      <c r="CO228" s="61" t="str" cm="1">
        <f t="array" ref="CO228">INDEX(List_comparators,CP227+1)</f>
        <v>sorafenib</v>
      </c>
      <c r="CP228" s="17">
        <v>12</v>
      </c>
      <c r="CQ228" s="601">
        <f t="shared" ca="1" si="186"/>
        <v>0</v>
      </c>
      <c r="CR228" s="601">
        <f t="shared" ca="1" si="187"/>
        <v>0</v>
      </c>
      <c r="CS228" s="669">
        <f t="shared" ca="1" si="189"/>
        <v>0</v>
      </c>
      <c r="CT228" s="669">
        <f t="shared" ca="1" si="188"/>
        <v>0</v>
      </c>
      <c r="CU228" s="1123">
        <f>MATCH(CZ228,'Resource use and costs'!$BA$11:$BA$53,0)</f>
        <v>1</v>
      </c>
      <c r="CV228" s="1223"/>
      <c r="CW228" s="1241">
        <f t="shared" si="182"/>
        <v>1</v>
      </c>
      <c r="CX228" s="899" t="s">
        <v>773</v>
      </c>
      <c r="CY228" s="899" t="s">
        <v>118</v>
      </c>
      <c r="CZ228" s="899" t="s">
        <v>579</v>
      </c>
      <c r="DA228" s="899" t="s">
        <v>319</v>
      </c>
      <c r="DB228" s="899" t="s">
        <v>119</v>
      </c>
      <c r="DC228" s="899" cm="1">
        <f t="array" aca="1" ref="DC228" ca="1">_xlfn.IFNA(OFFSET($I$49,MATCH(CY228,$I$50:$I$63,0),MATCH(CZ228,TRANSPOSE($J$49:$W$49),0)),0)</f>
        <v>0.59511111111111104</v>
      </c>
      <c r="DD228" s="899" cm="1">
        <f t="array" aca="1" ref="DD228" ca="1">_xlfn.IFNA(OFFSET($Y$49,MATCH($CZ228,$Y$50:$Y$63,0),MATCH($DA228,TRANSPOSE($Z$49:$AM$49),0)),0)</f>
        <v>0</v>
      </c>
      <c r="DE228" s="899" cm="1">
        <f t="array" aca="1" ref="DE228" ca="1">_xlfn.IFNA(OFFSET($AO$49,MATCH($DA228,$AO$50:$AO$63,0),MATCH($DB228,TRANSPOSE($AP$49:$BC$49),0)),0)</f>
        <v>0.1895</v>
      </c>
      <c r="DF228" s="881">
        <f t="shared" ca="1" si="179"/>
        <v>0</v>
      </c>
      <c r="DG228" s="910">
        <f t="shared" ca="1" si="180"/>
        <v>1.0010447133454794</v>
      </c>
      <c r="DH228" s="881">
        <f t="shared" ca="1" si="181"/>
        <v>0</v>
      </c>
      <c r="DI228" s="1460">
        <f t="shared" ca="1" si="177"/>
        <v>0</v>
      </c>
      <c r="DJ228" s="909">
        <f>_xlfn.IFNA(INDEX('Resource use and costs'!$CQ$11:$CQ$53,MATCH($CZ228,'Resource use and costs'!$BA$11:$BA$53,0)),0)*_xlfn.IFNA(INDEX(DY$10:DY$23,MATCH($CZ228,$DX$10:$DX$23,0)),0)</f>
        <v>56693.786091428577</v>
      </c>
      <c r="DK228" s="909">
        <f>IF(dd_PartSA_2_lines = "Yes",0,_xlfn.IFNA(INDEX('Resource use and costs'!$CR$11:$CR$53,MATCH(DA228,'Resource use and costs'!$BA$11:$BA$53,0)),0)*_xlfn.IFNA(INDEX(EA$10:EA$23,MATCH($DA228,$DX$10:$DX$23,0)),0))</f>
        <v>11139.428571428571</v>
      </c>
      <c r="DL228" s="909">
        <f>IF(dd_PartSA_2_lines = "Yes",0,_xlfn.IFNA(INDEX('Resource use and costs'!$CS$11:$CS$53,MATCH(DB228,'Resource use and costs'!$BA$11:$BA$53,0)),0)*_xlfn.IFNA(INDEX(EC$10:EC$23,MATCH($DB228,$DX$10:$DX$23,0)),0))</f>
        <v>2915.4763433333328</v>
      </c>
      <c r="DM228" s="909">
        <f t="shared" si="183"/>
        <v>70748.691006190478</v>
      </c>
      <c r="DN228" s="909">
        <f>SUM(_xlfn.IFNA(INDEX('Resource use and costs'!$DU$12:$DU$25,MATCH(CZ228,'Resource use and costs'!$DS$12:$DS$25,0)),0),_xlfn.IFNA(INDEX('Resource use and costs'!$DU$12:$DU$25,MATCH(DA228,'Resource use and costs'!$DS$12:$DS$25,0)),0),_xlfn.IFNA(INDEX('Resource use and costs'!$DU$12:$DU$25,MATCH(DB228,'Resource use and costs'!$DS$12:$DS$25,0)),0))</f>
        <v>394.5</v>
      </c>
      <c r="DO228" s="921">
        <f>_xlfn.IFNA(INDEX('Resource use and costs'!$DY$12:$DY$25,MATCH(CZ228,'Resource use and costs'!$DS$12:$DS$25,0)),0)*_xlfn.IFNA(INDEX(DY$10:DY$23,MATCH($CZ228,$DX$10:$DX$23,0)),0)</f>
        <v>8939.6605049142872</v>
      </c>
      <c r="DP228" s="921">
        <f>IF(dd_PartSA_2_lines = "Yes",0,_xlfn.IFNA(INDEX('Resource use and costs'!$DZ$12:$DZ$25,MATCH(DA228,'Resource use and costs'!$DS$12:$DS$25,0)),0)*_xlfn.IFNA(INDEX(EA$10:EA$23,MATCH($DA228,$DX$10:$DX$23,0)),0))</f>
        <v>238.85714285714283</v>
      </c>
      <c r="DQ228" s="921">
        <f>IF(dd_PartSA_2_lines = "Yes",0,_xlfn.IFNA(INDEX('Resource use and costs'!$EA$12:$EA$25,MATCH(DB228,'Resource use and costs'!$DS$12:$DS$25,0)),0)*_xlfn.IFNA(INDEX(EC$10:EC$23,MATCH($DB228,$DX$10:$DX$23,0)),0))</f>
        <v>256.11457142857142</v>
      </c>
      <c r="DR228" s="921">
        <f t="shared" si="184"/>
        <v>9829.1322192000025</v>
      </c>
      <c r="DS228" s="1004">
        <f ca="1">SUMIFS('Safety parameters'!$DM$6:$DM$18,'Safety parameters'!$DK$6:$DK$18,CZ228,'Safety parameters'!$DL$6:$DL$18,1)+IF(dd_PartSA_2_lines = "Yes",0,SUMIFS('Safety parameters'!$DM$6:$DM$18,'Safety parameters'!$DK$6:$DK$18,DA228,'Safety parameters'!$DL$6:$DL$18,2)+SUMIFS('Safety parameters'!$DM$6:$DM$18,'Safety parameters'!$DK$6:$DK$18,DB228,'Safety parameters'!$DL$6:$DL$18,2))</f>
        <v>332.87538337531487</v>
      </c>
      <c r="DT228" s="910">
        <f ca="1">SUMIFS('Safety parameters'!$DO$6:$DO$18,'Safety parameters'!$DK$6:$DK$18,CZ228,'Safety parameters'!$DL$6:$DL$18,1)+IF(dd_PartSA_2_lines = "Yes",0,SUMIFS('Safety parameters'!$DO$6:$DO$18,'Safety parameters'!$DK$6:$DK$18,DA228,'Safety parameters'!$DL$6:$DL$18,2)+SUMIFS('Safety parameters'!$DO$6:$DO$18,'Safety parameters'!$DK$6:$DK$18,DB228,'Safety parameters'!$DL$6:$DL$18,2))</f>
        <v>-2.6675735366377194E-3</v>
      </c>
    </row>
    <row r="229" spans="89:124" ht="15" x14ac:dyDescent="0.2">
      <c r="CK229" s="61" t="s">
        <v>31</v>
      </c>
      <c r="CL229" s="61">
        <v>2</v>
      </c>
      <c r="CM229" s="61" t="str">
        <v>everolimus</v>
      </c>
      <c r="CN229" s="17">
        <v>10</v>
      </c>
      <c r="CO229" s="61" t="str" cm="1">
        <f t="array" ref="CO229">INDEX(List_comparators,CP228+1)</f>
        <v>sorafenib</v>
      </c>
      <c r="CP229" s="17">
        <v>12</v>
      </c>
      <c r="CQ229" s="601">
        <f t="shared" ca="1" si="186"/>
        <v>0</v>
      </c>
      <c r="CR229" s="601">
        <f t="shared" ca="1" si="187"/>
        <v>0</v>
      </c>
      <c r="CS229" s="669">
        <f t="shared" ca="1" si="189"/>
        <v>0</v>
      </c>
      <c r="CT229" s="669">
        <f t="shared" ca="1" si="188"/>
        <v>0</v>
      </c>
      <c r="CU229" s="1123">
        <f>MATCH(CZ229,'Resource use and costs'!$BA$11:$BA$53,0)</f>
        <v>21</v>
      </c>
      <c r="CV229" s="1223"/>
      <c r="CW229" s="1241">
        <f t="shared" si="182"/>
        <v>1</v>
      </c>
      <c r="CX229" s="899" t="s">
        <v>773</v>
      </c>
      <c r="CY229" s="899" t="s">
        <v>118</v>
      </c>
      <c r="CZ229" s="899" t="s">
        <v>585</v>
      </c>
      <c r="DA229" s="899" t="s">
        <v>327</v>
      </c>
      <c r="DB229" s="899" t="s">
        <v>765</v>
      </c>
      <c r="DC229" s="899" cm="1">
        <f t="array" aca="1" ref="DC229" ca="1">_xlfn.IFNA(OFFSET($I$49,MATCH(CY229,$I$50:$I$63,0),MATCH(CZ229,TRANSPOSE($J$49:$W$49),0)),0)</f>
        <v>0</v>
      </c>
      <c r="DD229" s="899" cm="1">
        <f t="array" aca="1" ref="DD229" ca="1">_xlfn.IFNA(OFFSET($Y$49,MATCH($CZ229,$Y$50:$Y$63,0),MATCH($DA229,TRANSPOSE($Z$49:$AM$49),0)),0)</f>
        <v>0</v>
      </c>
      <c r="DE229" s="899" cm="1">
        <f t="array" aca="1" ref="DE229" ca="1">_xlfn.IFNA(OFFSET($AO$49,MATCH($DA229,$AO$50:$AO$63,0),MATCH($DB229,TRANSPOSE($AP$49:$BC$49),0)),0)</f>
        <v>0.43140000000000001</v>
      </c>
      <c r="DF229" s="881">
        <f t="shared" ca="1" si="179"/>
        <v>0</v>
      </c>
      <c r="DG229" s="910">
        <f t="shared" ca="1" si="180"/>
        <v>1.0010447133454794</v>
      </c>
      <c r="DH229" s="881">
        <f t="shared" ca="1" si="181"/>
        <v>0</v>
      </c>
      <c r="DI229" s="1460">
        <f t="shared" ca="1" si="177"/>
        <v>0</v>
      </c>
      <c r="DJ229" s="909">
        <f>_xlfn.IFNA(INDEX('Resource use and costs'!$CQ$11:$CQ$53,MATCH($CZ229,'Resource use and costs'!$BA$11:$BA$53,0)),0)*_xlfn.IFNA(INDEX(DY$10:DY$23,MATCH($CZ229,$DX$10:$DX$23,0)),0)</f>
        <v>4551.2486654444447</v>
      </c>
      <c r="DK229" s="909">
        <f>IF(dd_PartSA_2_lines = "Yes",0,_xlfn.IFNA(INDEX('Resource use and costs'!$CR$11:$CR$53,MATCH(DA229,'Resource use and costs'!$BA$11:$BA$53,0)),0)*_xlfn.IFNA(INDEX(EA$10:EA$23,MATCH($DA229,$DX$10:$DX$23,0)),0))</f>
        <v>21421.066008214286</v>
      </c>
      <c r="DL229" s="909">
        <f>IF(dd_PartSA_2_lines = "Yes",0,_xlfn.IFNA(INDEX('Resource use and costs'!$CS$11:$CS$53,MATCH(DB229,'Resource use and costs'!$BA$11:$BA$53,0)),0)*_xlfn.IFNA(INDEX(EC$10:EC$23,MATCH($DB229,$DX$10:$DX$23,0)),0))</f>
        <v>0</v>
      </c>
      <c r="DM229" s="909">
        <f t="shared" si="183"/>
        <v>25972.31467365873</v>
      </c>
      <c r="DN229" s="909">
        <f>SUM(_xlfn.IFNA(INDEX('Resource use and costs'!$DU$12:$DU$25,MATCH(CZ229,'Resource use and costs'!$DS$12:$DS$25,0)),0),_xlfn.IFNA(INDEX('Resource use and costs'!$DU$12:$DU$25,MATCH(DA229,'Resource use and costs'!$DS$12:$DS$25,0)),0),_xlfn.IFNA(INDEX('Resource use and costs'!$DU$12:$DU$25,MATCH(DB229,'Resource use and costs'!$DS$12:$DS$25,0)),0))</f>
        <v>394.5</v>
      </c>
      <c r="DO229" s="921">
        <f>_xlfn.IFNA(INDEX('Resource use and costs'!$DY$12:$DY$25,MATCH(CZ229,'Resource use and costs'!$DS$12:$DS$25,0)),0)*_xlfn.IFNA(INDEX(DY$10:DY$23,MATCH($CZ229,$DX$10:$DX$23,0)),0)</f>
        <v>410.14183571428572</v>
      </c>
      <c r="DP229" s="921">
        <f>IF(dd_PartSA_2_lines = "Yes",0,_xlfn.IFNA(INDEX('Resource use and costs'!$DZ$12:$DZ$25,MATCH(DA229,'Resource use and costs'!$DS$12:$DS$25,0)),0)*_xlfn.IFNA(INDEX(EA$10:EA$23,MATCH($DA229,$DX$10:$DX$23,0)),0))</f>
        <v>267.99172714285714</v>
      </c>
      <c r="DQ229" s="921">
        <f>IF(dd_PartSA_2_lines = "Yes",0,_xlfn.IFNA(INDEX('Resource use and costs'!$EA$12:$EA$25,MATCH(DB229,'Resource use and costs'!$DS$12:$DS$25,0)),0)*_xlfn.IFNA(INDEX(EC$10:EC$23,MATCH($DB229,$DX$10:$DX$23,0)),0))</f>
        <v>0</v>
      </c>
      <c r="DR229" s="921">
        <f t="shared" si="184"/>
        <v>1072.6335628571428</v>
      </c>
      <c r="DS229" s="1004">
        <f ca="1">SUMIFS('Safety parameters'!$DM$6:$DM$18,'Safety parameters'!$DK$6:$DK$18,CZ229,'Safety parameters'!$DL$6:$DL$18,1)+IF(dd_PartSA_2_lines = "Yes",0,SUMIFS('Safety parameters'!$DM$6:$DM$18,'Safety parameters'!$DK$6:$DK$18,DA229,'Safety parameters'!$DL$6:$DL$18,2)+SUMIFS('Safety parameters'!$DM$6:$DM$18,'Safety parameters'!$DK$6:$DK$18,DB229,'Safety parameters'!$DL$6:$DL$18,2))</f>
        <v>2145.8369470981288</v>
      </c>
      <c r="DT229" s="910">
        <f ca="1">SUMIFS('Safety parameters'!$DO$6:$DO$18,'Safety parameters'!$DK$6:$DK$18,CZ229,'Safety parameters'!$DL$6:$DL$18,1)+IF(dd_PartSA_2_lines = "Yes",0,SUMIFS('Safety parameters'!$DO$6:$DO$18,'Safety parameters'!$DK$6:$DK$18,DA229,'Safety parameters'!$DL$6:$DL$18,2)+SUMIFS('Safety parameters'!$DO$6:$DO$18,'Safety parameters'!$DK$6:$DK$18,DB229,'Safety parameters'!$DL$6:$DL$18,2))</f>
        <v>-1.9786705662528051E-2</v>
      </c>
    </row>
    <row r="230" spans="89:124" ht="15" x14ac:dyDescent="0.2">
      <c r="CK230" s="61" t="s">
        <v>31</v>
      </c>
      <c r="CL230" s="61">
        <v>2</v>
      </c>
      <c r="CM230" s="61" t="str">
        <v>axitinib</v>
      </c>
      <c r="CN230" s="17">
        <v>11</v>
      </c>
      <c r="CO230" s="61" t="str" cm="1">
        <f t="array" ref="CO230">INDEX(List_comparators,CP229+1)</f>
        <v>sorafenib</v>
      </c>
      <c r="CP230" s="17">
        <v>12</v>
      </c>
      <c r="CQ230" s="601">
        <f t="shared" ca="1" si="186"/>
        <v>0</v>
      </c>
      <c r="CR230" s="601">
        <f t="shared" ca="1" si="187"/>
        <v>0</v>
      </c>
      <c r="CS230" s="669">
        <f t="shared" ca="1" si="189"/>
        <v>0</v>
      </c>
      <c r="CT230" s="669">
        <f t="shared" ca="1" si="188"/>
        <v>0</v>
      </c>
      <c r="CU230" s="1123">
        <f>MATCH(CZ230,'Resource use and costs'!$BA$11:$BA$53,0)</f>
        <v>21</v>
      </c>
      <c r="CV230" s="1223"/>
      <c r="CW230" s="1241">
        <f t="shared" si="182"/>
        <v>1</v>
      </c>
      <c r="CX230" s="899" t="s">
        <v>773</v>
      </c>
      <c r="CY230" s="899" t="s">
        <v>118</v>
      </c>
      <c r="CZ230" s="899" t="s">
        <v>585</v>
      </c>
      <c r="DA230" s="899" t="s">
        <v>327</v>
      </c>
      <c r="DB230" s="899" t="s">
        <v>119</v>
      </c>
      <c r="DC230" s="899" cm="1">
        <f t="array" aca="1" ref="DC230" ca="1">_xlfn.IFNA(OFFSET($I$49,MATCH(CY230,$I$50:$I$63,0),MATCH(CZ230,TRANSPOSE($J$49:$W$49),0)),0)</f>
        <v>0</v>
      </c>
      <c r="DD230" s="899" cm="1">
        <f t="array" aca="1" ref="DD230" ca="1">_xlfn.IFNA(OFFSET($Y$49,MATCH($CZ230,$Y$50:$Y$63,0),MATCH($DA230,TRANSPOSE($Z$49:$AM$49),0)),0)</f>
        <v>0</v>
      </c>
      <c r="DE230" s="899" cm="1">
        <f t="array" aca="1" ref="DE230" ca="1">_xlfn.IFNA(OFFSET($AO$49,MATCH($DA230,$AO$50:$AO$63,0),MATCH($DB230,TRANSPOSE($AP$49:$BC$49),0)),0)</f>
        <v>0.56859999999999999</v>
      </c>
      <c r="DF230" s="881">
        <f t="shared" ca="1" si="179"/>
        <v>0</v>
      </c>
      <c r="DG230" s="910">
        <f t="shared" ca="1" si="180"/>
        <v>1.0010447133454794</v>
      </c>
      <c r="DH230" s="881">
        <f t="shared" ca="1" si="181"/>
        <v>0</v>
      </c>
      <c r="DI230" s="1460">
        <f t="shared" ca="1" si="177"/>
        <v>0</v>
      </c>
      <c r="DJ230" s="909">
        <f>_xlfn.IFNA(INDEX('Resource use and costs'!$CQ$11:$CQ$53,MATCH($CZ230,'Resource use and costs'!$BA$11:$BA$53,0)),0)*_xlfn.IFNA(INDEX(DY$10:DY$23,MATCH($CZ230,$DX$10:$DX$23,0)),0)</f>
        <v>4551.2486654444447</v>
      </c>
      <c r="DK230" s="909">
        <f>IF(dd_PartSA_2_lines = "Yes",0,_xlfn.IFNA(INDEX('Resource use and costs'!$CR$11:$CR$53,MATCH(DA230,'Resource use and costs'!$BA$11:$BA$53,0)),0)*_xlfn.IFNA(INDEX(EA$10:EA$23,MATCH($DA230,$DX$10:$DX$23,0)),0))</f>
        <v>21421.066008214286</v>
      </c>
      <c r="DL230" s="909">
        <f>IF(dd_PartSA_2_lines = "Yes",0,_xlfn.IFNA(INDEX('Resource use and costs'!$CS$11:$CS$53,MATCH(DB230,'Resource use and costs'!$BA$11:$BA$53,0)),0)*_xlfn.IFNA(INDEX(EC$10:EC$23,MATCH($DB230,$DX$10:$DX$23,0)),0))</f>
        <v>2915.4763433333328</v>
      </c>
      <c r="DM230" s="909">
        <f t="shared" si="183"/>
        <v>28887.791016992061</v>
      </c>
      <c r="DN230" s="909">
        <f>SUM(_xlfn.IFNA(INDEX('Resource use and costs'!$DU$12:$DU$25,MATCH(CZ230,'Resource use and costs'!$DS$12:$DS$25,0)),0),_xlfn.IFNA(INDEX('Resource use and costs'!$DU$12:$DU$25,MATCH(DA230,'Resource use and costs'!$DS$12:$DS$25,0)),0),_xlfn.IFNA(INDEX('Resource use and costs'!$DU$12:$DU$25,MATCH(DB230,'Resource use and costs'!$DS$12:$DS$25,0)),0))</f>
        <v>591.75</v>
      </c>
      <c r="DO230" s="921">
        <f>_xlfn.IFNA(INDEX('Resource use and costs'!$DY$12:$DY$25,MATCH(CZ230,'Resource use and costs'!$DS$12:$DS$25,0)),0)*_xlfn.IFNA(INDEX(DY$10:DY$23,MATCH($CZ230,$DX$10:$DX$23,0)),0)</f>
        <v>410.14183571428572</v>
      </c>
      <c r="DP230" s="921">
        <f>IF(dd_PartSA_2_lines = "Yes",0,_xlfn.IFNA(INDEX('Resource use and costs'!$DZ$12:$DZ$25,MATCH(DA230,'Resource use and costs'!$DS$12:$DS$25,0)),0)*_xlfn.IFNA(INDEX(EA$10:EA$23,MATCH($DA230,$DX$10:$DX$23,0)),0))</f>
        <v>267.99172714285714</v>
      </c>
      <c r="DQ230" s="921">
        <f>IF(dd_PartSA_2_lines = "Yes",0,_xlfn.IFNA(INDEX('Resource use and costs'!$EA$12:$EA$25,MATCH(DB230,'Resource use and costs'!$DS$12:$DS$25,0)),0)*_xlfn.IFNA(INDEX(EC$10:EC$23,MATCH($DB230,$DX$10:$DX$23,0)),0))</f>
        <v>256.11457142857142</v>
      </c>
      <c r="DR230" s="921">
        <f t="shared" si="184"/>
        <v>1525.9981342857143</v>
      </c>
      <c r="DS230" s="1004">
        <f ca="1">SUMIFS('Safety parameters'!$DM$6:$DM$18,'Safety parameters'!$DK$6:$DK$18,CZ230,'Safety parameters'!$DL$6:$DL$18,1)+IF(dd_PartSA_2_lines = "Yes",0,SUMIFS('Safety parameters'!$DM$6:$DM$18,'Safety parameters'!$DK$6:$DK$18,DA230,'Safety parameters'!$DL$6:$DL$18,2)+SUMIFS('Safety parameters'!$DM$6:$DM$18,'Safety parameters'!$DK$6:$DK$18,DB230,'Safety parameters'!$DL$6:$DL$18,2))</f>
        <v>2478.7123304734437</v>
      </c>
      <c r="DT230" s="910">
        <f ca="1">SUMIFS('Safety parameters'!$DO$6:$DO$18,'Safety parameters'!$DK$6:$DK$18,CZ230,'Safety parameters'!$DL$6:$DL$18,1)+IF(dd_PartSA_2_lines = "Yes",0,SUMIFS('Safety parameters'!$DO$6:$DO$18,'Safety parameters'!$DK$6:$DK$18,DA230,'Safety parameters'!$DL$6:$DL$18,2)+SUMIFS('Safety parameters'!$DO$6:$DO$18,'Safety parameters'!$DK$6:$DK$18,DB230,'Safety parameters'!$DL$6:$DL$18,2))</f>
        <v>-2.2454279199165771E-2</v>
      </c>
    </row>
    <row r="231" spans="89:124" ht="15" x14ac:dyDescent="0.2">
      <c r="CK231" s="61" t="s">
        <v>31</v>
      </c>
      <c r="CL231" s="61">
        <v>2</v>
      </c>
      <c r="CM231" s="61" t="str">
        <v>sorafenib</v>
      </c>
      <c r="CN231" s="17">
        <v>12</v>
      </c>
      <c r="CO231" s="61" t="str" cm="1">
        <f t="array" ref="CO231">INDEX(List_comparators,CP230+1)</f>
        <v>sorafenib</v>
      </c>
      <c r="CP231" s="17">
        <v>12</v>
      </c>
      <c r="CQ231" s="601">
        <f t="shared" ca="1" si="186"/>
        <v>0</v>
      </c>
      <c r="CR231" s="601">
        <f t="shared" ca="1" si="187"/>
        <v>0</v>
      </c>
      <c r="CS231" s="669">
        <f t="shared" ca="1" si="189"/>
        <v>0</v>
      </c>
      <c r="CT231" s="669">
        <f t="shared" ca="1" si="188"/>
        <v>0</v>
      </c>
      <c r="CU231" s="1123">
        <f>MATCH(CZ231,'Resource use and costs'!$BA$11:$BA$53,0)</f>
        <v>21</v>
      </c>
      <c r="CV231" s="1223"/>
      <c r="CW231" s="1241">
        <f t="shared" si="182"/>
        <v>1</v>
      </c>
      <c r="CX231" s="899" t="s">
        <v>773</v>
      </c>
      <c r="CY231" s="899" t="s">
        <v>118</v>
      </c>
      <c r="CZ231" s="899" t="s">
        <v>585</v>
      </c>
      <c r="DA231" s="899" t="s">
        <v>765</v>
      </c>
      <c r="DB231" s="899"/>
      <c r="DC231" s="899" cm="1">
        <f t="array" aca="1" ref="DC231" ca="1">_xlfn.IFNA(OFFSET($I$49,MATCH(CY231,$I$50:$I$63,0),MATCH(CZ231,TRANSPOSE($J$49:$W$49),0)),0)</f>
        <v>0</v>
      </c>
      <c r="DD231" s="899" cm="1">
        <f t="array" aca="1" ref="DD231" ca="1">_xlfn.IFNA(OFFSET($Y$49,MATCH($CZ231,$Y$50:$Y$63,0),MATCH($DA231,TRANSPOSE($Z$49:$AM$49),0)),0)</f>
        <v>0.34300000000000003</v>
      </c>
      <c r="DE231" s="899" cm="1">
        <f t="array" aca="1" ref="DE231" ca="1">_xlfn.IFNA(OFFSET($AO$49,MATCH($DA231,$AO$50:$AO$63,0),MATCH($DB231,TRANSPOSE($AP$49:$BC$49),0)),0)</f>
        <v>0</v>
      </c>
      <c r="DF231" s="881">
        <f t="shared" ca="1" si="179"/>
        <v>0</v>
      </c>
      <c r="DG231" s="910">
        <f t="shared" ca="1" si="180"/>
        <v>1.0010447133454794</v>
      </c>
      <c r="DH231" s="881">
        <f t="shared" ca="1" si="181"/>
        <v>0</v>
      </c>
      <c r="DI231" s="1460">
        <f t="shared" ca="1" si="177"/>
        <v>0</v>
      </c>
      <c r="DJ231" s="909">
        <f>_xlfn.IFNA(INDEX('Resource use and costs'!$CQ$11:$CQ$53,MATCH($CZ231,'Resource use and costs'!$BA$11:$BA$53,0)),0)*_xlfn.IFNA(INDEX(DY$10:DY$23,MATCH($CZ231,$DX$10:$DX$23,0)),0)</f>
        <v>4551.2486654444447</v>
      </c>
      <c r="DK231" s="909">
        <f>IF(dd_PartSA_2_lines = "Yes",0,_xlfn.IFNA(INDEX('Resource use and costs'!$CR$11:$CR$53,MATCH(DA231,'Resource use and costs'!$BA$11:$BA$53,0)),0)*_xlfn.IFNA(INDEX(EA$10:EA$23,MATCH($DA231,$DX$10:$DX$23,0)),0))</f>
        <v>0</v>
      </c>
      <c r="DL231" s="909">
        <f>IF(dd_PartSA_2_lines = "Yes",0,_xlfn.IFNA(INDEX('Resource use and costs'!$CS$11:$CS$53,MATCH(DB231,'Resource use and costs'!$BA$11:$BA$53,0)),0)*_xlfn.IFNA(INDEX(EC$10:EC$23,MATCH($DB231,$DX$10:$DX$23,0)),0))</f>
        <v>0</v>
      </c>
      <c r="DM231" s="909">
        <f t="shared" si="183"/>
        <v>4551.2486654444447</v>
      </c>
      <c r="DN231" s="909">
        <f>SUM(_xlfn.IFNA(INDEX('Resource use and costs'!$DU$12:$DU$25,MATCH(CZ231,'Resource use and costs'!$DS$12:$DS$25,0)),0),_xlfn.IFNA(INDEX('Resource use and costs'!$DU$12:$DU$25,MATCH(DA231,'Resource use and costs'!$DS$12:$DS$25,0)),0),_xlfn.IFNA(INDEX('Resource use and costs'!$DU$12:$DU$25,MATCH(DB231,'Resource use and costs'!$DS$12:$DS$25,0)),0))</f>
        <v>197.25</v>
      </c>
      <c r="DO231" s="921">
        <f>_xlfn.IFNA(INDEX('Resource use and costs'!$DY$12:$DY$25,MATCH(CZ231,'Resource use and costs'!$DS$12:$DS$25,0)),0)*_xlfn.IFNA(INDEX(DY$10:DY$23,MATCH($CZ231,$DX$10:$DX$23,0)),0)</f>
        <v>410.14183571428572</v>
      </c>
      <c r="DP231" s="921">
        <f>IF(dd_PartSA_2_lines = "Yes",0,_xlfn.IFNA(INDEX('Resource use and costs'!$DZ$12:$DZ$25,MATCH(DA231,'Resource use and costs'!$DS$12:$DS$25,0)),0)*_xlfn.IFNA(INDEX(EA$10:EA$23,MATCH($DA231,$DX$10:$DX$23,0)),0))</f>
        <v>0</v>
      </c>
      <c r="DQ231" s="921">
        <f>IF(dd_PartSA_2_lines = "Yes",0,_xlfn.IFNA(INDEX('Resource use and costs'!$EA$12:$EA$25,MATCH(DB231,'Resource use and costs'!$DS$12:$DS$25,0)),0)*_xlfn.IFNA(INDEX(EC$10:EC$23,MATCH($DB231,$DX$10:$DX$23,0)),0))</f>
        <v>0</v>
      </c>
      <c r="DR231" s="921">
        <f t="shared" si="184"/>
        <v>607.39183571428566</v>
      </c>
      <c r="DS231" s="1004">
        <f ca="1">SUMIFS('Safety parameters'!$DM$6:$DM$18,'Safety parameters'!$DK$6:$DK$18,CZ231,'Safety parameters'!$DL$6:$DL$18,1)+IF(dd_PartSA_2_lines = "Yes",0,SUMIFS('Safety parameters'!$DM$6:$DM$18,'Safety parameters'!$DK$6:$DK$18,DA231,'Safety parameters'!$DL$6:$DL$18,2)+SUMIFS('Safety parameters'!$DM$6:$DM$18,'Safety parameters'!$DK$6:$DK$18,DB231,'Safety parameters'!$DL$6:$DL$18,2))</f>
        <v>511.60827353266905</v>
      </c>
      <c r="DT231" s="910">
        <f ca="1">SUMIFS('Safety parameters'!$DO$6:$DO$18,'Safety parameters'!$DK$6:$DK$18,CZ231,'Safety parameters'!$DL$6:$DL$18,1)+IF(dd_PartSA_2_lines = "Yes",0,SUMIFS('Safety parameters'!$DO$6:$DO$18,'Safety parameters'!$DK$6:$DK$18,DA231,'Safety parameters'!$DL$6:$DL$18,2)+SUMIFS('Safety parameters'!$DO$6:$DO$18,'Safety parameters'!$DK$6:$DK$18,DB231,'Safety parameters'!$DL$6:$DL$18,2))</f>
        <v>-5.0447816550466236E-3</v>
      </c>
    </row>
    <row r="232" spans="89:124" ht="15.75" thickBot="1" x14ac:dyDescent="0.25">
      <c r="CK232" s="506" t="s">
        <v>31</v>
      </c>
      <c r="CL232" s="506">
        <v>2</v>
      </c>
      <c r="CM232" s="506" t="str">
        <v>placebo_BSC</v>
      </c>
      <c r="CN232" s="19">
        <v>999</v>
      </c>
      <c r="CO232" s="506" t="str" cm="1">
        <f t="array" ref="CO232">INDEX(List_comparators,CP219+1)</f>
        <v>sorafenib</v>
      </c>
      <c r="CP232" s="19">
        <v>12</v>
      </c>
      <c r="CQ232" s="602">
        <f t="shared" ca="1" si="186"/>
        <v>0</v>
      </c>
      <c r="CR232" s="602">
        <f t="shared" ca="1" si="187"/>
        <v>0</v>
      </c>
      <c r="CS232" s="670">
        <v>0</v>
      </c>
      <c r="CT232" s="670">
        <f t="shared" ca="1" si="188"/>
        <v>0</v>
      </c>
      <c r="CU232" s="1123">
        <f>MATCH(CZ232,'Resource use and costs'!$BA$11:$BA$53,0)</f>
        <v>21</v>
      </c>
      <c r="CV232" s="1223"/>
      <c r="CW232" s="1241">
        <f t="shared" si="182"/>
        <v>1</v>
      </c>
      <c r="CX232" s="899" t="s">
        <v>773</v>
      </c>
      <c r="CY232" s="899" t="s">
        <v>118</v>
      </c>
      <c r="CZ232" s="899" t="s">
        <v>585</v>
      </c>
      <c r="DA232" s="899" t="s">
        <v>119</v>
      </c>
      <c r="DB232" s="899" t="s">
        <v>327</v>
      </c>
      <c r="DC232" s="899" cm="1">
        <f t="array" aca="1" ref="DC232" ca="1">_xlfn.IFNA(OFFSET($I$49,MATCH(CY232,$I$50:$I$63,0),MATCH(CZ232,TRANSPOSE($J$49:$W$49),0)),0)</f>
        <v>0</v>
      </c>
      <c r="DD232" s="899" cm="1">
        <f t="array" aca="1" ref="DD232" ca="1">_xlfn.IFNA(OFFSET($Y$49,MATCH($CZ232,$Y$50:$Y$63,0),MATCH($DA232,TRANSPOSE($Z$49:$AM$49),0)),0)</f>
        <v>0</v>
      </c>
      <c r="DE232" s="899" cm="1">
        <f t="array" aca="1" ref="DE232" ca="1">_xlfn.IFNA(OFFSET($AO$49,MATCH($DA232,$AO$50:$AO$63,0),MATCH($DB232,TRANSPOSE($AP$49:$BC$49),0)),0)</f>
        <v>0</v>
      </c>
      <c r="DF232" s="881">
        <f t="shared" ca="1" si="179"/>
        <v>0</v>
      </c>
      <c r="DG232" s="910">
        <f t="shared" ca="1" si="180"/>
        <v>1.0010447133454794</v>
      </c>
      <c r="DH232" s="881">
        <f t="shared" ca="1" si="181"/>
        <v>0</v>
      </c>
      <c r="DI232" s="1460">
        <f t="shared" ca="1" si="177"/>
        <v>0</v>
      </c>
      <c r="DJ232" s="909">
        <f>_xlfn.IFNA(INDEX('Resource use and costs'!$CQ$11:$CQ$53,MATCH($CZ232,'Resource use and costs'!$BA$11:$BA$53,0)),0)*_xlfn.IFNA(INDEX(DY$10:DY$23,MATCH($CZ232,$DX$10:$DX$23,0)),0)</f>
        <v>4551.2486654444447</v>
      </c>
      <c r="DK232" s="909">
        <f>IF(dd_PartSA_2_lines = "Yes",0,_xlfn.IFNA(INDEX('Resource use and costs'!$CR$11:$CR$53,MATCH(DA232,'Resource use and costs'!$BA$11:$BA$53,0)),0)*_xlfn.IFNA(INDEX(EA$10:EA$23,MATCH($DA232,$DX$10:$DX$23,0)),0))</f>
        <v>848.17532499999982</v>
      </c>
      <c r="DL232" s="909">
        <f>IF(dd_PartSA_2_lines = "Yes",0,_xlfn.IFNA(INDEX('Resource use and costs'!$CS$11:$CS$53,MATCH(DB232,'Resource use and costs'!$BA$11:$BA$53,0)),0)*_xlfn.IFNA(INDEX(EC$10:EC$23,MATCH($DB232,$DX$10:$DX$23,0)),0))</f>
        <v>18438.751749999999</v>
      </c>
      <c r="DM232" s="909">
        <f t="shared" si="183"/>
        <v>23838.175740444443</v>
      </c>
      <c r="DN232" s="909">
        <f>SUM(_xlfn.IFNA(INDEX('Resource use and costs'!$DU$12:$DU$25,MATCH(CZ232,'Resource use and costs'!$DS$12:$DS$25,0)),0),_xlfn.IFNA(INDEX('Resource use and costs'!$DU$12:$DU$25,MATCH(DA232,'Resource use and costs'!$DS$12:$DS$25,0)),0),_xlfn.IFNA(INDEX('Resource use and costs'!$DU$12:$DU$25,MATCH(DB232,'Resource use and costs'!$DS$12:$DS$25,0)),0))</f>
        <v>591.75</v>
      </c>
      <c r="DO232" s="921">
        <f>_xlfn.IFNA(INDEX('Resource use and costs'!$DY$12:$DY$25,MATCH(CZ232,'Resource use and costs'!$DS$12:$DS$25,0)),0)*_xlfn.IFNA(INDEX(DY$10:DY$23,MATCH($CZ232,$DX$10:$DX$23,0)),0)</f>
        <v>410.14183571428572</v>
      </c>
      <c r="DP232" s="921">
        <f>IF(dd_PartSA_2_lines = "Yes",0,_xlfn.IFNA(INDEX('Resource use and costs'!$DZ$12:$DZ$25,MATCH(DA232,'Resource use and costs'!$DS$12:$DS$25,0)),0)*_xlfn.IFNA(INDEX(EA$10:EA$23,MATCH($DA232,$DX$10:$DX$23,0)),0))</f>
        <v>74.50928571428571</v>
      </c>
      <c r="DQ232" s="921">
        <f>IF(dd_PartSA_2_lines = "Yes",0,_xlfn.IFNA(INDEX('Resource use and costs'!$EA$12:$EA$25,MATCH(DB232,'Resource use and costs'!$DS$12:$DS$25,0)),0)*_xlfn.IFNA(INDEX(EC$10:EC$23,MATCH($DB232,$DX$10:$DX$23,0)),0))</f>
        <v>230.68099999999998</v>
      </c>
      <c r="DR232" s="921">
        <f t="shared" si="184"/>
        <v>1307.0821214285713</v>
      </c>
      <c r="DS232" s="1004">
        <f ca="1">SUMIFS('Safety parameters'!$DM$6:$DM$18,'Safety parameters'!$DK$6:$DK$18,CZ232,'Safety parameters'!$DL$6:$DL$18,1)+IF(dd_PartSA_2_lines = "Yes",0,SUMIFS('Safety parameters'!$DM$6:$DM$18,'Safety parameters'!$DK$6:$DK$18,DA232,'Safety parameters'!$DL$6:$DL$18,2)+SUMIFS('Safety parameters'!$DM$6:$DM$18,'Safety parameters'!$DK$6:$DK$18,DB232,'Safety parameters'!$DL$6:$DL$18,2))</f>
        <v>2478.7123304734437</v>
      </c>
      <c r="DT232" s="910">
        <f ca="1">SUMIFS('Safety parameters'!$DO$6:$DO$18,'Safety parameters'!$DK$6:$DK$18,CZ232,'Safety parameters'!$DL$6:$DL$18,1)+IF(dd_PartSA_2_lines = "Yes",0,SUMIFS('Safety parameters'!$DO$6:$DO$18,'Safety parameters'!$DK$6:$DK$18,DA232,'Safety parameters'!$DL$6:$DL$18,2)+SUMIFS('Safety parameters'!$DO$6:$DO$18,'Safety parameters'!$DK$6:$DK$18,DB232,'Safety parameters'!$DL$6:$DL$18,2))</f>
        <v>-2.2454279199165771E-2</v>
      </c>
    </row>
    <row r="233" spans="89:124" ht="15" x14ac:dyDescent="0.2">
      <c r="CK233" s="505" t="s">
        <v>31</v>
      </c>
      <c r="CL233" s="505">
        <v>2</v>
      </c>
      <c r="CM233" s="61" t="str" cm="1">
        <f t="array" ref="CM233:CM246">List_comparators</f>
        <v>nivolumab_monotherapy</v>
      </c>
      <c r="CN233" s="17">
        <v>0</v>
      </c>
      <c r="CO233" s="61" t="str" cm="1">
        <f t="array" ref="CO233">INDEX(List_comparators,CP219+2)</f>
        <v>placebo_BSC</v>
      </c>
      <c r="CP233" s="17">
        <v>999</v>
      </c>
      <c r="CQ233" s="603">
        <f t="shared" ca="1" si="186"/>
        <v>0</v>
      </c>
      <c r="CR233" s="603">
        <f t="shared" ca="1" si="187"/>
        <v>0</v>
      </c>
      <c r="CS233" s="669">
        <f t="shared" ref="CS233:CS245" ca="1" si="190">OFFSET($J$81,IF(CN233=999,13,CN233),CP233)</f>
        <v>0</v>
      </c>
      <c r="CT233" s="669">
        <f t="shared" ca="1" si="188"/>
        <v>0</v>
      </c>
      <c r="CU233" s="1123">
        <f>MATCH(CZ233,'Resource use and costs'!$BA$11:$BA$53,0)</f>
        <v>21</v>
      </c>
      <c r="CV233" s="1223"/>
      <c r="CW233" s="1241">
        <f t="shared" si="182"/>
        <v>1</v>
      </c>
      <c r="CX233" s="899" t="s">
        <v>773</v>
      </c>
      <c r="CY233" s="899" t="s">
        <v>118</v>
      </c>
      <c r="CZ233" s="899" t="s">
        <v>585</v>
      </c>
      <c r="DA233" s="899" t="s">
        <v>119</v>
      </c>
      <c r="DB233" s="899" t="s">
        <v>765</v>
      </c>
      <c r="DC233" s="899" cm="1">
        <f t="array" aca="1" ref="DC233" ca="1">_xlfn.IFNA(OFFSET($I$49,MATCH(CY233,$I$50:$I$63,0),MATCH(CZ233,TRANSPOSE($J$49:$W$49),0)),0)</f>
        <v>0</v>
      </c>
      <c r="DD233" s="899" cm="1">
        <f t="array" aca="1" ref="DD233" ca="1">_xlfn.IFNA(OFFSET($Y$49,MATCH($CZ233,$Y$50:$Y$63,0),MATCH($DA233,TRANSPOSE($Z$49:$AM$49),0)),0)</f>
        <v>0</v>
      </c>
      <c r="DE233" s="899" cm="1">
        <f t="array" aca="1" ref="DE233" ca="1">_xlfn.IFNA(OFFSET($AO$49,MATCH($DA233,$AO$50:$AO$63,0),MATCH($DB233,TRANSPOSE($AP$49:$BC$49),0)),0)</f>
        <v>1</v>
      </c>
      <c r="DF233" s="881">
        <f t="shared" ca="1" si="179"/>
        <v>0</v>
      </c>
      <c r="DG233" s="910">
        <f t="shared" ca="1" si="180"/>
        <v>1.0010447133454794</v>
      </c>
      <c r="DH233" s="881">
        <f t="shared" ca="1" si="181"/>
        <v>0</v>
      </c>
      <c r="DI233" s="1460">
        <f t="shared" ca="1" si="177"/>
        <v>0</v>
      </c>
      <c r="DJ233" s="909">
        <f>_xlfn.IFNA(INDEX('Resource use and costs'!$CQ$11:$CQ$53,MATCH($CZ233,'Resource use and costs'!$BA$11:$BA$53,0)),0)*_xlfn.IFNA(INDEX(DY$10:DY$23,MATCH($CZ233,$DX$10:$DX$23,0)),0)</f>
        <v>4551.2486654444447</v>
      </c>
      <c r="DK233" s="909">
        <f>IF(dd_PartSA_2_lines = "Yes",0,_xlfn.IFNA(INDEX('Resource use and costs'!$CR$11:$CR$53,MATCH(DA233,'Resource use and costs'!$BA$11:$BA$53,0)),0)*_xlfn.IFNA(INDEX(EA$10:EA$23,MATCH($DA233,$DX$10:$DX$23,0)),0))</f>
        <v>848.17532499999982</v>
      </c>
      <c r="DL233" s="909">
        <f>IF(dd_PartSA_2_lines = "Yes",0,_xlfn.IFNA(INDEX('Resource use and costs'!$CS$11:$CS$53,MATCH(DB233,'Resource use and costs'!$BA$11:$BA$53,0)),0)*_xlfn.IFNA(INDEX(EC$10:EC$23,MATCH($DB233,$DX$10:$DX$23,0)),0))</f>
        <v>0</v>
      </c>
      <c r="DM233" s="909">
        <f t="shared" si="183"/>
        <v>5399.4239904444448</v>
      </c>
      <c r="DN233" s="909">
        <f>SUM(_xlfn.IFNA(INDEX('Resource use and costs'!$DU$12:$DU$25,MATCH(CZ233,'Resource use and costs'!$DS$12:$DS$25,0)),0),_xlfn.IFNA(INDEX('Resource use and costs'!$DU$12:$DU$25,MATCH(DA233,'Resource use and costs'!$DS$12:$DS$25,0)),0),_xlfn.IFNA(INDEX('Resource use and costs'!$DU$12:$DU$25,MATCH(DB233,'Resource use and costs'!$DS$12:$DS$25,0)),0))</f>
        <v>394.5</v>
      </c>
      <c r="DO233" s="921">
        <f>_xlfn.IFNA(INDEX('Resource use and costs'!$DY$12:$DY$25,MATCH(CZ233,'Resource use and costs'!$DS$12:$DS$25,0)),0)*_xlfn.IFNA(INDEX(DY$10:DY$23,MATCH($CZ233,$DX$10:$DX$23,0)),0)</f>
        <v>410.14183571428572</v>
      </c>
      <c r="DP233" s="921">
        <f>IF(dd_PartSA_2_lines = "Yes",0,_xlfn.IFNA(INDEX('Resource use and costs'!$DZ$12:$DZ$25,MATCH(DA233,'Resource use and costs'!$DS$12:$DS$25,0)),0)*_xlfn.IFNA(INDEX(EA$10:EA$23,MATCH($DA233,$DX$10:$DX$23,0)),0))</f>
        <v>74.50928571428571</v>
      </c>
      <c r="DQ233" s="921">
        <f>IF(dd_PartSA_2_lines = "Yes",0,_xlfn.IFNA(INDEX('Resource use and costs'!$EA$12:$EA$25,MATCH(DB233,'Resource use and costs'!$DS$12:$DS$25,0)),0)*_xlfn.IFNA(INDEX(EC$10:EC$23,MATCH($DB233,$DX$10:$DX$23,0)),0))</f>
        <v>0</v>
      </c>
      <c r="DR233" s="921">
        <f t="shared" si="184"/>
        <v>879.1511214285714</v>
      </c>
      <c r="DS233" s="1004">
        <f ca="1">SUMIFS('Safety parameters'!$DM$6:$DM$18,'Safety parameters'!$DK$6:$DK$18,CZ233,'Safety parameters'!$DL$6:$DL$18,1)+IF(dd_PartSA_2_lines = "Yes",0,SUMIFS('Safety parameters'!$DM$6:$DM$18,'Safety parameters'!$DK$6:$DK$18,DA233,'Safety parameters'!$DL$6:$DL$18,2)+SUMIFS('Safety parameters'!$DM$6:$DM$18,'Safety parameters'!$DK$6:$DK$18,DB233,'Safety parameters'!$DL$6:$DL$18,2))</f>
        <v>844.48365690798391</v>
      </c>
      <c r="DT233" s="910">
        <f ca="1">SUMIFS('Safety parameters'!$DO$6:$DO$18,'Safety parameters'!$DK$6:$DK$18,CZ233,'Safety parameters'!$DL$6:$DL$18,1)+IF(dd_PartSA_2_lines = "Yes",0,SUMIFS('Safety parameters'!$DO$6:$DO$18,'Safety parameters'!$DK$6:$DK$18,DA233,'Safety parameters'!$DL$6:$DL$18,2)+SUMIFS('Safety parameters'!$DO$6:$DO$18,'Safety parameters'!$DK$6:$DK$18,DB233,'Safety parameters'!$DL$6:$DL$18,2))</f>
        <v>-7.7123551916843426E-3</v>
      </c>
    </row>
    <row r="234" spans="89:124" ht="15" x14ac:dyDescent="0.2">
      <c r="CK234" s="61" t="s">
        <v>31</v>
      </c>
      <c r="CL234" s="61">
        <v>2</v>
      </c>
      <c r="CM234" s="61" t="str">
        <v>cabozantinib_plus_nivolumab</v>
      </c>
      <c r="CN234" s="17">
        <v>1</v>
      </c>
      <c r="CO234" s="61" t="str" cm="1">
        <f t="array" ref="CO234">INDEX(List_comparators,CP220+2)</f>
        <v>placebo_BSC</v>
      </c>
      <c r="CP234" s="17">
        <v>999</v>
      </c>
      <c r="CQ234" s="601">
        <f t="shared" ca="1" si="186"/>
        <v>0</v>
      </c>
      <c r="CR234" s="601">
        <f t="shared" ca="1" si="187"/>
        <v>0</v>
      </c>
      <c r="CS234" s="669">
        <f t="shared" ca="1" si="190"/>
        <v>0</v>
      </c>
      <c r="CT234" s="669">
        <f t="shared" ca="1" si="188"/>
        <v>0</v>
      </c>
      <c r="CU234" s="1123">
        <f>MATCH(CZ234,'Resource use and costs'!$BA$11:$BA$53,0)</f>
        <v>21</v>
      </c>
      <c r="CV234" s="1223"/>
      <c r="CW234" s="1241">
        <f t="shared" si="182"/>
        <v>1</v>
      </c>
      <c r="CX234" s="899" t="s">
        <v>773</v>
      </c>
      <c r="CY234" s="899" t="s">
        <v>118</v>
      </c>
      <c r="CZ234" s="899" t="s">
        <v>585</v>
      </c>
      <c r="DA234" s="899" t="s">
        <v>579</v>
      </c>
      <c r="DB234" s="899" t="s">
        <v>327</v>
      </c>
      <c r="DC234" s="899" cm="1">
        <f t="array" aca="1" ref="DC234" ca="1">_xlfn.IFNA(OFFSET($I$49,MATCH(CY234,$I$50:$I$63,0),MATCH(CZ234,TRANSPOSE($J$49:$W$49),0)),0)</f>
        <v>0</v>
      </c>
      <c r="DD234" s="899" cm="1">
        <f t="array" aca="1" ref="DD234" ca="1">_xlfn.IFNA(OFFSET($Y$49,MATCH($CZ234,$Y$50:$Y$63,0),MATCH($DA234,TRANSPOSE($Z$49:$AM$49),0)),0)</f>
        <v>0</v>
      </c>
      <c r="DE234" s="899" cm="1">
        <f t="array" aca="1" ref="DE234" ca="1">_xlfn.IFNA(OFFSET($AO$49,MATCH($DA234,$AO$50:$AO$63,0),MATCH($DB234,TRANSPOSE($AP$49:$BC$49),0)),0)</f>
        <v>0.56859999999999999</v>
      </c>
      <c r="DF234" s="881">
        <f t="shared" ca="1" si="179"/>
        <v>0</v>
      </c>
      <c r="DG234" s="910">
        <f t="shared" ca="1" si="180"/>
        <v>1.0010447133454794</v>
      </c>
      <c r="DH234" s="881">
        <f t="shared" ca="1" si="181"/>
        <v>0</v>
      </c>
      <c r="DI234" s="1460">
        <f t="shared" ca="1" si="177"/>
        <v>0</v>
      </c>
      <c r="DJ234" s="909">
        <f>_xlfn.IFNA(INDEX('Resource use and costs'!$CQ$11:$CQ$53,MATCH($CZ234,'Resource use and costs'!$BA$11:$BA$53,0)),0)*_xlfn.IFNA(INDEX(DY$10:DY$23,MATCH($CZ234,$DX$10:$DX$23,0)),0)</f>
        <v>4551.2486654444447</v>
      </c>
      <c r="DK234" s="909">
        <f>IF(dd_PartSA_2_lines = "Yes",0,_xlfn.IFNA(INDEX('Resource use and costs'!$CR$11:$CR$53,MATCH(DA234,'Resource use and costs'!$BA$11:$BA$53,0)),0)*_xlfn.IFNA(INDEX(EA$10:EA$23,MATCH($DA234,$DX$10:$DX$23,0)),0))</f>
        <v>26054.50921</v>
      </c>
      <c r="DL234" s="909">
        <f>IF(dd_PartSA_2_lines = "Yes",0,_xlfn.IFNA(INDEX('Resource use and costs'!$CS$11:$CS$53,MATCH(DB234,'Resource use and costs'!$BA$11:$BA$53,0)),0)*_xlfn.IFNA(INDEX(EC$10:EC$23,MATCH($DB234,$DX$10:$DX$23,0)),0))</f>
        <v>18438.751749999999</v>
      </c>
      <c r="DM234" s="909">
        <f t="shared" si="183"/>
        <v>49044.509625444443</v>
      </c>
      <c r="DN234" s="909">
        <f>SUM(_xlfn.IFNA(INDEX('Resource use and costs'!$DU$12:$DU$25,MATCH(CZ234,'Resource use and costs'!$DS$12:$DS$25,0)),0),_xlfn.IFNA(INDEX('Resource use and costs'!$DU$12:$DU$25,MATCH(DA234,'Resource use and costs'!$DS$12:$DS$25,0)),0),_xlfn.IFNA(INDEX('Resource use and costs'!$DU$12:$DU$25,MATCH(DB234,'Resource use and costs'!$DS$12:$DS$25,0)),0))</f>
        <v>394.5</v>
      </c>
      <c r="DO234" s="921">
        <f>_xlfn.IFNA(INDEX('Resource use and costs'!$DY$12:$DY$25,MATCH(CZ234,'Resource use and costs'!$DS$12:$DS$25,0)),0)*_xlfn.IFNA(INDEX(DY$10:DY$23,MATCH($CZ234,$DX$10:$DX$23,0)),0)</f>
        <v>410.14183571428572</v>
      </c>
      <c r="DP234" s="921">
        <f>IF(dd_PartSA_2_lines = "Yes",0,_xlfn.IFNA(INDEX('Resource use and costs'!$DZ$12:$DZ$25,MATCH(DA234,'Resource use and costs'!$DS$12:$DS$25,0)),0)*_xlfn.IFNA(INDEX(EA$10:EA$23,MATCH($DA234,$DX$10:$DX$23,0)),0))</f>
        <v>4108.3597166</v>
      </c>
      <c r="DQ234" s="921">
        <f>IF(dd_PartSA_2_lines = "Yes",0,_xlfn.IFNA(INDEX('Resource use and costs'!$EA$12:$EA$25,MATCH(DB234,'Resource use and costs'!$DS$12:$DS$25,0)),0)*_xlfn.IFNA(INDEX(EC$10:EC$23,MATCH($DB234,$DX$10:$DX$23,0)),0))</f>
        <v>230.68099999999998</v>
      </c>
      <c r="DR234" s="921">
        <f t="shared" si="184"/>
        <v>5143.6825523142852</v>
      </c>
      <c r="DS234" s="1004">
        <f ca="1">SUMIFS('Safety parameters'!$DM$6:$DM$18,'Safety parameters'!$DK$6:$DK$18,CZ234,'Safety parameters'!$DL$6:$DL$18,1)+IF(dd_PartSA_2_lines = "Yes",0,SUMIFS('Safety parameters'!$DM$6:$DM$18,'Safety parameters'!$DK$6:$DK$18,DA234,'Safety parameters'!$DL$6:$DL$18,2)+SUMIFS('Safety parameters'!$DM$6:$DM$18,'Safety parameters'!$DK$6:$DK$18,DB234,'Safety parameters'!$DL$6:$DL$18,2))</f>
        <v>2306.9706960885433</v>
      </c>
      <c r="DT234" s="910">
        <f ca="1">SUMIFS('Safety parameters'!$DO$6:$DO$18,'Safety parameters'!$DK$6:$DK$18,CZ234,'Safety parameters'!$DL$6:$DL$18,1)+IF(dd_PartSA_2_lines = "Yes",0,SUMIFS('Safety parameters'!$DO$6:$DO$18,'Safety parameters'!$DK$6:$DK$18,DA234,'Safety parameters'!$DL$6:$DL$18,2)+SUMIFS('Safety parameters'!$DO$6:$DO$18,'Safety parameters'!$DK$6:$DK$18,DB234,'Safety parameters'!$DL$6:$DL$18,2))</f>
        <v>-2.1383789860212839E-2</v>
      </c>
    </row>
    <row r="235" spans="89:124" ht="15" x14ac:dyDescent="0.2">
      <c r="CK235" s="61" t="s">
        <v>31</v>
      </c>
      <c r="CL235" s="61">
        <v>2</v>
      </c>
      <c r="CM235" s="61" t="str">
        <v>nivolumab_plus_ipilimumab</v>
      </c>
      <c r="CN235" s="17">
        <v>2</v>
      </c>
      <c r="CO235" s="61" t="str" cm="1">
        <f t="array" ref="CO235">INDEX(List_comparators,CP221+2)</f>
        <v>placebo_BSC</v>
      </c>
      <c r="CP235" s="17">
        <v>999</v>
      </c>
      <c r="CQ235" s="601">
        <f t="shared" ca="1" si="186"/>
        <v>0</v>
      </c>
      <c r="CR235" s="601">
        <f t="shared" ca="1" si="187"/>
        <v>0</v>
      </c>
      <c r="CS235" s="669">
        <f t="shared" ca="1" si="190"/>
        <v>0</v>
      </c>
      <c r="CT235" s="669">
        <f t="shared" ca="1" si="188"/>
        <v>0</v>
      </c>
      <c r="CU235" s="1123">
        <f>MATCH(CZ235,'Resource use and costs'!$BA$11:$BA$53,0)</f>
        <v>21</v>
      </c>
      <c r="CV235" s="1223"/>
      <c r="CW235" s="1241">
        <f t="shared" si="182"/>
        <v>1</v>
      </c>
      <c r="CX235" s="899" t="s">
        <v>773</v>
      </c>
      <c r="CY235" s="899" t="s">
        <v>118</v>
      </c>
      <c r="CZ235" s="899" t="s">
        <v>585</v>
      </c>
      <c r="DA235" s="899" t="s">
        <v>579</v>
      </c>
      <c r="DB235" s="899" t="s">
        <v>765</v>
      </c>
      <c r="DC235" s="899" cm="1">
        <f t="array" aca="1" ref="DC235" ca="1">_xlfn.IFNA(OFFSET($I$49,MATCH(CY235,$I$50:$I$63,0),MATCH(CZ235,TRANSPOSE($J$49:$W$49),0)),0)</f>
        <v>0</v>
      </c>
      <c r="DD235" s="899" cm="1">
        <f t="array" aca="1" ref="DD235" ca="1">_xlfn.IFNA(OFFSET($Y$49,MATCH($CZ235,$Y$50:$Y$63,0),MATCH($DA235,TRANSPOSE($Z$49:$AM$49),0)),0)</f>
        <v>0</v>
      </c>
      <c r="DE235" s="899" cm="1">
        <f t="array" aca="1" ref="DE235" ca="1">_xlfn.IFNA(OFFSET($AO$49,MATCH($DA235,$AO$50:$AO$63,0),MATCH($DB235,TRANSPOSE($AP$49:$BC$49),0)),0)</f>
        <v>0.43140000000000001</v>
      </c>
      <c r="DF235" s="881">
        <f t="shared" ca="1" si="179"/>
        <v>0</v>
      </c>
      <c r="DG235" s="910">
        <f t="shared" ca="1" si="180"/>
        <v>1.0010447133454794</v>
      </c>
      <c r="DH235" s="881">
        <f t="shared" ca="1" si="181"/>
        <v>0</v>
      </c>
      <c r="DI235" s="1460">
        <f t="shared" ca="1" si="177"/>
        <v>0</v>
      </c>
      <c r="DJ235" s="909">
        <f>_xlfn.IFNA(INDEX('Resource use and costs'!$CQ$11:$CQ$53,MATCH($CZ235,'Resource use and costs'!$BA$11:$BA$53,0)),0)*_xlfn.IFNA(INDEX(DY$10:DY$23,MATCH($CZ235,$DX$10:$DX$23,0)),0)</f>
        <v>4551.2486654444447</v>
      </c>
      <c r="DK235" s="909">
        <f>IF(dd_PartSA_2_lines = "Yes",0,_xlfn.IFNA(INDEX('Resource use and costs'!$CR$11:$CR$53,MATCH(DA235,'Resource use and costs'!$BA$11:$BA$53,0)),0)*_xlfn.IFNA(INDEX(EA$10:EA$23,MATCH($DA235,$DX$10:$DX$23,0)),0))</f>
        <v>26054.50921</v>
      </c>
      <c r="DL235" s="909">
        <f>IF(dd_PartSA_2_lines = "Yes",0,_xlfn.IFNA(INDEX('Resource use and costs'!$CS$11:$CS$53,MATCH(DB235,'Resource use and costs'!$BA$11:$BA$53,0)),0)*_xlfn.IFNA(INDEX(EC$10:EC$23,MATCH($DB235,$DX$10:$DX$23,0)),0))</f>
        <v>0</v>
      </c>
      <c r="DM235" s="909">
        <f t="shared" si="183"/>
        <v>30605.757875444444</v>
      </c>
      <c r="DN235" s="909">
        <f>SUM(_xlfn.IFNA(INDEX('Resource use and costs'!$DU$12:$DU$25,MATCH(CZ235,'Resource use and costs'!$DS$12:$DS$25,0)),0),_xlfn.IFNA(INDEX('Resource use and costs'!$DU$12:$DU$25,MATCH(DA235,'Resource use and costs'!$DS$12:$DS$25,0)),0),_xlfn.IFNA(INDEX('Resource use and costs'!$DU$12:$DU$25,MATCH(DB235,'Resource use and costs'!$DS$12:$DS$25,0)),0))</f>
        <v>197.25</v>
      </c>
      <c r="DO235" s="921">
        <f>_xlfn.IFNA(INDEX('Resource use and costs'!$DY$12:$DY$25,MATCH(CZ235,'Resource use and costs'!$DS$12:$DS$25,0)),0)*_xlfn.IFNA(INDEX(DY$10:DY$23,MATCH($CZ235,$DX$10:$DX$23,0)),0)</f>
        <v>410.14183571428572</v>
      </c>
      <c r="DP235" s="921">
        <f>IF(dd_PartSA_2_lines = "Yes",0,_xlfn.IFNA(INDEX('Resource use and costs'!$DZ$12:$DZ$25,MATCH(DA235,'Resource use and costs'!$DS$12:$DS$25,0)),0)*_xlfn.IFNA(INDEX(EA$10:EA$23,MATCH($DA235,$DX$10:$DX$23,0)),0))</f>
        <v>4108.3597166</v>
      </c>
      <c r="DQ235" s="921">
        <f>IF(dd_PartSA_2_lines = "Yes",0,_xlfn.IFNA(INDEX('Resource use and costs'!$EA$12:$EA$25,MATCH(DB235,'Resource use and costs'!$DS$12:$DS$25,0)),0)*_xlfn.IFNA(INDEX(EC$10:EC$23,MATCH($DB235,$DX$10:$DX$23,0)),0))</f>
        <v>0</v>
      </c>
      <c r="DR235" s="921">
        <f t="shared" si="184"/>
        <v>4715.7515523142856</v>
      </c>
      <c r="DS235" s="1004">
        <f ca="1">SUMIFS('Safety parameters'!$DM$6:$DM$18,'Safety parameters'!$DK$6:$DK$18,CZ235,'Safety parameters'!$DL$6:$DL$18,1)+IF(dd_PartSA_2_lines = "Yes",0,SUMIFS('Safety parameters'!$DM$6:$DM$18,'Safety parameters'!$DK$6:$DK$18,DA235,'Safety parameters'!$DL$6:$DL$18,2)+SUMIFS('Safety parameters'!$DM$6:$DM$18,'Safety parameters'!$DK$6:$DK$18,DB235,'Safety parameters'!$DL$6:$DL$18,2))</f>
        <v>672.74202252308351</v>
      </c>
      <c r="DT235" s="910">
        <f ca="1">SUMIFS('Safety parameters'!$DO$6:$DO$18,'Safety parameters'!$DK$6:$DK$18,CZ235,'Safety parameters'!$DL$6:$DL$18,1)+IF(dd_PartSA_2_lines = "Yes",0,SUMIFS('Safety parameters'!$DO$6:$DO$18,'Safety parameters'!$DK$6:$DK$18,DA235,'Safety parameters'!$DL$6:$DL$18,2)+SUMIFS('Safety parameters'!$DO$6:$DO$18,'Safety parameters'!$DK$6:$DK$18,DB235,'Safety parameters'!$DL$6:$DL$18,2))</f>
        <v>-6.6418658527314101E-3</v>
      </c>
    </row>
    <row r="236" spans="89:124" ht="15" x14ac:dyDescent="0.2">
      <c r="CK236" s="61" t="s">
        <v>31</v>
      </c>
      <c r="CL236" s="61">
        <v>2</v>
      </c>
      <c r="CM236" s="61" t="str">
        <v>lenvatinib_plus_pembrolizumab</v>
      </c>
      <c r="CN236" s="17">
        <v>3</v>
      </c>
      <c r="CO236" s="61" t="str" cm="1">
        <f t="array" ref="CO236">INDEX(List_comparators,CP222+2)</f>
        <v>placebo_BSC</v>
      </c>
      <c r="CP236" s="17">
        <v>999</v>
      </c>
      <c r="CQ236" s="601">
        <f t="shared" ca="1" si="186"/>
        <v>0</v>
      </c>
      <c r="CR236" s="601">
        <f t="shared" ca="1" si="187"/>
        <v>0</v>
      </c>
      <c r="CS236" s="669">
        <f t="shared" ca="1" si="190"/>
        <v>0</v>
      </c>
      <c r="CT236" s="669">
        <f t="shared" ca="1" si="188"/>
        <v>0</v>
      </c>
      <c r="CU236" s="1123">
        <f>MATCH(CZ236,'Resource use and costs'!$BA$11:$BA$53,0)</f>
        <v>21</v>
      </c>
      <c r="CV236" s="1223"/>
      <c r="CW236" s="1241">
        <f t="shared" si="182"/>
        <v>1</v>
      </c>
      <c r="CX236" s="899" t="s">
        <v>773</v>
      </c>
      <c r="CY236" s="899" t="s">
        <v>118</v>
      </c>
      <c r="CZ236" s="899" t="s">
        <v>585</v>
      </c>
      <c r="DA236" s="899" t="s">
        <v>579</v>
      </c>
      <c r="DB236" s="899" t="s">
        <v>119</v>
      </c>
      <c r="DC236" s="899" cm="1">
        <f t="array" aca="1" ref="DC236" ca="1">_xlfn.IFNA(OFFSET($I$49,MATCH(CY236,$I$50:$I$63,0),MATCH(CZ236,TRANSPOSE($J$49:$W$49),0)),0)</f>
        <v>0</v>
      </c>
      <c r="DD236" s="899" cm="1">
        <f t="array" aca="1" ref="DD236" ca="1">_xlfn.IFNA(OFFSET($Y$49,MATCH($CZ236,$Y$50:$Y$63,0),MATCH($DA236,TRANSPOSE($Z$49:$AM$49),0)),0)</f>
        <v>0</v>
      </c>
      <c r="DE236" s="899" cm="1">
        <f t="array" aca="1" ref="DE236" ca="1">_xlfn.IFNA(OFFSET($AO$49,MATCH($DA236,$AO$50:$AO$63,0),MATCH($DB236,TRANSPOSE($AP$49:$BC$49),0)),0)</f>
        <v>0</v>
      </c>
      <c r="DF236" s="881">
        <f t="shared" ca="1" si="179"/>
        <v>0</v>
      </c>
      <c r="DG236" s="910">
        <f t="shared" ca="1" si="180"/>
        <v>1.0010447133454794</v>
      </c>
      <c r="DH236" s="881">
        <f t="shared" ca="1" si="181"/>
        <v>0</v>
      </c>
      <c r="DI236" s="1460">
        <f t="shared" ca="1" si="177"/>
        <v>0</v>
      </c>
      <c r="DJ236" s="909">
        <f>_xlfn.IFNA(INDEX('Resource use and costs'!$CQ$11:$CQ$53,MATCH($CZ236,'Resource use and costs'!$BA$11:$BA$53,0)),0)*_xlfn.IFNA(INDEX(DY$10:DY$23,MATCH($CZ236,$DX$10:$DX$23,0)),0)</f>
        <v>4551.2486654444447</v>
      </c>
      <c r="DK236" s="909">
        <f>IF(dd_PartSA_2_lines = "Yes",0,_xlfn.IFNA(INDEX('Resource use and costs'!$CR$11:$CR$53,MATCH(DA236,'Resource use and costs'!$BA$11:$BA$53,0)),0)*_xlfn.IFNA(INDEX(EA$10:EA$23,MATCH($DA236,$DX$10:$DX$23,0)),0))</f>
        <v>26054.50921</v>
      </c>
      <c r="DL236" s="909">
        <f>IF(dd_PartSA_2_lines = "Yes",0,_xlfn.IFNA(INDEX('Resource use and costs'!$CS$11:$CS$53,MATCH(DB236,'Resource use and costs'!$BA$11:$BA$53,0)),0)*_xlfn.IFNA(INDEX(EC$10:EC$23,MATCH($DB236,$DX$10:$DX$23,0)),0))</f>
        <v>2915.4763433333328</v>
      </c>
      <c r="DM236" s="909">
        <f t="shared" si="183"/>
        <v>33521.234218777776</v>
      </c>
      <c r="DN236" s="909">
        <f>SUM(_xlfn.IFNA(INDEX('Resource use and costs'!$DU$12:$DU$25,MATCH(CZ236,'Resource use and costs'!$DS$12:$DS$25,0)),0),_xlfn.IFNA(INDEX('Resource use and costs'!$DU$12:$DU$25,MATCH(DA236,'Resource use and costs'!$DS$12:$DS$25,0)),0),_xlfn.IFNA(INDEX('Resource use and costs'!$DU$12:$DU$25,MATCH(DB236,'Resource use and costs'!$DS$12:$DS$25,0)),0))</f>
        <v>394.5</v>
      </c>
      <c r="DO236" s="921">
        <f>_xlfn.IFNA(INDEX('Resource use and costs'!$DY$12:$DY$25,MATCH(CZ236,'Resource use and costs'!$DS$12:$DS$25,0)),0)*_xlfn.IFNA(INDEX(DY$10:DY$23,MATCH($CZ236,$DX$10:$DX$23,0)),0)</f>
        <v>410.14183571428572</v>
      </c>
      <c r="DP236" s="921">
        <f>IF(dd_PartSA_2_lines = "Yes",0,_xlfn.IFNA(INDEX('Resource use and costs'!$DZ$12:$DZ$25,MATCH(DA236,'Resource use and costs'!$DS$12:$DS$25,0)),0)*_xlfn.IFNA(INDEX(EA$10:EA$23,MATCH($DA236,$DX$10:$DX$23,0)),0))</f>
        <v>4108.3597166</v>
      </c>
      <c r="DQ236" s="921">
        <f>IF(dd_PartSA_2_lines = "Yes",0,_xlfn.IFNA(INDEX('Resource use and costs'!$EA$12:$EA$25,MATCH(DB236,'Resource use and costs'!$DS$12:$DS$25,0)),0)*_xlfn.IFNA(INDEX(EC$10:EC$23,MATCH($DB236,$DX$10:$DX$23,0)),0))</f>
        <v>256.11457142857142</v>
      </c>
      <c r="DR236" s="921">
        <f t="shared" si="184"/>
        <v>5169.1161237428569</v>
      </c>
      <c r="DS236" s="1004">
        <f ca="1">SUMIFS('Safety parameters'!$DM$6:$DM$18,'Safety parameters'!$DK$6:$DK$18,CZ236,'Safety parameters'!$DL$6:$DL$18,1)+IF(dd_PartSA_2_lines = "Yes",0,SUMIFS('Safety parameters'!$DM$6:$DM$18,'Safety parameters'!$DK$6:$DK$18,DA236,'Safety parameters'!$DL$6:$DL$18,2)+SUMIFS('Safety parameters'!$DM$6:$DM$18,'Safety parameters'!$DK$6:$DK$18,DB236,'Safety parameters'!$DL$6:$DL$18,2))</f>
        <v>1005.6174058983984</v>
      </c>
      <c r="DT236" s="910">
        <f ca="1">SUMIFS('Safety parameters'!$DO$6:$DO$18,'Safety parameters'!$DK$6:$DK$18,CZ236,'Safety parameters'!$DL$6:$DL$18,1)+IF(dd_PartSA_2_lines = "Yes",0,SUMIFS('Safety parameters'!$DO$6:$DO$18,'Safety parameters'!$DK$6:$DK$18,DA236,'Safety parameters'!$DL$6:$DL$18,2)+SUMIFS('Safety parameters'!$DO$6:$DO$18,'Safety parameters'!$DK$6:$DK$18,DB236,'Safety parameters'!$DL$6:$DL$18,2))</f>
        <v>-9.3094393893691299E-3</v>
      </c>
    </row>
    <row r="237" spans="89:124" ht="15" x14ac:dyDescent="0.2">
      <c r="CK237" s="61" t="s">
        <v>31</v>
      </c>
      <c r="CL237" s="61">
        <v>2</v>
      </c>
      <c r="CM237" s="61" t="str">
        <v>avelumab_plus_axitinib</v>
      </c>
      <c r="CN237" s="17">
        <v>4</v>
      </c>
      <c r="CO237" s="61" t="str" cm="1">
        <f t="array" ref="CO237">INDEX(List_comparators,CP223+2)</f>
        <v>placebo_BSC</v>
      </c>
      <c r="CP237" s="17">
        <v>999</v>
      </c>
      <c r="CQ237" s="601">
        <f t="shared" ca="1" si="186"/>
        <v>0</v>
      </c>
      <c r="CR237" s="601">
        <f t="shared" ca="1" si="187"/>
        <v>0</v>
      </c>
      <c r="CS237" s="669">
        <f t="shared" ca="1" si="190"/>
        <v>0</v>
      </c>
      <c r="CT237" s="669">
        <f t="shared" ca="1" si="188"/>
        <v>0</v>
      </c>
      <c r="CU237" s="1123">
        <f>MATCH(CZ237,'Resource use and costs'!$BA$11:$BA$53,0)</f>
        <v>27</v>
      </c>
      <c r="CV237" s="1223"/>
      <c r="CW237" s="1241">
        <f t="shared" si="182"/>
        <v>1</v>
      </c>
      <c r="CX237" s="899" t="s">
        <v>773</v>
      </c>
      <c r="CY237" s="899" t="s">
        <v>118</v>
      </c>
      <c r="CZ237" s="899" t="s">
        <v>117</v>
      </c>
      <c r="DA237" s="899" t="s">
        <v>327</v>
      </c>
      <c r="DB237" s="899" t="s">
        <v>765</v>
      </c>
      <c r="DC237" s="899" cm="1">
        <f t="array" aca="1" ref="DC237" ca="1">_xlfn.IFNA(OFFSET($I$49,MATCH(CY237,$I$50:$I$63,0),MATCH(CZ237,TRANSPOSE($J$49:$W$49),0)),0)</f>
        <v>1.4897774790919952E-2</v>
      </c>
      <c r="DD237" s="899" cm="1">
        <f t="array" aca="1" ref="DD237" ca="1">_xlfn.IFNA(OFFSET($Y$49,MATCH($CZ237,$Y$50:$Y$63,0),MATCH($DA237,TRANSPOSE($Z$49:$AM$49),0)),0)</f>
        <v>0</v>
      </c>
      <c r="DE237" s="899" cm="1">
        <f t="array" aca="1" ref="DE237" ca="1">_xlfn.IFNA(OFFSET($AO$49,MATCH($DA237,$AO$50:$AO$63,0),MATCH($DB237,TRANSPOSE($AP$49:$BC$49),0)),0)</f>
        <v>0.43140000000000001</v>
      </c>
      <c r="DF237" s="881">
        <f t="shared" ca="1" si="179"/>
        <v>0</v>
      </c>
      <c r="DG237" s="910">
        <f t="shared" ca="1" si="180"/>
        <v>1.0010447133454794</v>
      </c>
      <c r="DH237" s="881">
        <f t="shared" ca="1" si="181"/>
        <v>0</v>
      </c>
      <c r="DI237" s="1460">
        <f t="shared" ca="1" si="177"/>
        <v>0</v>
      </c>
      <c r="DJ237" s="909">
        <f>_xlfn.IFNA(INDEX('Resource use and costs'!$CQ$11:$CQ$53,MATCH($CZ237,'Resource use and costs'!$BA$11:$BA$53,0)),0)*_xlfn.IFNA(INDEX(DY$10:DY$23,MATCH($CZ237,$DX$10:$DX$23,0)),0)</f>
        <v>2860.9927072190476</v>
      </c>
      <c r="DK237" s="909">
        <f>IF(dd_PartSA_2_lines = "Yes",0,_xlfn.IFNA(INDEX('Resource use and costs'!$CR$11:$CR$53,MATCH(DA237,'Resource use and costs'!$BA$11:$BA$53,0)),0)*_xlfn.IFNA(INDEX(EA$10:EA$23,MATCH($DA237,$DX$10:$DX$23,0)),0))</f>
        <v>21421.066008214286</v>
      </c>
      <c r="DL237" s="909">
        <f>IF(dd_PartSA_2_lines = "Yes",0,_xlfn.IFNA(INDEX('Resource use and costs'!$CS$11:$CS$53,MATCH(DB237,'Resource use and costs'!$BA$11:$BA$53,0)),0)*_xlfn.IFNA(INDEX(EC$10:EC$23,MATCH($DB237,$DX$10:$DX$23,0)),0))</f>
        <v>0</v>
      </c>
      <c r="DM237" s="909">
        <f t="shared" si="183"/>
        <v>24282.058715433333</v>
      </c>
      <c r="DN237" s="909">
        <f>SUM(_xlfn.IFNA(INDEX('Resource use and costs'!$DU$12:$DU$25,MATCH(CZ237,'Resource use and costs'!$DS$12:$DS$25,0)),0),_xlfn.IFNA(INDEX('Resource use and costs'!$DU$12:$DU$25,MATCH(DA237,'Resource use and costs'!$DS$12:$DS$25,0)),0),_xlfn.IFNA(INDEX('Resource use and costs'!$DU$12:$DU$25,MATCH(DB237,'Resource use and costs'!$DS$12:$DS$25,0)),0))</f>
        <v>394.5</v>
      </c>
      <c r="DO237" s="921">
        <f>_xlfn.IFNA(INDEX('Resource use and costs'!$DY$12:$DY$25,MATCH(CZ237,'Resource use and costs'!$DS$12:$DS$25,0)),0)*_xlfn.IFNA(INDEX(DY$10:DY$23,MATCH($CZ237,$DX$10:$DX$23,0)),0)</f>
        <v>405.17019714285709</v>
      </c>
      <c r="DP237" s="921">
        <f>IF(dd_PartSA_2_lines = "Yes",0,_xlfn.IFNA(INDEX('Resource use and costs'!$DZ$12:$DZ$25,MATCH(DA237,'Resource use and costs'!$DS$12:$DS$25,0)),0)*_xlfn.IFNA(INDEX(EA$10:EA$23,MATCH($DA237,$DX$10:$DX$23,0)),0))</f>
        <v>267.99172714285714</v>
      </c>
      <c r="DQ237" s="921">
        <f>IF(dd_PartSA_2_lines = "Yes",0,_xlfn.IFNA(INDEX('Resource use and costs'!$EA$12:$EA$25,MATCH(DB237,'Resource use and costs'!$DS$12:$DS$25,0)),0)*_xlfn.IFNA(INDEX(EC$10:EC$23,MATCH($DB237,$DX$10:$DX$23,0)),0))</f>
        <v>0</v>
      </c>
      <c r="DR237" s="921">
        <f t="shared" si="184"/>
        <v>1067.6619242857141</v>
      </c>
      <c r="DS237" s="1004">
        <f ca="1">SUMIFS('Safety parameters'!$DM$6:$DM$18,'Safety parameters'!$DK$6:$DK$18,CZ237,'Safety parameters'!$DL$6:$DL$18,1)+IF(dd_PartSA_2_lines = "Yes",0,SUMIFS('Safety parameters'!$DM$6:$DM$18,'Safety parameters'!$DK$6:$DK$18,DA237,'Safety parameters'!$DL$6:$DL$18,2)+SUMIFS('Safety parameters'!$DM$6:$DM$18,'Safety parameters'!$DK$6:$DK$18,DB237,'Safety parameters'!$DL$6:$DL$18,2))</f>
        <v>2238.0420485654599</v>
      </c>
      <c r="DT237" s="910">
        <f ca="1">SUMIFS('Safety parameters'!$DO$6:$DO$18,'Safety parameters'!$DK$6:$DK$18,CZ237,'Safety parameters'!$DL$6:$DL$18,1)+IF(dd_PartSA_2_lines = "Yes",0,SUMIFS('Safety parameters'!$DO$6:$DO$18,'Safety parameters'!$DK$6:$DK$18,DA237,'Safety parameters'!$DL$6:$DL$18,2)+SUMIFS('Safety parameters'!$DO$6:$DO$18,'Safety parameters'!$DK$6:$DK$18,DB237,'Safety parameters'!$DL$6:$DL$18,2))</f>
        <v>-2.0168002036228861E-2</v>
      </c>
    </row>
    <row r="238" spans="89:124" ht="15" x14ac:dyDescent="0.2">
      <c r="CK238" s="61" t="s">
        <v>31</v>
      </c>
      <c r="CL238" s="61">
        <v>2</v>
      </c>
      <c r="CM238" s="61" t="str">
        <v>pazopanib</v>
      </c>
      <c r="CN238" s="17">
        <v>5</v>
      </c>
      <c r="CO238" s="61" t="str" cm="1">
        <f t="array" ref="CO238">INDEX(List_comparators,CP224+2)</f>
        <v>placebo_BSC</v>
      </c>
      <c r="CP238" s="17">
        <v>999</v>
      </c>
      <c r="CQ238" s="601">
        <f t="shared" ca="1" si="186"/>
        <v>0</v>
      </c>
      <c r="CR238" s="601">
        <f t="shared" ca="1" si="187"/>
        <v>0</v>
      </c>
      <c r="CS238" s="669">
        <f t="shared" ca="1" si="190"/>
        <v>0</v>
      </c>
      <c r="CT238" s="669">
        <f t="shared" ca="1" si="188"/>
        <v>0</v>
      </c>
      <c r="CU238" s="1123">
        <f>MATCH(CZ238,'Resource use and costs'!$BA$11:$BA$53,0)</f>
        <v>27</v>
      </c>
      <c r="CV238" s="1223"/>
      <c r="CW238" s="1241">
        <f t="shared" si="182"/>
        <v>1</v>
      </c>
      <c r="CX238" s="899" t="s">
        <v>773</v>
      </c>
      <c r="CY238" s="899" t="s">
        <v>118</v>
      </c>
      <c r="CZ238" s="899" t="s">
        <v>117</v>
      </c>
      <c r="DA238" s="899" t="s">
        <v>327</v>
      </c>
      <c r="DB238" s="899" t="s">
        <v>119</v>
      </c>
      <c r="DC238" s="899" cm="1">
        <f t="array" aca="1" ref="DC238" ca="1">_xlfn.IFNA(OFFSET($I$49,MATCH(CY238,$I$50:$I$63,0),MATCH(CZ238,TRANSPOSE($J$49:$W$49),0)),0)</f>
        <v>1.4897774790919952E-2</v>
      </c>
      <c r="DD238" s="899" cm="1">
        <f t="array" aca="1" ref="DD238" ca="1">_xlfn.IFNA(OFFSET($Y$49,MATCH($CZ238,$Y$50:$Y$63,0),MATCH($DA238,TRANSPOSE($Z$49:$AM$49),0)),0)</f>
        <v>0</v>
      </c>
      <c r="DE238" s="899" cm="1">
        <f t="array" aca="1" ref="DE238" ca="1">_xlfn.IFNA(OFFSET($AO$49,MATCH($DA238,$AO$50:$AO$63,0),MATCH($DB238,TRANSPOSE($AP$49:$BC$49),0)),0)</f>
        <v>0.56859999999999999</v>
      </c>
      <c r="DF238" s="881">
        <f t="shared" ca="1" si="179"/>
        <v>0</v>
      </c>
      <c r="DG238" s="910">
        <f t="shared" ca="1" si="180"/>
        <v>1.0010447133454794</v>
      </c>
      <c r="DH238" s="881">
        <f t="shared" ca="1" si="181"/>
        <v>0</v>
      </c>
      <c r="DI238" s="1460">
        <f t="shared" ca="1" si="177"/>
        <v>0</v>
      </c>
      <c r="DJ238" s="909">
        <f>_xlfn.IFNA(INDEX('Resource use and costs'!$CQ$11:$CQ$53,MATCH($CZ238,'Resource use and costs'!$BA$11:$BA$53,0)),0)*_xlfn.IFNA(INDEX(DY$10:DY$23,MATCH($CZ238,$DX$10:$DX$23,0)),0)</f>
        <v>2860.9927072190476</v>
      </c>
      <c r="DK238" s="909">
        <f>IF(dd_PartSA_2_lines = "Yes",0,_xlfn.IFNA(INDEX('Resource use and costs'!$CR$11:$CR$53,MATCH(DA238,'Resource use and costs'!$BA$11:$BA$53,0)),0)*_xlfn.IFNA(INDEX(EA$10:EA$23,MATCH($DA238,$DX$10:$DX$23,0)),0))</f>
        <v>21421.066008214286</v>
      </c>
      <c r="DL238" s="909">
        <f>IF(dd_PartSA_2_lines = "Yes",0,_xlfn.IFNA(INDEX('Resource use and costs'!$CS$11:$CS$53,MATCH(DB238,'Resource use and costs'!$BA$11:$BA$53,0)),0)*_xlfn.IFNA(INDEX(EC$10:EC$23,MATCH($DB238,$DX$10:$DX$23,0)),0))</f>
        <v>2915.4763433333328</v>
      </c>
      <c r="DM238" s="909">
        <f t="shared" si="183"/>
        <v>27197.535058766665</v>
      </c>
      <c r="DN238" s="909">
        <f>SUM(_xlfn.IFNA(INDEX('Resource use and costs'!$DU$12:$DU$25,MATCH(CZ238,'Resource use and costs'!$DS$12:$DS$25,0)),0),_xlfn.IFNA(INDEX('Resource use and costs'!$DU$12:$DU$25,MATCH(DA238,'Resource use and costs'!$DS$12:$DS$25,0)),0),_xlfn.IFNA(INDEX('Resource use and costs'!$DU$12:$DU$25,MATCH(DB238,'Resource use and costs'!$DS$12:$DS$25,0)),0))</f>
        <v>591.75</v>
      </c>
      <c r="DO238" s="921">
        <f>_xlfn.IFNA(INDEX('Resource use and costs'!$DY$12:$DY$25,MATCH(CZ238,'Resource use and costs'!$DS$12:$DS$25,0)),0)*_xlfn.IFNA(INDEX(DY$10:DY$23,MATCH($CZ238,$DX$10:$DX$23,0)),0)</f>
        <v>405.17019714285709</v>
      </c>
      <c r="DP238" s="921">
        <f>IF(dd_PartSA_2_lines = "Yes",0,_xlfn.IFNA(INDEX('Resource use and costs'!$DZ$12:$DZ$25,MATCH(DA238,'Resource use and costs'!$DS$12:$DS$25,0)),0)*_xlfn.IFNA(INDEX(EA$10:EA$23,MATCH($DA238,$DX$10:$DX$23,0)),0))</f>
        <v>267.99172714285714</v>
      </c>
      <c r="DQ238" s="921">
        <f>IF(dd_PartSA_2_lines = "Yes",0,_xlfn.IFNA(INDEX('Resource use and costs'!$EA$12:$EA$25,MATCH(DB238,'Resource use and costs'!$DS$12:$DS$25,0)),0)*_xlfn.IFNA(INDEX(EC$10:EC$23,MATCH($DB238,$DX$10:$DX$23,0)),0))</f>
        <v>256.11457142857142</v>
      </c>
      <c r="DR238" s="921">
        <f t="shared" si="184"/>
        <v>1521.0264957142856</v>
      </c>
      <c r="DS238" s="1004">
        <f ca="1">SUMIFS('Safety parameters'!$DM$6:$DM$18,'Safety parameters'!$DK$6:$DK$18,CZ238,'Safety parameters'!$DL$6:$DL$18,1)+IF(dd_PartSA_2_lines = "Yes",0,SUMIFS('Safety parameters'!$DM$6:$DM$18,'Safety parameters'!$DK$6:$DK$18,DA238,'Safety parameters'!$DL$6:$DL$18,2)+SUMIFS('Safety parameters'!$DM$6:$DM$18,'Safety parameters'!$DK$6:$DK$18,DB238,'Safety parameters'!$DL$6:$DL$18,2))</f>
        <v>2570.9174319407748</v>
      </c>
      <c r="DT238" s="910">
        <f ca="1">SUMIFS('Safety parameters'!$DO$6:$DO$18,'Safety parameters'!$DK$6:$DK$18,CZ238,'Safety parameters'!$DL$6:$DL$18,1)+IF(dd_PartSA_2_lines = "Yes",0,SUMIFS('Safety parameters'!$DO$6:$DO$18,'Safety parameters'!$DK$6:$DK$18,DA238,'Safety parameters'!$DL$6:$DL$18,2)+SUMIFS('Safety parameters'!$DO$6:$DO$18,'Safety parameters'!$DK$6:$DK$18,DB238,'Safety parameters'!$DL$6:$DL$18,2))</f>
        <v>-2.2835575572866581E-2</v>
      </c>
    </row>
    <row r="239" spans="89:124" ht="15" x14ac:dyDescent="0.2">
      <c r="CK239" s="61" t="s">
        <v>31</v>
      </c>
      <c r="CL239" s="61">
        <v>2</v>
      </c>
      <c r="CM239" s="61" t="str">
        <v>tivozanib</v>
      </c>
      <c r="CN239" s="17">
        <v>6</v>
      </c>
      <c r="CO239" s="61" t="str" cm="1">
        <f t="array" ref="CO239">INDEX(List_comparators,CP225+2)</f>
        <v>placebo_BSC</v>
      </c>
      <c r="CP239" s="17">
        <v>999</v>
      </c>
      <c r="CQ239" s="601">
        <f t="shared" ca="1" si="186"/>
        <v>0</v>
      </c>
      <c r="CR239" s="601">
        <f t="shared" ca="1" si="187"/>
        <v>0</v>
      </c>
      <c r="CS239" s="669">
        <f t="shared" ca="1" si="190"/>
        <v>0</v>
      </c>
      <c r="CT239" s="669">
        <f t="shared" ca="1" si="188"/>
        <v>0</v>
      </c>
      <c r="CU239" s="1123">
        <f>MATCH(CZ239,'Resource use and costs'!$BA$11:$BA$53,0)</f>
        <v>27</v>
      </c>
      <c r="CV239" s="1223"/>
      <c r="CW239" s="1241">
        <f t="shared" si="182"/>
        <v>1</v>
      </c>
      <c r="CX239" s="899" t="s">
        <v>773</v>
      </c>
      <c r="CY239" s="899" t="s">
        <v>118</v>
      </c>
      <c r="CZ239" s="899" t="s">
        <v>117</v>
      </c>
      <c r="DA239" s="899" t="s">
        <v>765</v>
      </c>
      <c r="DB239" s="899"/>
      <c r="DC239" s="899" cm="1">
        <f t="array" aca="1" ref="DC239" ca="1">_xlfn.IFNA(OFFSET($I$49,MATCH(CY239,$I$50:$I$63,0),MATCH(CZ239,TRANSPOSE($J$49:$W$49),0)),0)</f>
        <v>1.4897774790919952E-2</v>
      </c>
      <c r="DD239" s="899" cm="1">
        <f t="array" aca="1" ref="DD239" ca="1">_xlfn.IFNA(OFFSET($Y$49,MATCH($CZ239,$Y$50:$Y$63,0),MATCH($DA239,TRANSPOSE($Z$49:$AM$49),0)),0)</f>
        <v>0.34300000000000003</v>
      </c>
      <c r="DE239" s="899" cm="1">
        <f t="array" aca="1" ref="DE239" ca="1">_xlfn.IFNA(OFFSET($AO$49,MATCH($DA239,$AO$50:$AO$63,0),MATCH($DB239,TRANSPOSE($AP$49:$BC$49),0)),0)</f>
        <v>0</v>
      </c>
      <c r="DF239" s="881">
        <f t="shared" ca="1" si="179"/>
        <v>5.109936753285544E-3</v>
      </c>
      <c r="DG239" s="910">
        <f t="shared" ca="1" si="180"/>
        <v>1.0010447133454794</v>
      </c>
      <c r="DH239" s="881">
        <f t="shared" ca="1" si="181"/>
        <v>5.1152751724062567E-3</v>
      </c>
      <c r="DI239" s="1460">
        <f t="shared" ca="1" si="177"/>
        <v>0.58314136965431329</v>
      </c>
      <c r="DJ239" s="909">
        <f>_xlfn.IFNA(INDEX('Resource use and costs'!$CQ$11:$CQ$53,MATCH($CZ239,'Resource use and costs'!$BA$11:$BA$53,0)),0)*_xlfn.IFNA(INDEX(DY$10:DY$23,MATCH($CZ239,$DX$10:$DX$23,0)),0)</f>
        <v>2860.9927072190476</v>
      </c>
      <c r="DK239" s="909">
        <f>IF(dd_PartSA_2_lines = "Yes",0,_xlfn.IFNA(INDEX('Resource use and costs'!$CR$11:$CR$53,MATCH(DA239,'Resource use and costs'!$BA$11:$BA$53,0)),0)*_xlfn.IFNA(INDEX(EA$10:EA$23,MATCH($DA239,$DX$10:$DX$23,0)),0))</f>
        <v>0</v>
      </c>
      <c r="DL239" s="909">
        <f>IF(dd_PartSA_2_lines = "Yes",0,_xlfn.IFNA(INDEX('Resource use and costs'!$CS$11:$CS$53,MATCH(DB239,'Resource use and costs'!$BA$11:$BA$53,0)),0)*_xlfn.IFNA(INDEX(EC$10:EC$23,MATCH($DB239,$DX$10:$DX$23,0)),0))</f>
        <v>0</v>
      </c>
      <c r="DM239" s="909">
        <f t="shared" si="183"/>
        <v>2860.9927072190476</v>
      </c>
      <c r="DN239" s="909">
        <f>SUM(_xlfn.IFNA(INDEX('Resource use and costs'!$DU$12:$DU$25,MATCH(CZ239,'Resource use and costs'!$DS$12:$DS$25,0)),0),_xlfn.IFNA(INDEX('Resource use and costs'!$DU$12:$DU$25,MATCH(DA239,'Resource use and costs'!$DS$12:$DS$25,0)),0),_xlfn.IFNA(INDEX('Resource use and costs'!$DU$12:$DU$25,MATCH(DB239,'Resource use and costs'!$DS$12:$DS$25,0)),0))</f>
        <v>197.25</v>
      </c>
      <c r="DO239" s="921">
        <f>_xlfn.IFNA(INDEX('Resource use and costs'!$DY$12:$DY$25,MATCH(CZ239,'Resource use and costs'!$DS$12:$DS$25,0)),0)*_xlfn.IFNA(INDEX(DY$10:DY$23,MATCH($CZ239,$DX$10:$DX$23,0)),0)</f>
        <v>405.17019714285709</v>
      </c>
      <c r="DP239" s="921">
        <f>IF(dd_PartSA_2_lines = "Yes",0,_xlfn.IFNA(INDEX('Resource use and costs'!$DZ$12:$DZ$25,MATCH(DA239,'Resource use and costs'!$DS$12:$DS$25,0)),0)*_xlfn.IFNA(INDEX(EA$10:EA$23,MATCH($DA239,$DX$10:$DX$23,0)),0))</f>
        <v>0</v>
      </c>
      <c r="DQ239" s="921">
        <f>IF(dd_PartSA_2_lines = "Yes",0,_xlfn.IFNA(INDEX('Resource use and costs'!$EA$12:$EA$25,MATCH(DB239,'Resource use and costs'!$DS$12:$DS$25,0)),0)*_xlfn.IFNA(INDEX(EC$10:EC$23,MATCH($DB239,$DX$10:$DX$23,0)),0))</f>
        <v>0</v>
      </c>
      <c r="DR239" s="921">
        <f t="shared" si="184"/>
        <v>602.42019714285709</v>
      </c>
      <c r="DS239" s="1004">
        <f ca="1">SUMIFS('Safety parameters'!$DM$6:$DM$18,'Safety parameters'!$DK$6:$DK$18,CZ239,'Safety parameters'!$DL$6:$DL$18,1)+IF(dd_PartSA_2_lines = "Yes",0,SUMIFS('Safety parameters'!$DM$6:$DM$18,'Safety parameters'!$DK$6:$DK$18,DA239,'Safety parameters'!$DL$6:$DL$18,2)+SUMIFS('Safety parameters'!$DM$6:$DM$18,'Safety parameters'!$DK$6:$DK$18,DB239,'Safety parameters'!$DL$6:$DL$18,2))</f>
        <v>603.81337500000006</v>
      </c>
      <c r="DT239" s="910">
        <f ca="1">SUMIFS('Safety parameters'!$DO$6:$DO$18,'Safety parameters'!$DK$6:$DK$18,CZ239,'Safety parameters'!$DL$6:$DL$18,1)+IF(dd_PartSA_2_lines = "Yes",0,SUMIFS('Safety parameters'!$DO$6:$DO$18,'Safety parameters'!$DK$6:$DK$18,DA239,'Safety parameters'!$DL$6:$DL$18,2)+SUMIFS('Safety parameters'!$DO$6:$DO$18,'Safety parameters'!$DK$6:$DK$18,DB239,'Safety parameters'!$DL$6:$DL$18,2))</f>
        <v>-5.4260780287474324E-3</v>
      </c>
    </row>
    <row r="240" spans="89:124" ht="15" x14ac:dyDescent="0.2">
      <c r="CK240" s="61" t="s">
        <v>31</v>
      </c>
      <c r="CL240" s="61">
        <v>2</v>
      </c>
      <c r="CM240" s="61" t="str">
        <v>sunitinib</v>
      </c>
      <c r="CN240" s="17">
        <v>7</v>
      </c>
      <c r="CO240" s="61" t="str" cm="1">
        <f t="array" ref="CO240">INDEX(List_comparators,CP226+2)</f>
        <v>placebo_BSC</v>
      </c>
      <c r="CP240" s="17">
        <v>999</v>
      </c>
      <c r="CQ240" s="601">
        <f t="shared" ca="1" si="186"/>
        <v>0</v>
      </c>
      <c r="CR240" s="601">
        <f t="shared" ca="1" si="187"/>
        <v>0</v>
      </c>
      <c r="CS240" s="669">
        <f t="shared" ca="1" si="190"/>
        <v>0</v>
      </c>
      <c r="CT240" s="669">
        <f t="shared" ca="1" si="188"/>
        <v>0</v>
      </c>
      <c r="CU240" s="1123">
        <f>MATCH(CZ240,'Resource use and costs'!$BA$11:$BA$53,0)</f>
        <v>27</v>
      </c>
      <c r="CV240" s="1223"/>
      <c r="CW240" s="1241">
        <f t="shared" si="182"/>
        <v>1</v>
      </c>
      <c r="CX240" s="899" t="s">
        <v>773</v>
      </c>
      <c r="CY240" s="899" t="s">
        <v>118</v>
      </c>
      <c r="CZ240" s="899" t="s">
        <v>117</v>
      </c>
      <c r="DA240" s="899" t="s">
        <v>119</v>
      </c>
      <c r="DB240" s="899" t="s">
        <v>327</v>
      </c>
      <c r="DC240" s="899" cm="1">
        <f t="array" aca="1" ref="DC240" ca="1">_xlfn.IFNA(OFFSET($I$49,MATCH(CY240,$I$50:$I$63,0),MATCH(CZ240,TRANSPOSE($J$49:$W$49),0)),0)</f>
        <v>1.4897774790919952E-2</v>
      </c>
      <c r="DD240" s="899" cm="1">
        <f t="array" aca="1" ref="DD240" ca="1">_xlfn.IFNA(OFFSET($Y$49,MATCH($CZ240,$Y$50:$Y$63,0),MATCH($DA240,TRANSPOSE($Z$49:$AM$49),0)),0)</f>
        <v>0</v>
      </c>
      <c r="DE240" s="899" cm="1">
        <f t="array" aca="1" ref="DE240" ca="1">_xlfn.IFNA(OFFSET($AO$49,MATCH($DA240,$AO$50:$AO$63,0),MATCH($DB240,TRANSPOSE($AP$49:$BC$49),0)),0)</f>
        <v>0</v>
      </c>
      <c r="DF240" s="881">
        <f t="shared" ca="1" si="179"/>
        <v>0</v>
      </c>
      <c r="DG240" s="910">
        <f t="shared" ca="1" si="180"/>
        <v>1.0010447133454794</v>
      </c>
      <c r="DH240" s="881">
        <f t="shared" ca="1" si="181"/>
        <v>0</v>
      </c>
      <c r="DI240" s="1460">
        <f t="shared" ca="1" si="177"/>
        <v>0</v>
      </c>
      <c r="DJ240" s="909">
        <f>_xlfn.IFNA(INDEX('Resource use and costs'!$CQ$11:$CQ$53,MATCH($CZ240,'Resource use and costs'!$BA$11:$BA$53,0)),0)*_xlfn.IFNA(INDEX(DY$10:DY$23,MATCH($CZ240,$DX$10:$DX$23,0)),0)</f>
        <v>2860.9927072190476</v>
      </c>
      <c r="DK240" s="909">
        <f>IF(dd_PartSA_2_lines = "Yes",0,_xlfn.IFNA(INDEX('Resource use and costs'!$CR$11:$CR$53,MATCH(DA240,'Resource use and costs'!$BA$11:$BA$53,0)),0)*_xlfn.IFNA(INDEX(EA$10:EA$23,MATCH($DA240,$DX$10:$DX$23,0)),0))</f>
        <v>848.17532499999982</v>
      </c>
      <c r="DL240" s="909">
        <f>IF(dd_PartSA_2_lines = "Yes",0,_xlfn.IFNA(INDEX('Resource use and costs'!$CS$11:$CS$53,MATCH(DB240,'Resource use and costs'!$BA$11:$BA$53,0)),0)*_xlfn.IFNA(INDEX(EC$10:EC$23,MATCH($DB240,$DX$10:$DX$23,0)),0))</f>
        <v>18438.751749999999</v>
      </c>
      <c r="DM240" s="909">
        <f t="shared" si="183"/>
        <v>22147.919782219047</v>
      </c>
      <c r="DN240" s="909">
        <f>SUM(_xlfn.IFNA(INDEX('Resource use and costs'!$DU$12:$DU$25,MATCH(CZ240,'Resource use and costs'!$DS$12:$DS$25,0)),0),_xlfn.IFNA(INDEX('Resource use and costs'!$DU$12:$DU$25,MATCH(DA240,'Resource use and costs'!$DS$12:$DS$25,0)),0),_xlfn.IFNA(INDEX('Resource use and costs'!$DU$12:$DU$25,MATCH(DB240,'Resource use and costs'!$DS$12:$DS$25,0)),0))</f>
        <v>591.75</v>
      </c>
      <c r="DO240" s="921">
        <f>_xlfn.IFNA(INDEX('Resource use and costs'!$DY$12:$DY$25,MATCH(CZ240,'Resource use and costs'!$DS$12:$DS$25,0)),0)*_xlfn.IFNA(INDEX(DY$10:DY$23,MATCH($CZ240,$DX$10:$DX$23,0)),0)</f>
        <v>405.17019714285709</v>
      </c>
      <c r="DP240" s="921">
        <f>IF(dd_PartSA_2_lines = "Yes",0,_xlfn.IFNA(INDEX('Resource use and costs'!$DZ$12:$DZ$25,MATCH(DA240,'Resource use and costs'!$DS$12:$DS$25,0)),0)*_xlfn.IFNA(INDEX(EA$10:EA$23,MATCH($DA240,$DX$10:$DX$23,0)),0))</f>
        <v>74.50928571428571</v>
      </c>
      <c r="DQ240" s="921">
        <f>IF(dd_PartSA_2_lines = "Yes",0,_xlfn.IFNA(INDEX('Resource use and costs'!$EA$12:$EA$25,MATCH(DB240,'Resource use and costs'!$DS$12:$DS$25,0)),0)*_xlfn.IFNA(INDEX(EC$10:EC$23,MATCH($DB240,$DX$10:$DX$23,0)),0))</f>
        <v>230.68099999999998</v>
      </c>
      <c r="DR240" s="921">
        <f t="shared" si="184"/>
        <v>1302.1104828571429</v>
      </c>
      <c r="DS240" s="1004">
        <f ca="1">SUMIFS('Safety parameters'!$DM$6:$DM$18,'Safety parameters'!$DK$6:$DK$18,CZ240,'Safety parameters'!$DL$6:$DL$18,1)+IF(dd_PartSA_2_lines = "Yes",0,SUMIFS('Safety parameters'!$DM$6:$DM$18,'Safety parameters'!$DK$6:$DK$18,DA240,'Safety parameters'!$DL$6:$DL$18,2)+SUMIFS('Safety parameters'!$DM$6:$DM$18,'Safety parameters'!$DK$6:$DK$18,DB240,'Safety parameters'!$DL$6:$DL$18,2))</f>
        <v>2570.9174319407748</v>
      </c>
      <c r="DT240" s="910">
        <f ca="1">SUMIFS('Safety parameters'!$DO$6:$DO$18,'Safety parameters'!$DK$6:$DK$18,CZ240,'Safety parameters'!$DL$6:$DL$18,1)+IF(dd_PartSA_2_lines = "Yes",0,SUMIFS('Safety parameters'!$DO$6:$DO$18,'Safety parameters'!$DK$6:$DK$18,DA240,'Safety parameters'!$DL$6:$DL$18,2)+SUMIFS('Safety parameters'!$DO$6:$DO$18,'Safety parameters'!$DK$6:$DK$18,DB240,'Safety parameters'!$DL$6:$DL$18,2))</f>
        <v>-2.2835575572866581E-2</v>
      </c>
    </row>
    <row r="241" spans="89:124" ht="15" x14ac:dyDescent="0.2">
      <c r="CK241" s="61" t="s">
        <v>31</v>
      </c>
      <c r="CL241" s="61">
        <v>2</v>
      </c>
      <c r="CM241" s="61" t="str">
        <v>cabozantinib</v>
      </c>
      <c r="CN241" s="17">
        <v>8</v>
      </c>
      <c r="CO241" s="61" t="str" cm="1">
        <f t="array" ref="CO241">INDEX(List_comparators,CP227+2)</f>
        <v>placebo_BSC</v>
      </c>
      <c r="CP241" s="17">
        <v>999</v>
      </c>
      <c r="CQ241" s="601">
        <f t="shared" ca="1" si="186"/>
        <v>0</v>
      </c>
      <c r="CR241" s="601">
        <f t="shared" ca="1" si="187"/>
        <v>0</v>
      </c>
      <c r="CS241" s="669">
        <f t="shared" ca="1" si="190"/>
        <v>0</v>
      </c>
      <c r="CT241" s="669">
        <f t="shared" ca="1" si="188"/>
        <v>0</v>
      </c>
      <c r="CU241" s="1123">
        <f>MATCH(CZ241,'Resource use and costs'!$BA$11:$BA$53,0)</f>
        <v>27</v>
      </c>
      <c r="CV241" s="1223"/>
      <c r="CW241" s="1241">
        <f t="shared" si="182"/>
        <v>1</v>
      </c>
      <c r="CX241" s="899" t="s">
        <v>773</v>
      </c>
      <c r="CY241" s="899" t="s">
        <v>118</v>
      </c>
      <c r="CZ241" s="899" t="s">
        <v>117</v>
      </c>
      <c r="DA241" s="899" t="s">
        <v>119</v>
      </c>
      <c r="DB241" s="899" t="s">
        <v>765</v>
      </c>
      <c r="DC241" s="899" cm="1">
        <f t="array" aca="1" ref="DC241" ca="1">_xlfn.IFNA(OFFSET($I$49,MATCH(CY241,$I$50:$I$63,0),MATCH(CZ241,TRANSPOSE($J$49:$W$49),0)),0)</f>
        <v>1.4897774790919952E-2</v>
      </c>
      <c r="DD241" s="899" cm="1">
        <f t="array" aca="1" ref="DD241" ca="1">_xlfn.IFNA(OFFSET($Y$49,MATCH($CZ241,$Y$50:$Y$63,0),MATCH($DA241,TRANSPOSE($Z$49:$AM$49),0)),0)</f>
        <v>0</v>
      </c>
      <c r="DE241" s="899" cm="1">
        <f t="array" aca="1" ref="DE241" ca="1">_xlfn.IFNA(OFFSET($AO$49,MATCH($DA241,$AO$50:$AO$63,0),MATCH($DB241,TRANSPOSE($AP$49:$BC$49),0)),0)</f>
        <v>1</v>
      </c>
      <c r="DF241" s="881">
        <f t="shared" ca="1" si="179"/>
        <v>0</v>
      </c>
      <c r="DG241" s="910">
        <f t="shared" ca="1" si="180"/>
        <v>1.0010447133454794</v>
      </c>
      <c r="DH241" s="881">
        <f t="shared" ca="1" si="181"/>
        <v>0</v>
      </c>
      <c r="DI241" s="1460">
        <f t="shared" ca="1" si="177"/>
        <v>0</v>
      </c>
      <c r="DJ241" s="909">
        <f>_xlfn.IFNA(INDEX('Resource use and costs'!$CQ$11:$CQ$53,MATCH($CZ241,'Resource use and costs'!$BA$11:$BA$53,0)),0)*_xlfn.IFNA(INDEX(DY$10:DY$23,MATCH($CZ241,$DX$10:$DX$23,0)),0)</f>
        <v>2860.9927072190476</v>
      </c>
      <c r="DK241" s="909">
        <f>IF(dd_PartSA_2_lines = "Yes",0,_xlfn.IFNA(INDEX('Resource use and costs'!$CR$11:$CR$53,MATCH(DA241,'Resource use and costs'!$BA$11:$BA$53,0)),0)*_xlfn.IFNA(INDEX(EA$10:EA$23,MATCH($DA241,$DX$10:$DX$23,0)),0))</f>
        <v>848.17532499999982</v>
      </c>
      <c r="DL241" s="909">
        <f>IF(dd_PartSA_2_lines = "Yes",0,_xlfn.IFNA(INDEX('Resource use and costs'!$CS$11:$CS$53,MATCH(DB241,'Resource use and costs'!$BA$11:$BA$53,0)),0)*_xlfn.IFNA(INDEX(EC$10:EC$23,MATCH($DB241,$DX$10:$DX$23,0)),0))</f>
        <v>0</v>
      </c>
      <c r="DM241" s="909">
        <f t="shared" si="183"/>
        <v>3709.1680322190473</v>
      </c>
      <c r="DN241" s="909">
        <f>SUM(_xlfn.IFNA(INDEX('Resource use and costs'!$DU$12:$DU$25,MATCH(CZ241,'Resource use and costs'!$DS$12:$DS$25,0)),0),_xlfn.IFNA(INDEX('Resource use and costs'!$DU$12:$DU$25,MATCH(DA241,'Resource use and costs'!$DS$12:$DS$25,0)),0),_xlfn.IFNA(INDEX('Resource use and costs'!$DU$12:$DU$25,MATCH(DB241,'Resource use and costs'!$DS$12:$DS$25,0)),0))</f>
        <v>394.5</v>
      </c>
      <c r="DO241" s="921">
        <f>_xlfn.IFNA(INDEX('Resource use and costs'!$DY$12:$DY$25,MATCH(CZ241,'Resource use and costs'!$DS$12:$DS$25,0)),0)*_xlfn.IFNA(INDEX(DY$10:DY$23,MATCH($CZ241,$DX$10:$DX$23,0)),0)</f>
        <v>405.17019714285709</v>
      </c>
      <c r="DP241" s="921">
        <f>IF(dd_PartSA_2_lines = "Yes",0,_xlfn.IFNA(INDEX('Resource use and costs'!$DZ$12:$DZ$25,MATCH(DA241,'Resource use and costs'!$DS$12:$DS$25,0)),0)*_xlfn.IFNA(INDEX(EA$10:EA$23,MATCH($DA241,$DX$10:$DX$23,0)),0))</f>
        <v>74.50928571428571</v>
      </c>
      <c r="DQ241" s="921">
        <f>IF(dd_PartSA_2_lines = "Yes",0,_xlfn.IFNA(INDEX('Resource use and costs'!$EA$12:$EA$25,MATCH(DB241,'Resource use and costs'!$DS$12:$DS$25,0)),0)*_xlfn.IFNA(INDEX(EC$10:EC$23,MATCH($DB241,$DX$10:$DX$23,0)),0))</f>
        <v>0</v>
      </c>
      <c r="DR241" s="921">
        <f t="shared" si="184"/>
        <v>874.17948285714283</v>
      </c>
      <c r="DS241" s="1004">
        <f ca="1">SUMIFS('Safety parameters'!$DM$6:$DM$18,'Safety parameters'!$DK$6:$DK$18,CZ241,'Safety parameters'!$DL$6:$DL$18,1)+IF(dd_PartSA_2_lines = "Yes",0,SUMIFS('Safety parameters'!$DM$6:$DM$18,'Safety parameters'!$DK$6:$DK$18,DA241,'Safety parameters'!$DL$6:$DL$18,2)+SUMIFS('Safety parameters'!$DM$6:$DM$18,'Safety parameters'!$DK$6:$DK$18,DB241,'Safety parameters'!$DL$6:$DL$18,2))</f>
        <v>936.68875837531493</v>
      </c>
      <c r="DT241" s="910">
        <f ca="1">SUMIFS('Safety parameters'!$DO$6:$DO$18,'Safety parameters'!$DK$6:$DK$18,CZ241,'Safety parameters'!$DL$6:$DL$18,1)+IF(dd_PartSA_2_lines = "Yes",0,SUMIFS('Safety parameters'!$DO$6:$DO$18,'Safety parameters'!$DK$6:$DK$18,DA241,'Safety parameters'!$DL$6:$DL$18,2)+SUMIFS('Safety parameters'!$DO$6:$DO$18,'Safety parameters'!$DK$6:$DK$18,DB241,'Safety parameters'!$DL$6:$DL$18,2))</f>
        <v>-8.0936515653851522E-3</v>
      </c>
    </row>
    <row r="242" spans="89:124" ht="15" x14ac:dyDescent="0.2">
      <c r="CK242" s="61" t="s">
        <v>31</v>
      </c>
      <c r="CL242" s="61">
        <v>2</v>
      </c>
      <c r="CM242" s="61" t="str">
        <v>lenvatinib_plus_everolimus</v>
      </c>
      <c r="CN242" s="17">
        <v>9</v>
      </c>
      <c r="CO242" s="61" t="str" cm="1">
        <f t="array" ref="CO242">INDEX(List_comparators,CP228+2)</f>
        <v>placebo_BSC</v>
      </c>
      <c r="CP242" s="17">
        <v>999</v>
      </c>
      <c r="CQ242" s="601">
        <f t="shared" ca="1" si="186"/>
        <v>0</v>
      </c>
      <c r="CR242" s="601">
        <f t="shared" ca="1" si="187"/>
        <v>0</v>
      </c>
      <c r="CS242" s="669">
        <f t="shared" ca="1" si="190"/>
        <v>0</v>
      </c>
      <c r="CT242" s="669">
        <f t="shared" ca="1" si="188"/>
        <v>0</v>
      </c>
      <c r="CU242" s="1123">
        <f>MATCH(CZ242,'Resource use and costs'!$BA$11:$BA$53,0)</f>
        <v>27</v>
      </c>
      <c r="CV242" s="1223"/>
      <c r="CW242" s="1241">
        <f t="shared" si="182"/>
        <v>1</v>
      </c>
      <c r="CX242" s="899" t="s">
        <v>773</v>
      </c>
      <c r="CY242" s="899" t="s">
        <v>118</v>
      </c>
      <c r="CZ242" s="899" t="s">
        <v>117</v>
      </c>
      <c r="DA242" s="899" t="s">
        <v>579</v>
      </c>
      <c r="DB242" s="899" t="s">
        <v>327</v>
      </c>
      <c r="DC242" s="899" cm="1">
        <f t="array" aca="1" ref="DC242" ca="1">_xlfn.IFNA(OFFSET($I$49,MATCH(CY242,$I$50:$I$63,0),MATCH(CZ242,TRANSPOSE($J$49:$W$49),0)),0)</f>
        <v>1.4897774790919952E-2</v>
      </c>
      <c r="DD242" s="899">
        <f ca="1">1-DD239-DD240-DD245</f>
        <v>0.61010000000000009</v>
      </c>
      <c r="DE242" s="899" cm="1">
        <f t="array" aca="1" ref="DE242" ca="1">_xlfn.IFNA(OFFSET($AO$49,MATCH($DA242,$AO$50:$AO$63,0),MATCH($DB242,TRANSPOSE($AP$49:$BC$49),0)),0)</f>
        <v>0.56859999999999999</v>
      </c>
      <c r="DF242" s="881">
        <f t="shared" ca="1" si="179"/>
        <v>5.1680806826060344E-3</v>
      </c>
      <c r="DG242" s="910">
        <f t="shared" ca="1" si="180"/>
        <v>1.0010447133454794</v>
      </c>
      <c r="DH242" s="881">
        <f t="shared" ca="1" si="181"/>
        <v>5.173479845465667E-3</v>
      </c>
      <c r="DI242" s="1460">
        <f t="shared" ca="1" si="177"/>
        <v>0.58977670238308599</v>
      </c>
      <c r="DJ242" s="909">
        <f>_xlfn.IFNA(INDEX('Resource use and costs'!$CQ$11:$CQ$53,MATCH($CZ242,'Resource use and costs'!$BA$11:$BA$53,0)),0)*_xlfn.IFNA(INDEX(DY$10:DY$23,MATCH($CZ242,$DX$10:$DX$23,0)),0)</f>
        <v>2860.9927072190476</v>
      </c>
      <c r="DK242" s="909">
        <f>IF(dd_PartSA_2_lines = "Yes",0,_xlfn.IFNA(INDEX('Resource use and costs'!$CR$11:$CR$53,MATCH(DA242,'Resource use and costs'!$BA$11:$BA$53,0)),0)*_xlfn.IFNA(INDEX(EA$10:EA$23,MATCH($DA242,$DX$10:$DX$23,0)),0))</f>
        <v>26054.50921</v>
      </c>
      <c r="DL242" s="909">
        <f>IF(dd_PartSA_2_lines = "Yes",0,_xlfn.IFNA(INDEX('Resource use and costs'!$CS$11:$CS$53,MATCH(DB242,'Resource use and costs'!$BA$11:$BA$53,0)),0)*_xlfn.IFNA(INDEX(EC$10:EC$23,MATCH($DB242,$DX$10:$DX$23,0)),0))</f>
        <v>18438.751749999999</v>
      </c>
      <c r="DM242" s="909">
        <f t="shared" si="183"/>
        <v>47354.253667219047</v>
      </c>
      <c r="DN242" s="909">
        <f>SUM(_xlfn.IFNA(INDEX('Resource use and costs'!$DU$12:$DU$25,MATCH(CZ242,'Resource use and costs'!$DS$12:$DS$25,0)),0),_xlfn.IFNA(INDEX('Resource use and costs'!$DU$12:$DU$25,MATCH(DA242,'Resource use and costs'!$DS$12:$DS$25,0)),0),_xlfn.IFNA(INDEX('Resource use and costs'!$DU$12:$DU$25,MATCH(DB242,'Resource use and costs'!$DS$12:$DS$25,0)),0))</f>
        <v>394.5</v>
      </c>
      <c r="DO242" s="921">
        <f>_xlfn.IFNA(INDEX('Resource use and costs'!$DY$12:$DY$25,MATCH(CZ242,'Resource use and costs'!$DS$12:$DS$25,0)),0)*_xlfn.IFNA(INDEX(DY$10:DY$23,MATCH($CZ242,$DX$10:$DX$23,0)),0)</f>
        <v>405.17019714285709</v>
      </c>
      <c r="DP242" s="921">
        <f>IF(dd_PartSA_2_lines = "Yes",0,_xlfn.IFNA(INDEX('Resource use and costs'!$DZ$12:$DZ$25,MATCH(DA242,'Resource use and costs'!$DS$12:$DS$25,0)),0)*_xlfn.IFNA(INDEX(EA$10:EA$23,MATCH($DA242,$DX$10:$DX$23,0)),0))</f>
        <v>4108.3597166</v>
      </c>
      <c r="DQ242" s="921">
        <f>IF(dd_PartSA_2_lines = "Yes",0,_xlfn.IFNA(INDEX('Resource use and costs'!$EA$12:$EA$25,MATCH(DB242,'Resource use and costs'!$DS$12:$DS$25,0)),0)*_xlfn.IFNA(INDEX(EC$10:EC$23,MATCH($DB242,$DX$10:$DX$23,0)),0))</f>
        <v>230.68099999999998</v>
      </c>
      <c r="DR242" s="921">
        <f t="shared" si="184"/>
        <v>5138.710913742857</v>
      </c>
      <c r="DS242" s="1004">
        <f ca="1">SUMIFS('Safety parameters'!$DM$6:$DM$18,'Safety parameters'!$DK$6:$DK$18,CZ242,'Safety parameters'!$DL$6:$DL$18,1)+IF(dd_PartSA_2_lines = "Yes",0,SUMIFS('Safety parameters'!$DM$6:$DM$18,'Safety parameters'!$DK$6:$DK$18,DA242,'Safety parameters'!$DL$6:$DL$18,2)+SUMIFS('Safety parameters'!$DM$6:$DM$18,'Safety parameters'!$DK$6:$DK$18,DB242,'Safety parameters'!$DL$6:$DL$18,2))</f>
        <v>2399.1757975558744</v>
      </c>
      <c r="DT242" s="910">
        <f ca="1">SUMIFS('Safety parameters'!$DO$6:$DO$18,'Safety parameters'!$DK$6:$DK$18,CZ242,'Safety parameters'!$DL$6:$DL$18,1)+IF(dd_PartSA_2_lines = "Yes",0,SUMIFS('Safety parameters'!$DO$6:$DO$18,'Safety parameters'!$DK$6:$DK$18,DA242,'Safety parameters'!$DL$6:$DL$18,2)+SUMIFS('Safety parameters'!$DO$6:$DO$18,'Safety parameters'!$DK$6:$DK$18,DB242,'Safety parameters'!$DL$6:$DL$18,2))</f>
        <v>-2.1765086233913648E-2</v>
      </c>
    </row>
    <row r="243" spans="89:124" ht="15" x14ac:dyDescent="0.2">
      <c r="CK243" s="61" t="s">
        <v>31</v>
      </c>
      <c r="CL243" s="61">
        <v>2</v>
      </c>
      <c r="CM243" s="61" t="str">
        <v>everolimus</v>
      </c>
      <c r="CN243" s="17">
        <v>10</v>
      </c>
      <c r="CO243" s="61" t="str" cm="1">
        <f t="array" ref="CO243">INDEX(List_comparators,CP229+2)</f>
        <v>placebo_BSC</v>
      </c>
      <c r="CP243" s="17">
        <v>999</v>
      </c>
      <c r="CQ243" s="601">
        <f t="shared" ref="CQ243:CQ246" ca="1" si="191">OFFSET($J$50,IF(CN243=999,13,CN243),CP243)</f>
        <v>0</v>
      </c>
      <c r="CR243" s="601">
        <f t="shared" ca="1" si="187"/>
        <v>0</v>
      </c>
      <c r="CS243" s="669">
        <f t="shared" ca="1" si="190"/>
        <v>0</v>
      </c>
      <c r="CT243" s="669">
        <f t="shared" ca="1" si="188"/>
        <v>0</v>
      </c>
      <c r="CU243" s="1123">
        <f>MATCH(CZ243,'Resource use and costs'!$BA$11:$BA$53,0)</f>
        <v>27</v>
      </c>
      <c r="CV243" s="1223"/>
      <c r="CW243" s="1241">
        <f t="shared" si="182"/>
        <v>1</v>
      </c>
      <c r="CX243" s="899" t="s">
        <v>773</v>
      </c>
      <c r="CY243" s="899" t="s">
        <v>118</v>
      </c>
      <c r="CZ243" s="899" t="s">
        <v>117</v>
      </c>
      <c r="DA243" s="899" t="s">
        <v>579</v>
      </c>
      <c r="DB243" s="899" t="s">
        <v>765</v>
      </c>
      <c r="DC243" s="899" cm="1">
        <f t="array" aca="1" ref="DC243" ca="1">_xlfn.IFNA(OFFSET($I$49,MATCH(CY243,$I$50:$I$63,0),MATCH(CZ243,TRANSPOSE($J$49:$W$49),0)),0)</f>
        <v>1.4897774790919952E-2</v>
      </c>
      <c r="DD243" s="899">
        <f ca="1">DD242</f>
        <v>0.61010000000000009</v>
      </c>
      <c r="DE243" s="899" cm="1">
        <f t="array" aca="1" ref="DE243" ca="1">_xlfn.IFNA(OFFSET($AO$49,MATCH($DA243,$AO$50:$AO$63,0),MATCH($DB243,TRANSPOSE($AP$49:$BC$49),0)),0)</f>
        <v>0.43140000000000001</v>
      </c>
      <c r="DF243" s="881">
        <f t="shared" ca="1" si="179"/>
        <v>3.9210517173342303E-3</v>
      </c>
      <c r="DG243" s="910">
        <f t="shared" ca="1" si="180"/>
        <v>1.0010447133454794</v>
      </c>
      <c r="DH243" s="881">
        <f t="shared" ca="1" si="181"/>
        <v>3.9251480923916445E-3</v>
      </c>
      <c r="DI243" s="1460">
        <f t="shared" ca="1" si="177"/>
        <v>0.44746688253264749</v>
      </c>
      <c r="DJ243" s="909">
        <f>_xlfn.IFNA(INDEX('Resource use and costs'!$CQ$11:$CQ$53,MATCH($CZ243,'Resource use and costs'!$BA$11:$BA$53,0)),0)*_xlfn.IFNA(INDEX(DY$10:DY$23,MATCH($CZ243,$DX$10:$DX$23,0)),0)</f>
        <v>2860.9927072190476</v>
      </c>
      <c r="DK243" s="909">
        <f>IF(dd_PartSA_2_lines = "Yes",0,_xlfn.IFNA(INDEX('Resource use and costs'!$CR$11:$CR$53,MATCH(DA243,'Resource use and costs'!$BA$11:$BA$53,0)),0)*_xlfn.IFNA(INDEX(EA$10:EA$23,MATCH($DA243,$DX$10:$DX$23,0)),0))</f>
        <v>26054.50921</v>
      </c>
      <c r="DL243" s="909">
        <f>IF(dd_PartSA_2_lines = "Yes",0,_xlfn.IFNA(INDEX('Resource use and costs'!$CS$11:$CS$53,MATCH(DB243,'Resource use and costs'!$BA$11:$BA$53,0)),0)*_xlfn.IFNA(INDEX(EC$10:EC$23,MATCH($DB243,$DX$10:$DX$23,0)),0))</f>
        <v>0</v>
      </c>
      <c r="DM243" s="909">
        <f t="shared" si="183"/>
        <v>28915.501917219048</v>
      </c>
      <c r="DN243" s="909">
        <f>SUM(_xlfn.IFNA(INDEX('Resource use and costs'!$DU$12:$DU$25,MATCH(CZ243,'Resource use and costs'!$DS$12:$DS$25,0)),0),_xlfn.IFNA(INDEX('Resource use and costs'!$DU$12:$DU$25,MATCH(DA243,'Resource use and costs'!$DS$12:$DS$25,0)),0),_xlfn.IFNA(INDEX('Resource use and costs'!$DU$12:$DU$25,MATCH(DB243,'Resource use and costs'!$DS$12:$DS$25,0)),0))</f>
        <v>197.25</v>
      </c>
      <c r="DO243" s="921">
        <f>_xlfn.IFNA(INDEX('Resource use and costs'!$DY$12:$DY$25,MATCH(CZ243,'Resource use and costs'!$DS$12:$DS$25,0)),0)*_xlfn.IFNA(INDEX(DY$10:DY$23,MATCH($CZ243,$DX$10:$DX$23,0)),0)</f>
        <v>405.17019714285709</v>
      </c>
      <c r="DP243" s="921">
        <f>IF(dd_PartSA_2_lines = "Yes",0,_xlfn.IFNA(INDEX('Resource use and costs'!$DZ$12:$DZ$25,MATCH(DA243,'Resource use and costs'!$DS$12:$DS$25,0)),0)*_xlfn.IFNA(INDEX(EA$10:EA$23,MATCH($DA243,$DX$10:$DX$23,0)),0))</f>
        <v>4108.3597166</v>
      </c>
      <c r="DQ243" s="921">
        <f>IF(dd_PartSA_2_lines = "Yes",0,_xlfn.IFNA(INDEX('Resource use and costs'!$EA$12:$EA$25,MATCH(DB243,'Resource use and costs'!$DS$12:$DS$25,0)),0)*_xlfn.IFNA(INDEX(EC$10:EC$23,MATCH($DB243,$DX$10:$DX$23,0)),0))</f>
        <v>0</v>
      </c>
      <c r="DR243" s="921">
        <f t="shared" si="184"/>
        <v>4710.7799137428574</v>
      </c>
      <c r="DS243" s="1004">
        <f ca="1">SUMIFS('Safety parameters'!$DM$6:$DM$18,'Safety parameters'!$DK$6:$DK$18,CZ243,'Safety parameters'!$DL$6:$DL$18,1)+IF(dd_PartSA_2_lines = "Yes",0,SUMIFS('Safety parameters'!$DM$6:$DM$18,'Safety parameters'!$DK$6:$DK$18,DA243,'Safety parameters'!$DL$6:$DL$18,2)+SUMIFS('Safety parameters'!$DM$6:$DM$18,'Safety parameters'!$DK$6:$DK$18,DB243,'Safety parameters'!$DL$6:$DL$18,2))</f>
        <v>764.94712399041441</v>
      </c>
      <c r="DT243" s="910">
        <f ca="1">SUMIFS('Safety parameters'!$DO$6:$DO$18,'Safety parameters'!$DK$6:$DK$18,CZ243,'Safety parameters'!$DL$6:$DL$18,1)+IF(dd_PartSA_2_lines = "Yes",0,SUMIFS('Safety parameters'!$DO$6:$DO$18,'Safety parameters'!$DK$6:$DK$18,DA243,'Safety parameters'!$DL$6:$DL$18,2)+SUMIFS('Safety parameters'!$DO$6:$DO$18,'Safety parameters'!$DK$6:$DK$18,DB243,'Safety parameters'!$DL$6:$DL$18,2))</f>
        <v>-7.0231622264322188E-3</v>
      </c>
    </row>
    <row r="244" spans="89:124" ht="15" x14ac:dyDescent="0.2">
      <c r="CK244" s="61" t="s">
        <v>31</v>
      </c>
      <c r="CL244" s="61">
        <v>2</v>
      </c>
      <c r="CM244" s="61" t="str">
        <v>axitinib</v>
      </c>
      <c r="CN244" s="17">
        <v>11</v>
      </c>
      <c r="CO244" s="61" t="str" cm="1">
        <f t="array" ref="CO244">INDEX(List_comparators,CP230+2)</f>
        <v>placebo_BSC</v>
      </c>
      <c r="CP244" s="17">
        <v>999</v>
      </c>
      <c r="CQ244" s="601">
        <f t="shared" ca="1" si="191"/>
        <v>0</v>
      </c>
      <c r="CR244" s="601">
        <f t="shared" ca="1" si="187"/>
        <v>0</v>
      </c>
      <c r="CS244" s="669">
        <f t="shared" ca="1" si="190"/>
        <v>0</v>
      </c>
      <c r="CT244" s="669">
        <f t="shared" ca="1" si="188"/>
        <v>0</v>
      </c>
      <c r="CU244" s="1123">
        <f>MATCH(CZ244,'Resource use and costs'!$BA$11:$BA$53,0)</f>
        <v>27</v>
      </c>
      <c r="CV244" s="1223"/>
      <c r="CW244" s="1241">
        <f t="shared" si="182"/>
        <v>1</v>
      </c>
      <c r="CX244" s="899" t="s">
        <v>773</v>
      </c>
      <c r="CY244" s="899" t="s">
        <v>118</v>
      </c>
      <c r="CZ244" s="899" t="s">
        <v>117</v>
      </c>
      <c r="DA244" s="899" t="s">
        <v>579</v>
      </c>
      <c r="DB244" s="899" t="s">
        <v>119</v>
      </c>
      <c r="DC244" s="899" cm="1">
        <f t="array" aca="1" ref="DC244" ca="1">_xlfn.IFNA(OFFSET($I$49,MATCH(CY244,$I$50:$I$63,0),MATCH(CZ244,TRANSPOSE($J$49:$W$49),0)),0)</f>
        <v>1.4897774790919952E-2</v>
      </c>
      <c r="DD244" s="899">
        <f ca="1">DD243</f>
        <v>0.61010000000000009</v>
      </c>
      <c r="DE244" s="899" cm="1">
        <f t="array" aca="1" ref="DE244" ca="1">_xlfn.IFNA(OFFSET($AO$49,MATCH($DA244,$AO$50:$AO$63,0),MATCH($DB244,TRANSPOSE($AP$49:$BC$49),0)),0)</f>
        <v>0</v>
      </c>
      <c r="DF244" s="881">
        <f t="shared" ca="1" si="179"/>
        <v>0</v>
      </c>
      <c r="DG244" s="910">
        <f t="shared" ca="1" si="180"/>
        <v>1.0010447133454794</v>
      </c>
      <c r="DH244" s="881">
        <f t="shared" ca="1" si="181"/>
        <v>0</v>
      </c>
      <c r="DI244" s="1460">
        <f t="shared" ca="1" si="177"/>
        <v>0</v>
      </c>
      <c r="DJ244" s="909">
        <f>_xlfn.IFNA(INDEX('Resource use and costs'!$CQ$11:$CQ$53,MATCH($CZ244,'Resource use and costs'!$BA$11:$BA$53,0)),0)*_xlfn.IFNA(INDEX(DY$10:DY$23,MATCH($CZ244,$DX$10:$DX$23,0)),0)</f>
        <v>2860.9927072190476</v>
      </c>
      <c r="DK244" s="909">
        <f>IF(dd_PartSA_2_lines = "Yes",0,_xlfn.IFNA(INDEX('Resource use and costs'!$CR$11:$CR$53,MATCH(DA244,'Resource use and costs'!$BA$11:$BA$53,0)),0)*_xlfn.IFNA(INDEX(EA$10:EA$23,MATCH($DA244,$DX$10:$DX$23,0)),0))</f>
        <v>26054.50921</v>
      </c>
      <c r="DL244" s="909">
        <f>IF(dd_PartSA_2_lines = "Yes",0,_xlfn.IFNA(INDEX('Resource use and costs'!$CS$11:$CS$53,MATCH(DB244,'Resource use and costs'!$BA$11:$BA$53,0)),0)*_xlfn.IFNA(INDEX(EC$10:EC$23,MATCH($DB244,$DX$10:$DX$23,0)),0))</f>
        <v>2915.4763433333328</v>
      </c>
      <c r="DM244" s="909">
        <f t="shared" si="183"/>
        <v>31830.97826055238</v>
      </c>
      <c r="DN244" s="909">
        <f>SUM(_xlfn.IFNA(INDEX('Resource use and costs'!$DU$12:$DU$25,MATCH(CZ244,'Resource use and costs'!$DS$12:$DS$25,0)),0),_xlfn.IFNA(INDEX('Resource use and costs'!$DU$12:$DU$25,MATCH(DA244,'Resource use and costs'!$DS$12:$DS$25,0)),0),_xlfn.IFNA(INDEX('Resource use and costs'!$DU$12:$DU$25,MATCH(DB244,'Resource use and costs'!$DS$12:$DS$25,0)),0))</f>
        <v>394.5</v>
      </c>
      <c r="DO244" s="921">
        <f>_xlfn.IFNA(INDEX('Resource use and costs'!$DY$12:$DY$25,MATCH(CZ244,'Resource use and costs'!$DS$12:$DS$25,0)),0)*_xlfn.IFNA(INDEX(DY$10:DY$23,MATCH($CZ244,$DX$10:$DX$23,0)),0)</f>
        <v>405.17019714285709</v>
      </c>
      <c r="DP244" s="921">
        <f>IF(dd_PartSA_2_lines = "Yes",0,_xlfn.IFNA(INDEX('Resource use and costs'!$DZ$12:$DZ$25,MATCH(DA244,'Resource use and costs'!$DS$12:$DS$25,0)),0)*_xlfn.IFNA(INDEX(EA$10:EA$23,MATCH($DA244,$DX$10:$DX$23,0)),0))</f>
        <v>4108.3597166</v>
      </c>
      <c r="DQ244" s="921">
        <f>IF(dd_PartSA_2_lines = "Yes",0,_xlfn.IFNA(INDEX('Resource use and costs'!$EA$12:$EA$25,MATCH(DB244,'Resource use and costs'!$DS$12:$DS$25,0)),0)*_xlfn.IFNA(INDEX(EC$10:EC$23,MATCH($DB244,$DX$10:$DX$23,0)),0))</f>
        <v>256.11457142857142</v>
      </c>
      <c r="DR244" s="921">
        <f t="shared" si="184"/>
        <v>5164.1444851714286</v>
      </c>
      <c r="DS244" s="1004">
        <f ca="1">SUMIFS('Safety parameters'!$DM$6:$DM$18,'Safety parameters'!$DK$6:$DK$18,CZ244,'Safety parameters'!$DL$6:$DL$18,1)+IF(dd_PartSA_2_lines = "Yes",0,SUMIFS('Safety parameters'!$DM$6:$DM$18,'Safety parameters'!$DK$6:$DK$18,DA244,'Safety parameters'!$DL$6:$DL$18,2)+SUMIFS('Safety parameters'!$DM$6:$DM$18,'Safety parameters'!$DK$6:$DK$18,DB244,'Safety parameters'!$DL$6:$DL$18,2))</f>
        <v>1097.8225073657293</v>
      </c>
      <c r="DT244" s="910">
        <f ca="1">SUMIFS('Safety parameters'!$DO$6:$DO$18,'Safety parameters'!$DK$6:$DK$18,CZ244,'Safety parameters'!$DL$6:$DL$18,1)+IF(dd_PartSA_2_lines = "Yes",0,SUMIFS('Safety parameters'!$DO$6:$DO$18,'Safety parameters'!$DK$6:$DK$18,DA244,'Safety parameters'!$DL$6:$DL$18,2)+SUMIFS('Safety parameters'!$DO$6:$DO$18,'Safety parameters'!$DK$6:$DK$18,DB244,'Safety parameters'!$DL$6:$DL$18,2))</f>
        <v>-9.6907357630699378E-3</v>
      </c>
    </row>
    <row r="245" spans="89:124" ht="15" x14ac:dyDescent="0.2">
      <c r="CK245" s="61" t="s">
        <v>31</v>
      </c>
      <c r="CL245" s="61">
        <v>2</v>
      </c>
      <c r="CM245" s="61" t="str">
        <v>sorafenib</v>
      </c>
      <c r="CN245" s="17">
        <v>12</v>
      </c>
      <c r="CO245" s="61" t="str" cm="1">
        <f t="array" ref="CO245">INDEX(List_comparators,CP231+2)</f>
        <v>placebo_BSC</v>
      </c>
      <c r="CP245" s="17">
        <v>999</v>
      </c>
      <c r="CQ245" s="601">
        <f t="shared" ca="1" si="191"/>
        <v>0</v>
      </c>
      <c r="CR245" s="601">
        <f t="shared" ca="1" si="187"/>
        <v>0</v>
      </c>
      <c r="CS245" s="669">
        <f t="shared" ca="1" si="190"/>
        <v>0</v>
      </c>
      <c r="CT245" s="669">
        <f t="shared" ca="1" si="188"/>
        <v>0</v>
      </c>
      <c r="CU245" s="1123">
        <f>MATCH(CZ245,'Resource use and costs'!$BA$11:$BA$53,0)</f>
        <v>24</v>
      </c>
      <c r="CV245" s="1223"/>
      <c r="CW245" s="1241">
        <f t="shared" si="182"/>
        <v>1</v>
      </c>
      <c r="CX245" s="899" t="s">
        <v>773</v>
      </c>
      <c r="CY245" s="899" t="s">
        <v>118</v>
      </c>
      <c r="CZ245" s="899" t="s">
        <v>319</v>
      </c>
      <c r="DA245" s="899" t="s">
        <v>327</v>
      </c>
      <c r="DB245" s="899" t="s">
        <v>765</v>
      </c>
      <c r="DC245" s="899" cm="1">
        <f t="array" aca="1" ref="DC245" ca="1">_xlfn.IFNA(OFFSET($I$49,MATCH(CY245,$I$50:$I$63,0),MATCH(CZ245,TRANSPOSE($J$49:$W$49),0)),0)</f>
        <v>0</v>
      </c>
      <c r="DD245" s="899" cm="1">
        <f t="array" aca="1" ref="DD245" ca="1">_xlfn.IFNA(OFFSET($Y$49,MATCH($CZ245,$Y$50:$Y$63,0),MATCH($DA245,TRANSPOSE($Z$49:$AM$49),0)),0)</f>
        <v>4.6899999999999997E-2</v>
      </c>
      <c r="DE245" s="899" cm="1">
        <f t="array" aca="1" ref="DE245" ca="1">_xlfn.IFNA(OFFSET($AO$49,MATCH($DA245,$AO$50:$AO$63,0),MATCH($DB245,TRANSPOSE($AP$49:$BC$49),0)),0)</f>
        <v>0.43140000000000001</v>
      </c>
      <c r="DF245" s="881">
        <f t="shared" ca="1" si="179"/>
        <v>0</v>
      </c>
      <c r="DG245" s="910">
        <f t="shared" ca="1" si="180"/>
        <v>1.0010447133454794</v>
      </c>
      <c r="DH245" s="881">
        <f t="shared" ca="1" si="181"/>
        <v>0</v>
      </c>
      <c r="DI245" s="1460">
        <f t="shared" ca="1" si="177"/>
        <v>0</v>
      </c>
      <c r="DJ245" s="909">
        <f>_xlfn.IFNA(INDEX('Resource use and costs'!$CQ$11:$CQ$53,MATCH($CZ245,'Resource use and costs'!$BA$11:$BA$53,0)),0)*_xlfn.IFNA(INDEX(DY$10:DY$23,MATCH($CZ245,$DX$10:$DX$23,0)),0)</f>
        <v>20680.612971428574</v>
      </c>
      <c r="DK245" s="909">
        <f>IF(dd_PartSA_2_lines = "Yes",0,_xlfn.IFNA(INDEX('Resource use and costs'!$CR$11:$CR$53,MATCH(DA245,'Resource use and costs'!$BA$11:$BA$53,0)),0)*_xlfn.IFNA(INDEX(EA$10:EA$23,MATCH($DA245,$DX$10:$DX$23,0)),0))</f>
        <v>21421.066008214286</v>
      </c>
      <c r="DL245" s="909">
        <f>IF(dd_PartSA_2_lines = "Yes",0,_xlfn.IFNA(INDEX('Resource use and costs'!$CS$11:$CS$53,MATCH(DB245,'Resource use and costs'!$BA$11:$BA$53,0)),0)*_xlfn.IFNA(INDEX(EC$10:EC$23,MATCH($DB245,$DX$10:$DX$23,0)),0))</f>
        <v>0</v>
      </c>
      <c r="DM245" s="909">
        <f t="shared" si="183"/>
        <v>42101.678979642864</v>
      </c>
      <c r="DN245" s="909">
        <f>SUM(_xlfn.IFNA(INDEX('Resource use and costs'!$DU$12:$DU$25,MATCH(CZ245,'Resource use and costs'!$DS$12:$DS$25,0)),0),_xlfn.IFNA(INDEX('Resource use and costs'!$DU$12:$DU$25,MATCH(DA245,'Resource use and costs'!$DS$12:$DS$25,0)),0),_xlfn.IFNA(INDEX('Resource use and costs'!$DU$12:$DU$25,MATCH(DB245,'Resource use and costs'!$DS$12:$DS$25,0)),0))</f>
        <v>394.5</v>
      </c>
      <c r="DO245" s="921">
        <f>_xlfn.IFNA(INDEX('Resource use and costs'!$DY$12:$DY$25,MATCH(CZ245,'Resource use and costs'!$DS$12:$DS$25,0)),0)*_xlfn.IFNA(INDEX(DY$10:DY$23,MATCH($CZ245,$DX$10:$DX$23,0)),0)</f>
        <v>443.44394285714293</v>
      </c>
      <c r="DP245" s="921">
        <f>IF(dd_PartSA_2_lines = "Yes",0,_xlfn.IFNA(INDEX('Resource use and costs'!$DZ$12:$DZ$25,MATCH(DA245,'Resource use and costs'!$DS$12:$DS$25,0)),0)*_xlfn.IFNA(INDEX(EA$10:EA$23,MATCH($DA245,$DX$10:$DX$23,0)),0))</f>
        <v>267.99172714285714</v>
      </c>
      <c r="DQ245" s="921">
        <f>IF(dd_PartSA_2_lines = "Yes",0,_xlfn.IFNA(INDEX('Resource use and costs'!$EA$12:$EA$25,MATCH(DB245,'Resource use and costs'!$DS$12:$DS$25,0)),0)*_xlfn.IFNA(INDEX(EC$10:EC$23,MATCH($DB245,$DX$10:$DX$23,0)),0))</f>
        <v>0</v>
      </c>
      <c r="DR245" s="921">
        <f t="shared" si="184"/>
        <v>1105.9356700000001</v>
      </c>
      <c r="DS245" s="1004">
        <f ca="1">SUMIFS('Safety parameters'!$DM$6:$DM$18,'Safety parameters'!$DK$6:$DK$18,CZ245,'Safety parameters'!$DL$6:$DL$18,1)+IF(dd_PartSA_2_lines = "Yes",0,SUMIFS('Safety parameters'!$DM$6:$DM$18,'Safety parameters'!$DK$6:$DK$18,DA245,'Safety parameters'!$DL$6:$DL$18,2)+SUMIFS('Safety parameters'!$DM$6:$DM$18,'Safety parameters'!$DK$6:$DK$18,DB245,'Safety parameters'!$DL$6:$DL$18,2))</f>
        <v>2042.1647262635129</v>
      </c>
      <c r="DT245" s="910">
        <f ca="1">SUMIFS('Safety parameters'!$DO$6:$DO$18,'Safety parameters'!$DK$6:$DK$18,CZ245,'Safety parameters'!$DL$6:$DL$18,1)+IF(dd_PartSA_2_lines = "Yes",0,SUMIFS('Safety parameters'!$DO$6:$DO$18,'Safety parameters'!$DK$6:$DK$18,DA245,'Safety parameters'!$DL$6:$DL$18,2)+SUMIFS('Safety parameters'!$DO$6:$DO$18,'Safety parameters'!$DK$6:$DK$18,DB245,'Safety parameters'!$DL$6:$DL$18,2))</f>
        <v>-1.8195878647800728E-2</v>
      </c>
    </row>
    <row r="246" spans="89:124" ht="15.75" thickBot="1" x14ac:dyDescent="0.25">
      <c r="CK246" s="506" t="s">
        <v>31</v>
      </c>
      <c r="CL246" s="506">
        <v>2</v>
      </c>
      <c r="CM246" s="506" t="str">
        <v>placebo_BSC</v>
      </c>
      <c r="CN246" s="19">
        <v>999</v>
      </c>
      <c r="CO246" s="506" t="str" cm="1">
        <f t="array" ref="CO246">INDEX(List_comparators,CP232+2)</f>
        <v>placebo_BSC</v>
      </c>
      <c r="CP246" s="19">
        <v>999</v>
      </c>
      <c r="CQ246" s="602">
        <f t="shared" ca="1" si="191"/>
        <v>0</v>
      </c>
      <c r="CR246" s="602">
        <f t="shared" ca="1" si="187"/>
        <v>0</v>
      </c>
      <c r="CS246" s="670">
        <v>0</v>
      </c>
      <c r="CT246" s="670">
        <f t="shared" ca="1" si="188"/>
        <v>0</v>
      </c>
      <c r="CU246" s="1123">
        <f>MATCH(CZ246,'Resource use and costs'!$BA$11:$BA$53,0)</f>
        <v>24</v>
      </c>
      <c r="CV246" s="1223"/>
      <c r="CW246" s="1241">
        <f t="shared" si="182"/>
        <v>1</v>
      </c>
      <c r="CX246" s="899" t="s">
        <v>773</v>
      </c>
      <c r="CY246" s="899" t="s">
        <v>118</v>
      </c>
      <c r="CZ246" s="899" t="s">
        <v>319</v>
      </c>
      <c r="DA246" s="899" t="s">
        <v>327</v>
      </c>
      <c r="DB246" s="899" t="s">
        <v>119</v>
      </c>
      <c r="DC246" s="899" cm="1">
        <f t="array" aca="1" ref="DC246" ca="1">_xlfn.IFNA(OFFSET($I$49,MATCH(CY246,$I$50:$I$63,0),MATCH(CZ246,TRANSPOSE($J$49:$W$49),0)),0)</f>
        <v>0</v>
      </c>
      <c r="DD246" s="899" cm="1">
        <f t="array" aca="1" ref="DD246" ca="1">_xlfn.IFNA(OFFSET($Y$49,MATCH($CZ246,$Y$50:$Y$63,0),MATCH($DA246,TRANSPOSE($Z$49:$AM$49),0)),0)</f>
        <v>4.6899999999999997E-2</v>
      </c>
      <c r="DE246" s="899" cm="1">
        <f t="array" aca="1" ref="DE246" ca="1">_xlfn.IFNA(OFFSET($AO$49,MATCH($DA246,$AO$50:$AO$63,0),MATCH($DB246,TRANSPOSE($AP$49:$BC$49),0)),0)</f>
        <v>0.56859999999999999</v>
      </c>
      <c r="DF246" s="881">
        <f t="shared" ca="1" si="179"/>
        <v>0</v>
      </c>
      <c r="DG246" s="910">
        <f t="shared" ca="1" si="180"/>
        <v>1.0010447133454794</v>
      </c>
      <c r="DH246" s="881">
        <f t="shared" ca="1" si="181"/>
        <v>0</v>
      </c>
      <c r="DI246" s="1460">
        <f t="shared" ref="DI246:DI252" ca="1" si="192">114*DH246</f>
        <v>0</v>
      </c>
      <c r="DJ246" s="909">
        <f>_xlfn.IFNA(INDEX('Resource use and costs'!$CQ$11:$CQ$53,MATCH($CZ246,'Resource use and costs'!$BA$11:$BA$53,0)),0)*_xlfn.IFNA(INDEX(DY$10:DY$23,MATCH($CZ246,$DX$10:$DX$23,0)),0)</f>
        <v>20680.612971428574</v>
      </c>
      <c r="DK246" s="909">
        <f>IF(dd_PartSA_2_lines = "Yes",0,_xlfn.IFNA(INDEX('Resource use and costs'!$CR$11:$CR$53,MATCH(DA246,'Resource use and costs'!$BA$11:$BA$53,0)),0)*_xlfn.IFNA(INDEX(EA$10:EA$23,MATCH($DA246,$DX$10:$DX$23,0)),0))</f>
        <v>21421.066008214286</v>
      </c>
      <c r="DL246" s="909">
        <f>IF(dd_PartSA_2_lines = "Yes",0,_xlfn.IFNA(INDEX('Resource use and costs'!$CS$11:$CS$53,MATCH(DB246,'Resource use and costs'!$BA$11:$BA$53,0)),0)*_xlfn.IFNA(INDEX(EC$10:EC$23,MATCH($DB246,$DX$10:$DX$23,0)),0))</f>
        <v>2915.4763433333328</v>
      </c>
      <c r="DM246" s="909">
        <f t="shared" si="183"/>
        <v>45017.155322976199</v>
      </c>
      <c r="DN246" s="909">
        <f>SUM(_xlfn.IFNA(INDEX('Resource use and costs'!$DU$12:$DU$25,MATCH(CZ246,'Resource use and costs'!$DS$12:$DS$25,0)),0),_xlfn.IFNA(INDEX('Resource use and costs'!$DU$12:$DU$25,MATCH(DA246,'Resource use and costs'!$DS$12:$DS$25,0)),0),_xlfn.IFNA(INDEX('Resource use and costs'!$DU$12:$DU$25,MATCH(DB246,'Resource use and costs'!$DS$12:$DS$25,0)),0))</f>
        <v>591.75</v>
      </c>
      <c r="DO246" s="921">
        <f>_xlfn.IFNA(INDEX('Resource use and costs'!$DY$12:$DY$25,MATCH(CZ246,'Resource use and costs'!$DS$12:$DS$25,0)),0)*_xlfn.IFNA(INDEX(DY$10:DY$23,MATCH($CZ246,$DX$10:$DX$23,0)),0)</f>
        <v>443.44394285714293</v>
      </c>
      <c r="DP246" s="921">
        <f>IF(dd_PartSA_2_lines = "Yes",0,_xlfn.IFNA(INDEX('Resource use and costs'!$DZ$12:$DZ$25,MATCH(DA246,'Resource use and costs'!$DS$12:$DS$25,0)),0)*_xlfn.IFNA(INDEX(EA$10:EA$23,MATCH($DA246,$DX$10:$DX$23,0)),0))</f>
        <v>267.99172714285714</v>
      </c>
      <c r="DQ246" s="921">
        <f>IF(dd_PartSA_2_lines = "Yes",0,_xlfn.IFNA(INDEX('Resource use and costs'!$EA$12:$EA$25,MATCH(DB246,'Resource use and costs'!$DS$12:$DS$25,0)),0)*_xlfn.IFNA(INDEX(EC$10:EC$23,MATCH($DB246,$DX$10:$DX$23,0)),0))</f>
        <v>256.11457142857142</v>
      </c>
      <c r="DR246" s="921">
        <f t="shared" si="184"/>
        <v>1559.3002414285716</v>
      </c>
      <c r="DS246" s="1004">
        <f ca="1">SUMIFS('Safety parameters'!$DM$6:$DM$18,'Safety parameters'!$DK$6:$DK$18,CZ246,'Safety parameters'!$DL$6:$DL$18,1)+IF(dd_PartSA_2_lines = "Yes",0,SUMIFS('Safety parameters'!$DM$6:$DM$18,'Safety parameters'!$DK$6:$DK$18,DA246,'Safety parameters'!$DL$6:$DL$18,2)+SUMIFS('Safety parameters'!$DM$6:$DM$18,'Safety parameters'!$DK$6:$DK$18,DB246,'Safety parameters'!$DL$6:$DL$18,2))</f>
        <v>2375.0401096388277</v>
      </c>
      <c r="DT246" s="910">
        <f ca="1">SUMIFS('Safety parameters'!$DO$6:$DO$18,'Safety parameters'!$DK$6:$DK$18,CZ246,'Safety parameters'!$DL$6:$DL$18,1)+IF(dd_PartSA_2_lines = "Yes",0,SUMIFS('Safety parameters'!$DO$6:$DO$18,'Safety parameters'!$DK$6:$DK$18,DA246,'Safety parameters'!$DL$6:$DL$18,2)+SUMIFS('Safety parameters'!$DO$6:$DO$18,'Safety parameters'!$DK$6:$DK$18,DB246,'Safety parameters'!$DL$6:$DL$18,2))</f>
        <v>-2.0863452184438448E-2</v>
      </c>
    </row>
    <row r="247" spans="89:124" ht="15" x14ac:dyDescent="0.2">
      <c r="CK247" s="505" t="s">
        <v>31</v>
      </c>
      <c r="CL247" s="505">
        <v>3</v>
      </c>
      <c r="CM247" s="61" t="str" cm="1">
        <f t="array" ref="CM247:CM260">List_comparators</f>
        <v>nivolumab_monotherapy</v>
      </c>
      <c r="CN247" s="17">
        <v>0</v>
      </c>
      <c r="CO247" s="61" t="str" cm="1">
        <f t="array" ref="CO247">INDEX(List_comparators,CP247+1)</f>
        <v>nivolumab_monotherapy</v>
      </c>
      <c r="CP247" s="17">
        <v>0</v>
      </c>
      <c r="CQ247" s="603">
        <f t="shared" ref="CQ247:CQ278" ca="1" si="193">OFFSET($Z$50,IF(CN247=999,13,CN247),CP247)</f>
        <v>0</v>
      </c>
      <c r="CR247" s="603">
        <f t="shared" ref="CR247:CR278" ca="1" si="194">OFFSET($Z$65,IF(CN247=999,13,CN247),CP247)</f>
        <v>0</v>
      </c>
      <c r="CS247" s="671">
        <f t="shared" ref="CS247:CS259" ca="1" si="195">OFFSET($Z$81,IF(CN247=999,13,CN247),CP247)</f>
        <v>21.82</v>
      </c>
      <c r="CT247" s="671">
        <f t="shared" ref="CT247:CT278" ca="1" si="196">OFFSET($Z$97,IF(CN247=999,13,CN247),CP247)</f>
        <v>4.1142857142857139</v>
      </c>
      <c r="CU247" s="1123">
        <f>MATCH(CZ247,'Resource use and costs'!$BA$11:$BA$53,0)</f>
        <v>24</v>
      </c>
      <c r="CV247" s="1223"/>
      <c r="CW247" s="1241">
        <f t="shared" si="182"/>
        <v>1</v>
      </c>
      <c r="CX247" s="899" t="s">
        <v>773</v>
      </c>
      <c r="CY247" s="899" t="s">
        <v>118</v>
      </c>
      <c r="CZ247" s="899" t="s">
        <v>319</v>
      </c>
      <c r="DA247" s="899" t="s">
        <v>765</v>
      </c>
      <c r="DB247" s="899"/>
      <c r="DC247" s="899" cm="1">
        <f t="array" aca="1" ref="DC247" ca="1">_xlfn.IFNA(OFFSET($I$49,MATCH(CY247,$I$50:$I$63,0),MATCH(CZ247,TRANSPOSE($J$49:$W$49),0)),0)</f>
        <v>0</v>
      </c>
      <c r="DD247" s="899" cm="1">
        <f t="array" aca="1" ref="DD247" ca="1">_xlfn.IFNA(OFFSET($Y$49,MATCH($CZ247,$Y$50:$Y$63,0),MATCH($DA247,TRANSPOSE($Z$49:$AM$49),0)),0)</f>
        <v>0.34300000000000003</v>
      </c>
      <c r="DE247" s="899" cm="1">
        <f t="array" aca="1" ref="DE247" ca="1">_xlfn.IFNA(OFFSET($AO$49,MATCH($DA247,$AO$50:$AO$63,0),MATCH($DB247,TRANSPOSE($AP$49:$BC$49),0)),0)</f>
        <v>0</v>
      </c>
      <c r="DF247" s="881">
        <f t="shared" ca="1" si="179"/>
        <v>0</v>
      </c>
      <c r="DG247" s="910">
        <f t="shared" ca="1" si="180"/>
        <v>1.0010447133454794</v>
      </c>
      <c r="DH247" s="881">
        <f t="shared" ca="1" si="181"/>
        <v>0</v>
      </c>
      <c r="DI247" s="1460">
        <f t="shared" ca="1" si="192"/>
        <v>0</v>
      </c>
      <c r="DJ247" s="909">
        <f>_xlfn.IFNA(INDEX('Resource use and costs'!$CQ$11:$CQ$53,MATCH($CZ247,'Resource use and costs'!$BA$11:$BA$53,0)),0)*_xlfn.IFNA(INDEX(DY$10:DY$23,MATCH($CZ247,$DX$10:$DX$23,0)),0)</f>
        <v>20680.612971428574</v>
      </c>
      <c r="DK247" s="909">
        <f>IF(dd_PartSA_2_lines = "Yes",0,_xlfn.IFNA(INDEX('Resource use and costs'!$CR$11:$CR$53,MATCH(DA247,'Resource use and costs'!$BA$11:$BA$53,0)),0)*_xlfn.IFNA(INDEX(EA$10:EA$23,MATCH($DA247,$DX$10:$DX$23,0)),0))</f>
        <v>0</v>
      </c>
      <c r="DL247" s="909">
        <f>IF(dd_PartSA_2_lines = "Yes",0,_xlfn.IFNA(INDEX('Resource use and costs'!$CS$11:$CS$53,MATCH(DB247,'Resource use and costs'!$BA$11:$BA$53,0)),0)*_xlfn.IFNA(INDEX(EC$10:EC$23,MATCH($DB247,$DX$10:$DX$23,0)),0))</f>
        <v>0</v>
      </c>
      <c r="DM247" s="909">
        <f t="shared" si="183"/>
        <v>20680.612971428574</v>
      </c>
      <c r="DN247" s="909">
        <f>SUM(_xlfn.IFNA(INDEX('Resource use and costs'!$DU$12:$DU$25,MATCH(CZ247,'Resource use and costs'!$DS$12:$DS$25,0)),0),_xlfn.IFNA(INDEX('Resource use and costs'!$DU$12:$DU$25,MATCH(DA247,'Resource use and costs'!$DS$12:$DS$25,0)),0),_xlfn.IFNA(INDEX('Resource use and costs'!$DU$12:$DU$25,MATCH(DB247,'Resource use and costs'!$DS$12:$DS$25,0)),0))</f>
        <v>197.25</v>
      </c>
      <c r="DO247" s="921">
        <f>_xlfn.IFNA(INDEX('Resource use and costs'!$DY$12:$DY$25,MATCH(CZ247,'Resource use and costs'!$DS$12:$DS$25,0)),0)*_xlfn.IFNA(INDEX(DY$10:DY$23,MATCH($CZ247,$DX$10:$DX$23,0)),0)</f>
        <v>443.44394285714293</v>
      </c>
      <c r="DP247" s="921">
        <f>IF(dd_PartSA_2_lines = "Yes",0,_xlfn.IFNA(INDEX('Resource use and costs'!$DZ$12:$DZ$25,MATCH(DA247,'Resource use and costs'!$DS$12:$DS$25,0)),0)*_xlfn.IFNA(INDEX(EA$10:EA$23,MATCH($DA247,$DX$10:$DX$23,0)),0))</f>
        <v>0</v>
      </c>
      <c r="DQ247" s="921">
        <f>IF(dd_PartSA_2_lines = "Yes",0,_xlfn.IFNA(INDEX('Resource use and costs'!$EA$12:$EA$25,MATCH(DB247,'Resource use and costs'!$DS$12:$DS$25,0)),0)*_xlfn.IFNA(INDEX(EC$10:EC$23,MATCH($DB247,$DX$10:$DX$23,0)),0))</f>
        <v>0</v>
      </c>
      <c r="DR247" s="921">
        <f t="shared" si="184"/>
        <v>640.69394285714293</v>
      </c>
      <c r="DS247" s="1004">
        <f ca="1">SUMIFS('Safety parameters'!$DM$6:$DM$18,'Safety parameters'!$DK$6:$DK$18,CZ247,'Safety parameters'!$DL$6:$DL$18,1)+IF(dd_PartSA_2_lines = "Yes",0,SUMIFS('Safety parameters'!$DM$6:$DM$18,'Safety parameters'!$DK$6:$DK$18,DA247,'Safety parameters'!$DL$6:$DL$18,2)+SUMIFS('Safety parameters'!$DM$6:$DM$18,'Safety parameters'!$DK$6:$DK$18,DB247,'Safety parameters'!$DL$6:$DL$18,2))</f>
        <v>407.93605269805306</v>
      </c>
      <c r="DT247" s="910">
        <f ca="1">SUMIFS('Safety parameters'!$DO$6:$DO$18,'Safety parameters'!$DK$6:$DK$18,CZ247,'Safety parameters'!$DL$6:$DL$18,1)+IF(dd_PartSA_2_lines = "Yes",0,SUMIFS('Safety parameters'!$DO$6:$DO$18,'Safety parameters'!$DK$6:$DK$18,DA247,'Safety parameters'!$DL$6:$DL$18,2)+SUMIFS('Safety parameters'!$DO$6:$DO$18,'Safety parameters'!$DK$6:$DK$18,DB247,'Safety parameters'!$DL$6:$DL$18,2))</f>
        <v>-3.453954640319298E-3</v>
      </c>
    </row>
    <row r="248" spans="89:124" ht="15" x14ac:dyDescent="0.2">
      <c r="CK248" s="61" t="s">
        <v>31</v>
      </c>
      <c r="CL248" s="61">
        <v>3</v>
      </c>
      <c r="CM248" s="61" t="str">
        <v>cabozantinib_plus_nivolumab</v>
      </c>
      <c r="CN248" s="17">
        <v>1</v>
      </c>
      <c r="CO248" s="61" t="str" cm="1">
        <f t="array" ref="CO248">INDEX(List_comparators,CP247+1)</f>
        <v>nivolumab_monotherapy</v>
      </c>
      <c r="CP248" s="17">
        <v>0</v>
      </c>
      <c r="CQ248" s="601">
        <f t="shared" ca="1" si="193"/>
        <v>0</v>
      </c>
      <c r="CR248" s="601">
        <f t="shared" ca="1" si="194"/>
        <v>0</v>
      </c>
      <c r="CS248" s="671">
        <f t="shared" ca="1" si="195"/>
        <v>21.82</v>
      </c>
      <c r="CT248" s="671">
        <f t="shared" ca="1" si="196"/>
        <v>4.1142857142857139</v>
      </c>
      <c r="CU248" s="1123">
        <f>MATCH(CZ248,'Resource use and costs'!$BA$11:$BA$53,0)</f>
        <v>24</v>
      </c>
      <c r="CV248" s="1223"/>
      <c r="CW248" s="1241">
        <f t="shared" si="182"/>
        <v>1</v>
      </c>
      <c r="CX248" s="899" t="s">
        <v>773</v>
      </c>
      <c r="CY248" s="899" t="s">
        <v>118</v>
      </c>
      <c r="CZ248" s="899" t="s">
        <v>319</v>
      </c>
      <c r="DA248" s="899" t="s">
        <v>119</v>
      </c>
      <c r="DB248" s="899" t="s">
        <v>327</v>
      </c>
      <c r="DC248" s="899" cm="1">
        <f t="array" aca="1" ref="DC248" ca="1">_xlfn.IFNA(OFFSET($I$49,MATCH(CY248,$I$50:$I$63,0),MATCH(CZ248,TRANSPOSE($J$49:$W$49),0)),0)</f>
        <v>0</v>
      </c>
      <c r="DD248" s="899" cm="1">
        <f t="array" aca="1" ref="DD248" ca="1">_xlfn.IFNA(OFFSET($Y$49,MATCH($CZ248,$Y$50:$Y$63,0),MATCH($DA248,TRANSPOSE($Z$49:$AM$49),0)),0)</f>
        <v>4.6899999999999997E-2</v>
      </c>
      <c r="DE248" s="899" cm="1">
        <f t="array" aca="1" ref="DE248" ca="1">_xlfn.IFNA(OFFSET($AO$49,MATCH($DA248,$AO$50:$AO$63,0),MATCH($DB248,TRANSPOSE($AP$49:$BC$49),0)),0)</f>
        <v>0</v>
      </c>
      <c r="DF248" s="881">
        <f t="shared" ca="1" si="179"/>
        <v>0</v>
      </c>
      <c r="DG248" s="910">
        <f t="shared" ca="1" si="180"/>
        <v>1.0010447133454794</v>
      </c>
      <c r="DH248" s="881">
        <f t="shared" ca="1" si="181"/>
        <v>0</v>
      </c>
      <c r="DI248" s="1460">
        <f t="shared" ca="1" si="192"/>
        <v>0</v>
      </c>
      <c r="DJ248" s="909">
        <f>_xlfn.IFNA(INDEX('Resource use and costs'!$CQ$11:$CQ$53,MATCH($CZ248,'Resource use and costs'!$BA$11:$BA$53,0)),0)*_xlfn.IFNA(INDEX(DY$10:DY$23,MATCH($CZ248,$DX$10:$DX$23,0)),0)</f>
        <v>20680.612971428574</v>
      </c>
      <c r="DK248" s="909">
        <f>IF(dd_PartSA_2_lines = "Yes",0,_xlfn.IFNA(INDEX('Resource use and costs'!$CR$11:$CR$53,MATCH(DA248,'Resource use and costs'!$BA$11:$BA$53,0)),0)*_xlfn.IFNA(INDEX(EA$10:EA$23,MATCH($DA248,$DX$10:$DX$23,0)),0))</f>
        <v>848.17532499999982</v>
      </c>
      <c r="DL248" s="909">
        <f>IF(dd_PartSA_2_lines = "Yes",0,_xlfn.IFNA(INDEX('Resource use and costs'!$CS$11:$CS$53,MATCH(DB248,'Resource use and costs'!$BA$11:$BA$53,0)),0)*_xlfn.IFNA(INDEX(EC$10:EC$23,MATCH($DB248,$DX$10:$DX$23,0)),0))</f>
        <v>18438.751749999999</v>
      </c>
      <c r="DM248" s="909">
        <f t="shared" si="183"/>
        <v>39967.540046428578</v>
      </c>
      <c r="DN248" s="909">
        <f>SUM(_xlfn.IFNA(INDEX('Resource use and costs'!$DU$12:$DU$25,MATCH(CZ248,'Resource use and costs'!$DS$12:$DS$25,0)),0),_xlfn.IFNA(INDEX('Resource use and costs'!$DU$12:$DU$25,MATCH(DA248,'Resource use and costs'!$DS$12:$DS$25,0)),0),_xlfn.IFNA(INDEX('Resource use and costs'!$DU$12:$DU$25,MATCH(DB248,'Resource use and costs'!$DS$12:$DS$25,0)),0))</f>
        <v>591.75</v>
      </c>
      <c r="DO248" s="921">
        <f>_xlfn.IFNA(INDEX('Resource use and costs'!$DY$12:$DY$25,MATCH(CZ248,'Resource use and costs'!$DS$12:$DS$25,0)),0)*_xlfn.IFNA(INDEX(DY$10:DY$23,MATCH($CZ248,$DX$10:$DX$23,0)),0)</f>
        <v>443.44394285714293</v>
      </c>
      <c r="DP248" s="921">
        <f>IF(dd_PartSA_2_lines = "Yes",0,_xlfn.IFNA(INDEX('Resource use and costs'!$DZ$12:$DZ$25,MATCH(DA248,'Resource use and costs'!$DS$12:$DS$25,0)),0)*_xlfn.IFNA(INDEX(EA$10:EA$23,MATCH($DA248,$DX$10:$DX$23,0)),0))</f>
        <v>74.50928571428571</v>
      </c>
      <c r="DQ248" s="921">
        <f>IF(dd_PartSA_2_lines = "Yes",0,_xlfn.IFNA(INDEX('Resource use and costs'!$EA$12:$EA$25,MATCH(DB248,'Resource use and costs'!$DS$12:$DS$25,0)),0)*_xlfn.IFNA(INDEX(EC$10:EC$23,MATCH($DB248,$DX$10:$DX$23,0)),0))</f>
        <v>230.68099999999998</v>
      </c>
      <c r="DR248" s="921">
        <f t="shared" si="184"/>
        <v>1340.3842285714286</v>
      </c>
      <c r="DS248" s="1004">
        <f ca="1">SUMIFS('Safety parameters'!$DM$6:$DM$18,'Safety parameters'!$DK$6:$DK$18,CZ248,'Safety parameters'!$DL$6:$DL$18,1)+IF(dd_PartSA_2_lines = "Yes",0,SUMIFS('Safety parameters'!$DM$6:$DM$18,'Safety parameters'!$DK$6:$DK$18,DA248,'Safety parameters'!$DL$6:$DL$18,2)+SUMIFS('Safety parameters'!$DM$6:$DM$18,'Safety parameters'!$DK$6:$DK$18,DB248,'Safety parameters'!$DL$6:$DL$18,2))</f>
        <v>2375.0401096388277</v>
      </c>
      <c r="DT248" s="910">
        <f ca="1">SUMIFS('Safety parameters'!$DO$6:$DO$18,'Safety parameters'!$DK$6:$DK$18,CZ248,'Safety parameters'!$DL$6:$DL$18,1)+IF(dd_PartSA_2_lines = "Yes",0,SUMIFS('Safety parameters'!$DO$6:$DO$18,'Safety parameters'!$DK$6:$DK$18,DA248,'Safety parameters'!$DL$6:$DL$18,2)+SUMIFS('Safety parameters'!$DO$6:$DO$18,'Safety parameters'!$DK$6:$DK$18,DB248,'Safety parameters'!$DL$6:$DL$18,2))</f>
        <v>-2.0863452184438448E-2</v>
      </c>
    </row>
    <row r="249" spans="89:124" ht="15" x14ac:dyDescent="0.2">
      <c r="CK249" s="61" t="s">
        <v>31</v>
      </c>
      <c r="CL249" s="61">
        <v>3</v>
      </c>
      <c r="CM249" s="61" t="str">
        <v>nivolumab_plus_ipilimumab</v>
      </c>
      <c r="CN249" s="17">
        <v>2</v>
      </c>
      <c r="CO249" s="61" t="str" cm="1">
        <f t="array" ref="CO249">INDEX(List_comparators,CP248+1)</f>
        <v>nivolumab_monotherapy</v>
      </c>
      <c r="CP249" s="17">
        <v>0</v>
      </c>
      <c r="CQ249" s="601">
        <f t="shared" ca="1" si="193"/>
        <v>0</v>
      </c>
      <c r="CR249" s="601">
        <f t="shared" ca="1" si="194"/>
        <v>0</v>
      </c>
      <c r="CS249" s="671">
        <f t="shared" ca="1" si="195"/>
        <v>21.82</v>
      </c>
      <c r="CT249" s="671">
        <f t="shared" ca="1" si="196"/>
        <v>4.1142857142857139</v>
      </c>
      <c r="CU249" s="1123">
        <f>MATCH(CZ249,'Resource use and costs'!$BA$11:$BA$53,0)</f>
        <v>24</v>
      </c>
      <c r="CV249" s="1223"/>
      <c r="CW249" s="1241">
        <f t="shared" si="182"/>
        <v>1</v>
      </c>
      <c r="CX249" s="899" t="s">
        <v>773</v>
      </c>
      <c r="CY249" s="899" t="s">
        <v>118</v>
      </c>
      <c r="CZ249" s="899" t="s">
        <v>319</v>
      </c>
      <c r="DA249" s="899" t="s">
        <v>119</v>
      </c>
      <c r="DB249" s="899" t="s">
        <v>765</v>
      </c>
      <c r="DC249" s="899" cm="1">
        <f t="array" aca="1" ref="DC249" ca="1">_xlfn.IFNA(OFFSET($I$49,MATCH(CY249,$I$50:$I$63,0),MATCH(CZ249,TRANSPOSE($J$49:$W$49),0)),0)</f>
        <v>0</v>
      </c>
      <c r="DD249" s="899" cm="1">
        <f t="array" aca="1" ref="DD249" ca="1">_xlfn.IFNA(OFFSET($Y$49,MATCH($CZ249,$Y$50:$Y$63,0),MATCH($DA249,TRANSPOSE($Z$49:$AM$49),0)),0)</f>
        <v>4.6899999999999997E-2</v>
      </c>
      <c r="DE249" s="899" cm="1">
        <f t="array" aca="1" ref="DE249" ca="1">_xlfn.IFNA(OFFSET($AO$49,MATCH($DA249,$AO$50:$AO$63,0),MATCH($DB249,TRANSPOSE($AP$49:$BC$49),0)),0)</f>
        <v>1</v>
      </c>
      <c r="DF249" s="881">
        <f t="shared" ca="1" si="179"/>
        <v>0</v>
      </c>
      <c r="DG249" s="910">
        <f t="shared" ca="1" si="180"/>
        <v>1.0010447133454794</v>
      </c>
      <c r="DH249" s="881">
        <f t="shared" ca="1" si="181"/>
        <v>0</v>
      </c>
      <c r="DI249" s="1460">
        <f t="shared" ca="1" si="192"/>
        <v>0</v>
      </c>
      <c r="DJ249" s="909">
        <f>_xlfn.IFNA(INDEX('Resource use and costs'!$CQ$11:$CQ$53,MATCH($CZ249,'Resource use and costs'!$BA$11:$BA$53,0)),0)*_xlfn.IFNA(INDEX(DY$10:DY$23,MATCH($CZ249,$DX$10:$DX$23,0)),0)</f>
        <v>20680.612971428574</v>
      </c>
      <c r="DK249" s="909">
        <f>IF(dd_PartSA_2_lines = "Yes",0,_xlfn.IFNA(INDEX('Resource use and costs'!$CR$11:$CR$53,MATCH(DA249,'Resource use and costs'!$BA$11:$BA$53,0)),0)*_xlfn.IFNA(INDEX(EA$10:EA$23,MATCH($DA249,$DX$10:$DX$23,0)),0))</f>
        <v>848.17532499999982</v>
      </c>
      <c r="DL249" s="909">
        <f>IF(dd_PartSA_2_lines = "Yes",0,_xlfn.IFNA(INDEX('Resource use and costs'!$CS$11:$CS$53,MATCH(DB249,'Resource use and costs'!$BA$11:$BA$53,0)),0)*_xlfn.IFNA(INDEX(EC$10:EC$23,MATCH($DB249,$DX$10:$DX$23,0)),0))</f>
        <v>0</v>
      </c>
      <c r="DM249" s="909">
        <f t="shared" si="183"/>
        <v>21528.788296428575</v>
      </c>
      <c r="DN249" s="909">
        <f>SUM(_xlfn.IFNA(INDEX('Resource use and costs'!$DU$12:$DU$25,MATCH(CZ249,'Resource use and costs'!$DS$12:$DS$25,0)),0),_xlfn.IFNA(INDEX('Resource use and costs'!$DU$12:$DU$25,MATCH(DA249,'Resource use and costs'!$DS$12:$DS$25,0)),0),_xlfn.IFNA(INDEX('Resource use and costs'!$DU$12:$DU$25,MATCH(DB249,'Resource use and costs'!$DS$12:$DS$25,0)),0))</f>
        <v>394.5</v>
      </c>
      <c r="DO249" s="921">
        <f>_xlfn.IFNA(INDEX('Resource use and costs'!$DY$12:$DY$25,MATCH(CZ249,'Resource use and costs'!$DS$12:$DS$25,0)),0)*_xlfn.IFNA(INDEX(DY$10:DY$23,MATCH($CZ249,$DX$10:$DX$23,0)),0)</f>
        <v>443.44394285714293</v>
      </c>
      <c r="DP249" s="921">
        <f>IF(dd_PartSA_2_lines = "Yes",0,_xlfn.IFNA(INDEX('Resource use and costs'!$DZ$12:$DZ$25,MATCH(DA249,'Resource use and costs'!$DS$12:$DS$25,0)),0)*_xlfn.IFNA(INDEX(EA$10:EA$23,MATCH($DA249,$DX$10:$DX$23,0)),0))</f>
        <v>74.50928571428571</v>
      </c>
      <c r="DQ249" s="921">
        <f>IF(dd_PartSA_2_lines = "Yes",0,_xlfn.IFNA(INDEX('Resource use and costs'!$EA$12:$EA$25,MATCH(DB249,'Resource use and costs'!$DS$12:$DS$25,0)),0)*_xlfn.IFNA(INDEX(EC$10:EC$23,MATCH($DB249,$DX$10:$DX$23,0)),0))</f>
        <v>0</v>
      </c>
      <c r="DR249" s="921">
        <f t="shared" si="184"/>
        <v>912.45322857142867</v>
      </c>
      <c r="DS249" s="1004">
        <f ca="1">SUMIFS('Safety parameters'!$DM$6:$DM$18,'Safety parameters'!$DK$6:$DK$18,CZ249,'Safety parameters'!$DL$6:$DL$18,1)+IF(dd_PartSA_2_lines = "Yes",0,SUMIFS('Safety parameters'!$DM$6:$DM$18,'Safety parameters'!$DK$6:$DK$18,DA249,'Safety parameters'!$DL$6:$DL$18,2)+SUMIFS('Safety parameters'!$DM$6:$DM$18,'Safety parameters'!$DK$6:$DK$18,DB249,'Safety parameters'!$DL$6:$DL$18,2))</f>
        <v>740.81143607336799</v>
      </c>
      <c r="DT249" s="910">
        <f ca="1">SUMIFS('Safety parameters'!$DO$6:$DO$18,'Safety parameters'!$DK$6:$DK$18,CZ249,'Safety parameters'!$DL$6:$DL$18,1)+IF(dd_PartSA_2_lines = "Yes",0,SUMIFS('Safety parameters'!$DO$6:$DO$18,'Safety parameters'!$DK$6:$DK$18,DA249,'Safety parameters'!$DL$6:$DL$18,2)+SUMIFS('Safety parameters'!$DO$6:$DO$18,'Safety parameters'!$DK$6:$DK$18,DB249,'Safety parameters'!$DL$6:$DL$18,2))</f>
        <v>-6.1215281769570178E-3</v>
      </c>
    </row>
    <row r="250" spans="89:124" ht="15" x14ac:dyDescent="0.2">
      <c r="CK250" s="61" t="s">
        <v>31</v>
      </c>
      <c r="CL250" s="61">
        <v>3</v>
      </c>
      <c r="CM250" s="61" t="str">
        <v>lenvatinib_plus_pembrolizumab</v>
      </c>
      <c r="CN250" s="17">
        <v>3</v>
      </c>
      <c r="CO250" s="61" t="str" cm="1">
        <f t="array" ref="CO250">INDEX(List_comparators,CP249+1)</f>
        <v>nivolumab_monotherapy</v>
      </c>
      <c r="CP250" s="17">
        <v>0</v>
      </c>
      <c r="CQ250" s="601">
        <f t="shared" ca="1" si="193"/>
        <v>0</v>
      </c>
      <c r="CR250" s="601">
        <f t="shared" ca="1" si="194"/>
        <v>0</v>
      </c>
      <c r="CS250" s="671">
        <f t="shared" ca="1" si="195"/>
        <v>21.82</v>
      </c>
      <c r="CT250" s="671">
        <f t="shared" ca="1" si="196"/>
        <v>4.1142857142857139</v>
      </c>
      <c r="CU250" s="1123">
        <f>MATCH(CZ250,'Resource use and costs'!$BA$11:$BA$53,0)</f>
        <v>24</v>
      </c>
      <c r="CV250" s="1223"/>
      <c r="CW250" s="1241">
        <f t="shared" si="182"/>
        <v>1</v>
      </c>
      <c r="CX250" s="899" t="s">
        <v>773</v>
      </c>
      <c r="CY250" s="899" t="s">
        <v>118</v>
      </c>
      <c r="CZ250" s="899" t="s">
        <v>319</v>
      </c>
      <c r="DA250" s="899" t="s">
        <v>579</v>
      </c>
      <c r="DB250" s="899" t="s">
        <v>327</v>
      </c>
      <c r="DC250" s="899" cm="1">
        <f t="array" aca="1" ref="DC250" ca="1">_xlfn.IFNA(OFFSET($I$49,MATCH(CY250,$I$50:$I$63,0),MATCH(CZ250,TRANSPOSE($J$49:$W$49),0)),0)</f>
        <v>0</v>
      </c>
      <c r="DD250" s="899">
        <f ca="1">1-DD245-DD247-DD248</f>
        <v>0.56320000000000014</v>
      </c>
      <c r="DE250" s="899" cm="1">
        <f t="array" aca="1" ref="DE250" ca="1">_xlfn.IFNA(OFFSET($AO$49,MATCH($DA250,$AO$50:$AO$63,0),MATCH($DB250,TRANSPOSE($AP$49:$BC$49),0)),0)</f>
        <v>0.56859999999999999</v>
      </c>
      <c r="DF250" s="881">
        <f t="shared" ca="1" si="179"/>
        <v>0</v>
      </c>
      <c r="DG250" s="910">
        <f t="shared" ca="1" si="180"/>
        <v>1.0010447133454794</v>
      </c>
      <c r="DH250" s="881">
        <f t="shared" ca="1" si="181"/>
        <v>0</v>
      </c>
      <c r="DI250" s="1460">
        <f t="shared" ca="1" si="192"/>
        <v>0</v>
      </c>
      <c r="DJ250" s="909">
        <f>_xlfn.IFNA(INDEX('Resource use and costs'!$CQ$11:$CQ$53,MATCH($CZ250,'Resource use and costs'!$BA$11:$BA$53,0)),0)*_xlfn.IFNA(INDEX(DY$10:DY$23,MATCH($CZ250,$DX$10:$DX$23,0)),0)</f>
        <v>20680.612971428574</v>
      </c>
      <c r="DK250" s="909">
        <f>IF(dd_PartSA_2_lines = "Yes",0,_xlfn.IFNA(INDEX('Resource use and costs'!$CR$11:$CR$53,MATCH(DA250,'Resource use and costs'!$BA$11:$BA$53,0)),0)*_xlfn.IFNA(INDEX(EA$10:EA$23,MATCH($DA250,$DX$10:$DX$23,0)),0))</f>
        <v>26054.50921</v>
      </c>
      <c r="DL250" s="909">
        <f>IF(dd_PartSA_2_lines = "Yes",0,_xlfn.IFNA(INDEX('Resource use and costs'!$CS$11:$CS$53,MATCH(DB250,'Resource use and costs'!$BA$11:$BA$53,0)),0)*_xlfn.IFNA(INDEX(EC$10:EC$23,MATCH($DB250,$DX$10:$DX$23,0)),0))</f>
        <v>18438.751749999999</v>
      </c>
      <c r="DM250" s="909">
        <f t="shared" si="183"/>
        <v>65173.873931428578</v>
      </c>
      <c r="DN250" s="909">
        <f>SUM(_xlfn.IFNA(INDEX('Resource use and costs'!$DU$12:$DU$25,MATCH(CZ250,'Resource use and costs'!$DS$12:$DS$25,0)),0),_xlfn.IFNA(INDEX('Resource use and costs'!$DU$12:$DU$25,MATCH(DA250,'Resource use and costs'!$DS$12:$DS$25,0)),0),_xlfn.IFNA(INDEX('Resource use and costs'!$DU$12:$DU$25,MATCH(DB250,'Resource use and costs'!$DS$12:$DS$25,0)),0))</f>
        <v>394.5</v>
      </c>
      <c r="DO250" s="921">
        <f>_xlfn.IFNA(INDEX('Resource use and costs'!$DY$12:$DY$25,MATCH(CZ250,'Resource use and costs'!$DS$12:$DS$25,0)),0)*_xlfn.IFNA(INDEX(DY$10:DY$23,MATCH($CZ250,$DX$10:$DX$23,0)),0)</f>
        <v>443.44394285714293</v>
      </c>
      <c r="DP250" s="921">
        <f>IF(dd_PartSA_2_lines = "Yes",0,_xlfn.IFNA(INDEX('Resource use and costs'!$DZ$12:$DZ$25,MATCH(DA250,'Resource use and costs'!$DS$12:$DS$25,0)),0)*_xlfn.IFNA(INDEX(EA$10:EA$23,MATCH($DA250,$DX$10:$DX$23,0)),0))</f>
        <v>4108.3597166</v>
      </c>
      <c r="DQ250" s="921">
        <f>IF(dd_PartSA_2_lines = "Yes",0,_xlfn.IFNA(INDEX('Resource use and costs'!$EA$12:$EA$25,MATCH(DB250,'Resource use and costs'!$DS$12:$DS$25,0)),0)*_xlfn.IFNA(INDEX(EC$10:EC$23,MATCH($DB250,$DX$10:$DX$23,0)),0))</f>
        <v>230.68099999999998</v>
      </c>
      <c r="DR250" s="921">
        <f t="shared" si="184"/>
        <v>5176.9846594571427</v>
      </c>
      <c r="DS250" s="1004">
        <f ca="1">SUMIFS('Safety parameters'!$DM$6:$DM$18,'Safety parameters'!$DK$6:$DK$18,CZ250,'Safety parameters'!$DL$6:$DL$18,1)+IF(dd_PartSA_2_lines = "Yes",0,SUMIFS('Safety parameters'!$DM$6:$DM$18,'Safety parameters'!$DK$6:$DK$18,DA250,'Safety parameters'!$DL$6:$DL$18,2)+SUMIFS('Safety parameters'!$DM$6:$DM$18,'Safety parameters'!$DK$6:$DK$18,DB250,'Safety parameters'!$DL$6:$DL$18,2))</f>
        <v>2203.2984752539273</v>
      </c>
      <c r="DT250" s="910">
        <f ca="1">SUMIFS('Safety parameters'!$DO$6:$DO$18,'Safety parameters'!$DK$6:$DK$18,CZ250,'Safety parameters'!$DL$6:$DL$18,1)+IF(dd_PartSA_2_lines = "Yes",0,SUMIFS('Safety parameters'!$DO$6:$DO$18,'Safety parameters'!$DK$6:$DK$18,DA250,'Safety parameters'!$DL$6:$DL$18,2)+SUMIFS('Safety parameters'!$DO$6:$DO$18,'Safety parameters'!$DK$6:$DK$18,DB250,'Safety parameters'!$DL$6:$DL$18,2))</f>
        <v>-1.9792962845485512E-2</v>
      </c>
    </row>
    <row r="251" spans="89:124" ht="15" x14ac:dyDescent="0.2">
      <c r="CK251" s="61" t="s">
        <v>31</v>
      </c>
      <c r="CL251" s="61">
        <v>3</v>
      </c>
      <c r="CM251" s="61" t="str">
        <v>avelumab_plus_axitinib</v>
      </c>
      <c r="CN251" s="17">
        <v>4</v>
      </c>
      <c r="CO251" s="61" t="str" cm="1">
        <f t="array" ref="CO251">INDEX(List_comparators,CP250+1)</f>
        <v>nivolumab_monotherapy</v>
      </c>
      <c r="CP251" s="17">
        <v>0</v>
      </c>
      <c r="CQ251" s="601">
        <f t="shared" ca="1" si="193"/>
        <v>0</v>
      </c>
      <c r="CR251" s="601">
        <f t="shared" ca="1" si="194"/>
        <v>0</v>
      </c>
      <c r="CS251" s="671">
        <f t="shared" ca="1" si="195"/>
        <v>21.82</v>
      </c>
      <c r="CT251" s="671">
        <f t="shared" ca="1" si="196"/>
        <v>4.1142857142857139</v>
      </c>
      <c r="CU251" s="1123">
        <f>MATCH(CZ251,'Resource use and costs'!$BA$11:$BA$53,0)</f>
        <v>24</v>
      </c>
      <c r="CV251" s="1223"/>
      <c r="CW251" s="1241">
        <f t="shared" si="182"/>
        <v>1</v>
      </c>
      <c r="CX251" s="899" t="s">
        <v>773</v>
      </c>
      <c r="CY251" s="899" t="s">
        <v>118</v>
      </c>
      <c r="CZ251" s="899" t="s">
        <v>319</v>
      </c>
      <c r="DA251" s="899" t="s">
        <v>579</v>
      </c>
      <c r="DB251" s="899" t="s">
        <v>765</v>
      </c>
      <c r="DC251" s="899" cm="1">
        <f t="array" aca="1" ref="DC251" ca="1">_xlfn.IFNA(OFFSET($I$49,MATCH(CY251,$I$50:$I$63,0),MATCH(CZ251,TRANSPOSE($J$49:$W$49),0)),0)</f>
        <v>0</v>
      </c>
      <c r="DD251" s="899">
        <f ca="1">DD250</f>
        <v>0.56320000000000014</v>
      </c>
      <c r="DE251" s="899" cm="1">
        <f t="array" aca="1" ref="DE251" ca="1">_xlfn.IFNA(OFFSET($AO$49,MATCH($DA251,$AO$50:$AO$63,0),MATCH($DB251,TRANSPOSE($AP$49:$BC$49),0)),0)</f>
        <v>0.43140000000000001</v>
      </c>
      <c r="DF251" s="881">
        <f t="shared" ca="1" si="179"/>
        <v>0</v>
      </c>
      <c r="DG251" s="910">
        <f t="shared" ca="1" si="180"/>
        <v>1.0010447133454794</v>
      </c>
      <c r="DH251" s="881">
        <f t="shared" ca="1" si="181"/>
        <v>0</v>
      </c>
      <c r="DI251" s="1460">
        <f t="shared" ca="1" si="192"/>
        <v>0</v>
      </c>
      <c r="DJ251" s="909">
        <f>_xlfn.IFNA(INDEX('Resource use and costs'!$CQ$11:$CQ$53,MATCH($CZ251,'Resource use and costs'!$BA$11:$BA$53,0)),0)*_xlfn.IFNA(INDEX(DY$10:DY$23,MATCH($CZ251,$DX$10:$DX$23,0)),0)</f>
        <v>20680.612971428574</v>
      </c>
      <c r="DK251" s="909">
        <f>IF(dd_PartSA_2_lines = "Yes",0,_xlfn.IFNA(INDEX('Resource use and costs'!$CR$11:$CR$53,MATCH(DA251,'Resource use and costs'!$BA$11:$BA$53,0)),0)*_xlfn.IFNA(INDEX(EA$10:EA$23,MATCH($DA251,$DX$10:$DX$23,0)),0))</f>
        <v>26054.50921</v>
      </c>
      <c r="DL251" s="909">
        <f>IF(dd_PartSA_2_lines = "Yes",0,_xlfn.IFNA(INDEX('Resource use and costs'!$CS$11:$CS$53,MATCH(DB251,'Resource use and costs'!$BA$11:$BA$53,0)),0)*_xlfn.IFNA(INDEX(EC$10:EC$23,MATCH($DB251,$DX$10:$DX$23,0)),0))</f>
        <v>0</v>
      </c>
      <c r="DM251" s="909">
        <f t="shared" si="183"/>
        <v>46735.122181428575</v>
      </c>
      <c r="DN251" s="909">
        <f>SUM(_xlfn.IFNA(INDEX('Resource use and costs'!$DU$12:$DU$25,MATCH(CZ251,'Resource use and costs'!$DS$12:$DS$25,0)),0),_xlfn.IFNA(INDEX('Resource use and costs'!$DU$12:$DU$25,MATCH(DA251,'Resource use and costs'!$DS$12:$DS$25,0)),0),_xlfn.IFNA(INDEX('Resource use and costs'!$DU$12:$DU$25,MATCH(DB251,'Resource use and costs'!$DS$12:$DS$25,0)),0))</f>
        <v>197.25</v>
      </c>
      <c r="DO251" s="921">
        <f>_xlfn.IFNA(INDEX('Resource use and costs'!$DY$12:$DY$25,MATCH(CZ251,'Resource use and costs'!$DS$12:$DS$25,0)),0)*_xlfn.IFNA(INDEX(DY$10:DY$23,MATCH($CZ251,$DX$10:$DX$23,0)),0)</f>
        <v>443.44394285714293</v>
      </c>
      <c r="DP251" s="921">
        <f>IF(dd_PartSA_2_lines = "Yes",0,_xlfn.IFNA(INDEX('Resource use and costs'!$DZ$12:$DZ$25,MATCH(DA251,'Resource use and costs'!$DS$12:$DS$25,0)),0)*_xlfn.IFNA(INDEX(EA$10:EA$23,MATCH($DA251,$DX$10:$DX$23,0)),0))</f>
        <v>4108.3597166</v>
      </c>
      <c r="DQ251" s="921">
        <f>IF(dd_PartSA_2_lines = "Yes",0,_xlfn.IFNA(INDEX('Resource use and costs'!$EA$12:$EA$25,MATCH(DB251,'Resource use and costs'!$DS$12:$DS$25,0)),0)*_xlfn.IFNA(INDEX(EC$10:EC$23,MATCH($DB251,$DX$10:$DX$23,0)),0))</f>
        <v>0</v>
      </c>
      <c r="DR251" s="921">
        <f t="shared" si="184"/>
        <v>4749.0536594571431</v>
      </c>
      <c r="DS251" s="1004">
        <f ca="1">SUMIFS('Safety parameters'!$DM$6:$DM$18,'Safety parameters'!$DK$6:$DK$18,CZ251,'Safety parameters'!$DL$6:$DL$18,1)+IF(dd_PartSA_2_lines = "Yes",0,SUMIFS('Safety parameters'!$DM$6:$DM$18,'Safety parameters'!$DK$6:$DK$18,DA251,'Safety parameters'!$DL$6:$DL$18,2)+SUMIFS('Safety parameters'!$DM$6:$DM$18,'Safety parameters'!$DK$6:$DK$18,DB251,'Safety parameters'!$DL$6:$DL$18,2))</f>
        <v>569.06980168846746</v>
      </c>
      <c r="DT251" s="910">
        <f ca="1">SUMIFS('Safety parameters'!$DO$6:$DO$18,'Safety parameters'!$DK$6:$DK$18,CZ251,'Safety parameters'!$DL$6:$DL$18,1)+IF(dd_PartSA_2_lines = "Yes",0,SUMIFS('Safety parameters'!$DO$6:$DO$18,'Safety parameters'!$DK$6:$DK$18,DA251,'Safety parameters'!$DL$6:$DL$18,2)+SUMIFS('Safety parameters'!$DO$6:$DO$18,'Safety parameters'!$DK$6:$DK$18,DB251,'Safety parameters'!$DL$6:$DL$18,2))</f>
        <v>-5.0510388380040844E-3</v>
      </c>
    </row>
    <row r="252" spans="89:124" ht="15" x14ac:dyDescent="0.2">
      <c r="CK252" s="61" t="s">
        <v>31</v>
      </c>
      <c r="CL252" s="61">
        <v>3</v>
      </c>
      <c r="CM252" s="61" t="str">
        <v>pazopanib</v>
      </c>
      <c r="CN252" s="17">
        <v>5</v>
      </c>
      <c r="CO252" s="61" t="str" cm="1">
        <f t="array" ref="CO252">INDEX(List_comparators,CP251+1)</f>
        <v>nivolumab_monotherapy</v>
      </c>
      <c r="CP252" s="17">
        <v>0</v>
      </c>
      <c r="CQ252" s="601">
        <f t="shared" ca="1" si="193"/>
        <v>0</v>
      </c>
      <c r="CR252" s="601">
        <f t="shared" ca="1" si="194"/>
        <v>0</v>
      </c>
      <c r="CS252" s="671">
        <f t="shared" ca="1" si="195"/>
        <v>21.82</v>
      </c>
      <c r="CT252" s="671">
        <f t="shared" ca="1" si="196"/>
        <v>4.1142857142857139</v>
      </c>
      <c r="CU252" s="1123">
        <f>MATCH(CZ252,'Resource use and costs'!$BA$11:$BA$53,0)</f>
        <v>24</v>
      </c>
      <c r="CV252" s="1223"/>
      <c r="CW252" s="1241">
        <f t="shared" si="182"/>
        <v>1</v>
      </c>
      <c r="CX252" s="899" t="s">
        <v>773</v>
      </c>
      <c r="CY252" s="899" t="s">
        <v>118</v>
      </c>
      <c r="CZ252" s="899" t="s">
        <v>319</v>
      </c>
      <c r="DA252" s="899" t="s">
        <v>579</v>
      </c>
      <c r="DB252" s="899" t="s">
        <v>119</v>
      </c>
      <c r="DC252" s="899" cm="1">
        <f t="array" aca="1" ref="DC252" ca="1">_xlfn.IFNA(OFFSET($I$49,MATCH(CY252,$I$50:$I$63,0),MATCH(CZ252,TRANSPOSE($J$49:$W$49),0)),0)</f>
        <v>0</v>
      </c>
      <c r="DD252" s="899">
        <f ca="1">DD251</f>
        <v>0.56320000000000014</v>
      </c>
      <c r="DE252" s="899" cm="1">
        <f t="array" aca="1" ref="DE252" ca="1">_xlfn.IFNA(OFFSET($AO$49,MATCH($DA252,$AO$50:$AO$63,0),MATCH($DB252,TRANSPOSE($AP$49:$BC$49),0)),0)</f>
        <v>0</v>
      </c>
      <c r="DF252" s="881">
        <f t="shared" ca="1" si="179"/>
        <v>0</v>
      </c>
      <c r="DG252" s="910">
        <f t="shared" ca="1" si="180"/>
        <v>1.0010447133454794</v>
      </c>
      <c r="DH252" s="881">
        <f t="shared" ca="1" si="181"/>
        <v>0</v>
      </c>
      <c r="DI252" s="1460">
        <f t="shared" ca="1" si="192"/>
        <v>0</v>
      </c>
      <c r="DJ252" s="909">
        <f>_xlfn.IFNA(INDEX('Resource use and costs'!$CQ$11:$CQ$53,MATCH($CZ252,'Resource use and costs'!$BA$11:$BA$53,0)),0)*_xlfn.IFNA(INDEX(DY$10:DY$23,MATCH($CZ252,$DX$10:$DX$23,0)),0)</f>
        <v>20680.612971428574</v>
      </c>
      <c r="DK252" s="909">
        <f>IF(dd_PartSA_2_lines = "Yes",0,_xlfn.IFNA(INDEX('Resource use and costs'!$CR$11:$CR$53,MATCH(DA252,'Resource use and costs'!$BA$11:$BA$53,0)),0)*_xlfn.IFNA(INDEX(EA$10:EA$23,MATCH($DA252,$DX$10:$DX$23,0)),0))</f>
        <v>26054.50921</v>
      </c>
      <c r="DL252" s="909">
        <f>IF(dd_PartSA_2_lines = "Yes",0,_xlfn.IFNA(INDEX('Resource use and costs'!$CS$11:$CS$53,MATCH(DB252,'Resource use and costs'!$BA$11:$BA$53,0)),0)*_xlfn.IFNA(INDEX(EC$10:EC$23,MATCH($DB252,$DX$10:$DX$23,0)),0))</f>
        <v>2915.4763433333328</v>
      </c>
      <c r="DM252" s="909">
        <f t="shared" si="183"/>
        <v>49650.59852476191</v>
      </c>
      <c r="DN252" s="909">
        <f>SUM(_xlfn.IFNA(INDEX('Resource use and costs'!$DU$12:$DU$25,MATCH(CZ252,'Resource use and costs'!$DS$12:$DS$25,0)),0),_xlfn.IFNA(INDEX('Resource use and costs'!$DU$12:$DU$25,MATCH(DA252,'Resource use and costs'!$DS$12:$DS$25,0)),0),_xlfn.IFNA(INDEX('Resource use and costs'!$DU$12:$DU$25,MATCH(DB252,'Resource use and costs'!$DS$12:$DS$25,0)),0))</f>
        <v>394.5</v>
      </c>
      <c r="DO252" s="921">
        <f>_xlfn.IFNA(INDEX('Resource use and costs'!$DY$12:$DY$25,MATCH(CZ252,'Resource use and costs'!$DS$12:$DS$25,0)),0)*_xlfn.IFNA(INDEX(DY$10:DY$23,MATCH($CZ252,$DX$10:$DX$23,0)),0)</f>
        <v>443.44394285714293</v>
      </c>
      <c r="DP252" s="921">
        <f>IF(dd_PartSA_2_lines = "Yes",0,_xlfn.IFNA(INDEX('Resource use and costs'!$DZ$12:$DZ$25,MATCH(DA252,'Resource use and costs'!$DS$12:$DS$25,0)),0)*_xlfn.IFNA(INDEX(EA$10:EA$23,MATCH($DA252,$DX$10:$DX$23,0)),0))</f>
        <v>4108.3597166</v>
      </c>
      <c r="DQ252" s="921">
        <f>IF(dd_PartSA_2_lines = "Yes",0,_xlfn.IFNA(INDEX('Resource use and costs'!$EA$12:$EA$25,MATCH(DB252,'Resource use and costs'!$DS$12:$DS$25,0)),0)*_xlfn.IFNA(INDEX(EC$10:EC$23,MATCH($DB252,$DX$10:$DX$23,0)),0))</f>
        <v>256.11457142857142</v>
      </c>
      <c r="DR252" s="921">
        <f t="shared" si="184"/>
        <v>5202.4182308857144</v>
      </c>
      <c r="DS252" s="1004">
        <f ca="1">SUMIFS('Safety parameters'!$DM$6:$DM$18,'Safety parameters'!$DK$6:$DK$18,CZ252,'Safety parameters'!$DL$6:$DL$18,1)+IF(dd_PartSA_2_lines = "Yes",0,SUMIFS('Safety parameters'!$DM$6:$DM$18,'Safety parameters'!$DK$6:$DK$18,DA252,'Safety parameters'!$DL$6:$DL$18,2)+SUMIFS('Safety parameters'!$DM$6:$DM$18,'Safety parameters'!$DK$6:$DK$18,DB252,'Safety parameters'!$DL$6:$DL$18,2))</f>
        <v>901.94518506378233</v>
      </c>
      <c r="DT252" s="910">
        <f ca="1">SUMIFS('Safety parameters'!$DO$6:$DO$18,'Safety parameters'!$DK$6:$DK$18,CZ252,'Safety parameters'!$DL$6:$DL$18,1)+IF(dd_PartSA_2_lines = "Yes",0,SUMIFS('Safety parameters'!$DO$6:$DO$18,'Safety parameters'!$DK$6:$DK$18,DA252,'Safety parameters'!$DL$6:$DL$18,2)+SUMIFS('Safety parameters'!$DO$6:$DO$18,'Safety parameters'!$DK$6:$DK$18,DB252,'Safety parameters'!$DL$6:$DL$18,2))</f>
        <v>-7.7186123746418034E-3</v>
      </c>
    </row>
    <row r="253" spans="89:124" ht="15" x14ac:dyDescent="0.2">
      <c r="CK253" s="61" t="s">
        <v>31</v>
      </c>
      <c r="CL253" s="61">
        <v>3</v>
      </c>
      <c r="CM253" s="61" t="str">
        <v>tivozanib</v>
      </c>
      <c r="CN253" s="17">
        <v>6</v>
      </c>
      <c r="CO253" s="61" t="str" cm="1">
        <f t="array" ref="CO253">INDEX(List_comparators,CP252+1)</f>
        <v>nivolumab_monotherapy</v>
      </c>
      <c r="CP253" s="17">
        <v>0</v>
      </c>
      <c r="CQ253" s="601">
        <f t="shared" ca="1" si="193"/>
        <v>0.2346</v>
      </c>
      <c r="CR253" s="601">
        <f t="shared" ca="1" si="194"/>
        <v>2.3460000000000002E-2</v>
      </c>
      <c r="CS253" s="671">
        <f t="shared" ca="1" si="195"/>
        <v>21.82</v>
      </c>
      <c r="CT253" s="671">
        <f t="shared" ca="1" si="196"/>
        <v>4.1142857142857139</v>
      </c>
      <c r="CU253" s="1123">
        <f>MATCH(CZ253,'Resource use and costs'!$BA$11:$BA$53,0)</f>
        <v>40</v>
      </c>
      <c r="CV253" s="1223"/>
      <c r="CW253" s="1241">
        <f t="shared" si="182"/>
        <v>1</v>
      </c>
      <c r="CX253" s="899" t="s">
        <v>773</v>
      </c>
      <c r="CY253" s="899" t="s">
        <v>571</v>
      </c>
      <c r="CZ253" s="899" t="s">
        <v>327</v>
      </c>
      <c r="DA253" s="899" t="s">
        <v>765</v>
      </c>
      <c r="DB253" s="899"/>
      <c r="DC253" s="899" cm="1">
        <f t="array" aca="1" ref="DC253" ca="1">_xlfn.IFNA(OFFSET($I$49,MATCH(CY253,$I$50:$I$63,0),MATCH(CZ253,TRANSPOSE($J$49:$W$49),0)),0)</f>
        <v>0</v>
      </c>
      <c r="DD253" s="899" cm="1">
        <f t="array" aca="1" ref="DD253" ca="1">_xlfn.IFNA(OFFSET($Y$49,MATCH($CZ253,$Y$50:$Y$63,0),MATCH($DA253,TRANSPOSE($Z$49:$AM$49),0)),0)</f>
        <v>0.34300000000000003</v>
      </c>
      <c r="DE253" s="899" cm="1">
        <f t="array" aca="1" ref="DE253" ca="1">_xlfn.IFNA(OFFSET($AO$49,MATCH($DA253,$AO$50:$AO$63,0),MATCH($DB253,TRANSPOSE($AP$49:$BC$49),0)),0)</f>
        <v>0</v>
      </c>
      <c r="DF253" s="881">
        <f t="shared" ca="1" si="179"/>
        <v>0</v>
      </c>
      <c r="DG253" s="910">
        <f t="shared" ca="1" si="180"/>
        <v>1</v>
      </c>
      <c r="DH253" s="881">
        <f t="shared" ca="1" si="181"/>
        <v>0</v>
      </c>
      <c r="DI253" s="1461">
        <f ca="1">168*DH253</f>
        <v>0</v>
      </c>
      <c r="DJ253" s="909">
        <f>_xlfn.IFNA(INDEX('Resource use and costs'!$CQ$11:$CQ$53,MATCH($CZ253,'Resource use and costs'!$BA$11:$BA$53,0)),0)*_xlfn.IFNA(INDEX(DY$10:DY$23,MATCH($CZ253,$DX$10:$DX$23,0)),0)</f>
        <v>19241.032205</v>
      </c>
      <c r="DK253" s="909">
        <f>IF(dd_PartSA_2_lines = "Yes",0,_xlfn.IFNA(INDEX('Resource use and costs'!$CR$11:$CR$53,MATCH(DA253,'Resource use and costs'!$BA$11:$BA$53,0)),0)*_xlfn.IFNA(INDEX(EA$10:EA$23,MATCH($DA253,$DX$10:$DX$23,0)),0))</f>
        <v>0</v>
      </c>
      <c r="DL253" s="909">
        <f>IF(dd_PartSA_2_lines = "Yes",0,_xlfn.IFNA(INDEX('Resource use and costs'!$CS$11:$CS$53,MATCH(DB253,'Resource use and costs'!$BA$11:$BA$53,0)),0)*_xlfn.IFNA(INDEX(EC$10:EC$23,MATCH($DB253,$DX$10:$DX$23,0)),0))</f>
        <v>0</v>
      </c>
      <c r="DM253" s="909">
        <f t="shared" si="183"/>
        <v>19241.032205</v>
      </c>
      <c r="DN253" s="909">
        <f>SUM(_xlfn.IFNA(INDEX('Resource use and costs'!$DU$12:$DU$25,MATCH(CZ253,'Resource use and costs'!$DS$12:$DS$25,0)),0),_xlfn.IFNA(INDEX('Resource use and costs'!$DU$12:$DU$25,MATCH(DA253,'Resource use and costs'!$DS$12:$DS$25,0)),0),_xlfn.IFNA(INDEX('Resource use and costs'!$DU$12:$DU$25,MATCH(DB253,'Resource use and costs'!$DS$12:$DS$25,0)),0))</f>
        <v>197.25</v>
      </c>
      <c r="DO253" s="921">
        <f>_xlfn.IFNA(INDEX('Resource use and costs'!$DY$12:$DY$25,MATCH(CZ253,'Resource use and costs'!$DS$12:$DS$25,0)),0)*_xlfn.IFNA(INDEX(DY$10:DY$23,MATCH($CZ253,$DX$10:$DX$23,0)),0)</f>
        <v>240.71806000000001</v>
      </c>
      <c r="DP253" s="921">
        <f>IF(dd_PartSA_2_lines = "Yes",0,_xlfn.IFNA(INDEX('Resource use and costs'!$DZ$12:$DZ$25,MATCH(DA253,'Resource use and costs'!$DS$12:$DS$25,0)),0)*_xlfn.IFNA(INDEX(EA$10:EA$23,MATCH($DA253,$DX$10:$DX$23,0)),0))</f>
        <v>0</v>
      </c>
      <c r="DQ253" s="921">
        <f>IF(dd_PartSA_2_lines = "Yes",0,_xlfn.IFNA(INDEX('Resource use and costs'!$EA$12:$EA$25,MATCH(DB253,'Resource use and costs'!$DS$12:$DS$25,0)),0)*_xlfn.IFNA(INDEX(EC$10:EC$23,MATCH($DB253,$DX$10:$DX$23,0)),0))</f>
        <v>0</v>
      </c>
      <c r="DR253" s="921">
        <f t="shared" si="184"/>
        <v>437.96806000000004</v>
      </c>
      <c r="DS253" s="1004">
        <f>SUMIFS('Safety parameters'!$DM$6:$DM$18,'Safety parameters'!$DK$6:$DK$18,CZ253,'Safety parameters'!$DL$6:$DL$18,1)+IF(dd_PartSA_2_lines = "Yes",0,SUMIFS('Safety parameters'!$DM$6:$DM$18,'Safety parameters'!$DK$6:$DK$18,DA253,'Safety parameters'!$DL$6:$DL$18,2)+SUMIFS('Safety parameters'!$DM$6:$DM$18,'Safety parameters'!$DK$6:$DK$18,DB253,'Safety parameters'!$DL$6:$DL$18,2))</f>
        <v>0</v>
      </c>
      <c r="DT253" s="910">
        <f>SUMIFS('Safety parameters'!$DO$6:$DO$18,'Safety parameters'!$DK$6:$DK$18,CZ253,'Safety parameters'!$DL$6:$DL$18,1)+IF(dd_PartSA_2_lines = "Yes",0,SUMIFS('Safety parameters'!$DO$6:$DO$18,'Safety parameters'!$DK$6:$DK$18,DA253,'Safety parameters'!$DL$6:$DL$18,2)+SUMIFS('Safety parameters'!$DO$6:$DO$18,'Safety parameters'!$DK$6:$DK$18,DB253,'Safety parameters'!$DL$6:$DL$18,2))</f>
        <v>0</v>
      </c>
    </row>
    <row r="254" spans="89:124" ht="15" x14ac:dyDescent="0.2">
      <c r="CK254" s="61" t="s">
        <v>31</v>
      </c>
      <c r="CL254" s="61">
        <v>3</v>
      </c>
      <c r="CM254" s="61" t="str">
        <v>sunitinib</v>
      </c>
      <c r="CN254" s="17">
        <v>7</v>
      </c>
      <c r="CO254" s="61" t="str" cm="1">
        <f t="array" ref="CO254">INDEX(List_comparators,CP253+1)</f>
        <v>nivolumab_monotherapy</v>
      </c>
      <c r="CP254" s="17">
        <v>0</v>
      </c>
      <c r="CQ254" s="601">
        <f t="shared" ca="1" si="193"/>
        <v>0.14599999999999999</v>
      </c>
      <c r="CR254" s="601">
        <f t="shared" ca="1" si="194"/>
        <v>1.46E-2</v>
      </c>
      <c r="CS254" s="671">
        <f t="shared" ca="1" si="195"/>
        <v>21.82</v>
      </c>
      <c r="CT254" s="671">
        <f t="shared" ca="1" si="196"/>
        <v>4.1142857142857139</v>
      </c>
      <c r="CU254" s="1123">
        <f>MATCH(CZ254,'Resource use and costs'!$BA$11:$BA$53,0)</f>
        <v>40</v>
      </c>
      <c r="CV254" s="1223"/>
      <c r="CW254" s="1241">
        <f t="shared" si="182"/>
        <v>1</v>
      </c>
      <c r="CX254" s="899" t="s">
        <v>773</v>
      </c>
      <c r="CY254" s="899" t="s">
        <v>571</v>
      </c>
      <c r="CZ254" s="899" t="s">
        <v>327</v>
      </c>
      <c r="DA254" s="899" t="s">
        <v>119</v>
      </c>
      <c r="DB254" s="899" t="s">
        <v>765</v>
      </c>
      <c r="DC254" s="899" cm="1">
        <f t="array" aca="1" ref="DC254" ca="1">_xlfn.IFNA(OFFSET($I$49,MATCH(CY254,$I$50:$I$63,0),MATCH(CZ254,TRANSPOSE($J$49:$W$49),0)),0)</f>
        <v>0</v>
      </c>
      <c r="DD254" s="899" cm="1">
        <f t="array" aca="1" ref="DD254" ca="1">_xlfn.IFNA(OFFSET($Y$49,MATCH($CZ254,$Y$50:$Y$63,0),MATCH($DA254,TRANSPOSE($Z$49:$AM$49),0)),0)</f>
        <v>0</v>
      </c>
      <c r="DE254" s="899" cm="1">
        <f t="array" aca="1" ref="DE254" ca="1">_xlfn.IFNA(OFFSET($AO$49,MATCH($DA254,$AO$50:$AO$63,0),MATCH($DB254,TRANSPOSE($AP$49:$BC$49),0)),0)</f>
        <v>1</v>
      </c>
      <c r="DF254" s="881">
        <f t="shared" ca="1" si="179"/>
        <v>0</v>
      </c>
      <c r="DG254" s="910">
        <f t="shared" ca="1" si="180"/>
        <v>1</v>
      </c>
      <c r="DH254" s="881">
        <f t="shared" ca="1" si="181"/>
        <v>0</v>
      </c>
      <c r="DI254" s="1461">
        <f ca="1">168*DH254</f>
        <v>0</v>
      </c>
      <c r="DJ254" s="909">
        <f>_xlfn.IFNA(INDEX('Resource use and costs'!$CQ$11:$CQ$53,MATCH($CZ254,'Resource use and costs'!$BA$11:$BA$53,0)),0)*_xlfn.IFNA(INDEX(DY$10:DY$23,MATCH($CZ254,$DX$10:$DX$23,0)),0)</f>
        <v>19241.032205</v>
      </c>
      <c r="DK254" s="909">
        <f>IF(dd_PartSA_2_lines = "Yes",0,_xlfn.IFNA(INDEX('Resource use and costs'!$CR$11:$CR$53,MATCH(DA254,'Resource use and costs'!$BA$11:$BA$53,0)),0)*_xlfn.IFNA(INDEX(EA$10:EA$23,MATCH($DA254,$DX$10:$DX$23,0)),0))</f>
        <v>848.17532499999982</v>
      </c>
      <c r="DL254" s="909">
        <f>IF(dd_PartSA_2_lines = "Yes",0,_xlfn.IFNA(INDEX('Resource use and costs'!$CS$11:$CS$53,MATCH(DB254,'Resource use and costs'!$BA$11:$BA$53,0)),0)*_xlfn.IFNA(INDEX(EC$10:EC$23,MATCH($DB254,$DX$10:$DX$23,0)),0))</f>
        <v>0</v>
      </c>
      <c r="DM254" s="909">
        <f t="shared" si="183"/>
        <v>20089.20753</v>
      </c>
      <c r="DN254" s="909">
        <f>SUM(_xlfn.IFNA(INDEX('Resource use and costs'!$DU$12:$DU$25,MATCH(CZ254,'Resource use and costs'!$DS$12:$DS$25,0)),0),_xlfn.IFNA(INDEX('Resource use and costs'!$DU$12:$DU$25,MATCH(DA254,'Resource use and costs'!$DS$12:$DS$25,0)),0),_xlfn.IFNA(INDEX('Resource use and costs'!$DU$12:$DU$25,MATCH(DB254,'Resource use and costs'!$DS$12:$DS$25,0)),0))</f>
        <v>394.5</v>
      </c>
      <c r="DO254" s="921">
        <f>_xlfn.IFNA(INDEX('Resource use and costs'!$DY$12:$DY$25,MATCH(CZ254,'Resource use and costs'!$DS$12:$DS$25,0)),0)*_xlfn.IFNA(INDEX(DY$10:DY$23,MATCH($CZ254,$DX$10:$DX$23,0)),0)</f>
        <v>240.71806000000001</v>
      </c>
      <c r="DP254" s="921">
        <f>IF(dd_PartSA_2_lines = "Yes",0,_xlfn.IFNA(INDEX('Resource use and costs'!$DZ$12:$DZ$25,MATCH(DA254,'Resource use and costs'!$DS$12:$DS$25,0)),0)*_xlfn.IFNA(INDEX(EA$10:EA$23,MATCH($DA254,$DX$10:$DX$23,0)),0))</f>
        <v>74.50928571428571</v>
      </c>
      <c r="DQ254" s="921">
        <f>IF(dd_PartSA_2_lines = "Yes",0,_xlfn.IFNA(INDEX('Resource use and costs'!$EA$12:$EA$25,MATCH(DB254,'Resource use and costs'!$DS$12:$DS$25,0)),0)*_xlfn.IFNA(INDEX(EC$10:EC$23,MATCH($DB254,$DX$10:$DX$23,0)),0))</f>
        <v>0</v>
      </c>
      <c r="DR254" s="921">
        <f t="shared" si="184"/>
        <v>709.72734571428578</v>
      </c>
      <c r="DS254" s="1004">
        <f ca="1">SUMIFS('Safety parameters'!$DM$6:$DM$18,'Safety parameters'!$DK$6:$DK$18,CZ254,'Safety parameters'!$DL$6:$DL$18,1)+IF(dd_PartSA_2_lines = "Yes",0,SUMIFS('Safety parameters'!$DM$6:$DM$18,'Safety parameters'!$DK$6:$DK$18,DA254,'Safety parameters'!$DL$6:$DL$18,2)+SUMIFS('Safety parameters'!$DM$6:$DM$18,'Safety parameters'!$DK$6:$DK$18,DB254,'Safety parameters'!$DL$6:$DL$18,2))</f>
        <v>332.87538337531487</v>
      </c>
      <c r="DT254" s="910">
        <f ca="1">SUMIFS('Safety parameters'!$DO$6:$DO$18,'Safety parameters'!$DK$6:$DK$18,CZ254,'Safety parameters'!$DL$6:$DL$18,1)+IF(dd_PartSA_2_lines = "Yes",0,SUMIFS('Safety parameters'!$DO$6:$DO$18,'Safety parameters'!$DK$6:$DK$18,DA254,'Safety parameters'!$DL$6:$DL$18,2)+SUMIFS('Safety parameters'!$DO$6:$DO$18,'Safety parameters'!$DK$6:$DK$18,DB254,'Safety parameters'!$DL$6:$DL$18,2))</f>
        <v>-2.6675735366377194E-3</v>
      </c>
    </row>
    <row r="255" spans="89:124" ht="15" x14ac:dyDescent="0.2">
      <c r="CK255" s="61" t="s">
        <v>31</v>
      </c>
      <c r="CL255" s="61">
        <v>3</v>
      </c>
      <c r="CM255" s="61" t="str">
        <v>cabozantinib</v>
      </c>
      <c r="CN255" s="17">
        <v>8</v>
      </c>
      <c r="CO255" s="61" t="str" cm="1">
        <f t="array" ref="CO255">INDEX(List_comparators,CP254+1)</f>
        <v>nivolumab_monotherapy</v>
      </c>
      <c r="CP255" s="17">
        <v>0</v>
      </c>
      <c r="CQ255" s="601">
        <f t="shared" ca="1" si="193"/>
        <v>0.29099999999999998</v>
      </c>
      <c r="CR255" s="601">
        <f t="shared" ca="1" si="194"/>
        <v>2.9100000000000001E-2</v>
      </c>
      <c r="CS255" s="671">
        <f t="shared" ca="1" si="195"/>
        <v>21.82</v>
      </c>
      <c r="CT255" s="671">
        <f t="shared" ca="1" si="196"/>
        <v>4.1142857142857139</v>
      </c>
      <c r="CU255" s="1123" t="e">
        <f>MATCH(CZ255,'Resource use and costs'!$BA$11:$BA$53,0)</f>
        <v>#N/A</v>
      </c>
      <c r="CV255" s="1223"/>
      <c r="CW255" s="1241">
        <f t="shared" si="182"/>
        <v>0</v>
      </c>
      <c r="CX255" s="899" t="s">
        <v>773</v>
      </c>
      <c r="CY255" s="899" t="s">
        <v>571</v>
      </c>
      <c r="CZ255" s="899" t="s">
        <v>765</v>
      </c>
      <c r="DA255" s="899"/>
      <c r="DB255" s="899"/>
      <c r="DC255" s="899" cm="1">
        <f t="array" aca="1" ref="DC255" ca="1">_xlfn.IFNA(OFFSET($I$49,MATCH(CY255,$I$50:$I$63,0),MATCH(CZ255,TRANSPOSE($J$49:$W$49),0)),0)</f>
        <v>0.38145600000000002</v>
      </c>
      <c r="DD255" s="899" cm="1">
        <f t="array" aca="1" ref="DD255" ca="1">_xlfn.IFNA(OFFSET($Y$49,MATCH($CZ255,$Y$50:$Y$63,0),MATCH($DA255,TRANSPOSE($Z$49:$AM$49),0)),0)</f>
        <v>0</v>
      </c>
      <c r="DE255" s="899" cm="1">
        <f t="array" aca="1" ref="DE255" ca="1">_xlfn.IFNA(OFFSET($AO$49,MATCH($DA255,$AO$50:$AO$63,0),MATCH($DB255,TRANSPOSE($AP$49:$BC$49),0)),0)</f>
        <v>0</v>
      </c>
      <c r="DF255" s="881">
        <f t="shared" ca="1" si="179"/>
        <v>0.38145600000000002</v>
      </c>
      <c r="DG255" s="910">
        <f t="shared" ca="1" si="180"/>
        <v>1</v>
      </c>
      <c r="DH255" s="881">
        <f t="shared" ca="1" si="181"/>
        <v>0.38145600000000002</v>
      </c>
      <c r="DI255" s="1461">
        <f t="shared" ref="DI255:DI312" ca="1" si="197">168*DH255</f>
        <v>64.084608000000003</v>
      </c>
      <c r="DJ255" s="909">
        <f>_xlfn.IFNA(INDEX('Resource use and costs'!$CQ$11:$CQ$53,MATCH($CZ255,'Resource use and costs'!$BA$11:$BA$53,0)),0)*_xlfn.IFNA(INDEX(DY$10:DY$23,MATCH($CZ255,$DX$10:$DX$23,0)),0)</f>
        <v>0</v>
      </c>
      <c r="DK255" s="909">
        <f>IF(dd_PartSA_2_lines = "Yes",0,_xlfn.IFNA(INDEX('Resource use and costs'!$CR$11:$CR$53,MATCH(DA255,'Resource use and costs'!$BA$11:$BA$53,0)),0)*_xlfn.IFNA(INDEX(EA$10:EA$23,MATCH($DA255,$DX$10:$DX$23,0)),0))</f>
        <v>0</v>
      </c>
      <c r="DL255" s="909">
        <f>IF(dd_PartSA_2_lines = "Yes",0,_xlfn.IFNA(INDEX('Resource use and costs'!$CS$11:$CS$53,MATCH(DB255,'Resource use and costs'!$BA$11:$BA$53,0)),0)*_xlfn.IFNA(INDEX(EC$10:EC$23,MATCH($DB255,$DX$10:$DX$23,0)),0))</f>
        <v>0</v>
      </c>
      <c r="DM255" s="909">
        <f t="shared" si="183"/>
        <v>0</v>
      </c>
      <c r="DN255" s="909">
        <f>SUM(_xlfn.IFNA(INDEX('Resource use and costs'!$DU$12:$DU$25,MATCH(CZ255,'Resource use and costs'!$DS$12:$DS$25,0)),0),_xlfn.IFNA(INDEX('Resource use and costs'!$DU$12:$DU$25,MATCH(DA255,'Resource use and costs'!$DS$12:$DS$25,0)),0),_xlfn.IFNA(INDEX('Resource use and costs'!$DU$12:$DU$25,MATCH(DB255,'Resource use and costs'!$DS$12:$DS$25,0)),0))</f>
        <v>0</v>
      </c>
      <c r="DO255" s="921">
        <f>_xlfn.IFNA(INDEX('Resource use and costs'!$DY$12:$DY$25,MATCH(CZ255,'Resource use and costs'!$DS$12:$DS$25,0)),0)*_xlfn.IFNA(INDEX(DY$10:DY$23,MATCH($CZ255,$DX$10:$DX$23,0)),0)</f>
        <v>0</v>
      </c>
      <c r="DP255" s="921">
        <f>IF(dd_PartSA_2_lines = "Yes",0,_xlfn.IFNA(INDEX('Resource use and costs'!$DZ$12:$DZ$25,MATCH(DA255,'Resource use and costs'!$DS$12:$DS$25,0)),0)*_xlfn.IFNA(INDEX(EA$10:EA$23,MATCH($DA255,$DX$10:$DX$23,0)),0))</f>
        <v>0</v>
      </c>
      <c r="DQ255" s="921">
        <f>IF(dd_PartSA_2_lines = "Yes",0,_xlfn.IFNA(INDEX('Resource use and costs'!$EA$12:$EA$25,MATCH(DB255,'Resource use and costs'!$DS$12:$DS$25,0)),0)*_xlfn.IFNA(INDEX(EC$10:EC$23,MATCH($DB255,$DX$10:$DX$23,0)),0))</f>
        <v>0</v>
      </c>
      <c r="DR255" s="921">
        <f t="shared" si="184"/>
        <v>0</v>
      </c>
      <c r="DS255" s="1004">
        <f>SUMIFS('Safety parameters'!$DM$6:$DM$18,'Safety parameters'!$DK$6:$DK$18,CZ255,'Safety parameters'!$DL$6:$DL$18,1)+IF(dd_PartSA_2_lines = "Yes",0,SUMIFS('Safety parameters'!$DM$6:$DM$18,'Safety parameters'!$DK$6:$DK$18,DA255,'Safety parameters'!$DL$6:$DL$18,2)+SUMIFS('Safety parameters'!$DM$6:$DM$18,'Safety parameters'!$DK$6:$DK$18,DB255,'Safety parameters'!$DL$6:$DL$18,2))</f>
        <v>0</v>
      </c>
      <c r="DT255" s="910">
        <f>SUMIFS('Safety parameters'!$DO$6:$DO$18,'Safety parameters'!$DK$6:$DK$18,CZ255,'Safety parameters'!$DL$6:$DL$18,1)+IF(dd_PartSA_2_lines = "Yes",0,SUMIFS('Safety parameters'!$DO$6:$DO$18,'Safety parameters'!$DK$6:$DK$18,DA255,'Safety parameters'!$DL$6:$DL$18,2)+SUMIFS('Safety parameters'!$DO$6:$DO$18,'Safety parameters'!$DK$6:$DK$18,DB255,'Safety parameters'!$DL$6:$DL$18,2))</f>
        <v>0</v>
      </c>
    </row>
    <row r="256" spans="89:124" ht="15" x14ac:dyDescent="0.2">
      <c r="CK256" s="61" t="s">
        <v>31</v>
      </c>
      <c r="CL256" s="61">
        <v>3</v>
      </c>
      <c r="CM256" s="61" t="str">
        <v>lenvatinib_plus_everolimus</v>
      </c>
      <c r="CN256" s="17">
        <v>9</v>
      </c>
      <c r="CO256" s="61" t="str" cm="1">
        <f t="array" ref="CO256">INDEX(List_comparators,CP255+1)</f>
        <v>nivolumab_monotherapy</v>
      </c>
      <c r="CP256" s="17">
        <v>0</v>
      </c>
      <c r="CQ256" s="601">
        <f t="shared" ca="1" si="193"/>
        <v>8.2100000000000006E-2</v>
      </c>
      <c r="CR256" s="601">
        <f t="shared" ca="1" si="194"/>
        <v>8.2100000000000003E-3</v>
      </c>
      <c r="CS256" s="671">
        <f t="shared" ca="1" si="195"/>
        <v>21.82</v>
      </c>
      <c r="CT256" s="671">
        <f t="shared" ca="1" si="196"/>
        <v>4.1142857142857139</v>
      </c>
      <c r="CU256" s="1123">
        <f>MATCH(CZ256,'Resource use and costs'!$BA$11:$BA$53,0)</f>
        <v>37</v>
      </c>
      <c r="CV256" s="1223"/>
      <c r="CW256" s="1241">
        <f t="shared" si="182"/>
        <v>1</v>
      </c>
      <c r="CX256" s="899" t="s">
        <v>773</v>
      </c>
      <c r="CY256" s="899" t="s">
        <v>571</v>
      </c>
      <c r="CZ256" s="899" t="s">
        <v>119</v>
      </c>
      <c r="DA256" s="899" t="s">
        <v>327</v>
      </c>
      <c r="DB256" s="899" t="s">
        <v>765</v>
      </c>
      <c r="DC256" s="899" cm="1">
        <f t="array" aca="1" ref="DC256" ca="1">_xlfn.IFNA(OFFSET($I$49,MATCH(CY256,$I$50:$I$63,0),MATCH(CZ256,TRANSPOSE($J$49:$W$49),0)),0)</f>
        <v>0</v>
      </c>
      <c r="DD256" s="899" cm="1">
        <f t="array" aca="1" ref="DD256" ca="1">_xlfn.IFNA(OFFSET($Y$49,MATCH($CZ256,$Y$50:$Y$63,0),MATCH($DA256,TRANSPOSE($Z$49:$AM$49),0)),0)</f>
        <v>0</v>
      </c>
      <c r="DE256" s="899" cm="1">
        <f t="array" aca="1" ref="DE256" ca="1">_xlfn.IFNA(OFFSET($AO$49,MATCH($DA256,$AO$50:$AO$63,0),MATCH($DB256,TRANSPOSE($AP$49:$BC$49),0)),0)</f>
        <v>0.43140000000000001</v>
      </c>
      <c r="DF256" s="881">
        <f t="shared" ca="1" si="179"/>
        <v>0</v>
      </c>
      <c r="DG256" s="910">
        <f t="shared" ca="1" si="180"/>
        <v>1</v>
      </c>
      <c r="DH256" s="881">
        <f t="shared" ca="1" si="181"/>
        <v>0</v>
      </c>
      <c r="DI256" s="1461">
        <f t="shared" ca="1" si="197"/>
        <v>0</v>
      </c>
      <c r="DJ256" s="909">
        <f>_xlfn.IFNA(INDEX('Resource use and costs'!$CQ$11:$CQ$53,MATCH($CZ256,'Resource use and costs'!$BA$11:$BA$53,0)),0)*_xlfn.IFNA(INDEX(DY$10:DY$23,MATCH($CZ256,$DX$10:$DX$23,0)),0)</f>
        <v>944.50399999999979</v>
      </c>
      <c r="DK256" s="909">
        <f>IF(dd_PartSA_2_lines = "Yes",0,_xlfn.IFNA(INDEX('Resource use and costs'!$CR$11:$CR$53,MATCH(DA256,'Resource use and costs'!$BA$11:$BA$53,0)),0)*_xlfn.IFNA(INDEX(EA$10:EA$23,MATCH($DA256,$DX$10:$DX$23,0)),0))</f>
        <v>21421.066008214286</v>
      </c>
      <c r="DL256" s="909">
        <f>IF(dd_PartSA_2_lines = "Yes",0,_xlfn.IFNA(INDEX('Resource use and costs'!$CS$11:$CS$53,MATCH(DB256,'Resource use and costs'!$BA$11:$BA$53,0)),0)*_xlfn.IFNA(INDEX(EC$10:EC$23,MATCH($DB256,$DX$10:$DX$23,0)),0))</f>
        <v>0</v>
      </c>
      <c r="DM256" s="909">
        <f t="shared" si="183"/>
        <v>22365.570008214287</v>
      </c>
      <c r="DN256" s="909">
        <f>SUM(_xlfn.IFNA(INDEX('Resource use and costs'!$DU$12:$DU$25,MATCH(CZ256,'Resource use and costs'!$DS$12:$DS$25,0)),0),_xlfn.IFNA(INDEX('Resource use and costs'!$DU$12:$DU$25,MATCH(DA256,'Resource use and costs'!$DS$12:$DS$25,0)),0),_xlfn.IFNA(INDEX('Resource use and costs'!$DU$12:$DU$25,MATCH(DB256,'Resource use and costs'!$DS$12:$DS$25,0)),0))</f>
        <v>394.5</v>
      </c>
      <c r="DO256" s="921">
        <f>_xlfn.IFNA(INDEX('Resource use and costs'!$DY$12:$DY$25,MATCH(CZ256,'Resource use and costs'!$DS$12:$DS$25,0)),0)*_xlfn.IFNA(INDEX(DY$10:DY$23,MATCH($CZ256,$DX$10:$DX$23,0)),0)</f>
        <v>82.971428571428561</v>
      </c>
      <c r="DP256" s="921">
        <f>IF(dd_PartSA_2_lines = "Yes",0,_xlfn.IFNA(INDEX('Resource use and costs'!$DZ$12:$DZ$25,MATCH(DA256,'Resource use and costs'!$DS$12:$DS$25,0)),0)*_xlfn.IFNA(INDEX(EA$10:EA$23,MATCH($DA256,$DX$10:$DX$23,0)),0))</f>
        <v>267.99172714285714</v>
      </c>
      <c r="DQ256" s="921">
        <f>IF(dd_PartSA_2_lines = "Yes",0,_xlfn.IFNA(INDEX('Resource use and costs'!$EA$12:$EA$25,MATCH(DB256,'Resource use and costs'!$DS$12:$DS$25,0)),0)*_xlfn.IFNA(INDEX(EC$10:EC$23,MATCH($DB256,$DX$10:$DX$23,0)),0))</f>
        <v>0</v>
      </c>
      <c r="DR256" s="921">
        <f t="shared" si="184"/>
        <v>745.46315571428568</v>
      </c>
      <c r="DS256" s="1004">
        <f ca="1">SUMIFS('Safety parameters'!$DM$6:$DM$18,'Safety parameters'!$DK$6:$DK$18,CZ256,'Safety parameters'!$DL$6:$DL$18,1)+IF(dd_PartSA_2_lines = "Yes",0,SUMIFS('Safety parameters'!$DM$6:$DM$18,'Safety parameters'!$DK$6:$DK$18,DA256,'Safety parameters'!$DL$6:$DL$18,2)+SUMIFS('Safety parameters'!$DM$6:$DM$18,'Safety parameters'!$DK$6:$DK$18,DB256,'Safety parameters'!$DL$6:$DL$18,2))</f>
        <v>1634.2286735654598</v>
      </c>
      <c r="DT256" s="910">
        <f ca="1">SUMIFS('Safety parameters'!$DO$6:$DO$18,'Safety parameters'!$DK$6:$DK$18,CZ256,'Safety parameters'!$DL$6:$DL$18,1)+IF(dd_PartSA_2_lines = "Yes",0,SUMIFS('Safety parameters'!$DO$6:$DO$18,'Safety parameters'!$DK$6:$DK$18,DA256,'Safety parameters'!$DL$6:$DL$18,2)+SUMIFS('Safety parameters'!$DO$6:$DO$18,'Safety parameters'!$DK$6:$DK$18,DB256,'Safety parameters'!$DL$6:$DL$18,2))</f>
        <v>-1.4741924007481429E-2</v>
      </c>
    </row>
    <row r="257" spans="89:124" ht="15" x14ac:dyDescent="0.2">
      <c r="CK257" s="61" t="s">
        <v>31</v>
      </c>
      <c r="CL257" s="61">
        <v>3</v>
      </c>
      <c r="CM257" s="61" t="str">
        <v>everolimus</v>
      </c>
      <c r="CN257" s="17">
        <v>10</v>
      </c>
      <c r="CO257" s="61" t="str" cm="1">
        <f t="array" ref="CO257">INDEX(List_comparators,CP256+1)</f>
        <v>nivolumab_monotherapy</v>
      </c>
      <c r="CP257" s="17">
        <v>0</v>
      </c>
      <c r="CQ257" s="601">
        <f t="shared" ca="1" si="193"/>
        <v>0</v>
      </c>
      <c r="CR257" s="601">
        <f t="shared" ca="1" si="194"/>
        <v>0</v>
      </c>
      <c r="CS257" s="671">
        <f t="shared" ca="1" si="195"/>
        <v>21.82</v>
      </c>
      <c r="CT257" s="671">
        <f t="shared" ca="1" si="196"/>
        <v>4.1142857142857139</v>
      </c>
      <c r="CU257" s="1123">
        <f>MATCH(CZ257,'Resource use and costs'!$BA$11:$BA$53,0)</f>
        <v>37</v>
      </c>
      <c r="CV257" s="1223"/>
      <c r="CW257" s="1241">
        <f t="shared" si="182"/>
        <v>1</v>
      </c>
      <c r="CX257" s="899" t="s">
        <v>773</v>
      </c>
      <c r="CY257" s="899" t="s">
        <v>571</v>
      </c>
      <c r="CZ257" s="899" t="s">
        <v>119</v>
      </c>
      <c r="DA257" s="899" t="s">
        <v>765</v>
      </c>
      <c r="DB257" s="899"/>
      <c r="DC257" s="899" cm="1">
        <f t="array" aca="1" ref="DC257" ca="1">_xlfn.IFNA(OFFSET($I$49,MATCH(CY257,$I$50:$I$63,0),MATCH(CZ257,TRANSPOSE($J$49:$W$49),0)),0)</f>
        <v>0</v>
      </c>
      <c r="DD257" s="899" cm="1">
        <f t="array" aca="1" ref="DD257" ca="1">_xlfn.IFNA(OFFSET($Y$49,MATCH($CZ257,$Y$50:$Y$63,0),MATCH($DA257,TRANSPOSE($Z$49:$AM$49),0)),0)</f>
        <v>1</v>
      </c>
      <c r="DE257" s="899" cm="1">
        <f t="array" aca="1" ref="DE257" ca="1">_xlfn.IFNA(OFFSET($AO$49,MATCH($DA257,$AO$50:$AO$63,0),MATCH($DB257,TRANSPOSE($AP$49:$BC$49),0)),0)</f>
        <v>0</v>
      </c>
      <c r="DF257" s="881">
        <f t="shared" ca="1" si="179"/>
        <v>0</v>
      </c>
      <c r="DG257" s="910">
        <f t="shared" ca="1" si="180"/>
        <v>1</v>
      </c>
      <c r="DH257" s="881">
        <f t="shared" ca="1" si="181"/>
        <v>0</v>
      </c>
      <c r="DI257" s="1461">
        <f t="shared" ca="1" si="197"/>
        <v>0</v>
      </c>
      <c r="DJ257" s="909">
        <f>_xlfn.IFNA(INDEX('Resource use and costs'!$CQ$11:$CQ$53,MATCH($CZ257,'Resource use and costs'!$BA$11:$BA$53,0)),0)*_xlfn.IFNA(INDEX(DY$10:DY$23,MATCH($CZ257,$DX$10:$DX$23,0)),0)</f>
        <v>944.50399999999979</v>
      </c>
      <c r="DK257" s="909">
        <f>IF(dd_PartSA_2_lines = "Yes",0,_xlfn.IFNA(INDEX('Resource use and costs'!$CR$11:$CR$53,MATCH(DA257,'Resource use and costs'!$BA$11:$BA$53,0)),0)*_xlfn.IFNA(INDEX(EA$10:EA$23,MATCH($DA257,$DX$10:$DX$23,0)),0))</f>
        <v>0</v>
      </c>
      <c r="DL257" s="909">
        <f>IF(dd_PartSA_2_lines = "Yes",0,_xlfn.IFNA(INDEX('Resource use and costs'!$CS$11:$CS$53,MATCH(DB257,'Resource use and costs'!$BA$11:$BA$53,0)),0)*_xlfn.IFNA(INDEX(EC$10:EC$23,MATCH($DB257,$DX$10:$DX$23,0)),0))</f>
        <v>0</v>
      </c>
      <c r="DM257" s="909">
        <f t="shared" si="183"/>
        <v>944.50399999999979</v>
      </c>
      <c r="DN257" s="909">
        <f>SUM(_xlfn.IFNA(INDEX('Resource use and costs'!$DU$12:$DU$25,MATCH(CZ257,'Resource use and costs'!$DS$12:$DS$25,0)),0),_xlfn.IFNA(INDEX('Resource use and costs'!$DU$12:$DU$25,MATCH(DA257,'Resource use and costs'!$DS$12:$DS$25,0)),0),_xlfn.IFNA(INDEX('Resource use and costs'!$DU$12:$DU$25,MATCH(DB257,'Resource use and costs'!$DS$12:$DS$25,0)),0))</f>
        <v>197.25</v>
      </c>
      <c r="DO257" s="921">
        <f>_xlfn.IFNA(INDEX('Resource use and costs'!$DY$12:$DY$25,MATCH(CZ257,'Resource use and costs'!$DS$12:$DS$25,0)),0)*_xlfn.IFNA(INDEX(DY$10:DY$23,MATCH($CZ257,$DX$10:$DX$23,0)),0)</f>
        <v>82.971428571428561</v>
      </c>
      <c r="DP257" s="921">
        <f>IF(dd_PartSA_2_lines = "Yes",0,_xlfn.IFNA(INDEX('Resource use and costs'!$DZ$12:$DZ$25,MATCH(DA257,'Resource use and costs'!$DS$12:$DS$25,0)),0)*_xlfn.IFNA(INDEX(EA$10:EA$23,MATCH($DA257,$DX$10:$DX$23,0)),0))</f>
        <v>0</v>
      </c>
      <c r="DQ257" s="921">
        <f>IF(dd_PartSA_2_lines = "Yes",0,_xlfn.IFNA(INDEX('Resource use and costs'!$EA$12:$EA$25,MATCH(DB257,'Resource use and costs'!$DS$12:$DS$25,0)),0)*_xlfn.IFNA(INDEX(EC$10:EC$23,MATCH($DB257,$DX$10:$DX$23,0)),0))</f>
        <v>0</v>
      </c>
      <c r="DR257" s="921">
        <f t="shared" si="184"/>
        <v>280.22142857142853</v>
      </c>
      <c r="DS257" s="1004">
        <f>SUMIFS('Safety parameters'!$DM$6:$DM$18,'Safety parameters'!$DK$6:$DK$18,CZ257,'Safety parameters'!$DL$6:$DL$18,1)+IF(dd_PartSA_2_lines = "Yes",0,SUMIFS('Safety parameters'!$DM$6:$DM$18,'Safety parameters'!$DK$6:$DK$18,DA257,'Safety parameters'!$DL$6:$DL$18,2)+SUMIFS('Safety parameters'!$DM$6:$DM$18,'Safety parameters'!$DK$6:$DK$18,DB257,'Safety parameters'!$DL$6:$DL$18,2))</f>
        <v>0</v>
      </c>
      <c r="DT257" s="910">
        <f>SUMIFS('Safety parameters'!$DO$6:$DO$18,'Safety parameters'!$DK$6:$DK$18,CZ257,'Safety parameters'!$DL$6:$DL$18,1)+IF(dd_PartSA_2_lines = "Yes",0,SUMIFS('Safety parameters'!$DO$6:$DO$18,'Safety parameters'!$DK$6:$DK$18,DA257,'Safety parameters'!$DL$6:$DL$18,2)+SUMIFS('Safety parameters'!$DO$6:$DO$18,'Safety parameters'!$DK$6:$DK$18,DB257,'Safety parameters'!$DL$6:$DL$18,2))</f>
        <v>0</v>
      </c>
    </row>
    <row r="258" spans="89:124" ht="15" x14ac:dyDescent="0.2">
      <c r="CK258" s="61" t="s">
        <v>31</v>
      </c>
      <c r="CL258" s="61">
        <v>3</v>
      </c>
      <c r="CM258" s="61" t="str">
        <v>axitinib</v>
      </c>
      <c r="CN258" s="17">
        <v>11</v>
      </c>
      <c r="CO258" s="61" t="str" cm="1">
        <f t="array" ref="CO258">INDEX(List_comparators,CP257+1)</f>
        <v>nivolumab_monotherapy</v>
      </c>
      <c r="CP258" s="17">
        <v>0</v>
      </c>
      <c r="CQ258" s="601">
        <f t="shared" ca="1" si="193"/>
        <v>0.32850000000000001</v>
      </c>
      <c r="CR258" s="601">
        <f t="shared" ca="1" si="194"/>
        <v>3.2850000000000004E-2</v>
      </c>
      <c r="CS258" s="671">
        <f t="shared" ca="1" si="195"/>
        <v>21.82</v>
      </c>
      <c r="CT258" s="671">
        <f t="shared" ca="1" si="196"/>
        <v>4.1142857142857139</v>
      </c>
      <c r="CU258" s="1123">
        <f>MATCH(CZ258,'Resource use and costs'!$BA$11:$BA$53,0)</f>
        <v>43</v>
      </c>
      <c r="CV258" s="1223"/>
      <c r="CW258" s="1241">
        <f t="shared" si="182"/>
        <v>1</v>
      </c>
      <c r="CX258" s="899" t="s">
        <v>773</v>
      </c>
      <c r="CY258" s="899" t="s">
        <v>571</v>
      </c>
      <c r="CZ258" s="899" t="s">
        <v>333</v>
      </c>
      <c r="DA258" s="899" t="s">
        <v>327</v>
      </c>
      <c r="DB258" s="899" t="s">
        <v>765</v>
      </c>
      <c r="DC258" s="899" cm="1">
        <f t="array" aca="1" ref="DC258" ca="1">_xlfn.IFNA(OFFSET($I$49,MATCH(CY258,$I$50:$I$63,0),MATCH(CZ258,TRANSPOSE($J$49:$W$49),0)),0)</f>
        <v>0.54387087099248355</v>
      </c>
      <c r="DD258" s="899">
        <f ca="1">1-DD259</f>
        <v>0.65700000000000003</v>
      </c>
      <c r="DE258" s="899">
        <v>1</v>
      </c>
      <c r="DF258" s="881">
        <f t="shared" ca="1" si="179"/>
        <v>0.35732316224206173</v>
      </c>
      <c r="DG258" s="910">
        <f t="shared" ca="1" si="180"/>
        <v>1</v>
      </c>
      <c r="DH258" s="881">
        <f t="shared" ca="1" si="181"/>
        <v>0.35732316224206173</v>
      </c>
      <c r="DI258" s="1461">
        <f t="shared" ca="1" si="197"/>
        <v>60.030291256666374</v>
      </c>
      <c r="DJ258" s="909">
        <f>_xlfn.IFNA(INDEX('Resource use and costs'!$CQ$11:$CQ$53,MATCH($CZ258,'Resource use and costs'!$BA$11:$BA$53,0)),0)*_xlfn.IFNA(INDEX(DY$10:DY$23,MATCH($CZ258,$DX$10:$DX$23,0)),0)</f>
        <v>54336.641519999976</v>
      </c>
      <c r="DK258" s="909">
        <f>IF(dd_PartSA_2_lines = "Yes",0,_xlfn.IFNA(INDEX('Resource use and costs'!$CR$11:$CR$53,MATCH(DA258,'Resource use and costs'!$BA$11:$BA$53,0)),0)*_xlfn.IFNA(INDEX(EA$10:EA$23,MATCH($DA258,$DX$10:$DX$23,0)),0))</f>
        <v>21421.066008214286</v>
      </c>
      <c r="DL258" s="909">
        <f>IF(dd_PartSA_2_lines = "Yes",0,_xlfn.IFNA(INDEX('Resource use and costs'!$CS$11:$CS$53,MATCH(DB258,'Resource use and costs'!$BA$11:$BA$53,0)),0)*_xlfn.IFNA(INDEX(EC$10:EC$23,MATCH($DB258,$DX$10:$DX$23,0)),0))</f>
        <v>0</v>
      </c>
      <c r="DM258" s="909">
        <f t="shared" si="183"/>
        <v>75757.707528214261</v>
      </c>
      <c r="DN258" s="909">
        <f>SUM(_xlfn.IFNA(INDEX('Resource use and costs'!$DU$12:$DU$25,MATCH(CZ258,'Resource use and costs'!$DS$12:$DS$25,0)),0),_xlfn.IFNA(INDEX('Resource use and costs'!$DU$12:$DU$25,MATCH(DA258,'Resource use and costs'!$DS$12:$DS$25,0)),0),_xlfn.IFNA(INDEX('Resource use and costs'!$DU$12:$DU$25,MATCH(DB258,'Resource use and costs'!$DS$12:$DS$25,0)),0))</f>
        <v>394.5</v>
      </c>
      <c r="DO258" s="921">
        <f>_xlfn.IFNA(INDEX('Resource use and costs'!$DY$12:$DY$25,MATCH(CZ258,'Resource use and costs'!$DS$12:$DS$25,0)),0)*_xlfn.IFNA(INDEX(DY$10:DY$23,MATCH($CZ258,$DX$10:$DX$23,0)),0)</f>
        <v>810.54285714285697</v>
      </c>
      <c r="DP258" s="921">
        <f>IF(dd_PartSA_2_lines = "Yes",0,_xlfn.IFNA(INDEX('Resource use and costs'!$DZ$12:$DZ$25,MATCH(DA258,'Resource use and costs'!$DS$12:$DS$25,0)),0)*_xlfn.IFNA(INDEX(EA$10:EA$23,MATCH($DA258,$DX$10:$DX$23,0)),0))</f>
        <v>267.99172714285714</v>
      </c>
      <c r="DQ258" s="921">
        <f>IF(dd_PartSA_2_lines = "Yes",0,_xlfn.IFNA(INDEX('Resource use and costs'!$EA$12:$EA$25,MATCH(DB258,'Resource use and costs'!$DS$12:$DS$25,0)),0)*_xlfn.IFNA(INDEX(EC$10:EC$23,MATCH($DB258,$DX$10:$DX$23,0)),0))</f>
        <v>0</v>
      </c>
      <c r="DR258" s="921">
        <f t="shared" si="184"/>
        <v>1473.0345842857141</v>
      </c>
      <c r="DS258" s="1004">
        <f ca="1">SUMIFS('Safety parameters'!$DM$6:$DM$18,'Safety parameters'!$DK$6:$DK$18,CZ258,'Safety parameters'!$DL$6:$DL$18,1)+IF(dd_PartSA_2_lines = "Yes",0,SUMIFS('Safety parameters'!$DM$6:$DM$18,'Safety parameters'!$DK$6:$DK$18,DA258,'Safety parameters'!$DL$6:$DL$18,2)+SUMIFS('Safety parameters'!$DM$6:$DM$18,'Safety parameters'!$DK$6:$DK$18,DB258,'Safety parameters'!$DL$6:$DL$18,2))</f>
        <v>1634.2286735654598</v>
      </c>
      <c r="DT258" s="910">
        <f ca="1">SUMIFS('Safety parameters'!$DO$6:$DO$18,'Safety parameters'!$DK$6:$DK$18,CZ258,'Safety parameters'!$DL$6:$DL$18,1)+IF(dd_PartSA_2_lines = "Yes",0,SUMIFS('Safety parameters'!$DO$6:$DO$18,'Safety parameters'!$DK$6:$DK$18,DA258,'Safety parameters'!$DL$6:$DL$18,2)+SUMIFS('Safety parameters'!$DO$6:$DO$18,'Safety parameters'!$DK$6:$DK$18,DB258,'Safety parameters'!$DL$6:$DL$18,2))</f>
        <v>-1.4741924007481429E-2</v>
      </c>
    </row>
    <row r="259" spans="89:124" ht="15" x14ac:dyDescent="0.2">
      <c r="CK259" s="61" t="s">
        <v>31</v>
      </c>
      <c r="CL259" s="61">
        <v>3</v>
      </c>
      <c r="CM259" s="61" t="str">
        <v>sorafenib</v>
      </c>
      <c r="CN259" s="17">
        <v>12</v>
      </c>
      <c r="CO259" s="61" t="str" cm="1">
        <f t="array" ref="CO259">INDEX(List_comparators,CP258+1)</f>
        <v>nivolumab_monotherapy</v>
      </c>
      <c r="CP259" s="17">
        <v>0</v>
      </c>
      <c r="CQ259" s="601">
        <f t="shared" ca="1" si="193"/>
        <v>0</v>
      </c>
      <c r="CR259" s="601">
        <f t="shared" ca="1" si="194"/>
        <v>0</v>
      </c>
      <c r="CS259" s="671">
        <f t="shared" ca="1" si="195"/>
        <v>0</v>
      </c>
      <c r="CT259" s="671">
        <f t="shared" ca="1" si="196"/>
        <v>0</v>
      </c>
      <c r="CU259" s="1123">
        <f>MATCH(CZ259,'Resource use and costs'!$BA$11:$BA$53,0)</f>
        <v>43</v>
      </c>
      <c r="CV259" s="1223"/>
      <c r="CW259" s="1241">
        <f t="shared" si="182"/>
        <v>1</v>
      </c>
      <c r="CX259" s="899" t="s">
        <v>773</v>
      </c>
      <c r="CY259" s="899" t="s">
        <v>571</v>
      </c>
      <c r="CZ259" s="899" t="s">
        <v>333</v>
      </c>
      <c r="DA259" s="899" t="s">
        <v>765</v>
      </c>
      <c r="DB259" s="899"/>
      <c r="DC259" s="899" cm="1">
        <f t="array" aca="1" ref="DC259" ca="1">_xlfn.IFNA(OFFSET($I$49,MATCH(CY259,$I$50:$I$63,0),MATCH(CZ259,TRANSPOSE($J$49:$W$49),0)),0)</f>
        <v>0.54387087099248355</v>
      </c>
      <c r="DD259" s="899" cm="1">
        <f t="array" aca="1" ref="DD259" ca="1">_xlfn.IFNA(OFFSET($Y$49,MATCH($CZ259,$Y$50:$Y$63,0),MATCH($DA259,TRANSPOSE($Z$49:$AM$49),0)),0)</f>
        <v>0.34300000000000003</v>
      </c>
      <c r="DE259" s="899" cm="1">
        <f t="array" aca="1" ref="DE259" ca="1">_xlfn.IFNA(OFFSET($AO$49,MATCH($DA259,$AO$50:$AO$63,0),MATCH($DB259,TRANSPOSE($AP$49:$BC$49),0)),0)</f>
        <v>0</v>
      </c>
      <c r="DF259" s="881">
        <f t="shared" ca="1" si="179"/>
        <v>0.18654770875042187</v>
      </c>
      <c r="DG259" s="910">
        <f t="shared" ca="1" si="180"/>
        <v>1</v>
      </c>
      <c r="DH259" s="881">
        <f t="shared" ca="1" si="181"/>
        <v>0.18654770875042187</v>
      </c>
      <c r="DI259" s="1461">
        <f t="shared" ca="1" si="197"/>
        <v>31.340015070070873</v>
      </c>
      <c r="DJ259" s="909">
        <f>_xlfn.IFNA(INDEX('Resource use and costs'!$CQ$11:$CQ$53,MATCH($CZ259,'Resource use and costs'!$BA$11:$BA$53,0)),0)*_xlfn.IFNA(INDEX(DY$10:DY$23,MATCH($CZ259,$DX$10:$DX$23,0)),0)</f>
        <v>54336.641519999976</v>
      </c>
      <c r="DK259" s="909">
        <f>IF(dd_PartSA_2_lines = "Yes",0,_xlfn.IFNA(INDEX('Resource use and costs'!$CR$11:$CR$53,MATCH(DA259,'Resource use and costs'!$BA$11:$BA$53,0)),0)*_xlfn.IFNA(INDEX(EA$10:EA$23,MATCH($DA259,$DX$10:$DX$23,0)),0))</f>
        <v>0</v>
      </c>
      <c r="DL259" s="909">
        <f>IF(dd_PartSA_2_lines = "Yes",0,_xlfn.IFNA(INDEX('Resource use and costs'!$CS$11:$CS$53,MATCH(DB259,'Resource use and costs'!$BA$11:$BA$53,0)),0)*_xlfn.IFNA(INDEX(EC$10:EC$23,MATCH($DB259,$DX$10:$DX$23,0)),0))</f>
        <v>0</v>
      </c>
      <c r="DM259" s="909">
        <f t="shared" si="183"/>
        <v>54336.641519999976</v>
      </c>
      <c r="DN259" s="909">
        <f>SUM(_xlfn.IFNA(INDEX('Resource use and costs'!$DU$12:$DU$25,MATCH(CZ259,'Resource use and costs'!$DS$12:$DS$25,0)),0),_xlfn.IFNA(INDEX('Resource use and costs'!$DU$12:$DU$25,MATCH(DA259,'Resource use and costs'!$DS$12:$DS$25,0)),0),_xlfn.IFNA(INDEX('Resource use and costs'!$DU$12:$DU$25,MATCH(DB259,'Resource use and costs'!$DS$12:$DS$25,0)),0))</f>
        <v>197.25</v>
      </c>
      <c r="DO259" s="921">
        <f>_xlfn.IFNA(INDEX('Resource use and costs'!$DY$12:$DY$25,MATCH(CZ259,'Resource use and costs'!$DS$12:$DS$25,0)),0)*_xlfn.IFNA(INDEX(DY$10:DY$23,MATCH($CZ259,$DX$10:$DX$23,0)),0)</f>
        <v>810.54285714285697</v>
      </c>
      <c r="DP259" s="921">
        <f>IF(dd_PartSA_2_lines = "Yes",0,_xlfn.IFNA(INDEX('Resource use and costs'!$DZ$12:$DZ$25,MATCH(DA259,'Resource use and costs'!$DS$12:$DS$25,0)),0)*_xlfn.IFNA(INDEX(EA$10:EA$23,MATCH($DA259,$DX$10:$DX$23,0)),0))</f>
        <v>0</v>
      </c>
      <c r="DQ259" s="921">
        <f>IF(dd_PartSA_2_lines = "Yes",0,_xlfn.IFNA(INDEX('Resource use and costs'!$EA$12:$EA$25,MATCH(DB259,'Resource use and costs'!$DS$12:$DS$25,0)),0)*_xlfn.IFNA(INDEX(EC$10:EC$23,MATCH($DB259,$DX$10:$DX$23,0)),0))</f>
        <v>0</v>
      </c>
      <c r="DR259" s="921">
        <f t="shared" si="184"/>
        <v>1007.792857142857</v>
      </c>
      <c r="DS259" s="1004">
        <f>SUMIFS('Safety parameters'!$DM$6:$DM$18,'Safety parameters'!$DK$6:$DK$18,CZ259,'Safety parameters'!$DL$6:$DL$18,1)+IF(dd_PartSA_2_lines = "Yes",0,SUMIFS('Safety parameters'!$DM$6:$DM$18,'Safety parameters'!$DK$6:$DK$18,DA259,'Safety parameters'!$DL$6:$DL$18,2)+SUMIFS('Safety parameters'!$DM$6:$DM$18,'Safety parameters'!$DK$6:$DK$18,DB259,'Safety parameters'!$DL$6:$DL$18,2))</f>
        <v>0</v>
      </c>
      <c r="DT259" s="910">
        <f>SUMIFS('Safety parameters'!$DO$6:$DO$18,'Safety parameters'!$DK$6:$DK$18,CZ259,'Safety parameters'!$DL$6:$DL$18,1)+IF(dd_PartSA_2_lines = "Yes",0,SUMIFS('Safety parameters'!$DO$6:$DO$18,'Safety parameters'!$DK$6:$DK$18,DA259,'Safety parameters'!$DL$6:$DL$18,2)+SUMIFS('Safety parameters'!$DO$6:$DO$18,'Safety parameters'!$DK$6:$DK$18,DB259,'Safety parameters'!$DL$6:$DL$18,2))</f>
        <v>0</v>
      </c>
    </row>
    <row r="260" spans="89:124" ht="15.75" thickBot="1" x14ac:dyDescent="0.25">
      <c r="CK260" s="506" t="s">
        <v>31</v>
      </c>
      <c r="CL260" s="506">
        <v>3</v>
      </c>
      <c r="CM260" s="506" t="str">
        <v>placebo_BSC</v>
      </c>
      <c r="CN260" s="19">
        <v>999</v>
      </c>
      <c r="CO260" s="506" t="str" cm="1">
        <f t="array" ref="CO260">INDEX(List_comparators,CP247+1)</f>
        <v>nivolumab_monotherapy</v>
      </c>
      <c r="CP260" s="19">
        <v>0</v>
      </c>
      <c r="CQ260" s="602">
        <f t="shared" ca="1" si="193"/>
        <v>0</v>
      </c>
      <c r="CR260" s="602">
        <f t="shared" ca="1" si="194"/>
        <v>0</v>
      </c>
      <c r="CS260" s="670">
        <v>0</v>
      </c>
      <c r="CT260" s="670">
        <f t="shared" ca="1" si="196"/>
        <v>0</v>
      </c>
      <c r="CU260" s="1123">
        <f>MATCH(CZ260,'Resource use and costs'!$BA$11:$BA$53,0)</f>
        <v>21</v>
      </c>
      <c r="CV260" s="1223"/>
      <c r="CW260" s="1241">
        <f t="shared" si="182"/>
        <v>1</v>
      </c>
      <c r="CX260" s="899" t="s">
        <v>773</v>
      </c>
      <c r="CY260" s="899" t="s">
        <v>571</v>
      </c>
      <c r="CZ260" s="899" t="s">
        <v>585</v>
      </c>
      <c r="DA260" s="899" t="s">
        <v>327</v>
      </c>
      <c r="DB260" s="899" t="s">
        <v>765</v>
      </c>
      <c r="DC260" s="899" cm="1">
        <f t="array" aca="1" ref="DC260" ca="1">_xlfn.IFNA(OFFSET($I$49,MATCH(CY260,$I$50:$I$63,0),MATCH(CZ260,TRANSPOSE($J$49:$W$49),0)),0)</f>
        <v>0</v>
      </c>
      <c r="DD260" s="899" cm="1">
        <f t="array" aca="1" ref="DD260" ca="1">_xlfn.IFNA(OFFSET($Y$49,MATCH($CZ260,$Y$50:$Y$63,0),MATCH($DA260,TRANSPOSE($Z$49:$AM$49),0)),0)</f>
        <v>0</v>
      </c>
      <c r="DE260" s="899" cm="1">
        <f t="array" aca="1" ref="DE260" ca="1">_xlfn.IFNA(OFFSET($AO$49,MATCH($DA260,$AO$50:$AO$63,0),MATCH($DB260,TRANSPOSE($AP$49:$BC$49),0)),0)</f>
        <v>0.43140000000000001</v>
      </c>
      <c r="DF260" s="881">
        <f t="shared" ca="1" si="179"/>
        <v>0</v>
      </c>
      <c r="DG260" s="910">
        <f t="shared" ca="1" si="180"/>
        <v>1</v>
      </c>
      <c r="DH260" s="881">
        <f t="shared" ca="1" si="181"/>
        <v>0</v>
      </c>
      <c r="DI260" s="1461">
        <f t="shared" ca="1" si="197"/>
        <v>0</v>
      </c>
      <c r="DJ260" s="909">
        <f>_xlfn.IFNA(INDEX('Resource use and costs'!$CQ$11:$CQ$53,MATCH($CZ260,'Resource use and costs'!$BA$11:$BA$53,0)),0)*_xlfn.IFNA(INDEX(DY$10:DY$23,MATCH($CZ260,$DX$10:$DX$23,0)),0)</f>
        <v>4551.2486654444447</v>
      </c>
      <c r="DK260" s="909">
        <f>IF(dd_PartSA_2_lines = "Yes",0,_xlfn.IFNA(INDEX('Resource use and costs'!$CR$11:$CR$53,MATCH(DA260,'Resource use and costs'!$BA$11:$BA$53,0)),0)*_xlfn.IFNA(INDEX(EA$10:EA$23,MATCH($DA260,$DX$10:$DX$23,0)),0))</f>
        <v>21421.066008214286</v>
      </c>
      <c r="DL260" s="909">
        <f>IF(dd_PartSA_2_lines = "Yes",0,_xlfn.IFNA(INDEX('Resource use and costs'!$CS$11:$CS$53,MATCH(DB260,'Resource use and costs'!$BA$11:$BA$53,0)),0)*_xlfn.IFNA(INDEX(EC$10:EC$23,MATCH($DB260,$DX$10:$DX$23,0)),0))</f>
        <v>0</v>
      </c>
      <c r="DM260" s="909">
        <f t="shared" si="183"/>
        <v>25972.31467365873</v>
      </c>
      <c r="DN260" s="909">
        <f>SUM(_xlfn.IFNA(INDEX('Resource use and costs'!$DU$12:$DU$25,MATCH(CZ260,'Resource use and costs'!$DS$12:$DS$25,0)),0),_xlfn.IFNA(INDEX('Resource use and costs'!$DU$12:$DU$25,MATCH(DA260,'Resource use and costs'!$DS$12:$DS$25,0)),0),_xlfn.IFNA(INDEX('Resource use and costs'!$DU$12:$DU$25,MATCH(DB260,'Resource use and costs'!$DS$12:$DS$25,0)),0))</f>
        <v>394.5</v>
      </c>
      <c r="DO260" s="921">
        <f>_xlfn.IFNA(INDEX('Resource use and costs'!$DY$12:$DY$25,MATCH(CZ260,'Resource use and costs'!$DS$12:$DS$25,0)),0)*_xlfn.IFNA(INDEX(DY$10:DY$23,MATCH($CZ260,$DX$10:$DX$23,0)),0)</f>
        <v>410.14183571428572</v>
      </c>
      <c r="DP260" s="921">
        <f>IF(dd_PartSA_2_lines = "Yes",0,_xlfn.IFNA(INDEX('Resource use and costs'!$DZ$12:$DZ$25,MATCH(DA260,'Resource use and costs'!$DS$12:$DS$25,0)),0)*_xlfn.IFNA(INDEX(EA$10:EA$23,MATCH($DA260,$DX$10:$DX$23,0)),0))</f>
        <v>267.99172714285714</v>
      </c>
      <c r="DQ260" s="921">
        <f>IF(dd_PartSA_2_lines = "Yes",0,_xlfn.IFNA(INDEX('Resource use and costs'!$EA$12:$EA$25,MATCH(DB260,'Resource use and costs'!$DS$12:$DS$25,0)),0)*_xlfn.IFNA(INDEX(EC$10:EC$23,MATCH($DB260,$DX$10:$DX$23,0)),0))</f>
        <v>0</v>
      </c>
      <c r="DR260" s="921">
        <f t="shared" si="184"/>
        <v>1072.6335628571428</v>
      </c>
      <c r="DS260" s="1004">
        <f ca="1">SUMIFS('Safety parameters'!$DM$6:$DM$18,'Safety parameters'!$DK$6:$DK$18,CZ260,'Safety parameters'!$DL$6:$DL$18,1)+IF(dd_PartSA_2_lines = "Yes",0,SUMIFS('Safety parameters'!$DM$6:$DM$18,'Safety parameters'!$DK$6:$DK$18,DA260,'Safety parameters'!$DL$6:$DL$18,2)+SUMIFS('Safety parameters'!$DM$6:$DM$18,'Safety parameters'!$DK$6:$DK$18,DB260,'Safety parameters'!$DL$6:$DL$18,2))</f>
        <v>2145.8369470981288</v>
      </c>
      <c r="DT260" s="910">
        <f ca="1">SUMIFS('Safety parameters'!$DO$6:$DO$18,'Safety parameters'!$DK$6:$DK$18,CZ260,'Safety parameters'!$DL$6:$DL$18,1)+IF(dd_PartSA_2_lines = "Yes",0,SUMIFS('Safety parameters'!$DO$6:$DO$18,'Safety parameters'!$DK$6:$DK$18,DA260,'Safety parameters'!$DL$6:$DL$18,2)+SUMIFS('Safety parameters'!$DO$6:$DO$18,'Safety parameters'!$DK$6:$DK$18,DB260,'Safety parameters'!$DL$6:$DL$18,2))</f>
        <v>-1.9786705662528051E-2</v>
      </c>
    </row>
    <row r="261" spans="89:124" ht="15" x14ac:dyDescent="0.2">
      <c r="CK261" s="505" t="s">
        <v>31</v>
      </c>
      <c r="CL261" s="505">
        <v>3</v>
      </c>
      <c r="CM261" s="61" t="str" cm="1">
        <f t="array" ref="CM261:CM274">List_comparators</f>
        <v>nivolumab_monotherapy</v>
      </c>
      <c r="CN261" s="17">
        <v>0</v>
      </c>
      <c r="CO261" s="61" t="str" cm="1">
        <f t="array" ref="CO261">INDEX(List_comparators,CP261+1)</f>
        <v>cabozantinib_plus_nivolumab</v>
      </c>
      <c r="CP261" s="17">
        <v>1</v>
      </c>
      <c r="CQ261" s="603">
        <f t="shared" ca="1" si="193"/>
        <v>0</v>
      </c>
      <c r="CR261" s="603">
        <f t="shared" ca="1" si="194"/>
        <v>0</v>
      </c>
      <c r="CS261" s="671">
        <f t="shared" ref="CS261:CS273" ca="1" si="198">OFFSET($Z$81,IF(CN261=999,13,CN261),CP261)</f>
        <v>0</v>
      </c>
      <c r="CT261" s="671">
        <f t="shared" ca="1" si="196"/>
        <v>0</v>
      </c>
      <c r="CU261" s="1123">
        <f>MATCH(CZ261,'Resource use and costs'!$BA$11:$BA$53,0)</f>
        <v>21</v>
      </c>
      <c r="CV261" s="1223"/>
      <c r="CW261" s="1241">
        <f t="shared" si="182"/>
        <v>1</v>
      </c>
      <c r="CX261" s="899" t="s">
        <v>773</v>
      </c>
      <c r="CY261" s="899" t="s">
        <v>571</v>
      </c>
      <c r="CZ261" s="899" t="s">
        <v>585</v>
      </c>
      <c r="DA261" s="899" t="s">
        <v>327</v>
      </c>
      <c r="DB261" s="899" t="s">
        <v>119</v>
      </c>
      <c r="DC261" s="899" cm="1">
        <f t="array" aca="1" ref="DC261" ca="1">_xlfn.IFNA(OFFSET($I$49,MATCH(CY261,$I$50:$I$63,0),MATCH(CZ261,TRANSPOSE($J$49:$W$49),0)),0)</f>
        <v>0</v>
      </c>
      <c r="DD261" s="899" cm="1">
        <f t="array" aca="1" ref="DD261" ca="1">_xlfn.IFNA(OFFSET($Y$49,MATCH($CZ261,$Y$50:$Y$63,0),MATCH($DA261,TRANSPOSE($Z$49:$AM$49),0)),0)</f>
        <v>0</v>
      </c>
      <c r="DE261" s="899" cm="1">
        <f t="array" aca="1" ref="DE261" ca="1">_xlfn.IFNA(OFFSET($AO$49,MATCH($DA261,$AO$50:$AO$63,0),MATCH($DB261,TRANSPOSE($AP$49:$BC$49),0)),0)</f>
        <v>0.56859999999999999</v>
      </c>
      <c r="DF261" s="881">
        <f t="shared" ca="1" si="179"/>
        <v>0</v>
      </c>
      <c r="DG261" s="910">
        <f t="shared" ca="1" si="180"/>
        <v>1</v>
      </c>
      <c r="DH261" s="881">
        <f t="shared" ca="1" si="181"/>
        <v>0</v>
      </c>
      <c r="DI261" s="1461">
        <f t="shared" ca="1" si="197"/>
        <v>0</v>
      </c>
      <c r="DJ261" s="909">
        <f>_xlfn.IFNA(INDEX('Resource use and costs'!$CQ$11:$CQ$53,MATCH($CZ261,'Resource use and costs'!$BA$11:$BA$53,0)),0)*_xlfn.IFNA(INDEX(DY$10:DY$23,MATCH($CZ261,$DX$10:$DX$23,0)),0)</f>
        <v>4551.2486654444447</v>
      </c>
      <c r="DK261" s="909">
        <f>IF(dd_PartSA_2_lines = "Yes",0,_xlfn.IFNA(INDEX('Resource use and costs'!$CR$11:$CR$53,MATCH(DA261,'Resource use and costs'!$BA$11:$BA$53,0)),0)*_xlfn.IFNA(INDEX(EA$10:EA$23,MATCH($DA261,$DX$10:$DX$23,0)),0))</f>
        <v>21421.066008214286</v>
      </c>
      <c r="DL261" s="909">
        <f>IF(dd_PartSA_2_lines = "Yes",0,_xlfn.IFNA(INDEX('Resource use and costs'!$CS$11:$CS$53,MATCH(DB261,'Resource use and costs'!$BA$11:$BA$53,0)),0)*_xlfn.IFNA(INDEX(EC$10:EC$23,MATCH($DB261,$DX$10:$DX$23,0)),0))</f>
        <v>2915.4763433333328</v>
      </c>
      <c r="DM261" s="909">
        <f t="shared" si="183"/>
        <v>28887.791016992061</v>
      </c>
      <c r="DN261" s="909">
        <f>SUM(_xlfn.IFNA(INDEX('Resource use and costs'!$DU$12:$DU$25,MATCH(CZ261,'Resource use and costs'!$DS$12:$DS$25,0)),0),_xlfn.IFNA(INDEX('Resource use and costs'!$DU$12:$DU$25,MATCH(DA261,'Resource use and costs'!$DS$12:$DS$25,0)),0),_xlfn.IFNA(INDEX('Resource use and costs'!$DU$12:$DU$25,MATCH(DB261,'Resource use and costs'!$DS$12:$DS$25,0)),0))</f>
        <v>591.75</v>
      </c>
      <c r="DO261" s="921">
        <f>_xlfn.IFNA(INDEX('Resource use and costs'!$DY$12:$DY$25,MATCH(CZ261,'Resource use and costs'!$DS$12:$DS$25,0)),0)*_xlfn.IFNA(INDEX(DY$10:DY$23,MATCH($CZ261,$DX$10:$DX$23,0)),0)</f>
        <v>410.14183571428572</v>
      </c>
      <c r="DP261" s="921">
        <f>IF(dd_PartSA_2_lines = "Yes",0,_xlfn.IFNA(INDEX('Resource use and costs'!$DZ$12:$DZ$25,MATCH(DA261,'Resource use and costs'!$DS$12:$DS$25,0)),0)*_xlfn.IFNA(INDEX(EA$10:EA$23,MATCH($DA261,$DX$10:$DX$23,0)),0))</f>
        <v>267.99172714285714</v>
      </c>
      <c r="DQ261" s="921">
        <f>IF(dd_PartSA_2_lines = "Yes",0,_xlfn.IFNA(INDEX('Resource use and costs'!$EA$12:$EA$25,MATCH(DB261,'Resource use and costs'!$DS$12:$DS$25,0)),0)*_xlfn.IFNA(INDEX(EC$10:EC$23,MATCH($DB261,$DX$10:$DX$23,0)),0))</f>
        <v>256.11457142857142</v>
      </c>
      <c r="DR261" s="921">
        <f t="shared" si="184"/>
        <v>1525.9981342857143</v>
      </c>
      <c r="DS261" s="1004">
        <f ca="1">SUMIFS('Safety parameters'!$DM$6:$DM$18,'Safety parameters'!$DK$6:$DK$18,CZ261,'Safety parameters'!$DL$6:$DL$18,1)+IF(dd_PartSA_2_lines = "Yes",0,SUMIFS('Safety parameters'!$DM$6:$DM$18,'Safety parameters'!$DK$6:$DK$18,DA261,'Safety parameters'!$DL$6:$DL$18,2)+SUMIFS('Safety parameters'!$DM$6:$DM$18,'Safety parameters'!$DK$6:$DK$18,DB261,'Safety parameters'!$DL$6:$DL$18,2))</f>
        <v>2478.7123304734437</v>
      </c>
      <c r="DT261" s="910">
        <f ca="1">SUMIFS('Safety parameters'!$DO$6:$DO$18,'Safety parameters'!$DK$6:$DK$18,CZ261,'Safety parameters'!$DL$6:$DL$18,1)+IF(dd_PartSA_2_lines = "Yes",0,SUMIFS('Safety parameters'!$DO$6:$DO$18,'Safety parameters'!$DK$6:$DK$18,DA261,'Safety parameters'!$DL$6:$DL$18,2)+SUMIFS('Safety parameters'!$DO$6:$DO$18,'Safety parameters'!$DK$6:$DK$18,DB261,'Safety parameters'!$DL$6:$DL$18,2))</f>
        <v>-2.2454279199165771E-2</v>
      </c>
    </row>
    <row r="262" spans="89:124" ht="15" x14ac:dyDescent="0.2">
      <c r="CK262" s="61" t="s">
        <v>31</v>
      </c>
      <c r="CL262" s="61">
        <v>3</v>
      </c>
      <c r="CM262" s="61" t="str">
        <v>cabozantinib_plus_nivolumab</v>
      </c>
      <c r="CN262" s="17">
        <v>1</v>
      </c>
      <c r="CO262" s="61" t="str" cm="1">
        <f t="array" ref="CO262">INDEX(List_comparators,CP261+1)</f>
        <v>cabozantinib_plus_nivolumab</v>
      </c>
      <c r="CP262" s="17">
        <v>1</v>
      </c>
      <c r="CQ262" s="601">
        <f t="shared" ca="1" si="193"/>
        <v>0</v>
      </c>
      <c r="CR262" s="601">
        <f t="shared" ca="1" si="194"/>
        <v>0</v>
      </c>
      <c r="CS262" s="671">
        <f t="shared" ca="1" si="198"/>
        <v>0</v>
      </c>
      <c r="CT262" s="671">
        <f t="shared" ca="1" si="196"/>
        <v>0</v>
      </c>
      <c r="CU262" s="1123">
        <f>MATCH(CZ262,'Resource use and costs'!$BA$11:$BA$53,0)</f>
        <v>21</v>
      </c>
      <c r="CV262" s="1223"/>
      <c r="CW262" s="1241">
        <f t="shared" si="182"/>
        <v>1</v>
      </c>
      <c r="CX262" s="899" t="s">
        <v>773</v>
      </c>
      <c r="CY262" s="899" t="s">
        <v>571</v>
      </c>
      <c r="CZ262" s="899" t="s">
        <v>585</v>
      </c>
      <c r="DA262" s="899" t="s">
        <v>765</v>
      </c>
      <c r="DB262" s="899"/>
      <c r="DC262" s="899" cm="1">
        <f t="array" aca="1" ref="DC262" ca="1">_xlfn.IFNA(OFFSET($I$49,MATCH(CY262,$I$50:$I$63,0),MATCH(CZ262,TRANSPOSE($J$49:$W$49),0)),0)</f>
        <v>0</v>
      </c>
      <c r="DD262" s="899" cm="1">
        <f t="array" aca="1" ref="DD262" ca="1">_xlfn.IFNA(OFFSET($Y$49,MATCH($CZ262,$Y$50:$Y$63,0),MATCH($DA262,TRANSPOSE($Z$49:$AM$49),0)),0)</f>
        <v>0.34300000000000003</v>
      </c>
      <c r="DE262" s="899" cm="1">
        <f t="array" aca="1" ref="DE262" ca="1">_xlfn.IFNA(OFFSET($AO$49,MATCH($DA262,$AO$50:$AO$63,0),MATCH($DB262,TRANSPOSE($AP$49:$BC$49),0)),0)</f>
        <v>0</v>
      </c>
      <c r="DF262" s="881">
        <f t="shared" ca="1" si="179"/>
        <v>0</v>
      </c>
      <c r="DG262" s="910">
        <f t="shared" ca="1" si="180"/>
        <v>1</v>
      </c>
      <c r="DH262" s="881">
        <f t="shared" ca="1" si="181"/>
        <v>0</v>
      </c>
      <c r="DI262" s="1461">
        <f t="shared" ca="1" si="197"/>
        <v>0</v>
      </c>
      <c r="DJ262" s="909">
        <f>_xlfn.IFNA(INDEX('Resource use and costs'!$CQ$11:$CQ$53,MATCH($CZ262,'Resource use and costs'!$BA$11:$BA$53,0)),0)*_xlfn.IFNA(INDEX(DY$10:DY$23,MATCH($CZ262,$DX$10:$DX$23,0)),0)</f>
        <v>4551.2486654444447</v>
      </c>
      <c r="DK262" s="909">
        <f>IF(dd_PartSA_2_lines = "Yes",0,_xlfn.IFNA(INDEX('Resource use and costs'!$CR$11:$CR$53,MATCH(DA262,'Resource use and costs'!$BA$11:$BA$53,0)),0)*_xlfn.IFNA(INDEX(EA$10:EA$23,MATCH($DA262,$DX$10:$DX$23,0)),0))</f>
        <v>0</v>
      </c>
      <c r="DL262" s="909">
        <f>IF(dd_PartSA_2_lines = "Yes",0,_xlfn.IFNA(INDEX('Resource use and costs'!$CS$11:$CS$53,MATCH(DB262,'Resource use and costs'!$BA$11:$BA$53,0)),0)*_xlfn.IFNA(INDEX(EC$10:EC$23,MATCH($DB262,$DX$10:$DX$23,0)),0))</f>
        <v>0</v>
      </c>
      <c r="DM262" s="909">
        <f t="shared" si="183"/>
        <v>4551.2486654444447</v>
      </c>
      <c r="DN262" s="909">
        <f>SUM(_xlfn.IFNA(INDEX('Resource use and costs'!$DU$12:$DU$25,MATCH(CZ262,'Resource use and costs'!$DS$12:$DS$25,0)),0),_xlfn.IFNA(INDEX('Resource use and costs'!$DU$12:$DU$25,MATCH(DA262,'Resource use and costs'!$DS$12:$DS$25,0)),0),_xlfn.IFNA(INDEX('Resource use and costs'!$DU$12:$DU$25,MATCH(DB262,'Resource use and costs'!$DS$12:$DS$25,0)),0))</f>
        <v>197.25</v>
      </c>
      <c r="DO262" s="921">
        <f>_xlfn.IFNA(INDEX('Resource use and costs'!$DY$12:$DY$25,MATCH(CZ262,'Resource use and costs'!$DS$12:$DS$25,0)),0)*_xlfn.IFNA(INDEX(DY$10:DY$23,MATCH($CZ262,$DX$10:$DX$23,0)),0)</f>
        <v>410.14183571428572</v>
      </c>
      <c r="DP262" s="921">
        <f>IF(dd_PartSA_2_lines = "Yes",0,_xlfn.IFNA(INDEX('Resource use and costs'!$DZ$12:$DZ$25,MATCH(DA262,'Resource use and costs'!$DS$12:$DS$25,0)),0)*_xlfn.IFNA(INDEX(EA$10:EA$23,MATCH($DA262,$DX$10:$DX$23,0)),0))</f>
        <v>0</v>
      </c>
      <c r="DQ262" s="921">
        <f>IF(dd_PartSA_2_lines = "Yes",0,_xlfn.IFNA(INDEX('Resource use and costs'!$EA$12:$EA$25,MATCH(DB262,'Resource use and costs'!$DS$12:$DS$25,0)),0)*_xlfn.IFNA(INDEX(EC$10:EC$23,MATCH($DB262,$DX$10:$DX$23,0)),0))</f>
        <v>0</v>
      </c>
      <c r="DR262" s="921">
        <f t="shared" si="184"/>
        <v>607.39183571428566</v>
      </c>
      <c r="DS262" s="1004">
        <f ca="1">SUMIFS('Safety parameters'!$DM$6:$DM$18,'Safety parameters'!$DK$6:$DK$18,CZ262,'Safety parameters'!$DL$6:$DL$18,1)+IF(dd_PartSA_2_lines = "Yes",0,SUMIFS('Safety parameters'!$DM$6:$DM$18,'Safety parameters'!$DK$6:$DK$18,DA262,'Safety parameters'!$DL$6:$DL$18,2)+SUMIFS('Safety parameters'!$DM$6:$DM$18,'Safety parameters'!$DK$6:$DK$18,DB262,'Safety parameters'!$DL$6:$DL$18,2))</f>
        <v>511.60827353266905</v>
      </c>
      <c r="DT262" s="910">
        <f ca="1">SUMIFS('Safety parameters'!$DO$6:$DO$18,'Safety parameters'!$DK$6:$DK$18,CZ262,'Safety parameters'!$DL$6:$DL$18,1)+IF(dd_PartSA_2_lines = "Yes",0,SUMIFS('Safety parameters'!$DO$6:$DO$18,'Safety parameters'!$DK$6:$DK$18,DA262,'Safety parameters'!$DL$6:$DL$18,2)+SUMIFS('Safety parameters'!$DO$6:$DO$18,'Safety parameters'!$DK$6:$DK$18,DB262,'Safety parameters'!$DL$6:$DL$18,2))</f>
        <v>-5.0447816550466236E-3</v>
      </c>
    </row>
    <row r="263" spans="89:124" ht="15" x14ac:dyDescent="0.2">
      <c r="CK263" s="61" t="s">
        <v>31</v>
      </c>
      <c r="CL263" s="61">
        <v>3</v>
      </c>
      <c r="CM263" s="61" t="str">
        <v>nivolumab_plus_ipilimumab</v>
      </c>
      <c r="CN263" s="17">
        <v>2</v>
      </c>
      <c r="CO263" s="61" t="str" cm="1">
        <f t="array" ref="CO263">INDEX(List_comparators,CP262+1)</f>
        <v>cabozantinib_plus_nivolumab</v>
      </c>
      <c r="CP263" s="17">
        <v>1</v>
      </c>
      <c r="CQ263" s="601">
        <f t="shared" ca="1" si="193"/>
        <v>0</v>
      </c>
      <c r="CR263" s="601">
        <f t="shared" ca="1" si="194"/>
        <v>0</v>
      </c>
      <c r="CS263" s="671">
        <f t="shared" ca="1" si="198"/>
        <v>0</v>
      </c>
      <c r="CT263" s="671">
        <f t="shared" ca="1" si="196"/>
        <v>0</v>
      </c>
      <c r="CU263" s="1123">
        <f>MATCH(CZ263,'Resource use and costs'!$BA$11:$BA$53,0)</f>
        <v>21</v>
      </c>
      <c r="CV263" s="1223"/>
      <c r="CW263" s="1241">
        <f t="shared" si="182"/>
        <v>1</v>
      </c>
      <c r="CX263" s="899" t="s">
        <v>773</v>
      </c>
      <c r="CY263" s="899" t="s">
        <v>571</v>
      </c>
      <c r="CZ263" s="899" t="s">
        <v>585</v>
      </c>
      <c r="DA263" s="899" t="s">
        <v>119</v>
      </c>
      <c r="DB263" s="899" t="s">
        <v>327</v>
      </c>
      <c r="DC263" s="899" cm="1">
        <f t="array" aca="1" ref="DC263" ca="1">_xlfn.IFNA(OFFSET($I$49,MATCH(CY263,$I$50:$I$63,0),MATCH(CZ263,TRANSPOSE($J$49:$W$49),0)),0)</f>
        <v>0</v>
      </c>
      <c r="DD263" s="899" cm="1">
        <f t="array" aca="1" ref="DD263" ca="1">_xlfn.IFNA(OFFSET($Y$49,MATCH($CZ263,$Y$50:$Y$63,0),MATCH($DA263,TRANSPOSE($Z$49:$AM$49),0)),0)</f>
        <v>0</v>
      </c>
      <c r="DE263" s="899" cm="1">
        <f t="array" aca="1" ref="DE263" ca="1">_xlfn.IFNA(OFFSET($AO$49,MATCH($DA263,$AO$50:$AO$63,0),MATCH($DB263,TRANSPOSE($AP$49:$BC$49),0)),0)</f>
        <v>0</v>
      </c>
      <c r="DF263" s="881">
        <f t="shared" ca="1" si="179"/>
        <v>0</v>
      </c>
      <c r="DG263" s="910">
        <f t="shared" ca="1" si="180"/>
        <v>1</v>
      </c>
      <c r="DH263" s="881">
        <f t="shared" ca="1" si="181"/>
        <v>0</v>
      </c>
      <c r="DI263" s="1461">
        <f t="shared" ca="1" si="197"/>
        <v>0</v>
      </c>
      <c r="DJ263" s="909">
        <f>_xlfn.IFNA(INDEX('Resource use and costs'!$CQ$11:$CQ$53,MATCH($CZ263,'Resource use and costs'!$BA$11:$BA$53,0)),0)*_xlfn.IFNA(INDEX(DY$10:DY$23,MATCH($CZ263,$DX$10:$DX$23,0)),0)</f>
        <v>4551.2486654444447</v>
      </c>
      <c r="DK263" s="909">
        <f>IF(dd_PartSA_2_lines = "Yes",0,_xlfn.IFNA(INDEX('Resource use and costs'!$CR$11:$CR$53,MATCH(DA263,'Resource use and costs'!$BA$11:$BA$53,0)),0)*_xlfn.IFNA(INDEX(EA$10:EA$23,MATCH($DA263,$DX$10:$DX$23,0)),0))</f>
        <v>848.17532499999982</v>
      </c>
      <c r="DL263" s="909">
        <f>IF(dd_PartSA_2_lines = "Yes",0,_xlfn.IFNA(INDEX('Resource use and costs'!$CS$11:$CS$53,MATCH(DB263,'Resource use and costs'!$BA$11:$BA$53,0)),0)*_xlfn.IFNA(INDEX(EC$10:EC$23,MATCH($DB263,$DX$10:$DX$23,0)),0))</f>
        <v>18438.751749999999</v>
      </c>
      <c r="DM263" s="909">
        <f t="shared" si="183"/>
        <v>23838.175740444443</v>
      </c>
      <c r="DN263" s="909">
        <f>SUM(_xlfn.IFNA(INDEX('Resource use and costs'!$DU$12:$DU$25,MATCH(CZ263,'Resource use and costs'!$DS$12:$DS$25,0)),0),_xlfn.IFNA(INDEX('Resource use and costs'!$DU$12:$DU$25,MATCH(DA263,'Resource use and costs'!$DS$12:$DS$25,0)),0),_xlfn.IFNA(INDEX('Resource use and costs'!$DU$12:$DU$25,MATCH(DB263,'Resource use and costs'!$DS$12:$DS$25,0)),0))</f>
        <v>591.75</v>
      </c>
      <c r="DO263" s="921">
        <f>_xlfn.IFNA(INDEX('Resource use and costs'!$DY$12:$DY$25,MATCH(CZ263,'Resource use and costs'!$DS$12:$DS$25,0)),0)*_xlfn.IFNA(INDEX(DY$10:DY$23,MATCH($CZ263,$DX$10:$DX$23,0)),0)</f>
        <v>410.14183571428572</v>
      </c>
      <c r="DP263" s="921">
        <f>IF(dd_PartSA_2_lines = "Yes",0,_xlfn.IFNA(INDEX('Resource use and costs'!$DZ$12:$DZ$25,MATCH(DA263,'Resource use and costs'!$DS$12:$DS$25,0)),0)*_xlfn.IFNA(INDEX(EA$10:EA$23,MATCH($DA263,$DX$10:$DX$23,0)),0))</f>
        <v>74.50928571428571</v>
      </c>
      <c r="DQ263" s="921">
        <f>IF(dd_PartSA_2_lines = "Yes",0,_xlfn.IFNA(INDEX('Resource use and costs'!$EA$12:$EA$25,MATCH(DB263,'Resource use and costs'!$DS$12:$DS$25,0)),0)*_xlfn.IFNA(INDEX(EC$10:EC$23,MATCH($DB263,$DX$10:$DX$23,0)),0))</f>
        <v>230.68099999999998</v>
      </c>
      <c r="DR263" s="921">
        <f t="shared" si="184"/>
        <v>1307.0821214285713</v>
      </c>
      <c r="DS263" s="1004">
        <f ca="1">SUMIFS('Safety parameters'!$DM$6:$DM$18,'Safety parameters'!$DK$6:$DK$18,CZ263,'Safety parameters'!$DL$6:$DL$18,1)+IF(dd_PartSA_2_lines = "Yes",0,SUMIFS('Safety parameters'!$DM$6:$DM$18,'Safety parameters'!$DK$6:$DK$18,DA263,'Safety parameters'!$DL$6:$DL$18,2)+SUMIFS('Safety parameters'!$DM$6:$DM$18,'Safety parameters'!$DK$6:$DK$18,DB263,'Safety parameters'!$DL$6:$DL$18,2))</f>
        <v>2478.7123304734437</v>
      </c>
      <c r="DT263" s="910">
        <f ca="1">SUMIFS('Safety parameters'!$DO$6:$DO$18,'Safety parameters'!$DK$6:$DK$18,CZ263,'Safety parameters'!$DL$6:$DL$18,1)+IF(dd_PartSA_2_lines = "Yes",0,SUMIFS('Safety parameters'!$DO$6:$DO$18,'Safety parameters'!$DK$6:$DK$18,DA263,'Safety parameters'!$DL$6:$DL$18,2)+SUMIFS('Safety parameters'!$DO$6:$DO$18,'Safety parameters'!$DK$6:$DK$18,DB263,'Safety parameters'!$DL$6:$DL$18,2))</f>
        <v>-2.2454279199165771E-2</v>
      </c>
    </row>
    <row r="264" spans="89:124" ht="15" x14ac:dyDescent="0.2">
      <c r="CK264" s="61" t="s">
        <v>31</v>
      </c>
      <c r="CL264" s="61">
        <v>3</v>
      </c>
      <c r="CM264" s="61" t="str">
        <v>lenvatinib_plus_pembrolizumab</v>
      </c>
      <c r="CN264" s="17">
        <v>3</v>
      </c>
      <c r="CO264" s="61" t="str" cm="1">
        <f t="array" ref="CO264">INDEX(List_comparators,CP263+1)</f>
        <v>cabozantinib_plus_nivolumab</v>
      </c>
      <c r="CP264" s="17">
        <v>1</v>
      </c>
      <c r="CQ264" s="601">
        <f t="shared" ca="1" si="193"/>
        <v>0</v>
      </c>
      <c r="CR264" s="601">
        <f t="shared" ca="1" si="194"/>
        <v>0</v>
      </c>
      <c r="CS264" s="671">
        <f t="shared" ca="1" si="198"/>
        <v>0</v>
      </c>
      <c r="CT264" s="671">
        <f t="shared" ca="1" si="196"/>
        <v>0</v>
      </c>
      <c r="CU264" s="1123">
        <f>MATCH(CZ264,'Resource use and costs'!$BA$11:$BA$53,0)</f>
        <v>21</v>
      </c>
      <c r="CV264" s="1223"/>
      <c r="CW264" s="1241">
        <f t="shared" si="182"/>
        <v>1</v>
      </c>
      <c r="CX264" s="899" t="s">
        <v>773</v>
      </c>
      <c r="CY264" s="899" t="s">
        <v>571</v>
      </c>
      <c r="CZ264" s="899" t="s">
        <v>585</v>
      </c>
      <c r="DA264" s="899" t="s">
        <v>119</v>
      </c>
      <c r="DB264" s="899" t="s">
        <v>765</v>
      </c>
      <c r="DC264" s="899" cm="1">
        <f t="array" aca="1" ref="DC264" ca="1">_xlfn.IFNA(OFFSET($I$49,MATCH(CY264,$I$50:$I$63,0),MATCH(CZ264,TRANSPOSE($J$49:$W$49),0)),0)</f>
        <v>0</v>
      </c>
      <c r="DD264" s="899" cm="1">
        <f t="array" aca="1" ref="DD264" ca="1">_xlfn.IFNA(OFFSET($Y$49,MATCH($CZ264,$Y$50:$Y$63,0),MATCH($DA264,TRANSPOSE($Z$49:$AM$49),0)),0)</f>
        <v>0</v>
      </c>
      <c r="DE264" s="899" cm="1">
        <f t="array" aca="1" ref="DE264" ca="1">_xlfn.IFNA(OFFSET($AO$49,MATCH($DA264,$AO$50:$AO$63,0),MATCH($DB264,TRANSPOSE($AP$49:$BC$49),0)),0)</f>
        <v>1</v>
      </c>
      <c r="DF264" s="881">
        <f t="shared" ca="1" si="179"/>
        <v>0</v>
      </c>
      <c r="DG264" s="910">
        <f t="shared" ca="1" si="180"/>
        <v>1</v>
      </c>
      <c r="DH264" s="881">
        <f t="shared" ca="1" si="181"/>
        <v>0</v>
      </c>
      <c r="DI264" s="1461">
        <f t="shared" ca="1" si="197"/>
        <v>0</v>
      </c>
      <c r="DJ264" s="909">
        <f>_xlfn.IFNA(INDEX('Resource use and costs'!$CQ$11:$CQ$53,MATCH($CZ264,'Resource use and costs'!$BA$11:$BA$53,0)),0)*_xlfn.IFNA(INDEX(DY$10:DY$23,MATCH($CZ264,$DX$10:$DX$23,0)),0)</f>
        <v>4551.2486654444447</v>
      </c>
      <c r="DK264" s="909">
        <f>IF(dd_PartSA_2_lines = "Yes",0,_xlfn.IFNA(INDEX('Resource use and costs'!$CR$11:$CR$53,MATCH(DA264,'Resource use and costs'!$BA$11:$BA$53,0)),0)*_xlfn.IFNA(INDEX(EA$10:EA$23,MATCH($DA264,$DX$10:$DX$23,0)),0))</f>
        <v>848.17532499999982</v>
      </c>
      <c r="DL264" s="909">
        <f>IF(dd_PartSA_2_lines = "Yes",0,_xlfn.IFNA(INDEX('Resource use and costs'!$CS$11:$CS$53,MATCH(DB264,'Resource use and costs'!$BA$11:$BA$53,0)),0)*_xlfn.IFNA(INDEX(EC$10:EC$23,MATCH($DB264,$DX$10:$DX$23,0)),0))</f>
        <v>0</v>
      </c>
      <c r="DM264" s="909">
        <f t="shared" si="183"/>
        <v>5399.4239904444448</v>
      </c>
      <c r="DN264" s="909">
        <f>SUM(_xlfn.IFNA(INDEX('Resource use and costs'!$DU$12:$DU$25,MATCH(CZ264,'Resource use and costs'!$DS$12:$DS$25,0)),0),_xlfn.IFNA(INDEX('Resource use and costs'!$DU$12:$DU$25,MATCH(DA264,'Resource use and costs'!$DS$12:$DS$25,0)),0),_xlfn.IFNA(INDEX('Resource use and costs'!$DU$12:$DU$25,MATCH(DB264,'Resource use and costs'!$DS$12:$DS$25,0)),0))</f>
        <v>394.5</v>
      </c>
      <c r="DO264" s="921">
        <f>_xlfn.IFNA(INDEX('Resource use and costs'!$DY$12:$DY$25,MATCH(CZ264,'Resource use and costs'!$DS$12:$DS$25,0)),0)*_xlfn.IFNA(INDEX(DY$10:DY$23,MATCH($CZ264,$DX$10:$DX$23,0)),0)</f>
        <v>410.14183571428572</v>
      </c>
      <c r="DP264" s="921">
        <f>IF(dd_PartSA_2_lines = "Yes",0,_xlfn.IFNA(INDEX('Resource use and costs'!$DZ$12:$DZ$25,MATCH(DA264,'Resource use and costs'!$DS$12:$DS$25,0)),0)*_xlfn.IFNA(INDEX(EA$10:EA$23,MATCH($DA264,$DX$10:$DX$23,0)),0))</f>
        <v>74.50928571428571</v>
      </c>
      <c r="DQ264" s="921">
        <f>IF(dd_PartSA_2_lines = "Yes",0,_xlfn.IFNA(INDEX('Resource use and costs'!$EA$12:$EA$25,MATCH(DB264,'Resource use and costs'!$DS$12:$DS$25,0)),0)*_xlfn.IFNA(INDEX(EC$10:EC$23,MATCH($DB264,$DX$10:$DX$23,0)),0))</f>
        <v>0</v>
      </c>
      <c r="DR264" s="921">
        <f t="shared" si="184"/>
        <v>879.1511214285714</v>
      </c>
      <c r="DS264" s="1004">
        <f ca="1">SUMIFS('Safety parameters'!$DM$6:$DM$18,'Safety parameters'!$DK$6:$DK$18,CZ264,'Safety parameters'!$DL$6:$DL$18,1)+IF(dd_PartSA_2_lines = "Yes",0,SUMIFS('Safety parameters'!$DM$6:$DM$18,'Safety parameters'!$DK$6:$DK$18,DA264,'Safety parameters'!$DL$6:$DL$18,2)+SUMIFS('Safety parameters'!$DM$6:$DM$18,'Safety parameters'!$DK$6:$DK$18,DB264,'Safety parameters'!$DL$6:$DL$18,2))</f>
        <v>844.48365690798391</v>
      </c>
      <c r="DT264" s="910">
        <f ca="1">SUMIFS('Safety parameters'!$DO$6:$DO$18,'Safety parameters'!$DK$6:$DK$18,CZ264,'Safety parameters'!$DL$6:$DL$18,1)+IF(dd_PartSA_2_lines = "Yes",0,SUMIFS('Safety parameters'!$DO$6:$DO$18,'Safety parameters'!$DK$6:$DK$18,DA264,'Safety parameters'!$DL$6:$DL$18,2)+SUMIFS('Safety parameters'!$DO$6:$DO$18,'Safety parameters'!$DK$6:$DK$18,DB264,'Safety parameters'!$DL$6:$DL$18,2))</f>
        <v>-7.7123551916843426E-3</v>
      </c>
    </row>
    <row r="265" spans="89:124" ht="15" x14ac:dyDescent="0.2">
      <c r="CK265" s="61" t="s">
        <v>31</v>
      </c>
      <c r="CL265" s="61">
        <v>3</v>
      </c>
      <c r="CM265" s="61" t="str">
        <v>avelumab_plus_axitinib</v>
      </c>
      <c r="CN265" s="17">
        <v>4</v>
      </c>
      <c r="CO265" s="61" t="str" cm="1">
        <f t="array" ref="CO265">INDEX(List_comparators,CP264+1)</f>
        <v>cabozantinib_plus_nivolumab</v>
      </c>
      <c r="CP265" s="17">
        <v>1</v>
      </c>
      <c r="CQ265" s="601">
        <f t="shared" ca="1" si="193"/>
        <v>0</v>
      </c>
      <c r="CR265" s="601">
        <f t="shared" ca="1" si="194"/>
        <v>0</v>
      </c>
      <c r="CS265" s="671">
        <f t="shared" ca="1" si="198"/>
        <v>0</v>
      </c>
      <c r="CT265" s="671">
        <f t="shared" ca="1" si="196"/>
        <v>0</v>
      </c>
      <c r="CU265" s="1123">
        <f>MATCH(CZ265,'Resource use and costs'!$BA$11:$BA$53,0)</f>
        <v>27</v>
      </c>
      <c r="CV265" s="1223"/>
      <c r="CW265" s="1241">
        <f t="shared" si="182"/>
        <v>1</v>
      </c>
      <c r="CX265" s="899" t="s">
        <v>773</v>
      </c>
      <c r="CY265" s="899" t="s">
        <v>571</v>
      </c>
      <c r="CZ265" s="899" t="s">
        <v>117</v>
      </c>
      <c r="DA265" s="899" t="s">
        <v>327</v>
      </c>
      <c r="DB265" s="899" t="s">
        <v>765</v>
      </c>
      <c r="DC265" s="899" cm="1">
        <f t="array" aca="1" ref="DC265" ca="1">_xlfn.IFNA(OFFSET($I$49,MATCH(CY265,$I$50:$I$63,0),MATCH(CZ265,TRANSPOSE($J$49:$W$49),0)),0)</f>
        <v>3.1975660070562968E-2</v>
      </c>
      <c r="DD265" s="899">
        <f ca="1">1-DD267</f>
        <v>0.65700000000000003</v>
      </c>
      <c r="DE265" s="899" cm="1">
        <f t="array" aca="1" ref="DE265" ca="1">_xlfn.IFNA(OFFSET($AO$49,MATCH($DA265,$AO$50:$AO$63,0),MATCH($DB265,TRANSPOSE($AP$49:$BC$49),0)),0)</f>
        <v>0.43140000000000001</v>
      </c>
      <c r="DF265" s="881">
        <f t="shared" ca="1" si="179"/>
        <v>9.0628549386676492E-3</v>
      </c>
      <c r="DG265" s="910">
        <f t="shared" ca="1" si="180"/>
        <v>1</v>
      </c>
      <c r="DH265" s="881">
        <f t="shared" ca="1" si="181"/>
        <v>9.0628549386676492E-3</v>
      </c>
      <c r="DI265" s="1461">
        <f t="shared" ca="1" si="197"/>
        <v>1.522559629696165</v>
      </c>
      <c r="DJ265" s="909">
        <f>_xlfn.IFNA(INDEX('Resource use and costs'!$CQ$11:$CQ$53,MATCH($CZ265,'Resource use and costs'!$BA$11:$BA$53,0)),0)*_xlfn.IFNA(INDEX(DY$10:DY$23,MATCH($CZ265,$DX$10:$DX$23,0)),0)</f>
        <v>2860.9927072190476</v>
      </c>
      <c r="DK265" s="909">
        <f>IF(dd_PartSA_2_lines = "Yes",0,_xlfn.IFNA(INDEX('Resource use and costs'!$CR$11:$CR$53,MATCH(DA265,'Resource use and costs'!$BA$11:$BA$53,0)),0)*_xlfn.IFNA(INDEX(EA$10:EA$23,MATCH($DA265,$DX$10:$DX$23,0)),0))</f>
        <v>21421.066008214286</v>
      </c>
      <c r="DL265" s="909">
        <f>IF(dd_PartSA_2_lines = "Yes",0,_xlfn.IFNA(INDEX('Resource use and costs'!$CS$11:$CS$53,MATCH(DB265,'Resource use and costs'!$BA$11:$BA$53,0)),0)*_xlfn.IFNA(INDEX(EC$10:EC$23,MATCH($DB265,$DX$10:$DX$23,0)),0))</f>
        <v>0</v>
      </c>
      <c r="DM265" s="909">
        <f t="shared" si="183"/>
        <v>24282.058715433333</v>
      </c>
      <c r="DN265" s="909">
        <f>SUM(_xlfn.IFNA(INDEX('Resource use and costs'!$DU$12:$DU$25,MATCH(CZ265,'Resource use and costs'!$DS$12:$DS$25,0)),0),_xlfn.IFNA(INDEX('Resource use and costs'!$DU$12:$DU$25,MATCH(DA265,'Resource use and costs'!$DS$12:$DS$25,0)),0),_xlfn.IFNA(INDEX('Resource use and costs'!$DU$12:$DU$25,MATCH(DB265,'Resource use and costs'!$DS$12:$DS$25,0)),0))</f>
        <v>394.5</v>
      </c>
      <c r="DO265" s="921">
        <f>_xlfn.IFNA(INDEX('Resource use and costs'!$DY$12:$DY$25,MATCH(CZ265,'Resource use and costs'!$DS$12:$DS$25,0)),0)*_xlfn.IFNA(INDEX(DY$10:DY$23,MATCH($CZ265,$DX$10:$DX$23,0)),0)</f>
        <v>405.17019714285709</v>
      </c>
      <c r="DP265" s="921">
        <f>IF(dd_PartSA_2_lines = "Yes",0,_xlfn.IFNA(INDEX('Resource use and costs'!$DZ$12:$DZ$25,MATCH(DA265,'Resource use and costs'!$DS$12:$DS$25,0)),0)*_xlfn.IFNA(INDEX(EA$10:EA$23,MATCH($DA265,$DX$10:$DX$23,0)),0))</f>
        <v>267.99172714285714</v>
      </c>
      <c r="DQ265" s="921">
        <f>IF(dd_PartSA_2_lines = "Yes",0,_xlfn.IFNA(INDEX('Resource use and costs'!$EA$12:$EA$25,MATCH(DB265,'Resource use and costs'!$DS$12:$DS$25,0)),0)*_xlfn.IFNA(INDEX(EC$10:EC$23,MATCH($DB265,$DX$10:$DX$23,0)),0))</f>
        <v>0</v>
      </c>
      <c r="DR265" s="921">
        <f t="shared" si="184"/>
        <v>1067.6619242857141</v>
      </c>
      <c r="DS265" s="1004">
        <f ca="1">SUMIFS('Safety parameters'!$DM$6:$DM$18,'Safety parameters'!$DK$6:$DK$18,CZ265,'Safety parameters'!$DL$6:$DL$18,1)+IF(dd_PartSA_2_lines = "Yes",0,SUMIFS('Safety parameters'!$DM$6:$DM$18,'Safety parameters'!$DK$6:$DK$18,DA265,'Safety parameters'!$DL$6:$DL$18,2)+SUMIFS('Safety parameters'!$DM$6:$DM$18,'Safety parameters'!$DK$6:$DK$18,DB265,'Safety parameters'!$DL$6:$DL$18,2))</f>
        <v>2238.0420485654599</v>
      </c>
      <c r="DT265" s="910">
        <f ca="1">SUMIFS('Safety parameters'!$DO$6:$DO$18,'Safety parameters'!$DK$6:$DK$18,CZ265,'Safety parameters'!$DL$6:$DL$18,1)+IF(dd_PartSA_2_lines = "Yes",0,SUMIFS('Safety parameters'!$DO$6:$DO$18,'Safety parameters'!$DK$6:$DK$18,DA265,'Safety parameters'!$DL$6:$DL$18,2)+SUMIFS('Safety parameters'!$DO$6:$DO$18,'Safety parameters'!$DK$6:$DK$18,DB265,'Safety parameters'!$DL$6:$DL$18,2))</f>
        <v>-2.0168002036228861E-2</v>
      </c>
    </row>
    <row r="266" spans="89:124" ht="15" x14ac:dyDescent="0.2">
      <c r="CK266" s="61" t="s">
        <v>31</v>
      </c>
      <c r="CL266" s="61">
        <v>3</v>
      </c>
      <c r="CM266" s="61" t="str">
        <v>pazopanib</v>
      </c>
      <c r="CN266" s="17">
        <v>5</v>
      </c>
      <c r="CO266" s="61" t="str" cm="1">
        <f t="array" ref="CO266">INDEX(List_comparators,CP265+1)</f>
        <v>cabozantinib_plus_nivolumab</v>
      </c>
      <c r="CP266" s="17">
        <v>1</v>
      </c>
      <c r="CQ266" s="601">
        <f t="shared" ca="1" si="193"/>
        <v>0</v>
      </c>
      <c r="CR266" s="601">
        <f t="shared" ca="1" si="194"/>
        <v>0</v>
      </c>
      <c r="CS266" s="671">
        <f t="shared" ca="1" si="198"/>
        <v>0</v>
      </c>
      <c r="CT266" s="671">
        <f t="shared" ca="1" si="196"/>
        <v>0</v>
      </c>
      <c r="CU266" s="1123">
        <f>MATCH(CZ266,'Resource use and costs'!$BA$11:$BA$53,0)</f>
        <v>27</v>
      </c>
      <c r="CV266" s="1223"/>
      <c r="CW266" s="1241">
        <f t="shared" si="182"/>
        <v>1</v>
      </c>
      <c r="CX266" s="899" t="s">
        <v>773</v>
      </c>
      <c r="CY266" s="899" t="s">
        <v>571</v>
      </c>
      <c r="CZ266" s="899" t="s">
        <v>117</v>
      </c>
      <c r="DA266" s="899" t="s">
        <v>327</v>
      </c>
      <c r="DB266" s="899" t="s">
        <v>119</v>
      </c>
      <c r="DC266" s="899" cm="1">
        <f t="array" aca="1" ref="DC266" ca="1">_xlfn.IFNA(OFFSET($I$49,MATCH(CY266,$I$50:$I$63,0),MATCH(CZ266,TRANSPOSE($J$49:$W$49),0)),0)</f>
        <v>3.1975660070562968E-2</v>
      </c>
      <c r="DD266" s="899">
        <f ca="1">1-DD267</f>
        <v>0.65700000000000003</v>
      </c>
      <c r="DE266" s="899" cm="1">
        <f t="array" aca="1" ref="DE266" ca="1">_xlfn.IFNA(OFFSET($AO$49,MATCH($DA266,$AO$50:$AO$63,0),MATCH($DB266,TRANSPOSE($AP$49:$BC$49),0)),0)</f>
        <v>0.56859999999999999</v>
      </c>
      <c r="DF266" s="881">
        <f t="shared" ca="1" si="179"/>
        <v>1.1945153727692222E-2</v>
      </c>
      <c r="DG266" s="910">
        <f t="shared" ca="1" si="180"/>
        <v>1</v>
      </c>
      <c r="DH266" s="881">
        <f t="shared" ca="1" si="181"/>
        <v>1.1945153727692222E-2</v>
      </c>
      <c r="DI266" s="1461">
        <f t="shared" ca="1" si="197"/>
        <v>2.0067858262522935</v>
      </c>
      <c r="DJ266" s="909">
        <f>_xlfn.IFNA(INDEX('Resource use and costs'!$CQ$11:$CQ$53,MATCH($CZ266,'Resource use and costs'!$BA$11:$BA$53,0)),0)*_xlfn.IFNA(INDEX(DY$10:DY$23,MATCH($CZ266,$DX$10:$DX$23,0)),0)</f>
        <v>2860.9927072190476</v>
      </c>
      <c r="DK266" s="909">
        <f>IF(dd_PartSA_2_lines = "Yes",0,_xlfn.IFNA(INDEX('Resource use and costs'!$CR$11:$CR$53,MATCH(DA266,'Resource use and costs'!$BA$11:$BA$53,0)),0)*_xlfn.IFNA(INDEX(EA$10:EA$23,MATCH($DA266,$DX$10:$DX$23,0)),0))</f>
        <v>21421.066008214286</v>
      </c>
      <c r="DL266" s="909">
        <f>IF(dd_PartSA_2_lines = "Yes",0,_xlfn.IFNA(INDEX('Resource use and costs'!$CS$11:$CS$53,MATCH(DB266,'Resource use and costs'!$BA$11:$BA$53,0)),0)*_xlfn.IFNA(INDEX(EC$10:EC$23,MATCH($DB266,$DX$10:$DX$23,0)),0))</f>
        <v>2915.4763433333328</v>
      </c>
      <c r="DM266" s="909">
        <f t="shared" si="183"/>
        <v>27197.535058766665</v>
      </c>
      <c r="DN266" s="909">
        <f>SUM(_xlfn.IFNA(INDEX('Resource use and costs'!$DU$12:$DU$25,MATCH(CZ266,'Resource use and costs'!$DS$12:$DS$25,0)),0),_xlfn.IFNA(INDEX('Resource use and costs'!$DU$12:$DU$25,MATCH(DA266,'Resource use and costs'!$DS$12:$DS$25,0)),0),_xlfn.IFNA(INDEX('Resource use and costs'!$DU$12:$DU$25,MATCH(DB266,'Resource use and costs'!$DS$12:$DS$25,0)),0))</f>
        <v>591.75</v>
      </c>
      <c r="DO266" s="921">
        <f>_xlfn.IFNA(INDEX('Resource use and costs'!$DY$12:$DY$25,MATCH(CZ266,'Resource use and costs'!$DS$12:$DS$25,0)),0)*_xlfn.IFNA(INDEX(DY$10:DY$23,MATCH($CZ266,$DX$10:$DX$23,0)),0)</f>
        <v>405.17019714285709</v>
      </c>
      <c r="DP266" s="921">
        <f>IF(dd_PartSA_2_lines = "Yes",0,_xlfn.IFNA(INDEX('Resource use and costs'!$DZ$12:$DZ$25,MATCH(DA266,'Resource use and costs'!$DS$12:$DS$25,0)),0)*_xlfn.IFNA(INDEX(EA$10:EA$23,MATCH($DA266,$DX$10:$DX$23,0)),0))</f>
        <v>267.99172714285714</v>
      </c>
      <c r="DQ266" s="921">
        <f>IF(dd_PartSA_2_lines = "Yes",0,_xlfn.IFNA(INDEX('Resource use and costs'!$EA$12:$EA$25,MATCH(DB266,'Resource use and costs'!$DS$12:$DS$25,0)),0)*_xlfn.IFNA(INDEX(EC$10:EC$23,MATCH($DB266,$DX$10:$DX$23,0)),0))</f>
        <v>256.11457142857142</v>
      </c>
      <c r="DR266" s="921">
        <f t="shared" si="184"/>
        <v>1521.0264957142856</v>
      </c>
      <c r="DS266" s="1004">
        <f ca="1">SUMIFS('Safety parameters'!$DM$6:$DM$18,'Safety parameters'!$DK$6:$DK$18,CZ266,'Safety parameters'!$DL$6:$DL$18,1)+IF(dd_PartSA_2_lines = "Yes",0,SUMIFS('Safety parameters'!$DM$6:$DM$18,'Safety parameters'!$DK$6:$DK$18,DA266,'Safety parameters'!$DL$6:$DL$18,2)+SUMIFS('Safety parameters'!$DM$6:$DM$18,'Safety parameters'!$DK$6:$DK$18,DB266,'Safety parameters'!$DL$6:$DL$18,2))</f>
        <v>2570.9174319407748</v>
      </c>
      <c r="DT266" s="910">
        <f ca="1">SUMIFS('Safety parameters'!$DO$6:$DO$18,'Safety parameters'!$DK$6:$DK$18,CZ266,'Safety parameters'!$DL$6:$DL$18,1)+IF(dd_PartSA_2_lines = "Yes",0,SUMIFS('Safety parameters'!$DO$6:$DO$18,'Safety parameters'!$DK$6:$DK$18,DA266,'Safety parameters'!$DL$6:$DL$18,2)+SUMIFS('Safety parameters'!$DO$6:$DO$18,'Safety parameters'!$DK$6:$DK$18,DB266,'Safety parameters'!$DL$6:$DL$18,2))</f>
        <v>-2.2835575572866581E-2</v>
      </c>
    </row>
    <row r="267" spans="89:124" ht="15" x14ac:dyDescent="0.2">
      <c r="CK267" s="61" t="s">
        <v>31</v>
      </c>
      <c r="CL267" s="61">
        <v>3</v>
      </c>
      <c r="CM267" s="61" t="str">
        <v>tivozanib</v>
      </c>
      <c r="CN267" s="17">
        <v>6</v>
      </c>
      <c r="CO267" s="61" t="str" cm="1">
        <f t="array" ref="CO267">INDEX(List_comparators,CP266+1)</f>
        <v>cabozantinib_plus_nivolumab</v>
      </c>
      <c r="CP267" s="17">
        <v>1</v>
      </c>
      <c r="CQ267" s="601">
        <f t="shared" ca="1" si="193"/>
        <v>0</v>
      </c>
      <c r="CR267" s="601">
        <f t="shared" ca="1" si="194"/>
        <v>0</v>
      </c>
      <c r="CS267" s="671">
        <f t="shared" ca="1" si="198"/>
        <v>0</v>
      </c>
      <c r="CT267" s="671">
        <f t="shared" ca="1" si="196"/>
        <v>0</v>
      </c>
      <c r="CU267" s="1123">
        <f>MATCH(CZ267,'Resource use and costs'!$BA$11:$BA$53,0)</f>
        <v>27</v>
      </c>
      <c r="CV267" s="1223"/>
      <c r="CW267" s="1241">
        <f t="shared" si="182"/>
        <v>1</v>
      </c>
      <c r="CX267" s="899" t="s">
        <v>773</v>
      </c>
      <c r="CY267" s="899" t="s">
        <v>571</v>
      </c>
      <c r="CZ267" s="899" t="s">
        <v>117</v>
      </c>
      <c r="DA267" s="899" t="s">
        <v>765</v>
      </c>
      <c r="DB267" s="899"/>
      <c r="DC267" s="899" cm="1">
        <f t="array" aca="1" ref="DC267" ca="1">_xlfn.IFNA(OFFSET($I$49,MATCH(CY267,$I$50:$I$63,0),MATCH(CZ267,TRANSPOSE($J$49:$W$49),0)),0)</f>
        <v>3.1975660070562968E-2</v>
      </c>
      <c r="DD267" s="899" cm="1">
        <f t="array" aca="1" ref="DD267" ca="1">_xlfn.IFNA(OFFSET($Y$49,MATCH($CZ267,$Y$50:$Y$63,0),MATCH($DA267,TRANSPOSE($Z$49:$AM$49),0)),0)</f>
        <v>0.34300000000000003</v>
      </c>
      <c r="DE267" s="899" cm="1">
        <f t="array" aca="1" ref="DE267" ca="1">_xlfn.IFNA(OFFSET($AO$49,MATCH($DA267,$AO$50:$AO$63,0),MATCH($DB267,TRANSPOSE($AP$49:$BC$49),0)),0)</f>
        <v>0</v>
      </c>
      <c r="DF267" s="881">
        <f t="shared" ref="DF267:DF330" ca="1" si="199">IF(AND(ISBLANK(DA267),ISBLANK(DA267)),DC267,IF(ISBLANK(DB267),DC267*DD267,DC267*DD267*DE267))</f>
        <v>1.0967651404203098E-2</v>
      </c>
      <c r="DG267" s="910">
        <f t="shared" ref="DG267:DG330" ca="1" si="200">IF(dd_reduceBSC="No",(1-SUMIFS($DF$11:$DF$779,$CY$11:$CY$779,CY267,$CX$11:$CX$779,CX267,$CW$11:$CW$779,0))/SUMIFS($DF$11:$DF$779,$CY$11:$CY$779,CY267,$CX$11:$CX$779,CX267,$CW$11:$CW$779,1),1/SUMIFS($DF$11:$DF$779,$CY$11:$CY$779,CY267,$CX$11:$CX$779,CX267,$CW$11:$CW$779,1))</f>
        <v>1</v>
      </c>
      <c r="DH267" s="881">
        <f t="shared" ref="DH267:DH330" ca="1" si="201">IF(CZ267="BSC",IF(dd_reduceBSC="No",DF267,0),DF267*DG267)</f>
        <v>1.0967651404203098E-2</v>
      </c>
      <c r="DI267" s="1461">
        <f t="shared" ca="1" si="197"/>
        <v>1.8425654359061205</v>
      </c>
      <c r="DJ267" s="909">
        <f>_xlfn.IFNA(INDEX('Resource use and costs'!$CQ$11:$CQ$53,MATCH($CZ267,'Resource use and costs'!$BA$11:$BA$53,0)),0)*_xlfn.IFNA(INDEX(DY$10:DY$23,MATCH($CZ267,$DX$10:$DX$23,0)),0)</f>
        <v>2860.9927072190476</v>
      </c>
      <c r="DK267" s="909">
        <f>IF(dd_PartSA_2_lines = "Yes",0,_xlfn.IFNA(INDEX('Resource use and costs'!$CR$11:$CR$53,MATCH(DA267,'Resource use and costs'!$BA$11:$BA$53,0)),0)*_xlfn.IFNA(INDEX(EA$10:EA$23,MATCH($DA267,$DX$10:$DX$23,0)),0))</f>
        <v>0</v>
      </c>
      <c r="DL267" s="909">
        <f>IF(dd_PartSA_2_lines = "Yes",0,_xlfn.IFNA(INDEX('Resource use and costs'!$CS$11:$CS$53,MATCH(DB267,'Resource use and costs'!$BA$11:$BA$53,0)),0)*_xlfn.IFNA(INDEX(EC$10:EC$23,MATCH($DB267,$DX$10:$DX$23,0)),0))</f>
        <v>0</v>
      </c>
      <c r="DM267" s="909">
        <f t="shared" si="183"/>
        <v>2860.9927072190476</v>
      </c>
      <c r="DN267" s="909">
        <f>SUM(_xlfn.IFNA(INDEX('Resource use and costs'!$DU$12:$DU$25,MATCH(CZ267,'Resource use and costs'!$DS$12:$DS$25,0)),0),_xlfn.IFNA(INDEX('Resource use and costs'!$DU$12:$DU$25,MATCH(DA267,'Resource use and costs'!$DS$12:$DS$25,0)),0),_xlfn.IFNA(INDEX('Resource use and costs'!$DU$12:$DU$25,MATCH(DB267,'Resource use and costs'!$DS$12:$DS$25,0)),0))</f>
        <v>197.25</v>
      </c>
      <c r="DO267" s="921">
        <f>_xlfn.IFNA(INDEX('Resource use and costs'!$DY$12:$DY$25,MATCH(CZ267,'Resource use and costs'!$DS$12:$DS$25,0)),0)*_xlfn.IFNA(INDEX(DY$10:DY$23,MATCH($CZ267,$DX$10:$DX$23,0)),0)</f>
        <v>405.17019714285709</v>
      </c>
      <c r="DP267" s="921">
        <f>IF(dd_PartSA_2_lines = "Yes",0,_xlfn.IFNA(INDEX('Resource use and costs'!$DZ$12:$DZ$25,MATCH(DA267,'Resource use and costs'!$DS$12:$DS$25,0)),0)*_xlfn.IFNA(INDEX(EA$10:EA$23,MATCH($DA267,$DX$10:$DX$23,0)),0))</f>
        <v>0</v>
      </c>
      <c r="DQ267" s="921">
        <f>IF(dd_PartSA_2_lines = "Yes",0,_xlfn.IFNA(INDEX('Resource use and costs'!$EA$12:$EA$25,MATCH(DB267,'Resource use and costs'!$DS$12:$DS$25,0)),0)*_xlfn.IFNA(INDEX(EC$10:EC$23,MATCH($DB267,$DX$10:$DX$23,0)),0))</f>
        <v>0</v>
      </c>
      <c r="DR267" s="921">
        <f t="shared" si="184"/>
        <v>602.42019714285709</v>
      </c>
      <c r="DS267" s="1004">
        <f ca="1">SUMIFS('Safety parameters'!$DM$6:$DM$18,'Safety parameters'!$DK$6:$DK$18,CZ267,'Safety parameters'!$DL$6:$DL$18,1)+IF(dd_PartSA_2_lines = "Yes",0,SUMIFS('Safety parameters'!$DM$6:$DM$18,'Safety parameters'!$DK$6:$DK$18,DA267,'Safety parameters'!$DL$6:$DL$18,2)+SUMIFS('Safety parameters'!$DM$6:$DM$18,'Safety parameters'!$DK$6:$DK$18,DB267,'Safety parameters'!$DL$6:$DL$18,2))</f>
        <v>603.81337500000006</v>
      </c>
      <c r="DT267" s="910">
        <f ca="1">SUMIFS('Safety parameters'!$DO$6:$DO$18,'Safety parameters'!$DK$6:$DK$18,CZ267,'Safety parameters'!$DL$6:$DL$18,1)+IF(dd_PartSA_2_lines = "Yes",0,SUMIFS('Safety parameters'!$DO$6:$DO$18,'Safety parameters'!$DK$6:$DK$18,DA267,'Safety parameters'!$DL$6:$DL$18,2)+SUMIFS('Safety parameters'!$DO$6:$DO$18,'Safety parameters'!$DK$6:$DK$18,DB267,'Safety parameters'!$DL$6:$DL$18,2))</f>
        <v>-5.4260780287474324E-3</v>
      </c>
    </row>
    <row r="268" spans="89:124" ht="15" x14ac:dyDescent="0.2">
      <c r="CK268" s="61" t="s">
        <v>31</v>
      </c>
      <c r="CL268" s="61">
        <v>3</v>
      </c>
      <c r="CM268" s="61" t="str">
        <v>sunitinib</v>
      </c>
      <c r="CN268" s="17">
        <v>7</v>
      </c>
      <c r="CO268" s="61" t="str" cm="1">
        <f t="array" ref="CO268">INDEX(List_comparators,CP267+1)</f>
        <v>cabozantinib_plus_nivolumab</v>
      </c>
      <c r="CP268" s="17">
        <v>1</v>
      </c>
      <c r="CQ268" s="601">
        <f t="shared" ca="1" si="193"/>
        <v>0</v>
      </c>
      <c r="CR268" s="601">
        <f t="shared" ca="1" si="194"/>
        <v>0</v>
      </c>
      <c r="CS268" s="671">
        <f t="shared" ca="1" si="198"/>
        <v>0</v>
      </c>
      <c r="CT268" s="671">
        <f t="shared" ca="1" si="196"/>
        <v>0</v>
      </c>
      <c r="CU268" s="1123">
        <f>MATCH(CZ268,'Resource use and costs'!$BA$11:$BA$53,0)</f>
        <v>27</v>
      </c>
      <c r="CV268" s="1223"/>
      <c r="CW268" s="1241">
        <f t="shared" ref="CW268:CW331" si="202">IF(CZ268="BSC",0,1)</f>
        <v>1</v>
      </c>
      <c r="CX268" s="899" t="s">
        <v>773</v>
      </c>
      <c r="CY268" s="899" t="s">
        <v>571</v>
      </c>
      <c r="CZ268" s="899" t="s">
        <v>117</v>
      </c>
      <c r="DA268" s="899" t="s">
        <v>119</v>
      </c>
      <c r="DB268" s="899" t="s">
        <v>327</v>
      </c>
      <c r="DC268" s="899" cm="1">
        <f t="array" aca="1" ref="DC268" ca="1">_xlfn.IFNA(OFFSET($I$49,MATCH(CY268,$I$50:$I$63,0),MATCH(CZ268,TRANSPOSE($J$49:$W$49),0)),0)</f>
        <v>3.1975660070562968E-2</v>
      </c>
      <c r="DD268" s="899" cm="1">
        <f t="array" aca="1" ref="DD268" ca="1">_xlfn.IFNA(OFFSET($Y$49,MATCH($CZ268,$Y$50:$Y$63,0),MATCH($DA268,TRANSPOSE($Z$49:$AM$49),0)),0)</f>
        <v>0</v>
      </c>
      <c r="DE268" s="899" cm="1">
        <f t="array" aca="1" ref="DE268" ca="1">_xlfn.IFNA(OFFSET($AO$49,MATCH($DA268,$AO$50:$AO$63,0),MATCH($DB268,TRANSPOSE($AP$49:$BC$49),0)),0)</f>
        <v>0</v>
      </c>
      <c r="DF268" s="881">
        <f t="shared" ca="1" si="199"/>
        <v>0</v>
      </c>
      <c r="DG268" s="910">
        <f t="shared" ca="1" si="200"/>
        <v>1</v>
      </c>
      <c r="DH268" s="881">
        <f t="shared" ca="1" si="201"/>
        <v>0</v>
      </c>
      <c r="DI268" s="1461">
        <f t="shared" ca="1" si="197"/>
        <v>0</v>
      </c>
      <c r="DJ268" s="909">
        <f>_xlfn.IFNA(INDEX('Resource use and costs'!$CQ$11:$CQ$53,MATCH($CZ268,'Resource use and costs'!$BA$11:$BA$53,0)),0)*_xlfn.IFNA(INDEX(DY$10:DY$23,MATCH($CZ268,$DX$10:$DX$23,0)),0)</f>
        <v>2860.9927072190476</v>
      </c>
      <c r="DK268" s="909">
        <f>IF(dd_PartSA_2_lines = "Yes",0,_xlfn.IFNA(INDEX('Resource use and costs'!$CR$11:$CR$53,MATCH(DA268,'Resource use and costs'!$BA$11:$BA$53,0)),0)*_xlfn.IFNA(INDEX(EA$10:EA$23,MATCH($DA268,$DX$10:$DX$23,0)),0))</f>
        <v>848.17532499999982</v>
      </c>
      <c r="DL268" s="909">
        <f>IF(dd_PartSA_2_lines = "Yes",0,_xlfn.IFNA(INDEX('Resource use and costs'!$CS$11:$CS$53,MATCH(DB268,'Resource use and costs'!$BA$11:$BA$53,0)),0)*_xlfn.IFNA(INDEX(EC$10:EC$23,MATCH($DB268,$DX$10:$DX$23,0)),0))</f>
        <v>18438.751749999999</v>
      </c>
      <c r="DM268" s="909">
        <f t="shared" ref="DM268:DM331" si="203">SUM(DJ268:DL268)</f>
        <v>22147.919782219047</v>
      </c>
      <c r="DN268" s="909">
        <f>SUM(_xlfn.IFNA(INDEX('Resource use and costs'!$DU$12:$DU$25,MATCH(CZ268,'Resource use and costs'!$DS$12:$DS$25,0)),0),_xlfn.IFNA(INDEX('Resource use and costs'!$DU$12:$DU$25,MATCH(DA268,'Resource use and costs'!$DS$12:$DS$25,0)),0),_xlfn.IFNA(INDEX('Resource use and costs'!$DU$12:$DU$25,MATCH(DB268,'Resource use and costs'!$DS$12:$DS$25,0)),0))</f>
        <v>591.75</v>
      </c>
      <c r="DO268" s="921">
        <f>_xlfn.IFNA(INDEX('Resource use and costs'!$DY$12:$DY$25,MATCH(CZ268,'Resource use and costs'!$DS$12:$DS$25,0)),0)*_xlfn.IFNA(INDEX(DY$10:DY$23,MATCH($CZ268,$DX$10:$DX$23,0)),0)</f>
        <v>405.17019714285709</v>
      </c>
      <c r="DP268" s="921">
        <f>IF(dd_PartSA_2_lines = "Yes",0,_xlfn.IFNA(INDEX('Resource use and costs'!$DZ$12:$DZ$25,MATCH(DA268,'Resource use and costs'!$DS$12:$DS$25,0)),0)*_xlfn.IFNA(INDEX(EA$10:EA$23,MATCH($DA268,$DX$10:$DX$23,0)),0))</f>
        <v>74.50928571428571</v>
      </c>
      <c r="DQ268" s="921">
        <f>IF(dd_PartSA_2_lines = "Yes",0,_xlfn.IFNA(INDEX('Resource use and costs'!$EA$12:$EA$25,MATCH(DB268,'Resource use and costs'!$DS$12:$DS$25,0)),0)*_xlfn.IFNA(INDEX(EC$10:EC$23,MATCH($DB268,$DX$10:$DX$23,0)),0))</f>
        <v>230.68099999999998</v>
      </c>
      <c r="DR268" s="921">
        <f t="shared" ref="DR268:DR331" si="204">SUM(DN268:DQ268)</f>
        <v>1302.1104828571429</v>
      </c>
      <c r="DS268" s="1004">
        <f ca="1">SUMIFS('Safety parameters'!$DM$6:$DM$18,'Safety parameters'!$DK$6:$DK$18,CZ268,'Safety parameters'!$DL$6:$DL$18,1)+IF(dd_PartSA_2_lines = "Yes",0,SUMIFS('Safety parameters'!$DM$6:$DM$18,'Safety parameters'!$DK$6:$DK$18,DA268,'Safety parameters'!$DL$6:$DL$18,2)+SUMIFS('Safety parameters'!$DM$6:$DM$18,'Safety parameters'!$DK$6:$DK$18,DB268,'Safety parameters'!$DL$6:$DL$18,2))</f>
        <v>2570.9174319407748</v>
      </c>
      <c r="DT268" s="910">
        <f ca="1">SUMIFS('Safety parameters'!$DO$6:$DO$18,'Safety parameters'!$DK$6:$DK$18,CZ268,'Safety parameters'!$DL$6:$DL$18,1)+IF(dd_PartSA_2_lines = "Yes",0,SUMIFS('Safety parameters'!$DO$6:$DO$18,'Safety parameters'!$DK$6:$DK$18,DA268,'Safety parameters'!$DL$6:$DL$18,2)+SUMIFS('Safety parameters'!$DO$6:$DO$18,'Safety parameters'!$DK$6:$DK$18,DB268,'Safety parameters'!$DL$6:$DL$18,2))</f>
        <v>-2.2835575572866581E-2</v>
      </c>
    </row>
    <row r="269" spans="89:124" ht="15" x14ac:dyDescent="0.2">
      <c r="CK269" s="61" t="s">
        <v>31</v>
      </c>
      <c r="CL269" s="61">
        <v>3</v>
      </c>
      <c r="CM269" s="61" t="str">
        <v>cabozantinib</v>
      </c>
      <c r="CN269" s="17">
        <v>8</v>
      </c>
      <c r="CO269" s="61" t="str" cm="1">
        <f t="array" ref="CO269">INDEX(List_comparators,CP268+1)</f>
        <v>cabozantinib_plus_nivolumab</v>
      </c>
      <c r="CP269" s="17">
        <v>1</v>
      </c>
      <c r="CQ269" s="601">
        <f t="shared" ca="1" si="193"/>
        <v>0</v>
      </c>
      <c r="CR269" s="601">
        <f t="shared" ca="1" si="194"/>
        <v>0</v>
      </c>
      <c r="CS269" s="671">
        <f t="shared" ca="1" si="198"/>
        <v>0</v>
      </c>
      <c r="CT269" s="671">
        <f t="shared" ca="1" si="196"/>
        <v>0</v>
      </c>
      <c r="CU269" s="1123">
        <f>MATCH(CZ269,'Resource use and costs'!$BA$11:$BA$53,0)</f>
        <v>27</v>
      </c>
      <c r="CV269" s="1223"/>
      <c r="CW269" s="1241">
        <f t="shared" si="202"/>
        <v>1</v>
      </c>
      <c r="CX269" s="899" t="s">
        <v>773</v>
      </c>
      <c r="CY269" s="899" t="s">
        <v>571</v>
      </c>
      <c r="CZ269" s="899" t="s">
        <v>117</v>
      </c>
      <c r="DA269" s="899" t="s">
        <v>119</v>
      </c>
      <c r="DB269" s="899" t="s">
        <v>765</v>
      </c>
      <c r="DC269" s="899" cm="1">
        <f t="array" aca="1" ref="DC269" ca="1">_xlfn.IFNA(OFFSET($I$49,MATCH(CY269,$I$50:$I$63,0),MATCH(CZ269,TRANSPOSE($J$49:$W$49),0)),0)</f>
        <v>3.1975660070562968E-2</v>
      </c>
      <c r="DD269" s="899" cm="1">
        <f t="array" aca="1" ref="DD269" ca="1">_xlfn.IFNA(OFFSET($Y$49,MATCH($CZ269,$Y$50:$Y$63,0),MATCH($DA269,TRANSPOSE($Z$49:$AM$49),0)),0)</f>
        <v>0</v>
      </c>
      <c r="DE269" s="899" cm="1">
        <f t="array" aca="1" ref="DE269" ca="1">_xlfn.IFNA(OFFSET($AO$49,MATCH($DA269,$AO$50:$AO$63,0),MATCH($DB269,TRANSPOSE($AP$49:$BC$49),0)),0)</f>
        <v>1</v>
      </c>
      <c r="DF269" s="881">
        <f t="shared" ca="1" si="199"/>
        <v>0</v>
      </c>
      <c r="DG269" s="910">
        <f t="shared" ca="1" si="200"/>
        <v>1</v>
      </c>
      <c r="DH269" s="881">
        <f t="shared" ca="1" si="201"/>
        <v>0</v>
      </c>
      <c r="DI269" s="1461">
        <f t="shared" ca="1" si="197"/>
        <v>0</v>
      </c>
      <c r="DJ269" s="909">
        <f>_xlfn.IFNA(INDEX('Resource use and costs'!$CQ$11:$CQ$53,MATCH($CZ269,'Resource use and costs'!$BA$11:$BA$53,0)),0)*_xlfn.IFNA(INDEX(DY$10:DY$23,MATCH($CZ269,$DX$10:$DX$23,0)),0)</f>
        <v>2860.9927072190476</v>
      </c>
      <c r="DK269" s="909">
        <f>IF(dd_PartSA_2_lines = "Yes",0,_xlfn.IFNA(INDEX('Resource use and costs'!$CR$11:$CR$53,MATCH(DA269,'Resource use and costs'!$BA$11:$BA$53,0)),0)*_xlfn.IFNA(INDEX(EA$10:EA$23,MATCH($DA269,$DX$10:$DX$23,0)),0))</f>
        <v>848.17532499999982</v>
      </c>
      <c r="DL269" s="909">
        <f>IF(dd_PartSA_2_lines = "Yes",0,_xlfn.IFNA(INDEX('Resource use and costs'!$CS$11:$CS$53,MATCH(DB269,'Resource use and costs'!$BA$11:$BA$53,0)),0)*_xlfn.IFNA(INDEX(EC$10:EC$23,MATCH($DB269,$DX$10:$DX$23,0)),0))</f>
        <v>0</v>
      </c>
      <c r="DM269" s="909">
        <f t="shared" si="203"/>
        <v>3709.1680322190473</v>
      </c>
      <c r="DN269" s="909">
        <f>SUM(_xlfn.IFNA(INDEX('Resource use and costs'!$DU$12:$DU$25,MATCH(CZ269,'Resource use and costs'!$DS$12:$DS$25,0)),0),_xlfn.IFNA(INDEX('Resource use and costs'!$DU$12:$DU$25,MATCH(DA269,'Resource use and costs'!$DS$12:$DS$25,0)),0),_xlfn.IFNA(INDEX('Resource use and costs'!$DU$12:$DU$25,MATCH(DB269,'Resource use and costs'!$DS$12:$DS$25,0)),0))</f>
        <v>394.5</v>
      </c>
      <c r="DO269" s="921">
        <f>_xlfn.IFNA(INDEX('Resource use and costs'!$DY$12:$DY$25,MATCH(CZ269,'Resource use and costs'!$DS$12:$DS$25,0)),0)*_xlfn.IFNA(INDEX(DY$10:DY$23,MATCH($CZ269,$DX$10:$DX$23,0)),0)</f>
        <v>405.17019714285709</v>
      </c>
      <c r="DP269" s="921">
        <f>IF(dd_PartSA_2_lines = "Yes",0,_xlfn.IFNA(INDEX('Resource use and costs'!$DZ$12:$DZ$25,MATCH(DA269,'Resource use and costs'!$DS$12:$DS$25,0)),0)*_xlfn.IFNA(INDEX(EA$10:EA$23,MATCH($DA269,$DX$10:$DX$23,0)),0))</f>
        <v>74.50928571428571</v>
      </c>
      <c r="DQ269" s="921">
        <f>IF(dd_PartSA_2_lines = "Yes",0,_xlfn.IFNA(INDEX('Resource use and costs'!$EA$12:$EA$25,MATCH(DB269,'Resource use and costs'!$DS$12:$DS$25,0)),0)*_xlfn.IFNA(INDEX(EC$10:EC$23,MATCH($DB269,$DX$10:$DX$23,0)),0))</f>
        <v>0</v>
      </c>
      <c r="DR269" s="921">
        <f t="shared" si="204"/>
        <v>874.17948285714283</v>
      </c>
      <c r="DS269" s="1004">
        <f ca="1">SUMIFS('Safety parameters'!$DM$6:$DM$18,'Safety parameters'!$DK$6:$DK$18,CZ269,'Safety parameters'!$DL$6:$DL$18,1)+IF(dd_PartSA_2_lines = "Yes",0,SUMIFS('Safety parameters'!$DM$6:$DM$18,'Safety parameters'!$DK$6:$DK$18,DA269,'Safety parameters'!$DL$6:$DL$18,2)+SUMIFS('Safety parameters'!$DM$6:$DM$18,'Safety parameters'!$DK$6:$DK$18,DB269,'Safety parameters'!$DL$6:$DL$18,2))</f>
        <v>936.68875837531493</v>
      </c>
      <c r="DT269" s="910">
        <f ca="1">SUMIFS('Safety parameters'!$DO$6:$DO$18,'Safety parameters'!$DK$6:$DK$18,CZ269,'Safety parameters'!$DL$6:$DL$18,1)+IF(dd_PartSA_2_lines = "Yes",0,SUMIFS('Safety parameters'!$DO$6:$DO$18,'Safety parameters'!$DK$6:$DK$18,DA269,'Safety parameters'!$DL$6:$DL$18,2)+SUMIFS('Safety parameters'!$DO$6:$DO$18,'Safety parameters'!$DK$6:$DK$18,DB269,'Safety parameters'!$DL$6:$DL$18,2))</f>
        <v>-8.0936515653851522E-3</v>
      </c>
    </row>
    <row r="270" spans="89:124" ht="15" x14ac:dyDescent="0.2">
      <c r="CK270" s="61" t="s">
        <v>31</v>
      </c>
      <c r="CL270" s="61">
        <v>3</v>
      </c>
      <c r="CM270" s="61" t="str">
        <v>lenvatinib_plus_everolimus</v>
      </c>
      <c r="CN270" s="17">
        <v>9</v>
      </c>
      <c r="CO270" s="61" t="str" cm="1">
        <f t="array" ref="CO270">INDEX(List_comparators,CP269+1)</f>
        <v>cabozantinib_plus_nivolumab</v>
      </c>
      <c r="CP270" s="17">
        <v>1</v>
      </c>
      <c r="CQ270" s="601">
        <f t="shared" ca="1" si="193"/>
        <v>0</v>
      </c>
      <c r="CR270" s="601">
        <f t="shared" ca="1" si="194"/>
        <v>0</v>
      </c>
      <c r="CS270" s="671">
        <f t="shared" ca="1" si="198"/>
        <v>0</v>
      </c>
      <c r="CT270" s="671">
        <f t="shared" ca="1" si="196"/>
        <v>0</v>
      </c>
      <c r="CU270" s="1123">
        <f>MATCH(CZ270,'Resource use and costs'!$BA$11:$BA$53,0)</f>
        <v>24</v>
      </c>
      <c r="CV270" s="1223"/>
      <c r="CW270" s="1241">
        <f t="shared" si="202"/>
        <v>1</v>
      </c>
      <c r="CX270" s="899" t="s">
        <v>773</v>
      </c>
      <c r="CY270" s="899" t="s">
        <v>571</v>
      </c>
      <c r="CZ270" s="899" t="s">
        <v>319</v>
      </c>
      <c r="DA270" s="899" t="s">
        <v>327</v>
      </c>
      <c r="DB270" s="899" t="s">
        <v>765</v>
      </c>
      <c r="DC270" s="899" cm="1">
        <f t="array" aca="1" ref="DC270" ca="1">_xlfn.IFNA(OFFSET($I$49,MATCH(CY270,$I$50:$I$63,0),MATCH(CZ270,TRANSPOSE($J$49:$W$49),0)),0)</f>
        <v>4.269746893695351E-2</v>
      </c>
      <c r="DD270" s="899">
        <f ca="1">1-DD272-DD273</f>
        <v>0.61010000000000009</v>
      </c>
      <c r="DE270" s="899" cm="1">
        <f t="array" aca="1" ref="DE270" ca="1">_xlfn.IFNA(OFFSET($AO$49,MATCH($DA270,$AO$50:$AO$63,0),MATCH($DB270,TRANSPOSE($AP$49:$BC$49),0)),0)</f>
        <v>0.43140000000000001</v>
      </c>
      <c r="DF270" s="881">
        <f t="shared" ca="1" si="199"/>
        <v>1.1237851709445006E-2</v>
      </c>
      <c r="DG270" s="910">
        <f t="shared" ca="1" si="200"/>
        <v>1</v>
      </c>
      <c r="DH270" s="881">
        <f t="shared" ca="1" si="201"/>
        <v>1.1237851709445006E-2</v>
      </c>
      <c r="DI270" s="1461">
        <f t="shared" ca="1" si="197"/>
        <v>1.8879590871867611</v>
      </c>
      <c r="DJ270" s="909">
        <f>_xlfn.IFNA(INDEX('Resource use and costs'!$CQ$11:$CQ$53,MATCH($CZ270,'Resource use and costs'!$BA$11:$BA$53,0)),0)*_xlfn.IFNA(INDEX(DY$10:DY$23,MATCH($CZ270,$DX$10:$DX$23,0)),0)</f>
        <v>20680.612971428574</v>
      </c>
      <c r="DK270" s="909">
        <f>IF(dd_PartSA_2_lines = "Yes",0,_xlfn.IFNA(INDEX('Resource use and costs'!$CR$11:$CR$53,MATCH(DA270,'Resource use and costs'!$BA$11:$BA$53,0)),0)*_xlfn.IFNA(INDEX(EA$10:EA$23,MATCH($DA270,$DX$10:$DX$23,0)),0))</f>
        <v>21421.066008214286</v>
      </c>
      <c r="DL270" s="909">
        <f>IF(dd_PartSA_2_lines = "Yes",0,_xlfn.IFNA(INDEX('Resource use and costs'!$CS$11:$CS$53,MATCH(DB270,'Resource use and costs'!$BA$11:$BA$53,0)),0)*_xlfn.IFNA(INDEX(EC$10:EC$23,MATCH($DB270,$DX$10:$DX$23,0)),0))</f>
        <v>0</v>
      </c>
      <c r="DM270" s="909">
        <f t="shared" si="203"/>
        <v>42101.678979642864</v>
      </c>
      <c r="DN270" s="909">
        <f>SUM(_xlfn.IFNA(INDEX('Resource use and costs'!$DU$12:$DU$25,MATCH(CZ270,'Resource use and costs'!$DS$12:$DS$25,0)),0),_xlfn.IFNA(INDEX('Resource use and costs'!$DU$12:$DU$25,MATCH(DA270,'Resource use and costs'!$DS$12:$DS$25,0)),0),_xlfn.IFNA(INDEX('Resource use and costs'!$DU$12:$DU$25,MATCH(DB270,'Resource use and costs'!$DS$12:$DS$25,0)),0))</f>
        <v>394.5</v>
      </c>
      <c r="DO270" s="921">
        <f>_xlfn.IFNA(INDEX('Resource use and costs'!$DY$12:$DY$25,MATCH(CZ270,'Resource use and costs'!$DS$12:$DS$25,0)),0)*_xlfn.IFNA(INDEX(DY$10:DY$23,MATCH($CZ270,$DX$10:$DX$23,0)),0)</f>
        <v>443.44394285714293</v>
      </c>
      <c r="DP270" s="921">
        <f>IF(dd_PartSA_2_lines = "Yes",0,_xlfn.IFNA(INDEX('Resource use and costs'!$DZ$12:$DZ$25,MATCH(DA270,'Resource use and costs'!$DS$12:$DS$25,0)),0)*_xlfn.IFNA(INDEX(EA$10:EA$23,MATCH($DA270,$DX$10:$DX$23,0)),0))</f>
        <v>267.99172714285714</v>
      </c>
      <c r="DQ270" s="921">
        <f>IF(dd_PartSA_2_lines = "Yes",0,_xlfn.IFNA(INDEX('Resource use and costs'!$EA$12:$EA$25,MATCH(DB270,'Resource use and costs'!$DS$12:$DS$25,0)),0)*_xlfn.IFNA(INDEX(EC$10:EC$23,MATCH($DB270,$DX$10:$DX$23,0)),0))</f>
        <v>0</v>
      </c>
      <c r="DR270" s="921">
        <f t="shared" si="204"/>
        <v>1105.9356700000001</v>
      </c>
      <c r="DS270" s="1004">
        <f ca="1">SUMIFS('Safety parameters'!$DM$6:$DM$18,'Safety parameters'!$DK$6:$DK$18,CZ270,'Safety parameters'!$DL$6:$DL$18,1)+IF(dd_PartSA_2_lines = "Yes",0,SUMIFS('Safety parameters'!$DM$6:$DM$18,'Safety parameters'!$DK$6:$DK$18,DA270,'Safety parameters'!$DL$6:$DL$18,2)+SUMIFS('Safety parameters'!$DM$6:$DM$18,'Safety parameters'!$DK$6:$DK$18,DB270,'Safety parameters'!$DL$6:$DL$18,2))</f>
        <v>2042.1647262635129</v>
      </c>
      <c r="DT270" s="910">
        <f ca="1">SUMIFS('Safety parameters'!$DO$6:$DO$18,'Safety parameters'!$DK$6:$DK$18,CZ270,'Safety parameters'!$DL$6:$DL$18,1)+IF(dd_PartSA_2_lines = "Yes",0,SUMIFS('Safety parameters'!$DO$6:$DO$18,'Safety parameters'!$DK$6:$DK$18,DA270,'Safety parameters'!$DL$6:$DL$18,2)+SUMIFS('Safety parameters'!$DO$6:$DO$18,'Safety parameters'!$DK$6:$DK$18,DB270,'Safety parameters'!$DL$6:$DL$18,2))</f>
        <v>-1.8195878647800728E-2</v>
      </c>
    </row>
    <row r="271" spans="89:124" ht="15" x14ac:dyDescent="0.2">
      <c r="CK271" s="61" t="s">
        <v>31</v>
      </c>
      <c r="CL271" s="61">
        <v>3</v>
      </c>
      <c r="CM271" s="61" t="str">
        <v>everolimus</v>
      </c>
      <c r="CN271" s="17">
        <v>10</v>
      </c>
      <c r="CO271" s="61" t="str" cm="1">
        <f t="array" ref="CO271">INDEX(List_comparators,CP270+1)</f>
        <v>cabozantinib_plus_nivolumab</v>
      </c>
      <c r="CP271" s="17">
        <v>1</v>
      </c>
      <c r="CQ271" s="601">
        <f t="shared" ca="1" si="193"/>
        <v>0</v>
      </c>
      <c r="CR271" s="601">
        <f t="shared" ca="1" si="194"/>
        <v>0</v>
      </c>
      <c r="CS271" s="671">
        <f t="shared" ca="1" si="198"/>
        <v>0</v>
      </c>
      <c r="CT271" s="671">
        <f t="shared" ca="1" si="196"/>
        <v>0</v>
      </c>
      <c r="CU271" s="1123">
        <f>MATCH(CZ271,'Resource use and costs'!$BA$11:$BA$53,0)</f>
        <v>24</v>
      </c>
      <c r="CV271" s="1223"/>
      <c r="CW271" s="1241">
        <f t="shared" si="202"/>
        <v>1</v>
      </c>
      <c r="CX271" s="899" t="s">
        <v>773</v>
      </c>
      <c r="CY271" s="899" t="s">
        <v>571</v>
      </c>
      <c r="CZ271" s="899" t="s">
        <v>319</v>
      </c>
      <c r="DA271" s="899" t="s">
        <v>327</v>
      </c>
      <c r="DB271" s="899" t="s">
        <v>119</v>
      </c>
      <c r="DC271" s="899" cm="1">
        <f t="array" aca="1" ref="DC271" ca="1">_xlfn.IFNA(OFFSET($I$49,MATCH(CY271,$I$50:$I$63,0),MATCH(CZ271,TRANSPOSE($J$49:$W$49),0)),0)</f>
        <v>4.269746893695351E-2</v>
      </c>
      <c r="DD271" s="899">
        <f ca="1">DD270</f>
        <v>0.61010000000000009</v>
      </c>
      <c r="DE271" s="899" cm="1">
        <f t="array" aca="1" ref="DE271" ca="1">_xlfn.IFNA(OFFSET($AO$49,MATCH($DA271,$AO$50:$AO$63,0),MATCH($DB271,TRANSPOSE($AP$49:$BC$49),0)),0)</f>
        <v>0.56859999999999999</v>
      </c>
      <c r="DF271" s="881">
        <f t="shared" ca="1" si="199"/>
        <v>1.4811874088990335E-2</v>
      </c>
      <c r="DG271" s="910">
        <f t="shared" ca="1" si="200"/>
        <v>1</v>
      </c>
      <c r="DH271" s="881">
        <f t="shared" ca="1" si="201"/>
        <v>1.4811874088990335E-2</v>
      </c>
      <c r="DI271" s="1461">
        <f t="shared" ca="1" si="197"/>
        <v>2.4883948469503765</v>
      </c>
      <c r="DJ271" s="909">
        <f>_xlfn.IFNA(INDEX('Resource use and costs'!$CQ$11:$CQ$53,MATCH($CZ271,'Resource use and costs'!$BA$11:$BA$53,0)),0)*_xlfn.IFNA(INDEX(DY$10:DY$23,MATCH($CZ271,$DX$10:$DX$23,0)),0)</f>
        <v>20680.612971428574</v>
      </c>
      <c r="DK271" s="909">
        <f>IF(dd_PartSA_2_lines = "Yes",0,_xlfn.IFNA(INDEX('Resource use and costs'!$CR$11:$CR$53,MATCH(DA271,'Resource use and costs'!$BA$11:$BA$53,0)),0)*_xlfn.IFNA(INDEX(EA$10:EA$23,MATCH($DA271,$DX$10:$DX$23,0)),0))</f>
        <v>21421.066008214286</v>
      </c>
      <c r="DL271" s="909">
        <f>IF(dd_PartSA_2_lines = "Yes",0,_xlfn.IFNA(INDEX('Resource use and costs'!$CS$11:$CS$53,MATCH(DB271,'Resource use and costs'!$BA$11:$BA$53,0)),0)*_xlfn.IFNA(INDEX(EC$10:EC$23,MATCH($DB271,$DX$10:$DX$23,0)),0))</f>
        <v>2915.4763433333328</v>
      </c>
      <c r="DM271" s="909">
        <f t="shared" si="203"/>
        <v>45017.155322976199</v>
      </c>
      <c r="DN271" s="909">
        <f>SUM(_xlfn.IFNA(INDEX('Resource use and costs'!$DU$12:$DU$25,MATCH(CZ271,'Resource use and costs'!$DS$12:$DS$25,0)),0),_xlfn.IFNA(INDEX('Resource use and costs'!$DU$12:$DU$25,MATCH(DA271,'Resource use and costs'!$DS$12:$DS$25,0)),0),_xlfn.IFNA(INDEX('Resource use and costs'!$DU$12:$DU$25,MATCH(DB271,'Resource use and costs'!$DS$12:$DS$25,0)),0))</f>
        <v>591.75</v>
      </c>
      <c r="DO271" s="921">
        <f>_xlfn.IFNA(INDEX('Resource use and costs'!$DY$12:$DY$25,MATCH(CZ271,'Resource use and costs'!$DS$12:$DS$25,0)),0)*_xlfn.IFNA(INDEX(DY$10:DY$23,MATCH($CZ271,$DX$10:$DX$23,0)),0)</f>
        <v>443.44394285714293</v>
      </c>
      <c r="DP271" s="921">
        <f>IF(dd_PartSA_2_lines = "Yes",0,_xlfn.IFNA(INDEX('Resource use and costs'!$DZ$12:$DZ$25,MATCH(DA271,'Resource use and costs'!$DS$12:$DS$25,0)),0)*_xlfn.IFNA(INDEX(EA$10:EA$23,MATCH($DA271,$DX$10:$DX$23,0)),0))</f>
        <v>267.99172714285714</v>
      </c>
      <c r="DQ271" s="921">
        <f>IF(dd_PartSA_2_lines = "Yes",0,_xlfn.IFNA(INDEX('Resource use and costs'!$EA$12:$EA$25,MATCH(DB271,'Resource use and costs'!$DS$12:$DS$25,0)),0)*_xlfn.IFNA(INDEX(EC$10:EC$23,MATCH($DB271,$DX$10:$DX$23,0)),0))</f>
        <v>256.11457142857142</v>
      </c>
      <c r="DR271" s="921">
        <f t="shared" si="204"/>
        <v>1559.3002414285716</v>
      </c>
      <c r="DS271" s="1004">
        <f ca="1">SUMIFS('Safety parameters'!$DM$6:$DM$18,'Safety parameters'!$DK$6:$DK$18,CZ271,'Safety parameters'!$DL$6:$DL$18,1)+IF(dd_PartSA_2_lines = "Yes",0,SUMIFS('Safety parameters'!$DM$6:$DM$18,'Safety parameters'!$DK$6:$DK$18,DA271,'Safety parameters'!$DL$6:$DL$18,2)+SUMIFS('Safety parameters'!$DM$6:$DM$18,'Safety parameters'!$DK$6:$DK$18,DB271,'Safety parameters'!$DL$6:$DL$18,2))</f>
        <v>2375.0401096388277</v>
      </c>
      <c r="DT271" s="910">
        <f ca="1">SUMIFS('Safety parameters'!$DO$6:$DO$18,'Safety parameters'!$DK$6:$DK$18,CZ271,'Safety parameters'!$DL$6:$DL$18,1)+IF(dd_PartSA_2_lines = "Yes",0,SUMIFS('Safety parameters'!$DO$6:$DO$18,'Safety parameters'!$DK$6:$DK$18,DA271,'Safety parameters'!$DL$6:$DL$18,2)+SUMIFS('Safety parameters'!$DO$6:$DO$18,'Safety parameters'!$DK$6:$DK$18,DB271,'Safety parameters'!$DL$6:$DL$18,2))</f>
        <v>-2.0863452184438448E-2</v>
      </c>
    </row>
    <row r="272" spans="89:124" ht="15" x14ac:dyDescent="0.2">
      <c r="CK272" s="61" t="s">
        <v>31</v>
      </c>
      <c r="CL272" s="61">
        <v>3</v>
      </c>
      <c r="CM272" s="61" t="str">
        <v>axitinib</v>
      </c>
      <c r="CN272" s="17">
        <v>11</v>
      </c>
      <c r="CO272" s="61" t="str" cm="1">
        <f t="array" ref="CO272">INDEX(List_comparators,CP271+1)</f>
        <v>cabozantinib_plus_nivolumab</v>
      </c>
      <c r="CP272" s="17">
        <v>1</v>
      </c>
      <c r="CQ272" s="601">
        <f t="shared" ca="1" si="193"/>
        <v>0</v>
      </c>
      <c r="CR272" s="601">
        <f t="shared" ca="1" si="194"/>
        <v>0</v>
      </c>
      <c r="CS272" s="671">
        <f t="shared" ca="1" si="198"/>
        <v>0</v>
      </c>
      <c r="CT272" s="671">
        <f t="shared" ca="1" si="196"/>
        <v>0</v>
      </c>
      <c r="CU272" s="1123">
        <f>MATCH(CZ272,'Resource use and costs'!$BA$11:$BA$53,0)</f>
        <v>24</v>
      </c>
      <c r="CV272" s="1223"/>
      <c r="CW272" s="1241">
        <f t="shared" si="202"/>
        <v>1</v>
      </c>
      <c r="CX272" s="899" t="s">
        <v>773</v>
      </c>
      <c r="CY272" s="899" t="s">
        <v>571</v>
      </c>
      <c r="CZ272" s="899" t="s">
        <v>319</v>
      </c>
      <c r="DA272" s="899" t="s">
        <v>765</v>
      </c>
      <c r="DB272" s="899"/>
      <c r="DC272" s="899" cm="1">
        <f t="array" aca="1" ref="DC272" ca="1">_xlfn.IFNA(OFFSET($I$49,MATCH(CY272,$I$50:$I$63,0),MATCH(CZ272,TRANSPOSE($J$49:$W$49),0)),0)</f>
        <v>4.269746893695351E-2</v>
      </c>
      <c r="DD272" s="899" cm="1">
        <f t="array" aca="1" ref="DD272" ca="1">_xlfn.IFNA(OFFSET($Y$49,MATCH($CZ272,$Y$50:$Y$63,0),MATCH($DA272,TRANSPOSE($Z$49:$AM$49),0)),0)</f>
        <v>0.34300000000000003</v>
      </c>
      <c r="DE272" s="899" cm="1">
        <f t="array" aca="1" ref="DE272" ca="1">_xlfn.IFNA(OFFSET($AO$49,MATCH($DA272,$AO$50:$AO$63,0),MATCH($DB272,TRANSPOSE($AP$49:$BC$49),0)),0)</f>
        <v>0</v>
      </c>
      <c r="DF272" s="881">
        <f t="shared" ca="1" si="199"/>
        <v>1.4645231845375055E-2</v>
      </c>
      <c r="DG272" s="910">
        <f t="shared" ca="1" si="200"/>
        <v>1</v>
      </c>
      <c r="DH272" s="881">
        <f t="shared" ca="1" si="201"/>
        <v>1.4645231845375055E-2</v>
      </c>
      <c r="DI272" s="1461">
        <f t="shared" ca="1" si="197"/>
        <v>2.4603989500230092</v>
      </c>
      <c r="DJ272" s="909">
        <f>_xlfn.IFNA(INDEX('Resource use and costs'!$CQ$11:$CQ$53,MATCH($CZ272,'Resource use and costs'!$BA$11:$BA$53,0)),0)*_xlfn.IFNA(INDEX(DY$10:DY$23,MATCH($CZ272,$DX$10:$DX$23,0)),0)</f>
        <v>20680.612971428574</v>
      </c>
      <c r="DK272" s="909">
        <f>IF(dd_PartSA_2_lines = "Yes",0,_xlfn.IFNA(INDEX('Resource use and costs'!$CR$11:$CR$53,MATCH(DA272,'Resource use and costs'!$BA$11:$BA$53,0)),0)*_xlfn.IFNA(INDEX(EA$10:EA$23,MATCH($DA272,$DX$10:$DX$23,0)),0))</f>
        <v>0</v>
      </c>
      <c r="DL272" s="909">
        <f>IF(dd_PartSA_2_lines = "Yes",0,_xlfn.IFNA(INDEX('Resource use and costs'!$CS$11:$CS$53,MATCH(DB272,'Resource use and costs'!$BA$11:$BA$53,0)),0)*_xlfn.IFNA(INDEX(EC$10:EC$23,MATCH($DB272,$DX$10:$DX$23,0)),0))</f>
        <v>0</v>
      </c>
      <c r="DM272" s="909">
        <f t="shared" si="203"/>
        <v>20680.612971428574</v>
      </c>
      <c r="DN272" s="909">
        <f>SUM(_xlfn.IFNA(INDEX('Resource use and costs'!$DU$12:$DU$25,MATCH(CZ272,'Resource use and costs'!$DS$12:$DS$25,0)),0),_xlfn.IFNA(INDEX('Resource use and costs'!$DU$12:$DU$25,MATCH(DA272,'Resource use and costs'!$DS$12:$DS$25,0)),0),_xlfn.IFNA(INDEX('Resource use and costs'!$DU$12:$DU$25,MATCH(DB272,'Resource use and costs'!$DS$12:$DS$25,0)),0))</f>
        <v>197.25</v>
      </c>
      <c r="DO272" s="921">
        <f>_xlfn.IFNA(INDEX('Resource use and costs'!$DY$12:$DY$25,MATCH(CZ272,'Resource use and costs'!$DS$12:$DS$25,0)),0)*_xlfn.IFNA(INDEX(DY$10:DY$23,MATCH($CZ272,$DX$10:$DX$23,0)),0)</f>
        <v>443.44394285714293</v>
      </c>
      <c r="DP272" s="921">
        <f>IF(dd_PartSA_2_lines = "Yes",0,_xlfn.IFNA(INDEX('Resource use and costs'!$DZ$12:$DZ$25,MATCH(DA272,'Resource use and costs'!$DS$12:$DS$25,0)),0)*_xlfn.IFNA(INDEX(EA$10:EA$23,MATCH($DA272,$DX$10:$DX$23,0)),0))</f>
        <v>0</v>
      </c>
      <c r="DQ272" s="921">
        <f>IF(dd_PartSA_2_lines = "Yes",0,_xlfn.IFNA(INDEX('Resource use and costs'!$EA$12:$EA$25,MATCH(DB272,'Resource use and costs'!$DS$12:$DS$25,0)),0)*_xlfn.IFNA(INDEX(EC$10:EC$23,MATCH($DB272,$DX$10:$DX$23,0)),0))</f>
        <v>0</v>
      </c>
      <c r="DR272" s="921">
        <f t="shared" si="204"/>
        <v>640.69394285714293</v>
      </c>
      <c r="DS272" s="1004">
        <f ca="1">SUMIFS('Safety parameters'!$DM$6:$DM$18,'Safety parameters'!$DK$6:$DK$18,CZ272,'Safety parameters'!$DL$6:$DL$18,1)+IF(dd_PartSA_2_lines = "Yes",0,SUMIFS('Safety parameters'!$DM$6:$DM$18,'Safety parameters'!$DK$6:$DK$18,DA272,'Safety parameters'!$DL$6:$DL$18,2)+SUMIFS('Safety parameters'!$DM$6:$DM$18,'Safety parameters'!$DK$6:$DK$18,DB272,'Safety parameters'!$DL$6:$DL$18,2))</f>
        <v>407.93605269805306</v>
      </c>
      <c r="DT272" s="910">
        <f ca="1">SUMIFS('Safety parameters'!$DO$6:$DO$18,'Safety parameters'!$DK$6:$DK$18,CZ272,'Safety parameters'!$DL$6:$DL$18,1)+IF(dd_PartSA_2_lines = "Yes",0,SUMIFS('Safety parameters'!$DO$6:$DO$18,'Safety parameters'!$DK$6:$DK$18,DA272,'Safety parameters'!$DL$6:$DL$18,2)+SUMIFS('Safety parameters'!$DO$6:$DO$18,'Safety parameters'!$DK$6:$DK$18,DB272,'Safety parameters'!$DL$6:$DL$18,2))</f>
        <v>-3.453954640319298E-3</v>
      </c>
    </row>
    <row r="273" spans="89:124" ht="15" x14ac:dyDescent="0.2">
      <c r="CK273" s="61" t="s">
        <v>31</v>
      </c>
      <c r="CL273" s="61">
        <v>3</v>
      </c>
      <c r="CM273" s="61" t="str">
        <v>sorafenib</v>
      </c>
      <c r="CN273" s="17">
        <v>12</v>
      </c>
      <c r="CO273" s="61" t="str" cm="1">
        <f t="array" ref="CO273">INDEX(List_comparators,CP272+1)</f>
        <v>cabozantinib_plus_nivolumab</v>
      </c>
      <c r="CP273" s="17">
        <v>1</v>
      </c>
      <c r="CQ273" s="601">
        <f t="shared" ca="1" si="193"/>
        <v>0</v>
      </c>
      <c r="CR273" s="601">
        <f t="shared" ca="1" si="194"/>
        <v>0</v>
      </c>
      <c r="CS273" s="671">
        <f t="shared" ca="1" si="198"/>
        <v>0</v>
      </c>
      <c r="CT273" s="671">
        <f t="shared" ca="1" si="196"/>
        <v>0</v>
      </c>
      <c r="CU273" s="1123">
        <f>MATCH(CZ273,'Resource use and costs'!$BA$11:$BA$53,0)</f>
        <v>24</v>
      </c>
      <c r="CV273" s="1223"/>
      <c r="CW273" s="1241">
        <f t="shared" si="202"/>
        <v>1</v>
      </c>
      <c r="CX273" s="899" t="s">
        <v>773</v>
      </c>
      <c r="CY273" s="899" t="s">
        <v>571</v>
      </c>
      <c r="CZ273" s="899" t="s">
        <v>319</v>
      </c>
      <c r="DA273" s="899" t="s">
        <v>119</v>
      </c>
      <c r="DB273" s="899" t="s">
        <v>327</v>
      </c>
      <c r="DC273" s="899" cm="1">
        <f t="array" aca="1" ref="DC273" ca="1">_xlfn.IFNA(OFFSET($I$49,MATCH(CY273,$I$50:$I$63,0),MATCH(CZ273,TRANSPOSE($J$49:$W$49),0)),0)</f>
        <v>4.269746893695351E-2</v>
      </c>
      <c r="DD273" s="899" cm="1">
        <f t="array" aca="1" ref="DD273" ca="1">_xlfn.IFNA(OFFSET($Y$49,MATCH($CZ273,$Y$50:$Y$63,0),MATCH($DA273,TRANSPOSE($Z$49:$AM$49),0)),0)</f>
        <v>4.6899999999999997E-2</v>
      </c>
      <c r="DE273" s="899" cm="1">
        <f t="array" aca="1" ref="DE273" ca="1">_xlfn.IFNA(OFFSET($AO$49,MATCH($DA273,$AO$50:$AO$63,0),MATCH($DB273,TRANSPOSE($AP$49:$BC$49),0)),0)</f>
        <v>0</v>
      </c>
      <c r="DF273" s="881">
        <f t="shared" ca="1" si="199"/>
        <v>0</v>
      </c>
      <c r="DG273" s="910">
        <f t="shared" ca="1" si="200"/>
        <v>1</v>
      </c>
      <c r="DH273" s="881">
        <f t="shared" ca="1" si="201"/>
        <v>0</v>
      </c>
      <c r="DI273" s="1461">
        <f t="shared" ca="1" si="197"/>
        <v>0</v>
      </c>
      <c r="DJ273" s="909">
        <f>_xlfn.IFNA(INDEX('Resource use and costs'!$CQ$11:$CQ$53,MATCH($CZ273,'Resource use and costs'!$BA$11:$BA$53,0)),0)*_xlfn.IFNA(INDEX(DY$10:DY$23,MATCH($CZ273,$DX$10:$DX$23,0)),0)</f>
        <v>20680.612971428574</v>
      </c>
      <c r="DK273" s="909">
        <f>IF(dd_PartSA_2_lines = "Yes",0,_xlfn.IFNA(INDEX('Resource use and costs'!$CR$11:$CR$53,MATCH(DA273,'Resource use and costs'!$BA$11:$BA$53,0)),0)*_xlfn.IFNA(INDEX(EA$10:EA$23,MATCH($DA273,$DX$10:$DX$23,0)),0))</f>
        <v>848.17532499999982</v>
      </c>
      <c r="DL273" s="909">
        <f>IF(dd_PartSA_2_lines = "Yes",0,_xlfn.IFNA(INDEX('Resource use and costs'!$CS$11:$CS$53,MATCH(DB273,'Resource use and costs'!$BA$11:$BA$53,0)),0)*_xlfn.IFNA(INDEX(EC$10:EC$23,MATCH($DB273,$DX$10:$DX$23,0)),0))</f>
        <v>18438.751749999999</v>
      </c>
      <c r="DM273" s="909">
        <f t="shared" si="203"/>
        <v>39967.540046428578</v>
      </c>
      <c r="DN273" s="909">
        <f>SUM(_xlfn.IFNA(INDEX('Resource use and costs'!$DU$12:$DU$25,MATCH(CZ273,'Resource use and costs'!$DS$12:$DS$25,0)),0),_xlfn.IFNA(INDEX('Resource use and costs'!$DU$12:$DU$25,MATCH(DA273,'Resource use and costs'!$DS$12:$DS$25,0)),0),_xlfn.IFNA(INDEX('Resource use and costs'!$DU$12:$DU$25,MATCH(DB273,'Resource use and costs'!$DS$12:$DS$25,0)),0))</f>
        <v>591.75</v>
      </c>
      <c r="DO273" s="921">
        <f>_xlfn.IFNA(INDEX('Resource use and costs'!$DY$12:$DY$25,MATCH(CZ273,'Resource use and costs'!$DS$12:$DS$25,0)),0)*_xlfn.IFNA(INDEX(DY$10:DY$23,MATCH($CZ273,$DX$10:$DX$23,0)),0)</f>
        <v>443.44394285714293</v>
      </c>
      <c r="DP273" s="921">
        <f>IF(dd_PartSA_2_lines = "Yes",0,_xlfn.IFNA(INDEX('Resource use and costs'!$DZ$12:$DZ$25,MATCH(DA273,'Resource use and costs'!$DS$12:$DS$25,0)),0)*_xlfn.IFNA(INDEX(EA$10:EA$23,MATCH($DA273,$DX$10:$DX$23,0)),0))</f>
        <v>74.50928571428571</v>
      </c>
      <c r="DQ273" s="921">
        <f>IF(dd_PartSA_2_lines = "Yes",0,_xlfn.IFNA(INDEX('Resource use and costs'!$EA$12:$EA$25,MATCH(DB273,'Resource use and costs'!$DS$12:$DS$25,0)),0)*_xlfn.IFNA(INDEX(EC$10:EC$23,MATCH($DB273,$DX$10:$DX$23,0)),0))</f>
        <v>230.68099999999998</v>
      </c>
      <c r="DR273" s="921">
        <f t="shared" si="204"/>
        <v>1340.3842285714286</v>
      </c>
      <c r="DS273" s="1004">
        <f ca="1">SUMIFS('Safety parameters'!$DM$6:$DM$18,'Safety parameters'!$DK$6:$DK$18,CZ273,'Safety parameters'!$DL$6:$DL$18,1)+IF(dd_PartSA_2_lines = "Yes",0,SUMIFS('Safety parameters'!$DM$6:$DM$18,'Safety parameters'!$DK$6:$DK$18,DA273,'Safety parameters'!$DL$6:$DL$18,2)+SUMIFS('Safety parameters'!$DM$6:$DM$18,'Safety parameters'!$DK$6:$DK$18,DB273,'Safety parameters'!$DL$6:$DL$18,2))</f>
        <v>2375.0401096388277</v>
      </c>
      <c r="DT273" s="910">
        <f ca="1">SUMIFS('Safety parameters'!$DO$6:$DO$18,'Safety parameters'!$DK$6:$DK$18,CZ273,'Safety parameters'!$DL$6:$DL$18,1)+IF(dd_PartSA_2_lines = "Yes",0,SUMIFS('Safety parameters'!$DO$6:$DO$18,'Safety parameters'!$DK$6:$DK$18,DA273,'Safety parameters'!$DL$6:$DL$18,2)+SUMIFS('Safety parameters'!$DO$6:$DO$18,'Safety parameters'!$DK$6:$DK$18,DB273,'Safety parameters'!$DL$6:$DL$18,2))</f>
        <v>-2.0863452184438448E-2</v>
      </c>
    </row>
    <row r="274" spans="89:124" ht="15.75" thickBot="1" x14ac:dyDescent="0.25">
      <c r="CK274" s="506" t="s">
        <v>31</v>
      </c>
      <c r="CL274" s="506">
        <v>3</v>
      </c>
      <c r="CM274" s="506" t="str">
        <v>placebo_BSC</v>
      </c>
      <c r="CN274" s="19">
        <v>999</v>
      </c>
      <c r="CO274" s="506" t="str" cm="1">
        <f t="array" ref="CO274">INDEX(List_comparators,CP261+1)</f>
        <v>cabozantinib_plus_nivolumab</v>
      </c>
      <c r="CP274" s="19">
        <v>1</v>
      </c>
      <c r="CQ274" s="602">
        <f t="shared" ca="1" si="193"/>
        <v>0</v>
      </c>
      <c r="CR274" s="602">
        <f t="shared" ca="1" si="194"/>
        <v>0</v>
      </c>
      <c r="CS274" s="670">
        <v>0</v>
      </c>
      <c r="CT274" s="670">
        <f t="shared" ca="1" si="196"/>
        <v>0</v>
      </c>
      <c r="CU274" s="1123">
        <f>MATCH(CZ274,'Resource use and costs'!$BA$11:$BA$53,0)</f>
        <v>24</v>
      </c>
      <c r="CV274" s="1223"/>
      <c r="CW274" s="1241">
        <f t="shared" si="202"/>
        <v>1</v>
      </c>
      <c r="CX274" s="899" t="s">
        <v>773</v>
      </c>
      <c r="CY274" s="899" t="s">
        <v>571</v>
      </c>
      <c r="CZ274" s="899" t="s">
        <v>319</v>
      </c>
      <c r="DA274" s="899" t="s">
        <v>119</v>
      </c>
      <c r="DB274" s="899" t="s">
        <v>765</v>
      </c>
      <c r="DC274" s="899" cm="1">
        <f t="array" aca="1" ref="DC274" ca="1">_xlfn.IFNA(OFFSET($I$49,MATCH(CY274,$I$50:$I$63,0),MATCH(CZ274,TRANSPOSE($J$49:$W$49),0)),0)</f>
        <v>4.269746893695351E-2</v>
      </c>
      <c r="DD274" s="899" cm="1">
        <f t="array" aca="1" ref="DD274" ca="1">_xlfn.IFNA(OFFSET($Y$49,MATCH($CZ274,$Y$50:$Y$63,0),MATCH($DA274,TRANSPOSE($Z$49:$AM$49),0)),0)</f>
        <v>4.6899999999999997E-2</v>
      </c>
      <c r="DE274" s="899" cm="1">
        <f t="array" aca="1" ref="DE274" ca="1">_xlfn.IFNA(OFFSET($AO$49,MATCH($DA274,$AO$50:$AO$63,0),MATCH($DB274,TRANSPOSE($AP$49:$BC$49),0)),0)</f>
        <v>1</v>
      </c>
      <c r="DF274" s="881">
        <f t="shared" ca="1" si="199"/>
        <v>2.0025112931431194E-3</v>
      </c>
      <c r="DG274" s="910">
        <f t="shared" ca="1" si="200"/>
        <v>1</v>
      </c>
      <c r="DH274" s="881">
        <f t="shared" ca="1" si="201"/>
        <v>2.0025112931431194E-3</v>
      </c>
      <c r="DI274" s="1461">
        <f t="shared" ca="1" si="197"/>
        <v>0.33642189724804406</v>
      </c>
      <c r="DJ274" s="909">
        <f>_xlfn.IFNA(INDEX('Resource use and costs'!$CQ$11:$CQ$53,MATCH($CZ274,'Resource use and costs'!$BA$11:$BA$53,0)),0)*_xlfn.IFNA(INDEX(DY$10:DY$23,MATCH($CZ274,$DX$10:$DX$23,0)),0)</f>
        <v>20680.612971428574</v>
      </c>
      <c r="DK274" s="909">
        <f>IF(dd_PartSA_2_lines = "Yes",0,_xlfn.IFNA(INDEX('Resource use and costs'!$CR$11:$CR$53,MATCH(DA274,'Resource use and costs'!$BA$11:$BA$53,0)),0)*_xlfn.IFNA(INDEX(EA$10:EA$23,MATCH($DA274,$DX$10:$DX$23,0)),0))</f>
        <v>848.17532499999982</v>
      </c>
      <c r="DL274" s="909">
        <f>IF(dd_PartSA_2_lines = "Yes",0,_xlfn.IFNA(INDEX('Resource use and costs'!$CS$11:$CS$53,MATCH(DB274,'Resource use and costs'!$BA$11:$BA$53,0)),0)*_xlfn.IFNA(INDEX(EC$10:EC$23,MATCH($DB274,$DX$10:$DX$23,0)),0))</f>
        <v>0</v>
      </c>
      <c r="DM274" s="909">
        <f t="shared" si="203"/>
        <v>21528.788296428575</v>
      </c>
      <c r="DN274" s="909">
        <f>SUM(_xlfn.IFNA(INDEX('Resource use and costs'!$DU$12:$DU$25,MATCH(CZ274,'Resource use and costs'!$DS$12:$DS$25,0)),0),_xlfn.IFNA(INDEX('Resource use and costs'!$DU$12:$DU$25,MATCH(DA274,'Resource use and costs'!$DS$12:$DS$25,0)),0),_xlfn.IFNA(INDEX('Resource use and costs'!$DU$12:$DU$25,MATCH(DB274,'Resource use and costs'!$DS$12:$DS$25,0)),0))</f>
        <v>394.5</v>
      </c>
      <c r="DO274" s="921">
        <f>_xlfn.IFNA(INDEX('Resource use and costs'!$DY$12:$DY$25,MATCH(CZ274,'Resource use and costs'!$DS$12:$DS$25,0)),0)*_xlfn.IFNA(INDEX(DY$10:DY$23,MATCH($CZ274,$DX$10:$DX$23,0)),0)</f>
        <v>443.44394285714293</v>
      </c>
      <c r="DP274" s="921">
        <f>IF(dd_PartSA_2_lines = "Yes",0,_xlfn.IFNA(INDEX('Resource use and costs'!$DZ$12:$DZ$25,MATCH(DA274,'Resource use and costs'!$DS$12:$DS$25,0)),0)*_xlfn.IFNA(INDEX(EA$10:EA$23,MATCH($DA274,$DX$10:$DX$23,0)),0))</f>
        <v>74.50928571428571</v>
      </c>
      <c r="DQ274" s="921">
        <f>IF(dd_PartSA_2_lines = "Yes",0,_xlfn.IFNA(INDEX('Resource use and costs'!$EA$12:$EA$25,MATCH(DB274,'Resource use and costs'!$DS$12:$DS$25,0)),0)*_xlfn.IFNA(INDEX(EC$10:EC$23,MATCH($DB274,$DX$10:$DX$23,0)),0))</f>
        <v>0</v>
      </c>
      <c r="DR274" s="921">
        <f t="shared" si="204"/>
        <v>912.45322857142867</v>
      </c>
      <c r="DS274" s="1004">
        <f ca="1">SUMIFS('Safety parameters'!$DM$6:$DM$18,'Safety parameters'!$DK$6:$DK$18,CZ274,'Safety parameters'!$DL$6:$DL$18,1)+IF(dd_PartSA_2_lines = "Yes",0,SUMIFS('Safety parameters'!$DM$6:$DM$18,'Safety parameters'!$DK$6:$DK$18,DA274,'Safety parameters'!$DL$6:$DL$18,2)+SUMIFS('Safety parameters'!$DM$6:$DM$18,'Safety parameters'!$DK$6:$DK$18,DB274,'Safety parameters'!$DL$6:$DL$18,2))</f>
        <v>740.81143607336799</v>
      </c>
      <c r="DT274" s="910">
        <f ca="1">SUMIFS('Safety parameters'!$DO$6:$DO$18,'Safety parameters'!$DK$6:$DK$18,CZ274,'Safety parameters'!$DL$6:$DL$18,1)+IF(dd_PartSA_2_lines = "Yes",0,SUMIFS('Safety parameters'!$DO$6:$DO$18,'Safety parameters'!$DK$6:$DK$18,DA274,'Safety parameters'!$DL$6:$DL$18,2)+SUMIFS('Safety parameters'!$DO$6:$DO$18,'Safety parameters'!$DK$6:$DK$18,DB274,'Safety parameters'!$DL$6:$DL$18,2))</f>
        <v>-6.1215281769570178E-3</v>
      </c>
    </row>
    <row r="275" spans="89:124" ht="15" x14ac:dyDescent="0.2">
      <c r="CK275" s="505" t="s">
        <v>31</v>
      </c>
      <c r="CL275" s="505">
        <v>3</v>
      </c>
      <c r="CM275" s="61" t="str" cm="1">
        <f t="array" ref="CM275:CM288">List_comparators</f>
        <v>nivolumab_monotherapy</v>
      </c>
      <c r="CN275" s="17">
        <v>0</v>
      </c>
      <c r="CO275" s="61" t="str" cm="1">
        <f t="array" ref="CO275">INDEX(List_comparators,CP275+1)</f>
        <v>nivolumab_plus_ipilimumab</v>
      </c>
      <c r="CP275" s="17">
        <v>2</v>
      </c>
      <c r="CQ275" s="603">
        <f t="shared" ca="1" si="193"/>
        <v>0</v>
      </c>
      <c r="CR275" s="603">
        <f t="shared" ca="1" si="194"/>
        <v>0</v>
      </c>
      <c r="CS275" s="671">
        <f t="shared" ref="CS275:CS287" ca="1" si="205">OFFSET($Z$81,IF(CN275=999,13,CN275),CP275)</f>
        <v>0</v>
      </c>
      <c r="CT275" s="671">
        <f t="shared" ca="1" si="196"/>
        <v>0</v>
      </c>
      <c r="CU275" s="1123">
        <f>MATCH(CZ275,'Resource use and costs'!$BA$11:$BA$53,0)</f>
        <v>40</v>
      </c>
      <c r="CV275" s="1223"/>
      <c r="CW275" s="1241">
        <f t="shared" si="202"/>
        <v>1</v>
      </c>
      <c r="CX275" s="899" t="s">
        <v>773</v>
      </c>
      <c r="CY275" s="899" t="s">
        <v>582</v>
      </c>
      <c r="CZ275" s="899" t="s">
        <v>327</v>
      </c>
      <c r="DA275" s="899" t="s">
        <v>765</v>
      </c>
      <c r="DB275" s="899"/>
      <c r="DC275" s="899" cm="1">
        <f t="array" aca="1" ref="DC275" ca="1">_xlfn.IFNA(OFFSET($I$49,MATCH(CY275,$I$50:$I$63,0),MATCH(CZ275,TRANSPOSE($J$49:$W$49),0)),0)</f>
        <v>0</v>
      </c>
      <c r="DD275" s="899" cm="1">
        <f t="array" aca="1" ref="DD275" ca="1">_xlfn.IFNA(OFFSET($Y$49,MATCH($CZ275,$Y$50:$Y$63,0),MATCH($DA275,TRANSPOSE($Z$49:$AM$49),0)),0)</f>
        <v>0.34300000000000003</v>
      </c>
      <c r="DE275" s="899" cm="1">
        <f t="array" aca="1" ref="DE275" ca="1">_xlfn.IFNA(OFFSET($AO$49,MATCH($DA275,$AO$50:$AO$63,0),MATCH($DB275,TRANSPOSE($AP$49:$BC$49),0)),0)</f>
        <v>0</v>
      </c>
      <c r="DF275" s="881">
        <f t="shared" ca="1" si="199"/>
        <v>0</v>
      </c>
      <c r="DG275" s="910">
        <f t="shared" ca="1" si="200"/>
        <v>1.0029381384308471</v>
      </c>
      <c r="DH275" s="881">
        <f t="shared" ca="1" si="201"/>
        <v>0</v>
      </c>
      <c r="DI275" s="1461">
        <f t="shared" ca="1" si="197"/>
        <v>0</v>
      </c>
      <c r="DJ275" s="909">
        <f>_xlfn.IFNA(INDEX('Resource use and costs'!$CQ$11:$CQ$53,MATCH($CZ275,'Resource use and costs'!$BA$11:$BA$53,0)),0)*_xlfn.IFNA(INDEX(DY$10:DY$23,MATCH($CZ275,$DX$10:$DX$23,0)),0)</f>
        <v>19241.032205</v>
      </c>
      <c r="DK275" s="909">
        <f>IF(dd_PartSA_2_lines = "Yes",0,_xlfn.IFNA(INDEX('Resource use and costs'!$CR$11:$CR$53,MATCH(DA275,'Resource use and costs'!$BA$11:$BA$53,0)),0)*_xlfn.IFNA(INDEX(EA$10:EA$23,MATCH($DA275,$DX$10:$DX$23,0)),0))</f>
        <v>0</v>
      </c>
      <c r="DL275" s="909">
        <f>IF(dd_PartSA_2_lines = "Yes",0,_xlfn.IFNA(INDEX('Resource use and costs'!$CS$11:$CS$53,MATCH(DB275,'Resource use and costs'!$BA$11:$BA$53,0)),0)*_xlfn.IFNA(INDEX(EC$10:EC$23,MATCH($DB275,$DX$10:$DX$23,0)),0))</f>
        <v>0</v>
      </c>
      <c r="DM275" s="909">
        <f t="shared" si="203"/>
        <v>19241.032205</v>
      </c>
      <c r="DN275" s="909">
        <f>SUM(_xlfn.IFNA(INDEX('Resource use and costs'!$DU$12:$DU$25,MATCH(CZ275,'Resource use and costs'!$DS$12:$DS$25,0)),0),_xlfn.IFNA(INDEX('Resource use and costs'!$DU$12:$DU$25,MATCH(DA275,'Resource use and costs'!$DS$12:$DS$25,0)),0),_xlfn.IFNA(INDEX('Resource use and costs'!$DU$12:$DU$25,MATCH(DB275,'Resource use and costs'!$DS$12:$DS$25,0)),0))</f>
        <v>197.25</v>
      </c>
      <c r="DO275" s="921">
        <f>_xlfn.IFNA(INDEX('Resource use and costs'!$DY$12:$DY$25,MATCH(CZ275,'Resource use and costs'!$DS$12:$DS$25,0)),0)*_xlfn.IFNA(INDEX(DY$10:DY$23,MATCH($CZ275,$DX$10:$DX$23,0)),0)</f>
        <v>240.71806000000001</v>
      </c>
      <c r="DP275" s="921">
        <f>IF(dd_PartSA_2_lines = "Yes",0,_xlfn.IFNA(INDEX('Resource use and costs'!$DZ$12:$DZ$25,MATCH(DA275,'Resource use and costs'!$DS$12:$DS$25,0)),0)*_xlfn.IFNA(INDEX(EA$10:EA$23,MATCH($DA275,$DX$10:$DX$23,0)),0))</f>
        <v>0</v>
      </c>
      <c r="DQ275" s="921">
        <f>IF(dd_PartSA_2_lines = "Yes",0,_xlfn.IFNA(INDEX('Resource use and costs'!$EA$12:$EA$25,MATCH(DB275,'Resource use and costs'!$DS$12:$DS$25,0)),0)*_xlfn.IFNA(INDEX(EC$10:EC$23,MATCH($DB275,$DX$10:$DX$23,0)),0))</f>
        <v>0</v>
      </c>
      <c r="DR275" s="921">
        <f t="shared" si="204"/>
        <v>437.96806000000004</v>
      </c>
      <c r="DS275" s="1004">
        <f>SUMIFS('Safety parameters'!$DM$6:$DM$18,'Safety parameters'!$DK$6:$DK$18,CZ275,'Safety parameters'!$DL$6:$DL$18,1)+IF(dd_PartSA_2_lines = "Yes",0,SUMIFS('Safety parameters'!$DM$6:$DM$18,'Safety parameters'!$DK$6:$DK$18,DA275,'Safety parameters'!$DL$6:$DL$18,2)+SUMIFS('Safety parameters'!$DM$6:$DM$18,'Safety parameters'!$DK$6:$DK$18,DB275,'Safety parameters'!$DL$6:$DL$18,2))</f>
        <v>0</v>
      </c>
      <c r="DT275" s="910">
        <f>SUMIFS('Safety parameters'!$DO$6:$DO$18,'Safety parameters'!$DK$6:$DK$18,CZ275,'Safety parameters'!$DL$6:$DL$18,1)+IF(dd_PartSA_2_lines = "Yes",0,SUMIFS('Safety parameters'!$DO$6:$DO$18,'Safety parameters'!$DK$6:$DK$18,DA275,'Safety parameters'!$DL$6:$DL$18,2)+SUMIFS('Safety parameters'!$DO$6:$DO$18,'Safety parameters'!$DK$6:$DK$18,DB275,'Safety parameters'!$DL$6:$DL$18,2))</f>
        <v>0</v>
      </c>
    </row>
    <row r="276" spans="89:124" ht="15" x14ac:dyDescent="0.2">
      <c r="CK276" s="61" t="s">
        <v>31</v>
      </c>
      <c r="CL276" s="61">
        <v>3</v>
      </c>
      <c r="CM276" s="61" t="str">
        <v>cabozantinib_plus_nivolumab</v>
      </c>
      <c r="CN276" s="17">
        <v>1</v>
      </c>
      <c r="CO276" s="61" t="str" cm="1">
        <f t="array" ref="CO276">INDEX(List_comparators,CP275+1)</f>
        <v>nivolumab_plus_ipilimumab</v>
      </c>
      <c r="CP276" s="17">
        <v>2</v>
      </c>
      <c r="CQ276" s="601">
        <f t="shared" ca="1" si="193"/>
        <v>0</v>
      </c>
      <c r="CR276" s="601">
        <f t="shared" ca="1" si="194"/>
        <v>0</v>
      </c>
      <c r="CS276" s="671">
        <f t="shared" ca="1" si="205"/>
        <v>0</v>
      </c>
      <c r="CT276" s="671">
        <f t="shared" ca="1" si="196"/>
        <v>0</v>
      </c>
      <c r="CU276" s="1123">
        <f>MATCH(CZ276,'Resource use and costs'!$BA$11:$BA$53,0)</f>
        <v>40</v>
      </c>
      <c r="CV276" s="1223"/>
      <c r="CW276" s="1241">
        <f t="shared" si="202"/>
        <v>1</v>
      </c>
      <c r="CX276" s="899" t="s">
        <v>773</v>
      </c>
      <c r="CY276" s="899" t="s">
        <v>582</v>
      </c>
      <c r="CZ276" s="899" t="s">
        <v>327</v>
      </c>
      <c r="DA276" s="899" t="s">
        <v>118</v>
      </c>
      <c r="DB276" s="899" t="s">
        <v>765</v>
      </c>
      <c r="DC276" s="899" cm="1">
        <f t="array" aca="1" ref="DC276" ca="1">_xlfn.IFNA(OFFSET($I$49,MATCH(CY276,$I$50:$I$63,0),MATCH(CZ276,TRANSPOSE($J$49:$W$49),0)),0)</f>
        <v>0</v>
      </c>
      <c r="DD276" s="899">
        <f ca="1">1-DD275</f>
        <v>0.65700000000000003</v>
      </c>
      <c r="DE276" s="899" cm="1">
        <f t="array" aca="1" ref="DE276" ca="1">_xlfn.IFNA(OFFSET($AO$49,MATCH($DA276,$AO$50:$AO$63,0),MATCH($DB276,TRANSPOSE($AP$49:$BC$49),0)),0)</f>
        <v>0.43140000000000001</v>
      </c>
      <c r="DF276" s="881">
        <f t="shared" ca="1" si="199"/>
        <v>0</v>
      </c>
      <c r="DG276" s="910">
        <f t="shared" ca="1" si="200"/>
        <v>1.0029381384308471</v>
      </c>
      <c r="DH276" s="881">
        <f t="shared" ca="1" si="201"/>
        <v>0</v>
      </c>
      <c r="DI276" s="1461">
        <f t="shared" ca="1" si="197"/>
        <v>0</v>
      </c>
      <c r="DJ276" s="909">
        <f>_xlfn.IFNA(INDEX('Resource use and costs'!$CQ$11:$CQ$53,MATCH($CZ276,'Resource use and costs'!$BA$11:$BA$53,0)),0)*_xlfn.IFNA(INDEX(DY$10:DY$23,MATCH($CZ276,$DX$10:$DX$23,0)),0)</f>
        <v>19241.032205</v>
      </c>
      <c r="DK276" s="909">
        <f>IF(dd_PartSA_2_lines = "Yes",0,_xlfn.IFNA(INDEX('Resource use and costs'!$CR$11:$CR$53,MATCH(DA276,'Resource use and costs'!$BA$11:$BA$53,0)),0)*_xlfn.IFNA(INDEX(EA$10:EA$23,MATCH($DA276,$DX$10:$DX$23,0)),0))</f>
        <v>50308.075122000002</v>
      </c>
      <c r="DL276" s="909">
        <f>IF(dd_PartSA_2_lines = "Yes",0,_xlfn.IFNA(INDEX('Resource use and costs'!$CS$11:$CS$53,MATCH(DB276,'Resource use and costs'!$BA$11:$BA$53,0)),0)*_xlfn.IFNA(INDEX(EC$10:EC$23,MATCH($DB276,$DX$10:$DX$23,0)),0))</f>
        <v>0</v>
      </c>
      <c r="DM276" s="909">
        <f t="shared" si="203"/>
        <v>69549.107327000005</v>
      </c>
      <c r="DN276" s="909">
        <f>SUM(_xlfn.IFNA(INDEX('Resource use and costs'!$DU$12:$DU$25,MATCH(CZ276,'Resource use and costs'!$DS$12:$DS$25,0)),0),_xlfn.IFNA(INDEX('Resource use and costs'!$DU$12:$DU$25,MATCH(DA276,'Resource use and costs'!$DS$12:$DS$25,0)),0),_xlfn.IFNA(INDEX('Resource use and costs'!$DU$12:$DU$25,MATCH(DB276,'Resource use and costs'!$DS$12:$DS$25,0)),0))</f>
        <v>394.5</v>
      </c>
      <c r="DO276" s="921">
        <f>_xlfn.IFNA(INDEX('Resource use and costs'!$DY$12:$DY$25,MATCH(CZ276,'Resource use and costs'!$DS$12:$DS$25,0)),0)*_xlfn.IFNA(INDEX(DY$10:DY$23,MATCH($CZ276,$DX$10:$DX$23,0)),0)</f>
        <v>240.71806000000001</v>
      </c>
      <c r="DP276" s="921">
        <f>IF(dd_PartSA_2_lines = "Yes",0,_xlfn.IFNA(INDEX('Resource use and costs'!$DZ$12:$DZ$25,MATCH(DA276,'Resource use and costs'!$DS$12:$DS$25,0)),0)*_xlfn.IFNA(INDEX(EA$10:EA$23,MATCH($DA276,$DX$10:$DX$23,0)),0))</f>
        <v>461.1445457142857</v>
      </c>
      <c r="DQ276" s="921">
        <f>IF(dd_PartSA_2_lines = "Yes",0,_xlfn.IFNA(INDEX('Resource use and costs'!$EA$12:$EA$25,MATCH(DB276,'Resource use and costs'!$DS$12:$DS$25,0)),0)*_xlfn.IFNA(INDEX(EC$10:EC$23,MATCH($DB276,$DX$10:$DX$23,0)),0))</f>
        <v>0</v>
      </c>
      <c r="DR276" s="921">
        <f t="shared" si="204"/>
        <v>1096.3626057142858</v>
      </c>
      <c r="DS276" s="1004">
        <f ca="1">SUMIFS('Safety parameters'!$DM$6:$DM$18,'Safety parameters'!$DK$6:$DK$18,CZ276,'Safety parameters'!$DL$6:$DL$18,1)+IF(dd_PartSA_2_lines = "Yes",0,SUMIFS('Safety parameters'!$DM$6:$DM$18,'Safety parameters'!$DK$6:$DK$18,DA276,'Safety parameters'!$DL$6:$DL$18,2)+SUMIFS('Safety parameters'!$DM$6:$DM$18,'Safety parameters'!$DK$6:$DK$18,DB276,'Safety parameters'!$DL$6:$DL$18,2))</f>
        <v>743.64929980338343</v>
      </c>
      <c r="DT276" s="910">
        <f ca="1">SUMIFS('Safety parameters'!$DO$6:$DO$18,'Safety parameters'!$DK$6:$DK$18,CZ276,'Safety parameters'!$DL$6:$DL$18,1)+IF(dd_PartSA_2_lines = "Yes",0,SUMIFS('Safety parameters'!$DO$6:$DO$18,'Safety parameters'!$DK$6:$DK$18,DA276,'Safety parameters'!$DL$6:$DL$18,2)+SUMIFS('Safety parameters'!$DO$6:$DO$18,'Safety parameters'!$DK$6:$DK$18,DB276,'Safety parameters'!$DL$6:$DL$18,2))</f>
        <v>-7.0223263562359372E-3</v>
      </c>
    </row>
    <row r="277" spans="89:124" ht="15" x14ac:dyDescent="0.2">
      <c r="CK277" s="61" t="s">
        <v>31</v>
      </c>
      <c r="CL277" s="61">
        <v>3</v>
      </c>
      <c r="CM277" s="61" t="str">
        <v>nivolumab_plus_ipilimumab</v>
      </c>
      <c r="CN277" s="17">
        <v>2</v>
      </c>
      <c r="CO277" s="61" t="str" cm="1">
        <f t="array" ref="CO277">INDEX(List_comparators,CP276+1)</f>
        <v>nivolumab_plus_ipilimumab</v>
      </c>
      <c r="CP277" s="17">
        <v>2</v>
      </c>
      <c r="CQ277" s="601">
        <f t="shared" ca="1" si="193"/>
        <v>0</v>
      </c>
      <c r="CR277" s="601">
        <f t="shared" ca="1" si="194"/>
        <v>0</v>
      </c>
      <c r="CS277" s="671">
        <f t="shared" ca="1" si="205"/>
        <v>0</v>
      </c>
      <c r="CT277" s="671">
        <f t="shared" ca="1" si="196"/>
        <v>0</v>
      </c>
      <c r="CU277" s="1123">
        <f>MATCH(CZ277,'Resource use and costs'!$BA$11:$BA$53,0)</f>
        <v>40</v>
      </c>
      <c r="CV277" s="1223"/>
      <c r="CW277" s="1241">
        <f t="shared" si="202"/>
        <v>1</v>
      </c>
      <c r="CX277" s="899" t="s">
        <v>773</v>
      </c>
      <c r="CY277" s="899" t="s">
        <v>582</v>
      </c>
      <c r="CZ277" s="899" t="s">
        <v>327</v>
      </c>
      <c r="DA277" s="899" t="s">
        <v>118</v>
      </c>
      <c r="DB277" s="899" t="s">
        <v>119</v>
      </c>
      <c r="DC277" s="899" cm="1">
        <f t="array" aca="1" ref="DC277" ca="1">_xlfn.IFNA(OFFSET($I$49,MATCH(CY277,$I$50:$I$63,0),MATCH(CZ277,TRANSPOSE($J$49:$W$49),0)),0)</f>
        <v>0</v>
      </c>
      <c r="DD277" s="899">
        <f ca="1">DD276</f>
        <v>0.65700000000000003</v>
      </c>
      <c r="DE277" s="899">
        <f ca="1">1-DE276</f>
        <v>0.56859999999999999</v>
      </c>
      <c r="DF277" s="881">
        <f t="shared" ca="1" si="199"/>
        <v>0</v>
      </c>
      <c r="DG277" s="910">
        <f t="shared" ca="1" si="200"/>
        <v>1.0029381384308471</v>
      </c>
      <c r="DH277" s="881">
        <f t="shared" ca="1" si="201"/>
        <v>0</v>
      </c>
      <c r="DI277" s="1461">
        <f t="shared" ca="1" si="197"/>
        <v>0</v>
      </c>
      <c r="DJ277" s="909">
        <f>_xlfn.IFNA(INDEX('Resource use and costs'!$CQ$11:$CQ$53,MATCH($CZ277,'Resource use and costs'!$BA$11:$BA$53,0)),0)*_xlfn.IFNA(INDEX(DY$10:DY$23,MATCH($CZ277,$DX$10:$DX$23,0)),0)</f>
        <v>19241.032205</v>
      </c>
      <c r="DK277" s="909">
        <f>IF(dd_PartSA_2_lines = "Yes",0,_xlfn.IFNA(INDEX('Resource use and costs'!$CR$11:$CR$53,MATCH(DA277,'Resource use and costs'!$BA$11:$BA$53,0)),0)*_xlfn.IFNA(INDEX(EA$10:EA$23,MATCH($DA277,$DX$10:$DX$23,0)),0))</f>
        <v>50308.075122000002</v>
      </c>
      <c r="DL277" s="909">
        <f>IF(dd_PartSA_2_lines = "Yes",0,_xlfn.IFNA(INDEX('Resource use and costs'!$CS$11:$CS$53,MATCH(DB277,'Resource use and costs'!$BA$11:$BA$53,0)),0)*_xlfn.IFNA(INDEX(EC$10:EC$23,MATCH($DB277,$DX$10:$DX$23,0)),0))</f>
        <v>2915.4763433333328</v>
      </c>
      <c r="DM277" s="909">
        <f t="shared" si="203"/>
        <v>72464.583670333333</v>
      </c>
      <c r="DN277" s="909">
        <f>SUM(_xlfn.IFNA(INDEX('Resource use and costs'!$DU$12:$DU$25,MATCH(CZ277,'Resource use and costs'!$DS$12:$DS$25,0)),0),_xlfn.IFNA(INDEX('Resource use and costs'!$DU$12:$DU$25,MATCH(DA277,'Resource use and costs'!$DS$12:$DS$25,0)),0),_xlfn.IFNA(INDEX('Resource use and costs'!$DU$12:$DU$25,MATCH(DB277,'Resource use and costs'!$DS$12:$DS$25,0)),0))</f>
        <v>591.75</v>
      </c>
      <c r="DO277" s="921">
        <f>_xlfn.IFNA(INDEX('Resource use and costs'!$DY$12:$DY$25,MATCH(CZ277,'Resource use and costs'!$DS$12:$DS$25,0)),0)*_xlfn.IFNA(INDEX(DY$10:DY$23,MATCH($CZ277,$DX$10:$DX$23,0)),0)</f>
        <v>240.71806000000001</v>
      </c>
      <c r="DP277" s="921">
        <f>IF(dd_PartSA_2_lines = "Yes",0,_xlfn.IFNA(INDEX('Resource use and costs'!$DZ$12:$DZ$25,MATCH(DA277,'Resource use and costs'!$DS$12:$DS$25,0)),0)*_xlfn.IFNA(INDEX(EA$10:EA$23,MATCH($DA277,$DX$10:$DX$23,0)),0))</f>
        <v>461.1445457142857</v>
      </c>
      <c r="DQ277" s="921">
        <f>IF(dd_PartSA_2_lines = "Yes",0,_xlfn.IFNA(INDEX('Resource use and costs'!$EA$12:$EA$25,MATCH(DB277,'Resource use and costs'!$DS$12:$DS$25,0)),0)*_xlfn.IFNA(INDEX(EC$10:EC$23,MATCH($DB277,$DX$10:$DX$23,0)),0))</f>
        <v>256.11457142857142</v>
      </c>
      <c r="DR277" s="921">
        <f t="shared" si="204"/>
        <v>1549.7271771428573</v>
      </c>
      <c r="DS277" s="1004">
        <f ca="1">SUMIFS('Safety parameters'!$DM$6:$DM$18,'Safety parameters'!$DK$6:$DK$18,CZ277,'Safety parameters'!$DL$6:$DL$18,1)+IF(dd_PartSA_2_lines = "Yes",0,SUMIFS('Safety parameters'!$DM$6:$DM$18,'Safety parameters'!$DK$6:$DK$18,DA277,'Safety parameters'!$DL$6:$DL$18,2)+SUMIFS('Safety parameters'!$DM$6:$DM$18,'Safety parameters'!$DK$6:$DK$18,DB277,'Safety parameters'!$DL$6:$DL$18,2))</f>
        <v>1076.5246831786983</v>
      </c>
      <c r="DT277" s="910">
        <f ca="1">SUMIFS('Safety parameters'!$DO$6:$DO$18,'Safety parameters'!$DK$6:$DK$18,CZ277,'Safety parameters'!$DL$6:$DL$18,1)+IF(dd_PartSA_2_lines = "Yes",0,SUMIFS('Safety parameters'!$DO$6:$DO$18,'Safety parameters'!$DK$6:$DK$18,DA277,'Safety parameters'!$DL$6:$DL$18,2)+SUMIFS('Safety parameters'!$DO$6:$DO$18,'Safety parameters'!$DK$6:$DK$18,DB277,'Safety parameters'!$DL$6:$DL$18,2))</f>
        <v>-9.689899892873657E-3</v>
      </c>
    </row>
    <row r="278" spans="89:124" ht="15" x14ac:dyDescent="0.2">
      <c r="CK278" s="61" t="s">
        <v>31</v>
      </c>
      <c r="CL278" s="61">
        <v>3</v>
      </c>
      <c r="CM278" s="61" t="str">
        <v>lenvatinib_plus_pembrolizumab</v>
      </c>
      <c r="CN278" s="17">
        <v>3</v>
      </c>
      <c r="CO278" s="61" t="str" cm="1">
        <f t="array" ref="CO278">INDEX(List_comparators,CP277+1)</f>
        <v>nivolumab_plus_ipilimumab</v>
      </c>
      <c r="CP278" s="17">
        <v>2</v>
      </c>
      <c r="CQ278" s="601">
        <f t="shared" ca="1" si="193"/>
        <v>0</v>
      </c>
      <c r="CR278" s="601">
        <f t="shared" ca="1" si="194"/>
        <v>0</v>
      </c>
      <c r="CS278" s="671">
        <f t="shared" ca="1" si="205"/>
        <v>0</v>
      </c>
      <c r="CT278" s="671">
        <f t="shared" ca="1" si="196"/>
        <v>0</v>
      </c>
      <c r="CU278" s="1123">
        <f>MATCH(CZ278,'Resource use and costs'!$BA$11:$BA$53,0)</f>
        <v>40</v>
      </c>
      <c r="CV278" s="1223"/>
      <c r="CW278" s="1241">
        <f t="shared" si="202"/>
        <v>1</v>
      </c>
      <c r="CX278" s="899" t="s">
        <v>773</v>
      </c>
      <c r="CY278" s="899" t="s">
        <v>582</v>
      </c>
      <c r="CZ278" s="899" t="s">
        <v>327</v>
      </c>
      <c r="DA278" s="899" t="s">
        <v>119</v>
      </c>
      <c r="DB278" s="899" t="s">
        <v>765</v>
      </c>
      <c r="DC278" s="899" cm="1">
        <f t="array" aca="1" ref="DC278" ca="1">_xlfn.IFNA(OFFSET($I$49,MATCH(CY278,$I$50:$I$63,0),MATCH(CZ278,TRANSPOSE($J$49:$W$49),0)),0)</f>
        <v>0</v>
      </c>
      <c r="DD278" s="899" cm="1">
        <f t="array" aca="1" ref="DD278" ca="1">_xlfn.IFNA(OFFSET($Y$49,MATCH($CZ278,$Y$50:$Y$63,0),MATCH($DA278,TRANSPOSE($Z$49:$AM$49),0)),0)</f>
        <v>0</v>
      </c>
      <c r="DE278" s="899" cm="1">
        <f t="array" aca="1" ref="DE278" ca="1">_xlfn.IFNA(OFFSET($AO$49,MATCH($DA278,$AO$50:$AO$63,0),MATCH($DB278,TRANSPOSE($AP$49:$BC$49),0)),0)</f>
        <v>1</v>
      </c>
      <c r="DF278" s="881">
        <f t="shared" ca="1" si="199"/>
        <v>0</v>
      </c>
      <c r="DG278" s="910">
        <f t="shared" ca="1" si="200"/>
        <v>1.0029381384308471</v>
      </c>
      <c r="DH278" s="881">
        <f t="shared" ca="1" si="201"/>
        <v>0</v>
      </c>
      <c r="DI278" s="1461">
        <f t="shared" ca="1" si="197"/>
        <v>0</v>
      </c>
      <c r="DJ278" s="909">
        <f>_xlfn.IFNA(INDEX('Resource use and costs'!$CQ$11:$CQ$53,MATCH($CZ278,'Resource use and costs'!$BA$11:$BA$53,0)),0)*_xlfn.IFNA(INDEX(DY$10:DY$23,MATCH($CZ278,$DX$10:$DX$23,0)),0)</f>
        <v>19241.032205</v>
      </c>
      <c r="DK278" s="909">
        <f>IF(dd_PartSA_2_lines = "Yes",0,_xlfn.IFNA(INDEX('Resource use and costs'!$CR$11:$CR$53,MATCH(DA278,'Resource use and costs'!$BA$11:$BA$53,0)),0)*_xlfn.IFNA(INDEX(EA$10:EA$23,MATCH($DA278,$DX$10:$DX$23,0)),0))</f>
        <v>848.17532499999982</v>
      </c>
      <c r="DL278" s="909">
        <f>IF(dd_PartSA_2_lines = "Yes",0,_xlfn.IFNA(INDEX('Resource use and costs'!$CS$11:$CS$53,MATCH(DB278,'Resource use and costs'!$BA$11:$BA$53,0)),0)*_xlfn.IFNA(INDEX(EC$10:EC$23,MATCH($DB278,$DX$10:$DX$23,0)),0))</f>
        <v>0</v>
      </c>
      <c r="DM278" s="909">
        <f t="shared" si="203"/>
        <v>20089.20753</v>
      </c>
      <c r="DN278" s="909">
        <f>SUM(_xlfn.IFNA(INDEX('Resource use and costs'!$DU$12:$DU$25,MATCH(CZ278,'Resource use and costs'!$DS$12:$DS$25,0)),0),_xlfn.IFNA(INDEX('Resource use and costs'!$DU$12:$DU$25,MATCH(DA278,'Resource use and costs'!$DS$12:$DS$25,0)),0),_xlfn.IFNA(INDEX('Resource use and costs'!$DU$12:$DU$25,MATCH(DB278,'Resource use and costs'!$DS$12:$DS$25,0)),0))</f>
        <v>394.5</v>
      </c>
      <c r="DO278" s="921">
        <f>_xlfn.IFNA(INDEX('Resource use and costs'!$DY$12:$DY$25,MATCH(CZ278,'Resource use and costs'!$DS$12:$DS$25,0)),0)*_xlfn.IFNA(INDEX(DY$10:DY$23,MATCH($CZ278,$DX$10:$DX$23,0)),0)</f>
        <v>240.71806000000001</v>
      </c>
      <c r="DP278" s="921">
        <f>IF(dd_PartSA_2_lines = "Yes",0,_xlfn.IFNA(INDEX('Resource use and costs'!$DZ$12:$DZ$25,MATCH(DA278,'Resource use and costs'!$DS$12:$DS$25,0)),0)*_xlfn.IFNA(INDEX(EA$10:EA$23,MATCH($DA278,$DX$10:$DX$23,0)),0))</f>
        <v>74.50928571428571</v>
      </c>
      <c r="DQ278" s="921">
        <f>IF(dd_PartSA_2_lines = "Yes",0,_xlfn.IFNA(INDEX('Resource use and costs'!$EA$12:$EA$25,MATCH(DB278,'Resource use and costs'!$DS$12:$DS$25,0)),0)*_xlfn.IFNA(INDEX(EC$10:EC$23,MATCH($DB278,$DX$10:$DX$23,0)),0))</f>
        <v>0</v>
      </c>
      <c r="DR278" s="921">
        <f t="shared" si="204"/>
        <v>709.72734571428578</v>
      </c>
      <c r="DS278" s="1004">
        <f ca="1">SUMIFS('Safety parameters'!$DM$6:$DM$18,'Safety parameters'!$DK$6:$DK$18,CZ278,'Safety parameters'!$DL$6:$DL$18,1)+IF(dd_PartSA_2_lines = "Yes",0,SUMIFS('Safety parameters'!$DM$6:$DM$18,'Safety parameters'!$DK$6:$DK$18,DA278,'Safety parameters'!$DL$6:$DL$18,2)+SUMIFS('Safety parameters'!$DM$6:$DM$18,'Safety parameters'!$DK$6:$DK$18,DB278,'Safety parameters'!$DL$6:$DL$18,2))</f>
        <v>332.87538337531487</v>
      </c>
      <c r="DT278" s="910">
        <f ca="1">SUMIFS('Safety parameters'!$DO$6:$DO$18,'Safety parameters'!$DK$6:$DK$18,CZ278,'Safety parameters'!$DL$6:$DL$18,1)+IF(dd_PartSA_2_lines = "Yes",0,SUMIFS('Safety parameters'!$DO$6:$DO$18,'Safety parameters'!$DK$6:$DK$18,DA278,'Safety parameters'!$DL$6:$DL$18,2)+SUMIFS('Safety parameters'!$DO$6:$DO$18,'Safety parameters'!$DK$6:$DK$18,DB278,'Safety parameters'!$DL$6:$DL$18,2))</f>
        <v>-2.6675735366377194E-3</v>
      </c>
    </row>
    <row r="279" spans="89:124" ht="15" x14ac:dyDescent="0.2">
      <c r="CK279" s="61" t="s">
        <v>31</v>
      </c>
      <c r="CL279" s="61">
        <v>3</v>
      </c>
      <c r="CM279" s="61" t="str">
        <v>avelumab_plus_axitinib</v>
      </c>
      <c r="CN279" s="17">
        <v>4</v>
      </c>
      <c r="CO279" s="61" t="str" cm="1">
        <f t="array" ref="CO279">INDEX(List_comparators,CP278+1)</f>
        <v>nivolumab_plus_ipilimumab</v>
      </c>
      <c r="CP279" s="17">
        <v>2</v>
      </c>
      <c r="CQ279" s="601">
        <f t="shared" ref="CQ279:CQ310" ca="1" si="206">OFFSET($Z$50,IF(CN279=999,13,CN279),CP279)</f>
        <v>0</v>
      </c>
      <c r="CR279" s="601">
        <f t="shared" ref="CR279:CR310" ca="1" si="207">OFFSET($Z$65,IF(CN279=999,13,CN279),CP279)</f>
        <v>0</v>
      </c>
      <c r="CS279" s="671">
        <f t="shared" ca="1" si="205"/>
        <v>0</v>
      </c>
      <c r="CT279" s="671">
        <f t="shared" ref="CT279:CT310" ca="1" si="208">OFFSET($Z$97,IF(CN279=999,13,CN279),CP279)</f>
        <v>0</v>
      </c>
      <c r="CU279" s="1123" t="e">
        <f>MATCH(CZ279,'Resource use and costs'!$BA$11:$BA$53,0)</f>
        <v>#N/A</v>
      </c>
      <c r="CV279" s="1223"/>
      <c r="CW279" s="1241">
        <f t="shared" si="202"/>
        <v>0</v>
      </c>
      <c r="CX279" s="899" t="s">
        <v>773</v>
      </c>
      <c r="CY279" s="899" t="s">
        <v>582</v>
      </c>
      <c r="CZ279" s="899" t="s">
        <v>765</v>
      </c>
      <c r="DA279" s="899"/>
      <c r="DB279" s="899"/>
      <c r="DC279" s="899" cm="1">
        <f t="array" aca="1" ref="DC279" ca="1">_xlfn.IFNA(OFFSET($I$49,MATCH(CY279,$I$50:$I$63,0),MATCH(CZ279,TRANSPOSE($J$49:$W$49),0)),0)</f>
        <v>0.38145600000000002</v>
      </c>
      <c r="DD279" s="899" cm="1">
        <f t="array" aca="1" ref="DD279" ca="1">_xlfn.IFNA(OFFSET($Y$49,MATCH($CZ279,$Y$50:$Y$63,0),MATCH($DA279,TRANSPOSE($Z$49:$AM$49),0)),0)</f>
        <v>0</v>
      </c>
      <c r="DE279" s="899" cm="1">
        <f t="array" aca="1" ref="DE279" ca="1">_xlfn.IFNA(OFFSET($AO$49,MATCH($DA279,$AO$50:$AO$63,0),MATCH($DB279,TRANSPOSE($AP$49:$BC$49),0)),0)</f>
        <v>0</v>
      </c>
      <c r="DF279" s="881">
        <f t="shared" ca="1" si="199"/>
        <v>0.38145600000000002</v>
      </c>
      <c r="DG279" s="910">
        <f t="shared" ca="1" si="200"/>
        <v>1.0029381384308471</v>
      </c>
      <c r="DH279" s="881">
        <f t="shared" ca="1" si="201"/>
        <v>0.38145600000000002</v>
      </c>
      <c r="DI279" s="1461">
        <f t="shared" ca="1" si="197"/>
        <v>64.084608000000003</v>
      </c>
      <c r="DJ279" s="909">
        <f>_xlfn.IFNA(INDEX('Resource use and costs'!$CQ$11:$CQ$53,MATCH($CZ279,'Resource use and costs'!$BA$11:$BA$53,0)),0)*_xlfn.IFNA(INDEX(DY$10:DY$23,MATCH($CZ279,$DX$10:$DX$23,0)),0)</f>
        <v>0</v>
      </c>
      <c r="DK279" s="909">
        <f>IF(dd_PartSA_2_lines = "Yes",0,_xlfn.IFNA(INDEX('Resource use and costs'!$CR$11:$CR$53,MATCH(DA279,'Resource use and costs'!$BA$11:$BA$53,0)),0)*_xlfn.IFNA(INDEX(EA$10:EA$23,MATCH($DA279,$DX$10:$DX$23,0)),0))</f>
        <v>0</v>
      </c>
      <c r="DL279" s="909">
        <f>IF(dd_PartSA_2_lines = "Yes",0,_xlfn.IFNA(INDEX('Resource use and costs'!$CS$11:$CS$53,MATCH(DB279,'Resource use and costs'!$BA$11:$BA$53,0)),0)*_xlfn.IFNA(INDEX(EC$10:EC$23,MATCH($DB279,$DX$10:$DX$23,0)),0))</f>
        <v>0</v>
      </c>
      <c r="DM279" s="909">
        <f t="shared" si="203"/>
        <v>0</v>
      </c>
      <c r="DN279" s="909">
        <f>SUM(_xlfn.IFNA(INDEX('Resource use and costs'!$DU$12:$DU$25,MATCH(CZ279,'Resource use and costs'!$DS$12:$DS$25,0)),0),_xlfn.IFNA(INDEX('Resource use and costs'!$DU$12:$DU$25,MATCH(DA279,'Resource use and costs'!$DS$12:$DS$25,0)),0),_xlfn.IFNA(INDEX('Resource use and costs'!$DU$12:$DU$25,MATCH(DB279,'Resource use and costs'!$DS$12:$DS$25,0)),0))</f>
        <v>0</v>
      </c>
      <c r="DO279" s="921">
        <f>_xlfn.IFNA(INDEX('Resource use and costs'!$DY$12:$DY$25,MATCH(CZ279,'Resource use and costs'!$DS$12:$DS$25,0)),0)*_xlfn.IFNA(INDEX(DY$10:DY$23,MATCH($CZ279,$DX$10:$DX$23,0)),0)</f>
        <v>0</v>
      </c>
      <c r="DP279" s="921">
        <f>IF(dd_PartSA_2_lines = "Yes",0,_xlfn.IFNA(INDEX('Resource use and costs'!$DZ$12:$DZ$25,MATCH(DA279,'Resource use and costs'!$DS$12:$DS$25,0)),0)*_xlfn.IFNA(INDEX(EA$10:EA$23,MATCH($DA279,$DX$10:$DX$23,0)),0))</f>
        <v>0</v>
      </c>
      <c r="DQ279" s="921">
        <f>IF(dd_PartSA_2_lines = "Yes",0,_xlfn.IFNA(INDEX('Resource use and costs'!$EA$12:$EA$25,MATCH(DB279,'Resource use and costs'!$DS$12:$DS$25,0)),0)*_xlfn.IFNA(INDEX(EC$10:EC$23,MATCH($DB279,$DX$10:$DX$23,0)),0))</f>
        <v>0</v>
      </c>
      <c r="DR279" s="921">
        <f t="shared" si="204"/>
        <v>0</v>
      </c>
      <c r="DS279" s="1004">
        <f>SUMIFS('Safety parameters'!$DM$6:$DM$18,'Safety parameters'!$DK$6:$DK$18,CZ279,'Safety parameters'!$DL$6:$DL$18,1)+IF(dd_PartSA_2_lines = "Yes",0,SUMIFS('Safety parameters'!$DM$6:$DM$18,'Safety parameters'!$DK$6:$DK$18,DA279,'Safety parameters'!$DL$6:$DL$18,2)+SUMIFS('Safety parameters'!$DM$6:$DM$18,'Safety parameters'!$DK$6:$DK$18,DB279,'Safety parameters'!$DL$6:$DL$18,2))</f>
        <v>0</v>
      </c>
      <c r="DT279" s="910">
        <f>SUMIFS('Safety parameters'!$DO$6:$DO$18,'Safety parameters'!$DK$6:$DK$18,CZ279,'Safety parameters'!$DL$6:$DL$18,1)+IF(dd_PartSA_2_lines = "Yes",0,SUMIFS('Safety parameters'!$DO$6:$DO$18,'Safety parameters'!$DK$6:$DK$18,DA279,'Safety parameters'!$DL$6:$DL$18,2)+SUMIFS('Safety parameters'!$DO$6:$DO$18,'Safety parameters'!$DK$6:$DK$18,DB279,'Safety parameters'!$DL$6:$DL$18,2))</f>
        <v>0</v>
      </c>
    </row>
    <row r="280" spans="89:124" ht="15" x14ac:dyDescent="0.2">
      <c r="CK280" s="61" t="s">
        <v>31</v>
      </c>
      <c r="CL280" s="61">
        <v>3</v>
      </c>
      <c r="CM280" s="61" t="str">
        <v>pazopanib</v>
      </c>
      <c r="CN280" s="17">
        <v>5</v>
      </c>
      <c r="CO280" s="61" t="str" cm="1">
        <f t="array" ref="CO280">INDEX(List_comparators,CP279+1)</f>
        <v>nivolumab_plus_ipilimumab</v>
      </c>
      <c r="CP280" s="17">
        <v>2</v>
      </c>
      <c r="CQ280" s="601">
        <f t="shared" ca="1" si="206"/>
        <v>0</v>
      </c>
      <c r="CR280" s="601">
        <f t="shared" ca="1" si="207"/>
        <v>0</v>
      </c>
      <c r="CS280" s="671">
        <f t="shared" ca="1" si="205"/>
        <v>0</v>
      </c>
      <c r="CT280" s="671">
        <f t="shared" ca="1" si="208"/>
        <v>0</v>
      </c>
      <c r="CU280" s="1123">
        <f>MATCH(CZ280,'Resource use and costs'!$BA$11:$BA$53,0)</f>
        <v>30</v>
      </c>
      <c r="CV280" s="1223"/>
      <c r="CW280" s="1241">
        <f t="shared" si="202"/>
        <v>1</v>
      </c>
      <c r="CX280" s="899" t="s">
        <v>773</v>
      </c>
      <c r="CY280" s="899" t="s">
        <v>582</v>
      </c>
      <c r="CZ280" s="899" t="s">
        <v>118</v>
      </c>
      <c r="DA280" s="899" t="s">
        <v>327</v>
      </c>
      <c r="DB280" s="899" t="s">
        <v>765</v>
      </c>
      <c r="DC280" s="899" cm="1">
        <f t="array" aca="1" ref="DC280" ca="1">_xlfn.IFNA(OFFSET($I$49,MATCH(CY280,$I$50:$I$63,0),MATCH(CZ280,TRANSPOSE($J$49:$W$49),0)),0)</f>
        <v>0.54387087099248355</v>
      </c>
      <c r="DD280" s="899">
        <f ca="1">1-DD282-DD283</f>
        <v>0.59130000000000005</v>
      </c>
      <c r="DE280" s="899" cm="1">
        <f t="array" aca="1" ref="DE280" ca="1">_xlfn.IFNA(OFFSET($AO$49,MATCH($DA280,$AO$50:$AO$63,0),MATCH($DB280,TRANSPOSE($AP$49:$BC$49),0)),0)</f>
        <v>0.43140000000000001</v>
      </c>
      <c r="DF280" s="881">
        <f t="shared" ca="1" si="199"/>
        <v>0.13873429097210288</v>
      </c>
      <c r="DG280" s="910">
        <f t="shared" ca="1" si="200"/>
        <v>1.0029381384308471</v>
      </c>
      <c r="DH280" s="881">
        <f t="shared" ca="1" si="201"/>
        <v>0.13914191152408434</v>
      </c>
      <c r="DI280" s="1461">
        <f t="shared" ca="1" si="197"/>
        <v>23.375841136046169</v>
      </c>
      <c r="DJ280" s="909">
        <f>_xlfn.IFNA(INDEX('Resource use and costs'!$CQ$11:$CQ$53,MATCH($CZ280,'Resource use and costs'!$BA$11:$BA$53,0)),0)*_xlfn.IFNA(INDEX(DY$10:DY$23,MATCH($CZ280,$DX$10:$DX$23,0)),0)</f>
        <v>45284.183573333321</v>
      </c>
      <c r="DK280" s="909">
        <f>IF(dd_PartSA_2_lines = "Yes",0,_xlfn.IFNA(INDEX('Resource use and costs'!$CR$11:$CR$53,MATCH(DA280,'Resource use and costs'!$BA$11:$BA$53,0)),0)*_xlfn.IFNA(INDEX(EA$10:EA$23,MATCH($DA280,$DX$10:$DX$23,0)),0))</f>
        <v>21421.066008214286</v>
      </c>
      <c r="DL280" s="909">
        <f>IF(dd_PartSA_2_lines = "Yes",0,_xlfn.IFNA(INDEX('Resource use and costs'!$CS$11:$CS$53,MATCH(DB280,'Resource use and costs'!$BA$11:$BA$53,0)),0)*_xlfn.IFNA(INDEX(EC$10:EC$23,MATCH($DB280,$DX$10:$DX$23,0)),0))</f>
        <v>0</v>
      </c>
      <c r="DM280" s="909">
        <f t="shared" si="203"/>
        <v>66705.2495815476</v>
      </c>
      <c r="DN280" s="909">
        <f>SUM(_xlfn.IFNA(INDEX('Resource use and costs'!$DU$12:$DU$25,MATCH(CZ280,'Resource use and costs'!$DS$12:$DS$25,0)),0),_xlfn.IFNA(INDEX('Resource use and costs'!$DU$12:$DU$25,MATCH(DA280,'Resource use and costs'!$DS$12:$DS$25,0)),0),_xlfn.IFNA(INDEX('Resource use and costs'!$DU$12:$DU$25,MATCH(DB280,'Resource use and costs'!$DS$12:$DS$25,0)),0))</f>
        <v>394.5</v>
      </c>
      <c r="DO280" s="921">
        <f>_xlfn.IFNA(INDEX('Resource use and costs'!$DY$12:$DY$25,MATCH(CZ280,'Resource use and costs'!$DS$12:$DS$25,0)),0)*_xlfn.IFNA(INDEX(DY$10:DY$23,MATCH($CZ280,$DX$10:$DX$23,0)),0)</f>
        <v>415.09348571428563</v>
      </c>
      <c r="DP280" s="921">
        <f>IF(dd_PartSA_2_lines = "Yes",0,_xlfn.IFNA(INDEX('Resource use and costs'!$DZ$12:$DZ$25,MATCH(DA280,'Resource use and costs'!$DS$12:$DS$25,0)),0)*_xlfn.IFNA(INDEX(EA$10:EA$23,MATCH($DA280,$DX$10:$DX$23,0)),0))</f>
        <v>267.99172714285714</v>
      </c>
      <c r="DQ280" s="921">
        <f>IF(dd_PartSA_2_lines = "Yes",0,_xlfn.IFNA(INDEX('Resource use and costs'!$EA$12:$EA$25,MATCH(DB280,'Resource use and costs'!$DS$12:$DS$25,0)),0)*_xlfn.IFNA(INDEX(EC$10:EC$23,MATCH($DB280,$DX$10:$DX$23,0)),0))</f>
        <v>0</v>
      </c>
      <c r="DR280" s="921">
        <f t="shared" si="204"/>
        <v>1077.5852128571428</v>
      </c>
      <c r="DS280" s="1004">
        <f ca="1">SUMIFS('Safety parameters'!$DM$6:$DM$18,'Safety parameters'!$DK$6:$DK$18,CZ280,'Safety parameters'!$DL$6:$DL$18,1)+IF(dd_PartSA_2_lines = "Yes",0,SUMIFS('Safety parameters'!$DM$6:$DM$18,'Safety parameters'!$DK$6:$DK$18,DA280,'Safety parameters'!$DL$6:$DL$18,2)+SUMIFS('Safety parameters'!$DM$6:$DM$18,'Safety parameters'!$DK$6:$DK$18,DB280,'Safety parameters'!$DL$6:$DL$18,2))</f>
        <v>2366.0578362496171</v>
      </c>
      <c r="DT280" s="910">
        <f ca="1">SUMIFS('Safety parameters'!$DO$6:$DO$18,'Safety parameters'!$DK$6:$DK$18,CZ280,'Safety parameters'!$DL$6:$DL$18,1)+IF(dd_PartSA_2_lines = "Yes",0,SUMIFS('Safety parameters'!$DO$6:$DO$18,'Safety parameters'!$DK$6:$DK$18,DA280,'Safety parameters'!$DL$6:$DL$18,2)+SUMIFS('Safety parameters'!$DO$6:$DO$18,'Safety parameters'!$DK$6:$DK$18,DB280,'Safety parameters'!$DL$6:$DL$18,2))</f>
        <v>-2.125891351595622E-2</v>
      </c>
    </row>
    <row r="281" spans="89:124" ht="15" x14ac:dyDescent="0.2">
      <c r="CK281" s="61" t="s">
        <v>31</v>
      </c>
      <c r="CL281" s="61">
        <v>3</v>
      </c>
      <c r="CM281" s="61" t="str">
        <v>tivozanib</v>
      </c>
      <c r="CN281" s="17">
        <v>6</v>
      </c>
      <c r="CO281" s="61" t="str" cm="1">
        <f t="array" ref="CO281">INDEX(List_comparators,CP280+1)</f>
        <v>nivolumab_plus_ipilimumab</v>
      </c>
      <c r="CP281" s="17">
        <v>2</v>
      </c>
      <c r="CQ281" s="601">
        <f t="shared" ca="1" si="206"/>
        <v>0</v>
      </c>
      <c r="CR281" s="601">
        <f t="shared" ca="1" si="207"/>
        <v>0</v>
      </c>
      <c r="CS281" s="671">
        <f t="shared" ca="1" si="205"/>
        <v>0</v>
      </c>
      <c r="CT281" s="671">
        <f t="shared" ca="1" si="208"/>
        <v>0</v>
      </c>
      <c r="CU281" s="1123">
        <f>MATCH(CZ281,'Resource use and costs'!$BA$11:$BA$53,0)</f>
        <v>30</v>
      </c>
      <c r="CV281" s="1223"/>
      <c r="CW281" s="1241">
        <f t="shared" si="202"/>
        <v>1</v>
      </c>
      <c r="CX281" s="899" t="s">
        <v>773</v>
      </c>
      <c r="CY281" s="899" t="s">
        <v>582</v>
      </c>
      <c r="CZ281" s="899" t="s">
        <v>118</v>
      </c>
      <c r="DA281" s="899" t="s">
        <v>327</v>
      </c>
      <c r="DB281" s="899" t="s">
        <v>119</v>
      </c>
      <c r="DC281" s="899" cm="1">
        <f t="array" aca="1" ref="DC281" ca="1">_xlfn.IFNA(OFFSET($I$49,MATCH(CY281,$I$50:$I$63,0),MATCH(CZ281,TRANSPOSE($J$49:$W$49),0)),0)</f>
        <v>0.54387087099248355</v>
      </c>
      <c r="DD281" s="899">
        <f ca="1">DD280</f>
        <v>0.59130000000000005</v>
      </c>
      <c r="DE281" s="899" cm="1">
        <f t="array" aca="1" ref="DE281" ca="1">_xlfn.IFNA(OFFSET($AO$49,MATCH($DA281,$AO$50:$AO$63,0),MATCH($DB281,TRANSPOSE($AP$49:$BC$49),0)),0)</f>
        <v>0.56859999999999999</v>
      </c>
      <c r="DF281" s="881">
        <f t="shared" ca="1" si="199"/>
        <v>0.18285655504575266</v>
      </c>
      <c r="DG281" s="910">
        <f t="shared" ca="1" si="200"/>
        <v>1.0029381384308471</v>
      </c>
      <c r="DH281" s="881">
        <f t="shared" ca="1" si="201"/>
        <v>0.1833938129174649</v>
      </c>
      <c r="DI281" s="1461">
        <f t="shared" ca="1" si="197"/>
        <v>30.810160570134101</v>
      </c>
      <c r="DJ281" s="909">
        <f>_xlfn.IFNA(INDEX('Resource use and costs'!$CQ$11:$CQ$53,MATCH($CZ281,'Resource use and costs'!$BA$11:$BA$53,0)),0)*_xlfn.IFNA(INDEX(DY$10:DY$23,MATCH($CZ281,$DX$10:$DX$23,0)),0)</f>
        <v>45284.183573333321</v>
      </c>
      <c r="DK281" s="909">
        <f>IF(dd_PartSA_2_lines = "Yes",0,_xlfn.IFNA(INDEX('Resource use and costs'!$CR$11:$CR$53,MATCH(DA281,'Resource use and costs'!$BA$11:$BA$53,0)),0)*_xlfn.IFNA(INDEX(EA$10:EA$23,MATCH($DA281,$DX$10:$DX$23,0)),0))</f>
        <v>21421.066008214286</v>
      </c>
      <c r="DL281" s="909">
        <f>IF(dd_PartSA_2_lines = "Yes",0,_xlfn.IFNA(INDEX('Resource use and costs'!$CS$11:$CS$53,MATCH(DB281,'Resource use and costs'!$BA$11:$BA$53,0)),0)*_xlfn.IFNA(INDEX(EC$10:EC$23,MATCH($DB281,$DX$10:$DX$23,0)),0))</f>
        <v>2915.4763433333328</v>
      </c>
      <c r="DM281" s="909">
        <f t="shared" si="203"/>
        <v>69620.725924880928</v>
      </c>
      <c r="DN281" s="909">
        <f>SUM(_xlfn.IFNA(INDEX('Resource use and costs'!$DU$12:$DU$25,MATCH(CZ281,'Resource use and costs'!$DS$12:$DS$25,0)),0),_xlfn.IFNA(INDEX('Resource use and costs'!$DU$12:$DU$25,MATCH(DA281,'Resource use and costs'!$DS$12:$DS$25,0)),0),_xlfn.IFNA(INDEX('Resource use and costs'!$DU$12:$DU$25,MATCH(DB281,'Resource use and costs'!$DS$12:$DS$25,0)),0))</f>
        <v>591.75</v>
      </c>
      <c r="DO281" s="921">
        <f>_xlfn.IFNA(INDEX('Resource use and costs'!$DY$12:$DY$25,MATCH(CZ281,'Resource use and costs'!$DS$12:$DS$25,0)),0)*_xlfn.IFNA(INDEX(DY$10:DY$23,MATCH($CZ281,$DX$10:$DX$23,0)),0)</f>
        <v>415.09348571428563</v>
      </c>
      <c r="DP281" s="921">
        <f>IF(dd_PartSA_2_lines = "Yes",0,_xlfn.IFNA(INDEX('Resource use and costs'!$DZ$12:$DZ$25,MATCH(DA281,'Resource use and costs'!$DS$12:$DS$25,0)),0)*_xlfn.IFNA(INDEX(EA$10:EA$23,MATCH($DA281,$DX$10:$DX$23,0)),0))</f>
        <v>267.99172714285714</v>
      </c>
      <c r="DQ281" s="921">
        <f>IF(dd_PartSA_2_lines = "Yes",0,_xlfn.IFNA(INDEX('Resource use and costs'!$EA$12:$EA$25,MATCH(DB281,'Resource use and costs'!$DS$12:$DS$25,0)),0)*_xlfn.IFNA(INDEX(EC$10:EC$23,MATCH($DB281,$DX$10:$DX$23,0)),0))</f>
        <v>256.11457142857142</v>
      </c>
      <c r="DR281" s="921">
        <f t="shared" si="204"/>
        <v>1530.9497842857143</v>
      </c>
      <c r="DS281" s="1004">
        <f ca="1">SUMIFS('Safety parameters'!$DM$6:$DM$18,'Safety parameters'!$DK$6:$DK$18,CZ281,'Safety parameters'!$DL$6:$DL$18,1)+IF(dd_PartSA_2_lines = "Yes",0,SUMIFS('Safety parameters'!$DM$6:$DM$18,'Safety parameters'!$DK$6:$DK$18,DA281,'Safety parameters'!$DL$6:$DL$18,2)+SUMIFS('Safety parameters'!$DM$6:$DM$18,'Safety parameters'!$DK$6:$DK$18,DB281,'Safety parameters'!$DL$6:$DL$18,2))</f>
        <v>2698.9332196249325</v>
      </c>
      <c r="DT281" s="910">
        <f ca="1">SUMIFS('Safety parameters'!$DO$6:$DO$18,'Safety parameters'!$DK$6:$DK$18,CZ281,'Safety parameters'!$DL$6:$DL$18,1)+IF(dd_PartSA_2_lines = "Yes",0,SUMIFS('Safety parameters'!$DO$6:$DO$18,'Safety parameters'!$DK$6:$DK$18,DA281,'Safety parameters'!$DL$6:$DL$18,2)+SUMIFS('Safety parameters'!$DO$6:$DO$18,'Safety parameters'!$DK$6:$DK$18,DB281,'Safety parameters'!$DL$6:$DL$18,2))</f>
        <v>-2.3926487052593939E-2</v>
      </c>
    </row>
    <row r="282" spans="89:124" ht="15" x14ac:dyDescent="0.2">
      <c r="CK282" s="61" t="s">
        <v>31</v>
      </c>
      <c r="CL282" s="61">
        <v>3</v>
      </c>
      <c r="CM282" s="61" t="str">
        <v>sunitinib</v>
      </c>
      <c r="CN282" s="17">
        <v>7</v>
      </c>
      <c r="CO282" s="61" t="str" cm="1">
        <f t="array" ref="CO282">INDEX(List_comparators,CP281+1)</f>
        <v>nivolumab_plus_ipilimumab</v>
      </c>
      <c r="CP282" s="17">
        <v>2</v>
      </c>
      <c r="CQ282" s="601">
        <f t="shared" ca="1" si="206"/>
        <v>0</v>
      </c>
      <c r="CR282" s="601">
        <f t="shared" ca="1" si="207"/>
        <v>0</v>
      </c>
      <c r="CS282" s="671">
        <f t="shared" ca="1" si="205"/>
        <v>0</v>
      </c>
      <c r="CT282" s="671">
        <f t="shared" ca="1" si="208"/>
        <v>0</v>
      </c>
      <c r="CU282" s="1123">
        <f>MATCH(CZ282,'Resource use and costs'!$BA$11:$BA$53,0)</f>
        <v>30</v>
      </c>
      <c r="CV282" s="1223"/>
      <c r="CW282" s="1241">
        <f t="shared" si="202"/>
        <v>1</v>
      </c>
      <c r="CX282" s="899" t="s">
        <v>773</v>
      </c>
      <c r="CY282" s="899" t="s">
        <v>582</v>
      </c>
      <c r="CZ282" s="899" t="s">
        <v>118</v>
      </c>
      <c r="DA282" s="899" t="s">
        <v>765</v>
      </c>
      <c r="DB282" s="899"/>
      <c r="DC282" s="899" cm="1">
        <f t="array" aca="1" ref="DC282" ca="1">_xlfn.IFNA(OFFSET($I$49,MATCH(CY282,$I$50:$I$63,0),MATCH(CZ282,TRANSPOSE($J$49:$W$49),0)),0)</f>
        <v>0.54387087099248355</v>
      </c>
      <c r="DD282" s="899" cm="1">
        <f t="array" aca="1" ref="DD282" ca="1">_xlfn.IFNA(OFFSET($Y$49,MATCH($CZ282,$Y$50:$Y$63,0),MATCH($DA282,TRANSPOSE($Z$49:$AM$49),0)),0)</f>
        <v>0.34300000000000003</v>
      </c>
      <c r="DE282" s="899" cm="1">
        <f t="array" aca="1" ref="DE282" ca="1">_xlfn.IFNA(OFFSET($AO$49,MATCH($DA282,$AO$50:$AO$63,0),MATCH($DB282,TRANSPOSE($AP$49:$BC$49),0)),0)</f>
        <v>0</v>
      </c>
      <c r="DF282" s="881">
        <f t="shared" ca="1" si="199"/>
        <v>0.18654770875042187</v>
      </c>
      <c r="DG282" s="910">
        <f t="shared" ca="1" si="200"/>
        <v>1.0029381384308471</v>
      </c>
      <c r="DH282" s="881">
        <f t="shared" ca="1" si="201"/>
        <v>0.18709581174268797</v>
      </c>
      <c r="DI282" s="1461">
        <f t="shared" ca="1" si="197"/>
        <v>31.432096372771579</v>
      </c>
      <c r="DJ282" s="909">
        <f>_xlfn.IFNA(INDEX('Resource use and costs'!$CQ$11:$CQ$53,MATCH($CZ282,'Resource use and costs'!$BA$11:$BA$53,0)),0)*_xlfn.IFNA(INDEX(DY$10:DY$23,MATCH($CZ282,$DX$10:$DX$23,0)),0)</f>
        <v>45284.183573333321</v>
      </c>
      <c r="DK282" s="909">
        <f>IF(dd_PartSA_2_lines = "Yes",0,_xlfn.IFNA(INDEX('Resource use and costs'!$CR$11:$CR$53,MATCH(DA282,'Resource use and costs'!$BA$11:$BA$53,0)),0)*_xlfn.IFNA(INDEX(EA$10:EA$23,MATCH($DA282,$DX$10:$DX$23,0)),0))</f>
        <v>0</v>
      </c>
      <c r="DL282" s="909">
        <f>IF(dd_PartSA_2_lines = "Yes",0,_xlfn.IFNA(INDEX('Resource use and costs'!$CS$11:$CS$53,MATCH(DB282,'Resource use and costs'!$BA$11:$BA$53,0)),0)*_xlfn.IFNA(INDEX(EC$10:EC$23,MATCH($DB282,$DX$10:$DX$23,0)),0))</f>
        <v>0</v>
      </c>
      <c r="DM282" s="909">
        <f t="shared" si="203"/>
        <v>45284.183573333321</v>
      </c>
      <c r="DN282" s="909">
        <f>SUM(_xlfn.IFNA(INDEX('Resource use and costs'!$DU$12:$DU$25,MATCH(CZ282,'Resource use and costs'!$DS$12:$DS$25,0)),0),_xlfn.IFNA(INDEX('Resource use and costs'!$DU$12:$DU$25,MATCH(DA282,'Resource use and costs'!$DS$12:$DS$25,0)),0),_xlfn.IFNA(INDEX('Resource use and costs'!$DU$12:$DU$25,MATCH(DB282,'Resource use and costs'!$DS$12:$DS$25,0)),0))</f>
        <v>197.25</v>
      </c>
      <c r="DO282" s="921">
        <f>_xlfn.IFNA(INDEX('Resource use and costs'!$DY$12:$DY$25,MATCH(CZ282,'Resource use and costs'!$DS$12:$DS$25,0)),0)*_xlfn.IFNA(INDEX(DY$10:DY$23,MATCH($CZ282,$DX$10:$DX$23,0)),0)</f>
        <v>415.09348571428563</v>
      </c>
      <c r="DP282" s="921">
        <f>IF(dd_PartSA_2_lines = "Yes",0,_xlfn.IFNA(INDEX('Resource use and costs'!$DZ$12:$DZ$25,MATCH(DA282,'Resource use and costs'!$DS$12:$DS$25,0)),0)*_xlfn.IFNA(INDEX(EA$10:EA$23,MATCH($DA282,$DX$10:$DX$23,0)),0))</f>
        <v>0</v>
      </c>
      <c r="DQ282" s="921">
        <f>IF(dd_PartSA_2_lines = "Yes",0,_xlfn.IFNA(INDEX('Resource use and costs'!$EA$12:$EA$25,MATCH(DB282,'Resource use and costs'!$DS$12:$DS$25,0)),0)*_xlfn.IFNA(INDEX(EC$10:EC$23,MATCH($DB282,$DX$10:$DX$23,0)),0))</f>
        <v>0</v>
      </c>
      <c r="DR282" s="921">
        <f t="shared" si="204"/>
        <v>612.34348571428563</v>
      </c>
      <c r="DS282" s="1004">
        <f ca="1">SUMIFS('Safety parameters'!$DM$6:$DM$18,'Safety parameters'!$DK$6:$DK$18,CZ282,'Safety parameters'!$DL$6:$DL$18,1)+IF(dd_PartSA_2_lines = "Yes",0,SUMIFS('Safety parameters'!$DM$6:$DM$18,'Safety parameters'!$DK$6:$DK$18,DA282,'Safety parameters'!$DL$6:$DL$18,2)+SUMIFS('Safety parameters'!$DM$6:$DM$18,'Safety parameters'!$DK$6:$DK$18,DB282,'Safety parameters'!$DL$6:$DL$18,2))</f>
        <v>731.82916268415761</v>
      </c>
      <c r="DT282" s="910">
        <f ca="1">SUMIFS('Safety parameters'!$DO$6:$DO$18,'Safety parameters'!$DK$6:$DK$18,CZ282,'Safety parameters'!$DL$6:$DL$18,1)+IF(dd_PartSA_2_lines = "Yes",0,SUMIFS('Safety parameters'!$DO$6:$DO$18,'Safety parameters'!$DK$6:$DK$18,DA282,'Safety parameters'!$DL$6:$DL$18,2)+SUMIFS('Safety parameters'!$DO$6:$DO$18,'Safety parameters'!$DK$6:$DK$18,DB282,'Safety parameters'!$DL$6:$DL$18,2))</f>
        <v>-6.5169895084747891E-3</v>
      </c>
    </row>
    <row r="283" spans="89:124" ht="15" x14ac:dyDescent="0.2">
      <c r="CK283" s="61" t="s">
        <v>31</v>
      </c>
      <c r="CL283" s="61">
        <v>3</v>
      </c>
      <c r="CM283" s="61" t="str">
        <v>cabozantinib</v>
      </c>
      <c r="CN283" s="17">
        <v>8</v>
      </c>
      <c r="CO283" s="61" t="str" cm="1">
        <f t="array" ref="CO283">INDEX(List_comparators,CP282+1)</f>
        <v>nivolumab_plus_ipilimumab</v>
      </c>
      <c r="CP283" s="17">
        <v>2</v>
      </c>
      <c r="CQ283" s="601">
        <f t="shared" ca="1" si="206"/>
        <v>0</v>
      </c>
      <c r="CR283" s="601">
        <f t="shared" ca="1" si="207"/>
        <v>0</v>
      </c>
      <c r="CS283" s="671">
        <f t="shared" ca="1" si="205"/>
        <v>0</v>
      </c>
      <c r="CT283" s="671">
        <f t="shared" ca="1" si="208"/>
        <v>0</v>
      </c>
      <c r="CU283" s="1123">
        <f>MATCH(CZ283,'Resource use and costs'!$BA$11:$BA$53,0)</f>
        <v>30</v>
      </c>
      <c r="CV283" s="1223"/>
      <c r="CW283" s="1241">
        <f t="shared" si="202"/>
        <v>1</v>
      </c>
      <c r="CX283" s="899" t="s">
        <v>773</v>
      </c>
      <c r="CY283" s="899" t="s">
        <v>582</v>
      </c>
      <c r="CZ283" s="899" t="s">
        <v>118</v>
      </c>
      <c r="DA283" s="899" t="s">
        <v>119</v>
      </c>
      <c r="DB283" s="899" t="s">
        <v>327</v>
      </c>
      <c r="DC283" s="899" cm="1">
        <f t="array" aca="1" ref="DC283" ca="1">_xlfn.IFNA(OFFSET($I$49,MATCH(CY283,$I$50:$I$63,0),MATCH(CZ283,TRANSPOSE($J$49:$W$49),0)),0)</f>
        <v>0.54387087099248355</v>
      </c>
      <c r="DD283" s="899" cm="1">
        <f t="array" aca="1" ref="DD283" ca="1">_xlfn.IFNA(OFFSET($Y$49,MATCH($CZ283,$Y$50:$Y$63,0),MATCH($DA283,TRANSPOSE($Z$49:$AM$49),0)),0)</f>
        <v>6.5699999999999995E-2</v>
      </c>
      <c r="DE283" s="899" cm="1">
        <f t="array" aca="1" ref="DE283" ca="1">_xlfn.IFNA(OFFSET($AO$49,MATCH($DA283,$AO$50:$AO$63,0),MATCH($DB283,TRANSPOSE($AP$49:$BC$49),0)),0)</f>
        <v>0</v>
      </c>
      <c r="DF283" s="881">
        <f t="shared" ca="1" si="199"/>
        <v>0</v>
      </c>
      <c r="DG283" s="910">
        <f t="shared" ca="1" si="200"/>
        <v>1.0029381384308471</v>
      </c>
      <c r="DH283" s="881">
        <f t="shared" ca="1" si="201"/>
        <v>0</v>
      </c>
      <c r="DI283" s="1461">
        <f t="shared" ca="1" si="197"/>
        <v>0</v>
      </c>
      <c r="DJ283" s="909">
        <f>_xlfn.IFNA(INDEX('Resource use and costs'!$CQ$11:$CQ$53,MATCH($CZ283,'Resource use and costs'!$BA$11:$BA$53,0)),0)*_xlfn.IFNA(INDEX(DY$10:DY$23,MATCH($CZ283,$DX$10:$DX$23,0)),0)</f>
        <v>45284.183573333321</v>
      </c>
      <c r="DK283" s="909">
        <f>IF(dd_PartSA_2_lines = "Yes",0,_xlfn.IFNA(INDEX('Resource use and costs'!$CR$11:$CR$53,MATCH(DA283,'Resource use and costs'!$BA$11:$BA$53,0)),0)*_xlfn.IFNA(INDEX(EA$10:EA$23,MATCH($DA283,$DX$10:$DX$23,0)),0))</f>
        <v>848.17532499999982</v>
      </c>
      <c r="DL283" s="909">
        <f>IF(dd_PartSA_2_lines = "Yes",0,_xlfn.IFNA(INDEX('Resource use and costs'!$CS$11:$CS$53,MATCH(DB283,'Resource use and costs'!$BA$11:$BA$53,0)),0)*_xlfn.IFNA(INDEX(EC$10:EC$23,MATCH($DB283,$DX$10:$DX$23,0)),0))</f>
        <v>18438.751749999999</v>
      </c>
      <c r="DM283" s="909">
        <f t="shared" si="203"/>
        <v>64571.110648333313</v>
      </c>
      <c r="DN283" s="909">
        <f>SUM(_xlfn.IFNA(INDEX('Resource use and costs'!$DU$12:$DU$25,MATCH(CZ283,'Resource use and costs'!$DS$12:$DS$25,0)),0),_xlfn.IFNA(INDEX('Resource use and costs'!$DU$12:$DU$25,MATCH(DA283,'Resource use and costs'!$DS$12:$DS$25,0)),0),_xlfn.IFNA(INDEX('Resource use and costs'!$DU$12:$DU$25,MATCH(DB283,'Resource use and costs'!$DS$12:$DS$25,0)),0))</f>
        <v>591.75</v>
      </c>
      <c r="DO283" s="921">
        <f>_xlfn.IFNA(INDEX('Resource use and costs'!$DY$12:$DY$25,MATCH(CZ283,'Resource use and costs'!$DS$12:$DS$25,0)),0)*_xlfn.IFNA(INDEX(DY$10:DY$23,MATCH($CZ283,$DX$10:$DX$23,0)),0)</f>
        <v>415.09348571428563</v>
      </c>
      <c r="DP283" s="921">
        <f>IF(dd_PartSA_2_lines = "Yes",0,_xlfn.IFNA(INDEX('Resource use and costs'!$DZ$12:$DZ$25,MATCH(DA283,'Resource use and costs'!$DS$12:$DS$25,0)),0)*_xlfn.IFNA(INDEX(EA$10:EA$23,MATCH($DA283,$DX$10:$DX$23,0)),0))</f>
        <v>74.50928571428571</v>
      </c>
      <c r="DQ283" s="921">
        <f>IF(dd_PartSA_2_lines = "Yes",0,_xlfn.IFNA(INDEX('Resource use and costs'!$EA$12:$EA$25,MATCH(DB283,'Resource use and costs'!$DS$12:$DS$25,0)),0)*_xlfn.IFNA(INDEX(EC$10:EC$23,MATCH($DB283,$DX$10:$DX$23,0)),0))</f>
        <v>230.68099999999998</v>
      </c>
      <c r="DR283" s="921">
        <f t="shared" si="204"/>
        <v>1312.0337714285713</v>
      </c>
      <c r="DS283" s="1004">
        <f ca="1">SUMIFS('Safety parameters'!$DM$6:$DM$18,'Safety parameters'!$DK$6:$DK$18,CZ283,'Safety parameters'!$DL$6:$DL$18,1)+IF(dd_PartSA_2_lines = "Yes",0,SUMIFS('Safety parameters'!$DM$6:$DM$18,'Safety parameters'!$DK$6:$DK$18,DA283,'Safety parameters'!$DL$6:$DL$18,2)+SUMIFS('Safety parameters'!$DM$6:$DM$18,'Safety parameters'!$DK$6:$DK$18,DB283,'Safety parameters'!$DL$6:$DL$18,2))</f>
        <v>2698.9332196249325</v>
      </c>
      <c r="DT283" s="910">
        <f ca="1">SUMIFS('Safety parameters'!$DO$6:$DO$18,'Safety parameters'!$DK$6:$DK$18,CZ283,'Safety parameters'!$DL$6:$DL$18,1)+IF(dd_PartSA_2_lines = "Yes",0,SUMIFS('Safety parameters'!$DO$6:$DO$18,'Safety parameters'!$DK$6:$DK$18,DA283,'Safety parameters'!$DL$6:$DL$18,2)+SUMIFS('Safety parameters'!$DO$6:$DO$18,'Safety parameters'!$DK$6:$DK$18,DB283,'Safety parameters'!$DL$6:$DL$18,2))</f>
        <v>-2.3926487052593939E-2</v>
      </c>
    </row>
    <row r="284" spans="89:124" ht="15" x14ac:dyDescent="0.2">
      <c r="CK284" s="61" t="s">
        <v>31</v>
      </c>
      <c r="CL284" s="61">
        <v>3</v>
      </c>
      <c r="CM284" s="61" t="str">
        <v>lenvatinib_plus_everolimus</v>
      </c>
      <c r="CN284" s="17">
        <v>9</v>
      </c>
      <c r="CO284" s="61" t="str" cm="1">
        <f t="array" ref="CO284">INDEX(List_comparators,CP283+1)</f>
        <v>nivolumab_plus_ipilimumab</v>
      </c>
      <c r="CP284" s="17">
        <v>2</v>
      </c>
      <c r="CQ284" s="601">
        <f t="shared" ca="1" si="206"/>
        <v>0</v>
      </c>
      <c r="CR284" s="601">
        <f t="shared" ca="1" si="207"/>
        <v>0</v>
      </c>
      <c r="CS284" s="671">
        <f t="shared" ca="1" si="205"/>
        <v>0</v>
      </c>
      <c r="CT284" s="671">
        <f t="shared" ca="1" si="208"/>
        <v>0</v>
      </c>
      <c r="CU284" s="1123">
        <f>MATCH(CZ284,'Resource use and costs'!$BA$11:$BA$53,0)</f>
        <v>30</v>
      </c>
      <c r="CV284" s="1223"/>
      <c r="CW284" s="1241">
        <f t="shared" si="202"/>
        <v>1</v>
      </c>
      <c r="CX284" s="899" t="s">
        <v>773</v>
      </c>
      <c r="CY284" s="899" t="s">
        <v>582</v>
      </c>
      <c r="CZ284" s="899" t="s">
        <v>118</v>
      </c>
      <c r="DA284" s="899" t="s">
        <v>119</v>
      </c>
      <c r="DB284" s="899" t="s">
        <v>765</v>
      </c>
      <c r="DC284" s="899" cm="1">
        <f t="array" aca="1" ref="DC284" ca="1">_xlfn.IFNA(OFFSET($I$49,MATCH(CY284,$I$50:$I$63,0),MATCH(CZ284,TRANSPOSE($J$49:$W$49),0)),0)</f>
        <v>0.54387087099248355</v>
      </c>
      <c r="DD284" s="899" cm="1">
        <f t="array" aca="1" ref="DD284" ca="1">_xlfn.IFNA(OFFSET($Y$49,MATCH($CZ284,$Y$50:$Y$63,0),MATCH($DA284,TRANSPOSE($Z$49:$AM$49),0)),0)</f>
        <v>6.5699999999999995E-2</v>
      </c>
      <c r="DE284" s="899" cm="1">
        <f t="array" aca="1" ref="DE284" ca="1">_xlfn.IFNA(OFFSET($AO$49,MATCH($DA284,$AO$50:$AO$63,0),MATCH($DB284,TRANSPOSE($AP$49:$BC$49),0)),0)</f>
        <v>1</v>
      </c>
      <c r="DF284" s="881">
        <f t="shared" ca="1" si="199"/>
        <v>3.5732316224206168E-2</v>
      </c>
      <c r="DG284" s="910">
        <f t="shared" ca="1" si="200"/>
        <v>1.0029381384308471</v>
      </c>
      <c r="DH284" s="881">
        <f t="shared" ca="1" si="201"/>
        <v>3.5837302715727687E-2</v>
      </c>
      <c r="DI284" s="1461">
        <f t="shared" ca="1" si="197"/>
        <v>6.0206668562422516</v>
      </c>
      <c r="DJ284" s="909">
        <f>_xlfn.IFNA(INDEX('Resource use and costs'!$CQ$11:$CQ$53,MATCH($CZ284,'Resource use and costs'!$BA$11:$BA$53,0)),0)*_xlfn.IFNA(INDEX(DY$10:DY$23,MATCH($CZ284,$DX$10:$DX$23,0)),0)</f>
        <v>45284.183573333321</v>
      </c>
      <c r="DK284" s="909">
        <f>IF(dd_PartSA_2_lines = "Yes",0,_xlfn.IFNA(INDEX('Resource use and costs'!$CR$11:$CR$53,MATCH(DA284,'Resource use and costs'!$BA$11:$BA$53,0)),0)*_xlfn.IFNA(INDEX(EA$10:EA$23,MATCH($DA284,$DX$10:$DX$23,0)),0))</f>
        <v>848.17532499999982</v>
      </c>
      <c r="DL284" s="909">
        <f>IF(dd_PartSA_2_lines = "Yes",0,_xlfn.IFNA(INDEX('Resource use and costs'!$CS$11:$CS$53,MATCH(DB284,'Resource use and costs'!$BA$11:$BA$53,0)),0)*_xlfn.IFNA(INDEX(EC$10:EC$23,MATCH($DB284,$DX$10:$DX$23,0)),0))</f>
        <v>0</v>
      </c>
      <c r="DM284" s="909">
        <f t="shared" si="203"/>
        <v>46132.358898333317</v>
      </c>
      <c r="DN284" s="909">
        <f>SUM(_xlfn.IFNA(INDEX('Resource use and costs'!$DU$12:$DU$25,MATCH(CZ284,'Resource use and costs'!$DS$12:$DS$25,0)),0),_xlfn.IFNA(INDEX('Resource use and costs'!$DU$12:$DU$25,MATCH(DA284,'Resource use and costs'!$DS$12:$DS$25,0)),0),_xlfn.IFNA(INDEX('Resource use and costs'!$DU$12:$DU$25,MATCH(DB284,'Resource use and costs'!$DS$12:$DS$25,0)),0))</f>
        <v>394.5</v>
      </c>
      <c r="DO284" s="921">
        <f>_xlfn.IFNA(INDEX('Resource use and costs'!$DY$12:$DY$25,MATCH(CZ284,'Resource use and costs'!$DS$12:$DS$25,0)),0)*_xlfn.IFNA(INDEX(DY$10:DY$23,MATCH($CZ284,$DX$10:$DX$23,0)),0)</f>
        <v>415.09348571428563</v>
      </c>
      <c r="DP284" s="921">
        <f>IF(dd_PartSA_2_lines = "Yes",0,_xlfn.IFNA(INDEX('Resource use and costs'!$DZ$12:$DZ$25,MATCH(DA284,'Resource use and costs'!$DS$12:$DS$25,0)),0)*_xlfn.IFNA(INDEX(EA$10:EA$23,MATCH($DA284,$DX$10:$DX$23,0)),0))</f>
        <v>74.50928571428571</v>
      </c>
      <c r="DQ284" s="921">
        <f>IF(dd_PartSA_2_lines = "Yes",0,_xlfn.IFNA(INDEX('Resource use and costs'!$EA$12:$EA$25,MATCH(DB284,'Resource use and costs'!$DS$12:$DS$25,0)),0)*_xlfn.IFNA(INDEX(EC$10:EC$23,MATCH($DB284,$DX$10:$DX$23,0)),0))</f>
        <v>0</v>
      </c>
      <c r="DR284" s="921">
        <f t="shared" si="204"/>
        <v>884.10277142857137</v>
      </c>
      <c r="DS284" s="1004">
        <f ca="1">SUMIFS('Safety parameters'!$DM$6:$DM$18,'Safety parameters'!$DK$6:$DK$18,CZ284,'Safety parameters'!$DL$6:$DL$18,1)+IF(dd_PartSA_2_lines = "Yes",0,SUMIFS('Safety parameters'!$DM$6:$DM$18,'Safety parameters'!$DK$6:$DK$18,DA284,'Safety parameters'!$DL$6:$DL$18,2)+SUMIFS('Safety parameters'!$DM$6:$DM$18,'Safety parameters'!$DK$6:$DK$18,DB284,'Safety parameters'!$DL$6:$DL$18,2))</f>
        <v>1064.7045460594725</v>
      </c>
      <c r="DT284" s="910">
        <f ca="1">SUMIFS('Safety parameters'!$DO$6:$DO$18,'Safety parameters'!$DK$6:$DK$18,CZ284,'Safety parameters'!$DL$6:$DL$18,1)+IF(dd_PartSA_2_lines = "Yes",0,SUMIFS('Safety parameters'!$DO$6:$DO$18,'Safety parameters'!$DK$6:$DK$18,DA284,'Safety parameters'!$DL$6:$DL$18,2)+SUMIFS('Safety parameters'!$DO$6:$DO$18,'Safety parameters'!$DK$6:$DK$18,DB284,'Safety parameters'!$DL$6:$DL$18,2))</f>
        <v>-9.184563045112509E-3</v>
      </c>
    </row>
    <row r="285" spans="89:124" ht="15" x14ac:dyDescent="0.2">
      <c r="CK285" s="61" t="s">
        <v>31</v>
      </c>
      <c r="CL285" s="61">
        <v>3</v>
      </c>
      <c r="CM285" s="61" t="str">
        <v>everolimus</v>
      </c>
      <c r="CN285" s="17">
        <v>10</v>
      </c>
      <c r="CO285" s="61" t="str" cm="1">
        <f t="array" ref="CO285">INDEX(List_comparators,CP284+1)</f>
        <v>nivolumab_plus_ipilimumab</v>
      </c>
      <c r="CP285" s="17">
        <v>2</v>
      </c>
      <c r="CQ285" s="601">
        <f t="shared" ca="1" si="206"/>
        <v>0</v>
      </c>
      <c r="CR285" s="601">
        <f t="shared" ca="1" si="207"/>
        <v>0</v>
      </c>
      <c r="CS285" s="671">
        <f t="shared" ca="1" si="205"/>
        <v>0</v>
      </c>
      <c r="CT285" s="671">
        <f t="shared" ca="1" si="208"/>
        <v>0</v>
      </c>
      <c r="CU285" s="1123">
        <f>MATCH(CZ285,'Resource use and costs'!$BA$11:$BA$53,0)</f>
        <v>37</v>
      </c>
      <c r="CV285" s="1223"/>
      <c r="CW285" s="1241">
        <f t="shared" si="202"/>
        <v>1</v>
      </c>
      <c r="CX285" s="899" t="s">
        <v>773</v>
      </c>
      <c r="CY285" s="899" t="s">
        <v>582</v>
      </c>
      <c r="CZ285" s="899" t="s">
        <v>119</v>
      </c>
      <c r="DA285" s="899" t="s">
        <v>327</v>
      </c>
      <c r="DB285" s="899" t="s">
        <v>765</v>
      </c>
      <c r="DC285" s="899" cm="1">
        <f t="array" aca="1" ref="DC285" ca="1">_xlfn.IFNA(OFFSET($I$49,MATCH(CY285,$I$50:$I$63,0),MATCH(CZ285,TRANSPOSE($J$49:$W$49),0)),0)</f>
        <v>0</v>
      </c>
      <c r="DD285" s="899" cm="1">
        <f t="array" aca="1" ref="DD285" ca="1">_xlfn.IFNA(OFFSET($Y$49,MATCH($CZ285,$Y$50:$Y$63,0),MATCH($DA285,TRANSPOSE($Z$49:$AM$49),0)),0)</f>
        <v>0</v>
      </c>
      <c r="DE285" s="899" cm="1">
        <f t="array" aca="1" ref="DE285" ca="1">_xlfn.IFNA(OFFSET($AO$49,MATCH($DA285,$AO$50:$AO$63,0),MATCH($DB285,TRANSPOSE($AP$49:$BC$49),0)),0)</f>
        <v>0.43140000000000001</v>
      </c>
      <c r="DF285" s="881">
        <f t="shared" ca="1" si="199"/>
        <v>0</v>
      </c>
      <c r="DG285" s="910">
        <f t="shared" ca="1" si="200"/>
        <v>1.0029381384308471</v>
      </c>
      <c r="DH285" s="881">
        <f t="shared" ca="1" si="201"/>
        <v>0</v>
      </c>
      <c r="DI285" s="1461">
        <f t="shared" ca="1" si="197"/>
        <v>0</v>
      </c>
      <c r="DJ285" s="909">
        <f>_xlfn.IFNA(INDEX('Resource use and costs'!$CQ$11:$CQ$53,MATCH($CZ285,'Resource use and costs'!$BA$11:$BA$53,0)),0)*_xlfn.IFNA(INDEX(DY$10:DY$23,MATCH($CZ285,$DX$10:$DX$23,0)),0)</f>
        <v>944.50399999999979</v>
      </c>
      <c r="DK285" s="909">
        <f>IF(dd_PartSA_2_lines = "Yes",0,_xlfn.IFNA(INDEX('Resource use and costs'!$CR$11:$CR$53,MATCH(DA285,'Resource use and costs'!$BA$11:$BA$53,0)),0)*_xlfn.IFNA(INDEX(EA$10:EA$23,MATCH($DA285,$DX$10:$DX$23,0)),0))</f>
        <v>21421.066008214286</v>
      </c>
      <c r="DL285" s="909">
        <f>IF(dd_PartSA_2_lines = "Yes",0,_xlfn.IFNA(INDEX('Resource use and costs'!$CS$11:$CS$53,MATCH(DB285,'Resource use and costs'!$BA$11:$BA$53,0)),0)*_xlfn.IFNA(INDEX(EC$10:EC$23,MATCH($DB285,$DX$10:$DX$23,0)),0))</f>
        <v>0</v>
      </c>
      <c r="DM285" s="909">
        <f t="shared" si="203"/>
        <v>22365.570008214287</v>
      </c>
      <c r="DN285" s="909">
        <f>SUM(_xlfn.IFNA(INDEX('Resource use and costs'!$DU$12:$DU$25,MATCH(CZ285,'Resource use and costs'!$DS$12:$DS$25,0)),0),_xlfn.IFNA(INDEX('Resource use and costs'!$DU$12:$DU$25,MATCH(DA285,'Resource use and costs'!$DS$12:$DS$25,0)),0),_xlfn.IFNA(INDEX('Resource use and costs'!$DU$12:$DU$25,MATCH(DB285,'Resource use and costs'!$DS$12:$DS$25,0)),0))</f>
        <v>394.5</v>
      </c>
      <c r="DO285" s="921">
        <f>_xlfn.IFNA(INDEX('Resource use and costs'!$DY$12:$DY$25,MATCH(CZ285,'Resource use and costs'!$DS$12:$DS$25,0)),0)*_xlfn.IFNA(INDEX(DY$10:DY$23,MATCH($CZ285,$DX$10:$DX$23,0)),0)</f>
        <v>82.971428571428561</v>
      </c>
      <c r="DP285" s="921">
        <f>IF(dd_PartSA_2_lines = "Yes",0,_xlfn.IFNA(INDEX('Resource use and costs'!$DZ$12:$DZ$25,MATCH(DA285,'Resource use and costs'!$DS$12:$DS$25,0)),0)*_xlfn.IFNA(INDEX(EA$10:EA$23,MATCH($DA285,$DX$10:$DX$23,0)),0))</f>
        <v>267.99172714285714</v>
      </c>
      <c r="DQ285" s="921">
        <f>IF(dd_PartSA_2_lines = "Yes",0,_xlfn.IFNA(INDEX('Resource use and costs'!$EA$12:$EA$25,MATCH(DB285,'Resource use and costs'!$DS$12:$DS$25,0)),0)*_xlfn.IFNA(INDEX(EC$10:EC$23,MATCH($DB285,$DX$10:$DX$23,0)),0))</f>
        <v>0</v>
      </c>
      <c r="DR285" s="921">
        <f t="shared" si="204"/>
        <v>745.46315571428568</v>
      </c>
      <c r="DS285" s="1004">
        <f ca="1">SUMIFS('Safety parameters'!$DM$6:$DM$18,'Safety parameters'!$DK$6:$DK$18,CZ285,'Safety parameters'!$DL$6:$DL$18,1)+IF(dd_PartSA_2_lines = "Yes",0,SUMIFS('Safety parameters'!$DM$6:$DM$18,'Safety parameters'!$DK$6:$DK$18,DA285,'Safety parameters'!$DL$6:$DL$18,2)+SUMIFS('Safety parameters'!$DM$6:$DM$18,'Safety parameters'!$DK$6:$DK$18,DB285,'Safety parameters'!$DL$6:$DL$18,2))</f>
        <v>1634.2286735654598</v>
      </c>
      <c r="DT285" s="910">
        <f ca="1">SUMIFS('Safety parameters'!$DO$6:$DO$18,'Safety parameters'!$DK$6:$DK$18,CZ285,'Safety parameters'!$DL$6:$DL$18,1)+IF(dd_PartSA_2_lines = "Yes",0,SUMIFS('Safety parameters'!$DO$6:$DO$18,'Safety parameters'!$DK$6:$DK$18,DA285,'Safety parameters'!$DL$6:$DL$18,2)+SUMIFS('Safety parameters'!$DO$6:$DO$18,'Safety parameters'!$DK$6:$DK$18,DB285,'Safety parameters'!$DL$6:$DL$18,2))</f>
        <v>-1.4741924007481429E-2</v>
      </c>
    </row>
    <row r="286" spans="89:124" ht="15" x14ac:dyDescent="0.2">
      <c r="CK286" s="61" t="s">
        <v>31</v>
      </c>
      <c r="CL286" s="61">
        <v>3</v>
      </c>
      <c r="CM286" s="61" t="str">
        <v>axitinib</v>
      </c>
      <c r="CN286" s="17">
        <v>11</v>
      </c>
      <c r="CO286" s="61" t="str" cm="1">
        <f t="array" ref="CO286">INDEX(List_comparators,CP285+1)</f>
        <v>nivolumab_plus_ipilimumab</v>
      </c>
      <c r="CP286" s="17">
        <v>2</v>
      </c>
      <c r="CQ286" s="601">
        <f t="shared" ca="1" si="206"/>
        <v>0</v>
      </c>
      <c r="CR286" s="601">
        <f t="shared" ca="1" si="207"/>
        <v>0</v>
      </c>
      <c r="CS286" s="671">
        <f t="shared" ca="1" si="205"/>
        <v>0</v>
      </c>
      <c r="CT286" s="671">
        <f t="shared" ca="1" si="208"/>
        <v>0</v>
      </c>
      <c r="CU286" s="1123">
        <f>MATCH(CZ286,'Resource use and costs'!$BA$11:$BA$53,0)</f>
        <v>37</v>
      </c>
      <c r="CV286" s="1223"/>
      <c r="CW286" s="1241">
        <f t="shared" si="202"/>
        <v>1</v>
      </c>
      <c r="CX286" s="899" t="s">
        <v>773</v>
      </c>
      <c r="CY286" s="899" t="s">
        <v>582</v>
      </c>
      <c r="CZ286" s="899" t="s">
        <v>119</v>
      </c>
      <c r="DA286" s="899" t="s">
        <v>765</v>
      </c>
      <c r="DB286" s="899"/>
      <c r="DC286" s="899" cm="1">
        <f t="array" aca="1" ref="DC286" ca="1">_xlfn.IFNA(OFFSET($I$49,MATCH(CY286,$I$50:$I$63,0),MATCH(CZ286,TRANSPOSE($J$49:$W$49),0)),0)</f>
        <v>0</v>
      </c>
      <c r="DD286" s="899" cm="1">
        <f t="array" aca="1" ref="DD286" ca="1">_xlfn.IFNA(OFFSET($Y$49,MATCH($CZ286,$Y$50:$Y$63,0),MATCH($DA286,TRANSPOSE($Z$49:$AM$49),0)),0)</f>
        <v>1</v>
      </c>
      <c r="DE286" s="899" cm="1">
        <f t="array" aca="1" ref="DE286" ca="1">_xlfn.IFNA(OFFSET($AO$49,MATCH($DA286,$AO$50:$AO$63,0),MATCH($DB286,TRANSPOSE($AP$49:$BC$49),0)),0)</f>
        <v>0</v>
      </c>
      <c r="DF286" s="881">
        <f t="shared" ca="1" si="199"/>
        <v>0</v>
      </c>
      <c r="DG286" s="910">
        <f t="shared" ca="1" si="200"/>
        <v>1.0029381384308471</v>
      </c>
      <c r="DH286" s="881">
        <f t="shared" ca="1" si="201"/>
        <v>0</v>
      </c>
      <c r="DI286" s="1461">
        <f t="shared" ca="1" si="197"/>
        <v>0</v>
      </c>
      <c r="DJ286" s="909">
        <f>_xlfn.IFNA(INDEX('Resource use and costs'!$CQ$11:$CQ$53,MATCH($CZ286,'Resource use and costs'!$BA$11:$BA$53,0)),0)*_xlfn.IFNA(INDEX(DY$10:DY$23,MATCH($CZ286,$DX$10:$DX$23,0)),0)</f>
        <v>944.50399999999979</v>
      </c>
      <c r="DK286" s="909">
        <f>IF(dd_PartSA_2_lines = "Yes",0,_xlfn.IFNA(INDEX('Resource use and costs'!$CR$11:$CR$53,MATCH(DA286,'Resource use and costs'!$BA$11:$BA$53,0)),0)*_xlfn.IFNA(INDEX(EA$10:EA$23,MATCH($DA286,$DX$10:$DX$23,0)),0))</f>
        <v>0</v>
      </c>
      <c r="DL286" s="909">
        <f>IF(dd_PartSA_2_lines = "Yes",0,_xlfn.IFNA(INDEX('Resource use and costs'!$CS$11:$CS$53,MATCH(DB286,'Resource use and costs'!$BA$11:$BA$53,0)),0)*_xlfn.IFNA(INDEX(EC$10:EC$23,MATCH($DB286,$DX$10:$DX$23,0)),0))</f>
        <v>0</v>
      </c>
      <c r="DM286" s="909">
        <f t="shared" si="203"/>
        <v>944.50399999999979</v>
      </c>
      <c r="DN286" s="909">
        <f>SUM(_xlfn.IFNA(INDEX('Resource use and costs'!$DU$12:$DU$25,MATCH(CZ286,'Resource use and costs'!$DS$12:$DS$25,0)),0),_xlfn.IFNA(INDEX('Resource use and costs'!$DU$12:$DU$25,MATCH(DA286,'Resource use and costs'!$DS$12:$DS$25,0)),0),_xlfn.IFNA(INDEX('Resource use and costs'!$DU$12:$DU$25,MATCH(DB286,'Resource use and costs'!$DS$12:$DS$25,0)),0))</f>
        <v>197.25</v>
      </c>
      <c r="DO286" s="921">
        <f>_xlfn.IFNA(INDEX('Resource use and costs'!$DY$12:$DY$25,MATCH(CZ286,'Resource use and costs'!$DS$12:$DS$25,0)),0)*_xlfn.IFNA(INDEX(DY$10:DY$23,MATCH($CZ286,$DX$10:$DX$23,0)),0)</f>
        <v>82.971428571428561</v>
      </c>
      <c r="DP286" s="921">
        <f>IF(dd_PartSA_2_lines = "Yes",0,_xlfn.IFNA(INDEX('Resource use and costs'!$DZ$12:$DZ$25,MATCH(DA286,'Resource use and costs'!$DS$12:$DS$25,0)),0)*_xlfn.IFNA(INDEX(EA$10:EA$23,MATCH($DA286,$DX$10:$DX$23,0)),0))</f>
        <v>0</v>
      </c>
      <c r="DQ286" s="921">
        <f>IF(dd_PartSA_2_lines = "Yes",0,_xlfn.IFNA(INDEX('Resource use and costs'!$EA$12:$EA$25,MATCH(DB286,'Resource use and costs'!$DS$12:$DS$25,0)),0)*_xlfn.IFNA(INDEX(EC$10:EC$23,MATCH($DB286,$DX$10:$DX$23,0)),0))</f>
        <v>0</v>
      </c>
      <c r="DR286" s="921">
        <f t="shared" si="204"/>
        <v>280.22142857142853</v>
      </c>
      <c r="DS286" s="1004">
        <f>SUMIFS('Safety parameters'!$DM$6:$DM$18,'Safety parameters'!$DK$6:$DK$18,CZ286,'Safety parameters'!$DL$6:$DL$18,1)+IF(dd_PartSA_2_lines = "Yes",0,SUMIFS('Safety parameters'!$DM$6:$DM$18,'Safety parameters'!$DK$6:$DK$18,DA286,'Safety parameters'!$DL$6:$DL$18,2)+SUMIFS('Safety parameters'!$DM$6:$DM$18,'Safety parameters'!$DK$6:$DK$18,DB286,'Safety parameters'!$DL$6:$DL$18,2))</f>
        <v>0</v>
      </c>
      <c r="DT286" s="910">
        <f>SUMIFS('Safety parameters'!$DO$6:$DO$18,'Safety parameters'!$DK$6:$DK$18,CZ286,'Safety parameters'!$DL$6:$DL$18,1)+IF(dd_PartSA_2_lines = "Yes",0,SUMIFS('Safety parameters'!$DO$6:$DO$18,'Safety parameters'!$DK$6:$DK$18,DA286,'Safety parameters'!$DL$6:$DL$18,2)+SUMIFS('Safety parameters'!$DO$6:$DO$18,'Safety parameters'!$DK$6:$DK$18,DB286,'Safety parameters'!$DL$6:$DL$18,2))</f>
        <v>0</v>
      </c>
    </row>
    <row r="287" spans="89:124" ht="15" x14ac:dyDescent="0.2">
      <c r="CK287" s="61" t="s">
        <v>31</v>
      </c>
      <c r="CL287" s="61">
        <v>3</v>
      </c>
      <c r="CM287" s="61" t="str">
        <v>sorafenib</v>
      </c>
      <c r="CN287" s="17">
        <v>12</v>
      </c>
      <c r="CO287" s="61" t="str" cm="1">
        <f t="array" ref="CO287">INDEX(List_comparators,CP286+1)</f>
        <v>nivolumab_plus_ipilimumab</v>
      </c>
      <c r="CP287" s="17">
        <v>2</v>
      </c>
      <c r="CQ287" s="601">
        <f t="shared" ca="1" si="206"/>
        <v>0</v>
      </c>
      <c r="CR287" s="601">
        <f t="shared" ca="1" si="207"/>
        <v>0</v>
      </c>
      <c r="CS287" s="671">
        <f t="shared" ca="1" si="205"/>
        <v>0</v>
      </c>
      <c r="CT287" s="671">
        <f t="shared" ca="1" si="208"/>
        <v>0</v>
      </c>
      <c r="CU287" s="1123">
        <f>MATCH(CZ287,'Resource use and costs'!$BA$11:$BA$53,0)</f>
        <v>37</v>
      </c>
      <c r="CV287" s="1223"/>
      <c r="CW287" s="1241">
        <f t="shared" si="202"/>
        <v>1</v>
      </c>
      <c r="CX287" s="899" t="s">
        <v>773</v>
      </c>
      <c r="CY287" s="899" t="s">
        <v>582</v>
      </c>
      <c r="CZ287" s="899" t="s">
        <v>119</v>
      </c>
      <c r="DA287" s="899" t="s">
        <v>118</v>
      </c>
      <c r="DB287" s="899" t="s">
        <v>327</v>
      </c>
      <c r="DC287" s="899" cm="1">
        <f t="array" aca="1" ref="DC287" ca="1">_xlfn.IFNA(OFFSET($I$49,MATCH(CY287,$I$50:$I$63,0),MATCH(CZ287,TRANSPOSE($J$49:$W$49),0)),0)</f>
        <v>0</v>
      </c>
      <c r="DD287" s="899" cm="1">
        <f t="array" aca="1" ref="DD287" ca="1">_xlfn.IFNA(OFFSET($Y$49,MATCH($CZ287,$Y$50:$Y$63,0),MATCH($DA287,TRANSPOSE($Z$49:$AM$49),0)),0)</f>
        <v>0</v>
      </c>
      <c r="DE287" s="899">
        <f ca="1">1-DE288</f>
        <v>0.56859999999999999</v>
      </c>
      <c r="DF287" s="881">
        <f t="shared" ca="1" si="199"/>
        <v>0</v>
      </c>
      <c r="DG287" s="910">
        <f t="shared" ca="1" si="200"/>
        <v>1.0029381384308471</v>
      </c>
      <c r="DH287" s="881">
        <f t="shared" ca="1" si="201"/>
        <v>0</v>
      </c>
      <c r="DI287" s="1461">
        <f t="shared" ca="1" si="197"/>
        <v>0</v>
      </c>
      <c r="DJ287" s="909">
        <f>_xlfn.IFNA(INDEX('Resource use and costs'!$CQ$11:$CQ$53,MATCH($CZ287,'Resource use and costs'!$BA$11:$BA$53,0)),0)*_xlfn.IFNA(INDEX(DY$10:DY$23,MATCH($CZ287,$DX$10:$DX$23,0)),0)</f>
        <v>944.50399999999979</v>
      </c>
      <c r="DK287" s="909">
        <f>IF(dd_PartSA_2_lines = "Yes",0,_xlfn.IFNA(INDEX('Resource use and costs'!$CR$11:$CR$53,MATCH(DA287,'Resource use and costs'!$BA$11:$BA$53,0)),0)*_xlfn.IFNA(INDEX(EA$10:EA$23,MATCH($DA287,$DX$10:$DX$23,0)),0))</f>
        <v>50308.075122000002</v>
      </c>
      <c r="DL287" s="909">
        <f>IF(dd_PartSA_2_lines = "Yes",0,_xlfn.IFNA(INDEX('Resource use and costs'!$CS$11:$CS$53,MATCH(DB287,'Resource use and costs'!$BA$11:$BA$53,0)),0)*_xlfn.IFNA(INDEX(EC$10:EC$23,MATCH($DB287,$DX$10:$DX$23,0)),0))</f>
        <v>18438.751749999999</v>
      </c>
      <c r="DM287" s="909">
        <f t="shared" si="203"/>
        <v>69691.330872000006</v>
      </c>
      <c r="DN287" s="909">
        <f>SUM(_xlfn.IFNA(INDEX('Resource use and costs'!$DU$12:$DU$25,MATCH(CZ287,'Resource use and costs'!$DS$12:$DS$25,0)),0),_xlfn.IFNA(INDEX('Resource use and costs'!$DU$12:$DU$25,MATCH(DA287,'Resource use and costs'!$DS$12:$DS$25,0)),0),_xlfn.IFNA(INDEX('Resource use and costs'!$DU$12:$DU$25,MATCH(DB287,'Resource use and costs'!$DS$12:$DS$25,0)),0))</f>
        <v>591.75</v>
      </c>
      <c r="DO287" s="921">
        <f>_xlfn.IFNA(INDEX('Resource use and costs'!$DY$12:$DY$25,MATCH(CZ287,'Resource use and costs'!$DS$12:$DS$25,0)),0)*_xlfn.IFNA(INDEX(DY$10:DY$23,MATCH($CZ287,$DX$10:$DX$23,0)),0)</f>
        <v>82.971428571428561</v>
      </c>
      <c r="DP287" s="921">
        <f>IF(dd_PartSA_2_lines = "Yes",0,_xlfn.IFNA(INDEX('Resource use and costs'!$DZ$12:$DZ$25,MATCH(DA287,'Resource use and costs'!$DS$12:$DS$25,0)),0)*_xlfn.IFNA(INDEX(EA$10:EA$23,MATCH($DA287,$DX$10:$DX$23,0)),0))</f>
        <v>461.1445457142857</v>
      </c>
      <c r="DQ287" s="921">
        <f>IF(dd_PartSA_2_lines = "Yes",0,_xlfn.IFNA(INDEX('Resource use and costs'!$EA$12:$EA$25,MATCH(DB287,'Resource use and costs'!$DS$12:$DS$25,0)),0)*_xlfn.IFNA(INDEX(EC$10:EC$23,MATCH($DB287,$DX$10:$DX$23,0)),0))</f>
        <v>230.68099999999998</v>
      </c>
      <c r="DR287" s="921">
        <f t="shared" si="204"/>
        <v>1366.5469742857142</v>
      </c>
      <c r="DS287" s="1004">
        <f ca="1">SUMIFS('Safety parameters'!$DM$6:$DM$18,'Safety parameters'!$DK$6:$DK$18,CZ287,'Safety parameters'!$DL$6:$DL$18,1)+IF(dd_PartSA_2_lines = "Yes",0,SUMIFS('Safety parameters'!$DM$6:$DM$18,'Safety parameters'!$DK$6:$DK$18,DA287,'Safety parameters'!$DL$6:$DL$18,2)+SUMIFS('Safety parameters'!$DM$6:$DM$18,'Safety parameters'!$DK$6:$DK$18,DB287,'Safety parameters'!$DL$6:$DL$18,2))</f>
        <v>2377.8779733688434</v>
      </c>
      <c r="DT287" s="910">
        <f ca="1">SUMIFS('Safety parameters'!$DO$6:$DO$18,'Safety parameters'!$DK$6:$DK$18,CZ287,'Safety parameters'!$DL$6:$DL$18,1)+IF(dd_PartSA_2_lines = "Yes",0,SUMIFS('Safety parameters'!$DO$6:$DO$18,'Safety parameters'!$DK$6:$DK$18,DA287,'Safety parameters'!$DL$6:$DL$18,2)+SUMIFS('Safety parameters'!$DO$6:$DO$18,'Safety parameters'!$DK$6:$DK$18,DB287,'Safety parameters'!$DL$6:$DL$18,2))</f>
        <v>-2.1764250363717368E-2</v>
      </c>
    </row>
    <row r="288" spans="89:124" ht="15.75" thickBot="1" x14ac:dyDescent="0.25">
      <c r="CK288" s="506" t="s">
        <v>31</v>
      </c>
      <c r="CL288" s="506">
        <v>3</v>
      </c>
      <c r="CM288" s="506" t="str">
        <v>placebo_BSC</v>
      </c>
      <c r="CN288" s="19">
        <v>999</v>
      </c>
      <c r="CO288" s="506" t="str" cm="1">
        <f t="array" ref="CO288">INDEX(List_comparators,CP275+1)</f>
        <v>nivolumab_plus_ipilimumab</v>
      </c>
      <c r="CP288" s="19">
        <v>2</v>
      </c>
      <c r="CQ288" s="602">
        <f t="shared" ca="1" si="206"/>
        <v>0</v>
      </c>
      <c r="CR288" s="602">
        <f t="shared" ca="1" si="207"/>
        <v>0</v>
      </c>
      <c r="CS288" s="670">
        <v>0</v>
      </c>
      <c r="CT288" s="670">
        <f t="shared" ca="1" si="208"/>
        <v>0</v>
      </c>
      <c r="CU288" s="1123">
        <f>MATCH(CZ288,'Resource use and costs'!$BA$11:$BA$53,0)</f>
        <v>37</v>
      </c>
      <c r="CV288" s="1223"/>
      <c r="CW288" s="1241">
        <f t="shared" si="202"/>
        <v>1</v>
      </c>
      <c r="CX288" s="899" t="s">
        <v>773</v>
      </c>
      <c r="CY288" s="899" t="s">
        <v>582</v>
      </c>
      <c r="CZ288" s="899" t="s">
        <v>119</v>
      </c>
      <c r="DA288" s="899" t="s">
        <v>118</v>
      </c>
      <c r="DB288" s="899" t="s">
        <v>765</v>
      </c>
      <c r="DC288" s="899" cm="1">
        <f t="array" aca="1" ref="DC288" ca="1">_xlfn.IFNA(OFFSET($I$49,MATCH(CY288,$I$50:$I$63,0),MATCH(CZ288,TRANSPOSE($J$49:$W$49),0)),0)</f>
        <v>0</v>
      </c>
      <c r="DD288" s="899" cm="1">
        <f t="array" aca="1" ref="DD288" ca="1">_xlfn.IFNA(OFFSET($Y$49,MATCH($CZ288,$Y$50:$Y$63,0),MATCH($DA288,TRANSPOSE($Z$49:$AM$49),0)),0)</f>
        <v>0</v>
      </c>
      <c r="DE288" s="899" cm="1">
        <f t="array" aca="1" ref="DE288" ca="1">_xlfn.IFNA(OFFSET($AO$49,MATCH($DA288,$AO$50:$AO$63,0),MATCH($DB288,TRANSPOSE($AP$49:$BC$49),0)),0)</f>
        <v>0.43140000000000001</v>
      </c>
      <c r="DF288" s="881">
        <f t="shared" ca="1" si="199"/>
        <v>0</v>
      </c>
      <c r="DG288" s="910">
        <f t="shared" ca="1" si="200"/>
        <v>1.0029381384308471</v>
      </c>
      <c r="DH288" s="881">
        <f t="shared" ca="1" si="201"/>
        <v>0</v>
      </c>
      <c r="DI288" s="1461">
        <f t="shared" ca="1" si="197"/>
        <v>0</v>
      </c>
      <c r="DJ288" s="909">
        <f>_xlfn.IFNA(INDEX('Resource use and costs'!$CQ$11:$CQ$53,MATCH($CZ288,'Resource use and costs'!$BA$11:$BA$53,0)),0)*_xlfn.IFNA(INDEX(DY$10:DY$23,MATCH($CZ288,$DX$10:$DX$23,0)),0)</f>
        <v>944.50399999999979</v>
      </c>
      <c r="DK288" s="909">
        <f>IF(dd_PartSA_2_lines = "Yes",0,_xlfn.IFNA(INDEX('Resource use and costs'!$CR$11:$CR$53,MATCH(DA288,'Resource use and costs'!$BA$11:$BA$53,0)),0)*_xlfn.IFNA(INDEX(EA$10:EA$23,MATCH($DA288,$DX$10:$DX$23,0)),0))</f>
        <v>50308.075122000002</v>
      </c>
      <c r="DL288" s="909">
        <f>IF(dd_PartSA_2_lines = "Yes",0,_xlfn.IFNA(INDEX('Resource use and costs'!$CS$11:$CS$53,MATCH(DB288,'Resource use and costs'!$BA$11:$BA$53,0)),0)*_xlfn.IFNA(INDEX(EC$10:EC$23,MATCH($DB288,$DX$10:$DX$23,0)),0))</f>
        <v>0</v>
      </c>
      <c r="DM288" s="909">
        <f t="shared" si="203"/>
        <v>51252.579122000003</v>
      </c>
      <c r="DN288" s="909">
        <f>SUM(_xlfn.IFNA(INDEX('Resource use and costs'!$DU$12:$DU$25,MATCH(CZ288,'Resource use and costs'!$DS$12:$DS$25,0)),0),_xlfn.IFNA(INDEX('Resource use and costs'!$DU$12:$DU$25,MATCH(DA288,'Resource use and costs'!$DS$12:$DS$25,0)),0),_xlfn.IFNA(INDEX('Resource use and costs'!$DU$12:$DU$25,MATCH(DB288,'Resource use and costs'!$DS$12:$DS$25,0)),0))</f>
        <v>394.5</v>
      </c>
      <c r="DO288" s="921">
        <f>_xlfn.IFNA(INDEX('Resource use and costs'!$DY$12:$DY$25,MATCH(CZ288,'Resource use and costs'!$DS$12:$DS$25,0)),0)*_xlfn.IFNA(INDEX(DY$10:DY$23,MATCH($CZ288,$DX$10:$DX$23,0)),0)</f>
        <v>82.971428571428561</v>
      </c>
      <c r="DP288" s="921">
        <f>IF(dd_PartSA_2_lines = "Yes",0,_xlfn.IFNA(INDEX('Resource use and costs'!$DZ$12:$DZ$25,MATCH(DA288,'Resource use and costs'!$DS$12:$DS$25,0)),0)*_xlfn.IFNA(INDEX(EA$10:EA$23,MATCH($DA288,$DX$10:$DX$23,0)),0))</f>
        <v>461.1445457142857</v>
      </c>
      <c r="DQ288" s="921">
        <f>IF(dd_PartSA_2_lines = "Yes",0,_xlfn.IFNA(INDEX('Resource use and costs'!$EA$12:$EA$25,MATCH(DB288,'Resource use and costs'!$DS$12:$DS$25,0)),0)*_xlfn.IFNA(INDEX(EC$10:EC$23,MATCH($DB288,$DX$10:$DX$23,0)),0))</f>
        <v>0</v>
      </c>
      <c r="DR288" s="921">
        <f t="shared" si="204"/>
        <v>938.61597428571417</v>
      </c>
      <c r="DS288" s="1004">
        <f ca="1">SUMIFS('Safety parameters'!$DM$6:$DM$18,'Safety parameters'!$DK$6:$DK$18,CZ288,'Safety parameters'!$DL$6:$DL$18,1)+IF(dd_PartSA_2_lines = "Yes",0,SUMIFS('Safety parameters'!$DM$6:$DM$18,'Safety parameters'!$DK$6:$DK$18,DA288,'Safety parameters'!$DL$6:$DL$18,2)+SUMIFS('Safety parameters'!$DM$6:$DM$18,'Safety parameters'!$DK$6:$DK$18,DB288,'Safety parameters'!$DL$6:$DL$18,2))</f>
        <v>743.64929980338343</v>
      </c>
      <c r="DT288" s="910">
        <f ca="1">SUMIFS('Safety parameters'!$DO$6:$DO$18,'Safety parameters'!$DK$6:$DK$18,CZ288,'Safety parameters'!$DL$6:$DL$18,1)+IF(dd_PartSA_2_lines = "Yes",0,SUMIFS('Safety parameters'!$DO$6:$DO$18,'Safety parameters'!$DK$6:$DK$18,DA288,'Safety parameters'!$DL$6:$DL$18,2)+SUMIFS('Safety parameters'!$DO$6:$DO$18,'Safety parameters'!$DK$6:$DK$18,DB288,'Safety parameters'!$DL$6:$DL$18,2))</f>
        <v>-7.0223263562359372E-3</v>
      </c>
    </row>
    <row r="289" spans="89:124" ht="15" x14ac:dyDescent="0.2">
      <c r="CK289" s="505" t="s">
        <v>31</v>
      </c>
      <c r="CL289" s="505">
        <v>3</v>
      </c>
      <c r="CM289" s="61" t="str" cm="1">
        <f t="array" ref="CM289:CM302">List_comparators</f>
        <v>nivolumab_monotherapy</v>
      </c>
      <c r="CN289" s="17">
        <v>0</v>
      </c>
      <c r="CO289" s="61" t="str" cm="1">
        <f t="array" ref="CO289">INDEX(List_comparators,CP289+1)</f>
        <v>lenvatinib_plus_pembrolizumab</v>
      </c>
      <c r="CP289" s="17">
        <v>3</v>
      </c>
      <c r="CQ289" s="603">
        <f t="shared" ca="1" si="206"/>
        <v>0</v>
      </c>
      <c r="CR289" s="603">
        <f t="shared" ca="1" si="207"/>
        <v>0</v>
      </c>
      <c r="CS289" s="671">
        <f t="shared" ref="CS289:CS301" ca="1" si="209">OFFSET($Z$81,IF(CN289=999,13,CN289),CP289)</f>
        <v>0</v>
      </c>
      <c r="CT289" s="671">
        <f t="shared" ca="1" si="208"/>
        <v>0</v>
      </c>
      <c r="CU289" s="1123">
        <f>MATCH(CZ289,'Resource use and costs'!$BA$11:$BA$53,0)</f>
        <v>21</v>
      </c>
      <c r="CV289" s="1223"/>
      <c r="CW289" s="1241">
        <f t="shared" si="202"/>
        <v>1</v>
      </c>
      <c r="CX289" s="899" t="s">
        <v>773</v>
      </c>
      <c r="CY289" s="899" t="s">
        <v>582</v>
      </c>
      <c r="CZ289" s="899" t="s">
        <v>585</v>
      </c>
      <c r="DA289" s="899" t="s">
        <v>327</v>
      </c>
      <c r="DB289" s="899" t="s">
        <v>765</v>
      </c>
      <c r="DC289" s="899" cm="1">
        <f t="array" aca="1" ref="DC289" ca="1">_xlfn.IFNA(OFFSET($I$49,MATCH(CY289,$I$50:$I$63,0),MATCH(CZ289,TRANSPOSE($J$49:$W$49),0)),0)</f>
        <v>0</v>
      </c>
      <c r="DD289" s="899" cm="1">
        <f t="array" aca="1" ref="DD289" ca="1">_xlfn.IFNA(OFFSET($Y$49,MATCH($CZ289,$Y$50:$Y$63,0),MATCH($DA289,TRANSPOSE($Z$49:$AM$49),0)),0)</f>
        <v>0</v>
      </c>
      <c r="DE289" s="899" cm="1">
        <f t="array" aca="1" ref="DE289" ca="1">_xlfn.IFNA(OFFSET($AO$49,MATCH($DA289,$AO$50:$AO$63,0),MATCH($DB289,TRANSPOSE($AP$49:$BC$49),0)),0)</f>
        <v>0.43140000000000001</v>
      </c>
      <c r="DF289" s="881">
        <f t="shared" ca="1" si="199"/>
        <v>0</v>
      </c>
      <c r="DG289" s="910">
        <f t="shared" ca="1" si="200"/>
        <v>1.0029381384308471</v>
      </c>
      <c r="DH289" s="881">
        <f t="shared" ca="1" si="201"/>
        <v>0</v>
      </c>
      <c r="DI289" s="1461">
        <f t="shared" ca="1" si="197"/>
        <v>0</v>
      </c>
      <c r="DJ289" s="909">
        <f>_xlfn.IFNA(INDEX('Resource use and costs'!$CQ$11:$CQ$53,MATCH($CZ289,'Resource use and costs'!$BA$11:$BA$53,0)),0)*_xlfn.IFNA(INDEX(DY$10:DY$23,MATCH($CZ289,$DX$10:$DX$23,0)),0)</f>
        <v>4551.2486654444447</v>
      </c>
      <c r="DK289" s="909">
        <f>IF(dd_PartSA_2_lines = "Yes",0,_xlfn.IFNA(INDEX('Resource use and costs'!$CR$11:$CR$53,MATCH(DA289,'Resource use and costs'!$BA$11:$BA$53,0)),0)*_xlfn.IFNA(INDEX(EA$10:EA$23,MATCH($DA289,$DX$10:$DX$23,0)),0))</f>
        <v>21421.066008214286</v>
      </c>
      <c r="DL289" s="909">
        <f>IF(dd_PartSA_2_lines = "Yes",0,_xlfn.IFNA(INDEX('Resource use and costs'!$CS$11:$CS$53,MATCH(DB289,'Resource use and costs'!$BA$11:$BA$53,0)),0)*_xlfn.IFNA(INDEX(EC$10:EC$23,MATCH($DB289,$DX$10:$DX$23,0)),0))</f>
        <v>0</v>
      </c>
      <c r="DM289" s="909">
        <f t="shared" si="203"/>
        <v>25972.31467365873</v>
      </c>
      <c r="DN289" s="909">
        <f>SUM(_xlfn.IFNA(INDEX('Resource use and costs'!$DU$12:$DU$25,MATCH(CZ289,'Resource use and costs'!$DS$12:$DS$25,0)),0),_xlfn.IFNA(INDEX('Resource use and costs'!$DU$12:$DU$25,MATCH(DA289,'Resource use and costs'!$DS$12:$DS$25,0)),0),_xlfn.IFNA(INDEX('Resource use and costs'!$DU$12:$DU$25,MATCH(DB289,'Resource use and costs'!$DS$12:$DS$25,0)),0))</f>
        <v>394.5</v>
      </c>
      <c r="DO289" s="921">
        <f>_xlfn.IFNA(INDEX('Resource use and costs'!$DY$12:$DY$25,MATCH(CZ289,'Resource use and costs'!$DS$12:$DS$25,0)),0)*_xlfn.IFNA(INDEX(DY$10:DY$23,MATCH($CZ289,$DX$10:$DX$23,0)),0)</f>
        <v>410.14183571428572</v>
      </c>
      <c r="DP289" s="921">
        <f>IF(dd_PartSA_2_lines = "Yes",0,_xlfn.IFNA(INDEX('Resource use and costs'!$DZ$12:$DZ$25,MATCH(DA289,'Resource use and costs'!$DS$12:$DS$25,0)),0)*_xlfn.IFNA(INDEX(EA$10:EA$23,MATCH($DA289,$DX$10:$DX$23,0)),0))</f>
        <v>267.99172714285714</v>
      </c>
      <c r="DQ289" s="921">
        <f>IF(dd_PartSA_2_lines = "Yes",0,_xlfn.IFNA(INDEX('Resource use and costs'!$EA$12:$EA$25,MATCH(DB289,'Resource use and costs'!$DS$12:$DS$25,0)),0)*_xlfn.IFNA(INDEX(EC$10:EC$23,MATCH($DB289,$DX$10:$DX$23,0)),0))</f>
        <v>0</v>
      </c>
      <c r="DR289" s="921">
        <f t="shared" si="204"/>
        <v>1072.6335628571428</v>
      </c>
      <c r="DS289" s="1004">
        <f ca="1">SUMIFS('Safety parameters'!$DM$6:$DM$18,'Safety parameters'!$DK$6:$DK$18,CZ289,'Safety parameters'!$DL$6:$DL$18,1)+IF(dd_PartSA_2_lines = "Yes",0,SUMIFS('Safety parameters'!$DM$6:$DM$18,'Safety parameters'!$DK$6:$DK$18,DA289,'Safety parameters'!$DL$6:$DL$18,2)+SUMIFS('Safety parameters'!$DM$6:$DM$18,'Safety parameters'!$DK$6:$DK$18,DB289,'Safety parameters'!$DL$6:$DL$18,2))</f>
        <v>2145.8369470981288</v>
      </c>
      <c r="DT289" s="910">
        <f ca="1">SUMIFS('Safety parameters'!$DO$6:$DO$18,'Safety parameters'!$DK$6:$DK$18,CZ289,'Safety parameters'!$DL$6:$DL$18,1)+IF(dd_PartSA_2_lines = "Yes",0,SUMIFS('Safety parameters'!$DO$6:$DO$18,'Safety parameters'!$DK$6:$DK$18,DA289,'Safety parameters'!$DL$6:$DL$18,2)+SUMIFS('Safety parameters'!$DO$6:$DO$18,'Safety parameters'!$DK$6:$DK$18,DB289,'Safety parameters'!$DL$6:$DL$18,2))</f>
        <v>-1.9786705662528051E-2</v>
      </c>
    </row>
    <row r="290" spans="89:124" ht="15" x14ac:dyDescent="0.2">
      <c r="CK290" s="61" t="s">
        <v>31</v>
      </c>
      <c r="CL290" s="61">
        <v>3</v>
      </c>
      <c r="CM290" s="61" t="str">
        <v>cabozantinib_plus_nivolumab</v>
      </c>
      <c r="CN290" s="17">
        <v>1</v>
      </c>
      <c r="CO290" s="61" t="str" cm="1">
        <f t="array" ref="CO290">INDEX(List_comparators,CP289+1)</f>
        <v>lenvatinib_plus_pembrolizumab</v>
      </c>
      <c r="CP290" s="17">
        <v>3</v>
      </c>
      <c r="CQ290" s="601">
        <f t="shared" ca="1" si="206"/>
        <v>0</v>
      </c>
      <c r="CR290" s="601">
        <f t="shared" ca="1" si="207"/>
        <v>0</v>
      </c>
      <c r="CS290" s="671">
        <f t="shared" ca="1" si="209"/>
        <v>0</v>
      </c>
      <c r="CT290" s="671">
        <f t="shared" ca="1" si="208"/>
        <v>0</v>
      </c>
      <c r="CU290" s="1123">
        <f>MATCH(CZ290,'Resource use and costs'!$BA$11:$BA$53,0)</f>
        <v>21</v>
      </c>
      <c r="CV290" s="1223"/>
      <c r="CW290" s="1241">
        <f t="shared" si="202"/>
        <v>1</v>
      </c>
      <c r="CX290" s="899" t="s">
        <v>773</v>
      </c>
      <c r="CY290" s="899" t="s">
        <v>582</v>
      </c>
      <c r="CZ290" s="899" t="s">
        <v>585</v>
      </c>
      <c r="DA290" s="899" t="s">
        <v>327</v>
      </c>
      <c r="DB290" s="899" t="s">
        <v>119</v>
      </c>
      <c r="DC290" s="899" cm="1">
        <f t="array" aca="1" ref="DC290" ca="1">_xlfn.IFNA(OFFSET($I$49,MATCH(CY290,$I$50:$I$63,0),MATCH(CZ290,TRANSPOSE($J$49:$W$49),0)),0)</f>
        <v>0</v>
      </c>
      <c r="DD290" s="899" cm="1">
        <f t="array" aca="1" ref="DD290" ca="1">_xlfn.IFNA(OFFSET($Y$49,MATCH($CZ290,$Y$50:$Y$63,0),MATCH($DA290,TRANSPOSE($Z$49:$AM$49),0)),0)</f>
        <v>0</v>
      </c>
      <c r="DE290" s="899" cm="1">
        <f t="array" aca="1" ref="DE290" ca="1">_xlfn.IFNA(OFFSET($AO$49,MATCH($DA290,$AO$50:$AO$63,0),MATCH($DB290,TRANSPOSE($AP$49:$BC$49),0)),0)</f>
        <v>0.56859999999999999</v>
      </c>
      <c r="DF290" s="881">
        <f t="shared" ca="1" si="199"/>
        <v>0</v>
      </c>
      <c r="DG290" s="910">
        <f t="shared" ca="1" si="200"/>
        <v>1.0029381384308471</v>
      </c>
      <c r="DH290" s="881">
        <f t="shared" ca="1" si="201"/>
        <v>0</v>
      </c>
      <c r="DI290" s="1461">
        <f t="shared" ca="1" si="197"/>
        <v>0</v>
      </c>
      <c r="DJ290" s="909">
        <f>_xlfn.IFNA(INDEX('Resource use and costs'!$CQ$11:$CQ$53,MATCH($CZ290,'Resource use and costs'!$BA$11:$BA$53,0)),0)*_xlfn.IFNA(INDEX(DY$10:DY$23,MATCH($CZ290,$DX$10:$DX$23,0)),0)</f>
        <v>4551.2486654444447</v>
      </c>
      <c r="DK290" s="909">
        <f>IF(dd_PartSA_2_lines = "Yes",0,_xlfn.IFNA(INDEX('Resource use and costs'!$CR$11:$CR$53,MATCH(DA290,'Resource use and costs'!$BA$11:$BA$53,0)),0)*_xlfn.IFNA(INDEX(EA$10:EA$23,MATCH($DA290,$DX$10:$DX$23,0)),0))</f>
        <v>21421.066008214286</v>
      </c>
      <c r="DL290" s="909">
        <f>IF(dd_PartSA_2_lines = "Yes",0,_xlfn.IFNA(INDEX('Resource use and costs'!$CS$11:$CS$53,MATCH(DB290,'Resource use and costs'!$BA$11:$BA$53,0)),0)*_xlfn.IFNA(INDEX(EC$10:EC$23,MATCH($DB290,$DX$10:$DX$23,0)),0))</f>
        <v>2915.4763433333328</v>
      </c>
      <c r="DM290" s="909">
        <f t="shared" si="203"/>
        <v>28887.791016992061</v>
      </c>
      <c r="DN290" s="909">
        <f>SUM(_xlfn.IFNA(INDEX('Resource use and costs'!$DU$12:$DU$25,MATCH(CZ290,'Resource use and costs'!$DS$12:$DS$25,0)),0),_xlfn.IFNA(INDEX('Resource use and costs'!$DU$12:$DU$25,MATCH(DA290,'Resource use and costs'!$DS$12:$DS$25,0)),0),_xlfn.IFNA(INDEX('Resource use and costs'!$DU$12:$DU$25,MATCH(DB290,'Resource use and costs'!$DS$12:$DS$25,0)),0))</f>
        <v>591.75</v>
      </c>
      <c r="DO290" s="921">
        <f>_xlfn.IFNA(INDEX('Resource use and costs'!$DY$12:$DY$25,MATCH(CZ290,'Resource use and costs'!$DS$12:$DS$25,0)),0)*_xlfn.IFNA(INDEX(DY$10:DY$23,MATCH($CZ290,$DX$10:$DX$23,0)),0)</f>
        <v>410.14183571428572</v>
      </c>
      <c r="DP290" s="921">
        <f>IF(dd_PartSA_2_lines = "Yes",0,_xlfn.IFNA(INDEX('Resource use and costs'!$DZ$12:$DZ$25,MATCH(DA290,'Resource use and costs'!$DS$12:$DS$25,0)),0)*_xlfn.IFNA(INDEX(EA$10:EA$23,MATCH($DA290,$DX$10:$DX$23,0)),0))</f>
        <v>267.99172714285714</v>
      </c>
      <c r="DQ290" s="921">
        <f>IF(dd_PartSA_2_lines = "Yes",0,_xlfn.IFNA(INDEX('Resource use and costs'!$EA$12:$EA$25,MATCH(DB290,'Resource use and costs'!$DS$12:$DS$25,0)),0)*_xlfn.IFNA(INDEX(EC$10:EC$23,MATCH($DB290,$DX$10:$DX$23,0)),0))</f>
        <v>256.11457142857142</v>
      </c>
      <c r="DR290" s="921">
        <f t="shared" si="204"/>
        <v>1525.9981342857143</v>
      </c>
      <c r="DS290" s="1004">
        <f ca="1">SUMIFS('Safety parameters'!$DM$6:$DM$18,'Safety parameters'!$DK$6:$DK$18,CZ290,'Safety parameters'!$DL$6:$DL$18,1)+IF(dd_PartSA_2_lines = "Yes",0,SUMIFS('Safety parameters'!$DM$6:$DM$18,'Safety parameters'!$DK$6:$DK$18,DA290,'Safety parameters'!$DL$6:$DL$18,2)+SUMIFS('Safety parameters'!$DM$6:$DM$18,'Safety parameters'!$DK$6:$DK$18,DB290,'Safety parameters'!$DL$6:$DL$18,2))</f>
        <v>2478.7123304734437</v>
      </c>
      <c r="DT290" s="910">
        <f ca="1">SUMIFS('Safety parameters'!$DO$6:$DO$18,'Safety parameters'!$DK$6:$DK$18,CZ290,'Safety parameters'!$DL$6:$DL$18,1)+IF(dd_PartSA_2_lines = "Yes",0,SUMIFS('Safety parameters'!$DO$6:$DO$18,'Safety parameters'!$DK$6:$DK$18,DA290,'Safety parameters'!$DL$6:$DL$18,2)+SUMIFS('Safety parameters'!$DO$6:$DO$18,'Safety parameters'!$DK$6:$DK$18,DB290,'Safety parameters'!$DL$6:$DL$18,2))</f>
        <v>-2.2454279199165771E-2</v>
      </c>
    </row>
    <row r="291" spans="89:124" ht="15" x14ac:dyDescent="0.2">
      <c r="CK291" s="61" t="s">
        <v>31</v>
      </c>
      <c r="CL291" s="61">
        <v>3</v>
      </c>
      <c r="CM291" s="61" t="str">
        <v>nivolumab_plus_ipilimumab</v>
      </c>
      <c r="CN291" s="17">
        <v>2</v>
      </c>
      <c r="CO291" s="61" t="str" cm="1">
        <f t="array" ref="CO291">INDEX(List_comparators,CP290+1)</f>
        <v>lenvatinib_plus_pembrolizumab</v>
      </c>
      <c r="CP291" s="17">
        <v>3</v>
      </c>
      <c r="CQ291" s="601">
        <f t="shared" ca="1" si="206"/>
        <v>0</v>
      </c>
      <c r="CR291" s="601">
        <f t="shared" ca="1" si="207"/>
        <v>0</v>
      </c>
      <c r="CS291" s="671">
        <f t="shared" ca="1" si="209"/>
        <v>0</v>
      </c>
      <c r="CT291" s="671">
        <f t="shared" ca="1" si="208"/>
        <v>0</v>
      </c>
      <c r="CU291" s="1123">
        <f>MATCH(CZ291,'Resource use and costs'!$BA$11:$BA$53,0)</f>
        <v>21</v>
      </c>
      <c r="CV291" s="1223"/>
      <c r="CW291" s="1241">
        <f t="shared" si="202"/>
        <v>1</v>
      </c>
      <c r="CX291" s="899" t="s">
        <v>773</v>
      </c>
      <c r="CY291" s="899" t="s">
        <v>582</v>
      </c>
      <c r="CZ291" s="899" t="s">
        <v>585</v>
      </c>
      <c r="DA291" s="899" t="s">
        <v>765</v>
      </c>
      <c r="DB291" s="899"/>
      <c r="DC291" s="899" cm="1">
        <f t="array" aca="1" ref="DC291" ca="1">_xlfn.IFNA(OFFSET($I$49,MATCH(CY291,$I$50:$I$63,0),MATCH(CZ291,TRANSPOSE($J$49:$W$49),0)),0)</f>
        <v>0</v>
      </c>
      <c r="DD291" s="899" cm="1">
        <f t="array" aca="1" ref="DD291" ca="1">_xlfn.IFNA(OFFSET($Y$49,MATCH($CZ291,$Y$50:$Y$63,0),MATCH($DA291,TRANSPOSE($Z$49:$AM$49),0)),0)</f>
        <v>0.34300000000000003</v>
      </c>
      <c r="DE291" s="899" cm="1">
        <f t="array" aca="1" ref="DE291" ca="1">_xlfn.IFNA(OFFSET($AO$49,MATCH($DA291,$AO$50:$AO$63,0),MATCH($DB291,TRANSPOSE($AP$49:$BC$49),0)),0)</f>
        <v>0</v>
      </c>
      <c r="DF291" s="881">
        <f t="shared" ca="1" si="199"/>
        <v>0</v>
      </c>
      <c r="DG291" s="910">
        <f t="shared" ca="1" si="200"/>
        <v>1.0029381384308471</v>
      </c>
      <c r="DH291" s="881">
        <f t="shared" ca="1" si="201"/>
        <v>0</v>
      </c>
      <c r="DI291" s="1461">
        <f t="shared" ca="1" si="197"/>
        <v>0</v>
      </c>
      <c r="DJ291" s="909">
        <f>_xlfn.IFNA(INDEX('Resource use and costs'!$CQ$11:$CQ$53,MATCH($CZ291,'Resource use and costs'!$BA$11:$BA$53,0)),0)*_xlfn.IFNA(INDEX(DY$10:DY$23,MATCH($CZ291,$DX$10:$DX$23,0)),0)</f>
        <v>4551.2486654444447</v>
      </c>
      <c r="DK291" s="909">
        <f>IF(dd_PartSA_2_lines = "Yes",0,_xlfn.IFNA(INDEX('Resource use and costs'!$CR$11:$CR$53,MATCH(DA291,'Resource use and costs'!$BA$11:$BA$53,0)),0)*_xlfn.IFNA(INDEX(EA$10:EA$23,MATCH($DA291,$DX$10:$DX$23,0)),0))</f>
        <v>0</v>
      </c>
      <c r="DL291" s="909">
        <f>IF(dd_PartSA_2_lines = "Yes",0,_xlfn.IFNA(INDEX('Resource use and costs'!$CS$11:$CS$53,MATCH(DB291,'Resource use and costs'!$BA$11:$BA$53,0)),0)*_xlfn.IFNA(INDEX(EC$10:EC$23,MATCH($DB291,$DX$10:$DX$23,0)),0))</f>
        <v>0</v>
      </c>
      <c r="DM291" s="909">
        <f t="shared" si="203"/>
        <v>4551.2486654444447</v>
      </c>
      <c r="DN291" s="909">
        <f>SUM(_xlfn.IFNA(INDEX('Resource use and costs'!$DU$12:$DU$25,MATCH(CZ291,'Resource use and costs'!$DS$12:$DS$25,0)),0),_xlfn.IFNA(INDEX('Resource use and costs'!$DU$12:$DU$25,MATCH(DA291,'Resource use and costs'!$DS$12:$DS$25,0)),0),_xlfn.IFNA(INDEX('Resource use and costs'!$DU$12:$DU$25,MATCH(DB291,'Resource use and costs'!$DS$12:$DS$25,0)),0))</f>
        <v>197.25</v>
      </c>
      <c r="DO291" s="921">
        <f>_xlfn.IFNA(INDEX('Resource use and costs'!$DY$12:$DY$25,MATCH(CZ291,'Resource use and costs'!$DS$12:$DS$25,0)),0)*_xlfn.IFNA(INDEX(DY$10:DY$23,MATCH($CZ291,$DX$10:$DX$23,0)),0)</f>
        <v>410.14183571428572</v>
      </c>
      <c r="DP291" s="921">
        <f>IF(dd_PartSA_2_lines = "Yes",0,_xlfn.IFNA(INDEX('Resource use and costs'!$DZ$12:$DZ$25,MATCH(DA291,'Resource use and costs'!$DS$12:$DS$25,0)),0)*_xlfn.IFNA(INDEX(EA$10:EA$23,MATCH($DA291,$DX$10:$DX$23,0)),0))</f>
        <v>0</v>
      </c>
      <c r="DQ291" s="921">
        <f>IF(dd_PartSA_2_lines = "Yes",0,_xlfn.IFNA(INDEX('Resource use and costs'!$EA$12:$EA$25,MATCH(DB291,'Resource use and costs'!$DS$12:$DS$25,0)),0)*_xlfn.IFNA(INDEX(EC$10:EC$23,MATCH($DB291,$DX$10:$DX$23,0)),0))</f>
        <v>0</v>
      </c>
      <c r="DR291" s="921">
        <f t="shared" si="204"/>
        <v>607.39183571428566</v>
      </c>
      <c r="DS291" s="1004">
        <f ca="1">SUMIFS('Safety parameters'!$DM$6:$DM$18,'Safety parameters'!$DK$6:$DK$18,CZ291,'Safety parameters'!$DL$6:$DL$18,1)+IF(dd_PartSA_2_lines = "Yes",0,SUMIFS('Safety parameters'!$DM$6:$DM$18,'Safety parameters'!$DK$6:$DK$18,DA291,'Safety parameters'!$DL$6:$DL$18,2)+SUMIFS('Safety parameters'!$DM$6:$DM$18,'Safety parameters'!$DK$6:$DK$18,DB291,'Safety parameters'!$DL$6:$DL$18,2))</f>
        <v>511.60827353266905</v>
      </c>
      <c r="DT291" s="910">
        <f ca="1">SUMIFS('Safety parameters'!$DO$6:$DO$18,'Safety parameters'!$DK$6:$DK$18,CZ291,'Safety parameters'!$DL$6:$DL$18,1)+IF(dd_PartSA_2_lines = "Yes",0,SUMIFS('Safety parameters'!$DO$6:$DO$18,'Safety parameters'!$DK$6:$DK$18,DA291,'Safety parameters'!$DL$6:$DL$18,2)+SUMIFS('Safety parameters'!$DO$6:$DO$18,'Safety parameters'!$DK$6:$DK$18,DB291,'Safety parameters'!$DL$6:$DL$18,2))</f>
        <v>-5.0447816550466236E-3</v>
      </c>
    </row>
    <row r="292" spans="89:124" ht="15" x14ac:dyDescent="0.2">
      <c r="CK292" s="61" t="s">
        <v>31</v>
      </c>
      <c r="CL292" s="61">
        <v>3</v>
      </c>
      <c r="CM292" s="61" t="str">
        <v>lenvatinib_plus_pembrolizumab</v>
      </c>
      <c r="CN292" s="17">
        <v>3</v>
      </c>
      <c r="CO292" s="61" t="str" cm="1">
        <f t="array" ref="CO292">INDEX(List_comparators,CP291+1)</f>
        <v>lenvatinib_plus_pembrolizumab</v>
      </c>
      <c r="CP292" s="17">
        <v>3</v>
      </c>
      <c r="CQ292" s="601">
        <f t="shared" ca="1" si="206"/>
        <v>0</v>
      </c>
      <c r="CR292" s="601">
        <f t="shared" ca="1" si="207"/>
        <v>0</v>
      </c>
      <c r="CS292" s="671">
        <f t="shared" ca="1" si="209"/>
        <v>0</v>
      </c>
      <c r="CT292" s="671">
        <f t="shared" ca="1" si="208"/>
        <v>0</v>
      </c>
      <c r="CU292" s="1123">
        <f>MATCH(CZ292,'Resource use and costs'!$BA$11:$BA$53,0)</f>
        <v>21</v>
      </c>
      <c r="CV292" s="1223"/>
      <c r="CW292" s="1241">
        <f t="shared" si="202"/>
        <v>1</v>
      </c>
      <c r="CX292" s="899" t="s">
        <v>773</v>
      </c>
      <c r="CY292" s="899" t="s">
        <v>582</v>
      </c>
      <c r="CZ292" s="899" t="s">
        <v>585</v>
      </c>
      <c r="DA292" s="899" t="s">
        <v>118</v>
      </c>
      <c r="DB292" s="899" t="s">
        <v>327</v>
      </c>
      <c r="DC292" s="899" cm="1">
        <f t="array" aca="1" ref="DC292" ca="1">_xlfn.IFNA(OFFSET($I$49,MATCH(CY292,$I$50:$I$63,0),MATCH(CZ292,TRANSPOSE($J$49:$W$49),0)),0)</f>
        <v>0</v>
      </c>
      <c r="DD292" s="899" cm="1">
        <f t="array" aca="1" ref="DD292" ca="1">_xlfn.IFNA(OFFSET($Y$49,MATCH($CZ292,$Y$50:$Y$63,0),MATCH($DA292,TRANSPOSE($Z$49:$AM$49),0)),0)</f>
        <v>0.32850000000000001</v>
      </c>
      <c r="DE292" s="899" cm="1">
        <f t="array" aca="1" ref="DE292" ca="1">_xlfn.IFNA(OFFSET($AO$49,MATCH($DA292,$AO$50:$AO$63,0),MATCH($DB292,TRANSPOSE($AP$49:$BC$49),0)),0)</f>
        <v>0.38769999999999999</v>
      </c>
      <c r="DF292" s="881">
        <f t="shared" ca="1" si="199"/>
        <v>0</v>
      </c>
      <c r="DG292" s="910">
        <f t="shared" ca="1" si="200"/>
        <v>1.0029381384308471</v>
      </c>
      <c r="DH292" s="881">
        <f t="shared" ca="1" si="201"/>
        <v>0</v>
      </c>
      <c r="DI292" s="1461">
        <f t="shared" ca="1" si="197"/>
        <v>0</v>
      </c>
      <c r="DJ292" s="909">
        <f>_xlfn.IFNA(INDEX('Resource use and costs'!$CQ$11:$CQ$53,MATCH($CZ292,'Resource use and costs'!$BA$11:$BA$53,0)),0)*_xlfn.IFNA(INDEX(DY$10:DY$23,MATCH($CZ292,$DX$10:$DX$23,0)),0)</f>
        <v>4551.2486654444447</v>
      </c>
      <c r="DK292" s="909">
        <f>IF(dd_PartSA_2_lines = "Yes",0,_xlfn.IFNA(INDEX('Resource use and costs'!$CR$11:$CR$53,MATCH(DA292,'Resource use and costs'!$BA$11:$BA$53,0)),0)*_xlfn.IFNA(INDEX(EA$10:EA$23,MATCH($DA292,$DX$10:$DX$23,0)),0))</f>
        <v>50308.075122000002</v>
      </c>
      <c r="DL292" s="909">
        <f>IF(dd_PartSA_2_lines = "Yes",0,_xlfn.IFNA(INDEX('Resource use and costs'!$CS$11:$CS$53,MATCH(DB292,'Resource use and costs'!$BA$11:$BA$53,0)),0)*_xlfn.IFNA(INDEX(EC$10:EC$23,MATCH($DB292,$DX$10:$DX$23,0)),0))</f>
        <v>18438.751749999999</v>
      </c>
      <c r="DM292" s="909">
        <f t="shared" si="203"/>
        <v>73298.075537444442</v>
      </c>
      <c r="DN292" s="909">
        <f>SUM(_xlfn.IFNA(INDEX('Resource use and costs'!$DU$12:$DU$25,MATCH(CZ292,'Resource use and costs'!$DS$12:$DS$25,0)),0),_xlfn.IFNA(INDEX('Resource use and costs'!$DU$12:$DU$25,MATCH(DA292,'Resource use and costs'!$DS$12:$DS$25,0)),0),_xlfn.IFNA(INDEX('Resource use and costs'!$DU$12:$DU$25,MATCH(DB292,'Resource use and costs'!$DS$12:$DS$25,0)),0))</f>
        <v>591.75</v>
      </c>
      <c r="DO292" s="921">
        <f>_xlfn.IFNA(INDEX('Resource use and costs'!$DY$12:$DY$25,MATCH(CZ292,'Resource use and costs'!$DS$12:$DS$25,0)),0)*_xlfn.IFNA(INDEX(DY$10:DY$23,MATCH($CZ292,$DX$10:$DX$23,0)),0)</f>
        <v>410.14183571428572</v>
      </c>
      <c r="DP292" s="921">
        <f>IF(dd_PartSA_2_lines = "Yes",0,_xlfn.IFNA(INDEX('Resource use and costs'!$DZ$12:$DZ$25,MATCH(DA292,'Resource use and costs'!$DS$12:$DS$25,0)),0)*_xlfn.IFNA(INDEX(EA$10:EA$23,MATCH($DA292,$DX$10:$DX$23,0)),0))</f>
        <v>461.1445457142857</v>
      </c>
      <c r="DQ292" s="921">
        <f>IF(dd_PartSA_2_lines = "Yes",0,_xlfn.IFNA(INDEX('Resource use and costs'!$EA$12:$EA$25,MATCH(DB292,'Resource use and costs'!$DS$12:$DS$25,0)),0)*_xlfn.IFNA(INDEX(EC$10:EC$23,MATCH($DB292,$DX$10:$DX$23,0)),0))</f>
        <v>230.68099999999998</v>
      </c>
      <c r="DR292" s="921">
        <f t="shared" si="204"/>
        <v>1693.7173814285713</v>
      </c>
      <c r="DS292" s="1004">
        <f ca="1">SUMIFS('Safety parameters'!$DM$6:$DM$18,'Safety parameters'!$DK$6:$DK$18,CZ292,'Safety parameters'!$DL$6:$DL$18,1)+IF(dd_PartSA_2_lines = "Yes",0,SUMIFS('Safety parameters'!$DM$6:$DM$18,'Safety parameters'!$DK$6:$DK$18,DA292,'Safety parameters'!$DL$6:$DL$18,2)+SUMIFS('Safety parameters'!$DM$6:$DM$18,'Safety parameters'!$DK$6:$DK$18,DB292,'Safety parameters'!$DL$6:$DL$18,2))</f>
        <v>2889.4862469015125</v>
      </c>
      <c r="DT292" s="910">
        <f ca="1">SUMIFS('Safety parameters'!$DO$6:$DO$18,'Safety parameters'!$DK$6:$DK$18,CZ292,'Safety parameters'!$DL$6:$DL$18,1)+IF(dd_PartSA_2_lines = "Yes",0,SUMIFS('Safety parameters'!$DO$6:$DO$18,'Safety parameters'!$DK$6:$DK$18,DA292,'Safety parameters'!$DL$6:$DL$18,2)+SUMIFS('Safety parameters'!$DO$6:$DO$18,'Safety parameters'!$DK$6:$DK$18,DB292,'Safety parameters'!$DL$6:$DL$18,2))</f>
        <v>-2.680903201876399E-2</v>
      </c>
    </row>
    <row r="293" spans="89:124" ht="15" x14ac:dyDescent="0.2">
      <c r="CK293" s="61" t="s">
        <v>31</v>
      </c>
      <c r="CL293" s="61">
        <v>3</v>
      </c>
      <c r="CM293" s="61" t="str">
        <v>avelumab_plus_axitinib</v>
      </c>
      <c r="CN293" s="17">
        <v>4</v>
      </c>
      <c r="CO293" s="61" t="str" cm="1">
        <f t="array" ref="CO293">INDEX(List_comparators,CP292+1)</f>
        <v>lenvatinib_plus_pembrolizumab</v>
      </c>
      <c r="CP293" s="17">
        <v>3</v>
      </c>
      <c r="CQ293" s="601">
        <f t="shared" ca="1" si="206"/>
        <v>0</v>
      </c>
      <c r="CR293" s="601">
        <f t="shared" ca="1" si="207"/>
        <v>0</v>
      </c>
      <c r="CS293" s="671">
        <f t="shared" ca="1" si="209"/>
        <v>0</v>
      </c>
      <c r="CT293" s="671">
        <f t="shared" ca="1" si="208"/>
        <v>0</v>
      </c>
      <c r="CU293" s="1123">
        <f>MATCH(CZ293,'Resource use and costs'!$BA$11:$BA$53,0)</f>
        <v>21</v>
      </c>
      <c r="CV293" s="1223"/>
      <c r="CW293" s="1241">
        <f t="shared" si="202"/>
        <v>1</v>
      </c>
      <c r="CX293" s="899" t="s">
        <v>773</v>
      </c>
      <c r="CY293" s="899" t="s">
        <v>582</v>
      </c>
      <c r="CZ293" s="899" t="s">
        <v>585</v>
      </c>
      <c r="DA293" s="899" t="s">
        <v>118</v>
      </c>
      <c r="DB293" s="899" t="s">
        <v>765</v>
      </c>
      <c r="DC293" s="899" cm="1">
        <f t="array" aca="1" ref="DC293" ca="1">_xlfn.IFNA(OFFSET($I$49,MATCH(CY293,$I$50:$I$63,0),MATCH(CZ293,TRANSPOSE($J$49:$W$49),0)),0)</f>
        <v>0</v>
      </c>
      <c r="DD293" s="899" cm="1">
        <f t="array" aca="1" ref="DD293" ca="1">_xlfn.IFNA(OFFSET($Y$49,MATCH($CZ293,$Y$50:$Y$63,0),MATCH($DA293,TRANSPOSE($Z$49:$AM$49),0)),0)</f>
        <v>0.32850000000000001</v>
      </c>
      <c r="DE293" s="899" cm="1">
        <f t="array" aca="1" ref="DE293" ca="1">_xlfn.IFNA(OFFSET($AO$49,MATCH($DA293,$AO$50:$AO$63,0),MATCH($DB293,TRANSPOSE($AP$49:$BC$49),0)),0)</f>
        <v>0.43140000000000001</v>
      </c>
      <c r="DF293" s="881">
        <f t="shared" ca="1" si="199"/>
        <v>0</v>
      </c>
      <c r="DG293" s="910">
        <f t="shared" ca="1" si="200"/>
        <v>1.0029381384308471</v>
      </c>
      <c r="DH293" s="881">
        <f t="shared" ca="1" si="201"/>
        <v>0</v>
      </c>
      <c r="DI293" s="1461">
        <f t="shared" ca="1" si="197"/>
        <v>0</v>
      </c>
      <c r="DJ293" s="909">
        <f>_xlfn.IFNA(INDEX('Resource use and costs'!$CQ$11:$CQ$53,MATCH($CZ293,'Resource use and costs'!$BA$11:$BA$53,0)),0)*_xlfn.IFNA(INDEX(DY$10:DY$23,MATCH($CZ293,$DX$10:$DX$23,0)),0)</f>
        <v>4551.2486654444447</v>
      </c>
      <c r="DK293" s="909">
        <f>IF(dd_PartSA_2_lines = "Yes",0,_xlfn.IFNA(INDEX('Resource use and costs'!$CR$11:$CR$53,MATCH(DA293,'Resource use and costs'!$BA$11:$BA$53,0)),0)*_xlfn.IFNA(INDEX(EA$10:EA$23,MATCH($DA293,$DX$10:$DX$23,0)),0))</f>
        <v>50308.075122000002</v>
      </c>
      <c r="DL293" s="909">
        <f>IF(dd_PartSA_2_lines = "Yes",0,_xlfn.IFNA(INDEX('Resource use and costs'!$CS$11:$CS$53,MATCH(DB293,'Resource use and costs'!$BA$11:$BA$53,0)),0)*_xlfn.IFNA(INDEX(EC$10:EC$23,MATCH($DB293,$DX$10:$DX$23,0)),0))</f>
        <v>0</v>
      </c>
      <c r="DM293" s="909">
        <f t="shared" si="203"/>
        <v>54859.323787444446</v>
      </c>
      <c r="DN293" s="909">
        <f>SUM(_xlfn.IFNA(INDEX('Resource use and costs'!$DU$12:$DU$25,MATCH(CZ293,'Resource use and costs'!$DS$12:$DS$25,0)),0),_xlfn.IFNA(INDEX('Resource use and costs'!$DU$12:$DU$25,MATCH(DA293,'Resource use and costs'!$DS$12:$DS$25,0)),0),_xlfn.IFNA(INDEX('Resource use and costs'!$DU$12:$DU$25,MATCH(DB293,'Resource use and costs'!$DS$12:$DS$25,0)),0))</f>
        <v>394.5</v>
      </c>
      <c r="DO293" s="921">
        <f>_xlfn.IFNA(INDEX('Resource use and costs'!$DY$12:$DY$25,MATCH(CZ293,'Resource use and costs'!$DS$12:$DS$25,0)),0)*_xlfn.IFNA(INDEX(DY$10:DY$23,MATCH($CZ293,$DX$10:$DX$23,0)),0)</f>
        <v>410.14183571428572</v>
      </c>
      <c r="DP293" s="921">
        <f>IF(dd_PartSA_2_lines = "Yes",0,_xlfn.IFNA(INDEX('Resource use and costs'!$DZ$12:$DZ$25,MATCH(DA293,'Resource use and costs'!$DS$12:$DS$25,0)),0)*_xlfn.IFNA(INDEX(EA$10:EA$23,MATCH($DA293,$DX$10:$DX$23,0)),0))</f>
        <v>461.1445457142857</v>
      </c>
      <c r="DQ293" s="921">
        <f>IF(dd_PartSA_2_lines = "Yes",0,_xlfn.IFNA(INDEX('Resource use and costs'!$EA$12:$EA$25,MATCH(DB293,'Resource use and costs'!$DS$12:$DS$25,0)),0)*_xlfn.IFNA(INDEX(EC$10:EC$23,MATCH($DB293,$DX$10:$DX$23,0)),0))</f>
        <v>0</v>
      </c>
      <c r="DR293" s="921">
        <f t="shared" si="204"/>
        <v>1265.7863814285713</v>
      </c>
      <c r="DS293" s="1004">
        <f ca="1">SUMIFS('Safety parameters'!$DM$6:$DM$18,'Safety parameters'!$DK$6:$DK$18,CZ293,'Safety parameters'!$DL$6:$DL$18,1)+IF(dd_PartSA_2_lines = "Yes",0,SUMIFS('Safety parameters'!$DM$6:$DM$18,'Safety parameters'!$DK$6:$DK$18,DA293,'Safety parameters'!$DL$6:$DL$18,2)+SUMIFS('Safety parameters'!$DM$6:$DM$18,'Safety parameters'!$DK$6:$DK$18,DB293,'Safety parameters'!$DL$6:$DL$18,2))</f>
        <v>1255.2575733360525</v>
      </c>
      <c r="DT293" s="910">
        <f ca="1">SUMIFS('Safety parameters'!$DO$6:$DO$18,'Safety parameters'!$DK$6:$DK$18,CZ293,'Safety parameters'!$DL$6:$DL$18,1)+IF(dd_PartSA_2_lines = "Yes",0,SUMIFS('Safety parameters'!$DO$6:$DO$18,'Safety parameters'!$DK$6:$DK$18,DA293,'Safety parameters'!$DL$6:$DL$18,2)+SUMIFS('Safety parameters'!$DO$6:$DO$18,'Safety parameters'!$DK$6:$DK$18,DB293,'Safety parameters'!$DL$6:$DL$18,2))</f>
        <v>-1.2067108011282562E-2</v>
      </c>
    </row>
    <row r="294" spans="89:124" ht="15" x14ac:dyDescent="0.2">
      <c r="CK294" s="61" t="s">
        <v>31</v>
      </c>
      <c r="CL294" s="61">
        <v>3</v>
      </c>
      <c r="CM294" s="61" t="str">
        <v>pazopanib</v>
      </c>
      <c r="CN294" s="17">
        <v>5</v>
      </c>
      <c r="CO294" s="61" t="str" cm="1">
        <f t="array" ref="CO294">INDEX(List_comparators,CP293+1)</f>
        <v>lenvatinib_plus_pembrolizumab</v>
      </c>
      <c r="CP294" s="17">
        <v>3</v>
      </c>
      <c r="CQ294" s="601">
        <f t="shared" ca="1" si="206"/>
        <v>0</v>
      </c>
      <c r="CR294" s="601">
        <f t="shared" ca="1" si="207"/>
        <v>0</v>
      </c>
      <c r="CS294" s="671">
        <f t="shared" ca="1" si="209"/>
        <v>0</v>
      </c>
      <c r="CT294" s="671">
        <f t="shared" ca="1" si="208"/>
        <v>0</v>
      </c>
      <c r="CU294" s="1123">
        <f>MATCH(CZ294,'Resource use and costs'!$BA$11:$BA$53,0)</f>
        <v>21</v>
      </c>
      <c r="CV294" s="1223"/>
      <c r="CW294" s="1241">
        <f t="shared" si="202"/>
        <v>1</v>
      </c>
      <c r="CX294" s="899" t="s">
        <v>773</v>
      </c>
      <c r="CY294" s="899" t="s">
        <v>582</v>
      </c>
      <c r="CZ294" s="899" t="s">
        <v>585</v>
      </c>
      <c r="DA294" s="899" t="s">
        <v>118</v>
      </c>
      <c r="DB294" s="899" t="s">
        <v>119</v>
      </c>
      <c r="DC294" s="899" cm="1">
        <f t="array" aca="1" ref="DC294" ca="1">_xlfn.IFNA(OFFSET($I$49,MATCH(CY294,$I$50:$I$63,0),MATCH(CZ294,TRANSPOSE($J$49:$W$49),0)),0)</f>
        <v>0</v>
      </c>
      <c r="DD294" s="899" cm="1">
        <f t="array" aca="1" ref="DD294" ca="1">_xlfn.IFNA(OFFSET($Y$49,MATCH($CZ294,$Y$50:$Y$63,0),MATCH($DA294,TRANSPOSE($Z$49:$AM$49),0)),0)</f>
        <v>0.32850000000000001</v>
      </c>
      <c r="DE294" s="899" cm="1">
        <f t="array" aca="1" ref="DE294" ca="1">_xlfn.IFNA(OFFSET($AO$49,MATCH($DA294,$AO$50:$AO$63,0),MATCH($DB294,TRANSPOSE($AP$49:$BC$49),0)),0)</f>
        <v>0.18090000000000001</v>
      </c>
      <c r="DF294" s="881">
        <f t="shared" ca="1" si="199"/>
        <v>0</v>
      </c>
      <c r="DG294" s="910">
        <f t="shared" ca="1" si="200"/>
        <v>1.0029381384308471</v>
      </c>
      <c r="DH294" s="881">
        <f t="shared" ca="1" si="201"/>
        <v>0</v>
      </c>
      <c r="DI294" s="1461">
        <f t="shared" ca="1" si="197"/>
        <v>0</v>
      </c>
      <c r="DJ294" s="909">
        <f>_xlfn.IFNA(INDEX('Resource use and costs'!$CQ$11:$CQ$53,MATCH($CZ294,'Resource use and costs'!$BA$11:$BA$53,0)),0)*_xlfn.IFNA(INDEX(DY$10:DY$23,MATCH($CZ294,$DX$10:$DX$23,0)),0)</f>
        <v>4551.2486654444447</v>
      </c>
      <c r="DK294" s="909">
        <f>IF(dd_PartSA_2_lines = "Yes",0,_xlfn.IFNA(INDEX('Resource use and costs'!$CR$11:$CR$53,MATCH(DA294,'Resource use and costs'!$BA$11:$BA$53,0)),0)*_xlfn.IFNA(INDEX(EA$10:EA$23,MATCH($DA294,$DX$10:$DX$23,0)),0))</f>
        <v>50308.075122000002</v>
      </c>
      <c r="DL294" s="909">
        <f>IF(dd_PartSA_2_lines = "Yes",0,_xlfn.IFNA(INDEX('Resource use and costs'!$CS$11:$CS$53,MATCH(DB294,'Resource use and costs'!$BA$11:$BA$53,0)),0)*_xlfn.IFNA(INDEX(EC$10:EC$23,MATCH($DB294,$DX$10:$DX$23,0)),0))</f>
        <v>2915.4763433333328</v>
      </c>
      <c r="DM294" s="909">
        <f t="shared" si="203"/>
        <v>57774.800130777781</v>
      </c>
      <c r="DN294" s="909">
        <f>SUM(_xlfn.IFNA(INDEX('Resource use and costs'!$DU$12:$DU$25,MATCH(CZ294,'Resource use and costs'!$DS$12:$DS$25,0)),0),_xlfn.IFNA(INDEX('Resource use and costs'!$DU$12:$DU$25,MATCH(DA294,'Resource use and costs'!$DS$12:$DS$25,0)),0),_xlfn.IFNA(INDEX('Resource use and costs'!$DU$12:$DU$25,MATCH(DB294,'Resource use and costs'!$DS$12:$DS$25,0)),0))</f>
        <v>591.75</v>
      </c>
      <c r="DO294" s="921">
        <f>_xlfn.IFNA(INDEX('Resource use and costs'!$DY$12:$DY$25,MATCH(CZ294,'Resource use and costs'!$DS$12:$DS$25,0)),0)*_xlfn.IFNA(INDEX(DY$10:DY$23,MATCH($CZ294,$DX$10:$DX$23,0)),0)</f>
        <v>410.14183571428572</v>
      </c>
      <c r="DP294" s="921">
        <f>IF(dd_PartSA_2_lines = "Yes",0,_xlfn.IFNA(INDEX('Resource use and costs'!$DZ$12:$DZ$25,MATCH(DA294,'Resource use and costs'!$DS$12:$DS$25,0)),0)*_xlfn.IFNA(INDEX(EA$10:EA$23,MATCH($DA294,$DX$10:$DX$23,0)),0))</f>
        <v>461.1445457142857</v>
      </c>
      <c r="DQ294" s="921">
        <f>IF(dd_PartSA_2_lines = "Yes",0,_xlfn.IFNA(INDEX('Resource use and costs'!$EA$12:$EA$25,MATCH(DB294,'Resource use and costs'!$DS$12:$DS$25,0)),0)*_xlfn.IFNA(INDEX(EC$10:EC$23,MATCH($DB294,$DX$10:$DX$23,0)),0))</f>
        <v>256.11457142857142</v>
      </c>
      <c r="DR294" s="921">
        <f t="shared" si="204"/>
        <v>1719.1509528571428</v>
      </c>
      <c r="DS294" s="1004">
        <f ca="1">SUMIFS('Safety parameters'!$DM$6:$DM$18,'Safety parameters'!$DK$6:$DK$18,CZ294,'Safety parameters'!$DL$6:$DL$18,1)+IF(dd_PartSA_2_lines = "Yes",0,SUMIFS('Safety parameters'!$DM$6:$DM$18,'Safety parameters'!$DK$6:$DK$18,DA294,'Safety parameters'!$DL$6:$DL$18,2)+SUMIFS('Safety parameters'!$DM$6:$DM$18,'Safety parameters'!$DK$6:$DK$18,DB294,'Safety parameters'!$DL$6:$DL$18,2))</f>
        <v>1588.1329567113673</v>
      </c>
      <c r="DT294" s="910">
        <f ca="1">SUMIFS('Safety parameters'!$DO$6:$DO$18,'Safety parameters'!$DK$6:$DK$18,CZ294,'Safety parameters'!$DL$6:$DL$18,1)+IF(dd_PartSA_2_lines = "Yes",0,SUMIFS('Safety parameters'!$DO$6:$DO$18,'Safety parameters'!$DK$6:$DK$18,DA294,'Safety parameters'!$DL$6:$DL$18,2)+SUMIFS('Safety parameters'!$DO$6:$DO$18,'Safety parameters'!$DK$6:$DK$18,DB294,'Safety parameters'!$DL$6:$DL$18,2))</f>
        <v>-1.4734681547920282E-2</v>
      </c>
    </row>
    <row r="295" spans="89:124" ht="15" x14ac:dyDescent="0.2">
      <c r="CK295" s="61" t="s">
        <v>31</v>
      </c>
      <c r="CL295" s="61">
        <v>3</v>
      </c>
      <c r="CM295" s="61" t="str">
        <v>tivozanib</v>
      </c>
      <c r="CN295" s="17">
        <v>6</v>
      </c>
      <c r="CO295" s="61" t="str" cm="1">
        <f t="array" ref="CO295">INDEX(List_comparators,CP294+1)</f>
        <v>lenvatinib_plus_pembrolizumab</v>
      </c>
      <c r="CP295" s="17">
        <v>3</v>
      </c>
      <c r="CQ295" s="601">
        <f t="shared" ca="1" si="206"/>
        <v>0</v>
      </c>
      <c r="CR295" s="601">
        <f t="shared" ca="1" si="207"/>
        <v>0</v>
      </c>
      <c r="CS295" s="671">
        <f t="shared" ca="1" si="209"/>
        <v>0</v>
      </c>
      <c r="CT295" s="671">
        <f t="shared" ca="1" si="208"/>
        <v>0</v>
      </c>
      <c r="CU295" s="1123">
        <f>MATCH(CZ295,'Resource use and costs'!$BA$11:$BA$53,0)</f>
        <v>21</v>
      </c>
      <c r="CV295" s="1223"/>
      <c r="CW295" s="1241">
        <f t="shared" si="202"/>
        <v>1</v>
      </c>
      <c r="CX295" s="899" t="s">
        <v>773</v>
      </c>
      <c r="CY295" s="899" t="s">
        <v>582</v>
      </c>
      <c r="CZ295" s="899" t="s">
        <v>585</v>
      </c>
      <c r="DA295" s="899" t="s">
        <v>119</v>
      </c>
      <c r="DB295" s="899" t="s">
        <v>327</v>
      </c>
      <c r="DC295" s="899" cm="1">
        <f t="array" aca="1" ref="DC295" ca="1">_xlfn.IFNA(OFFSET($I$49,MATCH(CY295,$I$50:$I$63,0),MATCH(CZ295,TRANSPOSE($J$49:$W$49),0)),0)</f>
        <v>0</v>
      </c>
      <c r="DD295" s="899" cm="1">
        <f t="array" aca="1" ref="DD295" ca="1">_xlfn.IFNA(OFFSET($Y$49,MATCH($CZ295,$Y$50:$Y$63,0),MATCH($DA295,TRANSPOSE($Z$49:$AM$49),0)),0)</f>
        <v>0</v>
      </c>
      <c r="DE295" s="899" cm="1">
        <f t="array" aca="1" ref="DE295" ca="1">_xlfn.IFNA(OFFSET($AO$49,MATCH($DA295,$AO$50:$AO$63,0),MATCH($DB295,TRANSPOSE($AP$49:$BC$49),0)),0)</f>
        <v>0</v>
      </c>
      <c r="DF295" s="881">
        <f t="shared" ca="1" si="199"/>
        <v>0</v>
      </c>
      <c r="DG295" s="910">
        <f t="shared" ca="1" si="200"/>
        <v>1.0029381384308471</v>
      </c>
      <c r="DH295" s="881">
        <f t="shared" ca="1" si="201"/>
        <v>0</v>
      </c>
      <c r="DI295" s="1461">
        <f t="shared" ca="1" si="197"/>
        <v>0</v>
      </c>
      <c r="DJ295" s="909">
        <f>_xlfn.IFNA(INDEX('Resource use and costs'!$CQ$11:$CQ$53,MATCH($CZ295,'Resource use and costs'!$BA$11:$BA$53,0)),0)*_xlfn.IFNA(INDEX(DY$10:DY$23,MATCH($CZ295,$DX$10:$DX$23,0)),0)</f>
        <v>4551.2486654444447</v>
      </c>
      <c r="DK295" s="909">
        <f>IF(dd_PartSA_2_lines = "Yes",0,_xlfn.IFNA(INDEX('Resource use and costs'!$CR$11:$CR$53,MATCH(DA295,'Resource use and costs'!$BA$11:$BA$53,0)),0)*_xlfn.IFNA(INDEX(EA$10:EA$23,MATCH($DA295,$DX$10:$DX$23,0)),0))</f>
        <v>848.17532499999982</v>
      </c>
      <c r="DL295" s="909">
        <f>IF(dd_PartSA_2_lines = "Yes",0,_xlfn.IFNA(INDEX('Resource use and costs'!$CS$11:$CS$53,MATCH(DB295,'Resource use and costs'!$BA$11:$BA$53,0)),0)*_xlfn.IFNA(INDEX(EC$10:EC$23,MATCH($DB295,$DX$10:$DX$23,0)),0))</f>
        <v>18438.751749999999</v>
      </c>
      <c r="DM295" s="909">
        <f t="shared" si="203"/>
        <v>23838.175740444443</v>
      </c>
      <c r="DN295" s="909">
        <f>SUM(_xlfn.IFNA(INDEX('Resource use and costs'!$DU$12:$DU$25,MATCH(CZ295,'Resource use and costs'!$DS$12:$DS$25,0)),0),_xlfn.IFNA(INDEX('Resource use and costs'!$DU$12:$DU$25,MATCH(DA295,'Resource use and costs'!$DS$12:$DS$25,0)),0),_xlfn.IFNA(INDEX('Resource use and costs'!$DU$12:$DU$25,MATCH(DB295,'Resource use and costs'!$DS$12:$DS$25,0)),0))</f>
        <v>591.75</v>
      </c>
      <c r="DO295" s="921">
        <f>_xlfn.IFNA(INDEX('Resource use and costs'!$DY$12:$DY$25,MATCH(CZ295,'Resource use and costs'!$DS$12:$DS$25,0)),0)*_xlfn.IFNA(INDEX(DY$10:DY$23,MATCH($CZ295,$DX$10:$DX$23,0)),0)</f>
        <v>410.14183571428572</v>
      </c>
      <c r="DP295" s="921">
        <f>IF(dd_PartSA_2_lines = "Yes",0,_xlfn.IFNA(INDEX('Resource use and costs'!$DZ$12:$DZ$25,MATCH(DA295,'Resource use and costs'!$DS$12:$DS$25,0)),0)*_xlfn.IFNA(INDEX(EA$10:EA$23,MATCH($DA295,$DX$10:$DX$23,0)),0))</f>
        <v>74.50928571428571</v>
      </c>
      <c r="DQ295" s="921">
        <f>IF(dd_PartSA_2_lines = "Yes",0,_xlfn.IFNA(INDEX('Resource use and costs'!$EA$12:$EA$25,MATCH(DB295,'Resource use and costs'!$DS$12:$DS$25,0)),0)*_xlfn.IFNA(INDEX(EC$10:EC$23,MATCH($DB295,$DX$10:$DX$23,0)),0))</f>
        <v>230.68099999999998</v>
      </c>
      <c r="DR295" s="921">
        <f t="shared" si="204"/>
        <v>1307.0821214285713</v>
      </c>
      <c r="DS295" s="1004">
        <f ca="1">SUMIFS('Safety parameters'!$DM$6:$DM$18,'Safety parameters'!$DK$6:$DK$18,CZ295,'Safety parameters'!$DL$6:$DL$18,1)+IF(dd_PartSA_2_lines = "Yes",0,SUMIFS('Safety parameters'!$DM$6:$DM$18,'Safety parameters'!$DK$6:$DK$18,DA295,'Safety parameters'!$DL$6:$DL$18,2)+SUMIFS('Safety parameters'!$DM$6:$DM$18,'Safety parameters'!$DK$6:$DK$18,DB295,'Safety parameters'!$DL$6:$DL$18,2))</f>
        <v>2478.7123304734437</v>
      </c>
      <c r="DT295" s="910">
        <f ca="1">SUMIFS('Safety parameters'!$DO$6:$DO$18,'Safety parameters'!$DK$6:$DK$18,CZ295,'Safety parameters'!$DL$6:$DL$18,1)+IF(dd_PartSA_2_lines = "Yes",0,SUMIFS('Safety parameters'!$DO$6:$DO$18,'Safety parameters'!$DK$6:$DK$18,DA295,'Safety parameters'!$DL$6:$DL$18,2)+SUMIFS('Safety parameters'!$DO$6:$DO$18,'Safety parameters'!$DK$6:$DK$18,DB295,'Safety parameters'!$DL$6:$DL$18,2))</f>
        <v>-2.2454279199165771E-2</v>
      </c>
    </row>
    <row r="296" spans="89:124" ht="15" x14ac:dyDescent="0.2">
      <c r="CK296" s="61" t="s">
        <v>31</v>
      </c>
      <c r="CL296" s="61">
        <v>3</v>
      </c>
      <c r="CM296" s="61" t="str">
        <v>sunitinib</v>
      </c>
      <c r="CN296" s="17">
        <v>7</v>
      </c>
      <c r="CO296" s="61" t="str" cm="1">
        <f t="array" ref="CO296">INDEX(List_comparators,CP295+1)</f>
        <v>lenvatinib_plus_pembrolizumab</v>
      </c>
      <c r="CP296" s="17">
        <v>3</v>
      </c>
      <c r="CQ296" s="601">
        <f t="shared" ca="1" si="206"/>
        <v>0</v>
      </c>
      <c r="CR296" s="601">
        <f t="shared" ca="1" si="207"/>
        <v>0</v>
      </c>
      <c r="CS296" s="671">
        <f t="shared" ca="1" si="209"/>
        <v>0</v>
      </c>
      <c r="CT296" s="671">
        <f t="shared" ca="1" si="208"/>
        <v>0</v>
      </c>
      <c r="CU296" s="1123">
        <f>MATCH(CZ296,'Resource use and costs'!$BA$11:$BA$53,0)</f>
        <v>21</v>
      </c>
      <c r="CV296" s="1223"/>
      <c r="CW296" s="1241">
        <f t="shared" si="202"/>
        <v>1</v>
      </c>
      <c r="CX296" s="899" t="s">
        <v>773</v>
      </c>
      <c r="CY296" s="899" t="s">
        <v>582</v>
      </c>
      <c r="CZ296" s="899" t="s">
        <v>585</v>
      </c>
      <c r="DA296" s="899" t="s">
        <v>119</v>
      </c>
      <c r="DB296" s="899" t="s">
        <v>765</v>
      </c>
      <c r="DC296" s="899" cm="1">
        <f t="array" aca="1" ref="DC296" ca="1">_xlfn.IFNA(OFFSET($I$49,MATCH(CY296,$I$50:$I$63,0),MATCH(CZ296,TRANSPOSE($J$49:$W$49),0)),0)</f>
        <v>0</v>
      </c>
      <c r="DD296" s="899" cm="1">
        <f t="array" aca="1" ref="DD296" ca="1">_xlfn.IFNA(OFFSET($Y$49,MATCH($CZ296,$Y$50:$Y$63,0),MATCH($DA296,TRANSPOSE($Z$49:$AM$49),0)),0)</f>
        <v>0</v>
      </c>
      <c r="DE296" s="899" cm="1">
        <f t="array" aca="1" ref="DE296" ca="1">_xlfn.IFNA(OFFSET($AO$49,MATCH($DA296,$AO$50:$AO$63,0),MATCH($DB296,TRANSPOSE($AP$49:$BC$49),0)),0)</f>
        <v>1</v>
      </c>
      <c r="DF296" s="881">
        <f t="shared" ca="1" si="199"/>
        <v>0</v>
      </c>
      <c r="DG296" s="910">
        <f t="shared" ca="1" si="200"/>
        <v>1.0029381384308471</v>
      </c>
      <c r="DH296" s="881">
        <f t="shared" ca="1" si="201"/>
        <v>0</v>
      </c>
      <c r="DI296" s="1461">
        <f t="shared" ca="1" si="197"/>
        <v>0</v>
      </c>
      <c r="DJ296" s="909">
        <f>_xlfn.IFNA(INDEX('Resource use and costs'!$CQ$11:$CQ$53,MATCH($CZ296,'Resource use and costs'!$BA$11:$BA$53,0)),0)*_xlfn.IFNA(INDEX(DY$10:DY$23,MATCH($CZ296,$DX$10:$DX$23,0)),0)</f>
        <v>4551.2486654444447</v>
      </c>
      <c r="DK296" s="909">
        <f>IF(dd_PartSA_2_lines = "Yes",0,_xlfn.IFNA(INDEX('Resource use and costs'!$CR$11:$CR$53,MATCH(DA296,'Resource use and costs'!$BA$11:$BA$53,0)),0)*_xlfn.IFNA(INDEX(EA$10:EA$23,MATCH($DA296,$DX$10:$DX$23,0)),0))</f>
        <v>848.17532499999982</v>
      </c>
      <c r="DL296" s="909">
        <f>IF(dd_PartSA_2_lines = "Yes",0,_xlfn.IFNA(INDEX('Resource use and costs'!$CS$11:$CS$53,MATCH(DB296,'Resource use and costs'!$BA$11:$BA$53,0)),0)*_xlfn.IFNA(INDEX(EC$10:EC$23,MATCH($DB296,$DX$10:$DX$23,0)),0))</f>
        <v>0</v>
      </c>
      <c r="DM296" s="909">
        <f t="shared" si="203"/>
        <v>5399.4239904444448</v>
      </c>
      <c r="DN296" s="909">
        <f>SUM(_xlfn.IFNA(INDEX('Resource use and costs'!$DU$12:$DU$25,MATCH(CZ296,'Resource use and costs'!$DS$12:$DS$25,0)),0),_xlfn.IFNA(INDEX('Resource use and costs'!$DU$12:$DU$25,MATCH(DA296,'Resource use and costs'!$DS$12:$DS$25,0)),0),_xlfn.IFNA(INDEX('Resource use and costs'!$DU$12:$DU$25,MATCH(DB296,'Resource use and costs'!$DS$12:$DS$25,0)),0))</f>
        <v>394.5</v>
      </c>
      <c r="DO296" s="921">
        <f>_xlfn.IFNA(INDEX('Resource use and costs'!$DY$12:$DY$25,MATCH(CZ296,'Resource use and costs'!$DS$12:$DS$25,0)),0)*_xlfn.IFNA(INDEX(DY$10:DY$23,MATCH($CZ296,$DX$10:$DX$23,0)),0)</f>
        <v>410.14183571428572</v>
      </c>
      <c r="DP296" s="921">
        <f>IF(dd_PartSA_2_lines = "Yes",0,_xlfn.IFNA(INDEX('Resource use and costs'!$DZ$12:$DZ$25,MATCH(DA296,'Resource use and costs'!$DS$12:$DS$25,0)),0)*_xlfn.IFNA(INDEX(EA$10:EA$23,MATCH($DA296,$DX$10:$DX$23,0)),0))</f>
        <v>74.50928571428571</v>
      </c>
      <c r="DQ296" s="921">
        <f>IF(dd_PartSA_2_lines = "Yes",0,_xlfn.IFNA(INDEX('Resource use and costs'!$EA$12:$EA$25,MATCH(DB296,'Resource use and costs'!$DS$12:$DS$25,0)),0)*_xlfn.IFNA(INDEX(EC$10:EC$23,MATCH($DB296,$DX$10:$DX$23,0)),0))</f>
        <v>0</v>
      </c>
      <c r="DR296" s="921">
        <f t="shared" si="204"/>
        <v>879.1511214285714</v>
      </c>
      <c r="DS296" s="1004">
        <f ca="1">SUMIFS('Safety parameters'!$DM$6:$DM$18,'Safety parameters'!$DK$6:$DK$18,CZ296,'Safety parameters'!$DL$6:$DL$18,1)+IF(dd_PartSA_2_lines = "Yes",0,SUMIFS('Safety parameters'!$DM$6:$DM$18,'Safety parameters'!$DK$6:$DK$18,DA296,'Safety parameters'!$DL$6:$DL$18,2)+SUMIFS('Safety parameters'!$DM$6:$DM$18,'Safety parameters'!$DK$6:$DK$18,DB296,'Safety parameters'!$DL$6:$DL$18,2))</f>
        <v>844.48365690798391</v>
      </c>
      <c r="DT296" s="910">
        <f ca="1">SUMIFS('Safety parameters'!$DO$6:$DO$18,'Safety parameters'!$DK$6:$DK$18,CZ296,'Safety parameters'!$DL$6:$DL$18,1)+IF(dd_PartSA_2_lines = "Yes",0,SUMIFS('Safety parameters'!$DO$6:$DO$18,'Safety parameters'!$DK$6:$DK$18,DA296,'Safety parameters'!$DL$6:$DL$18,2)+SUMIFS('Safety parameters'!$DO$6:$DO$18,'Safety parameters'!$DK$6:$DK$18,DB296,'Safety parameters'!$DL$6:$DL$18,2))</f>
        <v>-7.7123551916843426E-3</v>
      </c>
    </row>
    <row r="297" spans="89:124" ht="15" x14ac:dyDescent="0.2">
      <c r="CK297" s="61" t="s">
        <v>31</v>
      </c>
      <c r="CL297" s="61">
        <v>3</v>
      </c>
      <c r="CM297" s="61" t="str">
        <v>cabozantinib</v>
      </c>
      <c r="CN297" s="17">
        <v>8</v>
      </c>
      <c r="CO297" s="61" t="str" cm="1">
        <f t="array" ref="CO297">INDEX(List_comparators,CP296+1)</f>
        <v>lenvatinib_plus_pembrolizumab</v>
      </c>
      <c r="CP297" s="17">
        <v>3</v>
      </c>
      <c r="CQ297" s="601">
        <f t="shared" ca="1" si="206"/>
        <v>0</v>
      </c>
      <c r="CR297" s="601">
        <f t="shared" ca="1" si="207"/>
        <v>0</v>
      </c>
      <c r="CS297" s="671">
        <f t="shared" ca="1" si="209"/>
        <v>0</v>
      </c>
      <c r="CT297" s="671">
        <f t="shared" ca="1" si="208"/>
        <v>0</v>
      </c>
      <c r="CU297" s="1123">
        <f>MATCH(CZ297,'Resource use and costs'!$BA$11:$BA$53,0)</f>
        <v>27</v>
      </c>
      <c r="CV297" s="1223"/>
      <c r="CW297" s="1241">
        <f t="shared" si="202"/>
        <v>1</v>
      </c>
      <c r="CX297" s="899" t="s">
        <v>773</v>
      </c>
      <c r="CY297" s="899" t="s">
        <v>582</v>
      </c>
      <c r="CZ297" s="899" t="s">
        <v>117</v>
      </c>
      <c r="DA297" s="899" t="s">
        <v>327</v>
      </c>
      <c r="DB297" s="899" t="s">
        <v>765</v>
      </c>
      <c r="DC297" s="899" cm="1">
        <f t="array" aca="1" ref="DC297" ca="1">_xlfn.IFNA(OFFSET($I$49,MATCH(CY297,$I$50:$I$63,0),MATCH(CZ297,TRANSPOSE($J$49:$W$49),0)),0)</f>
        <v>3.1975660070562968E-2</v>
      </c>
      <c r="DD297" s="899" cm="1">
        <f t="array" aca="1" ref="DD297" ca="1">_xlfn.IFNA(OFFSET($Y$49,MATCH($CZ297,$Y$50:$Y$63,0),MATCH($DA297,TRANSPOSE($Z$49:$AM$49),0)),0)</f>
        <v>0</v>
      </c>
      <c r="DE297" s="899" cm="1">
        <f t="array" aca="1" ref="DE297" ca="1">_xlfn.IFNA(OFFSET($AO$49,MATCH($DA297,$AO$50:$AO$63,0),MATCH($DB297,TRANSPOSE($AP$49:$BC$49),0)),0)</f>
        <v>0.43140000000000001</v>
      </c>
      <c r="DF297" s="881">
        <f t="shared" ca="1" si="199"/>
        <v>0</v>
      </c>
      <c r="DG297" s="910">
        <f t="shared" ca="1" si="200"/>
        <v>1.0029381384308471</v>
      </c>
      <c r="DH297" s="881">
        <f t="shared" ca="1" si="201"/>
        <v>0</v>
      </c>
      <c r="DI297" s="1461">
        <f t="shared" ca="1" si="197"/>
        <v>0</v>
      </c>
      <c r="DJ297" s="909">
        <f>_xlfn.IFNA(INDEX('Resource use and costs'!$CQ$11:$CQ$53,MATCH($CZ297,'Resource use and costs'!$BA$11:$BA$53,0)),0)*_xlfn.IFNA(INDEX(DY$10:DY$23,MATCH($CZ297,$DX$10:$DX$23,0)),0)</f>
        <v>2860.9927072190476</v>
      </c>
      <c r="DK297" s="909">
        <f>IF(dd_PartSA_2_lines = "Yes",0,_xlfn.IFNA(INDEX('Resource use and costs'!$CR$11:$CR$53,MATCH(DA297,'Resource use and costs'!$BA$11:$BA$53,0)),0)*_xlfn.IFNA(INDEX(EA$10:EA$23,MATCH($DA297,$DX$10:$DX$23,0)),0))</f>
        <v>21421.066008214286</v>
      </c>
      <c r="DL297" s="909">
        <f>IF(dd_PartSA_2_lines = "Yes",0,_xlfn.IFNA(INDEX('Resource use and costs'!$CS$11:$CS$53,MATCH(DB297,'Resource use and costs'!$BA$11:$BA$53,0)),0)*_xlfn.IFNA(INDEX(EC$10:EC$23,MATCH($DB297,$DX$10:$DX$23,0)),0))</f>
        <v>0</v>
      </c>
      <c r="DM297" s="909">
        <f t="shared" si="203"/>
        <v>24282.058715433333</v>
      </c>
      <c r="DN297" s="909">
        <f>SUM(_xlfn.IFNA(INDEX('Resource use and costs'!$DU$12:$DU$25,MATCH(CZ297,'Resource use and costs'!$DS$12:$DS$25,0)),0),_xlfn.IFNA(INDEX('Resource use and costs'!$DU$12:$DU$25,MATCH(DA297,'Resource use and costs'!$DS$12:$DS$25,0)),0),_xlfn.IFNA(INDEX('Resource use and costs'!$DU$12:$DU$25,MATCH(DB297,'Resource use and costs'!$DS$12:$DS$25,0)),0))</f>
        <v>394.5</v>
      </c>
      <c r="DO297" s="921">
        <f>_xlfn.IFNA(INDEX('Resource use and costs'!$DY$12:$DY$25,MATCH(CZ297,'Resource use and costs'!$DS$12:$DS$25,0)),0)*_xlfn.IFNA(INDEX(DY$10:DY$23,MATCH($CZ297,$DX$10:$DX$23,0)),0)</f>
        <v>405.17019714285709</v>
      </c>
      <c r="DP297" s="921">
        <f>IF(dd_PartSA_2_lines = "Yes",0,_xlfn.IFNA(INDEX('Resource use and costs'!$DZ$12:$DZ$25,MATCH(DA297,'Resource use and costs'!$DS$12:$DS$25,0)),0)*_xlfn.IFNA(INDEX(EA$10:EA$23,MATCH($DA297,$DX$10:$DX$23,0)),0))</f>
        <v>267.99172714285714</v>
      </c>
      <c r="DQ297" s="921">
        <f>IF(dd_PartSA_2_lines = "Yes",0,_xlfn.IFNA(INDEX('Resource use and costs'!$EA$12:$EA$25,MATCH(DB297,'Resource use and costs'!$DS$12:$DS$25,0)),0)*_xlfn.IFNA(INDEX(EC$10:EC$23,MATCH($DB297,$DX$10:$DX$23,0)),0))</f>
        <v>0</v>
      </c>
      <c r="DR297" s="921">
        <f t="shared" si="204"/>
        <v>1067.6619242857141</v>
      </c>
      <c r="DS297" s="1004">
        <f ca="1">SUMIFS('Safety parameters'!$DM$6:$DM$18,'Safety parameters'!$DK$6:$DK$18,CZ297,'Safety parameters'!$DL$6:$DL$18,1)+IF(dd_PartSA_2_lines = "Yes",0,SUMIFS('Safety parameters'!$DM$6:$DM$18,'Safety parameters'!$DK$6:$DK$18,DA297,'Safety parameters'!$DL$6:$DL$18,2)+SUMIFS('Safety parameters'!$DM$6:$DM$18,'Safety parameters'!$DK$6:$DK$18,DB297,'Safety parameters'!$DL$6:$DL$18,2))</f>
        <v>2238.0420485654599</v>
      </c>
      <c r="DT297" s="910">
        <f ca="1">SUMIFS('Safety parameters'!$DO$6:$DO$18,'Safety parameters'!$DK$6:$DK$18,CZ297,'Safety parameters'!$DL$6:$DL$18,1)+IF(dd_PartSA_2_lines = "Yes",0,SUMIFS('Safety parameters'!$DO$6:$DO$18,'Safety parameters'!$DK$6:$DK$18,DA297,'Safety parameters'!$DL$6:$DL$18,2)+SUMIFS('Safety parameters'!$DO$6:$DO$18,'Safety parameters'!$DK$6:$DK$18,DB297,'Safety parameters'!$DL$6:$DL$18,2))</f>
        <v>-2.0168002036228861E-2</v>
      </c>
    </row>
    <row r="298" spans="89:124" ht="15" x14ac:dyDescent="0.2">
      <c r="CK298" s="61" t="s">
        <v>31</v>
      </c>
      <c r="CL298" s="61">
        <v>3</v>
      </c>
      <c r="CM298" s="61" t="str">
        <v>lenvatinib_plus_everolimus</v>
      </c>
      <c r="CN298" s="17">
        <v>9</v>
      </c>
      <c r="CO298" s="61" t="str" cm="1">
        <f t="array" ref="CO298">INDEX(List_comparators,CP297+1)</f>
        <v>lenvatinib_plus_pembrolizumab</v>
      </c>
      <c r="CP298" s="17">
        <v>3</v>
      </c>
      <c r="CQ298" s="601">
        <f t="shared" ca="1" si="206"/>
        <v>0</v>
      </c>
      <c r="CR298" s="601">
        <f t="shared" ca="1" si="207"/>
        <v>0</v>
      </c>
      <c r="CS298" s="671">
        <f t="shared" ca="1" si="209"/>
        <v>0</v>
      </c>
      <c r="CT298" s="671">
        <f t="shared" ca="1" si="208"/>
        <v>0</v>
      </c>
      <c r="CU298" s="1123">
        <f>MATCH(CZ298,'Resource use and costs'!$BA$11:$BA$53,0)</f>
        <v>27</v>
      </c>
      <c r="CV298" s="1223"/>
      <c r="CW298" s="1241">
        <f t="shared" si="202"/>
        <v>1</v>
      </c>
      <c r="CX298" s="899" t="s">
        <v>773</v>
      </c>
      <c r="CY298" s="899" t="s">
        <v>582</v>
      </c>
      <c r="CZ298" s="899" t="s">
        <v>117</v>
      </c>
      <c r="DA298" s="899" t="s">
        <v>327</v>
      </c>
      <c r="DB298" s="899" t="s">
        <v>119</v>
      </c>
      <c r="DC298" s="899" cm="1">
        <f t="array" aca="1" ref="DC298" ca="1">_xlfn.IFNA(OFFSET($I$49,MATCH(CY298,$I$50:$I$63,0),MATCH(CZ298,TRANSPOSE($J$49:$W$49),0)),0)</f>
        <v>3.1975660070562968E-2</v>
      </c>
      <c r="DD298" s="899" cm="1">
        <f t="array" aca="1" ref="DD298" ca="1">_xlfn.IFNA(OFFSET($Y$49,MATCH($CZ298,$Y$50:$Y$63,0),MATCH($DA298,TRANSPOSE($Z$49:$AM$49),0)),0)</f>
        <v>0</v>
      </c>
      <c r="DE298" s="899" cm="1">
        <f t="array" aca="1" ref="DE298" ca="1">_xlfn.IFNA(OFFSET($AO$49,MATCH($DA298,$AO$50:$AO$63,0),MATCH($DB298,TRANSPOSE($AP$49:$BC$49),0)),0)</f>
        <v>0.56859999999999999</v>
      </c>
      <c r="DF298" s="881">
        <f t="shared" ca="1" si="199"/>
        <v>0</v>
      </c>
      <c r="DG298" s="910">
        <f t="shared" ca="1" si="200"/>
        <v>1.0029381384308471</v>
      </c>
      <c r="DH298" s="881">
        <f t="shared" ca="1" si="201"/>
        <v>0</v>
      </c>
      <c r="DI298" s="1461">
        <f t="shared" ca="1" si="197"/>
        <v>0</v>
      </c>
      <c r="DJ298" s="909">
        <f>_xlfn.IFNA(INDEX('Resource use and costs'!$CQ$11:$CQ$53,MATCH($CZ298,'Resource use and costs'!$BA$11:$BA$53,0)),0)*_xlfn.IFNA(INDEX(DY$10:DY$23,MATCH($CZ298,$DX$10:$DX$23,0)),0)</f>
        <v>2860.9927072190476</v>
      </c>
      <c r="DK298" s="909">
        <f>IF(dd_PartSA_2_lines = "Yes",0,_xlfn.IFNA(INDEX('Resource use and costs'!$CR$11:$CR$53,MATCH(DA298,'Resource use and costs'!$BA$11:$BA$53,0)),0)*_xlfn.IFNA(INDEX(EA$10:EA$23,MATCH($DA298,$DX$10:$DX$23,0)),0))</f>
        <v>21421.066008214286</v>
      </c>
      <c r="DL298" s="909">
        <f>IF(dd_PartSA_2_lines = "Yes",0,_xlfn.IFNA(INDEX('Resource use and costs'!$CS$11:$CS$53,MATCH(DB298,'Resource use and costs'!$BA$11:$BA$53,0)),0)*_xlfn.IFNA(INDEX(EC$10:EC$23,MATCH($DB298,$DX$10:$DX$23,0)),0))</f>
        <v>2915.4763433333328</v>
      </c>
      <c r="DM298" s="909">
        <f t="shared" si="203"/>
        <v>27197.535058766665</v>
      </c>
      <c r="DN298" s="909">
        <f>SUM(_xlfn.IFNA(INDEX('Resource use and costs'!$DU$12:$DU$25,MATCH(CZ298,'Resource use and costs'!$DS$12:$DS$25,0)),0),_xlfn.IFNA(INDEX('Resource use and costs'!$DU$12:$DU$25,MATCH(DA298,'Resource use and costs'!$DS$12:$DS$25,0)),0),_xlfn.IFNA(INDEX('Resource use and costs'!$DU$12:$DU$25,MATCH(DB298,'Resource use and costs'!$DS$12:$DS$25,0)),0))</f>
        <v>591.75</v>
      </c>
      <c r="DO298" s="921">
        <f>_xlfn.IFNA(INDEX('Resource use and costs'!$DY$12:$DY$25,MATCH(CZ298,'Resource use and costs'!$DS$12:$DS$25,0)),0)*_xlfn.IFNA(INDEX(DY$10:DY$23,MATCH($CZ298,$DX$10:$DX$23,0)),0)</f>
        <v>405.17019714285709</v>
      </c>
      <c r="DP298" s="921">
        <f>IF(dd_PartSA_2_lines = "Yes",0,_xlfn.IFNA(INDEX('Resource use and costs'!$DZ$12:$DZ$25,MATCH(DA298,'Resource use and costs'!$DS$12:$DS$25,0)),0)*_xlfn.IFNA(INDEX(EA$10:EA$23,MATCH($DA298,$DX$10:$DX$23,0)),0))</f>
        <v>267.99172714285714</v>
      </c>
      <c r="DQ298" s="921">
        <f>IF(dd_PartSA_2_lines = "Yes",0,_xlfn.IFNA(INDEX('Resource use and costs'!$EA$12:$EA$25,MATCH(DB298,'Resource use and costs'!$DS$12:$DS$25,0)),0)*_xlfn.IFNA(INDEX(EC$10:EC$23,MATCH($DB298,$DX$10:$DX$23,0)),0))</f>
        <v>256.11457142857142</v>
      </c>
      <c r="DR298" s="921">
        <f t="shared" si="204"/>
        <v>1521.0264957142856</v>
      </c>
      <c r="DS298" s="1004">
        <f ca="1">SUMIFS('Safety parameters'!$DM$6:$DM$18,'Safety parameters'!$DK$6:$DK$18,CZ298,'Safety parameters'!$DL$6:$DL$18,1)+IF(dd_PartSA_2_lines = "Yes",0,SUMIFS('Safety parameters'!$DM$6:$DM$18,'Safety parameters'!$DK$6:$DK$18,DA298,'Safety parameters'!$DL$6:$DL$18,2)+SUMIFS('Safety parameters'!$DM$6:$DM$18,'Safety parameters'!$DK$6:$DK$18,DB298,'Safety parameters'!$DL$6:$DL$18,2))</f>
        <v>2570.9174319407748</v>
      </c>
      <c r="DT298" s="910">
        <f ca="1">SUMIFS('Safety parameters'!$DO$6:$DO$18,'Safety parameters'!$DK$6:$DK$18,CZ298,'Safety parameters'!$DL$6:$DL$18,1)+IF(dd_PartSA_2_lines = "Yes",0,SUMIFS('Safety parameters'!$DO$6:$DO$18,'Safety parameters'!$DK$6:$DK$18,DA298,'Safety parameters'!$DL$6:$DL$18,2)+SUMIFS('Safety parameters'!$DO$6:$DO$18,'Safety parameters'!$DK$6:$DK$18,DB298,'Safety parameters'!$DL$6:$DL$18,2))</f>
        <v>-2.2835575572866581E-2</v>
      </c>
    </row>
    <row r="299" spans="89:124" ht="15" x14ac:dyDescent="0.2">
      <c r="CK299" s="61" t="s">
        <v>31</v>
      </c>
      <c r="CL299" s="61">
        <v>3</v>
      </c>
      <c r="CM299" s="61" t="str">
        <v>everolimus</v>
      </c>
      <c r="CN299" s="17">
        <v>10</v>
      </c>
      <c r="CO299" s="61" t="str" cm="1">
        <f t="array" ref="CO299">INDEX(List_comparators,CP298+1)</f>
        <v>lenvatinib_plus_pembrolizumab</v>
      </c>
      <c r="CP299" s="17">
        <v>3</v>
      </c>
      <c r="CQ299" s="601">
        <f t="shared" ca="1" si="206"/>
        <v>0</v>
      </c>
      <c r="CR299" s="601">
        <f t="shared" ca="1" si="207"/>
        <v>0</v>
      </c>
      <c r="CS299" s="671">
        <f t="shared" ca="1" si="209"/>
        <v>0</v>
      </c>
      <c r="CT299" s="671">
        <f t="shared" ca="1" si="208"/>
        <v>0</v>
      </c>
      <c r="CU299" s="1123">
        <f>MATCH(CZ299,'Resource use and costs'!$BA$11:$BA$53,0)</f>
        <v>27</v>
      </c>
      <c r="CV299" s="1223"/>
      <c r="CW299" s="1241">
        <f t="shared" si="202"/>
        <v>1</v>
      </c>
      <c r="CX299" s="899" t="s">
        <v>773</v>
      </c>
      <c r="CY299" s="899" t="s">
        <v>582</v>
      </c>
      <c r="CZ299" s="899" t="s">
        <v>117</v>
      </c>
      <c r="DA299" s="899" t="s">
        <v>765</v>
      </c>
      <c r="DB299" s="899"/>
      <c r="DC299" s="899" cm="1">
        <f t="array" aca="1" ref="DC299" ca="1">_xlfn.IFNA(OFFSET($I$49,MATCH(CY299,$I$50:$I$63,0),MATCH(CZ299,TRANSPOSE($J$49:$W$49),0)),0)</f>
        <v>3.1975660070562968E-2</v>
      </c>
      <c r="DD299" s="899" cm="1">
        <f t="array" aca="1" ref="DD299" ca="1">_xlfn.IFNA(OFFSET($Y$49,MATCH($CZ299,$Y$50:$Y$63,0),MATCH($DA299,TRANSPOSE($Z$49:$AM$49),0)),0)</f>
        <v>0.34300000000000003</v>
      </c>
      <c r="DE299" s="899" cm="1">
        <f t="array" aca="1" ref="DE299" ca="1">_xlfn.IFNA(OFFSET($AO$49,MATCH($DA299,$AO$50:$AO$63,0),MATCH($DB299,TRANSPOSE($AP$49:$BC$49),0)),0)</f>
        <v>0</v>
      </c>
      <c r="DF299" s="881">
        <f t="shared" ca="1" si="199"/>
        <v>1.0967651404203098E-2</v>
      </c>
      <c r="DG299" s="910">
        <f t="shared" ca="1" si="200"/>
        <v>1.0029381384308471</v>
      </c>
      <c r="DH299" s="881">
        <f t="shared" ca="1" si="201"/>
        <v>1.0999875882289921E-2</v>
      </c>
      <c r="DI299" s="1461">
        <f t="shared" ca="1" si="197"/>
        <v>1.8479791482247068</v>
      </c>
      <c r="DJ299" s="909">
        <f>_xlfn.IFNA(INDEX('Resource use and costs'!$CQ$11:$CQ$53,MATCH($CZ299,'Resource use and costs'!$BA$11:$BA$53,0)),0)*_xlfn.IFNA(INDEX(DY$10:DY$23,MATCH($CZ299,$DX$10:$DX$23,0)),0)</f>
        <v>2860.9927072190476</v>
      </c>
      <c r="DK299" s="909">
        <f>IF(dd_PartSA_2_lines = "Yes",0,_xlfn.IFNA(INDEX('Resource use and costs'!$CR$11:$CR$53,MATCH(DA299,'Resource use and costs'!$BA$11:$BA$53,0)),0)*_xlfn.IFNA(INDEX(EA$10:EA$23,MATCH($DA299,$DX$10:$DX$23,0)),0))</f>
        <v>0</v>
      </c>
      <c r="DL299" s="909">
        <f>IF(dd_PartSA_2_lines = "Yes",0,_xlfn.IFNA(INDEX('Resource use and costs'!$CS$11:$CS$53,MATCH(DB299,'Resource use and costs'!$BA$11:$BA$53,0)),0)*_xlfn.IFNA(INDEX(EC$10:EC$23,MATCH($DB299,$DX$10:$DX$23,0)),0))</f>
        <v>0</v>
      </c>
      <c r="DM299" s="909">
        <f t="shared" si="203"/>
        <v>2860.9927072190476</v>
      </c>
      <c r="DN299" s="909">
        <f>SUM(_xlfn.IFNA(INDEX('Resource use and costs'!$DU$12:$DU$25,MATCH(CZ299,'Resource use and costs'!$DS$12:$DS$25,0)),0),_xlfn.IFNA(INDEX('Resource use and costs'!$DU$12:$DU$25,MATCH(DA299,'Resource use and costs'!$DS$12:$DS$25,0)),0),_xlfn.IFNA(INDEX('Resource use and costs'!$DU$12:$DU$25,MATCH(DB299,'Resource use and costs'!$DS$12:$DS$25,0)),0))</f>
        <v>197.25</v>
      </c>
      <c r="DO299" s="921">
        <f>_xlfn.IFNA(INDEX('Resource use and costs'!$DY$12:$DY$25,MATCH(CZ299,'Resource use and costs'!$DS$12:$DS$25,0)),0)*_xlfn.IFNA(INDEX(DY$10:DY$23,MATCH($CZ299,$DX$10:$DX$23,0)),0)</f>
        <v>405.17019714285709</v>
      </c>
      <c r="DP299" s="921">
        <f>IF(dd_PartSA_2_lines = "Yes",0,_xlfn.IFNA(INDEX('Resource use and costs'!$DZ$12:$DZ$25,MATCH(DA299,'Resource use and costs'!$DS$12:$DS$25,0)),0)*_xlfn.IFNA(INDEX(EA$10:EA$23,MATCH($DA299,$DX$10:$DX$23,0)),0))</f>
        <v>0</v>
      </c>
      <c r="DQ299" s="921">
        <f>IF(dd_PartSA_2_lines = "Yes",0,_xlfn.IFNA(INDEX('Resource use and costs'!$EA$12:$EA$25,MATCH(DB299,'Resource use and costs'!$DS$12:$DS$25,0)),0)*_xlfn.IFNA(INDEX(EC$10:EC$23,MATCH($DB299,$DX$10:$DX$23,0)),0))</f>
        <v>0</v>
      </c>
      <c r="DR299" s="921">
        <f t="shared" si="204"/>
        <v>602.42019714285709</v>
      </c>
      <c r="DS299" s="1004">
        <f ca="1">SUMIFS('Safety parameters'!$DM$6:$DM$18,'Safety parameters'!$DK$6:$DK$18,CZ299,'Safety parameters'!$DL$6:$DL$18,1)+IF(dd_PartSA_2_lines = "Yes",0,SUMIFS('Safety parameters'!$DM$6:$DM$18,'Safety parameters'!$DK$6:$DK$18,DA299,'Safety parameters'!$DL$6:$DL$18,2)+SUMIFS('Safety parameters'!$DM$6:$DM$18,'Safety parameters'!$DK$6:$DK$18,DB299,'Safety parameters'!$DL$6:$DL$18,2))</f>
        <v>603.81337500000006</v>
      </c>
      <c r="DT299" s="910">
        <f ca="1">SUMIFS('Safety parameters'!$DO$6:$DO$18,'Safety parameters'!$DK$6:$DK$18,CZ299,'Safety parameters'!$DL$6:$DL$18,1)+IF(dd_PartSA_2_lines = "Yes",0,SUMIFS('Safety parameters'!$DO$6:$DO$18,'Safety parameters'!$DK$6:$DK$18,DA299,'Safety parameters'!$DL$6:$DL$18,2)+SUMIFS('Safety parameters'!$DO$6:$DO$18,'Safety parameters'!$DK$6:$DK$18,DB299,'Safety parameters'!$DL$6:$DL$18,2))</f>
        <v>-5.4260780287474324E-3</v>
      </c>
    </row>
    <row r="300" spans="89:124" ht="15" x14ac:dyDescent="0.2">
      <c r="CK300" s="61" t="s">
        <v>31</v>
      </c>
      <c r="CL300" s="61">
        <v>3</v>
      </c>
      <c r="CM300" s="61" t="str">
        <v>axitinib</v>
      </c>
      <c r="CN300" s="17">
        <v>11</v>
      </c>
      <c r="CO300" s="61" t="str" cm="1">
        <f t="array" ref="CO300">INDEX(List_comparators,CP299+1)</f>
        <v>lenvatinib_plus_pembrolizumab</v>
      </c>
      <c r="CP300" s="17">
        <v>3</v>
      </c>
      <c r="CQ300" s="601">
        <f t="shared" ca="1" si="206"/>
        <v>0</v>
      </c>
      <c r="CR300" s="601">
        <f t="shared" ca="1" si="207"/>
        <v>0</v>
      </c>
      <c r="CS300" s="671">
        <f t="shared" ca="1" si="209"/>
        <v>0</v>
      </c>
      <c r="CT300" s="671">
        <f t="shared" ca="1" si="208"/>
        <v>0</v>
      </c>
      <c r="CU300" s="1123">
        <f>MATCH(CZ300,'Resource use and costs'!$BA$11:$BA$53,0)</f>
        <v>27</v>
      </c>
      <c r="CV300" s="1223"/>
      <c r="CW300" s="1241">
        <f t="shared" si="202"/>
        <v>1</v>
      </c>
      <c r="CX300" s="899" t="s">
        <v>773</v>
      </c>
      <c r="CY300" s="899" t="s">
        <v>582</v>
      </c>
      <c r="CZ300" s="899" t="s">
        <v>117</v>
      </c>
      <c r="DA300" s="899" t="s">
        <v>118</v>
      </c>
      <c r="DB300" s="899" t="s">
        <v>327</v>
      </c>
      <c r="DC300" s="899" cm="1">
        <f t="array" aca="1" ref="DC300" ca="1">_xlfn.IFNA(OFFSET($I$49,MATCH(CY300,$I$50:$I$63,0),MATCH(CZ300,TRANSPOSE($J$49:$W$49),0)),0)</f>
        <v>3.1975660070562968E-2</v>
      </c>
      <c r="DD300" s="899">
        <f ca="1">1-DD299</f>
        <v>0.65700000000000003</v>
      </c>
      <c r="DE300" s="899" cm="1">
        <f t="array" aca="1" ref="DE300" ca="1">_xlfn.IFNA(OFFSET($AO$49,MATCH($DA300,$AO$50:$AO$63,0),MATCH($DB300,TRANSPOSE($AP$49:$BC$49),0)),0)</f>
        <v>0.38769999999999999</v>
      </c>
      <c r="DF300" s="881">
        <f t="shared" ca="1" si="199"/>
        <v>8.1448049599477223E-3</v>
      </c>
      <c r="DG300" s="910">
        <f t="shared" ca="1" si="200"/>
        <v>1.0029381384308471</v>
      </c>
      <c r="DH300" s="881">
        <f t="shared" ca="1" si="201"/>
        <v>8.1687355244122982E-3</v>
      </c>
      <c r="DI300" s="1461">
        <f t="shared" ca="1" si="197"/>
        <v>1.372347568101266</v>
      </c>
      <c r="DJ300" s="909">
        <f>_xlfn.IFNA(INDEX('Resource use and costs'!$CQ$11:$CQ$53,MATCH($CZ300,'Resource use and costs'!$BA$11:$BA$53,0)),0)*_xlfn.IFNA(INDEX(DY$10:DY$23,MATCH($CZ300,$DX$10:$DX$23,0)),0)</f>
        <v>2860.9927072190476</v>
      </c>
      <c r="DK300" s="909">
        <f>IF(dd_PartSA_2_lines = "Yes",0,_xlfn.IFNA(INDEX('Resource use and costs'!$CR$11:$CR$53,MATCH(DA300,'Resource use and costs'!$BA$11:$BA$53,0)),0)*_xlfn.IFNA(INDEX(EA$10:EA$23,MATCH($DA300,$DX$10:$DX$23,0)),0))</f>
        <v>50308.075122000002</v>
      </c>
      <c r="DL300" s="909">
        <f>IF(dd_PartSA_2_lines = "Yes",0,_xlfn.IFNA(INDEX('Resource use and costs'!$CS$11:$CS$53,MATCH(DB300,'Resource use and costs'!$BA$11:$BA$53,0)),0)*_xlfn.IFNA(INDEX(EC$10:EC$23,MATCH($DB300,$DX$10:$DX$23,0)),0))</f>
        <v>18438.751749999999</v>
      </c>
      <c r="DM300" s="909">
        <f t="shared" si="203"/>
        <v>71607.819579219053</v>
      </c>
      <c r="DN300" s="909">
        <f>SUM(_xlfn.IFNA(INDEX('Resource use and costs'!$DU$12:$DU$25,MATCH(CZ300,'Resource use and costs'!$DS$12:$DS$25,0)),0),_xlfn.IFNA(INDEX('Resource use and costs'!$DU$12:$DU$25,MATCH(DA300,'Resource use and costs'!$DS$12:$DS$25,0)),0),_xlfn.IFNA(INDEX('Resource use and costs'!$DU$12:$DU$25,MATCH(DB300,'Resource use and costs'!$DS$12:$DS$25,0)),0))</f>
        <v>591.75</v>
      </c>
      <c r="DO300" s="921">
        <f>_xlfn.IFNA(INDEX('Resource use and costs'!$DY$12:$DY$25,MATCH(CZ300,'Resource use and costs'!$DS$12:$DS$25,0)),0)*_xlfn.IFNA(INDEX(DY$10:DY$23,MATCH($CZ300,$DX$10:$DX$23,0)),0)</f>
        <v>405.17019714285709</v>
      </c>
      <c r="DP300" s="921">
        <f>IF(dd_PartSA_2_lines = "Yes",0,_xlfn.IFNA(INDEX('Resource use and costs'!$DZ$12:$DZ$25,MATCH(DA300,'Resource use and costs'!$DS$12:$DS$25,0)),0)*_xlfn.IFNA(INDEX(EA$10:EA$23,MATCH($DA300,$DX$10:$DX$23,0)),0))</f>
        <v>461.1445457142857</v>
      </c>
      <c r="DQ300" s="921">
        <f>IF(dd_PartSA_2_lines = "Yes",0,_xlfn.IFNA(INDEX('Resource use and costs'!$EA$12:$EA$25,MATCH(DB300,'Resource use and costs'!$DS$12:$DS$25,0)),0)*_xlfn.IFNA(INDEX(EC$10:EC$23,MATCH($DB300,$DX$10:$DX$23,0)),0))</f>
        <v>230.68099999999998</v>
      </c>
      <c r="DR300" s="921">
        <f t="shared" si="204"/>
        <v>1688.7457428571429</v>
      </c>
      <c r="DS300" s="1004">
        <f ca="1">SUMIFS('Safety parameters'!$DM$6:$DM$18,'Safety parameters'!$DK$6:$DK$18,CZ300,'Safety parameters'!$DL$6:$DL$18,1)+IF(dd_PartSA_2_lines = "Yes",0,SUMIFS('Safety parameters'!$DM$6:$DM$18,'Safety parameters'!$DK$6:$DK$18,DA300,'Safety parameters'!$DL$6:$DL$18,2)+SUMIFS('Safety parameters'!$DM$6:$DM$18,'Safety parameters'!$DK$6:$DK$18,DB300,'Safety parameters'!$DL$6:$DL$18,2))</f>
        <v>2981.6913483688436</v>
      </c>
      <c r="DT300" s="910">
        <f ca="1">SUMIFS('Safety parameters'!$DO$6:$DO$18,'Safety parameters'!$DK$6:$DK$18,CZ300,'Safety parameters'!$DL$6:$DL$18,1)+IF(dd_PartSA_2_lines = "Yes",0,SUMIFS('Safety parameters'!$DO$6:$DO$18,'Safety parameters'!$DK$6:$DK$18,DA300,'Safety parameters'!$DL$6:$DL$18,2)+SUMIFS('Safety parameters'!$DO$6:$DO$18,'Safety parameters'!$DK$6:$DK$18,DB300,'Safety parameters'!$DL$6:$DL$18,2))</f>
        <v>-2.71903283924648E-2</v>
      </c>
    </row>
    <row r="301" spans="89:124" ht="15" x14ac:dyDescent="0.2">
      <c r="CK301" s="61" t="s">
        <v>31</v>
      </c>
      <c r="CL301" s="61">
        <v>3</v>
      </c>
      <c r="CM301" s="61" t="str">
        <v>sorafenib</v>
      </c>
      <c r="CN301" s="17">
        <v>12</v>
      </c>
      <c r="CO301" s="61" t="str" cm="1">
        <f t="array" ref="CO301">INDEX(List_comparators,CP300+1)</f>
        <v>lenvatinib_plus_pembrolizumab</v>
      </c>
      <c r="CP301" s="17">
        <v>3</v>
      </c>
      <c r="CQ301" s="601">
        <f t="shared" ca="1" si="206"/>
        <v>0</v>
      </c>
      <c r="CR301" s="601">
        <f t="shared" ca="1" si="207"/>
        <v>0</v>
      </c>
      <c r="CS301" s="671">
        <f t="shared" ca="1" si="209"/>
        <v>0</v>
      </c>
      <c r="CT301" s="671">
        <f t="shared" ca="1" si="208"/>
        <v>0</v>
      </c>
      <c r="CU301" s="1123">
        <f>MATCH(CZ301,'Resource use and costs'!$BA$11:$BA$53,0)</f>
        <v>27</v>
      </c>
      <c r="CV301" s="1223"/>
      <c r="CW301" s="1241">
        <f t="shared" si="202"/>
        <v>1</v>
      </c>
      <c r="CX301" s="899" t="s">
        <v>773</v>
      </c>
      <c r="CY301" s="899" t="s">
        <v>582</v>
      </c>
      <c r="CZ301" s="899" t="s">
        <v>117</v>
      </c>
      <c r="DA301" s="899" t="s">
        <v>118</v>
      </c>
      <c r="DB301" s="899" t="s">
        <v>765</v>
      </c>
      <c r="DC301" s="899" cm="1">
        <f t="array" aca="1" ref="DC301" ca="1">_xlfn.IFNA(OFFSET($I$49,MATCH(CY301,$I$50:$I$63,0),MATCH(CZ301,TRANSPOSE($J$49:$W$49),0)),0)</f>
        <v>3.1975660070562968E-2</v>
      </c>
      <c r="DD301" s="899">
        <f ca="1">DD300</f>
        <v>0.65700000000000003</v>
      </c>
      <c r="DE301" s="899" cm="1">
        <f t="array" aca="1" ref="DE301" ca="1">_xlfn.IFNA(OFFSET($AO$49,MATCH($DA301,$AO$50:$AO$63,0),MATCH($DB301,TRANSPOSE($AP$49:$BC$49),0)),0)</f>
        <v>0.43140000000000001</v>
      </c>
      <c r="DF301" s="881">
        <f t="shared" ca="1" si="199"/>
        <v>9.0628549386676492E-3</v>
      </c>
      <c r="DG301" s="910">
        <f t="shared" ca="1" si="200"/>
        <v>1.0029381384308471</v>
      </c>
      <c r="DH301" s="881">
        <f t="shared" ca="1" si="201"/>
        <v>9.0894828610561407E-3</v>
      </c>
      <c r="DI301" s="1461">
        <f t="shared" ca="1" si="197"/>
        <v>1.5270331206574317</v>
      </c>
      <c r="DJ301" s="909">
        <f>_xlfn.IFNA(INDEX('Resource use and costs'!$CQ$11:$CQ$53,MATCH($CZ301,'Resource use and costs'!$BA$11:$BA$53,0)),0)*_xlfn.IFNA(INDEX(DY$10:DY$23,MATCH($CZ301,$DX$10:$DX$23,0)),0)</f>
        <v>2860.9927072190476</v>
      </c>
      <c r="DK301" s="909">
        <f>IF(dd_PartSA_2_lines = "Yes",0,_xlfn.IFNA(INDEX('Resource use and costs'!$CR$11:$CR$53,MATCH(DA301,'Resource use and costs'!$BA$11:$BA$53,0)),0)*_xlfn.IFNA(INDEX(EA$10:EA$23,MATCH($DA301,$DX$10:$DX$23,0)),0))</f>
        <v>50308.075122000002</v>
      </c>
      <c r="DL301" s="909">
        <f>IF(dd_PartSA_2_lines = "Yes",0,_xlfn.IFNA(INDEX('Resource use and costs'!$CS$11:$CS$53,MATCH(DB301,'Resource use and costs'!$BA$11:$BA$53,0)),0)*_xlfn.IFNA(INDEX(EC$10:EC$23,MATCH($DB301,$DX$10:$DX$23,0)),0))</f>
        <v>0</v>
      </c>
      <c r="DM301" s="909">
        <f t="shared" si="203"/>
        <v>53169.06782921905</v>
      </c>
      <c r="DN301" s="909">
        <f>SUM(_xlfn.IFNA(INDEX('Resource use and costs'!$DU$12:$DU$25,MATCH(CZ301,'Resource use and costs'!$DS$12:$DS$25,0)),0),_xlfn.IFNA(INDEX('Resource use and costs'!$DU$12:$DU$25,MATCH(DA301,'Resource use and costs'!$DS$12:$DS$25,0)),0),_xlfn.IFNA(INDEX('Resource use and costs'!$DU$12:$DU$25,MATCH(DB301,'Resource use and costs'!$DS$12:$DS$25,0)),0))</f>
        <v>394.5</v>
      </c>
      <c r="DO301" s="921">
        <f>_xlfn.IFNA(INDEX('Resource use and costs'!$DY$12:$DY$25,MATCH(CZ301,'Resource use and costs'!$DS$12:$DS$25,0)),0)*_xlfn.IFNA(INDEX(DY$10:DY$23,MATCH($CZ301,$DX$10:$DX$23,0)),0)</f>
        <v>405.17019714285709</v>
      </c>
      <c r="DP301" s="921">
        <f>IF(dd_PartSA_2_lines = "Yes",0,_xlfn.IFNA(INDEX('Resource use and costs'!$DZ$12:$DZ$25,MATCH(DA301,'Resource use and costs'!$DS$12:$DS$25,0)),0)*_xlfn.IFNA(INDEX(EA$10:EA$23,MATCH($DA301,$DX$10:$DX$23,0)),0))</f>
        <v>461.1445457142857</v>
      </c>
      <c r="DQ301" s="921">
        <f>IF(dd_PartSA_2_lines = "Yes",0,_xlfn.IFNA(INDEX('Resource use and costs'!$EA$12:$EA$25,MATCH(DB301,'Resource use and costs'!$DS$12:$DS$25,0)),0)*_xlfn.IFNA(INDEX(EC$10:EC$23,MATCH($DB301,$DX$10:$DX$23,0)),0))</f>
        <v>0</v>
      </c>
      <c r="DR301" s="921">
        <f t="shared" si="204"/>
        <v>1260.8147428571428</v>
      </c>
      <c r="DS301" s="1004">
        <f ca="1">SUMIFS('Safety parameters'!$DM$6:$DM$18,'Safety parameters'!$DK$6:$DK$18,CZ301,'Safety parameters'!$DL$6:$DL$18,1)+IF(dd_PartSA_2_lines = "Yes",0,SUMIFS('Safety parameters'!$DM$6:$DM$18,'Safety parameters'!$DK$6:$DK$18,DA301,'Safety parameters'!$DL$6:$DL$18,2)+SUMIFS('Safety parameters'!$DM$6:$DM$18,'Safety parameters'!$DK$6:$DK$18,DB301,'Safety parameters'!$DL$6:$DL$18,2))</f>
        <v>1347.4626748033834</v>
      </c>
      <c r="DT301" s="910">
        <f ca="1">SUMIFS('Safety parameters'!$DO$6:$DO$18,'Safety parameters'!$DK$6:$DK$18,CZ301,'Safety parameters'!$DL$6:$DL$18,1)+IF(dd_PartSA_2_lines = "Yes",0,SUMIFS('Safety parameters'!$DO$6:$DO$18,'Safety parameters'!$DK$6:$DK$18,DA301,'Safety parameters'!$DL$6:$DL$18,2)+SUMIFS('Safety parameters'!$DO$6:$DO$18,'Safety parameters'!$DK$6:$DK$18,DB301,'Safety parameters'!$DL$6:$DL$18,2))</f>
        <v>-1.244840438498337E-2</v>
      </c>
    </row>
    <row r="302" spans="89:124" ht="15.75" thickBot="1" x14ac:dyDescent="0.25">
      <c r="CK302" s="506" t="s">
        <v>31</v>
      </c>
      <c r="CL302" s="506">
        <v>3</v>
      </c>
      <c r="CM302" s="506" t="str">
        <v>placebo_BSC</v>
      </c>
      <c r="CN302" s="19">
        <v>999</v>
      </c>
      <c r="CO302" s="506" t="str" cm="1">
        <f t="array" ref="CO302">INDEX(List_comparators,CP289+1)</f>
        <v>lenvatinib_plus_pembrolizumab</v>
      </c>
      <c r="CP302" s="19">
        <v>3</v>
      </c>
      <c r="CQ302" s="602">
        <f t="shared" ca="1" si="206"/>
        <v>0</v>
      </c>
      <c r="CR302" s="602">
        <f t="shared" ca="1" si="207"/>
        <v>0</v>
      </c>
      <c r="CS302" s="670">
        <v>0</v>
      </c>
      <c r="CT302" s="670">
        <f t="shared" ca="1" si="208"/>
        <v>0</v>
      </c>
      <c r="CU302" s="1123">
        <f>MATCH(CZ302,'Resource use and costs'!$BA$11:$BA$53,0)</f>
        <v>27</v>
      </c>
      <c r="CV302" s="1223"/>
      <c r="CW302" s="1241">
        <f t="shared" si="202"/>
        <v>1</v>
      </c>
      <c r="CX302" s="899" t="s">
        <v>773</v>
      </c>
      <c r="CY302" s="899" t="s">
        <v>582</v>
      </c>
      <c r="CZ302" s="899" t="s">
        <v>117</v>
      </c>
      <c r="DA302" s="899" t="s">
        <v>118</v>
      </c>
      <c r="DB302" s="899" t="s">
        <v>119</v>
      </c>
      <c r="DC302" s="899" cm="1">
        <f t="array" aca="1" ref="DC302" ca="1">_xlfn.IFNA(OFFSET($I$49,MATCH(CY302,$I$50:$I$63,0),MATCH(CZ302,TRANSPOSE($J$49:$W$49),0)),0)</f>
        <v>3.1975660070562968E-2</v>
      </c>
      <c r="DD302" s="899">
        <f ca="1">DD301</f>
        <v>0.65700000000000003</v>
      </c>
      <c r="DE302" s="899" cm="1">
        <f t="array" aca="1" ref="DE302" ca="1">_xlfn.IFNA(OFFSET($AO$49,MATCH($DA302,$AO$50:$AO$63,0),MATCH($DB302,TRANSPOSE($AP$49:$BC$49),0)),0)</f>
        <v>0.18090000000000001</v>
      </c>
      <c r="DF302" s="881">
        <f t="shared" ca="1" si="199"/>
        <v>3.8003487677445011E-3</v>
      </c>
      <c r="DG302" s="910">
        <f t="shared" ca="1" si="200"/>
        <v>1.0029381384308471</v>
      </c>
      <c r="DH302" s="881">
        <f t="shared" ca="1" si="201"/>
        <v>3.8115147185096335E-3</v>
      </c>
      <c r="DI302" s="1461">
        <f t="shared" ca="1" si="197"/>
        <v>0.64033447270961841</v>
      </c>
      <c r="DJ302" s="909">
        <f>_xlfn.IFNA(INDEX('Resource use and costs'!$CQ$11:$CQ$53,MATCH($CZ302,'Resource use and costs'!$BA$11:$BA$53,0)),0)*_xlfn.IFNA(INDEX(DY$10:DY$23,MATCH($CZ302,$DX$10:$DX$23,0)),0)</f>
        <v>2860.9927072190476</v>
      </c>
      <c r="DK302" s="909">
        <f>IF(dd_PartSA_2_lines = "Yes",0,_xlfn.IFNA(INDEX('Resource use and costs'!$CR$11:$CR$53,MATCH(DA302,'Resource use and costs'!$BA$11:$BA$53,0)),0)*_xlfn.IFNA(INDEX(EA$10:EA$23,MATCH($DA302,$DX$10:$DX$23,0)),0))</f>
        <v>50308.075122000002</v>
      </c>
      <c r="DL302" s="909">
        <f>IF(dd_PartSA_2_lines = "Yes",0,_xlfn.IFNA(INDEX('Resource use and costs'!$CS$11:$CS$53,MATCH(DB302,'Resource use and costs'!$BA$11:$BA$53,0)),0)*_xlfn.IFNA(INDEX(EC$10:EC$23,MATCH($DB302,$DX$10:$DX$23,0)),0))</f>
        <v>2915.4763433333328</v>
      </c>
      <c r="DM302" s="909">
        <f t="shared" si="203"/>
        <v>56084.544172552385</v>
      </c>
      <c r="DN302" s="909">
        <f>SUM(_xlfn.IFNA(INDEX('Resource use and costs'!$DU$12:$DU$25,MATCH(CZ302,'Resource use and costs'!$DS$12:$DS$25,0)),0),_xlfn.IFNA(INDEX('Resource use and costs'!$DU$12:$DU$25,MATCH(DA302,'Resource use and costs'!$DS$12:$DS$25,0)),0),_xlfn.IFNA(INDEX('Resource use and costs'!$DU$12:$DU$25,MATCH(DB302,'Resource use and costs'!$DS$12:$DS$25,0)),0))</f>
        <v>591.75</v>
      </c>
      <c r="DO302" s="921">
        <f>_xlfn.IFNA(INDEX('Resource use and costs'!$DY$12:$DY$25,MATCH(CZ302,'Resource use and costs'!$DS$12:$DS$25,0)),0)*_xlfn.IFNA(INDEX(DY$10:DY$23,MATCH($CZ302,$DX$10:$DX$23,0)),0)</f>
        <v>405.17019714285709</v>
      </c>
      <c r="DP302" s="921">
        <f>IF(dd_PartSA_2_lines = "Yes",0,_xlfn.IFNA(INDEX('Resource use and costs'!$DZ$12:$DZ$25,MATCH(DA302,'Resource use and costs'!$DS$12:$DS$25,0)),0)*_xlfn.IFNA(INDEX(EA$10:EA$23,MATCH($DA302,$DX$10:$DX$23,0)),0))</f>
        <v>461.1445457142857</v>
      </c>
      <c r="DQ302" s="921">
        <f>IF(dd_PartSA_2_lines = "Yes",0,_xlfn.IFNA(INDEX('Resource use and costs'!$EA$12:$EA$25,MATCH(DB302,'Resource use and costs'!$DS$12:$DS$25,0)),0)*_xlfn.IFNA(INDEX(EC$10:EC$23,MATCH($DB302,$DX$10:$DX$23,0)),0))</f>
        <v>256.11457142857142</v>
      </c>
      <c r="DR302" s="921">
        <f t="shared" si="204"/>
        <v>1714.1793142857143</v>
      </c>
      <c r="DS302" s="1004">
        <f ca="1">SUMIFS('Safety parameters'!$DM$6:$DM$18,'Safety parameters'!$DK$6:$DK$18,CZ302,'Safety parameters'!$DL$6:$DL$18,1)+IF(dd_PartSA_2_lines = "Yes",0,SUMIFS('Safety parameters'!$DM$6:$DM$18,'Safety parameters'!$DK$6:$DK$18,DA302,'Safety parameters'!$DL$6:$DL$18,2)+SUMIFS('Safety parameters'!$DM$6:$DM$18,'Safety parameters'!$DK$6:$DK$18,DB302,'Safety parameters'!$DL$6:$DL$18,2))</f>
        <v>1680.3380581786982</v>
      </c>
      <c r="DT302" s="910">
        <f ca="1">SUMIFS('Safety parameters'!$DO$6:$DO$18,'Safety parameters'!$DK$6:$DK$18,CZ302,'Safety parameters'!$DL$6:$DL$18,1)+IF(dd_PartSA_2_lines = "Yes",0,SUMIFS('Safety parameters'!$DO$6:$DO$18,'Safety parameters'!$DK$6:$DK$18,DA302,'Safety parameters'!$DL$6:$DL$18,2)+SUMIFS('Safety parameters'!$DO$6:$DO$18,'Safety parameters'!$DK$6:$DK$18,DB302,'Safety parameters'!$DL$6:$DL$18,2))</f>
        <v>-1.5115977921621089E-2</v>
      </c>
    </row>
    <row r="303" spans="89:124" ht="15" x14ac:dyDescent="0.2">
      <c r="CK303" s="505" t="s">
        <v>31</v>
      </c>
      <c r="CL303" s="505">
        <v>3</v>
      </c>
      <c r="CM303" s="61" t="str" cm="1">
        <f t="array" ref="CM303:CM316">List_comparators</f>
        <v>nivolumab_monotherapy</v>
      </c>
      <c r="CN303" s="17">
        <v>0</v>
      </c>
      <c r="CO303" s="61" t="str" cm="1">
        <f t="array" ref="CO303">INDEX(List_comparators,CP303+1)</f>
        <v>avelumab_plus_axitinib</v>
      </c>
      <c r="CP303" s="17">
        <v>4</v>
      </c>
      <c r="CQ303" s="603">
        <f t="shared" ca="1" si="206"/>
        <v>0</v>
      </c>
      <c r="CR303" s="603">
        <f t="shared" ca="1" si="207"/>
        <v>0</v>
      </c>
      <c r="CS303" s="671">
        <f t="shared" ref="CS303:CS315" ca="1" si="210">OFFSET($Z$81,IF(CN303=999,13,CN303),CP303)</f>
        <v>0</v>
      </c>
      <c r="CT303" s="671">
        <f t="shared" ca="1" si="208"/>
        <v>0</v>
      </c>
      <c r="CU303" s="1123">
        <f>MATCH(CZ303,'Resource use and costs'!$BA$11:$BA$53,0)</f>
        <v>27</v>
      </c>
      <c r="CV303" s="1223"/>
      <c r="CW303" s="1241">
        <f t="shared" si="202"/>
        <v>1</v>
      </c>
      <c r="CX303" s="899" t="s">
        <v>773</v>
      </c>
      <c r="CY303" s="899" t="s">
        <v>582</v>
      </c>
      <c r="CZ303" s="899" t="s">
        <v>117</v>
      </c>
      <c r="DA303" s="899" t="s">
        <v>119</v>
      </c>
      <c r="DB303" s="899" t="s">
        <v>327</v>
      </c>
      <c r="DC303" s="899" cm="1">
        <f t="array" aca="1" ref="DC303" ca="1">_xlfn.IFNA(OFFSET($I$49,MATCH(CY303,$I$50:$I$63,0),MATCH(CZ303,TRANSPOSE($J$49:$W$49),0)),0)</f>
        <v>3.1975660070562968E-2</v>
      </c>
      <c r="DD303" s="899" cm="1">
        <f t="array" aca="1" ref="DD303" ca="1">_xlfn.IFNA(OFFSET($Y$49,MATCH($CZ303,$Y$50:$Y$63,0),MATCH($DA303,TRANSPOSE($Z$49:$AM$49),0)),0)</f>
        <v>0</v>
      </c>
      <c r="DE303" s="899" cm="1">
        <f t="array" aca="1" ref="DE303" ca="1">_xlfn.IFNA(OFFSET($AO$49,MATCH($DA303,$AO$50:$AO$63,0),MATCH($DB303,TRANSPOSE($AP$49:$BC$49),0)),0)</f>
        <v>0</v>
      </c>
      <c r="DF303" s="881">
        <f t="shared" ca="1" si="199"/>
        <v>0</v>
      </c>
      <c r="DG303" s="910">
        <f t="shared" ca="1" si="200"/>
        <v>1.0029381384308471</v>
      </c>
      <c r="DH303" s="881">
        <f t="shared" ca="1" si="201"/>
        <v>0</v>
      </c>
      <c r="DI303" s="1461">
        <f t="shared" ca="1" si="197"/>
        <v>0</v>
      </c>
      <c r="DJ303" s="909">
        <f>_xlfn.IFNA(INDEX('Resource use and costs'!$CQ$11:$CQ$53,MATCH($CZ303,'Resource use and costs'!$BA$11:$BA$53,0)),0)*_xlfn.IFNA(INDEX(DY$10:DY$23,MATCH($CZ303,$DX$10:$DX$23,0)),0)</f>
        <v>2860.9927072190476</v>
      </c>
      <c r="DK303" s="909">
        <f>IF(dd_PartSA_2_lines = "Yes",0,_xlfn.IFNA(INDEX('Resource use and costs'!$CR$11:$CR$53,MATCH(DA303,'Resource use and costs'!$BA$11:$BA$53,0)),0)*_xlfn.IFNA(INDEX(EA$10:EA$23,MATCH($DA303,$DX$10:$DX$23,0)),0))</f>
        <v>848.17532499999982</v>
      </c>
      <c r="DL303" s="909">
        <f>IF(dd_PartSA_2_lines = "Yes",0,_xlfn.IFNA(INDEX('Resource use and costs'!$CS$11:$CS$53,MATCH(DB303,'Resource use and costs'!$BA$11:$BA$53,0)),0)*_xlfn.IFNA(INDEX(EC$10:EC$23,MATCH($DB303,$DX$10:$DX$23,0)),0))</f>
        <v>18438.751749999999</v>
      </c>
      <c r="DM303" s="909">
        <f t="shared" si="203"/>
        <v>22147.919782219047</v>
      </c>
      <c r="DN303" s="909">
        <f>SUM(_xlfn.IFNA(INDEX('Resource use and costs'!$DU$12:$DU$25,MATCH(CZ303,'Resource use and costs'!$DS$12:$DS$25,0)),0),_xlfn.IFNA(INDEX('Resource use and costs'!$DU$12:$DU$25,MATCH(DA303,'Resource use and costs'!$DS$12:$DS$25,0)),0),_xlfn.IFNA(INDEX('Resource use and costs'!$DU$12:$DU$25,MATCH(DB303,'Resource use and costs'!$DS$12:$DS$25,0)),0))</f>
        <v>591.75</v>
      </c>
      <c r="DO303" s="921">
        <f>_xlfn.IFNA(INDEX('Resource use and costs'!$DY$12:$DY$25,MATCH(CZ303,'Resource use and costs'!$DS$12:$DS$25,0)),0)*_xlfn.IFNA(INDEX(DY$10:DY$23,MATCH($CZ303,$DX$10:$DX$23,0)),0)</f>
        <v>405.17019714285709</v>
      </c>
      <c r="DP303" s="921">
        <f>IF(dd_PartSA_2_lines = "Yes",0,_xlfn.IFNA(INDEX('Resource use and costs'!$DZ$12:$DZ$25,MATCH(DA303,'Resource use and costs'!$DS$12:$DS$25,0)),0)*_xlfn.IFNA(INDEX(EA$10:EA$23,MATCH($DA303,$DX$10:$DX$23,0)),0))</f>
        <v>74.50928571428571</v>
      </c>
      <c r="DQ303" s="921">
        <f>IF(dd_PartSA_2_lines = "Yes",0,_xlfn.IFNA(INDEX('Resource use and costs'!$EA$12:$EA$25,MATCH(DB303,'Resource use and costs'!$DS$12:$DS$25,0)),0)*_xlfn.IFNA(INDEX(EC$10:EC$23,MATCH($DB303,$DX$10:$DX$23,0)),0))</f>
        <v>230.68099999999998</v>
      </c>
      <c r="DR303" s="921">
        <f t="shared" si="204"/>
        <v>1302.1104828571429</v>
      </c>
      <c r="DS303" s="1004">
        <f ca="1">SUMIFS('Safety parameters'!$DM$6:$DM$18,'Safety parameters'!$DK$6:$DK$18,CZ303,'Safety parameters'!$DL$6:$DL$18,1)+IF(dd_PartSA_2_lines = "Yes",0,SUMIFS('Safety parameters'!$DM$6:$DM$18,'Safety parameters'!$DK$6:$DK$18,DA303,'Safety parameters'!$DL$6:$DL$18,2)+SUMIFS('Safety parameters'!$DM$6:$DM$18,'Safety parameters'!$DK$6:$DK$18,DB303,'Safety parameters'!$DL$6:$DL$18,2))</f>
        <v>2570.9174319407748</v>
      </c>
      <c r="DT303" s="910">
        <f ca="1">SUMIFS('Safety parameters'!$DO$6:$DO$18,'Safety parameters'!$DK$6:$DK$18,CZ303,'Safety parameters'!$DL$6:$DL$18,1)+IF(dd_PartSA_2_lines = "Yes",0,SUMIFS('Safety parameters'!$DO$6:$DO$18,'Safety parameters'!$DK$6:$DK$18,DA303,'Safety parameters'!$DL$6:$DL$18,2)+SUMIFS('Safety parameters'!$DO$6:$DO$18,'Safety parameters'!$DK$6:$DK$18,DB303,'Safety parameters'!$DL$6:$DL$18,2))</f>
        <v>-2.2835575572866581E-2</v>
      </c>
    </row>
    <row r="304" spans="89:124" ht="15" x14ac:dyDescent="0.2">
      <c r="CK304" s="61" t="s">
        <v>31</v>
      </c>
      <c r="CL304" s="61">
        <v>3</v>
      </c>
      <c r="CM304" s="61" t="str">
        <v>cabozantinib_plus_nivolumab</v>
      </c>
      <c r="CN304" s="17">
        <v>1</v>
      </c>
      <c r="CO304" s="61" t="str" cm="1">
        <f t="array" ref="CO304">INDEX(List_comparators,CP303+1)</f>
        <v>avelumab_plus_axitinib</v>
      </c>
      <c r="CP304" s="17">
        <v>4</v>
      </c>
      <c r="CQ304" s="601">
        <f t="shared" ca="1" si="206"/>
        <v>0</v>
      </c>
      <c r="CR304" s="601">
        <f t="shared" ca="1" si="207"/>
        <v>0</v>
      </c>
      <c r="CS304" s="671">
        <f t="shared" ca="1" si="210"/>
        <v>0</v>
      </c>
      <c r="CT304" s="671">
        <f t="shared" ca="1" si="208"/>
        <v>0</v>
      </c>
      <c r="CU304" s="1123">
        <f>MATCH(CZ304,'Resource use and costs'!$BA$11:$BA$53,0)</f>
        <v>27</v>
      </c>
      <c r="CV304" s="1223"/>
      <c r="CW304" s="1241">
        <f t="shared" si="202"/>
        <v>1</v>
      </c>
      <c r="CX304" s="899" t="s">
        <v>773</v>
      </c>
      <c r="CY304" s="899" t="s">
        <v>582</v>
      </c>
      <c r="CZ304" s="899" t="s">
        <v>117</v>
      </c>
      <c r="DA304" s="899" t="s">
        <v>119</v>
      </c>
      <c r="DB304" s="899" t="s">
        <v>765</v>
      </c>
      <c r="DC304" s="899" cm="1">
        <f t="array" aca="1" ref="DC304" ca="1">_xlfn.IFNA(OFFSET($I$49,MATCH(CY304,$I$50:$I$63,0),MATCH(CZ304,TRANSPOSE($J$49:$W$49),0)),0)</f>
        <v>3.1975660070562968E-2</v>
      </c>
      <c r="DD304" s="899" cm="1">
        <f t="array" aca="1" ref="DD304" ca="1">_xlfn.IFNA(OFFSET($Y$49,MATCH($CZ304,$Y$50:$Y$63,0),MATCH($DA304,TRANSPOSE($Z$49:$AM$49),0)),0)</f>
        <v>0</v>
      </c>
      <c r="DE304" s="899" cm="1">
        <f t="array" aca="1" ref="DE304" ca="1">_xlfn.IFNA(OFFSET($AO$49,MATCH($DA304,$AO$50:$AO$63,0),MATCH($DB304,TRANSPOSE($AP$49:$BC$49),0)),0)</f>
        <v>1</v>
      </c>
      <c r="DF304" s="881">
        <f t="shared" ca="1" si="199"/>
        <v>0</v>
      </c>
      <c r="DG304" s="910">
        <f t="shared" ca="1" si="200"/>
        <v>1.0029381384308471</v>
      </c>
      <c r="DH304" s="881">
        <f t="shared" ca="1" si="201"/>
        <v>0</v>
      </c>
      <c r="DI304" s="1461">
        <f t="shared" ca="1" si="197"/>
        <v>0</v>
      </c>
      <c r="DJ304" s="909">
        <f>_xlfn.IFNA(INDEX('Resource use and costs'!$CQ$11:$CQ$53,MATCH($CZ304,'Resource use and costs'!$BA$11:$BA$53,0)),0)*_xlfn.IFNA(INDEX(DY$10:DY$23,MATCH($CZ304,$DX$10:$DX$23,0)),0)</f>
        <v>2860.9927072190476</v>
      </c>
      <c r="DK304" s="909">
        <f>IF(dd_PartSA_2_lines = "Yes",0,_xlfn.IFNA(INDEX('Resource use and costs'!$CR$11:$CR$53,MATCH(DA304,'Resource use and costs'!$BA$11:$BA$53,0)),0)*_xlfn.IFNA(INDEX(EA$10:EA$23,MATCH($DA304,$DX$10:$DX$23,0)),0))</f>
        <v>848.17532499999982</v>
      </c>
      <c r="DL304" s="909">
        <f>IF(dd_PartSA_2_lines = "Yes",0,_xlfn.IFNA(INDEX('Resource use and costs'!$CS$11:$CS$53,MATCH(DB304,'Resource use and costs'!$BA$11:$BA$53,0)),0)*_xlfn.IFNA(INDEX(EC$10:EC$23,MATCH($DB304,$DX$10:$DX$23,0)),0))</f>
        <v>0</v>
      </c>
      <c r="DM304" s="909">
        <f t="shared" si="203"/>
        <v>3709.1680322190473</v>
      </c>
      <c r="DN304" s="909">
        <f>SUM(_xlfn.IFNA(INDEX('Resource use and costs'!$DU$12:$DU$25,MATCH(CZ304,'Resource use and costs'!$DS$12:$DS$25,0)),0),_xlfn.IFNA(INDEX('Resource use and costs'!$DU$12:$DU$25,MATCH(DA304,'Resource use and costs'!$DS$12:$DS$25,0)),0),_xlfn.IFNA(INDEX('Resource use and costs'!$DU$12:$DU$25,MATCH(DB304,'Resource use and costs'!$DS$12:$DS$25,0)),0))</f>
        <v>394.5</v>
      </c>
      <c r="DO304" s="921">
        <f>_xlfn.IFNA(INDEX('Resource use and costs'!$DY$12:$DY$25,MATCH(CZ304,'Resource use and costs'!$DS$12:$DS$25,0)),0)*_xlfn.IFNA(INDEX(DY$10:DY$23,MATCH($CZ304,$DX$10:$DX$23,0)),0)</f>
        <v>405.17019714285709</v>
      </c>
      <c r="DP304" s="921">
        <f>IF(dd_PartSA_2_lines = "Yes",0,_xlfn.IFNA(INDEX('Resource use and costs'!$DZ$12:$DZ$25,MATCH(DA304,'Resource use and costs'!$DS$12:$DS$25,0)),0)*_xlfn.IFNA(INDEX(EA$10:EA$23,MATCH($DA304,$DX$10:$DX$23,0)),0))</f>
        <v>74.50928571428571</v>
      </c>
      <c r="DQ304" s="921">
        <f>IF(dd_PartSA_2_lines = "Yes",0,_xlfn.IFNA(INDEX('Resource use and costs'!$EA$12:$EA$25,MATCH(DB304,'Resource use and costs'!$DS$12:$DS$25,0)),0)*_xlfn.IFNA(INDEX(EC$10:EC$23,MATCH($DB304,$DX$10:$DX$23,0)),0))</f>
        <v>0</v>
      </c>
      <c r="DR304" s="921">
        <f t="shared" si="204"/>
        <v>874.17948285714283</v>
      </c>
      <c r="DS304" s="1004">
        <f ca="1">SUMIFS('Safety parameters'!$DM$6:$DM$18,'Safety parameters'!$DK$6:$DK$18,CZ304,'Safety parameters'!$DL$6:$DL$18,1)+IF(dd_PartSA_2_lines = "Yes",0,SUMIFS('Safety parameters'!$DM$6:$DM$18,'Safety parameters'!$DK$6:$DK$18,DA304,'Safety parameters'!$DL$6:$DL$18,2)+SUMIFS('Safety parameters'!$DM$6:$DM$18,'Safety parameters'!$DK$6:$DK$18,DB304,'Safety parameters'!$DL$6:$DL$18,2))</f>
        <v>936.68875837531493</v>
      </c>
      <c r="DT304" s="910">
        <f ca="1">SUMIFS('Safety parameters'!$DO$6:$DO$18,'Safety parameters'!$DK$6:$DK$18,CZ304,'Safety parameters'!$DL$6:$DL$18,1)+IF(dd_PartSA_2_lines = "Yes",0,SUMIFS('Safety parameters'!$DO$6:$DO$18,'Safety parameters'!$DK$6:$DK$18,DA304,'Safety parameters'!$DL$6:$DL$18,2)+SUMIFS('Safety parameters'!$DO$6:$DO$18,'Safety parameters'!$DK$6:$DK$18,DB304,'Safety parameters'!$DL$6:$DL$18,2))</f>
        <v>-8.0936515653851522E-3</v>
      </c>
    </row>
    <row r="305" spans="89:124" ht="15" x14ac:dyDescent="0.2">
      <c r="CK305" s="61" t="s">
        <v>31</v>
      </c>
      <c r="CL305" s="61">
        <v>3</v>
      </c>
      <c r="CM305" s="61" t="str">
        <v>nivolumab_plus_ipilimumab</v>
      </c>
      <c r="CN305" s="17">
        <v>2</v>
      </c>
      <c r="CO305" s="61" t="str" cm="1">
        <f t="array" ref="CO305">INDEX(List_comparators,CP304+1)</f>
        <v>avelumab_plus_axitinib</v>
      </c>
      <c r="CP305" s="17">
        <v>4</v>
      </c>
      <c r="CQ305" s="601">
        <f t="shared" ca="1" si="206"/>
        <v>0</v>
      </c>
      <c r="CR305" s="601">
        <f t="shared" ca="1" si="207"/>
        <v>0</v>
      </c>
      <c r="CS305" s="671">
        <f t="shared" ca="1" si="210"/>
        <v>0</v>
      </c>
      <c r="CT305" s="671">
        <f t="shared" ca="1" si="208"/>
        <v>0</v>
      </c>
      <c r="CU305" s="1123">
        <f>MATCH(CZ305,'Resource use and costs'!$BA$11:$BA$53,0)</f>
        <v>24</v>
      </c>
      <c r="CV305" s="1223"/>
      <c r="CW305" s="1241">
        <f t="shared" si="202"/>
        <v>1</v>
      </c>
      <c r="CX305" s="899" t="s">
        <v>773</v>
      </c>
      <c r="CY305" s="899" t="s">
        <v>582</v>
      </c>
      <c r="CZ305" s="899" t="s">
        <v>319</v>
      </c>
      <c r="DA305" s="899" t="s">
        <v>327</v>
      </c>
      <c r="DB305" s="899" t="s">
        <v>765</v>
      </c>
      <c r="DC305" s="899" cm="1">
        <f t="array" aca="1" ref="DC305" ca="1">_xlfn.IFNA(OFFSET($I$49,MATCH(CY305,$I$50:$I$63,0),MATCH(CZ305,TRANSPOSE($J$49:$W$49),0)),0)</f>
        <v>4.269746893695351E-2</v>
      </c>
      <c r="DD305" s="899" cm="1">
        <f t="array" aca="1" ref="DD305" ca="1">_xlfn.IFNA(OFFSET($Y$49,MATCH($CZ305,$Y$50:$Y$63,0),MATCH($DA305,TRANSPOSE($Z$49:$AM$49),0)),0)</f>
        <v>4.6899999999999997E-2</v>
      </c>
      <c r="DE305" s="899" cm="1">
        <f t="array" aca="1" ref="DE305" ca="1">_xlfn.IFNA(OFFSET($AO$49,MATCH($DA305,$AO$50:$AO$63,0),MATCH($DB305,TRANSPOSE($AP$49:$BC$49),0)),0)</f>
        <v>0.43140000000000001</v>
      </c>
      <c r="DF305" s="881">
        <f t="shared" ca="1" si="199"/>
        <v>8.6388337186194171E-4</v>
      </c>
      <c r="DG305" s="910">
        <f t="shared" ca="1" si="200"/>
        <v>1.0029381384308471</v>
      </c>
      <c r="DH305" s="881">
        <f t="shared" ca="1" si="201"/>
        <v>8.6642158079657905E-4</v>
      </c>
      <c r="DI305" s="1461">
        <f t="shared" ca="1" si="197"/>
        <v>0.14555882557382527</v>
      </c>
      <c r="DJ305" s="909">
        <f>_xlfn.IFNA(INDEX('Resource use and costs'!$CQ$11:$CQ$53,MATCH($CZ305,'Resource use and costs'!$BA$11:$BA$53,0)),0)*_xlfn.IFNA(INDEX(DY$10:DY$23,MATCH($CZ305,$DX$10:$DX$23,0)),0)</f>
        <v>20680.612971428574</v>
      </c>
      <c r="DK305" s="909">
        <f>IF(dd_PartSA_2_lines = "Yes",0,_xlfn.IFNA(INDEX('Resource use and costs'!$CR$11:$CR$53,MATCH(DA305,'Resource use and costs'!$BA$11:$BA$53,0)),0)*_xlfn.IFNA(INDEX(EA$10:EA$23,MATCH($DA305,$DX$10:$DX$23,0)),0))</f>
        <v>21421.066008214286</v>
      </c>
      <c r="DL305" s="909">
        <f>IF(dd_PartSA_2_lines = "Yes",0,_xlfn.IFNA(INDEX('Resource use and costs'!$CS$11:$CS$53,MATCH(DB305,'Resource use and costs'!$BA$11:$BA$53,0)),0)*_xlfn.IFNA(INDEX(EC$10:EC$23,MATCH($DB305,$DX$10:$DX$23,0)),0))</f>
        <v>0</v>
      </c>
      <c r="DM305" s="909">
        <f t="shared" si="203"/>
        <v>42101.678979642864</v>
      </c>
      <c r="DN305" s="909">
        <f>SUM(_xlfn.IFNA(INDEX('Resource use and costs'!$DU$12:$DU$25,MATCH(CZ305,'Resource use and costs'!$DS$12:$DS$25,0)),0),_xlfn.IFNA(INDEX('Resource use and costs'!$DU$12:$DU$25,MATCH(DA305,'Resource use and costs'!$DS$12:$DS$25,0)),0),_xlfn.IFNA(INDEX('Resource use and costs'!$DU$12:$DU$25,MATCH(DB305,'Resource use and costs'!$DS$12:$DS$25,0)),0))</f>
        <v>394.5</v>
      </c>
      <c r="DO305" s="921">
        <f>_xlfn.IFNA(INDEX('Resource use and costs'!$DY$12:$DY$25,MATCH(CZ305,'Resource use and costs'!$DS$12:$DS$25,0)),0)*_xlfn.IFNA(INDEX(DY$10:DY$23,MATCH($CZ305,$DX$10:$DX$23,0)),0)</f>
        <v>443.44394285714293</v>
      </c>
      <c r="DP305" s="921">
        <f>IF(dd_PartSA_2_lines = "Yes",0,_xlfn.IFNA(INDEX('Resource use and costs'!$DZ$12:$DZ$25,MATCH(DA305,'Resource use and costs'!$DS$12:$DS$25,0)),0)*_xlfn.IFNA(INDEX(EA$10:EA$23,MATCH($DA305,$DX$10:$DX$23,0)),0))</f>
        <v>267.99172714285714</v>
      </c>
      <c r="DQ305" s="921">
        <f>IF(dd_PartSA_2_lines = "Yes",0,_xlfn.IFNA(INDEX('Resource use and costs'!$EA$12:$EA$25,MATCH(DB305,'Resource use and costs'!$DS$12:$DS$25,0)),0)*_xlfn.IFNA(INDEX(EC$10:EC$23,MATCH($DB305,$DX$10:$DX$23,0)),0))</f>
        <v>0</v>
      </c>
      <c r="DR305" s="921">
        <f t="shared" si="204"/>
        <v>1105.9356700000001</v>
      </c>
      <c r="DS305" s="1004">
        <f ca="1">SUMIFS('Safety parameters'!$DM$6:$DM$18,'Safety parameters'!$DK$6:$DK$18,CZ305,'Safety parameters'!$DL$6:$DL$18,1)+IF(dd_PartSA_2_lines = "Yes",0,SUMIFS('Safety parameters'!$DM$6:$DM$18,'Safety parameters'!$DK$6:$DK$18,DA305,'Safety parameters'!$DL$6:$DL$18,2)+SUMIFS('Safety parameters'!$DM$6:$DM$18,'Safety parameters'!$DK$6:$DK$18,DB305,'Safety parameters'!$DL$6:$DL$18,2))</f>
        <v>2042.1647262635129</v>
      </c>
      <c r="DT305" s="910">
        <f ca="1">SUMIFS('Safety parameters'!$DO$6:$DO$18,'Safety parameters'!$DK$6:$DK$18,CZ305,'Safety parameters'!$DL$6:$DL$18,1)+IF(dd_PartSA_2_lines = "Yes",0,SUMIFS('Safety parameters'!$DO$6:$DO$18,'Safety parameters'!$DK$6:$DK$18,DA305,'Safety parameters'!$DL$6:$DL$18,2)+SUMIFS('Safety parameters'!$DO$6:$DO$18,'Safety parameters'!$DK$6:$DK$18,DB305,'Safety parameters'!$DL$6:$DL$18,2))</f>
        <v>-1.8195878647800728E-2</v>
      </c>
    </row>
    <row r="306" spans="89:124" ht="15" x14ac:dyDescent="0.2">
      <c r="CK306" s="61" t="s">
        <v>31</v>
      </c>
      <c r="CL306" s="61">
        <v>3</v>
      </c>
      <c r="CM306" s="61" t="str">
        <v>lenvatinib_plus_pembrolizumab</v>
      </c>
      <c r="CN306" s="17">
        <v>3</v>
      </c>
      <c r="CO306" s="61" t="str" cm="1">
        <f t="array" ref="CO306">INDEX(List_comparators,CP305+1)</f>
        <v>avelumab_plus_axitinib</v>
      </c>
      <c r="CP306" s="17">
        <v>4</v>
      </c>
      <c r="CQ306" s="601">
        <f t="shared" ca="1" si="206"/>
        <v>0</v>
      </c>
      <c r="CR306" s="601">
        <f t="shared" ca="1" si="207"/>
        <v>0</v>
      </c>
      <c r="CS306" s="671">
        <f t="shared" ca="1" si="210"/>
        <v>0</v>
      </c>
      <c r="CT306" s="671">
        <f t="shared" ca="1" si="208"/>
        <v>0</v>
      </c>
      <c r="CU306" s="1123">
        <f>MATCH(CZ306,'Resource use and costs'!$BA$11:$BA$53,0)</f>
        <v>24</v>
      </c>
      <c r="CV306" s="1223"/>
      <c r="CW306" s="1241">
        <f t="shared" si="202"/>
        <v>1</v>
      </c>
      <c r="CX306" s="899" t="s">
        <v>773</v>
      </c>
      <c r="CY306" s="899" t="s">
        <v>582</v>
      </c>
      <c r="CZ306" s="899" t="s">
        <v>319</v>
      </c>
      <c r="DA306" s="899" t="s">
        <v>327</v>
      </c>
      <c r="DB306" s="899" t="s">
        <v>119</v>
      </c>
      <c r="DC306" s="899" cm="1">
        <f t="array" aca="1" ref="DC306" ca="1">_xlfn.IFNA(OFFSET($I$49,MATCH(CY306,$I$50:$I$63,0),MATCH(CZ306,TRANSPOSE($J$49:$W$49),0)),0)</f>
        <v>4.269746893695351E-2</v>
      </c>
      <c r="DD306" s="899" cm="1">
        <f t="array" aca="1" ref="DD306" ca="1">_xlfn.IFNA(OFFSET($Y$49,MATCH($CZ306,$Y$50:$Y$63,0),MATCH($DA306,TRANSPOSE($Z$49:$AM$49),0)),0)</f>
        <v>4.6899999999999997E-2</v>
      </c>
      <c r="DE306" s="899" cm="1">
        <f t="array" aca="1" ref="DE306" ca="1">_xlfn.IFNA(OFFSET($AO$49,MATCH($DA306,$AO$50:$AO$63,0),MATCH($DB306,TRANSPOSE($AP$49:$BC$49),0)),0)</f>
        <v>0.56859999999999999</v>
      </c>
      <c r="DF306" s="881">
        <f t="shared" ca="1" si="199"/>
        <v>1.1386279212811776E-3</v>
      </c>
      <c r="DG306" s="910">
        <f t="shared" ca="1" si="200"/>
        <v>1.0029381384308471</v>
      </c>
      <c r="DH306" s="881">
        <f t="shared" ca="1" si="201"/>
        <v>1.1419733677351294E-3</v>
      </c>
      <c r="DI306" s="1461">
        <f t="shared" ca="1" si="197"/>
        <v>0.19185152577950174</v>
      </c>
      <c r="DJ306" s="909">
        <f>_xlfn.IFNA(INDEX('Resource use and costs'!$CQ$11:$CQ$53,MATCH($CZ306,'Resource use and costs'!$BA$11:$BA$53,0)),0)*_xlfn.IFNA(INDEX(DY$10:DY$23,MATCH($CZ306,$DX$10:$DX$23,0)),0)</f>
        <v>20680.612971428574</v>
      </c>
      <c r="DK306" s="909">
        <f>IF(dd_PartSA_2_lines = "Yes",0,_xlfn.IFNA(INDEX('Resource use and costs'!$CR$11:$CR$53,MATCH(DA306,'Resource use and costs'!$BA$11:$BA$53,0)),0)*_xlfn.IFNA(INDEX(EA$10:EA$23,MATCH($DA306,$DX$10:$DX$23,0)),0))</f>
        <v>21421.066008214286</v>
      </c>
      <c r="DL306" s="909">
        <f>IF(dd_PartSA_2_lines = "Yes",0,_xlfn.IFNA(INDEX('Resource use and costs'!$CS$11:$CS$53,MATCH(DB306,'Resource use and costs'!$BA$11:$BA$53,0)),0)*_xlfn.IFNA(INDEX(EC$10:EC$23,MATCH($DB306,$DX$10:$DX$23,0)),0))</f>
        <v>2915.4763433333328</v>
      </c>
      <c r="DM306" s="909">
        <f t="shared" si="203"/>
        <v>45017.155322976199</v>
      </c>
      <c r="DN306" s="909">
        <f>SUM(_xlfn.IFNA(INDEX('Resource use and costs'!$DU$12:$DU$25,MATCH(CZ306,'Resource use and costs'!$DS$12:$DS$25,0)),0),_xlfn.IFNA(INDEX('Resource use and costs'!$DU$12:$DU$25,MATCH(DA306,'Resource use and costs'!$DS$12:$DS$25,0)),0),_xlfn.IFNA(INDEX('Resource use and costs'!$DU$12:$DU$25,MATCH(DB306,'Resource use and costs'!$DS$12:$DS$25,0)),0))</f>
        <v>591.75</v>
      </c>
      <c r="DO306" s="921">
        <f>_xlfn.IFNA(INDEX('Resource use and costs'!$DY$12:$DY$25,MATCH(CZ306,'Resource use and costs'!$DS$12:$DS$25,0)),0)*_xlfn.IFNA(INDEX(DY$10:DY$23,MATCH($CZ306,$DX$10:$DX$23,0)),0)</f>
        <v>443.44394285714293</v>
      </c>
      <c r="DP306" s="921">
        <f>IF(dd_PartSA_2_lines = "Yes",0,_xlfn.IFNA(INDEX('Resource use and costs'!$DZ$12:$DZ$25,MATCH(DA306,'Resource use and costs'!$DS$12:$DS$25,0)),0)*_xlfn.IFNA(INDEX(EA$10:EA$23,MATCH($DA306,$DX$10:$DX$23,0)),0))</f>
        <v>267.99172714285714</v>
      </c>
      <c r="DQ306" s="921">
        <f>IF(dd_PartSA_2_lines = "Yes",0,_xlfn.IFNA(INDEX('Resource use and costs'!$EA$12:$EA$25,MATCH(DB306,'Resource use and costs'!$DS$12:$DS$25,0)),0)*_xlfn.IFNA(INDEX(EC$10:EC$23,MATCH($DB306,$DX$10:$DX$23,0)),0))</f>
        <v>256.11457142857142</v>
      </c>
      <c r="DR306" s="921">
        <f t="shared" si="204"/>
        <v>1559.3002414285716</v>
      </c>
      <c r="DS306" s="1004">
        <f ca="1">SUMIFS('Safety parameters'!$DM$6:$DM$18,'Safety parameters'!$DK$6:$DK$18,CZ306,'Safety parameters'!$DL$6:$DL$18,1)+IF(dd_PartSA_2_lines = "Yes",0,SUMIFS('Safety parameters'!$DM$6:$DM$18,'Safety parameters'!$DK$6:$DK$18,DA306,'Safety parameters'!$DL$6:$DL$18,2)+SUMIFS('Safety parameters'!$DM$6:$DM$18,'Safety parameters'!$DK$6:$DK$18,DB306,'Safety parameters'!$DL$6:$DL$18,2))</f>
        <v>2375.0401096388277</v>
      </c>
      <c r="DT306" s="910">
        <f ca="1">SUMIFS('Safety parameters'!$DO$6:$DO$18,'Safety parameters'!$DK$6:$DK$18,CZ306,'Safety parameters'!$DL$6:$DL$18,1)+IF(dd_PartSA_2_lines = "Yes",0,SUMIFS('Safety parameters'!$DO$6:$DO$18,'Safety parameters'!$DK$6:$DK$18,DA306,'Safety parameters'!$DL$6:$DL$18,2)+SUMIFS('Safety parameters'!$DO$6:$DO$18,'Safety parameters'!$DK$6:$DK$18,DB306,'Safety parameters'!$DL$6:$DL$18,2))</f>
        <v>-2.0863452184438448E-2</v>
      </c>
    </row>
    <row r="307" spans="89:124" ht="15" x14ac:dyDescent="0.2">
      <c r="CK307" s="61" t="s">
        <v>31</v>
      </c>
      <c r="CL307" s="61">
        <v>3</v>
      </c>
      <c r="CM307" s="61" t="str">
        <v>avelumab_plus_axitinib</v>
      </c>
      <c r="CN307" s="17">
        <v>4</v>
      </c>
      <c r="CO307" s="61" t="str" cm="1">
        <f t="array" ref="CO307">INDEX(List_comparators,CP306+1)</f>
        <v>avelumab_plus_axitinib</v>
      </c>
      <c r="CP307" s="17">
        <v>4</v>
      </c>
      <c r="CQ307" s="601">
        <f t="shared" ca="1" si="206"/>
        <v>0</v>
      </c>
      <c r="CR307" s="601">
        <f t="shared" ca="1" si="207"/>
        <v>0</v>
      </c>
      <c r="CS307" s="671">
        <f t="shared" ca="1" si="210"/>
        <v>0</v>
      </c>
      <c r="CT307" s="671">
        <f t="shared" ca="1" si="208"/>
        <v>0</v>
      </c>
      <c r="CU307" s="1123">
        <f>MATCH(CZ307,'Resource use and costs'!$BA$11:$BA$53,0)</f>
        <v>24</v>
      </c>
      <c r="CV307" s="1223"/>
      <c r="CW307" s="1241">
        <f t="shared" si="202"/>
        <v>1</v>
      </c>
      <c r="CX307" s="899" t="s">
        <v>773</v>
      </c>
      <c r="CY307" s="899" t="s">
        <v>582</v>
      </c>
      <c r="CZ307" s="899" t="s">
        <v>319</v>
      </c>
      <c r="DA307" s="899" t="s">
        <v>765</v>
      </c>
      <c r="DB307" s="899"/>
      <c r="DC307" s="899" cm="1">
        <f t="array" aca="1" ref="DC307" ca="1">_xlfn.IFNA(OFFSET($I$49,MATCH(CY307,$I$50:$I$63,0),MATCH(CZ307,TRANSPOSE($J$49:$W$49),0)),0)</f>
        <v>4.269746893695351E-2</v>
      </c>
      <c r="DD307" s="899" cm="1">
        <f t="array" aca="1" ref="DD307" ca="1">_xlfn.IFNA(OFFSET($Y$49,MATCH($CZ307,$Y$50:$Y$63,0),MATCH($DA307,TRANSPOSE($Z$49:$AM$49),0)),0)</f>
        <v>0.34300000000000003</v>
      </c>
      <c r="DE307" s="899" cm="1">
        <f t="array" aca="1" ref="DE307" ca="1">_xlfn.IFNA(OFFSET($AO$49,MATCH($DA307,$AO$50:$AO$63,0),MATCH($DB307,TRANSPOSE($AP$49:$BC$49),0)),0)</f>
        <v>0</v>
      </c>
      <c r="DF307" s="881">
        <f t="shared" ca="1" si="199"/>
        <v>1.4645231845375055E-2</v>
      </c>
      <c r="DG307" s="910">
        <f t="shared" ca="1" si="200"/>
        <v>1.0029381384308471</v>
      </c>
      <c r="DH307" s="881">
        <f t="shared" ca="1" si="201"/>
        <v>1.4688261563888617E-2</v>
      </c>
      <c r="DI307" s="1461">
        <f t="shared" ca="1" si="197"/>
        <v>2.4676279427332877</v>
      </c>
      <c r="DJ307" s="909">
        <f>_xlfn.IFNA(INDEX('Resource use and costs'!$CQ$11:$CQ$53,MATCH($CZ307,'Resource use and costs'!$BA$11:$BA$53,0)),0)*_xlfn.IFNA(INDEX(DY$10:DY$23,MATCH($CZ307,$DX$10:$DX$23,0)),0)</f>
        <v>20680.612971428574</v>
      </c>
      <c r="DK307" s="909">
        <f>IF(dd_PartSA_2_lines = "Yes",0,_xlfn.IFNA(INDEX('Resource use and costs'!$CR$11:$CR$53,MATCH(DA307,'Resource use and costs'!$BA$11:$BA$53,0)),0)*_xlfn.IFNA(INDEX(EA$10:EA$23,MATCH($DA307,$DX$10:$DX$23,0)),0))</f>
        <v>0</v>
      </c>
      <c r="DL307" s="909">
        <f>IF(dd_PartSA_2_lines = "Yes",0,_xlfn.IFNA(INDEX('Resource use and costs'!$CS$11:$CS$53,MATCH(DB307,'Resource use and costs'!$BA$11:$BA$53,0)),0)*_xlfn.IFNA(INDEX(EC$10:EC$23,MATCH($DB307,$DX$10:$DX$23,0)),0))</f>
        <v>0</v>
      </c>
      <c r="DM307" s="909">
        <f t="shared" si="203"/>
        <v>20680.612971428574</v>
      </c>
      <c r="DN307" s="909">
        <f>SUM(_xlfn.IFNA(INDEX('Resource use and costs'!$DU$12:$DU$25,MATCH(CZ307,'Resource use and costs'!$DS$12:$DS$25,0)),0),_xlfn.IFNA(INDEX('Resource use and costs'!$DU$12:$DU$25,MATCH(DA307,'Resource use and costs'!$DS$12:$DS$25,0)),0),_xlfn.IFNA(INDEX('Resource use and costs'!$DU$12:$DU$25,MATCH(DB307,'Resource use and costs'!$DS$12:$DS$25,0)),0))</f>
        <v>197.25</v>
      </c>
      <c r="DO307" s="921">
        <f>_xlfn.IFNA(INDEX('Resource use and costs'!$DY$12:$DY$25,MATCH(CZ307,'Resource use and costs'!$DS$12:$DS$25,0)),0)*_xlfn.IFNA(INDEX(DY$10:DY$23,MATCH($CZ307,$DX$10:$DX$23,0)),0)</f>
        <v>443.44394285714293</v>
      </c>
      <c r="DP307" s="921">
        <f>IF(dd_PartSA_2_lines = "Yes",0,_xlfn.IFNA(INDEX('Resource use and costs'!$DZ$12:$DZ$25,MATCH(DA307,'Resource use and costs'!$DS$12:$DS$25,0)),0)*_xlfn.IFNA(INDEX(EA$10:EA$23,MATCH($DA307,$DX$10:$DX$23,0)),0))</f>
        <v>0</v>
      </c>
      <c r="DQ307" s="921">
        <f>IF(dd_PartSA_2_lines = "Yes",0,_xlfn.IFNA(INDEX('Resource use and costs'!$EA$12:$EA$25,MATCH(DB307,'Resource use and costs'!$DS$12:$DS$25,0)),0)*_xlfn.IFNA(INDEX(EC$10:EC$23,MATCH($DB307,$DX$10:$DX$23,0)),0))</f>
        <v>0</v>
      </c>
      <c r="DR307" s="921">
        <f t="shared" si="204"/>
        <v>640.69394285714293</v>
      </c>
      <c r="DS307" s="1004">
        <f ca="1">SUMIFS('Safety parameters'!$DM$6:$DM$18,'Safety parameters'!$DK$6:$DK$18,CZ307,'Safety parameters'!$DL$6:$DL$18,1)+IF(dd_PartSA_2_lines = "Yes",0,SUMIFS('Safety parameters'!$DM$6:$DM$18,'Safety parameters'!$DK$6:$DK$18,DA307,'Safety parameters'!$DL$6:$DL$18,2)+SUMIFS('Safety parameters'!$DM$6:$DM$18,'Safety parameters'!$DK$6:$DK$18,DB307,'Safety parameters'!$DL$6:$DL$18,2))</f>
        <v>407.93605269805306</v>
      </c>
      <c r="DT307" s="910">
        <f ca="1">SUMIFS('Safety parameters'!$DO$6:$DO$18,'Safety parameters'!$DK$6:$DK$18,CZ307,'Safety parameters'!$DL$6:$DL$18,1)+IF(dd_PartSA_2_lines = "Yes",0,SUMIFS('Safety parameters'!$DO$6:$DO$18,'Safety parameters'!$DK$6:$DK$18,DA307,'Safety parameters'!$DL$6:$DL$18,2)+SUMIFS('Safety parameters'!$DO$6:$DO$18,'Safety parameters'!$DK$6:$DK$18,DB307,'Safety parameters'!$DL$6:$DL$18,2))</f>
        <v>-3.453954640319298E-3</v>
      </c>
    </row>
    <row r="308" spans="89:124" ht="15" x14ac:dyDescent="0.2">
      <c r="CK308" s="61" t="s">
        <v>31</v>
      </c>
      <c r="CL308" s="61">
        <v>3</v>
      </c>
      <c r="CM308" s="61" t="str">
        <v>pazopanib</v>
      </c>
      <c r="CN308" s="17">
        <v>5</v>
      </c>
      <c r="CO308" s="61" t="str" cm="1">
        <f t="array" ref="CO308">INDEX(List_comparators,CP307+1)</f>
        <v>avelumab_plus_axitinib</v>
      </c>
      <c r="CP308" s="17">
        <v>4</v>
      </c>
      <c r="CQ308" s="601">
        <f t="shared" ca="1" si="206"/>
        <v>0</v>
      </c>
      <c r="CR308" s="601">
        <f t="shared" ca="1" si="207"/>
        <v>0</v>
      </c>
      <c r="CS308" s="671">
        <f t="shared" ca="1" si="210"/>
        <v>0</v>
      </c>
      <c r="CT308" s="671">
        <f t="shared" ca="1" si="208"/>
        <v>0</v>
      </c>
      <c r="CU308" s="1123">
        <f>MATCH(CZ308,'Resource use and costs'!$BA$11:$BA$53,0)</f>
        <v>24</v>
      </c>
      <c r="CV308" s="1223"/>
      <c r="CW308" s="1241">
        <f t="shared" si="202"/>
        <v>1</v>
      </c>
      <c r="CX308" s="899" t="s">
        <v>773</v>
      </c>
      <c r="CY308" s="899" t="s">
        <v>582</v>
      </c>
      <c r="CZ308" s="899" t="s">
        <v>319</v>
      </c>
      <c r="DA308" s="899" t="s">
        <v>118</v>
      </c>
      <c r="DB308" s="899" t="s">
        <v>327</v>
      </c>
      <c r="DC308" s="899" cm="1">
        <f t="array" aca="1" ref="DC308" ca="1">_xlfn.IFNA(OFFSET($I$49,MATCH(CY308,$I$50:$I$63,0),MATCH(CZ308,TRANSPOSE($J$49:$W$49),0)),0)</f>
        <v>4.269746893695351E-2</v>
      </c>
      <c r="DD308" s="899">
        <f ca="1">1-DD305-DD307-DD311</f>
        <v>0.56320000000000014</v>
      </c>
      <c r="DE308" s="899" cm="1">
        <f t="array" aca="1" ref="DE308" ca="1">_xlfn.IFNA(OFFSET($AO$49,MATCH($DA308,$AO$50:$AO$63,0),MATCH($DB308,TRANSPOSE($AP$49:$BC$49),0)),0)</f>
        <v>0.38769999999999999</v>
      </c>
      <c r="DF308" s="881">
        <f t="shared" ca="1" si="199"/>
        <v>9.3231050637017938E-3</v>
      </c>
      <c r="DG308" s="910">
        <f t="shared" ca="1" si="200"/>
        <v>1.0029381384308471</v>
      </c>
      <c r="DH308" s="881">
        <f t="shared" ca="1" si="201"/>
        <v>9.3504976369842806E-3</v>
      </c>
      <c r="DI308" s="1461">
        <f t="shared" ca="1" si="197"/>
        <v>1.5708836030133591</v>
      </c>
      <c r="DJ308" s="909">
        <f>_xlfn.IFNA(INDEX('Resource use and costs'!$CQ$11:$CQ$53,MATCH($CZ308,'Resource use and costs'!$BA$11:$BA$53,0)),0)*_xlfn.IFNA(INDEX(DY$10:DY$23,MATCH($CZ308,$DX$10:$DX$23,0)),0)</f>
        <v>20680.612971428574</v>
      </c>
      <c r="DK308" s="909">
        <f>IF(dd_PartSA_2_lines = "Yes",0,_xlfn.IFNA(INDEX('Resource use and costs'!$CR$11:$CR$53,MATCH(DA308,'Resource use and costs'!$BA$11:$BA$53,0)),0)*_xlfn.IFNA(INDEX(EA$10:EA$23,MATCH($DA308,$DX$10:$DX$23,0)),0))</f>
        <v>50308.075122000002</v>
      </c>
      <c r="DL308" s="909">
        <f>IF(dd_PartSA_2_lines = "Yes",0,_xlfn.IFNA(INDEX('Resource use and costs'!$CS$11:$CS$53,MATCH(DB308,'Resource use and costs'!$BA$11:$BA$53,0)),0)*_xlfn.IFNA(INDEX(EC$10:EC$23,MATCH($DB308,$DX$10:$DX$23,0)),0))</f>
        <v>18438.751749999999</v>
      </c>
      <c r="DM308" s="909">
        <f t="shared" si="203"/>
        <v>89427.439843428569</v>
      </c>
      <c r="DN308" s="909">
        <f>SUM(_xlfn.IFNA(INDEX('Resource use and costs'!$DU$12:$DU$25,MATCH(CZ308,'Resource use and costs'!$DS$12:$DS$25,0)),0),_xlfn.IFNA(INDEX('Resource use and costs'!$DU$12:$DU$25,MATCH(DA308,'Resource use and costs'!$DS$12:$DS$25,0)),0),_xlfn.IFNA(INDEX('Resource use and costs'!$DU$12:$DU$25,MATCH(DB308,'Resource use and costs'!$DS$12:$DS$25,0)),0))</f>
        <v>591.75</v>
      </c>
      <c r="DO308" s="921">
        <f>_xlfn.IFNA(INDEX('Resource use and costs'!$DY$12:$DY$25,MATCH(CZ308,'Resource use and costs'!$DS$12:$DS$25,0)),0)*_xlfn.IFNA(INDEX(DY$10:DY$23,MATCH($CZ308,$DX$10:$DX$23,0)),0)</f>
        <v>443.44394285714293</v>
      </c>
      <c r="DP308" s="921">
        <f>IF(dd_PartSA_2_lines = "Yes",0,_xlfn.IFNA(INDEX('Resource use and costs'!$DZ$12:$DZ$25,MATCH(DA308,'Resource use and costs'!$DS$12:$DS$25,0)),0)*_xlfn.IFNA(INDEX(EA$10:EA$23,MATCH($DA308,$DX$10:$DX$23,0)),0))</f>
        <v>461.1445457142857</v>
      </c>
      <c r="DQ308" s="921">
        <f>IF(dd_PartSA_2_lines = "Yes",0,_xlfn.IFNA(INDEX('Resource use and costs'!$EA$12:$EA$25,MATCH(DB308,'Resource use and costs'!$DS$12:$DS$25,0)),0)*_xlfn.IFNA(INDEX(EC$10:EC$23,MATCH($DB308,$DX$10:$DX$23,0)),0))</f>
        <v>230.68099999999998</v>
      </c>
      <c r="DR308" s="921">
        <f t="shared" si="204"/>
        <v>1727.0194885714286</v>
      </c>
      <c r="DS308" s="1004">
        <f ca="1">SUMIFS('Safety parameters'!$DM$6:$DM$18,'Safety parameters'!$DK$6:$DK$18,CZ308,'Safety parameters'!$DL$6:$DL$18,1)+IF(dd_PartSA_2_lines = "Yes",0,SUMIFS('Safety parameters'!$DM$6:$DM$18,'Safety parameters'!$DK$6:$DK$18,DA308,'Safety parameters'!$DL$6:$DL$18,2)+SUMIFS('Safety parameters'!$DM$6:$DM$18,'Safety parameters'!$DK$6:$DK$18,DB308,'Safety parameters'!$DL$6:$DL$18,2))</f>
        <v>2785.8140260668965</v>
      </c>
      <c r="DT308" s="910">
        <f ca="1">SUMIFS('Safety parameters'!$DO$6:$DO$18,'Safety parameters'!$DK$6:$DK$18,CZ308,'Safety parameters'!$DL$6:$DL$18,1)+IF(dd_PartSA_2_lines = "Yes",0,SUMIFS('Safety parameters'!$DO$6:$DO$18,'Safety parameters'!$DK$6:$DK$18,DA308,'Safety parameters'!$DL$6:$DL$18,2)+SUMIFS('Safety parameters'!$DO$6:$DO$18,'Safety parameters'!$DK$6:$DK$18,DB308,'Safety parameters'!$DL$6:$DL$18,2))</f>
        <v>-2.5218205004036667E-2</v>
      </c>
    </row>
    <row r="309" spans="89:124" ht="15" x14ac:dyDescent="0.2">
      <c r="CK309" s="61" t="s">
        <v>31</v>
      </c>
      <c r="CL309" s="61">
        <v>3</v>
      </c>
      <c r="CM309" s="61" t="str">
        <v>tivozanib</v>
      </c>
      <c r="CN309" s="17">
        <v>6</v>
      </c>
      <c r="CO309" s="61" t="str" cm="1">
        <f t="array" ref="CO309">INDEX(List_comparators,CP308+1)</f>
        <v>avelumab_plus_axitinib</v>
      </c>
      <c r="CP309" s="17">
        <v>4</v>
      </c>
      <c r="CQ309" s="601">
        <f t="shared" ca="1" si="206"/>
        <v>0</v>
      </c>
      <c r="CR309" s="601">
        <f t="shared" ca="1" si="207"/>
        <v>0</v>
      </c>
      <c r="CS309" s="671">
        <f t="shared" ca="1" si="210"/>
        <v>0</v>
      </c>
      <c r="CT309" s="671">
        <f t="shared" ca="1" si="208"/>
        <v>0</v>
      </c>
      <c r="CU309" s="1123">
        <f>MATCH(CZ309,'Resource use and costs'!$BA$11:$BA$53,0)</f>
        <v>24</v>
      </c>
      <c r="CV309" s="1223"/>
      <c r="CW309" s="1241">
        <f t="shared" si="202"/>
        <v>1</v>
      </c>
      <c r="CX309" s="899" t="s">
        <v>773</v>
      </c>
      <c r="CY309" s="899" t="s">
        <v>582</v>
      </c>
      <c r="CZ309" s="899" t="s">
        <v>319</v>
      </c>
      <c r="DA309" s="899" t="s">
        <v>118</v>
      </c>
      <c r="DB309" s="899" t="s">
        <v>765</v>
      </c>
      <c r="DC309" s="899" cm="1">
        <f t="array" aca="1" ref="DC309" ca="1">_xlfn.IFNA(OFFSET($I$49,MATCH(CY309,$I$50:$I$63,0),MATCH(CZ309,TRANSPOSE($J$49:$W$49),0)),0)</f>
        <v>4.269746893695351E-2</v>
      </c>
      <c r="DD309" s="899">
        <f ca="1">DD308</f>
        <v>0.56320000000000014</v>
      </c>
      <c r="DE309" s="899" cm="1">
        <f t="array" aca="1" ref="DE309" ca="1">_xlfn.IFNA(OFFSET($AO$49,MATCH($DA309,$AO$50:$AO$63,0),MATCH($DB309,TRANSPOSE($AP$49:$BC$49),0)),0)</f>
        <v>0.43140000000000001</v>
      </c>
      <c r="DF309" s="881">
        <f t="shared" ca="1" si="199"/>
        <v>1.0373968337583065E-2</v>
      </c>
      <c r="DG309" s="910">
        <f t="shared" ca="1" si="200"/>
        <v>1.0029381384308471</v>
      </c>
      <c r="DH309" s="881">
        <f t="shared" ca="1" si="201"/>
        <v>1.0404448492636109E-2</v>
      </c>
      <c r="DI309" s="1461">
        <f t="shared" ca="1" si="197"/>
        <v>1.7479473467628663</v>
      </c>
      <c r="DJ309" s="909">
        <f>_xlfn.IFNA(INDEX('Resource use and costs'!$CQ$11:$CQ$53,MATCH($CZ309,'Resource use and costs'!$BA$11:$BA$53,0)),0)*_xlfn.IFNA(INDEX(DY$10:DY$23,MATCH($CZ309,$DX$10:$DX$23,0)),0)</f>
        <v>20680.612971428574</v>
      </c>
      <c r="DK309" s="909">
        <f>IF(dd_PartSA_2_lines = "Yes",0,_xlfn.IFNA(INDEX('Resource use and costs'!$CR$11:$CR$53,MATCH(DA309,'Resource use and costs'!$BA$11:$BA$53,0)),0)*_xlfn.IFNA(INDEX(EA$10:EA$23,MATCH($DA309,$DX$10:$DX$23,0)),0))</f>
        <v>50308.075122000002</v>
      </c>
      <c r="DL309" s="909">
        <f>IF(dd_PartSA_2_lines = "Yes",0,_xlfn.IFNA(INDEX('Resource use and costs'!$CS$11:$CS$53,MATCH(DB309,'Resource use and costs'!$BA$11:$BA$53,0)),0)*_xlfn.IFNA(INDEX(EC$10:EC$23,MATCH($DB309,$DX$10:$DX$23,0)),0))</f>
        <v>0</v>
      </c>
      <c r="DM309" s="909">
        <f t="shared" si="203"/>
        <v>70988.688093428573</v>
      </c>
      <c r="DN309" s="909">
        <f>SUM(_xlfn.IFNA(INDEX('Resource use and costs'!$DU$12:$DU$25,MATCH(CZ309,'Resource use and costs'!$DS$12:$DS$25,0)),0),_xlfn.IFNA(INDEX('Resource use and costs'!$DU$12:$DU$25,MATCH(DA309,'Resource use and costs'!$DS$12:$DS$25,0)),0),_xlfn.IFNA(INDEX('Resource use and costs'!$DU$12:$DU$25,MATCH(DB309,'Resource use and costs'!$DS$12:$DS$25,0)),0))</f>
        <v>394.5</v>
      </c>
      <c r="DO309" s="921">
        <f>_xlfn.IFNA(INDEX('Resource use and costs'!$DY$12:$DY$25,MATCH(CZ309,'Resource use and costs'!$DS$12:$DS$25,0)),0)*_xlfn.IFNA(INDEX(DY$10:DY$23,MATCH($CZ309,$DX$10:$DX$23,0)),0)</f>
        <v>443.44394285714293</v>
      </c>
      <c r="DP309" s="921">
        <f>IF(dd_PartSA_2_lines = "Yes",0,_xlfn.IFNA(INDEX('Resource use and costs'!$DZ$12:$DZ$25,MATCH(DA309,'Resource use and costs'!$DS$12:$DS$25,0)),0)*_xlfn.IFNA(INDEX(EA$10:EA$23,MATCH($DA309,$DX$10:$DX$23,0)),0))</f>
        <v>461.1445457142857</v>
      </c>
      <c r="DQ309" s="921">
        <f>IF(dd_PartSA_2_lines = "Yes",0,_xlfn.IFNA(INDEX('Resource use and costs'!$EA$12:$EA$25,MATCH(DB309,'Resource use and costs'!$DS$12:$DS$25,0)),0)*_xlfn.IFNA(INDEX(EC$10:EC$23,MATCH($DB309,$DX$10:$DX$23,0)),0))</f>
        <v>0</v>
      </c>
      <c r="DR309" s="921">
        <f t="shared" si="204"/>
        <v>1299.0884885714286</v>
      </c>
      <c r="DS309" s="1004">
        <f ca="1">SUMIFS('Safety parameters'!$DM$6:$DM$18,'Safety parameters'!$DK$6:$DK$18,CZ309,'Safety parameters'!$DL$6:$DL$18,1)+IF(dd_PartSA_2_lines = "Yes",0,SUMIFS('Safety parameters'!$DM$6:$DM$18,'Safety parameters'!$DK$6:$DK$18,DA309,'Safety parameters'!$DL$6:$DL$18,2)+SUMIFS('Safety parameters'!$DM$6:$DM$18,'Safety parameters'!$DK$6:$DK$18,DB309,'Safety parameters'!$DL$6:$DL$18,2))</f>
        <v>1151.5853525014365</v>
      </c>
      <c r="DT309" s="910">
        <f ca="1">SUMIFS('Safety parameters'!$DO$6:$DO$18,'Safety parameters'!$DK$6:$DK$18,CZ309,'Safety parameters'!$DL$6:$DL$18,1)+IF(dd_PartSA_2_lines = "Yes",0,SUMIFS('Safety parameters'!$DO$6:$DO$18,'Safety parameters'!$DK$6:$DK$18,DA309,'Safety parameters'!$DL$6:$DL$18,2)+SUMIFS('Safety parameters'!$DO$6:$DO$18,'Safety parameters'!$DK$6:$DK$18,DB309,'Safety parameters'!$DL$6:$DL$18,2))</f>
        <v>-1.0476280996555235E-2</v>
      </c>
    </row>
    <row r="310" spans="89:124" ht="15" x14ac:dyDescent="0.2">
      <c r="CK310" s="61" t="s">
        <v>31</v>
      </c>
      <c r="CL310" s="61">
        <v>3</v>
      </c>
      <c r="CM310" s="61" t="str">
        <v>sunitinib</v>
      </c>
      <c r="CN310" s="17">
        <v>7</v>
      </c>
      <c r="CO310" s="61" t="str" cm="1">
        <f t="array" ref="CO310">INDEX(List_comparators,CP309+1)</f>
        <v>avelumab_plus_axitinib</v>
      </c>
      <c r="CP310" s="17">
        <v>4</v>
      </c>
      <c r="CQ310" s="601">
        <f t="shared" ca="1" si="206"/>
        <v>0</v>
      </c>
      <c r="CR310" s="601">
        <f t="shared" ca="1" si="207"/>
        <v>0</v>
      </c>
      <c r="CS310" s="671">
        <f t="shared" ca="1" si="210"/>
        <v>0</v>
      </c>
      <c r="CT310" s="671">
        <f t="shared" ca="1" si="208"/>
        <v>0</v>
      </c>
      <c r="CU310" s="1123">
        <f>MATCH(CZ310,'Resource use and costs'!$BA$11:$BA$53,0)</f>
        <v>24</v>
      </c>
      <c r="CV310" s="1223"/>
      <c r="CW310" s="1241">
        <f t="shared" si="202"/>
        <v>1</v>
      </c>
      <c r="CX310" s="899" t="s">
        <v>773</v>
      </c>
      <c r="CY310" s="899" t="s">
        <v>582</v>
      </c>
      <c r="CZ310" s="899" t="s">
        <v>319</v>
      </c>
      <c r="DA310" s="899" t="s">
        <v>118</v>
      </c>
      <c r="DB310" s="899" t="s">
        <v>119</v>
      </c>
      <c r="DC310" s="899" cm="1">
        <f t="array" aca="1" ref="DC310" ca="1">_xlfn.IFNA(OFFSET($I$49,MATCH(CY310,$I$50:$I$63,0),MATCH(CZ310,TRANSPOSE($J$49:$W$49),0)),0)</f>
        <v>4.269746893695351E-2</v>
      </c>
      <c r="DD310" s="899" cm="1">
        <f t="array" aca="1" ref="DD310" ca="1">_xlfn.IFNA(OFFSET($Y$49,MATCH($CZ310,$Y$50:$Y$63,0),MATCH($DA310,TRANSPOSE($Z$49:$AM$49),0)),0)</f>
        <v>0.3286</v>
      </c>
      <c r="DE310" s="899" cm="1">
        <f t="array" aca="1" ref="DE310" ca="1">_xlfn.IFNA(OFFSET($AO$49,MATCH($DA310,$AO$50:$AO$63,0),MATCH($DB310,TRANSPOSE($AP$49:$BC$49),0)),0)</f>
        <v>0.18090000000000001</v>
      </c>
      <c r="DF310" s="881">
        <f t="shared" ca="1" si="199"/>
        <v>2.5380972421463412E-3</v>
      </c>
      <c r="DG310" s="910">
        <f t="shared" ca="1" si="200"/>
        <v>1.0029381384308471</v>
      </c>
      <c r="DH310" s="881">
        <f t="shared" ca="1" si="201"/>
        <v>2.5455545231947182E-3</v>
      </c>
      <c r="DI310" s="1461">
        <f t="shared" ca="1" si="197"/>
        <v>0.42765315989671265</v>
      </c>
      <c r="DJ310" s="909">
        <f>_xlfn.IFNA(INDEX('Resource use and costs'!$CQ$11:$CQ$53,MATCH($CZ310,'Resource use and costs'!$BA$11:$BA$53,0)),0)*_xlfn.IFNA(INDEX(DY$10:DY$23,MATCH($CZ310,$DX$10:$DX$23,0)),0)</f>
        <v>20680.612971428574</v>
      </c>
      <c r="DK310" s="909">
        <f>IF(dd_PartSA_2_lines = "Yes",0,_xlfn.IFNA(INDEX('Resource use and costs'!$CR$11:$CR$53,MATCH(DA310,'Resource use and costs'!$BA$11:$BA$53,0)),0)*_xlfn.IFNA(INDEX(EA$10:EA$23,MATCH($DA310,$DX$10:$DX$23,0)),0))</f>
        <v>50308.075122000002</v>
      </c>
      <c r="DL310" s="909">
        <f>IF(dd_PartSA_2_lines = "Yes",0,_xlfn.IFNA(INDEX('Resource use and costs'!$CS$11:$CS$53,MATCH(DB310,'Resource use and costs'!$BA$11:$BA$53,0)),0)*_xlfn.IFNA(INDEX(EC$10:EC$23,MATCH($DB310,$DX$10:$DX$23,0)),0))</f>
        <v>2915.4763433333328</v>
      </c>
      <c r="DM310" s="909">
        <f t="shared" si="203"/>
        <v>73904.164436761901</v>
      </c>
      <c r="DN310" s="909">
        <f>SUM(_xlfn.IFNA(INDEX('Resource use and costs'!$DU$12:$DU$25,MATCH(CZ310,'Resource use and costs'!$DS$12:$DS$25,0)),0),_xlfn.IFNA(INDEX('Resource use and costs'!$DU$12:$DU$25,MATCH(DA310,'Resource use and costs'!$DS$12:$DS$25,0)),0),_xlfn.IFNA(INDEX('Resource use and costs'!$DU$12:$DU$25,MATCH(DB310,'Resource use and costs'!$DS$12:$DS$25,0)),0))</f>
        <v>591.75</v>
      </c>
      <c r="DO310" s="921">
        <f>_xlfn.IFNA(INDEX('Resource use and costs'!$DY$12:$DY$25,MATCH(CZ310,'Resource use and costs'!$DS$12:$DS$25,0)),0)*_xlfn.IFNA(INDEX(DY$10:DY$23,MATCH($CZ310,$DX$10:$DX$23,0)),0)</f>
        <v>443.44394285714293</v>
      </c>
      <c r="DP310" s="921">
        <f>IF(dd_PartSA_2_lines = "Yes",0,_xlfn.IFNA(INDEX('Resource use and costs'!$DZ$12:$DZ$25,MATCH(DA310,'Resource use and costs'!$DS$12:$DS$25,0)),0)*_xlfn.IFNA(INDEX(EA$10:EA$23,MATCH($DA310,$DX$10:$DX$23,0)),0))</f>
        <v>461.1445457142857</v>
      </c>
      <c r="DQ310" s="921">
        <f>IF(dd_PartSA_2_lines = "Yes",0,_xlfn.IFNA(INDEX('Resource use and costs'!$EA$12:$EA$25,MATCH(DB310,'Resource use and costs'!$DS$12:$DS$25,0)),0)*_xlfn.IFNA(INDEX(EC$10:EC$23,MATCH($DB310,$DX$10:$DX$23,0)),0))</f>
        <v>256.11457142857142</v>
      </c>
      <c r="DR310" s="921">
        <f t="shared" si="204"/>
        <v>1752.4530600000001</v>
      </c>
      <c r="DS310" s="1004">
        <f ca="1">SUMIFS('Safety parameters'!$DM$6:$DM$18,'Safety parameters'!$DK$6:$DK$18,CZ310,'Safety parameters'!$DL$6:$DL$18,1)+IF(dd_PartSA_2_lines = "Yes",0,SUMIFS('Safety parameters'!$DM$6:$DM$18,'Safety parameters'!$DK$6:$DK$18,DA310,'Safety parameters'!$DL$6:$DL$18,2)+SUMIFS('Safety parameters'!$DM$6:$DM$18,'Safety parameters'!$DK$6:$DK$18,DB310,'Safety parameters'!$DL$6:$DL$18,2))</f>
        <v>1484.4607358767514</v>
      </c>
      <c r="DT310" s="910">
        <f ca="1">SUMIFS('Safety parameters'!$DO$6:$DO$18,'Safety parameters'!$DK$6:$DK$18,CZ310,'Safety parameters'!$DL$6:$DL$18,1)+IF(dd_PartSA_2_lines = "Yes",0,SUMIFS('Safety parameters'!$DO$6:$DO$18,'Safety parameters'!$DK$6:$DK$18,DA310,'Safety parameters'!$DL$6:$DL$18,2)+SUMIFS('Safety parameters'!$DO$6:$DO$18,'Safety parameters'!$DK$6:$DK$18,DB310,'Safety parameters'!$DL$6:$DL$18,2))</f>
        <v>-1.3143854533192955E-2</v>
      </c>
    </row>
    <row r="311" spans="89:124" ht="15" x14ac:dyDescent="0.2">
      <c r="CK311" s="61" t="s">
        <v>31</v>
      </c>
      <c r="CL311" s="61">
        <v>3</v>
      </c>
      <c r="CM311" s="61" t="str">
        <v>cabozantinib</v>
      </c>
      <c r="CN311" s="17">
        <v>8</v>
      </c>
      <c r="CO311" s="61" t="str" cm="1">
        <f t="array" ref="CO311">INDEX(List_comparators,CP310+1)</f>
        <v>avelumab_plus_axitinib</v>
      </c>
      <c r="CP311" s="17">
        <v>4</v>
      </c>
      <c r="CQ311" s="601">
        <f t="shared" ref="CQ311:CQ342" ca="1" si="211">OFFSET($Z$50,IF(CN311=999,13,CN311),CP311)</f>
        <v>0</v>
      </c>
      <c r="CR311" s="601">
        <f t="shared" ref="CR311:CR342" ca="1" si="212">OFFSET($Z$65,IF(CN311=999,13,CN311),CP311)</f>
        <v>0</v>
      </c>
      <c r="CS311" s="671">
        <f t="shared" ca="1" si="210"/>
        <v>0</v>
      </c>
      <c r="CT311" s="671">
        <f t="shared" ref="CT311:CT342" ca="1" si="213">OFFSET($Z$97,IF(CN311=999,13,CN311),CP311)</f>
        <v>0</v>
      </c>
      <c r="CU311" s="1123">
        <f>MATCH(CZ311,'Resource use and costs'!$BA$11:$BA$53,0)</f>
        <v>24</v>
      </c>
      <c r="CV311" s="1223"/>
      <c r="CW311" s="1241">
        <f t="shared" si="202"/>
        <v>1</v>
      </c>
      <c r="CX311" s="899" t="s">
        <v>773</v>
      </c>
      <c r="CY311" s="899" t="s">
        <v>582</v>
      </c>
      <c r="CZ311" s="899" t="s">
        <v>319</v>
      </c>
      <c r="DA311" s="899" t="s">
        <v>119</v>
      </c>
      <c r="DB311" s="899" t="s">
        <v>327</v>
      </c>
      <c r="DC311" s="899" cm="1">
        <f t="array" aca="1" ref="DC311" ca="1">_xlfn.IFNA(OFFSET($I$49,MATCH(CY311,$I$50:$I$63,0),MATCH(CZ311,TRANSPOSE($J$49:$W$49),0)),0)</f>
        <v>4.269746893695351E-2</v>
      </c>
      <c r="DD311" s="899" cm="1">
        <f t="array" aca="1" ref="DD311" ca="1">_xlfn.IFNA(OFFSET($Y$49,MATCH($CZ311,$Y$50:$Y$63,0),MATCH($DA311,TRANSPOSE($Z$49:$AM$49),0)),0)</f>
        <v>4.6899999999999997E-2</v>
      </c>
      <c r="DE311" s="899" cm="1">
        <f t="array" aca="1" ref="DE311" ca="1">_xlfn.IFNA(OFFSET($AO$49,MATCH($DA311,$AO$50:$AO$63,0),MATCH($DB311,TRANSPOSE($AP$49:$BC$49),0)),0)</f>
        <v>0</v>
      </c>
      <c r="DF311" s="881">
        <f t="shared" ca="1" si="199"/>
        <v>0</v>
      </c>
      <c r="DG311" s="910">
        <f t="shared" ca="1" si="200"/>
        <v>1.0029381384308471</v>
      </c>
      <c r="DH311" s="881">
        <f t="shared" ca="1" si="201"/>
        <v>0</v>
      </c>
      <c r="DI311" s="1461">
        <f t="shared" ca="1" si="197"/>
        <v>0</v>
      </c>
      <c r="DJ311" s="909">
        <f>_xlfn.IFNA(INDEX('Resource use and costs'!$CQ$11:$CQ$53,MATCH($CZ311,'Resource use and costs'!$BA$11:$BA$53,0)),0)*_xlfn.IFNA(INDEX(DY$10:DY$23,MATCH($CZ311,$DX$10:$DX$23,0)),0)</f>
        <v>20680.612971428574</v>
      </c>
      <c r="DK311" s="909">
        <f>IF(dd_PartSA_2_lines = "Yes",0,_xlfn.IFNA(INDEX('Resource use and costs'!$CR$11:$CR$53,MATCH(DA311,'Resource use and costs'!$BA$11:$BA$53,0)),0)*_xlfn.IFNA(INDEX(EA$10:EA$23,MATCH($DA311,$DX$10:$DX$23,0)),0))</f>
        <v>848.17532499999982</v>
      </c>
      <c r="DL311" s="909">
        <f>IF(dd_PartSA_2_lines = "Yes",0,_xlfn.IFNA(INDEX('Resource use and costs'!$CS$11:$CS$53,MATCH(DB311,'Resource use and costs'!$BA$11:$BA$53,0)),0)*_xlfn.IFNA(INDEX(EC$10:EC$23,MATCH($DB311,$DX$10:$DX$23,0)),0))</f>
        <v>18438.751749999999</v>
      </c>
      <c r="DM311" s="909">
        <f t="shared" si="203"/>
        <v>39967.540046428578</v>
      </c>
      <c r="DN311" s="909">
        <f>SUM(_xlfn.IFNA(INDEX('Resource use and costs'!$DU$12:$DU$25,MATCH(CZ311,'Resource use and costs'!$DS$12:$DS$25,0)),0),_xlfn.IFNA(INDEX('Resource use and costs'!$DU$12:$DU$25,MATCH(DA311,'Resource use and costs'!$DS$12:$DS$25,0)),0),_xlfn.IFNA(INDEX('Resource use and costs'!$DU$12:$DU$25,MATCH(DB311,'Resource use and costs'!$DS$12:$DS$25,0)),0))</f>
        <v>591.75</v>
      </c>
      <c r="DO311" s="921">
        <f>_xlfn.IFNA(INDEX('Resource use and costs'!$DY$12:$DY$25,MATCH(CZ311,'Resource use and costs'!$DS$12:$DS$25,0)),0)*_xlfn.IFNA(INDEX(DY$10:DY$23,MATCH($CZ311,$DX$10:$DX$23,0)),0)</f>
        <v>443.44394285714293</v>
      </c>
      <c r="DP311" s="921">
        <f>IF(dd_PartSA_2_lines = "Yes",0,_xlfn.IFNA(INDEX('Resource use and costs'!$DZ$12:$DZ$25,MATCH(DA311,'Resource use and costs'!$DS$12:$DS$25,0)),0)*_xlfn.IFNA(INDEX(EA$10:EA$23,MATCH($DA311,$DX$10:$DX$23,0)),0))</f>
        <v>74.50928571428571</v>
      </c>
      <c r="DQ311" s="921">
        <f>IF(dd_PartSA_2_lines = "Yes",0,_xlfn.IFNA(INDEX('Resource use and costs'!$EA$12:$EA$25,MATCH(DB311,'Resource use and costs'!$DS$12:$DS$25,0)),0)*_xlfn.IFNA(INDEX(EC$10:EC$23,MATCH($DB311,$DX$10:$DX$23,0)),0))</f>
        <v>230.68099999999998</v>
      </c>
      <c r="DR311" s="921">
        <f t="shared" si="204"/>
        <v>1340.3842285714286</v>
      </c>
      <c r="DS311" s="1004">
        <f ca="1">SUMIFS('Safety parameters'!$DM$6:$DM$18,'Safety parameters'!$DK$6:$DK$18,CZ311,'Safety parameters'!$DL$6:$DL$18,1)+IF(dd_PartSA_2_lines = "Yes",0,SUMIFS('Safety parameters'!$DM$6:$DM$18,'Safety parameters'!$DK$6:$DK$18,DA311,'Safety parameters'!$DL$6:$DL$18,2)+SUMIFS('Safety parameters'!$DM$6:$DM$18,'Safety parameters'!$DK$6:$DK$18,DB311,'Safety parameters'!$DL$6:$DL$18,2))</f>
        <v>2375.0401096388277</v>
      </c>
      <c r="DT311" s="910">
        <f ca="1">SUMIFS('Safety parameters'!$DO$6:$DO$18,'Safety parameters'!$DK$6:$DK$18,CZ311,'Safety parameters'!$DL$6:$DL$18,1)+IF(dd_PartSA_2_lines = "Yes",0,SUMIFS('Safety parameters'!$DO$6:$DO$18,'Safety parameters'!$DK$6:$DK$18,DA311,'Safety parameters'!$DL$6:$DL$18,2)+SUMIFS('Safety parameters'!$DO$6:$DO$18,'Safety parameters'!$DK$6:$DK$18,DB311,'Safety parameters'!$DL$6:$DL$18,2))</f>
        <v>-2.0863452184438448E-2</v>
      </c>
    </row>
    <row r="312" spans="89:124" ht="15" x14ac:dyDescent="0.2">
      <c r="CK312" s="61" t="s">
        <v>31</v>
      </c>
      <c r="CL312" s="61">
        <v>3</v>
      </c>
      <c r="CM312" s="61" t="str">
        <v>lenvatinib_plus_everolimus</v>
      </c>
      <c r="CN312" s="17">
        <v>9</v>
      </c>
      <c r="CO312" s="61" t="str" cm="1">
        <f t="array" ref="CO312">INDEX(List_comparators,CP311+1)</f>
        <v>avelumab_plus_axitinib</v>
      </c>
      <c r="CP312" s="17">
        <v>4</v>
      </c>
      <c r="CQ312" s="601">
        <f t="shared" ca="1" si="211"/>
        <v>0</v>
      </c>
      <c r="CR312" s="601">
        <f t="shared" ca="1" si="212"/>
        <v>0</v>
      </c>
      <c r="CS312" s="671">
        <f t="shared" ca="1" si="210"/>
        <v>0</v>
      </c>
      <c r="CT312" s="671">
        <f t="shared" ca="1" si="213"/>
        <v>0</v>
      </c>
      <c r="CU312" s="1123">
        <f>MATCH(CZ312,'Resource use and costs'!$BA$11:$BA$53,0)</f>
        <v>24</v>
      </c>
      <c r="CV312" s="1223"/>
      <c r="CW312" s="1241">
        <f t="shared" si="202"/>
        <v>1</v>
      </c>
      <c r="CX312" s="899" t="s">
        <v>773</v>
      </c>
      <c r="CY312" s="899" t="s">
        <v>582</v>
      </c>
      <c r="CZ312" s="899" t="s">
        <v>319</v>
      </c>
      <c r="DA312" s="899" t="s">
        <v>119</v>
      </c>
      <c r="DB312" s="899" t="s">
        <v>765</v>
      </c>
      <c r="DC312" s="899" cm="1">
        <f t="array" aca="1" ref="DC312" ca="1">_xlfn.IFNA(OFFSET($I$49,MATCH(CY312,$I$50:$I$63,0),MATCH(CZ312,TRANSPOSE($J$49:$W$49),0)),0)</f>
        <v>4.269746893695351E-2</v>
      </c>
      <c r="DD312" s="899" cm="1">
        <f t="array" aca="1" ref="DD312" ca="1">_xlfn.IFNA(OFFSET($Y$49,MATCH($CZ312,$Y$50:$Y$63,0),MATCH($DA312,TRANSPOSE($Z$49:$AM$49),0)),0)</f>
        <v>4.6899999999999997E-2</v>
      </c>
      <c r="DE312" s="899" cm="1">
        <f t="array" aca="1" ref="DE312" ca="1">_xlfn.IFNA(OFFSET($AO$49,MATCH($DA312,$AO$50:$AO$63,0),MATCH($DB312,TRANSPOSE($AP$49:$BC$49),0)),0)</f>
        <v>1</v>
      </c>
      <c r="DF312" s="881">
        <f t="shared" ca="1" si="199"/>
        <v>2.0025112931431194E-3</v>
      </c>
      <c r="DG312" s="910">
        <f t="shared" ca="1" si="200"/>
        <v>1.0029381384308471</v>
      </c>
      <c r="DH312" s="881">
        <f t="shared" ca="1" si="201"/>
        <v>2.0083949485317086E-3</v>
      </c>
      <c r="DI312" s="1461">
        <f t="shared" ca="1" si="197"/>
        <v>0.33741035135332703</v>
      </c>
      <c r="DJ312" s="909">
        <f>_xlfn.IFNA(INDEX('Resource use and costs'!$CQ$11:$CQ$53,MATCH($CZ312,'Resource use and costs'!$BA$11:$BA$53,0)),0)*_xlfn.IFNA(INDEX(DY$10:DY$23,MATCH($CZ312,$DX$10:$DX$23,0)),0)</f>
        <v>20680.612971428574</v>
      </c>
      <c r="DK312" s="909">
        <f>IF(dd_PartSA_2_lines = "Yes",0,_xlfn.IFNA(INDEX('Resource use and costs'!$CR$11:$CR$53,MATCH(DA312,'Resource use and costs'!$BA$11:$BA$53,0)),0)*_xlfn.IFNA(INDEX(EA$10:EA$23,MATCH($DA312,$DX$10:$DX$23,0)),0))</f>
        <v>848.17532499999982</v>
      </c>
      <c r="DL312" s="909">
        <f>IF(dd_PartSA_2_lines = "Yes",0,_xlfn.IFNA(INDEX('Resource use and costs'!$CS$11:$CS$53,MATCH(DB312,'Resource use and costs'!$BA$11:$BA$53,0)),0)*_xlfn.IFNA(INDEX(EC$10:EC$23,MATCH($DB312,$DX$10:$DX$23,0)),0))</f>
        <v>0</v>
      </c>
      <c r="DM312" s="909">
        <f t="shared" si="203"/>
        <v>21528.788296428575</v>
      </c>
      <c r="DN312" s="909">
        <f>SUM(_xlfn.IFNA(INDEX('Resource use and costs'!$DU$12:$DU$25,MATCH(CZ312,'Resource use and costs'!$DS$12:$DS$25,0)),0),_xlfn.IFNA(INDEX('Resource use and costs'!$DU$12:$DU$25,MATCH(DA312,'Resource use and costs'!$DS$12:$DS$25,0)),0),_xlfn.IFNA(INDEX('Resource use and costs'!$DU$12:$DU$25,MATCH(DB312,'Resource use and costs'!$DS$12:$DS$25,0)),0))</f>
        <v>394.5</v>
      </c>
      <c r="DO312" s="921">
        <f>_xlfn.IFNA(INDEX('Resource use and costs'!$DY$12:$DY$25,MATCH(CZ312,'Resource use and costs'!$DS$12:$DS$25,0)),0)*_xlfn.IFNA(INDEX(DY$10:DY$23,MATCH($CZ312,$DX$10:$DX$23,0)),0)</f>
        <v>443.44394285714293</v>
      </c>
      <c r="DP312" s="921">
        <f>IF(dd_PartSA_2_lines = "Yes",0,_xlfn.IFNA(INDEX('Resource use and costs'!$DZ$12:$DZ$25,MATCH(DA312,'Resource use and costs'!$DS$12:$DS$25,0)),0)*_xlfn.IFNA(INDEX(EA$10:EA$23,MATCH($DA312,$DX$10:$DX$23,0)),0))</f>
        <v>74.50928571428571</v>
      </c>
      <c r="DQ312" s="921">
        <f>IF(dd_PartSA_2_lines = "Yes",0,_xlfn.IFNA(INDEX('Resource use and costs'!$EA$12:$EA$25,MATCH(DB312,'Resource use and costs'!$DS$12:$DS$25,0)),0)*_xlfn.IFNA(INDEX(EC$10:EC$23,MATCH($DB312,$DX$10:$DX$23,0)),0))</f>
        <v>0</v>
      </c>
      <c r="DR312" s="921">
        <f t="shared" si="204"/>
        <v>912.45322857142867</v>
      </c>
      <c r="DS312" s="1004">
        <f ca="1">SUMIFS('Safety parameters'!$DM$6:$DM$18,'Safety parameters'!$DK$6:$DK$18,CZ312,'Safety parameters'!$DL$6:$DL$18,1)+IF(dd_PartSA_2_lines = "Yes",0,SUMIFS('Safety parameters'!$DM$6:$DM$18,'Safety parameters'!$DK$6:$DK$18,DA312,'Safety parameters'!$DL$6:$DL$18,2)+SUMIFS('Safety parameters'!$DM$6:$DM$18,'Safety parameters'!$DK$6:$DK$18,DB312,'Safety parameters'!$DL$6:$DL$18,2))</f>
        <v>740.81143607336799</v>
      </c>
      <c r="DT312" s="910">
        <f ca="1">SUMIFS('Safety parameters'!$DO$6:$DO$18,'Safety parameters'!$DK$6:$DK$18,CZ312,'Safety parameters'!$DL$6:$DL$18,1)+IF(dd_PartSA_2_lines = "Yes",0,SUMIFS('Safety parameters'!$DO$6:$DO$18,'Safety parameters'!$DK$6:$DK$18,DA312,'Safety parameters'!$DL$6:$DL$18,2)+SUMIFS('Safety parameters'!$DO$6:$DO$18,'Safety parameters'!$DK$6:$DK$18,DB312,'Safety parameters'!$DL$6:$DL$18,2))</f>
        <v>-6.1215281769570178E-3</v>
      </c>
    </row>
    <row r="313" spans="89:124" ht="15" x14ac:dyDescent="0.2">
      <c r="CK313" s="61" t="s">
        <v>31</v>
      </c>
      <c r="CL313" s="61">
        <v>3</v>
      </c>
      <c r="CM313" s="61" t="str">
        <v>everolimus</v>
      </c>
      <c r="CN313" s="17">
        <v>10</v>
      </c>
      <c r="CO313" s="61" t="str" cm="1">
        <f t="array" ref="CO313">INDEX(List_comparators,CP312+1)</f>
        <v>avelumab_plus_axitinib</v>
      </c>
      <c r="CP313" s="17">
        <v>4</v>
      </c>
      <c r="CQ313" s="601">
        <f t="shared" ca="1" si="211"/>
        <v>0</v>
      </c>
      <c r="CR313" s="601">
        <f t="shared" ca="1" si="212"/>
        <v>0</v>
      </c>
      <c r="CS313" s="671">
        <f t="shared" ca="1" si="210"/>
        <v>0</v>
      </c>
      <c r="CT313" s="671">
        <f t="shared" ca="1" si="213"/>
        <v>0</v>
      </c>
      <c r="CU313" s="1123" t="e">
        <f>MATCH(CZ313,'Resource use and costs'!$BA$11:$BA$53,0)</f>
        <v>#N/A</v>
      </c>
      <c r="CV313" s="1223"/>
      <c r="CW313" s="1241">
        <f t="shared" si="202"/>
        <v>0</v>
      </c>
      <c r="CX313" s="899" t="s">
        <v>773</v>
      </c>
      <c r="CY313" s="899" t="s">
        <v>581</v>
      </c>
      <c r="CZ313" s="899" t="s">
        <v>765</v>
      </c>
      <c r="DA313" s="899"/>
      <c r="DB313" s="899"/>
      <c r="DC313" s="899" cm="1">
        <f t="array" aca="1" ref="DC313" ca="1">_xlfn.IFNA(OFFSET($I$49,MATCH(CY313,$I$50:$I$63,0),MATCH(CZ313,TRANSPOSE($J$49:$W$49),0)),0)</f>
        <v>0.32569999999999999</v>
      </c>
      <c r="DD313" s="899" cm="1">
        <f t="array" aca="1" ref="DD313" ca="1">_xlfn.IFNA(OFFSET($Y$49,MATCH($CZ313,$Y$50:$Y$63,0),MATCH($DA313,TRANSPOSE($Z$49:$AM$49),0)),0)</f>
        <v>0</v>
      </c>
      <c r="DE313" s="899" cm="1">
        <f t="array" aca="1" ref="DE313" ca="1">_xlfn.IFNA(OFFSET($AO$49,MATCH($DA313,$AO$50:$AO$63,0),MATCH($DB313,TRANSPOSE($AP$49:$BC$49),0)),0)</f>
        <v>0</v>
      </c>
      <c r="DF313" s="881">
        <f t="shared" ca="1" si="199"/>
        <v>0.32569999999999999</v>
      </c>
      <c r="DG313" s="910">
        <f t="shared" ca="1" si="200"/>
        <v>1.3688916152634338</v>
      </c>
      <c r="DH313" s="881">
        <f t="shared" ca="1" si="201"/>
        <v>0.32569999999999999</v>
      </c>
      <c r="DI313" s="1460">
        <f t="shared" ref="DI313:DI350" ca="1" si="214">309*DH313</f>
        <v>100.6413</v>
      </c>
      <c r="DJ313" s="909">
        <f>_xlfn.IFNA(INDEX('Resource use and costs'!$CQ$11:$CQ$53,MATCH($CZ313,'Resource use and costs'!$BA$11:$BA$53,0)),0)*_xlfn.IFNA(INDEX(DY$10:DY$23,MATCH($CZ313,$DX$10:$DX$23,0)),0)</f>
        <v>0</v>
      </c>
      <c r="DK313" s="909">
        <f>IF(dd_PartSA_2_lines = "Yes",0,_xlfn.IFNA(INDEX('Resource use and costs'!$CR$11:$CR$53,MATCH(DA313,'Resource use and costs'!$BA$11:$BA$53,0)),0)*_xlfn.IFNA(INDEX(EA$10:EA$23,MATCH($DA313,$DX$10:$DX$23,0)),0))</f>
        <v>0</v>
      </c>
      <c r="DL313" s="909">
        <f>IF(dd_PartSA_2_lines = "Yes",0,_xlfn.IFNA(INDEX('Resource use and costs'!$CS$11:$CS$53,MATCH(DB313,'Resource use and costs'!$BA$11:$BA$53,0)),0)*_xlfn.IFNA(INDEX(EC$10:EC$23,MATCH($DB313,$DX$10:$DX$23,0)),0))</f>
        <v>0</v>
      </c>
      <c r="DM313" s="909">
        <f t="shared" si="203"/>
        <v>0</v>
      </c>
      <c r="DN313" s="909">
        <f>SUM(_xlfn.IFNA(INDEX('Resource use and costs'!$DU$12:$DU$25,MATCH(CZ313,'Resource use and costs'!$DS$12:$DS$25,0)),0),_xlfn.IFNA(INDEX('Resource use and costs'!$DU$12:$DU$25,MATCH(DA313,'Resource use and costs'!$DS$12:$DS$25,0)),0),_xlfn.IFNA(INDEX('Resource use and costs'!$DU$12:$DU$25,MATCH(DB313,'Resource use and costs'!$DS$12:$DS$25,0)),0))</f>
        <v>0</v>
      </c>
      <c r="DO313" s="921">
        <f>_xlfn.IFNA(INDEX('Resource use and costs'!$DY$12:$DY$25,MATCH(CZ313,'Resource use and costs'!$DS$12:$DS$25,0)),0)*_xlfn.IFNA(INDEX(DY$10:DY$23,MATCH($CZ313,$DX$10:$DX$23,0)),0)</f>
        <v>0</v>
      </c>
      <c r="DP313" s="921">
        <f>IF(dd_PartSA_2_lines = "Yes",0,_xlfn.IFNA(INDEX('Resource use and costs'!$DZ$12:$DZ$25,MATCH(DA313,'Resource use and costs'!$DS$12:$DS$25,0)),0)*_xlfn.IFNA(INDEX(EA$10:EA$23,MATCH($DA313,$DX$10:$DX$23,0)),0))</f>
        <v>0</v>
      </c>
      <c r="DQ313" s="921">
        <f>IF(dd_PartSA_2_lines = "Yes",0,_xlfn.IFNA(INDEX('Resource use and costs'!$EA$12:$EA$25,MATCH(DB313,'Resource use and costs'!$DS$12:$DS$25,0)),0)*_xlfn.IFNA(INDEX(EC$10:EC$23,MATCH($DB313,$DX$10:$DX$23,0)),0))</f>
        <v>0</v>
      </c>
      <c r="DR313" s="921">
        <f t="shared" si="204"/>
        <v>0</v>
      </c>
      <c r="DS313" s="1004">
        <f>SUMIFS('Safety parameters'!$DM$6:$DM$18,'Safety parameters'!$DK$6:$DK$18,CZ313,'Safety parameters'!$DL$6:$DL$18,1)+IF(dd_PartSA_2_lines = "Yes",0,SUMIFS('Safety parameters'!$DM$6:$DM$18,'Safety parameters'!$DK$6:$DK$18,DA313,'Safety parameters'!$DL$6:$DL$18,2)+SUMIFS('Safety parameters'!$DM$6:$DM$18,'Safety parameters'!$DK$6:$DK$18,DB313,'Safety parameters'!$DL$6:$DL$18,2))</f>
        <v>0</v>
      </c>
      <c r="DT313" s="910">
        <f>SUMIFS('Safety parameters'!$DO$6:$DO$18,'Safety parameters'!$DK$6:$DK$18,CZ313,'Safety parameters'!$DL$6:$DL$18,1)+IF(dd_PartSA_2_lines = "Yes",0,SUMIFS('Safety parameters'!$DO$6:$DO$18,'Safety parameters'!$DK$6:$DK$18,DA313,'Safety parameters'!$DL$6:$DL$18,2)+SUMIFS('Safety parameters'!$DO$6:$DO$18,'Safety parameters'!$DK$6:$DK$18,DB313,'Safety parameters'!$DL$6:$DL$18,2))</f>
        <v>0</v>
      </c>
    </row>
    <row r="314" spans="89:124" ht="15" x14ac:dyDescent="0.2">
      <c r="CK314" s="61" t="s">
        <v>31</v>
      </c>
      <c r="CL314" s="61">
        <v>3</v>
      </c>
      <c r="CM314" s="61" t="str">
        <v>axitinib</v>
      </c>
      <c r="CN314" s="17">
        <v>11</v>
      </c>
      <c r="CO314" s="61" t="str" cm="1">
        <f t="array" ref="CO314">INDEX(List_comparators,CP313+1)</f>
        <v>avelumab_plus_axitinib</v>
      </c>
      <c r="CP314" s="17">
        <v>4</v>
      </c>
      <c r="CQ314" s="601">
        <f t="shared" ca="1" si="211"/>
        <v>0</v>
      </c>
      <c r="CR314" s="601">
        <f t="shared" ca="1" si="212"/>
        <v>0</v>
      </c>
      <c r="CS314" s="671">
        <f t="shared" ca="1" si="210"/>
        <v>0</v>
      </c>
      <c r="CT314" s="671">
        <f t="shared" ca="1" si="213"/>
        <v>0</v>
      </c>
      <c r="CU314" s="1123">
        <f>MATCH(CZ314,'Resource use and costs'!$BA$11:$BA$53,0)</f>
        <v>30</v>
      </c>
      <c r="CV314" s="1223"/>
      <c r="CW314" s="1241">
        <f t="shared" si="202"/>
        <v>1</v>
      </c>
      <c r="CX314" s="899" t="s">
        <v>773</v>
      </c>
      <c r="CY314" s="899" t="s">
        <v>581</v>
      </c>
      <c r="CZ314" s="899" t="s">
        <v>118</v>
      </c>
      <c r="DA314" s="899" t="s">
        <v>327</v>
      </c>
      <c r="DB314" s="899" t="s">
        <v>765</v>
      </c>
      <c r="DC314" s="899" cm="1">
        <f t="array" aca="1" ref="DC314" ca="1">_xlfn.IFNA(OFFSET($I$49,MATCH(CY314,$I$50:$I$63,0),MATCH(CZ314,TRANSPOSE($J$49:$W$49),0)),0)</f>
        <v>0.45152323211674239</v>
      </c>
      <c r="DD314" s="899" cm="1">
        <f t="array" aca="1" ref="DD314" ca="1">_xlfn.IFNA(OFFSET($Y$49,MATCH($CZ314,$Y$50:$Y$63,0),MATCH($DA314,TRANSPOSE($Z$49:$AM$49),0)),0)</f>
        <v>0.122</v>
      </c>
      <c r="DE314" s="899" cm="1">
        <f t="array" aca="1" ref="DE314" ca="1">_xlfn.IFNA(OFFSET($AO$49,MATCH($DA314,$AO$50:$AO$63,0),MATCH($DB314,TRANSPOSE($AP$49:$BC$49),0)),0)</f>
        <v>0.43140000000000001</v>
      </c>
      <c r="DF314" s="881">
        <f t="shared" ca="1" si="199"/>
        <v>2.3764028924889845E-2</v>
      </c>
      <c r="DG314" s="910">
        <f t="shared" ca="1" si="200"/>
        <v>1.3688916152634338</v>
      </c>
      <c r="DH314" s="881">
        <f t="shared" ca="1" si="201"/>
        <v>3.2530379940159421E-2</v>
      </c>
      <c r="DI314" s="1460">
        <f t="shared" ca="1" si="214"/>
        <v>10.05188740150926</v>
      </c>
      <c r="DJ314" s="909">
        <f>_xlfn.IFNA(INDEX('Resource use and costs'!$CQ$11:$CQ$53,MATCH($CZ314,'Resource use and costs'!$BA$11:$BA$53,0)),0)*_xlfn.IFNA(INDEX(DY$10:DY$23,MATCH($CZ314,$DX$10:$DX$23,0)),0)</f>
        <v>45284.183573333321</v>
      </c>
      <c r="DK314" s="909">
        <f>IF(dd_PartSA_2_lines = "Yes",0,_xlfn.IFNA(INDEX('Resource use and costs'!$CR$11:$CR$53,MATCH(DA314,'Resource use and costs'!$BA$11:$BA$53,0)),0)*_xlfn.IFNA(INDEX(EA$10:EA$23,MATCH($DA314,$DX$10:$DX$23,0)),0))</f>
        <v>21421.066008214286</v>
      </c>
      <c r="DL314" s="909">
        <f>IF(dd_PartSA_2_lines = "Yes",0,_xlfn.IFNA(INDEX('Resource use and costs'!$CS$11:$CS$53,MATCH(DB314,'Resource use and costs'!$BA$11:$BA$53,0)),0)*_xlfn.IFNA(INDEX(EC$10:EC$23,MATCH($DB314,$DX$10:$DX$23,0)),0))</f>
        <v>0</v>
      </c>
      <c r="DM314" s="909">
        <f t="shared" si="203"/>
        <v>66705.2495815476</v>
      </c>
      <c r="DN314" s="909">
        <f>SUM(_xlfn.IFNA(INDEX('Resource use and costs'!$DU$12:$DU$25,MATCH(CZ314,'Resource use and costs'!$DS$12:$DS$25,0)),0),_xlfn.IFNA(INDEX('Resource use and costs'!$DU$12:$DU$25,MATCH(DA314,'Resource use and costs'!$DS$12:$DS$25,0)),0),_xlfn.IFNA(INDEX('Resource use and costs'!$DU$12:$DU$25,MATCH(DB314,'Resource use and costs'!$DS$12:$DS$25,0)),0))</f>
        <v>394.5</v>
      </c>
      <c r="DO314" s="921">
        <f>_xlfn.IFNA(INDEX('Resource use and costs'!$DY$12:$DY$25,MATCH(CZ314,'Resource use and costs'!$DS$12:$DS$25,0)),0)*_xlfn.IFNA(INDEX(DY$10:DY$23,MATCH($CZ314,$DX$10:$DX$23,0)),0)</f>
        <v>415.09348571428563</v>
      </c>
      <c r="DP314" s="921">
        <f>IF(dd_PartSA_2_lines = "Yes",0,_xlfn.IFNA(INDEX('Resource use and costs'!$DZ$12:$DZ$25,MATCH(DA314,'Resource use and costs'!$DS$12:$DS$25,0)),0)*_xlfn.IFNA(INDEX(EA$10:EA$23,MATCH($DA314,$DX$10:$DX$23,0)),0))</f>
        <v>267.99172714285714</v>
      </c>
      <c r="DQ314" s="921">
        <f>IF(dd_PartSA_2_lines = "Yes",0,_xlfn.IFNA(INDEX('Resource use and costs'!$EA$12:$EA$25,MATCH(DB314,'Resource use and costs'!$DS$12:$DS$25,0)),0)*_xlfn.IFNA(INDEX(EC$10:EC$23,MATCH($DB314,$DX$10:$DX$23,0)),0))</f>
        <v>0</v>
      </c>
      <c r="DR314" s="921">
        <f t="shared" si="204"/>
        <v>1077.5852128571428</v>
      </c>
      <c r="DS314" s="1004">
        <f ca="1">SUMIFS('Safety parameters'!$DM$6:$DM$18,'Safety parameters'!$DK$6:$DK$18,CZ314,'Safety parameters'!$DL$6:$DL$18,1)+IF(dd_PartSA_2_lines = "Yes",0,SUMIFS('Safety parameters'!$DM$6:$DM$18,'Safety parameters'!$DK$6:$DK$18,DA314,'Safety parameters'!$DL$6:$DL$18,2)+SUMIFS('Safety parameters'!$DM$6:$DM$18,'Safety parameters'!$DK$6:$DK$18,DB314,'Safety parameters'!$DL$6:$DL$18,2))</f>
        <v>2366.0578362496171</v>
      </c>
      <c r="DT314" s="910">
        <f ca="1">SUMIFS('Safety parameters'!$DO$6:$DO$18,'Safety parameters'!$DK$6:$DK$18,CZ314,'Safety parameters'!$DL$6:$DL$18,1)+IF(dd_PartSA_2_lines = "Yes",0,SUMIFS('Safety parameters'!$DO$6:$DO$18,'Safety parameters'!$DK$6:$DK$18,DA314,'Safety parameters'!$DL$6:$DL$18,2)+SUMIFS('Safety parameters'!$DO$6:$DO$18,'Safety parameters'!$DK$6:$DK$18,DB314,'Safety parameters'!$DL$6:$DL$18,2))</f>
        <v>-2.125891351595622E-2</v>
      </c>
    </row>
    <row r="315" spans="89:124" ht="15" x14ac:dyDescent="0.2">
      <c r="CK315" s="61" t="s">
        <v>31</v>
      </c>
      <c r="CL315" s="61">
        <v>3</v>
      </c>
      <c r="CM315" s="61" t="str">
        <v>sorafenib</v>
      </c>
      <c r="CN315" s="17">
        <v>12</v>
      </c>
      <c r="CO315" s="61" t="str" cm="1">
        <f t="array" ref="CO315">INDEX(List_comparators,CP314+1)</f>
        <v>avelumab_plus_axitinib</v>
      </c>
      <c r="CP315" s="17">
        <v>4</v>
      </c>
      <c r="CQ315" s="601">
        <f t="shared" ca="1" si="211"/>
        <v>0</v>
      </c>
      <c r="CR315" s="601">
        <f t="shared" ca="1" si="212"/>
        <v>0</v>
      </c>
      <c r="CS315" s="671">
        <f t="shared" ca="1" si="210"/>
        <v>0</v>
      </c>
      <c r="CT315" s="671">
        <f t="shared" ca="1" si="213"/>
        <v>0</v>
      </c>
      <c r="CU315" s="1123">
        <f>MATCH(CZ315,'Resource use and costs'!$BA$11:$BA$53,0)</f>
        <v>30</v>
      </c>
      <c r="CV315" s="1223"/>
      <c r="CW315" s="1241">
        <f t="shared" si="202"/>
        <v>1</v>
      </c>
      <c r="CX315" s="899" t="s">
        <v>773</v>
      </c>
      <c r="CY315" s="899" t="s">
        <v>581</v>
      </c>
      <c r="CZ315" s="899" t="s">
        <v>118</v>
      </c>
      <c r="DA315" s="899" t="s">
        <v>327</v>
      </c>
      <c r="DB315" s="899" t="s">
        <v>119</v>
      </c>
      <c r="DC315" s="899" cm="1">
        <f t="array" aca="1" ref="DC315" ca="1">_xlfn.IFNA(OFFSET($I$49,MATCH(CY315,$I$50:$I$63,0),MATCH(CZ315,TRANSPOSE($J$49:$W$49),0)),0)</f>
        <v>0.45152323211674239</v>
      </c>
      <c r="DD315" s="899" cm="1">
        <f t="array" aca="1" ref="DD315" ca="1">_xlfn.IFNA(OFFSET($Y$49,MATCH($CZ315,$Y$50:$Y$63,0),MATCH($DA315,TRANSPOSE($Z$49:$AM$49),0)),0)</f>
        <v>0.122</v>
      </c>
      <c r="DE315" s="899" cm="1">
        <f t="array" aca="1" ref="DE315" ca="1">_xlfn.IFNA(OFFSET($AO$49,MATCH($DA315,$AO$50:$AO$63,0),MATCH($DB315,TRANSPOSE($AP$49:$BC$49),0)),0)</f>
        <v>0.56859999999999999</v>
      </c>
      <c r="DF315" s="881">
        <f t="shared" ca="1" si="199"/>
        <v>3.1321805393352727E-2</v>
      </c>
      <c r="DG315" s="910">
        <f t="shared" ca="1" si="200"/>
        <v>1.3688916152634338</v>
      </c>
      <c r="DH315" s="881">
        <f t="shared" ca="1" si="201"/>
        <v>4.2876156777873549E-2</v>
      </c>
      <c r="DI315" s="1460">
        <f t="shared" ca="1" si="214"/>
        <v>13.248732444362927</v>
      </c>
      <c r="DJ315" s="909">
        <f>_xlfn.IFNA(INDEX('Resource use and costs'!$CQ$11:$CQ$53,MATCH($CZ315,'Resource use and costs'!$BA$11:$BA$53,0)),0)*_xlfn.IFNA(INDEX(DY$10:DY$23,MATCH($CZ315,$DX$10:$DX$23,0)),0)</f>
        <v>45284.183573333321</v>
      </c>
      <c r="DK315" s="909">
        <f>IF(dd_PartSA_2_lines = "Yes",0,_xlfn.IFNA(INDEX('Resource use and costs'!$CR$11:$CR$53,MATCH(DA315,'Resource use and costs'!$BA$11:$BA$53,0)),0)*_xlfn.IFNA(INDEX(EA$10:EA$23,MATCH($DA315,$DX$10:$DX$23,0)),0))</f>
        <v>21421.066008214286</v>
      </c>
      <c r="DL315" s="909">
        <f>IF(dd_PartSA_2_lines = "Yes",0,_xlfn.IFNA(INDEX('Resource use and costs'!$CS$11:$CS$53,MATCH(DB315,'Resource use and costs'!$BA$11:$BA$53,0)),0)*_xlfn.IFNA(INDEX(EC$10:EC$23,MATCH($DB315,$DX$10:$DX$23,0)),0))</f>
        <v>2915.4763433333328</v>
      </c>
      <c r="DM315" s="909">
        <f t="shared" si="203"/>
        <v>69620.725924880928</v>
      </c>
      <c r="DN315" s="909">
        <f>SUM(_xlfn.IFNA(INDEX('Resource use and costs'!$DU$12:$DU$25,MATCH(CZ315,'Resource use and costs'!$DS$12:$DS$25,0)),0),_xlfn.IFNA(INDEX('Resource use and costs'!$DU$12:$DU$25,MATCH(DA315,'Resource use and costs'!$DS$12:$DS$25,0)),0),_xlfn.IFNA(INDEX('Resource use and costs'!$DU$12:$DU$25,MATCH(DB315,'Resource use and costs'!$DS$12:$DS$25,0)),0))</f>
        <v>591.75</v>
      </c>
      <c r="DO315" s="921">
        <f>_xlfn.IFNA(INDEX('Resource use and costs'!$DY$12:$DY$25,MATCH(CZ315,'Resource use and costs'!$DS$12:$DS$25,0)),0)*_xlfn.IFNA(INDEX(DY$10:DY$23,MATCH($CZ315,$DX$10:$DX$23,0)),0)</f>
        <v>415.09348571428563</v>
      </c>
      <c r="DP315" s="921">
        <f>IF(dd_PartSA_2_lines = "Yes",0,_xlfn.IFNA(INDEX('Resource use and costs'!$DZ$12:$DZ$25,MATCH(DA315,'Resource use and costs'!$DS$12:$DS$25,0)),0)*_xlfn.IFNA(INDEX(EA$10:EA$23,MATCH($DA315,$DX$10:$DX$23,0)),0))</f>
        <v>267.99172714285714</v>
      </c>
      <c r="DQ315" s="921">
        <f>IF(dd_PartSA_2_lines = "Yes",0,_xlfn.IFNA(INDEX('Resource use and costs'!$EA$12:$EA$25,MATCH(DB315,'Resource use and costs'!$DS$12:$DS$25,0)),0)*_xlfn.IFNA(INDEX(EC$10:EC$23,MATCH($DB315,$DX$10:$DX$23,0)),0))</f>
        <v>256.11457142857142</v>
      </c>
      <c r="DR315" s="921">
        <f t="shared" si="204"/>
        <v>1530.9497842857143</v>
      </c>
      <c r="DS315" s="1004">
        <f ca="1">SUMIFS('Safety parameters'!$DM$6:$DM$18,'Safety parameters'!$DK$6:$DK$18,CZ315,'Safety parameters'!$DL$6:$DL$18,1)+IF(dd_PartSA_2_lines = "Yes",0,SUMIFS('Safety parameters'!$DM$6:$DM$18,'Safety parameters'!$DK$6:$DK$18,DA315,'Safety parameters'!$DL$6:$DL$18,2)+SUMIFS('Safety parameters'!$DM$6:$DM$18,'Safety parameters'!$DK$6:$DK$18,DB315,'Safety parameters'!$DL$6:$DL$18,2))</f>
        <v>2698.9332196249325</v>
      </c>
      <c r="DT315" s="910">
        <f ca="1">SUMIFS('Safety parameters'!$DO$6:$DO$18,'Safety parameters'!$DK$6:$DK$18,CZ315,'Safety parameters'!$DL$6:$DL$18,1)+IF(dd_PartSA_2_lines = "Yes",0,SUMIFS('Safety parameters'!$DO$6:$DO$18,'Safety parameters'!$DK$6:$DK$18,DA315,'Safety parameters'!$DL$6:$DL$18,2)+SUMIFS('Safety parameters'!$DO$6:$DO$18,'Safety parameters'!$DK$6:$DK$18,DB315,'Safety parameters'!$DL$6:$DL$18,2))</f>
        <v>-2.3926487052593939E-2</v>
      </c>
    </row>
    <row r="316" spans="89:124" ht="15.75" thickBot="1" x14ac:dyDescent="0.25">
      <c r="CK316" s="506" t="s">
        <v>31</v>
      </c>
      <c r="CL316" s="506">
        <v>3</v>
      </c>
      <c r="CM316" s="506" t="str">
        <v>placebo_BSC</v>
      </c>
      <c r="CN316" s="19">
        <v>999</v>
      </c>
      <c r="CO316" s="506" t="str" cm="1">
        <f t="array" ref="CO316">INDEX(List_comparators,CP303+1)</f>
        <v>avelumab_plus_axitinib</v>
      </c>
      <c r="CP316" s="19">
        <v>4</v>
      </c>
      <c r="CQ316" s="602">
        <f t="shared" ca="1" si="211"/>
        <v>0</v>
      </c>
      <c r="CR316" s="602">
        <f t="shared" ca="1" si="212"/>
        <v>0</v>
      </c>
      <c r="CS316" s="670">
        <v>0</v>
      </c>
      <c r="CT316" s="670">
        <f t="shared" ca="1" si="213"/>
        <v>0</v>
      </c>
      <c r="CU316" s="1123">
        <f>MATCH(CZ316,'Resource use and costs'!$BA$11:$BA$53,0)</f>
        <v>30</v>
      </c>
      <c r="CV316" s="1223"/>
      <c r="CW316" s="1241">
        <f t="shared" si="202"/>
        <v>1</v>
      </c>
      <c r="CX316" s="899" t="s">
        <v>773</v>
      </c>
      <c r="CY316" s="899" t="s">
        <v>581</v>
      </c>
      <c r="CZ316" s="899" t="s">
        <v>118</v>
      </c>
      <c r="DA316" s="899" t="s">
        <v>765</v>
      </c>
      <c r="DB316" s="899"/>
      <c r="DC316" s="899" cm="1">
        <f t="array" aca="1" ref="DC316" ca="1">_xlfn.IFNA(OFFSET($I$49,MATCH(CY316,$I$50:$I$63,0),MATCH(CZ316,TRANSPOSE($J$49:$W$49),0)),0)</f>
        <v>0.45152323211674239</v>
      </c>
      <c r="DD316" s="899" cm="1">
        <f t="array" aca="1" ref="DD316" ca="1">_xlfn.IFNA(OFFSET($Y$49,MATCH($CZ316,$Y$50:$Y$63,0),MATCH($DA316,TRANSPOSE($Z$49:$AM$49),0)),0)</f>
        <v>0.34300000000000003</v>
      </c>
      <c r="DE316" s="899" cm="1">
        <f t="array" aca="1" ref="DE316" ca="1">_xlfn.IFNA(OFFSET($AO$49,MATCH($DA316,$AO$50:$AO$63,0),MATCH($DB316,TRANSPOSE($AP$49:$BC$49),0)),0)</f>
        <v>0</v>
      </c>
      <c r="DF316" s="881">
        <f t="shared" ca="1" si="199"/>
        <v>0.15487246861604265</v>
      </c>
      <c r="DG316" s="910">
        <f t="shared" ca="1" si="200"/>
        <v>1.3688916152634338</v>
      </c>
      <c r="DH316" s="881">
        <f t="shared" ca="1" si="201"/>
        <v>0.21200362372365009</v>
      </c>
      <c r="DI316" s="1460">
        <f t="shared" ca="1" si="214"/>
        <v>65.509119730607878</v>
      </c>
      <c r="DJ316" s="909">
        <f>_xlfn.IFNA(INDEX('Resource use and costs'!$CQ$11:$CQ$53,MATCH($CZ316,'Resource use and costs'!$BA$11:$BA$53,0)),0)*_xlfn.IFNA(INDEX(DY$10:DY$23,MATCH($CZ316,$DX$10:$DX$23,0)),0)</f>
        <v>45284.183573333321</v>
      </c>
      <c r="DK316" s="909">
        <f>IF(dd_PartSA_2_lines = "Yes",0,_xlfn.IFNA(INDEX('Resource use and costs'!$CR$11:$CR$53,MATCH(DA316,'Resource use and costs'!$BA$11:$BA$53,0)),0)*_xlfn.IFNA(INDEX(EA$10:EA$23,MATCH($DA316,$DX$10:$DX$23,0)),0))</f>
        <v>0</v>
      </c>
      <c r="DL316" s="909">
        <f>IF(dd_PartSA_2_lines = "Yes",0,_xlfn.IFNA(INDEX('Resource use and costs'!$CS$11:$CS$53,MATCH(DB316,'Resource use and costs'!$BA$11:$BA$53,0)),0)*_xlfn.IFNA(INDEX(EC$10:EC$23,MATCH($DB316,$DX$10:$DX$23,0)),0))</f>
        <v>0</v>
      </c>
      <c r="DM316" s="909">
        <f t="shared" si="203"/>
        <v>45284.183573333321</v>
      </c>
      <c r="DN316" s="909">
        <f>SUM(_xlfn.IFNA(INDEX('Resource use and costs'!$DU$12:$DU$25,MATCH(CZ316,'Resource use and costs'!$DS$12:$DS$25,0)),0),_xlfn.IFNA(INDEX('Resource use and costs'!$DU$12:$DU$25,MATCH(DA316,'Resource use and costs'!$DS$12:$DS$25,0)),0),_xlfn.IFNA(INDEX('Resource use and costs'!$DU$12:$DU$25,MATCH(DB316,'Resource use and costs'!$DS$12:$DS$25,0)),0))</f>
        <v>197.25</v>
      </c>
      <c r="DO316" s="921">
        <f>_xlfn.IFNA(INDEX('Resource use and costs'!$DY$12:$DY$25,MATCH(CZ316,'Resource use and costs'!$DS$12:$DS$25,0)),0)*_xlfn.IFNA(INDEX(DY$10:DY$23,MATCH($CZ316,$DX$10:$DX$23,0)),0)</f>
        <v>415.09348571428563</v>
      </c>
      <c r="DP316" s="921">
        <f>IF(dd_PartSA_2_lines = "Yes",0,_xlfn.IFNA(INDEX('Resource use and costs'!$DZ$12:$DZ$25,MATCH(DA316,'Resource use and costs'!$DS$12:$DS$25,0)),0)*_xlfn.IFNA(INDEX(EA$10:EA$23,MATCH($DA316,$DX$10:$DX$23,0)),0))</f>
        <v>0</v>
      </c>
      <c r="DQ316" s="921">
        <f>IF(dd_PartSA_2_lines = "Yes",0,_xlfn.IFNA(INDEX('Resource use and costs'!$EA$12:$EA$25,MATCH(DB316,'Resource use and costs'!$DS$12:$DS$25,0)),0)*_xlfn.IFNA(INDEX(EC$10:EC$23,MATCH($DB316,$DX$10:$DX$23,0)),0))</f>
        <v>0</v>
      </c>
      <c r="DR316" s="921">
        <f t="shared" si="204"/>
        <v>612.34348571428563</v>
      </c>
      <c r="DS316" s="1004">
        <f ca="1">SUMIFS('Safety parameters'!$DM$6:$DM$18,'Safety parameters'!$DK$6:$DK$18,CZ316,'Safety parameters'!$DL$6:$DL$18,1)+IF(dd_PartSA_2_lines = "Yes",0,SUMIFS('Safety parameters'!$DM$6:$DM$18,'Safety parameters'!$DK$6:$DK$18,DA316,'Safety parameters'!$DL$6:$DL$18,2)+SUMIFS('Safety parameters'!$DM$6:$DM$18,'Safety parameters'!$DK$6:$DK$18,DB316,'Safety parameters'!$DL$6:$DL$18,2))</f>
        <v>731.82916268415761</v>
      </c>
      <c r="DT316" s="910">
        <f ca="1">SUMIFS('Safety parameters'!$DO$6:$DO$18,'Safety parameters'!$DK$6:$DK$18,CZ316,'Safety parameters'!$DL$6:$DL$18,1)+IF(dd_PartSA_2_lines = "Yes",0,SUMIFS('Safety parameters'!$DO$6:$DO$18,'Safety parameters'!$DK$6:$DK$18,DA316,'Safety parameters'!$DL$6:$DL$18,2)+SUMIFS('Safety parameters'!$DO$6:$DO$18,'Safety parameters'!$DK$6:$DK$18,DB316,'Safety parameters'!$DL$6:$DL$18,2))</f>
        <v>-6.5169895084747891E-3</v>
      </c>
    </row>
    <row r="317" spans="89:124" ht="15" x14ac:dyDescent="0.2">
      <c r="CK317" s="505" t="s">
        <v>31</v>
      </c>
      <c r="CL317" s="505">
        <v>3</v>
      </c>
      <c r="CM317" s="61" t="str" cm="1">
        <f t="array" ref="CM317:CM330">List_comparators</f>
        <v>nivolumab_monotherapy</v>
      </c>
      <c r="CN317" s="17">
        <v>0</v>
      </c>
      <c r="CO317" s="61" t="str" cm="1">
        <f t="array" ref="CO317">INDEX(List_comparators,CP317+1)</f>
        <v>pazopanib</v>
      </c>
      <c r="CP317" s="17">
        <v>5</v>
      </c>
      <c r="CQ317" s="603">
        <f t="shared" ca="1" si="211"/>
        <v>0</v>
      </c>
      <c r="CR317" s="603">
        <f t="shared" ca="1" si="212"/>
        <v>0</v>
      </c>
      <c r="CS317" s="671">
        <f t="shared" ref="CS317:CS329" ca="1" si="215">OFFSET($Z$81,IF(CN317=999,13,CN317),CP317)</f>
        <v>21.714285714285712</v>
      </c>
      <c r="CT317" s="671">
        <f t="shared" ca="1" si="213"/>
        <v>5.5785714285714283</v>
      </c>
      <c r="CU317" s="1123">
        <f>MATCH(CZ317,'Resource use and costs'!$BA$11:$BA$53,0)</f>
        <v>30</v>
      </c>
      <c r="CV317" s="1223"/>
      <c r="CW317" s="1241">
        <f t="shared" si="202"/>
        <v>1</v>
      </c>
      <c r="CX317" s="899" t="s">
        <v>773</v>
      </c>
      <c r="CY317" s="899" t="s">
        <v>581</v>
      </c>
      <c r="CZ317" s="899" t="s">
        <v>118</v>
      </c>
      <c r="DA317" s="899" t="s">
        <v>119</v>
      </c>
      <c r="DB317" s="899" t="s">
        <v>327</v>
      </c>
      <c r="DC317" s="899" cm="1">
        <f t="array" aca="1" ref="DC317" ca="1">_xlfn.IFNA(OFFSET($I$49,MATCH(CY317,$I$50:$I$63,0),MATCH(CZ317,TRANSPOSE($J$49:$W$49),0)),0)</f>
        <v>0.45152323211674239</v>
      </c>
      <c r="DD317" s="899" cm="1">
        <f t="array" aca="1" ref="DD317" ca="1">_xlfn.IFNA(OFFSET($Y$49,MATCH($CZ317,$Y$50:$Y$63,0),MATCH($DA317,TRANSPOSE($Z$49:$AM$49),0)),0)</f>
        <v>6.5699999999999995E-2</v>
      </c>
      <c r="DE317" s="899" cm="1">
        <f t="array" aca="1" ref="DE317" ca="1">_xlfn.IFNA(OFFSET($AO$49,MATCH($DA317,$AO$50:$AO$63,0),MATCH($DB317,TRANSPOSE($AP$49:$BC$49),0)),0)</f>
        <v>0</v>
      </c>
      <c r="DF317" s="881">
        <f t="shared" ca="1" si="199"/>
        <v>0</v>
      </c>
      <c r="DG317" s="910">
        <f t="shared" ca="1" si="200"/>
        <v>1.3688916152634338</v>
      </c>
      <c r="DH317" s="881">
        <f t="shared" ca="1" si="201"/>
        <v>0</v>
      </c>
      <c r="DI317" s="1460">
        <f t="shared" ca="1" si="214"/>
        <v>0</v>
      </c>
      <c r="DJ317" s="909">
        <f>_xlfn.IFNA(INDEX('Resource use and costs'!$CQ$11:$CQ$53,MATCH($CZ317,'Resource use and costs'!$BA$11:$BA$53,0)),0)*_xlfn.IFNA(INDEX(DY$10:DY$23,MATCH($CZ317,$DX$10:$DX$23,0)),0)</f>
        <v>45284.183573333321</v>
      </c>
      <c r="DK317" s="909">
        <f>IF(dd_PartSA_2_lines = "Yes",0,_xlfn.IFNA(INDEX('Resource use and costs'!$CR$11:$CR$53,MATCH(DA317,'Resource use and costs'!$BA$11:$BA$53,0)),0)*_xlfn.IFNA(INDEX(EA$10:EA$23,MATCH($DA317,$DX$10:$DX$23,0)),0))</f>
        <v>848.17532499999982</v>
      </c>
      <c r="DL317" s="909">
        <f>IF(dd_PartSA_2_lines = "Yes",0,_xlfn.IFNA(INDEX('Resource use and costs'!$CS$11:$CS$53,MATCH(DB317,'Resource use and costs'!$BA$11:$BA$53,0)),0)*_xlfn.IFNA(INDEX(EC$10:EC$23,MATCH($DB317,$DX$10:$DX$23,0)),0))</f>
        <v>18438.751749999999</v>
      </c>
      <c r="DM317" s="909">
        <f t="shared" si="203"/>
        <v>64571.110648333313</v>
      </c>
      <c r="DN317" s="909">
        <f>SUM(_xlfn.IFNA(INDEX('Resource use and costs'!$DU$12:$DU$25,MATCH(CZ317,'Resource use and costs'!$DS$12:$DS$25,0)),0),_xlfn.IFNA(INDEX('Resource use and costs'!$DU$12:$DU$25,MATCH(DA317,'Resource use and costs'!$DS$12:$DS$25,0)),0),_xlfn.IFNA(INDEX('Resource use and costs'!$DU$12:$DU$25,MATCH(DB317,'Resource use and costs'!$DS$12:$DS$25,0)),0))</f>
        <v>591.75</v>
      </c>
      <c r="DO317" s="921">
        <f>_xlfn.IFNA(INDEX('Resource use and costs'!$DY$12:$DY$25,MATCH(CZ317,'Resource use and costs'!$DS$12:$DS$25,0)),0)*_xlfn.IFNA(INDEX(DY$10:DY$23,MATCH($CZ317,$DX$10:$DX$23,0)),0)</f>
        <v>415.09348571428563</v>
      </c>
      <c r="DP317" s="921">
        <f>IF(dd_PartSA_2_lines = "Yes",0,_xlfn.IFNA(INDEX('Resource use and costs'!$DZ$12:$DZ$25,MATCH(DA317,'Resource use and costs'!$DS$12:$DS$25,0)),0)*_xlfn.IFNA(INDEX(EA$10:EA$23,MATCH($DA317,$DX$10:$DX$23,0)),0))</f>
        <v>74.50928571428571</v>
      </c>
      <c r="DQ317" s="921">
        <f>IF(dd_PartSA_2_lines = "Yes",0,_xlfn.IFNA(INDEX('Resource use and costs'!$EA$12:$EA$25,MATCH(DB317,'Resource use and costs'!$DS$12:$DS$25,0)),0)*_xlfn.IFNA(INDEX(EC$10:EC$23,MATCH($DB317,$DX$10:$DX$23,0)),0))</f>
        <v>230.68099999999998</v>
      </c>
      <c r="DR317" s="921">
        <f t="shared" si="204"/>
        <v>1312.0337714285713</v>
      </c>
      <c r="DS317" s="1004">
        <f ca="1">SUMIFS('Safety parameters'!$DM$6:$DM$18,'Safety parameters'!$DK$6:$DK$18,CZ317,'Safety parameters'!$DL$6:$DL$18,1)+IF(dd_PartSA_2_lines = "Yes",0,SUMIFS('Safety parameters'!$DM$6:$DM$18,'Safety parameters'!$DK$6:$DK$18,DA317,'Safety parameters'!$DL$6:$DL$18,2)+SUMIFS('Safety parameters'!$DM$6:$DM$18,'Safety parameters'!$DK$6:$DK$18,DB317,'Safety parameters'!$DL$6:$DL$18,2))</f>
        <v>2698.9332196249325</v>
      </c>
      <c r="DT317" s="910">
        <f ca="1">SUMIFS('Safety parameters'!$DO$6:$DO$18,'Safety parameters'!$DK$6:$DK$18,CZ317,'Safety parameters'!$DL$6:$DL$18,1)+IF(dd_PartSA_2_lines = "Yes",0,SUMIFS('Safety parameters'!$DO$6:$DO$18,'Safety parameters'!$DK$6:$DK$18,DA317,'Safety parameters'!$DL$6:$DL$18,2)+SUMIFS('Safety parameters'!$DO$6:$DO$18,'Safety parameters'!$DK$6:$DK$18,DB317,'Safety parameters'!$DL$6:$DL$18,2))</f>
        <v>-2.3926487052593939E-2</v>
      </c>
    </row>
    <row r="318" spans="89:124" ht="15" x14ac:dyDescent="0.2">
      <c r="CK318" s="61" t="s">
        <v>31</v>
      </c>
      <c r="CL318" s="61">
        <v>3</v>
      </c>
      <c r="CM318" s="61" t="str">
        <v>cabozantinib_plus_nivolumab</v>
      </c>
      <c r="CN318" s="17">
        <v>1</v>
      </c>
      <c r="CO318" s="61" t="str" cm="1">
        <f t="array" ref="CO318">INDEX(List_comparators,CP317+1)</f>
        <v>pazopanib</v>
      </c>
      <c r="CP318" s="17">
        <v>5</v>
      </c>
      <c r="CQ318" s="601">
        <f t="shared" ca="1" si="211"/>
        <v>0</v>
      </c>
      <c r="CR318" s="601">
        <f t="shared" ca="1" si="212"/>
        <v>0</v>
      </c>
      <c r="CS318" s="671">
        <f t="shared" ca="1" si="215"/>
        <v>21.714285714285712</v>
      </c>
      <c r="CT318" s="671">
        <f t="shared" ca="1" si="213"/>
        <v>5.5785714285714283</v>
      </c>
      <c r="CU318" s="1123">
        <f>MATCH(CZ318,'Resource use and costs'!$BA$11:$BA$53,0)</f>
        <v>30</v>
      </c>
      <c r="CV318" s="1223"/>
      <c r="CW318" s="1241">
        <f t="shared" si="202"/>
        <v>1</v>
      </c>
      <c r="CX318" s="899" t="s">
        <v>773</v>
      </c>
      <c r="CY318" s="899" t="s">
        <v>581</v>
      </c>
      <c r="CZ318" s="899" t="s">
        <v>118</v>
      </c>
      <c r="DA318" s="899" t="s">
        <v>119</v>
      </c>
      <c r="DB318" s="899" t="s">
        <v>765</v>
      </c>
      <c r="DC318" s="899" cm="1">
        <f t="array" aca="1" ref="DC318" ca="1">_xlfn.IFNA(OFFSET($I$49,MATCH(CY318,$I$50:$I$63,0),MATCH(CZ318,TRANSPOSE($J$49:$W$49),0)),0)</f>
        <v>0.45152323211674239</v>
      </c>
      <c r="DD318" s="899" cm="1">
        <f t="array" aca="1" ref="DD318" ca="1">_xlfn.IFNA(OFFSET($Y$49,MATCH($CZ318,$Y$50:$Y$63,0),MATCH($DA318,TRANSPOSE($Z$49:$AM$49),0)),0)</f>
        <v>6.5699999999999995E-2</v>
      </c>
      <c r="DE318" s="899" cm="1">
        <f t="array" aca="1" ref="DE318" ca="1">_xlfn.IFNA(OFFSET($AO$49,MATCH($DA318,$AO$50:$AO$63,0),MATCH($DB318,TRANSPOSE($AP$49:$BC$49),0)),0)</f>
        <v>1</v>
      </c>
      <c r="DF318" s="881">
        <f t="shared" ca="1" si="199"/>
        <v>2.9665076350069972E-2</v>
      </c>
      <c r="DG318" s="910">
        <f t="shared" ca="1" si="200"/>
        <v>1.3688916152634338</v>
      </c>
      <c r="DH318" s="881">
        <f t="shared" ca="1" si="201"/>
        <v>4.0608274281760372E-2</v>
      </c>
      <c r="DI318" s="1460">
        <f t="shared" ca="1" si="214"/>
        <v>12.547956753063955</v>
      </c>
      <c r="DJ318" s="909">
        <f>_xlfn.IFNA(INDEX('Resource use and costs'!$CQ$11:$CQ$53,MATCH($CZ318,'Resource use and costs'!$BA$11:$BA$53,0)),0)*_xlfn.IFNA(INDEX(DY$10:DY$23,MATCH($CZ318,$DX$10:$DX$23,0)),0)</f>
        <v>45284.183573333321</v>
      </c>
      <c r="DK318" s="909">
        <f>IF(dd_PartSA_2_lines = "Yes",0,_xlfn.IFNA(INDEX('Resource use and costs'!$CR$11:$CR$53,MATCH(DA318,'Resource use and costs'!$BA$11:$BA$53,0)),0)*_xlfn.IFNA(INDEX(EA$10:EA$23,MATCH($DA318,$DX$10:$DX$23,0)),0))</f>
        <v>848.17532499999982</v>
      </c>
      <c r="DL318" s="909">
        <f>IF(dd_PartSA_2_lines = "Yes",0,_xlfn.IFNA(INDEX('Resource use and costs'!$CS$11:$CS$53,MATCH(DB318,'Resource use and costs'!$BA$11:$BA$53,0)),0)*_xlfn.IFNA(INDEX(EC$10:EC$23,MATCH($DB318,$DX$10:$DX$23,0)),0))</f>
        <v>0</v>
      </c>
      <c r="DM318" s="909">
        <f t="shared" si="203"/>
        <v>46132.358898333317</v>
      </c>
      <c r="DN318" s="909">
        <f>SUM(_xlfn.IFNA(INDEX('Resource use and costs'!$DU$12:$DU$25,MATCH(CZ318,'Resource use and costs'!$DS$12:$DS$25,0)),0),_xlfn.IFNA(INDEX('Resource use and costs'!$DU$12:$DU$25,MATCH(DA318,'Resource use and costs'!$DS$12:$DS$25,0)),0),_xlfn.IFNA(INDEX('Resource use and costs'!$DU$12:$DU$25,MATCH(DB318,'Resource use and costs'!$DS$12:$DS$25,0)),0))</f>
        <v>394.5</v>
      </c>
      <c r="DO318" s="921">
        <f>_xlfn.IFNA(INDEX('Resource use and costs'!$DY$12:$DY$25,MATCH(CZ318,'Resource use and costs'!$DS$12:$DS$25,0)),0)*_xlfn.IFNA(INDEX(DY$10:DY$23,MATCH($CZ318,$DX$10:$DX$23,0)),0)</f>
        <v>415.09348571428563</v>
      </c>
      <c r="DP318" s="921">
        <f>IF(dd_PartSA_2_lines = "Yes",0,_xlfn.IFNA(INDEX('Resource use and costs'!$DZ$12:$DZ$25,MATCH(DA318,'Resource use and costs'!$DS$12:$DS$25,0)),0)*_xlfn.IFNA(INDEX(EA$10:EA$23,MATCH($DA318,$DX$10:$DX$23,0)),0))</f>
        <v>74.50928571428571</v>
      </c>
      <c r="DQ318" s="921">
        <f>IF(dd_PartSA_2_lines = "Yes",0,_xlfn.IFNA(INDEX('Resource use and costs'!$EA$12:$EA$25,MATCH(DB318,'Resource use and costs'!$DS$12:$DS$25,0)),0)*_xlfn.IFNA(INDEX(EC$10:EC$23,MATCH($DB318,$DX$10:$DX$23,0)),0))</f>
        <v>0</v>
      </c>
      <c r="DR318" s="921">
        <f t="shared" si="204"/>
        <v>884.10277142857137</v>
      </c>
      <c r="DS318" s="1004">
        <f ca="1">SUMIFS('Safety parameters'!$DM$6:$DM$18,'Safety parameters'!$DK$6:$DK$18,CZ318,'Safety parameters'!$DL$6:$DL$18,1)+IF(dd_PartSA_2_lines = "Yes",0,SUMIFS('Safety parameters'!$DM$6:$DM$18,'Safety parameters'!$DK$6:$DK$18,DA318,'Safety parameters'!$DL$6:$DL$18,2)+SUMIFS('Safety parameters'!$DM$6:$DM$18,'Safety parameters'!$DK$6:$DK$18,DB318,'Safety parameters'!$DL$6:$DL$18,2))</f>
        <v>1064.7045460594725</v>
      </c>
      <c r="DT318" s="910">
        <f ca="1">SUMIFS('Safety parameters'!$DO$6:$DO$18,'Safety parameters'!$DK$6:$DK$18,CZ318,'Safety parameters'!$DL$6:$DL$18,1)+IF(dd_PartSA_2_lines = "Yes",0,SUMIFS('Safety parameters'!$DO$6:$DO$18,'Safety parameters'!$DK$6:$DK$18,DA318,'Safety parameters'!$DL$6:$DL$18,2)+SUMIFS('Safety parameters'!$DO$6:$DO$18,'Safety parameters'!$DK$6:$DK$18,DB318,'Safety parameters'!$DL$6:$DL$18,2))</f>
        <v>-9.184563045112509E-3</v>
      </c>
    </row>
    <row r="319" spans="89:124" ht="15" x14ac:dyDescent="0.2">
      <c r="CK319" s="61" t="s">
        <v>31</v>
      </c>
      <c r="CL319" s="61">
        <v>3</v>
      </c>
      <c r="CM319" s="61" t="str">
        <v>nivolumab_plus_ipilimumab</v>
      </c>
      <c r="CN319" s="17">
        <v>2</v>
      </c>
      <c r="CO319" s="61" t="str" cm="1">
        <f t="array" ref="CO319">INDEX(List_comparators,CP318+1)</f>
        <v>pazopanib</v>
      </c>
      <c r="CP319" s="17">
        <v>5</v>
      </c>
      <c r="CQ319" s="601">
        <f t="shared" ca="1" si="211"/>
        <v>0</v>
      </c>
      <c r="CR319" s="601">
        <f t="shared" ca="1" si="212"/>
        <v>0</v>
      </c>
      <c r="CS319" s="671">
        <f t="shared" ca="1" si="215"/>
        <v>21.714285714285712</v>
      </c>
      <c r="CT319" s="671">
        <f t="shared" ca="1" si="213"/>
        <v>5.5785714285714283</v>
      </c>
      <c r="CU319" s="1123">
        <f>MATCH(CZ319,'Resource use and costs'!$BA$11:$BA$53,0)</f>
        <v>30</v>
      </c>
      <c r="CV319" s="1223"/>
      <c r="CW319" s="1241">
        <f t="shared" si="202"/>
        <v>1</v>
      </c>
      <c r="CX319" s="899" t="s">
        <v>773</v>
      </c>
      <c r="CY319" s="899" t="s">
        <v>581</v>
      </c>
      <c r="CZ319" s="899" t="s">
        <v>118</v>
      </c>
      <c r="DA319" s="899" t="s">
        <v>333</v>
      </c>
      <c r="DB319" s="899" t="s">
        <v>327</v>
      </c>
      <c r="DC319" s="899" cm="1">
        <f t="array" aca="1" ref="DC319" ca="1">_xlfn.IFNA(OFFSET($I$49,MATCH(CY319,$I$50:$I$63,0),MATCH(CZ319,TRANSPOSE($J$49:$W$49),0)),0)</f>
        <v>0.45152323211674239</v>
      </c>
      <c r="DD319" s="899" cm="1">
        <f t="array" aca="1" ref="DD319" ca="1">_xlfn.IFNA(OFFSET($Y$49,MATCH($CZ319,$Y$50:$Y$63,0),MATCH($DA319,TRANSPOSE($Z$49:$AM$49),0)),0)</f>
        <v>0.16889999999999999</v>
      </c>
      <c r="DE319" s="899" cm="1">
        <f t="array" aca="1" ref="DE319" ca="1">_xlfn.IFNA(OFFSET($AO$49,MATCH($DA319,$AO$50:$AO$63,0),MATCH($DB319,TRANSPOSE($AP$49:$BC$49),0)),0)</f>
        <v>0.56859999999999999</v>
      </c>
      <c r="DF319" s="881">
        <f t="shared" ca="1" si="199"/>
        <v>4.3362728942108811E-2</v>
      </c>
      <c r="DG319" s="910">
        <f t="shared" ca="1" si="200"/>
        <v>1.3688916152634338</v>
      </c>
      <c r="DH319" s="881">
        <f t="shared" ca="1" si="201"/>
        <v>5.9358876063793781E-2</v>
      </c>
      <c r="DI319" s="1460">
        <f t="shared" ca="1" si="214"/>
        <v>18.341892703712279</v>
      </c>
      <c r="DJ319" s="909">
        <f>_xlfn.IFNA(INDEX('Resource use and costs'!$CQ$11:$CQ$53,MATCH($CZ319,'Resource use and costs'!$BA$11:$BA$53,0)),0)*_xlfn.IFNA(INDEX(DY$10:DY$23,MATCH($CZ319,$DX$10:$DX$23,0)),0)</f>
        <v>45284.183573333321</v>
      </c>
      <c r="DK319" s="909">
        <f>IF(dd_PartSA_2_lines = "Yes",0,_xlfn.IFNA(INDEX('Resource use and costs'!$CR$11:$CR$53,MATCH(DA319,'Resource use and costs'!$BA$11:$BA$53,0)),0)*_xlfn.IFNA(INDEX(EA$10:EA$23,MATCH($DA319,$DX$10:$DX$23,0)),0))</f>
        <v>24337.716731999997</v>
      </c>
      <c r="DL319" s="909">
        <f>IF(dd_PartSA_2_lines = "Yes",0,_xlfn.IFNA(INDEX('Resource use and costs'!$CS$11:$CS$53,MATCH(DB319,'Resource use and costs'!$BA$11:$BA$53,0)),0)*_xlfn.IFNA(INDEX(EC$10:EC$23,MATCH($DB319,$DX$10:$DX$23,0)),0))</f>
        <v>18438.751749999999</v>
      </c>
      <c r="DM319" s="909">
        <f t="shared" si="203"/>
        <v>88060.65205533331</v>
      </c>
      <c r="DN319" s="909">
        <f>SUM(_xlfn.IFNA(INDEX('Resource use and costs'!$DU$12:$DU$25,MATCH(CZ319,'Resource use and costs'!$DS$12:$DS$25,0)),0),_xlfn.IFNA(INDEX('Resource use and costs'!$DU$12:$DU$25,MATCH(DA319,'Resource use and costs'!$DS$12:$DS$25,0)),0),_xlfn.IFNA(INDEX('Resource use and costs'!$DU$12:$DU$25,MATCH(DB319,'Resource use and costs'!$DS$12:$DS$25,0)),0))</f>
        <v>591.75</v>
      </c>
      <c r="DO319" s="921">
        <f>_xlfn.IFNA(INDEX('Resource use and costs'!$DY$12:$DY$25,MATCH(CZ319,'Resource use and costs'!$DS$12:$DS$25,0)),0)*_xlfn.IFNA(INDEX(DY$10:DY$23,MATCH($CZ319,$DX$10:$DX$23,0)),0)</f>
        <v>415.09348571428563</v>
      </c>
      <c r="DP319" s="921">
        <f>IF(dd_PartSA_2_lines = "Yes",0,_xlfn.IFNA(INDEX('Resource use and costs'!$DZ$12:$DZ$25,MATCH(DA319,'Resource use and costs'!$DS$12:$DS$25,0)),0)*_xlfn.IFNA(INDEX(EA$10:EA$23,MATCH($DA319,$DX$10:$DX$23,0)),0))</f>
        <v>363.04714285714283</v>
      </c>
      <c r="DQ319" s="921">
        <f>IF(dd_PartSA_2_lines = "Yes",0,_xlfn.IFNA(INDEX('Resource use and costs'!$EA$12:$EA$25,MATCH(DB319,'Resource use and costs'!$DS$12:$DS$25,0)),0)*_xlfn.IFNA(INDEX(EC$10:EC$23,MATCH($DB319,$DX$10:$DX$23,0)),0))</f>
        <v>230.68099999999998</v>
      </c>
      <c r="DR319" s="921">
        <f t="shared" si="204"/>
        <v>1600.5716285714284</v>
      </c>
      <c r="DS319" s="1004">
        <f ca="1">SUMIFS('Safety parameters'!$DM$6:$DM$18,'Safety parameters'!$DK$6:$DK$18,CZ319,'Safety parameters'!$DL$6:$DL$18,1)+IF(dd_PartSA_2_lines = "Yes",0,SUMIFS('Safety parameters'!$DM$6:$DM$18,'Safety parameters'!$DK$6:$DK$18,DA319,'Safety parameters'!$DL$6:$DL$18,2)+SUMIFS('Safety parameters'!$DM$6:$DM$18,'Safety parameters'!$DK$6:$DK$18,DB319,'Safety parameters'!$DL$6:$DL$18,2))</f>
        <v>3308.9284570326226</v>
      </c>
      <c r="DT319" s="910">
        <f ca="1">SUMIFS('Safety parameters'!$DO$6:$DO$18,'Safety parameters'!$DK$6:$DK$18,CZ319,'Safety parameters'!$DL$6:$DL$18,1)+IF(dd_PartSA_2_lines = "Yes",0,SUMIFS('Safety parameters'!$DO$6:$DO$18,'Safety parameters'!$DK$6:$DK$18,DA319,'Safety parameters'!$DL$6:$DL$18,2)+SUMIFS('Safety parameters'!$DO$6:$DO$18,'Safety parameters'!$DK$6:$DK$18,DB319,'Safety parameters'!$DL$6:$DL$18,2))</f>
        <v>-3.0901664197571704E-2</v>
      </c>
    </row>
    <row r="320" spans="89:124" ht="15" x14ac:dyDescent="0.2">
      <c r="CK320" s="61" t="s">
        <v>31</v>
      </c>
      <c r="CL320" s="61">
        <v>3</v>
      </c>
      <c r="CM320" s="61" t="str">
        <v>lenvatinib_plus_pembrolizumab</v>
      </c>
      <c r="CN320" s="17">
        <v>3</v>
      </c>
      <c r="CO320" s="61" t="str" cm="1">
        <f t="array" ref="CO320">INDEX(List_comparators,CP319+1)</f>
        <v>pazopanib</v>
      </c>
      <c r="CP320" s="17">
        <v>5</v>
      </c>
      <c r="CQ320" s="601">
        <f t="shared" ca="1" si="211"/>
        <v>0</v>
      </c>
      <c r="CR320" s="601">
        <f t="shared" ca="1" si="212"/>
        <v>0</v>
      </c>
      <c r="CS320" s="671">
        <f t="shared" ca="1" si="215"/>
        <v>21.714285714285712</v>
      </c>
      <c r="CT320" s="671">
        <f t="shared" ca="1" si="213"/>
        <v>5.5785714285714283</v>
      </c>
      <c r="CU320" s="1123">
        <f>MATCH(CZ320,'Resource use and costs'!$BA$11:$BA$53,0)</f>
        <v>30</v>
      </c>
      <c r="CV320" s="1223"/>
      <c r="CW320" s="1241">
        <f t="shared" si="202"/>
        <v>1</v>
      </c>
      <c r="CX320" s="899" t="s">
        <v>773</v>
      </c>
      <c r="CY320" s="899" t="s">
        <v>581</v>
      </c>
      <c r="CZ320" s="899" t="s">
        <v>118</v>
      </c>
      <c r="DA320" s="899" t="s">
        <v>333</v>
      </c>
      <c r="DB320" s="899" t="s">
        <v>765</v>
      </c>
      <c r="DC320" s="899" cm="1">
        <f t="array" aca="1" ref="DC320" ca="1">_xlfn.IFNA(OFFSET($I$49,MATCH(CY320,$I$50:$I$63,0),MATCH(CZ320,TRANSPOSE($J$49:$W$49),0)),0)</f>
        <v>0.45152323211674239</v>
      </c>
      <c r="DD320" s="899" cm="1">
        <f t="array" aca="1" ref="DD320" ca="1">_xlfn.IFNA(OFFSET($Y$49,MATCH($CZ320,$Y$50:$Y$63,0),MATCH($DA320,TRANSPOSE($Z$49:$AM$49),0)),0)</f>
        <v>0.16889999999999999</v>
      </c>
      <c r="DE320" s="899" cm="1">
        <f t="array" aca="1" ref="DE320" ca="1">_xlfn.IFNA(OFFSET($AO$49,MATCH($DA320,$AO$50:$AO$63,0),MATCH($DB320,TRANSPOSE($AP$49:$BC$49),0)),0)</f>
        <v>0.43140000000000001</v>
      </c>
      <c r="DF320" s="881">
        <f t="shared" ca="1" si="199"/>
        <v>3.2899544962408975E-2</v>
      </c>
      <c r="DG320" s="910">
        <f t="shared" ca="1" si="200"/>
        <v>1.3688916152634338</v>
      </c>
      <c r="DH320" s="881">
        <f t="shared" ca="1" si="201"/>
        <v>4.5035911245023992E-2</v>
      </c>
      <c r="DI320" s="1460">
        <f t="shared" ca="1" si="214"/>
        <v>13.916096574712414</v>
      </c>
      <c r="DJ320" s="909">
        <f>_xlfn.IFNA(INDEX('Resource use and costs'!$CQ$11:$CQ$53,MATCH($CZ320,'Resource use and costs'!$BA$11:$BA$53,0)),0)*_xlfn.IFNA(INDEX(DY$10:DY$23,MATCH($CZ320,$DX$10:$DX$23,0)),0)</f>
        <v>45284.183573333321</v>
      </c>
      <c r="DK320" s="909">
        <f>IF(dd_PartSA_2_lines = "Yes",0,_xlfn.IFNA(INDEX('Resource use and costs'!$CR$11:$CR$53,MATCH(DA320,'Resource use and costs'!$BA$11:$BA$53,0)),0)*_xlfn.IFNA(INDEX(EA$10:EA$23,MATCH($DA320,$DX$10:$DX$23,0)),0))</f>
        <v>24337.716731999997</v>
      </c>
      <c r="DL320" s="909">
        <f>IF(dd_PartSA_2_lines = "Yes",0,_xlfn.IFNA(INDEX('Resource use and costs'!$CS$11:$CS$53,MATCH(DB320,'Resource use and costs'!$BA$11:$BA$53,0)),0)*_xlfn.IFNA(INDEX(EC$10:EC$23,MATCH($DB320,$DX$10:$DX$23,0)),0))</f>
        <v>0</v>
      </c>
      <c r="DM320" s="909">
        <f t="shared" si="203"/>
        <v>69621.900305333314</v>
      </c>
      <c r="DN320" s="909">
        <f>SUM(_xlfn.IFNA(INDEX('Resource use and costs'!$DU$12:$DU$25,MATCH(CZ320,'Resource use and costs'!$DS$12:$DS$25,0)),0),_xlfn.IFNA(INDEX('Resource use and costs'!$DU$12:$DU$25,MATCH(DA320,'Resource use and costs'!$DS$12:$DS$25,0)),0),_xlfn.IFNA(INDEX('Resource use and costs'!$DU$12:$DU$25,MATCH(DB320,'Resource use and costs'!$DS$12:$DS$25,0)),0))</f>
        <v>394.5</v>
      </c>
      <c r="DO320" s="921">
        <f>_xlfn.IFNA(INDEX('Resource use and costs'!$DY$12:$DY$25,MATCH(CZ320,'Resource use and costs'!$DS$12:$DS$25,0)),0)*_xlfn.IFNA(INDEX(DY$10:DY$23,MATCH($CZ320,$DX$10:$DX$23,0)),0)</f>
        <v>415.09348571428563</v>
      </c>
      <c r="DP320" s="921">
        <f>IF(dd_PartSA_2_lines = "Yes",0,_xlfn.IFNA(INDEX('Resource use and costs'!$DZ$12:$DZ$25,MATCH(DA320,'Resource use and costs'!$DS$12:$DS$25,0)),0)*_xlfn.IFNA(INDEX(EA$10:EA$23,MATCH($DA320,$DX$10:$DX$23,0)),0))</f>
        <v>363.04714285714283</v>
      </c>
      <c r="DQ320" s="921">
        <f>IF(dd_PartSA_2_lines = "Yes",0,_xlfn.IFNA(INDEX('Resource use and costs'!$EA$12:$EA$25,MATCH(DB320,'Resource use and costs'!$DS$12:$DS$25,0)),0)*_xlfn.IFNA(INDEX(EC$10:EC$23,MATCH($DB320,$DX$10:$DX$23,0)),0))</f>
        <v>0</v>
      </c>
      <c r="DR320" s="921">
        <f t="shared" si="204"/>
        <v>1172.6406285714284</v>
      </c>
      <c r="DS320" s="1004">
        <f ca="1">SUMIFS('Safety parameters'!$DM$6:$DM$18,'Safety parameters'!$DK$6:$DK$18,CZ320,'Safety parameters'!$DL$6:$DL$18,1)+IF(dd_PartSA_2_lines = "Yes",0,SUMIFS('Safety parameters'!$DM$6:$DM$18,'Safety parameters'!$DK$6:$DK$18,DA320,'Safety parameters'!$DL$6:$DL$18,2)+SUMIFS('Safety parameters'!$DM$6:$DM$18,'Safety parameters'!$DK$6:$DK$18,DB320,'Safety parameters'!$DL$6:$DL$18,2))</f>
        <v>1674.6997834671633</v>
      </c>
      <c r="DT320" s="910">
        <f ca="1">SUMIFS('Safety parameters'!$DO$6:$DO$18,'Safety parameters'!$DK$6:$DK$18,CZ320,'Safety parameters'!$DL$6:$DL$18,1)+IF(dd_PartSA_2_lines = "Yes",0,SUMIFS('Safety parameters'!$DO$6:$DO$18,'Safety parameters'!$DK$6:$DK$18,DA320,'Safety parameters'!$DL$6:$DL$18,2)+SUMIFS('Safety parameters'!$DO$6:$DO$18,'Safety parameters'!$DK$6:$DK$18,DB320,'Safety parameters'!$DL$6:$DL$18,2))</f>
        <v>-1.6159740190090276E-2</v>
      </c>
    </row>
    <row r="321" spans="89:124" ht="15" x14ac:dyDescent="0.2">
      <c r="CK321" s="61" t="s">
        <v>31</v>
      </c>
      <c r="CL321" s="61">
        <v>3</v>
      </c>
      <c r="CM321" s="61" t="str">
        <v>avelumab_plus_axitinib</v>
      </c>
      <c r="CN321" s="17">
        <v>4</v>
      </c>
      <c r="CO321" s="61" t="str" cm="1">
        <f t="array" ref="CO321">INDEX(List_comparators,CP320+1)</f>
        <v>pazopanib</v>
      </c>
      <c r="CP321" s="17">
        <v>5</v>
      </c>
      <c r="CQ321" s="601">
        <f t="shared" ca="1" si="211"/>
        <v>0</v>
      </c>
      <c r="CR321" s="601">
        <f t="shared" ca="1" si="212"/>
        <v>0</v>
      </c>
      <c r="CS321" s="671">
        <f t="shared" ca="1" si="215"/>
        <v>21.714285714285712</v>
      </c>
      <c r="CT321" s="671">
        <f t="shared" ca="1" si="213"/>
        <v>5.5785714285714283</v>
      </c>
      <c r="CU321" s="1123">
        <f>MATCH(CZ321,'Resource use and costs'!$BA$11:$BA$53,0)</f>
        <v>21</v>
      </c>
      <c r="CV321" s="1223"/>
      <c r="CW321" s="1241">
        <f t="shared" si="202"/>
        <v>1</v>
      </c>
      <c r="CX321" s="899" t="s">
        <v>773</v>
      </c>
      <c r="CY321" s="899" t="s">
        <v>581</v>
      </c>
      <c r="CZ321" s="899" t="s">
        <v>585</v>
      </c>
      <c r="DA321" s="899" t="s">
        <v>327</v>
      </c>
      <c r="DB321" s="899" t="s">
        <v>765</v>
      </c>
      <c r="DC321" s="899" cm="1">
        <f t="array" aca="1" ref="DC321" ca="1">_xlfn.IFNA(OFFSET($I$49,MATCH(CY321,$I$50:$I$63,0),MATCH(CZ321,TRANSPOSE($J$49:$W$49),0)),0)</f>
        <v>4.6654820499111543E-2</v>
      </c>
      <c r="DD321" s="899" cm="1">
        <f t="array" aca="1" ref="DD321" ca="1">_xlfn.IFNA(OFFSET($Y$49,MATCH($CZ321,$Y$50:$Y$63,0),MATCH($DA321,TRANSPOSE($Z$49:$AM$49),0)),0)</f>
        <v>0</v>
      </c>
      <c r="DE321" s="899" cm="1">
        <f t="array" aca="1" ref="DE321" ca="1">_xlfn.IFNA(OFFSET($AO$49,MATCH($DA321,$AO$50:$AO$63,0),MATCH($DB321,TRANSPOSE($AP$49:$BC$49),0)),0)</f>
        <v>0.43140000000000001</v>
      </c>
      <c r="DF321" s="881">
        <f t="shared" ca="1" si="199"/>
        <v>0</v>
      </c>
      <c r="DG321" s="910">
        <f t="shared" ca="1" si="200"/>
        <v>1.3688916152634338</v>
      </c>
      <c r="DH321" s="881">
        <f t="shared" ca="1" si="201"/>
        <v>0</v>
      </c>
      <c r="DI321" s="1460">
        <f t="shared" ca="1" si="214"/>
        <v>0</v>
      </c>
      <c r="DJ321" s="909">
        <f>_xlfn.IFNA(INDEX('Resource use and costs'!$CQ$11:$CQ$53,MATCH($CZ321,'Resource use and costs'!$BA$11:$BA$53,0)),0)*_xlfn.IFNA(INDEX(DY$10:DY$23,MATCH($CZ321,$DX$10:$DX$23,0)),0)</f>
        <v>4551.2486654444447</v>
      </c>
      <c r="DK321" s="909">
        <f>IF(dd_PartSA_2_lines = "Yes",0,_xlfn.IFNA(INDEX('Resource use and costs'!$CR$11:$CR$53,MATCH(DA321,'Resource use and costs'!$BA$11:$BA$53,0)),0)*_xlfn.IFNA(INDEX(EA$10:EA$23,MATCH($DA321,$DX$10:$DX$23,0)),0))</f>
        <v>21421.066008214286</v>
      </c>
      <c r="DL321" s="909">
        <f>IF(dd_PartSA_2_lines = "Yes",0,_xlfn.IFNA(INDEX('Resource use and costs'!$CS$11:$CS$53,MATCH(DB321,'Resource use and costs'!$BA$11:$BA$53,0)),0)*_xlfn.IFNA(INDEX(EC$10:EC$23,MATCH($DB321,$DX$10:$DX$23,0)),0))</f>
        <v>0</v>
      </c>
      <c r="DM321" s="909">
        <f t="shared" si="203"/>
        <v>25972.31467365873</v>
      </c>
      <c r="DN321" s="909">
        <f>SUM(_xlfn.IFNA(INDEX('Resource use and costs'!$DU$12:$DU$25,MATCH(CZ321,'Resource use and costs'!$DS$12:$DS$25,0)),0),_xlfn.IFNA(INDEX('Resource use and costs'!$DU$12:$DU$25,MATCH(DA321,'Resource use and costs'!$DS$12:$DS$25,0)),0),_xlfn.IFNA(INDEX('Resource use and costs'!$DU$12:$DU$25,MATCH(DB321,'Resource use and costs'!$DS$12:$DS$25,0)),0))</f>
        <v>394.5</v>
      </c>
      <c r="DO321" s="921">
        <f>_xlfn.IFNA(INDEX('Resource use and costs'!$DY$12:$DY$25,MATCH(CZ321,'Resource use and costs'!$DS$12:$DS$25,0)),0)*_xlfn.IFNA(INDEX(DY$10:DY$23,MATCH($CZ321,$DX$10:$DX$23,0)),0)</f>
        <v>410.14183571428572</v>
      </c>
      <c r="DP321" s="921">
        <f>IF(dd_PartSA_2_lines = "Yes",0,_xlfn.IFNA(INDEX('Resource use and costs'!$DZ$12:$DZ$25,MATCH(DA321,'Resource use and costs'!$DS$12:$DS$25,0)),0)*_xlfn.IFNA(INDEX(EA$10:EA$23,MATCH($DA321,$DX$10:$DX$23,0)),0))</f>
        <v>267.99172714285714</v>
      </c>
      <c r="DQ321" s="921">
        <f>IF(dd_PartSA_2_lines = "Yes",0,_xlfn.IFNA(INDEX('Resource use and costs'!$EA$12:$EA$25,MATCH(DB321,'Resource use and costs'!$DS$12:$DS$25,0)),0)*_xlfn.IFNA(INDEX(EC$10:EC$23,MATCH($DB321,$DX$10:$DX$23,0)),0))</f>
        <v>0</v>
      </c>
      <c r="DR321" s="921">
        <f t="shared" si="204"/>
        <v>1072.6335628571428</v>
      </c>
      <c r="DS321" s="1004">
        <f ca="1">SUMIFS('Safety parameters'!$DM$6:$DM$18,'Safety parameters'!$DK$6:$DK$18,CZ321,'Safety parameters'!$DL$6:$DL$18,1)+IF(dd_PartSA_2_lines = "Yes",0,SUMIFS('Safety parameters'!$DM$6:$DM$18,'Safety parameters'!$DK$6:$DK$18,DA321,'Safety parameters'!$DL$6:$DL$18,2)+SUMIFS('Safety parameters'!$DM$6:$DM$18,'Safety parameters'!$DK$6:$DK$18,DB321,'Safety parameters'!$DL$6:$DL$18,2))</f>
        <v>2145.8369470981288</v>
      </c>
      <c r="DT321" s="910">
        <f ca="1">SUMIFS('Safety parameters'!$DO$6:$DO$18,'Safety parameters'!$DK$6:$DK$18,CZ321,'Safety parameters'!$DL$6:$DL$18,1)+IF(dd_PartSA_2_lines = "Yes",0,SUMIFS('Safety parameters'!$DO$6:$DO$18,'Safety parameters'!$DK$6:$DK$18,DA321,'Safety parameters'!$DL$6:$DL$18,2)+SUMIFS('Safety parameters'!$DO$6:$DO$18,'Safety parameters'!$DK$6:$DK$18,DB321,'Safety parameters'!$DL$6:$DL$18,2))</f>
        <v>-1.9786705662528051E-2</v>
      </c>
    </row>
    <row r="322" spans="89:124" ht="15" x14ac:dyDescent="0.2">
      <c r="CK322" s="61" t="s">
        <v>31</v>
      </c>
      <c r="CL322" s="61">
        <v>3</v>
      </c>
      <c r="CM322" s="61" t="str">
        <v>pazopanib</v>
      </c>
      <c r="CN322" s="17">
        <v>5</v>
      </c>
      <c r="CO322" s="61" t="str" cm="1">
        <f t="array" ref="CO322">INDEX(List_comparators,CP321+1)</f>
        <v>pazopanib</v>
      </c>
      <c r="CP322" s="17">
        <v>5</v>
      </c>
      <c r="CQ322" s="601">
        <f t="shared" ca="1" si="211"/>
        <v>0</v>
      </c>
      <c r="CR322" s="601">
        <f t="shared" ca="1" si="212"/>
        <v>0</v>
      </c>
      <c r="CS322" s="671">
        <f t="shared" ca="1" si="215"/>
        <v>21.714285714285712</v>
      </c>
      <c r="CT322" s="671">
        <f t="shared" ca="1" si="213"/>
        <v>5.5785714285714283</v>
      </c>
      <c r="CU322" s="1123">
        <f>MATCH(CZ322,'Resource use and costs'!$BA$11:$BA$53,0)</f>
        <v>21</v>
      </c>
      <c r="CV322" s="1223"/>
      <c r="CW322" s="1241">
        <f t="shared" si="202"/>
        <v>1</v>
      </c>
      <c r="CX322" s="899" t="s">
        <v>773</v>
      </c>
      <c r="CY322" s="899" t="s">
        <v>581</v>
      </c>
      <c r="CZ322" s="899" t="s">
        <v>585</v>
      </c>
      <c r="DA322" s="899" t="s">
        <v>327</v>
      </c>
      <c r="DB322" s="899" t="s">
        <v>119</v>
      </c>
      <c r="DC322" s="899" cm="1">
        <f t="array" aca="1" ref="DC322" ca="1">_xlfn.IFNA(OFFSET($I$49,MATCH(CY322,$I$50:$I$63,0),MATCH(CZ322,TRANSPOSE($J$49:$W$49),0)),0)</f>
        <v>4.6654820499111543E-2</v>
      </c>
      <c r="DD322" s="899" cm="1">
        <f t="array" aca="1" ref="DD322" ca="1">_xlfn.IFNA(OFFSET($Y$49,MATCH($CZ322,$Y$50:$Y$63,0),MATCH($DA322,TRANSPOSE($Z$49:$AM$49),0)),0)</f>
        <v>0</v>
      </c>
      <c r="DE322" s="899" cm="1">
        <f t="array" aca="1" ref="DE322" ca="1">_xlfn.IFNA(OFFSET($AO$49,MATCH($DA322,$AO$50:$AO$63,0),MATCH($DB322,TRANSPOSE($AP$49:$BC$49),0)),0)</f>
        <v>0.56859999999999999</v>
      </c>
      <c r="DF322" s="881">
        <f t="shared" ca="1" si="199"/>
        <v>0</v>
      </c>
      <c r="DG322" s="910">
        <f t="shared" ca="1" si="200"/>
        <v>1.3688916152634338</v>
      </c>
      <c r="DH322" s="881">
        <f t="shared" ca="1" si="201"/>
        <v>0</v>
      </c>
      <c r="DI322" s="1460">
        <f t="shared" ca="1" si="214"/>
        <v>0</v>
      </c>
      <c r="DJ322" s="909">
        <f>_xlfn.IFNA(INDEX('Resource use and costs'!$CQ$11:$CQ$53,MATCH($CZ322,'Resource use and costs'!$BA$11:$BA$53,0)),0)*_xlfn.IFNA(INDEX(DY$10:DY$23,MATCH($CZ322,$DX$10:$DX$23,0)),0)</f>
        <v>4551.2486654444447</v>
      </c>
      <c r="DK322" s="909">
        <f>IF(dd_PartSA_2_lines = "Yes",0,_xlfn.IFNA(INDEX('Resource use and costs'!$CR$11:$CR$53,MATCH(DA322,'Resource use and costs'!$BA$11:$BA$53,0)),0)*_xlfn.IFNA(INDEX(EA$10:EA$23,MATCH($DA322,$DX$10:$DX$23,0)),0))</f>
        <v>21421.066008214286</v>
      </c>
      <c r="DL322" s="909">
        <f>IF(dd_PartSA_2_lines = "Yes",0,_xlfn.IFNA(INDEX('Resource use and costs'!$CS$11:$CS$53,MATCH(DB322,'Resource use and costs'!$BA$11:$BA$53,0)),0)*_xlfn.IFNA(INDEX(EC$10:EC$23,MATCH($DB322,$DX$10:$DX$23,0)),0))</f>
        <v>2915.4763433333328</v>
      </c>
      <c r="DM322" s="909">
        <f t="shared" si="203"/>
        <v>28887.791016992061</v>
      </c>
      <c r="DN322" s="909">
        <f>SUM(_xlfn.IFNA(INDEX('Resource use and costs'!$DU$12:$DU$25,MATCH(CZ322,'Resource use and costs'!$DS$12:$DS$25,0)),0),_xlfn.IFNA(INDEX('Resource use and costs'!$DU$12:$DU$25,MATCH(DA322,'Resource use and costs'!$DS$12:$DS$25,0)),0),_xlfn.IFNA(INDEX('Resource use and costs'!$DU$12:$DU$25,MATCH(DB322,'Resource use and costs'!$DS$12:$DS$25,0)),0))</f>
        <v>591.75</v>
      </c>
      <c r="DO322" s="921">
        <f>_xlfn.IFNA(INDEX('Resource use and costs'!$DY$12:$DY$25,MATCH(CZ322,'Resource use and costs'!$DS$12:$DS$25,0)),0)*_xlfn.IFNA(INDEX(DY$10:DY$23,MATCH($CZ322,$DX$10:$DX$23,0)),0)</f>
        <v>410.14183571428572</v>
      </c>
      <c r="DP322" s="921">
        <f>IF(dd_PartSA_2_lines = "Yes",0,_xlfn.IFNA(INDEX('Resource use and costs'!$DZ$12:$DZ$25,MATCH(DA322,'Resource use and costs'!$DS$12:$DS$25,0)),0)*_xlfn.IFNA(INDEX(EA$10:EA$23,MATCH($DA322,$DX$10:$DX$23,0)),0))</f>
        <v>267.99172714285714</v>
      </c>
      <c r="DQ322" s="921">
        <f>IF(dd_PartSA_2_lines = "Yes",0,_xlfn.IFNA(INDEX('Resource use and costs'!$EA$12:$EA$25,MATCH(DB322,'Resource use and costs'!$DS$12:$DS$25,0)),0)*_xlfn.IFNA(INDEX(EC$10:EC$23,MATCH($DB322,$DX$10:$DX$23,0)),0))</f>
        <v>256.11457142857142</v>
      </c>
      <c r="DR322" s="921">
        <f t="shared" si="204"/>
        <v>1525.9981342857143</v>
      </c>
      <c r="DS322" s="1004">
        <f ca="1">SUMIFS('Safety parameters'!$DM$6:$DM$18,'Safety parameters'!$DK$6:$DK$18,CZ322,'Safety parameters'!$DL$6:$DL$18,1)+IF(dd_PartSA_2_lines = "Yes",0,SUMIFS('Safety parameters'!$DM$6:$DM$18,'Safety parameters'!$DK$6:$DK$18,DA322,'Safety parameters'!$DL$6:$DL$18,2)+SUMIFS('Safety parameters'!$DM$6:$DM$18,'Safety parameters'!$DK$6:$DK$18,DB322,'Safety parameters'!$DL$6:$DL$18,2))</f>
        <v>2478.7123304734437</v>
      </c>
      <c r="DT322" s="910">
        <f ca="1">SUMIFS('Safety parameters'!$DO$6:$DO$18,'Safety parameters'!$DK$6:$DK$18,CZ322,'Safety parameters'!$DL$6:$DL$18,1)+IF(dd_PartSA_2_lines = "Yes",0,SUMIFS('Safety parameters'!$DO$6:$DO$18,'Safety parameters'!$DK$6:$DK$18,DA322,'Safety parameters'!$DL$6:$DL$18,2)+SUMIFS('Safety parameters'!$DO$6:$DO$18,'Safety parameters'!$DK$6:$DK$18,DB322,'Safety parameters'!$DL$6:$DL$18,2))</f>
        <v>-2.2454279199165771E-2</v>
      </c>
    </row>
    <row r="323" spans="89:124" ht="15" x14ac:dyDescent="0.2">
      <c r="CK323" s="61" t="s">
        <v>31</v>
      </c>
      <c r="CL323" s="61">
        <v>3</v>
      </c>
      <c r="CM323" s="61" t="str">
        <v>tivozanib</v>
      </c>
      <c r="CN323" s="17">
        <v>6</v>
      </c>
      <c r="CO323" s="61" t="str" cm="1">
        <f t="array" ref="CO323">INDEX(List_comparators,CP322+1)</f>
        <v>pazopanib</v>
      </c>
      <c r="CP323" s="17">
        <v>5</v>
      </c>
      <c r="CQ323" s="601">
        <f t="shared" ca="1" si="211"/>
        <v>0</v>
      </c>
      <c r="CR323" s="601">
        <f t="shared" ca="1" si="212"/>
        <v>0</v>
      </c>
      <c r="CS323" s="671">
        <f t="shared" ca="1" si="215"/>
        <v>21.714285714285712</v>
      </c>
      <c r="CT323" s="671">
        <f t="shared" ca="1" si="213"/>
        <v>5.5785714285714283</v>
      </c>
      <c r="CU323" s="1123">
        <f>MATCH(CZ323,'Resource use and costs'!$BA$11:$BA$53,0)</f>
        <v>21</v>
      </c>
      <c r="CV323" s="1223"/>
      <c r="CW323" s="1241">
        <f t="shared" si="202"/>
        <v>1</v>
      </c>
      <c r="CX323" s="899" t="s">
        <v>773</v>
      </c>
      <c r="CY323" s="899" t="s">
        <v>581</v>
      </c>
      <c r="CZ323" s="899" t="s">
        <v>585</v>
      </c>
      <c r="DA323" s="899" t="s">
        <v>765</v>
      </c>
      <c r="DB323" s="899"/>
      <c r="DC323" s="899" cm="1">
        <f t="array" aca="1" ref="DC323" ca="1">_xlfn.IFNA(OFFSET($I$49,MATCH(CY323,$I$50:$I$63,0),MATCH(CZ323,TRANSPOSE($J$49:$W$49),0)),0)</f>
        <v>4.6654820499111543E-2</v>
      </c>
      <c r="DD323" s="899" cm="1">
        <f t="array" aca="1" ref="DD323" ca="1">_xlfn.IFNA(OFFSET($Y$49,MATCH($CZ323,$Y$50:$Y$63,0),MATCH($DA323,TRANSPOSE($Z$49:$AM$49),0)),0)</f>
        <v>0.34300000000000003</v>
      </c>
      <c r="DE323" s="899" cm="1">
        <f t="array" aca="1" ref="DE323" ca="1">_xlfn.IFNA(OFFSET($AO$49,MATCH($DA323,$AO$50:$AO$63,0),MATCH($DB323,TRANSPOSE($AP$49:$BC$49),0)),0)</f>
        <v>0</v>
      </c>
      <c r="DF323" s="881">
        <f t="shared" ca="1" si="199"/>
        <v>1.6002603431195261E-2</v>
      </c>
      <c r="DG323" s="910">
        <f t="shared" ca="1" si="200"/>
        <v>1.3688916152634338</v>
      </c>
      <c r="DH323" s="881">
        <f t="shared" ca="1" si="201"/>
        <v>2.1905829659349049E-2</v>
      </c>
      <c r="DI323" s="1460">
        <f t="shared" ca="1" si="214"/>
        <v>6.7689013647388565</v>
      </c>
      <c r="DJ323" s="909">
        <f>_xlfn.IFNA(INDEX('Resource use and costs'!$CQ$11:$CQ$53,MATCH($CZ323,'Resource use and costs'!$BA$11:$BA$53,0)),0)*_xlfn.IFNA(INDEX(DY$10:DY$23,MATCH($CZ323,$DX$10:$DX$23,0)),0)</f>
        <v>4551.2486654444447</v>
      </c>
      <c r="DK323" s="909">
        <f>IF(dd_PartSA_2_lines = "Yes",0,_xlfn.IFNA(INDEX('Resource use and costs'!$CR$11:$CR$53,MATCH(DA323,'Resource use and costs'!$BA$11:$BA$53,0)),0)*_xlfn.IFNA(INDEX(EA$10:EA$23,MATCH($DA323,$DX$10:$DX$23,0)),0))</f>
        <v>0</v>
      </c>
      <c r="DL323" s="909">
        <f>IF(dd_PartSA_2_lines = "Yes",0,_xlfn.IFNA(INDEX('Resource use and costs'!$CS$11:$CS$53,MATCH(DB323,'Resource use and costs'!$BA$11:$BA$53,0)),0)*_xlfn.IFNA(INDEX(EC$10:EC$23,MATCH($DB323,$DX$10:$DX$23,0)),0))</f>
        <v>0</v>
      </c>
      <c r="DM323" s="909">
        <f t="shared" si="203"/>
        <v>4551.2486654444447</v>
      </c>
      <c r="DN323" s="909">
        <f>SUM(_xlfn.IFNA(INDEX('Resource use and costs'!$DU$12:$DU$25,MATCH(CZ323,'Resource use and costs'!$DS$12:$DS$25,0)),0),_xlfn.IFNA(INDEX('Resource use and costs'!$DU$12:$DU$25,MATCH(DA323,'Resource use and costs'!$DS$12:$DS$25,0)),0),_xlfn.IFNA(INDEX('Resource use and costs'!$DU$12:$DU$25,MATCH(DB323,'Resource use and costs'!$DS$12:$DS$25,0)),0))</f>
        <v>197.25</v>
      </c>
      <c r="DO323" s="921">
        <f>_xlfn.IFNA(INDEX('Resource use and costs'!$DY$12:$DY$25,MATCH(CZ323,'Resource use and costs'!$DS$12:$DS$25,0)),0)*_xlfn.IFNA(INDEX(DY$10:DY$23,MATCH($CZ323,$DX$10:$DX$23,0)),0)</f>
        <v>410.14183571428572</v>
      </c>
      <c r="DP323" s="921">
        <f>IF(dd_PartSA_2_lines = "Yes",0,_xlfn.IFNA(INDEX('Resource use and costs'!$DZ$12:$DZ$25,MATCH(DA323,'Resource use and costs'!$DS$12:$DS$25,0)),0)*_xlfn.IFNA(INDEX(EA$10:EA$23,MATCH($DA323,$DX$10:$DX$23,0)),0))</f>
        <v>0</v>
      </c>
      <c r="DQ323" s="921">
        <f>IF(dd_PartSA_2_lines = "Yes",0,_xlfn.IFNA(INDEX('Resource use and costs'!$EA$12:$EA$25,MATCH(DB323,'Resource use and costs'!$DS$12:$DS$25,0)),0)*_xlfn.IFNA(INDEX(EC$10:EC$23,MATCH($DB323,$DX$10:$DX$23,0)),0))</f>
        <v>0</v>
      </c>
      <c r="DR323" s="921">
        <f t="shared" si="204"/>
        <v>607.39183571428566</v>
      </c>
      <c r="DS323" s="1004">
        <f ca="1">SUMIFS('Safety parameters'!$DM$6:$DM$18,'Safety parameters'!$DK$6:$DK$18,CZ323,'Safety parameters'!$DL$6:$DL$18,1)+IF(dd_PartSA_2_lines = "Yes",0,SUMIFS('Safety parameters'!$DM$6:$DM$18,'Safety parameters'!$DK$6:$DK$18,DA323,'Safety parameters'!$DL$6:$DL$18,2)+SUMIFS('Safety parameters'!$DM$6:$DM$18,'Safety parameters'!$DK$6:$DK$18,DB323,'Safety parameters'!$DL$6:$DL$18,2))</f>
        <v>511.60827353266905</v>
      </c>
      <c r="DT323" s="910">
        <f ca="1">SUMIFS('Safety parameters'!$DO$6:$DO$18,'Safety parameters'!$DK$6:$DK$18,CZ323,'Safety parameters'!$DL$6:$DL$18,1)+IF(dd_PartSA_2_lines = "Yes",0,SUMIFS('Safety parameters'!$DO$6:$DO$18,'Safety parameters'!$DK$6:$DK$18,DA323,'Safety parameters'!$DL$6:$DL$18,2)+SUMIFS('Safety parameters'!$DO$6:$DO$18,'Safety parameters'!$DK$6:$DK$18,DB323,'Safety parameters'!$DL$6:$DL$18,2))</f>
        <v>-5.0447816550466236E-3</v>
      </c>
    </row>
    <row r="324" spans="89:124" ht="15" x14ac:dyDescent="0.2">
      <c r="CK324" s="61" t="s">
        <v>31</v>
      </c>
      <c r="CL324" s="61">
        <v>3</v>
      </c>
      <c r="CM324" s="61" t="str">
        <v>sunitinib</v>
      </c>
      <c r="CN324" s="17">
        <v>7</v>
      </c>
      <c r="CO324" s="61" t="str" cm="1">
        <f t="array" ref="CO324">INDEX(List_comparators,CP323+1)</f>
        <v>pazopanib</v>
      </c>
      <c r="CP324" s="17">
        <v>5</v>
      </c>
      <c r="CQ324" s="601">
        <f t="shared" ca="1" si="211"/>
        <v>0</v>
      </c>
      <c r="CR324" s="601">
        <f t="shared" ca="1" si="212"/>
        <v>0</v>
      </c>
      <c r="CS324" s="671">
        <f t="shared" ca="1" si="215"/>
        <v>21.714285714285712</v>
      </c>
      <c r="CT324" s="671">
        <f t="shared" ca="1" si="213"/>
        <v>5.5785714285714283</v>
      </c>
      <c r="CU324" s="1123">
        <f>MATCH(CZ324,'Resource use and costs'!$BA$11:$BA$53,0)</f>
        <v>21</v>
      </c>
      <c r="CV324" s="1223"/>
      <c r="CW324" s="1241">
        <f t="shared" si="202"/>
        <v>1</v>
      </c>
      <c r="CX324" s="899" t="s">
        <v>773</v>
      </c>
      <c r="CY324" s="899" t="s">
        <v>581</v>
      </c>
      <c r="CZ324" s="899" t="s">
        <v>585</v>
      </c>
      <c r="DA324" s="899" t="s">
        <v>118</v>
      </c>
      <c r="DB324" s="899" t="s">
        <v>327</v>
      </c>
      <c r="DC324" s="899" cm="1">
        <f t="array" aca="1" ref="DC324" ca="1">_xlfn.IFNA(OFFSET($I$49,MATCH(CY324,$I$50:$I$63,0),MATCH(CZ324,TRANSPOSE($J$49:$W$49),0)),0)</f>
        <v>4.6654820499111543E-2</v>
      </c>
      <c r="DD324" s="899" cm="1">
        <f t="array" aca="1" ref="DD324" ca="1">_xlfn.IFNA(OFFSET($Y$49,MATCH($CZ324,$Y$50:$Y$63,0),MATCH($DA324,TRANSPOSE($Z$49:$AM$49),0)),0)</f>
        <v>0.32850000000000001</v>
      </c>
      <c r="DE324" s="899" cm="1">
        <f t="array" aca="1" ref="DE324" ca="1">_xlfn.IFNA(OFFSET($AO$49,MATCH($DA324,$AO$50:$AO$63,0),MATCH($DB324,TRANSPOSE($AP$49:$BC$49),0)),0)</f>
        <v>0.38769999999999999</v>
      </c>
      <c r="DF324" s="881">
        <f t="shared" ca="1" si="199"/>
        <v>5.941932278615572E-3</v>
      </c>
      <c r="DG324" s="910">
        <f t="shared" ca="1" si="200"/>
        <v>1.3688916152634338</v>
      </c>
      <c r="DH324" s="881">
        <f t="shared" ca="1" si="201"/>
        <v>8.1338612746600057E-3</v>
      </c>
      <c r="DI324" s="1460">
        <f t="shared" ca="1" si="214"/>
        <v>2.5133631338699418</v>
      </c>
      <c r="DJ324" s="909">
        <f>_xlfn.IFNA(INDEX('Resource use and costs'!$CQ$11:$CQ$53,MATCH($CZ324,'Resource use and costs'!$BA$11:$BA$53,0)),0)*_xlfn.IFNA(INDEX(DY$10:DY$23,MATCH($CZ324,$DX$10:$DX$23,0)),0)</f>
        <v>4551.2486654444447</v>
      </c>
      <c r="DK324" s="909">
        <f>IF(dd_PartSA_2_lines = "Yes",0,_xlfn.IFNA(INDEX('Resource use and costs'!$CR$11:$CR$53,MATCH(DA324,'Resource use and costs'!$BA$11:$BA$53,0)),0)*_xlfn.IFNA(INDEX(EA$10:EA$23,MATCH($DA324,$DX$10:$DX$23,0)),0))</f>
        <v>50308.075122000002</v>
      </c>
      <c r="DL324" s="909">
        <f>IF(dd_PartSA_2_lines = "Yes",0,_xlfn.IFNA(INDEX('Resource use and costs'!$CS$11:$CS$53,MATCH(DB324,'Resource use and costs'!$BA$11:$BA$53,0)),0)*_xlfn.IFNA(INDEX(EC$10:EC$23,MATCH($DB324,$DX$10:$DX$23,0)),0))</f>
        <v>18438.751749999999</v>
      </c>
      <c r="DM324" s="909">
        <f t="shared" si="203"/>
        <v>73298.075537444442</v>
      </c>
      <c r="DN324" s="909">
        <f>SUM(_xlfn.IFNA(INDEX('Resource use and costs'!$DU$12:$DU$25,MATCH(CZ324,'Resource use and costs'!$DS$12:$DS$25,0)),0),_xlfn.IFNA(INDEX('Resource use and costs'!$DU$12:$DU$25,MATCH(DA324,'Resource use and costs'!$DS$12:$DS$25,0)),0),_xlfn.IFNA(INDEX('Resource use and costs'!$DU$12:$DU$25,MATCH(DB324,'Resource use and costs'!$DS$12:$DS$25,0)),0))</f>
        <v>591.75</v>
      </c>
      <c r="DO324" s="921">
        <f>_xlfn.IFNA(INDEX('Resource use and costs'!$DY$12:$DY$25,MATCH(CZ324,'Resource use and costs'!$DS$12:$DS$25,0)),0)*_xlfn.IFNA(INDEX(DY$10:DY$23,MATCH($CZ324,$DX$10:$DX$23,0)),0)</f>
        <v>410.14183571428572</v>
      </c>
      <c r="DP324" s="921">
        <f>IF(dd_PartSA_2_lines = "Yes",0,_xlfn.IFNA(INDEX('Resource use and costs'!$DZ$12:$DZ$25,MATCH(DA324,'Resource use and costs'!$DS$12:$DS$25,0)),0)*_xlfn.IFNA(INDEX(EA$10:EA$23,MATCH($DA324,$DX$10:$DX$23,0)),0))</f>
        <v>461.1445457142857</v>
      </c>
      <c r="DQ324" s="921">
        <f>IF(dd_PartSA_2_lines = "Yes",0,_xlfn.IFNA(INDEX('Resource use and costs'!$EA$12:$EA$25,MATCH(DB324,'Resource use and costs'!$DS$12:$DS$25,0)),0)*_xlfn.IFNA(INDEX(EC$10:EC$23,MATCH($DB324,$DX$10:$DX$23,0)),0))</f>
        <v>230.68099999999998</v>
      </c>
      <c r="DR324" s="921">
        <f t="shared" si="204"/>
        <v>1693.7173814285713</v>
      </c>
      <c r="DS324" s="1004">
        <f ca="1">SUMIFS('Safety parameters'!$DM$6:$DM$18,'Safety parameters'!$DK$6:$DK$18,CZ324,'Safety parameters'!$DL$6:$DL$18,1)+IF(dd_PartSA_2_lines = "Yes",0,SUMIFS('Safety parameters'!$DM$6:$DM$18,'Safety parameters'!$DK$6:$DK$18,DA324,'Safety parameters'!$DL$6:$DL$18,2)+SUMIFS('Safety parameters'!$DM$6:$DM$18,'Safety parameters'!$DK$6:$DK$18,DB324,'Safety parameters'!$DL$6:$DL$18,2))</f>
        <v>2889.4862469015125</v>
      </c>
      <c r="DT324" s="910">
        <f ca="1">SUMIFS('Safety parameters'!$DO$6:$DO$18,'Safety parameters'!$DK$6:$DK$18,CZ324,'Safety parameters'!$DL$6:$DL$18,1)+IF(dd_PartSA_2_lines = "Yes",0,SUMIFS('Safety parameters'!$DO$6:$DO$18,'Safety parameters'!$DK$6:$DK$18,DA324,'Safety parameters'!$DL$6:$DL$18,2)+SUMIFS('Safety parameters'!$DO$6:$DO$18,'Safety parameters'!$DK$6:$DK$18,DB324,'Safety parameters'!$DL$6:$DL$18,2))</f>
        <v>-2.680903201876399E-2</v>
      </c>
    </row>
    <row r="325" spans="89:124" ht="15" x14ac:dyDescent="0.2">
      <c r="CK325" s="61" t="s">
        <v>31</v>
      </c>
      <c r="CL325" s="61">
        <v>3</v>
      </c>
      <c r="CM325" s="61" t="str">
        <v>cabozantinib</v>
      </c>
      <c r="CN325" s="17">
        <v>8</v>
      </c>
      <c r="CO325" s="61" t="str" cm="1">
        <f t="array" ref="CO325">INDEX(List_comparators,CP324+1)</f>
        <v>pazopanib</v>
      </c>
      <c r="CP325" s="17">
        <v>5</v>
      </c>
      <c r="CQ325" s="601">
        <f t="shared" ca="1" si="211"/>
        <v>0</v>
      </c>
      <c r="CR325" s="601">
        <f t="shared" ca="1" si="212"/>
        <v>0</v>
      </c>
      <c r="CS325" s="671">
        <f t="shared" ca="1" si="215"/>
        <v>21.714285714285712</v>
      </c>
      <c r="CT325" s="671">
        <f t="shared" ca="1" si="213"/>
        <v>5.5785714285714283</v>
      </c>
      <c r="CU325" s="1123">
        <f>MATCH(CZ325,'Resource use and costs'!$BA$11:$BA$53,0)</f>
        <v>21</v>
      </c>
      <c r="CV325" s="1223"/>
      <c r="CW325" s="1241">
        <f t="shared" si="202"/>
        <v>1</v>
      </c>
      <c r="CX325" s="899" t="s">
        <v>773</v>
      </c>
      <c r="CY325" s="899" t="s">
        <v>581</v>
      </c>
      <c r="CZ325" s="899" t="s">
        <v>585</v>
      </c>
      <c r="DA325" s="899" t="s">
        <v>118</v>
      </c>
      <c r="DB325" s="899" t="s">
        <v>765</v>
      </c>
      <c r="DC325" s="899" cm="1">
        <f t="array" aca="1" ref="DC325" ca="1">_xlfn.IFNA(OFFSET($I$49,MATCH(CY325,$I$50:$I$63,0),MATCH(CZ325,TRANSPOSE($J$49:$W$49),0)),0)</f>
        <v>4.6654820499111543E-2</v>
      </c>
      <c r="DD325" s="899" cm="1">
        <f t="array" aca="1" ref="DD325" ca="1">_xlfn.IFNA(OFFSET($Y$49,MATCH($CZ325,$Y$50:$Y$63,0),MATCH($DA325,TRANSPOSE($Z$49:$AM$49),0)),0)</f>
        <v>0.32850000000000001</v>
      </c>
      <c r="DE325" s="899" cm="1">
        <f t="array" aca="1" ref="DE325" ca="1">_xlfn.IFNA(OFFSET($AO$49,MATCH($DA325,$AO$50:$AO$63,0),MATCH($DB325,TRANSPOSE($AP$49:$BC$49),0)),0)</f>
        <v>0.43140000000000001</v>
      </c>
      <c r="DF325" s="881">
        <f t="shared" ca="1" si="199"/>
        <v>6.6116832215495427E-3</v>
      </c>
      <c r="DG325" s="910">
        <f t="shared" ca="1" si="200"/>
        <v>1.3688916152634338</v>
      </c>
      <c r="DH325" s="881">
        <f t="shared" ca="1" si="201"/>
        <v>9.0506777247570981E-3</v>
      </c>
      <c r="DI325" s="1460">
        <f t="shared" ca="1" si="214"/>
        <v>2.7966594169499435</v>
      </c>
      <c r="DJ325" s="909">
        <f>_xlfn.IFNA(INDEX('Resource use and costs'!$CQ$11:$CQ$53,MATCH($CZ325,'Resource use and costs'!$BA$11:$BA$53,0)),0)*_xlfn.IFNA(INDEX(DY$10:DY$23,MATCH($CZ325,$DX$10:$DX$23,0)),0)</f>
        <v>4551.2486654444447</v>
      </c>
      <c r="DK325" s="909">
        <f>IF(dd_PartSA_2_lines = "Yes",0,_xlfn.IFNA(INDEX('Resource use and costs'!$CR$11:$CR$53,MATCH(DA325,'Resource use and costs'!$BA$11:$BA$53,0)),0)*_xlfn.IFNA(INDEX(EA$10:EA$23,MATCH($DA325,$DX$10:$DX$23,0)),0))</f>
        <v>50308.075122000002</v>
      </c>
      <c r="DL325" s="909">
        <f>IF(dd_PartSA_2_lines = "Yes",0,_xlfn.IFNA(INDEX('Resource use and costs'!$CS$11:$CS$53,MATCH(DB325,'Resource use and costs'!$BA$11:$BA$53,0)),0)*_xlfn.IFNA(INDEX(EC$10:EC$23,MATCH($DB325,$DX$10:$DX$23,0)),0))</f>
        <v>0</v>
      </c>
      <c r="DM325" s="909">
        <f t="shared" si="203"/>
        <v>54859.323787444446</v>
      </c>
      <c r="DN325" s="909">
        <f>SUM(_xlfn.IFNA(INDEX('Resource use and costs'!$DU$12:$DU$25,MATCH(CZ325,'Resource use and costs'!$DS$12:$DS$25,0)),0),_xlfn.IFNA(INDEX('Resource use and costs'!$DU$12:$DU$25,MATCH(DA325,'Resource use and costs'!$DS$12:$DS$25,0)),0),_xlfn.IFNA(INDEX('Resource use and costs'!$DU$12:$DU$25,MATCH(DB325,'Resource use and costs'!$DS$12:$DS$25,0)),0))</f>
        <v>394.5</v>
      </c>
      <c r="DO325" s="921">
        <f>_xlfn.IFNA(INDEX('Resource use and costs'!$DY$12:$DY$25,MATCH(CZ325,'Resource use and costs'!$DS$12:$DS$25,0)),0)*_xlfn.IFNA(INDEX(DY$10:DY$23,MATCH($CZ325,$DX$10:$DX$23,0)),0)</f>
        <v>410.14183571428572</v>
      </c>
      <c r="DP325" s="921">
        <f>IF(dd_PartSA_2_lines = "Yes",0,_xlfn.IFNA(INDEX('Resource use and costs'!$DZ$12:$DZ$25,MATCH(DA325,'Resource use and costs'!$DS$12:$DS$25,0)),0)*_xlfn.IFNA(INDEX(EA$10:EA$23,MATCH($DA325,$DX$10:$DX$23,0)),0))</f>
        <v>461.1445457142857</v>
      </c>
      <c r="DQ325" s="921">
        <f>IF(dd_PartSA_2_lines = "Yes",0,_xlfn.IFNA(INDEX('Resource use and costs'!$EA$12:$EA$25,MATCH(DB325,'Resource use and costs'!$DS$12:$DS$25,0)),0)*_xlfn.IFNA(INDEX(EC$10:EC$23,MATCH($DB325,$DX$10:$DX$23,0)),0))</f>
        <v>0</v>
      </c>
      <c r="DR325" s="921">
        <f t="shared" si="204"/>
        <v>1265.7863814285713</v>
      </c>
      <c r="DS325" s="1004">
        <f ca="1">SUMIFS('Safety parameters'!$DM$6:$DM$18,'Safety parameters'!$DK$6:$DK$18,CZ325,'Safety parameters'!$DL$6:$DL$18,1)+IF(dd_PartSA_2_lines = "Yes",0,SUMIFS('Safety parameters'!$DM$6:$DM$18,'Safety parameters'!$DK$6:$DK$18,DA325,'Safety parameters'!$DL$6:$DL$18,2)+SUMIFS('Safety parameters'!$DM$6:$DM$18,'Safety parameters'!$DK$6:$DK$18,DB325,'Safety parameters'!$DL$6:$DL$18,2))</f>
        <v>1255.2575733360525</v>
      </c>
      <c r="DT325" s="910">
        <f ca="1">SUMIFS('Safety parameters'!$DO$6:$DO$18,'Safety parameters'!$DK$6:$DK$18,CZ325,'Safety parameters'!$DL$6:$DL$18,1)+IF(dd_PartSA_2_lines = "Yes",0,SUMIFS('Safety parameters'!$DO$6:$DO$18,'Safety parameters'!$DK$6:$DK$18,DA325,'Safety parameters'!$DL$6:$DL$18,2)+SUMIFS('Safety parameters'!$DO$6:$DO$18,'Safety parameters'!$DK$6:$DK$18,DB325,'Safety parameters'!$DL$6:$DL$18,2))</f>
        <v>-1.2067108011282562E-2</v>
      </c>
    </row>
    <row r="326" spans="89:124" ht="15" x14ac:dyDescent="0.2">
      <c r="CK326" s="61" t="s">
        <v>31</v>
      </c>
      <c r="CL326" s="61">
        <v>3</v>
      </c>
      <c r="CM326" s="61" t="str">
        <v>lenvatinib_plus_everolimus</v>
      </c>
      <c r="CN326" s="17">
        <v>9</v>
      </c>
      <c r="CO326" s="61" t="str" cm="1">
        <f t="array" ref="CO326">INDEX(List_comparators,CP325+1)</f>
        <v>pazopanib</v>
      </c>
      <c r="CP326" s="17">
        <v>5</v>
      </c>
      <c r="CQ326" s="601">
        <f t="shared" ca="1" si="211"/>
        <v>8.2100000000000006E-2</v>
      </c>
      <c r="CR326" s="601">
        <f t="shared" ca="1" si="212"/>
        <v>8.2100000000000003E-3</v>
      </c>
      <c r="CS326" s="671">
        <f t="shared" ca="1" si="215"/>
        <v>21.714285714285712</v>
      </c>
      <c r="CT326" s="671">
        <f t="shared" ca="1" si="213"/>
        <v>5.5785714285714283</v>
      </c>
      <c r="CU326" s="1123">
        <f>MATCH(CZ326,'Resource use and costs'!$BA$11:$BA$53,0)</f>
        <v>21</v>
      </c>
      <c r="CV326" s="1223"/>
      <c r="CW326" s="1241">
        <f t="shared" si="202"/>
        <v>1</v>
      </c>
      <c r="CX326" s="899" t="s">
        <v>773</v>
      </c>
      <c r="CY326" s="899" t="s">
        <v>581</v>
      </c>
      <c r="CZ326" s="899" t="s">
        <v>585</v>
      </c>
      <c r="DA326" s="899" t="s">
        <v>118</v>
      </c>
      <c r="DB326" s="899" t="s">
        <v>119</v>
      </c>
      <c r="DC326" s="899" cm="1">
        <f t="array" aca="1" ref="DC326" ca="1">_xlfn.IFNA(OFFSET($I$49,MATCH(CY326,$I$50:$I$63,0),MATCH(CZ326,TRANSPOSE($J$49:$W$49),0)),0)</f>
        <v>4.6654820499111543E-2</v>
      </c>
      <c r="DD326" s="899" cm="1">
        <f t="array" aca="1" ref="DD326" ca="1">_xlfn.IFNA(OFFSET($Y$49,MATCH($CZ326,$Y$50:$Y$63,0),MATCH($DA326,TRANSPOSE($Z$49:$AM$49),0)),0)</f>
        <v>0.32850000000000001</v>
      </c>
      <c r="DE326" s="899" cm="1">
        <f t="array" aca="1" ref="DE326" ca="1">_xlfn.IFNA(OFFSET($AO$49,MATCH($DA326,$AO$50:$AO$63,0),MATCH($DB326,TRANSPOSE($AP$49:$BC$49),0)),0)</f>
        <v>0.18090000000000001</v>
      </c>
      <c r="DF326" s="881">
        <f t="shared" ca="1" si="199"/>
        <v>2.7724930337930283E-3</v>
      </c>
      <c r="DG326" s="910">
        <f t="shared" ca="1" si="200"/>
        <v>1.3688916152634338</v>
      </c>
      <c r="DH326" s="881">
        <f t="shared" ca="1" si="201"/>
        <v>3.7952424673355564E-3</v>
      </c>
      <c r="DI326" s="1460">
        <f t="shared" ca="1" si="214"/>
        <v>1.1727299224066869</v>
      </c>
      <c r="DJ326" s="909">
        <f>_xlfn.IFNA(INDEX('Resource use and costs'!$CQ$11:$CQ$53,MATCH($CZ326,'Resource use and costs'!$BA$11:$BA$53,0)),0)*_xlfn.IFNA(INDEX(DY$10:DY$23,MATCH($CZ326,$DX$10:$DX$23,0)),0)</f>
        <v>4551.2486654444447</v>
      </c>
      <c r="DK326" s="909">
        <f>IF(dd_PartSA_2_lines = "Yes",0,_xlfn.IFNA(INDEX('Resource use and costs'!$CR$11:$CR$53,MATCH(DA326,'Resource use and costs'!$BA$11:$BA$53,0)),0)*_xlfn.IFNA(INDEX(EA$10:EA$23,MATCH($DA326,$DX$10:$DX$23,0)),0))</f>
        <v>50308.075122000002</v>
      </c>
      <c r="DL326" s="909">
        <f>IF(dd_PartSA_2_lines = "Yes",0,_xlfn.IFNA(INDEX('Resource use and costs'!$CS$11:$CS$53,MATCH(DB326,'Resource use and costs'!$BA$11:$BA$53,0)),0)*_xlfn.IFNA(INDEX(EC$10:EC$23,MATCH($DB326,$DX$10:$DX$23,0)),0))</f>
        <v>2915.4763433333328</v>
      </c>
      <c r="DM326" s="909">
        <f t="shared" si="203"/>
        <v>57774.800130777781</v>
      </c>
      <c r="DN326" s="909">
        <f>SUM(_xlfn.IFNA(INDEX('Resource use and costs'!$DU$12:$DU$25,MATCH(CZ326,'Resource use and costs'!$DS$12:$DS$25,0)),0),_xlfn.IFNA(INDEX('Resource use and costs'!$DU$12:$DU$25,MATCH(DA326,'Resource use and costs'!$DS$12:$DS$25,0)),0),_xlfn.IFNA(INDEX('Resource use and costs'!$DU$12:$DU$25,MATCH(DB326,'Resource use and costs'!$DS$12:$DS$25,0)),0))</f>
        <v>591.75</v>
      </c>
      <c r="DO326" s="921">
        <f>_xlfn.IFNA(INDEX('Resource use and costs'!$DY$12:$DY$25,MATCH(CZ326,'Resource use and costs'!$DS$12:$DS$25,0)),0)*_xlfn.IFNA(INDEX(DY$10:DY$23,MATCH($CZ326,$DX$10:$DX$23,0)),0)</f>
        <v>410.14183571428572</v>
      </c>
      <c r="DP326" s="921">
        <f>IF(dd_PartSA_2_lines = "Yes",0,_xlfn.IFNA(INDEX('Resource use and costs'!$DZ$12:$DZ$25,MATCH(DA326,'Resource use and costs'!$DS$12:$DS$25,0)),0)*_xlfn.IFNA(INDEX(EA$10:EA$23,MATCH($DA326,$DX$10:$DX$23,0)),0))</f>
        <v>461.1445457142857</v>
      </c>
      <c r="DQ326" s="921">
        <f>IF(dd_PartSA_2_lines = "Yes",0,_xlfn.IFNA(INDEX('Resource use and costs'!$EA$12:$EA$25,MATCH(DB326,'Resource use and costs'!$DS$12:$DS$25,0)),0)*_xlfn.IFNA(INDEX(EC$10:EC$23,MATCH($DB326,$DX$10:$DX$23,0)),0))</f>
        <v>256.11457142857142</v>
      </c>
      <c r="DR326" s="921">
        <f t="shared" si="204"/>
        <v>1719.1509528571428</v>
      </c>
      <c r="DS326" s="1004">
        <f ca="1">SUMIFS('Safety parameters'!$DM$6:$DM$18,'Safety parameters'!$DK$6:$DK$18,CZ326,'Safety parameters'!$DL$6:$DL$18,1)+IF(dd_PartSA_2_lines = "Yes",0,SUMIFS('Safety parameters'!$DM$6:$DM$18,'Safety parameters'!$DK$6:$DK$18,DA326,'Safety parameters'!$DL$6:$DL$18,2)+SUMIFS('Safety parameters'!$DM$6:$DM$18,'Safety parameters'!$DK$6:$DK$18,DB326,'Safety parameters'!$DL$6:$DL$18,2))</f>
        <v>1588.1329567113673</v>
      </c>
      <c r="DT326" s="910">
        <f ca="1">SUMIFS('Safety parameters'!$DO$6:$DO$18,'Safety parameters'!$DK$6:$DK$18,CZ326,'Safety parameters'!$DL$6:$DL$18,1)+IF(dd_PartSA_2_lines = "Yes",0,SUMIFS('Safety parameters'!$DO$6:$DO$18,'Safety parameters'!$DK$6:$DK$18,DA326,'Safety parameters'!$DL$6:$DL$18,2)+SUMIFS('Safety parameters'!$DO$6:$DO$18,'Safety parameters'!$DK$6:$DK$18,DB326,'Safety parameters'!$DL$6:$DL$18,2))</f>
        <v>-1.4734681547920282E-2</v>
      </c>
    </row>
    <row r="327" spans="89:124" ht="15" x14ac:dyDescent="0.2">
      <c r="CK327" s="61" t="s">
        <v>31</v>
      </c>
      <c r="CL327" s="61">
        <v>3</v>
      </c>
      <c r="CM327" s="61" t="str">
        <v>everolimus</v>
      </c>
      <c r="CN327" s="17">
        <v>10</v>
      </c>
      <c r="CO327" s="61" t="str" cm="1">
        <f t="array" ref="CO327">INDEX(List_comparators,CP326+1)</f>
        <v>pazopanib</v>
      </c>
      <c r="CP327" s="17">
        <v>5</v>
      </c>
      <c r="CQ327" s="601">
        <f t="shared" ca="1" si="211"/>
        <v>0</v>
      </c>
      <c r="CR327" s="601">
        <f t="shared" ca="1" si="212"/>
        <v>0</v>
      </c>
      <c r="CS327" s="671">
        <f t="shared" ca="1" si="215"/>
        <v>21.714285714285712</v>
      </c>
      <c r="CT327" s="671">
        <f t="shared" ca="1" si="213"/>
        <v>5.5785714285714283</v>
      </c>
      <c r="CU327" s="1123">
        <f>MATCH(CZ327,'Resource use and costs'!$BA$11:$BA$53,0)</f>
        <v>21</v>
      </c>
      <c r="CV327" s="1223"/>
      <c r="CW327" s="1241">
        <f t="shared" si="202"/>
        <v>1</v>
      </c>
      <c r="CX327" s="899" t="s">
        <v>773</v>
      </c>
      <c r="CY327" s="899" t="s">
        <v>581</v>
      </c>
      <c r="CZ327" s="899" t="s">
        <v>585</v>
      </c>
      <c r="DA327" s="899" t="s">
        <v>119</v>
      </c>
      <c r="DB327" s="899" t="s">
        <v>327</v>
      </c>
      <c r="DC327" s="899" cm="1">
        <f t="array" aca="1" ref="DC327" ca="1">_xlfn.IFNA(OFFSET($I$49,MATCH(CY327,$I$50:$I$63,0),MATCH(CZ327,TRANSPOSE($J$49:$W$49),0)),0)</f>
        <v>4.6654820499111543E-2</v>
      </c>
      <c r="DD327" s="899" cm="1">
        <f t="array" aca="1" ref="DD327" ca="1">_xlfn.IFNA(OFFSET($Y$49,MATCH($CZ327,$Y$50:$Y$63,0),MATCH($DA327,TRANSPOSE($Z$49:$AM$49),0)),0)</f>
        <v>0</v>
      </c>
      <c r="DE327" s="899" cm="1">
        <f t="array" aca="1" ref="DE327" ca="1">_xlfn.IFNA(OFFSET($AO$49,MATCH($DA327,$AO$50:$AO$63,0),MATCH($DB327,TRANSPOSE($AP$49:$BC$49),0)),0)</f>
        <v>0</v>
      </c>
      <c r="DF327" s="881">
        <f t="shared" ca="1" si="199"/>
        <v>0</v>
      </c>
      <c r="DG327" s="910">
        <f t="shared" ca="1" si="200"/>
        <v>1.3688916152634338</v>
      </c>
      <c r="DH327" s="881">
        <f t="shared" ca="1" si="201"/>
        <v>0</v>
      </c>
      <c r="DI327" s="1460">
        <f t="shared" ca="1" si="214"/>
        <v>0</v>
      </c>
      <c r="DJ327" s="909">
        <f>_xlfn.IFNA(INDEX('Resource use and costs'!$CQ$11:$CQ$53,MATCH($CZ327,'Resource use and costs'!$BA$11:$BA$53,0)),0)*_xlfn.IFNA(INDEX(DY$10:DY$23,MATCH($CZ327,$DX$10:$DX$23,0)),0)</f>
        <v>4551.2486654444447</v>
      </c>
      <c r="DK327" s="909">
        <f>IF(dd_PartSA_2_lines = "Yes",0,_xlfn.IFNA(INDEX('Resource use and costs'!$CR$11:$CR$53,MATCH(DA327,'Resource use and costs'!$BA$11:$BA$53,0)),0)*_xlfn.IFNA(INDEX(EA$10:EA$23,MATCH($DA327,$DX$10:$DX$23,0)),0))</f>
        <v>848.17532499999982</v>
      </c>
      <c r="DL327" s="909">
        <f>IF(dd_PartSA_2_lines = "Yes",0,_xlfn.IFNA(INDEX('Resource use and costs'!$CS$11:$CS$53,MATCH(DB327,'Resource use and costs'!$BA$11:$BA$53,0)),0)*_xlfn.IFNA(INDEX(EC$10:EC$23,MATCH($DB327,$DX$10:$DX$23,0)),0))</f>
        <v>18438.751749999999</v>
      </c>
      <c r="DM327" s="909">
        <f t="shared" si="203"/>
        <v>23838.175740444443</v>
      </c>
      <c r="DN327" s="909">
        <f>SUM(_xlfn.IFNA(INDEX('Resource use and costs'!$DU$12:$DU$25,MATCH(CZ327,'Resource use and costs'!$DS$12:$DS$25,0)),0),_xlfn.IFNA(INDEX('Resource use and costs'!$DU$12:$DU$25,MATCH(DA327,'Resource use and costs'!$DS$12:$DS$25,0)),0),_xlfn.IFNA(INDEX('Resource use and costs'!$DU$12:$DU$25,MATCH(DB327,'Resource use and costs'!$DS$12:$DS$25,0)),0))</f>
        <v>591.75</v>
      </c>
      <c r="DO327" s="921">
        <f>_xlfn.IFNA(INDEX('Resource use and costs'!$DY$12:$DY$25,MATCH(CZ327,'Resource use and costs'!$DS$12:$DS$25,0)),0)*_xlfn.IFNA(INDEX(DY$10:DY$23,MATCH($CZ327,$DX$10:$DX$23,0)),0)</f>
        <v>410.14183571428572</v>
      </c>
      <c r="DP327" s="921">
        <f>IF(dd_PartSA_2_lines = "Yes",0,_xlfn.IFNA(INDEX('Resource use and costs'!$DZ$12:$DZ$25,MATCH(DA327,'Resource use and costs'!$DS$12:$DS$25,0)),0)*_xlfn.IFNA(INDEX(EA$10:EA$23,MATCH($DA327,$DX$10:$DX$23,0)),0))</f>
        <v>74.50928571428571</v>
      </c>
      <c r="DQ327" s="921">
        <f>IF(dd_PartSA_2_lines = "Yes",0,_xlfn.IFNA(INDEX('Resource use and costs'!$EA$12:$EA$25,MATCH(DB327,'Resource use and costs'!$DS$12:$DS$25,0)),0)*_xlfn.IFNA(INDEX(EC$10:EC$23,MATCH($DB327,$DX$10:$DX$23,0)),0))</f>
        <v>230.68099999999998</v>
      </c>
      <c r="DR327" s="921">
        <f t="shared" si="204"/>
        <v>1307.0821214285713</v>
      </c>
      <c r="DS327" s="1004">
        <f ca="1">SUMIFS('Safety parameters'!$DM$6:$DM$18,'Safety parameters'!$DK$6:$DK$18,CZ327,'Safety parameters'!$DL$6:$DL$18,1)+IF(dd_PartSA_2_lines = "Yes",0,SUMIFS('Safety parameters'!$DM$6:$DM$18,'Safety parameters'!$DK$6:$DK$18,DA327,'Safety parameters'!$DL$6:$DL$18,2)+SUMIFS('Safety parameters'!$DM$6:$DM$18,'Safety parameters'!$DK$6:$DK$18,DB327,'Safety parameters'!$DL$6:$DL$18,2))</f>
        <v>2478.7123304734437</v>
      </c>
      <c r="DT327" s="910">
        <f ca="1">SUMIFS('Safety parameters'!$DO$6:$DO$18,'Safety parameters'!$DK$6:$DK$18,CZ327,'Safety parameters'!$DL$6:$DL$18,1)+IF(dd_PartSA_2_lines = "Yes",0,SUMIFS('Safety parameters'!$DO$6:$DO$18,'Safety parameters'!$DK$6:$DK$18,DA327,'Safety parameters'!$DL$6:$DL$18,2)+SUMIFS('Safety parameters'!$DO$6:$DO$18,'Safety parameters'!$DK$6:$DK$18,DB327,'Safety parameters'!$DL$6:$DL$18,2))</f>
        <v>-2.2454279199165771E-2</v>
      </c>
    </row>
    <row r="328" spans="89:124" ht="15" x14ac:dyDescent="0.2">
      <c r="CK328" s="61" t="s">
        <v>31</v>
      </c>
      <c r="CL328" s="61">
        <v>3</v>
      </c>
      <c r="CM328" s="61" t="str">
        <v>axitinib</v>
      </c>
      <c r="CN328" s="17">
        <v>11</v>
      </c>
      <c r="CO328" s="61" t="str" cm="1">
        <f t="array" ref="CO328">INDEX(List_comparators,CP327+1)</f>
        <v>pazopanib</v>
      </c>
      <c r="CP328" s="17">
        <v>5</v>
      </c>
      <c r="CQ328" s="601">
        <f t="shared" ca="1" si="211"/>
        <v>0</v>
      </c>
      <c r="CR328" s="601">
        <f t="shared" ca="1" si="212"/>
        <v>0</v>
      </c>
      <c r="CS328" s="671">
        <f t="shared" ca="1" si="215"/>
        <v>21.714285714285712</v>
      </c>
      <c r="CT328" s="671">
        <f t="shared" ca="1" si="213"/>
        <v>5.5785714285714283</v>
      </c>
      <c r="CU328" s="1123">
        <f>MATCH(CZ328,'Resource use and costs'!$BA$11:$BA$53,0)</f>
        <v>21</v>
      </c>
      <c r="CV328" s="1223"/>
      <c r="CW328" s="1241">
        <f t="shared" si="202"/>
        <v>1</v>
      </c>
      <c r="CX328" s="899" t="s">
        <v>773</v>
      </c>
      <c r="CY328" s="899" t="s">
        <v>581</v>
      </c>
      <c r="CZ328" s="899" t="s">
        <v>585</v>
      </c>
      <c r="DA328" s="899" t="s">
        <v>119</v>
      </c>
      <c r="DB328" s="899" t="s">
        <v>765</v>
      </c>
      <c r="DC328" s="899" cm="1">
        <f t="array" aca="1" ref="DC328" ca="1">_xlfn.IFNA(OFFSET($I$49,MATCH(CY328,$I$50:$I$63,0),MATCH(CZ328,TRANSPOSE($J$49:$W$49),0)),0)</f>
        <v>4.6654820499111543E-2</v>
      </c>
      <c r="DD328" s="899" cm="1">
        <f t="array" aca="1" ref="DD328" ca="1">_xlfn.IFNA(OFFSET($Y$49,MATCH($CZ328,$Y$50:$Y$63,0),MATCH($DA328,TRANSPOSE($Z$49:$AM$49),0)),0)</f>
        <v>0</v>
      </c>
      <c r="DE328" s="899" cm="1">
        <f t="array" aca="1" ref="DE328" ca="1">_xlfn.IFNA(OFFSET($AO$49,MATCH($DA328,$AO$50:$AO$63,0),MATCH($DB328,TRANSPOSE($AP$49:$BC$49),0)),0)</f>
        <v>1</v>
      </c>
      <c r="DF328" s="881">
        <f t="shared" ca="1" si="199"/>
        <v>0</v>
      </c>
      <c r="DG328" s="910">
        <f t="shared" ca="1" si="200"/>
        <v>1.3688916152634338</v>
      </c>
      <c r="DH328" s="881">
        <f t="shared" ca="1" si="201"/>
        <v>0</v>
      </c>
      <c r="DI328" s="1460">
        <f t="shared" ca="1" si="214"/>
        <v>0</v>
      </c>
      <c r="DJ328" s="909">
        <f>_xlfn.IFNA(INDEX('Resource use and costs'!$CQ$11:$CQ$53,MATCH($CZ328,'Resource use and costs'!$BA$11:$BA$53,0)),0)*_xlfn.IFNA(INDEX(DY$10:DY$23,MATCH($CZ328,$DX$10:$DX$23,0)),0)</f>
        <v>4551.2486654444447</v>
      </c>
      <c r="DK328" s="909">
        <f>IF(dd_PartSA_2_lines = "Yes",0,_xlfn.IFNA(INDEX('Resource use and costs'!$CR$11:$CR$53,MATCH(DA328,'Resource use and costs'!$BA$11:$BA$53,0)),0)*_xlfn.IFNA(INDEX(EA$10:EA$23,MATCH($DA328,$DX$10:$DX$23,0)),0))</f>
        <v>848.17532499999982</v>
      </c>
      <c r="DL328" s="909">
        <f>IF(dd_PartSA_2_lines = "Yes",0,_xlfn.IFNA(INDEX('Resource use and costs'!$CS$11:$CS$53,MATCH(DB328,'Resource use and costs'!$BA$11:$BA$53,0)),0)*_xlfn.IFNA(INDEX(EC$10:EC$23,MATCH($DB328,$DX$10:$DX$23,0)),0))</f>
        <v>0</v>
      </c>
      <c r="DM328" s="909">
        <f t="shared" si="203"/>
        <v>5399.4239904444448</v>
      </c>
      <c r="DN328" s="909">
        <f>SUM(_xlfn.IFNA(INDEX('Resource use and costs'!$DU$12:$DU$25,MATCH(CZ328,'Resource use and costs'!$DS$12:$DS$25,0)),0),_xlfn.IFNA(INDEX('Resource use and costs'!$DU$12:$DU$25,MATCH(DA328,'Resource use and costs'!$DS$12:$DS$25,0)),0),_xlfn.IFNA(INDEX('Resource use and costs'!$DU$12:$DU$25,MATCH(DB328,'Resource use and costs'!$DS$12:$DS$25,0)),0))</f>
        <v>394.5</v>
      </c>
      <c r="DO328" s="921">
        <f>_xlfn.IFNA(INDEX('Resource use and costs'!$DY$12:$DY$25,MATCH(CZ328,'Resource use and costs'!$DS$12:$DS$25,0)),0)*_xlfn.IFNA(INDEX(DY$10:DY$23,MATCH($CZ328,$DX$10:$DX$23,0)),0)</f>
        <v>410.14183571428572</v>
      </c>
      <c r="DP328" s="921">
        <f>IF(dd_PartSA_2_lines = "Yes",0,_xlfn.IFNA(INDEX('Resource use and costs'!$DZ$12:$DZ$25,MATCH(DA328,'Resource use and costs'!$DS$12:$DS$25,0)),0)*_xlfn.IFNA(INDEX(EA$10:EA$23,MATCH($DA328,$DX$10:$DX$23,0)),0))</f>
        <v>74.50928571428571</v>
      </c>
      <c r="DQ328" s="921">
        <f>IF(dd_PartSA_2_lines = "Yes",0,_xlfn.IFNA(INDEX('Resource use and costs'!$EA$12:$EA$25,MATCH(DB328,'Resource use and costs'!$DS$12:$DS$25,0)),0)*_xlfn.IFNA(INDEX(EC$10:EC$23,MATCH($DB328,$DX$10:$DX$23,0)),0))</f>
        <v>0</v>
      </c>
      <c r="DR328" s="921">
        <f t="shared" si="204"/>
        <v>879.1511214285714</v>
      </c>
      <c r="DS328" s="1004">
        <f ca="1">SUMIFS('Safety parameters'!$DM$6:$DM$18,'Safety parameters'!$DK$6:$DK$18,CZ328,'Safety parameters'!$DL$6:$DL$18,1)+IF(dd_PartSA_2_lines = "Yes",0,SUMIFS('Safety parameters'!$DM$6:$DM$18,'Safety parameters'!$DK$6:$DK$18,DA328,'Safety parameters'!$DL$6:$DL$18,2)+SUMIFS('Safety parameters'!$DM$6:$DM$18,'Safety parameters'!$DK$6:$DK$18,DB328,'Safety parameters'!$DL$6:$DL$18,2))</f>
        <v>844.48365690798391</v>
      </c>
      <c r="DT328" s="910">
        <f ca="1">SUMIFS('Safety parameters'!$DO$6:$DO$18,'Safety parameters'!$DK$6:$DK$18,CZ328,'Safety parameters'!$DL$6:$DL$18,1)+IF(dd_PartSA_2_lines = "Yes",0,SUMIFS('Safety parameters'!$DO$6:$DO$18,'Safety parameters'!$DK$6:$DK$18,DA328,'Safety parameters'!$DL$6:$DL$18,2)+SUMIFS('Safety parameters'!$DO$6:$DO$18,'Safety parameters'!$DK$6:$DK$18,DB328,'Safety parameters'!$DL$6:$DL$18,2))</f>
        <v>-7.7123551916843426E-3</v>
      </c>
    </row>
    <row r="329" spans="89:124" ht="15" x14ac:dyDescent="0.2">
      <c r="CK329" s="61" t="s">
        <v>31</v>
      </c>
      <c r="CL329" s="61">
        <v>3</v>
      </c>
      <c r="CM329" s="61" t="str">
        <v>sorafenib</v>
      </c>
      <c r="CN329" s="17">
        <v>12</v>
      </c>
      <c r="CO329" s="61" t="str" cm="1">
        <f t="array" ref="CO329">INDEX(List_comparators,CP328+1)</f>
        <v>pazopanib</v>
      </c>
      <c r="CP329" s="17">
        <v>5</v>
      </c>
      <c r="CQ329" s="601">
        <f t="shared" ca="1" si="211"/>
        <v>0</v>
      </c>
      <c r="CR329" s="601">
        <f t="shared" ca="1" si="212"/>
        <v>0</v>
      </c>
      <c r="CS329" s="671">
        <f t="shared" ca="1" si="215"/>
        <v>0</v>
      </c>
      <c r="CT329" s="671">
        <f t="shared" ca="1" si="213"/>
        <v>0</v>
      </c>
      <c r="CU329" s="1123">
        <f>MATCH(CZ329,'Resource use and costs'!$BA$11:$BA$53,0)</f>
        <v>21</v>
      </c>
      <c r="CV329" s="1223"/>
      <c r="CW329" s="1241">
        <f t="shared" si="202"/>
        <v>1</v>
      </c>
      <c r="CX329" s="899" t="s">
        <v>773</v>
      </c>
      <c r="CY329" s="899" t="s">
        <v>581</v>
      </c>
      <c r="CZ329" s="899" t="s">
        <v>585</v>
      </c>
      <c r="DA329" s="899" t="s">
        <v>333</v>
      </c>
      <c r="DB329" s="899" t="s">
        <v>327</v>
      </c>
      <c r="DC329" s="899" cm="1">
        <f t="array" aca="1" ref="DC329" ca="1">_xlfn.IFNA(OFFSET($I$49,MATCH(CY329,$I$50:$I$63,0),MATCH(CZ329,TRANSPOSE($J$49:$W$49),0)),0)</f>
        <v>4.6654820499111543E-2</v>
      </c>
      <c r="DD329" s="899" cm="1">
        <f t="array" aca="1" ref="DD329" ca="1">_xlfn.IFNA(OFFSET($Y$49,MATCH($CZ329,$Y$50:$Y$63,0),MATCH($DA329,TRANSPOSE($Z$49:$AM$49),0)),0)</f>
        <v>0.16420000000000001</v>
      </c>
      <c r="DE329" s="899" cm="1">
        <f t="array" aca="1" ref="DE329" ca="1">_xlfn.IFNA(OFFSET($AO$49,MATCH($DA329,$AO$50:$AO$63,0),MATCH($DB329,TRANSPOSE($AP$49:$BC$49),0)),0)</f>
        <v>0.56859999999999999</v>
      </c>
      <c r="DF329" s="881">
        <f t="shared" ca="1" si="199"/>
        <v>4.3558862596575106E-3</v>
      </c>
      <c r="DG329" s="910">
        <f t="shared" ca="1" si="200"/>
        <v>1.3688916152634338</v>
      </c>
      <c r="DH329" s="881">
        <f t="shared" ca="1" si="201"/>
        <v>5.9627361778863668E-3</v>
      </c>
      <c r="DI329" s="1460">
        <f t="shared" ca="1" si="214"/>
        <v>1.8424854789668874</v>
      </c>
      <c r="DJ329" s="909">
        <f>_xlfn.IFNA(INDEX('Resource use and costs'!$CQ$11:$CQ$53,MATCH($CZ329,'Resource use and costs'!$BA$11:$BA$53,0)),0)*_xlfn.IFNA(INDEX(DY$10:DY$23,MATCH($CZ329,$DX$10:$DX$23,0)),0)</f>
        <v>4551.2486654444447</v>
      </c>
      <c r="DK329" s="909">
        <f>IF(dd_PartSA_2_lines = "Yes",0,_xlfn.IFNA(INDEX('Resource use and costs'!$CR$11:$CR$53,MATCH(DA329,'Resource use and costs'!$BA$11:$BA$53,0)),0)*_xlfn.IFNA(INDEX(EA$10:EA$23,MATCH($DA329,$DX$10:$DX$23,0)),0))</f>
        <v>24337.716731999997</v>
      </c>
      <c r="DL329" s="909">
        <f>IF(dd_PartSA_2_lines = "Yes",0,_xlfn.IFNA(INDEX('Resource use and costs'!$CS$11:$CS$53,MATCH(DB329,'Resource use and costs'!$BA$11:$BA$53,0)),0)*_xlfn.IFNA(INDEX(EC$10:EC$23,MATCH($DB329,$DX$10:$DX$23,0)),0))</f>
        <v>18438.751749999999</v>
      </c>
      <c r="DM329" s="909">
        <f t="shared" si="203"/>
        <v>47327.71714744444</v>
      </c>
      <c r="DN329" s="909">
        <f>SUM(_xlfn.IFNA(INDEX('Resource use and costs'!$DU$12:$DU$25,MATCH(CZ329,'Resource use and costs'!$DS$12:$DS$25,0)),0),_xlfn.IFNA(INDEX('Resource use and costs'!$DU$12:$DU$25,MATCH(DA329,'Resource use and costs'!$DS$12:$DS$25,0)),0),_xlfn.IFNA(INDEX('Resource use and costs'!$DU$12:$DU$25,MATCH(DB329,'Resource use and costs'!$DS$12:$DS$25,0)),0))</f>
        <v>591.75</v>
      </c>
      <c r="DO329" s="921">
        <f>_xlfn.IFNA(INDEX('Resource use and costs'!$DY$12:$DY$25,MATCH(CZ329,'Resource use and costs'!$DS$12:$DS$25,0)),0)*_xlfn.IFNA(INDEX(DY$10:DY$23,MATCH($CZ329,$DX$10:$DX$23,0)),0)</f>
        <v>410.14183571428572</v>
      </c>
      <c r="DP329" s="921">
        <f>IF(dd_PartSA_2_lines = "Yes",0,_xlfn.IFNA(INDEX('Resource use and costs'!$DZ$12:$DZ$25,MATCH(DA329,'Resource use and costs'!$DS$12:$DS$25,0)),0)*_xlfn.IFNA(INDEX(EA$10:EA$23,MATCH($DA329,$DX$10:$DX$23,0)),0))</f>
        <v>363.04714285714283</v>
      </c>
      <c r="DQ329" s="921">
        <f>IF(dd_PartSA_2_lines = "Yes",0,_xlfn.IFNA(INDEX('Resource use and costs'!$EA$12:$EA$25,MATCH(DB329,'Resource use and costs'!$DS$12:$DS$25,0)),0)*_xlfn.IFNA(INDEX(EC$10:EC$23,MATCH($DB329,$DX$10:$DX$23,0)),0))</f>
        <v>230.68099999999998</v>
      </c>
      <c r="DR329" s="921">
        <f t="shared" si="204"/>
        <v>1595.6199785714284</v>
      </c>
      <c r="DS329" s="1004">
        <f ca="1">SUMIFS('Safety parameters'!$DM$6:$DM$18,'Safety parameters'!$DK$6:$DK$18,CZ329,'Safety parameters'!$DL$6:$DL$18,1)+IF(dd_PartSA_2_lines = "Yes",0,SUMIFS('Safety parameters'!$DM$6:$DM$18,'Safety parameters'!$DK$6:$DK$18,DA329,'Safety parameters'!$DL$6:$DL$18,2)+SUMIFS('Safety parameters'!$DM$6:$DM$18,'Safety parameters'!$DK$6:$DK$18,DB329,'Safety parameters'!$DL$6:$DL$18,2))</f>
        <v>3088.7075678811343</v>
      </c>
      <c r="DT329" s="910">
        <f ca="1">SUMIFS('Safety parameters'!$DO$6:$DO$18,'Safety parameters'!$DK$6:$DK$18,CZ329,'Safety parameters'!$DL$6:$DL$18,1)+IF(dd_PartSA_2_lines = "Yes",0,SUMIFS('Safety parameters'!$DO$6:$DO$18,'Safety parameters'!$DK$6:$DK$18,DA329,'Safety parameters'!$DL$6:$DL$18,2)+SUMIFS('Safety parameters'!$DO$6:$DO$18,'Safety parameters'!$DK$6:$DK$18,DB329,'Safety parameters'!$DL$6:$DL$18,2))</f>
        <v>-2.942945634414354E-2</v>
      </c>
    </row>
    <row r="330" spans="89:124" ht="15.75" thickBot="1" x14ac:dyDescent="0.25">
      <c r="CK330" s="506" t="s">
        <v>31</v>
      </c>
      <c r="CL330" s="506">
        <v>3</v>
      </c>
      <c r="CM330" s="506" t="str">
        <v>placebo_BSC</v>
      </c>
      <c r="CN330" s="19">
        <v>999</v>
      </c>
      <c r="CO330" s="506" t="str" cm="1">
        <f t="array" ref="CO330">INDEX(List_comparators,CP317+1)</f>
        <v>pazopanib</v>
      </c>
      <c r="CP330" s="19">
        <v>5</v>
      </c>
      <c r="CQ330" s="602">
        <f t="shared" ca="1" si="211"/>
        <v>0</v>
      </c>
      <c r="CR330" s="602">
        <f t="shared" ca="1" si="212"/>
        <v>0</v>
      </c>
      <c r="CS330" s="670">
        <v>0</v>
      </c>
      <c r="CT330" s="670">
        <f t="shared" ca="1" si="213"/>
        <v>0</v>
      </c>
      <c r="CU330" s="1123">
        <f>MATCH(CZ330,'Resource use and costs'!$BA$11:$BA$53,0)</f>
        <v>21</v>
      </c>
      <c r="CV330" s="1223"/>
      <c r="CW330" s="1241">
        <f t="shared" si="202"/>
        <v>1</v>
      </c>
      <c r="CX330" s="899" t="s">
        <v>773</v>
      </c>
      <c r="CY330" s="899" t="s">
        <v>581</v>
      </c>
      <c r="CZ330" s="899" t="s">
        <v>585</v>
      </c>
      <c r="DA330" s="899" t="s">
        <v>333</v>
      </c>
      <c r="DB330" s="899" t="s">
        <v>765</v>
      </c>
      <c r="DC330" s="899" cm="1">
        <f t="array" aca="1" ref="DC330" ca="1">_xlfn.IFNA(OFFSET($I$49,MATCH(CY330,$I$50:$I$63,0),MATCH(CZ330,TRANSPOSE($J$49:$W$49),0)),0)</f>
        <v>4.6654820499111543E-2</v>
      </c>
      <c r="DD330" s="899" cm="1">
        <f t="array" aca="1" ref="DD330" ca="1">_xlfn.IFNA(OFFSET($Y$49,MATCH($CZ330,$Y$50:$Y$63,0),MATCH($DA330,TRANSPOSE($Z$49:$AM$49),0)),0)</f>
        <v>0.16420000000000001</v>
      </c>
      <c r="DE330" s="899" cm="1">
        <f t="array" aca="1" ref="DE330" ca="1">_xlfn.IFNA(OFFSET($AO$49,MATCH($DA330,$AO$50:$AO$63,0),MATCH($DB330,TRANSPOSE($AP$49:$BC$49),0)),0)</f>
        <v>0.43140000000000001</v>
      </c>
      <c r="DF330" s="881">
        <f t="shared" ca="1" si="199"/>
        <v>3.3048352662966058E-3</v>
      </c>
      <c r="DG330" s="910">
        <f t="shared" ca="1" si="200"/>
        <v>1.3688916152634338</v>
      </c>
      <c r="DH330" s="881">
        <f t="shared" ca="1" si="201"/>
        <v>4.5239612858603215E-3</v>
      </c>
      <c r="DI330" s="1460">
        <f t="shared" ca="1" si="214"/>
        <v>1.3979040373308393</v>
      </c>
      <c r="DJ330" s="909">
        <f>_xlfn.IFNA(INDEX('Resource use and costs'!$CQ$11:$CQ$53,MATCH($CZ330,'Resource use and costs'!$BA$11:$BA$53,0)),0)*_xlfn.IFNA(INDEX(DY$10:DY$23,MATCH($CZ330,$DX$10:$DX$23,0)),0)</f>
        <v>4551.2486654444447</v>
      </c>
      <c r="DK330" s="909">
        <f>IF(dd_PartSA_2_lines = "Yes",0,_xlfn.IFNA(INDEX('Resource use and costs'!$CR$11:$CR$53,MATCH(DA330,'Resource use and costs'!$BA$11:$BA$53,0)),0)*_xlfn.IFNA(INDEX(EA$10:EA$23,MATCH($DA330,$DX$10:$DX$23,0)),0))</f>
        <v>24337.716731999997</v>
      </c>
      <c r="DL330" s="909">
        <f>IF(dd_PartSA_2_lines = "Yes",0,_xlfn.IFNA(INDEX('Resource use and costs'!$CS$11:$CS$53,MATCH(DB330,'Resource use and costs'!$BA$11:$BA$53,0)),0)*_xlfn.IFNA(INDEX(EC$10:EC$23,MATCH($DB330,$DX$10:$DX$23,0)),0))</f>
        <v>0</v>
      </c>
      <c r="DM330" s="909">
        <f t="shared" si="203"/>
        <v>28888.965397444441</v>
      </c>
      <c r="DN330" s="909">
        <f>SUM(_xlfn.IFNA(INDEX('Resource use and costs'!$DU$12:$DU$25,MATCH(CZ330,'Resource use and costs'!$DS$12:$DS$25,0)),0),_xlfn.IFNA(INDEX('Resource use and costs'!$DU$12:$DU$25,MATCH(DA330,'Resource use and costs'!$DS$12:$DS$25,0)),0),_xlfn.IFNA(INDEX('Resource use and costs'!$DU$12:$DU$25,MATCH(DB330,'Resource use and costs'!$DS$12:$DS$25,0)),0))</f>
        <v>394.5</v>
      </c>
      <c r="DO330" s="921">
        <f>_xlfn.IFNA(INDEX('Resource use and costs'!$DY$12:$DY$25,MATCH(CZ330,'Resource use and costs'!$DS$12:$DS$25,0)),0)*_xlfn.IFNA(INDEX(DY$10:DY$23,MATCH($CZ330,$DX$10:$DX$23,0)),0)</f>
        <v>410.14183571428572</v>
      </c>
      <c r="DP330" s="921">
        <f>IF(dd_PartSA_2_lines = "Yes",0,_xlfn.IFNA(INDEX('Resource use and costs'!$DZ$12:$DZ$25,MATCH(DA330,'Resource use and costs'!$DS$12:$DS$25,0)),0)*_xlfn.IFNA(INDEX(EA$10:EA$23,MATCH($DA330,$DX$10:$DX$23,0)),0))</f>
        <v>363.04714285714283</v>
      </c>
      <c r="DQ330" s="921">
        <f>IF(dd_PartSA_2_lines = "Yes",0,_xlfn.IFNA(INDEX('Resource use and costs'!$EA$12:$EA$25,MATCH(DB330,'Resource use and costs'!$DS$12:$DS$25,0)),0)*_xlfn.IFNA(INDEX(EC$10:EC$23,MATCH($DB330,$DX$10:$DX$23,0)),0))</f>
        <v>0</v>
      </c>
      <c r="DR330" s="921">
        <f t="shared" si="204"/>
        <v>1167.6889785714284</v>
      </c>
      <c r="DS330" s="1004">
        <f ca="1">SUMIFS('Safety parameters'!$DM$6:$DM$18,'Safety parameters'!$DK$6:$DK$18,CZ330,'Safety parameters'!$DL$6:$DL$18,1)+IF(dd_PartSA_2_lines = "Yes",0,SUMIFS('Safety parameters'!$DM$6:$DM$18,'Safety parameters'!$DK$6:$DK$18,DA330,'Safety parameters'!$DL$6:$DL$18,2)+SUMIFS('Safety parameters'!$DM$6:$DM$18,'Safety parameters'!$DK$6:$DK$18,DB330,'Safety parameters'!$DL$6:$DL$18,2))</f>
        <v>1454.4788943156748</v>
      </c>
      <c r="DT330" s="910">
        <f ca="1">SUMIFS('Safety parameters'!$DO$6:$DO$18,'Safety parameters'!$DK$6:$DK$18,CZ330,'Safety parameters'!$DL$6:$DL$18,1)+IF(dd_PartSA_2_lines = "Yes",0,SUMIFS('Safety parameters'!$DO$6:$DO$18,'Safety parameters'!$DK$6:$DK$18,DA330,'Safety parameters'!$DL$6:$DL$18,2)+SUMIFS('Safety parameters'!$DO$6:$DO$18,'Safety parameters'!$DK$6:$DK$18,DB330,'Safety parameters'!$DL$6:$DL$18,2))</f>
        <v>-1.4687532336662111E-2</v>
      </c>
    </row>
    <row r="331" spans="89:124" ht="15" x14ac:dyDescent="0.2">
      <c r="CK331" s="505" t="s">
        <v>31</v>
      </c>
      <c r="CL331" s="505">
        <v>3</v>
      </c>
      <c r="CM331" s="61" t="str" cm="1">
        <f t="array" ref="CM331:CM344">List_comparators</f>
        <v>nivolumab_monotherapy</v>
      </c>
      <c r="CN331" s="17">
        <v>0</v>
      </c>
      <c r="CO331" s="61" t="str" cm="1">
        <f t="array" ref="CO331">INDEX(List_comparators,CP331+1)</f>
        <v>tivozanib</v>
      </c>
      <c r="CP331" s="17">
        <v>6</v>
      </c>
      <c r="CQ331" s="603">
        <f t="shared" ca="1" si="211"/>
        <v>0</v>
      </c>
      <c r="CR331" s="603">
        <f t="shared" ca="1" si="212"/>
        <v>0</v>
      </c>
      <c r="CS331" s="671">
        <f t="shared" ref="CS331:CS343" ca="1" si="216">OFFSET($Z$81,IF(CN331=999,13,CN331),CP331)</f>
        <v>21.714285714285712</v>
      </c>
      <c r="CT331" s="671">
        <f t="shared" ca="1" si="213"/>
        <v>5.5785714285714283</v>
      </c>
      <c r="CU331" s="1123">
        <f>MATCH(CZ331,'Resource use and costs'!$BA$11:$BA$53,0)</f>
        <v>27</v>
      </c>
      <c r="CV331" s="1223"/>
      <c r="CW331" s="1241">
        <f t="shared" si="202"/>
        <v>1</v>
      </c>
      <c r="CX331" s="899" t="s">
        <v>773</v>
      </c>
      <c r="CY331" s="899" t="s">
        <v>581</v>
      </c>
      <c r="CZ331" s="899" t="s">
        <v>117</v>
      </c>
      <c r="DA331" s="899" t="s">
        <v>327</v>
      </c>
      <c r="DB331" s="899" t="s">
        <v>765</v>
      </c>
      <c r="DC331" s="899" cm="1">
        <f t="array" aca="1" ref="DC331" ca="1">_xlfn.IFNA(OFFSET($I$49,MATCH(CY331,$I$50:$I$63,0),MATCH(CZ331,TRANSPOSE($J$49:$W$49),0)),0)</f>
        <v>7.7722689604201728E-2</v>
      </c>
      <c r="DD331" s="899" cm="1">
        <f t="array" aca="1" ref="DD331" ca="1">_xlfn.IFNA(OFFSET($Y$49,MATCH($CZ331,$Y$50:$Y$63,0),MATCH($DA331,TRANSPOSE($Z$49:$AM$49),0)),0)</f>
        <v>0</v>
      </c>
      <c r="DE331" s="899" cm="1">
        <f t="array" aca="1" ref="DE331" ca="1">_xlfn.IFNA(OFFSET($AO$49,MATCH($DA331,$AO$50:$AO$63,0),MATCH($DB331,TRANSPOSE($AP$49:$BC$49),0)),0)</f>
        <v>0.43140000000000001</v>
      </c>
      <c r="DF331" s="881">
        <f t="shared" ref="DF331:DF401" ca="1" si="217">IF(AND(ISBLANK(DA331),ISBLANK(DA331)),DC331,IF(ISBLANK(DB331),DC331*DD331,DC331*DD331*DE331))</f>
        <v>0</v>
      </c>
      <c r="DG331" s="910">
        <f t="shared" ref="DG331:DG394" ca="1" si="218">IF(dd_reduceBSC="No",(1-SUMIFS($DF$11:$DF$779,$CY$11:$CY$779,CY331,$CX$11:$CX$779,CX331,$CW$11:$CW$779,0))/SUMIFS($DF$11:$DF$779,$CY$11:$CY$779,CY331,$CX$11:$CX$779,CX331,$CW$11:$CW$779,1),1/SUMIFS($DF$11:$DF$779,$CY$11:$CY$779,CY331,$CX$11:$CX$779,CX331,$CW$11:$CW$779,1))</f>
        <v>1.3688916152634338</v>
      </c>
      <c r="DH331" s="881">
        <f t="shared" ref="DH331:DH401" ca="1" si="219">IF(CZ331="BSC",IF(dd_reduceBSC="No",DF331,0),DF331*DG331)</f>
        <v>0</v>
      </c>
      <c r="DI331" s="1460">
        <f t="shared" ca="1" si="214"/>
        <v>0</v>
      </c>
      <c r="DJ331" s="909">
        <f>_xlfn.IFNA(INDEX('Resource use and costs'!$CQ$11:$CQ$53,MATCH($CZ331,'Resource use and costs'!$BA$11:$BA$53,0)),0)*_xlfn.IFNA(INDEX(DY$10:DY$23,MATCH($CZ331,$DX$10:$DX$23,0)),0)</f>
        <v>2860.9927072190476</v>
      </c>
      <c r="DK331" s="909">
        <f>IF(dd_PartSA_2_lines = "Yes",0,_xlfn.IFNA(INDEX('Resource use and costs'!$CR$11:$CR$53,MATCH(DA331,'Resource use and costs'!$BA$11:$BA$53,0)),0)*_xlfn.IFNA(INDEX(EA$10:EA$23,MATCH($DA331,$DX$10:$DX$23,0)),0))</f>
        <v>21421.066008214286</v>
      </c>
      <c r="DL331" s="909">
        <f>IF(dd_PartSA_2_lines = "Yes",0,_xlfn.IFNA(INDEX('Resource use and costs'!$CS$11:$CS$53,MATCH(DB331,'Resource use and costs'!$BA$11:$BA$53,0)),0)*_xlfn.IFNA(INDEX(EC$10:EC$23,MATCH($DB331,$DX$10:$DX$23,0)),0))</f>
        <v>0</v>
      </c>
      <c r="DM331" s="909">
        <f t="shared" si="203"/>
        <v>24282.058715433333</v>
      </c>
      <c r="DN331" s="909">
        <f>SUM(_xlfn.IFNA(INDEX('Resource use and costs'!$DU$12:$DU$25,MATCH(CZ331,'Resource use and costs'!$DS$12:$DS$25,0)),0),_xlfn.IFNA(INDEX('Resource use and costs'!$DU$12:$DU$25,MATCH(DA331,'Resource use and costs'!$DS$12:$DS$25,0)),0),_xlfn.IFNA(INDEX('Resource use and costs'!$DU$12:$DU$25,MATCH(DB331,'Resource use and costs'!$DS$12:$DS$25,0)),0))</f>
        <v>394.5</v>
      </c>
      <c r="DO331" s="921">
        <f>_xlfn.IFNA(INDEX('Resource use and costs'!$DY$12:$DY$25,MATCH(CZ331,'Resource use and costs'!$DS$12:$DS$25,0)),0)*_xlfn.IFNA(INDEX(DY$10:DY$23,MATCH($CZ331,$DX$10:$DX$23,0)),0)</f>
        <v>405.17019714285709</v>
      </c>
      <c r="DP331" s="921">
        <f>IF(dd_PartSA_2_lines = "Yes",0,_xlfn.IFNA(INDEX('Resource use and costs'!$DZ$12:$DZ$25,MATCH(DA331,'Resource use and costs'!$DS$12:$DS$25,0)),0)*_xlfn.IFNA(INDEX(EA$10:EA$23,MATCH($DA331,$DX$10:$DX$23,0)),0))</f>
        <v>267.99172714285714</v>
      </c>
      <c r="DQ331" s="921">
        <f>IF(dd_PartSA_2_lines = "Yes",0,_xlfn.IFNA(INDEX('Resource use and costs'!$EA$12:$EA$25,MATCH(DB331,'Resource use and costs'!$DS$12:$DS$25,0)),0)*_xlfn.IFNA(INDEX(EC$10:EC$23,MATCH($DB331,$DX$10:$DX$23,0)),0))</f>
        <v>0</v>
      </c>
      <c r="DR331" s="921">
        <f t="shared" si="204"/>
        <v>1067.6619242857141</v>
      </c>
      <c r="DS331" s="1004">
        <f ca="1">SUMIFS('Safety parameters'!$DM$6:$DM$18,'Safety parameters'!$DK$6:$DK$18,CZ331,'Safety parameters'!$DL$6:$DL$18,1)+IF(dd_PartSA_2_lines = "Yes",0,SUMIFS('Safety parameters'!$DM$6:$DM$18,'Safety parameters'!$DK$6:$DK$18,DA331,'Safety parameters'!$DL$6:$DL$18,2)+SUMIFS('Safety parameters'!$DM$6:$DM$18,'Safety parameters'!$DK$6:$DK$18,DB331,'Safety parameters'!$DL$6:$DL$18,2))</f>
        <v>2238.0420485654599</v>
      </c>
      <c r="DT331" s="910">
        <f ca="1">SUMIFS('Safety parameters'!$DO$6:$DO$18,'Safety parameters'!$DK$6:$DK$18,CZ331,'Safety parameters'!$DL$6:$DL$18,1)+IF(dd_PartSA_2_lines = "Yes",0,SUMIFS('Safety parameters'!$DO$6:$DO$18,'Safety parameters'!$DK$6:$DK$18,DA331,'Safety parameters'!$DL$6:$DL$18,2)+SUMIFS('Safety parameters'!$DO$6:$DO$18,'Safety parameters'!$DK$6:$DK$18,DB331,'Safety parameters'!$DL$6:$DL$18,2))</f>
        <v>-2.0168002036228861E-2</v>
      </c>
    </row>
    <row r="332" spans="89:124" ht="15" x14ac:dyDescent="0.2">
      <c r="CK332" s="61" t="s">
        <v>31</v>
      </c>
      <c r="CL332" s="61">
        <v>3</v>
      </c>
      <c r="CM332" s="61" t="str">
        <v>cabozantinib_plus_nivolumab</v>
      </c>
      <c r="CN332" s="17">
        <v>1</v>
      </c>
      <c r="CO332" s="61" t="str" cm="1">
        <f t="array" ref="CO332">INDEX(List_comparators,CP331+1)</f>
        <v>tivozanib</v>
      </c>
      <c r="CP332" s="17">
        <v>6</v>
      </c>
      <c r="CQ332" s="601">
        <f t="shared" ca="1" si="211"/>
        <v>0</v>
      </c>
      <c r="CR332" s="601">
        <f t="shared" ca="1" si="212"/>
        <v>0</v>
      </c>
      <c r="CS332" s="671">
        <f t="shared" ca="1" si="216"/>
        <v>21.714285714285712</v>
      </c>
      <c r="CT332" s="671">
        <f t="shared" ca="1" si="213"/>
        <v>5.5785714285714283</v>
      </c>
      <c r="CU332" s="1123">
        <f>MATCH(CZ332,'Resource use and costs'!$BA$11:$BA$53,0)</f>
        <v>27</v>
      </c>
      <c r="CV332" s="1223"/>
      <c r="CW332" s="1241">
        <f t="shared" ref="CW332:CW395" si="220">IF(CZ332="BSC",0,1)</f>
        <v>1</v>
      </c>
      <c r="CX332" s="899" t="s">
        <v>773</v>
      </c>
      <c r="CY332" s="899" t="s">
        <v>581</v>
      </c>
      <c r="CZ332" s="899" t="s">
        <v>117</v>
      </c>
      <c r="DA332" s="899" t="s">
        <v>327</v>
      </c>
      <c r="DB332" s="899" t="s">
        <v>119</v>
      </c>
      <c r="DC332" s="899" cm="1">
        <f t="array" aca="1" ref="DC332" ca="1">_xlfn.IFNA(OFFSET($I$49,MATCH(CY332,$I$50:$I$63,0),MATCH(CZ332,TRANSPOSE($J$49:$W$49),0)),0)</f>
        <v>7.7722689604201728E-2</v>
      </c>
      <c r="DD332" s="899" cm="1">
        <f t="array" aca="1" ref="DD332" ca="1">_xlfn.IFNA(OFFSET($Y$49,MATCH($CZ332,$Y$50:$Y$63,0),MATCH($DA332,TRANSPOSE($Z$49:$AM$49),0)),0)</f>
        <v>0</v>
      </c>
      <c r="DE332" s="899" cm="1">
        <f t="array" aca="1" ref="DE332" ca="1">_xlfn.IFNA(OFFSET($AO$49,MATCH($DA332,$AO$50:$AO$63,0),MATCH($DB332,TRANSPOSE($AP$49:$BC$49),0)),0)</f>
        <v>0.56859999999999999</v>
      </c>
      <c r="DF332" s="881">
        <f t="shared" ca="1" si="217"/>
        <v>0</v>
      </c>
      <c r="DG332" s="910">
        <f t="shared" ca="1" si="218"/>
        <v>1.3688916152634338</v>
      </c>
      <c r="DH332" s="881">
        <f t="shared" ca="1" si="219"/>
        <v>0</v>
      </c>
      <c r="DI332" s="1460">
        <f t="shared" ca="1" si="214"/>
        <v>0</v>
      </c>
      <c r="DJ332" s="909">
        <f>_xlfn.IFNA(INDEX('Resource use and costs'!$CQ$11:$CQ$53,MATCH($CZ332,'Resource use and costs'!$BA$11:$BA$53,0)),0)*_xlfn.IFNA(INDEX(DY$10:DY$23,MATCH($CZ332,$DX$10:$DX$23,0)),0)</f>
        <v>2860.9927072190476</v>
      </c>
      <c r="DK332" s="909">
        <f>IF(dd_PartSA_2_lines = "Yes",0,_xlfn.IFNA(INDEX('Resource use and costs'!$CR$11:$CR$53,MATCH(DA332,'Resource use and costs'!$BA$11:$BA$53,0)),0)*_xlfn.IFNA(INDEX(EA$10:EA$23,MATCH($DA332,$DX$10:$DX$23,0)),0))</f>
        <v>21421.066008214286</v>
      </c>
      <c r="DL332" s="909">
        <f>IF(dd_PartSA_2_lines = "Yes",0,_xlfn.IFNA(INDEX('Resource use and costs'!$CS$11:$CS$53,MATCH(DB332,'Resource use and costs'!$BA$11:$BA$53,0)),0)*_xlfn.IFNA(INDEX(EC$10:EC$23,MATCH($DB332,$DX$10:$DX$23,0)),0))</f>
        <v>2915.4763433333328</v>
      </c>
      <c r="DM332" s="909">
        <f t="shared" ref="DM332:DM402" si="221">SUM(DJ332:DL332)</f>
        <v>27197.535058766665</v>
      </c>
      <c r="DN332" s="909">
        <f>SUM(_xlfn.IFNA(INDEX('Resource use and costs'!$DU$12:$DU$25,MATCH(CZ332,'Resource use and costs'!$DS$12:$DS$25,0)),0),_xlfn.IFNA(INDEX('Resource use and costs'!$DU$12:$DU$25,MATCH(DA332,'Resource use and costs'!$DS$12:$DS$25,0)),0),_xlfn.IFNA(INDEX('Resource use and costs'!$DU$12:$DU$25,MATCH(DB332,'Resource use and costs'!$DS$12:$DS$25,0)),0))</f>
        <v>591.75</v>
      </c>
      <c r="DO332" s="921">
        <f>_xlfn.IFNA(INDEX('Resource use and costs'!$DY$12:$DY$25,MATCH(CZ332,'Resource use and costs'!$DS$12:$DS$25,0)),0)*_xlfn.IFNA(INDEX(DY$10:DY$23,MATCH($CZ332,$DX$10:$DX$23,0)),0)</f>
        <v>405.17019714285709</v>
      </c>
      <c r="DP332" s="921">
        <f>IF(dd_PartSA_2_lines = "Yes",0,_xlfn.IFNA(INDEX('Resource use and costs'!$DZ$12:$DZ$25,MATCH(DA332,'Resource use and costs'!$DS$12:$DS$25,0)),0)*_xlfn.IFNA(INDEX(EA$10:EA$23,MATCH($DA332,$DX$10:$DX$23,0)),0))</f>
        <v>267.99172714285714</v>
      </c>
      <c r="DQ332" s="921">
        <f>IF(dd_PartSA_2_lines = "Yes",0,_xlfn.IFNA(INDEX('Resource use and costs'!$EA$12:$EA$25,MATCH(DB332,'Resource use and costs'!$DS$12:$DS$25,0)),0)*_xlfn.IFNA(INDEX(EC$10:EC$23,MATCH($DB332,$DX$10:$DX$23,0)),0))</f>
        <v>256.11457142857142</v>
      </c>
      <c r="DR332" s="921">
        <f t="shared" ref="DR332:DR402" si="222">SUM(DN332:DQ332)</f>
        <v>1521.0264957142856</v>
      </c>
      <c r="DS332" s="1004">
        <f ca="1">SUMIFS('Safety parameters'!$DM$6:$DM$18,'Safety parameters'!$DK$6:$DK$18,CZ332,'Safety parameters'!$DL$6:$DL$18,1)+IF(dd_PartSA_2_lines = "Yes",0,SUMIFS('Safety parameters'!$DM$6:$DM$18,'Safety parameters'!$DK$6:$DK$18,DA332,'Safety parameters'!$DL$6:$DL$18,2)+SUMIFS('Safety parameters'!$DM$6:$DM$18,'Safety parameters'!$DK$6:$DK$18,DB332,'Safety parameters'!$DL$6:$DL$18,2))</f>
        <v>2570.9174319407748</v>
      </c>
      <c r="DT332" s="910">
        <f ca="1">SUMIFS('Safety parameters'!$DO$6:$DO$18,'Safety parameters'!$DK$6:$DK$18,CZ332,'Safety parameters'!$DL$6:$DL$18,1)+IF(dd_PartSA_2_lines = "Yes",0,SUMIFS('Safety parameters'!$DO$6:$DO$18,'Safety parameters'!$DK$6:$DK$18,DA332,'Safety parameters'!$DL$6:$DL$18,2)+SUMIFS('Safety parameters'!$DO$6:$DO$18,'Safety parameters'!$DK$6:$DK$18,DB332,'Safety parameters'!$DL$6:$DL$18,2))</f>
        <v>-2.2835575572866581E-2</v>
      </c>
    </row>
    <row r="333" spans="89:124" ht="15" x14ac:dyDescent="0.2">
      <c r="CK333" s="61" t="s">
        <v>31</v>
      </c>
      <c r="CL333" s="61">
        <v>3</v>
      </c>
      <c r="CM333" s="61" t="str">
        <v>nivolumab_plus_ipilimumab</v>
      </c>
      <c r="CN333" s="17">
        <v>2</v>
      </c>
      <c r="CO333" s="61" t="str" cm="1">
        <f t="array" ref="CO333">INDEX(List_comparators,CP332+1)</f>
        <v>tivozanib</v>
      </c>
      <c r="CP333" s="17">
        <v>6</v>
      </c>
      <c r="CQ333" s="601">
        <f t="shared" ca="1" si="211"/>
        <v>0</v>
      </c>
      <c r="CR333" s="601">
        <f t="shared" ca="1" si="212"/>
        <v>0</v>
      </c>
      <c r="CS333" s="671">
        <f t="shared" ca="1" si="216"/>
        <v>21.714285714285712</v>
      </c>
      <c r="CT333" s="671">
        <f t="shared" ca="1" si="213"/>
        <v>5.5785714285714283</v>
      </c>
      <c r="CU333" s="1123">
        <f>MATCH(CZ333,'Resource use and costs'!$BA$11:$BA$53,0)</f>
        <v>27</v>
      </c>
      <c r="CV333" s="1223"/>
      <c r="CW333" s="1241">
        <f t="shared" si="220"/>
        <v>1</v>
      </c>
      <c r="CX333" s="899" t="s">
        <v>773</v>
      </c>
      <c r="CY333" s="899" t="s">
        <v>581</v>
      </c>
      <c r="CZ333" s="899" t="s">
        <v>117</v>
      </c>
      <c r="DA333" s="899" t="s">
        <v>765</v>
      </c>
      <c r="DB333" s="899"/>
      <c r="DC333" s="899" cm="1">
        <f t="array" aca="1" ref="DC333" ca="1">_xlfn.IFNA(OFFSET($I$49,MATCH(CY333,$I$50:$I$63,0),MATCH(CZ333,TRANSPOSE($J$49:$W$49),0)),0)</f>
        <v>7.7722689604201728E-2</v>
      </c>
      <c r="DD333" s="899" cm="1">
        <f t="array" aca="1" ref="DD333" ca="1">_xlfn.IFNA(OFFSET($Y$49,MATCH($CZ333,$Y$50:$Y$63,0),MATCH($DA333,TRANSPOSE($Z$49:$AM$49),0)),0)</f>
        <v>0.34300000000000003</v>
      </c>
      <c r="DE333" s="899" cm="1">
        <f t="array" aca="1" ref="DE333" ca="1">_xlfn.IFNA(OFFSET($AO$49,MATCH($DA333,$AO$50:$AO$63,0),MATCH($DB333,TRANSPOSE($AP$49:$BC$49),0)),0)</f>
        <v>0</v>
      </c>
      <c r="DF333" s="881">
        <f t="shared" ca="1" si="217"/>
        <v>2.6658882534241195E-2</v>
      </c>
      <c r="DG333" s="910">
        <f t="shared" ca="1" si="218"/>
        <v>1.3688916152634338</v>
      </c>
      <c r="DH333" s="881">
        <f t="shared" ca="1" si="219"/>
        <v>3.6493120773415572E-2</v>
      </c>
      <c r="DI333" s="1460">
        <f t="shared" ca="1" si="214"/>
        <v>11.276374318985411</v>
      </c>
      <c r="DJ333" s="909">
        <f>_xlfn.IFNA(INDEX('Resource use and costs'!$CQ$11:$CQ$53,MATCH($CZ333,'Resource use and costs'!$BA$11:$BA$53,0)),0)*_xlfn.IFNA(INDEX(DY$10:DY$23,MATCH($CZ333,$DX$10:$DX$23,0)),0)</f>
        <v>2860.9927072190476</v>
      </c>
      <c r="DK333" s="909">
        <f>IF(dd_PartSA_2_lines = "Yes",0,_xlfn.IFNA(INDEX('Resource use and costs'!$CR$11:$CR$53,MATCH(DA333,'Resource use and costs'!$BA$11:$BA$53,0)),0)*_xlfn.IFNA(INDEX(EA$10:EA$23,MATCH($DA333,$DX$10:$DX$23,0)),0))</f>
        <v>0</v>
      </c>
      <c r="DL333" s="909">
        <f>IF(dd_PartSA_2_lines = "Yes",0,_xlfn.IFNA(INDEX('Resource use and costs'!$CS$11:$CS$53,MATCH(DB333,'Resource use and costs'!$BA$11:$BA$53,0)),0)*_xlfn.IFNA(INDEX(EC$10:EC$23,MATCH($DB333,$DX$10:$DX$23,0)),0))</f>
        <v>0</v>
      </c>
      <c r="DM333" s="909">
        <f t="shared" si="221"/>
        <v>2860.9927072190476</v>
      </c>
      <c r="DN333" s="909">
        <f>SUM(_xlfn.IFNA(INDEX('Resource use and costs'!$DU$12:$DU$25,MATCH(CZ333,'Resource use and costs'!$DS$12:$DS$25,0)),0),_xlfn.IFNA(INDEX('Resource use and costs'!$DU$12:$DU$25,MATCH(DA333,'Resource use and costs'!$DS$12:$DS$25,0)),0),_xlfn.IFNA(INDEX('Resource use and costs'!$DU$12:$DU$25,MATCH(DB333,'Resource use and costs'!$DS$12:$DS$25,0)),0))</f>
        <v>197.25</v>
      </c>
      <c r="DO333" s="921">
        <f>_xlfn.IFNA(INDEX('Resource use and costs'!$DY$12:$DY$25,MATCH(CZ333,'Resource use and costs'!$DS$12:$DS$25,0)),0)*_xlfn.IFNA(INDEX(DY$10:DY$23,MATCH($CZ333,$DX$10:$DX$23,0)),0)</f>
        <v>405.17019714285709</v>
      </c>
      <c r="DP333" s="921">
        <f>IF(dd_PartSA_2_lines = "Yes",0,_xlfn.IFNA(INDEX('Resource use and costs'!$DZ$12:$DZ$25,MATCH(DA333,'Resource use and costs'!$DS$12:$DS$25,0)),0)*_xlfn.IFNA(INDEX(EA$10:EA$23,MATCH($DA333,$DX$10:$DX$23,0)),0))</f>
        <v>0</v>
      </c>
      <c r="DQ333" s="921">
        <f>IF(dd_PartSA_2_lines = "Yes",0,_xlfn.IFNA(INDEX('Resource use and costs'!$EA$12:$EA$25,MATCH(DB333,'Resource use and costs'!$DS$12:$DS$25,0)),0)*_xlfn.IFNA(INDEX(EC$10:EC$23,MATCH($DB333,$DX$10:$DX$23,0)),0))</f>
        <v>0</v>
      </c>
      <c r="DR333" s="921">
        <f t="shared" si="222"/>
        <v>602.42019714285709</v>
      </c>
      <c r="DS333" s="1004">
        <f ca="1">SUMIFS('Safety parameters'!$DM$6:$DM$18,'Safety parameters'!$DK$6:$DK$18,CZ333,'Safety parameters'!$DL$6:$DL$18,1)+IF(dd_PartSA_2_lines = "Yes",0,SUMIFS('Safety parameters'!$DM$6:$DM$18,'Safety parameters'!$DK$6:$DK$18,DA333,'Safety parameters'!$DL$6:$DL$18,2)+SUMIFS('Safety parameters'!$DM$6:$DM$18,'Safety parameters'!$DK$6:$DK$18,DB333,'Safety parameters'!$DL$6:$DL$18,2))</f>
        <v>603.81337500000006</v>
      </c>
      <c r="DT333" s="910">
        <f ca="1">SUMIFS('Safety parameters'!$DO$6:$DO$18,'Safety parameters'!$DK$6:$DK$18,CZ333,'Safety parameters'!$DL$6:$DL$18,1)+IF(dd_PartSA_2_lines = "Yes",0,SUMIFS('Safety parameters'!$DO$6:$DO$18,'Safety parameters'!$DK$6:$DK$18,DA333,'Safety parameters'!$DL$6:$DL$18,2)+SUMIFS('Safety parameters'!$DO$6:$DO$18,'Safety parameters'!$DK$6:$DK$18,DB333,'Safety parameters'!$DL$6:$DL$18,2))</f>
        <v>-5.4260780287474324E-3</v>
      </c>
    </row>
    <row r="334" spans="89:124" ht="15" x14ac:dyDescent="0.2">
      <c r="CK334" s="61" t="s">
        <v>31</v>
      </c>
      <c r="CL334" s="61">
        <v>3</v>
      </c>
      <c r="CM334" s="61" t="str">
        <v>lenvatinib_plus_pembrolizumab</v>
      </c>
      <c r="CN334" s="17">
        <v>3</v>
      </c>
      <c r="CO334" s="61" t="str" cm="1">
        <f t="array" ref="CO334">INDEX(List_comparators,CP333+1)</f>
        <v>tivozanib</v>
      </c>
      <c r="CP334" s="17">
        <v>6</v>
      </c>
      <c r="CQ334" s="601">
        <f t="shared" ca="1" si="211"/>
        <v>0</v>
      </c>
      <c r="CR334" s="601">
        <f t="shared" ca="1" si="212"/>
        <v>0</v>
      </c>
      <c r="CS334" s="671">
        <f t="shared" ca="1" si="216"/>
        <v>21.714285714285712</v>
      </c>
      <c r="CT334" s="671">
        <f t="shared" ca="1" si="213"/>
        <v>5.5785714285714283</v>
      </c>
      <c r="CU334" s="1123">
        <f>MATCH(CZ334,'Resource use and costs'!$BA$11:$BA$53,0)</f>
        <v>27</v>
      </c>
      <c r="CV334" s="1223"/>
      <c r="CW334" s="1241">
        <f t="shared" si="220"/>
        <v>1</v>
      </c>
      <c r="CX334" s="899" t="s">
        <v>773</v>
      </c>
      <c r="CY334" s="899" t="s">
        <v>581</v>
      </c>
      <c r="CZ334" s="899" t="s">
        <v>117</v>
      </c>
      <c r="DA334" s="899" t="s">
        <v>118</v>
      </c>
      <c r="DB334" s="899" t="s">
        <v>327</v>
      </c>
      <c r="DC334" s="899" cm="1">
        <f t="array" aca="1" ref="DC334" ca="1">_xlfn.IFNA(OFFSET($I$49,MATCH(CY334,$I$50:$I$63,0),MATCH(CZ334,TRANSPOSE($J$49:$W$49),0)),0)</f>
        <v>7.7722689604201728E-2</v>
      </c>
      <c r="DD334" s="899" cm="1">
        <f t="array" aca="1" ref="DD334" ca="1">_xlfn.IFNA(OFFSET($Y$49,MATCH($CZ334,$Y$50:$Y$63,0),MATCH($DA334,TRANSPOSE($Z$49:$AM$49),0)),0)</f>
        <v>0.51100000000000001</v>
      </c>
      <c r="DE334" s="899" cm="1">
        <f t="array" aca="1" ref="DE334" ca="1">_xlfn.IFNA(OFFSET($AO$49,MATCH($DA334,$AO$50:$AO$63,0),MATCH($DB334,TRANSPOSE($AP$49:$BC$49),0)),0)</f>
        <v>0.38769999999999999</v>
      </c>
      <c r="DF334" s="881">
        <f t="shared" ca="1" si="217"/>
        <v>1.5398007334129543E-2</v>
      </c>
      <c r="DG334" s="910">
        <f t="shared" ca="1" si="218"/>
        <v>1.3688916152634338</v>
      </c>
      <c r="DH334" s="881">
        <f t="shared" ca="1" si="219"/>
        <v>2.1078203131454792E-2</v>
      </c>
      <c r="DI334" s="1460">
        <f t="shared" ca="1" si="214"/>
        <v>6.5131647676195303</v>
      </c>
      <c r="DJ334" s="909">
        <f>_xlfn.IFNA(INDEX('Resource use and costs'!$CQ$11:$CQ$53,MATCH($CZ334,'Resource use and costs'!$BA$11:$BA$53,0)),0)*_xlfn.IFNA(INDEX(DY$10:DY$23,MATCH($CZ334,$DX$10:$DX$23,0)),0)</f>
        <v>2860.9927072190476</v>
      </c>
      <c r="DK334" s="909">
        <f>IF(dd_PartSA_2_lines = "Yes",0,_xlfn.IFNA(INDEX('Resource use and costs'!$CR$11:$CR$53,MATCH(DA334,'Resource use and costs'!$BA$11:$BA$53,0)),0)*_xlfn.IFNA(INDEX(EA$10:EA$23,MATCH($DA334,$DX$10:$DX$23,0)),0))</f>
        <v>50308.075122000002</v>
      </c>
      <c r="DL334" s="909">
        <f>IF(dd_PartSA_2_lines = "Yes",0,_xlfn.IFNA(INDEX('Resource use and costs'!$CS$11:$CS$53,MATCH(DB334,'Resource use and costs'!$BA$11:$BA$53,0)),0)*_xlfn.IFNA(INDEX(EC$10:EC$23,MATCH($DB334,$DX$10:$DX$23,0)),0))</f>
        <v>18438.751749999999</v>
      </c>
      <c r="DM334" s="909">
        <f t="shared" si="221"/>
        <v>71607.819579219053</v>
      </c>
      <c r="DN334" s="909">
        <f>SUM(_xlfn.IFNA(INDEX('Resource use and costs'!$DU$12:$DU$25,MATCH(CZ334,'Resource use and costs'!$DS$12:$DS$25,0)),0),_xlfn.IFNA(INDEX('Resource use and costs'!$DU$12:$DU$25,MATCH(DA334,'Resource use and costs'!$DS$12:$DS$25,0)),0),_xlfn.IFNA(INDEX('Resource use and costs'!$DU$12:$DU$25,MATCH(DB334,'Resource use and costs'!$DS$12:$DS$25,0)),0))</f>
        <v>591.75</v>
      </c>
      <c r="DO334" s="921">
        <f>_xlfn.IFNA(INDEX('Resource use and costs'!$DY$12:$DY$25,MATCH(CZ334,'Resource use and costs'!$DS$12:$DS$25,0)),0)*_xlfn.IFNA(INDEX(DY$10:DY$23,MATCH($CZ334,$DX$10:$DX$23,0)),0)</f>
        <v>405.17019714285709</v>
      </c>
      <c r="DP334" s="921">
        <f>IF(dd_PartSA_2_lines = "Yes",0,_xlfn.IFNA(INDEX('Resource use and costs'!$DZ$12:$DZ$25,MATCH(DA334,'Resource use and costs'!$DS$12:$DS$25,0)),0)*_xlfn.IFNA(INDEX(EA$10:EA$23,MATCH($DA334,$DX$10:$DX$23,0)),0))</f>
        <v>461.1445457142857</v>
      </c>
      <c r="DQ334" s="921">
        <f>IF(dd_PartSA_2_lines = "Yes",0,_xlfn.IFNA(INDEX('Resource use and costs'!$EA$12:$EA$25,MATCH(DB334,'Resource use and costs'!$DS$12:$DS$25,0)),0)*_xlfn.IFNA(INDEX(EC$10:EC$23,MATCH($DB334,$DX$10:$DX$23,0)),0))</f>
        <v>230.68099999999998</v>
      </c>
      <c r="DR334" s="921">
        <f t="shared" si="222"/>
        <v>1688.7457428571429</v>
      </c>
      <c r="DS334" s="1004">
        <f ca="1">SUMIFS('Safety parameters'!$DM$6:$DM$18,'Safety parameters'!$DK$6:$DK$18,CZ334,'Safety parameters'!$DL$6:$DL$18,1)+IF(dd_PartSA_2_lines = "Yes",0,SUMIFS('Safety parameters'!$DM$6:$DM$18,'Safety parameters'!$DK$6:$DK$18,DA334,'Safety parameters'!$DL$6:$DL$18,2)+SUMIFS('Safety parameters'!$DM$6:$DM$18,'Safety parameters'!$DK$6:$DK$18,DB334,'Safety parameters'!$DL$6:$DL$18,2))</f>
        <v>2981.6913483688436</v>
      </c>
      <c r="DT334" s="910">
        <f ca="1">SUMIFS('Safety parameters'!$DO$6:$DO$18,'Safety parameters'!$DK$6:$DK$18,CZ334,'Safety parameters'!$DL$6:$DL$18,1)+IF(dd_PartSA_2_lines = "Yes",0,SUMIFS('Safety parameters'!$DO$6:$DO$18,'Safety parameters'!$DK$6:$DK$18,DA334,'Safety parameters'!$DL$6:$DL$18,2)+SUMIFS('Safety parameters'!$DO$6:$DO$18,'Safety parameters'!$DK$6:$DK$18,DB334,'Safety parameters'!$DL$6:$DL$18,2))</f>
        <v>-2.71903283924648E-2</v>
      </c>
    </row>
    <row r="335" spans="89:124" ht="15" x14ac:dyDescent="0.2">
      <c r="CK335" s="61" t="s">
        <v>31</v>
      </c>
      <c r="CL335" s="61">
        <v>3</v>
      </c>
      <c r="CM335" s="61" t="str">
        <v>avelumab_plus_axitinib</v>
      </c>
      <c r="CN335" s="17">
        <v>4</v>
      </c>
      <c r="CO335" s="61" t="str" cm="1">
        <f t="array" ref="CO335">INDEX(List_comparators,CP334+1)</f>
        <v>tivozanib</v>
      </c>
      <c r="CP335" s="17">
        <v>6</v>
      </c>
      <c r="CQ335" s="601">
        <f t="shared" ca="1" si="211"/>
        <v>0</v>
      </c>
      <c r="CR335" s="601">
        <f t="shared" ca="1" si="212"/>
        <v>0</v>
      </c>
      <c r="CS335" s="671">
        <f t="shared" ca="1" si="216"/>
        <v>21.714285714285712</v>
      </c>
      <c r="CT335" s="671">
        <f t="shared" ca="1" si="213"/>
        <v>5.5785714285714283</v>
      </c>
      <c r="CU335" s="1123">
        <f>MATCH(CZ335,'Resource use and costs'!$BA$11:$BA$53,0)</f>
        <v>27</v>
      </c>
      <c r="CV335" s="1223"/>
      <c r="CW335" s="1241">
        <f t="shared" si="220"/>
        <v>1</v>
      </c>
      <c r="CX335" s="899" t="s">
        <v>773</v>
      </c>
      <c r="CY335" s="899" t="s">
        <v>581</v>
      </c>
      <c r="CZ335" s="899" t="s">
        <v>117</v>
      </c>
      <c r="DA335" s="899" t="s">
        <v>118</v>
      </c>
      <c r="DB335" s="899" t="s">
        <v>765</v>
      </c>
      <c r="DC335" s="899" cm="1">
        <f t="array" aca="1" ref="DC335" ca="1">_xlfn.IFNA(OFFSET($I$49,MATCH(CY335,$I$50:$I$63,0),MATCH(CZ335,TRANSPOSE($J$49:$W$49),0)),0)</f>
        <v>7.7722689604201728E-2</v>
      </c>
      <c r="DD335" s="899" cm="1">
        <f t="array" aca="1" ref="DD335" ca="1">_xlfn.IFNA(OFFSET($Y$49,MATCH($CZ335,$Y$50:$Y$63,0),MATCH($DA335,TRANSPOSE($Z$49:$AM$49),0)),0)</f>
        <v>0.51100000000000001</v>
      </c>
      <c r="DE335" s="899" cm="1">
        <f t="array" aca="1" ref="DE335" ca="1">_xlfn.IFNA(OFFSET($AO$49,MATCH($DA335,$AO$50:$AO$63,0),MATCH($DB335,TRANSPOSE($AP$49:$BC$49),0)),0)</f>
        <v>0.43140000000000001</v>
      </c>
      <c r="DF335" s="881">
        <f t="shared" ca="1" si="217"/>
        <v>1.7133609398874091E-2</v>
      </c>
      <c r="DG335" s="910">
        <f t="shared" ca="1" si="218"/>
        <v>1.3688916152634338</v>
      </c>
      <c r="DH335" s="881">
        <f t="shared" ca="1" si="219"/>
        <v>2.3454054245317508E-2</v>
      </c>
      <c r="DI335" s="1460">
        <f t="shared" ca="1" si="214"/>
        <v>7.2473027618031098</v>
      </c>
      <c r="DJ335" s="909">
        <f>_xlfn.IFNA(INDEX('Resource use and costs'!$CQ$11:$CQ$53,MATCH($CZ335,'Resource use and costs'!$BA$11:$BA$53,0)),0)*_xlfn.IFNA(INDEX(DY$10:DY$23,MATCH($CZ335,$DX$10:$DX$23,0)),0)</f>
        <v>2860.9927072190476</v>
      </c>
      <c r="DK335" s="909">
        <f>IF(dd_PartSA_2_lines = "Yes",0,_xlfn.IFNA(INDEX('Resource use and costs'!$CR$11:$CR$53,MATCH(DA335,'Resource use and costs'!$BA$11:$BA$53,0)),0)*_xlfn.IFNA(INDEX(EA$10:EA$23,MATCH($DA335,$DX$10:$DX$23,0)),0))</f>
        <v>50308.075122000002</v>
      </c>
      <c r="DL335" s="909">
        <f>IF(dd_PartSA_2_lines = "Yes",0,_xlfn.IFNA(INDEX('Resource use and costs'!$CS$11:$CS$53,MATCH(DB335,'Resource use and costs'!$BA$11:$BA$53,0)),0)*_xlfn.IFNA(INDEX(EC$10:EC$23,MATCH($DB335,$DX$10:$DX$23,0)),0))</f>
        <v>0</v>
      </c>
      <c r="DM335" s="909">
        <f t="shared" si="221"/>
        <v>53169.06782921905</v>
      </c>
      <c r="DN335" s="909">
        <f>SUM(_xlfn.IFNA(INDEX('Resource use and costs'!$DU$12:$DU$25,MATCH(CZ335,'Resource use and costs'!$DS$12:$DS$25,0)),0),_xlfn.IFNA(INDEX('Resource use and costs'!$DU$12:$DU$25,MATCH(DA335,'Resource use and costs'!$DS$12:$DS$25,0)),0),_xlfn.IFNA(INDEX('Resource use and costs'!$DU$12:$DU$25,MATCH(DB335,'Resource use and costs'!$DS$12:$DS$25,0)),0))</f>
        <v>394.5</v>
      </c>
      <c r="DO335" s="921">
        <f>_xlfn.IFNA(INDEX('Resource use and costs'!$DY$12:$DY$25,MATCH(CZ335,'Resource use and costs'!$DS$12:$DS$25,0)),0)*_xlfn.IFNA(INDEX(DY$10:DY$23,MATCH($CZ335,$DX$10:$DX$23,0)),0)</f>
        <v>405.17019714285709</v>
      </c>
      <c r="DP335" s="921">
        <f>IF(dd_PartSA_2_lines = "Yes",0,_xlfn.IFNA(INDEX('Resource use and costs'!$DZ$12:$DZ$25,MATCH(DA335,'Resource use and costs'!$DS$12:$DS$25,0)),0)*_xlfn.IFNA(INDEX(EA$10:EA$23,MATCH($DA335,$DX$10:$DX$23,0)),0))</f>
        <v>461.1445457142857</v>
      </c>
      <c r="DQ335" s="921">
        <f>IF(dd_PartSA_2_lines = "Yes",0,_xlfn.IFNA(INDEX('Resource use and costs'!$EA$12:$EA$25,MATCH(DB335,'Resource use and costs'!$DS$12:$DS$25,0)),0)*_xlfn.IFNA(INDEX(EC$10:EC$23,MATCH($DB335,$DX$10:$DX$23,0)),0))</f>
        <v>0</v>
      </c>
      <c r="DR335" s="921">
        <f t="shared" si="222"/>
        <v>1260.8147428571428</v>
      </c>
      <c r="DS335" s="1004">
        <f ca="1">SUMIFS('Safety parameters'!$DM$6:$DM$18,'Safety parameters'!$DK$6:$DK$18,CZ335,'Safety parameters'!$DL$6:$DL$18,1)+IF(dd_PartSA_2_lines = "Yes",0,SUMIFS('Safety parameters'!$DM$6:$DM$18,'Safety parameters'!$DK$6:$DK$18,DA335,'Safety parameters'!$DL$6:$DL$18,2)+SUMIFS('Safety parameters'!$DM$6:$DM$18,'Safety parameters'!$DK$6:$DK$18,DB335,'Safety parameters'!$DL$6:$DL$18,2))</f>
        <v>1347.4626748033834</v>
      </c>
      <c r="DT335" s="910">
        <f ca="1">SUMIFS('Safety parameters'!$DO$6:$DO$18,'Safety parameters'!$DK$6:$DK$18,CZ335,'Safety parameters'!$DL$6:$DL$18,1)+IF(dd_PartSA_2_lines = "Yes",0,SUMIFS('Safety parameters'!$DO$6:$DO$18,'Safety parameters'!$DK$6:$DK$18,DA335,'Safety parameters'!$DL$6:$DL$18,2)+SUMIFS('Safety parameters'!$DO$6:$DO$18,'Safety parameters'!$DK$6:$DK$18,DB335,'Safety parameters'!$DL$6:$DL$18,2))</f>
        <v>-1.244840438498337E-2</v>
      </c>
    </row>
    <row r="336" spans="89:124" ht="15" x14ac:dyDescent="0.2">
      <c r="CK336" s="61" t="s">
        <v>31</v>
      </c>
      <c r="CL336" s="61">
        <v>3</v>
      </c>
      <c r="CM336" s="61" t="str">
        <v>pazopanib</v>
      </c>
      <c r="CN336" s="17">
        <v>5</v>
      </c>
      <c r="CO336" s="61" t="str" cm="1">
        <f t="array" ref="CO336">INDEX(List_comparators,CP335+1)</f>
        <v>tivozanib</v>
      </c>
      <c r="CP336" s="17">
        <v>6</v>
      </c>
      <c r="CQ336" s="601">
        <f t="shared" ca="1" si="211"/>
        <v>0</v>
      </c>
      <c r="CR336" s="601">
        <f t="shared" ca="1" si="212"/>
        <v>0</v>
      </c>
      <c r="CS336" s="671">
        <f t="shared" ca="1" si="216"/>
        <v>21.714285714285712</v>
      </c>
      <c r="CT336" s="671">
        <f t="shared" ca="1" si="213"/>
        <v>5.5785714285714283</v>
      </c>
      <c r="CU336" s="1123">
        <f>MATCH(CZ336,'Resource use and costs'!$BA$11:$BA$53,0)</f>
        <v>27</v>
      </c>
      <c r="CV336" s="1223"/>
      <c r="CW336" s="1241">
        <f t="shared" si="220"/>
        <v>1</v>
      </c>
      <c r="CX336" s="899" t="s">
        <v>773</v>
      </c>
      <c r="CY336" s="899" t="s">
        <v>581</v>
      </c>
      <c r="CZ336" s="899" t="s">
        <v>117</v>
      </c>
      <c r="DA336" s="899" t="s">
        <v>118</v>
      </c>
      <c r="DB336" s="899" t="s">
        <v>119</v>
      </c>
      <c r="DC336" s="899" cm="1">
        <f t="array" aca="1" ref="DC336" ca="1">_xlfn.IFNA(OFFSET($I$49,MATCH(CY336,$I$50:$I$63,0),MATCH(CZ336,TRANSPOSE($J$49:$W$49),0)),0)</f>
        <v>7.7722689604201728E-2</v>
      </c>
      <c r="DD336" s="899" cm="1">
        <f t="array" aca="1" ref="DD336" ca="1">_xlfn.IFNA(OFFSET($Y$49,MATCH($CZ336,$Y$50:$Y$63,0),MATCH($DA336,TRANSPOSE($Z$49:$AM$49),0)),0)</f>
        <v>0.51100000000000001</v>
      </c>
      <c r="DE336" s="899" cm="1">
        <f t="array" aca="1" ref="DE336" ca="1">_xlfn.IFNA(OFFSET($AO$49,MATCH($DA336,$AO$50:$AO$63,0),MATCH($DB336,TRANSPOSE($AP$49:$BC$49),0)),0)</f>
        <v>0.18090000000000001</v>
      </c>
      <c r="DF336" s="881">
        <f t="shared" ca="1" si="217"/>
        <v>7.1846776547434474E-3</v>
      </c>
      <c r="DG336" s="910">
        <f t="shared" ca="1" si="218"/>
        <v>1.3688916152634338</v>
      </c>
      <c r="DH336" s="881">
        <f t="shared" ca="1" si="219"/>
        <v>9.8350449999488575E-3</v>
      </c>
      <c r="DI336" s="1460">
        <f t="shared" ca="1" si="214"/>
        <v>3.039028904984197</v>
      </c>
      <c r="DJ336" s="909">
        <f>_xlfn.IFNA(INDEX('Resource use and costs'!$CQ$11:$CQ$53,MATCH($CZ336,'Resource use and costs'!$BA$11:$BA$53,0)),0)*_xlfn.IFNA(INDEX(DY$10:DY$23,MATCH($CZ336,$DX$10:$DX$23,0)),0)</f>
        <v>2860.9927072190476</v>
      </c>
      <c r="DK336" s="909">
        <f>IF(dd_PartSA_2_lines = "Yes",0,_xlfn.IFNA(INDEX('Resource use and costs'!$CR$11:$CR$53,MATCH(DA336,'Resource use and costs'!$BA$11:$BA$53,0)),0)*_xlfn.IFNA(INDEX(EA$10:EA$23,MATCH($DA336,$DX$10:$DX$23,0)),0))</f>
        <v>50308.075122000002</v>
      </c>
      <c r="DL336" s="909">
        <f>IF(dd_PartSA_2_lines = "Yes",0,_xlfn.IFNA(INDEX('Resource use and costs'!$CS$11:$CS$53,MATCH(DB336,'Resource use and costs'!$BA$11:$BA$53,0)),0)*_xlfn.IFNA(INDEX(EC$10:EC$23,MATCH($DB336,$DX$10:$DX$23,0)),0))</f>
        <v>2915.4763433333328</v>
      </c>
      <c r="DM336" s="909">
        <f t="shared" si="221"/>
        <v>56084.544172552385</v>
      </c>
      <c r="DN336" s="909">
        <f>SUM(_xlfn.IFNA(INDEX('Resource use and costs'!$DU$12:$DU$25,MATCH(CZ336,'Resource use and costs'!$DS$12:$DS$25,0)),0),_xlfn.IFNA(INDEX('Resource use and costs'!$DU$12:$DU$25,MATCH(DA336,'Resource use and costs'!$DS$12:$DS$25,0)),0),_xlfn.IFNA(INDEX('Resource use and costs'!$DU$12:$DU$25,MATCH(DB336,'Resource use and costs'!$DS$12:$DS$25,0)),0))</f>
        <v>591.75</v>
      </c>
      <c r="DO336" s="921">
        <f>_xlfn.IFNA(INDEX('Resource use and costs'!$DY$12:$DY$25,MATCH(CZ336,'Resource use and costs'!$DS$12:$DS$25,0)),0)*_xlfn.IFNA(INDEX(DY$10:DY$23,MATCH($CZ336,$DX$10:$DX$23,0)),0)</f>
        <v>405.17019714285709</v>
      </c>
      <c r="DP336" s="921">
        <f>IF(dd_PartSA_2_lines = "Yes",0,_xlfn.IFNA(INDEX('Resource use and costs'!$DZ$12:$DZ$25,MATCH(DA336,'Resource use and costs'!$DS$12:$DS$25,0)),0)*_xlfn.IFNA(INDEX(EA$10:EA$23,MATCH($DA336,$DX$10:$DX$23,0)),0))</f>
        <v>461.1445457142857</v>
      </c>
      <c r="DQ336" s="921">
        <f>IF(dd_PartSA_2_lines = "Yes",0,_xlfn.IFNA(INDEX('Resource use and costs'!$EA$12:$EA$25,MATCH(DB336,'Resource use and costs'!$DS$12:$DS$25,0)),0)*_xlfn.IFNA(INDEX(EC$10:EC$23,MATCH($DB336,$DX$10:$DX$23,0)),0))</f>
        <v>256.11457142857142</v>
      </c>
      <c r="DR336" s="921">
        <f t="shared" si="222"/>
        <v>1714.1793142857143</v>
      </c>
      <c r="DS336" s="1004">
        <f ca="1">SUMIFS('Safety parameters'!$DM$6:$DM$18,'Safety parameters'!$DK$6:$DK$18,CZ336,'Safety parameters'!$DL$6:$DL$18,1)+IF(dd_PartSA_2_lines = "Yes",0,SUMIFS('Safety parameters'!$DM$6:$DM$18,'Safety parameters'!$DK$6:$DK$18,DA336,'Safety parameters'!$DL$6:$DL$18,2)+SUMIFS('Safety parameters'!$DM$6:$DM$18,'Safety parameters'!$DK$6:$DK$18,DB336,'Safety parameters'!$DL$6:$DL$18,2))</f>
        <v>1680.3380581786982</v>
      </c>
      <c r="DT336" s="910">
        <f ca="1">SUMIFS('Safety parameters'!$DO$6:$DO$18,'Safety parameters'!$DK$6:$DK$18,CZ336,'Safety parameters'!$DL$6:$DL$18,1)+IF(dd_PartSA_2_lines = "Yes",0,SUMIFS('Safety parameters'!$DO$6:$DO$18,'Safety parameters'!$DK$6:$DK$18,DA336,'Safety parameters'!$DL$6:$DL$18,2)+SUMIFS('Safety parameters'!$DO$6:$DO$18,'Safety parameters'!$DK$6:$DK$18,DB336,'Safety parameters'!$DL$6:$DL$18,2))</f>
        <v>-1.5115977921621089E-2</v>
      </c>
    </row>
    <row r="337" spans="89:124" ht="15" x14ac:dyDescent="0.2">
      <c r="CK337" s="61" t="s">
        <v>31</v>
      </c>
      <c r="CL337" s="61">
        <v>3</v>
      </c>
      <c r="CM337" s="61" t="str">
        <v>tivozanib</v>
      </c>
      <c r="CN337" s="17">
        <v>6</v>
      </c>
      <c r="CO337" s="61" t="str" cm="1">
        <f t="array" ref="CO337">INDEX(List_comparators,CP336+1)</f>
        <v>tivozanib</v>
      </c>
      <c r="CP337" s="17">
        <v>6</v>
      </c>
      <c r="CQ337" s="601">
        <f t="shared" ca="1" si="211"/>
        <v>0</v>
      </c>
      <c r="CR337" s="601">
        <f t="shared" ca="1" si="212"/>
        <v>0</v>
      </c>
      <c r="CS337" s="671">
        <f t="shared" ca="1" si="216"/>
        <v>21.714285714285712</v>
      </c>
      <c r="CT337" s="671">
        <f t="shared" ca="1" si="213"/>
        <v>5.5785714285714283</v>
      </c>
      <c r="CU337" s="1123">
        <f>MATCH(CZ337,'Resource use and costs'!$BA$11:$BA$53,0)</f>
        <v>27</v>
      </c>
      <c r="CV337" s="1223"/>
      <c r="CW337" s="1241">
        <f t="shared" si="220"/>
        <v>1</v>
      </c>
      <c r="CX337" s="899" t="s">
        <v>773</v>
      </c>
      <c r="CY337" s="899" t="s">
        <v>581</v>
      </c>
      <c r="CZ337" s="899" t="s">
        <v>117</v>
      </c>
      <c r="DA337" s="899" t="s">
        <v>119</v>
      </c>
      <c r="DB337" s="899" t="s">
        <v>327</v>
      </c>
      <c r="DC337" s="899" cm="1">
        <f t="array" aca="1" ref="DC337" ca="1">_xlfn.IFNA(OFFSET($I$49,MATCH(CY337,$I$50:$I$63,0),MATCH(CZ337,TRANSPOSE($J$49:$W$49),0)),0)</f>
        <v>7.7722689604201728E-2</v>
      </c>
      <c r="DD337" s="899" cm="1">
        <f t="array" aca="1" ref="DD337" ca="1">_xlfn.IFNA(OFFSET($Y$49,MATCH($CZ337,$Y$50:$Y$63,0),MATCH($DA337,TRANSPOSE($Z$49:$AM$49),0)),0)</f>
        <v>0</v>
      </c>
      <c r="DE337" s="899" cm="1">
        <f t="array" aca="1" ref="DE337" ca="1">_xlfn.IFNA(OFFSET($AO$49,MATCH($DA337,$AO$50:$AO$63,0),MATCH($DB337,TRANSPOSE($AP$49:$BC$49),0)),0)</f>
        <v>0</v>
      </c>
      <c r="DF337" s="881">
        <f t="shared" ca="1" si="217"/>
        <v>0</v>
      </c>
      <c r="DG337" s="910">
        <f t="shared" ca="1" si="218"/>
        <v>1.3688916152634338</v>
      </c>
      <c r="DH337" s="881">
        <f t="shared" ca="1" si="219"/>
        <v>0</v>
      </c>
      <c r="DI337" s="1460">
        <f t="shared" ca="1" si="214"/>
        <v>0</v>
      </c>
      <c r="DJ337" s="909">
        <f>_xlfn.IFNA(INDEX('Resource use and costs'!$CQ$11:$CQ$53,MATCH($CZ337,'Resource use and costs'!$BA$11:$BA$53,0)),0)*_xlfn.IFNA(INDEX(DY$10:DY$23,MATCH($CZ337,$DX$10:$DX$23,0)),0)</f>
        <v>2860.9927072190476</v>
      </c>
      <c r="DK337" s="909">
        <f>IF(dd_PartSA_2_lines = "Yes",0,_xlfn.IFNA(INDEX('Resource use and costs'!$CR$11:$CR$53,MATCH(DA337,'Resource use and costs'!$BA$11:$BA$53,0)),0)*_xlfn.IFNA(INDEX(EA$10:EA$23,MATCH($DA337,$DX$10:$DX$23,0)),0))</f>
        <v>848.17532499999982</v>
      </c>
      <c r="DL337" s="909">
        <f>IF(dd_PartSA_2_lines = "Yes",0,_xlfn.IFNA(INDEX('Resource use and costs'!$CS$11:$CS$53,MATCH(DB337,'Resource use and costs'!$BA$11:$BA$53,0)),0)*_xlfn.IFNA(INDEX(EC$10:EC$23,MATCH($DB337,$DX$10:$DX$23,0)),0))</f>
        <v>18438.751749999999</v>
      </c>
      <c r="DM337" s="909">
        <f t="shared" si="221"/>
        <v>22147.919782219047</v>
      </c>
      <c r="DN337" s="909">
        <f>SUM(_xlfn.IFNA(INDEX('Resource use and costs'!$DU$12:$DU$25,MATCH(CZ337,'Resource use and costs'!$DS$12:$DS$25,0)),0),_xlfn.IFNA(INDEX('Resource use and costs'!$DU$12:$DU$25,MATCH(DA337,'Resource use and costs'!$DS$12:$DS$25,0)),0),_xlfn.IFNA(INDEX('Resource use and costs'!$DU$12:$DU$25,MATCH(DB337,'Resource use and costs'!$DS$12:$DS$25,0)),0))</f>
        <v>591.75</v>
      </c>
      <c r="DO337" s="921">
        <f>_xlfn.IFNA(INDEX('Resource use and costs'!$DY$12:$DY$25,MATCH(CZ337,'Resource use and costs'!$DS$12:$DS$25,0)),0)*_xlfn.IFNA(INDEX(DY$10:DY$23,MATCH($CZ337,$DX$10:$DX$23,0)),0)</f>
        <v>405.17019714285709</v>
      </c>
      <c r="DP337" s="921">
        <f>IF(dd_PartSA_2_lines = "Yes",0,_xlfn.IFNA(INDEX('Resource use and costs'!$DZ$12:$DZ$25,MATCH(DA337,'Resource use and costs'!$DS$12:$DS$25,0)),0)*_xlfn.IFNA(INDEX(EA$10:EA$23,MATCH($DA337,$DX$10:$DX$23,0)),0))</f>
        <v>74.50928571428571</v>
      </c>
      <c r="DQ337" s="921">
        <f>IF(dd_PartSA_2_lines = "Yes",0,_xlfn.IFNA(INDEX('Resource use and costs'!$EA$12:$EA$25,MATCH(DB337,'Resource use and costs'!$DS$12:$DS$25,0)),0)*_xlfn.IFNA(INDEX(EC$10:EC$23,MATCH($DB337,$DX$10:$DX$23,0)),0))</f>
        <v>230.68099999999998</v>
      </c>
      <c r="DR337" s="921">
        <f t="shared" si="222"/>
        <v>1302.1104828571429</v>
      </c>
      <c r="DS337" s="1004">
        <f ca="1">SUMIFS('Safety parameters'!$DM$6:$DM$18,'Safety parameters'!$DK$6:$DK$18,CZ337,'Safety parameters'!$DL$6:$DL$18,1)+IF(dd_PartSA_2_lines = "Yes",0,SUMIFS('Safety parameters'!$DM$6:$DM$18,'Safety parameters'!$DK$6:$DK$18,DA337,'Safety parameters'!$DL$6:$DL$18,2)+SUMIFS('Safety parameters'!$DM$6:$DM$18,'Safety parameters'!$DK$6:$DK$18,DB337,'Safety parameters'!$DL$6:$DL$18,2))</f>
        <v>2570.9174319407748</v>
      </c>
      <c r="DT337" s="910">
        <f ca="1">SUMIFS('Safety parameters'!$DO$6:$DO$18,'Safety parameters'!$DK$6:$DK$18,CZ337,'Safety parameters'!$DL$6:$DL$18,1)+IF(dd_PartSA_2_lines = "Yes",0,SUMIFS('Safety parameters'!$DO$6:$DO$18,'Safety parameters'!$DK$6:$DK$18,DA337,'Safety parameters'!$DL$6:$DL$18,2)+SUMIFS('Safety parameters'!$DO$6:$DO$18,'Safety parameters'!$DK$6:$DK$18,DB337,'Safety parameters'!$DL$6:$DL$18,2))</f>
        <v>-2.2835575572866581E-2</v>
      </c>
    </row>
    <row r="338" spans="89:124" ht="15" x14ac:dyDescent="0.2">
      <c r="CK338" s="61" t="s">
        <v>31</v>
      </c>
      <c r="CL338" s="61">
        <v>3</v>
      </c>
      <c r="CM338" s="61" t="str">
        <v>sunitinib</v>
      </c>
      <c r="CN338" s="17">
        <v>7</v>
      </c>
      <c r="CO338" s="61" t="str" cm="1">
        <f t="array" ref="CO338">INDEX(List_comparators,CP337+1)</f>
        <v>tivozanib</v>
      </c>
      <c r="CP338" s="17">
        <v>6</v>
      </c>
      <c r="CQ338" s="601">
        <f t="shared" ca="1" si="211"/>
        <v>0</v>
      </c>
      <c r="CR338" s="601">
        <f t="shared" ca="1" si="212"/>
        <v>0</v>
      </c>
      <c r="CS338" s="671">
        <f t="shared" ca="1" si="216"/>
        <v>21.714285714285712</v>
      </c>
      <c r="CT338" s="671">
        <f t="shared" ca="1" si="213"/>
        <v>5.5785714285714283</v>
      </c>
      <c r="CU338" s="1123">
        <f>MATCH(CZ338,'Resource use and costs'!$BA$11:$BA$53,0)</f>
        <v>27</v>
      </c>
      <c r="CV338" s="1223"/>
      <c r="CW338" s="1241">
        <f t="shared" si="220"/>
        <v>1</v>
      </c>
      <c r="CX338" s="899" t="s">
        <v>773</v>
      </c>
      <c r="CY338" s="899" t="s">
        <v>581</v>
      </c>
      <c r="CZ338" s="899" t="s">
        <v>117</v>
      </c>
      <c r="DA338" s="899" t="s">
        <v>119</v>
      </c>
      <c r="DB338" s="899" t="s">
        <v>765</v>
      </c>
      <c r="DC338" s="899" cm="1">
        <f t="array" aca="1" ref="DC338" ca="1">_xlfn.IFNA(OFFSET($I$49,MATCH(CY338,$I$50:$I$63,0),MATCH(CZ338,TRANSPOSE($J$49:$W$49),0)),0)</f>
        <v>7.7722689604201728E-2</v>
      </c>
      <c r="DD338" s="899" cm="1">
        <f t="array" aca="1" ref="DD338" ca="1">_xlfn.IFNA(OFFSET($Y$49,MATCH($CZ338,$Y$50:$Y$63,0),MATCH($DA338,TRANSPOSE($Z$49:$AM$49),0)),0)</f>
        <v>0</v>
      </c>
      <c r="DE338" s="899" cm="1">
        <f t="array" aca="1" ref="DE338" ca="1">_xlfn.IFNA(OFFSET($AO$49,MATCH($DA338,$AO$50:$AO$63,0),MATCH($DB338,TRANSPOSE($AP$49:$BC$49),0)),0)</f>
        <v>1</v>
      </c>
      <c r="DF338" s="881">
        <f t="shared" ca="1" si="217"/>
        <v>0</v>
      </c>
      <c r="DG338" s="910">
        <f t="shared" ca="1" si="218"/>
        <v>1.3688916152634338</v>
      </c>
      <c r="DH338" s="881">
        <f t="shared" ca="1" si="219"/>
        <v>0</v>
      </c>
      <c r="DI338" s="1460">
        <f t="shared" ca="1" si="214"/>
        <v>0</v>
      </c>
      <c r="DJ338" s="909">
        <f>_xlfn.IFNA(INDEX('Resource use and costs'!$CQ$11:$CQ$53,MATCH($CZ338,'Resource use and costs'!$BA$11:$BA$53,0)),0)*_xlfn.IFNA(INDEX(DY$10:DY$23,MATCH($CZ338,$DX$10:$DX$23,0)),0)</f>
        <v>2860.9927072190476</v>
      </c>
      <c r="DK338" s="909">
        <f>IF(dd_PartSA_2_lines = "Yes",0,_xlfn.IFNA(INDEX('Resource use and costs'!$CR$11:$CR$53,MATCH(DA338,'Resource use and costs'!$BA$11:$BA$53,0)),0)*_xlfn.IFNA(INDEX(EA$10:EA$23,MATCH($DA338,$DX$10:$DX$23,0)),0))</f>
        <v>848.17532499999982</v>
      </c>
      <c r="DL338" s="909">
        <f>IF(dd_PartSA_2_lines = "Yes",0,_xlfn.IFNA(INDEX('Resource use and costs'!$CS$11:$CS$53,MATCH(DB338,'Resource use and costs'!$BA$11:$BA$53,0)),0)*_xlfn.IFNA(INDEX(EC$10:EC$23,MATCH($DB338,$DX$10:$DX$23,0)),0))</f>
        <v>0</v>
      </c>
      <c r="DM338" s="909">
        <f t="shared" si="221"/>
        <v>3709.1680322190473</v>
      </c>
      <c r="DN338" s="909">
        <f>SUM(_xlfn.IFNA(INDEX('Resource use and costs'!$DU$12:$DU$25,MATCH(CZ338,'Resource use and costs'!$DS$12:$DS$25,0)),0),_xlfn.IFNA(INDEX('Resource use and costs'!$DU$12:$DU$25,MATCH(DA338,'Resource use and costs'!$DS$12:$DS$25,0)),0),_xlfn.IFNA(INDEX('Resource use and costs'!$DU$12:$DU$25,MATCH(DB338,'Resource use and costs'!$DS$12:$DS$25,0)),0))</f>
        <v>394.5</v>
      </c>
      <c r="DO338" s="921">
        <f>_xlfn.IFNA(INDEX('Resource use and costs'!$DY$12:$DY$25,MATCH(CZ338,'Resource use and costs'!$DS$12:$DS$25,0)),0)*_xlfn.IFNA(INDEX(DY$10:DY$23,MATCH($CZ338,$DX$10:$DX$23,0)),0)</f>
        <v>405.17019714285709</v>
      </c>
      <c r="DP338" s="921">
        <f>IF(dd_PartSA_2_lines = "Yes",0,_xlfn.IFNA(INDEX('Resource use and costs'!$DZ$12:$DZ$25,MATCH(DA338,'Resource use and costs'!$DS$12:$DS$25,0)),0)*_xlfn.IFNA(INDEX(EA$10:EA$23,MATCH($DA338,$DX$10:$DX$23,0)),0))</f>
        <v>74.50928571428571</v>
      </c>
      <c r="DQ338" s="921">
        <f>IF(dd_PartSA_2_lines = "Yes",0,_xlfn.IFNA(INDEX('Resource use and costs'!$EA$12:$EA$25,MATCH(DB338,'Resource use and costs'!$DS$12:$DS$25,0)),0)*_xlfn.IFNA(INDEX(EC$10:EC$23,MATCH($DB338,$DX$10:$DX$23,0)),0))</f>
        <v>0</v>
      </c>
      <c r="DR338" s="921">
        <f t="shared" si="222"/>
        <v>874.17948285714283</v>
      </c>
      <c r="DS338" s="1004">
        <f ca="1">SUMIFS('Safety parameters'!$DM$6:$DM$18,'Safety parameters'!$DK$6:$DK$18,CZ338,'Safety parameters'!$DL$6:$DL$18,1)+IF(dd_PartSA_2_lines = "Yes",0,SUMIFS('Safety parameters'!$DM$6:$DM$18,'Safety parameters'!$DK$6:$DK$18,DA338,'Safety parameters'!$DL$6:$DL$18,2)+SUMIFS('Safety parameters'!$DM$6:$DM$18,'Safety parameters'!$DK$6:$DK$18,DB338,'Safety parameters'!$DL$6:$DL$18,2))</f>
        <v>936.68875837531493</v>
      </c>
      <c r="DT338" s="910">
        <f ca="1">SUMIFS('Safety parameters'!$DO$6:$DO$18,'Safety parameters'!$DK$6:$DK$18,CZ338,'Safety parameters'!$DL$6:$DL$18,1)+IF(dd_PartSA_2_lines = "Yes",0,SUMIFS('Safety parameters'!$DO$6:$DO$18,'Safety parameters'!$DK$6:$DK$18,DA338,'Safety parameters'!$DL$6:$DL$18,2)+SUMIFS('Safety parameters'!$DO$6:$DO$18,'Safety parameters'!$DK$6:$DK$18,DB338,'Safety parameters'!$DL$6:$DL$18,2))</f>
        <v>-8.0936515653851522E-3</v>
      </c>
    </row>
    <row r="339" spans="89:124" ht="15" x14ac:dyDescent="0.2">
      <c r="CK339" s="61" t="s">
        <v>31</v>
      </c>
      <c r="CL339" s="61">
        <v>3</v>
      </c>
      <c r="CM339" s="61" t="str">
        <v>cabozantinib</v>
      </c>
      <c r="CN339" s="17">
        <v>8</v>
      </c>
      <c r="CO339" s="61" t="str" cm="1">
        <f t="array" ref="CO339">INDEX(List_comparators,CP338+1)</f>
        <v>tivozanib</v>
      </c>
      <c r="CP339" s="17">
        <v>6</v>
      </c>
      <c r="CQ339" s="601">
        <f t="shared" ca="1" si="211"/>
        <v>9.4000000000000004E-3</v>
      </c>
      <c r="CR339" s="601">
        <f t="shared" ca="1" si="212"/>
        <v>9.4000000000000008E-4</v>
      </c>
      <c r="CS339" s="671">
        <f t="shared" ca="1" si="216"/>
        <v>21.714285714285712</v>
      </c>
      <c r="CT339" s="671">
        <f t="shared" ca="1" si="213"/>
        <v>5.5785714285714283</v>
      </c>
      <c r="CU339" s="1123">
        <f>MATCH(CZ339,'Resource use and costs'!$BA$11:$BA$53,0)</f>
        <v>27</v>
      </c>
      <c r="CV339" s="1223"/>
      <c r="CW339" s="1241">
        <f t="shared" si="220"/>
        <v>1</v>
      </c>
      <c r="CX339" s="899" t="s">
        <v>773</v>
      </c>
      <c r="CY339" s="899" t="s">
        <v>581</v>
      </c>
      <c r="CZ339" s="899" t="s">
        <v>117</v>
      </c>
      <c r="DA339" s="899" t="s">
        <v>333</v>
      </c>
      <c r="DB339" s="899" t="s">
        <v>327</v>
      </c>
      <c r="DC339" s="899" cm="1">
        <f t="array" aca="1" ref="DC339" ca="1">_xlfn.IFNA(OFFSET($I$49,MATCH(CY339,$I$50:$I$63,0),MATCH(CZ339,TRANSPOSE($J$49:$W$49),0)),0)</f>
        <v>7.7722689604201728E-2</v>
      </c>
      <c r="DD339" s="899" cm="1">
        <f t="array" aca="1" ref="DD339" ca="1">_xlfn.IFNA(OFFSET($Y$49,MATCH($CZ339,$Y$50:$Y$63,0),MATCH($DA339,TRANSPOSE($Z$49:$AM$49),0)),0)</f>
        <v>0</v>
      </c>
      <c r="DE339" s="899" cm="1">
        <f t="array" aca="1" ref="DE339" ca="1">_xlfn.IFNA(OFFSET($AO$49,MATCH($DA339,$AO$50:$AO$63,0),MATCH($DB339,TRANSPOSE($AP$49:$BC$49),0)),0)</f>
        <v>0.56859999999999999</v>
      </c>
      <c r="DF339" s="881">
        <f t="shared" ca="1" si="217"/>
        <v>0</v>
      </c>
      <c r="DG339" s="910">
        <f t="shared" ca="1" si="218"/>
        <v>1.3688916152634338</v>
      </c>
      <c r="DH339" s="881">
        <f t="shared" ca="1" si="219"/>
        <v>0</v>
      </c>
      <c r="DI339" s="1460">
        <f t="shared" ca="1" si="214"/>
        <v>0</v>
      </c>
      <c r="DJ339" s="909">
        <f>_xlfn.IFNA(INDEX('Resource use and costs'!$CQ$11:$CQ$53,MATCH($CZ339,'Resource use and costs'!$BA$11:$BA$53,0)),0)*_xlfn.IFNA(INDEX(DY$10:DY$23,MATCH($CZ339,$DX$10:$DX$23,0)),0)</f>
        <v>2860.9927072190476</v>
      </c>
      <c r="DK339" s="909">
        <f>IF(dd_PartSA_2_lines = "Yes",0,_xlfn.IFNA(INDEX('Resource use and costs'!$CR$11:$CR$53,MATCH(DA339,'Resource use and costs'!$BA$11:$BA$53,0)),0)*_xlfn.IFNA(INDEX(EA$10:EA$23,MATCH($DA339,$DX$10:$DX$23,0)),0))</f>
        <v>24337.716731999997</v>
      </c>
      <c r="DL339" s="909">
        <f>IF(dd_PartSA_2_lines = "Yes",0,_xlfn.IFNA(INDEX('Resource use and costs'!$CS$11:$CS$53,MATCH(DB339,'Resource use and costs'!$BA$11:$BA$53,0)),0)*_xlfn.IFNA(INDEX(EC$10:EC$23,MATCH($DB339,$DX$10:$DX$23,0)),0))</f>
        <v>18438.751749999999</v>
      </c>
      <c r="DM339" s="909">
        <f t="shared" si="221"/>
        <v>45637.461189219044</v>
      </c>
      <c r="DN339" s="909">
        <f>SUM(_xlfn.IFNA(INDEX('Resource use and costs'!$DU$12:$DU$25,MATCH(CZ339,'Resource use and costs'!$DS$12:$DS$25,0)),0),_xlfn.IFNA(INDEX('Resource use and costs'!$DU$12:$DU$25,MATCH(DA339,'Resource use and costs'!$DS$12:$DS$25,0)),0),_xlfn.IFNA(INDEX('Resource use and costs'!$DU$12:$DU$25,MATCH(DB339,'Resource use and costs'!$DS$12:$DS$25,0)),0))</f>
        <v>591.75</v>
      </c>
      <c r="DO339" s="921">
        <f>_xlfn.IFNA(INDEX('Resource use and costs'!$DY$12:$DY$25,MATCH(CZ339,'Resource use and costs'!$DS$12:$DS$25,0)),0)*_xlfn.IFNA(INDEX(DY$10:DY$23,MATCH($CZ339,$DX$10:$DX$23,0)),0)</f>
        <v>405.17019714285709</v>
      </c>
      <c r="DP339" s="921">
        <f>IF(dd_PartSA_2_lines = "Yes",0,_xlfn.IFNA(INDEX('Resource use and costs'!$DZ$12:$DZ$25,MATCH(DA339,'Resource use and costs'!$DS$12:$DS$25,0)),0)*_xlfn.IFNA(INDEX(EA$10:EA$23,MATCH($DA339,$DX$10:$DX$23,0)),0))</f>
        <v>363.04714285714283</v>
      </c>
      <c r="DQ339" s="921">
        <f>IF(dd_PartSA_2_lines = "Yes",0,_xlfn.IFNA(INDEX('Resource use and costs'!$EA$12:$EA$25,MATCH(DB339,'Resource use and costs'!$DS$12:$DS$25,0)),0)*_xlfn.IFNA(INDEX(EC$10:EC$23,MATCH($DB339,$DX$10:$DX$23,0)),0))</f>
        <v>230.68099999999998</v>
      </c>
      <c r="DR339" s="921">
        <f t="shared" si="222"/>
        <v>1590.64834</v>
      </c>
      <c r="DS339" s="1004">
        <f ca="1">SUMIFS('Safety parameters'!$DM$6:$DM$18,'Safety parameters'!$DK$6:$DK$18,CZ339,'Safety parameters'!$DL$6:$DL$18,1)+IF(dd_PartSA_2_lines = "Yes",0,SUMIFS('Safety parameters'!$DM$6:$DM$18,'Safety parameters'!$DK$6:$DK$18,DA339,'Safety parameters'!$DL$6:$DL$18,2)+SUMIFS('Safety parameters'!$DM$6:$DM$18,'Safety parameters'!$DK$6:$DK$18,DB339,'Safety parameters'!$DL$6:$DL$18,2))</f>
        <v>3180.9126693484654</v>
      </c>
      <c r="DT339" s="910">
        <f ca="1">SUMIFS('Safety parameters'!$DO$6:$DO$18,'Safety parameters'!$DK$6:$DK$18,CZ339,'Safety parameters'!$DL$6:$DL$18,1)+IF(dd_PartSA_2_lines = "Yes",0,SUMIFS('Safety parameters'!$DO$6:$DO$18,'Safety parameters'!$DK$6:$DK$18,DA339,'Safety parameters'!$DL$6:$DL$18,2)+SUMIFS('Safety parameters'!$DO$6:$DO$18,'Safety parameters'!$DK$6:$DK$18,DB339,'Safety parameters'!$DL$6:$DL$18,2))</f>
        <v>-2.9810752717844349E-2</v>
      </c>
    </row>
    <row r="340" spans="89:124" ht="15" x14ac:dyDescent="0.2">
      <c r="CK340" s="61" t="s">
        <v>31</v>
      </c>
      <c r="CL340" s="61">
        <v>3</v>
      </c>
      <c r="CM340" s="61" t="str">
        <v>lenvatinib_plus_everolimus</v>
      </c>
      <c r="CN340" s="17">
        <v>9</v>
      </c>
      <c r="CO340" s="61" t="str" cm="1">
        <f t="array" ref="CO340">INDEX(List_comparators,CP339+1)</f>
        <v>tivozanib</v>
      </c>
      <c r="CP340" s="17">
        <v>6</v>
      </c>
      <c r="CQ340" s="601">
        <f t="shared" ca="1" si="211"/>
        <v>0</v>
      </c>
      <c r="CR340" s="601">
        <f t="shared" ca="1" si="212"/>
        <v>0</v>
      </c>
      <c r="CS340" s="671">
        <f t="shared" ca="1" si="216"/>
        <v>21.714285714285712</v>
      </c>
      <c r="CT340" s="671">
        <f t="shared" ca="1" si="213"/>
        <v>5.5785714285714283</v>
      </c>
      <c r="CU340" s="1123">
        <f>MATCH(CZ340,'Resource use and costs'!$BA$11:$BA$53,0)</f>
        <v>27</v>
      </c>
      <c r="CV340" s="1223"/>
      <c r="CW340" s="1241">
        <f t="shared" si="220"/>
        <v>1</v>
      </c>
      <c r="CX340" s="899" t="s">
        <v>773</v>
      </c>
      <c r="CY340" s="899" t="s">
        <v>581</v>
      </c>
      <c r="CZ340" s="899" t="s">
        <v>117</v>
      </c>
      <c r="DA340" s="899" t="s">
        <v>333</v>
      </c>
      <c r="DB340" s="899" t="s">
        <v>765</v>
      </c>
      <c r="DC340" s="899" cm="1">
        <f t="array" aca="1" ref="DC340" ca="1">_xlfn.IFNA(OFFSET($I$49,MATCH(CY340,$I$50:$I$63,0),MATCH(CZ340,TRANSPOSE($J$49:$W$49),0)),0)</f>
        <v>7.7722689604201728E-2</v>
      </c>
      <c r="DD340" s="899" cm="1">
        <f t="array" aca="1" ref="DD340" ca="1">_xlfn.IFNA(OFFSET($Y$49,MATCH($CZ340,$Y$50:$Y$63,0),MATCH($DA340,TRANSPOSE($Z$49:$AM$49),0)),0)</f>
        <v>0</v>
      </c>
      <c r="DE340" s="899" cm="1">
        <f t="array" aca="1" ref="DE340" ca="1">_xlfn.IFNA(OFFSET($AO$49,MATCH($DA340,$AO$50:$AO$63,0),MATCH($DB340,TRANSPOSE($AP$49:$BC$49),0)),0)</f>
        <v>0.43140000000000001</v>
      </c>
      <c r="DF340" s="881">
        <f t="shared" ca="1" si="217"/>
        <v>0</v>
      </c>
      <c r="DG340" s="910">
        <f t="shared" ca="1" si="218"/>
        <v>1.3688916152634338</v>
      </c>
      <c r="DH340" s="881">
        <f t="shared" ca="1" si="219"/>
        <v>0</v>
      </c>
      <c r="DI340" s="1460">
        <f t="shared" ca="1" si="214"/>
        <v>0</v>
      </c>
      <c r="DJ340" s="909">
        <f>_xlfn.IFNA(INDEX('Resource use and costs'!$CQ$11:$CQ$53,MATCH($CZ340,'Resource use and costs'!$BA$11:$BA$53,0)),0)*_xlfn.IFNA(INDEX(DY$10:DY$23,MATCH($CZ340,$DX$10:$DX$23,0)),0)</f>
        <v>2860.9927072190476</v>
      </c>
      <c r="DK340" s="909">
        <f>IF(dd_PartSA_2_lines = "Yes",0,_xlfn.IFNA(INDEX('Resource use and costs'!$CR$11:$CR$53,MATCH(DA340,'Resource use and costs'!$BA$11:$BA$53,0)),0)*_xlfn.IFNA(INDEX(EA$10:EA$23,MATCH($DA340,$DX$10:$DX$23,0)),0))</f>
        <v>24337.716731999997</v>
      </c>
      <c r="DL340" s="909">
        <f>IF(dd_PartSA_2_lines = "Yes",0,_xlfn.IFNA(INDEX('Resource use and costs'!$CS$11:$CS$53,MATCH(DB340,'Resource use and costs'!$BA$11:$BA$53,0)),0)*_xlfn.IFNA(INDEX(EC$10:EC$23,MATCH($DB340,$DX$10:$DX$23,0)),0))</f>
        <v>0</v>
      </c>
      <c r="DM340" s="909">
        <f t="shared" si="221"/>
        <v>27198.709439219045</v>
      </c>
      <c r="DN340" s="909">
        <f>SUM(_xlfn.IFNA(INDEX('Resource use and costs'!$DU$12:$DU$25,MATCH(CZ340,'Resource use and costs'!$DS$12:$DS$25,0)),0),_xlfn.IFNA(INDEX('Resource use and costs'!$DU$12:$DU$25,MATCH(DA340,'Resource use and costs'!$DS$12:$DS$25,0)),0),_xlfn.IFNA(INDEX('Resource use and costs'!$DU$12:$DU$25,MATCH(DB340,'Resource use and costs'!$DS$12:$DS$25,0)),0))</f>
        <v>394.5</v>
      </c>
      <c r="DO340" s="921">
        <f>_xlfn.IFNA(INDEX('Resource use and costs'!$DY$12:$DY$25,MATCH(CZ340,'Resource use and costs'!$DS$12:$DS$25,0)),0)*_xlfn.IFNA(INDEX(DY$10:DY$23,MATCH($CZ340,$DX$10:$DX$23,0)),0)</f>
        <v>405.17019714285709</v>
      </c>
      <c r="DP340" s="921">
        <f>IF(dd_PartSA_2_lines = "Yes",0,_xlfn.IFNA(INDEX('Resource use and costs'!$DZ$12:$DZ$25,MATCH(DA340,'Resource use and costs'!$DS$12:$DS$25,0)),0)*_xlfn.IFNA(INDEX(EA$10:EA$23,MATCH($DA340,$DX$10:$DX$23,0)),0))</f>
        <v>363.04714285714283</v>
      </c>
      <c r="DQ340" s="921">
        <f>IF(dd_PartSA_2_lines = "Yes",0,_xlfn.IFNA(INDEX('Resource use and costs'!$EA$12:$EA$25,MATCH(DB340,'Resource use and costs'!$DS$12:$DS$25,0)),0)*_xlfn.IFNA(INDEX(EC$10:EC$23,MATCH($DB340,$DX$10:$DX$23,0)),0))</f>
        <v>0</v>
      </c>
      <c r="DR340" s="921">
        <f t="shared" si="222"/>
        <v>1162.7173399999999</v>
      </c>
      <c r="DS340" s="1004">
        <f ca="1">SUMIFS('Safety parameters'!$DM$6:$DM$18,'Safety parameters'!$DK$6:$DK$18,CZ340,'Safety parameters'!$DL$6:$DL$18,1)+IF(dd_PartSA_2_lines = "Yes",0,SUMIFS('Safety parameters'!$DM$6:$DM$18,'Safety parameters'!$DK$6:$DK$18,DA340,'Safety parameters'!$DL$6:$DL$18,2)+SUMIFS('Safety parameters'!$DM$6:$DM$18,'Safety parameters'!$DK$6:$DK$18,DB340,'Safety parameters'!$DL$6:$DL$18,2))</f>
        <v>1546.6839957830057</v>
      </c>
      <c r="DT340" s="910">
        <f ca="1">SUMIFS('Safety parameters'!$DO$6:$DO$18,'Safety parameters'!$DK$6:$DK$18,CZ340,'Safety parameters'!$DL$6:$DL$18,1)+IF(dd_PartSA_2_lines = "Yes",0,SUMIFS('Safety parameters'!$DO$6:$DO$18,'Safety parameters'!$DK$6:$DK$18,DA340,'Safety parameters'!$DL$6:$DL$18,2)+SUMIFS('Safety parameters'!$DO$6:$DO$18,'Safety parameters'!$DK$6:$DK$18,DB340,'Safety parameters'!$DL$6:$DL$18,2))</f>
        <v>-1.5068828710362921E-2</v>
      </c>
    </row>
    <row r="341" spans="89:124" ht="15" x14ac:dyDescent="0.2">
      <c r="CK341" s="61" t="s">
        <v>31</v>
      </c>
      <c r="CL341" s="61">
        <v>3</v>
      </c>
      <c r="CM341" s="61" t="str">
        <v>everolimus</v>
      </c>
      <c r="CN341" s="17">
        <v>10</v>
      </c>
      <c r="CO341" s="61" t="str" cm="1">
        <f t="array" ref="CO341">INDEX(List_comparators,CP340+1)</f>
        <v>tivozanib</v>
      </c>
      <c r="CP341" s="17">
        <v>6</v>
      </c>
      <c r="CQ341" s="601">
        <f t="shared" ca="1" si="211"/>
        <v>0</v>
      </c>
      <c r="CR341" s="601">
        <f t="shared" ca="1" si="212"/>
        <v>0</v>
      </c>
      <c r="CS341" s="671">
        <f t="shared" ca="1" si="216"/>
        <v>21.714285714285712</v>
      </c>
      <c r="CT341" s="671">
        <f t="shared" ca="1" si="213"/>
        <v>5.5785714285714283</v>
      </c>
      <c r="CU341" s="1123">
        <f>MATCH(CZ341,'Resource use and costs'!$BA$11:$BA$53,0)</f>
        <v>24</v>
      </c>
      <c r="CV341" s="1223"/>
      <c r="CW341" s="1241">
        <f t="shared" si="220"/>
        <v>1</v>
      </c>
      <c r="CX341" s="899" t="s">
        <v>773</v>
      </c>
      <c r="CY341" s="899" t="s">
        <v>581</v>
      </c>
      <c r="CZ341" s="899" t="s">
        <v>319</v>
      </c>
      <c r="DA341" s="899" t="s">
        <v>327</v>
      </c>
      <c r="DB341" s="899" t="s">
        <v>765</v>
      </c>
      <c r="DC341" s="899" cm="1">
        <f t="array" aca="1" ref="DC341" ca="1">_xlfn.IFNA(OFFSET($I$49,MATCH(CY341,$I$50:$I$63,0),MATCH(CZ341,TRANSPOSE($J$49:$W$49),0)),0)</f>
        <v>9.3203607315270554E-2</v>
      </c>
      <c r="DD341" s="899" cm="1">
        <f t="array" aca="1" ref="DD341" ca="1">_xlfn.IFNA(OFFSET($Y$49,MATCH($CZ341,$Y$50:$Y$63,0),MATCH($DA341,TRANSPOSE($Z$49:$AM$49),0)),0)</f>
        <v>4.6899999999999997E-2</v>
      </c>
      <c r="DE341" s="899" cm="1">
        <f t="array" aca="1" ref="DE341" ca="1">_xlfn.IFNA(OFFSET($AO$49,MATCH($DA341,$AO$50:$AO$63,0),MATCH($DB341,TRANSPOSE($AP$49:$BC$49),0)),0)</f>
        <v>0.43140000000000001</v>
      </c>
      <c r="DF341" s="881">
        <f t="shared" ca="1" si="217"/>
        <v>1.8857568975833817E-3</v>
      </c>
      <c r="DG341" s="910">
        <f t="shared" ca="1" si="218"/>
        <v>1.3688916152634338</v>
      </c>
      <c r="DH341" s="881">
        <f t="shared" ca="1" si="219"/>
        <v>2.581396805527077E-3</v>
      </c>
      <c r="DI341" s="1460">
        <f t="shared" ca="1" si="214"/>
        <v>0.79765161290786679</v>
      </c>
      <c r="DJ341" s="909">
        <f>_xlfn.IFNA(INDEX('Resource use and costs'!$CQ$11:$CQ$53,MATCH($CZ341,'Resource use and costs'!$BA$11:$BA$53,0)),0)*_xlfn.IFNA(INDEX(DY$10:DY$23,MATCH($CZ341,$DX$10:$DX$23,0)),0)</f>
        <v>20680.612971428574</v>
      </c>
      <c r="DK341" s="909">
        <f>IF(dd_PartSA_2_lines = "Yes",0,_xlfn.IFNA(INDEX('Resource use and costs'!$CR$11:$CR$53,MATCH(DA341,'Resource use and costs'!$BA$11:$BA$53,0)),0)*_xlfn.IFNA(INDEX(EA$10:EA$23,MATCH($DA341,$DX$10:$DX$23,0)),0))</f>
        <v>21421.066008214286</v>
      </c>
      <c r="DL341" s="909">
        <f>IF(dd_PartSA_2_lines = "Yes",0,_xlfn.IFNA(INDEX('Resource use and costs'!$CS$11:$CS$53,MATCH(DB341,'Resource use and costs'!$BA$11:$BA$53,0)),0)*_xlfn.IFNA(INDEX(EC$10:EC$23,MATCH($DB341,$DX$10:$DX$23,0)),0))</f>
        <v>0</v>
      </c>
      <c r="DM341" s="909">
        <f t="shared" si="221"/>
        <v>42101.678979642864</v>
      </c>
      <c r="DN341" s="909">
        <f>SUM(_xlfn.IFNA(INDEX('Resource use and costs'!$DU$12:$DU$25,MATCH(CZ341,'Resource use and costs'!$DS$12:$DS$25,0)),0),_xlfn.IFNA(INDEX('Resource use and costs'!$DU$12:$DU$25,MATCH(DA341,'Resource use and costs'!$DS$12:$DS$25,0)),0),_xlfn.IFNA(INDEX('Resource use and costs'!$DU$12:$DU$25,MATCH(DB341,'Resource use and costs'!$DS$12:$DS$25,0)),0))</f>
        <v>394.5</v>
      </c>
      <c r="DO341" s="921">
        <f>_xlfn.IFNA(INDEX('Resource use and costs'!$DY$12:$DY$25,MATCH(CZ341,'Resource use and costs'!$DS$12:$DS$25,0)),0)*_xlfn.IFNA(INDEX(DY$10:DY$23,MATCH($CZ341,$DX$10:$DX$23,0)),0)</f>
        <v>443.44394285714293</v>
      </c>
      <c r="DP341" s="921">
        <f>IF(dd_PartSA_2_lines = "Yes",0,_xlfn.IFNA(INDEX('Resource use and costs'!$DZ$12:$DZ$25,MATCH(DA341,'Resource use and costs'!$DS$12:$DS$25,0)),0)*_xlfn.IFNA(INDEX(EA$10:EA$23,MATCH($DA341,$DX$10:$DX$23,0)),0))</f>
        <v>267.99172714285714</v>
      </c>
      <c r="DQ341" s="921">
        <f>IF(dd_PartSA_2_lines = "Yes",0,_xlfn.IFNA(INDEX('Resource use and costs'!$EA$12:$EA$25,MATCH(DB341,'Resource use and costs'!$DS$12:$DS$25,0)),0)*_xlfn.IFNA(INDEX(EC$10:EC$23,MATCH($DB341,$DX$10:$DX$23,0)),0))</f>
        <v>0</v>
      </c>
      <c r="DR341" s="921">
        <f t="shared" si="222"/>
        <v>1105.9356700000001</v>
      </c>
      <c r="DS341" s="1004">
        <f ca="1">SUMIFS('Safety parameters'!$DM$6:$DM$18,'Safety parameters'!$DK$6:$DK$18,CZ341,'Safety parameters'!$DL$6:$DL$18,1)+IF(dd_PartSA_2_lines = "Yes",0,SUMIFS('Safety parameters'!$DM$6:$DM$18,'Safety parameters'!$DK$6:$DK$18,DA341,'Safety parameters'!$DL$6:$DL$18,2)+SUMIFS('Safety parameters'!$DM$6:$DM$18,'Safety parameters'!$DK$6:$DK$18,DB341,'Safety parameters'!$DL$6:$DL$18,2))</f>
        <v>2042.1647262635129</v>
      </c>
      <c r="DT341" s="910">
        <f ca="1">SUMIFS('Safety parameters'!$DO$6:$DO$18,'Safety parameters'!$DK$6:$DK$18,CZ341,'Safety parameters'!$DL$6:$DL$18,1)+IF(dd_PartSA_2_lines = "Yes",0,SUMIFS('Safety parameters'!$DO$6:$DO$18,'Safety parameters'!$DK$6:$DK$18,DA341,'Safety parameters'!$DL$6:$DL$18,2)+SUMIFS('Safety parameters'!$DO$6:$DO$18,'Safety parameters'!$DK$6:$DK$18,DB341,'Safety parameters'!$DL$6:$DL$18,2))</f>
        <v>-1.8195878647800728E-2</v>
      </c>
    </row>
    <row r="342" spans="89:124" ht="15" x14ac:dyDescent="0.2">
      <c r="CK342" s="61" t="s">
        <v>31</v>
      </c>
      <c r="CL342" s="61">
        <v>3</v>
      </c>
      <c r="CM342" s="61" t="str">
        <v>axitinib</v>
      </c>
      <c r="CN342" s="17">
        <v>11</v>
      </c>
      <c r="CO342" s="61" t="str" cm="1">
        <f t="array" ref="CO342">INDEX(List_comparators,CP341+1)</f>
        <v>tivozanib</v>
      </c>
      <c r="CP342" s="17">
        <v>6</v>
      </c>
      <c r="CQ342" s="601">
        <f t="shared" ca="1" si="211"/>
        <v>0</v>
      </c>
      <c r="CR342" s="601">
        <f t="shared" ca="1" si="212"/>
        <v>0</v>
      </c>
      <c r="CS342" s="671">
        <f t="shared" ca="1" si="216"/>
        <v>21.714285714285712</v>
      </c>
      <c r="CT342" s="671">
        <f t="shared" ca="1" si="213"/>
        <v>5.5785714285714283</v>
      </c>
      <c r="CU342" s="1123">
        <f>MATCH(CZ342,'Resource use and costs'!$BA$11:$BA$53,0)</f>
        <v>24</v>
      </c>
      <c r="CV342" s="1223"/>
      <c r="CW342" s="1241">
        <f t="shared" si="220"/>
        <v>1</v>
      </c>
      <c r="CX342" s="899" t="s">
        <v>773</v>
      </c>
      <c r="CY342" s="899" t="s">
        <v>581</v>
      </c>
      <c r="CZ342" s="899" t="s">
        <v>319</v>
      </c>
      <c r="DA342" s="899" t="s">
        <v>327</v>
      </c>
      <c r="DB342" s="899" t="s">
        <v>119</v>
      </c>
      <c r="DC342" s="899" cm="1">
        <f t="array" aca="1" ref="DC342" ca="1">_xlfn.IFNA(OFFSET($I$49,MATCH(CY342,$I$50:$I$63,0),MATCH(CZ342,TRANSPOSE($J$49:$W$49),0)),0)</f>
        <v>9.3203607315270554E-2</v>
      </c>
      <c r="DD342" s="899" cm="1">
        <f t="array" aca="1" ref="DD342" ca="1">_xlfn.IFNA(OFFSET($Y$49,MATCH($CZ342,$Y$50:$Y$63,0),MATCH($DA342,TRANSPOSE($Z$49:$AM$49),0)),0)</f>
        <v>4.6899999999999997E-2</v>
      </c>
      <c r="DE342" s="899" cm="1">
        <f t="array" aca="1" ref="DE342" ca="1">_xlfn.IFNA(OFFSET($AO$49,MATCH($DA342,$AO$50:$AO$63,0),MATCH($DB342,TRANSPOSE($AP$49:$BC$49),0)),0)</f>
        <v>0.56859999999999999</v>
      </c>
      <c r="DF342" s="881">
        <f t="shared" ca="1" si="217"/>
        <v>2.4854922855028069E-3</v>
      </c>
      <c r="DG342" s="910">
        <f t="shared" ca="1" si="218"/>
        <v>1.3688916152634338</v>
      </c>
      <c r="DH342" s="881">
        <f t="shared" ca="1" si="219"/>
        <v>3.4023695494267412E-3</v>
      </c>
      <c r="DI342" s="1460">
        <f t="shared" ca="1" si="214"/>
        <v>1.051332190772863</v>
      </c>
      <c r="DJ342" s="909">
        <f>_xlfn.IFNA(INDEX('Resource use and costs'!$CQ$11:$CQ$53,MATCH($CZ342,'Resource use and costs'!$BA$11:$BA$53,0)),0)*_xlfn.IFNA(INDEX(DY$10:DY$23,MATCH($CZ342,$DX$10:$DX$23,0)),0)</f>
        <v>20680.612971428574</v>
      </c>
      <c r="DK342" s="909">
        <f>IF(dd_PartSA_2_lines = "Yes",0,_xlfn.IFNA(INDEX('Resource use and costs'!$CR$11:$CR$53,MATCH(DA342,'Resource use and costs'!$BA$11:$BA$53,0)),0)*_xlfn.IFNA(INDEX(EA$10:EA$23,MATCH($DA342,$DX$10:$DX$23,0)),0))</f>
        <v>21421.066008214286</v>
      </c>
      <c r="DL342" s="909">
        <f>IF(dd_PartSA_2_lines = "Yes",0,_xlfn.IFNA(INDEX('Resource use and costs'!$CS$11:$CS$53,MATCH(DB342,'Resource use and costs'!$BA$11:$BA$53,0)),0)*_xlfn.IFNA(INDEX(EC$10:EC$23,MATCH($DB342,$DX$10:$DX$23,0)),0))</f>
        <v>2915.4763433333328</v>
      </c>
      <c r="DM342" s="909">
        <f t="shared" si="221"/>
        <v>45017.155322976199</v>
      </c>
      <c r="DN342" s="909">
        <f>SUM(_xlfn.IFNA(INDEX('Resource use and costs'!$DU$12:$DU$25,MATCH(CZ342,'Resource use and costs'!$DS$12:$DS$25,0)),0),_xlfn.IFNA(INDEX('Resource use and costs'!$DU$12:$DU$25,MATCH(DA342,'Resource use and costs'!$DS$12:$DS$25,0)),0),_xlfn.IFNA(INDEX('Resource use and costs'!$DU$12:$DU$25,MATCH(DB342,'Resource use and costs'!$DS$12:$DS$25,0)),0))</f>
        <v>591.75</v>
      </c>
      <c r="DO342" s="921">
        <f>_xlfn.IFNA(INDEX('Resource use and costs'!$DY$12:$DY$25,MATCH(CZ342,'Resource use and costs'!$DS$12:$DS$25,0)),0)*_xlfn.IFNA(INDEX(DY$10:DY$23,MATCH($CZ342,$DX$10:$DX$23,0)),0)</f>
        <v>443.44394285714293</v>
      </c>
      <c r="DP342" s="921">
        <f>IF(dd_PartSA_2_lines = "Yes",0,_xlfn.IFNA(INDEX('Resource use and costs'!$DZ$12:$DZ$25,MATCH(DA342,'Resource use and costs'!$DS$12:$DS$25,0)),0)*_xlfn.IFNA(INDEX(EA$10:EA$23,MATCH($DA342,$DX$10:$DX$23,0)),0))</f>
        <v>267.99172714285714</v>
      </c>
      <c r="DQ342" s="921">
        <f>IF(dd_PartSA_2_lines = "Yes",0,_xlfn.IFNA(INDEX('Resource use and costs'!$EA$12:$EA$25,MATCH(DB342,'Resource use and costs'!$DS$12:$DS$25,0)),0)*_xlfn.IFNA(INDEX(EC$10:EC$23,MATCH($DB342,$DX$10:$DX$23,0)),0))</f>
        <v>256.11457142857142</v>
      </c>
      <c r="DR342" s="921">
        <f t="shared" si="222"/>
        <v>1559.3002414285716</v>
      </c>
      <c r="DS342" s="1004">
        <f ca="1">SUMIFS('Safety parameters'!$DM$6:$DM$18,'Safety parameters'!$DK$6:$DK$18,CZ342,'Safety parameters'!$DL$6:$DL$18,1)+IF(dd_PartSA_2_lines = "Yes",0,SUMIFS('Safety parameters'!$DM$6:$DM$18,'Safety parameters'!$DK$6:$DK$18,DA342,'Safety parameters'!$DL$6:$DL$18,2)+SUMIFS('Safety parameters'!$DM$6:$DM$18,'Safety parameters'!$DK$6:$DK$18,DB342,'Safety parameters'!$DL$6:$DL$18,2))</f>
        <v>2375.0401096388277</v>
      </c>
      <c r="DT342" s="910">
        <f ca="1">SUMIFS('Safety parameters'!$DO$6:$DO$18,'Safety parameters'!$DK$6:$DK$18,CZ342,'Safety parameters'!$DL$6:$DL$18,1)+IF(dd_PartSA_2_lines = "Yes",0,SUMIFS('Safety parameters'!$DO$6:$DO$18,'Safety parameters'!$DK$6:$DK$18,DA342,'Safety parameters'!$DL$6:$DL$18,2)+SUMIFS('Safety parameters'!$DO$6:$DO$18,'Safety parameters'!$DK$6:$DK$18,DB342,'Safety parameters'!$DL$6:$DL$18,2))</f>
        <v>-2.0863452184438448E-2</v>
      </c>
    </row>
    <row r="343" spans="89:124" ht="15" x14ac:dyDescent="0.2">
      <c r="CK343" s="61" t="s">
        <v>31</v>
      </c>
      <c r="CL343" s="61">
        <v>3</v>
      </c>
      <c r="CM343" s="61" t="str">
        <v>sorafenib</v>
      </c>
      <c r="CN343" s="17">
        <v>12</v>
      </c>
      <c r="CO343" s="61" t="str" cm="1">
        <f t="array" ref="CO343">INDEX(List_comparators,CP342+1)</f>
        <v>tivozanib</v>
      </c>
      <c r="CP343" s="17">
        <v>6</v>
      </c>
      <c r="CQ343" s="601">
        <f t="shared" ref="CQ343:CQ374" ca="1" si="223">OFFSET($Z$50,IF(CN343=999,13,CN343),CP343)</f>
        <v>0</v>
      </c>
      <c r="CR343" s="601">
        <f t="shared" ref="CR343:CR374" ca="1" si="224">OFFSET($Z$65,IF(CN343=999,13,CN343),CP343)</f>
        <v>0</v>
      </c>
      <c r="CS343" s="671">
        <f t="shared" ca="1" si="216"/>
        <v>0</v>
      </c>
      <c r="CT343" s="671">
        <f t="shared" ref="CT343:CT374" ca="1" si="225">OFFSET($Z$97,IF(CN343=999,13,CN343),CP343)</f>
        <v>0</v>
      </c>
      <c r="CU343" s="1123">
        <f>MATCH(CZ343,'Resource use and costs'!$BA$11:$BA$53,0)</f>
        <v>24</v>
      </c>
      <c r="CV343" s="1223"/>
      <c r="CW343" s="1241">
        <f t="shared" si="220"/>
        <v>1</v>
      </c>
      <c r="CX343" s="899" t="s">
        <v>773</v>
      </c>
      <c r="CY343" s="899" t="s">
        <v>581</v>
      </c>
      <c r="CZ343" s="899" t="s">
        <v>319</v>
      </c>
      <c r="DA343" s="899" t="s">
        <v>765</v>
      </c>
      <c r="DB343" s="899"/>
      <c r="DC343" s="899" cm="1">
        <f t="array" aca="1" ref="DC343" ca="1">_xlfn.IFNA(OFFSET($I$49,MATCH(CY343,$I$50:$I$63,0),MATCH(CZ343,TRANSPOSE($J$49:$W$49),0)),0)</f>
        <v>9.3203607315270554E-2</v>
      </c>
      <c r="DD343" s="899" cm="1">
        <f t="array" aca="1" ref="DD343" ca="1">_xlfn.IFNA(OFFSET($Y$49,MATCH($CZ343,$Y$50:$Y$63,0),MATCH($DA343,TRANSPOSE($Z$49:$AM$49),0)),0)</f>
        <v>0.34300000000000003</v>
      </c>
      <c r="DE343" s="899" cm="1">
        <f t="array" aca="1" ref="DE343" ca="1">_xlfn.IFNA(OFFSET($AO$49,MATCH($DA343,$AO$50:$AO$63,0),MATCH($DB343,TRANSPOSE($AP$49:$BC$49),0)),0)</f>
        <v>0</v>
      </c>
      <c r="DF343" s="881">
        <f t="shared" ca="1" si="217"/>
        <v>3.1968837309137806E-2</v>
      </c>
      <c r="DG343" s="910">
        <f t="shared" ca="1" si="218"/>
        <v>1.3688916152634338</v>
      </c>
      <c r="DH343" s="881">
        <f t="shared" ca="1" si="219"/>
        <v>4.3761873342199581E-2</v>
      </c>
      <c r="DI343" s="1460">
        <f t="shared" ca="1" si="214"/>
        <v>13.52241886273967</v>
      </c>
      <c r="DJ343" s="909">
        <f>_xlfn.IFNA(INDEX('Resource use and costs'!$CQ$11:$CQ$53,MATCH($CZ343,'Resource use and costs'!$BA$11:$BA$53,0)),0)*_xlfn.IFNA(INDEX(DY$10:DY$23,MATCH($CZ343,$DX$10:$DX$23,0)),0)</f>
        <v>20680.612971428574</v>
      </c>
      <c r="DK343" s="909">
        <f>IF(dd_PartSA_2_lines = "Yes",0,_xlfn.IFNA(INDEX('Resource use and costs'!$CR$11:$CR$53,MATCH(DA343,'Resource use and costs'!$BA$11:$BA$53,0)),0)*_xlfn.IFNA(INDEX(EA$10:EA$23,MATCH($DA343,$DX$10:$DX$23,0)),0))</f>
        <v>0</v>
      </c>
      <c r="DL343" s="909">
        <f>IF(dd_PartSA_2_lines = "Yes",0,_xlfn.IFNA(INDEX('Resource use and costs'!$CS$11:$CS$53,MATCH(DB343,'Resource use and costs'!$BA$11:$BA$53,0)),0)*_xlfn.IFNA(INDEX(EC$10:EC$23,MATCH($DB343,$DX$10:$DX$23,0)),0))</f>
        <v>0</v>
      </c>
      <c r="DM343" s="909">
        <f t="shared" si="221"/>
        <v>20680.612971428574</v>
      </c>
      <c r="DN343" s="909">
        <f>SUM(_xlfn.IFNA(INDEX('Resource use and costs'!$DU$12:$DU$25,MATCH(CZ343,'Resource use and costs'!$DS$12:$DS$25,0)),0),_xlfn.IFNA(INDEX('Resource use and costs'!$DU$12:$DU$25,MATCH(DA343,'Resource use and costs'!$DS$12:$DS$25,0)),0),_xlfn.IFNA(INDEX('Resource use and costs'!$DU$12:$DU$25,MATCH(DB343,'Resource use and costs'!$DS$12:$DS$25,0)),0))</f>
        <v>197.25</v>
      </c>
      <c r="DO343" s="921">
        <f>_xlfn.IFNA(INDEX('Resource use and costs'!$DY$12:$DY$25,MATCH(CZ343,'Resource use and costs'!$DS$12:$DS$25,0)),0)*_xlfn.IFNA(INDEX(DY$10:DY$23,MATCH($CZ343,$DX$10:$DX$23,0)),0)</f>
        <v>443.44394285714293</v>
      </c>
      <c r="DP343" s="921">
        <f>IF(dd_PartSA_2_lines = "Yes",0,_xlfn.IFNA(INDEX('Resource use and costs'!$DZ$12:$DZ$25,MATCH(DA343,'Resource use and costs'!$DS$12:$DS$25,0)),0)*_xlfn.IFNA(INDEX(EA$10:EA$23,MATCH($DA343,$DX$10:$DX$23,0)),0))</f>
        <v>0</v>
      </c>
      <c r="DQ343" s="921">
        <f>IF(dd_PartSA_2_lines = "Yes",0,_xlfn.IFNA(INDEX('Resource use and costs'!$EA$12:$EA$25,MATCH(DB343,'Resource use and costs'!$DS$12:$DS$25,0)),0)*_xlfn.IFNA(INDEX(EC$10:EC$23,MATCH($DB343,$DX$10:$DX$23,0)),0))</f>
        <v>0</v>
      </c>
      <c r="DR343" s="921">
        <f t="shared" si="222"/>
        <v>640.69394285714293</v>
      </c>
      <c r="DS343" s="1004">
        <f ca="1">SUMIFS('Safety parameters'!$DM$6:$DM$18,'Safety parameters'!$DK$6:$DK$18,CZ343,'Safety parameters'!$DL$6:$DL$18,1)+IF(dd_PartSA_2_lines = "Yes",0,SUMIFS('Safety parameters'!$DM$6:$DM$18,'Safety parameters'!$DK$6:$DK$18,DA343,'Safety parameters'!$DL$6:$DL$18,2)+SUMIFS('Safety parameters'!$DM$6:$DM$18,'Safety parameters'!$DK$6:$DK$18,DB343,'Safety parameters'!$DL$6:$DL$18,2))</f>
        <v>407.93605269805306</v>
      </c>
      <c r="DT343" s="910">
        <f ca="1">SUMIFS('Safety parameters'!$DO$6:$DO$18,'Safety parameters'!$DK$6:$DK$18,CZ343,'Safety parameters'!$DL$6:$DL$18,1)+IF(dd_PartSA_2_lines = "Yes",0,SUMIFS('Safety parameters'!$DO$6:$DO$18,'Safety parameters'!$DK$6:$DK$18,DA343,'Safety parameters'!$DL$6:$DL$18,2)+SUMIFS('Safety parameters'!$DO$6:$DO$18,'Safety parameters'!$DK$6:$DK$18,DB343,'Safety parameters'!$DL$6:$DL$18,2))</f>
        <v>-3.453954640319298E-3</v>
      </c>
    </row>
    <row r="344" spans="89:124" ht="15.75" thickBot="1" x14ac:dyDescent="0.25">
      <c r="CK344" s="506" t="s">
        <v>31</v>
      </c>
      <c r="CL344" s="506">
        <v>3</v>
      </c>
      <c r="CM344" s="506" t="str">
        <v>placebo_BSC</v>
      </c>
      <c r="CN344" s="19">
        <v>999</v>
      </c>
      <c r="CO344" s="506" t="str" cm="1">
        <f t="array" ref="CO344">INDEX(List_comparators,CP331+1)</f>
        <v>tivozanib</v>
      </c>
      <c r="CP344" s="19">
        <v>6</v>
      </c>
      <c r="CQ344" s="602">
        <f t="shared" ca="1" si="223"/>
        <v>0</v>
      </c>
      <c r="CR344" s="602">
        <f t="shared" ca="1" si="224"/>
        <v>0</v>
      </c>
      <c r="CS344" s="670">
        <v>0</v>
      </c>
      <c r="CT344" s="670">
        <f t="shared" ca="1" si="225"/>
        <v>0</v>
      </c>
      <c r="CU344" s="1123">
        <f>MATCH(CZ351,'Resource use and costs'!$BA$11:$BA$53,0)</f>
        <v>40</v>
      </c>
      <c r="CV344" s="1223"/>
      <c r="CW344" s="1241">
        <f t="shared" si="220"/>
        <v>1</v>
      </c>
      <c r="CX344" s="899" t="s">
        <v>773</v>
      </c>
      <c r="CY344" s="899" t="s">
        <v>581</v>
      </c>
      <c r="CZ344" s="899" t="s">
        <v>319</v>
      </c>
      <c r="DA344" s="899" t="s">
        <v>118</v>
      </c>
      <c r="DB344" s="899" t="s">
        <v>327</v>
      </c>
      <c r="DC344" s="899" cm="1">
        <f t="array" aca="1" ref="DC344" ca="1">_xlfn.IFNA(OFFSET($I$49,MATCH(CY344,$I$50:$I$63,0),MATCH(CZ344,TRANSPOSE($J$49:$W$49),0)),0)</f>
        <v>9.3203607315270554E-2</v>
      </c>
      <c r="DD344" s="899" cm="1">
        <f t="array" aca="1" ref="DD344" ca="1">_xlfn.IFNA(OFFSET($Y$49,MATCH($CZ344,$Y$50:$Y$63,0),MATCH($DA344,TRANSPOSE($Z$49:$AM$49),0)),0)</f>
        <v>0.3286</v>
      </c>
      <c r="DE344" s="899" cm="1">
        <f t="array" aca="1" ref="DE344" ca="1">_xlfn.IFNA(OFFSET($AO$49,MATCH($DA344,$AO$50:$AO$63,0),MATCH($DB344,TRANSPOSE($AP$49:$BC$49),0)),0)</f>
        <v>0.38769999999999999</v>
      </c>
      <c r="DF344" s="881">
        <f t="shared" ref="DF344:DF350" ca="1" si="226">IF(AND(ISBLANK(DA344),ISBLANK(DA344)),DC344,IF(ISBLANK(DB344),DC344*DD344,DC344*DD344*DE344))</f>
        <v>1.1873973669544447E-2</v>
      </c>
      <c r="DG344" s="910">
        <f t="shared" ca="1" si="218"/>
        <v>1.3688916152634338</v>
      </c>
      <c r="DH344" s="881">
        <f t="shared" ref="DH344:DH350" ca="1" si="227">IF(CZ344="BSC",IF(dd_reduceBSC="No",DF344,0),DF344*DG344)</f>
        <v>1.6254182996098182E-2</v>
      </c>
      <c r="DI344" s="1460">
        <f t="shared" ca="1" si="214"/>
        <v>5.0225425457943382</v>
      </c>
      <c r="DJ344" s="909">
        <f>_xlfn.IFNA(INDEX('Resource use and costs'!$CQ$11:$CQ$53,MATCH($CZ344,'Resource use and costs'!$BA$11:$BA$53,0)),0)*_xlfn.IFNA(INDEX(DY$10:DY$23,MATCH($CZ344,$DX$10:$DX$23,0)),0)</f>
        <v>20680.612971428574</v>
      </c>
      <c r="DK344" s="909">
        <f>IF(dd_PartSA_2_lines = "Yes",0,_xlfn.IFNA(INDEX('Resource use and costs'!$CR$11:$CR$53,MATCH(DA344,'Resource use and costs'!$BA$11:$BA$53,0)),0)*_xlfn.IFNA(INDEX(EA$10:EA$23,MATCH($DA344,$DX$10:$DX$23,0)),0))</f>
        <v>50308.075122000002</v>
      </c>
      <c r="DL344" s="909">
        <f>IF(dd_PartSA_2_lines = "Yes",0,_xlfn.IFNA(INDEX('Resource use and costs'!$CS$11:$CS$53,MATCH(DB344,'Resource use and costs'!$BA$11:$BA$53,0)),0)*_xlfn.IFNA(INDEX(EC$10:EC$23,MATCH($DB344,$DX$10:$DX$23,0)),0))</f>
        <v>18438.751749999999</v>
      </c>
      <c r="DM344" s="909">
        <f t="shared" ref="DM344:DM350" si="228">SUM(DJ344:DL344)</f>
        <v>89427.439843428569</v>
      </c>
      <c r="DN344" s="909">
        <f>SUM(_xlfn.IFNA(INDEX('Resource use and costs'!$DU$12:$DU$25,MATCH(CZ344,'Resource use and costs'!$DS$12:$DS$25,0)),0),_xlfn.IFNA(INDEX('Resource use and costs'!$DU$12:$DU$25,MATCH(DA344,'Resource use and costs'!$DS$12:$DS$25,0)),0),_xlfn.IFNA(INDEX('Resource use and costs'!$DU$12:$DU$25,MATCH(DB344,'Resource use and costs'!$DS$12:$DS$25,0)),0))</f>
        <v>591.75</v>
      </c>
      <c r="DO344" s="921">
        <f>_xlfn.IFNA(INDEX('Resource use and costs'!$DY$12:$DY$25,MATCH(CZ344,'Resource use and costs'!$DS$12:$DS$25,0)),0)*_xlfn.IFNA(INDEX(DY$10:DY$23,MATCH($CZ344,$DX$10:$DX$23,0)),0)</f>
        <v>443.44394285714293</v>
      </c>
      <c r="DP344" s="921">
        <f>IF(dd_PartSA_2_lines = "Yes",0,_xlfn.IFNA(INDEX('Resource use and costs'!$DZ$12:$DZ$25,MATCH(DA344,'Resource use and costs'!$DS$12:$DS$25,0)),0)*_xlfn.IFNA(INDEX(EA$10:EA$23,MATCH($DA344,$DX$10:$DX$23,0)),0))</f>
        <v>461.1445457142857</v>
      </c>
      <c r="DQ344" s="921">
        <f>IF(dd_PartSA_2_lines = "Yes",0,_xlfn.IFNA(INDEX('Resource use and costs'!$EA$12:$EA$25,MATCH(DB344,'Resource use and costs'!$DS$12:$DS$25,0)),0)*_xlfn.IFNA(INDEX(EC$10:EC$23,MATCH($DB344,$DX$10:$DX$23,0)),0))</f>
        <v>230.68099999999998</v>
      </c>
      <c r="DR344" s="921">
        <f t="shared" ref="DR344:DR350" si="229">SUM(DN344:DQ344)</f>
        <v>1727.0194885714286</v>
      </c>
      <c r="DS344" s="1004">
        <f ca="1">SUMIFS('Safety parameters'!$DM$6:$DM$18,'Safety parameters'!$DK$6:$DK$18,CZ344,'Safety parameters'!$DL$6:$DL$18,1)+IF(dd_PartSA_2_lines = "Yes",0,SUMIFS('Safety parameters'!$DM$6:$DM$18,'Safety parameters'!$DK$6:$DK$18,DA344,'Safety parameters'!$DL$6:$DL$18,2)+SUMIFS('Safety parameters'!$DM$6:$DM$18,'Safety parameters'!$DK$6:$DK$18,DB344,'Safety parameters'!$DL$6:$DL$18,2))</f>
        <v>2785.8140260668965</v>
      </c>
      <c r="DT344" s="910">
        <f ca="1">SUMIFS('Safety parameters'!$DO$6:$DO$18,'Safety parameters'!$DK$6:$DK$18,CZ344,'Safety parameters'!$DL$6:$DL$18,1)+IF(dd_PartSA_2_lines = "Yes",0,SUMIFS('Safety parameters'!$DO$6:$DO$18,'Safety parameters'!$DK$6:$DK$18,DA344,'Safety parameters'!$DL$6:$DL$18,2)+SUMIFS('Safety parameters'!$DO$6:$DO$18,'Safety parameters'!$DK$6:$DK$18,DB344,'Safety parameters'!$DL$6:$DL$18,2))</f>
        <v>-2.5218205004036667E-2</v>
      </c>
    </row>
    <row r="345" spans="89:124" ht="15" x14ac:dyDescent="0.2">
      <c r="CK345" s="505" t="s">
        <v>31</v>
      </c>
      <c r="CL345" s="505">
        <v>3</v>
      </c>
      <c r="CM345" s="61" t="str" cm="1">
        <f t="array" ref="CM345:CM358">List_comparators</f>
        <v>nivolumab_monotherapy</v>
      </c>
      <c r="CN345" s="17">
        <v>0</v>
      </c>
      <c r="CO345" s="61" t="str" cm="1">
        <f t="array" ref="CO345">INDEX(List_comparators,CP345+1)</f>
        <v>sunitinib</v>
      </c>
      <c r="CP345" s="17">
        <v>7</v>
      </c>
      <c r="CQ345" s="603">
        <f t="shared" ca="1" si="223"/>
        <v>2.6200000000000001E-2</v>
      </c>
      <c r="CR345" s="603">
        <f t="shared" ca="1" si="224"/>
        <v>2.6200000000000004E-3</v>
      </c>
      <c r="CS345" s="671">
        <f t="shared" ref="CS345:CS357" ca="1" si="230">OFFSET($Z$81,IF(CN345=999,13,CN345),CP345)</f>
        <v>21.714285714285712</v>
      </c>
      <c r="CT345" s="671">
        <f t="shared" ca="1" si="225"/>
        <v>5.5785714285714283</v>
      </c>
      <c r="CU345" s="1123">
        <f>MATCH(CZ352,'Resource use and costs'!$BA$11:$BA$53,0)</f>
        <v>40</v>
      </c>
      <c r="CV345" s="1223"/>
      <c r="CW345" s="1241">
        <f t="shared" si="220"/>
        <v>1</v>
      </c>
      <c r="CX345" s="899" t="s">
        <v>773</v>
      </c>
      <c r="CY345" s="899" t="s">
        <v>581</v>
      </c>
      <c r="CZ345" s="899" t="s">
        <v>319</v>
      </c>
      <c r="DA345" s="899" t="s">
        <v>118</v>
      </c>
      <c r="DB345" s="899" t="s">
        <v>765</v>
      </c>
      <c r="DC345" s="899" cm="1">
        <f t="array" aca="1" ref="DC345" ca="1">_xlfn.IFNA(OFFSET($I$49,MATCH(CY345,$I$50:$I$63,0),MATCH(CZ345,TRANSPOSE($J$49:$W$49),0)),0)</f>
        <v>9.3203607315270554E-2</v>
      </c>
      <c r="DD345" s="899" cm="1">
        <f t="array" aca="1" ref="DD345" ca="1">_xlfn.IFNA(OFFSET($Y$49,MATCH($CZ345,$Y$50:$Y$63,0),MATCH($DA345,TRANSPOSE($Z$49:$AM$49),0)),0)</f>
        <v>0.3286</v>
      </c>
      <c r="DE345" s="899" cm="1">
        <f t="array" aca="1" ref="DE345" ca="1">_xlfn.IFNA(OFFSET($AO$49,MATCH($DA345,$AO$50:$AO$63,0),MATCH($DB345,TRANSPOSE($AP$49:$BC$49),0)),0)</f>
        <v>0.43140000000000001</v>
      </c>
      <c r="DF345" s="881">
        <f t="shared" ca="1" si="226"/>
        <v>1.3212360693942417E-2</v>
      </c>
      <c r="DG345" s="910">
        <f t="shared" ca="1" si="218"/>
        <v>1.3688916152634338</v>
      </c>
      <c r="DH345" s="881">
        <f t="shared" ca="1" si="227"/>
        <v>1.8086289771773938E-2</v>
      </c>
      <c r="DI345" s="1460">
        <f t="shared" ca="1" si="214"/>
        <v>5.588663539478147</v>
      </c>
      <c r="DJ345" s="909">
        <f>_xlfn.IFNA(INDEX('Resource use and costs'!$CQ$11:$CQ$53,MATCH($CZ345,'Resource use and costs'!$BA$11:$BA$53,0)),0)*_xlfn.IFNA(INDEX(DY$10:DY$23,MATCH($CZ345,$DX$10:$DX$23,0)),0)</f>
        <v>20680.612971428574</v>
      </c>
      <c r="DK345" s="909">
        <f>IF(dd_PartSA_2_lines = "Yes",0,_xlfn.IFNA(INDEX('Resource use and costs'!$CR$11:$CR$53,MATCH(DA345,'Resource use and costs'!$BA$11:$BA$53,0)),0)*_xlfn.IFNA(INDEX(EA$10:EA$23,MATCH($DA345,$DX$10:$DX$23,0)),0))</f>
        <v>50308.075122000002</v>
      </c>
      <c r="DL345" s="909">
        <f>IF(dd_PartSA_2_lines = "Yes",0,_xlfn.IFNA(INDEX('Resource use and costs'!$CS$11:$CS$53,MATCH(DB345,'Resource use and costs'!$BA$11:$BA$53,0)),0)*_xlfn.IFNA(INDEX(EC$10:EC$23,MATCH($DB345,$DX$10:$DX$23,0)),0))</f>
        <v>0</v>
      </c>
      <c r="DM345" s="909">
        <f t="shared" si="228"/>
        <v>70988.688093428573</v>
      </c>
      <c r="DN345" s="909">
        <f>SUM(_xlfn.IFNA(INDEX('Resource use and costs'!$DU$12:$DU$25,MATCH(CZ345,'Resource use and costs'!$DS$12:$DS$25,0)),0),_xlfn.IFNA(INDEX('Resource use and costs'!$DU$12:$DU$25,MATCH(DA345,'Resource use and costs'!$DS$12:$DS$25,0)),0),_xlfn.IFNA(INDEX('Resource use and costs'!$DU$12:$DU$25,MATCH(DB345,'Resource use and costs'!$DS$12:$DS$25,0)),0))</f>
        <v>394.5</v>
      </c>
      <c r="DO345" s="921">
        <f>_xlfn.IFNA(INDEX('Resource use and costs'!$DY$12:$DY$25,MATCH(CZ345,'Resource use and costs'!$DS$12:$DS$25,0)),0)*_xlfn.IFNA(INDEX(DY$10:DY$23,MATCH($CZ345,$DX$10:$DX$23,0)),0)</f>
        <v>443.44394285714293</v>
      </c>
      <c r="DP345" s="921">
        <f>IF(dd_PartSA_2_lines = "Yes",0,_xlfn.IFNA(INDEX('Resource use and costs'!$DZ$12:$DZ$25,MATCH(DA345,'Resource use and costs'!$DS$12:$DS$25,0)),0)*_xlfn.IFNA(INDEX(EA$10:EA$23,MATCH($DA345,$DX$10:$DX$23,0)),0))</f>
        <v>461.1445457142857</v>
      </c>
      <c r="DQ345" s="921">
        <f>IF(dd_PartSA_2_lines = "Yes",0,_xlfn.IFNA(INDEX('Resource use and costs'!$EA$12:$EA$25,MATCH(DB345,'Resource use and costs'!$DS$12:$DS$25,0)),0)*_xlfn.IFNA(INDEX(EC$10:EC$23,MATCH($DB345,$DX$10:$DX$23,0)),0))</f>
        <v>0</v>
      </c>
      <c r="DR345" s="921">
        <f t="shared" si="229"/>
        <v>1299.0884885714286</v>
      </c>
      <c r="DS345" s="1004">
        <f ca="1">SUMIFS('Safety parameters'!$DM$6:$DM$18,'Safety parameters'!$DK$6:$DK$18,CZ345,'Safety parameters'!$DL$6:$DL$18,1)+IF(dd_PartSA_2_lines = "Yes",0,SUMIFS('Safety parameters'!$DM$6:$DM$18,'Safety parameters'!$DK$6:$DK$18,DA345,'Safety parameters'!$DL$6:$DL$18,2)+SUMIFS('Safety parameters'!$DM$6:$DM$18,'Safety parameters'!$DK$6:$DK$18,DB345,'Safety parameters'!$DL$6:$DL$18,2))</f>
        <v>1151.5853525014365</v>
      </c>
      <c r="DT345" s="910">
        <f ca="1">SUMIFS('Safety parameters'!$DO$6:$DO$18,'Safety parameters'!$DK$6:$DK$18,CZ345,'Safety parameters'!$DL$6:$DL$18,1)+IF(dd_PartSA_2_lines = "Yes",0,SUMIFS('Safety parameters'!$DO$6:$DO$18,'Safety parameters'!$DK$6:$DK$18,DA345,'Safety parameters'!$DL$6:$DL$18,2)+SUMIFS('Safety parameters'!$DO$6:$DO$18,'Safety parameters'!$DK$6:$DK$18,DB345,'Safety parameters'!$DL$6:$DL$18,2))</f>
        <v>-1.0476280996555235E-2</v>
      </c>
    </row>
    <row r="346" spans="89:124" ht="15" x14ac:dyDescent="0.2">
      <c r="CK346" s="61" t="s">
        <v>31</v>
      </c>
      <c r="CL346" s="61">
        <v>3</v>
      </c>
      <c r="CM346" s="61" t="str">
        <v>cabozantinib_plus_nivolumab</v>
      </c>
      <c r="CN346" s="17">
        <v>1</v>
      </c>
      <c r="CO346" s="61" t="str" cm="1">
        <f t="array" ref="CO346">INDEX(List_comparators,CP345+1)</f>
        <v>sunitinib</v>
      </c>
      <c r="CP346" s="17">
        <v>7</v>
      </c>
      <c r="CQ346" s="601">
        <f t="shared" ca="1" si="223"/>
        <v>0</v>
      </c>
      <c r="CR346" s="601">
        <f t="shared" ca="1" si="224"/>
        <v>0</v>
      </c>
      <c r="CS346" s="671">
        <f t="shared" ca="1" si="230"/>
        <v>21.714285714285712</v>
      </c>
      <c r="CT346" s="671">
        <f t="shared" ca="1" si="225"/>
        <v>5.5785714285714283</v>
      </c>
      <c r="CU346" s="1123">
        <f>MATCH(CZ353,'Resource use and costs'!$BA$11:$BA$53,0)</f>
        <v>40</v>
      </c>
      <c r="CV346" s="1223"/>
      <c r="CW346" s="1241">
        <f t="shared" si="220"/>
        <v>1</v>
      </c>
      <c r="CX346" s="899" t="s">
        <v>773</v>
      </c>
      <c r="CY346" s="899" t="s">
        <v>581</v>
      </c>
      <c r="CZ346" s="899" t="s">
        <v>319</v>
      </c>
      <c r="DA346" s="899" t="s">
        <v>118</v>
      </c>
      <c r="DB346" s="899" t="s">
        <v>119</v>
      </c>
      <c r="DC346" s="899" cm="1">
        <f t="array" aca="1" ref="DC346" ca="1">_xlfn.IFNA(OFFSET($I$49,MATCH(CY346,$I$50:$I$63,0),MATCH(CZ346,TRANSPOSE($J$49:$W$49),0)),0)</f>
        <v>9.3203607315270554E-2</v>
      </c>
      <c r="DD346" s="899" cm="1">
        <f t="array" aca="1" ref="DD346" ca="1">_xlfn.IFNA(OFFSET($Y$49,MATCH($CZ346,$Y$50:$Y$63,0),MATCH($DA346,TRANSPOSE($Z$49:$AM$49),0)),0)</f>
        <v>0.3286</v>
      </c>
      <c r="DE346" s="899" cm="1">
        <f t="array" aca="1" ref="DE346" ca="1">_xlfn.IFNA(OFFSET($AO$49,MATCH($DA346,$AO$50:$AO$63,0),MATCH($DB346,TRANSPOSE($AP$49:$BC$49),0)),0)</f>
        <v>0.18090000000000001</v>
      </c>
      <c r="DF346" s="881">
        <f t="shared" ca="1" si="226"/>
        <v>5.5403710003110417E-3</v>
      </c>
      <c r="DG346" s="910">
        <f t="shared" ca="1" si="218"/>
        <v>1.3688916152634338</v>
      </c>
      <c r="DH346" s="881">
        <f t="shared" ca="1" si="227"/>
        <v>7.5841674077744689E-3</v>
      </c>
      <c r="DI346" s="1460">
        <f t="shared" ca="1" si="214"/>
        <v>2.3435077290023107</v>
      </c>
      <c r="DJ346" s="909">
        <f>_xlfn.IFNA(INDEX('Resource use and costs'!$CQ$11:$CQ$53,MATCH($CZ346,'Resource use and costs'!$BA$11:$BA$53,0)),0)*_xlfn.IFNA(INDEX(DY$10:DY$23,MATCH($CZ346,$DX$10:$DX$23,0)),0)</f>
        <v>20680.612971428574</v>
      </c>
      <c r="DK346" s="909">
        <f>IF(dd_PartSA_2_lines = "Yes",0,_xlfn.IFNA(INDEX('Resource use and costs'!$CR$11:$CR$53,MATCH(DA346,'Resource use and costs'!$BA$11:$BA$53,0)),0)*_xlfn.IFNA(INDEX(EA$10:EA$23,MATCH($DA346,$DX$10:$DX$23,0)),0))</f>
        <v>50308.075122000002</v>
      </c>
      <c r="DL346" s="909">
        <f>IF(dd_PartSA_2_lines = "Yes",0,_xlfn.IFNA(INDEX('Resource use and costs'!$CS$11:$CS$53,MATCH(DB346,'Resource use and costs'!$BA$11:$BA$53,0)),0)*_xlfn.IFNA(INDEX(EC$10:EC$23,MATCH($DB346,$DX$10:$DX$23,0)),0))</f>
        <v>2915.4763433333328</v>
      </c>
      <c r="DM346" s="909">
        <f t="shared" si="228"/>
        <v>73904.164436761901</v>
      </c>
      <c r="DN346" s="909">
        <f>SUM(_xlfn.IFNA(INDEX('Resource use and costs'!$DU$12:$DU$25,MATCH(CZ346,'Resource use and costs'!$DS$12:$DS$25,0)),0),_xlfn.IFNA(INDEX('Resource use and costs'!$DU$12:$DU$25,MATCH(DA346,'Resource use and costs'!$DS$12:$DS$25,0)),0),_xlfn.IFNA(INDEX('Resource use and costs'!$DU$12:$DU$25,MATCH(DB346,'Resource use and costs'!$DS$12:$DS$25,0)),0))</f>
        <v>591.75</v>
      </c>
      <c r="DO346" s="921">
        <f>_xlfn.IFNA(INDEX('Resource use and costs'!$DY$12:$DY$25,MATCH(CZ346,'Resource use and costs'!$DS$12:$DS$25,0)),0)*_xlfn.IFNA(INDEX(DY$10:DY$23,MATCH($CZ346,$DX$10:$DX$23,0)),0)</f>
        <v>443.44394285714293</v>
      </c>
      <c r="DP346" s="921">
        <f>IF(dd_PartSA_2_lines = "Yes",0,_xlfn.IFNA(INDEX('Resource use and costs'!$DZ$12:$DZ$25,MATCH(DA346,'Resource use and costs'!$DS$12:$DS$25,0)),0)*_xlfn.IFNA(INDEX(EA$10:EA$23,MATCH($DA346,$DX$10:$DX$23,0)),0))</f>
        <v>461.1445457142857</v>
      </c>
      <c r="DQ346" s="921">
        <f>IF(dd_PartSA_2_lines = "Yes",0,_xlfn.IFNA(INDEX('Resource use and costs'!$EA$12:$EA$25,MATCH(DB346,'Resource use and costs'!$DS$12:$DS$25,0)),0)*_xlfn.IFNA(INDEX(EC$10:EC$23,MATCH($DB346,$DX$10:$DX$23,0)),0))</f>
        <v>256.11457142857142</v>
      </c>
      <c r="DR346" s="921">
        <f t="shared" si="229"/>
        <v>1752.4530600000001</v>
      </c>
      <c r="DS346" s="1004">
        <f ca="1">SUMIFS('Safety parameters'!$DM$6:$DM$18,'Safety parameters'!$DK$6:$DK$18,CZ346,'Safety parameters'!$DL$6:$DL$18,1)+IF(dd_PartSA_2_lines = "Yes",0,SUMIFS('Safety parameters'!$DM$6:$DM$18,'Safety parameters'!$DK$6:$DK$18,DA346,'Safety parameters'!$DL$6:$DL$18,2)+SUMIFS('Safety parameters'!$DM$6:$DM$18,'Safety parameters'!$DK$6:$DK$18,DB346,'Safety parameters'!$DL$6:$DL$18,2))</f>
        <v>1484.4607358767514</v>
      </c>
      <c r="DT346" s="910">
        <f ca="1">SUMIFS('Safety parameters'!$DO$6:$DO$18,'Safety parameters'!$DK$6:$DK$18,CZ346,'Safety parameters'!$DL$6:$DL$18,1)+IF(dd_PartSA_2_lines = "Yes",0,SUMIFS('Safety parameters'!$DO$6:$DO$18,'Safety parameters'!$DK$6:$DK$18,DA346,'Safety parameters'!$DL$6:$DL$18,2)+SUMIFS('Safety parameters'!$DO$6:$DO$18,'Safety parameters'!$DK$6:$DK$18,DB346,'Safety parameters'!$DL$6:$DL$18,2))</f>
        <v>-1.3143854533192955E-2</v>
      </c>
    </row>
    <row r="347" spans="89:124" ht="15" x14ac:dyDescent="0.2">
      <c r="CK347" s="61" t="s">
        <v>31</v>
      </c>
      <c r="CL347" s="61">
        <v>3</v>
      </c>
      <c r="CM347" s="61" t="str">
        <v>nivolumab_plus_ipilimumab</v>
      </c>
      <c r="CN347" s="17">
        <v>2</v>
      </c>
      <c r="CO347" s="61" t="str" cm="1">
        <f t="array" ref="CO347">INDEX(List_comparators,CP346+1)</f>
        <v>sunitinib</v>
      </c>
      <c r="CP347" s="17">
        <v>7</v>
      </c>
      <c r="CQ347" s="601">
        <f t="shared" ca="1" si="223"/>
        <v>0</v>
      </c>
      <c r="CR347" s="601">
        <f t="shared" ca="1" si="224"/>
        <v>0</v>
      </c>
      <c r="CS347" s="671">
        <f t="shared" ca="1" si="230"/>
        <v>21.714285714285712</v>
      </c>
      <c r="CT347" s="671">
        <f t="shared" ca="1" si="225"/>
        <v>5.5785714285714283</v>
      </c>
      <c r="CU347" s="1123">
        <f>MATCH(CZ354,'Resource use and costs'!$BA$11:$BA$53,0)</f>
        <v>40</v>
      </c>
      <c r="CV347" s="1223"/>
      <c r="CW347" s="1241">
        <f t="shared" si="220"/>
        <v>1</v>
      </c>
      <c r="CX347" s="899" t="s">
        <v>773</v>
      </c>
      <c r="CY347" s="899" t="s">
        <v>581</v>
      </c>
      <c r="CZ347" s="899" t="s">
        <v>319</v>
      </c>
      <c r="DA347" s="899" t="s">
        <v>119</v>
      </c>
      <c r="DB347" s="899" t="s">
        <v>327</v>
      </c>
      <c r="DC347" s="899" cm="1">
        <f t="array" aca="1" ref="DC347" ca="1">_xlfn.IFNA(OFFSET($I$49,MATCH(CY347,$I$50:$I$63,0),MATCH(CZ347,TRANSPOSE($J$49:$W$49),0)),0)</f>
        <v>9.3203607315270554E-2</v>
      </c>
      <c r="DD347" s="899" cm="1">
        <f t="array" aca="1" ref="DD347" ca="1">_xlfn.IFNA(OFFSET($Y$49,MATCH($CZ347,$Y$50:$Y$63,0),MATCH($DA347,TRANSPOSE($Z$49:$AM$49),0)),0)</f>
        <v>4.6899999999999997E-2</v>
      </c>
      <c r="DE347" s="899" cm="1">
        <f t="array" aca="1" ref="DE347" ca="1">_xlfn.IFNA(OFFSET($AO$49,MATCH($DA347,$AO$50:$AO$63,0),MATCH($DB347,TRANSPOSE($AP$49:$BC$49),0)),0)</f>
        <v>0</v>
      </c>
      <c r="DF347" s="881">
        <f t="shared" ca="1" si="226"/>
        <v>0</v>
      </c>
      <c r="DG347" s="910">
        <f t="shared" ca="1" si="218"/>
        <v>1.3688916152634338</v>
      </c>
      <c r="DH347" s="881">
        <f t="shared" ca="1" si="227"/>
        <v>0</v>
      </c>
      <c r="DI347" s="1460">
        <f t="shared" ca="1" si="214"/>
        <v>0</v>
      </c>
      <c r="DJ347" s="909">
        <f>_xlfn.IFNA(INDEX('Resource use and costs'!$CQ$11:$CQ$53,MATCH($CZ347,'Resource use and costs'!$BA$11:$BA$53,0)),0)*_xlfn.IFNA(INDEX(DY$10:DY$23,MATCH($CZ347,$DX$10:$DX$23,0)),0)</f>
        <v>20680.612971428574</v>
      </c>
      <c r="DK347" s="909">
        <f>IF(dd_PartSA_2_lines = "Yes",0,_xlfn.IFNA(INDEX('Resource use and costs'!$CR$11:$CR$53,MATCH(DA347,'Resource use and costs'!$BA$11:$BA$53,0)),0)*_xlfn.IFNA(INDEX(EA$10:EA$23,MATCH($DA347,$DX$10:$DX$23,0)),0))</f>
        <v>848.17532499999982</v>
      </c>
      <c r="DL347" s="909">
        <f>IF(dd_PartSA_2_lines = "Yes",0,_xlfn.IFNA(INDEX('Resource use and costs'!$CS$11:$CS$53,MATCH(DB347,'Resource use and costs'!$BA$11:$BA$53,0)),0)*_xlfn.IFNA(INDEX(EC$10:EC$23,MATCH($DB347,$DX$10:$DX$23,0)),0))</f>
        <v>18438.751749999999</v>
      </c>
      <c r="DM347" s="909">
        <f t="shared" si="228"/>
        <v>39967.540046428578</v>
      </c>
      <c r="DN347" s="909">
        <f>SUM(_xlfn.IFNA(INDEX('Resource use and costs'!$DU$12:$DU$25,MATCH(CZ347,'Resource use and costs'!$DS$12:$DS$25,0)),0),_xlfn.IFNA(INDEX('Resource use and costs'!$DU$12:$DU$25,MATCH(DA347,'Resource use and costs'!$DS$12:$DS$25,0)),0),_xlfn.IFNA(INDEX('Resource use and costs'!$DU$12:$DU$25,MATCH(DB347,'Resource use and costs'!$DS$12:$DS$25,0)),0))</f>
        <v>591.75</v>
      </c>
      <c r="DO347" s="921">
        <f>_xlfn.IFNA(INDEX('Resource use and costs'!$DY$12:$DY$25,MATCH(CZ347,'Resource use and costs'!$DS$12:$DS$25,0)),0)*_xlfn.IFNA(INDEX(DY$10:DY$23,MATCH($CZ347,$DX$10:$DX$23,0)),0)</f>
        <v>443.44394285714293</v>
      </c>
      <c r="DP347" s="921">
        <f>IF(dd_PartSA_2_lines = "Yes",0,_xlfn.IFNA(INDEX('Resource use and costs'!$DZ$12:$DZ$25,MATCH(DA347,'Resource use and costs'!$DS$12:$DS$25,0)),0)*_xlfn.IFNA(INDEX(EA$10:EA$23,MATCH($DA347,$DX$10:$DX$23,0)),0))</f>
        <v>74.50928571428571</v>
      </c>
      <c r="DQ347" s="921">
        <f>IF(dd_PartSA_2_lines = "Yes",0,_xlfn.IFNA(INDEX('Resource use and costs'!$EA$12:$EA$25,MATCH(DB347,'Resource use and costs'!$DS$12:$DS$25,0)),0)*_xlfn.IFNA(INDEX(EC$10:EC$23,MATCH($DB347,$DX$10:$DX$23,0)),0))</f>
        <v>230.68099999999998</v>
      </c>
      <c r="DR347" s="921">
        <f t="shared" si="229"/>
        <v>1340.3842285714286</v>
      </c>
      <c r="DS347" s="1004">
        <f ca="1">SUMIFS('Safety parameters'!$DM$6:$DM$18,'Safety parameters'!$DK$6:$DK$18,CZ347,'Safety parameters'!$DL$6:$DL$18,1)+IF(dd_PartSA_2_lines = "Yes",0,SUMIFS('Safety parameters'!$DM$6:$DM$18,'Safety parameters'!$DK$6:$DK$18,DA347,'Safety parameters'!$DL$6:$DL$18,2)+SUMIFS('Safety parameters'!$DM$6:$DM$18,'Safety parameters'!$DK$6:$DK$18,DB347,'Safety parameters'!$DL$6:$DL$18,2))</f>
        <v>2375.0401096388277</v>
      </c>
      <c r="DT347" s="910">
        <f ca="1">SUMIFS('Safety parameters'!$DO$6:$DO$18,'Safety parameters'!$DK$6:$DK$18,CZ347,'Safety parameters'!$DL$6:$DL$18,1)+IF(dd_PartSA_2_lines = "Yes",0,SUMIFS('Safety parameters'!$DO$6:$DO$18,'Safety parameters'!$DK$6:$DK$18,DA347,'Safety parameters'!$DL$6:$DL$18,2)+SUMIFS('Safety parameters'!$DO$6:$DO$18,'Safety parameters'!$DK$6:$DK$18,DB347,'Safety parameters'!$DL$6:$DL$18,2))</f>
        <v>-2.0863452184438448E-2</v>
      </c>
    </row>
    <row r="348" spans="89:124" ht="15" x14ac:dyDescent="0.2">
      <c r="CK348" s="61" t="s">
        <v>31</v>
      </c>
      <c r="CL348" s="61">
        <v>3</v>
      </c>
      <c r="CM348" s="61" t="str">
        <v>lenvatinib_plus_pembrolizumab</v>
      </c>
      <c r="CN348" s="17">
        <v>3</v>
      </c>
      <c r="CO348" s="61" t="str" cm="1">
        <f t="array" ref="CO348">INDEX(List_comparators,CP347+1)</f>
        <v>sunitinib</v>
      </c>
      <c r="CP348" s="17">
        <v>7</v>
      </c>
      <c r="CQ348" s="601">
        <f t="shared" ca="1" si="223"/>
        <v>0</v>
      </c>
      <c r="CR348" s="601">
        <f t="shared" ca="1" si="224"/>
        <v>0</v>
      </c>
      <c r="CS348" s="671">
        <f t="shared" ca="1" si="230"/>
        <v>21.714285714285712</v>
      </c>
      <c r="CT348" s="671">
        <f t="shared" ca="1" si="225"/>
        <v>5.5785714285714283</v>
      </c>
      <c r="CU348" s="1123">
        <f>MATCH(CZ355,'Resource use and costs'!$BA$11:$BA$53,0)</f>
        <v>40</v>
      </c>
      <c r="CV348" s="1223"/>
      <c r="CW348" s="1241">
        <f t="shared" si="220"/>
        <v>1</v>
      </c>
      <c r="CX348" s="899" t="s">
        <v>773</v>
      </c>
      <c r="CY348" s="899" t="s">
        <v>581</v>
      </c>
      <c r="CZ348" s="899" t="s">
        <v>319</v>
      </c>
      <c r="DA348" s="899" t="s">
        <v>119</v>
      </c>
      <c r="DB348" s="899" t="s">
        <v>765</v>
      </c>
      <c r="DC348" s="899" cm="1">
        <f t="array" aca="1" ref="DC348" ca="1">_xlfn.IFNA(OFFSET($I$49,MATCH(CY348,$I$50:$I$63,0),MATCH(CZ348,TRANSPOSE($J$49:$W$49),0)),0)</f>
        <v>9.3203607315270554E-2</v>
      </c>
      <c r="DD348" s="899" cm="1">
        <f t="array" aca="1" ref="DD348" ca="1">_xlfn.IFNA(OFFSET($Y$49,MATCH($CZ348,$Y$50:$Y$63,0),MATCH($DA348,TRANSPOSE($Z$49:$AM$49),0)),0)</f>
        <v>4.6899999999999997E-2</v>
      </c>
      <c r="DE348" s="899" cm="1">
        <f t="array" aca="1" ref="DE348" ca="1">_xlfn.IFNA(OFFSET($AO$49,MATCH($DA348,$AO$50:$AO$63,0),MATCH($DB348,TRANSPOSE($AP$49:$BC$49),0)),0)</f>
        <v>1</v>
      </c>
      <c r="DF348" s="881">
        <f t="shared" ca="1" si="226"/>
        <v>4.3712491830861884E-3</v>
      </c>
      <c r="DG348" s="910">
        <f t="shared" ca="1" si="218"/>
        <v>1.3688916152634338</v>
      </c>
      <c r="DH348" s="881">
        <f t="shared" ca="1" si="227"/>
        <v>5.9837663549538178E-3</v>
      </c>
      <c r="DI348" s="1460">
        <f t="shared" ca="1" si="214"/>
        <v>1.8489838036807298</v>
      </c>
      <c r="DJ348" s="909">
        <f>_xlfn.IFNA(INDEX('Resource use and costs'!$CQ$11:$CQ$53,MATCH($CZ348,'Resource use and costs'!$BA$11:$BA$53,0)),0)*_xlfn.IFNA(INDEX(DY$10:DY$23,MATCH($CZ348,$DX$10:$DX$23,0)),0)</f>
        <v>20680.612971428574</v>
      </c>
      <c r="DK348" s="909">
        <f>IF(dd_PartSA_2_lines = "Yes",0,_xlfn.IFNA(INDEX('Resource use and costs'!$CR$11:$CR$53,MATCH(DA348,'Resource use and costs'!$BA$11:$BA$53,0)),0)*_xlfn.IFNA(INDEX(EA$10:EA$23,MATCH($DA348,$DX$10:$DX$23,0)),0))</f>
        <v>848.17532499999982</v>
      </c>
      <c r="DL348" s="909">
        <f>IF(dd_PartSA_2_lines = "Yes",0,_xlfn.IFNA(INDEX('Resource use and costs'!$CS$11:$CS$53,MATCH(DB348,'Resource use and costs'!$BA$11:$BA$53,0)),0)*_xlfn.IFNA(INDEX(EC$10:EC$23,MATCH($DB348,$DX$10:$DX$23,0)),0))</f>
        <v>0</v>
      </c>
      <c r="DM348" s="909">
        <f t="shared" si="228"/>
        <v>21528.788296428575</v>
      </c>
      <c r="DN348" s="909">
        <f>SUM(_xlfn.IFNA(INDEX('Resource use and costs'!$DU$12:$DU$25,MATCH(CZ348,'Resource use and costs'!$DS$12:$DS$25,0)),0),_xlfn.IFNA(INDEX('Resource use and costs'!$DU$12:$DU$25,MATCH(DA348,'Resource use and costs'!$DS$12:$DS$25,0)),0),_xlfn.IFNA(INDEX('Resource use and costs'!$DU$12:$DU$25,MATCH(DB348,'Resource use and costs'!$DS$12:$DS$25,0)),0))</f>
        <v>394.5</v>
      </c>
      <c r="DO348" s="921">
        <f>_xlfn.IFNA(INDEX('Resource use and costs'!$DY$12:$DY$25,MATCH(CZ348,'Resource use and costs'!$DS$12:$DS$25,0)),0)*_xlfn.IFNA(INDEX(DY$10:DY$23,MATCH($CZ348,$DX$10:$DX$23,0)),0)</f>
        <v>443.44394285714293</v>
      </c>
      <c r="DP348" s="921">
        <f>IF(dd_PartSA_2_lines = "Yes",0,_xlfn.IFNA(INDEX('Resource use and costs'!$DZ$12:$DZ$25,MATCH(DA348,'Resource use and costs'!$DS$12:$DS$25,0)),0)*_xlfn.IFNA(INDEX(EA$10:EA$23,MATCH($DA348,$DX$10:$DX$23,0)),0))</f>
        <v>74.50928571428571</v>
      </c>
      <c r="DQ348" s="921">
        <f>IF(dd_PartSA_2_lines = "Yes",0,_xlfn.IFNA(INDEX('Resource use and costs'!$EA$12:$EA$25,MATCH(DB348,'Resource use and costs'!$DS$12:$DS$25,0)),0)*_xlfn.IFNA(INDEX(EC$10:EC$23,MATCH($DB348,$DX$10:$DX$23,0)),0))</f>
        <v>0</v>
      </c>
      <c r="DR348" s="921">
        <f t="shared" si="229"/>
        <v>912.45322857142867</v>
      </c>
      <c r="DS348" s="1004">
        <f ca="1">SUMIFS('Safety parameters'!$DM$6:$DM$18,'Safety parameters'!$DK$6:$DK$18,CZ348,'Safety parameters'!$DL$6:$DL$18,1)+IF(dd_PartSA_2_lines = "Yes",0,SUMIFS('Safety parameters'!$DM$6:$DM$18,'Safety parameters'!$DK$6:$DK$18,DA348,'Safety parameters'!$DL$6:$DL$18,2)+SUMIFS('Safety parameters'!$DM$6:$DM$18,'Safety parameters'!$DK$6:$DK$18,DB348,'Safety parameters'!$DL$6:$DL$18,2))</f>
        <v>740.81143607336799</v>
      </c>
      <c r="DT348" s="910">
        <f ca="1">SUMIFS('Safety parameters'!$DO$6:$DO$18,'Safety parameters'!$DK$6:$DK$18,CZ348,'Safety parameters'!$DL$6:$DL$18,1)+IF(dd_PartSA_2_lines = "Yes",0,SUMIFS('Safety parameters'!$DO$6:$DO$18,'Safety parameters'!$DK$6:$DK$18,DA348,'Safety parameters'!$DL$6:$DL$18,2)+SUMIFS('Safety parameters'!$DO$6:$DO$18,'Safety parameters'!$DK$6:$DK$18,DB348,'Safety parameters'!$DL$6:$DL$18,2))</f>
        <v>-6.1215281769570178E-3</v>
      </c>
    </row>
    <row r="349" spans="89:124" ht="15" x14ac:dyDescent="0.2">
      <c r="CK349" s="61" t="s">
        <v>31</v>
      </c>
      <c r="CL349" s="61">
        <v>3</v>
      </c>
      <c r="CM349" s="61" t="str">
        <v>avelumab_plus_axitinib</v>
      </c>
      <c r="CN349" s="17">
        <v>4</v>
      </c>
      <c r="CO349" s="61" t="str" cm="1">
        <f t="array" ref="CO349">INDEX(List_comparators,CP348+1)</f>
        <v>sunitinib</v>
      </c>
      <c r="CP349" s="17">
        <v>7</v>
      </c>
      <c r="CQ349" s="601">
        <f t="shared" ca="1" si="223"/>
        <v>0</v>
      </c>
      <c r="CR349" s="601">
        <f t="shared" ca="1" si="224"/>
        <v>0</v>
      </c>
      <c r="CS349" s="671">
        <f t="shared" ca="1" si="230"/>
        <v>21.714285714285712</v>
      </c>
      <c r="CT349" s="671">
        <f t="shared" ca="1" si="225"/>
        <v>5.5785714285714283</v>
      </c>
      <c r="CU349" s="1123">
        <f>MATCH(CZ356,'Resource use and costs'!$BA$11:$BA$53,0)</f>
        <v>40</v>
      </c>
      <c r="CV349" s="1223"/>
      <c r="CW349" s="1241">
        <f t="shared" si="220"/>
        <v>1</v>
      </c>
      <c r="CX349" s="899" t="s">
        <v>773</v>
      </c>
      <c r="CY349" s="899" t="s">
        <v>581</v>
      </c>
      <c r="CZ349" s="899" t="s">
        <v>319</v>
      </c>
      <c r="DA349" s="899" t="s">
        <v>333</v>
      </c>
      <c r="DB349" s="899" t="s">
        <v>327</v>
      </c>
      <c r="DC349" s="899" cm="1">
        <f t="array" aca="1" ref="DC349" ca="1">_xlfn.IFNA(OFFSET($I$49,MATCH(CY349,$I$50:$I$63,0),MATCH(CZ349,TRANSPOSE($J$49:$W$49),0)),0)</f>
        <v>9.3203607315270554E-2</v>
      </c>
      <c r="DD349" s="899" cm="1">
        <f t="array" aca="1" ref="DD349" ca="1">_xlfn.IFNA(OFFSET($Y$49,MATCH($CZ349,$Y$50:$Y$63,0),MATCH($DA349,TRANSPOSE($Z$49:$AM$49),0)),0)</f>
        <v>0</v>
      </c>
      <c r="DE349" s="899" cm="1">
        <f t="array" aca="1" ref="DE349" ca="1">_xlfn.IFNA(OFFSET($AO$49,MATCH($DA349,$AO$50:$AO$63,0),MATCH($DB349,TRANSPOSE($AP$49:$BC$49),0)),0)</f>
        <v>0.56859999999999999</v>
      </c>
      <c r="DF349" s="881">
        <f t="shared" ca="1" si="226"/>
        <v>0</v>
      </c>
      <c r="DG349" s="910">
        <f t="shared" ca="1" si="218"/>
        <v>1.3688916152634338</v>
      </c>
      <c r="DH349" s="881">
        <f t="shared" ca="1" si="227"/>
        <v>0</v>
      </c>
      <c r="DI349" s="1460">
        <f t="shared" ca="1" si="214"/>
        <v>0</v>
      </c>
      <c r="DJ349" s="909">
        <f>_xlfn.IFNA(INDEX('Resource use and costs'!$CQ$11:$CQ$53,MATCH($CZ349,'Resource use and costs'!$BA$11:$BA$53,0)),0)*_xlfn.IFNA(INDEX(DY$10:DY$23,MATCH($CZ349,$DX$10:$DX$23,0)),0)</f>
        <v>20680.612971428574</v>
      </c>
      <c r="DK349" s="909">
        <f>IF(dd_PartSA_2_lines = "Yes",0,_xlfn.IFNA(INDEX('Resource use and costs'!$CR$11:$CR$53,MATCH(DA349,'Resource use and costs'!$BA$11:$BA$53,0)),0)*_xlfn.IFNA(INDEX(EA$10:EA$23,MATCH($DA349,$DX$10:$DX$23,0)),0))</f>
        <v>24337.716731999997</v>
      </c>
      <c r="DL349" s="909">
        <f>IF(dd_PartSA_2_lines = "Yes",0,_xlfn.IFNA(INDEX('Resource use and costs'!$CS$11:$CS$53,MATCH(DB349,'Resource use and costs'!$BA$11:$BA$53,0)),0)*_xlfn.IFNA(INDEX(EC$10:EC$23,MATCH($DB349,$DX$10:$DX$23,0)),0))</f>
        <v>18438.751749999999</v>
      </c>
      <c r="DM349" s="909">
        <f t="shared" si="228"/>
        <v>63457.081453428575</v>
      </c>
      <c r="DN349" s="909">
        <f>SUM(_xlfn.IFNA(INDEX('Resource use and costs'!$DU$12:$DU$25,MATCH(CZ349,'Resource use and costs'!$DS$12:$DS$25,0)),0),_xlfn.IFNA(INDEX('Resource use and costs'!$DU$12:$DU$25,MATCH(DA349,'Resource use and costs'!$DS$12:$DS$25,0)),0),_xlfn.IFNA(INDEX('Resource use and costs'!$DU$12:$DU$25,MATCH(DB349,'Resource use and costs'!$DS$12:$DS$25,0)),0))</f>
        <v>591.75</v>
      </c>
      <c r="DO349" s="921">
        <f>_xlfn.IFNA(INDEX('Resource use and costs'!$DY$12:$DY$25,MATCH(CZ349,'Resource use and costs'!$DS$12:$DS$25,0)),0)*_xlfn.IFNA(INDEX(DY$10:DY$23,MATCH($CZ349,$DX$10:$DX$23,0)),0)</f>
        <v>443.44394285714293</v>
      </c>
      <c r="DP349" s="921">
        <f>IF(dd_PartSA_2_lines = "Yes",0,_xlfn.IFNA(INDEX('Resource use and costs'!$DZ$12:$DZ$25,MATCH(DA349,'Resource use and costs'!$DS$12:$DS$25,0)),0)*_xlfn.IFNA(INDEX(EA$10:EA$23,MATCH($DA349,$DX$10:$DX$23,0)),0))</f>
        <v>363.04714285714283</v>
      </c>
      <c r="DQ349" s="921">
        <f>IF(dd_PartSA_2_lines = "Yes",0,_xlfn.IFNA(INDEX('Resource use and costs'!$EA$12:$EA$25,MATCH(DB349,'Resource use and costs'!$DS$12:$DS$25,0)),0)*_xlfn.IFNA(INDEX(EC$10:EC$23,MATCH($DB349,$DX$10:$DX$23,0)),0))</f>
        <v>230.68099999999998</v>
      </c>
      <c r="DR349" s="921">
        <f t="shared" si="229"/>
        <v>1628.9220857142859</v>
      </c>
      <c r="DS349" s="1004">
        <f ca="1">SUMIFS('Safety parameters'!$DM$6:$DM$18,'Safety parameters'!$DK$6:$DK$18,CZ349,'Safety parameters'!$DL$6:$DL$18,1)+IF(dd_PartSA_2_lines = "Yes",0,SUMIFS('Safety parameters'!$DM$6:$DM$18,'Safety parameters'!$DK$6:$DK$18,DA349,'Safety parameters'!$DL$6:$DL$18,2)+SUMIFS('Safety parameters'!$DM$6:$DM$18,'Safety parameters'!$DK$6:$DK$18,DB349,'Safety parameters'!$DL$6:$DL$18,2))</f>
        <v>2985.0353470465184</v>
      </c>
      <c r="DT349" s="910">
        <f ca="1">SUMIFS('Safety parameters'!$DO$6:$DO$18,'Safety parameters'!$DK$6:$DK$18,CZ349,'Safety parameters'!$DL$6:$DL$18,1)+IF(dd_PartSA_2_lines = "Yes",0,SUMIFS('Safety parameters'!$DO$6:$DO$18,'Safety parameters'!$DK$6:$DK$18,DA349,'Safety parameters'!$DL$6:$DL$18,2)+SUMIFS('Safety parameters'!$DO$6:$DO$18,'Safety parameters'!$DK$6:$DK$18,DB349,'Safety parameters'!$DL$6:$DL$18,2))</f>
        <v>-2.7838629329416213E-2</v>
      </c>
    </row>
    <row r="350" spans="89:124" ht="15" x14ac:dyDescent="0.2">
      <c r="CK350" s="61" t="s">
        <v>31</v>
      </c>
      <c r="CL350" s="61">
        <v>3</v>
      </c>
      <c r="CM350" s="61" t="str">
        <v>pazopanib</v>
      </c>
      <c r="CN350" s="17">
        <v>5</v>
      </c>
      <c r="CO350" s="61" t="str" cm="1">
        <f t="array" ref="CO350">INDEX(List_comparators,CP349+1)</f>
        <v>sunitinib</v>
      </c>
      <c r="CP350" s="17">
        <v>7</v>
      </c>
      <c r="CQ350" s="601">
        <f t="shared" ca="1" si="223"/>
        <v>0.16420000000000001</v>
      </c>
      <c r="CR350" s="601">
        <f t="shared" ca="1" si="224"/>
        <v>1.6420000000000001E-2</v>
      </c>
      <c r="CS350" s="671">
        <f t="shared" ca="1" si="230"/>
        <v>21.714285714285712</v>
      </c>
      <c r="CT350" s="671">
        <f t="shared" ca="1" si="225"/>
        <v>5.5785714285714283</v>
      </c>
      <c r="CU350" s="1123" t="e">
        <f>MATCH(CZ357,'Resource use and costs'!$BA$11:$BA$53,0)</f>
        <v>#N/A</v>
      </c>
      <c r="CV350" s="1223"/>
      <c r="CW350" s="1241">
        <f t="shared" si="220"/>
        <v>1</v>
      </c>
      <c r="CX350" s="899" t="s">
        <v>773</v>
      </c>
      <c r="CY350" s="899" t="s">
        <v>581</v>
      </c>
      <c r="CZ350" s="899" t="s">
        <v>319</v>
      </c>
      <c r="DA350" s="899" t="s">
        <v>333</v>
      </c>
      <c r="DB350" s="899" t="s">
        <v>765</v>
      </c>
      <c r="DC350" s="899" cm="1">
        <f t="array" aca="1" ref="DC350" ca="1">_xlfn.IFNA(OFFSET($I$49,MATCH(CY350,$I$50:$I$63,0),MATCH(CZ350,TRANSPOSE($J$49:$W$49),0)),0)</f>
        <v>9.3203607315270554E-2</v>
      </c>
      <c r="DD350" s="899" cm="1">
        <f t="array" aca="1" ref="DD350" ca="1">_xlfn.IFNA(OFFSET($Y$49,MATCH($CZ350,$Y$50:$Y$63,0),MATCH($DA350,TRANSPOSE($Z$49:$AM$49),0)),0)</f>
        <v>0</v>
      </c>
      <c r="DE350" s="899" cm="1">
        <f t="array" aca="1" ref="DE350" ca="1">_xlfn.IFNA(OFFSET($AO$49,MATCH($DA350,$AO$50:$AO$63,0),MATCH($DB350,TRANSPOSE($AP$49:$BC$49),0)),0)</f>
        <v>0.43140000000000001</v>
      </c>
      <c r="DF350" s="881">
        <f t="shared" ca="1" si="226"/>
        <v>0</v>
      </c>
      <c r="DG350" s="910">
        <f t="shared" ca="1" si="218"/>
        <v>1.3688916152634338</v>
      </c>
      <c r="DH350" s="881">
        <f t="shared" ca="1" si="227"/>
        <v>0</v>
      </c>
      <c r="DI350" s="1460">
        <f t="shared" ca="1" si="214"/>
        <v>0</v>
      </c>
      <c r="DJ350" s="909">
        <f>_xlfn.IFNA(INDEX('Resource use and costs'!$CQ$11:$CQ$53,MATCH($CZ350,'Resource use and costs'!$BA$11:$BA$53,0)),0)*_xlfn.IFNA(INDEX(DY$10:DY$23,MATCH($CZ350,$DX$10:$DX$23,0)),0)</f>
        <v>20680.612971428574</v>
      </c>
      <c r="DK350" s="909">
        <f>IF(dd_PartSA_2_lines = "Yes",0,_xlfn.IFNA(INDEX('Resource use and costs'!$CR$11:$CR$53,MATCH(DA350,'Resource use and costs'!$BA$11:$BA$53,0)),0)*_xlfn.IFNA(INDEX(EA$10:EA$23,MATCH($DA350,$DX$10:$DX$23,0)),0))</f>
        <v>24337.716731999997</v>
      </c>
      <c r="DL350" s="909">
        <f>IF(dd_PartSA_2_lines = "Yes",0,_xlfn.IFNA(INDEX('Resource use and costs'!$CS$11:$CS$53,MATCH(DB350,'Resource use and costs'!$BA$11:$BA$53,0)),0)*_xlfn.IFNA(INDEX(EC$10:EC$23,MATCH($DB350,$DX$10:$DX$23,0)),0))</f>
        <v>0</v>
      </c>
      <c r="DM350" s="909">
        <f t="shared" si="228"/>
        <v>45018.329703428572</v>
      </c>
      <c r="DN350" s="909">
        <f>SUM(_xlfn.IFNA(INDEX('Resource use and costs'!$DU$12:$DU$25,MATCH(CZ350,'Resource use and costs'!$DS$12:$DS$25,0)),0),_xlfn.IFNA(INDEX('Resource use and costs'!$DU$12:$DU$25,MATCH(DA350,'Resource use and costs'!$DS$12:$DS$25,0)),0),_xlfn.IFNA(INDEX('Resource use and costs'!$DU$12:$DU$25,MATCH(DB350,'Resource use and costs'!$DS$12:$DS$25,0)),0))</f>
        <v>394.5</v>
      </c>
      <c r="DO350" s="921">
        <f>_xlfn.IFNA(INDEX('Resource use and costs'!$DY$12:$DY$25,MATCH(CZ350,'Resource use and costs'!$DS$12:$DS$25,0)),0)*_xlfn.IFNA(INDEX(DY$10:DY$23,MATCH($CZ350,$DX$10:$DX$23,0)),0)</f>
        <v>443.44394285714293</v>
      </c>
      <c r="DP350" s="921">
        <f>IF(dd_PartSA_2_lines = "Yes",0,_xlfn.IFNA(INDEX('Resource use and costs'!$DZ$12:$DZ$25,MATCH(DA350,'Resource use and costs'!$DS$12:$DS$25,0)),0)*_xlfn.IFNA(INDEX(EA$10:EA$23,MATCH($DA350,$DX$10:$DX$23,0)),0))</f>
        <v>363.04714285714283</v>
      </c>
      <c r="DQ350" s="921">
        <f>IF(dd_PartSA_2_lines = "Yes",0,_xlfn.IFNA(INDEX('Resource use and costs'!$EA$12:$EA$25,MATCH(DB350,'Resource use and costs'!$DS$12:$DS$25,0)),0)*_xlfn.IFNA(INDEX(EC$10:EC$23,MATCH($DB350,$DX$10:$DX$23,0)),0))</f>
        <v>0</v>
      </c>
      <c r="DR350" s="921">
        <f t="shared" si="229"/>
        <v>1200.9910857142859</v>
      </c>
      <c r="DS350" s="1004">
        <f ca="1">SUMIFS('Safety parameters'!$DM$6:$DM$18,'Safety parameters'!$DK$6:$DK$18,CZ350,'Safety parameters'!$DL$6:$DL$18,1)+IF(dd_PartSA_2_lines = "Yes",0,SUMIFS('Safety parameters'!$DM$6:$DM$18,'Safety parameters'!$DK$6:$DK$18,DA350,'Safety parameters'!$DL$6:$DL$18,2)+SUMIFS('Safety parameters'!$DM$6:$DM$18,'Safety parameters'!$DK$6:$DK$18,DB350,'Safety parameters'!$DL$6:$DL$18,2))</f>
        <v>1350.8066734810589</v>
      </c>
      <c r="DT350" s="910">
        <f ca="1">SUMIFS('Safety parameters'!$DO$6:$DO$18,'Safety parameters'!$DK$6:$DK$18,CZ350,'Safety parameters'!$DL$6:$DL$18,1)+IF(dd_PartSA_2_lines = "Yes",0,SUMIFS('Safety parameters'!$DO$6:$DO$18,'Safety parameters'!$DK$6:$DK$18,DA350,'Safety parameters'!$DL$6:$DL$18,2)+SUMIFS('Safety parameters'!$DO$6:$DO$18,'Safety parameters'!$DK$6:$DK$18,DB350,'Safety parameters'!$DL$6:$DL$18,2))</f>
        <v>-1.3096705321934786E-2</v>
      </c>
    </row>
    <row r="351" spans="89:124" ht="15" x14ac:dyDescent="0.2">
      <c r="CK351" s="61" t="s">
        <v>31</v>
      </c>
      <c r="CL351" s="61">
        <v>3</v>
      </c>
      <c r="CM351" s="61" t="str">
        <v>tivozanib</v>
      </c>
      <c r="CN351" s="17">
        <v>6</v>
      </c>
      <c r="CO351" s="61" t="str" cm="1">
        <f t="array" ref="CO351">INDEX(List_comparators,CP350+1)</f>
        <v>sunitinib</v>
      </c>
      <c r="CP351" s="17">
        <v>7</v>
      </c>
      <c r="CQ351" s="601">
        <f t="shared" ca="1" si="223"/>
        <v>0</v>
      </c>
      <c r="CR351" s="601">
        <f t="shared" ca="1" si="224"/>
        <v>0</v>
      </c>
      <c r="CS351" s="671">
        <f t="shared" ca="1" si="230"/>
        <v>21.714285714285712</v>
      </c>
      <c r="CT351" s="671">
        <f t="shared" ca="1" si="225"/>
        <v>5.5785714285714283</v>
      </c>
      <c r="CU351" s="1123">
        <f>MATCH(CZ358,'Resource use and costs'!$BA$11:$BA$53,0)</f>
        <v>30</v>
      </c>
      <c r="CV351" s="1223"/>
      <c r="CW351" s="1241">
        <f t="shared" si="220"/>
        <v>1</v>
      </c>
      <c r="CX351" s="899" t="s">
        <v>773</v>
      </c>
      <c r="CY351" s="899" t="s">
        <v>585</v>
      </c>
      <c r="CZ351" s="899" t="s">
        <v>327</v>
      </c>
      <c r="DA351" s="899" t="s">
        <v>765</v>
      </c>
      <c r="DB351" s="899"/>
      <c r="DC351" s="899" cm="1">
        <f t="array" aca="1" ref="DC351" ca="1">_xlfn.IFNA(OFFSET($I$49,MATCH(CY351,$I$50:$I$63,0),MATCH(CZ351,TRANSPOSE($J$49:$W$49),0)),0)</f>
        <v>1.0300000000000002E-2</v>
      </c>
      <c r="DD351" s="899" cm="1">
        <f t="array" aca="1" ref="DD351" ca="1">_xlfn.IFNA(OFFSET($Y$49,MATCH($CZ351,$Y$50:$Y$63,0),MATCH($DA351,TRANSPOSE($Z$49:$AM$49),0)),0)</f>
        <v>0.34300000000000003</v>
      </c>
      <c r="DE351" s="899" cm="1">
        <f t="array" aca="1" ref="DE351" ca="1">_xlfn.IFNA(OFFSET($AO$49,MATCH($DA351,$AO$50:$AO$63,0),MATCH($DB351,TRANSPOSE($AP$49:$BC$49),0)),0)</f>
        <v>0</v>
      </c>
      <c r="DF351" s="881">
        <f t="shared" ca="1" si="217"/>
        <v>3.5329000000000007E-3</v>
      </c>
      <c r="DG351" s="910">
        <f t="shared" ca="1" si="218"/>
        <v>1</v>
      </c>
      <c r="DH351" s="881">
        <f t="shared" ca="1" si="219"/>
        <v>3.5329000000000007E-3</v>
      </c>
      <c r="DI351" s="1460">
        <f t="shared" ref="DI351:DI387" ca="1" si="231">234*DH351</f>
        <v>0.82669860000000017</v>
      </c>
      <c r="DJ351" s="909">
        <f>_xlfn.IFNA(INDEX('Resource use and costs'!$CQ$11:$CQ$53,MATCH($CZ351,'Resource use and costs'!$BA$11:$BA$53,0)),0)*_xlfn.IFNA(INDEX(DY$10:DY$23,MATCH($CZ351,$DX$10:$DX$23,0)),0)</f>
        <v>19241.032205</v>
      </c>
      <c r="DK351" s="909">
        <f>IF(dd_PartSA_2_lines = "Yes",0,_xlfn.IFNA(INDEX('Resource use and costs'!$CR$11:$CR$53,MATCH(DA351,'Resource use and costs'!$BA$11:$BA$53,0)),0)*_xlfn.IFNA(INDEX(EA$10:EA$23,MATCH($DA351,$DX$10:$DX$23,0)),0))</f>
        <v>0</v>
      </c>
      <c r="DL351" s="909">
        <f>IF(dd_PartSA_2_lines = "Yes",0,_xlfn.IFNA(INDEX('Resource use and costs'!$CS$11:$CS$53,MATCH(DB351,'Resource use and costs'!$BA$11:$BA$53,0)),0)*_xlfn.IFNA(INDEX(EC$10:EC$23,MATCH($DB351,$DX$10:$DX$23,0)),0))</f>
        <v>0</v>
      </c>
      <c r="DM351" s="909">
        <f t="shared" si="221"/>
        <v>19241.032205</v>
      </c>
      <c r="DN351" s="909">
        <f>SUM(_xlfn.IFNA(INDEX('Resource use and costs'!$DU$12:$DU$25,MATCH(CZ351,'Resource use and costs'!$DS$12:$DS$25,0)),0),_xlfn.IFNA(INDEX('Resource use and costs'!$DU$12:$DU$25,MATCH(DA351,'Resource use and costs'!$DS$12:$DS$25,0)),0),_xlfn.IFNA(INDEX('Resource use and costs'!$DU$12:$DU$25,MATCH(DB351,'Resource use and costs'!$DS$12:$DS$25,0)),0))</f>
        <v>197.25</v>
      </c>
      <c r="DO351" s="921">
        <f>_xlfn.IFNA(INDEX('Resource use and costs'!$DY$12:$DY$25,MATCH(CZ351,'Resource use and costs'!$DS$12:$DS$25,0)),0)*_xlfn.IFNA(INDEX(DY$10:DY$23,MATCH($CZ351,$DX$10:$DX$23,0)),0)</f>
        <v>240.71806000000001</v>
      </c>
      <c r="DP351" s="921">
        <f>IF(dd_PartSA_2_lines = "Yes",0,_xlfn.IFNA(INDEX('Resource use and costs'!$DZ$12:$DZ$25,MATCH(DA351,'Resource use and costs'!$DS$12:$DS$25,0)),0)*_xlfn.IFNA(INDEX(EA$10:EA$23,MATCH($DA351,$DX$10:$DX$23,0)),0))</f>
        <v>0</v>
      </c>
      <c r="DQ351" s="921">
        <f>IF(dd_PartSA_2_lines = "Yes",0,_xlfn.IFNA(INDEX('Resource use and costs'!$EA$12:$EA$25,MATCH(DB351,'Resource use and costs'!$DS$12:$DS$25,0)),0)*_xlfn.IFNA(INDEX(EC$10:EC$23,MATCH($DB351,$DX$10:$DX$23,0)),0))</f>
        <v>0</v>
      </c>
      <c r="DR351" s="921">
        <f t="shared" si="222"/>
        <v>437.96806000000004</v>
      </c>
      <c r="DS351" s="1004">
        <f>SUMIFS('Safety parameters'!$DM$6:$DM$18,'Safety parameters'!$DK$6:$DK$18,CZ351,'Safety parameters'!$DL$6:$DL$18,1)+IF(dd_PartSA_2_lines = "Yes",0,SUMIFS('Safety parameters'!$DM$6:$DM$18,'Safety parameters'!$DK$6:$DK$18,DA351,'Safety parameters'!$DL$6:$DL$18,2)+SUMIFS('Safety parameters'!$DM$6:$DM$18,'Safety parameters'!$DK$6:$DK$18,DB351,'Safety parameters'!$DL$6:$DL$18,2))</f>
        <v>0</v>
      </c>
      <c r="DT351" s="910">
        <f>SUMIFS('Safety parameters'!$DO$6:$DO$18,'Safety parameters'!$DK$6:$DK$18,CZ351,'Safety parameters'!$DL$6:$DL$18,1)+IF(dd_PartSA_2_lines = "Yes",0,SUMIFS('Safety parameters'!$DO$6:$DO$18,'Safety parameters'!$DK$6:$DK$18,DA351,'Safety parameters'!$DL$6:$DL$18,2)+SUMIFS('Safety parameters'!$DO$6:$DO$18,'Safety parameters'!$DK$6:$DK$18,DB351,'Safety parameters'!$DL$6:$DL$18,2))</f>
        <v>0</v>
      </c>
    </row>
    <row r="352" spans="89:124" ht="15" x14ac:dyDescent="0.2">
      <c r="CK352" s="61" t="s">
        <v>31</v>
      </c>
      <c r="CL352" s="61">
        <v>3</v>
      </c>
      <c r="CM352" s="61" t="str">
        <v>sunitinib</v>
      </c>
      <c r="CN352" s="17">
        <v>7</v>
      </c>
      <c r="CO352" s="61" t="str" cm="1">
        <f t="array" ref="CO352">INDEX(List_comparators,CP351+1)</f>
        <v>sunitinib</v>
      </c>
      <c r="CP352" s="17">
        <v>7</v>
      </c>
      <c r="CQ352" s="601">
        <f t="shared" ca="1" si="223"/>
        <v>0</v>
      </c>
      <c r="CR352" s="601">
        <f t="shared" ca="1" si="224"/>
        <v>0</v>
      </c>
      <c r="CS352" s="671">
        <f t="shared" ca="1" si="230"/>
        <v>21.714285714285712</v>
      </c>
      <c r="CT352" s="671">
        <f t="shared" ca="1" si="225"/>
        <v>5.5785714285714283</v>
      </c>
      <c r="CU352" s="1123">
        <f>MATCH(CZ359,'Resource use and costs'!$BA$11:$BA$53,0)</f>
        <v>30</v>
      </c>
      <c r="CV352" s="1223"/>
      <c r="CW352" s="1241">
        <f t="shared" si="220"/>
        <v>1</v>
      </c>
      <c r="CX352" s="899" t="s">
        <v>773</v>
      </c>
      <c r="CY352" s="899" t="s">
        <v>585</v>
      </c>
      <c r="CZ352" s="899" t="s">
        <v>327</v>
      </c>
      <c r="DA352" s="899" t="s">
        <v>118</v>
      </c>
      <c r="DB352" s="899" t="s">
        <v>765</v>
      </c>
      <c r="DC352" s="899" cm="1">
        <f t="array" aca="1" ref="DC352" ca="1">_xlfn.IFNA(OFFSET($I$49,MATCH(CY352,$I$50:$I$63,0),MATCH(CZ352,TRANSPOSE($J$49:$W$49),0)),0)</f>
        <v>1.0300000000000002E-2</v>
      </c>
      <c r="DD352" s="899" cm="1">
        <f t="array" aca="1" ref="DD352" ca="1">_xlfn.IFNA(OFFSET($Y$49,MATCH($CZ352,$Y$50:$Y$63,0),MATCH($DA352,TRANSPOSE($Z$49:$AM$49),0)),0)</f>
        <v>0.32850000000000001</v>
      </c>
      <c r="DE352" s="899" cm="1">
        <f t="array" aca="1" ref="DE352" ca="1">_xlfn.IFNA(OFFSET($AO$49,MATCH($DA352,$AO$50:$AO$63,0),MATCH($DB352,TRANSPOSE($AP$49:$BC$49),0)),0)</f>
        <v>0.43140000000000001</v>
      </c>
      <c r="DF352" s="881">
        <f t="shared" ca="1" si="217"/>
        <v>1.4596634700000004E-3</v>
      </c>
      <c r="DG352" s="910">
        <f t="shared" ca="1" si="218"/>
        <v>1</v>
      </c>
      <c r="DH352" s="881">
        <f t="shared" ca="1" si="219"/>
        <v>1.4596634700000004E-3</v>
      </c>
      <c r="DI352" s="1460">
        <f t="shared" ca="1" si="231"/>
        <v>0.34156125198000009</v>
      </c>
      <c r="DJ352" s="909">
        <f>_xlfn.IFNA(INDEX('Resource use and costs'!$CQ$11:$CQ$53,MATCH($CZ352,'Resource use and costs'!$BA$11:$BA$53,0)),0)*_xlfn.IFNA(INDEX(DY$10:DY$23,MATCH($CZ352,$DX$10:$DX$23,0)),0)</f>
        <v>19241.032205</v>
      </c>
      <c r="DK352" s="909">
        <f>IF(dd_PartSA_2_lines = "Yes",0,_xlfn.IFNA(INDEX('Resource use and costs'!$CR$11:$CR$53,MATCH(DA352,'Resource use and costs'!$BA$11:$BA$53,0)),0)*_xlfn.IFNA(INDEX(EA$10:EA$23,MATCH($DA352,$DX$10:$DX$23,0)),0))</f>
        <v>50308.075122000002</v>
      </c>
      <c r="DL352" s="909">
        <f>IF(dd_PartSA_2_lines = "Yes",0,_xlfn.IFNA(INDEX('Resource use and costs'!$CS$11:$CS$53,MATCH(DB352,'Resource use and costs'!$BA$11:$BA$53,0)),0)*_xlfn.IFNA(INDEX(EC$10:EC$23,MATCH($DB352,$DX$10:$DX$23,0)),0))</f>
        <v>0</v>
      </c>
      <c r="DM352" s="909">
        <f t="shared" si="221"/>
        <v>69549.107327000005</v>
      </c>
      <c r="DN352" s="909">
        <f>SUM(_xlfn.IFNA(INDEX('Resource use and costs'!$DU$12:$DU$25,MATCH(CZ352,'Resource use and costs'!$DS$12:$DS$25,0)),0),_xlfn.IFNA(INDEX('Resource use and costs'!$DU$12:$DU$25,MATCH(DA352,'Resource use and costs'!$DS$12:$DS$25,0)),0),_xlfn.IFNA(INDEX('Resource use and costs'!$DU$12:$DU$25,MATCH(DB352,'Resource use and costs'!$DS$12:$DS$25,0)),0))</f>
        <v>394.5</v>
      </c>
      <c r="DO352" s="921">
        <f>_xlfn.IFNA(INDEX('Resource use and costs'!$DY$12:$DY$25,MATCH(CZ352,'Resource use and costs'!$DS$12:$DS$25,0)),0)*_xlfn.IFNA(INDEX(DY$10:DY$23,MATCH($CZ352,$DX$10:$DX$23,0)),0)</f>
        <v>240.71806000000001</v>
      </c>
      <c r="DP352" s="921">
        <f>IF(dd_PartSA_2_lines = "Yes",0,_xlfn.IFNA(INDEX('Resource use and costs'!$DZ$12:$DZ$25,MATCH(DA352,'Resource use and costs'!$DS$12:$DS$25,0)),0)*_xlfn.IFNA(INDEX(EA$10:EA$23,MATCH($DA352,$DX$10:$DX$23,0)),0))</f>
        <v>461.1445457142857</v>
      </c>
      <c r="DQ352" s="921">
        <f>IF(dd_PartSA_2_lines = "Yes",0,_xlfn.IFNA(INDEX('Resource use and costs'!$EA$12:$EA$25,MATCH(DB352,'Resource use and costs'!$DS$12:$DS$25,0)),0)*_xlfn.IFNA(INDEX(EC$10:EC$23,MATCH($DB352,$DX$10:$DX$23,0)),0))</f>
        <v>0</v>
      </c>
      <c r="DR352" s="921">
        <f t="shared" si="222"/>
        <v>1096.3626057142858</v>
      </c>
      <c r="DS352" s="1004">
        <f ca="1">SUMIFS('Safety parameters'!$DM$6:$DM$18,'Safety parameters'!$DK$6:$DK$18,CZ352,'Safety parameters'!$DL$6:$DL$18,1)+IF(dd_PartSA_2_lines = "Yes",0,SUMIFS('Safety parameters'!$DM$6:$DM$18,'Safety parameters'!$DK$6:$DK$18,DA352,'Safety parameters'!$DL$6:$DL$18,2)+SUMIFS('Safety parameters'!$DM$6:$DM$18,'Safety parameters'!$DK$6:$DK$18,DB352,'Safety parameters'!$DL$6:$DL$18,2))</f>
        <v>743.64929980338343</v>
      </c>
      <c r="DT352" s="910">
        <f ca="1">SUMIFS('Safety parameters'!$DO$6:$DO$18,'Safety parameters'!$DK$6:$DK$18,CZ352,'Safety parameters'!$DL$6:$DL$18,1)+IF(dd_PartSA_2_lines = "Yes",0,SUMIFS('Safety parameters'!$DO$6:$DO$18,'Safety parameters'!$DK$6:$DK$18,DA352,'Safety parameters'!$DL$6:$DL$18,2)+SUMIFS('Safety parameters'!$DO$6:$DO$18,'Safety parameters'!$DK$6:$DK$18,DB352,'Safety parameters'!$DL$6:$DL$18,2))</f>
        <v>-7.0223263562359372E-3</v>
      </c>
    </row>
    <row r="353" spans="89:124" ht="15" x14ac:dyDescent="0.2">
      <c r="CK353" s="61" t="s">
        <v>31</v>
      </c>
      <c r="CL353" s="61">
        <v>3</v>
      </c>
      <c r="CM353" s="61" t="str">
        <v>cabozantinib</v>
      </c>
      <c r="CN353" s="17">
        <v>8</v>
      </c>
      <c r="CO353" s="61" t="str" cm="1">
        <f t="array" ref="CO353">INDEX(List_comparators,CP352+1)</f>
        <v>sunitinib</v>
      </c>
      <c r="CP353" s="17">
        <v>7</v>
      </c>
      <c r="CQ353" s="601">
        <f t="shared" ca="1" si="223"/>
        <v>0</v>
      </c>
      <c r="CR353" s="601">
        <f t="shared" ca="1" si="224"/>
        <v>0</v>
      </c>
      <c r="CS353" s="671">
        <f t="shared" ca="1" si="230"/>
        <v>21.714285714285712</v>
      </c>
      <c r="CT353" s="671">
        <f t="shared" ca="1" si="225"/>
        <v>5.5785714285714283</v>
      </c>
      <c r="CU353" s="1123">
        <f>MATCH(CZ360,'Resource use and costs'!$BA$11:$BA$53,0)</f>
        <v>30</v>
      </c>
      <c r="CV353" s="1223"/>
      <c r="CW353" s="1241">
        <f t="shared" si="220"/>
        <v>1</v>
      </c>
      <c r="CX353" s="899" t="s">
        <v>773</v>
      </c>
      <c r="CY353" s="899" t="s">
        <v>585</v>
      </c>
      <c r="CZ353" s="899" t="s">
        <v>327</v>
      </c>
      <c r="DA353" s="899" t="s">
        <v>118</v>
      </c>
      <c r="DB353" s="899" t="s">
        <v>119</v>
      </c>
      <c r="DC353" s="899" cm="1">
        <f t="array" aca="1" ref="DC353" ca="1">_xlfn.IFNA(OFFSET($I$49,MATCH(CY353,$I$50:$I$63,0),MATCH(CZ353,TRANSPOSE($J$49:$W$49),0)),0)</f>
        <v>1.0300000000000002E-2</v>
      </c>
      <c r="DD353" s="899" cm="1">
        <f t="array" aca="1" ref="DD353" ca="1">_xlfn.IFNA(OFFSET($Y$49,MATCH($CZ353,$Y$50:$Y$63,0),MATCH($DA353,TRANSPOSE($Z$49:$AM$49),0)),0)</f>
        <v>0.32850000000000001</v>
      </c>
      <c r="DE353" s="899">
        <f ca="1">1-DE352</f>
        <v>0.56859999999999999</v>
      </c>
      <c r="DF353" s="881">
        <f t="shared" ca="1" si="217"/>
        <v>1.9238865300000004E-3</v>
      </c>
      <c r="DG353" s="910">
        <f t="shared" ca="1" si="218"/>
        <v>1</v>
      </c>
      <c r="DH353" s="881">
        <f t="shared" ca="1" si="219"/>
        <v>1.9238865300000004E-3</v>
      </c>
      <c r="DI353" s="1460">
        <f t="shared" ca="1" si="231"/>
        <v>0.4501894480200001</v>
      </c>
      <c r="DJ353" s="909">
        <f>_xlfn.IFNA(INDEX('Resource use and costs'!$CQ$11:$CQ$53,MATCH($CZ353,'Resource use and costs'!$BA$11:$BA$53,0)),0)*_xlfn.IFNA(INDEX(DY$10:DY$23,MATCH($CZ353,$DX$10:$DX$23,0)),0)</f>
        <v>19241.032205</v>
      </c>
      <c r="DK353" s="909">
        <f>IF(dd_PartSA_2_lines = "Yes",0,_xlfn.IFNA(INDEX('Resource use and costs'!$CR$11:$CR$53,MATCH(DA353,'Resource use and costs'!$BA$11:$BA$53,0)),0)*_xlfn.IFNA(INDEX(EA$10:EA$23,MATCH($DA353,$DX$10:$DX$23,0)),0))</f>
        <v>50308.075122000002</v>
      </c>
      <c r="DL353" s="909">
        <f>IF(dd_PartSA_2_lines = "Yes",0,_xlfn.IFNA(INDEX('Resource use and costs'!$CS$11:$CS$53,MATCH(DB353,'Resource use and costs'!$BA$11:$BA$53,0)),0)*_xlfn.IFNA(INDEX(EC$10:EC$23,MATCH($DB353,$DX$10:$DX$23,0)),0))</f>
        <v>2915.4763433333328</v>
      </c>
      <c r="DM353" s="909">
        <f t="shared" si="221"/>
        <v>72464.583670333333</v>
      </c>
      <c r="DN353" s="909">
        <f>SUM(_xlfn.IFNA(INDEX('Resource use and costs'!$DU$12:$DU$25,MATCH(CZ353,'Resource use and costs'!$DS$12:$DS$25,0)),0),_xlfn.IFNA(INDEX('Resource use and costs'!$DU$12:$DU$25,MATCH(DA353,'Resource use and costs'!$DS$12:$DS$25,0)),0),_xlfn.IFNA(INDEX('Resource use and costs'!$DU$12:$DU$25,MATCH(DB353,'Resource use and costs'!$DS$12:$DS$25,0)),0))</f>
        <v>591.75</v>
      </c>
      <c r="DO353" s="921">
        <f>_xlfn.IFNA(INDEX('Resource use and costs'!$DY$12:$DY$25,MATCH(CZ353,'Resource use and costs'!$DS$12:$DS$25,0)),0)*_xlfn.IFNA(INDEX(DY$10:DY$23,MATCH($CZ353,$DX$10:$DX$23,0)),0)</f>
        <v>240.71806000000001</v>
      </c>
      <c r="DP353" s="921">
        <f>IF(dd_PartSA_2_lines = "Yes",0,_xlfn.IFNA(INDEX('Resource use and costs'!$DZ$12:$DZ$25,MATCH(DA353,'Resource use and costs'!$DS$12:$DS$25,0)),0)*_xlfn.IFNA(INDEX(EA$10:EA$23,MATCH($DA353,$DX$10:$DX$23,0)),0))</f>
        <v>461.1445457142857</v>
      </c>
      <c r="DQ353" s="921">
        <f>IF(dd_PartSA_2_lines = "Yes",0,_xlfn.IFNA(INDEX('Resource use and costs'!$EA$12:$EA$25,MATCH(DB353,'Resource use and costs'!$DS$12:$DS$25,0)),0)*_xlfn.IFNA(INDEX(EC$10:EC$23,MATCH($DB353,$DX$10:$DX$23,0)),0))</f>
        <v>256.11457142857142</v>
      </c>
      <c r="DR353" s="921">
        <f t="shared" si="222"/>
        <v>1549.7271771428573</v>
      </c>
      <c r="DS353" s="1004">
        <f ca="1">SUMIFS('Safety parameters'!$DM$6:$DM$18,'Safety parameters'!$DK$6:$DK$18,CZ353,'Safety parameters'!$DL$6:$DL$18,1)+IF(dd_PartSA_2_lines = "Yes",0,SUMIFS('Safety parameters'!$DM$6:$DM$18,'Safety parameters'!$DK$6:$DK$18,DA353,'Safety parameters'!$DL$6:$DL$18,2)+SUMIFS('Safety parameters'!$DM$6:$DM$18,'Safety parameters'!$DK$6:$DK$18,DB353,'Safety parameters'!$DL$6:$DL$18,2))</f>
        <v>1076.5246831786983</v>
      </c>
      <c r="DT353" s="910">
        <f ca="1">SUMIFS('Safety parameters'!$DO$6:$DO$18,'Safety parameters'!$DK$6:$DK$18,CZ353,'Safety parameters'!$DL$6:$DL$18,1)+IF(dd_PartSA_2_lines = "Yes",0,SUMIFS('Safety parameters'!$DO$6:$DO$18,'Safety parameters'!$DK$6:$DK$18,DA353,'Safety parameters'!$DL$6:$DL$18,2)+SUMIFS('Safety parameters'!$DO$6:$DO$18,'Safety parameters'!$DK$6:$DK$18,DB353,'Safety parameters'!$DL$6:$DL$18,2))</f>
        <v>-9.689899892873657E-3</v>
      </c>
    </row>
    <row r="354" spans="89:124" ht="15" x14ac:dyDescent="0.2">
      <c r="CK354" s="61" t="s">
        <v>31</v>
      </c>
      <c r="CL354" s="61">
        <v>3</v>
      </c>
      <c r="CM354" s="61" t="str">
        <v>lenvatinib_plus_everolimus</v>
      </c>
      <c r="CN354" s="17">
        <v>9</v>
      </c>
      <c r="CO354" s="61" t="str" cm="1">
        <f t="array" ref="CO354">INDEX(List_comparators,CP353+1)</f>
        <v>sunitinib</v>
      </c>
      <c r="CP354" s="17">
        <v>7</v>
      </c>
      <c r="CQ354" s="601">
        <f t="shared" ca="1" si="223"/>
        <v>0</v>
      </c>
      <c r="CR354" s="601">
        <f t="shared" ca="1" si="224"/>
        <v>0</v>
      </c>
      <c r="CS354" s="671">
        <f t="shared" ca="1" si="230"/>
        <v>21.714285714285712</v>
      </c>
      <c r="CT354" s="671">
        <f t="shared" ca="1" si="225"/>
        <v>5.5785714285714283</v>
      </c>
      <c r="CU354" s="1123">
        <f>MATCH(CZ361,'Resource use and costs'!$BA$11:$BA$53,0)</f>
        <v>30</v>
      </c>
      <c r="CV354" s="1223"/>
      <c r="CW354" s="1241">
        <f t="shared" si="220"/>
        <v>1</v>
      </c>
      <c r="CX354" s="899" t="s">
        <v>773</v>
      </c>
      <c r="CY354" s="899" t="s">
        <v>585</v>
      </c>
      <c r="CZ354" s="899" t="s">
        <v>327</v>
      </c>
      <c r="DA354" s="899" t="s">
        <v>119</v>
      </c>
      <c r="DB354" s="899" t="s">
        <v>765</v>
      </c>
      <c r="DC354" s="899" cm="1">
        <f t="array" aca="1" ref="DC354" ca="1">_xlfn.IFNA(OFFSET($I$49,MATCH(CY354,$I$50:$I$63,0),MATCH(CZ354,TRANSPOSE($J$49:$W$49),0)),0)</f>
        <v>1.0300000000000002E-2</v>
      </c>
      <c r="DD354" s="899" cm="1">
        <f t="array" aca="1" ref="DD354" ca="1">_xlfn.IFNA(OFFSET($Y$49,MATCH($CZ354,$Y$50:$Y$63,0),MATCH($DA354,TRANSPOSE($Z$49:$AM$49),0)),0)</f>
        <v>0</v>
      </c>
      <c r="DE354" s="899" cm="1">
        <f t="array" aca="1" ref="DE354" ca="1">_xlfn.IFNA(OFFSET($AO$49,MATCH($DA354,$AO$50:$AO$63,0),MATCH($DB354,TRANSPOSE($AP$49:$BC$49),0)),0)</f>
        <v>1</v>
      </c>
      <c r="DF354" s="881">
        <f t="shared" ca="1" si="217"/>
        <v>0</v>
      </c>
      <c r="DG354" s="910">
        <f t="shared" ca="1" si="218"/>
        <v>1</v>
      </c>
      <c r="DH354" s="881">
        <f t="shared" ca="1" si="219"/>
        <v>0</v>
      </c>
      <c r="DI354" s="1460">
        <f t="shared" ca="1" si="231"/>
        <v>0</v>
      </c>
      <c r="DJ354" s="909">
        <f>_xlfn.IFNA(INDEX('Resource use and costs'!$CQ$11:$CQ$53,MATCH($CZ354,'Resource use and costs'!$BA$11:$BA$53,0)),0)*_xlfn.IFNA(INDEX(DY$10:DY$23,MATCH($CZ354,$DX$10:$DX$23,0)),0)</f>
        <v>19241.032205</v>
      </c>
      <c r="DK354" s="909">
        <f>IF(dd_PartSA_2_lines = "Yes",0,_xlfn.IFNA(INDEX('Resource use and costs'!$CR$11:$CR$53,MATCH(DA354,'Resource use and costs'!$BA$11:$BA$53,0)),0)*_xlfn.IFNA(INDEX(EA$10:EA$23,MATCH($DA354,$DX$10:$DX$23,0)),0))</f>
        <v>848.17532499999982</v>
      </c>
      <c r="DL354" s="909">
        <f>IF(dd_PartSA_2_lines = "Yes",0,_xlfn.IFNA(INDEX('Resource use and costs'!$CS$11:$CS$53,MATCH(DB354,'Resource use and costs'!$BA$11:$BA$53,0)),0)*_xlfn.IFNA(INDEX(EC$10:EC$23,MATCH($DB354,$DX$10:$DX$23,0)),0))</f>
        <v>0</v>
      </c>
      <c r="DM354" s="909">
        <f t="shared" si="221"/>
        <v>20089.20753</v>
      </c>
      <c r="DN354" s="909">
        <f>SUM(_xlfn.IFNA(INDEX('Resource use and costs'!$DU$12:$DU$25,MATCH(CZ354,'Resource use and costs'!$DS$12:$DS$25,0)),0),_xlfn.IFNA(INDEX('Resource use and costs'!$DU$12:$DU$25,MATCH(DA354,'Resource use and costs'!$DS$12:$DS$25,0)),0),_xlfn.IFNA(INDEX('Resource use and costs'!$DU$12:$DU$25,MATCH(DB354,'Resource use and costs'!$DS$12:$DS$25,0)),0))</f>
        <v>394.5</v>
      </c>
      <c r="DO354" s="921">
        <f>_xlfn.IFNA(INDEX('Resource use and costs'!$DY$12:$DY$25,MATCH(CZ354,'Resource use and costs'!$DS$12:$DS$25,0)),0)*_xlfn.IFNA(INDEX(DY$10:DY$23,MATCH($CZ354,$DX$10:$DX$23,0)),0)</f>
        <v>240.71806000000001</v>
      </c>
      <c r="DP354" s="921">
        <f>IF(dd_PartSA_2_lines = "Yes",0,_xlfn.IFNA(INDEX('Resource use and costs'!$DZ$12:$DZ$25,MATCH(DA354,'Resource use and costs'!$DS$12:$DS$25,0)),0)*_xlfn.IFNA(INDEX(EA$10:EA$23,MATCH($DA354,$DX$10:$DX$23,0)),0))</f>
        <v>74.50928571428571</v>
      </c>
      <c r="DQ354" s="921">
        <f>IF(dd_PartSA_2_lines = "Yes",0,_xlfn.IFNA(INDEX('Resource use and costs'!$EA$12:$EA$25,MATCH(DB354,'Resource use and costs'!$DS$12:$DS$25,0)),0)*_xlfn.IFNA(INDEX(EC$10:EC$23,MATCH($DB354,$DX$10:$DX$23,0)),0))</f>
        <v>0</v>
      </c>
      <c r="DR354" s="921">
        <f t="shared" si="222"/>
        <v>709.72734571428578</v>
      </c>
      <c r="DS354" s="1004">
        <f ca="1">SUMIFS('Safety parameters'!$DM$6:$DM$18,'Safety parameters'!$DK$6:$DK$18,CZ354,'Safety parameters'!$DL$6:$DL$18,1)+IF(dd_PartSA_2_lines = "Yes",0,SUMIFS('Safety parameters'!$DM$6:$DM$18,'Safety parameters'!$DK$6:$DK$18,DA354,'Safety parameters'!$DL$6:$DL$18,2)+SUMIFS('Safety parameters'!$DM$6:$DM$18,'Safety parameters'!$DK$6:$DK$18,DB354,'Safety parameters'!$DL$6:$DL$18,2))</f>
        <v>332.87538337531487</v>
      </c>
      <c r="DT354" s="910">
        <f ca="1">SUMIFS('Safety parameters'!$DO$6:$DO$18,'Safety parameters'!$DK$6:$DK$18,CZ354,'Safety parameters'!$DL$6:$DL$18,1)+IF(dd_PartSA_2_lines = "Yes",0,SUMIFS('Safety parameters'!$DO$6:$DO$18,'Safety parameters'!$DK$6:$DK$18,DA354,'Safety parameters'!$DL$6:$DL$18,2)+SUMIFS('Safety parameters'!$DO$6:$DO$18,'Safety parameters'!$DK$6:$DK$18,DB354,'Safety parameters'!$DL$6:$DL$18,2))</f>
        <v>-2.6675735366377194E-3</v>
      </c>
    </row>
    <row r="355" spans="89:124" ht="15" x14ac:dyDescent="0.2">
      <c r="CK355" s="61" t="s">
        <v>31</v>
      </c>
      <c r="CL355" s="61">
        <v>3</v>
      </c>
      <c r="CM355" s="61" t="str">
        <v>everolimus</v>
      </c>
      <c r="CN355" s="17">
        <v>10</v>
      </c>
      <c r="CO355" s="61" t="str" cm="1">
        <f t="array" ref="CO355">INDEX(List_comparators,CP354+1)</f>
        <v>sunitinib</v>
      </c>
      <c r="CP355" s="17">
        <v>7</v>
      </c>
      <c r="CQ355" s="601">
        <f t="shared" ca="1" si="223"/>
        <v>0</v>
      </c>
      <c r="CR355" s="601">
        <f t="shared" ca="1" si="224"/>
        <v>0</v>
      </c>
      <c r="CS355" s="671">
        <f t="shared" ca="1" si="230"/>
        <v>21.714285714285712</v>
      </c>
      <c r="CT355" s="671">
        <f t="shared" ca="1" si="225"/>
        <v>5.5785714285714283</v>
      </c>
      <c r="CU355" s="1123">
        <f>MATCH(CZ362,'Resource use and costs'!$BA$11:$BA$53,0)</f>
        <v>30</v>
      </c>
      <c r="CV355" s="1223"/>
      <c r="CW355" s="1241">
        <f t="shared" si="220"/>
        <v>1</v>
      </c>
      <c r="CX355" s="899" t="s">
        <v>773</v>
      </c>
      <c r="CY355" s="899" t="s">
        <v>585</v>
      </c>
      <c r="CZ355" s="899" t="s">
        <v>327</v>
      </c>
      <c r="DA355" s="899" t="s">
        <v>579</v>
      </c>
      <c r="DB355" s="899" t="s">
        <v>765</v>
      </c>
      <c r="DC355" s="899" cm="1">
        <f t="array" aca="1" ref="DC355" ca="1">_xlfn.IFNA(OFFSET($I$49,MATCH(CY355,$I$50:$I$63,0),MATCH(CZ355,TRANSPOSE($J$49:$W$49),0)),0)</f>
        <v>1.0300000000000002E-2</v>
      </c>
      <c r="DD355" s="899" cm="1">
        <f t="array" aca="1" ref="DD355" ca="1">_xlfn.IFNA(OFFSET($Y$49,MATCH($CZ355,$Y$50:$Y$63,0),MATCH($DA355,TRANSPOSE($Z$49:$AM$49),0)),0)</f>
        <v>0.32850000000000001</v>
      </c>
      <c r="DE355" s="899" cm="1">
        <f t="array" aca="1" ref="DE355" ca="1">_xlfn.IFNA(OFFSET($AO$49,MATCH($DA355,$AO$50:$AO$63,0),MATCH($DB355,TRANSPOSE($AP$49:$BC$49),0)),0)</f>
        <v>0.43140000000000001</v>
      </c>
      <c r="DF355" s="881">
        <f t="shared" ca="1" si="217"/>
        <v>1.4596634700000004E-3</v>
      </c>
      <c r="DG355" s="910">
        <f t="shared" ca="1" si="218"/>
        <v>1</v>
      </c>
      <c r="DH355" s="881">
        <f t="shared" ca="1" si="219"/>
        <v>1.4596634700000004E-3</v>
      </c>
      <c r="DI355" s="1460">
        <f t="shared" ca="1" si="231"/>
        <v>0.34156125198000009</v>
      </c>
      <c r="DJ355" s="909">
        <f>_xlfn.IFNA(INDEX('Resource use and costs'!$CQ$11:$CQ$53,MATCH($CZ355,'Resource use and costs'!$BA$11:$BA$53,0)),0)*_xlfn.IFNA(INDEX(DY$10:DY$23,MATCH($CZ355,$DX$10:$DX$23,0)),0)</f>
        <v>19241.032205</v>
      </c>
      <c r="DK355" s="909">
        <f>IF(dd_PartSA_2_lines = "Yes",0,_xlfn.IFNA(INDEX('Resource use and costs'!$CR$11:$CR$53,MATCH(DA355,'Resource use and costs'!$BA$11:$BA$53,0)),0)*_xlfn.IFNA(INDEX(EA$10:EA$23,MATCH($DA355,$DX$10:$DX$23,0)),0))</f>
        <v>26054.50921</v>
      </c>
      <c r="DL355" s="909">
        <f>IF(dd_PartSA_2_lines = "Yes",0,_xlfn.IFNA(INDEX('Resource use and costs'!$CS$11:$CS$53,MATCH(DB355,'Resource use and costs'!$BA$11:$BA$53,0)),0)*_xlfn.IFNA(INDEX(EC$10:EC$23,MATCH($DB355,$DX$10:$DX$23,0)),0))</f>
        <v>0</v>
      </c>
      <c r="DM355" s="909">
        <f t="shared" si="221"/>
        <v>45295.541415</v>
      </c>
      <c r="DN355" s="909">
        <f>SUM(_xlfn.IFNA(INDEX('Resource use and costs'!$DU$12:$DU$25,MATCH(CZ355,'Resource use and costs'!$DS$12:$DS$25,0)),0),_xlfn.IFNA(INDEX('Resource use and costs'!$DU$12:$DU$25,MATCH(DA355,'Resource use and costs'!$DS$12:$DS$25,0)),0),_xlfn.IFNA(INDEX('Resource use and costs'!$DU$12:$DU$25,MATCH(DB355,'Resource use and costs'!$DS$12:$DS$25,0)),0))</f>
        <v>197.25</v>
      </c>
      <c r="DO355" s="921">
        <f>_xlfn.IFNA(INDEX('Resource use and costs'!$DY$12:$DY$25,MATCH(CZ355,'Resource use and costs'!$DS$12:$DS$25,0)),0)*_xlfn.IFNA(INDEX(DY$10:DY$23,MATCH($CZ355,$DX$10:$DX$23,0)),0)</f>
        <v>240.71806000000001</v>
      </c>
      <c r="DP355" s="921">
        <f>IF(dd_PartSA_2_lines = "Yes",0,_xlfn.IFNA(INDEX('Resource use and costs'!$DZ$12:$DZ$25,MATCH(DA355,'Resource use and costs'!$DS$12:$DS$25,0)),0)*_xlfn.IFNA(INDEX(EA$10:EA$23,MATCH($DA355,$DX$10:$DX$23,0)),0))</f>
        <v>4108.3597166</v>
      </c>
      <c r="DQ355" s="921">
        <f>IF(dd_PartSA_2_lines = "Yes",0,_xlfn.IFNA(INDEX('Resource use and costs'!$EA$12:$EA$25,MATCH(DB355,'Resource use and costs'!$DS$12:$DS$25,0)),0)*_xlfn.IFNA(INDEX(EC$10:EC$23,MATCH($DB355,$DX$10:$DX$23,0)),0))</f>
        <v>0</v>
      </c>
      <c r="DR355" s="921">
        <f t="shared" si="222"/>
        <v>4546.3277766000001</v>
      </c>
      <c r="DS355" s="1004">
        <f ca="1">SUMIFS('Safety parameters'!$DM$6:$DM$18,'Safety parameters'!$DK$6:$DK$18,CZ355,'Safety parameters'!$DL$6:$DL$18,1)+IF(dd_PartSA_2_lines = "Yes",0,SUMIFS('Safety parameters'!$DM$6:$DM$18,'Safety parameters'!$DK$6:$DK$18,DA355,'Safety parameters'!$DL$6:$DL$18,2)+SUMIFS('Safety parameters'!$DM$6:$DM$18,'Safety parameters'!$DK$6:$DK$18,DB355,'Safety parameters'!$DL$6:$DL$18,2))</f>
        <v>161.1337489904144</v>
      </c>
      <c r="DT355" s="910">
        <f ca="1">SUMIFS('Safety parameters'!$DO$6:$DO$18,'Safety parameters'!$DK$6:$DK$18,CZ355,'Safety parameters'!$DL$6:$DL$18,1)+IF(dd_PartSA_2_lines = "Yes",0,SUMIFS('Safety parameters'!$DO$6:$DO$18,'Safety parameters'!$DK$6:$DK$18,DA355,'Safety parameters'!$DL$6:$DL$18,2)+SUMIFS('Safety parameters'!$DO$6:$DO$18,'Safety parameters'!$DK$6:$DK$18,DB355,'Safety parameters'!$DL$6:$DL$18,2))</f>
        <v>-1.5970841976847864E-3</v>
      </c>
    </row>
    <row r="356" spans="89:124" ht="15" x14ac:dyDescent="0.2">
      <c r="CK356" s="61" t="s">
        <v>31</v>
      </c>
      <c r="CL356" s="61">
        <v>3</v>
      </c>
      <c r="CM356" s="61" t="str">
        <v>axitinib</v>
      </c>
      <c r="CN356" s="17">
        <v>11</v>
      </c>
      <c r="CO356" s="61" t="str" cm="1">
        <f t="array" ref="CO356">INDEX(List_comparators,CP355+1)</f>
        <v>sunitinib</v>
      </c>
      <c r="CP356" s="17">
        <v>7</v>
      </c>
      <c r="CQ356" s="601">
        <f t="shared" ca="1" si="223"/>
        <v>0</v>
      </c>
      <c r="CR356" s="601">
        <f t="shared" ca="1" si="224"/>
        <v>0</v>
      </c>
      <c r="CS356" s="671">
        <f t="shared" ca="1" si="230"/>
        <v>21.714285714285712</v>
      </c>
      <c r="CT356" s="671">
        <f t="shared" ca="1" si="225"/>
        <v>5.5785714285714283</v>
      </c>
      <c r="CU356" s="1123">
        <f>MATCH(CZ363,'Resource use and costs'!$BA$11:$BA$53,0)</f>
        <v>30</v>
      </c>
      <c r="CV356" s="1223"/>
      <c r="CW356" s="1241">
        <f t="shared" si="220"/>
        <v>1</v>
      </c>
      <c r="CX356" s="899" t="s">
        <v>773</v>
      </c>
      <c r="CY356" s="899" t="s">
        <v>585</v>
      </c>
      <c r="CZ356" s="899" t="s">
        <v>327</v>
      </c>
      <c r="DA356" s="899" t="s">
        <v>579</v>
      </c>
      <c r="DB356" s="899" t="s">
        <v>119</v>
      </c>
      <c r="DC356" s="899" cm="1">
        <f t="array" aca="1" ref="DC356" ca="1">_xlfn.IFNA(OFFSET($I$49,MATCH(CY356,$I$50:$I$63,0),MATCH(CZ356,TRANSPOSE($J$49:$W$49),0)),0)</f>
        <v>1.0300000000000002E-2</v>
      </c>
      <c r="DD356" s="899" cm="1">
        <f t="array" aca="1" ref="DD356" ca="1">_xlfn.IFNA(OFFSET($Y$49,MATCH($CZ356,$Y$50:$Y$63,0),MATCH($DA356,TRANSPOSE($Z$49:$AM$49),0)),0)</f>
        <v>0.32850000000000001</v>
      </c>
      <c r="DE356" s="899">
        <f ca="1">1-DE355</f>
        <v>0.56859999999999999</v>
      </c>
      <c r="DF356" s="881">
        <f t="shared" ca="1" si="217"/>
        <v>1.9238865300000004E-3</v>
      </c>
      <c r="DG356" s="910">
        <f t="shared" ca="1" si="218"/>
        <v>1</v>
      </c>
      <c r="DH356" s="881">
        <f t="shared" ca="1" si="219"/>
        <v>1.9238865300000004E-3</v>
      </c>
      <c r="DI356" s="1460">
        <f t="shared" ca="1" si="231"/>
        <v>0.4501894480200001</v>
      </c>
      <c r="DJ356" s="909">
        <f>_xlfn.IFNA(INDEX('Resource use and costs'!$CQ$11:$CQ$53,MATCH($CZ356,'Resource use and costs'!$BA$11:$BA$53,0)),0)*_xlfn.IFNA(INDEX(DY$10:DY$23,MATCH($CZ356,$DX$10:$DX$23,0)),0)</f>
        <v>19241.032205</v>
      </c>
      <c r="DK356" s="909">
        <f>IF(dd_PartSA_2_lines = "Yes",0,_xlfn.IFNA(INDEX('Resource use and costs'!$CR$11:$CR$53,MATCH(DA356,'Resource use and costs'!$BA$11:$BA$53,0)),0)*_xlfn.IFNA(INDEX(EA$10:EA$23,MATCH($DA356,$DX$10:$DX$23,0)),0))</f>
        <v>26054.50921</v>
      </c>
      <c r="DL356" s="909">
        <f>IF(dd_PartSA_2_lines = "Yes",0,_xlfn.IFNA(INDEX('Resource use and costs'!$CS$11:$CS$53,MATCH(DB356,'Resource use and costs'!$BA$11:$BA$53,0)),0)*_xlfn.IFNA(INDEX(EC$10:EC$23,MATCH($DB356,$DX$10:$DX$23,0)),0))</f>
        <v>2915.4763433333328</v>
      </c>
      <c r="DM356" s="909">
        <f t="shared" si="221"/>
        <v>48211.017758333335</v>
      </c>
      <c r="DN356" s="909">
        <f>SUM(_xlfn.IFNA(INDEX('Resource use and costs'!$DU$12:$DU$25,MATCH(CZ356,'Resource use and costs'!$DS$12:$DS$25,0)),0),_xlfn.IFNA(INDEX('Resource use and costs'!$DU$12:$DU$25,MATCH(DA356,'Resource use and costs'!$DS$12:$DS$25,0)),0),_xlfn.IFNA(INDEX('Resource use and costs'!$DU$12:$DU$25,MATCH(DB356,'Resource use and costs'!$DS$12:$DS$25,0)),0))</f>
        <v>394.5</v>
      </c>
      <c r="DO356" s="921">
        <f>_xlfn.IFNA(INDEX('Resource use and costs'!$DY$12:$DY$25,MATCH(CZ356,'Resource use and costs'!$DS$12:$DS$25,0)),0)*_xlfn.IFNA(INDEX(DY$10:DY$23,MATCH($CZ356,$DX$10:$DX$23,0)),0)</f>
        <v>240.71806000000001</v>
      </c>
      <c r="DP356" s="921">
        <f>IF(dd_PartSA_2_lines = "Yes",0,_xlfn.IFNA(INDEX('Resource use and costs'!$DZ$12:$DZ$25,MATCH(DA356,'Resource use and costs'!$DS$12:$DS$25,0)),0)*_xlfn.IFNA(INDEX(EA$10:EA$23,MATCH($DA356,$DX$10:$DX$23,0)),0))</f>
        <v>4108.3597166</v>
      </c>
      <c r="DQ356" s="921">
        <f>IF(dd_PartSA_2_lines = "Yes",0,_xlfn.IFNA(INDEX('Resource use and costs'!$EA$12:$EA$25,MATCH(DB356,'Resource use and costs'!$DS$12:$DS$25,0)),0)*_xlfn.IFNA(INDEX(EC$10:EC$23,MATCH($DB356,$DX$10:$DX$23,0)),0))</f>
        <v>256.11457142857142</v>
      </c>
      <c r="DR356" s="921">
        <f t="shared" si="222"/>
        <v>4999.6923480285714</v>
      </c>
      <c r="DS356" s="1004">
        <f ca="1">SUMIFS('Safety parameters'!$DM$6:$DM$18,'Safety parameters'!$DK$6:$DK$18,CZ356,'Safety parameters'!$DL$6:$DL$18,1)+IF(dd_PartSA_2_lines = "Yes",0,SUMIFS('Safety parameters'!$DM$6:$DM$18,'Safety parameters'!$DK$6:$DK$18,DA356,'Safety parameters'!$DL$6:$DL$18,2)+SUMIFS('Safety parameters'!$DM$6:$DM$18,'Safety parameters'!$DK$6:$DK$18,DB356,'Safety parameters'!$DL$6:$DL$18,2))</f>
        <v>494.00913236572927</v>
      </c>
      <c r="DT356" s="910">
        <f ca="1">SUMIFS('Safety parameters'!$DO$6:$DO$18,'Safety parameters'!$DK$6:$DK$18,CZ356,'Safety parameters'!$DL$6:$DL$18,1)+IF(dd_PartSA_2_lines = "Yes",0,SUMIFS('Safety parameters'!$DO$6:$DO$18,'Safety parameters'!$DK$6:$DK$18,DA356,'Safety parameters'!$DL$6:$DL$18,2)+SUMIFS('Safety parameters'!$DO$6:$DO$18,'Safety parameters'!$DK$6:$DK$18,DB356,'Safety parameters'!$DL$6:$DL$18,2))</f>
        <v>-4.2646577343225054E-3</v>
      </c>
    </row>
    <row r="357" spans="89:124" ht="15" x14ac:dyDescent="0.2">
      <c r="CK357" s="61" t="s">
        <v>31</v>
      </c>
      <c r="CL357" s="61">
        <v>3</v>
      </c>
      <c r="CM357" s="61" t="str">
        <v>sorafenib</v>
      </c>
      <c r="CN357" s="17">
        <v>12</v>
      </c>
      <c r="CO357" s="61" t="str" cm="1">
        <f t="array" ref="CO357">INDEX(List_comparators,CP356+1)</f>
        <v>sunitinib</v>
      </c>
      <c r="CP357" s="17">
        <v>7</v>
      </c>
      <c r="CQ357" s="601">
        <f t="shared" ca="1" si="223"/>
        <v>0</v>
      </c>
      <c r="CR357" s="601">
        <f t="shared" ca="1" si="224"/>
        <v>0</v>
      </c>
      <c r="CS357" s="671">
        <f t="shared" ca="1" si="230"/>
        <v>0</v>
      </c>
      <c r="CT357" s="671">
        <f t="shared" ca="1" si="225"/>
        <v>0</v>
      </c>
      <c r="CU357" s="1123">
        <f>MATCH(CZ364,'Resource use and costs'!$BA$11:$BA$53,0)</f>
        <v>30</v>
      </c>
      <c r="CV357" s="1223"/>
      <c r="CW357" s="1241">
        <f t="shared" si="220"/>
        <v>0</v>
      </c>
      <c r="CX357" s="899" t="s">
        <v>773</v>
      </c>
      <c r="CY357" s="899" t="s">
        <v>585</v>
      </c>
      <c r="CZ357" s="899" t="s">
        <v>765</v>
      </c>
      <c r="DA357" s="899"/>
      <c r="DB357" s="899"/>
      <c r="DC357" s="899" cm="1">
        <f t="array" aca="1" ref="DC357" ca="1">_xlfn.IFNA(OFFSET($I$49,MATCH(CY357,$I$50:$I$63,0),MATCH(CZ357,TRANSPOSE($J$49:$W$49),0)),0)</f>
        <v>0.32729999999999998</v>
      </c>
      <c r="DD357" s="899" cm="1">
        <f t="array" aca="1" ref="DD357" ca="1">_xlfn.IFNA(OFFSET($Y$49,MATCH($CZ357,$Y$50:$Y$63,0),MATCH($DA357,TRANSPOSE($Z$49:$AM$49),0)),0)</f>
        <v>0</v>
      </c>
      <c r="DE357" s="899" cm="1">
        <f t="array" aca="1" ref="DE357" ca="1">_xlfn.IFNA(OFFSET($AO$49,MATCH($DA357,$AO$50:$AO$63,0),MATCH($DB357,TRANSPOSE($AP$49:$BC$49),0)),0)</f>
        <v>0</v>
      </c>
      <c r="DF357" s="881">
        <f t="shared" ca="1" si="217"/>
        <v>0.32729999999999998</v>
      </c>
      <c r="DG357" s="910">
        <f t="shared" ca="1" si="218"/>
        <v>1</v>
      </c>
      <c r="DH357" s="881">
        <f t="shared" ca="1" si="219"/>
        <v>0.32729999999999998</v>
      </c>
      <c r="DI357" s="1460">
        <f t="shared" ca="1" si="231"/>
        <v>76.588200000000001</v>
      </c>
      <c r="DJ357" s="909">
        <f>_xlfn.IFNA(INDEX('Resource use and costs'!$CQ$11:$CQ$53,MATCH($CZ357,'Resource use and costs'!$BA$11:$BA$53,0)),0)*_xlfn.IFNA(INDEX(DY$10:DY$23,MATCH($CZ357,$DX$10:$DX$23,0)),0)</f>
        <v>0</v>
      </c>
      <c r="DK357" s="909">
        <f>IF(dd_PartSA_2_lines = "Yes",0,_xlfn.IFNA(INDEX('Resource use and costs'!$CR$11:$CR$53,MATCH(DA357,'Resource use and costs'!$BA$11:$BA$53,0)),0)*_xlfn.IFNA(INDEX(EA$10:EA$23,MATCH($DA357,$DX$10:$DX$23,0)),0))</f>
        <v>0</v>
      </c>
      <c r="DL357" s="909">
        <f>IF(dd_PartSA_2_lines = "Yes",0,_xlfn.IFNA(INDEX('Resource use and costs'!$CS$11:$CS$53,MATCH(DB357,'Resource use and costs'!$BA$11:$BA$53,0)),0)*_xlfn.IFNA(INDEX(EC$10:EC$23,MATCH($DB357,$DX$10:$DX$23,0)),0))</f>
        <v>0</v>
      </c>
      <c r="DM357" s="909">
        <f t="shared" si="221"/>
        <v>0</v>
      </c>
      <c r="DN357" s="909">
        <f>SUM(_xlfn.IFNA(INDEX('Resource use and costs'!$DU$12:$DU$25,MATCH(CZ357,'Resource use and costs'!$DS$12:$DS$25,0)),0),_xlfn.IFNA(INDEX('Resource use and costs'!$DU$12:$DU$25,MATCH(DA357,'Resource use and costs'!$DS$12:$DS$25,0)),0),_xlfn.IFNA(INDEX('Resource use and costs'!$DU$12:$DU$25,MATCH(DB357,'Resource use and costs'!$DS$12:$DS$25,0)),0))</f>
        <v>0</v>
      </c>
      <c r="DO357" s="921">
        <f>_xlfn.IFNA(INDEX('Resource use and costs'!$DY$12:$DY$25,MATCH(CZ357,'Resource use and costs'!$DS$12:$DS$25,0)),0)*_xlfn.IFNA(INDEX(DY$10:DY$23,MATCH($CZ357,$DX$10:$DX$23,0)),0)</f>
        <v>0</v>
      </c>
      <c r="DP357" s="921">
        <f>IF(dd_PartSA_2_lines = "Yes",0,_xlfn.IFNA(INDEX('Resource use and costs'!$DZ$12:$DZ$25,MATCH(DA357,'Resource use and costs'!$DS$12:$DS$25,0)),0)*_xlfn.IFNA(INDEX(EA$10:EA$23,MATCH($DA357,$DX$10:$DX$23,0)),0))</f>
        <v>0</v>
      </c>
      <c r="DQ357" s="921">
        <f>IF(dd_PartSA_2_lines = "Yes",0,_xlfn.IFNA(INDEX('Resource use and costs'!$EA$12:$EA$25,MATCH(DB357,'Resource use and costs'!$DS$12:$DS$25,0)),0)*_xlfn.IFNA(INDEX(EC$10:EC$23,MATCH($DB357,$DX$10:$DX$23,0)),0))</f>
        <v>0</v>
      </c>
      <c r="DR357" s="921">
        <f t="shared" si="222"/>
        <v>0</v>
      </c>
      <c r="DS357" s="1004">
        <f>SUMIFS('Safety parameters'!$DM$6:$DM$18,'Safety parameters'!$DK$6:$DK$18,CZ357,'Safety parameters'!$DL$6:$DL$18,1)+IF(dd_PartSA_2_lines = "Yes",0,SUMIFS('Safety parameters'!$DM$6:$DM$18,'Safety parameters'!$DK$6:$DK$18,DA357,'Safety parameters'!$DL$6:$DL$18,2)+SUMIFS('Safety parameters'!$DM$6:$DM$18,'Safety parameters'!$DK$6:$DK$18,DB357,'Safety parameters'!$DL$6:$DL$18,2))</f>
        <v>0</v>
      </c>
      <c r="DT357" s="910">
        <f>SUMIFS('Safety parameters'!$DO$6:$DO$18,'Safety parameters'!$DK$6:$DK$18,CZ357,'Safety parameters'!$DL$6:$DL$18,1)+IF(dd_PartSA_2_lines = "Yes",0,SUMIFS('Safety parameters'!$DO$6:$DO$18,'Safety parameters'!$DK$6:$DK$18,DA357,'Safety parameters'!$DL$6:$DL$18,2)+SUMIFS('Safety parameters'!$DO$6:$DO$18,'Safety parameters'!$DK$6:$DK$18,DB357,'Safety parameters'!$DL$6:$DL$18,2))</f>
        <v>0</v>
      </c>
    </row>
    <row r="358" spans="89:124" ht="15.75" thickBot="1" x14ac:dyDescent="0.25">
      <c r="CK358" s="506" t="s">
        <v>31</v>
      </c>
      <c r="CL358" s="506">
        <v>3</v>
      </c>
      <c r="CM358" s="506" t="str">
        <v>placebo_BSC</v>
      </c>
      <c r="CN358" s="19">
        <v>999</v>
      </c>
      <c r="CO358" s="506" t="str" cm="1">
        <f t="array" ref="CO358">INDEX(List_comparators,CP345+1)</f>
        <v>sunitinib</v>
      </c>
      <c r="CP358" s="19">
        <v>7</v>
      </c>
      <c r="CQ358" s="602">
        <f t="shared" ca="1" si="223"/>
        <v>0</v>
      </c>
      <c r="CR358" s="602">
        <f t="shared" ca="1" si="224"/>
        <v>0</v>
      </c>
      <c r="CS358" s="670">
        <v>0</v>
      </c>
      <c r="CT358" s="670">
        <f t="shared" ca="1" si="225"/>
        <v>0</v>
      </c>
      <c r="CU358" s="1123">
        <f>MATCH(CZ365,'Resource use and costs'!$BA$11:$BA$53,0)</f>
        <v>30</v>
      </c>
      <c r="CV358" s="1223"/>
      <c r="CW358" s="1241">
        <f t="shared" si="220"/>
        <v>1</v>
      </c>
      <c r="CX358" s="899" t="s">
        <v>773</v>
      </c>
      <c r="CY358" s="899" t="s">
        <v>585</v>
      </c>
      <c r="CZ358" s="899" t="s">
        <v>118</v>
      </c>
      <c r="DA358" s="899" t="s">
        <v>327</v>
      </c>
      <c r="DB358" s="899" t="s">
        <v>765</v>
      </c>
      <c r="DC358" s="899">
        <f ca="1">1-DC351-DC357-DC366-DC372-DC378</f>
        <v>0.26190000000000002</v>
      </c>
      <c r="DD358" s="899" cm="1">
        <f t="array" aca="1" ref="DD358" ca="1">_xlfn.IFNA(OFFSET($Y$49,MATCH($CZ358,$Y$50:$Y$63,0),MATCH($DA358,TRANSPOSE($Z$49:$AM$49),0)),0)</f>
        <v>0.122</v>
      </c>
      <c r="DE358" s="899" cm="1">
        <f t="array" aca="1" ref="DE358" ca="1">_xlfn.IFNA(OFFSET($AO$49,MATCH($DA358,$AO$50:$AO$63,0),MATCH($DB358,TRANSPOSE($AP$49:$BC$49),0)),0)</f>
        <v>0.43140000000000001</v>
      </c>
      <c r="DF358" s="881">
        <f t="shared" ca="1" si="217"/>
        <v>1.3784006520000001E-2</v>
      </c>
      <c r="DG358" s="910">
        <f t="shared" ca="1" si="218"/>
        <v>1</v>
      </c>
      <c r="DH358" s="881">
        <f t="shared" ca="1" si="219"/>
        <v>1.3784006520000001E-2</v>
      </c>
      <c r="DI358" s="1460">
        <f t="shared" ca="1" si="231"/>
        <v>3.2254575256800004</v>
      </c>
      <c r="DJ358" s="909">
        <f>_xlfn.IFNA(INDEX('Resource use and costs'!$CQ$11:$CQ$53,MATCH($CZ358,'Resource use and costs'!$BA$11:$BA$53,0)),0)*_xlfn.IFNA(INDEX(DY$10:DY$23,MATCH($CZ358,$DX$10:$DX$23,0)),0)</f>
        <v>45284.183573333321</v>
      </c>
      <c r="DK358" s="909">
        <f>IF(dd_PartSA_2_lines = "Yes",0,_xlfn.IFNA(INDEX('Resource use and costs'!$CR$11:$CR$53,MATCH(DA358,'Resource use and costs'!$BA$11:$BA$53,0)),0)*_xlfn.IFNA(INDEX(EA$10:EA$23,MATCH($DA358,$DX$10:$DX$23,0)),0))</f>
        <v>21421.066008214286</v>
      </c>
      <c r="DL358" s="909">
        <f>IF(dd_PartSA_2_lines = "Yes",0,_xlfn.IFNA(INDEX('Resource use and costs'!$CS$11:$CS$53,MATCH(DB358,'Resource use and costs'!$BA$11:$BA$53,0)),0)*_xlfn.IFNA(INDEX(EC$10:EC$23,MATCH($DB358,$DX$10:$DX$23,0)),0))</f>
        <v>0</v>
      </c>
      <c r="DM358" s="909">
        <f t="shared" si="221"/>
        <v>66705.2495815476</v>
      </c>
      <c r="DN358" s="909">
        <f>SUM(_xlfn.IFNA(INDEX('Resource use and costs'!$DU$12:$DU$25,MATCH(CZ358,'Resource use and costs'!$DS$12:$DS$25,0)),0),_xlfn.IFNA(INDEX('Resource use and costs'!$DU$12:$DU$25,MATCH(DA358,'Resource use and costs'!$DS$12:$DS$25,0)),0),_xlfn.IFNA(INDEX('Resource use and costs'!$DU$12:$DU$25,MATCH(DB358,'Resource use and costs'!$DS$12:$DS$25,0)),0))</f>
        <v>394.5</v>
      </c>
      <c r="DO358" s="921">
        <f>_xlfn.IFNA(INDEX('Resource use and costs'!$DY$12:$DY$25,MATCH(CZ358,'Resource use and costs'!$DS$12:$DS$25,0)),0)*_xlfn.IFNA(INDEX(DY$10:DY$23,MATCH($CZ358,$DX$10:$DX$23,0)),0)</f>
        <v>415.09348571428563</v>
      </c>
      <c r="DP358" s="921">
        <f>IF(dd_PartSA_2_lines = "Yes",0,_xlfn.IFNA(INDEX('Resource use and costs'!$DZ$12:$DZ$25,MATCH(DA358,'Resource use and costs'!$DS$12:$DS$25,0)),0)*_xlfn.IFNA(INDEX(EA$10:EA$23,MATCH($DA358,$DX$10:$DX$23,0)),0))</f>
        <v>267.99172714285714</v>
      </c>
      <c r="DQ358" s="921">
        <f>IF(dd_PartSA_2_lines = "Yes",0,_xlfn.IFNA(INDEX('Resource use and costs'!$EA$12:$EA$25,MATCH(DB358,'Resource use and costs'!$DS$12:$DS$25,0)),0)*_xlfn.IFNA(INDEX(EC$10:EC$23,MATCH($DB358,$DX$10:$DX$23,0)),0))</f>
        <v>0</v>
      </c>
      <c r="DR358" s="921">
        <f t="shared" si="222"/>
        <v>1077.5852128571428</v>
      </c>
      <c r="DS358" s="1004">
        <f ca="1">SUMIFS('Safety parameters'!$DM$6:$DM$18,'Safety parameters'!$DK$6:$DK$18,CZ358,'Safety parameters'!$DL$6:$DL$18,1)+IF(dd_PartSA_2_lines = "Yes",0,SUMIFS('Safety parameters'!$DM$6:$DM$18,'Safety parameters'!$DK$6:$DK$18,DA358,'Safety parameters'!$DL$6:$DL$18,2)+SUMIFS('Safety parameters'!$DM$6:$DM$18,'Safety parameters'!$DK$6:$DK$18,DB358,'Safety parameters'!$DL$6:$DL$18,2))</f>
        <v>2366.0578362496171</v>
      </c>
      <c r="DT358" s="910">
        <f ca="1">SUMIFS('Safety parameters'!$DO$6:$DO$18,'Safety parameters'!$DK$6:$DK$18,CZ358,'Safety parameters'!$DL$6:$DL$18,1)+IF(dd_PartSA_2_lines = "Yes",0,SUMIFS('Safety parameters'!$DO$6:$DO$18,'Safety parameters'!$DK$6:$DK$18,DA358,'Safety parameters'!$DL$6:$DL$18,2)+SUMIFS('Safety parameters'!$DO$6:$DO$18,'Safety parameters'!$DK$6:$DK$18,DB358,'Safety parameters'!$DL$6:$DL$18,2))</f>
        <v>-2.125891351595622E-2</v>
      </c>
    </row>
    <row r="359" spans="89:124" ht="15" x14ac:dyDescent="0.2">
      <c r="CK359" s="505" t="s">
        <v>31</v>
      </c>
      <c r="CL359" s="505">
        <v>3</v>
      </c>
      <c r="CM359" s="61" t="str" cm="1">
        <f t="array" ref="CM359:CM372">List_comparators</f>
        <v>nivolumab_monotherapy</v>
      </c>
      <c r="CN359" s="17">
        <v>0</v>
      </c>
      <c r="CO359" s="61" t="str" cm="1">
        <f t="array" ref="CO359">INDEX(List_comparators,CP359+1)</f>
        <v>cabozantinib</v>
      </c>
      <c r="CP359" s="17">
        <v>8</v>
      </c>
      <c r="CQ359" s="603">
        <f t="shared" ca="1" si="223"/>
        <v>0.51729999999999998</v>
      </c>
      <c r="CR359" s="603">
        <f t="shared" ca="1" si="224"/>
        <v>5.1729999999999998E-2</v>
      </c>
      <c r="CS359" s="671">
        <f t="shared" ref="CS359:CS371" ca="1" si="232">OFFSET($Z$81,IF(CN359=999,13,CN359),CP359)</f>
        <v>63.808571428571426</v>
      </c>
      <c r="CT359" s="671">
        <f t="shared" ca="1" si="225"/>
        <v>7.218571428571428</v>
      </c>
      <c r="CU359" s="1123">
        <f>MATCH(CZ366,'Resource use and costs'!$BA$11:$BA$53,0)</f>
        <v>37</v>
      </c>
      <c r="CV359" s="1223"/>
      <c r="CW359" s="1241">
        <f t="shared" si="220"/>
        <v>1</v>
      </c>
      <c r="CX359" s="899" t="s">
        <v>773</v>
      </c>
      <c r="CY359" s="899" t="s">
        <v>585</v>
      </c>
      <c r="CZ359" s="899" t="s">
        <v>118</v>
      </c>
      <c r="DA359" s="899" t="s">
        <v>327</v>
      </c>
      <c r="DB359" s="899" t="s">
        <v>119</v>
      </c>
      <c r="DC359" s="899">
        <f t="shared" ref="DC359:DC365" ca="1" si="233">DC358</f>
        <v>0.26190000000000002</v>
      </c>
      <c r="DD359" s="899" cm="1">
        <f t="array" aca="1" ref="DD359" ca="1">_xlfn.IFNA(OFFSET($Y$49,MATCH($CZ359,$Y$50:$Y$63,0),MATCH($DA359,TRANSPOSE($Z$49:$AM$49),0)),0)</f>
        <v>0.122</v>
      </c>
      <c r="DE359" s="899" cm="1">
        <f t="array" aca="1" ref="DE359" ca="1">_xlfn.IFNA(OFFSET($AO$49,MATCH($DA359,$AO$50:$AO$63,0),MATCH($DB359,TRANSPOSE($AP$49:$BC$49),0)),0)</f>
        <v>0.56859999999999999</v>
      </c>
      <c r="DF359" s="881">
        <f t="shared" ca="1" si="217"/>
        <v>1.816779348E-2</v>
      </c>
      <c r="DG359" s="910">
        <f t="shared" ca="1" si="218"/>
        <v>1</v>
      </c>
      <c r="DH359" s="881">
        <f t="shared" ca="1" si="219"/>
        <v>1.816779348E-2</v>
      </c>
      <c r="DI359" s="1460">
        <f t="shared" ca="1" si="231"/>
        <v>4.2512636743199996</v>
      </c>
      <c r="DJ359" s="909">
        <f>_xlfn.IFNA(INDEX('Resource use and costs'!$CQ$11:$CQ$53,MATCH($CZ359,'Resource use and costs'!$BA$11:$BA$53,0)),0)*_xlfn.IFNA(INDEX(DY$10:DY$23,MATCH($CZ359,$DX$10:$DX$23,0)),0)</f>
        <v>45284.183573333321</v>
      </c>
      <c r="DK359" s="909">
        <f>IF(dd_PartSA_2_lines = "Yes",0,_xlfn.IFNA(INDEX('Resource use and costs'!$CR$11:$CR$53,MATCH(DA359,'Resource use and costs'!$BA$11:$BA$53,0)),0)*_xlfn.IFNA(INDEX(EA$10:EA$23,MATCH($DA359,$DX$10:$DX$23,0)),0))</f>
        <v>21421.066008214286</v>
      </c>
      <c r="DL359" s="909">
        <f>IF(dd_PartSA_2_lines = "Yes",0,_xlfn.IFNA(INDEX('Resource use and costs'!$CS$11:$CS$53,MATCH(DB359,'Resource use and costs'!$BA$11:$BA$53,0)),0)*_xlfn.IFNA(INDEX(EC$10:EC$23,MATCH($DB359,$DX$10:$DX$23,0)),0))</f>
        <v>2915.4763433333328</v>
      </c>
      <c r="DM359" s="909">
        <f t="shared" si="221"/>
        <v>69620.725924880928</v>
      </c>
      <c r="DN359" s="909">
        <f>SUM(_xlfn.IFNA(INDEX('Resource use and costs'!$DU$12:$DU$25,MATCH(CZ359,'Resource use and costs'!$DS$12:$DS$25,0)),0),_xlfn.IFNA(INDEX('Resource use and costs'!$DU$12:$DU$25,MATCH(DA359,'Resource use and costs'!$DS$12:$DS$25,0)),0),_xlfn.IFNA(INDEX('Resource use and costs'!$DU$12:$DU$25,MATCH(DB359,'Resource use and costs'!$DS$12:$DS$25,0)),0))</f>
        <v>591.75</v>
      </c>
      <c r="DO359" s="921">
        <f>_xlfn.IFNA(INDEX('Resource use and costs'!$DY$12:$DY$25,MATCH(CZ359,'Resource use and costs'!$DS$12:$DS$25,0)),0)*_xlfn.IFNA(INDEX(DY$10:DY$23,MATCH($CZ359,$DX$10:$DX$23,0)),0)</f>
        <v>415.09348571428563</v>
      </c>
      <c r="DP359" s="921">
        <f>IF(dd_PartSA_2_lines = "Yes",0,_xlfn.IFNA(INDEX('Resource use and costs'!$DZ$12:$DZ$25,MATCH(DA359,'Resource use and costs'!$DS$12:$DS$25,0)),0)*_xlfn.IFNA(INDEX(EA$10:EA$23,MATCH($DA359,$DX$10:$DX$23,0)),0))</f>
        <v>267.99172714285714</v>
      </c>
      <c r="DQ359" s="921">
        <f>IF(dd_PartSA_2_lines = "Yes",0,_xlfn.IFNA(INDEX('Resource use and costs'!$EA$12:$EA$25,MATCH(DB359,'Resource use and costs'!$DS$12:$DS$25,0)),0)*_xlfn.IFNA(INDEX(EC$10:EC$23,MATCH($DB359,$DX$10:$DX$23,0)),0))</f>
        <v>256.11457142857142</v>
      </c>
      <c r="DR359" s="921">
        <f t="shared" si="222"/>
        <v>1530.9497842857143</v>
      </c>
      <c r="DS359" s="1004">
        <f ca="1">SUMIFS('Safety parameters'!$DM$6:$DM$18,'Safety parameters'!$DK$6:$DK$18,CZ359,'Safety parameters'!$DL$6:$DL$18,1)+IF(dd_PartSA_2_lines = "Yes",0,SUMIFS('Safety parameters'!$DM$6:$DM$18,'Safety parameters'!$DK$6:$DK$18,DA359,'Safety parameters'!$DL$6:$DL$18,2)+SUMIFS('Safety parameters'!$DM$6:$DM$18,'Safety parameters'!$DK$6:$DK$18,DB359,'Safety parameters'!$DL$6:$DL$18,2))</f>
        <v>2698.9332196249325</v>
      </c>
      <c r="DT359" s="910">
        <f ca="1">SUMIFS('Safety parameters'!$DO$6:$DO$18,'Safety parameters'!$DK$6:$DK$18,CZ359,'Safety parameters'!$DL$6:$DL$18,1)+IF(dd_PartSA_2_lines = "Yes",0,SUMIFS('Safety parameters'!$DO$6:$DO$18,'Safety parameters'!$DK$6:$DK$18,DA359,'Safety parameters'!$DL$6:$DL$18,2)+SUMIFS('Safety parameters'!$DO$6:$DO$18,'Safety parameters'!$DK$6:$DK$18,DB359,'Safety parameters'!$DL$6:$DL$18,2))</f>
        <v>-2.3926487052593939E-2</v>
      </c>
    </row>
    <row r="360" spans="89:124" ht="15" x14ac:dyDescent="0.2">
      <c r="CK360" s="61" t="s">
        <v>31</v>
      </c>
      <c r="CL360" s="61">
        <v>3</v>
      </c>
      <c r="CM360" s="61" t="str">
        <v>cabozantinib_plus_nivolumab</v>
      </c>
      <c r="CN360" s="17">
        <v>1</v>
      </c>
      <c r="CO360" s="61" t="str" cm="1">
        <f t="array" ref="CO360">INDEX(List_comparators,CP359+1)</f>
        <v>cabozantinib</v>
      </c>
      <c r="CP360" s="17">
        <v>8</v>
      </c>
      <c r="CQ360" s="601">
        <f t="shared" ca="1" si="223"/>
        <v>0</v>
      </c>
      <c r="CR360" s="601">
        <f t="shared" ca="1" si="224"/>
        <v>0</v>
      </c>
      <c r="CS360" s="671">
        <f t="shared" ca="1" si="232"/>
        <v>63.808571428571426</v>
      </c>
      <c r="CT360" s="671">
        <f t="shared" ca="1" si="225"/>
        <v>7.218571428571428</v>
      </c>
      <c r="CU360" s="1123">
        <f>MATCH(CZ367,'Resource use and costs'!$BA$11:$BA$53,0)</f>
        <v>37</v>
      </c>
      <c r="CV360" s="1223"/>
      <c r="CW360" s="1241">
        <f t="shared" si="220"/>
        <v>1</v>
      </c>
      <c r="CX360" s="899" t="s">
        <v>773</v>
      </c>
      <c r="CY360" s="899" t="s">
        <v>585</v>
      </c>
      <c r="CZ360" s="899" t="s">
        <v>118</v>
      </c>
      <c r="DA360" s="899" t="s">
        <v>765</v>
      </c>
      <c r="DB360" s="899"/>
      <c r="DC360" s="899">
        <f t="shared" ca="1" si="233"/>
        <v>0.26190000000000002</v>
      </c>
      <c r="DD360" s="899" cm="1">
        <f t="array" aca="1" ref="DD360" ca="1">_xlfn.IFNA(OFFSET($Y$49,MATCH($CZ360,$Y$50:$Y$63,0),MATCH($DA360,TRANSPOSE($Z$49:$AM$49),0)),0)</f>
        <v>0.34300000000000003</v>
      </c>
      <c r="DE360" s="899" cm="1">
        <f t="array" aca="1" ref="DE360" ca="1">_xlfn.IFNA(OFFSET($AO$49,MATCH($DA360,$AO$50:$AO$63,0),MATCH($DB360,TRANSPOSE($AP$49:$BC$49),0)),0)</f>
        <v>0</v>
      </c>
      <c r="DF360" s="881">
        <f t="shared" ca="1" si="217"/>
        <v>8.9831700000000014E-2</v>
      </c>
      <c r="DG360" s="910">
        <f t="shared" ca="1" si="218"/>
        <v>1</v>
      </c>
      <c r="DH360" s="881">
        <f t="shared" ca="1" si="219"/>
        <v>8.9831700000000014E-2</v>
      </c>
      <c r="DI360" s="1460">
        <f t="shared" ca="1" si="231"/>
        <v>21.020617800000004</v>
      </c>
      <c r="DJ360" s="909">
        <f>_xlfn.IFNA(INDEX('Resource use and costs'!$CQ$11:$CQ$53,MATCH($CZ360,'Resource use and costs'!$BA$11:$BA$53,0)),0)*_xlfn.IFNA(INDEX(DY$10:DY$23,MATCH($CZ360,$DX$10:$DX$23,0)),0)</f>
        <v>45284.183573333321</v>
      </c>
      <c r="DK360" s="909">
        <f>IF(dd_PartSA_2_lines = "Yes",0,_xlfn.IFNA(INDEX('Resource use and costs'!$CR$11:$CR$53,MATCH(DA360,'Resource use and costs'!$BA$11:$BA$53,0)),0)*_xlfn.IFNA(INDEX(EA$10:EA$23,MATCH($DA360,$DX$10:$DX$23,0)),0))</f>
        <v>0</v>
      </c>
      <c r="DL360" s="909">
        <f>IF(dd_PartSA_2_lines = "Yes",0,_xlfn.IFNA(INDEX('Resource use and costs'!$CS$11:$CS$53,MATCH(DB360,'Resource use and costs'!$BA$11:$BA$53,0)),0)*_xlfn.IFNA(INDEX(EC$10:EC$23,MATCH($DB360,$DX$10:$DX$23,0)),0))</f>
        <v>0</v>
      </c>
      <c r="DM360" s="909">
        <f t="shared" si="221"/>
        <v>45284.183573333321</v>
      </c>
      <c r="DN360" s="909">
        <f>SUM(_xlfn.IFNA(INDEX('Resource use and costs'!$DU$12:$DU$25,MATCH(CZ360,'Resource use and costs'!$DS$12:$DS$25,0)),0),_xlfn.IFNA(INDEX('Resource use and costs'!$DU$12:$DU$25,MATCH(DA360,'Resource use and costs'!$DS$12:$DS$25,0)),0),_xlfn.IFNA(INDEX('Resource use and costs'!$DU$12:$DU$25,MATCH(DB360,'Resource use and costs'!$DS$12:$DS$25,0)),0))</f>
        <v>197.25</v>
      </c>
      <c r="DO360" s="921">
        <f>_xlfn.IFNA(INDEX('Resource use and costs'!$DY$12:$DY$25,MATCH(CZ360,'Resource use and costs'!$DS$12:$DS$25,0)),0)*_xlfn.IFNA(INDEX(DY$10:DY$23,MATCH($CZ360,$DX$10:$DX$23,0)),0)</f>
        <v>415.09348571428563</v>
      </c>
      <c r="DP360" s="921">
        <f>IF(dd_PartSA_2_lines = "Yes",0,_xlfn.IFNA(INDEX('Resource use and costs'!$DZ$12:$DZ$25,MATCH(DA360,'Resource use and costs'!$DS$12:$DS$25,0)),0)*_xlfn.IFNA(INDEX(EA$10:EA$23,MATCH($DA360,$DX$10:$DX$23,0)),0))</f>
        <v>0</v>
      </c>
      <c r="DQ360" s="921">
        <f>IF(dd_PartSA_2_lines = "Yes",0,_xlfn.IFNA(INDEX('Resource use and costs'!$EA$12:$EA$25,MATCH(DB360,'Resource use and costs'!$DS$12:$DS$25,0)),0)*_xlfn.IFNA(INDEX(EC$10:EC$23,MATCH($DB360,$DX$10:$DX$23,0)),0))</f>
        <v>0</v>
      </c>
      <c r="DR360" s="921">
        <f t="shared" si="222"/>
        <v>612.34348571428563</v>
      </c>
      <c r="DS360" s="1004">
        <f ca="1">SUMIFS('Safety parameters'!$DM$6:$DM$18,'Safety parameters'!$DK$6:$DK$18,CZ360,'Safety parameters'!$DL$6:$DL$18,1)+IF(dd_PartSA_2_lines = "Yes",0,SUMIFS('Safety parameters'!$DM$6:$DM$18,'Safety parameters'!$DK$6:$DK$18,DA360,'Safety parameters'!$DL$6:$DL$18,2)+SUMIFS('Safety parameters'!$DM$6:$DM$18,'Safety parameters'!$DK$6:$DK$18,DB360,'Safety parameters'!$DL$6:$DL$18,2))</f>
        <v>731.82916268415761</v>
      </c>
      <c r="DT360" s="910">
        <f ca="1">SUMIFS('Safety parameters'!$DO$6:$DO$18,'Safety parameters'!$DK$6:$DK$18,CZ360,'Safety parameters'!$DL$6:$DL$18,1)+IF(dd_PartSA_2_lines = "Yes",0,SUMIFS('Safety parameters'!$DO$6:$DO$18,'Safety parameters'!$DK$6:$DK$18,DA360,'Safety parameters'!$DL$6:$DL$18,2)+SUMIFS('Safety parameters'!$DO$6:$DO$18,'Safety parameters'!$DK$6:$DK$18,DB360,'Safety parameters'!$DL$6:$DL$18,2))</f>
        <v>-6.5169895084747891E-3</v>
      </c>
    </row>
    <row r="361" spans="89:124" ht="15" x14ac:dyDescent="0.2">
      <c r="CK361" s="61" t="s">
        <v>31</v>
      </c>
      <c r="CL361" s="61">
        <v>3</v>
      </c>
      <c r="CM361" s="61" t="str">
        <v>nivolumab_plus_ipilimumab</v>
      </c>
      <c r="CN361" s="17">
        <v>2</v>
      </c>
      <c r="CO361" s="61" t="str" cm="1">
        <f t="array" ref="CO361">INDEX(List_comparators,CP360+1)</f>
        <v>cabozantinib</v>
      </c>
      <c r="CP361" s="17">
        <v>8</v>
      </c>
      <c r="CQ361" s="601">
        <f t="shared" ca="1" si="223"/>
        <v>0</v>
      </c>
      <c r="CR361" s="601">
        <f t="shared" ca="1" si="224"/>
        <v>0</v>
      </c>
      <c r="CS361" s="671">
        <f t="shared" ca="1" si="232"/>
        <v>63.808571428571426</v>
      </c>
      <c r="CT361" s="671">
        <f t="shared" ca="1" si="225"/>
        <v>7.218571428571428</v>
      </c>
      <c r="CU361" s="1123">
        <f>MATCH(CZ368,'Resource use and costs'!$BA$11:$BA$53,0)</f>
        <v>37</v>
      </c>
      <c r="CV361" s="1223"/>
      <c r="CW361" s="1241">
        <f t="shared" si="220"/>
        <v>1</v>
      </c>
      <c r="CX361" s="899" t="s">
        <v>773</v>
      </c>
      <c r="CY361" s="899" t="s">
        <v>585</v>
      </c>
      <c r="CZ361" s="899" t="s">
        <v>118</v>
      </c>
      <c r="DA361" s="899" t="s">
        <v>119</v>
      </c>
      <c r="DB361" s="899" t="s">
        <v>327</v>
      </c>
      <c r="DC361" s="899">
        <f t="shared" ca="1" si="233"/>
        <v>0.26190000000000002</v>
      </c>
      <c r="DD361" s="899" cm="1">
        <f t="array" aca="1" ref="DD361" ca="1">_xlfn.IFNA(OFFSET($Y$49,MATCH($CZ361,$Y$50:$Y$63,0),MATCH($DA361,TRANSPOSE($Z$49:$AM$49),0)),0)</f>
        <v>6.5699999999999995E-2</v>
      </c>
      <c r="DE361" s="899" cm="1">
        <f t="array" aca="1" ref="DE361" ca="1">_xlfn.IFNA(OFFSET($AO$49,MATCH($DA361,$AO$50:$AO$63,0),MATCH($DB361,TRANSPOSE($AP$49:$BC$49),0)),0)</f>
        <v>0</v>
      </c>
      <c r="DF361" s="881">
        <f t="shared" ca="1" si="217"/>
        <v>0</v>
      </c>
      <c r="DG361" s="910">
        <f t="shared" ca="1" si="218"/>
        <v>1</v>
      </c>
      <c r="DH361" s="881">
        <f t="shared" ca="1" si="219"/>
        <v>0</v>
      </c>
      <c r="DI361" s="1460">
        <f t="shared" ca="1" si="231"/>
        <v>0</v>
      </c>
      <c r="DJ361" s="909">
        <f>_xlfn.IFNA(INDEX('Resource use and costs'!$CQ$11:$CQ$53,MATCH($CZ361,'Resource use and costs'!$BA$11:$BA$53,0)),0)*_xlfn.IFNA(INDEX(DY$10:DY$23,MATCH($CZ361,$DX$10:$DX$23,0)),0)</f>
        <v>45284.183573333321</v>
      </c>
      <c r="DK361" s="909">
        <f>IF(dd_PartSA_2_lines = "Yes",0,_xlfn.IFNA(INDEX('Resource use and costs'!$CR$11:$CR$53,MATCH(DA361,'Resource use and costs'!$BA$11:$BA$53,0)),0)*_xlfn.IFNA(INDEX(EA$10:EA$23,MATCH($DA361,$DX$10:$DX$23,0)),0))</f>
        <v>848.17532499999982</v>
      </c>
      <c r="DL361" s="909">
        <f>IF(dd_PartSA_2_lines = "Yes",0,_xlfn.IFNA(INDEX('Resource use and costs'!$CS$11:$CS$53,MATCH(DB361,'Resource use and costs'!$BA$11:$BA$53,0)),0)*_xlfn.IFNA(INDEX(EC$10:EC$23,MATCH($DB361,$DX$10:$DX$23,0)),0))</f>
        <v>18438.751749999999</v>
      </c>
      <c r="DM361" s="909">
        <f t="shared" si="221"/>
        <v>64571.110648333313</v>
      </c>
      <c r="DN361" s="909">
        <f>SUM(_xlfn.IFNA(INDEX('Resource use and costs'!$DU$12:$DU$25,MATCH(CZ361,'Resource use and costs'!$DS$12:$DS$25,0)),0),_xlfn.IFNA(INDEX('Resource use and costs'!$DU$12:$DU$25,MATCH(DA361,'Resource use and costs'!$DS$12:$DS$25,0)),0),_xlfn.IFNA(INDEX('Resource use and costs'!$DU$12:$DU$25,MATCH(DB361,'Resource use and costs'!$DS$12:$DS$25,0)),0))</f>
        <v>591.75</v>
      </c>
      <c r="DO361" s="921">
        <f>_xlfn.IFNA(INDEX('Resource use and costs'!$DY$12:$DY$25,MATCH(CZ361,'Resource use and costs'!$DS$12:$DS$25,0)),0)*_xlfn.IFNA(INDEX(DY$10:DY$23,MATCH($CZ361,$DX$10:$DX$23,0)),0)</f>
        <v>415.09348571428563</v>
      </c>
      <c r="DP361" s="921">
        <f>IF(dd_PartSA_2_lines = "Yes",0,_xlfn.IFNA(INDEX('Resource use and costs'!$DZ$12:$DZ$25,MATCH(DA361,'Resource use and costs'!$DS$12:$DS$25,0)),0)*_xlfn.IFNA(INDEX(EA$10:EA$23,MATCH($DA361,$DX$10:$DX$23,0)),0))</f>
        <v>74.50928571428571</v>
      </c>
      <c r="DQ361" s="921">
        <f>IF(dd_PartSA_2_lines = "Yes",0,_xlfn.IFNA(INDEX('Resource use and costs'!$EA$12:$EA$25,MATCH(DB361,'Resource use and costs'!$DS$12:$DS$25,0)),0)*_xlfn.IFNA(INDEX(EC$10:EC$23,MATCH($DB361,$DX$10:$DX$23,0)),0))</f>
        <v>230.68099999999998</v>
      </c>
      <c r="DR361" s="921">
        <f t="shared" si="222"/>
        <v>1312.0337714285713</v>
      </c>
      <c r="DS361" s="1004">
        <f ca="1">SUMIFS('Safety parameters'!$DM$6:$DM$18,'Safety parameters'!$DK$6:$DK$18,CZ361,'Safety parameters'!$DL$6:$DL$18,1)+IF(dd_PartSA_2_lines = "Yes",0,SUMIFS('Safety parameters'!$DM$6:$DM$18,'Safety parameters'!$DK$6:$DK$18,DA361,'Safety parameters'!$DL$6:$DL$18,2)+SUMIFS('Safety parameters'!$DM$6:$DM$18,'Safety parameters'!$DK$6:$DK$18,DB361,'Safety parameters'!$DL$6:$DL$18,2))</f>
        <v>2698.9332196249325</v>
      </c>
      <c r="DT361" s="910">
        <f ca="1">SUMIFS('Safety parameters'!$DO$6:$DO$18,'Safety parameters'!$DK$6:$DK$18,CZ361,'Safety parameters'!$DL$6:$DL$18,1)+IF(dd_PartSA_2_lines = "Yes",0,SUMIFS('Safety parameters'!$DO$6:$DO$18,'Safety parameters'!$DK$6:$DK$18,DA361,'Safety parameters'!$DL$6:$DL$18,2)+SUMIFS('Safety parameters'!$DO$6:$DO$18,'Safety parameters'!$DK$6:$DK$18,DB361,'Safety parameters'!$DL$6:$DL$18,2))</f>
        <v>-2.3926487052593939E-2</v>
      </c>
    </row>
    <row r="362" spans="89:124" ht="15" x14ac:dyDescent="0.2">
      <c r="CK362" s="61" t="s">
        <v>31</v>
      </c>
      <c r="CL362" s="61">
        <v>3</v>
      </c>
      <c r="CM362" s="61" t="str">
        <v>lenvatinib_plus_pembrolizumab</v>
      </c>
      <c r="CN362" s="17">
        <v>3</v>
      </c>
      <c r="CO362" s="61" t="str" cm="1">
        <f t="array" ref="CO362">INDEX(List_comparators,CP361+1)</f>
        <v>cabozantinib</v>
      </c>
      <c r="CP362" s="17">
        <v>8</v>
      </c>
      <c r="CQ362" s="601">
        <f t="shared" ca="1" si="223"/>
        <v>0</v>
      </c>
      <c r="CR362" s="601">
        <f t="shared" ca="1" si="224"/>
        <v>0</v>
      </c>
      <c r="CS362" s="671">
        <f t="shared" ca="1" si="232"/>
        <v>63.808571428571426</v>
      </c>
      <c r="CT362" s="671">
        <f t="shared" ca="1" si="225"/>
        <v>7.218571428571428</v>
      </c>
      <c r="CU362" s="1123">
        <f>MATCH(CZ369,'Resource use and costs'!$BA$11:$BA$53,0)</f>
        <v>37</v>
      </c>
      <c r="CV362" s="1223"/>
      <c r="CW362" s="1241">
        <f t="shared" si="220"/>
        <v>1</v>
      </c>
      <c r="CX362" s="899" t="s">
        <v>773</v>
      </c>
      <c r="CY362" s="899" t="s">
        <v>585</v>
      </c>
      <c r="CZ362" s="899" t="s">
        <v>118</v>
      </c>
      <c r="DA362" s="899" t="s">
        <v>119</v>
      </c>
      <c r="DB362" s="899" t="s">
        <v>765</v>
      </c>
      <c r="DC362" s="899">
        <f t="shared" ca="1" si="233"/>
        <v>0.26190000000000002</v>
      </c>
      <c r="DD362" s="899" cm="1">
        <f t="array" aca="1" ref="DD362" ca="1">_xlfn.IFNA(OFFSET($Y$49,MATCH($CZ362,$Y$50:$Y$63,0),MATCH($DA362,TRANSPOSE($Z$49:$AM$49),0)),0)</f>
        <v>6.5699999999999995E-2</v>
      </c>
      <c r="DE362" s="899" cm="1">
        <f t="array" aca="1" ref="DE362" ca="1">_xlfn.IFNA(OFFSET($AO$49,MATCH($DA362,$AO$50:$AO$63,0),MATCH($DB362,TRANSPOSE($AP$49:$BC$49),0)),0)</f>
        <v>1</v>
      </c>
      <c r="DF362" s="881">
        <f t="shared" ca="1" si="217"/>
        <v>1.7206829999999999E-2</v>
      </c>
      <c r="DG362" s="910">
        <f t="shared" ca="1" si="218"/>
        <v>1</v>
      </c>
      <c r="DH362" s="881">
        <f t="shared" ca="1" si="219"/>
        <v>1.7206829999999999E-2</v>
      </c>
      <c r="DI362" s="1460">
        <f t="shared" ca="1" si="231"/>
        <v>4.0263982199999999</v>
      </c>
      <c r="DJ362" s="909">
        <f>_xlfn.IFNA(INDEX('Resource use and costs'!$CQ$11:$CQ$53,MATCH($CZ362,'Resource use and costs'!$BA$11:$BA$53,0)),0)*_xlfn.IFNA(INDEX(DY$10:DY$23,MATCH($CZ362,$DX$10:$DX$23,0)),0)</f>
        <v>45284.183573333321</v>
      </c>
      <c r="DK362" s="909">
        <f>IF(dd_PartSA_2_lines = "Yes",0,_xlfn.IFNA(INDEX('Resource use and costs'!$CR$11:$CR$53,MATCH(DA362,'Resource use and costs'!$BA$11:$BA$53,0)),0)*_xlfn.IFNA(INDEX(EA$10:EA$23,MATCH($DA362,$DX$10:$DX$23,0)),0))</f>
        <v>848.17532499999982</v>
      </c>
      <c r="DL362" s="909">
        <f>IF(dd_PartSA_2_lines = "Yes",0,_xlfn.IFNA(INDEX('Resource use and costs'!$CS$11:$CS$53,MATCH(DB362,'Resource use and costs'!$BA$11:$BA$53,0)),0)*_xlfn.IFNA(INDEX(EC$10:EC$23,MATCH($DB362,$DX$10:$DX$23,0)),0))</f>
        <v>0</v>
      </c>
      <c r="DM362" s="909">
        <f t="shared" si="221"/>
        <v>46132.358898333317</v>
      </c>
      <c r="DN362" s="909">
        <f>SUM(_xlfn.IFNA(INDEX('Resource use and costs'!$DU$12:$DU$25,MATCH(CZ362,'Resource use and costs'!$DS$12:$DS$25,0)),0),_xlfn.IFNA(INDEX('Resource use and costs'!$DU$12:$DU$25,MATCH(DA362,'Resource use and costs'!$DS$12:$DS$25,0)),0),_xlfn.IFNA(INDEX('Resource use and costs'!$DU$12:$DU$25,MATCH(DB362,'Resource use and costs'!$DS$12:$DS$25,0)),0))</f>
        <v>394.5</v>
      </c>
      <c r="DO362" s="921">
        <f>_xlfn.IFNA(INDEX('Resource use and costs'!$DY$12:$DY$25,MATCH(CZ362,'Resource use and costs'!$DS$12:$DS$25,0)),0)*_xlfn.IFNA(INDEX(DY$10:DY$23,MATCH($CZ362,$DX$10:$DX$23,0)),0)</f>
        <v>415.09348571428563</v>
      </c>
      <c r="DP362" s="921">
        <f>IF(dd_PartSA_2_lines = "Yes",0,_xlfn.IFNA(INDEX('Resource use and costs'!$DZ$12:$DZ$25,MATCH(DA362,'Resource use and costs'!$DS$12:$DS$25,0)),0)*_xlfn.IFNA(INDEX(EA$10:EA$23,MATCH($DA362,$DX$10:$DX$23,0)),0))</f>
        <v>74.50928571428571</v>
      </c>
      <c r="DQ362" s="921">
        <f>IF(dd_PartSA_2_lines = "Yes",0,_xlfn.IFNA(INDEX('Resource use and costs'!$EA$12:$EA$25,MATCH(DB362,'Resource use and costs'!$DS$12:$DS$25,0)),0)*_xlfn.IFNA(INDEX(EC$10:EC$23,MATCH($DB362,$DX$10:$DX$23,0)),0))</f>
        <v>0</v>
      </c>
      <c r="DR362" s="921">
        <f t="shared" si="222"/>
        <v>884.10277142857137</v>
      </c>
      <c r="DS362" s="1004">
        <f ca="1">SUMIFS('Safety parameters'!$DM$6:$DM$18,'Safety parameters'!$DK$6:$DK$18,CZ362,'Safety parameters'!$DL$6:$DL$18,1)+IF(dd_PartSA_2_lines = "Yes",0,SUMIFS('Safety parameters'!$DM$6:$DM$18,'Safety parameters'!$DK$6:$DK$18,DA362,'Safety parameters'!$DL$6:$DL$18,2)+SUMIFS('Safety parameters'!$DM$6:$DM$18,'Safety parameters'!$DK$6:$DK$18,DB362,'Safety parameters'!$DL$6:$DL$18,2))</f>
        <v>1064.7045460594725</v>
      </c>
      <c r="DT362" s="910">
        <f ca="1">SUMIFS('Safety parameters'!$DO$6:$DO$18,'Safety parameters'!$DK$6:$DK$18,CZ362,'Safety parameters'!$DL$6:$DL$18,1)+IF(dd_PartSA_2_lines = "Yes",0,SUMIFS('Safety parameters'!$DO$6:$DO$18,'Safety parameters'!$DK$6:$DK$18,DA362,'Safety parameters'!$DL$6:$DL$18,2)+SUMIFS('Safety parameters'!$DO$6:$DO$18,'Safety parameters'!$DK$6:$DK$18,DB362,'Safety parameters'!$DL$6:$DL$18,2))</f>
        <v>-9.184563045112509E-3</v>
      </c>
    </row>
    <row r="363" spans="89:124" ht="15" x14ac:dyDescent="0.2">
      <c r="CK363" s="61" t="s">
        <v>31</v>
      </c>
      <c r="CL363" s="61">
        <v>3</v>
      </c>
      <c r="CM363" s="61" t="str">
        <v>avelumab_plus_axitinib</v>
      </c>
      <c r="CN363" s="17">
        <v>4</v>
      </c>
      <c r="CO363" s="61" t="str" cm="1">
        <f t="array" ref="CO363">INDEX(List_comparators,CP362+1)</f>
        <v>cabozantinib</v>
      </c>
      <c r="CP363" s="17">
        <v>8</v>
      </c>
      <c r="CQ363" s="601">
        <f t="shared" ca="1" si="223"/>
        <v>0</v>
      </c>
      <c r="CR363" s="601">
        <f t="shared" ca="1" si="224"/>
        <v>0</v>
      </c>
      <c r="CS363" s="671">
        <f t="shared" ca="1" si="232"/>
        <v>63.808571428571426</v>
      </c>
      <c r="CT363" s="671">
        <f t="shared" ca="1" si="225"/>
        <v>7.218571428571428</v>
      </c>
      <c r="CU363" s="1123">
        <f>MATCH(CZ370,'Resource use and costs'!$BA$11:$BA$53,0)</f>
        <v>37</v>
      </c>
      <c r="CV363" s="1223"/>
      <c r="CW363" s="1241">
        <f t="shared" si="220"/>
        <v>1</v>
      </c>
      <c r="CX363" s="899" t="s">
        <v>773</v>
      </c>
      <c r="CY363" s="899" t="s">
        <v>585</v>
      </c>
      <c r="CZ363" s="899" t="s">
        <v>118</v>
      </c>
      <c r="DA363" s="899" t="s">
        <v>579</v>
      </c>
      <c r="DB363" s="899" t="s">
        <v>327</v>
      </c>
      <c r="DC363" s="899">
        <f t="shared" ca="1" si="233"/>
        <v>0.26190000000000002</v>
      </c>
      <c r="DD363" s="899">
        <f ca="1">1-DD358-DD360-DD361</f>
        <v>0.46929999999999994</v>
      </c>
      <c r="DE363" s="899" cm="1">
        <f t="array" aca="1" ref="DE363" ca="1">_xlfn.IFNA(OFFSET($AO$49,MATCH($DA363,$AO$50:$AO$63,0),MATCH($DB363,TRANSPOSE($AP$49:$BC$49),0)),0)</f>
        <v>0.56859999999999999</v>
      </c>
      <c r="DF363" s="881">
        <f t="shared" ca="1" si="217"/>
        <v>6.9886438361999995E-2</v>
      </c>
      <c r="DG363" s="910">
        <f t="shared" ca="1" si="218"/>
        <v>1</v>
      </c>
      <c r="DH363" s="881">
        <f t="shared" ca="1" si="219"/>
        <v>6.9886438361999995E-2</v>
      </c>
      <c r="DI363" s="1460">
        <f t="shared" ca="1" si="231"/>
        <v>16.353426576707999</v>
      </c>
      <c r="DJ363" s="909">
        <f>_xlfn.IFNA(INDEX('Resource use and costs'!$CQ$11:$CQ$53,MATCH($CZ363,'Resource use and costs'!$BA$11:$BA$53,0)),0)*_xlfn.IFNA(INDEX(DY$10:DY$23,MATCH($CZ363,$DX$10:$DX$23,0)),0)</f>
        <v>45284.183573333321</v>
      </c>
      <c r="DK363" s="909">
        <f>IF(dd_PartSA_2_lines = "Yes",0,_xlfn.IFNA(INDEX('Resource use and costs'!$CR$11:$CR$53,MATCH(DA363,'Resource use and costs'!$BA$11:$BA$53,0)),0)*_xlfn.IFNA(INDEX(EA$10:EA$23,MATCH($DA363,$DX$10:$DX$23,0)),0))</f>
        <v>26054.50921</v>
      </c>
      <c r="DL363" s="909">
        <f>IF(dd_PartSA_2_lines = "Yes",0,_xlfn.IFNA(INDEX('Resource use and costs'!$CS$11:$CS$53,MATCH(DB363,'Resource use and costs'!$BA$11:$BA$53,0)),0)*_xlfn.IFNA(INDEX(EC$10:EC$23,MATCH($DB363,$DX$10:$DX$23,0)),0))</f>
        <v>18438.751749999999</v>
      </c>
      <c r="DM363" s="909">
        <f t="shared" si="221"/>
        <v>89777.444533333313</v>
      </c>
      <c r="DN363" s="909">
        <f>SUM(_xlfn.IFNA(INDEX('Resource use and costs'!$DU$12:$DU$25,MATCH(CZ363,'Resource use and costs'!$DS$12:$DS$25,0)),0),_xlfn.IFNA(INDEX('Resource use and costs'!$DU$12:$DU$25,MATCH(DA363,'Resource use and costs'!$DS$12:$DS$25,0)),0),_xlfn.IFNA(INDEX('Resource use and costs'!$DU$12:$DU$25,MATCH(DB363,'Resource use and costs'!$DS$12:$DS$25,0)),0))</f>
        <v>394.5</v>
      </c>
      <c r="DO363" s="921">
        <f>_xlfn.IFNA(INDEX('Resource use and costs'!$DY$12:$DY$25,MATCH(CZ363,'Resource use and costs'!$DS$12:$DS$25,0)),0)*_xlfn.IFNA(INDEX(DY$10:DY$23,MATCH($CZ363,$DX$10:$DX$23,0)),0)</f>
        <v>415.09348571428563</v>
      </c>
      <c r="DP363" s="921">
        <f>IF(dd_PartSA_2_lines = "Yes",0,_xlfn.IFNA(INDEX('Resource use and costs'!$DZ$12:$DZ$25,MATCH(DA363,'Resource use and costs'!$DS$12:$DS$25,0)),0)*_xlfn.IFNA(INDEX(EA$10:EA$23,MATCH($DA363,$DX$10:$DX$23,0)),0))</f>
        <v>4108.3597166</v>
      </c>
      <c r="DQ363" s="921">
        <f>IF(dd_PartSA_2_lines = "Yes",0,_xlfn.IFNA(INDEX('Resource use and costs'!$EA$12:$EA$25,MATCH(DB363,'Resource use and costs'!$DS$12:$DS$25,0)),0)*_xlfn.IFNA(INDEX(EC$10:EC$23,MATCH($DB363,$DX$10:$DX$23,0)),0))</f>
        <v>230.68099999999998</v>
      </c>
      <c r="DR363" s="921">
        <f t="shared" si="222"/>
        <v>5148.6342023142852</v>
      </c>
      <c r="DS363" s="1004">
        <f ca="1">SUMIFS('Safety parameters'!$DM$6:$DM$18,'Safety parameters'!$DK$6:$DK$18,CZ363,'Safety parameters'!$DL$6:$DL$18,1)+IF(dd_PartSA_2_lines = "Yes",0,SUMIFS('Safety parameters'!$DM$6:$DM$18,'Safety parameters'!$DK$6:$DK$18,DA363,'Safety parameters'!$DL$6:$DL$18,2)+SUMIFS('Safety parameters'!$DM$6:$DM$18,'Safety parameters'!$DK$6:$DK$18,DB363,'Safety parameters'!$DL$6:$DL$18,2))</f>
        <v>2527.1915852400316</v>
      </c>
      <c r="DT363" s="910">
        <f ca="1">SUMIFS('Safety parameters'!$DO$6:$DO$18,'Safety parameters'!$DK$6:$DK$18,CZ363,'Safety parameters'!$DL$6:$DL$18,1)+IF(dd_PartSA_2_lines = "Yes",0,SUMIFS('Safety parameters'!$DO$6:$DO$18,'Safety parameters'!$DK$6:$DK$18,DA363,'Safety parameters'!$DL$6:$DL$18,2)+SUMIFS('Safety parameters'!$DO$6:$DO$18,'Safety parameters'!$DK$6:$DK$18,DB363,'Safety parameters'!$DL$6:$DL$18,2))</f>
        <v>-2.2855997713641003E-2</v>
      </c>
    </row>
    <row r="364" spans="89:124" ht="15" x14ac:dyDescent="0.2">
      <c r="CK364" s="61" t="s">
        <v>31</v>
      </c>
      <c r="CL364" s="61">
        <v>3</v>
      </c>
      <c r="CM364" s="61" t="str">
        <v>pazopanib</v>
      </c>
      <c r="CN364" s="17">
        <v>5</v>
      </c>
      <c r="CO364" s="61" t="str" cm="1">
        <f t="array" ref="CO364">INDEX(List_comparators,CP363+1)</f>
        <v>cabozantinib</v>
      </c>
      <c r="CP364" s="17">
        <v>8</v>
      </c>
      <c r="CQ364" s="601">
        <f t="shared" ca="1" si="223"/>
        <v>0.32850000000000001</v>
      </c>
      <c r="CR364" s="601">
        <f t="shared" ca="1" si="224"/>
        <v>3.2850000000000004E-2</v>
      </c>
      <c r="CS364" s="671">
        <f t="shared" ca="1" si="232"/>
        <v>63.808571428571426</v>
      </c>
      <c r="CT364" s="671">
        <f t="shared" ca="1" si="225"/>
        <v>7.218571428571428</v>
      </c>
      <c r="CU364" s="1123">
        <f>MATCH(CZ371,'Resource use and costs'!$BA$11:$BA$53,0)</f>
        <v>37</v>
      </c>
      <c r="CV364" s="1223"/>
      <c r="CW364" s="1241">
        <f t="shared" si="220"/>
        <v>1</v>
      </c>
      <c r="CX364" s="899" t="s">
        <v>773</v>
      </c>
      <c r="CY364" s="899" t="s">
        <v>585</v>
      </c>
      <c r="CZ364" s="899" t="s">
        <v>118</v>
      </c>
      <c r="DA364" s="899" t="s">
        <v>579</v>
      </c>
      <c r="DB364" s="899" t="s">
        <v>765</v>
      </c>
      <c r="DC364" s="899">
        <f t="shared" ca="1" si="233"/>
        <v>0.26190000000000002</v>
      </c>
      <c r="DD364" s="899">
        <f ca="1">DD363</f>
        <v>0.46929999999999994</v>
      </c>
      <c r="DE364" s="899" cm="1">
        <f t="array" aca="1" ref="DE364" ca="1">_xlfn.IFNA(OFFSET($AO$49,MATCH($DA364,$AO$50:$AO$63,0),MATCH($DB364,TRANSPOSE($AP$49:$BC$49),0)),0)</f>
        <v>0.43140000000000001</v>
      </c>
      <c r="DF364" s="881">
        <f t="shared" ca="1" si="217"/>
        <v>5.3023231637999997E-2</v>
      </c>
      <c r="DG364" s="910">
        <f t="shared" ca="1" si="218"/>
        <v>1</v>
      </c>
      <c r="DH364" s="881">
        <f t="shared" ca="1" si="219"/>
        <v>5.3023231637999997E-2</v>
      </c>
      <c r="DI364" s="1460">
        <f t="shared" ca="1" si="231"/>
        <v>12.407436203291999</v>
      </c>
      <c r="DJ364" s="909">
        <f>_xlfn.IFNA(INDEX('Resource use and costs'!$CQ$11:$CQ$53,MATCH($CZ364,'Resource use and costs'!$BA$11:$BA$53,0)),0)*_xlfn.IFNA(INDEX(DY$10:DY$23,MATCH($CZ364,$DX$10:$DX$23,0)),0)</f>
        <v>45284.183573333321</v>
      </c>
      <c r="DK364" s="909">
        <f>IF(dd_PartSA_2_lines = "Yes",0,_xlfn.IFNA(INDEX('Resource use and costs'!$CR$11:$CR$53,MATCH(DA364,'Resource use and costs'!$BA$11:$BA$53,0)),0)*_xlfn.IFNA(INDEX(EA$10:EA$23,MATCH($DA364,$DX$10:$DX$23,0)),0))</f>
        <v>26054.50921</v>
      </c>
      <c r="DL364" s="909">
        <f>IF(dd_PartSA_2_lines = "Yes",0,_xlfn.IFNA(INDEX('Resource use and costs'!$CS$11:$CS$53,MATCH(DB364,'Resource use and costs'!$BA$11:$BA$53,0)),0)*_xlfn.IFNA(INDEX(EC$10:EC$23,MATCH($DB364,$DX$10:$DX$23,0)),0))</f>
        <v>0</v>
      </c>
      <c r="DM364" s="909">
        <f t="shared" si="221"/>
        <v>71338.692783333317</v>
      </c>
      <c r="DN364" s="909">
        <f>SUM(_xlfn.IFNA(INDEX('Resource use and costs'!$DU$12:$DU$25,MATCH(CZ364,'Resource use and costs'!$DS$12:$DS$25,0)),0),_xlfn.IFNA(INDEX('Resource use and costs'!$DU$12:$DU$25,MATCH(DA364,'Resource use and costs'!$DS$12:$DS$25,0)),0),_xlfn.IFNA(INDEX('Resource use and costs'!$DU$12:$DU$25,MATCH(DB364,'Resource use and costs'!$DS$12:$DS$25,0)),0))</f>
        <v>197.25</v>
      </c>
      <c r="DO364" s="921">
        <f>_xlfn.IFNA(INDEX('Resource use and costs'!$DY$12:$DY$25,MATCH(CZ364,'Resource use and costs'!$DS$12:$DS$25,0)),0)*_xlfn.IFNA(INDEX(DY$10:DY$23,MATCH($CZ364,$DX$10:$DX$23,0)),0)</f>
        <v>415.09348571428563</v>
      </c>
      <c r="DP364" s="921">
        <f>IF(dd_PartSA_2_lines = "Yes",0,_xlfn.IFNA(INDEX('Resource use and costs'!$DZ$12:$DZ$25,MATCH(DA364,'Resource use and costs'!$DS$12:$DS$25,0)),0)*_xlfn.IFNA(INDEX(EA$10:EA$23,MATCH($DA364,$DX$10:$DX$23,0)),0))</f>
        <v>4108.3597166</v>
      </c>
      <c r="DQ364" s="921">
        <f>IF(dd_PartSA_2_lines = "Yes",0,_xlfn.IFNA(INDEX('Resource use and costs'!$EA$12:$EA$25,MATCH(DB364,'Resource use and costs'!$DS$12:$DS$25,0)),0)*_xlfn.IFNA(INDEX(EC$10:EC$23,MATCH($DB364,$DX$10:$DX$23,0)),0))</f>
        <v>0</v>
      </c>
      <c r="DR364" s="921">
        <f t="shared" si="222"/>
        <v>4720.7032023142856</v>
      </c>
      <c r="DS364" s="1004">
        <f ca="1">SUMIFS('Safety parameters'!$DM$6:$DM$18,'Safety parameters'!$DK$6:$DK$18,CZ364,'Safety parameters'!$DL$6:$DL$18,1)+IF(dd_PartSA_2_lines = "Yes",0,SUMIFS('Safety parameters'!$DM$6:$DM$18,'Safety parameters'!$DK$6:$DK$18,DA364,'Safety parameters'!$DL$6:$DL$18,2)+SUMIFS('Safety parameters'!$DM$6:$DM$18,'Safety parameters'!$DK$6:$DK$18,DB364,'Safety parameters'!$DL$6:$DL$18,2))</f>
        <v>892.96291167457207</v>
      </c>
      <c r="DT364" s="910">
        <f ca="1">SUMIFS('Safety parameters'!$DO$6:$DO$18,'Safety parameters'!$DK$6:$DK$18,CZ364,'Safety parameters'!$DL$6:$DL$18,1)+IF(dd_PartSA_2_lines = "Yes",0,SUMIFS('Safety parameters'!$DO$6:$DO$18,'Safety parameters'!$DK$6:$DK$18,DA364,'Safety parameters'!$DL$6:$DL$18,2)+SUMIFS('Safety parameters'!$DO$6:$DO$18,'Safety parameters'!$DK$6:$DK$18,DB364,'Safety parameters'!$DL$6:$DL$18,2))</f>
        <v>-8.1140737061595747E-3</v>
      </c>
    </row>
    <row r="365" spans="89:124" ht="15" x14ac:dyDescent="0.2">
      <c r="CK365" s="61" t="s">
        <v>31</v>
      </c>
      <c r="CL365" s="61">
        <v>3</v>
      </c>
      <c r="CM365" s="61" t="str">
        <v>tivozanib</v>
      </c>
      <c r="CN365" s="17">
        <v>6</v>
      </c>
      <c r="CO365" s="61" t="str" cm="1">
        <f t="array" ref="CO365">INDEX(List_comparators,CP364+1)</f>
        <v>cabozantinib</v>
      </c>
      <c r="CP365" s="17">
        <v>8</v>
      </c>
      <c r="CQ365" s="601">
        <f t="shared" ca="1" si="223"/>
        <v>0.3286</v>
      </c>
      <c r="CR365" s="601">
        <f t="shared" ca="1" si="224"/>
        <v>3.286E-2</v>
      </c>
      <c r="CS365" s="671">
        <f t="shared" ca="1" si="232"/>
        <v>63.808571428571426</v>
      </c>
      <c r="CT365" s="671">
        <f t="shared" ca="1" si="225"/>
        <v>7.218571428571428</v>
      </c>
      <c r="CU365" s="1123">
        <f>MATCH(CZ372,'Resource use and costs'!$BA$11:$BA$53,0)</f>
        <v>43</v>
      </c>
      <c r="CV365" s="1223"/>
      <c r="CW365" s="1241">
        <f t="shared" si="220"/>
        <v>1</v>
      </c>
      <c r="CX365" s="899" t="s">
        <v>773</v>
      </c>
      <c r="CY365" s="899" t="s">
        <v>585</v>
      </c>
      <c r="CZ365" s="899" t="s">
        <v>118</v>
      </c>
      <c r="DA365" s="899" t="s">
        <v>579</v>
      </c>
      <c r="DB365" s="899" t="s">
        <v>119</v>
      </c>
      <c r="DC365" s="899">
        <f t="shared" ca="1" si="233"/>
        <v>0.26190000000000002</v>
      </c>
      <c r="DD365" s="899">
        <f ca="1">DD364</f>
        <v>0.46929999999999994</v>
      </c>
      <c r="DE365" s="899" cm="1">
        <f t="array" aca="1" ref="DE365" ca="1">_xlfn.IFNA(OFFSET($AO$49,MATCH($DA365,$AO$50:$AO$63,0),MATCH($DB365,TRANSPOSE($AP$49:$BC$49),0)),0)</f>
        <v>0</v>
      </c>
      <c r="DF365" s="881">
        <f t="shared" ca="1" si="217"/>
        <v>0</v>
      </c>
      <c r="DG365" s="910">
        <f t="shared" ca="1" si="218"/>
        <v>1</v>
      </c>
      <c r="DH365" s="881">
        <f t="shared" ca="1" si="219"/>
        <v>0</v>
      </c>
      <c r="DI365" s="1460">
        <f t="shared" ca="1" si="231"/>
        <v>0</v>
      </c>
      <c r="DJ365" s="909">
        <f>_xlfn.IFNA(INDEX('Resource use and costs'!$CQ$11:$CQ$53,MATCH($CZ365,'Resource use and costs'!$BA$11:$BA$53,0)),0)*_xlfn.IFNA(INDEX(DY$10:DY$23,MATCH($CZ365,$DX$10:$DX$23,0)),0)</f>
        <v>45284.183573333321</v>
      </c>
      <c r="DK365" s="909">
        <f>IF(dd_PartSA_2_lines = "Yes",0,_xlfn.IFNA(INDEX('Resource use and costs'!$CR$11:$CR$53,MATCH(DA365,'Resource use and costs'!$BA$11:$BA$53,0)),0)*_xlfn.IFNA(INDEX(EA$10:EA$23,MATCH($DA365,$DX$10:$DX$23,0)),0))</f>
        <v>26054.50921</v>
      </c>
      <c r="DL365" s="909">
        <f>IF(dd_PartSA_2_lines = "Yes",0,_xlfn.IFNA(INDEX('Resource use and costs'!$CS$11:$CS$53,MATCH(DB365,'Resource use and costs'!$BA$11:$BA$53,0)),0)*_xlfn.IFNA(INDEX(EC$10:EC$23,MATCH($DB365,$DX$10:$DX$23,0)),0))</f>
        <v>2915.4763433333328</v>
      </c>
      <c r="DM365" s="909">
        <f t="shared" si="221"/>
        <v>74254.169126666646</v>
      </c>
      <c r="DN365" s="909">
        <f>SUM(_xlfn.IFNA(INDEX('Resource use and costs'!$DU$12:$DU$25,MATCH(CZ365,'Resource use and costs'!$DS$12:$DS$25,0)),0),_xlfn.IFNA(INDEX('Resource use and costs'!$DU$12:$DU$25,MATCH(DA365,'Resource use and costs'!$DS$12:$DS$25,0)),0),_xlfn.IFNA(INDEX('Resource use and costs'!$DU$12:$DU$25,MATCH(DB365,'Resource use and costs'!$DS$12:$DS$25,0)),0))</f>
        <v>394.5</v>
      </c>
      <c r="DO365" s="921">
        <f>_xlfn.IFNA(INDEX('Resource use and costs'!$DY$12:$DY$25,MATCH(CZ365,'Resource use and costs'!$DS$12:$DS$25,0)),0)*_xlfn.IFNA(INDEX(DY$10:DY$23,MATCH($CZ365,$DX$10:$DX$23,0)),0)</f>
        <v>415.09348571428563</v>
      </c>
      <c r="DP365" s="921">
        <f>IF(dd_PartSA_2_lines = "Yes",0,_xlfn.IFNA(INDEX('Resource use and costs'!$DZ$12:$DZ$25,MATCH(DA365,'Resource use and costs'!$DS$12:$DS$25,0)),0)*_xlfn.IFNA(INDEX(EA$10:EA$23,MATCH($DA365,$DX$10:$DX$23,0)),0))</f>
        <v>4108.3597166</v>
      </c>
      <c r="DQ365" s="921">
        <f>IF(dd_PartSA_2_lines = "Yes",0,_xlfn.IFNA(INDEX('Resource use and costs'!$EA$12:$EA$25,MATCH(DB365,'Resource use and costs'!$DS$12:$DS$25,0)),0)*_xlfn.IFNA(INDEX(EC$10:EC$23,MATCH($DB365,$DX$10:$DX$23,0)),0))</f>
        <v>256.11457142857142</v>
      </c>
      <c r="DR365" s="921">
        <f t="shared" si="222"/>
        <v>5174.0677737428568</v>
      </c>
      <c r="DS365" s="1004">
        <f ca="1">SUMIFS('Safety parameters'!$DM$6:$DM$18,'Safety parameters'!$DK$6:$DK$18,CZ365,'Safety parameters'!$DL$6:$DL$18,1)+IF(dd_PartSA_2_lines = "Yes",0,SUMIFS('Safety parameters'!$DM$6:$DM$18,'Safety parameters'!$DK$6:$DK$18,DA365,'Safety parameters'!$DL$6:$DL$18,2)+SUMIFS('Safety parameters'!$DM$6:$DM$18,'Safety parameters'!$DK$6:$DK$18,DB365,'Safety parameters'!$DL$6:$DL$18,2))</f>
        <v>1225.8382950498869</v>
      </c>
      <c r="DT365" s="910">
        <f ca="1">SUMIFS('Safety parameters'!$DO$6:$DO$18,'Safety parameters'!$DK$6:$DK$18,CZ365,'Safety parameters'!$DL$6:$DL$18,1)+IF(dd_PartSA_2_lines = "Yes",0,SUMIFS('Safety parameters'!$DO$6:$DO$18,'Safety parameters'!$DK$6:$DK$18,DA365,'Safety parameters'!$DL$6:$DL$18,2)+SUMIFS('Safety parameters'!$DO$6:$DO$18,'Safety parameters'!$DK$6:$DK$18,DB365,'Safety parameters'!$DL$6:$DL$18,2))</f>
        <v>-1.0781647242797295E-2</v>
      </c>
    </row>
    <row r="366" spans="89:124" ht="15" x14ac:dyDescent="0.2">
      <c r="CK366" s="61" t="s">
        <v>31</v>
      </c>
      <c r="CL366" s="61">
        <v>3</v>
      </c>
      <c r="CM366" s="61" t="str">
        <v>sunitinib</v>
      </c>
      <c r="CN366" s="17">
        <v>7</v>
      </c>
      <c r="CO366" s="61" t="str" cm="1">
        <f t="array" ref="CO366">INDEX(List_comparators,CP365+1)</f>
        <v>cabozantinib</v>
      </c>
      <c r="CP366" s="17">
        <v>8</v>
      </c>
      <c r="CQ366" s="601">
        <f t="shared" ca="1" si="223"/>
        <v>0.51100000000000001</v>
      </c>
      <c r="CR366" s="601">
        <f t="shared" ca="1" si="224"/>
        <v>5.1100000000000007E-2</v>
      </c>
      <c r="CS366" s="671">
        <f t="shared" ca="1" si="232"/>
        <v>63.808571428571426</v>
      </c>
      <c r="CT366" s="671">
        <f t="shared" ca="1" si="225"/>
        <v>7.218571428571428</v>
      </c>
      <c r="CU366" s="1123">
        <f>MATCH(CZ373,'Resource use and costs'!$BA$11:$BA$53,0)</f>
        <v>43</v>
      </c>
      <c r="CV366" s="1223"/>
      <c r="CW366" s="1241">
        <f t="shared" si="220"/>
        <v>1</v>
      </c>
      <c r="CX366" s="899" t="s">
        <v>773</v>
      </c>
      <c r="CY366" s="899" t="s">
        <v>585</v>
      </c>
      <c r="CZ366" s="899" t="s">
        <v>119</v>
      </c>
      <c r="DA366" s="899" t="s">
        <v>327</v>
      </c>
      <c r="DB366" s="899" t="s">
        <v>765</v>
      </c>
      <c r="DC366" s="899" cm="1">
        <f t="array" aca="1" ref="DC366" ca="1">_xlfn.IFNA(OFFSET($I$49,MATCH(CY366,$I$50:$I$63,0),MATCH(CZ366,TRANSPOSE($J$49:$W$49),0)),0)</f>
        <v>0</v>
      </c>
      <c r="DD366" s="899" cm="1">
        <f t="array" aca="1" ref="DD366" ca="1">_xlfn.IFNA(OFFSET($Y$49,MATCH($CZ366,$Y$50:$Y$63,0),MATCH($DA366,TRANSPOSE($Z$49:$AM$49),0)),0)</f>
        <v>0</v>
      </c>
      <c r="DE366" s="899" cm="1">
        <f t="array" aca="1" ref="DE366" ca="1">_xlfn.IFNA(OFFSET($AO$49,MATCH($DA366,$AO$50:$AO$63,0),MATCH($DB366,TRANSPOSE($AP$49:$BC$49),0)),0)</f>
        <v>0.43140000000000001</v>
      </c>
      <c r="DF366" s="881">
        <f t="shared" ca="1" si="217"/>
        <v>0</v>
      </c>
      <c r="DG366" s="910">
        <f t="shared" ca="1" si="218"/>
        <v>1</v>
      </c>
      <c r="DH366" s="881">
        <f t="shared" ca="1" si="219"/>
        <v>0</v>
      </c>
      <c r="DI366" s="1460">
        <f t="shared" ca="1" si="231"/>
        <v>0</v>
      </c>
      <c r="DJ366" s="909">
        <f>_xlfn.IFNA(INDEX('Resource use and costs'!$CQ$11:$CQ$53,MATCH($CZ366,'Resource use and costs'!$BA$11:$BA$53,0)),0)*_xlfn.IFNA(INDEX(DY$10:DY$23,MATCH($CZ366,$DX$10:$DX$23,0)),0)</f>
        <v>944.50399999999979</v>
      </c>
      <c r="DK366" s="909">
        <f>IF(dd_PartSA_2_lines = "Yes",0,_xlfn.IFNA(INDEX('Resource use and costs'!$CR$11:$CR$53,MATCH(DA366,'Resource use and costs'!$BA$11:$BA$53,0)),0)*_xlfn.IFNA(INDEX(EA$10:EA$23,MATCH($DA366,$DX$10:$DX$23,0)),0))</f>
        <v>21421.066008214286</v>
      </c>
      <c r="DL366" s="909">
        <f>IF(dd_PartSA_2_lines = "Yes",0,_xlfn.IFNA(INDEX('Resource use and costs'!$CS$11:$CS$53,MATCH(DB366,'Resource use and costs'!$BA$11:$BA$53,0)),0)*_xlfn.IFNA(INDEX(EC$10:EC$23,MATCH($DB366,$DX$10:$DX$23,0)),0))</f>
        <v>0</v>
      </c>
      <c r="DM366" s="909">
        <f t="shared" si="221"/>
        <v>22365.570008214287</v>
      </c>
      <c r="DN366" s="909">
        <f>SUM(_xlfn.IFNA(INDEX('Resource use and costs'!$DU$12:$DU$25,MATCH(CZ366,'Resource use and costs'!$DS$12:$DS$25,0)),0),_xlfn.IFNA(INDEX('Resource use and costs'!$DU$12:$DU$25,MATCH(DA366,'Resource use and costs'!$DS$12:$DS$25,0)),0),_xlfn.IFNA(INDEX('Resource use and costs'!$DU$12:$DU$25,MATCH(DB366,'Resource use and costs'!$DS$12:$DS$25,0)),0))</f>
        <v>394.5</v>
      </c>
      <c r="DO366" s="921">
        <f>_xlfn.IFNA(INDEX('Resource use and costs'!$DY$12:$DY$25,MATCH(CZ366,'Resource use and costs'!$DS$12:$DS$25,0)),0)*_xlfn.IFNA(INDEX(DY$10:DY$23,MATCH($CZ366,$DX$10:$DX$23,0)),0)</f>
        <v>82.971428571428561</v>
      </c>
      <c r="DP366" s="921">
        <f>IF(dd_PartSA_2_lines = "Yes",0,_xlfn.IFNA(INDEX('Resource use and costs'!$DZ$12:$DZ$25,MATCH(DA366,'Resource use and costs'!$DS$12:$DS$25,0)),0)*_xlfn.IFNA(INDEX(EA$10:EA$23,MATCH($DA366,$DX$10:$DX$23,0)),0))</f>
        <v>267.99172714285714</v>
      </c>
      <c r="DQ366" s="921">
        <f>IF(dd_PartSA_2_lines = "Yes",0,_xlfn.IFNA(INDEX('Resource use and costs'!$EA$12:$EA$25,MATCH(DB366,'Resource use and costs'!$DS$12:$DS$25,0)),0)*_xlfn.IFNA(INDEX(EC$10:EC$23,MATCH($DB366,$DX$10:$DX$23,0)),0))</f>
        <v>0</v>
      </c>
      <c r="DR366" s="921">
        <f t="shared" si="222"/>
        <v>745.46315571428568</v>
      </c>
      <c r="DS366" s="1004">
        <f ca="1">SUMIFS('Safety parameters'!$DM$6:$DM$18,'Safety parameters'!$DK$6:$DK$18,CZ366,'Safety parameters'!$DL$6:$DL$18,1)+IF(dd_PartSA_2_lines = "Yes",0,SUMIFS('Safety parameters'!$DM$6:$DM$18,'Safety parameters'!$DK$6:$DK$18,DA366,'Safety parameters'!$DL$6:$DL$18,2)+SUMIFS('Safety parameters'!$DM$6:$DM$18,'Safety parameters'!$DK$6:$DK$18,DB366,'Safety parameters'!$DL$6:$DL$18,2))</f>
        <v>1634.2286735654598</v>
      </c>
      <c r="DT366" s="910">
        <f ca="1">SUMIFS('Safety parameters'!$DO$6:$DO$18,'Safety parameters'!$DK$6:$DK$18,CZ366,'Safety parameters'!$DL$6:$DL$18,1)+IF(dd_PartSA_2_lines = "Yes",0,SUMIFS('Safety parameters'!$DO$6:$DO$18,'Safety parameters'!$DK$6:$DK$18,DA366,'Safety parameters'!$DL$6:$DL$18,2)+SUMIFS('Safety parameters'!$DO$6:$DO$18,'Safety parameters'!$DK$6:$DK$18,DB366,'Safety parameters'!$DL$6:$DL$18,2))</f>
        <v>-1.4741924007481429E-2</v>
      </c>
    </row>
    <row r="367" spans="89:124" ht="15" x14ac:dyDescent="0.2">
      <c r="CK367" s="61" t="s">
        <v>31</v>
      </c>
      <c r="CL367" s="61">
        <v>3</v>
      </c>
      <c r="CM367" s="61" t="str">
        <v>cabozantinib</v>
      </c>
      <c r="CN367" s="17">
        <v>8</v>
      </c>
      <c r="CO367" s="61" t="str" cm="1">
        <f t="array" ref="CO367">INDEX(List_comparators,CP366+1)</f>
        <v>cabozantinib</v>
      </c>
      <c r="CP367" s="17">
        <v>8</v>
      </c>
      <c r="CQ367" s="601">
        <f t="shared" ca="1" si="223"/>
        <v>0</v>
      </c>
      <c r="CR367" s="601">
        <f t="shared" ca="1" si="224"/>
        <v>0</v>
      </c>
      <c r="CS367" s="671">
        <f t="shared" ca="1" si="232"/>
        <v>63.808571428571426</v>
      </c>
      <c r="CT367" s="671">
        <f t="shared" ca="1" si="225"/>
        <v>7.218571428571428</v>
      </c>
      <c r="CU367" s="1123">
        <f>MATCH(CZ374,'Resource use and costs'!$BA$11:$BA$53,0)</f>
        <v>43</v>
      </c>
      <c r="CV367" s="1223"/>
      <c r="CW367" s="1241">
        <f t="shared" si="220"/>
        <v>1</v>
      </c>
      <c r="CX367" s="899" t="s">
        <v>773</v>
      </c>
      <c r="CY367" s="899" t="s">
        <v>585</v>
      </c>
      <c r="CZ367" s="899" t="s">
        <v>119</v>
      </c>
      <c r="DA367" s="899" t="s">
        <v>765</v>
      </c>
      <c r="DB367" s="899"/>
      <c r="DC367" s="899" cm="1">
        <f t="array" aca="1" ref="DC367" ca="1">_xlfn.IFNA(OFFSET($I$49,MATCH(CY367,$I$50:$I$63,0),MATCH(CZ367,TRANSPOSE($J$49:$W$49),0)),0)</f>
        <v>0</v>
      </c>
      <c r="DD367" s="899" cm="1">
        <f t="array" aca="1" ref="DD367" ca="1">_xlfn.IFNA(OFFSET($Y$49,MATCH($CZ367,$Y$50:$Y$63,0),MATCH($DA367,TRANSPOSE($Z$49:$AM$49),0)),0)</f>
        <v>1</v>
      </c>
      <c r="DE367" s="899" cm="1">
        <f t="array" aca="1" ref="DE367" ca="1">_xlfn.IFNA(OFFSET($AO$49,MATCH($DA367,$AO$50:$AO$63,0),MATCH($DB367,TRANSPOSE($AP$49:$BC$49),0)),0)</f>
        <v>0</v>
      </c>
      <c r="DF367" s="881">
        <f t="shared" ca="1" si="217"/>
        <v>0</v>
      </c>
      <c r="DG367" s="910">
        <f t="shared" ca="1" si="218"/>
        <v>1</v>
      </c>
      <c r="DH367" s="881">
        <f t="shared" ca="1" si="219"/>
        <v>0</v>
      </c>
      <c r="DI367" s="1460">
        <f t="shared" ca="1" si="231"/>
        <v>0</v>
      </c>
      <c r="DJ367" s="909">
        <f>_xlfn.IFNA(INDEX('Resource use and costs'!$CQ$11:$CQ$53,MATCH($CZ367,'Resource use and costs'!$BA$11:$BA$53,0)),0)*_xlfn.IFNA(INDEX(DY$10:DY$23,MATCH($CZ367,$DX$10:$DX$23,0)),0)</f>
        <v>944.50399999999979</v>
      </c>
      <c r="DK367" s="909">
        <f>IF(dd_PartSA_2_lines = "Yes",0,_xlfn.IFNA(INDEX('Resource use and costs'!$CR$11:$CR$53,MATCH(DA367,'Resource use and costs'!$BA$11:$BA$53,0)),0)*_xlfn.IFNA(INDEX(EA$10:EA$23,MATCH($DA367,$DX$10:$DX$23,0)),0))</f>
        <v>0</v>
      </c>
      <c r="DL367" s="909">
        <f>IF(dd_PartSA_2_lines = "Yes",0,_xlfn.IFNA(INDEX('Resource use and costs'!$CS$11:$CS$53,MATCH(DB367,'Resource use and costs'!$BA$11:$BA$53,0)),0)*_xlfn.IFNA(INDEX(EC$10:EC$23,MATCH($DB367,$DX$10:$DX$23,0)),0))</f>
        <v>0</v>
      </c>
      <c r="DM367" s="909">
        <f t="shared" si="221"/>
        <v>944.50399999999979</v>
      </c>
      <c r="DN367" s="909">
        <f>SUM(_xlfn.IFNA(INDEX('Resource use and costs'!$DU$12:$DU$25,MATCH(CZ367,'Resource use and costs'!$DS$12:$DS$25,0)),0),_xlfn.IFNA(INDEX('Resource use and costs'!$DU$12:$DU$25,MATCH(DA367,'Resource use and costs'!$DS$12:$DS$25,0)),0),_xlfn.IFNA(INDEX('Resource use and costs'!$DU$12:$DU$25,MATCH(DB367,'Resource use and costs'!$DS$12:$DS$25,0)),0))</f>
        <v>197.25</v>
      </c>
      <c r="DO367" s="921">
        <f>_xlfn.IFNA(INDEX('Resource use and costs'!$DY$12:$DY$25,MATCH(CZ367,'Resource use and costs'!$DS$12:$DS$25,0)),0)*_xlfn.IFNA(INDEX(DY$10:DY$23,MATCH($CZ367,$DX$10:$DX$23,0)),0)</f>
        <v>82.971428571428561</v>
      </c>
      <c r="DP367" s="921">
        <f>IF(dd_PartSA_2_lines = "Yes",0,_xlfn.IFNA(INDEX('Resource use and costs'!$DZ$12:$DZ$25,MATCH(DA367,'Resource use and costs'!$DS$12:$DS$25,0)),0)*_xlfn.IFNA(INDEX(EA$10:EA$23,MATCH($DA367,$DX$10:$DX$23,0)),0))</f>
        <v>0</v>
      </c>
      <c r="DQ367" s="921">
        <f>IF(dd_PartSA_2_lines = "Yes",0,_xlfn.IFNA(INDEX('Resource use and costs'!$EA$12:$EA$25,MATCH(DB367,'Resource use and costs'!$DS$12:$DS$25,0)),0)*_xlfn.IFNA(INDEX(EC$10:EC$23,MATCH($DB367,$DX$10:$DX$23,0)),0))</f>
        <v>0</v>
      </c>
      <c r="DR367" s="921">
        <f t="shared" si="222"/>
        <v>280.22142857142853</v>
      </c>
      <c r="DS367" s="1004">
        <f>SUMIFS('Safety parameters'!$DM$6:$DM$18,'Safety parameters'!$DK$6:$DK$18,CZ367,'Safety parameters'!$DL$6:$DL$18,1)+IF(dd_PartSA_2_lines = "Yes",0,SUMIFS('Safety parameters'!$DM$6:$DM$18,'Safety parameters'!$DK$6:$DK$18,DA367,'Safety parameters'!$DL$6:$DL$18,2)+SUMIFS('Safety parameters'!$DM$6:$DM$18,'Safety parameters'!$DK$6:$DK$18,DB367,'Safety parameters'!$DL$6:$DL$18,2))</f>
        <v>0</v>
      </c>
      <c r="DT367" s="910">
        <f>SUMIFS('Safety parameters'!$DO$6:$DO$18,'Safety parameters'!$DK$6:$DK$18,CZ367,'Safety parameters'!$DL$6:$DL$18,1)+IF(dd_PartSA_2_lines = "Yes",0,SUMIFS('Safety parameters'!$DO$6:$DO$18,'Safety parameters'!$DK$6:$DK$18,DA367,'Safety parameters'!$DL$6:$DL$18,2)+SUMIFS('Safety parameters'!$DO$6:$DO$18,'Safety parameters'!$DK$6:$DK$18,DB367,'Safety parameters'!$DL$6:$DL$18,2))</f>
        <v>0</v>
      </c>
    </row>
    <row r="368" spans="89:124" ht="15" x14ac:dyDescent="0.2">
      <c r="CK368" s="61" t="s">
        <v>31</v>
      </c>
      <c r="CL368" s="61">
        <v>3</v>
      </c>
      <c r="CM368" s="61" t="str">
        <v>lenvatinib_plus_everolimus</v>
      </c>
      <c r="CN368" s="17">
        <v>9</v>
      </c>
      <c r="CO368" s="61" t="str" cm="1">
        <f t="array" ref="CO368">INDEX(List_comparators,CP367+1)</f>
        <v>cabozantinib</v>
      </c>
      <c r="CP368" s="17">
        <v>8</v>
      </c>
      <c r="CQ368" s="601">
        <f t="shared" ca="1" si="223"/>
        <v>0.49270000000000003</v>
      </c>
      <c r="CR368" s="601">
        <f t="shared" ca="1" si="224"/>
        <v>4.9270000000000008E-2</v>
      </c>
      <c r="CS368" s="671">
        <f t="shared" ca="1" si="232"/>
        <v>63.808571428571426</v>
      </c>
      <c r="CT368" s="671">
        <f t="shared" ca="1" si="225"/>
        <v>7.218571428571428</v>
      </c>
      <c r="CU368" s="1123">
        <f>MATCH(CZ375,'Resource use and costs'!$BA$11:$BA$53,0)</f>
        <v>43</v>
      </c>
      <c r="CV368" s="1223"/>
      <c r="CW368" s="1241">
        <f t="shared" si="220"/>
        <v>1</v>
      </c>
      <c r="CX368" s="899" t="s">
        <v>773</v>
      </c>
      <c r="CY368" s="899" t="s">
        <v>585</v>
      </c>
      <c r="CZ368" s="899" t="s">
        <v>119</v>
      </c>
      <c r="DA368" s="899" t="s">
        <v>118</v>
      </c>
      <c r="DB368" s="899" t="s">
        <v>327</v>
      </c>
      <c r="DC368" s="899" cm="1">
        <f t="array" aca="1" ref="DC368" ca="1">_xlfn.IFNA(OFFSET($I$49,MATCH(CY368,$I$50:$I$63,0),MATCH(CZ368,TRANSPOSE($J$49:$W$49),0)),0)</f>
        <v>0</v>
      </c>
      <c r="DD368" s="899" cm="1">
        <f t="array" aca="1" ref="DD368" ca="1">_xlfn.IFNA(OFFSET($Y$49,MATCH($CZ368,$Y$50:$Y$63,0),MATCH($DA368,TRANSPOSE($Z$49:$AM$49),0)),0)</f>
        <v>0</v>
      </c>
      <c r="DE368" s="899" cm="1">
        <f t="array" aca="1" ref="DE368" ca="1">_xlfn.IFNA(OFFSET($AO$49,MATCH($DA368,$AO$50:$AO$63,0),MATCH($DB368,TRANSPOSE($AP$49:$BC$49),0)),0)</f>
        <v>0.38769999999999999</v>
      </c>
      <c r="DF368" s="881">
        <f t="shared" ca="1" si="217"/>
        <v>0</v>
      </c>
      <c r="DG368" s="910">
        <f t="shared" ca="1" si="218"/>
        <v>1</v>
      </c>
      <c r="DH368" s="881">
        <f t="shared" ca="1" si="219"/>
        <v>0</v>
      </c>
      <c r="DI368" s="1460">
        <f t="shared" ca="1" si="231"/>
        <v>0</v>
      </c>
      <c r="DJ368" s="909">
        <f>_xlfn.IFNA(INDEX('Resource use and costs'!$CQ$11:$CQ$53,MATCH($CZ368,'Resource use and costs'!$BA$11:$BA$53,0)),0)*_xlfn.IFNA(INDEX(DY$10:DY$23,MATCH($CZ368,$DX$10:$DX$23,0)),0)</f>
        <v>944.50399999999979</v>
      </c>
      <c r="DK368" s="909">
        <f>IF(dd_PartSA_2_lines = "Yes",0,_xlfn.IFNA(INDEX('Resource use and costs'!$CR$11:$CR$53,MATCH(DA368,'Resource use and costs'!$BA$11:$BA$53,0)),0)*_xlfn.IFNA(INDEX(EA$10:EA$23,MATCH($DA368,$DX$10:$DX$23,0)),0))</f>
        <v>50308.075122000002</v>
      </c>
      <c r="DL368" s="909">
        <f>IF(dd_PartSA_2_lines = "Yes",0,_xlfn.IFNA(INDEX('Resource use and costs'!$CS$11:$CS$53,MATCH(DB368,'Resource use and costs'!$BA$11:$BA$53,0)),0)*_xlfn.IFNA(INDEX(EC$10:EC$23,MATCH($DB368,$DX$10:$DX$23,0)),0))</f>
        <v>18438.751749999999</v>
      </c>
      <c r="DM368" s="909">
        <f t="shared" si="221"/>
        <v>69691.330872000006</v>
      </c>
      <c r="DN368" s="909">
        <f>SUM(_xlfn.IFNA(INDEX('Resource use and costs'!$DU$12:$DU$25,MATCH(CZ368,'Resource use and costs'!$DS$12:$DS$25,0)),0),_xlfn.IFNA(INDEX('Resource use and costs'!$DU$12:$DU$25,MATCH(DA368,'Resource use and costs'!$DS$12:$DS$25,0)),0),_xlfn.IFNA(INDEX('Resource use and costs'!$DU$12:$DU$25,MATCH(DB368,'Resource use and costs'!$DS$12:$DS$25,0)),0))</f>
        <v>591.75</v>
      </c>
      <c r="DO368" s="921">
        <f>_xlfn.IFNA(INDEX('Resource use and costs'!$DY$12:$DY$25,MATCH(CZ368,'Resource use and costs'!$DS$12:$DS$25,0)),0)*_xlfn.IFNA(INDEX(DY$10:DY$23,MATCH($CZ368,$DX$10:$DX$23,0)),0)</f>
        <v>82.971428571428561</v>
      </c>
      <c r="DP368" s="921">
        <f>IF(dd_PartSA_2_lines = "Yes",0,_xlfn.IFNA(INDEX('Resource use and costs'!$DZ$12:$DZ$25,MATCH(DA368,'Resource use and costs'!$DS$12:$DS$25,0)),0)*_xlfn.IFNA(INDEX(EA$10:EA$23,MATCH($DA368,$DX$10:$DX$23,0)),0))</f>
        <v>461.1445457142857</v>
      </c>
      <c r="DQ368" s="921">
        <f>IF(dd_PartSA_2_lines = "Yes",0,_xlfn.IFNA(INDEX('Resource use and costs'!$EA$12:$EA$25,MATCH(DB368,'Resource use and costs'!$DS$12:$DS$25,0)),0)*_xlfn.IFNA(INDEX(EC$10:EC$23,MATCH($DB368,$DX$10:$DX$23,0)),0))</f>
        <v>230.68099999999998</v>
      </c>
      <c r="DR368" s="921">
        <f t="shared" si="222"/>
        <v>1366.5469742857142</v>
      </c>
      <c r="DS368" s="1004">
        <f ca="1">SUMIFS('Safety parameters'!$DM$6:$DM$18,'Safety parameters'!$DK$6:$DK$18,CZ368,'Safety parameters'!$DL$6:$DL$18,1)+IF(dd_PartSA_2_lines = "Yes",0,SUMIFS('Safety parameters'!$DM$6:$DM$18,'Safety parameters'!$DK$6:$DK$18,DA368,'Safety parameters'!$DL$6:$DL$18,2)+SUMIFS('Safety parameters'!$DM$6:$DM$18,'Safety parameters'!$DK$6:$DK$18,DB368,'Safety parameters'!$DL$6:$DL$18,2))</f>
        <v>2377.8779733688434</v>
      </c>
      <c r="DT368" s="910">
        <f ca="1">SUMIFS('Safety parameters'!$DO$6:$DO$18,'Safety parameters'!$DK$6:$DK$18,CZ368,'Safety parameters'!$DL$6:$DL$18,1)+IF(dd_PartSA_2_lines = "Yes",0,SUMIFS('Safety parameters'!$DO$6:$DO$18,'Safety parameters'!$DK$6:$DK$18,DA368,'Safety parameters'!$DL$6:$DL$18,2)+SUMIFS('Safety parameters'!$DO$6:$DO$18,'Safety parameters'!$DK$6:$DK$18,DB368,'Safety parameters'!$DL$6:$DL$18,2))</f>
        <v>-2.1764250363717368E-2</v>
      </c>
    </row>
    <row r="369" spans="89:124" ht="15" x14ac:dyDescent="0.2">
      <c r="CK369" s="61" t="s">
        <v>31</v>
      </c>
      <c r="CL369" s="61">
        <v>3</v>
      </c>
      <c r="CM369" s="61" t="str">
        <v>everolimus</v>
      </c>
      <c r="CN369" s="17">
        <v>10</v>
      </c>
      <c r="CO369" s="61" t="str" cm="1">
        <f t="array" ref="CO369">INDEX(List_comparators,CP368+1)</f>
        <v>cabozantinib</v>
      </c>
      <c r="CP369" s="17">
        <v>8</v>
      </c>
      <c r="CQ369" s="601">
        <f t="shared" ca="1" si="223"/>
        <v>0</v>
      </c>
      <c r="CR369" s="601">
        <f t="shared" ca="1" si="224"/>
        <v>0</v>
      </c>
      <c r="CS369" s="671">
        <f t="shared" ca="1" si="232"/>
        <v>63.808571428571426</v>
      </c>
      <c r="CT369" s="671">
        <f t="shared" ca="1" si="225"/>
        <v>7.218571428571428</v>
      </c>
      <c r="CU369" s="1123">
        <f>MATCH(CZ376,'Resource use and costs'!$BA$11:$BA$53,0)</f>
        <v>43</v>
      </c>
      <c r="CV369" s="1223"/>
      <c r="CW369" s="1241">
        <f t="shared" si="220"/>
        <v>1</v>
      </c>
      <c r="CX369" s="899" t="s">
        <v>773</v>
      </c>
      <c r="CY369" s="899" t="s">
        <v>585</v>
      </c>
      <c r="CZ369" s="899" t="s">
        <v>119</v>
      </c>
      <c r="DA369" s="899" t="s">
        <v>118</v>
      </c>
      <c r="DB369" s="899" t="s">
        <v>765</v>
      </c>
      <c r="DC369" s="899" cm="1">
        <f t="array" aca="1" ref="DC369" ca="1">_xlfn.IFNA(OFFSET($I$49,MATCH(CY369,$I$50:$I$63,0),MATCH(CZ369,TRANSPOSE($J$49:$W$49),0)),0)</f>
        <v>0</v>
      </c>
      <c r="DD369" s="899" cm="1">
        <f t="array" aca="1" ref="DD369" ca="1">_xlfn.IFNA(OFFSET($Y$49,MATCH($CZ369,$Y$50:$Y$63,0),MATCH($DA369,TRANSPOSE($Z$49:$AM$49),0)),0)</f>
        <v>0</v>
      </c>
      <c r="DE369" s="899" cm="1">
        <f t="array" aca="1" ref="DE369" ca="1">_xlfn.IFNA(OFFSET($AO$49,MATCH($DA369,$AO$50:$AO$63,0),MATCH($DB369,TRANSPOSE($AP$49:$BC$49),0)),0)</f>
        <v>0.43140000000000001</v>
      </c>
      <c r="DF369" s="881">
        <f t="shared" ca="1" si="217"/>
        <v>0</v>
      </c>
      <c r="DG369" s="910">
        <f t="shared" ca="1" si="218"/>
        <v>1</v>
      </c>
      <c r="DH369" s="881">
        <f t="shared" ca="1" si="219"/>
        <v>0</v>
      </c>
      <c r="DI369" s="1460">
        <f t="shared" ca="1" si="231"/>
        <v>0</v>
      </c>
      <c r="DJ369" s="909">
        <f>_xlfn.IFNA(INDEX('Resource use and costs'!$CQ$11:$CQ$53,MATCH($CZ369,'Resource use and costs'!$BA$11:$BA$53,0)),0)*_xlfn.IFNA(INDEX(DY$10:DY$23,MATCH($CZ369,$DX$10:$DX$23,0)),0)</f>
        <v>944.50399999999979</v>
      </c>
      <c r="DK369" s="909">
        <f>IF(dd_PartSA_2_lines = "Yes",0,_xlfn.IFNA(INDEX('Resource use and costs'!$CR$11:$CR$53,MATCH(DA369,'Resource use and costs'!$BA$11:$BA$53,0)),0)*_xlfn.IFNA(INDEX(EA$10:EA$23,MATCH($DA369,$DX$10:$DX$23,0)),0))</f>
        <v>50308.075122000002</v>
      </c>
      <c r="DL369" s="909">
        <f>IF(dd_PartSA_2_lines = "Yes",0,_xlfn.IFNA(INDEX('Resource use and costs'!$CS$11:$CS$53,MATCH(DB369,'Resource use and costs'!$BA$11:$BA$53,0)),0)*_xlfn.IFNA(INDEX(EC$10:EC$23,MATCH($DB369,$DX$10:$DX$23,0)),0))</f>
        <v>0</v>
      </c>
      <c r="DM369" s="909">
        <f t="shared" si="221"/>
        <v>51252.579122000003</v>
      </c>
      <c r="DN369" s="909">
        <f>SUM(_xlfn.IFNA(INDEX('Resource use and costs'!$DU$12:$DU$25,MATCH(CZ369,'Resource use and costs'!$DS$12:$DS$25,0)),0),_xlfn.IFNA(INDEX('Resource use and costs'!$DU$12:$DU$25,MATCH(DA369,'Resource use and costs'!$DS$12:$DS$25,0)),0),_xlfn.IFNA(INDEX('Resource use and costs'!$DU$12:$DU$25,MATCH(DB369,'Resource use and costs'!$DS$12:$DS$25,0)),0))</f>
        <v>394.5</v>
      </c>
      <c r="DO369" s="921">
        <f>_xlfn.IFNA(INDEX('Resource use and costs'!$DY$12:$DY$25,MATCH(CZ369,'Resource use and costs'!$DS$12:$DS$25,0)),0)*_xlfn.IFNA(INDEX(DY$10:DY$23,MATCH($CZ369,$DX$10:$DX$23,0)),0)</f>
        <v>82.971428571428561</v>
      </c>
      <c r="DP369" s="921">
        <f>IF(dd_PartSA_2_lines = "Yes",0,_xlfn.IFNA(INDEX('Resource use and costs'!$DZ$12:$DZ$25,MATCH(DA369,'Resource use and costs'!$DS$12:$DS$25,0)),0)*_xlfn.IFNA(INDEX(EA$10:EA$23,MATCH($DA369,$DX$10:$DX$23,0)),0))</f>
        <v>461.1445457142857</v>
      </c>
      <c r="DQ369" s="921">
        <f>IF(dd_PartSA_2_lines = "Yes",0,_xlfn.IFNA(INDEX('Resource use and costs'!$EA$12:$EA$25,MATCH(DB369,'Resource use and costs'!$DS$12:$DS$25,0)),0)*_xlfn.IFNA(INDEX(EC$10:EC$23,MATCH($DB369,$DX$10:$DX$23,0)),0))</f>
        <v>0</v>
      </c>
      <c r="DR369" s="921">
        <f t="shared" si="222"/>
        <v>938.61597428571417</v>
      </c>
      <c r="DS369" s="1004">
        <f ca="1">SUMIFS('Safety parameters'!$DM$6:$DM$18,'Safety parameters'!$DK$6:$DK$18,CZ369,'Safety parameters'!$DL$6:$DL$18,1)+IF(dd_PartSA_2_lines = "Yes",0,SUMIFS('Safety parameters'!$DM$6:$DM$18,'Safety parameters'!$DK$6:$DK$18,DA369,'Safety parameters'!$DL$6:$DL$18,2)+SUMIFS('Safety parameters'!$DM$6:$DM$18,'Safety parameters'!$DK$6:$DK$18,DB369,'Safety parameters'!$DL$6:$DL$18,2))</f>
        <v>743.64929980338343</v>
      </c>
      <c r="DT369" s="910">
        <f ca="1">SUMIFS('Safety parameters'!$DO$6:$DO$18,'Safety parameters'!$DK$6:$DK$18,CZ369,'Safety parameters'!$DL$6:$DL$18,1)+IF(dd_PartSA_2_lines = "Yes",0,SUMIFS('Safety parameters'!$DO$6:$DO$18,'Safety parameters'!$DK$6:$DK$18,DA369,'Safety parameters'!$DL$6:$DL$18,2)+SUMIFS('Safety parameters'!$DO$6:$DO$18,'Safety parameters'!$DK$6:$DK$18,DB369,'Safety parameters'!$DL$6:$DL$18,2))</f>
        <v>-7.0223263562359372E-3</v>
      </c>
    </row>
    <row r="370" spans="89:124" ht="15" x14ac:dyDescent="0.2">
      <c r="CK370" s="61" t="s">
        <v>31</v>
      </c>
      <c r="CL370" s="61">
        <v>3</v>
      </c>
      <c r="CM370" s="61" t="str">
        <v>axitinib</v>
      </c>
      <c r="CN370" s="17">
        <v>11</v>
      </c>
      <c r="CO370" s="61" t="str" cm="1">
        <f t="array" ref="CO370">INDEX(List_comparators,CP369+1)</f>
        <v>cabozantinib</v>
      </c>
      <c r="CP370" s="17">
        <v>8</v>
      </c>
      <c r="CQ370" s="601">
        <f t="shared" ca="1" si="223"/>
        <v>0.32850000000000001</v>
      </c>
      <c r="CR370" s="601">
        <f t="shared" ca="1" si="224"/>
        <v>3.2850000000000004E-2</v>
      </c>
      <c r="CS370" s="671">
        <f t="shared" ca="1" si="232"/>
        <v>63.808571428571426</v>
      </c>
      <c r="CT370" s="671">
        <f t="shared" ca="1" si="225"/>
        <v>7.218571428571428</v>
      </c>
      <c r="CU370" s="1123">
        <f>MATCH(CZ377,'Resource use and costs'!$BA$11:$BA$53,0)</f>
        <v>43</v>
      </c>
      <c r="CV370" s="1223"/>
      <c r="CW370" s="1241">
        <f t="shared" si="220"/>
        <v>1</v>
      </c>
      <c r="CX370" s="899" t="s">
        <v>773</v>
      </c>
      <c r="CY370" s="899" t="s">
        <v>585</v>
      </c>
      <c r="CZ370" s="899" t="s">
        <v>119</v>
      </c>
      <c r="DA370" s="899" t="s">
        <v>579</v>
      </c>
      <c r="DB370" s="899" t="s">
        <v>327</v>
      </c>
      <c r="DC370" s="899" cm="1">
        <f t="array" aca="1" ref="DC370" ca="1">_xlfn.IFNA(OFFSET($I$49,MATCH(CY370,$I$50:$I$63,0),MATCH(CZ370,TRANSPOSE($J$49:$W$49),0)),0)</f>
        <v>0</v>
      </c>
      <c r="DD370" s="899" cm="1">
        <f t="array" aca="1" ref="DD370" ca="1">_xlfn.IFNA(OFFSET($Y$49,MATCH($CZ370,$Y$50:$Y$63,0),MATCH($DA370,TRANSPOSE($Z$49:$AM$49),0)),0)</f>
        <v>0</v>
      </c>
      <c r="DE370" s="899" cm="1">
        <f t="array" aca="1" ref="DE370" ca="1">_xlfn.IFNA(OFFSET($AO$49,MATCH($DA370,$AO$50:$AO$63,0),MATCH($DB370,TRANSPOSE($AP$49:$BC$49),0)),0)</f>
        <v>0.56859999999999999</v>
      </c>
      <c r="DF370" s="881">
        <f t="shared" ca="1" si="217"/>
        <v>0</v>
      </c>
      <c r="DG370" s="910">
        <f t="shared" ca="1" si="218"/>
        <v>1</v>
      </c>
      <c r="DH370" s="881">
        <f t="shared" ca="1" si="219"/>
        <v>0</v>
      </c>
      <c r="DI370" s="1460">
        <f t="shared" ca="1" si="231"/>
        <v>0</v>
      </c>
      <c r="DJ370" s="909">
        <f>_xlfn.IFNA(INDEX('Resource use and costs'!$CQ$11:$CQ$53,MATCH($CZ370,'Resource use and costs'!$BA$11:$BA$53,0)),0)*_xlfn.IFNA(INDEX(DY$10:DY$23,MATCH($CZ370,$DX$10:$DX$23,0)),0)</f>
        <v>944.50399999999979</v>
      </c>
      <c r="DK370" s="909">
        <f>IF(dd_PartSA_2_lines = "Yes",0,_xlfn.IFNA(INDEX('Resource use and costs'!$CR$11:$CR$53,MATCH(DA370,'Resource use and costs'!$BA$11:$BA$53,0)),0)*_xlfn.IFNA(INDEX(EA$10:EA$23,MATCH($DA370,$DX$10:$DX$23,0)),0))</f>
        <v>26054.50921</v>
      </c>
      <c r="DL370" s="909">
        <f>IF(dd_PartSA_2_lines = "Yes",0,_xlfn.IFNA(INDEX('Resource use and costs'!$CS$11:$CS$53,MATCH(DB370,'Resource use and costs'!$BA$11:$BA$53,0)),0)*_xlfn.IFNA(INDEX(EC$10:EC$23,MATCH($DB370,$DX$10:$DX$23,0)),0))</f>
        <v>18438.751749999999</v>
      </c>
      <c r="DM370" s="909">
        <f t="shared" si="221"/>
        <v>45437.76496</v>
      </c>
      <c r="DN370" s="909">
        <f>SUM(_xlfn.IFNA(INDEX('Resource use and costs'!$DU$12:$DU$25,MATCH(CZ370,'Resource use and costs'!$DS$12:$DS$25,0)),0),_xlfn.IFNA(INDEX('Resource use and costs'!$DU$12:$DU$25,MATCH(DA370,'Resource use and costs'!$DS$12:$DS$25,0)),0),_xlfn.IFNA(INDEX('Resource use and costs'!$DU$12:$DU$25,MATCH(DB370,'Resource use and costs'!$DS$12:$DS$25,0)),0))</f>
        <v>394.5</v>
      </c>
      <c r="DO370" s="921">
        <f>_xlfn.IFNA(INDEX('Resource use and costs'!$DY$12:$DY$25,MATCH(CZ370,'Resource use and costs'!$DS$12:$DS$25,0)),0)*_xlfn.IFNA(INDEX(DY$10:DY$23,MATCH($CZ370,$DX$10:$DX$23,0)),0)</f>
        <v>82.971428571428561</v>
      </c>
      <c r="DP370" s="921">
        <f>IF(dd_PartSA_2_lines = "Yes",0,_xlfn.IFNA(INDEX('Resource use and costs'!$DZ$12:$DZ$25,MATCH(DA370,'Resource use and costs'!$DS$12:$DS$25,0)),0)*_xlfn.IFNA(INDEX(EA$10:EA$23,MATCH($DA370,$DX$10:$DX$23,0)),0))</f>
        <v>4108.3597166</v>
      </c>
      <c r="DQ370" s="921">
        <f>IF(dd_PartSA_2_lines = "Yes",0,_xlfn.IFNA(INDEX('Resource use and costs'!$EA$12:$EA$25,MATCH(DB370,'Resource use and costs'!$DS$12:$DS$25,0)),0)*_xlfn.IFNA(INDEX(EC$10:EC$23,MATCH($DB370,$DX$10:$DX$23,0)),0))</f>
        <v>230.68099999999998</v>
      </c>
      <c r="DR370" s="921">
        <f t="shared" si="222"/>
        <v>4816.5121451714285</v>
      </c>
      <c r="DS370" s="1004">
        <f ca="1">SUMIFS('Safety parameters'!$DM$6:$DM$18,'Safety parameters'!$DK$6:$DK$18,CZ370,'Safety parameters'!$DL$6:$DL$18,1)+IF(dd_PartSA_2_lines = "Yes",0,SUMIFS('Safety parameters'!$DM$6:$DM$18,'Safety parameters'!$DK$6:$DK$18,DA370,'Safety parameters'!$DL$6:$DL$18,2)+SUMIFS('Safety parameters'!$DM$6:$DM$18,'Safety parameters'!$DK$6:$DK$18,DB370,'Safety parameters'!$DL$6:$DL$18,2))</f>
        <v>1795.3624225558742</v>
      </c>
      <c r="DT370" s="910">
        <f ca="1">SUMIFS('Safety parameters'!$DO$6:$DO$18,'Safety parameters'!$DK$6:$DK$18,CZ370,'Safety parameters'!$DL$6:$DL$18,1)+IF(dd_PartSA_2_lines = "Yes",0,SUMIFS('Safety parameters'!$DO$6:$DO$18,'Safety parameters'!$DK$6:$DK$18,DA370,'Safety parameters'!$DL$6:$DL$18,2)+SUMIFS('Safety parameters'!$DO$6:$DO$18,'Safety parameters'!$DK$6:$DK$18,DB370,'Safety parameters'!$DL$6:$DL$18,2))</f>
        <v>-1.6339008205166216E-2</v>
      </c>
    </row>
    <row r="371" spans="89:124" ht="15" x14ac:dyDescent="0.2">
      <c r="CK371" s="61" t="s">
        <v>31</v>
      </c>
      <c r="CL371" s="61">
        <v>3</v>
      </c>
      <c r="CM371" s="61" t="str">
        <v>sorafenib</v>
      </c>
      <c r="CN371" s="17">
        <v>12</v>
      </c>
      <c r="CO371" s="61" t="str" cm="1">
        <f t="array" ref="CO371">INDEX(List_comparators,CP370+1)</f>
        <v>cabozantinib</v>
      </c>
      <c r="CP371" s="17">
        <v>8</v>
      </c>
      <c r="CQ371" s="601">
        <f t="shared" ca="1" si="223"/>
        <v>0</v>
      </c>
      <c r="CR371" s="601">
        <f t="shared" ca="1" si="224"/>
        <v>0</v>
      </c>
      <c r="CS371" s="671">
        <f t="shared" ca="1" si="232"/>
        <v>0</v>
      </c>
      <c r="CT371" s="671">
        <f t="shared" ca="1" si="225"/>
        <v>0</v>
      </c>
      <c r="CU371" s="1123">
        <f>MATCH(CZ378,'Resource use and costs'!$BA$11:$BA$53,0)</f>
        <v>1</v>
      </c>
      <c r="CV371" s="1223"/>
      <c r="CW371" s="1241">
        <f t="shared" si="220"/>
        <v>1</v>
      </c>
      <c r="CX371" s="899" t="s">
        <v>773</v>
      </c>
      <c r="CY371" s="899" t="s">
        <v>585</v>
      </c>
      <c r="CZ371" s="899" t="s">
        <v>119</v>
      </c>
      <c r="DA371" s="899" t="s">
        <v>579</v>
      </c>
      <c r="DB371" s="899" t="s">
        <v>765</v>
      </c>
      <c r="DC371" s="899" cm="1">
        <f t="array" aca="1" ref="DC371" ca="1">_xlfn.IFNA(OFFSET($I$49,MATCH(CY371,$I$50:$I$63,0),MATCH(CZ371,TRANSPOSE($J$49:$W$49),0)),0)</f>
        <v>0</v>
      </c>
      <c r="DD371" s="899" cm="1">
        <f t="array" aca="1" ref="DD371" ca="1">_xlfn.IFNA(OFFSET($Y$49,MATCH($CZ371,$Y$50:$Y$63,0),MATCH($DA371,TRANSPOSE($Z$49:$AM$49),0)),0)</f>
        <v>0</v>
      </c>
      <c r="DE371" s="899" cm="1">
        <f t="array" aca="1" ref="DE371" ca="1">_xlfn.IFNA(OFFSET($AO$49,MATCH($DA371,$AO$50:$AO$63,0),MATCH($DB371,TRANSPOSE($AP$49:$BC$49),0)),0)</f>
        <v>0.43140000000000001</v>
      </c>
      <c r="DF371" s="881">
        <f t="shared" ca="1" si="217"/>
        <v>0</v>
      </c>
      <c r="DG371" s="910">
        <f t="shared" ca="1" si="218"/>
        <v>1</v>
      </c>
      <c r="DH371" s="881">
        <f t="shared" ca="1" si="219"/>
        <v>0</v>
      </c>
      <c r="DI371" s="1460">
        <f t="shared" ca="1" si="231"/>
        <v>0</v>
      </c>
      <c r="DJ371" s="909">
        <f>_xlfn.IFNA(INDEX('Resource use and costs'!$CQ$11:$CQ$53,MATCH($CZ371,'Resource use and costs'!$BA$11:$BA$53,0)),0)*_xlfn.IFNA(INDEX(DY$10:DY$23,MATCH($CZ371,$DX$10:$DX$23,0)),0)</f>
        <v>944.50399999999979</v>
      </c>
      <c r="DK371" s="909">
        <f>IF(dd_PartSA_2_lines = "Yes",0,_xlfn.IFNA(INDEX('Resource use and costs'!$CR$11:$CR$53,MATCH(DA371,'Resource use and costs'!$BA$11:$BA$53,0)),0)*_xlfn.IFNA(INDEX(EA$10:EA$23,MATCH($DA371,$DX$10:$DX$23,0)),0))</f>
        <v>26054.50921</v>
      </c>
      <c r="DL371" s="909">
        <f>IF(dd_PartSA_2_lines = "Yes",0,_xlfn.IFNA(INDEX('Resource use and costs'!$CS$11:$CS$53,MATCH(DB371,'Resource use and costs'!$BA$11:$BA$53,0)),0)*_xlfn.IFNA(INDEX(EC$10:EC$23,MATCH($DB371,$DX$10:$DX$23,0)),0))</f>
        <v>0</v>
      </c>
      <c r="DM371" s="909">
        <f t="shared" si="221"/>
        <v>26999.013210000001</v>
      </c>
      <c r="DN371" s="909">
        <f>SUM(_xlfn.IFNA(INDEX('Resource use and costs'!$DU$12:$DU$25,MATCH(CZ371,'Resource use and costs'!$DS$12:$DS$25,0)),0),_xlfn.IFNA(INDEX('Resource use and costs'!$DU$12:$DU$25,MATCH(DA371,'Resource use and costs'!$DS$12:$DS$25,0)),0),_xlfn.IFNA(INDEX('Resource use and costs'!$DU$12:$DU$25,MATCH(DB371,'Resource use and costs'!$DS$12:$DS$25,0)),0))</f>
        <v>197.25</v>
      </c>
      <c r="DO371" s="921">
        <f>_xlfn.IFNA(INDEX('Resource use and costs'!$DY$12:$DY$25,MATCH(CZ371,'Resource use and costs'!$DS$12:$DS$25,0)),0)*_xlfn.IFNA(INDEX(DY$10:DY$23,MATCH($CZ371,$DX$10:$DX$23,0)),0)</f>
        <v>82.971428571428561</v>
      </c>
      <c r="DP371" s="921">
        <f>IF(dd_PartSA_2_lines = "Yes",0,_xlfn.IFNA(INDEX('Resource use and costs'!$DZ$12:$DZ$25,MATCH(DA371,'Resource use and costs'!$DS$12:$DS$25,0)),0)*_xlfn.IFNA(INDEX(EA$10:EA$23,MATCH($DA371,$DX$10:$DX$23,0)),0))</f>
        <v>4108.3597166</v>
      </c>
      <c r="DQ371" s="921">
        <f>IF(dd_PartSA_2_lines = "Yes",0,_xlfn.IFNA(INDEX('Resource use and costs'!$EA$12:$EA$25,MATCH(DB371,'Resource use and costs'!$DS$12:$DS$25,0)),0)*_xlfn.IFNA(INDEX(EC$10:EC$23,MATCH($DB371,$DX$10:$DX$23,0)),0))</f>
        <v>0</v>
      </c>
      <c r="DR371" s="921">
        <f t="shared" si="222"/>
        <v>4388.5811451714289</v>
      </c>
      <c r="DS371" s="1004">
        <f ca="1">SUMIFS('Safety parameters'!$DM$6:$DM$18,'Safety parameters'!$DK$6:$DK$18,CZ371,'Safety parameters'!$DL$6:$DL$18,1)+IF(dd_PartSA_2_lines = "Yes",0,SUMIFS('Safety parameters'!$DM$6:$DM$18,'Safety parameters'!$DK$6:$DK$18,DA371,'Safety parameters'!$DL$6:$DL$18,2)+SUMIFS('Safety parameters'!$DM$6:$DM$18,'Safety parameters'!$DK$6:$DK$18,DB371,'Safety parameters'!$DL$6:$DL$18,2))</f>
        <v>161.1337489904144</v>
      </c>
      <c r="DT371" s="910">
        <f ca="1">SUMIFS('Safety parameters'!$DO$6:$DO$18,'Safety parameters'!$DK$6:$DK$18,CZ371,'Safety parameters'!$DL$6:$DL$18,1)+IF(dd_PartSA_2_lines = "Yes",0,SUMIFS('Safety parameters'!$DO$6:$DO$18,'Safety parameters'!$DK$6:$DK$18,DA371,'Safety parameters'!$DL$6:$DL$18,2)+SUMIFS('Safety parameters'!$DO$6:$DO$18,'Safety parameters'!$DK$6:$DK$18,DB371,'Safety parameters'!$DL$6:$DL$18,2))</f>
        <v>-1.5970841976847864E-3</v>
      </c>
    </row>
    <row r="372" spans="89:124" ht="15.75" thickBot="1" x14ac:dyDescent="0.25">
      <c r="CK372" s="506" t="s">
        <v>31</v>
      </c>
      <c r="CL372" s="506">
        <v>3</v>
      </c>
      <c r="CM372" s="506" t="str">
        <v>placebo_BSC</v>
      </c>
      <c r="CN372" s="19">
        <v>999</v>
      </c>
      <c r="CO372" s="506" t="str" cm="1">
        <f t="array" ref="CO372">INDEX(List_comparators,CP359+1)</f>
        <v>cabozantinib</v>
      </c>
      <c r="CP372" s="19">
        <v>8</v>
      </c>
      <c r="CQ372" s="602">
        <f t="shared" ca="1" si="223"/>
        <v>0</v>
      </c>
      <c r="CR372" s="602">
        <f t="shared" ca="1" si="224"/>
        <v>0</v>
      </c>
      <c r="CS372" s="670">
        <v>0</v>
      </c>
      <c r="CT372" s="670">
        <f t="shared" ca="1" si="225"/>
        <v>0</v>
      </c>
      <c r="CU372" s="1123">
        <f>MATCH(CZ379,'Resource use and costs'!$BA$11:$BA$53,0)</f>
        <v>1</v>
      </c>
      <c r="CV372" s="1223"/>
      <c r="CW372" s="1241">
        <f t="shared" si="220"/>
        <v>1</v>
      </c>
      <c r="CX372" s="899" t="s">
        <v>773</v>
      </c>
      <c r="CY372" s="899" t="s">
        <v>585</v>
      </c>
      <c r="CZ372" s="899" t="s">
        <v>333</v>
      </c>
      <c r="DA372" s="899" t="s">
        <v>327</v>
      </c>
      <c r="DB372" s="899" t="s">
        <v>765</v>
      </c>
      <c r="DC372" s="899" cm="1">
        <f t="array" aca="1" ref="DC372" ca="1">_xlfn.IFNA(OFFSET($I$49,MATCH(CY372,$I$50:$I$63,0),MATCH(CZ372,TRANSPOSE($J$49:$W$49),0)),0)</f>
        <v>3.0800000000000004E-2</v>
      </c>
      <c r="DD372" s="899" cm="1">
        <f t="array" aca="1" ref="DD372" ca="1">_xlfn.IFNA(OFFSET($Y$49,MATCH($CZ372,$Y$50:$Y$63,0),MATCH($DA372,TRANSPOSE($Z$49:$AM$49),0)),0)</f>
        <v>0</v>
      </c>
      <c r="DE372" s="899">
        <v>1</v>
      </c>
      <c r="DF372" s="881">
        <f t="shared" ca="1" si="217"/>
        <v>0</v>
      </c>
      <c r="DG372" s="910">
        <f t="shared" ca="1" si="218"/>
        <v>1</v>
      </c>
      <c r="DH372" s="881">
        <f t="shared" ca="1" si="219"/>
        <v>0</v>
      </c>
      <c r="DI372" s="1460">
        <f t="shared" ca="1" si="231"/>
        <v>0</v>
      </c>
      <c r="DJ372" s="909">
        <f>_xlfn.IFNA(INDEX('Resource use and costs'!$CQ$11:$CQ$53,MATCH($CZ372,'Resource use and costs'!$BA$11:$BA$53,0)),0)*_xlfn.IFNA(INDEX(DY$10:DY$23,MATCH($CZ372,$DX$10:$DX$23,0)),0)</f>
        <v>54336.641519999976</v>
      </c>
      <c r="DK372" s="909">
        <f>IF(dd_PartSA_2_lines = "Yes",0,_xlfn.IFNA(INDEX('Resource use and costs'!$CR$11:$CR$53,MATCH(DA372,'Resource use and costs'!$BA$11:$BA$53,0)),0)*_xlfn.IFNA(INDEX(EA$10:EA$23,MATCH($DA372,$DX$10:$DX$23,0)),0))</f>
        <v>21421.066008214286</v>
      </c>
      <c r="DL372" s="909">
        <f>IF(dd_PartSA_2_lines = "Yes",0,_xlfn.IFNA(INDEX('Resource use and costs'!$CS$11:$CS$53,MATCH(DB372,'Resource use and costs'!$BA$11:$BA$53,0)),0)*_xlfn.IFNA(INDEX(EC$10:EC$23,MATCH($DB372,$DX$10:$DX$23,0)),0))</f>
        <v>0</v>
      </c>
      <c r="DM372" s="909">
        <f t="shared" si="221"/>
        <v>75757.707528214261</v>
      </c>
      <c r="DN372" s="909">
        <f>SUM(_xlfn.IFNA(INDEX('Resource use and costs'!$DU$12:$DU$25,MATCH(CZ372,'Resource use and costs'!$DS$12:$DS$25,0)),0),_xlfn.IFNA(INDEX('Resource use and costs'!$DU$12:$DU$25,MATCH(DA372,'Resource use and costs'!$DS$12:$DS$25,0)),0),_xlfn.IFNA(INDEX('Resource use and costs'!$DU$12:$DU$25,MATCH(DB372,'Resource use and costs'!$DS$12:$DS$25,0)),0))</f>
        <v>394.5</v>
      </c>
      <c r="DO372" s="921">
        <f>_xlfn.IFNA(INDEX('Resource use and costs'!$DY$12:$DY$25,MATCH(CZ372,'Resource use and costs'!$DS$12:$DS$25,0)),0)*_xlfn.IFNA(INDEX(DY$10:DY$23,MATCH($CZ372,$DX$10:$DX$23,0)),0)</f>
        <v>810.54285714285697</v>
      </c>
      <c r="DP372" s="921">
        <f>IF(dd_PartSA_2_lines = "Yes",0,_xlfn.IFNA(INDEX('Resource use and costs'!$DZ$12:$DZ$25,MATCH(DA372,'Resource use and costs'!$DS$12:$DS$25,0)),0)*_xlfn.IFNA(INDEX(EA$10:EA$23,MATCH($DA372,$DX$10:$DX$23,0)),0))</f>
        <v>267.99172714285714</v>
      </c>
      <c r="DQ372" s="921">
        <f>IF(dd_PartSA_2_lines = "Yes",0,_xlfn.IFNA(INDEX('Resource use and costs'!$EA$12:$EA$25,MATCH(DB372,'Resource use and costs'!$DS$12:$DS$25,0)),0)*_xlfn.IFNA(INDEX(EC$10:EC$23,MATCH($DB372,$DX$10:$DX$23,0)),0))</f>
        <v>0</v>
      </c>
      <c r="DR372" s="921">
        <f t="shared" si="222"/>
        <v>1473.0345842857141</v>
      </c>
      <c r="DS372" s="1004">
        <f ca="1">SUMIFS('Safety parameters'!$DM$6:$DM$18,'Safety parameters'!$DK$6:$DK$18,CZ372,'Safety parameters'!$DL$6:$DL$18,1)+IF(dd_PartSA_2_lines = "Yes",0,SUMIFS('Safety parameters'!$DM$6:$DM$18,'Safety parameters'!$DK$6:$DK$18,DA372,'Safety parameters'!$DL$6:$DL$18,2)+SUMIFS('Safety parameters'!$DM$6:$DM$18,'Safety parameters'!$DK$6:$DK$18,DB372,'Safety parameters'!$DL$6:$DL$18,2))</f>
        <v>1634.2286735654598</v>
      </c>
      <c r="DT372" s="910">
        <f ca="1">SUMIFS('Safety parameters'!$DO$6:$DO$18,'Safety parameters'!$DK$6:$DK$18,CZ372,'Safety parameters'!$DL$6:$DL$18,1)+IF(dd_PartSA_2_lines = "Yes",0,SUMIFS('Safety parameters'!$DO$6:$DO$18,'Safety parameters'!$DK$6:$DK$18,DA372,'Safety parameters'!$DL$6:$DL$18,2)+SUMIFS('Safety parameters'!$DO$6:$DO$18,'Safety parameters'!$DK$6:$DK$18,DB372,'Safety parameters'!$DL$6:$DL$18,2))</f>
        <v>-1.4741924007481429E-2</v>
      </c>
    </row>
    <row r="373" spans="89:124" ht="15" x14ac:dyDescent="0.2">
      <c r="CK373" s="505" t="s">
        <v>31</v>
      </c>
      <c r="CL373" s="505">
        <v>3</v>
      </c>
      <c r="CM373" s="61" t="str" cm="1">
        <f t="array" ref="CM373:CM386">List_comparators</f>
        <v>nivolumab_monotherapy</v>
      </c>
      <c r="CN373" s="17">
        <v>0</v>
      </c>
      <c r="CO373" s="61" t="str" cm="1">
        <f t="array" ref="CO373">INDEX(List_comparators,CP373+1)</f>
        <v>lenvatinib_plus_everolimus</v>
      </c>
      <c r="CP373" s="17">
        <v>9</v>
      </c>
      <c r="CQ373" s="603">
        <f t="shared" ca="1" si="223"/>
        <v>5.2400000000000002E-2</v>
      </c>
      <c r="CR373" s="603">
        <f t="shared" ca="1" si="224"/>
        <v>5.2400000000000007E-3</v>
      </c>
      <c r="CS373" s="671">
        <f t="shared" ref="CS373:CS385" ca="1" si="234">OFFSET($Z$81,IF(CN373=999,13,CN373),CP373)</f>
        <v>33.004285714285714</v>
      </c>
      <c r="CT373" s="671">
        <f t="shared" ca="1" si="225"/>
        <v>6.8914285714285715</v>
      </c>
      <c r="CU373" s="1123">
        <f>MATCH(CZ380,'Resource use and costs'!$BA$11:$BA$53,0)</f>
        <v>1</v>
      </c>
      <c r="CV373" s="1223"/>
      <c r="CW373" s="1241">
        <f t="shared" si="220"/>
        <v>1</v>
      </c>
      <c r="CX373" s="899" t="s">
        <v>773</v>
      </c>
      <c r="CY373" s="899" t="s">
        <v>585</v>
      </c>
      <c r="CZ373" s="899" t="s">
        <v>333</v>
      </c>
      <c r="DA373" s="899" t="s">
        <v>765</v>
      </c>
      <c r="DB373" s="899"/>
      <c r="DC373" s="899" cm="1">
        <f t="array" aca="1" ref="DC373" ca="1">_xlfn.IFNA(OFFSET($I$49,MATCH(CY373,$I$50:$I$63,0),MATCH(CZ373,TRANSPOSE($J$49:$W$49),0)),0)</f>
        <v>3.0800000000000004E-2</v>
      </c>
      <c r="DD373" s="899" cm="1">
        <f t="array" aca="1" ref="DD373" ca="1">_xlfn.IFNA(OFFSET($Y$49,MATCH($CZ373,$Y$50:$Y$63,0),MATCH($DA373,TRANSPOSE($Z$49:$AM$49),0)),0)</f>
        <v>0.34300000000000003</v>
      </c>
      <c r="DE373" s="899" cm="1">
        <f t="array" aca="1" ref="DE373" ca="1">_xlfn.IFNA(OFFSET($AO$49,MATCH($DA373,$AO$50:$AO$63,0),MATCH($DB373,TRANSPOSE($AP$49:$BC$49),0)),0)</f>
        <v>0</v>
      </c>
      <c r="DF373" s="881">
        <f t="shared" ca="1" si="217"/>
        <v>1.0564400000000002E-2</v>
      </c>
      <c r="DG373" s="910">
        <f t="shared" ca="1" si="218"/>
        <v>1</v>
      </c>
      <c r="DH373" s="881">
        <f t="shared" ca="1" si="219"/>
        <v>1.0564400000000002E-2</v>
      </c>
      <c r="DI373" s="1460">
        <f t="shared" ca="1" si="231"/>
        <v>2.4720696000000002</v>
      </c>
      <c r="DJ373" s="909">
        <f>_xlfn.IFNA(INDEX('Resource use and costs'!$CQ$11:$CQ$53,MATCH($CZ373,'Resource use and costs'!$BA$11:$BA$53,0)),0)*_xlfn.IFNA(INDEX(DY$10:DY$23,MATCH($CZ373,$DX$10:$DX$23,0)),0)</f>
        <v>54336.641519999976</v>
      </c>
      <c r="DK373" s="909">
        <f>IF(dd_PartSA_2_lines = "Yes",0,_xlfn.IFNA(INDEX('Resource use and costs'!$CR$11:$CR$53,MATCH(DA373,'Resource use and costs'!$BA$11:$BA$53,0)),0)*_xlfn.IFNA(INDEX(EA$10:EA$23,MATCH($DA373,$DX$10:$DX$23,0)),0))</f>
        <v>0</v>
      </c>
      <c r="DL373" s="909">
        <f>IF(dd_PartSA_2_lines = "Yes",0,_xlfn.IFNA(INDEX('Resource use and costs'!$CS$11:$CS$53,MATCH(DB373,'Resource use and costs'!$BA$11:$BA$53,0)),0)*_xlfn.IFNA(INDEX(EC$10:EC$23,MATCH($DB373,$DX$10:$DX$23,0)),0))</f>
        <v>0</v>
      </c>
      <c r="DM373" s="909">
        <f t="shared" si="221"/>
        <v>54336.641519999976</v>
      </c>
      <c r="DN373" s="909">
        <f>SUM(_xlfn.IFNA(INDEX('Resource use and costs'!$DU$12:$DU$25,MATCH(CZ373,'Resource use and costs'!$DS$12:$DS$25,0)),0),_xlfn.IFNA(INDEX('Resource use and costs'!$DU$12:$DU$25,MATCH(DA373,'Resource use and costs'!$DS$12:$DS$25,0)),0),_xlfn.IFNA(INDEX('Resource use and costs'!$DU$12:$DU$25,MATCH(DB373,'Resource use and costs'!$DS$12:$DS$25,0)),0))</f>
        <v>197.25</v>
      </c>
      <c r="DO373" s="921">
        <f>_xlfn.IFNA(INDEX('Resource use and costs'!$DY$12:$DY$25,MATCH(CZ373,'Resource use and costs'!$DS$12:$DS$25,0)),0)*_xlfn.IFNA(INDEX(DY$10:DY$23,MATCH($CZ373,$DX$10:$DX$23,0)),0)</f>
        <v>810.54285714285697</v>
      </c>
      <c r="DP373" s="921">
        <f>IF(dd_PartSA_2_lines = "Yes",0,_xlfn.IFNA(INDEX('Resource use and costs'!$DZ$12:$DZ$25,MATCH(DA373,'Resource use and costs'!$DS$12:$DS$25,0)),0)*_xlfn.IFNA(INDEX(EA$10:EA$23,MATCH($DA373,$DX$10:$DX$23,0)),0))</f>
        <v>0</v>
      </c>
      <c r="DQ373" s="921">
        <f>IF(dd_PartSA_2_lines = "Yes",0,_xlfn.IFNA(INDEX('Resource use and costs'!$EA$12:$EA$25,MATCH(DB373,'Resource use and costs'!$DS$12:$DS$25,0)),0)*_xlfn.IFNA(INDEX(EC$10:EC$23,MATCH($DB373,$DX$10:$DX$23,0)),0))</f>
        <v>0</v>
      </c>
      <c r="DR373" s="921">
        <f t="shared" si="222"/>
        <v>1007.792857142857</v>
      </c>
      <c r="DS373" s="1004">
        <f>SUMIFS('Safety parameters'!$DM$6:$DM$18,'Safety parameters'!$DK$6:$DK$18,CZ373,'Safety parameters'!$DL$6:$DL$18,1)+IF(dd_PartSA_2_lines = "Yes",0,SUMIFS('Safety parameters'!$DM$6:$DM$18,'Safety parameters'!$DK$6:$DK$18,DA373,'Safety parameters'!$DL$6:$DL$18,2)+SUMIFS('Safety parameters'!$DM$6:$DM$18,'Safety parameters'!$DK$6:$DK$18,DB373,'Safety parameters'!$DL$6:$DL$18,2))</f>
        <v>0</v>
      </c>
      <c r="DT373" s="910">
        <f>SUMIFS('Safety parameters'!$DO$6:$DO$18,'Safety parameters'!$DK$6:$DK$18,CZ373,'Safety parameters'!$DL$6:$DL$18,1)+IF(dd_PartSA_2_lines = "Yes",0,SUMIFS('Safety parameters'!$DO$6:$DO$18,'Safety parameters'!$DK$6:$DK$18,DA373,'Safety parameters'!$DL$6:$DL$18,2)+SUMIFS('Safety parameters'!$DO$6:$DO$18,'Safety parameters'!$DK$6:$DK$18,DB373,'Safety parameters'!$DL$6:$DL$18,2))</f>
        <v>0</v>
      </c>
    </row>
    <row r="374" spans="89:124" ht="15" x14ac:dyDescent="0.2">
      <c r="CK374" s="61" t="s">
        <v>31</v>
      </c>
      <c r="CL374" s="61">
        <v>3</v>
      </c>
      <c r="CM374" s="61" t="str">
        <v>cabozantinib_plus_nivolumab</v>
      </c>
      <c r="CN374" s="17">
        <v>1</v>
      </c>
      <c r="CO374" s="61" t="str" cm="1">
        <f t="array" ref="CO374">INDEX(List_comparators,CP373+1)</f>
        <v>lenvatinib_plus_everolimus</v>
      </c>
      <c r="CP374" s="17">
        <v>9</v>
      </c>
      <c r="CQ374" s="601">
        <f t="shared" ca="1" si="223"/>
        <v>0</v>
      </c>
      <c r="CR374" s="601">
        <f t="shared" ca="1" si="224"/>
        <v>0</v>
      </c>
      <c r="CS374" s="671">
        <f t="shared" ca="1" si="234"/>
        <v>33.004285714285714</v>
      </c>
      <c r="CT374" s="671">
        <f t="shared" ca="1" si="225"/>
        <v>6.8914285714285715</v>
      </c>
      <c r="CU374" s="1123">
        <f>MATCH(CZ381,'Resource use and costs'!$BA$11:$BA$53,0)</f>
        <v>1</v>
      </c>
      <c r="CV374" s="1223"/>
      <c r="CW374" s="1241">
        <f t="shared" si="220"/>
        <v>1</v>
      </c>
      <c r="CX374" s="899" t="s">
        <v>773</v>
      </c>
      <c r="CY374" s="899" t="s">
        <v>585</v>
      </c>
      <c r="CZ374" s="899" t="s">
        <v>333</v>
      </c>
      <c r="DA374" s="899" t="s">
        <v>118</v>
      </c>
      <c r="DB374" s="899" t="s">
        <v>327</v>
      </c>
      <c r="DC374" s="899" cm="1">
        <f t="array" aca="1" ref="DC374" ca="1">_xlfn.IFNA(OFFSET($I$49,MATCH(CY374,$I$50:$I$63,0),MATCH(CZ374,TRANSPOSE($J$49:$W$49),0)),0)</f>
        <v>3.0800000000000004E-2</v>
      </c>
      <c r="DD374" s="899">
        <f ca="1">1-DD372-DD373-DD376</f>
        <v>0.57489999999999997</v>
      </c>
      <c r="DE374" s="899">
        <f ca="1">1-DE375</f>
        <v>0.56859999999999999</v>
      </c>
      <c r="DF374" s="881">
        <f t="shared" ca="1" si="217"/>
        <v>1.0068154712E-2</v>
      </c>
      <c r="DG374" s="910">
        <f t="shared" ca="1" si="218"/>
        <v>1</v>
      </c>
      <c r="DH374" s="881">
        <f t="shared" ca="1" si="219"/>
        <v>1.0068154712E-2</v>
      </c>
      <c r="DI374" s="1460">
        <f t="shared" ca="1" si="231"/>
        <v>2.3559482026079999</v>
      </c>
      <c r="DJ374" s="909">
        <f>_xlfn.IFNA(INDEX('Resource use and costs'!$CQ$11:$CQ$53,MATCH($CZ374,'Resource use and costs'!$BA$11:$BA$53,0)),0)*_xlfn.IFNA(INDEX(DY$10:DY$23,MATCH($CZ374,$DX$10:$DX$23,0)),0)</f>
        <v>54336.641519999976</v>
      </c>
      <c r="DK374" s="909">
        <f>IF(dd_PartSA_2_lines = "Yes",0,_xlfn.IFNA(INDEX('Resource use and costs'!$CR$11:$CR$53,MATCH(DA374,'Resource use and costs'!$BA$11:$BA$53,0)),0)*_xlfn.IFNA(INDEX(EA$10:EA$23,MATCH($DA374,$DX$10:$DX$23,0)),0))</f>
        <v>50308.075122000002</v>
      </c>
      <c r="DL374" s="909">
        <f>IF(dd_PartSA_2_lines = "Yes",0,_xlfn.IFNA(INDEX('Resource use and costs'!$CS$11:$CS$53,MATCH(DB374,'Resource use and costs'!$BA$11:$BA$53,0)),0)*_xlfn.IFNA(INDEX(EC$10:EC$23,MATCH($DB374,$DX$10:$DX$23,0)),0))</f>
        <v>18438.751749999999</v>
      </c>
      <c r="DM374" s="909">
        <f t="shared" si="221"/>
        <v>123083.46839199998</v>
      </c>
      <c r="DN374" s="909">
        <f>SUM(_xlfn.IFNA(INDEX('Resource use and costs'!$DU$12:$DU$25,MATCH(CZ374,'Resource use and costs'!$DS$12:$DS$25,0)),0),_xlfn.IFNA(INDEX('Resource use and costs'!$DU$12:$DU$25,MATCH(DA374,'Resource use and costs'!$DS$12:$DS$25,0)),0),_xlfn.IFNA(INDEX('Resource use and costs'!$DU$12:$DU$25,MATCH(DB374,'Resource use and costs'!$DS$12:$DS$25,0)),0))</f>
        <v>591.75</v>
      </c>
      <c r="DO374" s="921">
        <f>_xlfn.IFNA(INDEX('Resource use and costs'!$DY$12:$DY$25,MATCH(CZ374,'Resource use and costs'!$DS$12:$DS$25,0)),0)*_xlfn.IFNA(INDEX(DY$10:DY$23,MATCH($CZ374,$DX$10:$DX$23,0)),0)</f>
        <v>810.54285714285697</v>
      </c>
      <c r="DP374" s="921">
        <f>IF(dd_PartSA_2_lines = "Yes",0,_xlfn.IFNA(INDEX('Resource use and costs'!$DZ$12:$DZ$25,MATCH(DA374,'Resource use and costs'!$DS$12:$DS$25,0)),0)*_xlfn.IFNA(INDEX(EA$10:EA$23,MATCH($DA374,$DX$10:$DX$23,0)),0))</f>
        <v>461.1445457142857</v>
      </c>
      <c r="DQ374" s="921">
        <f>IF(dd_PartSA_2_lines = "Yes",0,_xlfn.IFNA(INDEX('Resource use and costs'!$EA$12:$EA$25,MATCH(DB374,'Resource use and costs'!$DS$12:$DS$25,0)),0)*_xlfn.IFNA(INDEX(EC$10:EC$23,MATCH($DB374,$DX$10:$DX$23,0)),0))</f>
        <v>230.68099999999998</v>
      </c>
      <c r="DR374" s="921">
        <f t="shared" si="222"/>
        <v>2094.1184028571424</v>
      </c>
      <c r="DS374" s="1004">
        <f ca="1">SUMIFS('Safety parameters'!$DM$6:$DM$18,'Safety parameters'!$DK$6:$DK$18,CZ374,'Safety parameters'!$DL$6:$DL$18,1)+IF(dd_PartSA_2_lines = "Yes",0,SUMIFS('Safety parameters'!$DM$6:$DM$18,'Safety parameters'!$DK$6:$DK$18,DA374,'Safety parameters'!$DL$6:$DL$18,2)+SUMIFS('Safety parameters'!$DM$6:$DM$18,'Safety parameters'!$DK$6:$DK$18,DB374,'Safety parameters'!$DL$6:$DL$18,2))</f>
        <v>2377.8779733688434</v>
      </c>
      <c r="DT374" s="910">
        <f ca="1">SUMIFS('Safety parameters'!$DO$6:$DO$18,'Safety parameters'!$DK$6:$DK$18,CZ374,'Safety parameters'!$DL$6:$DL$18,1)+IF(dd_PartSA_2_lines = "Yes",0,SUMIFS('Safety parameters'!$DO$6:$DO$18,'Safety parameters'!$DK$6:$DK$18,DA374,'Safety parameters'!$DL$6:$DL$18,2)+SUMIFS('Safety parameters'!$DO$6:$DO$18,'Safety parameters'!$DK$6:$DK$18,DB374,'Safety parameters'!$DL$6:$DL$18,2))</f>
        <v>-2.1764250363717368E-2</v>
      </c>
    </row>
    <row r="375" spans="89:124" ht="15" x14ac:dyDescent="0.2">
      <c r="CK375" s="61" t="s">
        <v>31</v>
      </c>
      <c r="CL375" s="61">
        <v>3</v>
      </c>
      <c r="CM375" s="61" t="str">
        <v>nivolumab_plus_ipilimumab</v>
      </c>
      <c r="CN375" s="17">
        <v>2</v>
      </c>
      <c r="CO375" s="61" t="str" cm="1">
        <f t="array" ref="CO375">INDEX(List_comparators,CP374+1)</f>
        <v>lenvatinib_plus_everolimus</v>
      </c>
      <c r="CP375" s="17">
        <v>9</v>
      </c>
      <c r="CQ375" s="601">
        <f t="shared" ref="CQ375:CQ406" ca="1" si="235">OFFSET($Z$50,IF(CN375=999,13,CN375),CP375)</f>
        <v>0</v>
      </c>
      <c r="CR375" s="601">
        <f t="shared" ref="CR375:CR406" ca="1" si="236">OFFSET($Z$65,IF(CN375=999,13,CN375),CP375)</f>
        <v>0</v>
      </c>
      <c r="CS375" s="671">
        <f t="shared" ca="1" si="234"/>
        <v>33.004285714285714</v>
      </c>
      <c r="CT375" s="671">
        <f t="shared" ref="CT375:CT406" ca="1" si="237">OFFSET($Z$97,IF(CN375=999,13,CN375),CP375)</f>
        <v>6.8914285714285715</v>
      </c>
      <c r="CU375" s="1123">
        <f>MATCH(CZ382,'Resource use and costs'!$BA$11:$BA$53,0)</f>
        <v>1</v>
      </c>
      <c r="CV375" s="1223"/>
      <c r="CW375" s="1241">
        <f t="shared" si="220"/>
        <v>1</v>
      </c>
      <c r="CX375" s="899" t="s">
        <v>773</v>
      </c>
      <c r="CY375" s="899" t="s">
        <v>585</v>
      </c>
      <c r="CZ375" s="899" t="s">
        <v>333</v>
      </c>
      <c r="DA375" s="899" t="s">
        <v>118</v>
      </c>
      <c r="DB375" s="899" t="s">
        <v>765</v>
      </c>
      <c r="DC375" s="899" cm="1">
        <f t="array" aca="1" ref="DC375" ca="1">_xlfn.IFNA(OFFSET($I$49,MATCH(CY375,$I$50:$I$63,0),MATCH(CZ375,TRANSPOSE($J$49:$W$49),0)),0)</f>
        <v>3.0800000000000004E-2</v>
      </c>
      <c r="DD375" s="899">
        <f ca="1">DD374</f>
        <v>0.57489999999999997</v>
      </c>
      <c r="DE375" s="899" cm="1">
        <f t="array" aca="1" ref="DE375" ca="1">_xlfn.IFNA(OFFSET($AO$49,MATCH($DA375,$AO$50:$AO$63,0),MATCH($DB375,TRANSPOSE($AP$49:$BC$49),0)),0)</f>
        <v>0.43140000000000001</v>
      </c>
      <c r="DF375" s="881">
        <f t="shared" ca="1" si="217"/>
        <v>7.6387652880000002E-3</v>
      </c>
      <c r="DG375" s="910">
        <f t="shared" ca="1" si="218"/>
        <v>1</v>
      </c>
      <c r="DH375" s="881">
        <f t="shared" ca="1" si="219"/>
        <v>7.6387652880000002E-3</v>
      </c>
      <c r="DI375" s="1460">
        <f t="shared" ca="1" si="231"/>
        <v>1.787471077392</v>
      </c>
      <c r="DJ375" s="909">
        <f>_xlfn.IFNA(INDEX('Resource use and costs'!$CQ$11:$CQ$53,MATCH($CZ375,'Resource use and costs'!$BA$11:$BA$53,0)),0)*_xlfn.IFNA(INDEX(DY$10:DY$23,MATCH($CZ375,$DX$10:$DX$23,0)),0)</f>
        <v>54336.641519999976</v>
      </c>
      <c r="DK375" s="909">
        <f>IF(dd_PartSA_2_lines = "Yes",0,_xlfn.IFNA(INDEX('Resource use and costs'!$CR$11:$CR$53,MATCH(DA375,'Resource use and costs'!$BA$11:$BA$53,0)),0)*_xlfn.IFNA(INDEX(EA$10:EA$23,MATCH($DA375,$DX$10:$DX$23,0)),0))</f>
        <v>50308.075122000002</v>
      </c>
      <c r="DL375" s="909">
        <f>IF(dd_PartSA_2_lines = "Yes",0,_xlfn.IFNA(INDEX('Resource use and costs'!$CS$11:$CS$53,MATCH(DB375,'Resource use and costs'!$BA$11:$BA$53,0)),0)*_xlfn.IFNA(INDEX(EC$10:EC$23,MATCH($DB375,$DX$10:$DX$23,0)),0))</f>
        <v>0</v>
      </c>
      <c r="DM375" s="909">
        <f t="shared" si="221"/>
        <v>104644.71664199998</v>
      </c>
      <c r="DN375" s="909">
        <f>SUM(_xlfn.IFNA(INDEX('Resource use and costs'!$DU$12:$DU$25,MATCH(CZ375,'Resource use and costs'!$DS$12:$DS$25,0)),0),_xlfn.IFNA(INDEX('Resource use and costs'!$DU$12:$DU$25,MATCH(DA375,'Resource use and costs'!$DS$12:$DS$25,0)),0),_xlfn.IFNA(INDEX('Resource use and costs'!$DU$12:$DU$25,MATCH(DB375,'Resource use and costs'!$DS$12:$DS$25,0)),0))</f>
        <v>394.5</v>
      </c>
      <c r="DO375" s="921">
        <f>_xlfn.IFNA(INDEX('Resource use and costs'!$DY$12:$DY$25,MATCH(CZ375,'Resource use and costs'!$DS$12:$DS$25,0)),0)*_xlfn.IFNA(INDEX(DY$10:DY$23,MATCH($CZ375,$DX$10:$DX$23,0)),0)</f>
        <v>810.54285714285697</v>
      </c>
      <c r="DP375" s="921">
        <f>IF(dd_PartSA_2_lines = "Yes",0,_xlfn.IFNA(INDEX('Resource use and costs'!$DZ$12:$DZ$25,MATCH(DA375,'Resource use and costs'!$DS$12:$DS$25,0)),0)*_xlfn.IFNA(INDEX(EA$10:EA$23,MATCH($DA375,$DX$10:$DX$23,0)),0))</f>
        <v>461.1445457142857</v>
      </c>
      <c r="DQ375" s="921">
        <f>IF(dd_PartSA_2_lines = "Yes",0,_xlfn.IFNA(INDEX('Resource use and costs'!$EA$12:$EA$25,MATCH(DB375,'Resource use and costs'!$DS$12:$DS$25,0)),0)*_xlfn.IFNA(INDEX(EC$10:EC$23,MATCH($DB375,$DX$10:$DX$23,0)),0))</f>
        <v>0</v>
      </c>
      <c r="DR375" s="921">
        <f t="shared" si="222"/>
        <v>1666.1874028571426</v>
      </c>
      <c r="DS375" s="1004">
        <f ca="1">SUMIFS('Safety parameters'!$DM$6:$DM$18,'Safety parameters'!$DK$6:$DK$18,CZ375,'Safety parameters'!$DL$6:$DL$18,1)+IF(dd_PartSA_2_lines = "Yes",0,SUMIFS('Safety parameters'!$DM$6:$DM$18,'Safety parameters'!$DK$6:$DK$18,DA375,'Safety parameters'!$DL$6:$DL$18,2)+SUMIFS('Safety parameters'!$DM$6:$DM$18,'Safety parameters'!$DK$6:$DK$18,DB375,'Safety parameters'!$DL$6:$DL$18,2))</f>
        <v>743.64929980338343</v>
      </c>
      <c r="DT375" s="910">
        <f ca="1">SUMIFS('Safety parameters'!$DO$6:$DO$18,'Safety parameters'!$DK$6:$DK$18,CZ375,'Safety parameters'!$DL$6:$DL$18,1)+IF(dd_PartSA_2_lines = "Yes",0,SUMIFS('Safety parameters'!$DO$6:$DO$18,'Safety parameters'!$DK$6:$DK$18,DA375,'Safety parameters'!$DL$6:$DL$18,2)+SUMIFS('Safety parameters'!$DO$6:$DO$18,'Safety parameters'!$DK$6:$DK$18,DB375,'Safety parameters'!$DL$6:$DL$18,2))</f>
        <v>-7.0223263562359372E-3</v>
      </c>
    </row>
    <row r="376" spans="89:124" ht="15" x14ac:dyDescent="0.2">
      <c r="CK376" s="61" t="s">
        <v>31</v>
      </c>
      <c r="CL376" s="61">
        <v>3</v>
      </c>
      <c r="CM376" s="61" t="str">
        <v>lenvatinib_plus_pembrolizumab</v>
      </c>
      <c r="CN376" s="17">
        <v>3</v>
      </c>
      <c r="CO376" s="61" t="str" cm="1">
        <f t="array" ref="CO376">INDEX(List_comparators,CP375+1)</f>
        <v>lenvatinib_plus_everolimus</v>
      </c>
      <c r="CP376" s="17">
        <v>9</v>
      </c>
      <c r="CQ376" s="601">
        <f t="shared" ca="1" si="235"/>
        <v>0</v>
      </c>
      <c r="CR376" s="601">
        <f t="shared" ca="1" si="236"/>
        <v>0</v>
      </c>
      <c r="CS376" s="671">
        <f t="shared" ca="1" si="234"/>
        <v>33.004285714285714</v>
      </c>
      <c r="CT376" s="671">
        <f t="shared" ca="1" si="237"/>
        <v>6.8914285714285715</v>
      </c>
      <c r="CU376" s="1123">
        <f>MATCH(CZ383,'Resource use and costs'!$BA$11:$BA$53,0)</f>
        <v>1</v>
      </c>
      <c r="CV376" s="1223"/>
      <c r="CW376" s="1241">
        <f t="shared" si="220"/>
        <v>1</v>
      </c>
      <c r="CX376" s="899" t="s">
        <v>773</v>
      </c>
      <c r="CY376" s="899" t="s">
        <v>585</v>
      </c>
      <c r="CZ376" s="899" t="s">
        <v>333</v>
      </c>
      <c r="DA376" s="899" t="s">
        <v>579</v>
      </c>
      <c r="DB376" s="899" t="s">
        <v>327</v>
      </c>
      <c r="DC376" s="899" cm="1">
        <f t="array" aca="1" ref="DC376" ca="1">_xlfn.IFNA(OFFSET($I$49,MATCH(CY376,$I$50:$I$63,0),MATCH(CZ376,TRANSPOSE($J$49:$W$49),0)),0)</f>
        <v>3.0800000000000004E-2</v>
      </c>
      <c r="DD376" s="899" cm="1">
        <f t="array" aca="1" ref="DD376" ca="1">_xlfn.IFNA(OFFSET($Y$49,MATCH($CZ376,$Y$50:$Y$63,0),MATCH($DA376,TRANSPOSE($Z$49:$AM$49),0)),0)</f>
        <v>8.2100000000000006E-2</v>
      </c>
      <c r="DE376" s="899" cm="1">
        <f t="array" aca="1" ref="DE376" ca="1">_xlfn.IFNA(OFFSET($AO$49,MATCH($DA376,$AO$50:$AO$63,0),MATCH($DB376,TRANSPOSE($AP$49:$BC$49),0)),0)</f>
        <v>0.56859999999999999</v>
      </c>
      <c r="DF376" s="881">
        <f t="shared" ca="1" si="217"/>
        <v>1.4378074480000003E-3</v>
      </c>
      <c r="DG376" s="910">
        <f t="shared" ca="1" si="218"/>
        <v>1</v>
      </c>
      <c r="DH376" s="881">
        <f t="shared" ca="1" si="219"/>
        <v>1.4378074480000003E-3</v>
      </c>
      <c r="DI376" s="1460">
        <f t="shared" ca="1" si="231"/>
        <v>0.33644694283200005</v>
      </c>
      <c r="DJ376" s="909">
        <f>_xlfn.IFNA(INDEX('Resource use and costs'!$CQ$11:$CQ$53,MATCH($CZ376,'Resource use and costs'!$BA$11:$BA$53,0)),0)*_xlfn.IFNA(INDEX(DY$10:DY$23,MATCH($CZ376,$DX$10:$DX$23,0)),0)</f>
        <v>54336.641519999976</v>
      </c>
      <c r="DK376" s="909">
        <f>IF(dd_PartSA_2_lines = "Yes",0,_xlfn.IFNA(INDEX('Resource use and costs'!$CR$11:$CR$53,MATCH(DA376,'Resource use and costs'!$BA$11:$BA$53,0)),0)*_xlfn.IFNA(INDEX(EA$10:EA$23,MATCH($DA376,$DX$10:$DX$23,0)),0))</f>
        <v>26054.50921</v>
      </c>
      <c r="DL376" s="909">
        <f>IF(dd_PartSA_2_lines = "Yes",0,_xlfn.IFNA(INDEX('Resource use and costs'!$CS$11:$CS$53,MATCH(DB376,'Resource use and costs'!$BA$11:$BA$53,0)),0)*_xlfn.IFNA(INDEX(EC$10:EC$23,MATCH($DB376,$DX$10:$DX$23,0)),0))</f>
        <v>18438.751749999999</v>
      </c>
      <c r="DM376" s="909">
        <f t="shared" si="221"/>
        <v>98829.902479999975</v>
      </c>
      <c r="DN376" s="909">
        <f>SUM(_xlfn.IFNA(INDEX('Resource use and costs'!$DU$12:$DU$25,MATCH(CZ376,'Resource use and costs'!$DS$12:$DS$25,0)),0),_xlfn.IFNA(INDEX('Resource use and costs'!$DU$12:$DU$25,MATCH(DA376,'Resource use and costs'!$DS$12:$DS$25,0)),0),_xlfn.IFNA(INDEX('Resource use and costs'!$DU$12:$DU$25,MATCH(DB376,'Resource use and costs'!$DS$12:$DS$25,0)),0))</f>
        <v>394.5</v>
      </c>
      <c r="DO376" s="921">
        <f>_xlfn.IFNA(INDEX('Resource use and costs'!$DY$12:$DY$25,MATCH(CZ376,'Resource use and costs'!$DS$12:$DS$25,0)),0)*_xlfn.IFNA(INDEX(DY$10:DY$23,MATCH($CZ376,$DX$10:$DX$23,0)),0)</f>
        <v>810.54285714285697</v>
      </c>
      <c r="DP376" s="921">
        <f>IF(dd_PartSA_2_lines = "Yes",0,_xlfn.IFNA(INDEX('Resource use and costs'!$DZ$12:$DZ$25,MATCH(DA376,'Resource use and costs'!$DS$12:$DS$25,0)),0)*_xlfn.IFNA(INDEX(EA$10:EA$23,MATCH($DA376,$DX$10:$DX$23,0)),0))</f>
        <v>4108.3597166</v>
      </c>
      <c r="DQ376" s="921">
        <f>IF(dd_PartSA_2_lines = "Yes",0,_xlfn.IFNA(INDEX('Resource use and costs'!$EA$12:$EA$25,MATCH(DB376,'Resource use and costs'!$DS$12:$DS$25,0)),0)*_xlfn.IFNA(INDEX(EC$10:EC$23,MATCH($DB376,$DX$10:$DX$23,0)),0))</f>
        <v>230.68099999999998</v>
      </c>
      <c r="DR376" s="921">
        <f t="shared" si="222"/>
        <v>5544.0835737428561</v>
      </c>
      <c r="DS376" s="1004">
        <f ca="1">SUMIFS('Safety parameters'!$DM$6:$DM$18,'Safety parameters'!$DK$6:$DK$18,CZ376,'Safety parameters'!$DL$6:$DL$18,1)+IF(dd_PartSA_2_lines = "Yes",0,SUMIFS('Safety parameters'!$DM$6:$DM$18,'Safety parameters'!$DK$6:$DK$18,DA376,'Safety parameters'!$DL$6:$DL$18,2)+SUMIFS('Safety parameters'!$DM$6:$DM$18,'Safety parameters'!$DK$6:$DK$18,DB376,'Safety parameters'!$DL$6:$DL$18,2))</f>
        <v>1795.3624225558742</v>
      </c>
      <c r="DT376" s="910">
        <f ca="1">SUMIFS('Safety parameters'!$DO$6:$DO$18,'Safety parameters'!$DK$6:$DK$18,CZ376,'Safety parameters'!$DL$6:$DL$18,1)+IF(dd_PartSA_2_lines = "Yes",0,SUMIFS('Safety parameters'!$DO$6:$DO$18,'Safety parameters'!$DK$6:$DK$18,DA376,'Safety parameters'!$DL$6:$DL$18,2)+SUMIFS('Safety parameters'!$DO$6:$DO$18,'Safety parameters'!$DK$6:$DK$18,DB376,'Safety parameters'!$DL$6:$DL$18,2))</f>
        <v>-1.6339008205166216E-2</v>
      </c>
    </row>
    <row r="377" spans="89:124" ht="15" x14ac:dyDescent="0.2">
      <c r="CK377" s="61" t="s">
        <v>31</v>
      </c>
      <c r="CL377" s="61">
        <v>3</v>
      </c>
      <c r="CM377" s="61" t="str">
        <v>avelumab_plus_axitinib</v>
      </c>
      <c r="CN377" s="17">
        <v>4</v>
      </c>
      <c r="CO377" s="61" t="str" cm="1">
        <f t="array" ref="CO377">INDEX(List_comparators,CP376+1)</f>
        <v>lenvatinib_plus_everolimus</v>
      </c>
      <c r="CP377" s="17">
        <v>9</v>
      </c>
      <c r="CQ377" s="601">
        <f t="shared" ca="1" si="235"/>
        <v>0</v>
      </c>
      <c r="CR377" s="601">
        <f t="shared" ca="1" si="236"/>
        <v>0</v>
      </c>
      <c r="CS377" s="671">
        <f t="shared" ca="1" si="234"/>
        <v>33.004285714285714</v>
      </c>
      <c r="CT377" s="671">
        <f t="shared" ca="1" si="237"/>
        <v>6.8914285714285715</v>
      </c>
      <c r="CU377" s="1123">
        <f>MATCH(CZ384,'Resource use and costs'!$BA$11:$BA$53,0)</f>
        <v>1</v>
      </c>
      <c r="CV377" s="1223"/>
      <c r="CW377" s="1241">
        <f t="shared" si="220"/>
        <v>1</v>
      </c>
      <c r="CX377" s="899" t="s">
        <v>773</v>
      </c>
      <c r="CY377" s="899" t="s">
        <v>585</v>
      </c>
      <c r="CZ377" s="899" t="s">
        <v>333</v>
      </c>
      <c r="DA377" s="899" t="s">
        <v>579</v>
      </c>
      <c r="DB377" s="899" t="s">
        <v>765</v>
      </c>
      <c r="DC377" s="899" cm="1">
        <f t="array" aca="1" ref="DC377" ca="1">_xlfn.IFNA(OFFSET($I$49,MATCH(CY377,$I$50:$I$63,0),MATCH(CZ377,TRANSPOSE($J$49:$W$49),0)),0)</f>
        <v>3.0800000000000004E-2</v>
      </c>
      <c r="DD377" s="899" cm="1">
        <f t="array" aca="1" ref="DD377" ca="1">_xlfn.IFNA(OFFSET($Y$49,MATCH($CZ377,$Y$50:$Y$63,0),MATCH($DA377,TRANSPOSE($Z$49:$AM$49),0)),0)</f>
        <v>8.2100000000000006E-2</v>
      </c>
      <c r="DE377" s="899" cm="1">
        <f t="array" aca="1" ref="DE377" ca="1">_xlfn.IFNA(OFFSET($AO$49,MATCH($DA377,$AO$50:$AO$63,0),MATCH($DB377,TRANSPOSE($AP$49:$BC$49),0)),0)</f>
        <v>0.43140000000000001</v>
      </c>
      <c r="DF377" s="881">
        <f t="shared" ca="1" si="217"/>
        <v>1.0908725520000003E-3</v>
      </c>
      <c r="DG377" s="910">
        <f t="shared" ca="1" si="218"/>
        <v>1</v>
      </c>
      <c r="DH377" s="881">
        <f t="shared" ca="1" si="219"/>
        <v>1.0908725520000003E-3</v>
      </c>
      <c r="DI377" s="1460">
        <f t="shared" ca="1" si="231"/>
        <v>0.25526417716800009</v>
      </c>
      <c r="DJ377" s="909">
        <f>_xlfn.IFNA(INDEX('Resource use and costs'!$CQ$11:$CQ$53,MATCH($CZ377,'Resource use and costs'!$BA$11:$BA$53,0)),0)*_xlfn.IFNA(INDEX(DY$10:DY$23,MATCH($CZ377,$DX$10:$DX$23,0)),0)</f>
        <v>54336.641519999976</v>
      </c>
      <c r="DK377" s="909">
        <f>IF(dd_PartSA_2_lines = "Yes",0,_xlfn.IFNA(INDEX('Resource use and costs'!$CR$11:$CR$53,MATCH(DA377,'Resource use and costs'!$BA$11:$BA$53,0)),0)*_xlfn.IFNA(INDEX(EA$10:EA$23,MATCH($DA377,$DX$10:$DX$23,0)),0))</f>
        <v>26054.50921</v>
      </c>
      <c r="DL377" s="909">
        <f>IF(dd_PartSA_2_lines = "Yes",0,_xlfn.IFNA(INDEX('Resource use and costs'!$CS$11:$CS$53,MATCH(DB377,'Resource use and costs'!$BA$11:$BA$53,0)),0)*_xlfn.IFNA(INDEX(EC$10:EC$23,MATCH($DB377,$DX$10:$DX$23,0)),0))</f>
        <v>0</v>
      </c>
      <c r="DM377" s="909">
        <f t="shared" si="221"/>
        <v>80391.150729999979</v>
      </c>
      <c r="DN377" s="909">
        <f>SUM(_xlfn.IFNA(INDEX('Resource use and costs'!$DU$12:$DU$25,MATCH(CZ377,'Resource use and costs'!$DS$12:$DS$25,0)),0),_xlfn.IFNA(INDEX('Resource use and costs'!$DU$12:$DU$25,MATCH(DA377,'Resource use and costs'!$DS$12:$DS$25,0)),0),_xlfn.IFNA(INDEX('Resource use and costs'!$DU$12:$DU$25,MATCH(DB377,'Resource use and costs'!$DS$12:$DS$25,0)),0))</f>
        <v>197.25</v>
      </c>
      <c r="DO377" s="921">
        <f>_xlfn.IFNA(INDEX('Resource use and costs'!$DY$12:$DY$25,MATCH(CZ377,'Resource use and costs'!$DS$12:$DS$25,0)),0)*_xlfn.IFNA(INDEX(DY$10:DY$23,MATCH($CZ377,$DX$10:$DX$23,0)),0)</f>
        <v>810.54285714285697</v>
      </c>
      <c r="DP377" s="921">
        <f>IF(dd_PartSA_2_lines = "Yes",0,_xlfn.IFNA(INDEX('Resource use and costs'!$DZ$12:$DZ$25,MATCH(DA377,'Resource use and costs'!$DS$12:$DS$25,0)),0)*_xlfn.IFNA(INDEX(EA$10:EA$23,MATCH($DA377,$DX$10:$DX$23,0)),0))</f>
        <v>4108.3597166</v>
      </c>
      <c r="DQ377" s="921">
        <f>IF(dd_PartSA_2_lines = "Yes",0,_xlfn.IFNA(INDEX('Resource use and costs'!$EA$12:$EA$25,MATCH(DB377,'Resource use and costs'!$DS$12:$DS$25,0)),0)*_xlfn.IFNA(INDEX(EC$10:EC$23,MATCH($DB377,$DX$10:$DX$23,0)),0))</f>
        <v>0</v>
      </c>
      <c r="DR377" s="921">
        <f t="shared" si="222"/>
        <v>5116.1525737428565</v>
      </c>
      <c r="DS377" s="1004">
        <f ca="1">SUMIFS('Safety parameters'!$DM$6:$DM$18,'Safety parameters'!$DK$6:$DK$18,CZ377,'Safety parameters'!$DL$6:$DL$18,1)+IF(dd_PartSA_2_lines = "Yes",0,SUMIFS('Safety parameters'!$DM$6:$DM$18,'Safety parameters'!$DK$6:$DK$18,DA377,'Safety parameters'!$DL$6:$DL$18,2)+SUMIFS('Safety parameters'!$DM$6:$DM$18,'Safety parameters'!$DK$6:$DK$18,DB377,'Safety parameters'!$DL$6:$DL$18,2))</f>
        <v>161.1337489904144</v>
      </c>
      <c r="DT377" s="910">
        <f ca="1">SUMIFS('Safety parameters'!$DO$6:$DO$18,'Safety parameters'!$DK$6:$DK$18,CZ377,'Safety parameters'!$DL$6:$DL$18,1)+IF(dd_PartSA_2_lines = "Yes",0,SUMIFS('Safety parameters'!$DO$6:$DO$18,'Safety parameters'!$DK$6:$DK$18,DA377,'Safety parameters'!$DL$6:$DL$18,2)+SUMIFS('Safety parameters'!$DO$6:$DO$18,'Safety parameters'!$DK$6:$DK$18,DB377,'Safety parameters'!$DL$6:$DL$18,2))</f>
        <v>-1.5970841976847864E-3</v>
      </c>
    </row>
    <row r="378" spans="89:124" ht="15" x14ac:dyDescent="0.2">
      <c r="CK378" s="61" t="s">
        <v>31</v>
      </c>
      <c r="CL378" s="61">
        <v>3</v>
      </c>
      <c r="CM378" s="61" t="str">
        <v>pazopanib</v>
      </c>
      <c r="CN378" s="17">
        <v>5</v>
      </c>
      <c r="CO378" s="61" t="str" cm="1">
        <f t="array" ref="CO378">INDEX(List_comparators,CP377+1)</f>
        <v>lenvatinib_plus_everolimus</v>
      </c>
      <c r="CP378" s="17">
        <v>9</v>
      </c>
      <c r="CQ378" s="601">
        <f t="shared" ca="1" si="235"/>
        <v>0.16420000000000001</v>
      </c>
      <c r="CR378" s="601">
        <f t="shared" ca="1" si="236"/>
        <v>1.6420000000000001E-2</v>
      </c>
      <c r="CS378" s="671">
        <f t="shared" ca="1" si="234"/>
        <v>33.004285714285714</v>
      </c>
      <c r="CT378" s="671">
        <f t="shared" ca="1" si="237"/>
        <v>6.8914285714285715</v>
      </c>
      <c r="CU378" s="1123">
        <f>MATCH(CZ385,'Resource use and costs'!$BA$11:$BA$53,0)</f>
        <v>1</v>
      </c>
      <c r="CV378" s="1223"/>
      <c r="CW378" s="1241">
        <f t="shared" si="220"/>
        <v>1</v>
      </c>
      <c r="CX378" s="899" t="s">
        <v>773</v>
      </c>
      <c r="CY378" s="899" t="s">
        <v>585</v>
      </c>
      <c r="CZ378" s="899" t="s">
        <v>579</v>
      </c>
      <c r="DA378" s="899" t="s">
        <v>327</v>
      </c>
      <c r="DB378" s="899" t="s">
        <v>765</v>
      </c>
      <c r="DC378" s="899" cm="1">
        <f t="array" aca="1" ref="DC378" ca="1">_xlfn.IFNA(OFFSET($I$49,MATCH(CY378,$I$50:$I$63,0),MATCH(CZ378,TRANSPOSE($J$49:$W$49),0)),0)</f>
        <v>0.36970000000000003</v>
      </c>
      <c r="DD378" s="899" cm="1">
        <f t="array" aca="1" ref="DD378" ca="1">_xlfn.IFNA(OFFSET($Y$49,MATCH($CZ378,$Y$50:$Y$63,0),MATCH($DA378,TRANSPOSE($Z$49:$AM$49),0)),0)</f>
        <v>5.2400000000000002E-2</v>
      </c>
      <c r="DE378" s="899" cm="1">
        <f t="array" aca="1" ref="DE378" ca="1">_xlfn.IFNA(OFFSET($AO$49,MATCH($DA378,$AO$50:$AO$63,0),MATCH($DB378,TRANSPOSE($AP$49:$BC$49),0)),0)</f>
        <v>0.43140000000000001</v>
      </c>
      <c r="DF378" s="881">
        <f t="shared" ca="1" si="217"/>
        <v>8.357201592000001E-3</v>
      </c>
      <c r="DG378" s="910">
        <f t="shared" ca="1" si="218"/>
        <v>1</v>
      </c>
      <c r="DH378" s="881">
        <f t="shared" ca="1" si="219"/>
        <v>8.357201592000001E-3</v>
      </c>
      <c r="DI378" s="1460">
        <f t="shared" ca="1" si="231"/>
        <v>1.9555851725280002</v>
      </c>
      <c r="DJ378" s="909">
        <f>_xlfn.IFNA(INDEX('Resource use and costs'!$CQ$11:$CQ$53,MATCH($CZ378,'Resource use and costs'!$BA$11:$BA$53,0)),0)*_xlfn.IFNA(INDEX(DY$10:DY$23,MATCH($CZ378,$DX$10:$DX$23,0)),0)</f>
        <v>56693.786091428577</v>
      </c>
      <c r="DK378" s="909">
        <f>IF(dd_PartSA_2_lines = "Yes",0,_xlfn.IFNA(INDEX('Resource use and costs'!$CR$11:$CR$53,MATCH(DA378,'Resource use and costs'!$BA$11:$BA$53,0)),0)*_xlfn.IFNA(INDEX(EA$10:EA$23,MATCH($DA378,$DX$10:$DX$23,0)),0))</f>
        <v>21421.066008214286</v>
      </c>
      <c r="DL378" s="909">
        <f>IF(dd_PartSA_2_lines = "Yes",0,_xlfn.IFNA(INDEX('Resource use and costs'!$CS$11:$CS$53,MATCH(DB378,'Resource use and costs'!$BA$11:$BA$53,0)),0)*_xlfn.IFNA(INDEX(EC$10:EC$23,MATCH($DB378,$DX$10:$DX$23,0)),0))</f>
        <v>0</v>
      </c>
      <c r="DM378" s="909">
        <f t="shared" si="221"/>
        <v>78114.852099642856</v>
      </c>
      <c r="DN378" s="909">
        <f>SUM(_xlfn.IFNA(INDEX('Resource use and costs'!$DU$12:$DU$25,MATCH(CZ378,'Resource use and costs'!$DS$12:$DS$25,0)),0),_xlfn.IFNA(INDEX('Resource use and costs'!$DU$12:$DU$25,MATCH(DA378,'Resource use and costs'!$DS$12:$DS$25,0)),0),_xlfn.IFNA(INDEX('Resource use and costs'!$DU$12:$DU$25,MATCH(DB378,'Resource use and costs'!$DS$12:$DS$25,0)),0))</f>
        <v>197.25</v>
      </c>
      <c r="DO378" s="921">
        <f>_xlfn.IFNA(INDEX('Resource use and costs'!$DY$12:$DY$25,MATCH(CZ378,'Resource use and costs'!$DS$12:$DS$25,0)),0)*_xlfn.IFNA(INDEX(DY$10:DY$23,MATCH($CZ378,$DX$10:$DX$23,0)),0)</f>
        <v>8939.6605049142872</v>
      </c>
      <c r="DP378" s="921">
        <f>IF(dd_PartSA_2_lines = "Yes",0,_xlfn.IFNA(INDEX('Resource use and costs'!$DZ$12:$DZ$25,MATCH(DA378,'Resource use and costs'!$DS$12:$DS$25,0)),0)*_xlfn.IFNA(INDEX(EA$10:EA$23,MATCH($DA378,$DX$10:$DX$23,0)),0))</f>
        <v>267.99172714285714</v>
      </c>
      <c r="DQ378" s="921">
        <f>IF(dd_PartSA_2_lines = "Yes",0,_xlfn.IFNA(INDEX('Resource use and costs'!$EA$12:$EA$25,MATCH(DB378,'Resource use and costs'!$DS$12:$DS$25,0)),0)*_xlfn.IFNA(INDEX(EC$10:EC$23,MATCH($DB378,$DX$10:$DX$23,0)),0))</f>
        <v>0</v>
      </c>
      <c r="DR378" s="921">
        <f t="shared" si="222"/>
        <v>9404.9022320571439</v>
      </c>
      <c r="DS378" s="1004">
        <f ca="1">SUMIFS('Safety parameters'!$DM$6:$DM$18,'Safety parameters'!$DK$6:$DK$18,CZ378,'Safety parameters'!$DL$6:$DL$18,1)+IF(dd_PartSA_2_lines = "Yes",0,SUMIFS('Safety parameters'!$DM$6:$DM$18,'Safety parameters'!$DK$6:$DK$18,DA378,'Safety parameters'!$DL$6:$DL$18,2)+SUMIFS('Safety parameters'!$DM$6:$DM$18,'Safety parameters'!$DK$6:$DK$18,DB378,'Safety parameters'!$DL$6:$DL$18,2))</f>
        <v>1634.2286735654598</v>
      </c>
      <c r="DT378" s="910">
        <f ca="1">SUMIFS('Safety parameters'!$DO$6:$DO$18,'Safety parameters'!$DK$6:$DK$18,CZ378,'Safety parameters'!$DL$6:$DL$18,1)+IF(dd_PartSA_2_lines = "Yes",0,SUMIFS('Safety parameters'!$DO$6:$DO$18,'Safety parameters'!$DK$6:$DK$18,DA378,'Safety parameters'!$DL$6:$DL$18,2)+SUMIFS('Safety parameters'!$DO$6:$DO$18,'Safety parameters'!$DK$6:$DK$18,DB378,'Safety parameters'!$DL$6:$DL$18,2))</f>
        <v>-1.4741924007481429E-2</v>
      </c>
    </row>
    <row r="379" spans="89:124" ht="15" x14ac:dyDescent="0.2">
      <c r="CK379" s="61" t="s">
        <v>31</v>
      </c>
      <c r="CL379" s="61">
        <v>3</v>
      </c>
      <c r="CM379" s="61" t="str">
        <v>tivozanib</v>
      </c>
      <c r="CN379" s="17">
        <v>6</v>
      </c>
      <c r="CO379" s="61" t="str" cm="1">
        <f t="array" ref="CO379">INDEX(List_comparators,CP378+1)</f>
        <v>lenvatinib_plus_everolimus</v>
      </c>
      <c r="CP379" s="17">
        <v>9</v>
      </c>
      <c r="CQ379" s="601">
        <f t="shared" ca="1" si="235"/>
        <v>0</v>
      </c>
      <c r="CR379" s="601">
        <f t="shared" ca="1" si="236"/>
        <v>0</v>
      </c>
      <c r="CS379" s="671">
        <f t="shared" ca="1" si="234"/>
        <v>33.004285714285714</v>
      </c>
      <c r="CT379" s="671">
        <f t="shared" ca="1" si="237"/>
        <v>6.8914285714285715</v>
      </c>
      <c r="CU379" s="1123">
        <f>MATCH(CZ386,'Resource use and costs'!$BA$11:$BA$53,0)</f>
        <v>1</v>
      </c>
      <c r="CV379" s="1223"/>
      <c r="CW379" s="1241">
        <f t="shared" si="220"/>
        <v>1</v>
      </c>
      <c r="CX379" s="899" t="s">
        <v>773</v>
      </c>
      <c r="CY379" s="899" t="s">
        <v>585</v>
      </c>
      <c r="CZ379" s="899" t="s">
        <v>579</v>
      </c>
      <c r="DA379" s="899" t="s">
        <v>327</v>
      </c>
      <c r="DB379" s="899" t="s">
        <v>119</v>
      </c>
      <c r="DC379" s="899" cm="1">
        <f t="array" aca="1" ref="DC379" ca="1">_xlfn.IFNA(OFFSET($I$49,MATCH(CY379,$I$50:$I$63,0),MATCH(CZ379,TRANSPOSE($J$49:$W$49),0)),0)</f>
        <v>0.36970000000000003</v>
      </c>
      <c r="DD379" s="899" cm="1">
        <f t="array" aca="1" ref="DD379" ca="1">_xlfn.IFNA(OFFSET($Y$49,MATCH($CZ379,$Y$50:$Y$63,0),MATCH($DA379,TRANSPOSE($Z$49:$AM$49),0)),0)</f>
        <v>5.2400000000000002E-2</v>
      </c>
      <c r="DE379" s="899" cm="1">
        <f t="array" aca="1" ref="DE379" ca="1">_xlfn.IFNA(OFFSET($AO$49,MATCH($DA379,$AO$50:$AO$63,0),MATCH($DB379,TRANSPOSE($AP$49:$BC$49),0)),0)</f>
        <v>0.56859999999999999</v>
      </c>
      <c r="DF379" s="881">
        <f t="shared" ca="1" si="217"/>
        <v>1.1015078408000001E-2</v>
      </c>
      <c r="DG379" s="910">
        <f t="shared" ca="1" si="218"/>
        <v>1</v>
      </c>
      <c r="DH379" s="881">
        <f t="shared" ca="1" si="219"/>
        <v>1.1015078408000001E-2</v>
      </c>
      <c r="DI379" s="1460">
        <f t="shared" ca="1" si="231"/>
        <v>2.5775283474720001</v>
      </c>
      <c r="DJ379" s="909">
        <f>_xlfn.IFNA(INDEX('Resource use and costs'!$CQ$11:$CQ$53,MATCH($CZ379,'Resource use and costs'!$BA$11:$BA$53,0)),0)*_xlfn.IFNA(INDEX(DY$10:DY$23,MATCH($CZ379,$DX$10:$DX$23,0)),0)</f>
        <v>56693.786091428577</v>
      </c>
      <c r="DK379" s="909">
        <f>IF(dd_PartSA_2_lines = "Yes",0,_xlfn.IFNA(INDEX('Resource use and costs'!$CR$11:$CR$53,MATCH(DA379,'Resource use and costs'!$BA$11:$BA$53,0)),0)*_xlfn.IFNA(INDEX(EA$10:EA$23,MATCH($DA379,$DX$10:$DX$23,0)),0))</f>
        <v>21421.066008214286</v>
      </c>
      <c r="DL379" s="909">
        <f>IF(dd_PartSA_2_lines = "Yes",0,_xlfn.IFNA(INDEX('Resource use and costs'!$CS$11:$CS$53,MATCH(DB379,'Resource use and costs'!$BA$11:$BA$53,0)),0)*_xlfn.IFNA(INDEX(EC$10:EC$23,MATCH($DB379,$DX$10:$DX$23,0)),0))</f>
        <v>2915.4763433333328</v>
      </c>
      <c r="DM379" s="909">
        <f t="shared" si="221"/>
        <v>81030.328442976184</v>
      </c>
      <c r="DN379" s="909">
        <f>SUM(_xlfn.IFNA(INDEX('Resource use and costs'!$DU$12:$DU$25,MATCH(CZ379,'Resource use and costs'!$DS$12:$DS$25,0)),0),_xlfn.IFNA(INDEX('Resource use and costs'!$DU$12:$DU$25,MATCH(DA379,'Resource use and costs'!$DS$12:$DS$25,0)),0),_xlfn.IFNA(INDEX('Resource use and costs'!$DU$12:$DU$25,MATCH(DB379,'Resource use and costs'!$DS$12:$DS$25,0)),0))</f>
        <v>394.5</v>
      </c>
      <c r="DO379" s="921">
        <f>_xlfn.IFNA(INDEX('Resource use and costs'!$DY$12:$DY$25,MATCH(CZ379,'Resource use and costs'!$DS$12:$DS$25,0)),0)*_xlfn.IFNA(INDEX(DY$10:DY$23,MATCH($CZ379,$DX$10:$DX$23,0)),0)</f>
        <v>8939.6605049142872</v>
      </c>
      <c r="DP379" s="921">
        <f>IF(dd_PartSA_2_lines = "Yes",0,_xlfn.IFNA(INDEX('Resource use and costs'!$DZ$12:$DZ$25,MATCH(DA379,'Resource use and costs'!$DS$12:$DS$25,0)),0)*_xlfn.IFNA(INDEX(EA$10:EA$23,MATCH($DA379,$DX$10:$DX$23,0)),0))</f>
        <v>267.99172714285714</v>
      </c>
      <c r="DQ379" s="921">
        <f>IF(dd_PartSA_2_lines = "Yes",0,_xlfn.IFNA(INDEX('Resource use and costs'!$EA$12:$EA$25,MATCH(DB379,'Resource use and costs'!$DS$12:$DS$25,0)),0)*_xlfn.IFNA(INDEX(EC$10:EC$23,MATCH($DB379,$DX$10:$DX$23,0)),0))</f>
        <v>256.11457142857142</v>
      </c>
      <c r="DR379" s="921">
        <f t="shared" si="222"/>
        <v>9858.2668034857161</v>
      </c>
      <c r="DS379" s="1004">
        <f ca="1">SUMIFS('Safety parameters'!$DM$6:$DM$18,'Safety parameters'!$DK$6:$DK$18,CZ379,'Safety parameters'!$DL$6:$DL$18,1)+IF(dd_PartSA_2_lines = "Yes",0,SUMIFS('Safety parameters'!$DM$6:$DM$18,'Safety parameters'!$DK$6:$DK$18,DA379,'Safety parameters'!$DL$6:$DL$18,2)+SUMIFS('Safety parameters'!$DM$6:$DM$18,'Safety parameters'!$DK$6:$DK$18,DB379,'Safety parameters'!$DL$6:$DL$18,2))</f>
        <v>1967.1040569407746</v>
      </c>
      <c r="DT379" s="910">
        <f ca="1">SUMIFS('Safety parameters'!$DO$6:$DO$18,'Safety parameters'!$DK$6:$DK$18,CZ379,'Safety parameters'!$DL$6:$DL$18,1)+IF(dd_PartSA_2_lines = "Yes",0,SUMIFS('Safety parameters'!$DO$6:$DO$18,'Safety parameters'!$DK$6:$DK$18,DA379,'Safety parameters'!$DL$6:$DL$18,2)+SUMIFS('Safety parameters'!$DO$6:$DO$18,'Safety parameters'!$DK$6:$DK$18,DB379,'Safety parameters'!$DL$6:$DL$18,2))</f>
        <v>-1.7409497544119149E-2</v>
      </c>
    </row>
    <row r="380" spans="89:124" ht="15" x14ac:dyDescent="0.2">
      <c r="CK380" s="61" t="s">
        <v>31</v>
      </c>
      <c r="CL380" s="61">
        <v>3</v>
      </c>
      <c r="CM380" s="61" t="str">
        <v>sunitinib</v>
      </c>
      <c r="CN380" s="17">
        <v>7</v>
      </c>
      <c r="CO380" s="61" t="str" cm="1">
        <f t="array" ref="CO380">INDEX(List_comparators,CP379+1)</f>
        <v>lenvatinib_plus_everolimus</v>
      </c>
      <c r="CP380" s="17">
        <v>9</v>
      </c>
      <c r="CQ380" s="601">
        <f t="shared" ca="1" si="235"/>
        <v>0</v>
      </c>
      <c r="CR380" s="601">
        <f t="shared" ca="1" si="236"/>
        <v>0</v>
      </c>
      <c r="CS380" s="671">
        <f t="shared" ca="1" si="234"/>
        <v>33.004285714285714</v>
      </c>
      <c r="CT380" s="671">
        <f t="shared" ca="1" si="237"/>
        <v>6.8914285714285715</v>
      </c>
      <c r="CU380" s="1123">
        <f>MATCH(CZ387,'Resource use and costs'!$BA$11:$BA$53,0)</f>
        <v>1</v>
      </c>
      <c r="CV380" s="1223"/>
      <c r="CW380" s="1241">
        <f t="shared" si="220"/>
        <v>1</v>
      </c>
      <c r="CX380" s="899" t="s">
        <v>773</v>
      </c>
      <c r="CY380" s="899" t="s">
        <v>585</v>
      </c>
      <c r="CZ380" s="899" t="s">
        <v>579</v>
      </c>
      <c r="DA380" s="899" t="s">
        <v>765</v>
      </c>
      <c r="DB380" s="899"/>
      <c r="DC380" s="899" cm="1">
        <f t="array" aca="1" ref="DC380" ca="1">_xlfn.IFNA(OFFSET($I$49,MATCH(CY380,$I$50:$I$63,0),MATCH(CZ380,TRANSPOSE($J$49:$W$49),0)),0)</f>
        <v>0.36970000000000003</v>
      </c>
      <c r="DD380" s="899" cm="1">
        <f t="array" aca="1" ref="DD380" ca="1">_xlfn.IFNA(OFFSET($Y$49,MATCH($CZ380,$Y$50:$Y$63,0),MATCH($DA380,TRANSPOSE($Z$49:$AM$49),0)),0)</f>
        <v>0.3453</v>
      </c>
      <c r="DE380" s="899" cm="1">
        <f t="array" aca="1" ref="DE380" ca="1">_xlfn.IFNA(OFFSET($AO$49,MATCH($DA380,$AO$50:$AO$63,0),MATCH($DB380,TRANSPOSE($AP$49:$BC$49),0)),0)</f>
        <v>0</v>
      </c>
      <c r="DF380" s="881">
        <f t="shared" ca="1" si="217"/>
        <v>0.12765741</v>
      </c>
      <c r="DG380" s="910">
        <f t="shared" ca="1" si="218"/>
        <v>1</v>
      </c>
      <c r="DH380" s="881">
        <f t="shared" ca="1" si="219"/>
        <v>0.12765741</v>
      </c>
      <c r="DI380" s="1460">
        <f t="shared" ca="1" si="231"/>
        <v>29.871833939999998</v>
      </c>
      <c r="DJ380" s="909">
        <f>_xlfn.IFNA(INDEX('Resource use and costs'!$CQ$11:$CQ$53,MATCH($CZ380,'Resource use and costs'!$BA$11:$BA$53,0)),0)*_xlfn.IFNA(INDEX(DY$10:DY$23,MATCH($CZ380,$DX$10:$DX$23,0)),0)</f>
        <v>56693.786091428577</v>
      </c>
      <c r="DK380" s="909">
        <f>IF(dd_PartSA_2_lines = "Yes",0,_xlfn.IFNA(INDEX('Resource use and costs'!$CR$11:$CR$53,MATCH(DA380,'Resource use and costs'!$BA$11:$BA$53,0)),0)*_xlfn.IFNA(INDEX(EA$10:EA$23,MATCH($DA380,$DX$10:$DX$23,0)),0))</f>
        <v>0</v>
      </c>
      <c r="DL380" s="909">
        <f>IF(dd_PartSA_2_lines = "Yes",0,_xlfn.IFNA(INDEX('Resource use and costs'!$CS$11:$CS$53,MATCH(DB380,'Resource use and costs'!$BA$11:$BA$53,0)),0)*_xlfn.IFNA(INDEX(EC$10:EC$23,MATCH($DB380,$DX$10:$DX$23,0)),0))</f>
        <v>0</v>
      </c>
      <c r="DM380" s="909">
        <f t="shared" si="221"/>
        <v>56693.786091428577</v>
      </c>
      <c r="DN380" s="909">
        <f>SUM(_xlfn.IFNA(INDEX('Resource use and costs'!$DU$12:$DU$25,MATCH(CZ380,'Resource use and costs'!$DS$12:$DS$25,0)),0),_xlfn.IFNA(INDEX('Resource use and costs'!$DU$12:$DU$25,MATCH(DA380,'Resource use and costs'!$DS$12:$DS$25,0)),0),_xlfn.IFNA(INDEX('Resource use and costs'!$DU$12:$DU$25,MATCH(DB380,'Resource use and costs'!$DS$12:$DS$25,0)),0))</f>
        <v>0</v>
      </c>
      <c r="DO380" s="921">
        <f>_xlfn.IFNA(INDEX('Resource use and costs'!$DY$12:$DY$25,MATCH(CZ380,'Resource use and costs'!$DS$12:$DS$25,0)),0)*_xlfn.IFNA(INDEX(DY$10:DY$23,MATCH($CZ380,$DX$10:$DX$23,0)),0)</f>
        <v>8939.6605049142872</v>
      </c>
      <c r="DP380" s="921">
        <f>IF(dd_PartSA_2_lines = "Yes",0,_xlfn.IFNA(INDEX('Resource use and costs'!$DZ$12:$DZ$25,MATCH(DA380,'Resource use and costs'!$DS$12:$DS$25,0)),0)*_xlfn.IFNA(INDEX(EA$10:EA$23,MATCH($DA380,$DX$10:$DX$23,0)),0))</f>
        <v>0</v>
      </c>
      <c r="DQ380" s="921">
        <f>IF(dd_PartSA_2_lines = "Yes",0,_xlfn.IFNA(INDEX('Resource use and costs'!$EA$12:$EA$25,MATCH(DB380,'Resource use and costs'!$DS$12:$DS$25,0)),0)*_xlfn.IFNA(INDEX(EC$10:EC$23,MATCH($DB380,$DX$10:$DX$23,0)),0))</f>
        <v>0</v>
      </c>
      <c r="DR380" s="921">
        <f t="shared" si="222"/>
        <v>8939.6605049142872</v>
      </c>
      <c r="DS380" s="1004">
        <f>SUMIFS('Safety parameters'!$DM$6:$DM$18,'Safety parameters'!$DK$6:$DK$18,CZ380,'Safety parameters'!$DL$6:$DL$18,1)+IF(dd_PartSA_2_lines = "Yes",0,SUMIFS('Safety parameters'!$DM$6:$DM$18,'Safety parameters'!$DK$6:$DK$18,DA380,'Safety parameters'!$DL$6:$DL$18,2)+SUMIFS('Safety parameters'!$DM$6:$DM$18,'Safety parameters'!$DK$6:$DK$18,DB380,'Safety parameters'!$DL$6:$DL$18,2))</f>
        <v>0</v>
      </c>
      <c r="DT380" s="910">
        <f>SUMIFS('Safety parameters'!$DO$6:$DO$18,'Safety parameters'!$DK$6:$DK$18,CZ380,'Safety parameters'!$DL$6:$DL$18,1)+IF(dd_PartSA_2_lines = "Yes",0,SUMIFS('Safety parameters'!$DO$6:$DO$18,'Safety parameters'!$DK$6:$DK$18,DA380,'Safety parameters'!$DL$6:$DL$18,2)+SUMIFS('Safety parameters'!$DO$6:$DO$18,'Safety parameters'!$DK$6:$DK$18,DB380,'Safety parameters'!$DL$6:$DL$18,2))</f>
        <v>0</v>
      </c>
    </row>
    <row r="381" spans="89:124" ht="15" x14ac:dyDescent="0.2">
      <c r="CK381" s="61" t="s">
        <v>31</v>
      </c>
      <c r="CL381" s="61">
        <v>3</v>
      </c>
      <c r="CM381" s="61" t="str">
        <v>cabozantinib</v>
      </c>
      <c r="CN381" s="17">
        <v>8</v>
      </c>
      <c r="CO381" s="61" t="str" cm="1">
        <f t="array" ref="CO381">INDEX(List_comparators,CP380+1)</f>
        <v>lenvatinib_plus_everolimus</v>
      </c>
      <c r="CP381" s="17">
        <v>9</v>
      </c>
      <c r="CQ381" s="601">
        <f t="shared" ca="1" si="235"/>
        <v>0.16889999999999999</v>
      </c>
      <c r="CR381" s="601">
        <f t="shared" ca="1" si="236"/>
        <v>1.6889999999999999E-2</v>
      </c>
      <c r="CS381" s="671">
        <f t="shared" ca="1" si="234"/>
        <v>33.004285714285714</v>
      </c>
      <c r="CT381" s="671">
        <f t="shared" ca="1" si="237"/>
        <v>6.8914285714285715</v>
      </c>
      <c r="CU381" s="1123">
        <f>MATCH(CZ388,'Resource use and costs'!$BA$11:$BA$53,0)</f>
        <v>40</v>
      </c>
      <c r="CV381" s="1223"/>
      <c r="CW381" s="1241">
        <f t="shared" si="220"/>
        <v>1</v>
      </c>
      <c r="CX381" s="899" t="s">
        <v>773</v>
      </c>
      <c r="CY381" s="899" t="s">
        <v>585</v>
      </c>
      <c r="CZ381" s="899" t="s">
        <v>579</v>
      </c>
      <c r="DA381" s="899" t="s">
        <v>118</v>
      </c>
      <c r="DB381" s="899" t="s">
        <v>327</v>
      </c>
      <c r="DC381" s="899" cm="1">
        <f t="array" aca="1" ref="DC381" ca="1">_xlfn.IFNA(OFFSET($I$49,MATCH(CY381,$I$50:$I$63,0),MATCH(CZ381,TRANSPOSE($J$49:$W$49),0)),0)</f>
        <v>0.36970000000000003</v>
      </c>
      <c r="DD381" s="899">
        <f ca="1">1-DD378-DD380-DD384-DD386</f>
        <v>0.54340000000000011</v>
      </c>
      <c r="DE381" s="899" cm="1">
        <f t="array" aca="1" ref="DE381" ca="1">_xlfn.IFNA(OFFSET($AO$49,MATCH($DA381,$AO$50:$AO$63,0),MATCH($DB381,TRANSPOSE($AP$49:$BC$49),0)),0)</f>
        <v>0.38769999999999999</v>
      </c>
      <c r="DF381" s="881">
        <f t="shared" ca="1" si="217"/>
        <v>7.7886983746000019E-2</v>
      </c>
      <c r="DG381" s="910">
        <f t="shared" ca="1" si="218"/>
        <v>1</v>
      </c>
      <c r="DH381" s="881">
        <f t="shared" ca="1" si="219"/>
        <v>7.7886983746000019E-2</v>
      </c>
      <c r="DI381" s="1460">
        <f t="shared" ca="1" si="231"/>
        <v>18.225554196564005</v>
      </c>
      <c r="DJ381" s="909">
        <f>_xlfn.IFNA(INDEX('Resource use and costs'!$CQ$11:$CQ$53,MATCH($CZ381,'Resource use and costs'!$BA$11:$BA$53,0)),0)*_xlfn.IFNA(INDEX(DY$10:DY$23,MATCH($CZ381,$DX$10:$DX$23,0)),0)</f>
        <v>56693.786091428577</v>
      </c>
      <c r="DK381" s="909">
        <f>IF(dd_PartSA_2_lines = "Yes",0,_xlfn.IFNA(INDEX('Resource use and costs'!$CR$11:$CR$53,MATCH(DA381,'Resource use and costs'!$BA$11:$BA$53,0)),0)*_xlfn.IFNA(INDEX(EA$10:EA$23,MATCH($DA381,$DX$10:$DX$23,0)),0))</f>
        <v>50308.075122000002</v>
      </c>
      <c r="DL381" s="909">
        <f>IF(dd_PartSA_2_lines = "Yes",0,_xlfn.IFNA(INDEX('Resource use and costs'!$CS$11:$CS$53,MATCH(DB381,'Resource use and costs'!$BA$11:$BA$53,0)),0)*_xlfn.IFNA(INDEX(EC$10:EC$23,MATCH($DB381,$DX$10:$DX$23,0)),0))</f>
        <v>18438.751749999999</v>
      </c>
      <c r="DM381" s="909">
        <f t="shared" si="221"/>
        <v>125440.61296342858</v>
      </c>
      <c r="DN381" s="909">
        <f>SUM(_xlfn.IFNA(INDEX('Resource use and costs'!$DU$12:$DU$25,MATCH(CZ381,'Resource use and costs'!$DS$12:$DS$25,0)),0),_xlfn.IFNA(INDEX('Resource use and costs'!$DU$12:$DU$25,MATCH(DA381,'Resource use and costs'!$DS$12:$DS$25,0)),0),_xlfn.IFNA(INDEX('Resource use and costs'!$DU$12:$DU$25,MATCH(DB381,'Resource use and costs'!$DS$12:$DS$25,0)),0))</f>
        <v>394.5</v>
      </c>
      <c r="DO381" s="921">
        <f>_xlfn.IFNA(INDEX('Resource use and costs'!$DY$12:$DY$25,MATCH(CZ381,'Resource use and costs'!$DS$12:$DS$25,0)),0)*_xlfn.IFNA(INDEX(DY$10:DY$23,MATCH($CZ381,$DX$10:$DX$23,0)),0)</f>
        <v>8939.6605049142872</v>
      </c>
      <c r="DP381" s="921">
        <f>IF(dd_PartSA_2_lines = "Yes",0,_xlfn.IFNA(INDEX('Resource use and costs'!$DZ$12:$DZ$25,MATCH(DA381,'Resource use and costs'!$DS$12:$DS$25,0)),0)*_xlfn.IFNA(INDEX(EA$10:EA$23,MATCH($DA381,$DX$10:$DX$23,0)),0))</f>
        <v>461.1445457142857</v>
      </c>
      <c r="DQ381" s="921">
        <f>IF(dd_PartSA_2_lines = "Yes",0,_xlfn.IFNA(INDEX('Resource use and costs'!$EA$12:$EA$25,MATCH(DB381,'Resource use and costs'!$DS$12:$DS$25,0)),0)*_xlfn.IFNA(INDEX(EC$10:EC$23,MATCH($DB381,$DX$10:$DX$23,0)),0))</f>
        <v>230.68099999999998</v>
      </c>
      <c r="DR381" s="921">
        <f t="shared" si="222"/>
        <v>10025.986050628573</v>
      </c>
      <c r="DS381" s="1004">
        <f ca="1">SUMIFS('Safety parameters'!$DM$6:$DM$18,'Safety parameters'!$DK$6:$DK$18,CZ381,'Safety parameters'!$DL$6:$DL$18,1)+IF(dd_PartSA_2_lines = "Yes",0,SUMIFS('Safety parameters'!$DM$6:$DM$18,'Safety parameters'!$DK$6:$DK$18,DA381,'Safety parameters'!$DL$6:$DL$18,2)+SUMIFS('Safety parameters'!$DM$6:$DM$18,'Safety parameters'!$DK$6:$DK$18,DB381,'Safety parameters'!$DL$6:$DL$18,2))</f>
        <v>2377.8779733688434</v>
      </c>
      <c r="DT381" s="910">
        <f ca="1">SUMIFS('Safety parameters'!$DO$6:$DO$18,'Safety parameters'!$DK$6:$DK$18,CZ381,'Safety parameters'!$DL$6:$DL$18,1)+IF(dd_PartSA_2_lines = "Yes",0,SUMIFS('Safety parameters'!$DO$6:$DO$18,'Safety parameters'!$DK$6:$DK$18,DA381,'Safety parameters'!$DL$6:$DL$18,2)+SUMIFS('Safety parameters'!$DO$6:$DO$18,'Safety parameters'!$DK$6:$DK$18,DB381,'Safety parameters'!$DL$6:$DL$18,2))</f>
        <v>-2.1764250363717368E-2</v>
      </c>
    </row>
    <row r="382" spans="89:124" ht="15" x14ac:dyDescent="0.2">
      <c r="CK382" s="61" t="s">
        <v>31</v>
      </c>
      <c r="CL382" s="61">
        <v>3</v>
      </c>
      <c r="CM382" s="61" t="str">
        <v>lenvatinib_plus_everolimus</v>
      </c>
      <c r="CN382" s="17">
        <v>9</v>
      </c>
      <c r="CO382" s="61" t="str" cm="1">
        <f t="array" ref="CO382">INDEX(List_comparators,CP381+1)</f>
        <v>lenvatinib_plus_everolimus</v>
      </c>
      <c r="CP382" s="17">
        <v>9</v>
      </c>
      <c r="CQ382" s="601">
        <f t="shared" ca="1" si="235"/>
        <v>0</v>
      </c>
      <c r="CR382" s="601">
        <f t="shared" ca="1" si="236"/>
        <v>0</v>
      </c>
      <c r="CS382" s="671">
        <f t="shared" ca="1" si="234"/>
        <v>33.004285714285714</v>
      </c>
      <c r="CT382" s="671">
        <f t="shared" ca="1" si="237"/>
        <v>6.8914285714285715</v>
      </c>
      <c r="CU382" s="1123">
        <f>MATCH(CZ389,'Resource use and costs'!$BA$11:$BA$53,0)</f>
        <v>40</v>
      </c>
      <c r="CV382" s="1223"/>
      <c r="CW382" s="1241">
        <f t="shared" si="220"/>
        <v>1</v>
      </c>
      <c r="CX382" s="899" t="s">
        <v>773</v>
      </c>
      <c r="CY382" s="899" t="s">
        <v>585</v>
      </c>
      <c r="CZ382" s="899" t="s">
        <v>579</v>
      </c>
      <c r="DA382" s="899" t="s">
        <v>118</v>
      </c>
      <c r="DB382" s="899" t="s">
        <v>765</v>
      </c>
      <c r="DC382" s="899" cm="1">
        <f t="array" aca="1" ref="DC382" ca="1">_xlfn.IFNA(OFFSET($I$49,MATCH(CY382,$I$50:$I$63,0),MATCH(CZ382,TRANSPOSE($J$49:$W$49),0)),0)</f>
        <v>0.36970000000000003</v>
      </c>
      <c r="DD382" s="899">
        <f ca="1">DD381</f>
        <v>0.54340000000000011</v>
      </c>
      <c r="DE382" s="899" cm="1">
        <f t="array" aca="1" ref="DE382" ca="1">_xlfn.IFNA(OFFSET($AO$49,MATCH($DA382,$AO$50:$AO$63,0),MATCH($DB382,TRANSPOSE($AP$49:$BC$49),0)),0)</f>
        <v>0.43140000000000001</v>
      </c>
      <c r="DF382" s="881">
        <f t="shared" ca="1" si="217"/>
        <v>8.6666094372000027E-2</v>
      </c>
      <c r="DG382" s="910">
        <f t="shared" ca="1" si="218"/>
        <v>1</v>
      </c>
      <c r="DH382" s="881">
        <f t="shared" ca="1" si="219"/>
        <v>8.6666094372000027E-2</v>
      </c>
      <c r="DI382" s="1460">
        <f t="shared" ca="1" si="231"/>
        <v>20.279866083048006</v>
      </c>
      <c r="DJ382" s="909">
        <f>_xlfn.IFNA(INDEX('Resource use and costs'!$CQ$11:$CQ$53,MATCH($CZ382,'Resource use and costs'!$BA$11:$BA$53,0)),0)*_xlfn.IFNA(INDEX(DY$10:DY$23,MATCH($CZ382,$DX$10:$DX$23,0)),0)</f>
        <v>56693.786091428577</v>
      </c>
      <c r="DK382" s="909">
        <f>IF(dd_PartSA_2_lines = "Yes",0,_xlfn.IFNA(INDEX('Resource use and costs'!$CR$11:$CR$53,MATCH(DA382,'Resource use and costs'!$BA$11:$BA$53,0)),0)*_xlfn.IFNA(INDEX(EA$10:EA$23,MATCH($DA382,$DX$10:$DX$23,0)),0))</f>
        <v>50308.075122000002</v>
      </c>
      <c r="DL382" s="909">
        <f>IF(dd_PartSA_2_lines = "Yes",0,_xlfn.IFNA(INDEX('Resource use and costs'!$CS$11:$CS$53,MATCH(DB382,'Resource use and costs'!$BA$11:$BA$53,0)),0)*_xlfn.IFNA(INDEX(EC$10:EC$23,MATCH($DB382,$DX$10:$DX$23,0)),0))</f>
        <v>0</v>
      </c>
      <c r="DM382" s="909">
        <f t="shared" si="221"/>
        <v>107001.86121342858</v>
      </c>
      <c r="DN382" s="909">
        <f>SUM(_xlfn.IFNA(INDEX('Resource use and costs'!$DU$12:$DU$25,MATCH(CZ382,'Resource use and costs'!$DS$12:$DS$25,0)),0),_xlfn.IFNA(INDEX('Resource use and costs'!$DU$12:$DU$25,MATCH(DA382,'Resource use and costs'!$DS$12:$DS$25,0)),0),_xlfn.IFNA(INDEX('Resource use and costs'!$DU$12:$DU$25,MATCH(DB382,'Resource use and costs'!$DS$12:$DS$25,0)),0))</f>
        <v>197.25</v>
      </c>
      <c r="DO382" s="921">
        <f>_xlfn.IFNA(INDEX('Resource use and costs'!$DY$12:$DY$25,MATCH(CZ382,'Resource use and costs'!$DS$12:$DS$25,0)),0)*_xlfn.IFNA(INDEX(DY$10:DY$23,MATCH($CZ382,$DX$10:$DX$23,0)),0)</f>
        <v>8939.6605049142872</v>
      </c>
      <c r="DP382" s="921">
        <f>IF(dd_PartSA_2_lines = "Yes",0,_xlfn.IFNA(INDEX('Resource use and costs'!$DZ$12:$DZ$25,MATCH(DA382,'Resource use and costs'!$DS$12:$DS$25,0)),0)*_xlfn.IFNA(INDEX(EA$10:EA$23,MATCH($DA382,$DX$10:$DX$23,0)),0))</f>
        <v>461.1445457142857</v>
      </c>
      <c r="DQ382" s="921">
        <f>IF(dd_PartSA_2_lines = "Yes",0,_xlfn.IFNA(INDEX('Resource use and costs'!$EA$12:$EA$25,MATCH(DB382,'Resource use and costs'!$DS$12:$DS$25,0)),0)*_xlfn.IFNA(INDEX(EC$10:EC$23,MATCH($DB382,$DX$10:$DX$23,0)),0))</f>
        <v>0</v>
      </c>
      <c r="DR382" s="921">
        <f t="shared" si="222"/>
        <v>9598.0550506285726</v>
      </c>
      <c r="DS382" s="1004">
        <f ca="1">SUMIFS('Safety parameters'!$DM$6:$DM$18,'Safety parameters'!$DK$6:$DK$18,CZ382,'Safety parameters'!$DL$6:$DL$18,1)+IF(dd_PartSA_2_lines = "Yes",0,SUMIFS('Safety parameters'!$DM$6:$DM$18,'Safety parameters'!$DK$6:$DK$18,DA382,'Safety parameters'!$DL$6:$DL$18,2)+SUMIFS('Safety parameters'!$DM$6:$DM$18,'Safety parameters'!$DK$6:$DK$18,DB382,'Safety parameters'!$DL$6:$DL$18,2))</f>
        <v>743.64929980338343</v>
      </c>
      <c r="DT382" s="910">
        <f ca="1">SUMIFS('Safety parameters'!$DO$6:$DO$18,'Safety parameters'!$DK$6:$DK$18,CZ382,'Safety parameters'!$DL$6:$DL$18,1)+IF(dd_PartSA_2_lines = "Yes",0,SUMIFS('Safety parameters'!$DO$6:$DO$18,'Safety parameters'!$DK$6:$DK$18,DA382,'Safety parameters'!$DL$6:$DL$18,2)+SUMIFS('Safety parameters'!$DO$6:$DO$18,'Safety parameters'!$DK$6:$DK$18,DB382,'Safety parameters'!$DL$6:$DL$18,2))</f>
        <v>-7.0223263562359372E-3</v>
      </c>
    </row>
    <row r="383" spans="89:124" ht="15" x14ac:dyDescent="0.2">
      <c r="CK383" s="61" t="s">
        <v>31</v>
      </c>
      <c r="CL383" s="61">
        <v>3</v>
      </c>
      <c r="CM383" s="61" t="str">
        <v>everolimus</v>
      </c>
      <c r="CN383" s="17">
        <v>10</v>
      </c>
      <c r="CO383" s="61" t="str" cm="1">
        <f t="array" ref="CO383">INDEX(List_comparators,CP382+1)</f>
        <v>lenvatinib_plus_everolimus</v>
      </c>
      <c r="CP383" s="17">
        <v>9</v>
      </c>
      <c r="CQ383" s="601">
        <f t="shared" ca="1" si="235"/>
        <v>0</v>
      </c>
      <c r="CR383" s="601">
        <f t="shared" ca="1" si="236"/>
        <v>0</v>
      </c>
      <c r="CS383" s="671">
        <f t="shared" ca="1" si="234"/>
        <v>33.004285714285714</v>
      </c>
      <c r="CT383" s="671">
        <f t="shared" ca="1" si="237"/>
        <v>6.8914285714285715</v>
      </c>
      <c r="CU383" s="1123">
        <f>MATCH(CZ390,'Resource use and costs'!$BA$11:$BA$53,0)</f>
        <v>40</v>
      </c>
      <c r="CV383" s="1223"/>
      <c r="CW383" s="1241">
        <f t="shared" si="220"/>
        <v>1</v>
      </c>
      <c r="CX383" s="899" t="s">
        <v>773</v>
      </c>
      <c r="CY383" s="899" t="s">
        <v>585</v>
      </c>
      <c r="CZ383" s="899" t="s">
        <v>579</v>
      </c>
      <c r="DA383" s="899" t="s">
        <v>118</v>
      </c>
      <c r="DB383" s="899" t="s">
        <v>119</v>
      </c>
      <c r="DC383" s="899" cm="1">
        <f t="array" aca="1" ref="DC383" ca="1">_xlfn.IFNA(OFFSET($I$49,MATCH(CY383,$I$50:$I$63,0),MATCH(CZ383,TRANSPOSE($J$49:$W$49),0)),0)</f>
        <v>0.36970000000000003</v>
      </c>
      <c r="DD383" s="899">
        <f ca="1">DD382</f>
        <v>0.54340000000000011</v>
      </c>
      <c r="DE383" s="899" cm="1">
        <f t="array" aca="1" ref="DE383" ca="1">_xlfn.IFNA(OFFSET($AO$49,MATCH($DA383,$AO$50:$AO$63,0),MATCH($DB383,TRANSPOSE($AP$49:$BC$49),0)),0)</f>
        <v>0.18090000000000001</v>
      </c>
      <c r="DF383" s="881">
        <f t="shared" ca="1" si="217"/>
        <v>3.6341901882000011E-2</v>
      </c>
      <c r="DG383" s="910">
        <f t="shared" ca="1" si="218"/>
        <v>1</v>
      </c>
      <c r="DH383" s="881">
        <f t="shared" ca="1" si="219"/>
        <v>3.6341901882000011E-2</v>
      </c>
      <c r="DI383" s="1460">
        <f t="shared" ca="1" si="231"/>
        <v>8.5040050403880016</v>
      </c>
      <c r="DJ383" s="909">
        <f>_xlfn.IFNA(INDEX('Resource use and costs'!$CQ$11:$CQ$53,MATCH($CZ383,'Resource use and costs'!$BA$11:$BA$53,0)),0)*_xlfn.IFNA(INDEX(DY$10:DY$23,MATCH($CZ383,$DX$10:$DX$23,0)),0)</f>
        <v>56693.786091428577</v>
      </c>
      <c r="DK383" s="909">
        <f>IF(dd_PartSA_2_lines = "Yes",0,_xlfn.IFNA(INDEX('Resource use and costs'!$CR$11:$CR$53,MATCH(DA383,'Resource use and costs'!$BA$11:$BA$53,0)),0)*_xlfn.IFNA(INDEX(EA$10:EA$23,MATCH($DA383,$DX$10:$DX$23,0)),0))</f>
        <v>50308.075122000002</v>
      </c>
      <c r="DL383" s="909">
        <f>IF(dd_PartSA_2_lines = "Yes",0,_xlfn.IFNA(INDEX('Resource use and costs'!$CS$11:$CS$53,MATCH(DB383,'Resource use and costs'!$BA$11:$BA$53,0)),0)*_xlfn.IFNA(INDEX(EC$10:EC$23,MATCH($DB383,$DX$10:$DX$23,0)),0))</f>
        <v>2915.4763433333328</v>
      </c>
      <c r="DM383" s="909">
        <f t="shared" si="221"/>
        <v>109917.33755676191</v>
      </c>
      <c r="DN383" s="909">
        <f>SUM(_xlfn.IFNA(INDEX('Resource use and costs'!$DU$12:$DU$25,MATCH(CZ383,'Resource use and costs'!$DS$12:$DS$25,0)),0),_xlfn.IFNA(INDEX('Resource use and costs'!$DU$12:$DU$25,MATCH(DA383,'Resource use and costs'!$DS$12:$DS$25,0)),0),_xlfn.IFNA(INDEX('Resource use and costs'!$DU$12:$DU$25,MATCH(DB383,'Resource use and costs'!$DS$12:$DS$25,0)),0))</f>
        <v>394.5</v>
      </c>
      <c r="DO383" s="921">
        <f>_xlfn.IFNA(INDEX('Resource use and costs'!$DY$12:$DY$25,MATCH(CZ383,'Resource use and costs'!$DS$12:$DS$25,0)),0)*_xlfn.IFNA(INDEX(DY$10:DY$23,MATCH($CZ383,$DX$10:$DX$23,0)),0)</f>
        <v>8939.6605049142872</v>
      </c>
      <c r="DP383" s="921">
        <f>IF(dd_PartSA_2_lines = "Yes",0,_xlfn.IFNA(INDEX('Resource use and costs'!$DZ$12:$DZ$25,MATCH(DA383,'Resource use and costs'!$DS$12:$DS$25,0)),0)*_xlfn.IFNA(INDEX(EA$10:EA$23,MATCH($DA383,$DX$10:$DX$23,0)),0))</f>
        <v>461.1445457142857</v>
      </c>
      <c r="DQ383" s="921">
        <f>IF(dd_PartSA_2_lines = "Yes",0,_xlfn.IFNA(INDEX('Resource use and costs'!$EA$12:$EA$25,MATCH(DB383,'Resource use and costs'!$DS$12:$DS$25,0)),0)*_xlfn.IFNA(INDEX(EC$10:EC$23,MATCH($DB383,$DX$10:$DX$23,0)),0))</f>
        <v>256.11457142857142</v>
      </c>
      <c r="DR383" s="921">
        <f t="shared" si="222"/>
        <v>10051.419622057145</v>
      </c>
      <c r="DS383" s="1004">
        <f ca="1">SUMIFS('Safety parameters'!$DM$6:$DM$18,'Safety parameters'!$DK$6:$DK$18,CZ383,'Safety parameters'!$DL$6:$DL$18,1)+IF(dd_PartSA_2_lines = "Yes",0,SUMIFS('Safety parameters'!$DM$6:$DM$18,'Safety parameters'!$DK$6:$DK$18,DA383,'Safety parameters'!$DL$6:$DL$18,2)+SUMIFS('Safety parameters'!$DM$6:$DM$18,'Safety parameters'!$DK$6:$DK$18,DB383,'Safety parameters'!$DL$6:$DL$18,2))</f>
        <v>1076.5246831786983</v>
      </c>
      <c r="DT383" s="910">
        <f ca="1">SUMIFS('Safety parameters'!$DO$6:$DO$18,'Safety parameters'!$DK$6:$DK$18,CZ383,'Safety parameters'!$DL$6:$DL$18,1)+IF(dd_PartSA_2_lines = "Yes",0,SUMIFS('Safety parameters'!$DO$6:$DO$18,'Safety parameters'!$DK$6:$DK$18,DA383,'Safety parameters'!$DL$6:$DL$18,2)+SUMIFS('Safety parameters'!$DO$6:$DO$18,'Safety parameters'!$DK$6:$DK$18,DB383,'Safety parameters'!$DL$6:$DL$18,2))</f>
        <v>-9.689899892873657E-3</v>
      </c>
    </row>
    <row r="384" spans="89:124" ht="15" x14ac:dyDescent="0.2">
      <c r="CK384" s="61" t="s">
        <v>31</v>
      </c>
      <c r="CL384" s="61">
        <v>3</v>
      </c>
      <c r="CM384" s="61" t="str">
        <v>axitinib</v>
      </c>
      <c r="CN384" s="17">
        <v>11</v>
      </c>
      <c r="CO384" s="61" t="str" cm="1">
        <f t="array" ref="CO384">INDEX(List_comparators,CP383+1)</f>
        <v>lenvatinib_plus_everolimus</v>
      </c>
      <c r="CP384" s="17">
        <v>9</v>
      </c>
      <c r="CQ384" s="601">
        <f t="shared" ca="1" si="235"/>
        <v>0</v>
      </c>
      <c r="CR384" s="601">
        <f t="shared" ca="1" si="236"/>
        <v>0</v>
      </c>
      <c r="CS384" s="671">
        <f t="shared" ca="1" si="234"/>
        <v>33.004285714285714</v>
      </c>
      <c r="CT384" s="671">
        <f t="shared" ca="1" si="237"/>
        <v>6.8914285714285715</v>
      </c>
      <c r="CU384" s="1123">
        <f>MATCH(CZ391,'Resource use and costs'!$BA$11:$BA$53,0)</f>
        <v>40</v>
      </c>
      <c r="CV384" s="1223"/>
      <c r="CW384" s="1241">
        <f t="shared" si="220"/>
        <v>1</v>
      </c>
      <c r="CX384" s="899" t="s">
        <v>773</v>
      </c>
      <c r="CY384" s="899" t="s">
        <v>585</v>
      </c>
      <c r="CZ384" s="899" t="s">
        <v>579</v>
      </c>
      <c r="DA384" s="899" t="s">
        <v>119</v>
      </c>
      <c r="DB384" s="899" t="s">
        <v>327</v>
      </c>
      <c r="DC384" s="899" cm="1">
        <f t="array" aca="1" ref="DC384" ca="1">_xlfn.IFNA(OFFSET($I$49,MATCH(CY384,$I$50:$I$63,0),MATCH(CZ384,TRANSPOSE($J$49:$W$49),0)),0)</f>
        <v>0.36970000000000003</v>
      </c>
      <c r="DD384" s="899" cm="1">
        <f t="array" aca="1" ref="DD384" ca="1">_xlfn.IFNA(OFFSET($Y$49,MATCH($CZ384,$Y$50:$Y$63,0),MATCH($DA384,TRANSPOSE($Z$49:$AM$49),0)),0)</f>
        <v>6.4999999999999997E-3</v>
      </c>
      <c r="DE384" s="899" cm="1">
        <f t="array" aca="1" ref="DE384" ca="1">_xlfn.IFNA(OFFSET($AO$49,MATCH($DA384,$AO$50:$AO$63,0),MATCH($DB384,TRANSPOSE($AP$49:$BC$49),0)),0)</f>
        <v>0</v>
      </c>
      <c r="DF384" s="881">
        <f t="shared" ca="1" si="217"/>
        <v>0</v>
      </c>
      <c r="DG384" s="910">
        <f t="shared" ca="1" si="218"/>
        <v>1</v>
      </c>
      <c r="DH384" s="881">
        <f t="shared" ca="1" si="219"/>
        <v>0</v>
      </c>
      <c r="DI384" s="1460">
        <f t="shared" ca="1" si="231"/>
        <v>0</v>
      </c>
      <c r="DJ384" s="909">
        <f>_xlfn.IFNA(INDEX('Resource use and costs'!$CQ$11:$CQ$53,MATCH($CZ384,'Resource use and costs'!$BA$11:$BA$53,0)),0)*_xlfn.IFNA(INDEX(DY$10:DY$23,MATCH($CZ384,$DX$10:$DX$23,0)),0)</f>
        <v>56693.786091428577</v>
      </c>
      <c r="DK384" s="909">
        <f>IF(dd_PartSA_2_lines = "Yes",0,_xlfn.IFNA(INDEX('Resource use and costs'!$CR$11:$CR$53,MATCH(DA384,'Resource use and costs'!$BA$11:$BA$53,0)),0)*_xlfn.IFNA(INDEX(EA$10:EA$23,MATCH($DA384,$DX$10:$DX$23,0)),0))</f>
        <v>848.17532499999982</v>
      </c>
      <c r="DL384" s="909">
        <f>IF(dd_PartSA_2_lines = "Yes",0,_xlfn.IFNA(INDEX('Resource use and costs'!$CS$11:$CS$53,MATCH(DB384,'Resource use and costs'!$BA$11:$BA$53,0)),0)*_xlfn.IFNA(INDEX(EC$10:EC$23,MATCH($DB384,$DX$10:$DX$23,0)),0))</f>
        <v>18438.751749999999</v>
      </c>
      <c r="DM384" s="909">
        <f t="shared" si="221"/>
        <v>75980.71316642857</v>
      </c>
      <c r="DN384" s="909">
        <f>SUM(_xlfn.IFNA(INDEX('Resource use and costs'!$DU$12:$DU$25,MATCH(CZ384,'Resource use and costs'!$DS$12:$DS$25,0)),0),_xlfn.IFNA(INDEX('Resource use and costs'!$DU$12:$DU$25,MATCH(DA384,'Resource use and costs'!$DS$12:$DS$25,0)),0),_xlfn.IFNA(INDEX('Resource use and costs'!$DU$12:$DU$25,MATCH(DB384,'Resource use and costs'!$DS$12:$DS$25,0)),0))</f>
        <v>394.5</v>
      </c>
      <c r="DO384" s="921">
        <f>_xlfn.IFNA(INDEX('Resource use and costs'!$DY$12:$DY$25,MATCH(CZ384,'Resource use and costs'!$DS$12:$DS$25,0)),0)*_xlfn.IFNA(INDEX(DY$10:DY$23,MATCH($CZ384,$DX$10:$DX$23,0)),0)</f>
        <v>8939.6605049142872</v>
      </c>
      <c r="DP384" s="921">
        <f>IF(dd_PartSA_2_lines = "Yes",0,_xlfn.IFNA(INDEX('Resource use and costs'!$DZ$12:$DZ$25,MATCH(DA384,'Resource use and costs'!$DS$12:$DS$25,0)),0)*_xlfn.IFNA(INDEX(EA$10:EA$23,MATCH($DA384,$DX$10:$DX$23,0)),0))</f>
        <v>74.50928571428571</v>
      </c>
      <c r="DQ384" s="921">
        <f>IF(dd_PartSA_2_lines = "Yes",0,_xlfn.IFNA(INDEX('Resource use and costs'!$EA$12:$EA$25,MATCH(DB384,'Resource use and costs'!$DS$12:$DS$25,0)),0)*_xlfn.IFNA(INDEX(EC$10:EC$23,MATCH($DB384,$DX$10:$DX$23,0)),0))</f>
        <v>230.68099999999998</v>
      </c>
      <c r="DR384" s="921">
        <f t="shared" si="222"/>
        <v>9639.350790628574</v>
      </c>
      <c r="DS384" s="1004">
        <f ca="1">SUMIFS('Safety parameters'!$DM$6:$DM$18,'Safety parameters'!$DK$6:$DK$18,CZ384,'Safety parameters'!$DL$6:$DL$18,1)+IF(dd_PartSA_2_lines = "Yes",0,SUMIFS('Safety parameters'!$DM$6:$DM$18,'Safety parameters'!$DK$6:$DK$18,DA384,'Safety parameters'!$DL$6:$DL$18,2)+SUMIFS('Safety parameters'!$DM$6:$DM$18,'Safety parameters'!$DK$6:$DK$18,DB384,'Safety parameters'!$DL$6:$DL$18,2))</f>
        <v>1967.1040569407746</v>
      </c>
      <c r="DT384" s="910">
        <f ca="1">SUMIFS('Safety parameters'!$DO$6:$DO$18,'Safety parameters'!$DK$6:$DK$18,CZ384,'Safety parameters'!$DL$6:$DL$18,1)+IF(dd_PartSA_2_lines = "Yes",0,SUMIFS('Safety parameters'!$DO$6:$DO$18,'Safety parameters'!$DK$6:$DK$18,DA384,'Safety parameters'!$DL$6:$DL$18,2)+SUMIFS('Safety parameters'!$DO$6:$DO$18,'Safety parameters'!$DK$6:$DK$18,DB384,'Safety parameters'!$DL$6:$DL$18,2))</f>
        <v>-1.7409497544119149E-2</v>
      </c>
    </row>
    <row r="385" spans="89:124" ht="15" x14ac:dyDescent="0.2">
      <c r="CK385" s="61" t="s">
        <v>31</v>
      </c>
      <c r="CL385" s="61">
        <v>3</v>
      </c>
      <c r="CM385" s="61" t="str">
        <v>sorafenib</v>
      </c>
      <c r="CN385" s="17">
        <v>12</v>
      </c>
      <c r="CO385" s="61" t="str" cm="1">
        <f t="array" ref="CO385">INDEX(List_comparators,CP384+1)</f>
        <v>lenvatinib_plus_everolimus</v>
      </c>
      <c r="CP385" s="17">
        <v>9</v>
      </c>
      <c r="CQ385" s="601">
        <f t="shared" ca="1" si="235"/>
        <v>0</v>
      </c>
      <c r="CR385" s="601">
        <f t="shared" ca="1" si="236"/>
        <v>0</v>
      </c>
      <c r="CS385" s="671">
        <f t="shared" ca="1" si="234"/>
        <v>0</v>
      </c>
      <c r="CT385" s="671">
        <f t="shared" ca="1" si="237"/>
        <v>0</v>
      </c>
      <c r="CU385" s="1123">
        <f>MATCH(CZ392,'Resource use and costs'!$BA$11:$BA$53,0)</f>
        <v>40</v>
      </c>
      <c r="CV385" s="1223"/>
      <c r="CW385" s="1241">
        <f t="shared" si="220"/>
        <v>1</v>
      </c>
      <c r="CX385" s="899" t="s">
        <v>773</v>
      </c>
      <c r="CY385" s="899" t="s">
        <v>585</v>
      </c>
      <c r="CZ385" s="899" t="s">
        <v>579</v>
      </c>
      <c r="DA385" s="899" t="s">
        <v>119</v>
      </c>
      <c r="DB385" s="899" t="s">
        <v>765</v>
      </c>
      <c r="DC385" s="899" cm="1">
        <f t="array" aca="1" ref="DC385" ca="1">_xlfn.IFNA(OFFSET($I$49,MATCH(CY385,$I$50:$I$63,0),MATCH(CZ385,TRANSPOSE($J$49:$W$49),0)),0)</f>
        <v>0.36970000000000003</v>
      </c>
      <c r="DD385" s="899" cm="1">
        <f t="array" aca="1" ref="DD385" ca="1">_xlfn.IFNA(OFFSET($Y$49,MATCH($CZ385,$Y$50:$Y$63,0),MATCH($DA385,TRANSPOSE($Z$49:$AM$49),0)),0)</f>
        <v>6.4999999999999997E-3</v>
      </c>
      <c r="DE385" s="899" cm="1">
        <f t="array" aca="1" ref="DE385" ca="1">_xlfn.IFNA(OFFSET($AO$49,MATCH($DA385,$AO$50:$AO$63,0),MATCH($DB385,TRANSPOSE($AP$49:$BC$49),0)),0)</f>
        <v>1</v>
      </c>
      <c r="DF385" s="881">
        <f t="shared" ca="1" si="217"/>
        <v>2.4030499999999999E-3</v>
      </c>
      <c r="DG385" s="910">
        <f t="shared" ca="1" si="218"/>
        <v>1</v>
      </c>
      <c r="DH385" s="881">
        <f t="shared" ca="1" si="219"/>
        <v>2.4030499999999999E-3</v>
      </c>
      <c r="DI385" s="1460">
        <f t="shared" ca="1" si="231"/>
        <v>0.56231370000000003</v>
      </c>
      <c r="DJ385" s="909">
        <f>_xlfn.IFNA(INDEX('Resource use and costs'!$CQ$11:$CQ$53,MATCH($CZ385,'Resource use and costs'!$BA$11:$BA$53,0)),0)*_xlfn.IFNA(INDEX(DY$10:DY$23,MATCH($CZ385,$DX$10:$DX$23,0)),0)</f>
        <v>56693.786091428577</v>
      </c>
      <c r="DK385" s="909">
        <f>IF(dd_PartSA_2_lines = "Yes",0,_xlfn.IFNA(INDEX('Resource use and costs'!$CR$11:$CR$53,MATCH(DA385,'Resource use and costs'!$BA$11:$BA$53,0)),0)*_xlfn.IFNA(INDEX(EA$10:EA$23,MATCH($DA385,$DX$10:$DX$23,0)),0))</f>
        <v>848.17532499999982</v>
      </c>
      <c r="DL385" s="909">
        <f>IF(dd_PartSA_2_lines = "Yes",0,_xlfn.IFNA(INDEX('Resource use and costs'!$CS$11:$CS$53,MATCH(DB385,'Resource use and costs'!$BA$11:$BA$53,0)),0)*_xlfn.IFNA(INDEX(EC$10:EC$23,MATCH($DB385,$DX$10:$DX$23,0)),0))</f>
        <v>0</v>
      </c>
      <c r="DM385" s="909">
        <f t="shared" si="221"/>
        <v>57541.961416428574</v>
      </c>
      <c r="DN385" s="909">
        <f>SUM(_xlfn.IFNA(INDEX('Resource use and costs'!$DU$12:$DU$25,MATCH(CZ385,'Resource use and costs'!$DS$12:$DS$25,0)),0),_xlfn.IFNA(INDEX('Resource use and costs'!$DU$12:$DU$25,MATCH(DA385,'Resource use and costs'!$DS$12:$DS$25,0)),0),_xlfn.IFNA(INDEX('Resource use and costs'!$DU$12:$DU$25,MATCH(DB385,'Resource use and costs'!$DS$12:$DS$25,0)),0))</f>
        <v>197.25</v>
      </c>
      <c r="DO385" s="921">
        <f>_xlfn.IFNA(INDEX('Resource use and costs'!$DY$12:$DY$25,MATCH(CZ385,'Resource use and costs'!$DS$12:$DS$25,0)),0)*_xlfn.IFNA(INDEX(DY$10:DY$23,MATCH($CZ385,$DX$10:$DX$23,0)),0)</f>
        <v>8939.6605049142872</v>
      </c>
      <c r="DP385" s="921">
        <f>IF(dd_PartSA_2_lines = "Yes",0,_xlfn.IFNA(INDEX('Resource use and costs'!$DZ$12:$DZ$25,MATCH(DA385,'Resource use and costs'!$DS$12:$DS$25,0)),0)*_xlfn.IFNA(INDEX(EA$10:EA$23,MATCH($DA385,$DX$10:$DX$23,0)),0))</f>
        <v>74.50928571428571</v>
      </c>
      <c r="DQ385" s="921">
        <f>IF(dd_PartSA_2_lines = "Yes",0,_xlfn.IFNA(INDEX('Resource use and costs'!$EA$12:$EA$25,MATCH(DB385,'Resource use and costs'!$DS$12:$DS$25,0)),0)*_xlfn.IFNA(INDEX(EC$10:EC$23,MATCH($DB385,$DX$10:$DX$23,0)),0))</f>
        <v>0</v>
      </c>
      <c r="DR385" s="921">
        <f t="shared" si="222"/>
        <v>9211.4197906285735</v>
      </c>
      <c r="DS385" s="1004">
        <f ca="1">SUMIFS('Safety parameters'!$DM$6:$DM$18,'Safety parameters'!$DK$6:$DK$18,CZ385,'Safety parameters'!$DL$6:$DL$18,1)+IF(dd_PartSA_2_lines = "Yes",0,SUMIFS('Safety parameters'!$DM$6:$DM$18,'Safety parameters'!$DK$6:$DK$18,DA385,'Safety parameters'!$DL$6:$DL$18,2)+SUMIFS('Safety parameters'!$DM$6:$DM$18,'Safety parameters'!$DK$6:$DK$18,DB385,'Safety parameters'!$DL$6:$DL$18,2))</f>
        <v>332.87538337531487</v>
      </c>
      <c r="DT385" s="910">
        <f ca="1">SUMIFS('Safety parameters'!$DO$6:$DO$18,'Safety parameters'!$DK$6:$DK$18,CZ385,'Safety parameters'!$DL$6:$DL$18,1)+IF(dd_PartSA_2_lines = "Yes",0,SUMIFS('Safety parameters'!$DO$6:$DO$18,'Safety parameters'!$DK$6:$DK$18,DA385,'Safety parameters'!$DL$6:$DL$18,2)+SUMIFS('Safety parameters'!$DO$6:$DO$18,'Safety parameters'!$DK$6:$DK$18,DB385,'Safety parameters'!$DL$6:$DL$18,2))</f>
        <v>-2.6675735366377194E-3</v>
      </c>
    </row>
    <row r="386" spans="89:124" ht="15.75" thickBot="1" x14ac:dyDescent="0.25">
      <c r="CK386" s="506" t="s">
        <v>31</v>
      </c>
      <c r="CL386" s="506">
        <v>3</v>
      </c>
      <c r="CM386" s="506" t="str">
        <v>placebo_BSC</v>
      </c>
      <c r="CN386" s="19">
        <v>999</v>
      </c>
      <c r="CO386" s="506" t="str" cm="1">
        <f t="array" ref="CO386">INDEX(List_comparators,CP373+1)</f>
        <v>lenvatinib_plus_everolimus</v>
      </c>
      <c r="CP386" s="19">
        <v>9</v>
      </c>
      <c r="CQ386" s="602">
        <f t="shared" ca="1" si="235"/>
        <v>0</v>
      </c>
      <c r="CR386" s="602">
        <f t="shared" ca="1" si="236"/>
        <v>0</v>
      </c>
      <c r="CS386" s="670">
        <v>0</v>
      </c>
      <c r="CT386" s="670">
        <f t="shared" ca="1" si="237"/>
        <v>0</v>
      </c>
      <c r="CU386" s="1123">
        <f>MATCH(CZ393,'Resource use and costs'!$BA$11:$BA$53,0)</f>
        <v>40</v>
      </c>
      <c r="CV386" s="1223"/>
      <c r="CW386" s="1241">
        <f t="shared" si="220"/>
        <v>1</v>
      </c>
      <c r="CX386" s="899" t="s">
        <v>773</v>
      </c>
      <c r="CY386" s="899" t="s">
        <v>585</v>
      </c>
      <c r="CZ386" s="899" t="s">
        <v>579</v>
      </c>
      <c r="DA386" s="899" t="s">
        <v>333</v>
      </c>
      <c r="DB386" s="899" t="s">
        <v>327</v>
      </c>
      <c r="DC386" s="899" cm="1">
        <f t="array" aca="1" ref="DC386" ca="1">_xlfn.IFNA(OFFSET($I$49,MATCH(CY386,$I$50:$I$63,0),MATCH(CZ386,TRANSPOSE($J$49:$W$49),0)),0)</f>
        <v>0.36970000000000003</v>
      </c>
      <c r="DD386" s="899" cm="1">
        <f t="array" aca="1" ref="DD386" ca="1">_xlfn.IFNA(OFFSET($Y$49,MATCH($CZ386,$Y$50:$Y$63,0),MATCH($DA386,TRANSPOSE($Z$49:$AM$49),0)),0)</f>
        <v>5.2400000000000002E-2</v>
      </c>
      <c r="DE386" s="899" cm="1">
        <f t="array" aca="1" ref="DE386" ca="1">_xlfn.IFNA(OFFSET($AO$49,MATCH($DA386,$AO$50:$AO$63,0),MATCH($DB386,TRANSPOSE($AP$49:$BC$49),0)),0)</f>
        <v>0.56859999999999999</v>
      </c>
      <c r="DF386" s="881">
        <f t="shared" ca="1" si="217"/>
        <v>1.1015078408000001E-2</v>
      </c>
      <c r="DG386" s="910">
        <f t="shared" ca="1" si="218"/>
        <v>1</v>
      </c>
      <c r="DH386" s="881">
        <f t="shared" ca="1" si="219"/>
        <v>1.1015078408000001E-2</v>
      </c>
      <c r="DI386" s="1460">
        <f t="shared" ca="1" si="231"/>
        <v>2.5775283474720001</v>
      </c>
      <c r="DJ386" s="909">
        <f>_xlfn.IFNA(INDEX('Resource use and costs'!$CQ$11:$CQ$53,MATCH($CZ386,'Resource use and costs'!$BA$11:$BA$53,0)),0)*_xlfn.IFNA(INDEX(DY$10:DY$23,MATCH($CZ386,$DX$10:$DX$23,0)),0)</f>
        <v>56693.786091428577</v>
      </c>
      <c r="DK386" s="909">
        <f>IF(dd_PartSA_2_lines = "Yes",0,_xlfn.IFNA(INDEX('Resource use and costs'!$CR$11:$CR$53,MATCH(DA386,'Resource use and costs'!$BA$11:$BA$53,0)),0)*_xlfn.IFNA(INDEX(EA$10:EA$23,MATCH($DA386,$DX$10:$DX$23,0)),0))</f>
        <v>24337.716731999997</v>
      </c>
      <c r="DL386" s="909">
        <f>IF(dd_PartSA_2_lines = "Yes",0,_xlfn.IFNA(INDEX('Resource use and costs'!$CS$11:$CS$53,MATCH(DB386,'Resource use and costs'!$BA$11:$BA$53,0)),0)*_xlfn.IFNA(INDEX(EC$10:EC$23,MATCH($DB386,$DX$10:$DX$23,0)),0))</f>
        <v>18438.751749999999</v>
      </c>
      <c r="DM386" s="909">
        <f t="shared" si="221"/>
        <v>99470.254573428567</v>
      </c>
      <c r="DN386" s="909">
        <f>SUM(_xlfn.IFNA(INDEX('Resource use and costs'!$DU$12:$DU$25,MATCH(CZ386,'Resource use and costs'!$DS$12:$DS$25,0)),0),_xlfn.IFNA(INDEX('Resource use and costs'!$DU$12:$DU$25,MATCH(DA386,'Resource use and costs'!$DS$12:$DS$25,0)),0),_xlfn.IFNA(INDEX('Resource use and costs'!$DU$12:$DU$25,MATCH(DB386,'Resource use and costs'!$DS$12:$DS$25,0)),0))</f>
        <v>394.5</v>
      </c>
      <c r="DO386" s="921">
        <f>_xlfn.IFNA(INDEX('Resource use and costs'!$DY$12:$DY$25,MATCH(CZ386,'Resource use and costs'!$DS$12:$DS$25,0)),0)*_xlfn.IFNA(INDEX(DY$10:DY$23,MATCH($CZ386,$DX$10:$DX$23,0)),0)</f>
        <v>8939.6605049142872</v>
      </c>
      <c r="DP386" s="921">
        <f>IF(dd_PartSA_2_lines = "Yes",0,_xlfn.IFNA(INDEX('Resource use and costs'!$DZ$12:$DZ$25,MATCH(DA386,'Resource use and costs'!$DS$12:$DS$25,0)),0)*_xlfn.IFNA(INDEX(EA$10:EA$23,MATCH($DA386,$DX$10:$DX$23,0)),0))</f>
        <v>363.04714285714283</v>
      </c>
      <c r="DQ386" s="921">
        <f>IF(dd_PartSA_2_lines = "Yes",0,_xlfn.IFNA(INDEX('Resource use and costs'!$EA$12:$EA$25,MATCH(DB386,'Resource use and costs'!$DS$12:$DS$25,0)),0)*_xlfn.IFNA(INDEX(EC$10:EC$23,MATCH($DB386,$DX$10:$DX$23,0)),0))</f>
        <v>230.68099999999998</v>
      </c>
      <c r="DR386" s="921">
        <f t="shared" si="222"/>
        <v>9927.8886477714314</v>
      </c>
      <c r="DS386" s="1004">
        <f ca="1">SUMIFS('Safety parameters'!$DM$6:$DM$18,'Safety parameters'!$DK$6:$DK$18,CZ386,'Safety parameters'!$DL$6:$DL$18,1)+IF(dd_PartSA_2_lines = "Yes",0,SUMIFS('Safety parameters'!$DM$6:$DM$18,'Safety parameters'!$DK$6:$DK$18,DA386,'Safety parameters'!$DL$6:$DL$18,2)+SUMIFS('Safety parameters'!$DM$6:$DM$18,'Safety parameters'!$DK$6:$DK$18,DB386,'Safety parameters'!$DL$6:$DL$18,2))</f>
        <v>2577.0992943484653</v>
      </c>
      <c r="DT386" s="910">
        <f ca="1">SUMIFS('Safety parameters'!$DO$6:$DO$18,'Safety parameters'!$DK$6:$DK$18,CZ386,'Safety parameters'!$DL$6:$DL$18,1)+IF(dd_PartSA_2_lines = "Yes",0,SUMIFS('Safety parameters'!$DO$6:$DO$18,'Safety parameters'!$DK$6:$DK$18,DA386,'Safety parameters'!$DL$6:$DL$18,2)+SUMIFS('Safety parameters'!$DO$6:$DO$18,'Safety parameters'!$DK$6:$DK$18,DB386,'Safety parameters'!$DL$6:$DL$18,2))</f>
        <v>-2.4384674689096917E-2</v>
      </c>
    </row>
    <row r="387" spans="89:124" ht="15" x14ac:dyDescent="0.2">
      <c r="CK387" s="505" t="s">
        <v>31</v>
      </c>
      <c r="CL387" s="505">
        <v>3</v>
      </c>
      <c r="CM387" s="61" t="str" cm="1">
        <f t="array" ref="CM387:CM400">List_comparators</f>
        <v>nivolumab_monotherapy</v>
      </c>
      <c r="CN387" s="17">
        <v>0</v>
      </c>
      <c r="CO387" s="61" t="str" cm="1">
        <f t="array" ref="CO387">INDEX(List_comparators,CP387+1)</f>
        <v>everolimus</v>
      </c>
      <c r="CP387" s="17">
        <v>10</v>
      </c>
      <c r="CQ387" s="603">
        <f t="shared" ca="1" si="235"/>
        <v>6.4999999999999997E-3</v>
      </c>
      <c r="CR387" s="603">
        <f t="shared" ca="1" si="236"/>
        <v>6.4999999999999997E-4</v>
      </c>
      <c r="CS387" s="671">
        <f t="shared" ref="CS387:CS399" ca="1" si="238">OFFSET($Z$81,IF(CN387=999,13,CN387),CP387)</f>
        <v>13.547142857142855</v>
      </c>
      <c r="CT387" s="671">
        <f t="shared" ca="1" si="237"/>
        <v>3.2057142857142855</v>
      </c>
      <c r="CU387" s="1123" t="e">
        <f>MATCH(CZ394,'Resource use and costs'!$BA$11:$BA$53,0)</f>
        <v>#N/A</v>
      </c>
      <c r="CV387" s="1223"/>
      <c r="CW387" s="1241">
        <f t="shared" si="220"/>
        <v>1</v>
      </c>
      <c r="CX387" s="899" t="s">
        <v>773</v>
      </c>
      <c r="CY387" s="899" t="s">
        <v>585</v>
      </c>
      <c r="CZ387" s="899" t="s">
        <v>579</v>
      </c>
      <c r="DA387" s="899" t="s">
        <v>333</v>
      </c>
      <c r="DB387" s="899" t="s">
        <v>765</v>
      </c>
      <c r="DC387" s="899" cm="1">
        <f t="array" aca="1" ref="DC387" ca="1">_xlfn.IFNA(OFFSET($I$49,MATCH(CY387,$I$50:$I$63,0),MATCH(CZ387,TRANSPOSE($J$49:$W$49),0)),0)</f>
        <v>0.36970000000000003</v>
      </c>
      <c r="DD387" s="899" cm="1">
        <f t="array" aca="1" ref="DD387" ca="1">_xlfn.IFNA(OFFSET($Y$49,MATCH($CZ387,$Y$50:$Y$63,0),MATCH($DA387,TRANSPOSE($Z$49:$AM$49),0)),0)</f>
        <v>5.2400000000000002E-2</v>
      </c>
      <c r="DE387" s="899" cm="1">
        <f t="array" aca="1" ref="DE387" ca="1">_xlfn.IFNA(OFFSET($AO$49,MATCH($DA387,$AO$50:$AO$63,0),MATCH($DB387,TRANSPOSE($AP$49:$BC$49),0)),0)</f>
        <v>0.43140000000000001</v>
      </c>
      <c r="DF387" s="881">
        <f t="shared" ca="1" si="217"/>
        <v>8.357201592000001E-3</v>
      </c>
      <c r="DG387" s="910">
        <f t="shared" ca="1" si="218"/>
        <v>1</v>
      </c>
      <c r="DH387" s="881">
        <f t="shared" ca="1" si="219"/>
        <v>8.357201592000001E-3</v>
      </c>
      <c r="DI387" s="1460">
        <f t="shared" ca="1" si="231"/>
        <v>1.9555851725280002</v>
      </c>
      <c r="DJ387" s="909">
        <f>_xlfn.IFNA(INDEX('Resource use and costs'!$CQ$11:$CQ$53,MATCH($CZ387,'Resource use and costs'!$BA$11:$BA$53,0)),0)*_xlfn.IFNA(INDEX(DY$10:DY$23,MATCH($CZ387,$DX$10:$DX$23,0)),0)</f>
        <v>56693.786091428577</v>
      </c>
      <c r="DK387" s="909">
        <f>IF(dd_PartSA_2_lines = "Yes",0,_xlfn.IFNA(INDEX('Resource use and costs'!$CR$11:$CR$53,MATCH(DA387,'Resource use and costs'!$BA$11:$BA$53,0)),0)*_xlfn.IFNA(INDEX(EA$10:EA$23,MATCH($DA387,$DX$10:$DX$23,0)),0))</f>
        <v>24337.716731999997</v>
      </c>
      <c r="DL387" s="909">
        <f>IF(dd_PartSA_2_lines = "Yes",0,_xlfn.IFNA(INDEX('Resource use and costs'!$CS$11:$CS$53,MATCH(DB387,'Resource use and costs'!$BA$11:$BA$53,0)),0)*_xlfn.IFNA(INDEX(EC$10:EC$23,MATCH($DB387,$DX$10:$DX$23,0)),0))</f>
        <v>0</v>
      </c>
      <c r="DM387" s="909">
        <f t="shared" si="221"/>
        <v>81031.502823428571</v>
      </c>
      <c r="DN387" s="909">
        <f>SUM(_xlfn.IFNA(INDEX('Resource use and costs'!$DU$12:$DU$25,MATCH(CZ387,'Resource use and costs'!$DS$12:$DS$25,0)),0),_xlfn.IFNA(INDEX('Resource use and costs'!$DU$12:$DU$25,MATCH(DA387,'Resource use and costs'!$DS$12:$DS$25,0)),0),_xlfn.IFNA(INDEX('Resource use and costs'!$DU$12:$DU$25,MATCH(DB387,'Resource use and costs'!$DS$12:$DS$25,0)),0))</f>
        <v>197.25</v>
      </c>
      <c r="DO387" s="921">
        <f>_xlfn.IFNA(INDEX('Resource use and costs'!$DY$12:$DY$25,MATCH(CZ387,'Resource use and costs'!$DS$12:$DS$25,0)),0)*_xlfn.IFNA(INDEX(DY$10:DY$23,MATCH($CZ387,$DX$10:$DX$23,0)),0)</f>
        <v>8939.6605049142872</v>
      </c>
      <c r="DP387" s="921">
        <f>IF(dd_PartSA_2_lines = "Yes",0,_xlfn.IFNA(INDEX('Resource use and costs'!$DZ$12:$DZ$25,MATCH(DA387,'Resource use and costs'!$DS$12:$DS$25,0)),0)*_xlfn.IFNA(INDEX(EA$10:EA$23,MATCH($DA387,$DX$10:$DX$23,0)),0))</f>
        <v>363.04714285714283</v>
      </c>
      <c r="DQ387" s="921">
        <f>IF(dd_PartSA_2_lines = "Yes",0,_xlfn.IFNA(INDEX('Resource use and costs'!$EA$12:$EA$25,MATCH(DB387,'Resource use and costs'!$DS$12:$DS$25,0)),0)*_xlfn.IFNA(INDEX(EC$10:EC$23,MATCH($DB387,$DX$10:$DX$23,0)),0))</f>
        <v>0</v>
      </c>
      <c r="DR387" s="921">
        <f t="shared" si="222"/>
        <v>9499.9576477714309</v>
      </c>
      <c r="DS387" s="1004">
        <f ca="1">SUMIFS('Safety parameters'!$DM$6:$DM$18,'Safety parameters'!$DK$6:$DK$18,CZ387,'Safety parameters'!$DL$6:$DL$18,1)+IF(dd_PartSA_2_lines = "Yes",0,SUMIFS('Safety parameters'!$DM$6:$DM$18,'Safety parameters'!$DK$6:$DK$18,DA387,'Safety parameters'!$DL$6:$DL$18,2)+SUMIFS('Safety parameters'!$DM$6:$DM$18,'Safety parameters'!$DK$6:$DK$18,DB387,'Safety parameters'!$DL$6:$DL$18,2))</f>
        <v>942.87062078300573</v>
      </c>
      <c r="DT387" s="910">
        <f ca="1">SUMIFS('Safety parameters'!$DO$6:$DO$18,'Safety parameters'!$DK$6:$DK$18,CZ387,'Safety parameters'!$DL$6:$DL$18,1)+IF(dd_PartSA_2_lines = "Yes",0,SUMIFS('Safety parameters'!$DO$6:$DO$18,'Safety parameters'!$DK$6:$DK$18,DA387,'Safety parameters'!$DL$6:$DL$18,2)+SUMIFS('Safety parameters'!$DO$6:$DO$18,'Safety parameters'!$DK$6:$DK$18,DB387,'Safety parameters'!$DL$6:$DL$18,2))</f>
        <v>-9.6427506816154883E-3</v>
      </c>
    </row>
    <row r="388" spans="89:124" ht="15" x14ac:dyDescent="0.2">
      <c r="CK388" s="61" t="s">
        <v>31</v>
      </c>
      <c r="CL388" s="61">
        <v>3</v>
      </c>
      <c r="CM388" s="61" t="str">
        <v>cabozantinib_plus_nivolumab</v>
      </c>
      <c r="CN388" s="17">
        <v>1</v>
      </c>
      <c r="CO388" s="61" t="str" cm="1">
        <f t="array" ref="CO388">INDEX(List_comparators,CP387+1)</f>
        <v>everolimus</v>
      </c>
      <c r="CP388" s="17">
        <v>10</v>
      </c>
      <c r="CQ388" s="601">
        <f t="shared" ca="1" si="235"/>
        <v>0</v>
      </c>
      <c r="CR388" s="601">
        <f t="shared" ca="1" si="236"/>
        <v>0</v>
      </c>
      <c r="CS388" s="671">
        <f t="shared" ca="1" si="238"/>
        <v>13.547142857142855</v>
      </c>
      <c r="CT388" s="671">
        <f t="shared" ca="1" si="237"/>
        <v>3.2057142857142855</v>
      </c>
      <c r="CU388" s="1123">
        <f>MATCH(CZ395,'Resource use and costs'!$BA$11:$BA$53,0)</f>
        <v>30</v>
      </c>
      <c r="CV388" s="1223"/>
      <c r="CW388" s="1241">
        <f t="shared" si="220"/>
        <v>1</v>
      </c>
      <c r="CX388" s="899" t="s">
        <v>773</v>
      </c>
      <c r="CY388" s="899" t="s">
        <v>117</v>
      </c>
      <c r="CZ388" s="899" t="s">
        <v>327</v>
      </c>
      <c r="DA388" s="899" t="s">
        <v>765</v>
      </c>
      <c r="DB388" s="899"/>
      <c r="DC388" s="899" cm="1">
        <f t="array" aca="1" ref="DC388" ca="1">_xlfn.IFNA(OFFSET($I$49,MATCH(CY388,$I$50:$I$63,0),MATCH(CZ388,TRANSPOSE($J$49:$W$49),0)),0)</f>
        <v>4.4700000000000011E-2</v>
      </c>
      <c r="DD388" s="899" cm="1">
        <f t="array" aca="1" ref="DD388" ca="1">_xlfn.IFNA(OFFSET($Y$49,MATCH($CZ388,$Y$50:$Y$63,0),MATCH($DA388,TRANSPOSE($Z$49:$AM$49),0)),0)</f>
        <v>0.34300000000000003</v>
      </c>
      <c r="DE388" s="899" cm="1">
        <f t="array" aca="1" ref="DE388" ca="1">_xlfn.IFNA(OFFSET($AO$49,MATCH($DA388,$AO$50:$AO$63,0),MATCH($DB388,TRANSPOSE($AP$49:$BC$49),0)),0)</f>
        <v>0</v>
      </c>
      <c r="DF388" s="881">
        <f t="shared" ca="1" si="217"/>
        <v>1.5332100000000005E-2</v>
      </c>
      <c r="DG388" s="910">
        <f t="shared" ca="1" si="218"/>
        <v>0.99547352429578406</v>
      </c>
      <c r="DH388" s="881">
        <f t="shared" ca="1" si="219"/>
        <v>1.5262699621855396E-2</v>
      </c>
      <c r="DI388" s="1460">
        <f t="shared" ref="DI388:DI424" ca="1" si="239">326*DH388</f>
        <v>4.9756400767248596</v>
      </c>
      <c r="DJ388" s="909">
        <f>_xlfn.IFNA(INDEX('Resource use and costs'!$CQ$11:$CQ$53,MATCH($CZ388,'Resource use and costs'!$BA$11:$BA$53,0)),0)*_xlfn.IFNA(INDEX(DY$10:DY$23,MATCH($CZ388,$DX$10:$DX$23,0)),0)</f>
        <v>19241.032205</v>
      </c>
      <c r="DK388" s="909">
        <f>IF(dd_PartSA_2_lines = "Yes",0,_xlfn.IFNA(INDEX('Resource use and costs'!$CR$11:$CR$53,MATCH(DA388,'Resource use and costs'!$BA$11:$BA$53,0)),0)*_xlfn.IFNA(INDEX(EA$10:EA$23,MATCH($DA388,$DX$10:$DX$23,0)),0))</f>
        <v>0</v>
      </c>
      <c r="DL388" s="909">
        <f>IF(dd_PartSA_2_lines = "Yes",0,_xlfn.IFNA(INDEX('Resource use and costs'!$CS$11:$CS$53,MATCH(DB388,'Resource use and costs'!$BA$11:$BA$53,0)),0)*_xlfn.IFNA(INDEX(EC$10:EC$23,MATCH($DB388,$DX$10:$DX$23,0)),0))</f>
        <v>0</v>
      </c>
      <c r="DM388" s="909">
        <f t="shared" si="221"/>
        <v>19241.032205</v>
      </c>
      <c r="DN388" s="909">
        <f>SUM(_xlfn.IFNA(INDEX('Resource use and costs'!$DU$12:$DU$25,MATCH(CZ388,'Resource use and costs'!$DS$12:$DS$25,0)),0),_xlfn.IFNA(INDEX('Resource use and costs'!$DU$12:$DU$25,MATCH(DA388,'Resource use and costs'!$DS$12:$DS$25,0)),0),_xlfn.IFNA(INDEX('Resource use and costs'!$DU$12:$DU$25,MATCH(DB388,'Resource use and costs'!$DS$12:$DS$25,0)),0))</f>
        <v>197.25</v>
      </c>
      <c r="DO388" s="921">
        <f>_xlfn.IFNA(INDEX('Resource use and costs'!$DY$12:$DY$25,MATCH(CZ388,'Resource use and costs'!$DS$12:$DS$25,0)),0)*_xlfn.IFNA(INDEX(DY$10:DY$23,MATCH($CZ388,$DX$10:$DX$23,0)),0)</f>
        <v>240.71806000000001</v>
      </c>
      <c r="DP388" s="921">
        <f>IF(dd_PartSA_2_lines = "Yes",0,_xlfn.IFNA(INDEX('Resource use and costs'!$DZ$12:$DZ$25,MATCH(DA388,'Resource use and costs'!$DS$12:$DS$25,0)),0)*_xlfn.IFNA(INDEX(EA$10:EA$23,MATCH($DA388,$DX$10:$DX$23,0)),0))</f>
        <v>0</v>
      </c>
      <c r="DQ388" s="921">
        <f>IF(dd_PartSA_2_lines = "Yes",0,_xlfn.IFNA(INDEX('Resource use and costs'!$EA$12:$EA$25,MATCH(DB388,'Resource use and costs'!$DS$12:$DS$25,0)),0)*_xlfn.IFNA(INDEX(EC$10:EC$23,MATCH($DB388,$DX$10:$DX$23,0)),0))</f>
        <v>0</v>
      </c>
      <c r="DR388" s="921">
        <f t="shared" si="222"/>
        <v>437.96806000000004</v>
      </c>
      <c r="DS388" s="1004">
        <f>SUMIFS('Safety parameters'!$DM$6:$DM$18,'Safety parameters'!$DK$6:$DK$18,CZ388,'Safety parameters'!$DL$6:$DL$18,1)+IF(dd_PartSA_2_lines = "Yes",0,SUMIFS('Safety parameters'!$DM$6:$DM$18,'Safety parameters'!$DK$6:$DK$18,DA388,'Safety parameters'!$DL$6:$DL$18,2)+SUMIFS('Safety parameters'!$DM$6:$DM$18,'Safety parameters'!$DK$6:$DK$18,DB388,'Safety parameters'!$DL$6:$DL$18,2))</f>
        <v>0</v>
      </c>
      <c r="DT388" s="910">
        <f>SUMIFS('Safety parameters'!$DO$6:$DO$18,'Safety parameters'!$DK$6:$DK$18,CZ388,'Safety parameters'!$DL$6:$DL$18,1)+IF(dd_PartSA_2_lines = "Yes",0,SUMIFS('Safety parameters'!$DO$6:$DO$18,'Safety parameters'!$DK$6:$DK$18,DA388,'Safety parameters'!$DL$6:$DL$18,2)+SUMIFS('Safety parameters'!$DO$6:$DO$18,'Safety parameters'!$DK$6:$DK$18,DB388,'Safety parameters'!$DL$6:$DL$18,2))</f>
        <v>0</v>
      </c>
    </row>
    <row r="389" spans="89:124" ht="15" x14ac:dyDescent="0.2">
      <c r="CK389" s="61" t="s">
        <v>31</v>
      </c>
      <c r="CL389" s="61">
        <v>3</v>
      </c>
      <c r="CM389" s="61" t="str">
        <v>nivolumab_plus_ipilimumab</v>
      </c>
      <c r="CN389" s="17">
        <v>2</v>
      </c>
      <c r="CO389" s="61" t="str" cm="1">
        <f t="array" ref="CO389">INDEX(List_comparators,CP388+1)</f>
        <v>everolimus</v>
      </c>
      <c r="CP389" s="17">
        <v>10</v>
      </c>
      <c r="CQ389" s="601">
        <f t="shared" ca="1" si="235"/>
        <v>0</v>
      </c>
      <c r="CR389" s="601">
        <f t="shared" ca="1" si="236"/>
        <v>0</v>
      </c>
      <c r="CS389" s="671">
        <f t="shared" ca="1" si="238"/>
        <v>13.547142857142855</v>
      </c>
      <c r="CT389" s="671">
        <f t="shared" ca="1" si="237"/>
        <v>3.2057142857142855</v>
      </c>
      <c r="CU389" s="1123">
        <f>MATCH(CZ396,'Resource use and costs'!$BA$11:$BA$53,0)</f>
        <v>30</v>
      </c>
      <c r="CV389" s="1223"/>
      <c r="CW389" s="1241">
        <f t="shared" si="220"/>
        <v>1</v>
      </c>
      <c r="CX389" s="899" t="s">
        <v>773</v>
      </c>
      <c r="CY389" s="899" t="s">
        <v>117</v>
      </c>
      <c r="CZ389" s="899" t="s">
        <v>327</v>
      </c>
      <c r="DA389" s="899" t="s">
        <v>118</v>
      </c>
      <c r="DB389" s="899" t="s">
        <v>765</v>
      </c>
      <c r="DC389" s="899" cm="1">
        <f t="array" aca="1" ref="DC389" ca="1">_xlfn.IFNA(OFFSET($I$49,MATCH(CY389,$I$50:$I$63,0),MATCH(CZ389,TRANSPOSE($J$49:$W$49),0)),0)</f>
        <v>4.4700000000000011E-2</v>
      </c>
      <c r="DD389" s="899" cm="1">
        <f t="array" aca="1" ref="DD389" ca="1">_xlfn.IFNA(OFFSET($Y$49,MATCH($CZ389,$Y$50:$Y$63,0),MATCH($DA389,TRANSPOSE($Z$49:$AM$49),0)),0)</f>
        <v>0.32850000000000001</v>
      </c>
      <c r="DE389" s="899" cm="1">
        <f t="array" aca="1" ref="DE389" ca="1">_xlfn.IFNA(OFFSET($AO$49,MATCH($DA389,$AO$50:$AO$63,0),MATCH($DB389,TRANSPOSE($AP$49:$BC$49),0)),0)</f>
        <v>0.43140000000000001</v>
      </c>
      <c r="DF389" s="881">
        <f t="shared" ca="1" si="217"/>
        <v>6.3346560300000018E-3</v>
      </c>
      <c r="DG389" s="910">
        <f t="shared" ca="1" si="218"/>
        <v>0.99547352429578406</v>
      </c>
      <c r="DH389" s="881">
        <f t="shared" ca="1" si="219"/>
        <v>6.3059823633856418E-3</v>
      </c>
      <c r="DI389" s="1460">
        <f t="shared" ca="1" si="239"/>
        <v>2.0557502504637193</v>
      </c>
      <c r="DJ389" s="909">
        <f>_xlfn.IFNA(INDEX('Resource use and costs'!$CQ$11:$CQ$53,MATCH($CZ389,'Resource use and costs'!$BA$11:$BA$53,0)),0)*_xlfn.IFNA(INDEX(DY$10:DY$23,MATCH($CZ389,$DX$10:$DX$23,0)),0)</f>
        <v>19241.032205</v>
      </c>
      <c r="DK389" s="909">
        <f>IF(dd_PartSA_2_lines = "Yes",0,_xlfn.IFNA(INDEX('Resource use and costs'!$CR$11:$CR$53,MATCH(DA389,'Resource use and costs'!$BA$11:$BA$53,0)),0)*_xlfn.IFNA(INDEX(EA$10:EA$23,MATCH($DA389,$DX$10:$DX$23,0)),0))</f>
        <v>50308.075122000002</v>
      </c>
      <c r="DL389" s="909">
        <f>IF(dd_PartSA_2_lines = "Yes",0,_xlfn.IFNA(INDEX('Resource use and costs'!$CS$11:$CS$53,MATCH(DB389,'Resource use and costs'!$BA$11:$BA$53,0)),0)*_xlfn.IFNA(INDEX(EC$10:EC$23,MATCH($DB389,$DX$10:$DX$23,0)),0))</f>
        <v>0</v>
      </c>
      <c r="DM389" s="909">
        <f t="shared" si="221"/>
        <v>69549.107327000005</v>
      </c>
      <c r="DN389" s="909">
        <f>SUM(_xlfn.IFNA(INDEX('Resource use and costs'!$DU$12:$DU$25,MATCH(CZ389,'Resource use and costs'!$DS$12:$DS$25,0)),0),_xlfn.IFNA(INDEX('Resource use and costs'!$DU$12:$DU$25,MATCH(DA389,'Resource use and costs'!$DS$12:$DS$25,0)),0),_xlfn.IFNA(INDEX('Resource use and costs'!$DU$12:$DU$25,MATCH(DB389,'Resource use and costs'!$DS$12:$DS$25,0)),0))</f>
        <v>394.5</v>
      </c>
      <c r="DO389" s="921">
        <f>_xlfn.IFNA(INDEX('Resource use and costs'!$DY$12:$DY$25,MATCH(CZ389,'Resource use and costs'!$DS$12:$DS$25,0)),0)*_xlfn.IFNA(INDEX(DY$10:DY$23,MATCH($CZ389,$DX$10:$DX$23,0)),0)</f>
        <v>240.71806000000001</v>
      </c>
      <c r="DP389" s="921">
        <f>IF(dd_PartSA_2_lines = "Yes",0,_xlfn.IFNA(INDEX('Resource use and costs'!$DZ$12:$DZ$25,MATCH(DA389,'Resource use and costs'!$DS$12:$DS$25,0)),0)*_xlfn.IFNA(INDEX(EA$10:EA$23,MATCH($DA389,$DX$10:$DX$23,0)),0))</f>
        <v>461.1445457142857</v>
      </c>
      <c r="DQ389" s="921">
        <f>IF(dd_PartSA_2_lines = "Yes",0,_xlfn.IFNA(INDEX('Resource use and costs'!$EA$12:$EA$25,MATCH(DB389,'Resource use and costs'!$DS$12:$DS$25,0)),0)*_xlfn.IFNA(INDEX(EC$10:EC$23,MATCH($DB389,$DX$10:$DX$23,0)),0))</f>
        <v>0</v>
      </c>
      <c r="DR389" s="921">
        <f t="shared" si="222"/>
        <v>1096.3626057142858</v>
      </c>
      <c r="DS389" s="1004">
        <f ca="1">SUMIFS('Safety parameters'!$DM$6:$DM$18,'Safety parameters'!$DK$6:$DK$18,CZ389,'Safety parameters'!$DL$6:$DL$18,1)+IF(dd_PartSA_2_lines = "Yes",0,SUMIFS('Safety parameters'!$DM$6:$DM$18,'Safety parameters'!$DK$6:$DK$18,DA389,'Safety parameters'!$DL$6:$DL$18,2)+SUMIFS('Safety parameters'!$DM$6:$DM$18,'Safety parameters'!$DK$6:$DK$18,DB389,'Safety parameters'!$DL$6:$DL$18,2))</f>
        <v>743.64929980338343</v>
      </c>
      <c r="DT389" s="910">
        <f ca="1">SUMIFS('Safety parameters'!$DO$6:$DO$18,'Safety parameters'!$DK$6:$DK$18,CZ389,'Safety parameters'!$DL$6:$DL$18,1)+IF(dd_PartSA_2_lines = "Yes",0,SUMIFS('Safety parameters'!$DO$6:$DO$18,'Safety parameters'!$DK$6:$DK$18,DA389,'Safety parameters'!$DL$6:$DL$18,2)+SUMIFS('Safety parameters'!$DO$6:$DO$18,'Safety parameters'!$DK$6:$DK$18,DB389,'Safety parameters'!$DL$6:$DL$18,2))</f>
        <v>-7.0223263562359372E-3</v>
      </c>
    </row>
    <row r="390" spans="89:124" ht="15" x14ac:dyDescent="0.2">
      <c r="CK390" s="61" t="s">
        <v>31</v>
      </c>
      <c r="CL390" s="61">
        <v>3</v>
      </c>
      <c r="CM390" s="61" t="str">
        <v>lenvatinib_plus_pembrolizumab</v>
      </c>
      <c r="CN390" s="17">
        <v>3</v>
      </c>
      <c r="CO390" s="61" t="str" cm="1">
        <f t="array" ref="CO390">INDEX(List_comparators,CP389+1)</f>
        <v>everolimus</v>
      </c>
      <c r="CP390" s="17">
        <v>10</v>
      </c>
      <c r="CQ390" s="601">
        <f t="shared" ca="1" si="235"/>
        <v>0</v>
      </c>
      <c r="CR390" s="601">
        <f t="shared" ca="1" si="236"/>
        <v>0</v>
      </c>
      <c r="CS390" s="671">
        <f t="shared" ca="1" si="238"/>
        <v>13.547142857142855</v>
      </c>
      <c r="CT390" s="671">
        <f t="shared" ca="1" si="237"/>
        <v>3.2057142857142855</v>
      </c>
      <c r="CU390" s="1123">
        <f>MATCH(CZ397,'Resource use and costs'!$BA$11:$BA$53,0)</f>
        <v>30</v>
      </c>
      <c r="CV390" s="1223"/>
      <c r="CW390" s="1241">
        <f t="shared" si="220"/>
        <v>1</v>
      </c>
      <c r="CX390" s="899" t="s">
        <v>773</v>
      </c>
      <c r="CY390" s="899" t="s">
        <v>117</v>
      </c>
      <c r="CZ390" s="899" t="s">
        <v>327</v>
      </c>
      <c r="DA390" s="899" t="s">
        <v>118</v>
      </c>
      <c r="DB390" s="899" t="s">
        <v>119</v>
      </c>
      <c r="DC390" s="899" cm="1">
        <f t="array" aca="1" ref="DC390" ca="1">_xlfn.IFNA(OFFSET($I$49,MATCH(CY390,$I$50:$I$63,0),MATCH(CZ390,TRANSPOSE($J$49:$W$49),0)),0)</f>
        <v>4.4700000000000011E-2</v>
      </c>
      <c r="DD390" s="899" cm="1">
        <f t="array" aca="1" ref="DD390" ca="1">_xlfn.IFNA(OFFSET($Y$49,MATCH($CZ390,$Y$50:$Y$63,0),MATCH($DA390,TRANSPOSE($Z$49:$AM$49),0)),0)</f>
        <v>0.32850000000000001</v>
      </c>
      <c r="DE390" s="899">
        <f ca="1">1-DE389</f>
        <v>0.56859999999999999</v>
      </c>
      <c r="DF390" s="881">
        <f t="shared" ca="1" si="217"/>
        <v>8.3492939700000029E-3</v>
      </c>
      <c r="DG390" s="910">
        <f t="shared" ca="1" si="218"/>
        <v>0.99547352429578406</v>
      </c>
      <c r="DH390" s="881">
        <f t="shared" ca="1" si="219"/>
        <v>8.3115010936974411E-3</v>
      </c>
      <c r="DI390" s="1460">
        <f t="shared" ca="1" si="239"/>
        <v>2.7095493565453657</v>
      </c>
      <c r="DJ390" s="909">
        <f>_xlfn.IFNA(INDEX('Resource use and costs'!$CQ$11:$CQ$53,MATCH($CZ390,'Resource use and costs'!$BA$11:$BA$53,0)),0)*_xlfn.IFNA(INDEX(DY$10:DY$23,MATCH($CZ390,$DX$10:$DX$23,0)),0)</f>
        <v>19241.032205</v>
      </c>
      <c r="DK390" s="909">
        <f>IF(dd_PartSA_2_lines = "Yes",0,_xlfn.IFNA(INDEX('Resource use and costs'!$CR$11:$CR$53,MATCH(DA390,'Resource use and costs'!$BA$11:$BA$53,0)),0)*_xlfn.IFNA(INDEX(EA$10:EA$23,MATCH($DA390,$DX$10:$DX$23,0)),0))</f>
        <v>50308.075122000002</v>
      </c>
      <c r="DL390" s="909">
        <f>IF(dd_PartSA_2_lines = "Yes",0,_xlfn.IFNA(INDEX('Resource use and costs'!$CS$11:$CS$53,MATCH(DB390,'Resource use and costs'!$BA$11:$BA$53,0)),0)*_xlfn.IFNA(INDEX(EC$10:EC$23,MATCH($DB390,$DX$10:$DX$23,0)),0))</f>
        <v>2915.4763433333328</v>
      </c>
      <c r="DM390" s="909">
        <f t="shared" si="221"/>
        <v>72464.583670333333</v>
      </c>
      <c r="DN390" s="909">
        <f>SUM(_xlfn.IFNA(INDEX('Resource use and costs'!$DU$12:$DU$25,MATCH(CZ390,'Resource use and costs'!$DS$12:$DS$25,0)),0),_xlfn.IFNA(INDEX('Resource use and costs'!$DU$12:$DU$25,MATCH(DA390,'Resource use and costs'!$DS$12:$DS$25,0)),0),_xlfn.IFNA(INDEX('Resource use and costs'!$DU$12:$DU$25,MATCH(DB390,'Resource use and costs'!$DS$12:$DS$25,0)),0))</f>
        <v>591.75</v>
      </c>
      <c r="DO390" s="921">
        <f>_xlfn.IFNA(INDEX('Resource use and costs'!$DY$12:$DY$25,MATCH(CZ390,'Resource use and costs'!$DS$12:$DS$25,0)),0)*_xlfn.IFNA(INDEX(DY$10:DY$23,MATCH($CZ390,$DX$10:$DX$23,0)),0)</f>
        <v>240.71806000000001</v>
      </c>
      <c r="DP390" s="921">
        <f>IF(dd_PartSA_2_lines = "Yes",0,_xlfn.IFNA(INDEX('Resource use and costs'!$DZ$12:$DZ$25,MATCH(DA390,'Resource use and costs'!$DS$12:$DS$25,0)),0)*_xlfn.IFNA(INDEX(EA$10:EA$23,MATCH($DA390,$DX$10:$DX$23,0)),0))</f>
        <v>461.1445457142857</v>
      </c>
      <c r="DQ390" s="921">
        <f>IF(dd_PartSA_2_lines = "Yes",0,_xlfn.IFNA(INDEX('Resource use and costs'!$EA$12:$EA$25,MATCH(DB390,'Resource use and costs'!$DS$12:$DS$25,0)),0)*_xlfn.IFNA(INDEX(EC$10:EC$23,MATCH($DB390,$DX$10:$DX$23,0)),0))</f>
        <v>256.11457142857142</v>
      </c>
      <c r="DR390" s="921">
        <f t="shared" si="222"/>
        <v>1549.7271771428573</v>
      </c>
      <c r="DS390" s="1004">
        <f ca="1">SUMIFS('Safety parameters'!$DM$6:$DM$18,'Safety parameters'!$DK$6:$DK$18,CZ390,'Safety parameters'!$DL$6:$DL$18,1)+IF(dd_PartSA_2_lines = "Yes",0,SUMIFS('Safety parameters'!$DM$6:$DM$18,'Safety parameters'!$DK$6:$DK$18,DA390,'Safety parameters'!$DL$6:$DL$18,2)+SUMIFS('Safety parameters'!$DM$6:$DM$18,'Safety parameters'!$DK$6:$DK$18,DB390,'Safety parameters'!$DL$6:$DL$18,2))</f>
        <v>1076.5246831786983</v>
      </c>
      <c r="DT390" s="910">
        <f ca="1">SUMIFS('Safety parameters'!$DO$6:$DO$18,'Safety parameters'!$DK$6:$DK$18,CZ390,'Safety parameters'!$DL$6:$DL$18,1)+IF(dd_PartSA_2_lines = "Yes",0,SUMIFS('Safety parameters'!$DO$6:$DO$18,'Safety parameters'!$DK$6:$DK$18,DA390,'Safety parameters'!$DL$6:$DL$18,2)+SUMIFS('Safety parameters'!$DO$6:$DO$18,'Safety parameters'!$DK$6:$DK$18,DB390,'Safety parameters'!$DL$6:$DL$18,2))</f>
        <v>-9.689899892873657E-3</v>
      </c>
    </row>
    <row r="391" spans="89:124" ht="15" x14ac:dyDescent="0.2">
      <c r="CK391" s="61" t="s">
        <v>31</v>
      </c>
      <c r="CL391" s="61">
        <v>3</v>
      </c>
      <c r="CM391" s="61" t="str">
        <v>avelumab_plus_axitinib</v>
      </c>
      <c r="CN391" s="17">
        <v>4</v>
      </c>
      <c r="CO391" s="61" t="str" cm="1">
        <f t="array" ref="CO391">INDEX(List_comparators,CP390+1)</f>
        <v>everolimus</v>
      </c>
      <c r="CP391" s="17">
        <v>10</v>
      </c>
      <c r="CQ391" s="601">
        <f t="shared" ca="1" si="235"/>
        <v>0</v>
      </c>
      <c r="CR391" s="601">
        <f t="shared" ca="1" si="236"/>
        <v>0</v>
      </c>
      <c r="CS391" s="671">
        <f t="shared" ca="1" si="238"/>
        <v>13.547142857142855</v>
      </c>
      <c r="CT391" s="671">
        <f t="shared" ca="1" si="237"/>
        <v>3.2057142857142855</v>
      </c>
      <c r="CU391" s="1123">
        <f>MATCH(CZ398,'Resource use and costs'!$BA$11:$BA$53,0)</f>
        <v>30</v>
      </c>
      <c r="CV391" s="1223"/>
      <c r="CW391" s="1241">
        <f t="shared" si="220"/>
        <v>1</v>
      </c>
      <c r="CX391" s="899" t="s">
        <v>773</v>
      </c>
      <c r="CY391" s="899" t="s">
        <v>117</v>
      </c>
      <c r="CZ391" s="899" t="s">
        <v>327</v>
      </c>
      <c r="DA391" s="899" t="s">
        <v>119</v>
      </c>
      <c r="DB391" s="899" t="s">
        <v>765</v>
      </c>
      <c r="DC391" s="899" cm="1">
        <f t="array" aca="1" ref="DC391" ca="1">_xlfn.IFNA(OFFSET($I$49,MATCH(CY391,$I$50:$I$63,0),MATCH(CZ391,TRANSPOSE($J$49:$W$49),0)),0)</f>
        <v>4.4700000000000011E-2</v>
      </c>
      <c r="DD391" s="899" cm="1">
        <f t="array" aca="1" ref="DD391" ca="1">_xlfn.IFNA(OFFSET($Y$49,MATCH($CZ391,$Y$50:$Y$63,0),MATCH($DA391,TRANSPOSE($Z$49:$AM$49),0)),0)</f>
        <v>0</v>
      </c>
      <c r="DE391" s="899" cm="1">
        <f t="array" aca="1" ref="DE391" ca="1">_xlfn.IFNA(OFFSET($AO$49,MATCH($DA391,$AO$50:$AO$63,0),MATCH($DB391,TRANSPOSE($AP$49:$BC$49),0)),0)</f>
        <v>1</v>
      </c>
      <c r="DF391" s="881">
        <f t="shared" ca="1" si="217"/>
        <v>0</v>
      </c>
      <c r="DG391" s="910">
        <f t="shared" ca="1" si="218"/>
        <v>0.99547352429578406</v>
      </c>
      <c r="DH391" s="881">
        <f t="shared" ca="1" si="219"/>
        <v>0</v>
      </c>
      <c r="DI391" s="1460">
        <f t="shared" ca="1" si="239"/>
        <v>0</v>
      </c>
      <c r="DJ391" s="909">
        <f>_xlfn.IFNA(INDEX('Resource use and costs'!$CQ$11:$CQ$53,MATCH($CZ391,'Resource use and costs'!$BA$11:$BA$53,0)),0)*_xlfn.IFNA(INDEX(DY$10:DY$23,MATCH($CZ391,$DX$10:$DX$23,0)),0)</f>
        <v>19241.032205</v>
      </c>
      <c r="DK391" s="909">
        <f>IF(dd_PartSA_2_lines = "Yes",0,_xlfn.IFNA(INDEX('Resource use and costs'!$CR$11:$CR$53,MATCH(DA391,'Resource use and costs'!$BA$11:$BA$53,0)),0)*_xlfn.IFNA(INDEX(EA$10:EA$23,MATCH($DA391,$DX$10:$DX$23,0)),0))</f>
        <v>848.17532499999982</v>
      </c>
      <c r="DL391" s="909">
        <f>IF(dd_PartSA_2_lines = "Yes",0,_xlfn.IFNA(INDEX('Resource use and costs'!$CS$11:$CS$53,MATCH(DB391,'Resource use and costs'!$BA$11:$BA$53,0)),0)*_xlfn.IFNA(INDEX(EC$10:EC$23,MATCH($DB391,$DX$10:$DX$23,0)),0))</f>
        <v>0</v>
      </c>
      <c r="DM391" s="909">
        <f t="shared" si="221"/>
        <v>20089.20753</v>
      </c>
      <c r="DN391" s="909">
        <f>SUM(_xlfn.IFNA(INDEX('Resource use and costs'!$DU$12:$DU$25,MATCH(CZ391,'Resource use and costs'!$DS$12:$DS$25,0)),0),_xlfn.IFNA(INDEX('Resource use and costs'!$DU$12:$DU$25,MATCH(DA391,'Resource use and costs'!$DS$12:$DS$25,0)),0),_xlfn.IFNA(INDEX('Resource use and costs'!$DU$12:$DU$25,MATCH(DB391,'Resource use and costs'!$DS$12:$DS$25,0)),0))</f>
        <v>394.5</v>
      </c>
      <c r="DO391" s="921">
        <f>_xlfn.IFNA(INDEX('Resource use and costs'!$DY$12:$DY$25,MATCH(CZ391,'Resource use and costs'!$DS$12:$DS$25,0)),0)*_xlfn.IFNA(INDEX(DY$10:DY$23,MATCH($CZ391,$DX$10:$DX$23,0)),0)</f>
        <v>240.71806000000001</v>
      </c>
      <c r="DP391" s="921">
        <f>IF(dd_PartSA_2_lines = "Yes",0,_xlfn.IFNA(INDEX('Resource use and costs'!$DZ$12:$DZ$25,MATCH(DA391,'Resource use and costs'!$DS$12:$DS$25,0)),0)*_xlfn.IFNA(INDEX(EA$10:EA$23,MATCH($DA391,$DX$10:$DX$23,0)),0))</f>
        <v>74.50928571428571</v>
      </c>
      <c r="DQ391" s="921">
        <f>IF(dd_PartSA_2_lines = "Yes",0,_xlfn.IFNA(INDEX('Resource use and costs'!$EA$12:$EA$25,MATCH(DB391,'Resource use and costs'!$DS$12:$DS$25,0)),0)*_xlfn.IFNA(INDEX(EC$10:EC$23,MATCH($DB391,$DX$10:$DX$23,0)),0))</f>
        <v>0</v>
      </c>
      <c r="DR391" s="921">
        <f t="shared" si="222"/>
        <v>709.72734571428578</v>
      </c>
      <c r="DS391" s="1004">
        <f ca="1">SUMIFS('Safety parameters'!$DM$6:$DM$18,'Safety parameters'!$DK$6:$DK$18,CZ391,'Safety parameters'!$DL$6:$DL$18,1)+IF(dd_PartSA_2_lines = "Yes",0,SUMIFS('Safety parameters'!$DM$6:$DM$18,'Safety parameters'!$DK$6:$DK$18,DA391,'Safety parameters'!$DL$6:$DL$18,2)+SUMIFS('Safety parameters'!$DM$6:$DM$18,'Safety parameters'!$DK$6:$DK$18,DB391,'Safety parameters'!$DL$6:$DL$18,2))</f>
        <v>332.87538337531487</v>
      </c>
      <c r="DT391" s="910">
        <f ca="1">SUMIFS('Safety parameters'!$DO$6:$DO$18,'Safety parameters'!$DK$6:$DK$18,CZ391,'Safety parameters'!$DL$6:$DL$18,1)+IF(dd_PartSA_2_lines = "Yes",0,SUMIFS('Safety parameters'!$DO$6:$DO$18,'Safety parameters'!$DK$6:$DK$18,DA391,'Safety parameters'!$DL$6:$DL$18,2)+SUMIFS('Safety parameters'!$DO$6:$DO$18,'Safety parameters'!$DK$6:$DK$18,DB391,'Safety parameters'!$DL$6:$DL$18,2))</f>
        <v>-2.6675735366377194E-3</v>
      </c>
    </row>
    <row r="392" spans="89:124" ht="15" x14ac:dyDescent="0.2">
      <c r="CK392" s="61" t="s">
        <v>31</v>
      </c>
      <c r="CL392" s="61">
        <v>3</v>
      </c>
      <c r="CM392" s="61" t="str">
        <v>pazopanib</v>
      </c>
      <c r="CN392" s="17">
        <v>5</v>
      </c>
      <c r="CO392" s="61" t="str" cm="1">
        <f t="array" ref="CO392">INDEX(List_comparators,CP391+1)</f>
        <v>everolimus</v>
      </c>
      <c r="CP392" s="17">
        <v>10</v>
      </c>
      <c r="CQ392" s="601">
        <f t="shared" ca="1" si="235"/>
        <v>0</v>
      </c>
      <c r="CR392" s="601">
        <f t="shared" ca="1" si="236"/>
        <v>0</v>
      </c>
      <c r="CS392" s="671">
        <f t="shared" ca="1" si="238"/>
        <v>13.547142857142855</v>
      </c>
      <c r="CT392" s="671">
        <f t="shared" ca="1" si="237"/>
        <v>3.2057142857142855</v>
      </c>
      <c r="CU392" s="1123">
        <f>MATCH(CZ399,'Resource use and costs'!$BA$11:$BA$53,0)</f>
        <v>30</v>
      </c>
      <c r="CV392" s="1223"/>
      <c r="CW392" s="1241">
        <f t="shared" si="220"/>
        <v>1</v>
      </c>
      <c r="CX392" s="899" t="s">
        <v>773</v>
      </c>
      <c r="CY392" s="899" t="s">
        <v>117</v>
      </c>
      <c r="CZ392" s="899" t="s">
        <v>327</v>
      </c>
      <c r="DA392" s="899" t="s">
        <v>579</v>
      </c>
      <c r="DB392" s="899" t="s">
        <v>765</v>
      </c>
      <c r="DC392" s="899" cm="1">
        <f t="array" aca="1" ref="DC392" ca="1">_xlfn.IFNA(OFFSET($I$49,MATCH(CY392,$I$50:$I$63,0),MATCH(CZ392,TRANSPOSE($J$49:$W$49),0)),0)</f>
        <v>4.4700000000000011E-2</v>
      </c>
      <c r="DD392" s="899" cm="1">
        <f t="array" aca="1" ref="DD392" ca="1">_xlfn.IFNA(OFFSET($Y$49,MATCH($CZ392,$Y$50:$Y$63,0),MATCH($DA392,TRANSPOSE($Z$49:$AM$49),0)),0)</f>
        <v>0.32850000000000001</v>
      </c>
      <c r="DE392" s="899" cm="1">
        <f t="array" aca="1" ref="DE392" ca="1">_xlfn.IFNA(OFFSET($AO$49,MATCH($DA392,$AO$50:$AO$63,0),MATCH($DB392,TRANSPOSE($AP$49:$BC$49),0)),0)</f>
        <v>0.43140000000000001</v>
      </c>
      <c r="DF392" s="881">
        <f t="shared" ca="1" si="217"/>
        <v>6.3346560300000018E-3</v>
      </c>
      <c r="DG392" s="910">
        <f t="shared" ca="1" si="218"/>
        <v>0.99547352429578406</v>
      </c>
      <c r="DH392" s="881">
        <f t="shared" ca="1" si="219"/>
        <v>6.3059823633856418E-3</v>
      </c>
      <c r="DI392" s="1460">
        <f t="shared" ca="1" si="239"/>
        <v>2.0557502504637193</v>
      </c>
      <c r="DJ392" s="909">
        <f>_xlfn.IFNA(INDEX('Resource use and costs'!$CQ$11:$CQ$53,MATCH($CZ392,'Resource use and costs'!$BA$11:$BA$53,0)),0)*_xlfn.IFNA(INDEX(DY$10:DY$23,MATCH($CZ392,$DX$10:$DX$23,0)),0)</f>
        <v>19241.032205</v>
      </c>
      <c r="DK392" s="909">
        <f>IF(dd_PartSA_2_lines = "Yes",0,_xlfn.IFNA(INDEX('Resource use and costs'!$CR$11:$CR$53,MATCH(DA392,'Resource use and costs'!$BA$11:$BA$53,0)),0)*_xlfn.IFNA(INDEX(EA$10:EA$23,MATCH($DA392,$DX$10:$DX$23,0)),0))</f>
        <v>26054.50921</v>
      </c>
      <c r="DL392" s="909">
        <f>IF(dd_PartSA_2_lines = "Yes",0,_xlfn.IFNA(INDEX('Resource use and costs'!$CS$11:$CS$53,MATCH(DB392,'Resource use and costs'!$BA$11:$BA$53,0)),0)*_xlfn.IFNA(INDEX(EC$10:EC$23,MATCH($DB392,$DX$10:$DX$23,0)),0))</f>
        <v>0</v>
      </c>
      <c r="DM392" s="909">
        <f t="shared" si="221"/>
        <v>45295.541415</v>
      </c>
      <c r="DN392" s="909">
        <f>SUM(_xlfn.IFNA(INDEX('Resource use and costs'!$DU$12:$DU$25,MATCH(CZ392,'Resource use and costs'!$DS$12:$DS$25,0)),0),_xlfn.IFNA(INDEX('Resource use and costs'!$DU$12:$DU$25,MATCH(DA392,'Resource use and costs'!$DS$12:$DS$25,0)),0),_xlfn.IFNA(INDEX('Resource use and costs'!$DU$12:$DU$25,MATCH(DB392,'Resource use and costs'!$DS$12:$DS$25,0)),0))</f>
        <v>197.25</v>
      </c>
      <c r="DO392" s="921">
        <f>_xlfn.IFNA(INDEX('Resource use and costs'!$DY$12:$DY$25,MATCH(CZ392,'Resource use and costs'!$DS$12:$DS$25,0)),0)*_xlfn.IFNA(INDEX(DY$10:DY$23,MATCH($CZ392,$DX$10:$DX$23,0)),0)</f>
        <v>240.71806000000001</v>
      </c>
      <c r="DP392" s="921">
        <f>IF(dd_PartSA_2_lines = "Yes",0,_xlfn.IFNA(INDEX('Resource use and costs'!$DZ$12:$DZ$25,MATCH(DA392,'Resource use and costs'!$DS$12:$DS$25,0)),0)*_xlfn.IFNA(INDEX(EA$10:EA$23,MATCH($DA392,$DX$10:$DX$23,0)),0))</f>
        <v>4108.3597166</v>
      </c>
      <c r="DQ392" s="921">
        <f>IF(dd_PartSA_2_lines = "Yes",0,_xlfn.IFNA(INDEX('Resource use and costs'!$EA$12:$EA$25,MATCH(DB392,'Resource use and costs'!$DS$12:$DS$25,0)),0)*_xlfn.IFNA(INDEX(EC$10:EC$23,MATCH($DB392,$DX$10:$DX$23,0)),0))</f>
        <v>0</v>
      </c>
      <c r="DR392" s="921">
        <f t="shared" si="222"/>
        <v>4546.3277766000001</v>
      </c>
      <c r="DS392" s="1004">
        <f ca="1">SUMIFS('Safety parameters'!$DM$6:$DM$18,'Safety parameters'!$DK$6:$DK$18,CZ392,'Safety parameters'!$DL$6:$DL$18,1)+IF(dd_PartSA_2_lines = "Yes",0,SUMIFS('Safety parameters'!$DM$6:$DM$18,'Safety parameters'!$DK$6:$DK$18,DA392,'Safety parameters'!$DL$6:$DL$18,2)+SUMIFS('Safety parameters'!$DM$6:$DM$18,'Safety parameters'!$DK$6:$DK$18,DB392,'Safety parameters'!$DL$6:$DL$18,2))</f>
        <v>161.1337489904144</v>
      </c>
      <c r="DT392" s="910">
        <f ca="1">SUMIFS('Safety parameters'!$DO$6:$DO$18,'Safety parameters'!$DK$6:$DK$18,CZ392,'Safety parameters'!$DL$6:$DL$18,1)+IF(dd_PartSA_2_lines = "Yes",0,SUMIFS('Safety parameters'!$DO$6:$DO$18,'Safety parameters'!$DK$6:$DK$18,DA392,'Safety parameters'!$DL$6:$DL$18,2)+SUMIFS('Safety parameters'!$DO$6:$DO$18,'Safety parameters'!$DK$6:$DK$18,DB392,'Safety parameters'!$DL$6:$DL$18,2))</f>
        <v>-1.5970841976847864E-3</v>
      </c>
    </row>
    <row r="393" spans="89:124" ht="15" x14ac:dyDescent="0.2">
      <c r="CK393" s="61" t="s">
        <v>31</v>
      </c>
      <c r="CL393" s="61">
        <v>3</v>
      </c>
      <c r="CM393" s="61" t="str">
        <v>tivozanib</v>
      </c>
      <c r="CN393" s="17">
        <v>6</v>
      </c>
      <c r="CO393" s="61" t="str" cm="1">
        <f t="array" ref="CO393">INDEX(List_comparators,CP392+1)</f>
        <v>everolimus</v>
      </c>
      <c r="CP393" s="17">
        <v>10</v>
      </c>
      <c r="CQ393" s="601">
        <f t="shared" ca="1" si="235"/>
        <v>4.6899999999999997E-2</v>
      </c>
      <c r="CR393" s="601">
        <f t="shared" ca="1" si="236"/>
        <v>4.6899999999999997E-3</v>
      </c>
      <c r="CS393" s="671">
        <f t="shared" ca="1" si="238"/>
        <v>13.547142857142855</v>
      </c>
      <c r="CT393" s="671">
        <f t="shared" ca="1" si="237"/>
        <v>3.2057142857142855</v>
      </c>
      <c r="CU393" s="1123">
        <f>MATCH(CZ400,'Resource use and costs'!$BA$11:$BA$53,0)</f>
        <v>30</v>
      </c>
      <c r="CV393" s="1223"/>
      <c r="CW393" s="1241">
        <f t="shared" si="220"/>
        <v>1</v>
      </c>
      <c r="CX393" s="899" t="s">
        <v>773</v>
      </c>
      <c r="CY393" s="899" t="s">
        <v>117</v>
      </c>
      <c r="CZ393" s="899" t="s">
        <v>327</v>
      </c>
      <c r="DA393" s="899" t="s">
        <v>579</v>
      </c>
      <c r="DB393" s="899" t="s">
        <v>119</v>
      </c>
      <c r="DC393" s="899" cm="1">
        <f t="array" aca="1" ref="DC393" ca="1">_xlfn.IFNA(OFFSET($I$49,MATCH(CY393,$I$50:$I$63,0),MATCH(CZ393,TRANSPOSE($J$49:$W$49),0)),0)</f>
        <v>4.4700000000000011E-2</v>
      </c>
      <c r="DD393" s="899" cm="1">
        <f t="array" aca="1" ref="DD393" ca="1">_xlfn.IFNA(OFFSET($Y$49,MATCH($CZ393,$Y$50:$Y$63,0),MATCH($DA393,TRANSPOSE($Z$49:$AM$49),0)),0)</f>
        <v>0.32850000000000001</v>
      </c>
      <c r="DE393" s="899">
        <f ca="1">1-DE392</f>
        <v>0.56859999999999999</v>
      </c>
      <c r="DF393" s="881">
        <f t="shared" ca="1" si="217"/>
        <v>8.3492939700000029E-3</v>
      </c>
      <c r="DG393" s="910">
        <f t="shared" ca="1" si="218"/>
        <v>0.99547352429578406</v>
      </c>
      <c r="DH393" s="881">
        <f t="shared" ca="1" si="219"/>
        <v>8.3115010936974411E-3</v>
      </c>
      <c r="DI393" s="1460">
        <f t="shared" ca="1" si="239"/>
        <v>2.7095493565453657</v>
      </c>
      <c r="DJ393" s="909">
        <f>_xlfn.IFNA(INDEX('Resource use and costs'!$CQ$11:$CQ$53,MATCH($CZ393,'Resource use and costs'!$BA$11:$BA$53,0)),0)*_xlfn.IFNA(INDEX(DY$10:DY$23,MATCH($CZ393,$DX$10:$DX$23,0)),0)</f>
        <v>19241.032205</v>
      </c>
      <c r="DK393" s="909">
        <f>IF(dd_PartSA_2_lines = "Yes",0,_xlfn.IFNA(INDEX('Resource use and costs'!$CR$11:$CR$53,MATCH(DA393,'Resource use and costs'!$BA$11:$BA$53,0)),0)*_xlfn.IFNA(INDEX(EA$10:EA$23,MATCH($DA393,$DX$10:$DX$23,0)),0))</f>
        <v>26054.50921</v>
      </c>
      <c r="DL393" s="909">
        <f>IF(dd_PartSA_2_lines = "Yes",0,_xlfn.IFNA(INDEX('Resource use and costs'!$CS$11:$CS$53,MATCH(DB393,'Resource use and costs'!$BA$11:$BA$53,0)),0)*_xlfn.IFNA(INDEX(EC$10:EC$23,MATCH($DB393,$DX$10:$DX$23,0)),0))</f>
        <v>2915.4763433333328</v>
      </c>
      <c r="DM393" s="909">
        <f t="shared" si="221"/>
        <v>48211.017758333335</v>
      </c>
      <c r="DN393" s="909">
        <f>SUM(_xlfn.IFNA(INDEX('Resource use and costs'!$DU$12:$DU$25,MATCH(CZ393,'Resource use and costs'!$DS$12:$DS$25,0)),0),_xlfn.IFNA(INDEX('Resource use and costs'!$DU$12:$DU$25,MATCH(DA393,'Resource use and costs'!$DS$12:$DS$25,0)),0),_xlfn.IFNA(INDEX('Resource use and costs'!$DU$12:$DU$25,MATCH(DB393,'Resource use and costs'!$DS$12:$DS$25,0)),0))</f>
        <v>394.5</v>
      </c>
      <c r="DO393" s="921">
        <f>_xlfn.IFNA(INDEX('Resource use and costs'!$DY$12:$DY$25,MATCH(CZ393,'Resource use and costs'!$DS$12:$DS$25,0)),0)*_xlfn.IFNA(INDEX(DY$10:DY$23,MATCH($CZ393,$DX$10:$DX$23,0)),0)</f>
        <v>240.71806000000001</v>
      </c>
      <c r="DP393" s="921">
        <f>IF(dd_PartSA_2_lines = "Yes",0,_xlfn.IFNA(INDEX('Resource use and costs'!$DZ$12:$DZ$25,MATCH(DA393,'Resource use and costs'!$DS$12:$DS$25,0)),0)*_xlfn.IFNA(INDEX(EA$10:EA$23,MATCH($DA393,$DX$10:$DX$23,0)),0))</f>
        <v>4108.3597166</v>
      </c>
      <c r="DQ393" s="921">
        <f>IF(dd_PartSA_2_lines = "Yes",0,_xlfn.IFNA(INDEX('Resource use and costs'!$EA$12:$EA$25,MATCH(DB393,'Resource use and costs'!$DS$12:$DS$25,0)),0)*_xlfn.IFNA(INDEX(EC$10:EC$23,MATCH($DB393,$DX$10:$DX$23,0)),0))</f>
        <v>256.11457142857142</v>
      </c>
      <c r="DR393" s="921">
        <f t="shared" si="222"/>
        <v>4999.6923480285714</v>
      </c>
      <c r="DS393" s="1004">
        <f ca="1">SUMIFS('Safety parameters'!$DM$6:$DM$18,'Safety parameters'!$DK$6:$DK$18,CZ393,'Safety parameters'!$DL$6:$DL$18,1)+IF(dd_PartSA_2_lines = "Yes",0,SUMIFS('Safety parameters'!$DM$6:$DM$18,'Safety parameters'!$DK$6:$DK$18,DA393,'Safety parameters'!$DL$6:$DL$18,2)+SUMIFS('Safety parameters'!$DM$6:$DM$18,'Safety parameters'!$DK$6:$DK$18,DB393,'Safety parameters'!$DL$6:$DL$18,2))</f>
        <v>494.00913236572927</v>
      </c>
      <c r="DT393" s="910">
        <f ca="1">SUMIFS('Safety parameters'!$DO$6:$DO$18,'Safety parameters'!$DK$6:$DK$18,CZ393,'Safety parameters'!$DL$6:$DL$18,1)+IF(dd_PartSA_2_lines = "Yes",0,SUMIFS('Safety parameters'!$DO$6:$DO$18,'Safety parameters'!$DK$6:$DK$18,DA393,'Safety parameters'!$DL$6:$DL$18,2)+SUMIFS('Safety parameters'!$DO$6:$DO$18,'Safety parameters'!$DK$6:$DK$18,DB393,'Safety parameters'!$DL$6:$DL$18,2))</f>
        <v>-4.2646577343225054E-3</v>
      </c>
    </row>
    <row r="394" spans="89:124" ht="15" x14ac:dyDescent="0.2">
      <c r="CK394" s="61" t="s">
        <v>31</v>
      </c>
      <c r="CL394" s="61">
        <v>3</v>
      </c>
      <c r="CM394" s="61" t="str">
        <v>sunitinib</v>
      </c>
      <c r="CN394" s="17">
        <v>7</v>
      </c>
      <c r="CO394" s="61" t="str" cm="1">
        <f t="array" ref="CO394">INDEX(List_comparators,CP393+1)</f>
        <v>everolimus</v>
      </c>
      <c r="CP394" s="17">
        <v>10</v>
      </c>
      <c r="CQ394" s="601">
        <f t="shared" ca="1" si="235"/>
        <v>0</v>
      </c>
      <c r="CR394" s="601">
        <f t="shared" ca="1" si="236"/>
        <v>0</v>
      </c>
      <c r="CS394" s="671">
        <f t="shared" ca="1" si="238"/>
        <v>13.547142857142855</v>
      </c>
      <c r="CT394" s="671">
        <f t="shared" ca="1" si="237"/>
        <v>3.2057142857142855</v>
      </c>
      <c r="CU394" s="1123">
        <f>MATCH(CZ401,'Resource use and costs'!$BA$11:$BA$53,0)</f>
        <v>30</v>
      </c>
      <c r="CV394" s="1223"/>
      <c r="CW394" s="1241">
        <f t="shared" si="220"/>
        <v>0</v>
      </c>
      <c r="CX394" s="899" t="s">
        <v>773</v>
      </c>
      <c r="CY394" s="899" t="s">
        <v>117</v>
      </c>
      <c r="CZ394" s="899" t="s">
        <v>765</v>
      </c>
      <c r="DA394" s="899"/>
      <c r="DB394" s="899"/>
      <c r="DC394" s="899" cm="1">
        <f t="array" aca="1" ref="DC394" ca="1">_xlfn.IFNA(OFFSET($I$49,MATCH(CY394,$I$50:$I$63,0),MATCH(CZ394,TRANSPOSE($J$49:$W$49),0)),0)</f>
        <v>0.32569999999999999</v>
      </c>
      <c r="DD394" s="899" cm="1">
        <f t="array" aca="1" ref="DD394" ca="1">_xlfn.IFNA(OFFSET($Y$49,MATCH($CZ394,$Y$50:$Y$63,0),MATCH($DA394,TRANSPOSE($Z$49:$AM$49),0)),0)</f>
        <v>0</v>
      </c>
      <c r="DE394" s="899" cm="1">
        <f t="array" aca="1" ref="DE394" ca="1">_xlfn.IFNA(OFFSET($AO$49,MATCH($DA394,$AO$50:$AO$63,0),MATCH($DB394,TRANSPOSE($AP$49:$BC$49),0)),0)</f>
        <v>0</v>
      </c>
      <c r="DF394" s="881">
        <f t="shared" ca="1" si="217"/>
        <v>0.32569999999999999</v>
      </c>
      <c r="DG394" s="910">
        <f t="shared" ca="1" si="218"/>
        <v>0.99547352429578406</v>
      </c>
      <c r="DH394" s="881">
        <f t="shared" ca="1" si="219"/>
        <v>0.32569999999999999</v>
      </c>
      <c r="DI394" s="1460">
        <f t="shared" ca="1" si="239"/>
        <v>106.17819999999999</v>
      </c>
      <c r="DJ394" s="909">
        <f>_xlfn.IFNA(INDEX('Resource use and costs'!$CQ$11:$CQ$53,MATCH($CZ394,'Resource use and costs'!$BA$11:$BA$53,0)),0)*_xlfn.IFNA(INDEX(DY$10:DY$23,MATCH($CZ394,$DX$10:$DX$23,0)),0)</f>
        <v>0</v>
      </c>
      <c r="DK394" s="909">
        <f>IF(dd_PartSA_2_lines = "Yes",0,_xlfn.IFNA(INDEX('Resource use and costs'!$CR$11:$CR$53,MATCH(DA394,'Resource use and costs'!$BA$11:$BA$53,0)),0)*_xlfn.IFNA(INDEX(EA$10:EA$23,MATCH($DA394,$DX$10:$DX$23,0)),0))</f>
        <v>0</v>
      </c>
      <c r="DL394" s="909">
        <f>IF(dd_PartSA_2_lines = "Yes",0,_xlfn.IFNA(INDEX('Resource use and costs'!$CS$11:$CS$53,MATCH(DB394,'Resource use and costs'!$BA$11:$BA$53,0)),0)*_xlfn.IFNA(INDEX(EC$10:EC$23,MATCH($DB394,$DX$10:$DX$23,0)),0))</f>
        <v>0</v>
      </c>
      <c r="DM394" s="909">
        <f t="shared" si="221"/>
        <v>0</v>
      </c>
      <c r="DN394" s="909">
        <f>SUM(_xlfn.IFNA(INDEX('Resource use and costs'!$DU$12:$DU$25,MATCH(CZ394,'Resource use and costs'!$DS$12:$DS$25,0)),0),_xlfn.IFNA(INDEX('Resource use and costs'!$DU$12:$DU$25,MATCH(DA394,'Resource use and costs'!$DS$12:$DS$25,0)),0),_xlfn.IFNA(INDEX('Resource use and costs'!$DU$12:$DU$25,MATCH(DB394,'Resource use and costs'!$DS$12:$DS$25,0)),0))</f>
        <v>0</v>
      </c>
      <c r="DO394" s="921">
        <f>_xlfn.IFNA(INDEX('Resource use and costs'!$DY$12:$DY$25,MATCH(CZ394,'Resource use and costs'!$DS$12:$DS$25,0)),0)*_xlfn.IFNA(INDEX(DY$10:DY$23,MATCH($CZ394,$DX$10:$DX$23,0)),0)</f>
        <v>0</v>
      </c>
      <c r="DP394" s="921">
        <f>IF(dd_PartSA_2_lines = "Yes",0,_xlfn.IFNA(INDEX('Resource use and costs'!$DZ$12:$DZ$25,MATCH(DA394,'Resource use and costs'!$DS$12:$DS$25,0)),0)*_xlfn.IFNA(INDEX(EA$10:EA$23,MATCH($DA394,$DX$10:$DX$23,0)),0))</f>
        <v>0</v>
      </c>
      <c r="DQ394" s="921">
        <f>IF(dd_PartSA_2_lines = "Yes",0,_xlfn.IFNA(INDEX('Resource use and costs'!$EA$12:$EA$25,MATCH(DB394,'Resource use and costs'!$DS$12:$DS$25,0)),0)*_xlfn.IFNA(INDEX(EC$10:EC$23,MATCH($DB394,$DX$10:$DX$23,0)),0))</f>
        <v>0</v>
      </c>
      <c r="DR394" s="921">
        <f t="shared" si="222"/>
        <v>0</v>
      </c>
      <c r="DS394" s="1004">
        <f>SUMIFS('Safety parameters'!$DM$6:$DM$18,'Safety parameters'!$DK$6:$DK$18,CZ394,'Safety parameters'!$DL$6:$DL$18,1)+IF(dd_PartSA_2_lines = "Yes",0,SUMIFS('Safety parameters'!$DM$6:$DM$18,'Safety parameters'!$DK$6:$DK$18,DA394,'Safety parameters'!$DL$6:$DL$18,2)+SUMIFS('Safety parameters'!$DM$6:$DM$18,'Safety parameters'!$DK$6:$DK$18,DB394,'Safety parameters'!$DL$6:$DL$18,2))</f>
        <v>0</v>
      </c>
      <c r="DT394" s="910">
        <f>SUMIFS('Safety parameters'!$DO$6:$DO$18,'Safety parameters'!$DK$6:$DK$18,CZ394,'Safety parameters'!$DL$6:$DL$18,1)+IF(dd_PartSA_2_lines = "Yes",0,SUMIFS('Safety parameters'!$DO$6:$DO$18,'Safety parameters'!$DK$6:$DK$18,DA394,'Safety parameters'!$DL$6:$DL$18,2)+SUMIFS('Safety parameters'!$DO$6:$DO$18,'Safety parameters'!$DK$6:$DK$18,DB394,'Safety parameters'!$DL$6:$DL$18,2))</f>
        <v>0</v>
      </c>
    </row>
    <row r="395" spans="89:124" ht="15" x14ac:dyDescent="0.2">
      <c r="CK395" s="61" t="s">
        <v>31</v>
      </c>
      <c r="CL395" s="61">
        <v>3</v>
      </c>
      <c r="CM395" s="61" t="str">
        <v>cabozantinib</v>
      </c>
      <c r="CN395" s="17">
        <v>8</v>
      </c>
      <c r="CO395" s="61" t="str" cm="1">
        <f t="array" ref="CO395">INDEX(List_comparators,CP394+1)</f>
        <v>everolimus</v>
      </c>
      <c r="CP395" s="17">
        <v>10</v>
      </c>
      <c r="CQ395" s="601">
        <f t="shared" ca="1" si="235"/>
        <v>6.5699999999999995E-2</v>
      </c>
      <c r="CR395" s="601">
        <f t="shared" ca="1" si="236"/>
        <v>6.5699999999999995E-3</v>
      </c>
      <c r="CS395" s="671">
        <f t="shared" ca="1" si="238"/>
        <v>13.547142857142855</v>
      </c>
      <c r="CT395" s="671">
        <f t="shared" ca="1" si="237"/>
        <v>3.2057142857142855</v>
      </c>
      <c r="CU395" s="1123">
        <f>MATCH(CZ402,'Resource use and costs'!$BA$11:$BA$53,0)</f>
        <v>30</v>
      </c>
      <c r="CV395" s="1223"/>
      <c r="CW395" s="1241">
        <f t="shared" si="220"/>
        <v>1</v>
      </c>
      <c r="CX395" s="899" t="s">
        <v>773</v>
      </c>
      <c r="CY395" s="899" t="s">
        <v>117</v>
      </c>
      <c r="CZ395" s="899" t="s">
        <v>118</v>
      </c>
      <c r="DA395" s="899" t="s">
        <v>327</v>
      </c>
      <c r="DB395" s="899" t="s">
        <v>765</v>
      </c>
      <c r="DC395" s="899">
        <f ca="1">1-DC388-DC394-DC403-DC415</f>
        <v>0.24580000000000002</v>
      </c>
      <c r="DD395" s="899" cm="1">
        <f t="array" aca="1" ref="DD395" ca="1">_xlfn.IFNA(OFFSET($Y$49,MATCH($CZ395,$Y$50:$Y$63,0),MATCH($DA395,TRANSPOSE($Z$49:$AM$49),0)),0)</f>
        <v>0.122</v>
      </c>
      <c r="DE395" s="899" cm="1">
        <f t="array" aca="1" ref="DE395" ca="1">_xlfn.IFNA(OFFSET($AO$49,MATCH($DA395,$AO$50:$AO$63,0),MATCH($DB395,TRANSPOSE($AP$49:$BC$49),0)),0)</f>
        <v>0.43140000000000001</v>
      </c>
      <c r="DF395" s="881">
        <f t="shared" ca="1" si="217"/>
        <v>1.2936650640000002E-2</v>
      </c>
      <c r="DG395" s="910">
        <f t="shared" ref="DG395:DG458" ca="1" si="240">IF(dd_reduceBSC="No",(1-SUMIFS($DF$11:$DF$779,$CY$11:$CY$779,CY395,$CX$11:$CX$779,CX395,$CW$11:$CW$779,0))/SUMIFS($DF$11:$DF$779,$CY$11:$CY$779,CY395,$CX$11:$CX$779,CX395,$CW$11:$CW$779,1),1/SUMIFS($DF$11:$DF$779,$CY$11:$CY$779,CY395,$CX$11:$CX$779,CX395,$CW$11:$CW$779,1))</f>
        <v>0.99547352429578406</v>
      </c>
      <c r="DH395" s="881">
        <f t="shared" ca="1" si="219"/>
        <v>1.2878093205184113E-2</v>
      </c>
      <c r="DI395" s="1460">
        <f t="shared" ca="1" si="239"/>
        <v>4.1982583848900212</v>
      </c>
      <c r="DJ395" s="909">
        <f>_xlfn.IFNA(INDEX('Resource use and costs'!$CQ$11:$CQ$53,MATCH($CZ395,'Resource use and costs'!$BA$11:$BA$53,0)),0)*_xlfn.IFNA(INDEX(DY$10:DY$23,MATCH($CZ395,$DX$10:$DX$23,0)),0)</f>
        <v>45284.183573333321</v>
      </c>
      <c r="DK395" s="909">
        <f>IF(dd_PartSA_2_lines = "Yes",0,_xlfn.IFNA(INDEX('Resource use and costs'!$CR$11:$CR$53,MATCH(DA395,'Resource use and costs'!$BA$11:$BA$53,0)),0)*_xlfn.IFNA(INDEX(EA$10:EA$23,MATCH($DA395,$DX$10:$DX$23,0)),0))</f>
        <v>21421.066008214286</v>
      </c>
      <c r="DL395" s="909">
        <f>IF(dd_PartSA_2_lines = "Yes",0,_xlfn.IFNA(INDEX('Resource use and costs'!$CS$11:$CS$53,MATCH(DB395,'Resource use and costs'!$BA$11:$BA$53,0)),0)*_xlfn.IFNA(INDEX(EC$10:EC$23,MATCH($DB395,$DX$10:$DX$23,0)),0))</f>
        <v>0</v>
      </c>
      <c r="DM395" s="909">
        <f t="shared" si="221"/>
        <v>66705.2495815476</v>
      </c>
      <c r="DN395" s="909">
        <f>SUM(_xlfn.IFNA(INDEX('Resource use and costs'!$DU$12:$DU$25,MATCH(CZ395,'Resource use and costs'!$DS$12:$DS$25,0)),0),_xlfn.IFNA(INDEX('Resource use and costs'!$DU$12:$DU$25,MATCH(DA395,'Resource use and costs'!$DS$12:$DS$25,0)),0),_xlfn.IFNA(INDEX('Resource use and costs'!$DU$12:$DU$25,MATCH(DB395,'Resource use and costs'!$DS$12:$DS$25,0)),0))</f>
        <v>394.5</v>
      </c>
      <c r="DO395" s="921">
        <f>_xlfn.IFNA(INDEX('Resource use and costs'!$DY$12:$DY$25,MATCH(CZ395,'Resource use and costs'!$DS$12:$DS$25,0)),0)*_xlfn.IFNA(INDEX(DY$10:DY$23,MATCH($CZ395,$DX$10:$DX$23,0)),0)</f>
        <v>415.09348571428563</v>
      </c>
      <c r="DP395" s="921">
        <f>IF(dd_PartSA_2_lines = "Yes",0,_xlfn.IFNA(INDEX('Resource use and costs'!$DZ$12:$DZ$25,MATCH(DA395,'Resource use and costs'!$DS$12:$DS$25,0)),0)*_xlfn.IFNA(INDEX(EA$10:EA$23,MATCH($DA395,$DX$10:$DX$23,0)),0))</f>
        <v>267.99172714285714</v>
      </c>
      <c r="DQ395" s="921">
        <f>IF(dd_PartSA_2_lines = "Yes",0,_xlfn.IFNA(INDEX('Resource use and costs'!$EA$12:$EA$25,MATCH(DB395,'Resource use and costs'!$DS$12:$DS$25,0)),0)*_xlfn.IFNA(INDEX(EC$10:EC$23,MATCH($DB395,$DX$10:$DX$23,0)),0))</f>
        <v>0</v>
      </c>
      <c r="DR395" s="921">
        <f t="shared" si="222"/>
        <v>1077.5852128571428</v>
      </c>
      <c r="DS395" s="1004">
        <f ca="1">SUMIFS('Safety parameters'!$DM$6:$DM$18,'Safety parameters'!$DK$6:$DK$18,CZ395,'Safety parameters'!$DL$6:$DL$18,1)+IF(dd_PartSA_2_lines = "Yes",0,SUMIFS('Safety parameters'!$DM$6:$DM$18,'Safety parameters'!$DK$6:$DK$18,DA395,'Safety parameters'!$DL$6:$DL$18,2)+SUMIFS('Safety parameters'!$DM$6:$DM$18,'Safety parameters'!$DK$6:$DK$18,DB395,'Safety parameters'!$DL$6:$DL$18,2))</f>
        <v>2366.0578362496171</v>
      </c>
      <c r="DT395" s="910">
        <f ca="1">SUMIFS('Safety parameters'!$DO$6:$DO$18,'Safety parameters'!$DK$6:$DK$18,CZ395,'Safety parameters'!$DL$6:$DL$18,1)+IF(dd_PartSA_2_lines = "Yes",0,SUMIFS('Safety parameters'!$DO$6:$DO$18,'Safety parameters'!$DK$6:$DK$18,DA395,'Safety parameters'!$DL$6:$DL$18,2)+SUMIFS('Safety parameters'!$DO$6:$DO$18,'Safety parameters'!$DK$6:$DK$18,DB395,'Safety parameters'!$DL$6:$DL$18,2))</f>
        <v>-2.125891351595622E-2</v>
      </c>
    </row>
    <row r="396" spans="89:124" ht="15" x14ac:dyDescent="0.2">
      <c r="CK396" s="61" t="s">
        <v>31</v>
      </c>
      <c r="CL396" s="61">
        <v>3</v>
      </c>
      <c r="CM396" s="61" t="str">
        <v>lenvatinib_plus_everolimus</v>
      </c>
      <c r="CN396" s="17">
        <v>9</v>
      </c>
      <c r="CO396" s="61" t="str" cm="1">
        <f t="array" ref="CO396">INDEX(List_comparators,CP395+1)</f>
        <v>everolimus</v>
      </c>
      <c r="CP396" s="17">
        <v>10</v>
      </c>
      <c r="CQ396" s="601">
        <f t="shared" ca="1" si="235"/>
        <v>0</v>
      </c>
      <c r="CR396" s="601">
        <f t="shared" ca="1" si="236"/>
        <v>0</v>
      </c>
      <c r="CS396" s="671">
        <f t="shared" ca="1" si="238"/>
        <v>13.547142857142855</v>
      </c>
      <c r="CT396" s="671">
        <f t="shared" ca="1" si="237"/>
        <v>3.2057142857142855</v>
      </c>
      <c r="CU396" s="1123">
        <f>MATCH(CZ403,'Resource use and costs'!$BA$11:$BA$53,0)</f>
        <v>37</v>
      </c>
      <c r="CV396" s="1223"/>
      <c r="CW396" s="1241">
        <f t="shared" ref="CW396:CW459" si="241">IF(CZ396="BSC",0,1)</f>
        <v>1</v>
      </c>
      <c r="CX396" s="899" t="s">
        <v>773</v>
      </c>
      <c r="CY396" s="899" t="s">
        <v>117</v>
      </c>
      <c r="CZ396" s="899" t="s">
        <v>118</v>
      </c>
      <c r="DA396" s="899" t="s">
        <v>327</v>
      </c>
      <c r="DB396" s="899" t="s">
        <v>119</v>
      </c>
      <c r="DC396" s="899">
        <f t="shared" ref="DC396:DC402" ca="1" si="242">DC395</f>
        <v>0.24580000000000002</v>
      </c>
      <c r="DD396" s="899" cm="1">
        <f t="array" aca="1" ref="DD396" ca="1">_xlfn.IFNA(OFFSET($Y$49,MATCH($CZ396,$Y$50:$Y$63,0),MATCH($DA396,TRANSPOSE($Z$49:$AM$49),0)),0)</f>
        <v>0.122</v>
      </c>
      <c r="DE396" s="899" cm="1">
        <f t="array" aca="1" ref="DE396" ca="1">_xlfn.IFNA(OFFSET($AO$49,MATCH($DA396,$AO$50:$AO$63,0),MATCH($DB396,TRANSPOSE($AP$49:$BC$49),0)),0)</f>
        <v>0.56859999999999999</v>
      </c>
      <c r="DF396" s="881">
        <f t="shared" ca="1" si="217"/>
        <v>1.7050949360000001E-2</v>
      </c>
      <c r="DG396" s="910">
        <f t="shared" ca="1" si="240"/>
        <v>0.99547352429578406</v>
      </c>
      <c r="DH396" s="881">
        <f t="shared" ca="1" si="219"/>
        <v>1.6973768651988144E-2</v>
      </c>
      <c r="DI396" s="1460">
        <f t="shared" ca="1" si="239"/>
        <v>5.5334485805481348</v>
      </c>
      <c r="DJ396" s="909">
        <f>_xlfn.IFNA(INDEX('Resource use and costs'!$CQ$11:$CQ$53,MATCH($CZ396,'Resource use and costs'!$BA$11:$BA$53,0)),0)*_xlfn.IFNA(INDEX(DY$10:DY$23,MATCH($CZ396,$DX$10:$DX$23,0)),0)</f>
        <v>45284.183573333321</v>
      </c>
      <c r="DK396" s="909">
        <f>IF(dd_PartSA_2_lines = "Yes",0,_xlfn.IFNA(INDEX('Resource use and costs'!$CR$11:$CR$53,MATCH(DA396,'Resource use and costs'!$BA$11:$BA$53,0)),0)*_xlfn.IFNA(INDEX(EA$10:EA$23,MATCH($DA396,$DX$10:$DX$23,0)),0))</f>
        <v>21421.066008214286</v>
      </c>
      <c r="DL396" s="909">
        <f>IF(dd_PartSA_2_lines = "Yes",0,_xlfn.IFNA(INDEX('Resource use and costs'!$CS$11:$CS$53,MATCH(DB396,'Resource use and costs'!$BA$11:$BA$53,0)),0)*_xlfn.IFNA(INDEX(EC$10:EC$23,MATCH($DB396,$DX$10:$DX$23,0)),0))</f>
        <v>2915.4763433333328</v>
      </c>
      <c r="DM396" s="909">
        <f t="shared" si="221"/>
        <v>69620.725924880928</v>
      </c>
      <c r="DN396" s="909">
        <f>SUM(_xlfn.IFNA(INDEX('Resource use and costs'!$DU$12:$DU$25,MATCH(CZ396,'Resource use and costs'!$DS$12:$DS$25,0)),0),_xlfn.IFNA(INDEX('Resource use and costs'!$DU$12:$DU$25,MATCH(DA396,'Resource use and costs'!$DS$12:$DS$25,0)),0),_xlfn.IFNA(INDEX('Resource use and costs'!$DU$12:$DU$25,MATCH(DB396,'Resource use and costs'!$DS$12:$DS$25,0)),0))</f>
        <v>591.75</v>
      </c>
      <c r="DO396" s="921">
        <f>_xlfn.IFNA(INDEX('Resource use and costs'!$DY$12:$DY$25,MATCH(CZ396,'Resource use and costs'!$DS$12:$DS$25,0)),0)*_xlfn.IFNA(INDEX(DY$10:DY$23,MATCH($CZ396,$DX$10:$DX$23,0)),0)</f>
        <v>415.09348571428563</v>
      </c>
      <c r="DP396" s="921">
        <f>IF(dd_PartSA_2_lines = "Yes",0,_xlfn.IFNA(INDEX('Resource use and costs'!$DZ$12:$DZ$25,MATCH(DA396,'Resource use and costs'!$DS$12:$DS$25,0)),0)*_xlfn.IFNA(INDEX(EA$10:EA$23,MATCH($DA396,$DX$10:$DX$23,0)),0))</f>
        <v>267.99172714285714</v>
      </c>
      <c r="DQ396" s="921">
        <f>IF(dd_PartSA_2_lines = "Yes",0,_xlfn.IFNA(INDEX('Resource use and costs'!$EA$12:$EA$25,MATCH(DB396,'Resource use and costs'!$DS$12:$DS$25,0)),0)*_xlfn.IFNA(INDEX(EC$10:EC$23,MATCH($DB396,$DX$10:$DX$23,0)),0))</f>
        <v>256.11457142857142</v>
      </c>
      <c r="DR396" s="921">
        <f t="shared" si="222"/>
        <v>1530.9497842857143</v>
      </c>
      <c r="DS396" s="1004">
        <f ca="1">SUMIFS('Safety parameters'!$DM$6:$DM$18,'Safety parameters'!$DK$6:$DK$18,CZ396,'Safety parameters'!$DL$6:$DL$18,1)+IF(dd_PartSA_2_lines = "Yes",0,SUMIFS('Safety parameters'!$DM$6:$DM$18,'Safety parameters'!$DK$6:$DK$18,DA396,'Safety parameters'!$DL$6:$DL$18,2)+SUMIFS('Safety parameters'!$DM$6:$DM$18,'Safety parameters'!$DK$6:$DK$18,DB396,'Safety parameters'!$DL$6:$DL$18,2))</f>
        <v>2698.9332196249325</v>
      </c>
      <c r="DT396" s="910">
        <f ca="1">SUMIFS('Safety parameters'!$DO$6:$DO$18,'Safety parameters'!$DK$6:$DK$18,CZ396,'Safety parameters'!$DL$6:$DL$18,1)+IF(dd_PartSA_2_lines = "Yes",0,SUMIFS('Safety parameters'!$DO$6:$DO$18,'Safety parameters'!$DK$6:$DK$18,DA396,'Safety parameters'!$DL$6:$DL$18,2)+SUMIFS('Safety parameters'!$DO$6:$DO$18,'Safety parameters'!$DK$6:$DK$18,DB396,'Safety parameters'!$DL$6:$DL$18,2))</f>
        <v>-2.3926487052593939E-2</v>
      </c>
    </row>
    <row r="397" spans="89:124" ht="15" x14ac:dyDescent="0.2">
      <c r="CK397" s="61" t="s">
        <v>31</v>
      </c>
      <c r="CL397" s="61">
        <v>3</v>
      </c>
      <c r="CM397" s="61" t="str">
        <v>everolimus</v>
      </c>
      <c r="CN397" s="17">
        <v>10</v>
      </c>
      <c r="CO397" s="61" t="str" cm="1">
        <f t="array" ref="CO397">INDEX(List_comparators,CP396+1)</f>
        <v>everolimus</v>
      </c>
      <c r="CP397" s="17">
        <v>10</v>
      </c>
      <c r="CQ397" s="601">
        <f t="shared" ca="1" si="235"/>
        <v>0</v>
      </c>
      <c r="CR397" s="601">
        <f t="shared" ca="1" si="236"/>
        <v>0</v>
      </c>
      <c r="CS397" s="671">
        <f t="shared" ca="1" si="238"/>
        <v>13.547142857142855</v>
      </c>
      <c r="CT397" s="671">
        <f t="shared" ca="1" si="237"/>
        <v>3.2057142857142855</v>
      </c>
      <c r="CU397" s="1123">
        <f>MATCH(CZ404,'Resource use and costs'!$BA$11:$BA$53,0)</f>
        <v>37</v>
      </c>
      <c r="CV397" s="1223"/>
      <c r="CW397" s="1241">
        <f t="shared" si="241"/>
        <v>1</v>
      </c>
      <c r="CX397" s="899" t="s">
        <v>773</v>
      </c>
      <c r="CY397" s="899" t="s">
        <v>117</v>
      </c>
      <c r="CZ397" s="899" t="s">
        <v>118</v>
      </c>
      <c r="DA397" s="899" t="s">
        <v>765</v>
      </c>
      <c r="DB397" s="899"/>
      <c r="DC397" s="899">
        <f t="shared" ca="1" si="242"/>
        <v>0.24580000000000002</v>
      </c>
      <c r="DD397" s="899" cm="1">
        <f t="array" aca="1" ref="DD397" ca="1">_xlfn.IFNA(OFFSET($Y$49,MATCH($CZ397,$Y$50:$Y$63,0),MATCH($DA397,TRANSPOSE($Z$49:$AM$49),0)),0)</f>
        <v>0.34300000000000003</v>
      </c>
      <c r="DE397" s="899" cm="1">
        <f t="array" aca="1" ref="DE397" ca="1">_xlfn.IFNA(OFFSET($AO$49,MATCH($DA397,$AO$50:$AO$63,0),MATCH($DB397,TRANSPOSE($AP$49:$BC$49),0)),0)</f>
        <v>0</v>
      </c>
      <c r="DF397" s="881">
        <f t="shared" ca="1" si="217"/>
        <v>8.4309400000000007E-2</v>
      </c>
      <c r="DG397" s="910">
        <f t="shared" ca="1" si="240"/>
        <v>0.99547352429578406</v>
      </c>
      <c r="DH397" s="881">
        <f t="shared" ca="1" si="219"/>
        <v>8.3927775549262978E-2</v>
      </c>
      <c r="DI397" s="1460">
        <f t="shared" ca="1" si="239"/>
        <v>27.36045482905973</v>
      </c>
      <c r="DJ397" s="909">
        <f>_xlfn.IFNA(INDEX('Resource use and costs'!$CQ$11:$CQ$53,MATCH($CZ397,'Resource use and costs'!$BA$11:$BA$53,0)),0)*_xlfn.IFNA(INDEX(DY$10:DY$23,MATCH($CZ397,$DX$10:$DX$23,0)),0)</f>
        <v>45284.183573333321</v>
      </c>
      <c r="DK397" s="909">
        <f>IF(dd_PartSA_2_lines = "Yes",0,_xlfn.IFNA(INDEX('Resource use and costs'!$CR$11:$CR$53,MATCH(DA397,'Resource use and costs'!$BA$11:$BA$53,0)),0)*_xlfn.IFNA(INDEX(EA$10:EA$23,MATCH($DA397,$DX$10:$DX$23,0)),0))</f>
        <v>0</v>
      </c>
      <c r="DL397" s="909">
        <f>IF(dd_PartSA_2_lines = "Yes",0,_xlfn.IFNA(INDEX('Resource use and costs'!$CS$11:$CS$53,MATCH(DB397,'Resource use and costs'!$BA$11:$BA$53,0)),0)*_xlfn.IFNA(INDEX(EC$10:EC$23,MATCH($DB397,$DX$10:$DX$23,0)),0))</f>
        <v>0</v>
      </c>
      <c r="DM397" s="909">
        <f t="shared" si="221"/>
        <v>45284.183573333321</v>
      </c>
      <c r="DN397" s="909">
        <f>SUM(_xlfn.IFNA(INDEX('Resource use and costs'!$DU$12:$DU$25,MATCH(CZ397,'Resource use and costs'!$DS$12:$DS$25,0)),0),_xlfn.IFNA(INDEX('Resource use and costs'!$DU$12:$DU$25,MATCH(DA397,'Resource use and costs'!$DS$12:$DS$25,0)),0),_xlfn.IFNA(INDEX('Resource use and costs'!$DU$12:$DU$25,MATCH(DB397,'Resource use and costs'!$DS$12:$DS$25,0)),0))</f>
        <v>197.25</v>
      </c>
      <c r="DO397" s="921">
        <f>_xlfn.IFNA(INDEX('Resource use and costs'!$DY$12:$DY$25,MATCH(CZ397,'Resource use and costs'!$DS$12:$DS$25,0)),0)*_xlfn.IFNA(INDEX(DY$10:DY$23,MATCH($CZ397,$DX$10:$DX$23,0)),0)</f>
        <v>415.09348571428563</v>
      </c>
      <c r="DP397" s="921">
        <f>IF(dd_PartSA_2_lines = "Yes",0,_xlfn.IFNA(INDEX('Resource use and costs'!$DZ$12:$DZ$25,MATCH(DA397,'Resource use and costs'!$DS$12:$DS$25,0)),0)*_xlfn.IFNA(INDEX(EA$10:EA$23,MATCH($DA397,$DX$10:$DX$23,0)),0))</f>
        <v>0</v>
      </c>
      <c r="DQ397" s="921">
        <f>IF(dd_PartSA_2_lines = "Yes",0,_xlfn.IFNA(INDEX('Resource use and costs'!$EA$12:$EA$25,MATCH(DB397,'Resource use and costs'!$DS$12:$DS$25,0)),0)*_xlfn.IFNA(INDEX(EC$10:EC$23,MATCH($DB397,$DX$10:$DX$23,0)),0))</f>
        <v>0</v>
      </c>
      <c r="DR397" s="921">
        <f t="shared" si="222"/>
        <v>612.34348571428563</v>
      </c>
      <c r="DS397" s="1004">
        <f ca="1">SUMIFS('Safety parameters'!$DM$6:$DM$18,'Safety parameters'!$DK$6:$DK$18,CZ397,'Safety parameters'!$DL$6:$DL$18,1)+IF(dd_PartSA_2_lines = "Yes",0,SUMIFS('Safety parameters'!$DM$6:$DM$18,'Safety parameters'!$DK$6:$DK$18,DA397,'Safety parameters'!$DL$6:$DL$18,2)+SUMIFS('Safety parameters'!$DM$6:$DM$18,'Safety parameters'!$DK$6:$DK$18,DB397,'Safety parameters'!$DL$6:$DL$18,2))</f>
        <v>731.82916268415761</v>
      </c>
      <c r="DT397" s="910">
        <f ca="1">SUMIFS('Safety parameters'!$DO$6:$DO$18,'Safety parameters'!$DK$6:$DK$18,CZ397,'Safety parameters'!$DL$6:$DL$18,1)+IF(dd_PartSA_2_lines = "Yes",0,SUMIFS('Safety parameters'!$DO$6:$DO$18,'Safety parameters'!$DK$6:$DK$18,DA397,'Safety parameters'!$DL$6:$DL$18,2)+SUMIFS('Safety parameters'!$DO$6:$DO$18,'Safety parameters'!$DK$6:$DK$18,DB397,'Safety parameters'!$DL$6:$DL$18,2))</f>
        <v>-6.5169895084747891E-3</v>
      </c>
    </row>
    <row r="398" spans="89:124" ht="15" x14ac:dyDescent="0.2">
      <c r="CK398" s="61" t="s">
        <v>31</v>
      </c>
      <c r="CL398" s="61">
        <v>3</v>
      </c>
      <c r="CM398" s="61" t="str">
        <v>axitinib</v>
      </c>
      <c r="CN398" s="17">
        <v>11</v>
      </c>
      <c r="CO398" s="61" t="str" cm="1">
        <f t="array" ref="CO398">INDEX(List_comparators,CP397+1)</f>
        <v>everolimus</v>
      </c>
      <c r="CP398" s="17">
        <v>10</v>
      </c>
      <c r="CQ398" s="601">
        <f t="shared" ca="1" si="235"/>
        <v>0</v>
      </c>
      <c r="CR398" s="601">
        <f t="shared" ca="1" si="236"/>
        <v>0</v>
      </c>
      <c r="CS398" s="671">
        <f t="shared" ca="1" si="238"/>
        <v>13.547142857142855</v>
      </c>
      <c r="CT398" s="671">
        <f t="shared" ca="1" si="237"/>
        <v>3.2057142857142855</v>
      </c>
      <c r="CU398" s="1123">
        <f>MATCH(CZ405,'Resource use and costs'!$BA$11:$BA$53,0)</f>
        <v>37</v>
      </c>
      <c r="CV398" s="1223"/>
      <c r="CW398" s="1241">
        <f t="shared" si="241"/>
        <v>1</v>
      </c>
      <c r="CX398" s="899" t="s">
        <v>773</v>
      </c>
      <c r="CY398" s="899" t="s">
        <v>117</v>
      </c>
      <c r="CZ398" s="899" t="s">
        <v>118</v>
      </c>
      <c r="DA398" s="899" t="s">
        <v>119</v>
      </c>
      <c r="DB398" s="899" t="s">
        <v>327</v>
      </c>
      <c r="DC398" s="899">
        <f t="shared" ca="1" si="242"/>
        <v>0.24580000000000002</v>
      </c>
      <c r="DD398" s="899" cm="1">
        <f t="array" aca="1" ref="DD398" ca="1">_xlfn.IFNA(OFFSET($Y$49,MATCH($CZ398,$Y$50:$Y$63,0),MATCH($DA398,TRANSPOSE($Z$49:$AM$49),0)),0)</f>
        <v>6.5699999999999995E-2</v>
      </c>
      <c r="DE398" s="899" cm="1">
        <f t="array" aca="1" ref="DE398" ca="1">_xlfn.IFNA(OFFSET($AO$49,MATCH($DA398,$AO$50:$AO$63,0),MATCH($DB398,TRANSPOSE($AP$49:$BC$49),0)),0)</f>
        <v>0</v>
      </c>
      <c r="DF398" s="881">
        <f t="shared" ca="1" si="217"/>
        <v>0</v>
      </c>
      <c r="DG398" s="910">
        <f t="shared" ca="1" si="240"/>
        <v>0.99547352429578406</v>
      </c>
      <c r="DH398" s="881">
        <f t="shared" ca="1" si="219"/>
        <v>0</v>
      </c>
      <c r="DI398" s="1460">
        <f t="shared" ca="1" si="239"/>
        <v>0</v>
      </c>
      <c r="DJ398" s="909">
        <f>_xlfn.IFNA(INDEX('Resource use and costs'!$CQ$11:$CQ$53,MATCH($CZ398,'Resource use and costs'!$BA$11:$BA$53,0)),0)*_xlfn.IFNA(INDEX(DY$10:DY$23,MATCH($CZ398,$DX$10:$DX$23,0)),0)</f>
        <v>45284.183573333321</v>
      </c>
      <c r="DK398" s="909">
        <f>IF(dd_PartSA_2_lines = "Yes",0,_xlfn.IFNA(INDEX('Resource use and costs'!$CR$11:$CR$53,MATCH(DA398,'Resource use and costs'!$BA$11:$BA$53,0)),0)*_xlfn.IFNA(INDEX(EA$10:EA$23,MATCH($DA398,$DX$10:$DX$23,0)),0))</f>
        <v>848.17532499999982</v>
      </c>
      <c r="DL398" s="909">
        <f>IF(dd_PartSA_2_lines = "Yes",0,_xlfn.IFNA(INDEX('Resource use and costs'!$CS$11:$CS$53,MATCH(DB398,'Resource use and costs'!$BA$11:$BA$53,0)),0)*_xlfn.IFNA(INDEX(EC$10:EC$23,MATCH($DB398,$DX$10:$DX$23,0)),0))</f>
        <v>18438.751749999999</v>
      </c>
      <c r="DM398" s="909">
        <f t="shared" si="221"/>
        <v>64571.110648333313</v>
      </c>
      <c r="DN398" s="909">
        <f>SUM(_xlfn.IFNA(INDEX('Resource use and costs'!$DU$12:$DU$25,MATCH(CZ398,'Resource use and costs'!$DS$12:$DS$25,0)),0),_xlfn.IFNA(INDEX('Resource use and costs'!$DU$12:$DU$25,MATCH(DA398,'Resource use and costs'!$DS$12:$DS$25,0)),0),_xlfn.IFNA(INDEX('Resource use and costs'!$DU$12:$DU$25,MATCH(DB398,'Resource use and costs'!$DS$12:$DS$25,0)),0))</f>
        <v>591.75</v>
      </c>
      <c r="DO398" s="921">
        <f>_xlfn.IFNA(INDEX('Resource use and costs'!$DY$12:$DY$25,MATCH(CZ398,'Resource use and costs'!$DS$12:$DS$25,0)),0)*_xlfn.IFNA(INDEX(DY$10:DY$23,MATCH($CZ398,$DX$10:$DX$23,0)),0)</f>
        <v>415.09348571428563</v>
      </c>
      <c r="DP398" s="921">
        <f>IF(dd_PartSA_2_lines = "Yes",0,_xlfn.IFNA(INDEX('Resource use and costs'!$DZ$12:$DZ$25,MATCH(DA398,'Resource use and costs'!$DS$12:$DS$25,0)),0)*_xlfn.IFNA(INDEX(EA$10:EA$23,MATCH($DA398,$DX$10:$DX$23,0)),0))</f>
        <v>74.50928571428571</v>
      </c>
      <c r="DQ398" s="921">
        <f>IF(dd_PartSA_2_lines = "Yes",0,_xlfn.IFNA(INDEX('Resource use and costs'!$EA$12:$EA$25,MATCH(DB398,'Resource use and costs'!$DS$12:$DS$25,0)),0)*_xlfn.IFNA(INDEX(EC$10:EC$23,MATCH($DB398,$DX$10:$DX$23,0)),0))</f>
        <v>230.68099999999998</v>
      </c>
      <c r="DR398" s="921">
        <f t="shared" si="222"/>
        <v>1312.0337714285713</v>
      </c>
      <c r="DS398" s="1004">
        <f ca="1">SUMIFS('Safety parameters'!$DM$6:$DM$18,'Safety parameters'!$DK$6:$DK$18,CZ398,'Safety parameters'!$DL$6:$DL$18,1)+IF(dd_PartSA_2_lines = "Yes",0,SUMIFS('Safety parameters'!$DM$6:$DM$18,'Safety parameters'!$DK$6:$DK$18,DA398,'Safety parameters'!$DL$6:$DL$18,2)+SUMIFS('Safety parameters'!$DM$6:$DM$18,'Safety parameters'!$DK$6:$DK$18,DB398,'Safety parameters'!$DL$6:$DL$18,2))</f>
        <v>2698.9332196249325</v>
      </c>
      <c r="DT398" s="910">
        <f ca="1">SUMIFS('Safety parameters'!$DO$6:$DO$18,'Safety parameters'!$DK$6:$DK$18,CZ398,'Safety parameters'!$DL$6:$DL$18,1)+IF(dd_PartSA_2_lines = "Yes",0,SUMIFS('Safety parameters'!$DO$6:$DO$18,'Safety parameters'!$DK$6:$DK$18,DA398,'Safety parameters'!$DL$6:$DL$18,2)+SUMIFS('Safety parameters'!$DO$6:$DO$18,'Safety parameters'!$DK$6:$DK$18,DB398,'Safety parameters'!$DL$6:$DL$18,2))</f>
        <v>-2.3926487052593939E-2</v>
      </c>
    </row>
    <row r="399" spans="89:124" ht="15" x14ac:dyDescent="0.2">
      <c r="CK399" s="61" t="s">
        <v>31</v>
      </c>
      <c r="CL399" s="61">
        <v>3</v>
      </c>
      <c r="CM399" s="61" t="str">
        <v>sorafenib</v>
      </c>
      <c r="CN399" s="17">
        <v>12</v>
      </c>
      <c r="CO399" s="61" t="str" cm="1">
        <f t="array" ref="CO399">INDEX(List_comparators,CP398+1)</f>
        <v>everolimus</v>
      </c>
      <c r="CP399" s="17">
        <v>10</v>
      </c>
      <c r="CQ399" s="601">
        <f t="shared" ca="1" si="235"/>
        <v>0</v>
      </c>
      <c r="CR399" s="601">
        <f t="shared" ca="1" si="236"/>
        <v>0</v>
      </c>
      <c r="CS399" s="671">
        <f t="shared" ca="1" si="238"/>
        <v>0</v>
      </c>
      <c r="CT399" s="671">
        <f t="shared" ca="1" si="237"/>
        <v>0</v>
      </c>
      <c r="CU399" s="1123">
        <f>MATCH(CZ406,'Resource use and costs'!$BA$11:$BA$53,0)</f>
        <v>37</v>
      </c>
      <c r="CV399" s="1223"/>
      <c r="CW399" s="1241">
        <f t="shared" si="241"/>
        <v>1</v>
      </c>
      <c r="CX399" s="899" t="s">
        <v>773</v>
      </c>
      <c r="CY399" s="899" t="s">
        <v>117</v>
      </c>
      <c r="CZ399" s="899" t="s">
        <v>118</v>
      </c>
      <c r="DA399" s="899" t="s">
        <v>119</v>
      </c>
      <c r="DB399" s="899" t="s">
        <v>765</v>
      </c>
      <c r="DC399" s="899">
        <f t="shared" ca="1" si="242"/>
        <v>0.24580000000000002</v>
      </c>
      <c r="DD399" s="899" cm="1">
        <f t="array" aca="1" ref="DD399" ca="1">_xlfn.IFNA(OFFSET($Y$49,MATCH($CZ399,$Y$50:$Y$63,0),MATCH($DA399,TRANSPOSE($Z$49:$AM$49),0)),0)</f>
        <v>6.5699999999999995E-2</v>
      </c>
      <c r="DE399" s="899" cm="1">
        <f t="array" aca="1" ref="DE399" ca="1">_xlfn.IFNA(OFFSET($AO$49,MATCH($DA399,$AO$50:$AO$63,0),MATCH($DB399,TRANSPOSE($AP$49:$BC$49),0)),0)</f>
        <v>1</v>
      </c>
      <c r="DF399" s="881">
        <f t="shared" ca="1" si="217"/>
        <v>1.614906E-2</v>
      </c>
      <c r="DG399" s="910">
        <f t="shared" ca="1" si="240"/>
        <v>0.99547352429578406</v>
      </c>
      <c r="DH399" s="881">
        <f t="shared" ca="1" si="219"/>
        <v>1.6075961672264074E-2</v>
      </c>
      <c r="DI399" s="1460">
        <f t="shared" ca="1" si="239"/>
        <v>5.2407635051580881</v>
      </c>
      <c r="DJ399" s="909">
        <f>_xlfn.IFNA(INDEX('Resource use and costs'!$CQ$11:$CQ$53,MATCH($CZ399,'Resource use and costs'!$BA$11:$BA$53,0)),0)*_xlfn.IFNA(INDEX(DY$10:DY$23,MATCH($CZ399,$DX$10:$DX$23,0)),0)</f>
        <v>45284.183573333321</v>
      </c>
      <c r="DK399" s="909">
        <f>IF(dd_PartSA_2_lines = "Yes",0,_xlfn.IFNA(INDEX('Resource use and costs'!$CR$11:$CR$53,MATCH(DA399,'Resource use and costs'!$BA$11:$BA$53,0)),0)*_xlfn.IFNA(INDEX(EA$10:EA$23,MATCH($DA399,$DX$10:$DX$23,0)),0))</f>
        <v>848.17532499999982</v>
      </c>
      <c r="DL399" s="909">
        <f>IF(dd_PartSA_2_lines = "Yes",0,_xlfn.IFNA(INDEX('Resource use and costs'!$CS$11:$CS$53,MATCH(DB399,'Resource use and costs'!$BA$11:$BA$53,0)),0)*_xlfn.IFNA(INDEX(EC$10:EC$23,MATCH($DB399,$DX$10:$DX$23,0)),0))</f>
        <v>0</v>
      </c>
      <c r="DM399" s="909">
        <f t="shared" si="221"/>
        <v>46132.358898333317</v>
      </c>
      <c r="DN399" s="909">
        <f>SUM(_xlfn.IFNA(INDEX('Resource use and costs'!$DU$12:$DU$25,MATCH(CZ399,'Resource use and costs'!$DS$12:$DS$25,0)),0),_xlfn.IFNA(INDEX('Resource use and costs'!$DU$12:$DU$25,MATCH(DA399,'Resource use and costs'!$DS$12:$DS$25,0)),0),_xlfn.IFNA(INDEX('Resource use and costs'!$DU$12:$DU$25,MATCH(DB399,'Resource use and costs'!$DS$12:$DS$25,0)),0))</f>
        <v>394.5</v>
      </c>
      <c r="DO399" s="921">
        <f>_xlfn.IFNA(INDEX('Resource use and costs'!$DY$12:$DY$25,MATCH(CZ399,'Resource use and costs'!$DS$12:$DS$25,0)),0)*_xlfn.IFNA(INDEX(DY$10:DY$23,MATCH($CZ399,$DX$10:$DX$23,0)),0)</f>
        <v>415.09348571428563</v>
      </c>
      <c r="DP399" s="921">
        <f>IF(dd_PartSA_2_lines = "Yes",0,_xlfn.IFNA(INDEX('Resource use and costs'!$DZ$12:$DZ$25,MATCH(DA399,'Resource use and costs'!$DS$12:$DS$25,0)),0)*_xlfn.IFNA(INDEX(EA$10:EA$23,MATCH($DA399,$DX$10:$DX$23,0)),0))</f>
        <v>74.50928571428571</v>
      </c>
      <c r="DQ399" s="921">
        <f>IF(dd_PartSA_2_lines = "Yes",0,_xlfn.IFNA(INDEX('Resource use and costs'!$EA$12:$EA$25,MATCH(DB399,'Resource use and costs'!$DS$12:$DS$25,0)),0)*_xlfn.IFNA(INDEX(EC$10:EC$23,MATCH($DB399,$DX$10:$DX$23,0)),0))</f>
        <v>0</v>
      </c>
      <c r="DR399" s="921">
        <f t="shared" si="222"/>
        <v>884.10277142857137</v>
      </c>
      <c r="DS399" s="1004">
        <f ca="1">SUMIFS('Safety parameters'!$DM$6:$DM$18,'Safety parameters'!$DK$6:$DK$18,CZ399,'Safety parameters'!$DL$6:$DL$18,1)+IF(dd_PartSA_2_lines = "Yes",0,SUMIFS('Safety parameters'!$DM$6:$DM$18,'Safety parameters'!$DK$6:$DK$18,DA399,'Safety parameters'!$DL$6:$DL$18,2)+SUMIFS('Safety parameters'!$DM$6:$DM$18,'Safety parameters'!$DK$6:$DK$18,DB399,'Safety parameters'!$DL$6:$DL$18,2))</f>
        <v>1064.7045460594725</v>
      </c>
      <c r="DT399" s="910">
        <f ca="1">SUMIFS('Safety parameters'!$DO$6:$DO$18,'Safety parameters'!$DK$6:$DK$18,CZ399,'Safety parameters'!$DL$6:$DL$18,1)+IF(dd_PartSA_2_lines = "Yes",0,SUMIFS('Safety parameters'!$DO$6:$DO$18,'Safety parameters'!$DK$6:$DK$18,DA399,'Safety parameters'!$DL$6:$DL$18,2)+SUMIFS('Safety parameters'!$DO$6:$DO$18,'Safety parameters'!$DK$6:$DK$18,DB399,'Safety parameters'!$DL$6:$DL$18,2))</f>
        <v>-9.184563045112509E-3</v>
      </c>
    </row>
    <row r="400" spans="89:124" ht="15.75" thickBot="1" x14ac:dyDescent="0.25">
      <c r="CK400" s="506" t="s">
        <v>31</v>
      </c>
      <c r="CL400" s="506">
        <v>3</v>
      </c>
      <c r="CM400" s="506" t="str">
        <v>placebo_BSC</v>
      </c>
      <c r="CN400" s="19">
        <v>999</v>
      </c>
      <c r="CO400" s="506" t="str" cm="1">
        <f t="array" ref="CO400">INDEX(List_comparators,CP387+1)</f>
        <v>everolimus</v>
      </c>
      <c r="CP400" s="19">
        <v>10</v>
      </c>
      <c r="CQ400" s="602">
        <f t="shared" ca="1" si="235"/>
        <v>0</v>
      </c>
      <c r="CR400" s="602">
        <f t="shared" ca="1" si="236"/>
        <v>0</v>
      </c>
      <c r="CS400" s="670">
        <v>0</v>
      </c>
      <c r="CT400" s="670">
        <f t="shared" ca="1" si="237"/>
        <v>0</v>
      </c>
      <c r="CU400" s="1123">
        <f>MATCH(CZ407,'Resource use and costs'!$BA$11:$BA$53,0)</f>
        <v>37</v>
      </c>
      <c r="CV400" s="1223"/>
      <c r="CW400" s="1241">
        <f t="shared" si="241"/>
        <v>1</v>
      </c>
      <c r="CX400" s="899" t="s">
        <v>773</v>
      </c>
      <c r="CY400" s="899" t="s">
        <v>117</v>
      </c>
      <c r="CZ400" s="899" t="s">
        <v>118</v>
      </c>
      <c r="DA400" s="899" t="s">
        <v>579</v>
      </c>
      <c r="DB400" s="899" t="s">
        <v>327</v>
      </c>
      <c r="DC400" s="899">
        <f t="shared" ca="1" si="242"/>
        <v>0.24580000000000002</v>
      </c>
      <c r="DD400" s="899">
        <f ca="1">1-DD395-DD397-DD398</f>
        <v>0.46929999999999994</v>
      </c>
      <c r="DE400" s="899" cm="1">
        <f t="array" aca="1" ref="DE400" ca="1">_xlfn.IFNA(OFFSET($AO$49,MATCH($DA400,$AO$50:$AO$63,0),MATCH($DB400,TRANSPOSE($AP$49:$BC$49),0)),0)</f>
        <v>0.56859999999999999</v>
      </c>
      <c r="DF400" s="881">
        <f t="shared" ca="1" si="217"/>
        <v>6.5590250283999993E-2</v>
      </c>
      <c r="DG400" s="910">
        <f t="shared" ca="1" si="240"/>
        <v>0.99547352429578406</v>
      </c>
      <c r="DH400" s="881">
        <f t="shared" ca="1" si="219"/>
        <v>6.529335760965603E-2</v>
      </c>
      <c r="DI400" s="1460">
        <f t="shared" ca="1" si="239"/>
        <v>21.285634580747868</v>
      </c>
      <c r="DJ400" s="909">
        <f>_xlfn.IFNA(INDEX('Resource use and costs'!$CQ$11:$CQ$53,MATCH($CZ400,'Resource use and costs'!$BA$11:$BA$53,0)),0)*_xlfn.IFNA(INDEX(DY$10:DY$23,MATCH($CZ400,$DX$10:$DX$23,0)),0)</f>
        <v>45284.183573333321</v>
      </c>
      <c r="DK400" s="909">
        <f>IF(dd_PartSA_2_lines = "Yes",0,_xlfn.IFNA(INDEX('Resource use and costs'!$CR$11:$CR$53,MATCH(DA400,'Resource use and costs'!$BA$11:$BA$53,0)),0)*_xlfn.IFNA(INDEX(EA$10:EA$23,MATCH($DA400,$DX$10:$DX$23,0)),0))</f>
        <v>26054.50921</v>
      </c>
      <c r="DL400" s="909">
        <f>IF(dd_PartSA_2_lines = "Yes",0,_xlfn.IFNA(INDEX('Resource use and costs'!$CS$11:$CS$53,MATCH(DB400,'Resource use and costs'!$BA$11:$BA$53,0)),0)*_xlfn.IFNA(INDEX(EC$10:EC$23,MATCH($DB400,$DX$10:$DX$23,0)),0))</f>
        <v>18438.751749999999</v>
      </c>
      <c r="DM400" s="909">
        <f t="shared" si="221"/>
        <v>89777.444533333313</v>
      </c>
      <c r="DN400" s="909">
        <f>SUM(_xlfn.IFNA(INDEX('Resource use and costs'!$DU$12:$DU$25,MATCH(CZ400,'Resource use and costs'!$DS$12:$DS$25,0)),0),_xlfn.IFNA(INDEX('Resource use and costs'!$DU$12:$DU$25,MATCH(DA400,'Resource use and costs'!$DS$12:$DS$25,0)),0),_xlfn.IFNA(INDEX('Resource use and costs'!$DU$12:$DU$25,MATCH(DB400,'Resource use and costs'!$DS$12:$DS$25,0)),0))</f>
        <v>394.5</v>
      </c>
      <c r="DO400" s="921">
        <f>_xlfn.IFNA(INDEX('Resource use and costs'!$DY$12:$DY$25,MATCH(CZ400,'Resource use and costs'!$DS$12:$DS$25,0)),0)*_xlfn.IFNA(INDEX(DY$10:DY$23,MATCH($CZ400,$DX$10:$DX$23,0)),0)</f>
        <v>415.09348571428563</v>
      </c>
      <c r="DP400" s="921">
        <f>IF(dd_PartSA_2_lines = "Yes",0,_xlfn.IFNA(INDEX('Resource use and costs'!$DZ$12:$DZ$25,MATCH(DA400,'Resource use and costs'!$DS$12:$DS$25,0)),0)*_xlfn.IFNA(INDEX(EA$10:EA$23,MATCH($DA400,$DX$10:$DX$23,0)),0))</f>
        <v>4108.3597166</v>
      </c>
      <c r="DQ400" s="921">
        <f>IF(dd_PartSA_2_lines = "Yes",0,_xlfn.IFNA(INDEX('Resource use and costs'!$EA$12:$EA$25,MATCH(DB400,'Resource use and costs'!$DS$12:$DS$25,0)),0)*_xlfn.IFNA(INDEX(EC$10:EC$23,MATCH($DB400,$DX$10:$DX$23,0)),0))</f>
        <v>230.68099999999998</v>
      </c>
      <c r="DR400" s="921">
        <f t="shared" si="222"/>
        <v>5148.6342023142852</v>
      </c>
      <c r="DS400" s="1004">
        <f ca="1">SUMIFS('Safety parameters'!$DM$6:$DM$18,'Safety parameters'!$DK$6:$DK$18,CZ400,'Safety parameters'!$DL$6:$DL$18,1)+IF(dd_PartSA_2_lines = "Yes",0,SUMIFS('Safety parameters'!$DM$6:$DM$18,'Safety parameters'!$DK$6:$DK$18,DA400,'Safety parameters'!$DL$6:$DL$18,2)+SUMIFS('Safety parameters'!$DM$6:$DM$18,'Safety parameters'!$DK$6:$DK$18,DB400,'Safety parameters'!$DL$6:$DL$18,2))</f>
        <v>2527.1915852400316</v>
      </c>
      <c r="DT400" s="910">
        <f ca="1">SUMIFS('Safety parameters'!$DO$6:$DO$18,'Safety parameters'!$DK$6:$DK$18,CZ400,'Safety parameters'!$DL$6:$DL$18,1)+IF(dd_PartSA_2_lines = "Yes",0,SUMIFS('Safety parameters'!$DO$6:$DO$18,'Safety parameters'!$DK$6:$DK$18,DA400,'Safety parameters'!$DL$6:$DL$18,2)+SUMIFS('Safety parameters'!$DO$6:$DO$18,'Safety parameters'!$DK$6:$DK$18,DB400,'Safety parameters'!$DL$6:$DL$18,2))</f>
        <v>-2.2855997713641003E-2</v>
      </c>
    </row>
    <row r="401" spans="89:124" ht="15" x14ac:dyDescent="0.2">
      <c r="CK401" s="505" t="s">
        <v>31</v>
      </c>
      <c r="CL401" s="505">
        <v>3</v>
      </c>
      <c r="CM401" s="61" t="str" cm="1">
        <f t="array" ref="CM401:CM414">List_comparators</f>
        <v>nivolumab_monotherapy</v>
      </c>
      <c r="CN401" s="17">
        <v>0</v>
      </c>
      <c r="CO401" s="61" t="str" cm="1">
        <f t="array" ref="CO401">INDEX(List_comparators,CP401+1)</f>
        <v>axitinib</v>
      </c>
      <c r="CP401" s="17">
        <v>11</v>
      </c>
      <c r="CQ401" s="603">
        <f t="shared" ca="1" si="235"/>
        <v>5.2400000000000002E-2</v>
      </c>
      <c r="CR401" s="603">
        <f t="shared" ca="1" si="236"/>
        <v>5.2400000000000007E-3</v>
      </c>
      <c r="CS401" s="671">
        <f t="shared" ref="CS401:CS413" ca="1" si="243">OFFSET($Z$81,IF(CN401=999,13,CN401),CP401)</f>
        <v>26.28142857142857</v>
      </c>
      <c r="CT401" s="671">
        <f t="shared" ca="1" si="237"/>
        <v>4.2914285714285709</v>
      </c>
      <c r="CU401" s="1123">
        <f>MATCH(CZ408,'Resource use and costs'!$BA$11:$BA$53,0)</f>
        <v>37</v>
      </c>
      <c r="CV401" s="1223"/>
      <c r="CW401" s="1241">
        <f t="shared" si="241"/>
        <v>1</v>
      </c>
      <c r="CX401" s="899" t="s">
        <v>773</v>
      </c>
      <c r="CY401" s="899" t="s">
        <v>117</v>
      </c>
      <c r="CZ401" s="899" t="s">
        <v>118</v>
      </c>
      <c r="DA401" s="899" t="s">
        <v>579</v>
      </c>
      <c r="DB401" s="899" t="s">
        <v>765</v>
      </c>
      <c r="DC401" s="899">
        <f t="shared" ca="1" si="242"/>
        <v>0.24580000000000002</v>
      </c>
      <c r="DD401" s="899">
        <f ca="1">DD400</f>
        <v>0.46929999999999994</v>
      </c>
      <c r="DE401" s="899" cm="1">
        <f t="array" aca="1" ref="DE401" ca="1">_xlfn.IFNA(OFFSET($AO$49,MATCH($DA401,$AO$50:$AO$63,0),MATCH($DB401,TRANSPOSE($AP$49:$BC$49),0)),0)</f>
        <v>0.43140000000000001</v>
      </c>
      <c r="DF401" s="881">
        <f t="shared" ca="1" si="217"/>
        <v>4.9763689715999995E-2</v>
      </c>
      <c r="DG401" s="910">
        <f t="shared" ca="1" si="240"/>
        <v>0.99547352429578406</v>
      </c>
      <c r="DH401" s="881">
        <f t="shared" ca="1" si="219"/>
        <v>4.9538435583548382E-2</v>
      </c>
      <c r="DI401" s="1460">
        <f t="shared" ca="1" si="239"/>
        <v>16.149530000236773</v>
      </c>
      <c r="DJ401" s="909">
        <f>_xlfn.IFNA(INDEX('Resource use and costs'!$CQ$11:$CQ$53,MATCH($CZ401,'Resource use and costs'!$BA$11:$BA$53,0)),0)*_xlfn.IFNA(INDEX(DY$10:DY$23,MATCH($CZ401,$DX$10:$DX$23,0)),0)</f>
        <v>45284.183573333321</v>
      </c>
      <c r="DK401" s="909">
        <f>IF(dd_PartSA_2_lines = "Yes",0,_xlfn.IFNA(INDEX('Resource use and costs'!$CR$11:$CR$53,MATCH(DA401,'Resource use and costs'!$BA$11:$BA$53,0)),0)*_xlfn.IFNA(INDEX(EA$10:EA$23,MATCH($DA401,$DX$10:$DX$23,0)),0))</f>
        <v>26054.50921</v>
      </c>
      <c r="DL401" s="909">
        <f>IF(dd_PartSA_2_lines = "Yes",0,_xlfn.IFNA(INDEX('Resource use and costs'!$CS$11:$CS$53,MATCH(DB401,'Resource use and costs'!$BA$11:$BA$53,0)),0)*_xlfn.IFNA(INDEX(EC$10:EC$23,MATCH($DB401,$DX$10:$DX$23,0)),0))</f>
        <v>0</v>
      </c>
      <c r="DM401" s="909">
        <f t="shared" si="221"/>
        <v>71338.692783333317</v>
      </c>
      <c r="DN401" s="909">
        <f>SUM(_xlfn.IFNA(INDEX('Resource use and costs'!$DU$12:$DU$25,MATCH(CZ401,'Resource use and costs'!$DS$12:$DS$25,0)),0),_xlfn.IFNA(INDEX('Resource use and costs'!$DU$12:$DU$25,MATCH(DA401,'Resource use and costs'!$DS$12:$DS$25,0)),0),_xlfn.IFNA(INDEX('Resource use and costs'!$DU$12:$DU$25,MATCH(DB401,'Resource use and costs'!$DS$12:$DS$25,0)),0))</f>
        <v>197.25</v>
      </c>
      <c r="DO401" s="921">
        <f>_xlfn.IFNA(INDEX('Resource use and costs'!$DY$12:$DY$25,MATCH(CZ401,'Resource use and costs'!$DS$12:$DS$25,0)),0)*_xlfn.IFNA(INDEX(DY$10:DY$23,MATCH($CZ401,$DX$10:$DX$23,0)),0)</f>
        <v>415.09348571428563</v>
      </c>
      <c r="DP401" s="921">
        <f>IF(dd_PartSA_2_lines = "Yes",0,_xlfn.IFNA(INDEX('Resource use and costs'!$DZ$12:$DZ$25,MATCH(DA401,'Resource use and costs'!$DS$12:$DS$25,0)),0)*_xlfn.IFNA(INDEX(EA$10:EA$23,MATCH($DA401,$DX$10:$DX$23,0)),0))</f>
        <v>4108.3597166</v>
      </c>
      <c r="DQ401" s="921">
        <f>IF(dd_PartSA_2_lines = "Yes",0,_xlfn.IFNA(INDEX('Resource use and costs'!$EA$12:$EA$25,MATCH(DB401,'Resource use and costs'!$DS$12:$DS$25,0)),0)*_xlfn.IFNA(INDEX(EC$10:EC$23,MATCH($DB401,$DX$10:$DX$23,0)),0))</f>
        <v>0</v>
      </c>
      <c r="DR401" s="921">
        <f t="shared" si="222"/>
        <v>4720.7032023142856</v>
      </c>
      <c r="DS401" s="1004">
        <f ca="1">SUMIFS('Safety parameters'!$DM$6:$DM$18,'Safety parameters'!$DK$6:$DK$18,CZ401,'Safety parameters'!$DL$6:$DL$18,1)+IF(dd_PartSA_2_lines = "Yes",0,SUMIFS('Safety parameters'!$DM$6:$DM$18,'Safety parameters'!$DK$6:$DK$18,DA401,'Safety parameters'!$DL$6:$DL$18,2)+SUMIFS('Safety parameters'!$DM$6:$DM$18,'Safety parameters'!$DK$6:$DK$18,DB401,'Safety parameters'!$DL$6:$DL$18,2))</f>
        <v>892.96291167457207</v>
      </c>
      <c r="DT401" s="910">
        <f ca="1">SUMIFS('Safety parameters'!$DO$6:$DO$18,'Safety parameters'!$DK$6:$DK$18,CZ401,'Safety parameters'!$DL$6:$DL$18,1)+IF(dd_PartSA_2_lines = "Yes",0,SUMIFS('Safety parameters'!$DO$6:$DO$18,'Safety parameters'!$DK$6:$DK$18,DA401,'Safety parameters'!$DL$6:$DL$18,2)+SUMIFS('Safety parameters'!$DO$6:$DO$18,'Safety parameters'!$DK$6:$DK$18,DB401,'Safety parameters'!$DL$6:$DL$18,2))</f>
        <v>-8.1140737061595747E-3</v>
      </c>
    </row>
    <row r="402" spans="89:124" ht="15" x14ac:dyDescent="0.2">
      <c r="CK402" s="61" t="s">
        <v>31</v>
      </c>
      <c r="CL402" s="61">
        <v>3</v>
      </c>
      <c r="CM402" s="61" t="str">
        <v>cabozantinib_plus_nivolumab</v>
      </c>
      <c r="CN402" s="17">
        <v>1</v>
      </c>
      <c r="CO402" s="61" t="str" cm="1">
        <f t="array" ref="CO402">INDEX(List_comparators,CP401+1)</f>
        <v>axitinib</v>
      </c>
      <c r="CP402" s="17">
        <v>11</v>
      </c>
      <c r="CQ402" s="601">
        <f t="shared" ca="1" si="235"/>
        <v>0</v>
      </c>
      <c r="CR402" s="601">
        <f t="shared" ca="1" si="236"/>
        <v>0</v>
      </c>
      <c r="CS402" s="671">
        <f t="shared" ca="1" si="243"/>
        <v>26.28142857142857</v>
      </c>
      <c r="CT402" s="671">
        <f t="shared" ca="1" si="237"/>
        <v>4.2914285714285709</v>
      </c>
      <c r="CU402" s="1123">
        <f>MATCH(CZ409,'Resource use and costs'!$BA$11:$BA$53,0)</f>
        <v>43</v>
      </c>
      <c r="CV402" s="1223"/>
      <c r="CW402" s="1241">
        <f t="shared" si="241"/>
        <v>1</v>
      </c>
      <c r="CX402" s="899" t="s">
        <v>773</v>
      </c>
      <c r="CY402" s="899" t="s">
        <v>117</v>
      </c>
      <c r="CZ402" s="899" t="s">
        <v>118</v>
      </c>
      <c r="DA402" s="899" t="s">
        <v>579</v>
      </c>
      <c r="DB402" s="899" t="s">
        <v>119</v>
      </c>
      <c r="DC402" s="899">
        <f t="shared" ca="1" si="242"/>
        <v>0.24580000000000002</v>
      </c>
      <c r="DD402" s="899">
        <f ca="1">DD400</f>
        <v>0.46929999999999994</v>
      </c>
      <c r="DE402" s="899" cm="1">
        <f t="array" aca="1" ref="DE402" ca="1">_xlfn.IFNA(OFFSET($AO$49,MATCH($DA402,$AO$50:$AO$63,0),MATCH($DB402,TRANSPOSE($AP$49:$BC$49),0)),0)</f>
        <v>0</v>
      </c>
      <c r="DF402" s="881">
        <f t="shared" ref="DF402:DF465" ca="1" si="244">IF(AND(ISBLANK(DA402),ISBLANK(DA402)),DC402,IF(ISBLANK(DB402),DC402*DD402,DC402*DD402*DE402))</f>
        <v>0</v>
      </c>
      <c r="DG402" s="910">
        <f t="shared" ca="1" si="240"/>
        <v>0.99547352429578406</v>
      </c>
      <c r="DH402" s="881">
        <f t="shared" ref="DH402:DH465" ca="1" si="245">IF(CZ402="BSC",IF(dd_reduceBSC="No",DF402,0),DF402*DG402)</f>
        <v>0</v>
      </c>
      <c r="DI402" s="1460">
        <f t="shared" ca="1" si="239"/>
        <v>0</v>
      </c>
      <c r="DJ402" s="909">
        <f>_xlfn.IFNA(INDEX('Resource use and costs'!$CQ$11:$CQ$53,MATCH($CZ402,'Resource use and costs'!$BA$11:$BA$53,0)),0)*_xlfn.IFNA(INDEX(DY$10:DY$23,MATCH($CZ402,$DX$10:$DX$23,0)),0)</f>
        <v>45284.183573333321</v>
      </c>
      <c r="DK402" s="909">
        <f>IF(dd_PartSA_2_lines = "Yes",0,_xlfn.IFNA(INDEX('Resource use and costs'!$CR$11:$CR$53,MATCH(DA402,'Resource use and costs'!$BA$11:$BA$53,0)),0)*_xlfn.IFNA(INDEX(EA$10:EA$23,MATCH($DA402,$DX$10:$DX$23,0)),0))</f>
        <v>26054.50921</v>
      </c>
      <c r="DL402" s="909">
        <f>IF(dd_PartSA_2_lines = "Yes",0,_xlfn.IFNA(INDEX('Resource use and costs'!$CS$11:$CS$53,MATCH(DB402,'Resource use and costs'!$BA$11:$BA$53,0)),0)*_xlfn.IFNA(INDEX(EC$10:EC$23,MATCH($DB402,$DX$10:$DX$23,0)),0))</f>
        <v>2915.4763433333328</v>
      </c>
      <c r="DM402" s="909">
        <f t="shared" si="221"/>
        <v>74254.169126666646</v>
      </c>
      <c r="DN402" s="909">
        <f>SUM(_xlfn.IFNA(INDEX('Resource use and costs'!$DU$12:$DU$25,MATCH(CZ402,'Resource use and costs'!$DS$12:$DS$25,0)),0),_xlfn.IFNA(INDEX('Resource use and costs'!$DU$12:$DU$25,MATCH(DA402,'Resource use and costs'!$DS$12:$DS$25,0)),0),_xlfn.IFNA(INDEX('Resource use and costs'!$DU$12:$DU$25,MATCH(DB402,'Resource use and costs'!$DS$12:$DS$25,0)),0))</f>
        <v>394.5</v>
      </c>
      <c r="DO402" s="921">
        <f>_xlfn.IFNA(INDEX('Resource use and costs'!$DY$12:$DY$25,MATCH(CZ402,'Resource use and costs'!$DS$12:$DS$25,0)),0)*_xlfn.IFNA(INDEX(DY$10:DY$23,MATCH($CZ402,$DX$10:$DX$23,0)),0)</f>
        <v>415.09348571428563</v>
      </c>
      <c r="DP402" s="921">
        <f>IF(dd_PartSA_2_lines = "Yes",0,_xlfn.IFNA(INDEX('Resource use and costs'!$DZ$12:$DZ$25,MATCH(DA402,'Resource use and costs'!$DS$12:$DS$25,0)),0)*_xlfn.IFNA(INDEX(EA$10:EA$23,MATCH($DA402,$DX$10:$DX$23,0)),0))</f>
        <v>4108.3597166</v>
      </c>
      <c r="DQ402" s="921">
        <f>IF(dd_PartSA_2_lines = "Yes",0,_xlfn.IFNA(INDEX('Resource use and costs'!$EA$12:$EA$25,MATCH(DB402,'Resource use and costs'!$DS$12:$DS$25,0)),0)*_xlfn.IFNA(INDEX(EC$10:EC$23,MATCH($DB402,$DX$10:$DX$23,0)),0))</f>
        <v>256.11457142857142</v>
      </c>
      <c r="DR402" s="921">
        <f t="shared" si="222"/>
        <v>5174.0677737428568</v>
      </c>
      <c r="DS402" s="1004">
        <f ca="1">SUMIFS('Safety parameters'!$DM$6:$DM$18,'Safety parameters'!$DK$6:$DK$18,CZ402,'Safety parameters'!$DL$6:$DL$18,1)+IF(dd_PartSA_2_lines = "Yes",0,SUMIFS('Safety parameters'!$DM$6:$DM$18,'Safety parameters'!$DK$6:$DK$18,DA402,'Safety parameters'!$DL$6:$DL$18,2)+SUMIFS('Safety parameters'!$DM$6:$DM$18,'Safety parameters'!$DK$6:$DK$18,DB402,'Safety parameters'!$DL$6:$DL$18,2))</f>
        <v>1225.8382950498869</v>
      </c>
      <c r="DT402" s="910">
        <f ca="1">SUMIFS('Safety parameters'!$DO$6:$DO$18,'Safety parameters'!$DK$6:$DK$18,CZ402,'Safety parameters'!$DL$6:$DL$18,1)+IF(dd_PartSA_2_lines = "Yes",0,SUMIFS('Safety parameters'!$DO$6:$DO$18,'Safety parameters'!$DK$6:$DK$18,DA402,'Safety parameters'!$DL$6:$DL$18,2)+SUMIFS('Safety parameters'!$DO$6:$DO$18,'Safety parameters'!$DK$6:$DK$18,DB402,'Safety parameters'!$DL$6:$DL$18,2))</f>
        <v>-1.0781647242797295E-2</v>
      </c>
    </row>
    <row r="403" spans="89:124" ht="15" x14ac:dyDescent="0.2">
      <c r="CK403" s="61" t="s">
        <v>31</v>
      </c>
      <c r="CL403" s="61">
        <v>3</v>
      </c>
      <c r="CM403" s="61" t="str">
        <v>nivolumab_plus_ipilimumab</v>
      </c>
      <c r="CN403" s="17">
        <v>2</v>
      </c>
      <c r="CO403" s="61" t="str" cm="1">
        <f t="array" ref="CO403">INDEX(List_comparators,CP402+1)</f>
        <v>axitinib</v>
      </c>
      <c r="CP403" s="17">
        <v>11</v>
      </c>
      <c r="CQ403" s="601">
        <f t="shared" ca="1" si="235"/>
        <v>0</v>
      </c>
      <c r="CR403" s="601">
        <f t="shared" ca="1" si="236"/>
        <v>0</v>
      </c>
      <c r="CS403" s="671">
        <f t="shared" ca="1" si="243"/>
        <v>26.28142857142857</v>
      </c>
      <c r="CT403" s="671">
        <f t="shared" ca="1" si="237"/>
        <v>4.2914285714285709</v>
      </c>
      <c r="CU403" s="1123">
        <f>MATCH(CZ410,'Resource use and costs'!$BA$11:$BA$53,0)</f>
        <v>43</v>
      </c>
      <c r="CV403" s="1223"/>
      <c r="CW403" s="1241">
        <f t="shared" si="241"/>
        <v>1</v>
      </c>
      <c r="CX403" s="899" t="s">
        <v>773</v>
      </c>
      <c r="CY403" s="899" t="s">
        <v>117</v>
      </c>
      <c r="CZ403" s="899" t="s">
        <v>119</v>
      </c>
      <c r="DA403" s="899" t="s">
        <v>327</v>
      </c>
      <c r="DB403" s="899" t="s">
        <v>765</v>
      </c>
      <c r="DC403" s="899" cm="1">
        <f t="array" aca="1" ref="DC403" ca="1">_xlfn.IFNA(OFFSET($I$49,MATCH(CY403,$I$50:$I$63,0),MATCH(CZ403,TRANSPOSE($J$49:$W$49),0)),0)</f>
        <v>0</v>
      </c>
      <c r="DD403" s="899" cm="1">
        <f t="array" aca="1" ref="DD403" ca="1">_xlfn.IFNA(OFFSET($Y$49,MATCH($CZ403,$Y$50:$Y$63,0),MATCH($DA403,TRANSPOSE($Z$49:$AM$49),0)),0)</f>
        <v>0</v>
      </c>
      <c r="DE403" s="899" cm="1">
        <f t="array" aca="1" ref="DE403" ca="1">_xlfn.IFNA(OFFSET($AO$49,MATCH($DA403,$AO$50:$AO$63,0),MATCH($DB403,TRANSPOSE($AP$49:$BC$49),0)),0)</f>
        <v>0.43140000000000001</v>
      </c>
      <c r="DF403" s="881">
        <f t="shared" ca="1" si="244"/>
        <v>0</v>
      </c>
      <c r="DG403" s="910">
        <f t="shared" ca="1" si="240"/>
        <v>0.99547352429578406</v>
      </c>
      <c r="DH403" s="881">
        <f t="shared" ca="1" si="245"/>
        <v>0</v>
      </c>
      <c r="DI403" s="1460">
        <f t="shared" ca="1" si="239"/>
        <v>0</v>
      </c>
      <c r="DJ403" s="909">
        <f>_xlfn.IFNA(INDEX('Resource use and costs'!$CQ$11:$CQ$53,MATCH($CZ403,'Resource use and costs'!$BA$11:$BA$53,0)),0)*_xlfn.IFNA(INDEX(DY$10:DY$23,MATCH($CZ403,$DX$10:$DX$23,0)),0)</f>
        <v>944.50399999999979</v>
      </c>
      <c r="DK403" s="909">
        <f>IF(dd_PartSA_2_lines = "Yes",0,_xlfn.IFNA(INDEX('Resource use and costs'!$CR$11:$CR$53,MATCH(DA403,'Resource use and costs'!$BA$11:$BA$53,0)),0)*_xlfn.IFNA(INDEX(EA$10:EA$23,MATCH($DA403,$DX$10:$DX$23,0)),0))</f>
        <v>21421.066008214286</v>
      </c>
      <c r="DL403" s="909">
        <f>IF(dd_PartSA_2_lines = "Yes",0,_xlfn.IFNA(INDEX('Resource use and costs'!$CS$11:$CS$53,MATCH(DB403,'Resource use and costs'!$BA$11:$BA$53,0)),0)*_xlfn.IFNA(INDEX(EC$10:EC$23,MATCH($DB403,$DX$10:$DX$23,0)),0))</f>
        <v>0</v>
      </c>
      <c r="DM403" s="909">
        <f t="shared" ref="DM403:DM466" si="246">SUM(DJ403:DL403)</f>
        <v>22365.570008214287</v>
      </c>
      <c r="DN403" s="909">
        <f>SUM(_xlfn.IFNA(INDEX('Resource use and costs'!$DU$12:$DU$25,MATCH(CZ403,'Resource use and costs'!$DS$12:$DS$25,0)),0),_xlfn.IFNA(INDEX('Resource use and costs'!$DU$12:$DU$25,MATCH(DA403,'Resource use and costs'!$DS$12:$DS$25,0)),0),_xlfn.IFNA(INDEX('Resource use and costs'!$DU$12:$DU$25,MATCH(DB403,'Resource use and costs'!$DS$12:$DS$25,0)),0))</f>
        <v>394.5</v>
      </c>
      <c r="DO403" s="921">
        <f>_xlfn.IFNA(INDEX('Resource use and costs'!$DY$12:$DY$25,MATCH(CZ403,'Resource use and costs'!$DS$12:$DS$25,0)),0)*_xlfn.IFNA(INDEX(DY$10:DY$23,MATCH($CZ403,$DX$10:$DX$23,0)),0)</f>
        <v>82.971428571428561</v>
      </c>
      <c r="DP403" s="921">
        <f>IF(dd_PartSA_2_lines = "Yes",0,_xlfn.IFNA(INDEX('Resource use and costs'!$DZ$12:$DZ$25,MATCH(DA403,'Resource use and costs'!$DS$12:$DS$25,0)),0)*_xlfn.IFNA(INDEX(EA$10:EA$23,MATCH($DA403,$DX$10:$DX$23,0)),0))</f>
        <v>267.99172714285714</v>
      </c>
      <c r="DQ403" s="921">
        <f>IF(dd_PartSA_2_lines = "Yes",0,_xlfn.IFNA(INDEX('Resource use and costs'!$EA$12:$EA$25,MATCH(DB403,'Resource use and costs'!$DS$12:$DS$25,0)),0)*_xlfn.IFNA(INDEX(EC$10:EC$23,MATCH($DB403,$DX$10:$DX$23,0)),0))</f>
        <v>0</v>
      </c>
      <c r="DR403" s="921">
        <f t="shared" ref="DR403:DR466" si="247">SUM(DN403:DQ403)</f>
        <v>745.46315571428568</v>
      </c>
      <c r="DS403" s="1004">
        <f ca="1">SUMIFS('Safety parameters'!$DM$6:$DM$18,'Safety parameters'!$DK$6:$DK$18,CZ403,'Safety parameters'!$DL$6:$DL$18,1)+IF(dd_PartSA_2_lines = "Yes",0,SUMIFS('Safety parameters'!$DM$6:$DM$18,'Safety parameters'!$DK$6:$DK$18,DA403,'Safety parameters'!$DL$6:$DL$18,2)+SUMIFS('Safety parameters'!$DM$6:$DM$18,'Safety parameters'!$DK$6:$DK$18,DB403,'Safety parameters'!$DL$6:$DL$18,2))</f>
        <v>1634.2286735654598</v>
      </c>
      <c r="DT403" s="910">
        <f ca="1">SUMIFS('Safety parameters'!$DO$6:$DO$18,'Safety parameters'!$DK$6:$DK$18,CZ403,'Safety parameters'!$DL$6:$DL$18,1)+IF(dd_PartSA_2_lines = "Yes",0,SUMIFS('Safety parameters'!$DO$6:$DO$18,'Safety parameters'!$DK$6:$DK$18,DA403,'Safety parameters'!$DL$6:$DL$18,2)+SUMIFS('Safety parameters'!$DO$6:$DO$18,'Safety parameters'!$DK$6:$DK$18,DB403,'Safety parameters'!$DL$6:$DL$18,2))</f>
        <v>-1.4741924007481429E-2</v>
      </c>
    </row>
    <row r="404" spans="89:124" ht="15" x14ac:dyDescent="0.2">
      <c r="CK404" s="61" t="s">
        <v>31</v>
      </c>
      <c r="CL404" s="61">
        <v>3</v>
      </c>
      <c r="CM404" s="61" t="str">
        <v>lenvatinib_plus_pembrolizumab</v>
      </c>
      <c r="CN404" s="17">
        <v>3</v>
      </c>
      <c r="CO404" s="61" t="str" cm="1">
        <f t="array" ref="CO404">INDEX(List_comparators,CP403+1)</f>
        <v>axitinib</v>
      </c>
      <c r="CP404" s="17">
        <v>11</v>
      </c>
      <c r="CQ404" s="601">
        <f t="shared" ca="1" si="235"/>
        <v>0</v>
      </c>
      <c r="CR404" s="601">
        <f t="shared" ca="1" si="236"/>
        <v>0</v>
      </c>
      <c r="CS404" s="671">
        <f t="shared" ca="1" si="243"/>
        <v>26.28142857142857</v>
      </c>
      <c r="CT404" s="671">
        <f t="shared" ca="1" si="237"/>
        <v>4.2914285714285709</v>
      </c>
      <c r="CU404" s="1123">
        <f>MATCH(CZ411,'Resource use and costs'!$BA$11:$BA$53,0)</f>
        <v>43</v>
      </c>
      <c r="CV404" s="1223"/>
      <c r="CW404" s="1241">
        <f t="shared" si="241"/>
        <v>1</v>
      </c>
      <c r="CX404" s="899" t="s">
        <v>773</v>
      </c>
      <c r="CY404" s="899" t="s">
        <v>117</v>
      </c>
      <c r="CZ404" s="899" t="s">
        <v>119</v>
      </c>
      <c r="DA404" s="899" t="s">
        <v>765</v>
      </c>
      <c r="DB404" s="899"/>
      <c r="DC404" s="899" cm="1">
        <f t="array" aca="1" ref="DC404" ca="1">_xlfn.IFNA(OFFSET($I$49,MATCH(CY404,$I$50:$I$63,0),MATCH(CZ404,TRANSPOSE($J$49:$W$49),0)),0)</f>
        <v>0</v>
      </c>
      <c r="DD404" s="899" cm="1">
        <f t="array" aca="1" ref="DD404" ca="1">_xlfn.IFNA(OFFSET($Y$49,MATCH($CZ404,$Y$50:$Y$63,0),MATCH($DA404,TRANSPOSE($Z$49:$AM$49),0)),0)</f>
        <v>1</v>
      </c>
      <c r="DE404" s="899" cm="1">
        <f t="array" aca="1" ref="DE404" ca="1">_xlfn.IFNA(OFFSET($AO$49,MATCH($DA404,$AO$50:$AO$63,0),MATCH($DB404,TRANSPOSE($AP$49:$BC$49),0)),0)</f>
        <v>0</v>
      </c>
      <c r="DF404" s="881">
        <f t="shared" ca="1" si="244"/>
        <v>0</v>
      </c>
      <c r="DG404" s="910">
        <f t="shared" ca="1" si="240"/>
        <v>0.99547352429578406</v>
      </c>
      <c r="DH404" s="881">
        <f t="shared" ca="1" si="245"/>
        <v>0</v>
      </c>
      <c r="DI404" s="1460">
        <f t="shared" ca="1" si="239"/>
        <v>0</v>
      </c>
      <c r="DJ404" s="909">
        <f>_xlfn.IFNA(INDEX('Resource use and costs'!$CQ$11:$CQ$53,MATCH($CZ404,'Resource use and costs'!$BA$11:$BA$53,0)),0)*_xlfn.IFNA(INDEX(DY$10:DY$23,MATCH($CZ404,$DX$10:$DX$23,0)),0)</f>
        <v>944.50399999999979</v>
      </c>
      <c r="DK404" s="909">
        <f>IF(dd_PartSA_2_lines = "Yes",0,_xlfn.IFNA(INDEX('Resource use and costs'!$CR$11:$CR$53,MATCH(DA404,'Resource use and costs'!$BA$11:$BA$53,0)),0)*_xlfn.IFNA(INDEX(EA$10:EA$23,MATCH($DA404,$DX$10:$DX$23,0)),0))</f>
        <v>0</v>
      </c>
      <c r="DL404" s="909">
        <f>IF(dd_PartSA_2_lines = "Yes",0,_xlfn.IFNA(INDEX('Resource use and costs'!$CS$11:$CS$53,MATCH(DB404,'Resource use and costs'!$BA$11:$BA$53,0)),0)*_xlfn.IFNA(INDEX(EC$10:EC$23,MATCH($DB404,$DX$10:$DX$23,0)),0))</f>
        <v>0</v>
      </c>
      <c r="DM404" s="909">
        <f t="shared" si="246"/>
        <v>944.50399999999979</v>
      </c>
      <c r="DN404" s="909">
        <f>SUM(_xlfn.IFNA(INDEX('Resource use and costs'!$DU$12:$DU$25,MATCH(CZ404,'Resource use and costs'!$DS$12:$DS$25,0)),0),_xlfn.IFNA(INDEX('Resource use and costs'!$DU$12:$DU$25,MATCH(DA404,'Resource use and costs'!$DS$12:$DS$25,0)),0),_xlfn.IFNA(INDEX('Resource use and costs'!$DU$12:$DU$25,MATCH(DB404,'Resource use and costs'!$DS$12:$DS$25,0)),0))</f>
        <v>197.25</v>
      </c>
      <c r="DO404" s="921">
        <f>_xlfn.IFNA(INDEX('Resource use and costs'!$DY$12:$DY$25,MATCH(CZ404,'Resource use and costs'!$DS$12:$DS$25,0)),0)*_xlfn.IFNA(INDEX(DY$10:DY$23,MATCH($CZ404,$DX$10:$DX$23,0)),0)</f>
        <v>82.971428571428561</v>
      </c>
      <c r="DP404" s="921">
        <f>IF(dd_PartSA_2_lines = "Yes",0,_xlfn.IFNA(INDEX('Resource use and costs'!$DZ$12:$DZ$25,MATCH(DA404,'Resource use and costs'!$DS$12:$DS$25,0)),0)*_xlfn.IFNA(INDEX(EA$10:EA$23,MATCH($DA404,$DX$10:$DX$23,0)),0))</f>
        <v>0</v>
      </c>
      <c r="DQ404" s="921">
        <f>IF(dd_PartSA_2_lines = "Yes",0,_xlfn.IFNA(INDEX('Resource use and costs'!$EA$12:$EA$25,MATCH(DB404,'Resource use and costs'!$DS$12:$DS$25,0)),0)*_xlfn.IFNA(INDEX(EC$10:EC$23,MATCH($DB404,$DX$10:$DX$23,0)),0))</f>
        <v>0</v>
      </c>
      <c r="DR404" s="921">
        <f t="shared" si="247"/>
        <v>280.22142857142853</v>
      </c>
      <c r="DS404" s="1004">
        <f>SUMIFS('Safety parameters'!$DM$6:$DM$18,'Safety parameters'!$DK$6:$DK$18,CZ404,'Safety parameters'!$DL$6:$DL$18,1)+IF(dd_PartSA_2_lines = "Yes",0,SUMIFS('Safety parameters'!$DM$6:$DM$18,'Safety parameters'!$DK$6:$DK$18,DA404,'Safety parameters'!$DL$6:$DL$18,2)+SUMIFS('Safety parameters'!$DM$6:$DM$18,'Safety parameters'!$DK$6:$DK$18,DB404,'Safety parameters'!$DL$6:$DL$18,2))</f>
        <v>0</v>
      </c>
      <c r="DT404" s="910">
        <f>SUMIFS('Safety parameters'!$DO$6:$DO$18,'Safety parameters'!$DK$6:$DK$18,CZ404,'Safety parameters'!$DL$6:$DL$18,1)+IF(dd_PartSA_2_lines = "Yes",0,SUMIFS('Safety parameters'!$DO$6:$DO$18,'Safety parameters'!$DK$6:$DK$18,DA404,'Safety parameters'!$DL$6:$DL$18,2)+SUMIFS('Safety parameters'!$DO$6:$DO$18,'Safety parameters'!$DK$6:$DK$18,DB404,'Safety parameters'!$DL$6:$DL$18,2))</f>
        <v>0</v>
      </c>
    </row>
    <row r="405" spans="89:124" ht="15" x14ac:dyDescent="0.2">
      <c r="CK405" s="61" t="s">
        <v>31</v>
      </c>
      <c r="CL405" s="61">
        <v>3</v>
      </c>
      <c r="CM405" s="61" t="str">
        <v>avelumab_plus_axitinib</v>
      </c>
      <c r="CN405" s="17">
        <v>4</v>
      </c>
      <c r="CO405" s="61" t="str" cm="1">
        <f t="array" ref="CO405">INDEX(List_comparators,CP404+1)</f>
        <v>axitinib</v>
      </c>
      <c r="CP405" s="17">
        <v>11</v>
      </c>
      <c r="CQ405" s="601">
        <f t="shared" ca="1" si="235"/>
        <v>0</v>
      </c>
      <c r="CR405" s="601">
        <f t="shared" ca="1" si="236"/>
        <v>0</v>
      </c>
      <c r="CS405" s="671">
        <f t="shared" ca="1" si="243"/>
        <v>26.28142857142857</v>
      </c>
      <c r="CT405" s="671">
        <f t="shared" ca="1" si="237"/>
        <v>4.2914285714285709</v>
      </c>
      <c r="CU405" s="1123">
        <f>MATCH(CZ412,'Resource use and costs'!$BA$11:$BA$53,0)</f>
        <v>43</v>
      </c>
      <c r="CV405" s="1223"/>
      <c r="CW405" s="1241">
        <f t="shared" si="241"/>
        <v>1</v>
      </c>
      <c r="CX405" s="899" t="s">
        <v>773</v>
      </c>
      <c r="CY405" s="899" t="s">
        <v>117</v>
      </c>
      <c r="CZ405" s="899" t="s">
        <v>119</v>
      </c>
      <c r="DA405" s="899" t="s">
        <v>118</v>
      </c>
      <c r="DB405" s="899" t="s">
        <v>327</v>
      </c>
      <c r="DC405" s="899" cm="1">
        <f t="array" aca="1" ref="DC405" ca="1">_xlfn.IFNA(OFFSET($I$49,MATCH(CY405,$I$50:$I$63,0),MATCH(CZ405,TRANSPOSE($J$49:$W$49),0)),0)</f>
        <v>0</v>
      </c>
      <c r="DD405" s="899" cm="1">
        <f t="array" aca="1" ref="DD405" ca="1">_xlfn.IFNA(OFFSET($Y$49,MATCH($CZ405,$Y$50:$Y$63,0),MATCH($DA405,TRANSPOSE($Z$49:$AM$49),0)),0)</f>
        <v>0</v>
      </c>
      <c r="DE405" s="899" cm="1">
        <f t="array" aca="1" ref="DE405" ca="1">_xlfn.IFNA(OFFSET($AO$49,MATCH($DA405,$AO$50:$AO$63,0),MATCH($DB405,TRANSPOSE($AP$49:$BC$49),0)),0)</f>
        <v>0.38769999999999999</v>
      </c>
      <c r="DF405" s="881">
        <f t="shared" ca="1" si="244"/>
        <v>0</v>
      </c>
      <c r="DG405" s="910">
        <f t="shared" ca="1" si="240"/>
        <v>0.99547352429578406</v>
      </c>
      <c r="DH405" s="881">
        <f t="shared" ca="1" si="245"/>
        <v>0</v>
      </c>
      <c r="DI405" s="1460">
        <f t="shared" ca="1" si="239"/>
        <v>0</v>
      </c>
      <c r="DJ405" s="909">
        <f>_xlfn.IFNA(INDEX('Resource use and costs'!$CQ$11:$CQ$53,MATCH($CZ405,'Resource use and costs'!$BA$11:$BA$53,0)),0)*_xlfn.IFNA(INDEX(DY$10:DY$23,MATCH($CZ405,$DX$10:$DX$23,0)),0)</f>
        <v>944.50399999999979</v>
      </c>
      <c r="DK405" s="909">
        <f>IF(dd_PartSA_2_lines = "Yes",0,_xlfn.IFNA(INDEX('Resource use and costs'!$CR$11:$CR$53,MATCH(DA405,'Resource use and costs'!$BA$11:$BA$53,0)),0)*_xlfn.IFNA(INDEX(EA$10:EA$23,MATCH($DA405,$DX$10:$DX$23,0)),0))</f>
        <v>50308.075122000002</v>
      </c>
      <c r="DL405" s="909">
        <f>IF(dd_PartSA_2_lines = "Yes",0,_xlfn.IFNA(INDEX('Resource use and costs'!$CS$11:$CS$53,MATCH(DB405,'Resource use and costs'!$BA$11:$BA$53,0)),0)*_xlfn.IFNA(INDEX(EC$10:EC$23,MATCH($DB405,$DX$10:$DX$23,0)),0))</f>
        <v>18438.751749999999</v>
      </c>
      <c r="DM405" s="909">
        <f t="shared" si="246"/>
        <v>69691.330872000006</v>
      </c>
      <c r="DN405" s="909">
        <f>SUM(_xlfn.IFNA(INDEX('Resource use and costs'!$DU$12:$DU$25,MATCH(CZ405,'Resource use and costs'!$DS$12:$DS$25,0)),0),_xlfn.IFNA(INDEX('Resource use and costs'!$DU$12:$DU$25,MATCH(DA405,'Resource use and costs'!$DS$12:$DS$25,0)),0),_xlfn.IFNA(INDEX('Resource use and costs'!$DU$12:$DU$25,MATCH(DB405,'Resource use and costs'!$DS$12:$DS$25,0)),0))</f>
        <v>591.75</v>
      </c>
      <c r="DO405" s="921">
        <f>_xlfn.IFNA(INDEX('Resource use and costs'!$DY$12:$DY$25,MATCH(CZ405,'Resource use and costs'!$DS$12:$DS$25,0)),0)*_xlfn.IFNA(INDEX(DY$10:DY$23,MATCH($CZ405,$DX$10:$DX$23,0)),0)</f>
        <v>82.971428571428561</v>
      </c>
      <c r="DP405" s="921">
        <f>IF(dd_PartSA_2_lines = "Yes",0,_xlfn.IFNA(INDEX('Resource use and costs'!$DZ$12:$DZ$25,MATCH(DA405,'Resource use and costs'!$DS$12:$DS$25,0)),0)*_xlfn.IFNA(INDEX(EA$10:EA$23,MATCH($DA405,$DX$10:$DX$23,0)),0))</f>
        <v>461.1445457142857</v>
      </c>
      <c r="DQ405" s="921">
        <f>IF(dd_PartSA_2_lines = "Yes",0,_xlfn.IFNA(INDEX('Resource use and costs'!$EA$12:$EA$25,MATCH(DB405,'Resource use and costs'!$DS$12:$DS$25,0)),0)*_xlfn.IFNA(INDEX(EC$10:EC$23,MATCH($DB405,$DX$10:$DX$23,0)),0))</f>
        <v>230.68099999999998</v>
      </c>
      <c r="DR405" s="921">
        <f t="shared" si="247"/>
        <v>1366.5469742857142</v>
      </c>
      <c r="DS405" s="1004">
        <f ca="1">SUMIFS('Safety parameters'!$DM$6:$DM$18,'Safety parameters'!$DK$6:$DK$18,CZ405,'Safety parameters'!$DL$6:$DL$18,1)+IF(dd_PartSA_2_lines = "Yes",0,SUMIFS('Safety parameters'!$DM$6:$DM$18,'Safety parameters'!$DK$6:$DK$18,DA405,'Safety parameters'!$DL$6:$DL$18,2)+SUMIFS('Safety parameters'!$DM$6:$DM$18,'Safety parameters'!$DK$6:$DK$18,DB405,'Safety parameters'!$DL$6:$DL$18,2))</f>
        <v>2377.8779733688434</v>
      </c>
      <c r="DT405" s="910">
        <f ca="1">SUMIFS('Safety parameters'!$DO$6:$DO$18,'Safety parameters'!$DK$6:$DK$18,CZ405,'Safety parameters'!$DL$6:$DL$18,1)+IF(dd_PartSA_2_lines = "Yes",0,SUMIFS('Safety parameters'!$DO$6:$DO$18,'Safety parameters'!$DK$6:$DK$18,DA405,'Safety parameters'!$DL$6:$DL$18,2)+SUMIFS('Safety parameters'!$DO$6:$DO$18,'Safety parameters'!$DK$6:$DK$18,DB405,'Safety parameters'!$DL$6:$DL$18,2))</f>
        <v>-2.1764250363717368E-2</v>
      </c>
    </row>
    <row r="406" spans="89:124" ht="15" x14ac:dyDescent="0.2">
      <c r="CK406" s="61" t="s">
        <v>31</v>
      </c>
      <c r="CL406" s="61">
        <v>3</v>
      </c>
      <c r="CM406" s="61" t="str">
        <v>pazopanib</v>
      </c>
      <c r="CN406" s="17">
        <v>5</v>
      </c>
      <c r="CO406" s="61" t="str" cm="1">
        <f t="array" ref="CO406">INDEX(List_comparators,CP405+1)</f>
        <v>axitinib</v>
      </c>
      <c r="CP406" s="17">
        <v>11</v>
      </c>
      <c r="CQ406" s="601">
        <f t="shared" ca="1" si="235"/>
        <v>0</v>
      </c>
      <c r="CR406" s="601">
        <f t="shared" ca="1" si="236"/>
        <v>0</v>
      </c>
      <c r="CS406" s="671">
        <f t="shared" ca="1" si="243"/>
        <v>26.28142857142857</v>
      </c>
      <c r="CT406" s="671">
        <f t="shared" ca="1" si="237"/>
        <v>4.2914285714285709</v>
      </c>
      <c r="CU406" s="1123">
        <f>MATCH(CZ413,'Resource use and costs'!$BA$11:$BA$53,0)</f>
        <v>43</v>
      </c>
      <c r="CV406" s="1223"/>
      <c r="CW406" s="1241">
        <f t="shared" si="241"/>
        <v>1</v>
      </c>
      <c r="CX406" s="899" t="s">
        <v>773</v>
      </c>
      <c r="CY406" s="899" t="s">
        <v>117</v>
      </c>
      <c r="CZ406" s="899" t="s">
        <v>119</v>
      </c>
      <c r="DA406" s="899" t="s">
        <v>118</v>
      </c>
      <c r="DB406" s="899" t="s">
        <v>765</v>
      </c>
      <c r="DC406" s="899" cm="1">
        <f t="array" aca="1" ref="DC406" ca="1">_xlfn.IFNA(OFFSET($I$49,MATCH(CY406,$I$50:$I$63,0),MATCH(CZ406,TRANSPOSE($J$49:$W$49),0)),0)</f>
        <v>0</v>
      </c>
      <c r="DD406" s="899" cm="1">
        <f t="array" aca="1" ref="DD406" ca="1">_xlfn.IFNA(OFFSET($Y$49,MATCH($CZ406,$Y$50:$Y$63,0),MATCH($DA406,TRANSPOSE($Z$49:$AM$49),0)),0)</f>
        <v>0</v>
      </c>
      <c r="DE406" s="899" cm="1">
        <f t="array" aca="1" ref="DE406" ca="1">_xlfn.IFNA(OFFSET($AO$49,MATCH($DA406,$AO$50:$AO$63,0),MATCH($DB406,TRANSPOSE($AP$49:$BC$49),0)),0)</f>
        <v>0.43140000000000001</v>
      </c>
      <c r="DF406" s="881">
        <f t="shared" ca="1" si="244"/>
        <v>0</v>
      </c>
      <c r="DG406" s="910">
        <f t="shared" ca="1" si="240"/>
        <v>0.99547352429578406</v>
      </c>
      <c r="DH406" s="881">
        <f t="shared" ca="1" si="245"/>
        <v>0</v>
      </c>
      <c r="DI406" s="1460">
        <f t="shared" ca="1" si="239"/>
        <v>0</v>
      </c>
      <c r="DJ406" s="909">
        <f>_xlfn.IFNA(INDEX('Resource use and costs'!$CQ$11:$CQ$53,MATCH($CZ406,'Resource use and costs'!$BA$11:$BA$53,0)),0)*_xlfn.IFNA(INDEX(DY$10:DY$23,MATCH($CZ406,$DX$10:$DX$23,0)),0)</f>
        <v>944.50399999999979</v>
      </c>
      <c r="DK406" s="909">
        <f>IF(dd_PartSA_2_lines = "Yes",0,_xlfn.IFNA(INDEX('Resource use and costs'!$CR$11:$CR$53,MATCH(DA406,'Resource use and costs'!$BA$11:$BA$53,0)),0)*_xlfn.IFNA(INDEX(EA$10:EA$23,MATCH($DA406,$DX$10:$DX$23,0)),0))</f>
        <v>50308.075122000002</v>
      </c>
      <c r="DL406" s="909">
        <f>IF(dd_PartSA_2_lines = "Yes",0,_xlfn.IFNA(INDEX('Resource use and costs'!$CS$11:$CS$53,MATCH(DB406,'Resource use and costs'!$BA$11:$BA$53,0)),0)*_xlfn.IFNA(INDEX(EC$10:EC$23,MATCH($DB406,$DX$10:$DX$23,0)),0))</f>
        <v>0</v>
      </c>
      <c r="DM406" s="909">
        <f t="shared" si="246"/>
        <v>51252.579122000003</v>
      </c>
      <c r="DN406" s="909">
        <f>SUM(_xlfn.IFNA(INDEX('Resource use and costs'!$DU$12:$DU$25,MATCH(CZ406,'Resource use and costs'!$DS$12:$DS$25,0)),0),_xlfn.IFNA(INDEX('Resource use and costs'!$DU$12:$DU$25,MATCH(DA406,'Resource use and costs'!$DS$12:$DS$25,0)),0),_xlfn.IFNA(INDEX('Resource use and costs'!$DU$12:$DU$25,MATCH(DB406,'Resource use and costs'!$DS$12:$DS$25,0)),0))</f>
        <v>394.5</v>
      </c>
      <c r="DO406" s="921">
        <f>_xlfn.IFNA(INDEX('Resource use and costs'!$DY$12:$DY$25,MATCH(CZ406,'Resource use and costs'!$DS$12:$DS$25,0)),0)*_xlfn.IFNA(INDEX(DY$10:DY$23,MATCH($CZ406,$DX$10:$DX$23,0)),0)</f>
        <v>82.971428571428561</v>
      </c>
      <c r="DP406" s="921">
        <f>IF(dd_PartSA_2_lines = "Yes",0,_xlfn.IFNA(INDEX('Resource use and costs'!$DZ$12:$DZ$25,MATCH(DA406,'Resource use and costs'!$DS$12:$DS$25,0)),0)*_xlfn.IFNA(INDEX(EA$10:EA$23,MATCH($DA406,$DX$10:$DX$23,0)),0))</f>
        <v>461.1445457142857</v>
      </c>
      <c r="DQ406" s="921">
        <f>IF(dd_PartSA_2_lines = "Yes",0,_xlfn.IFNA(INDEX('Resource use and costs'!$EA$12:$EA$25,MATCH(DB406,'Resource use and costs'!$DS$12:$DS$25,0)),0)*_xlfn.IFNA(INDEX(EC$10:EC$23,MATCH($DB406,$DX$10:$DX$23,0)),0))</f>
        <v>0</v>
      </c>
      <c r="DR406" s="921">
        <f t="shared" si="247"/>
        <v>938.61597428571417</v>
      </c>
      <c r="DS406" s="1004">
        <f ca="1">SUMIFS('Safety parameters'!$DM$6:$DM$18,'Safety parameters'!$DK$6:$DK$18,CZ406,'Safety parameters'!$DL$6:$DL$18,1)+IF(dd_PartSA_2_lines = "Yes",0,SUMIFS('Safety parameters'!$DM$6:$DM$18,'Safety parameters'!$DK$6:$DK$18,DA406,'Safety parameters'!$DL$6:$DL$18,2)+SUMIFS('Safety parameters'!$DM$6:$DM$18,'Safety parameters'!$DK$6:$DK$18,DB406,'Safety parameters'!$DL$6:$DL$18,2))</f>
        <v>743.64929980338343</v>
      </c>
      <c r="DT406" s="910">
        <f ca="1">SUMIFS('Safety parameters'!$DO$6:$DO$18,'Safety parameters'!$DK$6:$DK$18,CZ406,'Safety parameters'!$DL$6:$DL$18,1)+IF(dd_PartSA_2_lines = "Yes",0,SUMIFS('Safety parameters'!$DO$6:$DO$18,'Safety parameters'!$DK$6:$DK$18,DA406,'Safety parameters'!$DL$6:$DL$18,2)+SUMIFS('Safety parameters'!$DO$6:$DO$18,'Safety parameters'!$DK$6:$DK$18,DB406,'Safety parameters'!$DL$6:$DL$18,2))</f>
        <v>-7.0223263562359372E-3</v>
      </c>
    </row>
    <row r="407" spans="89:124" ht="15" x14ac:dyDescent="0.2">
      <c r="CK407" s="61" t="s">
        <v>31</v>
      </c>
      <c r="CL407" s="61">
        <v>3</v>
      </c>
      <c r="CM407" s="61" t="str">
        <v>tivozanib</v>
      </c>
      <c r="CN407" s="17">
        <v>6</v>
      </c>
      <c r="CO407" s="61" t="str" cm="1">
        <f t="array" ref="CO407">INDEX(List_comparators,CP406+1)</f>
        <v>axitinib</v>
      </c>
      <c r="CP407" s="17">
        <v>11</v>
      </c>
      <c r="CQ407" s="601">
        <f t="shared" ref="CQ407:CQ438" ca="1" si="248">OFFSET($Z$50,IF(CN407=999,13,CN407),CP407)</f>
        <v>4.6899999999999997E-2</v>
      </c>
      <c r="CR407" s="601">
        <f t="shared" ref="CR407:CR442" ca="1" si="249">OFFSET($Z$65,IF(CN407=999,13,CN407),CP407)</f>
        <v>4.6899999999999997E-3</v>
      </c>
      <c r="CS407" s="671">
        <f t="shared" ca="1" si="243"/>
        <v>26.28142857142857</v>
      </c>
      <c r="CT407" s="671">
        <f t="shared" ref="CT407:CT442" ca="1" si="250">OFFSET($Z$97,IF(CN407=999,13,CN407),CP407)</f>
        <v>4.2914285714285709</v>
      </c>
      <c r="CU407" s="1123">
        <f>MATCH(CZ414,'Resource use and costs'!$BA$11:$BA$53,0)</f>
        <v>43</v>
      </c>
      <c r="CV407" s="1223"/>
      <c r="CW407" s="1241">
        <f t="shared" si="241"/>
        <v>1</v>
      </c>
      <c r="CX407" s="899" t="s">
        <v>773</v>
      </c>
      <c r="CY407" s="899" t="s">
        <v>117</v>
      </c>
      <c r="CZ407" s="899" t="s">
        <v>119</v>
      </c>
      <c r="DA407" s="899" t="s">
        <v>579</v>
      </c>
      <c r="DB407" s="899" t="s">
        <v>327</v>
      </c>
      <c r="DC407" s="899" cm="1">
        <f t="array" aca="1" ref="DC407" ca="1">_xlfn.IFNA(OFFSET($I$49,MATCH(CY407,$I$50:$I$63,0),MATCH(CZ407,TRANSPOSE($J$49:$W$49),0)),0)</f>
        <v>0</v>
      </c>
      <c r="DD407" s="899" cm="1">
        <f t="array" aca="1" ref="DD407" ca="1">_xlfn.IFNA(OFFSET($Y$49,MATCH($CZ407,$Y$50:$Y$63,0),MATCH($DA407,TRANSPOSE($Z$49:$AM$49),0)),0)</f>
        <v>0</v>
      </c>
      <c r="DE407" s="899" cm="1">
        <f t="array" aca="1" ref="DE407" ca="1">_xlfn.IFNA(OFFSET($AO$49,MATCH($DA407,$AO$50:$AO$63,0),MATCH($DB407,TRANSPOSE($AP$49:$BC$49),0)),0)</f>
        <v>0.56859999999999999</v>
      </c>
      <c r="DF407" s="881">
        <f t="shared" ca="1" si="244"/>
        <v>0</v>
      </c>
      <c r="DG407" s="910">
        <f t="shared" ca="1" si="240"/>
        <v>0.99547352429578406</v>
      </c>
      <c r="DH407" s="881">
        <f t="shared" ca="1" si="245"/>
        <v>0</v>
      </c>
      <c r="DI407" s="1460">
        <f t="shared" ca="1" si="239"/>
        <v>0</v>
      </c>
      <c r="DJ407" s="909">
        <f>_xlfn.IFNA(INDEX('Resource use and costs'!$CQ$11:$CQ$53,MATCH($CZ407,'Resource use and costs'!$BA$11:$BA$53,0)),0)*_xlfn.IFNA(INDEX(DY$10:DY$23,MATCH($CZ407,$DX$10:$DX$23,0)),0)</f>
        <v>944.50399999999979</v>
      </c>
      <c r="DK407" s="909">
        <f>IF(dd_PartSA_2_lines = "Yes",0,_xlfn.IFNA(INDEX('Resource use and costs'!$CR$11:$CR$53,MATCH(DA407,'Resource use and costs'!$BA$11:$BA$53,0)),0)*_xlfn.IFNA(INDEX(EA$10:EA$23,MATCH($DA407,$DX$10:$DX$23,0)),0))</f>
        <v>26054.50921</v>
      </c>
      <c r="DL407" s="909">
        <f>IF(dd_PartSA_2_lines = "Yes",0,_xlfn.IFNA(INDEX('Resource use and costs'!$CS$11:$CS$53,MATCH(DB407,'Resource use and costs'!$BA$11:$BA$53,0)),0)*_xlfn.IFNA(INDEX(EC$10:EC$23,MATCH($DB407,$DX$10:$DX$23,0)),0))</f>
        <v>18438.751749999999</v>
      </c>
      <c r="DM407" s="909">
        <f t="shared" si="246"/>
        <v>45437.76496</v>
      </c>
      <c r="DN407" s="909">
        <f>SUM(_xlfn.IFNA(INDEX('Resource use and costs'!$DU$12:$DU$25,MATCH(CZ407,'Resource use and costs'!$DS$12:$DS$25,0)),0),_xlfn.IFNA(INDEX('Resource use and costs'!$DU$12:$DU$25,MATCH(DA407,'Resource use and costs'!$DS$12:$DS$25,0)),0),_xlfn.IFNA(INDEX('Resource use and costs'!$DU$12:$DU$25,MATCH(DB407,'Resource use and costs'!$DS$12:$DS$25,0)),0))</f>
        <v>394.5</v>
      </c>
      <c r="DO407" s="921">
        <f>_xlfn.IFNA(INDEX('Resource use and costs'!$DY$12:$DY$25,MATCH(CZ407,'Resource use and costs'!$DS$12:$DS$25,0)),0)*_xlfn.IFNA(INDEX(DY$10:DY$23,MATCH($CZ407,$DX$10:$DX$23,0)),0)</f>
        <v>82.971428571428561</v>
      </c>
      <c r="DP407" s="921">
        <f>IF(dd_PartSA_2_lines = "Yes",0,_xlfn.IFNA(INDEX('Resource use and costs'!$DZ$12:$DZ$25,MATCH(DA407,'Resource use and costs'!$DS$12:$DS$25,0)),0)*_xlfn.IFNA(INDEX(EA$10:EA$23,MATCH($DA407,$DX$10:$DX$23,0)),0))</f>
        <v>4108.3597166</v>
      </c>
      <c r="DQ407" s="921">
        <f>IF(dd_PartSA_2_lines = "Yes",0,_xlfn.IFNA(INDEX('Resource use and costs'!$EA$12:$EA$25,MATCH(DB407,'Resource use and costs'!$DS$12:$DS$25,0)),0)*_xlfn.IFNA(INDEX(EC$10:EC$23,MATCH($DB407,$DX$10:$DX$23,0)),0))</f>
        <v>230.68099999999998</v>
      </c>
      <c r="DR407" s="921">
        <f t="shared" si="247"/>
        <v>4816.5121451714285</v>
      </c>
      <c r="DS407" s="1004">
        <f ca="1">SUMIFS('Safety parameters'!$DM$6:$DM$18,'Safety parameters'!$DK$6:$DK$18,CZ407,'Safety parameters'!$DL$6:$DL$18,1)+IF(dd_PartSA_2_lines = "Yes",0,SUMIFS('Safety parameters'!$DM$6:$DM$18,'Safety parameters'!$DK$6:$DK$18,DA407,'Safety parameters'!$DL$6:$DL$18,2)+SUMIFS('Safety parameters'!$DM$6:$DM$18,'Safety parameters'!$DK$6:$DK$18,DB407,'Safety parameters'!$DL$6:$DL$18,2))</f>
        <v>1795.3624225558742</v>
      </c>
      <c r="DT407" s="910">
        <f ca="1">SUMIFS('Safety parameters'!$DO$6:$DO$18,'Safety parameters'!$DK$6:$DK$18,CZ407,'Safety parameters'!$DL$6:$DL$18,1)+IF(dd_PartSA_2_lines = "Yes",0,SUMIFS('Safety parameters'!$DO$6:$DO$18,'Safety parameters'!$DK$6:$DK$18,DA407,'Safety parameters'!$DL$6:$DL$18,2)+SUMIFS('Safety parameters'!$DO$6:$DO$18,'Safety parameters'!$DK$6:$DK$18,DB407,'Safety parameters'!$DL$6:$DL$18,2))</f>
        <v>-1.6339008205166216E-2</v>
      </c>
    </row>
    <row r="408" spans="89:124" ht="15" x14ac:dyDescent="0.2">
      <c r="CK408" s="61" t="s">
        <v>31</v>
      </c>
      <c r="CL408" s="61">
        <v>3</v>
      </c>
      <c r="CM408" s="61" t="str">
        <v>sunitinib</v>
      </c>
      <c r="CN408" s="17">
        <v>7</v>
      </c>
      <c r="CO408" s="61" t="str" cm="1">
        <f t="array" ref="CO408">INDEX(List_comparators,CP407+1)</f>
        <v>axitinib</v>
      </c>
      <c r="CP408" s="17">
        <v>11</v>
      </c>
      <c r="CQ408" s="601">
        <f t="shared" ca="1" si="248"/>
        <v>0</v>
      </c>
      <c r="CR408" s="601">
        <f t="shared" ca="1" si="249"/>
        <v>0</v>
      </c>
      <c r="CS408" s="671">
        <f t="shared" ca="1" si="243"/>
        <v>26.28142857142857</v>
      </c>
      <c r="CT408" s="671">
        <f t="shared" ca="1" si="250"/>
        <v>4.2914285714285709</v>
      </c>
      <c r="CU408" s="1123">
        <f>MATCH(CZ415,'Resource use and costs'!$BA$11:$BA$53,0)</f>
        <v>1</v>
      </c>
      <c r="CV408" s="1223"/>
      <c r="CW408" s="1241">
        <f t="shared" si="241"/>
        <v>1</v>
      </c>
      <c r="CX408" s="899" t="s">
        <v>773</v>
      </c>
      <c r="CY408" s="899" t="s">
        <v>117</v>
      </c>
      <c r="CZ408" s="899" t="s">
        <v>119</v>
      </c>
      <c r="DA408" s="899" t="s">
        <v>579</v>
      </c>
      <c r="DB408" s="899" t="s">
        <v>765</v>
      </c>
      <c r="DC408" s="899" cm="1">
        <f t="array" aca="1" ref="DC408" ca="1">_xlfn.IFNA(OFFSET($I$49,MATCH(CY408,$I$50:$I$63,0),MATCH(CZ408,TRANSPOSE($J$49:$W$49),0)),0)</f>
        <v>0</v>
      </c>
      <c r="DD408" s="899" cm="1">
        <f t="array" aca="1" ref="DD408" ca="1">_xlfn.IFNA(OFFSET($Y$49,MATCH($CZ408,$Y$50:$Y$63,0),MATCH($DA408,TRANSPOSE($Z$49:$AM$49),0)),0)</f>
        <v>0</v>
      </c>
      <c r="DE408" s="899" cm="1">
        <f t="array" aca="1" ref="DE408" ca="1">_xlfn.IFNA(OFFSET($AO$49,MATCH($DA408,$AO$50:$AO$63,0),MATCH($DB408,TRANSPOSE($AP$49:$BC$49),0)),0)</f>
        <v>0.43140000000000001</v>
      </c>
      <c r="DF408" s="881">
        <f t="shared" ca="1" si="244"/>
        <v>0</v>
      </c>
      <c r="DG408" s="910">
        <f t="shared" ca="1" si="240"/>
        <v>0.99547352429578406</v>
      </c>
      <c r="DH408" s="881">
        <f t="shared" ca="1" si="245"/>
        <v>0</v>
      </c>
      <c r="DI408" s="1460">
        <f t="shared" ca="1" si="239"/>
        <v>0</v>
      </c>
      <c r="DJ408" s="909">
        <f>_xlfn.IFNA(INDEX('Resource use and costs'!$CQ$11:$CQ$53,MATCH($CZ408,'Resource use and costs'!$BA$11:$BA$53,0)),0)*_xlfn.IFNA(INDEX(DY$10:DY$23,MATCH($CZ408,$DX$10:$DX$23,0)),0)</f>
        <v>944.50399999999979</v>
      </c>
      <c r="DK408" s="909">
        <f>IF(dd_PartSA_2_lines = "Yes",0,_xlfn.IFNA(INDEX('Resource use and costs'!$CR$11:$CR$53,MATCH(DA408,'Resource use and costs'!$BA$11:$BA$53,0)),0)*_xlfn.IFNA(INDEX(EA$10:EA$23,MATCH($DA408,$DX$10:$DX$23,0)),0))</f>
        <v>26054.50921</v>
      </c>
      <c r="DL408" s="909">
        <f>IF(dd_PartSA_2_lines = "Yes",0,_xlfn.IFNA(INDEX('Resource use and costs'!$CS$11:$CS$53,MATCH(DB408,'Resource use and costs'!$BA$11:$BA$53,0)),0)*_xlfn.IFNA(INDEX(EC$10:EC$23,MATCH($DB408,$DX$10:$DX$23,0)),0))</f>
        <v>0</v>
      </c>
      <c r="DM408" s="909">
        <f t="shared" si="246"/>
        <v>26999.013210000001</v>
      </c>
      <c r="DN408" s="909">
        <f>SUM(_xlfn.IFNA(INDEX('Resource use and costs'!$DU$12:$DU$25,MATCH(CZ408,'Resource use and costs'!$DS$12:$DS$25,0)),0),_xlfn.IFNA(INDEX('Resource use and costs'!$DU$12:$DU$25,MATCH(DA408,'Resource use and costs'!$DS$12:$DS$25,0)),0),_xlfn.IFNA(INDEX('Resource use and costs'!$DU$12:$DU$25,MATCH(DB408,'Resource use and costs'!$DS$12:$DS$25,0)),0))</f>
        <v>197.25</v>
      </c>
      <c r="DO408" s="921">
        <f>_xlfn.IFNA(INDEX('Resource use and costs'!$DY$12:$DY$25,MATCH(CZ408,'Resource use and costs'!$DS$12:$DS$25,0)),0)*_xlfn.IFNA(INDEX(DY$10:DY$23,MATCH($CZ408,$DX$10:$DX$23,0)),0)</f>
        <v>82.971428571428561</v>
      </c>
      <c r="DP408" s="921">
        <f>IF(dd_PartSA_2_lines = "Yes",0,_xlfn.IFNA(INDEX('Resource use and costs'!$DZ$12:$DZ$25,MATCH(DA408,'Resource use and costs'!$DS$12:$DS$25,0)),0)*_xlfn.IFNA(INDEX(EA$10:EA$23,MATCH($DA408,$DX$10:$DX$23,0)),0))</f>
        <v>4108.3597166</v>
      </c>
      <c r="DQ408" s="921">
        <f>IF(dd_PartSA_2_lines = "Yes",0,_xlfn.IFNA(INDEX('Resource use and costs'!$EA$12:$EA$25,MATCH(DB408,'Resource use and costs'!$DS$12:$DS$25,0)),0)*_xlfn.IFNA(INDEX(EC$10:EC$23,MATCH($DB408,$DX$10:$DX$23,0)),0))</f>
        <v>0</v>
      </c>
      <c r="DR408" s="921">
        <f t="shared" si="247"/>
        <v>4388.5811451714289</v>
      </c>
      <c r="DS408" s="1004">
        <f ca="1">SUMIFS('Safety parameters'!$DM$6:$DM$18,'Safety parameters'!$DK$6:$DK$18,CZ408,'Safety parameters'!$DL$6:$DL$18,1)+IF(dd_PartSA_2_lines = "Yes",0,SUMIFS('Safety parameters'!$DM$6:$DM$18,'Safety parameters'!$DK$6:$DK$18,DA408,'Safety parameters'!$DL$6:$DL$18,2)+SUMIFS('Safety parameters'!$DM$6:$DM$18,'Safety parameters'!$DK$6:$DK$18,DB408,'Safety parameters'!$DL$6:$DL$18,2))</f>
        <v>161.1337489904144</v>
      </c>
      <c r="DT408" s="910">
        <f ca="1">SUMIFS('Safety parameters'!$DO$6:$DO$18,'Safety parameters'!$DK$6:$DK$18,CZ408,'Safety parameters'!$DL$6:$DL$18,1)+IF(dd_PartSA_2_lines = "Yes",0,SUMIFS('Safety parameters'!$DO$6:$DO$18,'Safety parameters'!$DK$6:$DK$18,DA408,'Safety parameters'!$DL$6:$DL$18,2)+SUMIFS('Safety parameters'!$DO$6:$DO$18,'Safety parameters'!$DK$6:$DK$18,DB408,'Safety parameters'!$DL$6:$DL$18,2))</f>
        <v>-1.5970841976847864E-3</v>
      </c>
    </row>
    <row r="409" spans="89:124" ht="15" x14ac:dyDescent="0.2">
      <c r="CK409" s="61" t="s">
        <v>31</v>
      </c>
      <c r="CL409" s="61">
        <v>3</v>
      </c>
      <c r="CM409" s="61" t="str">
        <v>cabozantinib</v>
      </c>
      <c r="CN409" s="17">
        <v>8</v>
      </c>
      <c r="CO409" s="61" t="str" cm="1">
        <f t="array" ref="CO409">INDEX(List_comparators,CP408+1)</f>
        <v>axitinib</v>
      </c>
      <c r="CP409" s="17">
        <v>11</v>
      </c>
      <c r="CQ409" s="601">
        <f t="shared" ca="1" si="248"/>
        <v>0.122</v>
      </c>
      <c r="CR409" s="601">
        <f t="shared" ca="1" si="249"/>
        <v>1.2200000000000001E-2</v>
      </c>
      <c r="CS409" s="671">
        <f t="shared" ca="1" si="243"/>
        <v>26.28142857142857</v>
      </c>
      <c r="CT409" s="671">
        <f t="shared" ca="1" si="250"/>
        <v>4.2914285714285709</v>
      </c>
      <c r="CU409" s="1123">
        <f>MATCH(CZ416,'Resource use and costs'!$BA$11:$BA$53,0)</f>
        <v>1</v>
      </c>
      <c r="CV409" s="1223"/>
      <c r="CW409" s="1241">
        <f t="shared" si="241"/>
        <v>1</v>
      </c>
      <c r="CX409" s="899" t="s">
        <v>773</v>
      </c>
      <c r="CY409" s="899" t="s">
        <v>117</v>
      </c>
      <c r="CZ409" s="899" t="s">
        <v>333</v>
      </c>
      <c r="DA409" s="899" t="s">
        <v>327</v>
      </c>
      <c r="DB409" s="899" t="s">
        <v>765</v>
      </c>
      <c r="DC409" s="899" cm="1">
        <f t="array" aca="1" ref="DC409" ca="1">_xlfn.IFNA(OFFSET($I$49,MATCH(CY409,$I$50:$I$63,0),MATCH(CZ409,TRANSPOSE($J$49:$W$49),0)),0)</f>
        <v>3.700000000000001E-3</v>
      </c>
      <c r="DD409" s="899" cm="1">
        <f t="array" aca="1" ref="DD409" ca="1">_xlfn.IFNA(OFFSET($Y$49,MATCH($CZ409,$Y$50:$Y$63,0),MATCH($DA409,TRANSPOSE($Z$49:$AM$49),0)),0)</f>
        <v>0</v>
      </c>
      <c r="DE409" s="899" cm="1">
        <f t="array" aca="1" ref="DE409" ca="1">_xlfn.IFNA(OFFSET($AO$49,MATCH($DA409,$AO$50:$AO$63,0),MATCH($DB409,TRANSPOSE($AP$49:$BC$49),0)),0)</f>
        <v>0.43140000000000001</v>
      </c>
      <c r="DF409" s="881">
        <f t="shared" ca="1" si="244"/>
        <v>0</v>
      </c>
      <c r="DG409" s="910">
        <f t="shared" ca="1" si="240"/>
        <v>0.99547352429578406</v>
      </c>
      <c r="DH409" s="881">
        <f t="shared" ca="1" si="245"/>
        <v>0</v>
      </c>
      <c r="DI409" s="1460">
        <f t="shared" ca="1" si="239"/>
        <v>0</v>
      </c>
      <c r="DJ409" s="909">
        <f>_xlfn.IFNA(INDEX('Resource use and costs'!$CQ$11:$CQ$53,MATCH($CZ409,'Resource use and costs'!$BA$11:$BA$53,0)),0)*_xlfn.IFNA(INDEX(DY$10:DY$23,MATCH($CZ409,$DX$10:$DX$23,0)),0)</f>
        <v>54336.641519999976</v>
      </c>
      <c r="DK409" s="909">
        <f>IF(dd_PartSA_2_lines = "Yes",0,_xlfn.IFNA(INDEX('Resource use and costs'!$CR$11:$CR$53,MATCH(DA409,'Resource use and costs'!$BA$11:$BA$53,0)),0)*_xlfn.IFNA(INDEX(EA$10:EA$23,MATCH($DA409,$DX$10:$DX$23,0)),0))</f>
        <v>21421.066008214286</v>
      </c>
      <c r="DL409" s="909">
        <f>IF(dd_PartSA_2_lines = "Yes",0,_xlfn.IFNA(INDEX('Resource use and costs'!$CS$11:$CS$53,MATCH(DB409,'Resource use and costs'!$BA$11:$BA$53,0)),0)*_xlfn.IFNA(INDEX(EC$10:EC$23,MATCH($DB409,$DX$10:$DX$23,0)),0))</f>
        <v>0</v>
      </c>
      <c r="DM409" s="909">
        <f t="shared" si="246"/>
        <v>75757.707528214261</v>
      </c>
      <c r="DN409" s="909">
        <f>SUM(_xlfn.IFNA(INDEX('Resource use and costs'!$DU$12:$DU$25,MATCH(CZ409,'Resource use and costs'!$DS$12:$DS$25,0)),0),_xlfn.IFNA(INDEX('Resource use and costs'!$DU$12:$DU$25,MATCH(DA409,'Resource use and costs'!$DS$12:$DS$25,0)),0),_xlfn.IFNA(INDEX('Resource use and costs'!$DU$12:$DU$25,MATCH(DB409,'Resource use and costs'!$DS$12:$DS$25,0)),0))</f>
        <v>394.5</v>
      </c>
      <c r="DO409" s="921">
        <f>_xlfn.IFNA(INDEX('Resource use and costs'!$DY$12:$DY$25,MATCH(CZ409,'Resource use and costs'!$DS$12:$DS$25,0)),0)*_xlfn.IFNA(INDEX(DY$10:DY$23,MATCH($CZ409,$DX$10:$DX$23,0)),0)</f>
        <v>810.54285714285697</v>
      </c>
      <c r="DP409" s="921">
        <f>IF(dd_PartSA_2_lines = "Yes",0,_xlfn.IFNA(INDEX('Resource use and costs'!$DZ$12:$DZ$25,MATCH(DA409,'Resource use and costs'!$DS$12:$DS$25,0)),0)*_xlfn.IFNA(INDEX(EA$10:EA$23,MATCH($DA409,$DX$10:$DX$23,0)),0))</f>
        <v>267.99172714285714</v>
      </c>
      <c r="DQ409" s="921">
        <f>IF(dd_PartSA_2_lines = "Yes",0,_xlfn.IFNA(INDEX('Resource use and costs'!$EA$12:$EA$25,MATCH(DB409,'Resource use and costs'!$DS$12:$DS$25,0)),0)*_xlfn.IFNA(INDEX(EC$10:EC$23,MATCH($DB409,$DX$10:$DX$23,0)),0))</f>
        <v>0</v>
      </c>
      <c r="DR409" s="921">
        <f t="shared" si="247"/>
        <v>1473.0345842857141</v>
      </c>
      <c r="DS409" s="1004">
        <f ca="1">SUMIFS('Safety parameters'!$DM$6:$DM$18,'Safety parameters'!$DK$6:$DK$18,CZ409,'Safety parameters'!$DL$6:$DL$18,1)+IF(dd_PartSA_2_lines = "Yes",0,SUMIFS('Safety parameters'!$DM$6:$DM$18,'Safety parameters'!$DK$6:$DK$18,DA409,'Safety parameters'!$DL$6:$DL$18,2)+SUMIFS('Safety parameters'!$DM$6:$DM$18,'Safety parameters'!$DK$6:$DK$18,DB409,'Safety parameters'!$DL$6:$DL$18,2))</f>
        <v>1634.2286735654598</v>
      </c>
      <c r="DT409" s="910">
        <f ca="1">SUMIFS('Safety parameters'!$DO$6:$DO$18,'Safety parameters'!$DK$6:$DK$18,CZ409,'Safety parameters'!$DL$6:$DL$18,1)+IF(dd_PartSA_2_lines = "Yes",0,SUMIFS('Safety parameters'!$DO$6:$DO$18,'Safety parameters'!$DK$6:$DK$18,DA409,'Safety parameters'!$DL$6:$DL$18,2)+SUMIFS('Safety parameters'!$DO$6:$DO$18,'Safety parameters'!$DK$6:$DK$18,DB409,'Safety parameters'!$DL$6:$DL$18,2))</f>
        <v>-1.4741924007481429E-2</v>
      </c>
    </row>
    <row r="410" spans="89:124" ht="15" x14ac:dyDescent="0.2">
      <c r="CK410" s="61" t="s">
        <v>31</v>
      </c>
      <c r="CL410" s="61">
        <v>3</v>
      </c>
      <c r="CM410" s="61" t="str">
        <v>lenvatinib_plus_everolimus</v>
      </c>
      <c r="CN410" s="17">
        <v>9</v>
      </c>
      <c r="CO410" s="61" t="str" cm="1">
        <f t="array" ref="CO410">INDEX(List_comparators,CP409+1)</f>
        <v>axitinib</v>
      </c>
      <c r="CP410" s="17">
        <v>11</v>
      </c>
      <c r="CQ410" s="601">
        <f t="shared" ca="1" si="248"/>
        <v>0</v>
      </c>
      <c r="CR410" s="601">
        <f t="shared" ca="1" si="249"/>
        <v>0</v>
      </c>
      <c r="CS410" s="671">
        <f t="shared" ca="1" si="243"/>
        <v>26.28142857142857</v>
      </c>
      <c r="CT410" s="671">
        <f t="shared" ca="1" si="250"/>
        <v>4.2914285714285709</v>
      </c>
      <c r="CU410" s="1123">
        <f>MATCH(CZ417,'Resource use and costs'!$BA$11:$BA$53,0)</f>
        <v>1</v>
      </c>
      <c r="CV410" s="1223"/>
      <c r="CW410" s="1241">
        <f t="shared" si="241"/>
        <v>1</v>
      </c>
      <c r="CX410" s="899" t="s">
        <v>773</v>
      </c>
      <c r="CY410" s="899" t="s">
        <v>117</v>
      </c>
      <c r="CZ410" s="899" t="s">
        <v>333</v>
      </c>
      <c r="DA410" s="899" t="s">
        <v>765</v>
      </c>
      <c r="DB410" s="899"/>
      <c r="DC410" s="899" cm="1">
        <f t="array" aca="1" ref="DC410" ca="1">_xlfn.IFNA(OFFSET($I$49,MATCH(CY410,$I$50:$I$63,0),MATCH(CZ410,TRANSPOSE($J$49:$W$49),0)),0)</f>
        <v>3.700000000000001E-3</v>
      </c>
      <c r="DD410" s="899" cm="1">
        <f t="array" aca="1" ref="DD410" ca="1">_xlfn.IFNA(OFFSET($Y$49,MATCH($CZ410,$Y$50:$Y$63,0),MATCH($DA410,TRANSPOSE($Z$49:$AM$49),0)),0)</f>
        <v>0.34300000000000003</v>
      </c>
      <c r="DE410" s="899" cm="1">
        <f t="array" aca="1" ref="DE410" ca="1">_xlfn.IFNA(OFFSET($AO$49,MATCH($DA410,$AO$50:$AO$63,0),MATCH($DB410,TRANSPOSE($AP$49:$BC$49),0)),0)</f>
        <v>0</v>
      </c>
      <c r="DF410" s="881">
        <f t="shared" ca="1" si="244"/>
        <v>1.2691000000000004E-3</v>
      </c>
      <c r="DG410" s="910">
        <f t="shared" ca="1" si="240"/>
        <v>0.99547352429578406</v>
      </c>
      <c r="DH410" s="881">
        <f t="shared" ca="1" si="245"/>
        <v>1.2633554496837801E-3</v>
      </c>
      <c r="DI410" s="1460">
        <f t="shared" ca="1" si="239"/>
        <v>0.4118538765969123</v>
      </c>
      <c r="DJ410" s="909">
        <f>_xlfn.IFNA(INDEX('Resource use and costs'!$CQ$11:$CQ$53,MATCH($CZ410,'Resource use and costs'!$BA$11:$BA$53,0)),0)*_xlfn.IFNA(INDEX(DY$10:DY$23,MATCH($CZ410,$DX$10:$DX$23,0)),0)</f>
        <v>54336.641519999976</v>
      </c>
      <c r="DK410" s="909">
        <f>IF(dd_PartSA_2_lines = "Yes",0,_xlfn.IFNA(INDEX('Resource use and costs'!$CR$11:$CR$53,MATCH(DA410,'Resource use and costs'!$BA$11:$BA$53,0)),0)*_xlfn.IFNA(INDEX(EA$10:EA$23,MATCH($DA410,$DX$10:$DX$23,0)),0))</f>
        <v>0</v>
      </c>
      <c r="DL410" s="909">
        <f>IF(dd_PartSA_2_lines = "Yes",0,_xlfn.IFNA(INDEX('Resource use and costs'!$CS$11:$CS$53,MATCH(DB410,'Resource use and costs'!$BA$11:$BA$53,0)),0)*_xlfn.IFNA(INDEX(EC$10:EC$23,MATCH($DB410,$DX$10:$DX$23,0)),0))</f>
        <v>0</v>
      </c>
      <c r="DM410" s="909">
        <f t="shared" si="246"/>
        <v>54336.641519999976</v>
      </c>
      <c r="DN410" s="909">
        <f>SUM(_xlfn.IFNA(INDEX('Resource use and costs'!$DU$12:$DU$25,MATCH(CZ410,'Resource use and costs'!$DS$12:$DS$25,0)),0),_xlfn.IFNA(INDEX('Resource use and costs'!$DU$12:$DU$25,MATCH(DA410,'Resource use and costs'!$DS$12:$DS$25,0)),0),_xlfn.IFNA(INDEX('Resource use and costs'!$DU$12:$DU$25,MATCH(DB410,'Resource use and costs'!$DS$12:$DS$25,0)),0))</f>
        <v>197.25</v>
      </c>
      <c r="DO410" s="921">
        <f>_xlfn.IFNA(INDEX('Resource use and costs'!$DY$12:$DY$25,MATCH(CZ410,'Resource use and costs'!$DS$12:$DS$25,0)),0)*_xlfn.IFNA(INDEX(DY$10:DY$23,MATCH($CZ410,$DX$10:$DX$23,0)),0)</f>
        <v>810.54285714285697</v>
      </c>
      <c r="DP410" s="921">
        <f>IF(dd_PartSA_2_lines = "Yes",0,_xlfn.IFNA(INDEX('Resource use and costs'!$DZ$12:$DZ$25,MATCH(DA410,'Resource use and costs'!$DS$12:$DS$25,0)),0)*_xlfn.IFNA(INDEX(EA$10:EA$23,MATCH($DA410,$DX$10:$DX$23,0)),0))</f>
        <v>0</v>
      </c>
      <c r="DQ410" s="921">
        <f>IF(dd_PartSA_2_lines = "Yes",0,_xlfn.IFNA(INDEX('Resource use and costs'!$EA$12:$EA$25,MATCH(DB410,'Resource use and costs'!$DS$12:$DS$25,0)),0)*_xlfn.IFNA(INDEX(EC$10:EC$23,MATCH($DB410,$DX$10:$DX$23,0)),0))</f>
        <v>0</v>
      </c>
      <c r="DR410" s="921">
        <f t="shared" si="247"/>
        <v>1007.792857142857</v>
      </c>
      <c r="DS410" s="1004">
        <f>SUMIFS('Safety parameters'!$DM$6:$DM$18,'Safety parameters'!$DK$6:$DK$18,CZ410,'Safety parameters'!$DL$6:$DL$18,1)+IF(dd_PartSA_2_lines = "Yes",0,SUMIFS('Safety parameters'!$DM$6:$DM$18,'Safety parameters'!$DK$6:$DK$18,DA410,'Safety parameters'!$DL$6:$DL$18,2)+SUMIFS('Safety parameters'!$DM$6:$DM$18,'Safety parameters'!$DK$6:$DK$18,DB410,'Safety parameters'!$DL$6:$DL$18,2))</f>
        <v>0</v>
      </c>
      <c r="DT410" s="910">
        <f>SUMIFS('Safety parameters'!$DO$6:$DO$18,'Safety parameters'!$DK$6:$DK$18,CZ410,'Safety parameters'!$DL$6:$DL$18,1)+IF(dd_PartSA_2_lines = "Yes",0,SUMIFS('Safety parameters'!$DO$6:$DO$18,'Safety parameters'!$DK$6:$DK$18,DA410,'Safety parameters'!$DL$6:$DL$18,2)+SUMIFS('Safety parameters'!$DO$6:$DO$18,'Safety parameters'!$DK$6:$DK$18,DB410,'Safety parameters'!$DL$6:$DL$18,2))</f>
        <v>0</v>
      </c>
    </row>
    <row r="411" spans="89:124" ht="15" x14ac:dyDescent="0.2">
      <c r="CK411" s="61" t="s">
        <v>31</v>
      </c>
      <c r="CL411" s="61">
        <v>3</v>
      </c>
      <c r="CM411" s="61" t="str">
        <v>everolimus</v>
      </c>
      <c r="CN411" s="17">
        <v>10</v>
      </c>
      <c r="CO411" s="61" t="str" cm="1">
        <f t="array" ref="CO411">INDEX(List_comparators,CP410+1)</f>
        <v>axitinib</v>
      </c>
      <c r="CP411" s="17">
        <v>11</v>
      </c>
      <c r="CQ411" s="601">
        <f t="shared" ca="1" si="248"/>
        <v>0</v>
      </c>
      <c r="CR411" s="601">
        <f t="shared" ca="1" si="249"/>
        <v>0</v>
      </c>
      <c r="CS411" s="671">
        <f t="shared" ca="1" si="243"/>
        <v>26.28142857142857</v>
      </c>
      <c r="CT411" s="671">
        <f t="shared" ca="1" si="250"/>
        <v>4.2914285714285709</v>
      </c>
      <c r="CU411" s="1123">
        <f>MATCH(CZ418,'Resource use and costs'!$BA$11:$BA$53,0)</f>
        <v>1</v>
      </c>
      <c r="CV411" s="1223"/>
      <c r="CW411" s="1241">
        <f t="shared" si="241"/>
        <v>1</v>
      </c>
      <c r="CX411" s="899" t="s">
        <v>773</v>
      </c>
      <c r="CY411" s="899" t="s">
        <v>117</v>
      </c>
      <c r="CZ411" s="899" t="s">
        <v>333</v>
      </c>
      <c r="DA411" s="899" t="s">
        <v>118</v>
      </c>
      <c r="DB411" s="899" t="s">
        <v>327</v>
      </c>
      <c r="DC411" s="899" cm="1">
        <f t="array" aca="1" ref="DC411" ca="1">_xlfn.IFNA(OFFSET($I$49,MATCH(CY411,$I$50:$I$63,0),MATCH(CZ411,TRANSPOSE($J$49:$W$49),0)),0)</f>
        <v>3.700000000000001E-3</v>
      </c>
      <c r="DD411" s="899" cm="1">
        <f t="array" aca="1" ref="DD411" ca="1">_xlfn.IFNA(OFFSET($Y$49,MATCH($CZ411,$Y$50:$Y$63,0),MATCH($DA411,TRANSPOSE($Z$49:$AM$49),0)),0)</f>
        <v>0.49270000000000003</v>
      </c>
      <c r="DE411" s="899" cm="1">
        <f t="array" aca="1" ref="DE411" ca="1">_xlfn.IFNA(OFFSET($AO$49,MATCH($DA411,$AO$50:$AO$63,0),MATCH($DB411,TRANSPOSE($AP$49:$BC$49),0)),0)</f>
        <v>0.38769999999999999</v>
      </c>
      <c r="DF411" s="881">
        <f t="shared" ca="1" si="244"/>
        <v>7.0677322300000025E-4</v>
      </c>
      <c r="DG411" s="910">
        <f t="shared" ca="1" si="240"/>
        <v>0.99547352429578406</v>
      </c>
      <c r="DH411" s="881">
        <f t="shared" ca="1" si="245"/>
        <v>7.0357403117770039E-4</v>
      </c>
      <c r="DI411" s="1460">
        <f t="shared" ca="1" si="239"/>
        <v>0.22936513416393034</v>
      </c>
      <c r="DJ411" s="909">
        <f>_xlfn.IFNA(INDEX('Resource use and costs'!$CQ$11:$CQ$53,MATCH($CZ411,'Resource use and costs'!$BA$11:$BA$53,0)),0)*_xlfn.IFNA(INDEX(DY$10:DY$23,MATCH($CZ411,$DX$10:$DX$23,0)),0)</f>
        <v>54336.641519999976</v>
      </c>
      <c r="DK411" s="909">
        <f>IF(dd_PartSA_2_lines = "Yes",0,_xlfn.IFNA(INDEX('Resource use and costs'!$CR$11:$CR$53,MATCH(DA411,'Resource use and costs'!$BA$11:$BA$53,0)),0)*_xlfn.IFNA(INDEX(EA$10:EA$23,MATCH($DA411,$DX$10:$DX$23,0)),0))</f>
        <v>50308.075122000002</v>
      </c>
      <c r="DL411" s="909">
        <f>IF(dd_PartSA_2_lines = "Yes",0,_xlfn.IFNA(INDEX('Resource use and costs'!$CS$11:$CS$53,MATCH(DB411,'Resource use and costs'!$BA$11:$BA$53,0)),0)*_xlfn.IFNA(INDEX(EC$10:EC$23,MATCH($DB411,$DX$10:$DX$23,0)),0))</f>
        <v>18438.751749999999</v>
      </c>
      <c r="DM411" s="909">
        <f t="shared" si="246"/>
        <v>123083.46839199998</v>
      </c>
      <c r="DN411" s="909">
        <f>SUM(_xlfn.IFNA(INDEX('Resource use and costs'!$DU$12:$DU$25,MATCH(CZ411,'Resource use and costs'!$DS$12:$DS$25,0)),0),_xlfn.IFNA(INDEX('Resource use and costs'!$DU$12:$DU$25,MATCH(DA411,'Resource use and costs'!$DS$12:$DS$25,0)),0),_xlfn.IFNA(INDEX('Resource use and costs'!$DU$12:$DU$25,MATCH(DB411,'Resource use and costs'!$DS$12:$DS$25,0)),0))</f>
        <v>591.75</v>
      </c>
      <c r="DO411" s="921">
        <f>_xlfn.IFNA(INDEX('Resource use and costs'!$DY$12:$DY$25,MATCH(CZ411,'Resource use and costs'!$DS$12:$DS$25,0)),0)*_xlfn.IFNA(INDEX(DY$10:DY$23,MATCH($CZ411,$DX$10:$DX$23,0)),0)</f>
        <v>810.54285714285697</v>
      </c>
      <c r="DP411" s="921">
        <f>IF(dd_PartSA_2_lines = "Yes",0,_xlfn.IFNA(INDEX('Resource use and costs'!$DZ$12:$DZ$25,MATCH(DA411,'Resource use and costs'!$DS$12:$DS$25,0)),0)*_xlfn.IFNA(INDEX(EA$10:EA$23,MATCH($DA411,$DX$10:$DX$23,0)),0))</f>
        <v>461.1445457142857</v>
      </c>
      <c r="DQ411" s="921">
        <f>IF(dd_PartSA_2_lines = "Yes",0,_xlfn.IFNA(INDEX('Resource use and costs'!$EA$12:$EA$25,MATCH(DB411,'Resource use and costs'!$DS$12:$DS$25,0)),0)*_xlfn.IFNA(INDEX(EC$10:EC$23,MATCH($DB411,$DX$10:$DX$23,0)),0))</f>
        <v>230.68099999999998</v>
      </c>
      <c r="DR411" s="921">
        <f t="shared" si="247"/>
        <v>2094.1184028571424</v>
      </c>
      <c r="DS411" s="1004">
        <f ca="1">SUMIFS('Safety parameters'!$DM$6:$DM$18,'Safety parameters'!$DK$6:$DK$18,CZ411,'Safety parameters'!$DL$6:$DL$18,1)+IF(dd_PartSA_2_lines = "Yes",0,SUMIFS('Safety parameters'!$DM$6:$DM$18,'Safety parameters'!$DK$6:$DK$18,DA411,'Safety parameters'!$DL$6:$DL$18,2)+SUMIFS('Safety parameters'!$DM$6:$DM$18,'Safety parameters'!$DK$6:$DK$18,DB411,'Safety parameters'!$DL$6:$DL$18,2))</f>
        <v>2377.8779733688434</v>
      </c>
      <c r="DT411" s="910">
        <f ca="1">SUMIFS('Safety parameters'!$DO$6:$DO$18,'Safety parameters'!$DK$6:$DK$18,CZ411,'Safety parameters'!$DL$6:$DL$18,1)+IF(dd_PartSA_2_lines = "Yes",0,SUMIFS('Safety parameters'!$DO$6:$DO$18,'Safety parameters'!$DK$6:$DK$18,DA411,'Safety parameters'!$DL$6:$DL$18,2)+SUMIFS('Safety parameters'!$DO$6:$DO$18,'Safety parameters'!$DK$6:$DK$18,DB411,'Safety parameters'!$DL$6:$DL$18,2))</f>
        <v>-2.1764250363717368E-2</v>
      </c>
    </row>
    <row r="412" spans="89:124" ht="15" x14ac:dyDescent="0.2">
      <c r="CK412" s="61" t="s">
        <v>31</v>
      </c>
      <c r="CL412" s="61">
        <v>3</v>
      </c>
      <c r="CM412" s="61" t="str">
        <v>axitinib</v>
      </c>
      <c r="CN412" s="17">
        <v>11</v>
      </c>
      <c r="CO412" s="61" t="str" cm="1">
        <f t="array" ref="CO412">INDEX(List_comparators,CP411+1)</f>
        <v>axitinib</v>
      </c>
      <c r="CP412" s="17">
        <v>11</v>
      </c>
      <c r="CQ412" s="601">
        <f t="shared" ca="1" si="248"/>
        <v>0</v>
      </c>
      <c r="CR412" s="601">
        <f t="shared" ca="1" si="249"/>
        <v>0</v>
      </c>
      <c r="CS412" s="671">
        <f t="shared" ca="1" si="243"/>
        <v>26.28142857142857</v>
      </c>
      <c r="CT412" s="671">
        <f t="shared" ca="1" si="250"/>
        <v>4.2914285714285709</v>
      </c>
      <c r="CU412" s="1123">
        <f>MATCH(CZ419,'Resource use and costs'!$BA$11:$BA$53,0)</f>
        <v>1</v>
      </c>
      <c r="CV412" s="1223"/>
      <c r="CW412" s="1241">
        <f t="shared" si="241"/>
        <v>1</v>
      </c>
      <c r="CX412" s="899" t="s">
        <v>773</v>
      </c>
      <c r="CY412" s="899" t="s">
        <v>117</v>
      </c>
      <c r="CZ412" s="899" t="s">
        <v>333</v>
      </c>
      <c r="DA412" s="899" t="s">
        <v>118</v>
      </c>
      <c r="DB412" s="899" t="s">
        <v>765</v>
      </c>
      <c r="DC412" s="899" cm="1">
        <f t="array" aca="1" ref="DC412" ca="1">_xlfn.IFNA(OFFSET($I$49,MATCH(CY412,$I$50:$I$63,0),MATCH(CZ412,TRANSPOSE($J$49:$W$49),0)),0)</f>
        <v>3.700000000000001E-3</v>
      </c>
      <c r="DD412" s="899" cm="1">
        <f t="array" aca="1" ref="DD412" ca="1">_xlfn.IFNA(OFFSET($Y$49,MATCH($CZ412,$Y$50:$Y$63,0),MATCH($DA412,TRANSPOSE($Z$49:$AM$49),0)),0)</f>
        <v>0.49270000000000003</v>
      </c>
      <c r="DE412" s="899" cm="1">
        <f t="array" aca="1" ref="DE412" ca="1">_xlfn.IFNA(OFFSET($AO$49,MATCH($DA412,$AO$50:$AO$63,0),MATCH($DB412,TRANSPOSE($AP$49:$BC$49),0)),0)</f>
        <v>0.43140000000000001</v>
      </c>
      <c r="DF412" s="881">
        <f t="shared" ca="1" si="244"/>
        <v>7.8643788600000033E-4</v>
      </c>
      <c r="DG412" s="910">
        <f t="shared" ca="1" si="240"/>
        <v>0.99547352429578406</v>
      </c>
      <c r="DH412" s="881">
        <f t="shared" ca="1" si="245"/>
        <v>7.8287809401614641E-4</v>
      </c>
      <c r="DI412" s="1460">
        <f t="shared" ca="1" si="239"/>
        <v>0.25521825864926373</v>
      </c>
      <c r="DJ412" s="909">
        <f>_xlfn.IFNA(INDEX('Resource use and costs'!$CQ$11:$CQ$53,MATCH($CZ412,'Resource use and costs'!$BA$11:$BA$53,0)),0)*_xlfn.IFNA(INDEX(DY$10:DY$23,MATCH($CZ412,$DX$10:$DX$23,0)),0)</f>
        <v>54336.641519999976</v>
      </c>
      <c r="DK412" s="909">
        <f>IF(dd_PartSA_2_lines = "Yes",0,_xlfn.IFNA(INDEX('Resource use and costs'!$CR$11:$CR$53,MATCH(DA412,'Resource use and costs'!$BA$11:$BA$53,0)),0)*_xlfn.IFNA(INDEX(EA$10:EA$23,MATCH($DA412,$DX$10:$DX$23,0)),0))</f>
        <v>50308.075122000002</v>
      </c>
      <c r="DL412" s="909">
        <f>IF(dd_PartSA_2_lines = "Yes",0,_xlfn.IFNA(INDEX('Resource use and costs'!$CS$11:$CS$53,MATCH(DB412,'Resource use and costs'!$BA$11:$BA$53,0)),0)*_xlfn.IFNA(INDEX(EC$10:EC$23,MATCH($DB412,$DX$10:$DX$23,0)),0))</f>
        <v>0</v>
      </c>
      <c r="DM412" s="909">
        <f t="shared" si="246"/>
        <v>104644.71664199998</v>
      </c>
      <c r="DN412" s="909">
        <f>SUM(_xlfn.IFNA(INDEX('Resource use and costs'!$DU$12:$DU$25,MATCH(CZ412,'Resource use and costs'!$DS$12:$DS$25,0)),0),_xlfn.IFNA(INDEX('Resource use and costs'!$DU$12:$DU$25,MATCH(DA412,'Resource use and costs'!$DS$12:$DS$25,0)),0),_xlfn.IFNA(INDEX('Resource use and costs'!$DU$12:$DU$25,MATCH(DB412,'Resource use and costs'!$DS$12:$DS$25,0)),0))</f>
        <v>394.5</v>
      </c>
      <c r="DO412" s="921">
        <f>_xlfn.IFNA(INDEX('Resource use and costs'!$DY$12:$DY$25,MATCH(CZ412,'Resource use and costs'!$DS$12:$DS$25,0)),0)*_xlfn.IFNA(INDEX(DY$10:DY$23,MATCH($CZ412,$DX$10:$DX$23,0)),0)</f>
        <v>810.54285714285697</v>
      </c>
      <c r="DP412" s="921">
        <f>IF(dd_PartSA_2_lines = "Yes",0,_xlfn.IFNA(INDEX('Resource use and costs'!$DZ$12:$DZ$25,MATCH(DA412,'Resource use and costs'!$DS$12:$DS$25,0)),0)*_xlfn.IFNA(INDEX(EA$10:EA$23,MATCH($DA412,$DX$10:$DX$23,0)),0))</f>
        <v>461.1445457142857</v>
      </c>
      <c r="DQ412" s="921">
        <f>IF(dd_PartSA_2_lines = "Yes",0,_xlfn.IFNA(INDEX('Resource use and costs'!$EA$12:$EA$25,MATCH(DB412,'Resource use and costs'!$DS$12:$DS$25,0)),0)*_xlfn.IFNA(INDEX(EC$10:EC$23,MATCH($DB412,$DX$10:$DX$23,0)),0))</f>
        <v>0</v>
      </c>
      <c r="DR412" s="921">
        <f t="shared" si="247"/>
        <v>1666.1874028571426</v>
      </c>
      <c r="DS412" s="1004">
        <f ca="1">SUMIFS('Safety parameters'!$DM$6:$DM$18,'Safety parameters'!$DK$6:$DK$18,CZ412,'Safety parameters'!$DL$6:$DL$18,1)+IF(dd_PartSA_2_lines = "Yes",0,SUMIFS('Safety parameters'!$DM$6:$DM$18,'Safety parameters'!$DK$6:$DK$18,DA412,'Safety parameters'!$DL$6:$DL$18,2)+SUMIFS('Safety parameters'!$DM$6:$DM$18,'Safety parameters'!$DK$6:$DK$18,DB412,'Safety parameters'!$DL$6:$DL$18,2))</f>
        <v>743.64929980338343</v>
      </c>
      <c r="DT412" s="910">
        <f ca="1">SUMIFS('Safety parameters'!$DO$6:$DO$18,'Safety parameters'!$DK$6:$DK$18,CZ412,'Safety parameters'!$DL$6:$DL$18,1)+IF(dd_PartSA_2_lines = "Yes",0,SUMIFS('Safety parameters'!$DO$6:$DO$18,'Safety parameters'!$DK$6:$DK$18,DA412,'Safety parameters'!$DL$6:$DL$18,2)+SUMIFS('Safety parameters'!$DO$6:$DO$18,'Safety parameters'!$DK$6:$DK$18,DB412,'Safety parameters'!$DL$6:$DL$18,2))</f>
        <v>-7.0223263562359372E-3</v>
      </c>
    </row>
    <row r="413" spans="89:124" ht="15" x14ac:dyDescent="0.2">
      <c r="CK413" s="61" t="s">
        <v>31</v>
      </c>
      <c r="CL413" s="61">
        <v>3</v>
      </c>
      <c r="CM413" s="61" t="str">
        <v>sorafenib</v>
      </c>
      <c r="CN413" s="17">
        <v>12</v>
      </c>
      <c r="CO413" s="61" t="str" cm="1">
        <f t="array" ref="CO413">INDEX(List_comparators,CP412+1)</f>
        <v>axitinib</v>
      </c>
      <c r="CP413" s="17">
        <v>11</v>
      </c>
      <c r="CQ413" s="601">
        <f t="shared" ca="1" si="248"/>
        <v>0</v>
      </c>
      <c r="CR413" s="601">
        <f t="shared" ca="1" si="249"/>
        <v>0</v>
      </c>
      <c r="CS413" s="671">
        <f t="shared" ca="1" si="243"/>
        <v>0</v>
      </c>
      <c r="CT413" s="671">
        <f t="shared" ca="1" si="250"/>
        <v>0</v>
      </c>
      <c r="CU413" s="1123">
        <f>MATCH(CZ420,'Resource use and costs'!$BA$11:$BA$53,0)</f>
        <v>1</v>
      </c>
      <c r="CV413" s="1223"/>
      <c r="CW413" s="1241">
        <f t="shared" si="241"/>
        <v>1</v>
      </c>
      <c r="CX413" s="899" t="s">
        <v>773</v>
      </c>
      <c r="CY413" s="899" t="s">
        <v>117</v>
      </c>
      <c r="CZ413" s="899" t="s">
        <v>333</v>
      </c>
      <c r="DA413" s="899" t="s">
        <v>579</v>
      </c>
      <c r="DB413" s="899" t="s">
        <v>327</v>
      </c>
      <c r="DC413" s="899" cm="1">
        <f t="array" aca="1" ref="DC413" ca="1">_xlfn.IFNA(OFFSET($I$49,MATCH(CY413,$I$50:$I$63,0),MATCH(CZ413,TRANSPOSE($J$49:$W$49),0)),0)</f>
        <v>3.700000000000001E-3</v>
      </c>
      <c r="DD413" s="899" cm="1">
        <f t="array" aca="1" ref="DD413" ca="1">_xlfn.IFNA(OFFSET($Y$49,MATCH($CZ413,$Y$50:$Y$63,0),MATCH($DA413,TRANSPOSE($Z$49:$AM$49),0)),0)</f>
        <v>8.2100000000000006E-2</v>
      </c>
      <c r="DE413" s="899" cm="1">
        <f t="array" aca="1" ref="DE413" ca="1">_xlfn.IFNA(OFFSET($AO$49,MATCH($DA413,$AO$50:$AO$63,0),MATCH($DB413,TRANSPOSE($AP$49:$BC$49),0)),0)</f>
        <v>0.56859999999999999</v>
      </c>
      <c r="DF413" s="881">
        <f t="shared" ca="1" si="244"/>
        <v>1.7272362200000004E-4</v>
      </c>
      <c r="DG413" s="910">
        <f t="shared" ca="1" si="240"/>
        <v>0.99547352429578406</v>
      </c>
      <c r="DH413" s="881">
        <f t="shared" ca="1" si="245"/>
        <v>1.7194179272147285E-4</v>
      </c>
      <c r="DI413" s="1460">
        <f t="shared" ca="1" si="239"/>
        <v>5.605302442720015E-2</v>
      </c>
      <c r="DJ413" s="909">
        <f>_xlfn.IFNA(INDEX('Resource use and costs'!$CQ$11:$CQ$53,MATCH($CZ413,'Resource use and costs'!$BA$11:$BA$53,0)),0)*_xlfn.IFNA(INDEX(DY$10:DY$23,MATCH($CZ413,$DX$10:$DX$23,0)),0)</f>
        <v>54336.641519999976</v>
      </c>
      <c r="DK413" s="909">
        <f>IF(dd_PartSA_2_lines = "Yes",0,_xlfn.IFNA(INDEX('Resource use and costs'!$CR$11:$CR$53,MATCH(DA413,'Resource use and costs'!$BA$11:$BA$53,0)),0)*_xlfn.IFNA(INDEX(EA$10:EA$23,MATCH($DA413,$DX$10:$DX$23,0)),0))</f>
        <v>26054.50921</v>
      </c>
      <c r="DL413" s="909">
        <f>IF(dd_PartSA_2_lines = "Yes",0,_xlfn.IFNA(INDEX('Resource use and costs'!$CS$11:$CS$53,MATCH(DB413,'Resource use and costs'!$BA$11:$BA$53,0)),0)*_xlfn.IFNA(INDEX(EC$10:EC$23,MATCH($DB413,$DX$10:$DX$23,0)),0))</f>
        <v>18438.751749999999</v>
      </c>
      <c r="DM413" s="909">
        <f t="shared" si="246"/>
        <v>98829.902479999975</v>
      </c>
      <c r="DN413" s="909">
        <f>SUM(_xlfn.IFNA(INDEX('Resource use and costs'!$DU$12:$DU$25,MATCH(CZ413,'Resource use and costs'!$DS$12:$DS$25,0)),0),_xlfn.IFNA(INDEX('Resource use and costs'!$DU$12:$DU$25,MATCH(DA413,'Resource use and costs'!$DS$12:$DS$25,0)),0),_xlfn.IFNA(INDEX('Resource use and costs'!$DU$12:$DU$25,MATCH(DB413,'Resource use and costs'!$DS$12:$DS$25,0)),0))</f>
        <v>394.5</v>
      </c>
      <c r="DO413" s="921">
        <f>_xlfn.IFNA(INDEX('Resource use and costs'!$DY$12:$DY$25,MATCH(CZ413,'Resource use and costs'!$DS$12:$DS$25,0)),0)*_xlfn.IFNA(INDEX(DY$10:DY$23,MATCH($CZ413,$DX$10:$DX$23,0)),0)</f>
        <v>810.54285714285697</v>
      </c>
      <c r="DP413" s="921">
        <f>IF(dd_PartSA_2_lines = "Yes",0,_xlfn.IFNA(INDEX('Resource use and costs'!$DZ$12:$DZ$25,MATCH(DA413,'Resource use and costs'!$DS$12:$DS$25,0)),0)*_xlfn.IFNA(INDEX(EA$10:EA$23,MATCH($DA413,$DX$10:$DX$23,0)),0))</f>
        <v>4108.3597166</v>
      </c>
      <c r="DQ413" s="921">
        <f>IF(dd_PartSA_2_lines = "Yes",0,_xlfn.IFNA(INDEX('Resource use and costs'!$EA$12:$EA$25,MATCH(DB413,'Resource use and costs'!$DS$12:$DS$25,0)),0)*_xlfn.IFNA(INDEX(EC$10:EC$23,MATCH($DB413,$DX$10:$DX$23,0)),0))</f>
        <v>230.68099999999998</v>
      </c>
      <c r="DR413" s="921">
        <f t="shared" si="247"/>
        <v>5544.0835737428561</v>
      </c>
      <c r="DS413" s="1004">
        <f ca="1">SUMIFS('Safety parameters'!$DM$6:$DM$18,'Safety parameters'!$DK$6:$DK$18,CZ413,'Safety parameters'!$DL$6:$DL$18,1)+IF(dd_PartSA_2_lines = "Yes",0,SUMIFS('Safety parameters'!$DM$6:$DM$18,'Safety parameters'!$DK$6:$DK$18,DA413,'Safety parameters'!$DL$6:$DL$18,2)+SUMIFS('Safety parameters'!$DM$6:$DM$18,'Safety parameters'!$DK$6:$DK$18,DB413,'Safety parameters'!$DL$6:$DL$18,2))</f>
        <v>1795.3624225558742</v>
      </c>
      <c r="DT413" s="910">
        <f ca="1">SUMIFS('Safety parameters'!$DO$6:$DO$18,'Safety parameters'!$DK$6:$DK$18,CZ413,'Safety parameters'!$DL$6:$DL$18,1)+IF(dd_PartSA_2_lines = "Yes",0,SUMIFS('Safety parameters'!$DO$6:$DO$18,'Safety parameters'!$DK$6:$DK$18,DA413,'Safety parameters'!$DL$6:$DL$18,2)+SUMIFS('Safety parameters'!$DO$6:$DO$18,'Safety parameters'!$DK$6:$DK$18,DB413,'Safety parameters'!$DL$6:$DL$18,2))</f>
        <v>-1.6339008205166216E-2</v>
      </c>
    </row>
    <row r="414" spans="89:124" ht="15.75" thickBot="1" x14ac:dyDescent="0.25">
      <c r="CK414" s="506" t="s">
        <v>31</v>
      </c>
      <c r="CL414" s="506">
        <v>3</v>
      </c>
      <c r="CM414" s="506" t="str">
        <v>placebo_BSC</v>
      </c>
      <c r="CN414" s="19">
        <v>999</v>
      </c>
      <c r="CO414" s="506" t="str" cm="1">
        <f t="array" ref="CO414">INDEX(List_comparators,CP401+1)</f>
        <v>axitinib</v>
      </c>
      <c r="CP414" s="19">
        <v>11</v>
      </c>
      <c r="CQ414" s="602">
        <f t="shared" ca="1" si="248"/>
        <v>0</v>
      </c>
      <c r="CR414" s="602">
        <f t="shared" ca="1" si="249"/>
        <v>0</v>
      </c>
      <c r="CS414" s="670">
        <v>0</v>
      </c>
      <c r="CT414" s="670">
        <f t="shared" ca="1" si="250"/>
        <v>0</v>
      </c>
      <c r="CU414" s="1123">
        <f>MATCH(CZ421,'Resource use and costs'!$BA$11:$BA$53,0)</f>
        <v>1</v>
      </c>
      <c r="CV414" s="1223"/>
      <c r="CW414" s="1241">
        <f t="shared" si="241"/>
        <v>1</v>
      </c>
      <c r="CX414" s="899" t="s">
        <v>773</v>
      </c>
      <c r="CY414" s="899" t="s">
        <v>117</v>
      </c>
      <c r="CZ414" s="899" t="s">
        <v>333</v>
      </c>
      <c r="DA414" s="899" t="s">
        <v>579</v>
      </c>
      <c r="DB414" s="899" t="s">
        <v>765</v>
      </c>
      <c r="DC414" s="899" cm="1">
        <f t="array" aca="1" ref="DC414" ca="1">_xlfn.IFNA(OFFSET($I$49,MATCH(CY414,$I$50:$I$63,0),MATCH(CZ414,TRANSPOSE($J$49:$W$49),0)),0)</f>
        <v>3.700000000000001E-3</v>
      </c>
      <c r="DD414" s="899" cm="1">
        <f t="array" aca="1" ref="DD414" ca="1">_xlfn.IFNA(OFFSET($Y$49,MATCH($CZ414,$Y$50:$Y$63,0),MATCH($DA414,TRANSPOSE($Z$49:$AM$49),0)),0)</f>
        <v>8.2100000000000006E-2</v>
      </c>
      <c r="DE414" s="899" cm="1">
        <f t="array" aca="1" ref="DE414" ca="1">_xlfn.IFNA(OFFSET($AO$49,MATCH($DA414,$AO$50:$AO$63,0),MATCH($DB414,TRANSPOSE($AP$49:$BC$49),0)),0)</f>
        <v>0.43140000000000001</v>
      </c>
      <c r="DF414" s="881">
        <f t="shared" ca="1" si="244"/>
        <v>1.3104637800000004E-4</v>
      </c>
      <c r="DG414" s="910">
        <f t="shared" ca="1" si="240"/>
        <v>0.99547352429578406</v>
      </c>
      <c r="DH414" s="881">
        <f t="shared" ca="1" si="245"/>
        <v>1.3045319975385754E-4</v>
      </c>
      <c r="DI414" s="1460">
        <f t="shared" ca="1" si="239"/>
        <v>4.2527743119757558E-2</v>
      </c>
      <c r="DJ414" s="909">
        <f>_xlfn.IFNA(INDEX('Resource use and costs'!$CQ$11:$CQ$53,MATCH($CZ414,'Resource use and costs'!$BA$11:$BA$53,0)),0)*_xlfn.IFNA(INDEX(DY$10:DY$23,MATCH($CZ414,$DX$10:$DX$23,0)),0)</f>
        <v>54336.641519999976</v>
      </c>
      <c r="DK414" s="909">
        <f>IF(dd_PartSA_2_lines = "Yes",0,_xlfn.IFNA(INDEX('Resource use and costs'!$CR$11:$CR$53,MATCH(DA414,'Resource use and costs'!$BA$11:$BA$53,0)),0)*_xlfn.IFNA(INDEX(EA$10:EA$23,MATCH($DA414,$DX$10:$DX$23,0)),0))</f>
        <v>26054.50921</v>
      </c>
      <c r="DL414" s="909">
        <f>IF(dd_PartSA_2_lines = "Yes",0,_xlfn.IFNA(INDEX('Resource use and costs'!$CS$11:$CS$53,MATCH(DB414,'Resource use and costs'!$BA$11:$BA$53,0)),0)*_xlfn.IFNA(INDEX(EC$10:EC$23,MATCH($DB414,$DX$10:$DX$23,0)),0))</f>
        <v>0</v>
      </c>
      <c r="DM414" s="909">
        <f t="shared" si="246"/>
        <v>80391.150729999979</v>
      </c>
      <c r="DN414" s="909">
        <f>SUM(_xlfn.IFNA(INDEX('Resource use and costs'!$DU$12:$DU$25,MATCH(CZ414,'Resource use and costs'!$DS$12:$DS$25,0)),0),_xlfn.IFNA(INDEX('Resource use and costs'!$DU$12:$DU$25,MATCH(DA414,'Resource use and costs'!$DS$12:$DS$25,0)),0),_xlfn.IFNA(INDEX('Resource use and costs'!$DU$12:$DU$25,MATCH(DB414,'Resource use and costs'!$DS$12:$DS$25,0)),0))</f>
        <v>197.25</v>
      </c>
      <c r="DO414" s="921">
        <f>_xlfn.IFNA(INDEX('Resource use and costs'!$DY$12:$DY$25,MATCH(CZ414,'Resource use and costs'!$DS$12:$DS$25,0)),0)*_xlfn.IFNA(INDEX(DY$10:DY$23,MATCH($CZ414,$DX$10:$DX$23,0)),0)</f>
        <v>810.54285714285697</v>
      </c>
      <c r="DP414" s="921">
        <f>IF(dd_PartSA_2_lines = "Yes",0,_xlfn.IFNA(INDEX('Resource use and costs'!$DZ$12:$DZ$25,MATCH(DA414,'Resource use and costs'!$DS$12:$DS$25,0)),0)*_xlfn.IFNA(INDEX(EA$10:EA$23,MATCH($DA414,$DX$10:$DX$23,0)),0))</f>
        <v>4108.3597166</v>
      </c>
      <c r="DQ414" s="921">
        <f>IF(dd_PartSA_2_lines = "Yes",0,_xlfn.IFNA(INDEX('Resource use and costs'!$EA$12:$EA$25,MATCH(DB414,'Resource use and costs'!$DS$12:$DS$25,0)),0)*_xlfn.IFNA(INDEX(EC$10:EC$23,MATCH($DB414,$DX$10:$DX$23,0)),0))</f>
        <v>0</v>
      </c>
      <c r="DR414" s="921">
        <f t="shared" si="247"/>
        <v>5116.1525737428565</v>
      </c>
      <c r="DS414" s="1004">
        <f ca="1">SUMIFS('Safety parameters'!$DM$6:$DM$18,'Safety parameters'!$DK$6:$DK$18,CZ414,'Safety parameters'!$DL$6:$DL$18,1)+IF(dd_PartSA_2_lines = "Yes",0,SUMIFS('Safety parameters'!$DM$6:$DM$18,'Safety parameters'!$DK$6:$DK$18,DA414,'Safety parameters'!$DL$6:$DL$18,2)+SUMIFS('Safety parameters'!$DM$6:$DM$18,'Safety parameters'!$DK$6:$DK$18,DB414,'Safety parameters'!$DL$6:$DL$18,2))</f>
        <v>161.1337489904144</v>
      </c>
      <c r="DT414" s="910">
        <f ca="1">SUMIFS('Safety parameters'!$DO$6:$DO$18,'Safety parameters'!$DK$6:$DK$18,CZ414,'Safety parameters'!$DL$6:$DL$18,1)+IF(dd_PartSA_2_lines = "Yes",0,SUMIFS('Safety parameters'!$DO$6:$DO$18,'Safety parameters'!$DK$6:$DK$18,DA414,'Safety parameters'!$DL$6:$DL$18,2)+SUMIFS('Safety parameters'!$DO$6:$DO$18,'Safety parameters'!$DK$6:$DK$18,DB414,'Safety parameters'!$DL$6:$DL$18,2))</f>
        <v>-1.5970841976847864E-3</v>
      </c>
    </row>
    <row r="415" spans="89:124" ht="15" x14ac:dyDescent="0.2">
      <c r="CK415" s="505" t="s">
        <v>31</v>
      </c>
      <c r="CL415" s="505">
        <v>3</v>
      </c>
      <c r="CM415" s="61" t="str" cm="1">
        <f t="array" ref="CM415:CM428">List_comparators</f>
        <v>nivolumab_monotherapy</v>
      </c>
      <c r="CN415" s="17">
        <v>0</v>
      </c>
      <c r="CO415" s="61" t="str" cm="1">
        <f t="array" ref="CO415">INDEX(List_comparators,CP415+1)</f>
        <v>sorafenib</v>
      </c>
      <c r="CP415" s="17">
        <v>12</v>
      </c>
      <c r="CQ415" s="603">
        <f t="shared" ca="1" si="248"/>
        <v>0</v>
      </c>
      <c r="CR415" s="603">
        <f t="shared" ca="1" si="249"/>
        <v>0</v>
      </c>
      <c r="CS415" s="671">
        <f t="shared" ref="CS415:CS427" ca="1" si="251">OFFSET($Z$81,IF(CN415=999,13,CN415),CP415)</f>
        <v>0</v>
      </c>
      <c r="CT415" s="671">
        <f t="shared" ca="1" si="250"/>
        <v>0</v>
      </c>
      <c r="CU415" s="1123">
        <f>MATCH(CZ422,'Resource use and costs'!$BA$11:$BA$53,0)</f>
        <v>1</v>
      </c>
      <c r="CV415" s="1223"/>
      <c r="CW415" s="1241">
        <f t="shared" si="241"/>
        <v>1</v>
      </c>
      <c r="CX415" s="899" t="s">
        <v>773</v>
      </c>
      <c r="CY415" s="899" t="s">
        <v>117</v>
      </c>
      <c r="CZ415" s="899" t="s">
        <v>579</v>
      </c>
      <c r="DA415" s="899" t="s">
        <v>327</v>
      </c>
      <c r="DB415" s="899" t="s">
        <v>765</v>
      </c>
      <c r="DC415" s="899" cm="1">
        <f t="array" aca="1" ref="DC415" ca="1">_xlfn.IFNA(OFFSET($I$49,MATCH(CY415,$I$50:$I$63,0),MATCH(CZ415,TRANSPOSE($J$49:$W$49),0)),0)</f>
        <v>0.38380000000000003</v>
      </c>
      <c r="DD415" s="899" cm="1">
        <f t="array" aca="1" ref="DD415" ca="1">_xlfn.IFNA(OFFSET($Y$49,MATCH($CZ415,$Y$50:$Y$63,0),MATCH($DA415,TRANSPOSE($Z$49:$AM$49),0)),0)</f>
        <v>5.2400000000000002E-2</v>
      </c>
      <c r="DE415" s="899" cm="1">
        <f t="array" aca="1" ref="DE415" ca="1">_xlfn.IFNA(OFFSET($AO$49,MATCH($DA415,$AO$50:$AO$63,0),MATCH($DB415,TRANSPOSE($AP$49:$BC$49),0)),0)</f>
        <v>0.43140000000000001</v>
      </c>
      <c r="DF415" s="881">
        <f t="shared" ca="1" si="244"/>
        <v>8.6759371680000009E-3</v>
      </c>
      <c r="DG415" s="910">
        <f t="shared" ca="1" si="240"/>
        <v>0.99547352429578406</v>
      </c>
      <c r="DH415" s="881">
        <f t="shared" ca="1" si="245"/>
        <v>8.6366657491977455E-3</v>
      </c>
      <c r="DI415" s="1460">
        <f t="shared" ca="1" si="239"/>
        <v>2.8155530342384649</v>
      </c>
      <c r="DJ415" s="909">
        <f>_xlfn.IFNA(INDEX('Resource use and costs'!$CQ$11:$CQ$53,MATCH($CZ415,'Resource use and costs'!$BA$11:$BA$53,0)),0)*_xlfn.IFNA(INDEX(DY$10:DY$23,MATCH($CZ415,$DX$10:$DX$23,0)),0)</f>
        <v>56693.786091428577</v>
      </c>
      <c r="DK415" s="909">
        <f>IF(dd_PartSA_2_lines = "Yes",0,_xlfn.IFNA(INDEX('Resource use and costs'!$CR$11:$CR$53,MATCH(DA415,'Resource use and costs'!$BA$11:$BA$53,0)),0)*_xlfn.IFNA(INDEX(EA$10:EA$23,MATCH($DA415,$DX$10:$DX$23,0)),0))</f>
        <v>21421.066008214286</v>
      </c>
      <c r="DL415" s="909">
        <f>IF(dd_PartSA_2_lines = "Yes",0,_xlfn.IFNA(INDEX('Resource use and costs'!$CS$11:$CS$53,MATCH(DB415,'Resource use and costs'!$BA$11:$BA$53,0)),0)*_xlfn.IFNA(INDEX(EC$10:EC$23,MATCH($DB415,$DX$10:$DX$23,0)),0))</f>
        <v>0</v>
      </c>
      <c r="DM415" s="909">
        <f t="shared" si="246"/>
        <v>78114.852099642856</v>
      </c>
      <c r="DN415" s="909">
        <f>SUM(_xlfn.IFNA(INDEX('Resource use and costs'!$DU$12:$DU$25,MATCH(CZ415,'Resource use and costs'!$DS$12:$DS$25,0)),0),_xlfn.IFNA(INDEX('Resource use and costs'!$DU$12:$DU$25,MATCH(DA415,'Resource use and costs'!$DS$12:$DS$25,0)),0),_xlfn.IFNA(INDEX('Resource use and costs'!$DU$12:$DU$25,MATCH(DB415,'Resource use and costs'!$DS$12:$DS$25,0)),0))</f>
        <v>197.25</v>
      </c>
      <c r="DO415" s="921">
        <f>_xlfn.IFNA(INDEX('Resource use and costs'!$DY$12:$DY$25,MATCH(CZ415,'Resource use and costs'!$DS$12:$DS$25,0)),0)*_xlfn.IFNA(INDEX(DY$10:DY$23,MATCH($CZ415,$DX$10:$DX$23,0)),0)</f>
        <v>8939.6605049142872</v>
      </c>
      <c r="DP415" s="921">
        <f>IF(dd_PartSA_2_lines = "Yes",0,_xlfn.IFNA(INDEX('Resource use and costs'!$DZ$12:$DZ$25,MATCH(DA415,'Resource use and costs'!$DS$12:$DS$25,0)),0)*_xlfn.IFNA(INDEX(EA$10:EA$23,MATCH($DA415,$DX$10:$DX$23,0)),0))</f>
        <v>267.99172714285714</v>
      </c>
      <c r="DQ415" s="921">
        <f>IF(dd_PartSA_2_lines = "Yes",0,_xlfn.IFNA(INDEX('Resource use and costs'!$EA$12:$EA$25,MATCH(DB415,'Resource use and costs'!$DS$12:$DS$25,0)),0)*_xlfn.IFNA(INDEX(EC$10:EC$23,MATCH($DB415,$DX$10:$DX$23,0)),0))</f>
        <v>0</v>
      </c>
      <c r="DR415" s="921">
        <f t="shared" si="247"/>
        <v>9404.9022320571439</v>
      </c>
      <c r="DS415" s="1004">
        <f ca="1">SUMIFS('Safety parameters'!$DM$6:$DM$18,'Safety parameters'!$DK$6:$DK$18,CZ415,'Safety parameters'!$DL$6:$DL$18,1)+IF(dd_PartSA_2_lines = "Yes",0,SUMIFS('Safety parameters'!$DM$6:$DM$18,'Safety parameters'!$DK$6:$DK$18,DA415,'Safety parameters'!$DL$6:$DL$18,2)+SUMIFS('Safety parameters'!$DM$6:$DM$18,'Safety parameters'!$DK$6:$DK$18,DB415,'Safety parameters'!$DL$6:$DL$18,2))</f>
        <v>1634.2286735654598</v>
      </c>
      <c r="DT415" s="910">
        <f ca="1">SUMIFS('Safety parameters'!$DO$6:$DO$18,'Safety parameters'!$DK$6:$DK$18,CZ415,'Safety parameters'!$DL$6:$DL$18,1)+IF(dd_PartSA_2_lines = "Yes",0,SUMIFS('Safety parameters'!$DO$6:$DO$18,'Safety parameters'!$DK$6:$DK$18,DA415,'Safety parameters'!$DL$6:$DL$18,2)+SUMIFS('Safety parameters'!$DO$6:$DO$18,'Safety parameters'!$DK$6:$DK$18,DB415,'Safety parameters'!$DL$6:$DL$18,2))</f>
        <v>-1.4741924007481429E-2</v>
      </c>
    </row>
    <row r="416" spans="89:124" ht="15" x14ac:dyDescent="0.2">
      <c r="CK416" s="61" t="s">
        <v>31</v>
      </c>
      <c r="CL416" s="61">
        <v>3</v>
      </c>
      <c r="CM416" s="61" t="str">
        <v>cabozantinib_plus_nivolumab</v>
      </c>
      <c r="CN416" s="17">
        <v>1</v>
      </c>
      <c r="CO416" s="61" t="str" cm="1">
        <f t="array" ref="CO416">INDEX(List_comparators,CP415+1)</f>
        <v>sorafenib</v>
      </c>
      <c r="CP416" s="17">
        <v>12</v>
      </c>
      <c r="CQ416" s="601">
        <f t="shared" ca="1" si="248"/>
        <v>0</v>
      </c>
      <c r="CR416" s="601">
        <f t="shared" ca="1" si="249"/>
        <v>0</v>
      </c>
      <c r="CS416" s="671">
        <f t="shared" ca="1" si="251"/>
        <v>0</v>
      </c>
      <c r="CT416" s="671">
        <f t="shared" ca="1" si="250"/>
        <v>0</v>
      </c>
      <c r="CU416" s="1123">
        <f>MATCH(CZ423,'Resource use and costs'!$BA$11:$BA$53,0)</f>
        <v>1</v>
      </c>
      <c r="CV416" s="1223"/>
      <c r="CW416" s="1241">
        <f t="shared" si="241"/>
        <v>1</v>
      </c>
      <c r="CX416" s="899" t="s">
        <v>773</v>
      </c>
      <c r="CY416" s="899" t="s">
        <v>117</v>
      </c>
      <c r="CZ416" s="899" t="s">
        <v>579</v>
      </c>
      <c r="DA416" s="899" t="s">
        <v>327</v>
      </c>
      <c r="DB416" s="899" t="s">
        <v>119</v>
      </c>
      <c r="DC416" s="899" cm="1">
        <f t="array" aca="1" ref="DC416" ca="1">_xlfn.IFNA(OFFSET($I$49,MATCH(CY416,$I$50:$I$63,0),MATCH(CZ416,TRANSPOSE($J$49:$W$49),0)),0)</f>
        <v>0.38380000000000003</v>
      </c>
      <c r="DD416" s="899" cm="1">
        <f t="array" aca="1" ref="DD416" ca="1">_xlfn.IFNA(OFFSET($Y$49,MATCH($CZ416,$Y$50:$Y$63,0),MATCH($DA416,TRANSPOSE($Z$49:$AM$49),0)),0)</f>
        <v>5.2400000000000002E-2</v>
      </c>
      <c r="DE416" s="899" cm="1">
        <f t="array" aca="1" ref="DE416" ca="1">_xlfn.IFNA(OFFSET($AO$49,MATCH($DA416,$AO$50:$AO$63,0),MATCH($DB416,TRANSPOSE($AP$49:$BC$49),0)),0)</f>
        <v>0.56859999999999999</v>
      </c>
      <c r="DF416" s="881">
        <f t="shared" ca="1" si="244"/>
        <v>1.1435182832000002E-2</v>
      </c>
      <c r="DG416" s="910">
        <f t="shared" ca="1" si="240"/>
        <v>0.99547352429578406</v>
      </c>
      <c r="DH416" s="881">
        <f t="shared" ca="1" si="245"/>
        <v>1.1383421754737687E-2</v>
      </c>
      <c r="DI416" s="1460">
        <f t="shared" ca="1" si="239"/>
        <v>3.7109954920444861</v>
      </c>
      <c r="DJ416" s="909">
        <f>_xlfn.IFNA(INDEX('Resource use and costs'!$CQ$11:$CQ$53,MATCH($CZ416,'Resource use and costs'!$BA$11:$BA$53,0)),0)*_xlfn.IFNA(INDEX(DY$10:DY$23,MATCH($CZ416,$DX$10:$DX$23,0)),0)</f>
        <v>56693.786091428577</v>
      </c>
      <c r="DK416" s="909">
        <f>IF(dd_PartSA_2_lines = "Yes",0,_xlfn.IFNA(INDEX('Resource use and costs'!$CR$11:$CR$53,MATCH(DA416,'Resource use and costs'!$BA$11:$BA$53,0)),0)*_xlfn.IFNA(INDEX(EA$10:EA$23,MATCH($DA416,$DX$10:$DX$23,0)),0))</f>
        <v>21421.066008214286</v>
      </c>
      <c r="DL416" s="909">
        <f>IF(dd_PartSA_2_lines = "Yes",0,_xlfn.IFNA(INDEX('Resource use and costs'!$CS$11:$CS$53,MATCH(DB416,'Resource use and costs'!$BA$11:$BA$53,0)),0)*_xlfn.IFNA(INDEX(EC$10:EC$23,MATCH($DB416,$DX$10:$DX$23,0)),0))</f>
        <v>2915.4763433333328</v>
      </c>
      <c r="DM416" s="909">
        <f t="shared" si="246"/>
        <v>81030.328442976184</v>
      </c>
      <c r="DN416" s="909">
        <f>SUM(_xlfn.IFNA(INDEX('Resource use and costs'!$DU$12:$DU$25,MATCH(CZ416,'Resource use and costs'!$DS$12:$DS$25,0)),0),_xlfn.IFNA(INDEX('Resource use and costs'!$DU$12:$DU$25,MATCH(DA416,'Resource use and costs'!$DS$12:$DS$25,0)),0),_xlfn.IFNA(INDEX('Resource use and costs'!$DU$12:$DU$25,MATCH(DB416,'Resource use and costs'!$DS$12:$DS$25,0)),0))</f>
        <v>394.5</v>
      </c>
      <c r="DO416" s="921">
        <f>_xlfn.IFNA(INDEX('Resource use and costs'!$DY$12:$DY$25,MATCH(CZ416,'Resource use and costs'!$DS$12:$DS$25,0)),0)*_xlfn.IFNA(INDEX(DY$10:DY$23,MATCH($CZ416,$DX$10:$DX$23,0)),0)</f>
        <v>8939.6605049142872</v>
      </c>
      <c r="DP416" s="921">
        <f>IF(dd_PartSA_2_lines = "Yes",0,_xlfn.IFNA(INDEX('Resource use and costs'!$DZ$12:$DZ$25,MATCH(DA416,'Resource use and costs'!$DS$12:$DS$25,0)),0)*_xlfn.IFNA(INDEX(EA$10:EA$23,MATCH($DA416,$DX$10:$DX$23,0)),0))</f>
        <v>267.99172714285714</v>
      </c>
      <c r="DQ416" s="921">
        <f>IF(dd_PartSA_2_lines = "Yes",0,_xlfn.IFNA(INDEX('Resource use and costs'!$EA$12:$EA$25,MATCH(DB416,'Resource use and costs'!$DS$12:$DS$25,0)),0)*_xlfn.IFNA(INDEX(EC$10:EC$23,MATCH($DB416,$DX$10:$DX$23,0)),0))</f>
        <v>256.11457142857142</v>
      </c>
      <c r="DR416" s="921">
        <f t="shared" si="247"/>
        <v>9858.2668034857161</v>
      </c>
      <c r="DS416" s="1004">
        <f ca="1">SUMIFS('Safety parameters'!$DM$6:$DM$18,'Safety parameters'!$DK$6:$DK$18,CZ416,'Safety parameters'!$DL$6:$DL$18,1)+IF(dd_PartSA_2_lines = "Yes",0,SUMIFS('Safety parameters'!$DM$6:$DM$18,'Safety parameters'!$DK$6:$DK$18,DA416,'Safety parameters'!$DL$6:$DL$18,2)+SUMIFS('Safety parameters'!$DM$6:$DM$18,'Safety parameters'!$DK$6:$DK$18,DB416,'Safety parameters'!$DL$6:$DL$18,2))</f>
        <v>1967.1040569407746</v>
      </c>
      <c r="DT416" s="910">
        <f ca="1">SUMIFS('Safety parameters'!$DO$6:$DO$18,'Safety parameters'!$DK$6:$DK$18,CZ416,'Safety parameters'!$DL$6:$DL$18,1)+IF(dd_PartSA_2_lines = "Yes",0,SUMIFS('Safety parameters'!$DO$6:$DO$18,'Safety parameters'!$DK$6:$DK$18,DA416,'Safety parameters'!$DL$6:$DL$18,2)+SUMIFS('Safety parameters'!$DO$6:$DO$18,'Safety parameters'!$DK$6:$DK$18,DB416,'Safety parameters'!$DL$6:$DL$18,2))</f>
        <v>-1.7409497544119149E-2</v>
      </c>
    </row>
    <row r="417" spans="89:124" ht="15" x14ac:dyDescent="0.2">
      <c r="CK417" s="61" t="s">
        <v>31</v>
      </c>
      <c r="CL417" s="61">
        <v>3</v>
      </c>
      <c r="CM417" s="61" t="str">
        <v>nivolumab_plus_ipilimumab</v>
      </c>
      <c r="CN417" s="17">
        <v>2</v>
      </c>
      <c r="CO417" s="61" t="str" cm="1">
        <f t="array" ref="CO417">INDEX(List_comparators,CP416+1)</f>
        <v>sorafenib</v>
      </c>
      <c r="CP417" s="17">
        <v>12</v>
      </c>
      <c r="CQ417" s="601">
        <f t="shared" ca="1" si="248"/>
        <v>0</v>
      </c>
      <c r="CR417" s="601">
        <f t="shared" ca="1" si="249"/>
        <v>0</v>
      </c>
      <c r="CS417" s="671">
        <f t="shared" ca="1" si="251"/>
        <v>0</v>
      </c>
      <c r="CT417" s="671">
        <f t="shared" ca="1" si="250"/>
        <v>0</v>
      </c>
      <c r="CU417" s="1123">
        <f>MATCH(CZ424,'Resource use and costs'!$BA$11:$BA$53,0)</f>
        <v>1</v>
      </c>
      <c r="CV417" s="1223"/>
      <c r="CW417" s="1241">
        <f t="shared" si="241"/>
        <v>1</v>
      </c>
      <c r="CX417" s="899" t="s">
        <v>773</v>
      </c>
      <c r="CY417" s="899" t="s">
        <v>117</v>
      </c>
      <c r="CZ417" s="899" t="s">
        <v>579</v>
      </c>
      <c r="DA417" s="899" t="s">
        <v>765</v>
      </c>
      <c r="DB417" s="899"/>
      <c r="DC417" s="899" cm="1">
        <f t="array" aca="1" ref="DC417" ca="1">_xlfn.IFNA(OFFSET($I$49,MATCH(CY417,$I$50:$I$63,0),MATCH(CZ417,TRANSPOSE($J$49:$W$49),0)),0)</f>
        <v>0.38380000000000003</v>
      </c>
      <c r="DD417" s="899" cm="1">
        <f t="array" aca="1" ref="DD417" ca="1">_xlfn.IFNA(OFFSET($Y$49,MATCH($CZ417,$Y$50:$Y$63,0),MATCH($DA417,TRANSPOSE($Z$49:$AM$49),0)),0)</f>
        <v>0.3453</v>
      </c>
      <c r="DE417" s="899" cm="1">
        <f t="array" aca="1" ref="DE417" ca="1">_xlfn.IFNA(OFFSET($AO$49,MATCH($DA417,$AO$50:$AO$63,0),MATCH($DB417,TRANSPOSE($AP$49:$BC$49),0)),0)</f>
        <v>0</v>
      </c>
      <c r="DF417" s="881">
        <f t="shared" ca="1" si="244"/>
        <v>0.13252614000000001</v>
      </c>
      <c r="DG417" s="910">
        <f t="shared" ca="1" si="240"/>
        <v>0.99547352429578406</v>
      </c>
      <c r="DH417" s="881">
        <f t="shared" ca="1" si="245"/>
        <v>0.13192626364711649</v>
      </c>
      <c r="DI417" s="1460">
        <f t="shared" ca="1" si="239"/>
        <v>43.007961948959974</v>
      </c>
      <c r="DJ417" s="909">
        <f>_xlfn.IFNA(INDEX('Resource use and costs'!$CQ$11:$CQ$53,MATCH($CZ417,'Resource use and costs'!$BA$11:$BA$53,0)),0)*_xlfn.IFNA(INDEX(DY$10:DY$23,MATCH($CZ417,$DX$10:$DX$23,0)),0)</f>
        <v>56693.786091428577</v>
      </c>
      <c r="DK417" s="909">
        <f>IF(dd_PartSA_2_lines = "Yes",0,_xlfn.IFNA(INDEX('Resource use and costs'!$CR$11:$CR$53,MATCH(DA417,'Resource use and costs'!$BA$11:$BA$53,0)),0)*_xlfn.IFNA(INDEX(EA$10:EA$23,MATCH($DA417,$DX$10:$DX$23,0)),0))</f>
        <v>0</v>
      </c>
      <c r="DL417" s="909">
        <f>IF(dd_PartSA_2_lines = "Yes",0,_xlfn.IFNA(INDEX('Resource use and costs'!$CS$11:$CS$53,MATCH(DB417,'Resource use and costs'!$BA$11:$BA$53,0)),0)*_xlfn.IFNA(INDEX(EC$10:EC$23,MATCH($DB417,$DX$10:$DX$23,0)),0))</f>
        <v>0</v>
      </c>
      <c r="DM417" s="909">
        <f t="shared" si="246"/>
        <v>56693.786091428577</v>
      </c>
      <c r="DN417" s="909">
        <f>SUM(_xlfn.IFNA(INDEX('Resource use and costs'!$DU$12:$DU$25,MATCH(CZ417,'Resource use and costs'!$DS$12:$DS$25,0)),0),_xlfn.IFNA(INDEX('Resource use and costs'!$DU$12:$DU$25,MATCH(DA417,'Resource use and costs'!$DS$12:$DS$25,0)),0),_xlfn.IFNA(INDEX('Resource use and costs'!$DU$12:$DU$25,MATCH(DB417,'Resource use and costs'!$DS$12:$DS$25,0)),0))</f>
        <v>0</v>
      </c>
      <c r="DO417" s="921">
        <f>_xlfn.IFNA(INDEX('Resource use and costs'!$DY$12:$DY$25,MATCH(CZ417,'Resource use and costs'!$DS$12:$DS$25,0)),0)*_xlfn.IFNA(INDEX(DY$10:DY$23,MATCH($CZ417,$DX$10:$DX$23,0)),0)</f>
        <v>8939.6605049142872</v>
      </c>
      <c r="DP417" s="921">
        <f>IF(dd_PartSA_2_lines = "Yes",0,_xlfn.IFNA(INDEX('Resource use and costs'!$DZ$12:$DZ$25,MATCH(DA417,'Resource use and costs'!$DS$12:$DS$25,0)),0)*_xlfn.IFNA(INDEX(EA$10:EA$23,MATCH($DA417,$DX$10:$DX$23,0)),0))</f>
        <v>0</v>
      </c>
      <c r="DQ417" s="921">
        <f>IF(dd_PartSA_2_lines = "Yes",0,_xlfn.IFNA(INDEX('Resource use and costs'!$EA$12:$EA$25,MATCH(DB417,'Resource use and costs'!$DS$12:$DS$25,0)),0)*_xlfn.IFNA(INDEX(EC$10:EC$23,MATCH($DB417,$DX$10:$DX$23,0)),0))</f>
        <v>0</v>
      </c>
      <c r="DR417" s="921">
        <f t="shared" si="247"/>
        <v>8939.6605049142872</v>
      </c>
      <c r="DS417" s="1004">
        <f>SUMIFS('Safety parameters'!$DM$6:$DM$18,'Safety parameters'!$DK$6:$DK$18,CZ417,'Safety parameters'!$DL$6:$DL$18,1)+IF(dd_PartSA_2_lines = "Yes",0,SUMIFS('Safety parameters'!$DM$6:$DM$18,'Safety parameters'!$DK$6:$DK$18,DA417,'Safety parameters'!$DL$6:$DL$18,2)+SUMIFS('Safety parameters'!$DM$6:$DM$18,'Safety parameters'!$DK$6:$DK$18,DB417,'Safety parameters'!$DL$6:$DL$18,2))</f>
        <v>0</v>
      </c>
      <c r="DT417" s="910">
        <f>SUMIFS('Safety parameters'!$DO$6:$DO$18,'Safety parameters'!$DK$6:$DK$18,CZ417,'Safety parameters'!$DL$6:$DL$18,1)+IF(dd_PartSA_2_lines = "Yes",0,SUMIFS('Safety parameters'!$DO$6:$DO$18,'Safety parameters'!$DK$6:$DK$18,DA417,'Safety parameters'!$DL$6:$DL$18,2)+SUMIFS('Safety parameters'!$DO$6:$DO$18,'Safety parameters'!$DK$6:$DK$18,DB417,'Safety parameters'!$DL$6:$DL$18,2))</f>
        <v>0</v>
      </c>
    </row>
    <row r="418" spans="89:124" ht="15" x14ac:dyDescent="0.2">
      <c r="CK418" s="61" t="s">
        <v>31</v>
      </c>
      <c r="CL418" s="61">
        <v>3</v>
      </c>
      <c r="CM418" s="61" t="str">
        <v>lenvatinib_plus_pembrolizumab</v>
      </c>
      <c r="CN418" s="17">
        <v>3</v>
      </c>
      <c r="CO418" s="61" t="str" cm="1">
        <f t="array" ref="CO418">INDEX(List_comparators,CP417+1)</f>
        <v>sorafenib</v>
      </c>
      <c r="CP418" s="17">
        <v>12</v>
      </c>
      <c r="CQ418" s="601">
        <f t="shared" ca="1" si="248"/>
        <v>0</v>
      </c>
      <c r="CR418" s="601">
        <f t="shared" ca="1" si="249"/>
        <v>0</v>
      </c>
      <c r="CS418" s="671">
        <f t="shared" ca="1" si="251"/>
        <v>0</v>
      </c>
      <c r="CT418" s="671">
        <f t="shared" ca="1" si="250"/>
        <v>0</v>
      </c>
      <c r="CU418" s="1123">
        <f>MATCH(CZ425,'Resource use and costs'!$BA$11:$BA$53,0)</f>
        <v>40</v>
      </c>
      <c r="CV418" s="1223"/>
      <c r="CW418" s="1241">
        <f t="shared" si="241"/>
        <v>1</v>
      </c>
      <c r="CX418" s="899" t="s">
        <v>773</v>
      </c>
      <c r="CY418" s="899" t="s">
        <v>117</v>
      </c>
      <c r="CZ418" s="899" t="s">
        <v>579</v>
      </c>
      <c r="DA418" s="899" t="s">
        <v>118</v>
      </c>
      <c r="DB418" s="899" t="s">
        <v>327</v>
      </c>
      <c r="DC418" s="899" cm="1">
        <f t="array" aca="1" ref="DC418" ca="1">_xlfn.IFNA(OFFSET($I$49,MATCH(CY418,$I$50:$I$63,0),MATCH(CZ418,TRANSPOSE($J$49:$W$49),0)),0)</f>
        <v>0.38380000000000003</v>
      </c>
      <c r="DD418" s="899">
        <f ca="1">1-DD415-DD417-DD421-DD423</f>
        <v>0.54340000000000011</v>
      </c>
      <c r="DE418" s="899" cm="1">
        <f t="array" aca="1" ref="DE418" ca="1">_xlfn.IFNA(OFFSET($AO$49,MATCH($DA418,$AO$50:$AO$63,0),MATCH($DB418,TRANSPOSE($AP$49:$BC$49),0)),0)</f>
        <v>0.38769999999999999</v>
      </c>
      <c r="DF418" s="881">
        <f t="shared" ca="1" si="244"/>
        <v>8.0857517884000016E-2</v>
      </c>
      <c r="DG418" s="910">
        <f t="shared" ca="1" si="240"/>
        <v>0.99547352429578406</v>
      </c>
      <c r="DH418" s="881">
        <f t="shared" ca="1" si="245"/>
        <v>8.0491518293794889E-2</v>
      </c>
      <c r="DI418" s="1460">
        <f t="shared" ca="1" si="239"/>
        <v>26.240234963777134</v>
      </c>
      <c r="DJ418" s="909">
        <f>_xlfn.IFNA(INDEX('Resource use and costs'!$CQ$11:$CQ$53,MATCH($CZ418,'Resource use and costs'!$BA$11:$BA$53,0)),0)*_xlfn.IFNA(INDEX(DY$10:DY$23,MATCH($CZ418,$DX$10:$DX$23,0)),0)</f>
        <v>56693.786091428577</v>
      </c>
      <c r="DK418" s="909">
        <f>IF(dd_PartSA_2_lines = "Yes",0,_xlfn.IFNA(INDEX('Resource use and costs'!$CR$11:$CR$53,MATCH(DA418,'Resource use and costs'!$BA$11:$BA$53,0)),0)*_xlfn.IFNA(INDEX(EA$10:EA$23,MATCH($DA418,$DX$10:$DX$23,0)),0))</f>
        <v>50308.075122000002</v>
      </c>
      <c r="DL418" s="909">
        <f>IF(dd_PartSA_2_lines = "Yes",0,_xlfn.IFNA(INDEX('Resource use and costs'!$CS$11:$CS$53,MATCH(DB418,'Resource use and costs'!$BA$11:$BA$53,0)),0)*_xlfn.IFNA(INDEX(EC$10:EC$23,MATCH($DB418,$DX$10:$DX$23,0)),0))</f>
        <v>18438.751749999999</v>
      </c>
      <c r="DM418" s="909">
        <f t="shared" si="246"/>
        <v>125440.61296342858</v>
      </c>
      <c r="DN418" s="909">
        <f>SUM(_xlfn.IFNA(INDEX('Resource use and costs'!$DU$12:$DU$25,MATCH(CZ418,'Resource use and costs'!$DS$12:$DS$25,0)),0),_xlfn.IFNA(INDEX('Resource use and costs'!$DU$12:$DU$25,MATCH(DA418,'Resource use and costs'!$DS$12:$DS$25,0)),0),_xlfn.IFNA(INDEX('Resource use and costs'!$DU$12:$DU$25,MATCH(DB418,'Resource use and costs'!$DS$12:$DS$25,0)),0))</f>
        <v>394.5</v>
      </c>
      <c r="DO418" s="921">
        <f>_xlfn.IFNA(INDEX('Resource use and costs'!$DY$12:$DY$25,MATCH(CZ418,'Resource use and costs'!$DS$12:$DS$25,0)),0)*_xlfn.IFNA(INDEX(DY$10:DY$23,MATCH($CZ418,$DX$10:$DX$23,0)),0)</f>
        <v>8939.6605049142872</v>
      </c>
      <c r="DP418" s="921">
        <f>IF(dd_PartSA_2_lines = "Yes",0,_xlfn.IFNA(INDEX('Resource use and costs'!$DZ$12:$DZ$25,MATCH(DA418,'Resource use and costs'!$DS$12:$DS$25,0)),0)*_xlfn.IFNA(INDEX(EA$10:EA$23,MATCH($DA418,$DX$10:$DX$23,0)),0))</f>
        <v>461.1445457142857</v>
      </c>
      <c r="DQ418" s="921">
        <f>IF(dd_PartSA_2_lines = "Yes",0,_xlfn.IFNA(INDEX('Resource use and costs'!$EA$12:$EA$25,MATCH(DB418,'Resource use and costs'!$DS$12:$DS$25,0)),0)*_xlfn.IFNA(INDEX(EC$10:EC$23,MATCH($DB418,$DX$10:$DX$23,0)),0))</f>
        <v>230.68099999999998</v>
      </c>
      <c r="DR418" s="921">
        <f t="shared" si="247"/>
        <v>10025.986050628573</v>
      </c>
      <c r="DS418" s="1004">
        <f ca="1">SUMIFS('Safety parameters'!$DM$6:$DM$18,'Safety parameters'!$DK$6:$DK$18,CZ418,'Safety parameters'!$DL$6:$DL$18,1)+IF(dd_PartSA_2_lines = "Yes",0,SUMIFS('Safety parameters'!$DM$6:$DM$18,'Safety parameters'!$DK$6:$DK$18,DA418,'Safety parameters'!$DL$6:$DL$18,2)+SUMIFS('Safety parameters'!$DM$6:$DM$18,'Safety parameters'!$DK$6:$DK$18,DB418,'Safety parameters'!$DL$6:$DL$18,2))</f>
        <v>2377.8779733688434</v>
      </c>
      <c r="DT418" s="910">
        <f ca="1">SUMIFS('Safety parameters'!$DO$6:$DO$18,'Safety parameters'!$DK$6:$DK$18,CZ418,'Safety parameters'!$DL$6:$DL$18,1)+IF(dd_PartSA_2_lines = "Yes",0,SUMIFS('Safety parameters'!$DO$6:$DO$18,'Safety parameters'!$DK$6:$DK$18,DA418,'Safety parameters'!$DL$6:$DL$18,2)+SUMIFS('Safety parameters'!$DO$6:$DO$18,'Safety parameters'!$DK$6:$DK$18,DB418,'Safety parameters'!$DL$6:$DL$18,2))</f>
        <v>-2.1764250363717368E-2</v>
      </c>
    </row>
    <row r="419" spans="89:124" ht="15" x14ac:dyDescent="0.2">
      <c r="CK419" s="61" t="s">
        <v>31</v>
      </c>
      <c r="CL419" s="61">
        <v>3</v>
      </c>
      <c r="CM419" s="61" t="str">
        <v>avelumab_plus_axitinib</v>
      </c>
      <c r="CN419" s="17">
        <v>4</v>
      </c>
      <c r="CO419" s="61" t="str" cm="1">
        <f t="array" ref="CO419">INDEX(List_comparators,CP418+1)</f>
        <v>sorafenib</v>
      </c>
      <c r="CP419" s="17">
        <v>12</v>
      </c>
      <c r="CQ419" s="601">
        <f t="shared" ca="1" si="248"/>
        <v>0</v>
      </c>
      <c r="CR419" s="601">
        <f t="shared" ca="1" si="249"/>
        <v>0</v>
      </c>
      <c r="CS419" s="671">
        <f t="shared" ca="1" si="251"/>
        <v>0</v>
      </c>
      <c r="CT419" s="671">
        <f t="shared" ca="1" si="250"/>
        <v>0</v>
      </c>
      <c r="CU419" s="1123">
        <f>MATCH(CZ426,'Resource use and costs'!$BA$11:$BA$53,0)</f>
        <v>40</v>
      </c>
      <c r="CV419" s="1223"/>
      <c r="CW419" s="1241">
        <f t="shared" si="241"/>
        <v>1</v>
      </c>
      <c r="CX419" s="899" t="s">
        <v>773</v>
      </c>
      <c r="CY419" s="899" t="s">
        <v>117</v>
      </c>
      <c r="CZ419" s="899" t="s">
        <v>579</v>
      </c>
      <c r="DA419" s="899" t="s">
        <v>118</v>
      </c>
      <c r="DB419" s="899" t="s">
        <v>765</v>
      </c>
      <c r="DC419" s="899" cm="1">
        <f t="array" aca="1" ref="DC419" ca="1">_xlfn.IFNA(OFFSET($I$49,MATCH(CY419,$I$50:$I$63,0),MATCH(CZ419,TRANSPOSE($J$49:$W$49),0)),0)</f>
        <v>0.38380000000000003</v>
      </c>
      <c r="DD419" s="899">
        <f ca="1">DD418</f>
        <v>0.54340000000000011</v>
      </c>
      <c r="DE419" s="899" cm="1">
        <f t="array" aca="1" ref="DE419" ca="1">_xlfn.IFNA(OFFSET($AO$49,MATCH($DA419,$AO$50:$AO$63,0),MATCH($DB419,TRANSPOSE($AP$49:$BC$49),0)),0)</f>
        <v>0.43140000000000001</v>
      </c>
      <c r="DF419" s="881">
        <f t="shared" ca="1" si="244"/>
        <v>8.9971455288000032E-2</v>
      </c>
      <c r="DG419" s="910">
        <f t="shared" ca="1" si="240"/>
        <v>0.99547352429578406</v>
      </c>
      <c r="DH419" s="881">
        <f t="shared" ca="1" si="245"/>
        <v>8.9564201681565953E-2</v>
      </c>
      <c r="DI419" s="1460">
        <f t="shared" ca="1" si="239"/>
        <v>29.1979297481905</v>
      </c>
      <c r="DJ419" s="909">
        <f>_xlfn.IFNA(INDEX('Resource use and costs'!$CQ$11:$CQ$53,MATCH($CZ419,'Resource use and costs'!$BA$11:$BA$53,0)),0)*_xlfn.IFNA(INDEX(DY$10:DY$23,MATCH($CZ419,$DX$10:$DX$23,0)),0)</f>
        <v>56693.786091428577</v>
      </c>
      <c r="DK419" s="909">
        <f>IF(dd_PartSA_2_lines = "Yes",0,_xlfn.IFNA(INDEX('Resource use and costs'!$CR$11:$CR$53,MATCH(DA419,'Resource use and costs'!$BA$11:$BA$53,0)),0)*_xlfn.IFNA(INDEX(EA$10:EA$23,MATCH($DA419,$DX$10:$DX$23,0)),0))</f>
        <v>50308.075122000002</v>
      </c>
      <c r="DL419" s="909">
        <f>IF(dd_PartSA_2_lines = "Yes",0,_xlfn.IFNA(INDEX('Resource use and costs'!$CS$11:$CS$53,MATCH(DB419,'Resource use and costs'!$BA$11:$BA$53,0)),0)*_xlfn.IFNA(INDEX(EC$10:EC$23,MATCH($DB419,$DX$10:$DX$23,0)),0))</f>
        <v>0</v>
      </c>
      <c r="DM419" s="909">
        <f t="shared" si="246"/>
        <v>107001.86121342858</v>
      </c>
      <c r="DN419" s="909">
        <f>SUM(_xlfn.IFNA(INDEX('Resource use and costs'!$DU$12:$DU$25,MATCH(CZ419,'Resource use and costs'!$DS$12:$DS$25,0)),0),_xlfn.IFNA(INDEX('Resource use and costs'!$DU$12:$DU$25,MATCH(DA419,'Resource use and costs'!$DS$12:$DS$25,0)),0),_xlfn.IFNA(INDEX('Resource use and costs'!$DU$12:$DU$25,MATCH(DB419,'Resource use and costs'!$DS$12:$DS$25,0)),0))</f>
        <v>197.25</v>
      </c>
      <c r="DO419" s="921">
        <f>_xlfn.IFNA(INDEX('Resource use and costs'!$DY$12:$DY$25,MATCH(CZ419,'Resource use and costs'!$DS$12:$DS$25,0)),0)*_xlfn.IFNA(INDEX(DY$10:DY$23,MATCH($CZ419,$DX$10:$DX$23,0)),0)</f>
        <v>8939.6605049142872</v>
      </c>
      <c r="DP419" s="921">
        <f>IF(dd_PartSA_2_lines = "Yes",0,_xlfn.IFNA(INDEX('Resource use and costs'!$DZ$12:$DZ$25,MATCH(DA419,'Resource use and costs'!$DS$12:$DS$25,0)),0)*_xlfn.IFNA(INDEX(EA$10:EA$23,MATCH($DA419,$DX$10:$DX$23,0)),0))</f>
        <v>461.1445457142857</v>
      </c>
      <c r="DQ419" s="921">
        <f>IF(dd_PartSA_2_lines = "Yes",0,_xlfn.IFNA(INDEX('Resource use and costs'!$EA$12:$EA$25,MATCH(DB419,'Resource use and costs'!$DS$12:$DS$25,0)),0)*_xlfn.IFNA(INDEX(EC$10:EC$23,MATCH($DB419,$DX$10:$DX$23,0)),0))</f>
        <v>0</v>
      </c>
      <c r="DR419" s="921">
        <f t="shared" si="247"/>
        <v>9598.0550506285726</v>
      </c>
      <c r="DS419" s="1004">
        <f ca="1">SUMIFS('Safety parameters'!$DM$6:$DM$18,'Safety parameters'!$DK$6:$DK$18,CZ419,'Safety parameters'!$DL$6:$DL$18,1)+IF(dd_PartSA_2_lines = "Yes",0,SUMIFS('Safety parameters'!$DM$6:$DM$18,'Safety parameters'!$DK$6:$DK$18,DA419,'Safety parameters'!$DL$6:$DL$18,2)+SUMIFS('Safety parameters'!$DM$6:$DM$18,'Safety parameters'!$DK$6:$DK$18,DB419,'Safety parameters'!$DL$6:$DL$18,2))</f>
        <v>743.64929980338343</v>
      </c>
      <c r="DT419" s="910">
        <f ca="1">SUMIFS('Safety parameters'!$DO$6:$DO$18,'Safety parameters'!$DK$6:$DK$18,CZ419,'Safety parameters'!$DL$6:$DL$18,1)+IF(dd_PartSA_2_lines = "Yes",0,SUMIFS('Safety parameters'!$DO$6:$DO$18,'Safety parameters'!$DK$6:$DK$18,DA419,'Safety parameters'!$DL$6:$DL$18,2)+SUMIFS('Safety parameters'!$DO$6:$DO$18,'Safety parameters'!$DK$6:$DK$18,DB419,'Safety parameters'!$DL$6:$DL$18,2))</f>
        <v>-7.0223263562359372E-3</v>
      </c>
    </row>
    <row r="420" spans="89:124" ht="15" x14ac:dyDescent="0.2">
      <c r="CK420" s="61" t="s">
        <v>31</v>
      </c>
      <c r="CL420" s="61">
        <v>3</v>
      </c>
      <c r="CM420" s="61" t="str">
        <v>pazopanib</v>
      </c>
      <c r="CN420" s="17">
        <v>5</v>
      </c>
      <c r="CO420" s="61" t="str" cm="1">
        <f t="array" ref="CO420">INDEX(List_comparators,CP419+1)</f>
        <v>sorafenib</v>
      </c>
      <c r="CP420" s="17">
        <v>12</v>
      </c>
      <c r="CQ420" s="601">
        <f t="shared" ca="1" si="248"/>
        <v>0</v>
      </c>
      <c r="CR420" s="601">
        <f t="shared" ca="1" si="249"/>
        <v>0</v>
      </c>
      <c r="CS420" s="671">
        <f t="shared" ca="1" si="251"/>
        <v>0</v>
      </c>
      <c r="CT420" s="671">
        <f t="shared" ca="1" si="250"/>
        <v>0</v>
      </c>
      <c r="CU420" s="1123">
        <f>MATCH(CZ427,'Resource use and costs'!$BA$11:$BA$53,0)</f>
        <v>40</v>
      </c>
      <c r="CV420" s="1223"/>
      <c r="CW420" s="1241">
        <f t="shared" si="241"/>
        <v>1</v>
      </c>
      <c r="CX420" s="899" t="s">
        <v>773</v>
      </c>
      <c r="CY420" s="899" t="s">
        <v>117</v>
      </c>
      <c r="CZ420" s="899" t="s">
        <v>579</v>
      </c>
      <c r="DA420" s="899" t="s">
        <v>118</v>
      </c>
      <c r="DB420" s="899" t="s">
        <v>119</v>
      </c>
      <c r="DC420" s="899" cm="1">
        <f t="array" aca="1" ref="DC420" ca="1">_xlfn.IFNA(OFFSET($I$49,MATCH(CY420,$I$50:$I$63,0),MATCH(CZ420,TRANSPOSE($J$49:$W$49),0)),0)</f>
        <v>0.38380000000000003</v>
      </c>
      <c r="DD420" s="899">
        <f ca="1">DD419</f>
        <v>0.54340000000000011</v>
      </c>
      <c r="DE420" s="899" cm="1">
        <f t="array" aca="1" ref="DE420" ca="1">_xlfn.IFNA(OFFSET($AO$49,MATCH($DA420,$AO$50:$AO$63,0),MATCH($DB420,TRANSPOSE($AP$49:$BC$49),0)),0)</f>
        <v>0.18090000000000001</v>
      </c>
      <c r="DF420" s="881">
        <f t="shared" ca="1" si="244"/>
        <v>3.7727946828000014E-2</v>
      </c>
      <c r="DG420" s="910">
        <f t="shared" ca="1" si="240"/>
        <v>0.99547352429578406</v>
      </c>
      <c r="DH420" s="881">
        <f t="shared" ca="1" si="245"/>
        <v>3.7557172193313122E-2</v>
      </c>
      <c r="DI420" s="1460">
        <f t="shared" ca="1" si="239"/>
        <v>12.243638135020078</v>
      </c>
      <c r="DJ420" s="909">
        <f>_xlfn.IFNA(INDEX('Resource use and costs'!$CQ$11:$CQ$53,MATCH($CZ420,'Resource use and costs'!$BA$11:$BA$53,0)),0)*_xlfn.IFNA(INDEX(DY$10:DY$23,MATCH($CZ420,$DX$10:$DX$23,0)),0)</f>
        <v>56693.786091428577</v>
      </c>
      <c r="DK420" s="909">
        <f>IF(dd_PartSA_2_lines = "Yes",0,_xlfn.IFNA(INDEX('Resource use and costs'!$CR$11:$CR$53,MATCH(DA420,'Resource use and costs'!$BA$11:$BA$53,0)),0)*_xlfn.IFNA(INDEX(EA$10:EA$23,MATCH($DA420,$DX$10:$DX$23,0)),0))</f>
        <v>50308.075122000002</v>
      </c>
      <c r="DL420" s="909">
        <f>IF(dd_PartSA_2_lines = "Yes",0,_xlfn.IFNA(INDEX('Resource use and costs'!$CS$11:$CS$53,MATCH(DB420,'Resource use and costs'!$BA$11:$BA$53,0)),0)*_xlfn.IFNA(INDEX(EC$10:EC$23,MATCH($DB420,$DX$10:$DX$23,0)),0))</f>
        <v>2915.4763433333328</v>
      </c>
      <c r="DM420" s="909">
        <f t="shared" si="246"/>
        <v>109917.33755676191</v>
      </c>
      <c r="DN420" s="909">
        <f>SUM(_xlfn.IFNA(INDEX('Resource use and costs'!$DU$12:$DU$25,MATCH(CZ420,'Resource use and costs'!$DS$12:$DS$25,0)),0),_xlfn.IFNA(INDEX('Resource use and costs'!$DU$12:$DU$25,MATCH(DA420,'Resource use and costs'!$DS$12:$DS$25,0)),0),_xlfn.IFNA(INDEX('Resource use and costs'!$DU$12:$DU$25,MATCH(DB420,'Resource use and costs'!$DS$12:$DS$25,0)),0))</f>
        <v>394.5</v>
      </c>
      <c r="DO420" s="921">
        <f>_xlfn.IFNA(INDEX('Resource use and costs'!$DY$12:$DY$25,MATCH(CZ420,'Resource use and costs'!$DS$12:$DS$25,0)),0)*_xlfn.IFNA(INDEX(DY$10:DY$23,MATCH($CZ420,$DX$10:$DX$23,0)),0)</f>
        <v>8939.6605049142872</v>
      </c>
      <c r="DP420" s="921">
        <f>IF(dd_PartSA_2_lines = "Yes",0,_xlfn.IFNA(INDEX('Resource use and costs'!$DZ$12:$DZ$25,MATCH(DA420,'Resource use and costs'!$DS$12:$DS$25,0)),0)*_xlfn.IFNA(INDEX(EA$10:EA$23,MATCH($DA420,$DX$10:$DX$23,0)),0))</f>
        <v>461.1445457142857</v>
      </c>
      <c r="DQ420" s="921">
        <f>IF(dd_PartSA_2_lines = "Yes",0,_xlfn.IFNA(INDEX('Resource use and costs'!$EA$12:$EA$25,MATCH(DB420,'Resource use and costs'!$DS$12:$DS$25,0)),0)*_xlfn.IFNA(INDEX(EC$10:EC$23,MATCH($DB420,$DX$10:$DX$23,0)),0))</f>
        <v>256.11457142857142</v>
      </c>
      <c r="DR420" s="921">
        <f t="shared" si="247"/>
        <v>10051.419622057145</v>
      </c>
      <c r="DS420" s="1004">
        <f ca="1">SUMIFS('Safety parameters'!$DM$6:$DM$18,'Safety parameters'!$DK$6:$DK$18,CZ420,'Safety parameters'!$DL$6:$DL$18,1)+IF(dd_PartSA_2_lines = "Yes",0,SUMIFS('Safety parameters'!$DM$6:$DM$18,'Safety parameters'!$DK$6:$DK$18,DA420,'Safety parameters'!$DL$6:$DL$18,2)+SUMIFS('Safety parameters'!$DM$6:$DM$18,'Safety parameters'!$DK$6:$DK$18,DB420,'Safety parameters'!$DL$6:$DL$18,2))</f>
        <v>1076.5246831786983</v>
      </c>
      <c r="DT420" s="910">
        <f ca="1">SUMIFS('Safety parameters'!$DO$6:$DO$18,'Safety parameters'!$DK$6:$DK$18,CZ420,'Safety parameters'!$DL$6:$DL$18,1)+IF(dd_PartSA_2_lines = "Yes",0,SUMIFS('Safety parameters'!$DO$6:$DO$18,'Safety parameters'!$DK$6:$DK$18,DA420,'Safety parameters'!$DL$6:$DL$18,2)+SUMIFS('Safety parameters'!$DO$6:$DO$18,'Safety parameters'!$DK$6:$DK$18,DB420,'Safety parameters'!$DL$6:$DL$18,2))</f>
        <v>-9.689899892873657E-3</v>
      </c>
    </row>
    <row r="421" spans="89:124" ht="15" x14ac:dyDescent="0.2">
      <c r="CK421" s="61" t="s">
        <v>31</v>
      </c>
      <c r="CL421" s="61">
        <v>3</v>
      </c>
      <c r="CM421" s="61" t="str">
        <v>tivozanib</v>
      </c>
      <c r="CN421" s="17">
        <v>6</v>
      </c>
      <c r="CO421" s="61" t="str" cm="1">
        <f t="array" ref="CO421">INDEX(List_comparators,CP420+1)</f>
        <v>sorafenib</v>
      </c>
      <c r="CP421" s="17">
        <v>12</v>
      </c>
      <c r="CQ421" s="601">
        <f t="shared" ca="1" si="248"/>
        <v>0</v>
      </c>
      <c r="CR421" s="601">
        <f t="shared" ca="1" si="249"/>
        <v>0</v>
      </c>
      <c r="CS421" s="671">
        <f t="shared" ca="1" si="251"/>
        <v>0</v>
      </c>
      <c r="CT421" s="671">
        <f t="shared" ca="1" si="250"/>
        <v>0</v>
      </c>
      <c r="CU421" s="1123">
        <f>MATCH(CZ428,'Resource use and costs'!$BA$11:$BA$53,0)</f>
        <v>40</v>
      </c>
      <c r="CV421" s="1223"/>
      <c r="CW421" s="1241">
        <f t="shared" si="241"/>
        <v>1</v>
      </c>
      <c r="CX421" s="899" t="s">
        <v>773</v>
      </c>
      <c r="CY421" s="899" t="s">
        <v>117</v>
      </c>
      <c r="CZ421" s="899" t="s">
        <v>579</v>
      </c>
      <c r="DA421" s="899" t="s">
        <v>119</v>
      </c>
      <c r="DB421" s="899" t="s">
        <v>327</v>
      </c>
      <c r="DC421" s="899" cm="1">
        <f t="array" aca="1" ref="DC421" ca="1">_xlfn.IFNA(OFFSET($I$49,MATCH(CY421,$I$50:$I$63,0),MATCH(CZ421,TRANSPOSE($J$49:$W$49),0)),0)</f>
        <v>0.38380000000000003</v>
      </c>
      <c r="DD421" s="899" cm="1">
        <f t="array" aca="1" ref="DD421" ca="1">_xlfn.IFNA(OFFSET($Y$49,MATCH($CZ421,$Y$50:$Y$63,0),MATCH($DA421,TRANSPOSE($Z$49:$AM$49),0)),0)</f>
        <v>6.4999999999999997E-3</v>
      </c>
      <c r="DE421" s="899" cm="1">
        <f t="array" aca="1" ref="DE421" ca="1">_xlfn.IFNA(OFFSET($AO$49,MATCH($DA421,$AO$50:$AO$63,0),MATCH($DB421,TRANSPOSE($AP$49:$BC$49),0)),0)</f>
        <v>0</v>
      </c>
      <c r="DF421" s="881">
        <f t="shared" ca="1" si="244"/>
        <v>0</v>
      </c>
      <c r="DG421" s="910">
        <f t="shared" ca="1" si="240"/>
        <v>0.99547352429578406</v>
      </c>
      <c r="DH421" s="881">
        <f t="shared" ca="1" si="245"/>
        <v>0</v>
      </c>
      <c r="DI421" s="1460">
        <f t="shared" ca="1" si="239"/>
        <v>0</v>
      </c>
      <c r="DJ421" s="909">
        <f>_xlfn.IFNA(INDEX('Resource use and costs'!$CQ$11:$CQ$53,MATCH($CZ421,'Resource use and costs'!$BA$11:$BA$53,0)),0)*_xlfn.IFNA(INDEX(DY$10:DY$23,MATCH($CZ421,$DX$10:$DX$23,0)),0)</f>
        <v>56693.786091428577</v>
      </c>
      <c r="DK421" s="909">
        <f>IF(dd_PartSA_2_lines = "Yes",0,_xlfn.IFNA(INDEX('Resource use and costs'!$CR$11:$CR$53,MATCH(DA421,'Resource use and costs'!$BA$11:$BA$53,0)),0)*_xlfn.IFNA(INDEX(EA$10:EA$23,MATCH($DA421,$DX$10:$DX$23,0)),0))</f>
        <v>848.17532499999982</v>
      </c>
      <c r="DL421" s="909">
        <f>IF(dd_PartSA_2_lines = "Yes",0,_xlfn.IFNA(INDEX('Resource use and costs'!$CS$11:$CS$53,MATCH(DB421,'Resource use and costs'!$BA$11:$BA$53,0)),0)*_xlfn.IFNA(INDEX(EC$10:EC$23,MATCH($DB421,$DX$10:$DX$23,0)),0))</f>
        <v>18438.751749999999</v>
      </c>
      <c r="DM421" s="909">
        <f t="shared" si="246"/>
        <v>75980.71316642857</v>
      </c>
      <c r="DN421" s="909">
        <f>SUM(_xlfn.IFNA(INDEX('Resource use and costs'!$DU$12:$DU$25,MATCH(CZ421,'Resource use and costs'!$DS$12:$DS$25,0)),0),_xlfn.IFNA(INDEX('Resource use and costs'!$DU$12:$DU$25,MATCH(DA421,'Resource use and costs'!$DS$12:$DS$25,0)),0),_xlfn.IFNA(INDEX('Resource use and costs'!$DU$12:$DU$25,MATCH(DB421,'Resource use and costs'!$DS$12:$DS$25,0)),0))</f>
        <v>394.5</v>
      </c>
      <c r="DO421" s="921">
        <f>_xlfn.IFNA(INDEX('Resource use and costs'!$DY$12:$DY$25,MATCH(CZ421,'Resource use and costs'!$DS$12:$DS$25,0)),0)*_xlfn.IFNA(INDEX(DY$10:DY$23,MATCH($CZ421,$DX$10:$DX$23,0)),0)</f>
        <v>8939.6605049142872</v>
      </c>
      <c r="DP421" s="921">
        <f>IF(dd_PartSA_2_lines = "Yes",0,_xlfn.IFNA(INDEX('Resource use and costs'!$DZ$12:$DZ$25,MATCH(DA421,'Resource use and costs'!$DS$12:$DS$25,0)),0)*_xlfn.IFNA(INDEX(EA$10:EA$23,MATCH($DA421,$DX$10:$DX$23,0)),0))</f>
        <v>74.50928571428571</v>
      </c>
      <c r="DQ421" s="921">
        <f>IF(dd_PartSA_2_lines = "Yes",0,_xlfn.IFNA(INDEX('Resource use and costs'!$EA$12:$EA$25,MATCH(DB421,'Resource use and costs'!$DS$12:$DS$25,0)),0)*_xlfn.IFNA(INDEX(EC$10:EC$23,MATCH($DB421,$DX$10:$DX$23,0)),0))</f>
        <v>230.68099999999998</v>
      </c>
      <c r="DR421" s="921">
        <f t="shared" si="247"/>
        <v>9639.350790628574</v>
      </c>
      <c r="DS421" s="1004">
        <f ca="1">SUMIFS('Safety parameters'!$DM$6:$DM$18,'Safety parameters'!$DK$6:$DK$18,CZ421,'Safety parameters'!$DL$6:$DL$18,1)+IF(dd_PartSA_2_lines = "Yes",0,SUMIFS('Safety parameters'!$DM$6:$DM$18,'Safety parameters'!$DK$6:$DK$18,DA421,'Safety parameters'!$DL$6:$DL$18,2)+SUMIFS('Safety parameters'!$DM$6:$DM$18,'Safety parameters'!$DK$6:$DK$18,DB421,'Safety parameters'!$DL$6:$DL$18,2))</f>
        <v>1967.1040569407746</v>
      </c>
      <c r="DT421" s="910">
        <f ca="1">SUMIFS('Safety parameters'!$DO$6:$DO$18,'Safety parameters'!$DK$6:$DK$18,CZ421,'Safety parameters'!$DL$6:$DL$18,1)+IF(dd_PartSA_2_lines = "Yes",0,SUMIFS('Safety parameters'!$DO$6:$DO$18,'Safety parameters'!$DK$6:$DK$18,DA421,'Safety parameters'!$DL$6:$DL$18,2)+SUMIFS('Safety parameters'!$DO$6:$DO$18,'Safety parameters'!$DK$6:$DK$18,DB421,'Safety parameters'!$DL$6:$DL$18,2))</f>
        <v>-1.7409497544119149E-2</v>
      </c>
    </row>
    <row r="422" spans="89:124" ht="15" x14ac:dyDescent="0.2">
      <c r="CK422" s="61" t="s">
        <v>31</v>
      </c>
      <c r="CL422" s="61">
        <v>3</v>
      </c>
      <c r="CM422" s="61" t="str">
        <v>sunitinib</v>
      </c>
      <c r="CN422" s="17">
        <v>7</v>
      </c>
      <c r="CO422" s="61" t="str" cm="1">
        <f t="array" ref="CO422">INDEX(List_comparators,CP421+1)</f>
        <v>sorafenib</v>
      </c>
      <c r="CP422" s="17">
        <v>12</v>
      </c>
      <c r="CQ422" s="601">
        <f t="shared" ca="1" si="248"/>
        <v>0</v>
      </c>
      <c r="CR422" s="601">
        <f t="shared" ca="1" si="249"/>
        <v>0</v>
      </c>
      <c r="CS422" s="671">
        <f t="shared" ca="1" si="251"/>
        <v>0</v>
      </c>
      <c r="CT422" s="671">
        <f t="shared" ca="1" si="250"/>
        <v>0</v>
      </c>
      <c r="CU422" s="1123">
        <f>MATCH(CZ429,'Resource use and costs'!$BA$11:$BA$53,0)</f>
        <v>40</v>
      </c>
      <c r="CV422" s="1223"/>
      <c r="CW422" s="1241">
        <f t="shared" si="241"/>
        <v>1</v>
      </c>
      <c r="CX422" s="899" t="s">
        <v>773</v>
      </c>
      <c r="CY422" s="899" t="s">
        <v>117</v>
      </c>
      <c r="CZ422" s="899" t="s">
        <v>579</v>
      </c>
      <c r="DA422" s="899" t="s">
        <v>119</v>
      </c>
      <c r="DB422" s="899" t="s">
        <v>765</v>
      </c>
      <c r="DC422" s="899" cm="1">
        <f t="array" aca="1" ref="DC422" ca="1">_xlfn.IFNA(OFFSET($I$49,MATCH(CY422,$I$50:$I$63,0),MATCH(CZ422,TRANSPOSE($J$49:$W$49),0)),0)</f>
        <v>0.38380000000000003</v>
      </c>
      <c r="DD422" s="899" cm="1">
        <f t="array" aca="1" ref="DD422" ca="1">_xlfn.IFNA(OFFSET($Y$49,MATCH($CZ422,$Y$50:$Y$63,0),MATCH($DA422,TRANSPOSE($Z$49:$AM$49),0)),0)</f>
        <v>6.4999999999999997E-3</v>
      </c>
      <c r="DE422" s="899" cm="1">
        <f t="array" aca="1" ref="DE422" ca="1">_xlfn.IFNA(OFFSET($AO$49,MATCH($DA422,$AO$50:$AO$63,0),MATCH($DB422,TRANSPOSE($AP$49:$BC$49),0)),0)</f>
        <v>1</v>
      </c>
      <c r="DF422" s="881">
        <f t="shared" ca="1" si="244"/>
        <v>2.4946999999999999E-3</v>
      </c>
      <c r="DG422" s="910">
        <f t="shared" ca="1" si="240"/>
        <v>0.99547352429578406</v>
      </c>
      <c r="DH422" s="881">
        <f t="shared" ca="1" si="245"/>
        <v>2.4834078010606926E-3</v>
      </c>
      <c r="DI422" s="1460">
        <f t="shared" ca="1" si="239"/>
        <v>0.80959094314578584</v>
      </c>
      <c r="DJ422" s="909">
        <f>_xlfn.IFNA(INDEX('Resource use and costs'!$CQ$11:$CQ$53,MATCH($CZ422,'Resource use and costs'!$BA$11:$BA$53,0)),0)*_xlfn.IFNA(INDEX(DY$10:DY$23,MATCH($CZ422,$DX$10:$DX$23,0)),0)</f>
        <v>56693.786091428577</v>
      </c>
      <c r="DK422" s="909">
        <f>IF(dd_PartSA_2_lines = "Yes",0,_xlfn.IFNA(INDEX('Resource use and costs'!$CR$11:$CR$53,MATCH(DA422,'Resource use and costs'!$BA$11:$BA$53,0)),0)*_xlfn.IFNA(INDEX(EA$10:EA$23,MATCH($DA422,$DX$10:$DX$23,0)),0))</f>
        <v>848.17532499999982</v>
      </c>
      <c r="DL422" s="909">
        <f>IF(dd_PartSA_2_lines = "Yes",0,_xlfn.IFNA(INDEX('Resource use and costs'!$CS$11:$CS$53,MATCH(DB422,'Resource use and costs'!$BA$11:$BA$53,0)),0)*_xlfn.IFNA(INDEX(EC$10:EC$23,MATCH($DB422,$DX$10:$DX$23,0)),0))</f>
        <v>0</v>
      </c>
      <c r="DM422" s="909">
        <f t="shared" si="246"/>
        <v>57541.961416428574</v>
      </c>
      <c r="DN422" s="909">
        <f>SUM(_xlfn.IFNA(INDEX('Resource use and costs'!$DU$12:$DU$25,MATCH(CZ422,'Resource use and costs'!$DS$12:$DS$25,0)),0),_xlfn.IFNA(INDEX('Resource use and costs'!$DU$12:$DU$25,MATCH(DA422,'Resource use and costs'!$DS$12:$DS$25,0)),0),_xlfn.IFNA(INDEX('Resource use and costs'!$DU$12:$DU$25,MATCH(DB422,'Resource use and costs'!$DS$12:$DS$25,0)),0))</f>
        <v>197.25</v>
      </c>
      <c r="DO422" s="921">
        <f>_xlfn.IFNA(INDEX('Resource use and costs'!$DY$12:$DY$25,MATCH(CZ422,'Resource use and costs'!$DS$12:$DS$25,0)),0)*_xlfn.IFNA(INDEX(DY$10:DY$23,MATCH($CZ422,$DX$10:$DX$23,0)),0)</f>
        <v>8939.6605049142872</v>
      </c>
      <c r="DP422" s="921">
        <f>IF(dd_PartSA_2_lines = "Yes",0,_xlfn.IFNA(INDEX('Resource use and costs'!$DZ$12:$DZ$25,MATCH(DA422,'Resource use and costs'!$DS$12:$DS$25,0)),0)*_xlfn.IFNA(INDEX(EA$10:EA$23,MATCH($DA422,$DX$10:$DX$23,0)),0))</f>
        <v>74.50928571428571</v>
      </c>
      <c r="DQ422" s="921">
        <f>IF(dd_PartSA_2_lines = "Yes",0,_xlfn.IFNA(INDEX('Resource use and costs'!$EA$12:$EA$25,MATCH(DB422,'Resource use and costs'!$DS$12:$DS$25,0)),0)*_xlfn.IFNA(INDEX(EC$10:EC$23,MATCH($DB422,$DX$10:$DX$23,0)),0))</f>
        <v>0</v>
      </c>
      <c r="DR422" s="921">
        <f t="shared" si="247"/>
        <v>9211.4197906285735</v>
      </c>
      <c r="DS422" s="1004">
        <f ca="1">SUMIFS('Safety parameters'!$DM$6:$DM$18,'Safety parameters'!$DK$6:$DK$18,CZ422,'Safety parameters'!$DL$6:$DL$18,1)+IF(dd_PartSA_2_lines = "Yes",0,SUMIFS('Safety parameters'!$DM$6:$DM$18,'Safety parameters'!$DK$6:$DK$18,DA422,'Safety parameters'!$DL$6:$DL$18,2)+SUMIFS('Safety parameters'!$DM$6:$DM$18,'Safety parameters'!$DK$6:$DK$18,DB422,'Safety parameters'!$DL$6:$DL$18,2))</f>
        <v>332.87538337531487</v>
      </c>
      <c r="DT422" s="910">
        <f ca="1">SUMIFS('Safety parameters'!$DO$6:$DO$18,'Safety parameters'!$DK$6:$DK$18,CZ422,'Safety parameters'!$DL$6:$DL$18,1)+IF(dd_PartSA_2_lines = "Yes",0,SUMIFS('Safety parameters'!$DO$6:$DO$18,'Safety parameters'!$DK$6:$DK$18,DA422,'Safety parameters'!$DL$6:$DL$18,2)+SUMIFS('Safety parameters'!$DO$6:$DO$18,'Safety parameters'!$DK$6:$DK$18,DB422,'Safety parameters'!$DL$6:$DL$18,2))</f>
        <v>-2.6675735366377194E-3</v>
      </c>
    </row>
    <row r="423" spans="89:124" ht="15" x14ac:dyDescent="0.2">
      <c r="CK423" s="61" t="s">
        <v>31</v>
      </c>
      <c r="CL423" s="61">
        <v>3</v>
      </c>
      <c r="CM423" s="61" t="str">
        <v>cabozantinib</v>
      </c>
      <c r="CN423" s="17">
        <v>8</v>
      </c>
      <c r="CO423" s="61" t="str" cm="1">
        <f t="array" ref="CO423">INDEX(List_comparators,CP422+1)</f>
        <v>sorafenib</v>
      </c>
      <c r="CP423" s="17">
        <v>12</v>
      </c>
      <c r="CQ423" s="601">
        <f t="shared" ca="1" si="248"/>
        <v>0</v>
      </c>
      <c r="CR423" s="601">
        <f t="shared" ca="1" si="249"/>
        <v>0</v>
      </c>
      <c r="CS423" s="671">
        <f t="shared" ca="1" si="251"/>
        <v>0</v>
      </c>
      <c r="CT423" s="671">
        <f t="shared" ca="1" si="250"/>
        <v>0</v>
      </c>
      <c r="CU423" s="1123">
        <f>MATCH(CZ430,'Resource use and costs'!$BA$11:$BA$53,0)</f>
        <v>40</v>
      </c>
      <c r="CV423" s="1223"/>
      <c r="CW423" s="1241">
        <f t="shared" si="241"/>
        <v>1</v>
      </c>
      <c r="CX423" s="899" t="s">
        <v>773</v>
      </c>
      <c r="CY423" s="899" t="s">
        <v>117</v>
      </c>
      <c r="CZ423" s="899" t="s">
        <v>579</v>
      </c>
      <c r="DA423" s="899" t="s">
        <v>333</v>
      </c>
      <c r="DB423" s="899" t="s">
        <v>327</v>
      </c>
      <c r="DC423" s="899" cm="1">
        <f t="array" aca="1" ref="DC423" ca="1">_xlfn.IFNA(OFFSET($I$49,MATCH(CY423,$I$50:$I$63,0),MATCH(CZ423,TRANSPOSE($J$49:$W$49),0)),0)</f>
        <v>0.38380000000000003</v>
      </c>
      <c r="DD423" s="899" cm="1">
        <f t="array" aca="1" ref="DD423" ca="1">_xlfn.IFNA(OFFSET($Y$49,MATCH($CZ423,$Y$50:$Y$63,0),MATCH($DA423,TRANSPOSE($Z$49:$AM$49),0)),0)</f>
        <v>5.2400000000000002E-2</v>
      </c>
      <c r="DE423" s="899" cm="1">
        <f t="array" aca="1" ref="DE423" ca="1">_xlfn.IFNA(OFFSET($AO$49,MATCH($DA423,$AO$50:$AO$63,0),MATCH($DB423,TRANSPOSE($AP$49:$BC$49),0)),0)</f>
        <v>0.56859999999999999</v>
      </c>
      <c r="DF423" s="881">
        <f t="shared" ca="1" si="244"/>
        <v>1.1435182832000002E-2</v>
      </c>
      <c r="DG423" s="910">
        <f t="shared" ca="1" si="240"/>
        <v>0.99547352429578406</v>
      </c>
      <c r="DH423" s="881">
        <f t="shared" ca="1" si="245"/>
        <v>1.1383421754737687E-2</v>
      </c>
      <c r="DI423" s="1460">
        <f t="shared" ca="1" si="239"/>
        <v>3.7109954920444861</v>
      </c>
      <c r="DJ423" s="909">
        <f>_xlfn.IFNA(INDEX('Resource use and costs'!$CQ$11:$CQ$53,MATCH($CZ423,'Resource use and costs'!$BA$11:$BA$53,0)),0)*_xlfn.IFNA(INDEX(DY$10:DY$23,MATCH($CZ423,$DX$10:$DX$23,0)),0)</f>
        <v>56693.786091428577</v>
      </c>
      <c r="DK423" s="909">
        <f>IF(dd_PartSA_2_lines = "Yes",0,_xlfn.IFNA(INDEX('Resource use and costs'!$CR$11:$CR$53,MATCH(DA423,'Resource use and costs'!$BA$11:$BA$53,0)),0)*_xlfn.IFNA(INDEX(EA$10:EA$23,MATCH($DA423,$DX$10:$DX$23,0)),0))</f>
        <v>24337.716731999997</v>
      </c>
      <c r="DL423" s="909">
        <f>IF(dd_PartSA_2_lines = "Yes",0,_xlfn.IFNA(INDEX('Resource use and costs'!$CS$11:$CS$53,MATCH(DB423,'Resource use and costs'!$BA$11:$BA$53,0)),0)*_xlfn.IFNA(INDEX(EC$10:EC$23,MATCH($DB423,$DX$10:$DX$23,0)),0))</f>
        <v>18438.751749999999</v>
      </c>
      <c r="DM423" s="909">
        <f t="shared" si="246"/>
        <v>99470.254573428567</v>
      </c>
      <c r="DN423" s="909">
        <f>SUM(_xlfn.IFNA(INDEX('Resource use and costs'!$DU$12:$DU$25,MATCH(CZ423,'Resource use and costs'!$DS$12:$DS$25,0)),0),_xlfn.IFNA(INDEX('Resource use and costs'!$DU$12:$DU$25,MATCH(DA423,'Resource use and costs'!$DS$12:$DS$25,0)),0),_xlfn.IFNA(INDEX('Resource use and costs'!$DU$12:$DU$25,MATCH(DB423,'Resource use and costs'!$DS$12:$DS$25,0)),0))</f>
        <v>394.5</v>
      </c>
      <c r="DO423" s="921">
        <f>_xlfn.IFNA(INDEX('Resource use and costs'!$DY$12:$DY$25,MATCH(CZ423,'Resource use and costs'!$DS$12:$DS$25,0)),0)*_xlfn.IFNA(INDEX(DY$10:DY$23,MATCH($CZ423,$DX$10:$DX$23,0)),0)</f>
        <v>8939.6605049142872</v>
      </c>
      <c r="DP423" s="921">
        <f>IF(dd_PartSA_2_lines = "Yes",0,_xlfn.IFNA(INDEX('Resource use and costs'!$DZ$12:$DZ$25,MATCH(DA423,'Resource use and costs'!$DS$12:$DS$25,0)),0)*_xlfn.IFNA(INDEX(EA$10:EA$23,MATCH($DA423,$DX$10:$DX$23,0)),0))</f>
        <v>363.04714285714283</v>
      </c>
      <c r="DQ423" s="921">
        <f>IF(dd_PartSA_2_lines = "Yes",0,_xlfn.IFNA(INDEX('Resource use and costs'!$EA$12:$EA$25,MATCH(DB423,'Resource use and costs'!$DS$12:$DS$25,0)),0)*_xlfn.IFNA(INDEX(EC$10:EC$23,MATCH($DB423,$DX$10:$DX$23,0)),0))</f>
        <v>230.68099999999998</v>
      </c>
      <c r="DR423" s="921">
        <f t="shared" si="247"/>
        <v>9927.8886477714314</v>
      </c>
      <c r="DS423" s="1004">
        <f ca="1">SUMIFS('Safety parameters'!$DM$6:$DM$18,'Safety parameters'!$DK$6:$DK$18,CZ423,'Safety parameters'!$DL$6:$DL$18,1)+IF(dd_PartSA_2_lines = "Yes",0,SUMIFS('Safety parameters'!$DM$6:$DM$18,'Safety parameters'!$DK$6:$DK$18,DA423,'Safety parameters'!$DL$6:$DL$18,2)+SUMIFS('Safety parameters'!$DM$6:$DM$18,'Safety parameters'!$DK$6:$DK$18,DB423,'Safety parameters'!$DL$6:$DL$18,2))</f>
        <v>2577.0992943484653</v>
      </c>
      <c r="DT423" s="910">
        <f ca="1">SUMIFS('Safety parameters'!$DO$6:$DO$18,'Safety parameters'!$DK$6:$DK$18,CZ423,'Safety parameters'!$DL$6:$DL$18,1)+IF(dd_PartSA_2_lines = "Yes",0,SUMIFS('Safety parameters'!$DO$6:$DO$18,'Safety parameters'!$DK$6:$DK$18,DA423,'Safety parameters'!$DL$6:$DL$18,2)+SUMIFS('Safety parameters'!$DO$6:$DO$18,'Safety parameters'!$DK$6:$DK$18,DB423,'Safety parameters'!$DL$6:$DL$18,2))</f>
        <v>-2.4384674689096917E-2</v>
      </c>
    </row>
    <row r="424" spans="89:124" ht="15" x14ac:dyDescent="0.2">
      <c r="CK424" s="61" t="s">
        <v>31</v>
      </c>
      <c r="CL424" s="61">
        <v>3</v>
      </c>
      <c r="CM424" s="61" t="str">
        <v>lenvatinib_plus_everolimus</v>
      </c>
      <c r="CN424" s="17">
        <v>9</v>
      </c>
      <c r="CO424" s="61" t="str" cm="1">
        <f t="array" ref="CO424">INDEX(List_comparators,CP423+1)</f>
        <v>sorafenib</v>
      </c>
      <c r="CP424" s="17">
        <v>12</v>
      </c>
      <c r="CQ424" s="601">
        <f t="shared" ca="1" si="248"/>
        <v>0</v>
      </c>
      <c r="CR424" s="601">
        <f t="shared" ca="1" si="249"/>
        <v>0</v>
      </c>
      <c r="CS424" s="671">
        <f t="shared" ca="1" si="251"/>
        <v>0</v>
      </c>
      <c r="CT424" s="671">
        <f t="shared" ca="1" si="250"/>
        <v>0</v>
      </c>
      <c r="CU424" s="1123" t="e">
        <f>MATCH(CZ431,'Resource use and costs'!$BA$11:$BA$53,0)</f>
        <v>#N/A</v>
      </c>
      <c r="CV424" s="1223"/>
      <c r="CW424" s="1241">
        <f t="shared" si="241"/>
        <v>1</v>
      </c>
      <c r="CX424" s="899" t="s">
        <v>773</v>
      </c>
      <c r="CY424" s="899" t="s">
        <v>117</v>
      </c>
      <c r="CZ424" s="899" t="s">
        <v>579</v>
      </c>
      <c r="DA424" s="899" t="s">
        <v>333</v>
      </c>
      <c r="DB424" s="899" t="s">
        <v>765</v>
      </c>
      <c r="DC424" s="899" cm="1">
        <f t="array" aca="1" ref="DC424" ca="1">_xlfn.IFNA(OFFSET($I$49,MATCH(CY424,$I$50:$I$63,0),MATCH(CZ424,TRANSPOSE($J$49:$W$49),0)),0)</f>
        <v>0.38380000000000003</v>
      </c>
      <c r="DD424" s="899" cm="1">
        <f t="array" aca="1" ref="DD424" ca="1">_xlfn.IFNA(OFFSET($Y$49,MATCH($CZ424,$Y$50:$Y$63,0),MATCH($DA424,TRANSPOSE($Z$49:$AM$49),0)),0)</f>
        <v>5.2400000000000002E-2</v>
      </c>
      <c r="DE424" s="899" cm="1">
        <f t="array" aca="1" ref="DE424" ca="1">_xlfn.IFNA(OFFSET($AO$49,MATCH($DA424,$AO$50:$AO$63,0),MATCH($DB424,TRANSPOSE($AP$49:$BC$49),0)),0)</f>
        <v>0.43140000000000001</v>
      </c>
      <c r="DF424" s="881">
        <f t="shared" ca="1" si="244"/>
        <v>8.6759371680000009E-3</v>
      </c>
      <c r="DG424" s="910">
        <f t="shared" ca="1" si="240"/>
        <v>0.99547352429578406</v>
      </c>
      <c r="DH424" s="881">
        <f t="shared" ca="1" si="245"/>
        <v>8.6366657491977455E-3</v>
      </c>
      <c r="DI424" s="1460">
        <f t="shared" ca="1" si="239"/>
        <v>2.8155530342384649</v>
      </c>
      <c r="DJ424" s="909">
        <f>_xlfn.IFNA(INDEX('Resource use and costs'!$CQ$11:$CQ$53,MATCH($CZ424,'Resource use and costs'!$BA$11:$BA$53,0)),0)*_xlfn.IFNA(INDEX(DY$10:DY$23,MATCH($CZ424,$DX$10:$DX$23,0)),0)</f>
        <v>56693.786091428577</v>
      </c>
      <c r="DK424" s="909">
        <f>IF(dd_PartSA_2_lines = "Yes",0,_xlfn.IFNA(INDEX('Resource use and costs'!$CR$11:$CR$53,MATCH(DA424,'Resource use and costs'!$BA$11:$BA$53,0)),0)*_xlfn.IFNA(INDEX(EA$10:EA$23,MATCH($DA424,$DX$10:$DX$23,0)),0))</f>
        <v>24337.716731999997</v>
      </c>
      <c r="DL424" s="909">
        <f>IF(dd_PartSA_2_lines = "Yes",0,_xlfn.IFNA(INDEX('Resource use and costs'!$CS$11:$CS$53,MATCH(DB424,'Resource use and costs'!$BA$11:$BA$53,0)),0)*_xlfn.IFNA(INDEX(EC$10:EC$23,MATCH($DB424,$DX$10:$DX$23,0)),0))</f>
        <v>0</v>
      </c>
      <c r="DM424" s="909">
        <f t="shared" si="246"/>
        <v>81031.502823428571</v>
      </c>
      <c r="DN424" s="909">
        <f>SUM(_xlfn.IFNA(INDEX('Resource use and costs'!$DU$12:$DU$25,MATCH(CZ424,'Resource use and costs'!$DS$12:$DS$25,0)),0),_xlfn.IFNA(INDEX('Resource use and costs'!$DU$12:$DU$25,MATCH(DA424,'Resource use and costs'!$DS$12:$DS$25,0)),0),_xlfn.IFNA(INDEX('Resource use and costs'!$DU$12:$DU$25,MATCH(DB424,'Resource use and costs'!$DS$12:$DS$25,0)),0))</f>
        <v>197.25</v>
      </c>
      <c r="DO424" s="921">
        <f>_xlfn.IFNA(INDEX('Resource use and costs'!$DY$12:$DY$25,MATCH(CZ424,'Resource use and costs'!$DS$12:$DS$25,0)),0)*_xlfn.IFNA(INDEX(DY$10:DY$23,MATCH($CZ424,$DX$10:$DX$23,0)),0)</f>
        <v>8939.6605049142872</v>
      </c>
      <c r="DP424" s="921">
        <f>IF(dd_PartSA_2_lines = "Yes",0,_xlfn.IFNA(INDEX('Resource use and costs'!$DZ$12:$DZ$25,MATCH(DA424,'Resource use and costs'!$DS$12:$DS$25,0)),0)*_xlfn.IFNA(INDEX(EA$10:EA$23,MATCH($DA424,$DX$10:$DX$23,0)),0))</f>
        <v>363.04714285714283</v>
      </c>
      <c r="DQ424" s="921">
        <f>IF(dd_PartSA_2_lines = "Yes",0,_xlfn.IFNA(INDEX('Resource use and costs'!$EA$12:$EA$25,MATCH(DB424,'Resource use and costs'!$DS$12:$DS$25,0)),0)*_xlfn.IFNA(INDEX(EC$10:EC$23,MATCH($DB424,$DX$10:$DX$23,0)),0))</f>
        <v>0</v>
      </c>
      <c r="DR424" s="921">
        <f t="shared" si="247"/>
        <v>9499.9576477714309</v>
      </c>
      <c r="DS424" s="1004">
        <f ca="1">SUMIFS('Safety parameters'!$DM$6:$DM$18,'Safety parameters'!$DK$6:$DK$18,CZ424,'Safety parameters'!$DL$6:$DL$18,1)+IF(dd_PartSA_2_lines = "Yes",0,SUMIFS('Safety parameters'!$DM$6:$DM$18,'Safety parameters'!$DK$6:$DK$18,DA424,'Safety parameters'!$DL$6:$DL$18,2)+SUMIFS('Safety parameters'!$DM$6:$DM$18,'Safety parameters'!$DK$6:$DK$18,DB424,'Safety parameters'!$DL$6:$DL$18,2))</f>
        <v>942.87062078300573</v>
      </c>
      <c r="DT424" s="910">
        <f ca="1">SUMIFS('Safety parameters'!$DO$6:$DO$18,'Safety parameters'!$DK$6:$DK$18,CZ424,'Safety parameters'!$DL$6:$DL$18,1)+IF(dd_PartSA_2_lines = "Yes",0,SUMIFS('Safety parameters'!$DO$6:$DO$18,'Safety parameters'!$DK$6:$DK$18,DA424,'Safety parameters'!$DL$6:$DL$18,2)+SUMIFS('Safety parameters'!$DO$6:$DO$18,'Safety parameters'!$DK$6:$DK$18,DB424,'Safety parameters'!$DL$6:$DL$18,2))</f>
        <v>-9.6427506816154883E-3</v>
      </c>
    </row>
    <row r="425" spans="89:124" ht="15" x14ac:dyDescent="0.2">
      <c r="CK425" s="61" t="s">
        <v>31</v>
      </c>
      <c r="CL425" s="61">
        <v>3</v>
      </c>
      <c r="CM425" s="61" t="str">
        <v>everolimus</v>
      </c>
      <c r="CN425" s="17">
        <v>10</v>
      </c>
      <c r="CO425" s="61" t="str" cm="1">
        <f t="array" ref="CO425">INDEX(List_comparators,CP424+1)</f>
        <v>sorafenib</v>
      </c>
      <c r="CP425" s="17">
        <v>12</v>
      </c>
      <c r="CQ425" s="601">
        <f t="shared" ca="1" si="248"/>
        <v>0</v>
      </c>
      <c r="CR425" s="601">
        <f t="shared" ca="1" si="249"/>
        <v>0</v>
      </c>
      <c r="CS425" s="671">
        <f t="shared" ca="1" si="251"/>
        <v>0</v>
      </c>
      <c r="CT425" s="671">
        <f t="shared" ca="1" si="250"/>
        <v>0</v>
      </c>
      <c r="CU425" s="1123">
        <f>MATCH(CZ432,'Resource use and costs'!$BA$11:$BA$53,0)</f>
        <v>30</v>
      </c>
      <c r="CV425" s="1223"/>
      <c r="CW425" s="1241">
        <f t="shared" si="241"/>
        <v>1</v>
      </c>
      <c r="CX425" s="899" t="s">
        <v>773</v>
      </c>
      <c r="CY425" s="899" t="s">
        <v>319</v>
      </c>
      <c r="CZ425" s="899" t="s">
        <v>327</v>
      </c>
      <c r="DA425" s="899" t="s">
        <v>765</v>
      </c>
      <c r="DB425" s="899"/>
      <c r="DC425" s="899" cm="1">
        <f t="array" aca="1" ref="DC425" ca="1">_xlfn.IFNA(OFFSET($I$49,MATCH(CY425,$I$50:$I$63,0),MATCH(CZ425,TRANSPOSE($J$49:$W$49),0)),0)</f>
        <v>2.9560979095944254E-2</v>
      </c>
      <c r="DD425" s="899" cm="1">
        <f t="array" aca="1" ref="DD425" ca="1">_xlfn.IFNA(OFFSET($Y$49,MATCH($CZ425,$Y$50:$Y$63,0),MATCH($DA425,TRANSPOSE($Z$49:$AM$49),0)),0)</f>
        <v>0.34300000000000003</v>
      </c>
      <c r="DE425" s="899" cm="1">
        <f t="array" aca="1" ref="DE425" ca="1">_xlfn.IFNA(OFFSET($AO$49,MATCH($DA425,$AO$50:$AO$63,0),MATCH($DB425,TRANSPOSE($AP$49:$BC$49),0)),0)</f>
        <v>0</v>
      </c>
      <c r="DF425" s="881">
        <f t="shared" ca="1" si="244"/>
        <v>1.013941582990888E-2</v>
      </c>
      <c r="DG425" s="910">
        <f t="shared" ca="1" si="240"/>
        <v>0.98859556831386541</v>
      </c>
      <c r="DH425" s="881">
        <f t="shared" ca="1" si="245"/>
        <v>1.0023781554739373E-2</v>
      </c>
      <c r="DI425" s="1460">
        <f t="shared" ref="DI425:DI461" ca="1" si="252">104*DH425</f>
        <v>1.0424732816928948</v>
      </c>
      <c r="DJ425" s="909">
        <f>_xlfn.IFNA(INDEX('Resource use and costs'!$CQ$11:$CQ$53,MATCH($CZ425,'Resource use and costs'!$BA$11:$BA$53,0)),0)*_xlfn.IFNA(INDEX(DY$10:DY$23,MATCH($CZ425,$DX$10:$DX$23,0)),0)</f>
        <v>19241.032205</v>
      </c>
      <c r="DK425" s="909">
        <f>IF(dd_PartSA_2_lines = "Yes",0,_xlfn.IFNA(INDEX('Resource use and costs'!$CR$11:$CR$53,MATCH(DA425,'Resource use and costs'!$BA$11:$BA$53,0)),0)*_xlfn.IFNA(INDEX(EA$10:EA$23,MATCH($DA425,$DX$10:$DX$23,0)),0))</f>
        <v>0</v>
      </c>
      <c r="DL425" s="909">
        <f>IF(dd_PartSA_2_lines = "Yes",0,_xlfn.IFNA(INDEX('Resource use and costs'!$CS$11:$CS$53,MATCH(DB425,'Resource use and costs'!$BA$11:$BA$53,0)),0)*_xlfn.IFNA(INDEX(EC$10:EC$23,MATCH($DB425,$DX$10:$DX$23,0)),0))</f>
        <v>0</v>
      </c>
      <c r="DM425" s="909">
        <f t="shared" si="246"/>
        <v>19241.032205</v>
      </c>
      <c r="DN425" s="909">
        <f>SUM(_xlfn.IFNA(INDEX('Resource use and costs'!$DU$12:$DU$25,MATCH(CZ425,'Resource use and costs'!$DS$12:$DS$25,0)),0),_xlfn.IFNA(INDEX('Resource use and costs'!$DU$12:$DU$25,MATCH(DA425,'Resource use and costs'!$DS$12:$DS$25,0)),0),_xlfn.IFNA(INDEX('Resource use and costs'!$DU$12:$DU$25,MATCH(DB425,'Resource use and costs'!$DS$12:$DS$25,0)),0))</f>
        <v>197.25</v>
      </c>
      <c r="DO425" s="921">
        <f>_xlfn.IFNA(INDEX('Resource use and costs'!$DY$12:$DY$25,MATCH(CZ425,'Resource use and costs'!$DS$12:$DS$25,0)),0)*_xlfn.IFNA(INDEX(DY$10:DY$23,MATCH($CZ425,$DX$10:$DX$23,0)),0)</f>
        <v>240.71806000000001</v>
      </c>
      <c r="DP425" s="921">
        <f>IF(dd_PartSA_2_lines = "Yes",0,_xlfn.IFNA(INDEX('Resource use and costs'!$DZ$12:$DZ$25,MATCH(DA425,'Resource use and costs'!$DS$12:$DS$25,0)),0)*_xlfn.IFNA(INDEX(EA$10:EA$23,MATCH($DA425,$DX$10:$DX$23,0)),0))</f>
        <v>0</v>
      </c>
      <c r="DQ425" s="921">
        <f>IF(dd_PartSA_2_lines = "Yes",0,_xlfn.IFNA(INDEX('Resource use and costs'!$EA$12:$EA$25,MATCH(DB425,'Resource use and costs'!$DS$12:$DS$25,0)),0)*_xlfn.IFNA(INDEX(EC$10:EC$23,MATCH($DB425,$DX$10:$DX$23,0)),0))</f>
        <v>0</v>
      </c>
      <c r="DR425" s="921">
        <f t="shared" si="247"/>
        <v>437.96806000000004</v>
      </c>
      <c r="DS425" s="1004">
        <f>SUMIFS('Safety parameters'!$DM$6:$DM$18,'Safety parameters'!$DK$6:$DK$18,CZ425,'Safety parameters'!$DL$6:$DL$18,1)+IF(dd_PartSA_2_lines = "Yes",0,SUMIFS('Safety parameters'!$DM$6:$DM$18,'Safety parameters'!$DK$6:$DK$18,DA425,'Safety parameters'!$DL$6:$DL$18,2)+SUMIFS('Safety parameters'!$DM$6:$DM$18,'Safety parameters'!$DK$6:$DK$18,DB425,'Safety parameters'!$DL$6:$DL$18,2))</f>
        <v>0</v>
      </c>
      <c r="DT425" s="910">
        <f>SUMIFS('Safety parameters'!$DO$6:$DO$18,'Safety parameters'!$DK$6:$DK$18,CZ425,'Safety parameters'!$DL$6:$DL$18,1)+IF(dd_PartSA_2_lines = "Yes",0,SUMIFS('Safety parameters'!$DO$6:$DO$18,'Safety parameters'!$DK$6:$DK$18,DA425,'Safety parameters'!$DL$6:$DL$18,2)+SUMIFS('Safety parameters'!$DO$6:$DO$18,'Safety parameters'!$DK$6:$DK$18,DB425,'Safety parameters'!$DL$6:$DL$18,2))</f>
        <v>0</v>
      </c>
    </row>
    <row r="426" spans="89:124" ht="15" x14ac:dyDescent="0.2">
      <c r="CK426" s="61" t="s">
        <v>31</v>
      </c>
      <c r="CL426" s="61">
        <v>3</v>
      </c>
      <c r="CM426" s="61" t="str">
        <v>axitinib</v>
      </c>
      <c r="CN426" s="17">
        <v>11</v>
      </c>
      <c r="CO426" s="61" t="str" cm="1">
        <f t="array" ref="CO426">INDEX(List_comparators,CP425+1)</f>
        <v>sorafenib</v>
      </c>
      <c r="CP426" s="17">
        <v>12</v>
      </c>
      <c r="CQ426" s="601">
        <f t="shared" ca="1" si="248"/>
        <v>0</v>
      </c>
      <c r="CR426" s="601">
        <f t="shared" ca="1" si="249"/>
        <v>0</v>
      </c>
      <c r="CS426" s="671">
        <f t="shared" ca="1" si="251"/>
        <v>0</v>
      </c>
      <c r="CT426" s="671">
        <f t="shared" ca="1" si="250"/>
        <v>0</v>
      </c>
      <c r="CU426" s="1123">
        <f>MATCH(CZ433,'Resource use and costs'!$BA$11:$BA$53,0)</f>
        <v>30</v>
      </c>
      <c r="CV426" s="1223"/>
      <c r="CW426" s="1241">
        <f t="shared" si="241"/>
        <v>1</v>
      </c>
      <c r="CX426" s="899" t="s">
        <v>773</v>
      </c>
      <c r="CY426" s="899" t="s">
        <v>319</v>
      </c>
      <c r="CZ426" s="899" t="s">
        <v>327</v>
      </c>
      <c r="DA426" s="899" t="s">
        <v>118</v>
      </c>
      <c r="DB426" s="899" t="s">
        <v>765</v>
      </c>
      <c r="DC426" s="899" cm="1">
        <f t="array" aca="1" ref="DC426" ca="1">_xlfn.IFNA(OFFSET($I$49,MATCH(CY426,$I$50:$I$63,0),MATCH(CZ426,TRANSPOSE($J$49:$W$49),0)),0)</f>
        <v>2.9560979095944254E-2</v>
      </c>
      <c r="DD426" s="899" cm="1">
        <f t="array" aca="1" ref="DD426" ca="1">_xlfn.IFNA(OFFSET($Y$49,MATCH($CZ426,$Y$50:$Y$63,0),MATCH($DA426,TRANSPOSE($Z$49:$AM$49),0)),0)</f>
        <v>0.32850000000000001</v>
      </c>
      <c r="DE426" s="899" cm="1">
        <f t="array" aca="1" ref="DE426" ca="1">_xlfn.IFNA(OFFSET($AO$49,MATCH($DA426,$AO$50:$AO$63,0),MATCH($DB426,TRANSPOSE($AP$49:$BC$49),0)),0)</f>
        <v>0.43140000000000001</v>
      </c>
      <c r="DF426" s="881">
        <f t="shared" ca="1" si="244"/>
        <v>4.1892311964838308E-3</v>
      </c>
      <c r="DG426" s="910">
        <f t="shared" ca="1" si="240"/>
        <v>0.98859556831386541</v>
      </c>
      <c r="DH426" s="881">
        <f t="shared" ca="1" si="245"/>
        <v>4.141455395486107E-3</v>
      </c>
      <c r="DI426" s="1460">
        <f t="shared" ca="1" si="252"/>
        <v>0.43071136113055514</v>
      </c>
      <c r="DJ426" s="909">
        <f>_xlfn.IFNA(INDEX('Resource use and costs'!$CQ$11:$CQ$53,MATCH($CZ426,'Resource use and costs'!$BA$11:$BA$53,0)),0)*_xlfn.IFNA(INDEX(DY$10:DY$23,MATCH($CZ426,$DX$10:$DX$23,0)),0)</f>
        <v>19241.032205</v>
      </c>
      <c r="DK426" s="909">
        <f>IF(dd_PartSA_2_lines = "Yes",0,_xlfn.IFNA(INDEX('Resource use and costs'!$CR$11:$CR$53,MATCH(DA426,'Resource use and costs'!$BA$11:$BA$53,0)),0)*_xlfn.IFNA(INDEX(EA$10:EA$23,MATCH($DA426,$DX$10:$DX$23,0)),0))</f>
        <v>50308.075122000002</v>
      </c>
      <c r="DL426" s="909">
        <f>IF(dd_PartSA_2_lines = "Yes",0,_xlfn.IFNA(INDEX('Resource use and costs'!$CS$11:$CS$53,MATCH(DB426,'Resource use and costs'!$BA$11:$BA$53,0)),0)*_xlfn.IFNA(INDEX(EC$10:EC$23,MATCH($DB426,$DX$10:$DX$23,0)),0))</f>
        <v>0</v>
      </c>
      <c r="DM426" s="909">
        <f t="shared" si="246"/>
        <v>69549.107327000005</v>
      </c>
      <c r="DN426" s="909">
        <f>SUM(_xlfn.IFNA(INDEX('Resource use and costs'!$DU$12:$DU$25,MATCH(CZ426,'Resource use and costs'!$DS$12:$DS$25,0)),0),_xlfn.IFNA(INDEX('Resource use and costs'!$DU$12:$DU$25,MATCH(DA426,'Resource use and costs'!$DS$12:$DS$25,0)),0),_xlfn.IFNA(INDEX('Resource use and costs'!$DU$12:$DU$25,MATCH(DB426,'Resource use and costs'!$DS$12:$DS$25,0)),0))</f>
        <v>394.5</v>
      </c>
      <c r="DO426" s="921">
        <f>_xlfn.IFNA(INDEX('Resource use and costs'!$DY$12:$DY$25,MATCH(CZ426,'Resource use and costs'!$DS$12:$DS$25,0)),0)*_xlfn.IFNA(INDEX(DY$10:DY$23,MATCH($CZ426,$DX$10:$DX$23,0)),0)</f>
        <v>240.71806000000001</v>
      </c>
      <c r="DP426" s="921">
        <f>IF(dd_PartSA_2_lines = "Yes",0,_xlfn.IFNA(INDEX('Resource use and costs'!$DZ$12:$DZ$25,MATCH(DA426,'Resource use and costs'!$DS$12:$DS$25,0)),0)*_xlfn.IFNA(INDEX(EA$10:EA$23,MATCH($DA426,$DX$10:$DX$23,0)),0))</f>
        <v>461.1445457142857</v>
      </c>
      <c r="DQ426" s="921">
        <f>IF(dd_PartSA_2_lines = "Yes",0,_xlfn.IFNA(INDEX('Resource use and costs'!$EA$12:$EA$25,MATCH(DB426,'Resource use and costs'!$DS$12:$DS$25,0)),0)*_xlfn.IFNA(INDEX(EC$10:EC$23,MATCH($DB426,$DX$10:$DX$23,0)),0))</f>
        <v>0</v>
      </c>
      <c r="DR426" s="921">
        <f t="shared" si="247"/>
        <v>1096.3626057142858</v>
      </c>
      <c r="DS426" s="1004">
        <f ca="1">SUMIFS('Safety parameters'!$DM$6:$DM$18,'Safety parameters'!$DK$6:$DK$18,CZ426,'Safety parameters'!$DL$6:$DL$18,1)+IF(dd_PartSA_2_lines = "Yes",0,SUMIFS('Safety parameters'!$DM$6:$DM$18,'Safety parameters'!$DK$6:$DK$18,DA426,'Safety parameters'!$DL$6:$DL$18,2)+SUMIFS('Safety parameters'!$DM$6:$DM$18,'Safety parameters'!$DK$6:$DK$18,DB426,'Safety parameters'!$DL$6:$DL$18,2))</f>
        <v>743.64929980338343</v>
      </c>
      <c r="DT426" s="910">
        <f ca="1">SUMIFS('Safety parameters'!$DO$6:$DO$18,'Safety parameters'!$DK$6:$DK$18,CZ426,'Safety parameters'!$DL$6:$DL$18,1)+IF(dd_PartSA_2_lines = "Yes",0,SUMIFS('Safety parameters'!$DO$6:$DO$18,'Safety parameters'!$DK$6:$DK$18,DA426,'Safety parameters'!$DL$6:$DL$18,2)+SUMIFS('Safety parameters'!$DO$6:$DO$18,'Safety parameters'!$DK$6:$DK$18,DB426,'Safety parameters'!$DL$6:$DL$18,2))</f>
        <v>-7.0223263562359372E-3</v>
      </c>
    </row>
    <row r="427" spans="89:124" ht="15" x14ac:dyDescent="0.2">
      <c r="CK427" s="61" t="s">
        <v>31</v>
      </c>
      <c r="CL427" s="61">
        <v>3</v>
      </c>
      <c r="CM427" s="61" t="str">
        <v>sorafenib</v>
      </c>
      <c r="CN427" s="17">
        <v>12</v>
      </c>
      <c r="CO427" s="61" t="str" cm="1">
        <f t="array" ref="CO427">INDEX(List_comparators,CP426+1)</f>
        <v>sorafenib</v>
      </c>
      <c r="CP427" s="17">
        <v>12</v>
      </c>
      <c r="CQ427" s="601">
        <f t="shared" ca="1" si="248"/>
        <v>0</v>
      </c>
      <c r="CR427" s="601">
        <f t="shared" ca="1" si="249"/>
        <v>0</v>
      </c>
      <c r="CS427" s="671">
        <f t="shared" ca="1" si="251"/>
        <v>0</v>
      </c>
      <c r="CT427" s="671">
        <f t="shared" ca="1" si="250"/>
        <v>0</v>
      </c>
      <c r="CU427" s="1123">
        <f>MATCH(CZ434,'Resource use and costs'!$BA$11:$BA$53,0)</f>
        <v>30</v>
      </c>
      <c r="CV427" s="1223"/>
      <c r="CW427" s="1241">
        <f t="shared" si="241"/>
        <v>1</v>
      </c>
      <c r="CX427" s="899" t="s">
        <v>773</v>
      </c>
      <c r="CY427" s="899" t="s">
        <v>319</v>
      </c>
      <c r="CZ427" s="899" t="s">
        <v>327</v>
      </c>
      <c r="DA427" s="899" t="s">
        <v>118</v>
      </c>
      <c r="DB427" s="899" t="s">
        <v>119</v>
      </c>
      <c r="DC427" s="899" cm="1">
        <f t="array" aca="1" ref="DC427" ca="1">_xlfn.IFNA(OFFSET($I$49,MATCH(CY427,$I$50:$I$63,0),MATCH(CZ427,TRANSPOSE($J$49:$W$49),0)),0)</f>
        <v>2.9560979095944254E-2</v>
      </c>
      <c r="DD427" s="899" cm="1">
        <f t="array" aca="1" ref="DD427" ca="1">_xlfn.IFNA(OFFSET($Y$49,MATCH($CZ427,$Y$50:$Y$63,0),MATCH($DA427,TRANSPOSE($Z$49:$AM$49),0)),0)</f>
        <v>0.32850000000000001</v>
      </c>
      <c r="DE427" s="899">
        <f ca="1">1-DE426</f>
        <v>0.56859999999999999</v>
      </c>
      <c r="DF427" s="881">
        <f t="shared" ca="1" si="244"/>
        <v>5.5215504365338577E-3</v>
      </c>
      <c r="DG427" s="910">
        <f t="shared" ca="1" si="240"/>
        <v>0.98859556831386541</v>
      </c>
      <c r="DH427" s="881">
        <f t="shared" ca="1" si="245"/>
        <v>5.4585802917788608E-3</v>
      </c>
      <c r="DI427" s="1460">
        <f t="shared" ca="1" si="252"/>
        <v>0.56769235034500154</v>
      </c>
      <c r="DJ427" s="909">
        <f>_xlfn.IFNA(INDEX('Resource use and costs'!$CQ$11:$CQ$53,MATCH($CZ427,'Resource use and costs'!$BA$11:$BA$53,0)),0)*_xlfn.IFNA(INDEX(DY$10:DY$23,MATCH($CZ427,$DX$10:$DX$23,0)),0)</f>
        <v>19241.032205</v>
      </c>
      <c r="DK427" s="909">
        <f>IF(dd_PartSA_2_lines = "Yes",0,_xlfn.IFNA(INDEX('Resource use and costs'!$CR$11:$CR$53,MATCH(DA427,'Resource use and costs'!$BA$11:$BA$53,0)),0)*_xlfn.IFNA(INDEX(EA$10:EA$23,MATCH($DA427,$DX$10:$DX$23,0)),0))</f>
        <v>50308.075122000002</v>
      </c>
      <c r="DL427" s="909">
        <f>IF(dd_PartSA_2_lines = "Yes",0,_xlfn.IFNA(INDEX('Resource use and costs'!$CS$11:$CS$53,MATCH(DB427,'Resource use and costs'!$BA$11:$BA$53,0)),0)*_xlfn.IFNA(INDEX(EC$10:EC$23,MATCH($DB427,$DX$10:$DX$23,0)),0))</f>
        <v>2915.4763433333328</v>
      </c>
      <c r="DM427" s="909">
        <f t="shared" si="246"/>
        <v>72464.583670333333</v>
      </c>
      <c r="DN427" s="909">
        <f>SUM(_xlfn.IFNA(INDEX('Resource use and costs'!$DU$12:$DU$25,MATCH(CZ427,'Resource use and costs'!$DS$12:$DS$25,0)),0),_xlfn.IFNA(INDEX('Resource use and costs'!$DU$12:$DU$25,MATCH(DA427,'Resource use and costs'!$DS$12:$DS$25,0)),0),_xlfn.IFNA(INDEX('Resource use and costs'!$DU$12:$DU$25,MATCH(DB427,'Resource use and costs'!$DS$12:$DS$25,0)),0))</f>
        <v>591.75</v>
      </c>
      <c r="DO427" s="921">
        <f>_xlfn.IFNA(INDEX('Resource use and costs'!$DY$12:$DY$25,MATCH(CZ427,'Resource use and costs'!$DS$12:$DS$25,0)),0)*_xlfn.IFNA(INDEX(DY$10:DY$23,MATCH($CZ427,$DX$10:$DX$23,0)),0)</f>
        <v>240.71806000000001</v>
      </c>
      <c r="DP427" s="921">
        <f>IF(dd_PartSA_2_lines = "Yes",0,_xlfn.IFNA(INDEX('Resource use and costs'!$DZ$12:$DZ$25,MATCH(DA427,'Resource use and costs'!$DS$12:$DS$25,0)),0)*_xlfn.IFNA(INDEX(EA$10:EA$23,MATCH($DA427,$DX$10:$DX$23,0)),0))</f>
        <v>461.1445457142857</v>
      </c>
      <c r="DQ427" s="921">
        <f>IF(dd_PartSA_2_lines = "Yes",0,_xlfn.IFNA(INDEX('Resource use and costs'!$EA$12:$EA$25,MATCH(DB427,'Resource use and costs'!$DS$12:$DS$25,0)),0)*_xlfn.IFNA(INDEX(EC$10:EC$23,MATCH($DB427,$DX$10:$DX$23,0)),0))</f>
        <v>256.11457142857142</v>
      </c>
      <c r="DR427" s="921">
        <f t="shared" si="247"/>
        <v>1549.7271771428573</v>
      </c>
      <c r="DS427" s="1004">
        <f ca="1">SUMIFS('Safety parameters'!$DM$6:$DM$18,'Safety parameters'!$DK$6:$DK$18,CZ427,'Safety parameters'!$DL$6:$DL$18,1)+IF(dd_PartSA_2_lines = "Yes",0,SUMIFS('Safety parameters'!$DM$6:$DM$18,'Safety parameters'!$DK$6:$DK$18,DA427,'Safety parameters'!$DL$6:$DL$18,2)+SUMIFS('Safety parameters'!$DM$6:$DM$18,'Safety parameters'!$DK$6:$DK$18,DB427,'Safety parameters'!$DL$6:$DL$18,2))</f>
        <v>1076.5246831786983</v>
      </c>
      <c r="DT427" s="910">
        <f ca="1">SUMIFS('Safety parameters'!$DO$6:$DO$18,'Safety parameters'!$DK$6:$DK$18,CZ427,'Safety parameters'!$DL$6:$DL$18,1)+IF(dd_PartSA_2_lines = "Yes",0,SUMIFS('Safety parameters'!$DO$6:$DO$18,'Safety parameters'!$DK$6:$DK$18,DA427,'Safety parameters'!$DL$6:$DL$18,2)+SUMIFS('Safety parameters'!$DO$6:$DO$18,'Safety parameters'!$DK$6:$DK$18,DB427,'Safety parameters'!$DL$6:$DL$18,2))</f>
        <v>-9.689899892873657E-3</v>
      </c>
    </row>
    <row r="428" spans="89:124" ht="15.75" thickBot="1" x14ac:dyDescent="0.25">
      <c r="CK428" s="506" t="s">
        <v>31</v>
      </c>
      <c r="CL428" s="506">
        <v>3</v>
      </c>
      <c r="CM428" s="506" t="str">
        <v>placebo_BSC</v>
      </c>
      <c r="CN428" s="19">
        <v>999</v>
      </c>
      <c r="CO428" s="506" t="str" cm="1">
        <f t="array" ref="CO428">INDEX(List_comparators,CP415+1)</f>
        <v>sorafenib</v>
      </c>
      <c r="CP428" s="19">
        <v>12</v>
      </c>
      <c r="CQ428" s="602">
        <f t="shared" ca="1" si="248"/>
        <v>0</v>
      </c>
      <c r="CR428" s="602">
        <f t="shared" ca="1" si="249"/>
        <v>0</v>
      </c>
      <c r="CS428" s="670">
        <v>0</v>
      </c>
      <c r="CT428" s="670">
        <f t="shared" ca="1" si="250"/>
        <v>0</v>
      </c>
      <c r="CU428" s="1123">
        <f>MATCH(CZ435,'Resource use and costs'!$BA$11:$BA$53,0)</f>
        <v>30</v>
      </c>
      <c r="CV428" s="1223"/>
      <c r="CW428" s="1241">
        <f t="shared" si="241"/>
        <v>1</v>
      </c>
      <c r="CX428" s="899" t="s">
        <v>773</v>
      </c>
      <c r="CY428" s="899" t="s">
        <v>319</v>
      </c>
      <c r="CZ428" s="899" t="s">
        <v>327</v>
      </c>
      <c r="DA428" s="899" t="s">
        <v>119</v>
      </c>
      <c r="DB428" s="899" t="s">
        <v>765</v>
      </c>
      <c r="DC428" s="899" cm="1">
        <f t="array" aca="1" ref="DC428" ca="1">_xlfn.IFNA(OFFSET($I$49,MATCH(CY428,$I$50:$I$63,0),MATCH(CZ428,TRANSPOSE($J$49:$W$49),0)),0)</f>
        <v>2.9560979095944254E-2</v>
      </c>
      <c r="DD428" s="899">
        <f ca="1">1-DD426-DD429</f>
        <v>0.34299999999999997</v>
      </c>
      <c r="DE428" s="899" cm="1">
        <f t="array" aca="1" ref="DE428" ca="1">_xlfn.IFNA(OFFSET($AO$49,MATCH($DA428,$AO$50:$AO$63,0),MATCH($DB428,TRANSPOSE($AP$49:$BC$49),0)),0)</f>
        <v>1</v>
      </c>
      <c r="DF428" s="881">
        <f t="shared" ca="1" si="244"/>
        <v>1.0139415829908878E-2</v>
      </c>
      <c r="DG428" s="910">
        <f t="shared" ca="1" si="240"/>
        <v>0.98859556831386541</v>
      </c>
      <c r="DH428" s="881">
        <f t="shared" ca="1" si="245"/>
        <v>1.0023781554739371E-2</v>
      </c>
      <c r="DI428" s="1460">
        <f t="shared" ca="1" si="252"/>
        <v>1.0424732816928945</v>
      </c>
      <c r="DJ428" s="909">
        <f>_xlfn.IFNA(INDEX('Resource use and costs'!$CQ$11:$CQ$53,MATCH($CZ428,'Resource use and costs'!$BA$11:$BA$53,0)),0)*_xlfn.IFNA(INDEX(DY$10:DY$23,MATCH($CZ428,$DX$10:$DX$23,0)),0)</f>
        <v>19241.032205</v>
      </c>
      <c r="DK428" s="909">
        <f>IF(dd_PartSA_2_lines = "Yes",0,_xlfn.IFNA(INDEX('Resource use and costs'!$CR$11:$CR$53,MATCH(DA428,'Resource use and costs'!$BA$11:$BA$53,0)),0)*_xlfn.IFNA(INDEX(EA$10:EA$23,MATCH($DA428,$DX$10:$DX$23,0)),0))</f>
        <v>848.17532499999982</v>
      </c>
      <c r="DL428" s="909">
        <f>IF(dd_PartSA_2_lines = "Yes",0,_xlfn.IFNA(INDEX('Resource use and costs'!$CS$11:$CS$53,MATCH(DB428,'Resource use and costs'!$BA$11:$BA$53,0)),0)*_xlfn.IFNA(INDEX(EC$10:EC$23,MATCH($DB428,$DX$10:$DX$23,0)),0))</f>
        <v>0</v>
      </c>
      <c r="DM428" s="909">
        <f t="shared" si="246"/>
        <v>20089.20753</v>
      </c>
      <c r="DN428" s="909">
        <f>SUM(_xlfn.IFNA(INDEX('Resource use and costs'!$DU$12:$DU$25,MATCH(CZ428,'Resource use and costs'!$DS$12:$DS$25,0)),0),_xlfn.IFNA(INDEX('Resource use and costs'!$DU$12:$DU$25,MATCH(DA428,'Resource use and costs'!$DS$12:$DS$25,0)),0),_xlfn.IFNA(INDEX('Resource use and costs'!$DU$12:$DU$25,MATCH(DB428,'Resource use and costs'!$DS$12:$DS$25,0)),0))</f>
        <v>394.5</v>
      </c>
      <c r="DO428" s="921">
        <f>_xlfn.IFNA(INDEX('Resource use and costs'!$DY$12:$DY$25,MATCH(CZ428,'Resource use and costs'!$DS$12:$DS$25,0)),0)*_xlfn.IFNA(INDEX(DY$10:DY$23,MATCH($CZ428,$DX$10:$DX$23,0)),0)</f>
        <v>240.71806000000001</v>
      </c>
      <c r="DP428" s="921">
        <f>IF(dd_PartSA_2_lines = "Yes",0,_xlfn.IFNA(INDEX('Resource use and costs'!$DZ$12:$DZ$25,MATCH(DA428,'Resource use and costs'!$DS$12:$DS$25,0)),0)*_xlfn.IFNA(INDEX(EA$10:EA$23,MATCH($DA428,$DX$10:$DX$23,0)),0))</f>
        <v>74.50928571428571</v>
      </c>
      <c r="DQ428" s="921">
        <f>IF(dd_PartSA_2_lines = "Yes",0,_xlfn.IFNA(INDEX('Resource use and costs'!$EA$12:$EA$25,MATCH(DB428,'Resource use and costs'!$DS$12:$DS$25,0)),0)*_xlfn.IFNA(INDEX(EC$10:EC$23,MATCH($DB428,$DX$10:$DX$23,0)),0))</f>
        <v>0</v>
      </c>
      <c r="DR428" s="921">
        <f t="shared" si="247"/>
        <v>709.72734571428578</v>
      </c>
      <c r="DS428" s="1004">
        <f ca="1">SUMIFS('Safety parameters'!$DM$6:$DM$18,'Safety parameters'!$DK$6:$DK$18,CZ428,'Safety parameters'!$DL$6:$DL$18,1)+IF(dd_PartSA_2_lines = "Yes",0,SUMIFS('Safety parameters'!$DM$6:$DM$18,'Safety parameters'!$DK$6:$DK$18,DA428,'Safety parameters'!$DL$6:$DL$18,2)+SUMIFS('Safety parameters'!$DM$6:$DM$18,'Safety parameters'!$DK$6:$DK$18,DB428,'Safety parameters'!$DL$6:$DL$18,2))</f>
        <v>332.87538337531487</v>
      </c>
      <c r="DT428" s="910">
        <f ca="1">SUMIFS('Safety parameters'!$DO$6:$DO$18,'Safety parameters'!$DK$6:$DK$18,CZ428,'Safety parameters'!$DL$6:$DL$18,1)+IF(dd_PartSA_2_lines = "Yes",0,SUMIFS('Safety parameters'!$DO$6:$DO$18,'Safety parameters'!$DK$6:$DK$18,DA428,'Safety parameters'!$DL$6:$DL$18,2)+SUMIFS('Safety parameters'!$DO$6:$DO$18,'Safety parameters'!$DK$6:$DK$18,DB428,'Safety parameters'!$DL$6:$DL$18,2))</f>
        <v>-2.6675735366377194E-3</v>
      </c>
    </row>
    <row r="429" spans="89:124" ht="15" x14ac:dyDescent="0.2">
      <c r="CK429" s="505" t="s">
        <v>31</v>
      </c>
      <c r="CL429" s="505">
        <v>3</v>
      </c>
      <c r="CM429" s="61" t="str" cm="1">
        <f t="array" ref="CM429:CM442">List_comparators</f>
        <v>nivolumab_monotherapy</v>
      </c>
      <c r="CN429" s="17">
        <v>0</v>
      </c>
      <c r="CO429" s="61" t="str" cm="1">
        <f t="array" ref="CO429">INDEX(List_comparators,CP415+2)</f>
        <v>placebo_BSC</v>
      </c>
      <c r="CP429" s="17">
        <v>999</v>
      </c>
      <c r="CQ429" s="603">
        <f t="shared" ca="1" si="248"/>
        <v>0</v>
      </c>
      <c r="CR429" s="603">
        <f t="shared" ca="1" si="249"/>
        <v>0</v>
      </c>
      <c r="CS429" s="671">
        <f t="shared" ref="CS429:CS441" ca="1" si="253">OFFSET($Z$81,IF(CN429=999,13,CN429),CP429)</f>
        <v>0</v>
      </c>
      <c r="CT429" s="671">
        <f t="shared" ca="1" si="250"/>
        <v>0</v>
      </c>
      <c r="CU429" s="1123">
        <f>MATCH(CZ436,'Resource use and costs'!$BA$11:$BA$53,0)</f>
        <v>30</v>
      </c>
      <c r="CV429" s="1223"/>
      <c r="CW429" s="1241">
        <f t="shared" si="241"/>
        <v>1</v>
      </c>
      <c r="CX429" s="899" t="s">
        <v>773</v>
      </c>
      <c r="CY429" s="899" t="s">
        <v>319</v>
      </c>
      <c r="CZ429" s="899" t="s">
        <v>327</v>
      </c>
      <c r="DA429" s="899" t="s">
        <v>579</v>
      </c>
      <c r="DB429" s="899" t="s">
        <v>765</v>
      </c>
      <c r="DC429" s="899" cm="1">
        <f t="array" aca="1" ref="DC429" ca="1">_xlfn.IFNA(OFFSET($I$49,MATCH(CY429,$I$50:$I$63,0),MATCH(CZ429,TRANSPOSE($J$49:$W$49),0)),0)</f>
        <v>2.9560979095944254E-2</v>
      </c>
      <c r="DD429" s="899" cm="1">
        <f t="array" aca="1" ref="DD429" ca="1">_xlfn.IFNA(OFFSET($Y$49,MATCH($CZ429,$Y$50:$Y$63,0),MATCH($DA429,TRANSPOSE($Z$49:$AM$49),0)),0)</f>
        <v>0.32850000000000001</v>
      </c>
      <c r="DE429" s="899" cm="1">
        <f t="array" aca="1" ref="DE429" ca="1">_xlfn.IFNA(OFFSET($AO$49,MATCH($DA429,$AO$50:$AO$63,0),MATCH($DB429,TRANSPOSE($AP$49:$BC$49),0)),0)</f>
        <v>0.43140000000000001</v>
      </c>
      <c r="DF429" s="881">
        <f t="shared" ca="1" si="244"/>
        <v>4.1892311964838308E-3</v>
      </c>
      <c r="DG429" s="910">
        <f t="shared" ca="1" si="240"/>
        <v>0.98859556831386541</v>
      </c>
      <c r="DH429" s="881">
        <f t="shared" ca="1" si="245"/>
        <v>4.141455395486107E-3</v>
      </c>
      <c r="DI429" s="1460">
        <f t="shared" ca="1" si="252"/>
        <v>0.43071136113055514</v>
      </c>
      <c r="DJ429" s="909">
        <f>_xlfn.IFNA(INDEX('Resource use and costs'!$CQ$11:$CQ$53,MATCH($CZ429,'Resource use and costs'!$BA$11:$BA$53,0)),0)*_xlfn.IFNA(INDEX(DY$10:DY$23,MATCH($CZ429,$DX$10:$DX$23,0)),0)</f>
        <v>19241.032205</v>
      </c>
      <c r="DK429" s="909">
        <f>IF(dd_PartSA_2_lines = "Yes",0,_xlfn.IFNA(INDEX('Resource use and costs'!$CR$11:$CR$53,MATCH(DA429,'Resource use and costs'!$BA$11:$BA$53,0)),0)*_xlfn.IFNA(INDEX(EA$10:EA$23,MATCH($DA429,$DX$10:$DX$23,0)),0))</f>
        <v>26054.50921</v>
      </c>
      <c r="DL429" s="909">
        <f>IF(dd_PartSA_2_lines = "Yes",0,_xlfn.IFNA(INDEX('Resource use and costs'!$CS$11:$CS$53,MATCH(DB429,'Resource use and costs'!$BA$11:$BA$53,0)),0)*_xlfn.IFNA(INDEX(EC$10:EC$23,MATCH($DB429,$DX$10:$DX$23,0)),0))</f>
        <v>0</v>
      </c>
      <c r="DM429" s="909">
        <f t="shared" si="246"/>
        <v>45295.541415</v>
      </c>
      <c r="DN429" s="909">
        <f>SUM(_xlfn.IFNA(INDEX('Resource use and costs'!$DU$12:$DU$25,MATCH(CZ429,'Resource use and costs'!$DS$12:$DS$25,0)),0),_xlfn.IFNA(INDEX('Resource use and costs'!$DU$12:$DU$25,MATCH(DA429,'Resource use and costs'!$DS$12:$DS$25,0)),0),_xlfn.IFNA(INDEX('Resource use and costs'!$DU$12:$DU$25,MATCH(DB429,'Resource use and costs'!$DS$12:$DS$25,0)),0))</f>
        <v>197.25</v>
      </c>
      <c r="DO429" s="921">
        <f>_xlfn.IFNA(INDEX('Resource use and costs'!$DY$12:$DY$25,MATCH(CZ429,'Resource use and costs'!$DS$12:$DS$25,0)),0)*_xlfn.IFNA(INDEX(DY$10:DY$23,MATCH($CZ429,$DX$10:$DX$23,0)),0)</f>
        <v>240.71806000000001</v>
      </c>
      <c r="DP429" s="921">
        <f>IF(dd_PartSA_2_lines = "Yes",0,_xlfn.IFNA(INDEX('Resource use and costs'!$DZ$12:$DZ$25,MATCH(DA429,'Resource use and costs'!$DS$12:$DS$25,0)),0)*_xlfn.IFNA(INDEX(EA$10:EA$23,MATCH($DA429,$DX$10:$DX$23,0)),0))</f>
        <v>4108.3597166</v>
      </c>
      <c r="DQ429" s="921">
        <f>IF(dd_PartSA_2_lines = "Yes",0,_xlfn.IFNA(INDEX('Resource use and costs'!$EA$12:$EA$25,MATCH(DB429,'Resource use and costs'!$DS$12:$DS$25,0)),0)*_xlfn.IFNA(INDEX(EC$10:EC$23,MATCH($DB429,$DX$10:$DX$23,0)),0))</f>
        <v>0</v>
      </c>
      <c r="DR429" s="921">
        <f t="shared" si="247"/>
        <v>4546.3277766000001</v>
      </c>
      <c r="DS429" s="1004">
        <f ca="1">SUMIFS('Safety parameters'!$DM$6:$DM$18,'Safety parameters'!$DK$6:$DK$18,CZ429,'Safety parameters'!$DL$6:$DL$18,1)+IF(dd_PartSA_2_lines = "Yes",0,SUMIFS('Safety parameters'!$DM$6:$DM$18,'Safety parameters'!$DK$6:$DK$18,DA429,'Safety parameters'!$DL$6:$DL$18,2)+SUMIFS('Safety parameters'!$DM$6:$DM$18,'Safety parameters'!$DK$6:$DK$18,DB429,'Safety parameters'!$DL$6:$DL$18,2))</f>
        <v>161.1337489904144</v>
      </c>
      <c r="DT429" s="910">
        <f ca="1">SUMIFS('Safety parameters'!$DO$6:$DO$18,'Safety parameters'!$DK$6:$DK$18,CZ429,'Safety parameters'!$DL$6:$DL$18,1)+IF(dd_PartSA_2_lines = "Yes",0,SUMIFS('Safety parameters'!$DO$6:$DO$18,'Safety parameters'!$DK$6:$DK$18,DA429,'Safety parameters'!$DL$6:$DL$18,2)+SUMIFS('Safety parameters'!$DO$6:$DO$18,'Safety parameters'!$DK$6:$DK$18,DB429,'Safety parameters'!$DL$6:$DL$18,2))</f>
        <v>-1.5970841976847864E-3</v>
      </c>
    </row>
    <row r="430" spans="89:124" ht="15" x14ac:dyDescent="0.2">
      <c r="CK430" s="61" t="s">
        <v>31</v>
      </c>
      <c r="CL430" s="61">
        <v>3</v>
      </c>
      <c r="CM430" s="61" t="str">
        <v>cabozantinib_plus_nivolumab</v>
      </c>
      <c r="CN430" s="17">
        <v>1</v>
      </c>
      <c r="CO430" s="61" t="str" cm="1">
        <f t="array" ref="CO430">INDEX(List_comparators,CP416+2)</f>
        <v>placebo_BSC</v>
      </c>
      <c r="CP430" s="17">
        <v>999</v>
      </c>
      <c r="CQ430" s="601">
        <f t="shared" ca="1" si="248"/>
        <v>0</v>
      </c>
      <c r="CR430" s="601">
        <f t="shared" ca="1" si="249"/>
        <v>0</v>
      </c>
      <c r="CS430" s="671">
        <f t="shared" ca="1" si="253"/>
        <v>0</v>
      </c>
      <c r="CT430" s="671">
        <f t="shared" ca="1" si="250"/>
        <v>0</v>
      </c>
      <c r="CU430" s="1123">
        <f>MATCH(CZ437,'Resource use and costs'!$BA$11:$BA$53,0)</f>
        <v>30</v>
      </c>
      <c r="CV430" s="1223"/>
      <c r="CW430" s="1241">
        <f t="shared" si="241"/>
        <v>1</v>
      </c>
      <c r="CX430" s="899" t="s">
        <v>773</v>
      </c>
      <c r="CY430" s="899" t="s">
        <v>319</v>
      </c>
      <c r="CZ430" s="899" t="s">
        <v>327</v>
      </c>
      <c r="DA430" s="899" t="s">
        <v>579</v>
      </c>
      <c r="DB430" s="899" t="s">
        <v>119</v>
      </c>
      <c r="DC430" s="899" cm="1">
        <f t="array" aca="1" ref="DC430" ca="1">_xlfn.IFNA(OFFSET($I$49,MATCH(CY430,$I$50:$I$63,0),MATCH(CZ430,TRANSPOSE($J$49:$W$49),0)),0)</f>
        <v>2.9560979095944254E-2</v>
      </c>
      <c r="DD430" s="899" cm="1">
        <f t="array" aca="1" ref="DD430" ca="1">_xlfn.IFNA(OFFSET($Y$49,MATCH($CZ430,$Y$50:$Y$63,0),MATCH($DA430,TRANSPOSE($Z$49:$AM$49),0)),0)</f>
        <v>0.32850000000000001</v>
      </c>
      <c r="DE430" s="899">
        <f ca="1">1-DE429</f>
        <v>0.56859999999999999</v>
      </c>
      <c r="DF430" s="881">
        <f t="shared" ca="1" si="244"/>
        <v>5.5215504365338577E-3</v>
      </c>
      <c r="DG430" s="910">
        <f t="shared" ca="1" si="240"/>
        <v>0.98859556831386541</v>
      </c>
      <c r="DH430" s="881">
        <f t="shared" ca="1" si="245"/>
        <v>5.4585802917788608E-3</v>
      </c>
      <c r="DI430" s="1460">
        <f t="shared" ca="1" si="252"/>
        <v>0.56769235034500154</v>
      </c>
      <c r="DJ430" s="909">
        <f>_xlfn.IFNA(INDEX('Resource use and costs'!$CQ$11:$CQ$53,MATCH($CZ430,'Resource use and costs'!$BA$11:$BA$53,0)),0)*_xlfn.IFNA(INDEX(DY$10:DY$23,MATCH($CZ430,$DX$10:$DX$23,0)),0)</f>
        <v>19241.032205</v>
      </c>
      <c r="DK430" s="909">
        <f>IF(dd_PartSA_2_lines = "Yes",0,_xlfn.IFNA(INDEX('Resource use and costs'!$CR$11:$CR$53,MATCH(DA430,'Resource use and costs'!$BA$11:$BA$53,0)),0)*_xlfn.IFNA(INDEX(EA$10:EA$23,MATCH($DA430,$DX$10:$DX$23,0)),0))</f>
        <v>26054.50921</v>
      </c>
      <c r="DL430" s="909">
        <f>IF(dd_PartSA_2_lines = "Yes",0,_xlfn.IFNA(INDEX('Resource use and costs'!$CS$11:$CS$53,MATCH(DB430,'Resource use and costs'!$BA$11:$BA$53,0)),0)*_xlfn.IFNA(INDEX(EC$10:EC$23,MATCH($DB430,$DX$10:$DX$23,0)),0))</f>
        <v>2915.4763433333328</v>
      </c>
      <c r="DM430" s="909">
        <f t="shared" si="246"/>
        <v>48211.017758333335</v>
      </c>
      <c r="DN430" s="909">
        <f>SUM(_xlfn.IFNA(INDEX('Resource use and costs'!$DU$12:$DU$25,MATCH(CZ430,'Resource use and costs'!$DS$12:$DS$25,0)),0),_xlfn.IFNA(INDEX('Resource use and costs'!$DU$12:$DU$25,MATCH(DA430,'Resource use and costs'!$DS$12:$DS$25,0)),0),_xlfn.IFNA(INDEX('Resource use and costs'!$DU$12:$DU$25,MATCH(DB430,'Resource use and costs'!$DS$12:$DS$25,0)),0))</f>
        <v>394.5</v>
      </c>
      <c r="DO430" s="921">
        <f>_xlfn.IFNA(INDEX('Resource use and costs'!$DY$12:$DY$25,MATCH(CZ430,'Resource use and costs'!$DS$12:$DS$25,0)),0)*_xlfn.IFNA(INDEX(DY$10:DY$23,MATCH($CZ430,$DX$10:$DX$23,0)),0)</f>
        <v>240.71806000000001</v>
      </c>
      <c r="DP430" s="921">
        <f>IF(dd_PartSA_2_lines = "Yes",0,_xlfn.IFNA(INDEX('Resource use and costs'!$DZ$12:$DZ$25,MATCH(DA430,'Resource use and costs'!$DS$12:$DS$25,0)),0)*_xlfn.IFNA(INDEX(EA$10:EA$23,MATCH($DA430,$DX$10:$DX$23,0)),0))</f>
        <v>4108.3597166</v>
      </c>
      <c r="DQ430" s="921">
        <f>IF(dd_PartSA_2_lines = "Yes",0,_xlfn.IFNA(INDEX('Resource use and costs'!$EA$12:$EA$25,MATCH(DB430,'Resource use and costs'!$DS$12:$DS$25,0)),0)*_xlfn.IFNA(INDEX(EC$10:EC$23,MATCH($DB430,$DX$10:$DX$23,0)),0))</f>
        <v>256.11457142857142</v>
      </c>
      <c r="DR430" s="921">
        <f t="shared" si="247"/>
        <v>4999.6923480285714</v>
      </c>
      <c r="DS430" s="1004">
        <f ca="1">SUMIFS('Safety parameters'!$DM$6:$DM$18,'Safety parameters'!$DK$6:$DK$18,CZ430,'Safety parameters'!$DL$6:$DL$18,1)+IF(dd_PartSA_2_lines = "Yes",0,SUMIFS('Safety parameters'!$DM$6:$DM$18,'Safety parameters'!$DK$6:$DK$18,DA430,'Safety parameters'!$DL$6:$DL$18,2)+SUMIFS('Safety parameters'!$DM$6:$DM$18,'Safety parameters'!$DK$6:$DK$18,DB430,'Safety parameters'!$DL$6:$DL$18,2))</f>
        <v>494.00913236572927</v>
      </c>
      <c r="DT430" s="910">
        <f ca="1">SUMIFS('Safety parameters'!$DO$6:$DO$18,'Safety parameters'!$DK$6:$DK$18,CZ430,'Safety parameters'!$DL$6:$DL$18,1)+IF(dd_PartSA_2_lines = "Yes",0,SUMIFS('Safety parameters'!$DO$6:$DO$18,'Safety parameters'!$DK$6:$DK$18,DA430,'Safety parameters'!$DL$6:$DL$18,2)+SUMIFS('Safety parameters'!$DO$6:$DO$18,'Safety parameters'!$DK$6:$DK$18,DB430,'Safety parameters'!$DL$6:$DL$18,2))</f>
        <v>-4.2646577343225054E-3</v>
      </c>
    </row>
    <row r="431" spans="89:124" ht="15" x14ac:dyDescent="0.2">
      <c r="CK431" s="61" t="s">
        <v>31</v>
      </c>
      <c r="CL431" s="61">
        <v>3</v>
      </c>
      <c r="CM431" s="61" t="str">
        <v>nivolumab_plus_ipilimumab</v>
      </c>
      <c r="CN431" s="17">
        <v>2</v>
      </c>
      <c r="CO431" s="61" t="str" cm="1">
        <f t="array" ref="CO431">INDEX(List_comparators,CP417+2)</f>
        <v>placebo_BSC</v>
      </c>
      <c r="CP431" s="17">
        <v>999</v>
      </c>
      <c r="CQ431" s="601">
        <f t="shared" ca="1" si="248"/>
        <v>0</v>
      </c>
      <c r="CR431" s="601">
        <f t="shared" ca="1" si="249"/>
        <v>0</v>
      </c>
      <c r="CS431" s="671">
        <f t="shared" ca="1" si="253"/>
        <v>0</v>
      </c>
      <c r="CT431" s="671">
        <f t="shared" ca="1" si="250"/>
        <v>0</v>
      </c>
      <c r="CU431" s="1123">
        <f>MATCH(CZ438,'Resource use and costs'!$BA$11:$BA$53,0)</f>
        <v>30</v>
      </c>
      <c r="CV431" s="1223"/>
      <c r="CW431" s="1241">
        <f t="shared" si="241"/>
        <v>0</v>
      </c>
      <c r="CX431" s="899" t="s">
        <v>773</v>
      </c>
      <c r="CY431" s="899" t="s">
        <v>319</v>
      </c>
      <c r="CZ431" s="899" t="s">
        <v>765</v>
      </c>
      <c r="DA431" s="899"/>
      <c r="DB431" s="899"/>
      <c r="DC431" s="899" cm="1">
        <f t="array" aca="1" ref="DC431" ca="1">_xlfn.IFNA(OFFSET($I$49,MATCH(CY431,$I$50:$I$63,0),MATCH(CZ431,TRANSPOSE($J$49:$W$49),0)),0)</f>
        <v>0.3256</v>
      </c>
      <c r="DD431" s="899" cm="1">
        <f t="array" aca="1" ref="DD431" ca="1">_xlfn.IFNA(OFFSET($Y$49,MATCH($CZ431,$Y$50:$Y$63,0),MATCH($DA431,TRANSPOSE($Z$49:$AM$49),0)),0)</f>
        <v>0</v>
      </c>
      <c r="DE431" s="899" cm="1">
        <f t="array" aca="1" ref="DE431" ca="1">_xlfn.IFNA(OFFSET($AO$49,MATCH($DA431,$AO$50:$AO$63,0),MATCH($DB431,TRANSPOSE($AP$49:$BC$49),0)),0)</f>
        <v>0</v>
      </c>
      <c r="DF431" s="881">
        <f t="shared" ca="1" si="244"/>
        <v>0.3256</v>
      </c>
      <c r="DG431" s="910">
        <f t="shared" ca="1" si="240"/>
        <v>0.98859556831386541</v>
      </c>
      <c r="DH431" s="881">
        <f t="shared" ca="1" si="245"/>
        <v>0.3256</v>
      </c>
      <c r="DI431" s="1460">
        <f t="shared" ca="1" si="252"/>
        <v>33.862400000000001</v>
      </c>
      <c r="DJ431" s="909">
        <f>_xlfn.IFNA(INDEX('Resource use and costs'!$CQ$11:$CQ$53,MATCH($CZ431,'Resource use and costs'!$BA$11:$BA$53,0)),0)*_xlfn.IFNA(INDEX(DY$10:DY$23,MATCH($CZ431,$DX$10:$DX$23,0)),0)</f>
        <v>0</v>
      </c>
      <c r="DK431" s="909">
        <f>IF(dd_PartSA_2_lines = "Yes",0,_xlfn.IFNA(INDEX('Resource use and costs'!$CR$11:$CR$53,MATCH(DA431,'Resource use and costs'!$BA$11:$BA$53,0)),0)*_xlfn.IFNA(INDEX(EA$10:EA$23,MATCH($DA431,$DX$10:$DX$23,0)),0))</f>
        <v>0</v>
      </c>
      <c r="DL431" s="909">
        <f>IF(dd_PartSA_2_lines = "Yes",0,_xlfn.IFNA(INDEX('Resource use and costs'!$CS$11:$CS$53,MATCH(DB431,'Resource use and costs'!$BA$11:$BA$53,0)),0)*_xlfn.IFNA(INDEX(EC$10:EC$23,MATCH($DB431,$DX$10:$DX$23,0)),0))</f>
        <v>0</v>
      </c>
      <c r="DM431" s="909">
        <f t="shared" si="246"/>
        <v>0</v>
      </c>
      <c r="DN431" s="909">
        <f>SUM(_xlfn.IFNA(INDEX('Resource use and costs'!$DU$12:$DU$25,MATCH(CZ431,'Resource use and costs'!$DS$12:$DS$25,0)),0),_xlfn.IFNA(INDEX('Resource use and costs'!$DU$12:$DU$25,MATCH(DA431,'Resource use and costs'!$DS$12:$DS$25,0)),0),_xlfn.IFNA(INDEX('Resource use and costs'!$DU$12:$DU$25,MATCH(DB431,'Resource use and costs'!$DS$12:$DS$25,0)),0))</f>
        <v>0</v>
      </c>
      <c r="DO431" s="921">
        <f>_xlfn.IFNA(INDEX('Resource use and costs'!$DY$12:$DY$25,MATCH(CZ431,'Resource use and costs'!$DS$12:$DS$25,0)),0)*_xlfn.IFNA(INDEX(DY$10:DY$23,MATCH($CZ431,$DX$10:$DX$23,0)),0)</f>
        <v>0</v>
      </c>
      <c r="DP431" s="921">
        <f>IF(dd_PartSA_2_lines = "Yes",0,_xlfn.IFNA(INDEX('Resource use and costs'!$DZ$12:$DZ$25,MATCH(DA431,'Resource use and costs'!$DS$12:$DS$25,0)),0)*_xlfn.IFNA(INDEX(EA$10:EA$23,MATCH($DA431,$DX$10:$DX$23,0)),0))</f>
        <v>0</v>
      </c>
      <c r="DQ431" s="921">
        <f>IF(dd_PartSA_2_lines = "Yes",0,_xlfn.IFNA(INDEX('Resource use and costs'!$EA$12:$EA$25,MATCH(DB431,'Resource use and costs'!$DS$12:$DS$25,0)),0)*_xlfn.IFNA(INDEX(EC$10:EC$23,MATCH($DB431,$DX$10:$DX$23,0)),0))</f>
        <v>0</v>
      </c>
      <c r="DR431" s="921">
        <f t="shared" si="247"/>
        <v>0</v>
      </c>
      <c r="DS431" s="1004">
        <f>SUMIFS('Safety parameters'!$DM$6:$DM$18,'Safety parameters'!$DK$6:$DK$18,CZ431,'Safety parameters'!$DL$6:$DL$18,1)+IF(dd_PartSA_2_lines = "Yes",0,SUMIFS('Safety parameters'!$DM$6:$DM$18,'Safety parameters'!$DK$6:$DK$18,DA431,'Safety parameters'!$DL$6:$DL$18,2)+SUMIFS('Safety parameters'!$DM$6:$DM$18,'Safety parameters'!$DK$6:$DK$18,DB431,'Safety parameters'!$DL$6:$DL$18,2))</f>
        <v>0</v>
      </c>
      <c r="DT431" s="910">
        <f>SUMIFS('Safety parameters'!$DO$6:$DO$18,'Safety parameters'!$DK$6:$DK$18,CZ431,'Safety parameters'!$DL$6:$DL$18,1)+IF(dd_PartSA_2_lines = "Yes",0,SUMIFS('Safety parameters'!$DO$6:$DO$18,'Safety parameters'!$DK$6:$DK$18,DA431,'Safety parameters'!$DL$6:$DL$18,2)+SUMIFS('Safety parameters'!$DO$6:$DO$18,'Safety parameters'!$DK$6:$DK$18,DB431,'Safety parameters'!$DL$6:$DL$18,2))</f>
        <v>0</v>
      </c>
    </row>
    <row r="432" spans="89:124" ht="15" x14ac:dyDescent="0.2">
      <c r="CK432" s="61" t="s">
        <v>31</v>
      </c>
      <c r="CL432" s="61">
        <v>3</v>
      </c>
      <c r="CM432" s="61" t="str">
        <v>lenvatinib_plus_pembrolizumab</v>
      </c>
      <c r="CN432" s="17">
        <v>3</v>
      </c>
      <c r="CO432" s="61" t="str" cm="1">
        <f t="array" ref="CO432">INDEX(List_comparators,CP418+2)</f>
        <v>placebo_BSC</v>
      </c>
      <c r="CP432" s="17">
        <v>999</v>
      </c>
      <c r="CQ432" s="601">
        <f t="shared" ca="1" si="248"/>
        <v>0</v>
      </c>
      <c r="CR432" s="601">
        <f t="shared" ca="1" si="249"/>
        <v>0</v>
      </c>
      <c r="CS432" s="671">
        <f t="shared" ca="1" si="253"/>
        <v>0</v>
      </c>
      <c r="CT432" s="671">
        <f t="shared" ca="1" si="250"/>
        <v>0</v>
      </c>
      <c r="CU432" s="1123">
        <f>MATCH(CZ439,'Resource use and costs'!$BA$11:$BA$53,0)</f>
        <v>30</v>
      </c>
      <c r="CV432" s="1223"/>
      <c r="CW432" s="1241">
        <f t="shared" si="241"/>
        <v>1</v>
      </c>
      <c r="CX432" s="899" t="s">
        <v>773</v>
      </c>
      <c r="CY432" s="899" t="s">
        <v>319</v>
      </c>
      <c r="CZ432" s="899" t="s">
        <v>118</v>
      </c>
      <c r="DA432" s="899" t="s">
        <v>327</v>
      </c>
      <c r="DB432" s="899" t="s">
        <v>765</v>
      </c>
      <c r="DC432" s="899" cm="1">
        <f t="array" aca="1" ref="DC432" ca="1">_xlfn.IFNA(OFFSET($I$49,MATCH(CY432,$I$50:$I$63,0),MATCH(CZ432,TRANSPOSE($J$49:$W$49),0)),0)</f>
        <v>0.12902805074146864</v>
      </c>
      <c r="DD432" s="899" cm="1">
        <f t="array" aca="1" ref="DD432" ca="1">_xlfn.IFNA(OFFSET($Y$49,MATCH($CZ432,$Y$50:$Y$63,0),MATCH($DA432,TRANSPOSE($Z$49:$AM$49),0)),0)</f>
        <v>0.122</v>
      </c>
      <c r="DE432" s="899" cm="1">
        <f t="array" aca="1" ref="DE432" ca="1">_xlfn.IFNA(OFFSET($AO$49,MATCH($DA432,$AO$50:$AO$63,0),MATCH($DB432,TRANSPOSE($AP$49:$BC$49),0)),0)</f>
        <v>0.43140000000000001</v>
      </c>
      <c r="DF432" s="881">
        <f t="shared" ca="1" si="244"/>
        <v>6.7908495329640876E-3</v>
      </c>
      <c r="DG432" s="910">
        <f t="shared" ca="1" si="240"/>
        <v>0.98859556831386541</v>
      </c>
      <c r="DH432" s="881">
        <f t="shared" ca="1" si="245"/>
        <v>6.7134037533745795E-3</v>
      </c>
      <c r="DI432" s="1460">
        <f t="shared" ca="1" si="252"/>
        <v>0.69819399035095631</v>
      </c>
      <c r="DJ432" s="909">
        <f>_xlfn.IFNA(INDEX('Resource use and costs'!$CQ$11:$CQ$53,MATCH($CZ432,'Resource use and costs'!$BA$11:$BA$53,0)),0)*_xlfn.IFNA(INDEX(DY$10:DY$23,MATCH($CZ432,$DX$10:$DX$23,0)),0)</f>
        <v>45284.183573333321</v>
      </c>
      <c r="DK432" s="909">
        <f>IF(dd_PartSA_2_lines = "Yes",0,_xlfn.IFNA(INDEX('Resource use and costs'!$CR$11:$CR$53,MATCH(DA432,'Resource use and costs'!$BA$11:$BA$53,0)),0)*_xlfn.IFNA(INDEX(EA$10:EA$23,MATCH($DA432,$DX$10:$DX$23,0)),0))</f>
        <v>21421.066008214286</v>
      </c>
      <c r="DL432" s="909">
        <f>IF(dd_PartSA_2_lines = "Yes",0,_xlfn.IFNA(INDEX('Resource use and costs'!$CS$11:$CS$53,MATCH(DB432,'Resource use and costs'!$BA$11:$BA$53,0)),0)*_xlfn.IFNA(INDEX(EC$10:EC$23,MATCH($DB432,$DX$10:$DX$23,0)),0))</f>
        <v>0</v>
      </c>
      <c r="DM432" s="909">
        <f t="shared" si="246"/>
        <v>66705.2495815476</v>
      </c>
      <c r="DN432" s="909">
        <f>SUM(_xlfn.IFNA(INDEX('Resource use and costs'!$DU$12:$DU$25,MATCH(CZ432,'Resource use and costs'!$DS$12:$DS$25,0)),0),_xlfn.IFNA(INDEX('Resource use and costs'!$DU$12:$DU$25,MATCH(DA432,'Resource use and costs'!$DS$12:$DS$25,0)),0),_xlfn.IFNA(INDEX('Resource use and costs'!$DU$12:$DU$25,MATCH(DB432,'Resource use and costs'!$DS$12:$DS$25,0)),0))</f>
        <v>394.5</v>
      </c>
      <c r="DO432" s="921">
        <f>_xlfn.IFNA(INDEX('Resource use and costs'!$DY$12:$DY$25,MATCH(CZ432,'Resource use and costs'!$DS$12:$DS$25,0)),0)*_xlfn.IFNA(INDEX(DY$10:DY$23,MATCH($CZ432,$DX$10:$DX$23,0)),0)</f>
        <v>415.09348571428563</v>
      </c>
      <c r="DP432" s="921">
        <f>IF(dd_PartSA_2_lines = "Yes",0,_xlfn.IFNA(INDEX('Resource use and costs'!$DZ$12:$DZ$25,MATCH(DA432,'Resource use and costs'!$DS$12:$DS$25,0)),0)*_xlfn.IFNA(INDEX(EA$10:EA$23,MATCH($DA432,$DX$10:$DX$23,0)),0))</f>
        <v>267.99172714285714</v>
      </c>
      <c r="DQ432" s="921">
        <f>IF(dd_PartSA_2_lines = "Yes",0,_xlfn.IFNA(INDEX('Resource use and costs'!$EA$12:$EA$25,MATCH(DB432,'Resource use and costs'!$DS$12:$DS$25,0)),0)*_xlfn.IFNA(INDEX(EC$10:EC$23,MATCH($DB432,$DX$10:$DX$23,0)),0))</f>
        <v>0</v>
      </c>
      <c r="DR432" s="921">
        <f t="shared" si="247"/>
        <v>1077.5852128571428</v>
      </c>
      <c r="DS432" s="1004">
        <f ca="1">SUMIFS('Safety parameters'!$DM$6:$DM$18,'Safety parameters'!$DK$6:$DK$18,CZ432,'Safety parameters'!$DL$6:$DL$18,1)+IF(dd_PartSA_2_lines = "Yes",0,SUMIFS('Safety parameters'!$DM$6:$DM$18,'Safety parameters'!$DK$6:$DK$18,DA432,'Safety parameters'!$DL$6:$DL$18,2)+SUMIFS('Safety parameters'!$DM$6:$DM$18,'Safety parameters'!$DK$6:$DK$18,DB432,'Safety parameters'!$DL$6:$DL$18,2))</f>
        <v>2366.0578362496171</v>
      </c>
      <c r="DT432" s="910">
        <f ca="1">SUMIFS('Safety parameters'!$DO$6:$DO$18,'Safety parameters'!$DK$6:$DK$18,CZ432,'Safety parameters'!$DL$6:$DL$18,1)+IF(dd_PartSA_2_lines = "Yes",0,SUMIFS('Safety parameters'!$DO$6:$DO$18,'Safety parameters'!$DK$6:$DK$18,DA432,'Safety parameters'!$DL$6:$DL$18,2)+SUMIFS('Safety parameters'!$DO$6:$DO$18,'Safety parameters'!$DK$6:$DK$18,DB432,'Safety parameters'!$DL$6:$DL$18,2))</f>
        <v>-2.125891351595622E-2</v>
      </c>
    </row>
    <row r="433" spans="89:124" ht="15" x14ac:dyDescent="0.2">
      <c r="CK433" s="61" t="s">
        <v>31</v>
      </c>
      <c r="CL433" s="61">
        <v>3</v>
      </c>
      <c r="CM433" s="61" t="str">
        <v>avelumab_plus_axitinib</v>
      </c>
      <c r="CN433" s="17">
        <v>4</v>
      </c>
      <c r="CO433" s="61" t="str" cm="1">
        <f t="array" ref="CO433">INDEX(List_comparators,CP419+2)</f>
        <v>placebo_BSC</v>
      </c>
      <c r="CP433" s="17">
        <v>999</v>
      </c>
      <c r="CQ433" s="601">
        <f t="shared" ca="1" si="248"/>
        <v>0</v>
      </c>
      <c r="CR433" s="601">
        <f t="shared" ca="1" si="249"/>
        <v>0</v>
      </c>
      <c r="CS433" s="671">
        <f t="shared" ca="1" si="253"/>
        <v>0</v>
      </c>
      <c r="CT433" s="671">
        <f t="shared" ca="1" si="250"/>
        <v>0</v>
      </c>
      <c r="CU433" s="1123">
        <f>MATCH(CZ440,'Resource use and costs'!$BA$11:$BA$53,0)</f>
        <v>37</v>
      </c>
      <c r="CV433" s="1223"/>
      <c r="CW433" s="1241">
        <f t="shared" si="241"/>
        <v>1</v>
      </c>
      <c r="CX433" s="899" t="s">
        <v>773</v>
      </c>
      <c r="CY433" s="899" t="s">
        <v>319</v>
      </c>
      <c r="CZ433" s="899" t="s">
        <v>118</v>
      </c>
      <c r="DA433" s="899" t="s">
        <v>327</v>
      </c>
      <c r="DB433" s="899" t="s">
        <v>119</v>
      </c>
      <c r="DC433" s="899" cm="1">
        <f t="array" aca="1" ref="DC433" ca="1">_xlfn.IFNA(OFFSET($I$49,MATCH(CY433,$I$50:$I$63,0),MATCH(CZ433,TRANSPOSE($J$49:$W$49),0)),0)</f>
        <v>0.12902805074146864</v>
      </c>
      <c r="DD433" s="899" cm="1">
        <f t="array" aca="1" ref="DD433" ca="1">_xlfn.IFNA(OFFSET($Y$49,MATCH($CZ433,$Y$50:$Y$63,0),MATCH($DA433,TRANSPOSE($Z$49:$AM$49),0)),0)</f>
        <v>0.122</v>
      </c>
      <c r="DE433" s="899" cm="1">
        <f t="array" aca="1" ref="DE433" ca="1">_xlfn.IFNA(OFFSET($AO$49,MATCH($DA433,$AO$50:$AO$63,0),MATCH($DB433,TRANSPOSE($AP$49:$BC$49),0)),0)</f>
        <v>0.56859999999999999</v>
      </c>
      <c r="DF433" s="881">
        <f t="shared" ca="1" si="244"/>
        <v>8.9505726574950865E-3</v>
      </c>
      <c r="DG433" s="910">
        <f t="shared" ca="1" si="240"/>
        <v>0.98859556831386541</v>
      </c>
      <c r="DH433" s="881">
        <f t="shared" ca="1" si="245"/>
        <v>8.8484964630709002E-3</v>
      </c>
      <c r="DI433" s="1460">
        <f t="shared" ca="1" si="252"/>
        <v>0.92024363215937366</v>
      </c>
      <c r="DJ433" s="909">
        <f>_xlfn.IFNA(INDEX('Resource use and costs'!$CQ$11:$CQ$53,MATCH($CZ433,'Resource use and costs'!$BA$11:$BA$53,0)),0)*_xlfn.IFNA(INDEX(DY$10:DY$23,MATCH($CZ433,$DX$10:$DX$23,0)),0)</f>
        <v>45284.183573333321</v>
      </c>
      <c r="DK433" s="909">
        <f>IF(dd_PartSA_2_lines = "Yes",0,_xlfn.IFNA(INDEX('Resource use and costs'!$CR$11:$CR$53,MATCH(DA433,'Resource use and costs'!$BA$11:$BA$53,0)),0)*_xlfn.IFNA(INDEX(EA$10:EA$23,MATCH($DA433,$DX$10:$DX$23,0)),0))</f>
        <v>21421.066008214286</v>
      </c>
      <c r="DL433" s="909">
        <f>IF(dd_PartSA_2_lines = "Yes",0,_xlfn.IFNA(INDEX('Resource use and costs'!$CS$11:$CS$53,MATCH(DB433,'Resource use and costs'!$BA$11:$BA$53,0)),0)*_xlfn.IFNA(INDEX(EC$10:EC$23,MATCH($DB433,$DX$10:$DX$23,0)),0))</f>
        <v>2915.4763433333328</v>
      </c>
      <c r="DM433" s="909">
        <f t="shared" si="246"/>
        <v>69620.725924880928</v>
      </c>
      <c r="DN433" s="909">
        <f>SUM(_xlfn.IFNA(INDEX('Resource use and costs'!$DU$12:$DU$25,MATCH(CZ433,'Resource use and costs'!$DS$12:$DS$25,0)),0),_xlfn.IFNA(INDEX('Resource use and costs'!$DU$12:$DU$25,MATCH(DA433,'Resource use and costs'!$DS$12:$DS$25,0)),0),_xlfn.IFNA(INDEX('Resource use and costs'!$DU$12:$DU$25,MATCH(DB433,'Resource use and costs'!$DS$12:$DS$25,0)),0))</f>
        <v>591.75</v>
      </c>
      <c r="DO433" s="921">
        <f>_xlfn.IFNA(INDEX('Resource use and costs'!$DY$12:$DY$25,MATCH(CZ433,'Resource use and costs'!$DS$12:$DS$25,0)),0)*_xlfn.IFNA(INDEX(DY$10:DY$23,MATCH($CZ433,$DX$10:$DX$23,0)),0)</f>
        <v>415.09348571428563</v>
      </c>
      <c r="DP433" s="921">
        <f>IF(dd_PartSA_2_lines = "Yes",0,_xlfn.IFNA(INDEX('Resource use and costs'!$DZ$12:$DZ$25,MATCH(DA433,'Resource use and costs'!$DS$12:$DS$25,0)),0)*_xlfn.IFNA(INDEX(EA$10:EA$23,MATCH($DA433,$DX$10:$DX$23,0)),0))</f>
        <v>267.99172714285714</v>
      </c>
      <c r="DQ433" s="921">
        <f>IF(dd_PartSA_2_lines = "Yes",0,_xlfn.IFNA(INDEX('Resource use and costs'!$EA$12:$EA$25,MATCH(DB433,'Resource use and costs'!$DS$12:$DS$25,0)),0)*_xlfn.IFNA(INDEX(EC$10:EC$23,MATCH($DB433,$DX$10:$DX$23,0)),0))</f>
        <v>256.11457142857142</v>
      </c>
      <c r="DR433" s="921">
        <f t="shared" si="247"/>
        <v>1530.9497842857143</v>
      </c>
      <c r="DS433" s="1004">
        <f ca="1">SUMIFS('Safety parameters'!$DM$6:$DM$18,'Safety parameters'!$DK$6:$DK$18,CZ433,'Safety parameters'!$DL$6:$DL$18,1)+IF(dd_PartSA_2_lines = "Yes",0,SUMIFS('Safety parameters'!$DM$6:$DM$18,'Safety parameters'!$DK$6:$DK$18,DA433,'Safety parameters'!$DL$6:$DL$18,2)+SUMIFS('Safety parameters'!$DM$6:$DM$18,'Safety parameters'!$DK$6:$DK$18,DB433,'Safety parameters'!$DL$6:$DL$18,2))</f>
        <v>2698.9332196249325</v>
      </c>
      <c r="DT433" s="910">
        <f ca="1">SUMIFS('Safety parameters'!$DO$6:$DO$18,'Safety parameters'!$DK$6:$DK$18,CZ433,'Safety parameters'!$DL$6:$DL$18,1)+IF(dd_PartSA_2_lines = "Yes",0,SUMIFS('Safety parameters'!$DO$6:$DO$18,'Safety parameters'!$DK$6:$DK$18,DA433,'Safety parameters'!$DL$6:$DL$18,2)+SUMIFS('Safety parameters'!$DO$6:$DO$18,'Safety parameters'!$DK$6:$DK$18,DB433,'Safety parameters'!$DL$6:$DL$18,2))</f>
        <v>-2.3926487052593939E-2</v>
      </c>
    </row>
    <row r="434" spans="89:124" ht="15" x14ac:dyDescent="0.2">
      <c r="CK434" s="61" t="s">
        <v>31</v>
      </c>
      <c r="CL434" s="61">
        <v>3</v>
      </c>
      <c r="CM434" s="61" t="str">
        <v>pazopanib</v>
      </c>
      <c r="CN434" s="17">
        <v>5</v>
      </c>
      <c r="CO434" s="61" t="str" cm="1">
        <f t="array" ref="CO434">INDEX(List_comparators,CP420+2)</f>
        <v>placebo_BSC</v>
      </c>
      <c r="CP434" s="17">
        <v>999</v>
      </c>
      <c r="CQ434" s="601">
        <f t="shared" ca="1" si="248"/>
        <v>0</v>
      </c>
      <c r="CR434" s="601">
        <f t="shared" ca="1" si="249"/>
        <v>0</v>
      </c>
      <c r="CS434" s="671">
        <f t="shared" ca="1" si="253"/>
        <v>0</v>
      </c>
      <c r="CT434" s="671">
        <f t="shared" ca="1" si="250"/>
        <v>0</v>
      </c>
      <c r="CU434" s="1123">
        <f>MATCH(CZ441,'Resource use and costs'!$BA$11:$BA$53,0)</f>
        <v>37</v>
      </c>
      <c r="CV434" s="1223"/>
      <c r="CW434" s="1241">
        <f t="shared" si="241"/>
        <v>1</v>
      </c>
      <c r="CX434" s="899" t="s">
        <v>773</v>
      </c>
      <c r="CY434" s="899" t="s">
        <v>319</v>
      </c>
      <c r="CZ434" s="899" t="s">
        <v>118</v>
      </c>
      <c r="DA434" s="899" t="s">
        <v>765</v>
      </c>
      <c r="DB434" s="899"/>
      <c r="DC434" s="899" cm="1">
        <f t="array" aca="1" ref="DC434" ca="1">_xlfn.IFNA(OFFSET($I$49,MATCH(CY434,$I$50:$I$63,0),MATCH(CZ434,TRANSPOSE($J$49:$W$49),0)),0)</f>
        <v>0.12902805074146864</v>
      </c>
      <c r="DD434" s="899" cm="1">
        <f t="array" aca="1" ref="DD434" ca="1">_xlfn.IFNA(OFFSET($Y$49,MATCH($CZ434,$Y$50:$Y$63,0),MATCH($DA434,TRANSPOSE($Z$49:$AM$49),0)),0)</f>
        <v>0.34300000000000003</v>
      </c>
      <c r="DE434" s="899" cm="1">
        <f t="array" aca="1" ref="DE434" ca="1">_xlfn.IFNA(OFFSET($AO$49,MATCH($DA434,$AO$50:$AO$63,0),MATCH($DB434,TRANSPOSE($AP$49:$BC$49),0)),0)</f>
        <v>0</v>
      </c>
      <c r="DF434" s="881">
        <f t="shared" ca="1" si="244"/>
        <v>4.4256621404323751E-2</v>
      </c>
      <c r="DG434" s="910">
        <f t="shared" ca="1" si="240"/>
        <v>0.98859556831386541</v>
      </c>
      <c r="DH434" s="881">
        <f t="shared" ca="1" si="245"/>
        <v>4.3751899788859017E-2</v>
      </c>
      <c r="DI434" s="1460">
        <f t="shared" ca="1" si="252"/>
        <v>4.5501975780413382</v>
      </c>
      <c r="DJ434" s="909">
        <f>_xlfn.IFNA(INDEX('Resource use and costs'!$CQ$11:$CQ$53,MATCH($CZ434,'Resource use and costs'!$BA$11:$BA$53,0)),0)*_xlfn.IFNA(INDEX(DY$10:DY$23,MATCH($CZ434,$DX$10:$DX$23,0)),0)</f>
        <v>45284.183573333321</v>
      </c>
      <c r="DK434" s="909">
        <f>IF(dd_PartSA_2_lines = "Yes",0,_xlfn.IFNA(INDEX('Resource use and costs'!$CR$11:$CR$53,MATCH(DA434,'Resource use and costs'!$BA$11:$BA$53,0)),0)*_xlfn.IFNA(INDEX(EA$10:EA$23,MATCH($DA434,$DX$10:$DX$23,0)),0))</f>
        <v>0</v>
      </c>
      <c r="DL434" s="909">
        <f>IF(dd_PartSA_2_lines = "Yes",0,_xlfn.IFNA(INDEX('Resource use and costs'!$CS$11:$CS$53,MATCH(DB434,'Resource use and costs'!$BA$11:$BA$53,0)),0)*_xlfn.IFNA(INDEX(EC$10:EC$23,MATCH($DB434,$DX$10:$DX$23,0)),0))</f>
        <v>0</v>
      </c>
      <c r="DM434" s="909">
        <f t="shared" si="246"/>
        <v>45284.183573333321</v>
      </c>
      <c r="DN434" s="909">
        <f>SUM(_xlfn.IFNA(INDEX('Resource use and costs'!$DU$12:$DU$25,MATCH(CZ434,'Resource use and costs'!$DS$12:$DS$25,0)),0),_xlfn.IFNA(INDEX('Resource use and costs'!$DU$12:$DU$25,MATCH(DA434,'Resource use and costs'!$DS$12:$DS$25,0)),0),_xlfn.IFNA(INDEX('Resource use and costs'!$DU$12:$DU$25,MATCH(DB434,'Resource use and costs'!$DS$12:$DS$25,0)),0))</f>
        <v>197.25</v>
      </c>
      <c r="DO434" s="921">
        <f>_xlfn.IFNA(INDEX('Resource use and costs'!$DY$12:$DY$25,MATCH(CZ434,'Resource use and costs'!$DS$12:$DS$25,0)),0)*_xlfn.IFNA(INDEX(DY$10:DY$23,MATCH($CZ434,$DX$10:$DX$23,0)),0)</f>
        <v>415.09348571428563</v>
      </c>
      <c r="DP434" s="921">
        <f>IF(dd_PartSA_2_lines = "Yes",0,_xlfn.IFNA(INDEX('Resource use and costs'!$DZ$12:$DZ$25,MATCH(DA434,'Resource use and costs'!$DS$12:$DS$25,0)),0)*_xlfn.IFNA(INDEX(EA$10:EA$23,MATCH($DA434,$DX$10:$DX$23,0)),0))</f>
        <v>0</v>
      </c>
      <c r="DQ434" s="921">
        <f>IF(dd_PartSA_2_lines = "Yes",0,_xlfn.IFNA(INDEX('Resource use and costs'!$EA$12:$EA$25,MATCH(DB434,'Resource use and costs'!$DS$12:$DS$25,0)),0)*_xlfn.IFNA(INDEX(EC$10:EC$23,MATCH($DB434,$DX$10:$DX$23,0)),0))</f>
        <v>0</v>
      </c>
      <c r="DR434" s="921">
        <f t="shared" si="247"/>
        <v>612.34348571428563</v>
      </c>
      <c r="DS434" s="1004">
        <f ca="1">SUMIFS('Safety parameters'!$DM$6:$DM$18,'Safety parameters'!$DK$6:$DK$18,CZ434,'Safety parameters'!$DL$6:$DL$18,1)+IF(dd_PartSA_2_lines = "Yes",0,SUMIFS('Safety parameters'!$DM$6:$DM$18,'Safety parameters'!$DK$6:$DK$18,DA434,'Safety parameters'!$DL$6:$DL$18,2)+SUMIFS('Safety parameters'!$DM$6:$DM$18,'Safety parameters'!$DK$6:$DK$18,DB434,'Safety parameters'!$DL$6:$DL$18,2))</f>
        <v>731.82916268415761</v>
      </c>
      <c r="DT434" s="910">
        <f ca="1">SUMIFS('Safety parameters'!$DO$6:$DO$18,'Safety parameters'!$DK$6:$DK$18,CZ434,'Safety parameters'!$DL$6:$DL$18,1)+IF(dd_PartSA_2_lines = "Yes",0,SUMIFS('Safety parameters'!$DO$6:$DO$18,'Safety parameters'!$DK$6:$DK$18,DA434,'Safety parameters'!$DL$6:$DL$18,2)+SUMIFS('Safety parameters'!$DO$6:$DO$18,'Safety parameters'!$DK$6:$DK$18,DB434,'Safety parameters'!$DL$6:$DL$18,2))</f>
        <v>-6.5169895084747891E-3</v>
      </c>
    </row>
    <row r="435" spans="89:124" ht="15" x14ac:dyDescent="0.2">
      <c r="CK435" s="61" t="s">
        <v>31</v>
      </c>
      <c r="CL435" s="61">
        <v>3</v>
      </c>
      <c r="CM435" s="61" t="str">
        <v>tivozanib</v>
      </c>
      <c r="CN435" s="17">
        <v>6</v>
      </c>
      <c r="CO435" s="61" t="str" cm="1">
        <f t="array" ref="CO435">INDEX(List_comparators,CP421+2)</f>
        <v>placebo_BSC</v>
      </c>
      <c r="CP435" s="17">
        <v>999</v>
      </c>
      <c r="CQ435" s="601">
        <f t="shared" ca="1" si="248"/>
        <v>0</v>
      </c>
      <c r="CR435" s="601">
        <f t="shared" ca="1" si="249"/>
        <v>0</v>
      </c>
      <c r="CS435" s="671">
        <f t="shared" ca="1" si="253"/>
        <v>0</v>
      </c>
      <c r="CT435" s="671">
        <f t="shared" ca="1" si="250"/>
        <v>0</v>
      </c>
      <c r="CU435" s="1123">
        <f>MATCH(CZ442,'Resource use and costs'!$BA$11:$BA$53,0)</f>
        <v>37</v>
      </c>
      <c r="CV435" s="1223"/>
      <c r="CW435" s="1241">
        <f t="shared" si="241"/>
        <v>1</v>
      </c>
      <c r="CX435" s="899" t="s">
        <v>773</v>
      </c>
      <c r="CY435" s="899" t="s">
        <v>319</v>
      </c>
      <c r="CZ435" s="899" t="s">
        <v>118</v>
      </c>
      <c r="DA435" s="899" t="s">
        <v>119</v>
      </c>
      <c r="DB435" s="899" t="s">
        <v>327</v>
      </c>
      <c r="DC435" s="899" cm="1">
        <f t="array" aca="1" ref="DC435" ca="1">_xlfn.IFNA(OFFSET($I$49,MATCH(CY435,$I$50:$I$63,0),MATCH(CZ435,TRANSPOSE($J$49:$W$49),0)),0)</f>
        <v>0.12902805074146864</v>
      </c>
      <c r="DD435" s="899" cm="1">
        <f t="array" aca="1" ref="DD435" ca="1">_xlfn.IFNA(OFFSET($Y$49,MATCH($CZ435,$Y$50:$Y$63,0),MATCH($DA435,TRANSPOSE($Z$49:$AM$49),0)),0)</f>
        <v>6.5699999999999995E-2</v>
      </c>
      <c r="DE435" s="899" cm="1">
        <f t="array" aca="1" ref="DE435" ca="1">_xlfn.IFNA(OFFSET($AO$49,MATCH($DA435,$AO$50:$AO$63,0),MATCH($DB435,TRANSPOSE($AP$49:$BC$49),0)),0)</f>
        <v>0</v>
      </c>
      <c r="DF435" s="881">
        <f t="shared" ca="1" si="244"/>
        <v>0</v>
      </c>
      <c r="DG435" s="910">
        <f t="shared" ca="1" si="240"/>
        <v>0.98859556831386541</v>
      </c>
      <c r="DH435" s="881">
        <f t="shared" ca="1" si="245"/>
        <v>0</v>
      </c>
      <c r="DI435" s="1460">
        <f t="shared" ca="1" si="252"/>
        <v>0</v>
      </c>
      <c r="DJ435" s="909">
        <f>_xlfn.IFNA(INDEX('Resource use and costs'!$CQ$11:$CQ$53,MATCH($CZ435,'Resource use and costs'!$BA$11:$BA$53,0)),0)*_xlfn.IFNA(INDEX(DY$10:DY$23,MATCH($CZ435,$DX$10:$DX$23,0)),0)</f>
        <v>45284.183573333321</v>
      </c>
      <c r="DK435" s="909">
        <f>IF(dd_PartSA_2_lines = "Yes",0,_xlfn.IFNA(INDEX('Resource use and costs'!$CR$11:$CR$53,MATCH(DA435,'Resource use and costs'!$BA$11:$BA$53,0)),0)*_xlfn.IFNA(INDEX(EA$10:EA$23,MATCH($DA435,$DX$10:$DX$23,0)),0))</f>
        <v>848.17532499999982</v>
      </c>
      <c r="DL435" s="909">
        <f>IF(dd_PartSA_2_lines = "Yes",0,_xlfn.IFNA(INDEX('Resource use and costs'!$CS$11:$CS$53,MATCH(DB435,'Resource use and costs'!$BA$11:$BA$53,0)),0)*_xlfn.IFNA(INDEX(EC$10:EC$23,MATCH($DB435,$DX$10:$DX$23,0)),0))</f>
        <v>18438.751749999999</v>
      </c>
      <c r="DM435" s="909">
        <f t="shared" si="246"/>
        <v>64571.110648333313</v>
      </c>
      <c r="DN435" s="909">
        <f>SUM(_xlfn.IFNA(INDEX('Resource use and costs'!$DU$12:$DU$25,MATCH(CZ435,'Resource use and costs'!$DS$12:$DS$25,0)),0),_xlfn.IFNA(INDEX('Resource use and costs'!$DU$12:$DU$25,MATCH(DA435,'Resource use and costs'!$DS$12:$DS$25,0)),0),_xlfn.IFNA(INDEX('Resource use and costs'!$DU$12:$DU$25,MATCH(DB435,'Resource use and costs'!$DS$12:$DS$25,0)),0))</f>
        <v>591.75</v>
      </c>
      <c r="DO435" s="921">
        <f>_xlfn.IFNA(INDEX('Resource use and costs'!$DY$12:$DY$25,MATCH(CZ435,'Resource use and costs'!$DS$12:$DS$25,0)),0)*_xlfn.IFNA(INDEX(DY$10:DY$23,MATCH($CZ435,$DX$10:$DX$23,0)),0)</f>
        <v>415.09348571428563</v>
      </c>
      <c r="DP435" s="921">
        <f>IF(dd_PartSA_2_lines = "Yes",0,_xlfn.IFNA(INDEX('Resource use and costs'!$DZ$12:$DZ$25,MATCH(DA435,'Resource use and costs'!$DS$12:$DS$25,0)),0)*_xlfn.IFNA(INDEX(EA$10:EA$23,MATCH($DA435,$DX$10:$DX$23,0)),0))</f>
        <v>74.50928571428571</v>
      </c>
      <c r="DQ435" s="921">
        <f>IF(dd_PartSA_2_lines = "Yes",0,_xlfn.IFNA(INDEX('Resource use and costs'!$EA$12:$EA$25,MATCH(DB435,'Resource use and costs'!$DS$12:$DS$25,0)),0)*_xlfn.IFNA(INDEX(EC$10:EC$23,MATCH($DB435,$DX$10:$DX$23,0)),0))</f>
        <v>230.68099999999998</v>
      </c>
      <c r="DR435" s="921">
        <f t="shared" si="247"/>
        <v>1312.0337714285713</v>
      </c>
      <c r="DS435" s="1004">
        <f ca="1">SUMIFS('Safety parameters'!$DM$6:$DM$18,'Safety parameters'!$DK$6:$DK$18,CZ435,'Safety parameters'!$DL$6:$DL$18,1)+IF(dd_PartSA_2_lines = "Yes",0,SUMIFS('Safety parameters'!$DM$6:$DM$18,'Safety parameters'!$DK$6:$DK$18,DA435,'Safety parameters'!$DL$6:$DL$18,2)+SUMIFS('Safety parameters'!$DM$6:$DM$18,'Safety parameters'!$DK$6:$DK$18,DB435,'Safety parameters'!$DL$6:$DL$18,2))</f>
        <v>2698.9332196249325</v>
      </c>
      <c r="DT435" s="910">
        <f ca="1">SUMIFS('Safety parameters'!$DO$6:$DO$18,'Safety parameters'!$DK$6:$DK$18,CZ435,'Safety parameters'!$DL$6:$DL$18,1)+IF(dd_PartSA_2_lines = "Yes",0,SUMIFS('Safety parameters'!$DO$6:$DO$18,'Safety parameters'!$DK$6:$DK$18,DA435,'Safety parameters'!$DL$6:$DL$18,2)+SUMIFS('Safety parameters'!$DO$6:$DO$18,'Safety parameters'!$DK$6:$DK$18,DB435,'Safety parameters'!$DL$6:$DL$18,2))</f>
        <v>-2.3926487052593939E-2</v>
      </c>
    </row>
    <row r="436" spans="89:124" ht="15" x14ac:dyDescent="0.2">
      <c r="CK436" s="61" t="s">
        <v>31</v>
      </c>
      <c r="CL436" s="61">
        <v>3</v>
      </c>
      <c r="CM436" s="61" t="str">
        <v>sunitinib</v>
      </c>
      <c r="CN436" s="17">
        <v>7</v>
      </c>
      <c r="CO436" s="61" t="str" cm="1">
        <f t="array" ref="CO436">INDEX(List_comparators,CP422+2)</f>
        <v>placebo_BSC</v>
      </c>
      <c r="CP436" s="17">
        <v>999</v>
      </c>
      <c r="CQ436" s="601">
        <f t="shared" ca="1" si="248"/>
        <v>0</v>
      </c>
      <c r="CR436" s="601">
        <f t="shared" ca="1" si="249"/>
        <v>0</v>
      </c>
      <c r="CS436" s="671">
        <f t="shared" ca="1" si="253"/>
        <v>0</v>
      </c>
      <c r="CT436" s="671">
        <f t="shared" ca="1" si="250"/>
        <v>0</v>
      </c>
      <c r="CU436" s="1123">
        <f>MATCH(CZ443,'Resource use and costs'!$BA$11:$BA$53,0)</f>
        <v>37</v>
      </c>
      <c r="CV436" s="1223"/>
      <c r="CW436" s="1241">
        <f t="shared" si="241"/>
        <v>1</v>
      </c>
      <c r="CX436" s="899" t="s">
        <v>773</v>
      </c>
      <c r="CY436" s="899" t="s">
        <v>319</v>
      </c>
      <c r="CZ436" s="899" t="s">
        <v>118</v>
      </c>
      <c r="DA436" s="899" t="s">
        <v>119</v>
      </c>
      <c r="DB436" s="899" t="s">
        <v>765</v>
      </c>
      <c r="DC436" s="899" cm="1">
        <f t="array" aca="1" ref="DC436" ca="1">_xlfn.IFNA(OFFSET($I$49,MATCH(CY436,$I$50:$I$63,0),MATCH(CZ436,TRANSPOSE($J$49:$W$49),0)),0)</f>
        <v>0.12902805074146864</v>
      </c>
      <c r="DD436" s="899" cm="1">
        <f t="array" aca="1" ref="DD436" ca="1">_xlfn.IFNA(OFFSET($Y$49,MATCH($CZ436,$Y$50:$Y$63,0),MATCH($DA436,TRANSPOSE($Z$49:$AM$49),0)),0)</f>
        <v>6.5699999999999995E-2</v>
      </c>
      <c r="DE436" s="899" cm="1">
        <f t="array" aca="1" ref="DE436" ca="1">_xlfn.IFNA(OFFSET($AO$49,MATCH($DA436,$AO$50:$AO$63,0),MATCH($DB436,TRANSPOSE($AP$49:$BC$49),0)),0)</f>
        <v>1</v>
      </c>
      <c r="DF436" s="881">
        <f t="shared" ca="1" si="244"/>
        <v>8.4771429337144894E-3</v>
      </c>
      <c r="DG436" s="910">
        <f t="shared" ca="1" si="240"/>
        <v>0.98859556831386541</v>
      </c>
      <c r="DH436" s="881">
        <f t="shared" ca="1" si="245"/>
        <v>8.3804659362333445E-3</v>
      </c>
      <c r="DI436" s="1460">
        <f t="shared" ca="1" si="252"/>
        <v>0.87156845736826782</v>
      </c>
      <c r="DJ436" s="909">
        <f>_xlfn.IFNA(INDEX('Resource use and costs'!$CQ$11:$CQ$53,MATCH($CZ436,'Resource use and costs'!$BA$11:$BA$53,0)),0)*_xlfn.IFNA(INDEX(DY$10:DY$23,MATCH($CZ436,$DX$10:$DX$23,0)),0)</f>
        <v>45284.183573333321</v>
      </c>
      <c r="DK436" s="909">
        <f>IF(dd_PartSA_2_lines = "Yes",0,_xlfn.IFNA(INDEX('Resource use and costs'!$CR$11:$CR$53,MATCH(DA436,'Resource use and costs'!$BA$11:$BA$53,0)),0)*_xlfn.IFNA(INDEX(EA$10:EA$23,MATCH($DA436,$DX$10:$DX$23,0)),0))</f>
        <v>848.17532499999982</v>
      </c>
      <c r="DL436" s="909">
        <f>IF(dd_PartSA_2_lines = "Yes",0,_xlfn.IFNA(INDEX('Resource use and costs'!$CS$11:$CS$53,MATCH(DB436,'Resource use and costs'!$BA$11:$BA$53,0)),0)*_xlfn.IFNA(INDEX(EC$10:EC$23,MATCH($DB436,$DX$10:$DX$23,0)),0))</f>
        <v>0</v>
      </c>
      <c r="DM436" s="909">
        <f t="shared" si="246"/>
        <v>46132.358898333317</v>
      </c>
      <c r="DN436" s="909">
        <f>SUM(_xlfn.IFNA(INDEX('Resource use and costs'!$DU$12:$DU$25,MATCH(CZ436,'Resource use and costs'!$DS$12:$DS$25,0)),0),_xlfn.IFNA(INDEX('Resource use and costs'!$DU$12:$DU$25,MATCH(DA436,'Resource use and costs'!$DS$12:$DS$25,0)),0),_xlfn.IFNA(INDEX('Resource use and costs'!$DU$12:$DU$25,MATCH(DB436,'Resource use and costs'!$DS$12:$DS$25,0)),0))</f>
        <v>394.5</v>
      </c>
      <c r="DO436" s="921">
        <f>_xlfn.IFNA(INDEX('Resource use and costs'!$DY$12:$DY$25,MATCH(CZ436,'Resource use and costs'!$DS$12:$DS$25,0)),0)*_xlfn.IFNA(INDEX(DY$10:DY$23,MATCH($CZ436,$DX$10:$DX$23,0)),0)</f>
        <v>415.09348571428563</v>
      </c>
      <c r="DP436" s="921">
        <f>IF(dd_PartSA_2_lines = "Yes",0,_xlfn.IFNA(INDEX('Resource use and costs'!$DZ$12:$DZ$25,MATCH(DA436,'Resource use and costs'!$DS$12:$DS$25,0)),0)*_xlfn.IFNA(INDEX(EA$10:EA$23,MATCH($DA436,$DX$10:$DX$23,0)),0))</f>
        <v>74.50928571428571</v>
      </c>
      <c r="DQ436" s="921">
        <f>IF(dd_PartSA_2_lines = "Yes",0,_xlfn.IFNA(INDEX('Resource use and costs'!$EA$12:$EA$25,MATCH(DB436,'Resource use and costs'!$DS$12:$DS$25,0)),0)*_xlfn.IFNA(INDEX(EC$10:EC$23,MATCH($DB436,$DX$10:$DX$23,0)),0))</f>
        <v>0</v>
      </c>
      <c r="DR436" s="921">
        <f t="shared" si="247"/>
        <v>884.10277142857137</v>
      </c>
      <c r="DS436" s="1004">
        <f ca="1">SUMIFS('Safety parameters'!$DM$6:$DM$18,'Safety parameters'!$DK$6:$DK$18,CZ436,'Safety parameters'!$DL$6:$DL$18,1)+IF(dd_PartSA_2_lines = "Yes",0,SUMIFS('Safety parameters'!$DM$6:$DM$18,'Safety parameters'!$DK$6:$DK$18,DA436,'Safety parameters'!$DL$6:$DL$18,2)+SUMIFS('Safety parameters'!$DM$6:$DM$18,'Safety parameters'!$DK$6:$DK$18,DB436,'Safety parameters'!$DL$6:$DL$18,2))</f>
        <v>1064.7045460594725</v>
      </c>
      <c r="DT436" s="910">
        <f ca="1">SUMIFS('Safety parameters'!$DO$6:$DO$18,'Safety parameters'!$DK$6:$DK$18,CZ436,'Safety parameters'!$DL$6:$DL$18,1)+IF(dd_PartSA_2_lines = "Yes",0,SUMIFS('Safety parameters'!$DO$6:$DO$18,'Safety parameters'!$DK$6:$DK$18,DA436,'Safety parameters'!$DL$6:$DL$18,2)+SUMIFS('Safety parameters'!$DO$6:$DO$18,'Safety parameters'!$DK$6:$DK$18,DB436,'Safety parameters'!$DL$6:$DL$18,2))</f>
        <v>-9.184563045112509E-3</v>
      </c>
    </row>
    <row r="437" spans="89:124" ht="15" x14ac:dyDescent="0.2">
      <c r="CK437" s="61" t="s">
        <v>31</v>
      </c>
      <c r="CL437" s="61">
        <v>3</v>
      </c>
      <c r="CM437" s="61" t="str">
        <v>cabozantinib</v>
      </c>
      <c r="CN437" s="17">
        <v>8</v>
      </c>
      <c r="CO437" s="61" t="str" cm="1">
        <f t="array" ref="CO437">INDEX(List_comparators,CP423+2)</f>
        <v>placebo_BSC</v>
      </c>
      <c r="CP437" s="17">
        <v>999</v>
      </c>
      <c r="CQ437" s="601">
        <f t="shared" ca="1" si="248"/>
        <v>0</v>
      </c>
      <c r="CR437" s="601">
        <f t="shared" ca="1" si="249"/>
        <v>0</v>
      </c>
      <c r="CS437" s="671">
        <f t="shared" ca="1" si="253"/>
        <v>0</v>
      </c>
      <c r="CT437" s="671">
        <f t="shared" ca="1" si="250"/>
        <v>0</v>
      </c>
      <c r="CU437" s="1123">
        <f>MATCH(CZ444,'Resource use and costs'!$BA$11:$BA$53,0)</f>
        <v>37</v>
      </c>
      <c r="CV437" s="1223"/>
      <c r="CW437" s="1241">
        <f t="shared" si="241"/>
        <v>1</v>
      </c>
      <c r="CX437" s="899" t="s">
        <v>773</v>
      </c>
      <c r="CY437" s="899" t="s">
        <v>319</v>
      </c>
      <c r="CZ437" s="899" t="s">
        <v>118</v>
      </c>
      <c r="DA437" s="899" t="s">
        <v>579</v>
      </c>
      <c r="DB437" s="899" t="s">
        <v>327</v>
      </c>
      <c r="DC437" s="899" cm="1">
        <f t="array" aca="1" ref="DC437" ca="1">_xlfn.IFNA(OFFSET($I$49,MATCH(CY437,$I$50:$I$63,0),MATCH(CZ437,TRANSPOSE($J$49:$W$49),0)),0)</f>
        <v>0.12902805074146864</v>
      </c>
      <c r="DD437" s="899">
        <f ca="1">1-DD432-DD434-DD435</f>
        <v>0.46929999999999994</v>
      </c>
      <c r="DE437" s="899" cm="1">
        <f t="array" aca="1" ref="DE437" ca="1">_xlfn.IFNA(OFFSET($AO$49,MATCH($DA437,$AO$50:$AO$63,0),MATCH($DB437,TRANSPOSE($AP$49:$BC$49),0)),0)</f>
        <v>0.56859999999999999</v>
      </c>
      <c r="DF437" s="881">
        <f t="shared" ca="1" si="244"/>
        <v>3.4430358591495437E-2</v>
      </c>
      <c r="DG437" s="910">
        <f t="shared" ca="1" si="240"/>
        <v>0.98859556831386541</v>
      </c>
      <c r="DH437" s="881">
        <f t="shared" ca="1" si="245"/>
        <v>3.4037699919009609E-2</v>
      </c>
      <c r="DI437" s="1460">
        <f t="shared" ca="1" si="252"/>
        <v>3.5399207915769995</v>
      </c>
      <c r="DJ437" s="909">
        <f>_xlfn.IFNA(INDEX('Resource use and costs'!$CQ$11:$CQ$53,MATCH($CZ437,'Resource use and costs'!$BA$11:$BA$53,0)),0)*_xlfn.IFNA(INDEX(DY$10:DY$23,MATCH($CZ437,$DX$10:$DX$23,0)),0)</f>
        <v>45284.183573333321</v>
      </c>
      <c r="DK437" s="909">
        <f>IF(dd_PartSA_2_lines = "Yes",0,_xlfn.IFNA(INDEX('Resource use and costs'!$CR$11:$CR$53,MATCH(DA437,'Resource use and costs'!$BA$11:$BA$53,0)),0)*_xlfn.IFNA(INDEX(EA$10:EA$23,MATCH($DA437,$DX$10:$DX$23,0)),0))</f>
        <v>26054.50921</v>
      </c>
      <c r="DL437" s="909">
        <f>IF(dd_PartSA_2_lines = "Yes",0,_xlfn.IFNA(INDEX('Resource use and costs'!$CS$11:$CS$53,MATCH(DB437,'Resource use and costs'!$BA$11:$BA$53,0)),0)*_xlfn.IFNA(INDEX(EC$10:EC$23,MATCH($DB437,$DX$10:$DX$23,0)),0))</f>
        <v>18438.751749999999</v>
      </c>
      <c r="DM437" s="909">
        <f t="shared" si="246"/>
        <v>89777.444533333313</v>
      </c>
      <c r="DN437" s="909">
        <f>SUM(_xlfn.IFNA(INDEX('Resource use and costs'!$DU$12:$DU$25,MATCH(CZ437,'Resource use and costs'!$DS$12:$DS$25,0)),0),_xlfn.IFNA(INDEX('Resource use and costs'!$DU$12:$DU$25,MATCH(DA437,'Resource use and costs'!$DS$12:$DS$25,0)),0),_xlfn.IFNA(INDEX('Resource use and costs'!$DU$12:$DU$25,MATCH(DB437,'Resource use and costs'!$DS$12:$DS$25,0)),0))</f>
        <v>394.5</v>
      </c>
      <c r="DO437" s="921">
        <f>_xlfn.IFNA(INDEX('Resource use and costs'!$DY$12:$DY$25,MATCH(CZ437,'Resource use and costs'!$DS$12:$DS$25,0)),0)*_xlfn.IFNA(INDEX(DY$10:DY$23,MATCH($CZ437,$DX$10:$DX$23,0)),0)</f>
        <v>415.09348571428563</v>
      </c>
      <c r="DP437" s="921">
        <f>IF(dd_PartSA_2_lines = "Yes",0,_xlfn.IFNA(INDEX('Resource use and costs'!$DZ$12:$DZ$25,MATCH(DA437,'Resource use and costs'!$DS$12:$DS$25,0)),0)*_xlfn.IFNA(INDEX(EA$10:EA$23,MATCH($DA437,$DX$10:$DX$23,0)),0))</f>
        <v>4108.3597166</v>
      </c>
      <c r="DQ437" s="921">
        <f>IF(dd_PartSA_2_lines = "Yes",0,_xlfn.IFNA(INDEX('Resource use and costs'!$EA$12:$EA$25,MATCH(DB437,'Resource use and costs'!$DS$12:$DS$25,0)),0)*_xlfn.IFNA(INDEX(EC$10:EC$23,MATCH($DB437,$DX$10:$DX$23,0)),0))</f>
        <v>230.68099999999998</v>
      </c>
      <c r="DR437" s="921">
        <f t="shared" si="247"/>
        <v>5148.6342023142852</v>
      </c>
      <c r="DS437" s="1004">
        <f ca="1">SUMIFS('Safety parameters'!$DM$6:$DM$18,'Safety parameters'!$DK$6:$DK$18,CZ437,'Safety parameters'!$DL$6:$DL$18,1)+IF(dd_PartSA_2_lines = "Yes",0,SUMIFS('Safety parameters'!$DM$6:$DM$18,'Safety parameters'!$DK$6:$DK$18,DA437,'Safety parameters'!$DL$6:$DL$18,2)+SUMIFS('Safety parameters'!$DM$6:$DM$18,'Safety parameters'!$DK$6:$DK$18,DB437,'Safety parameters'!$DL$6:$DL$18,2))</f>
        <v>2527.1915852400316</v>
      </c>
      <c r="DT437" s="910">
        <f ca="1">SUMIFS('Safety parameters'!$DO$6:$DO$18,'Safety parameters'!$DK$6:$DK$18,CZ437,'Safety parameters'!$DL$6:$DL$18,1)+IF(dd_PartSA_2_lines = "Yes",0,SUMIFS('Safety parameters'!$DO$6:$DO$18,'Safety parameters'!$DK$6:$DK$18,DA437,'Safety parameters'!$DL$6:$DL$18,2)+SUMIFS('Safety parameters'!$DO$6:$DO$18,'Safety parameters'!$DK$6:$DK$18,DB437,'Safety parameters'!$DL$6:$DL$18,2))</f>
        <v>-2.2855997713641003E-2</v>
      </c>
    </row>
    <row r="438" spans="89:124" ht="15" x14ac:dyDescent="0.2">
      <c r="CK438" s="61" t="s">
        <v>31</v>
      </c>
      <c r="CL438" s="61">
        <v>3</v>
      </c>
      <c r="CM438" s="61" t="str">
        <v>lenvatinib_plus_everolimus</v>
      </c>
      <c r="CN438" s="17">
        <v>9</v>
      </c>
      <c r="CO438" s="61" t="str" cm="1">
        <f t="array" ref="CO438">INDEX(List_comparators,CP424+2)</f>
        <v>placebo_BSC</v>
      </c>
      <c r="CP438" s="17">
        <v>999</v>
      </c>
      <c r="CQ438" s="601">
        <f t="shared" ca="1" si="248"/>
        <v>0</v>
      </c>
      <c r="CR438" s="601">
        <f t="shared" ca="1" si="249"/>
        <v>0</v>
      </c>
      <c r="CS438" s="671">
        <f t="shared" ca="1" si="253"/>
        <v>0</v>
      </c>
      <c r="CT438" s="671">
        <f t="shared" ca="1" si="250"/>
        <v>0</v>
      </c>
      <c r="CU438" s="1123">
        <f>MATCH(CZ445,'Resource use and costs'!$BA$11:$BA$53,0)</f>
        <v>37</v>
      </c>
      <c r="CV438" s="1223"/>
      <c r="CW438" s="1241">
        <f t="shared" si="241"/>
        <v>1</v>
      </c>
      <c r="CX438" s="899" t="s">
        <v>773</v>
      </c>
      <c r="CY438" s="899" t="s">
        <v>319</v>
      </c>
      <c r="CZ438" s="899" t="s">
        <v>118</v>
      </c>
      <c r="DA438" s="899" t="s">
        <v>579</v>
      </c>
      <c r="DB438" s="899" t="s">
        <v>765</v>
      </c>
      <c r="DC438" s="899" cm="1">
        <f t="array" aca="1" ref="DC438" ca="1">_xlfn.IFNA(OFFSET($I$49,MATCH(CY438,$I$50:$I$63,0),MATCH(CZ438,TRANSPOSE($J$49:$W$49),0)),0)</f>
        <v>0.12902805074146864</v>
      </c>
      <c r="DD438" s="899">
        <f ca="1">DD437</f>
        <v>0.46929999999999994</v>
      </c>
      <c r="DE438" s="899" cm="1">
        <f t="array" aca="1" ref="DE438" ca="1">_xlfn.IFNA(OFFSET($AO$49,MATCH($DA438,$AO$50:$AO$63,0),MATCH($DB438,TRANSPOSE($AP$49:$BC$49),0)),0)</f>
        <v>0.43140000000000001</v>
      </c>
      <c r="DF438" s="881">
        <f t="shared" ca="1" si="244"/>
        <v>2.6122505621475788E-2</v>
      </c>
      <c r="DG438" s="910">
        <f t="shared" ca="1" si="240"/>
        <v>0.98859556831386541</v>
      </c>
      <c r="DH438" s="881">
        <f t="shared" ca="1" si="245"/>
        <v>2.5824593290645001E-2</v>
      </c>
      <c r="DI438" s="1460">
        <f t="shared" ca="1" si="252"/>
        <v>2.6857577022270802</v>
      </c>
      <c r="DJ438" s="909">
        <f>_xlfn.IFNA(INDEX('Resource use and costs'!$CQ$11:$CQ$53,MATCH($CZ438,'Resource use and costs'!$BA$11:$BA$53,0)),0)*_xlfn.IFNA(INDEX(DY$10:DY$23,MATCH($CZ438,$DX$10:$DX$23,0)),0)</f>
        <v>45284.183573333321</v>
      </c>
      <c r="DK438" s="909">
        <f>IF(dd_PartSA_2_lines = "Yes",0,_xlfn.IFNA(INDEX('Resource use and costs'!$CR$11:$CR$53,MATCH(DA438,'Resource use and costs'!$BA$11:$BA$53,0)),0)*_xlfn.IFNA(INDEX(EA$10:EA$23,MATCH($DA438,$DX$10:$DX$23,0)),0))</f>
        <v>26054.50921</v>
      </c>
      <c r="DL438" s="909">
        <f>IF(dd_PartSA_2_lines = "Yes",0,_xlfn.IFNA(INDEX('Resource use and costs'!$CS$11:$CS$53,MATCH(DB438,'Resource use and costs'!$BA$11:$BA$53,0)),0)*_xlfn.IFNA(INDEX(EC$10:EC$23,MATCH($DB438,$DX$10:$DX$23,0)),0))</f>
        <v>0</v>
      </c>
      <c r="DM438" s="909">
        <f t="shared" si="246"/>
        <v>71338.692783333317</v>
      </c>
      <c r="DN438" s="909">
        <f>SUM(_xlfn.IFNA(INDEX('Resource use and costs'!$DU$12:$DU$25,MATCH(CZ438,'Resource use and costs'!$DS$12:$DS$25,0)),0),_xlfn.IFNA(INDEX('Resource use and costs'!$DU$12:$DU$25,MATCH(DA438,'Resource use and costs'!$DS$12:$DS$25,0)),0),_xlfn.IFNA(INDEX('Resource use and costs'!$DU$12:$DU$25,MATCH(DB438,'Resource use and costs'!$DS$12:$DS$25,0)),0))</f>
        <v>197.25</v>
      </c>
      <c r="DO438" s="921">
        <f>_xlfn.IFNA(INDEX('Resource use and costs'!$DY$12:$DY$25,MATCH(CZ438,'Resource use and costs'!$DS$12:$DS$25,0)),0)*_xlfn.IFNA(INDEX(DY$10:DY$23,MATCH($CZ438,$DX$10:$DX$23,0)),0)</f>
        <v>415.09348571428563</v>
      </c>
      <c r="DP438" s="921">
        <f>IF(dd_PartSA_2_lines = "Yes",0,_xlfn.IFNA(INDEX('Resource use and costs'!$DZ$12:$DZ$25,MATCH(DA438,'Resource use and costs'!$DS$12:$DS$25,0)),0)*_xlfn.IFNA(INDEX(EA$10:EA$23,MATCH($DA438,$DX$10:$DX$23,0)),0))</f>
        <v>4108.3597166</v>
      </c>
      <c r="DQ438" s="921">
        <f>IF(dd_PartSA_2_lines = "Yes",0,_xlfn.IFNA(INDEX('Resource use and costs'!$EA$12:$EA$25,MATCH(DB438,'Resource use and costs'!$DS$12:$DS$25,0)),0)*_xlfn.IFNA(INDEX(EC$10:EC$23,MATCH($DB438,$DX$10:$DX$23,0)),0))</f>
        <v>0</v>
      </c>
      <c r="DR438" s="921">
        <f t="shared" si="247"/>
        <v>4720.7032023142856</v>
      </c>
      <c r="DS438" s="1004">
        <f ca="1">SUMIFS('Safety parameters'!$DM$6:$DM$18,'Safety parameters'!$DK$6:$DK$18,CZ438,'Safety parameters'!$DL$6:$DL$18,1)+IF(dd_PartSA_2_lines = "Yes",0,SUMIFS('Safety parameters'!$DM$6:$DM$18,'Safety parameters'!$DK$6:$DK$18,DA438,'Safety parameters'!$DL$6:$DL$18,2)+SUMIFS('Safety parameters'!$DM$6:$DM$18,'Safety parameters'!$DK$6:$DK$18,DB438,'Safety parameters'!$DL$6:$DL$18,2))</f>
        <v>892.96291167457207</v>
      </c>
      <c r="DT438" s="910">
        <f ca="1">SUMIFS('Safety parameters'!$DO$6:$DO$18,'Safety parameters'!$DK$6:$DK$18,CZ438,'Safety parameters'!$DL$6:$DL$18,1)+IF(dd_PartSA_2_lines = "Yes",0,SUMIFS('Safety parameters'!$DO$6:$DO$18,'Safety parameters'!$DK$6:$DK$18,DA438,'Safety parameters'!$DL$6:$DL$18,2)+SUMIFS('Safety parameters'!$DO$6:$DO$18,'Safety parameters'!$DK$6:$DK$18,DB438,'Safety parameters'!$DL$6:$DL$18,2))</f>
        <v>-8.1140737061595747E-3</v>
      </c>
    </row>
    <row r="439" spans="89:124" ht="15" x14ac:dyDescent="0.2">
      <c r="CK439" s="61" t="s">
        <v>31</v>
      </c>
      <c r="CL439" s="61">
        <v>3</v>
      </c>
      <c r="CM439" s="61" t="str">
        <v>everolimus</v>
      </c>
      <c r="CN439" s="17">
        <v>10</v>
      </c>
      <c r="CO439" s="61" t="str" cm="1">
        <f t="array" ref="CO439">INDEX(List_comparators,CP425+2)</f>
        <v>placebo_BSC</v>
      </c>
      <c r="CP439" s="17">
        <v>999</v>
      </c>
      <c r="CQ439" s="601">
        <f t="shared" ref="CQ439:CQ442" ca="1" si="254">OFFSET($Z$50,IF(CN439=999,13,CN439),CP439)</f>
        <v>0</v>
      </c>
      <c r="CR439" s="601">
        <f t="shared" ca="1" si="249"/>
        <v>0</v>
      </c>
      <c r="CS439" s="671">
        <f t="shared" ca="1" si="253"/>
        <v>0</v>
      </c>
      <c r="CT439" s="671">
        <f t="shared" ca="1" si="250"/>
        <v>0</v>
      </c>
      <c r="CU439" s="1123">
        <f>MATCH(CZ446,'Resource use and costs'!$BA$11:$BA$53,0)</f>
        <v>43</v>
      </c>
      <c r="CV439" s="1223"/>
      <c r="CW439" s="1241">
        <f t="shared" si="241"/>
        <v>1</v>
      </c>
      <c r="CX439" s="899" t="s">
        <v>773</v>
      </c>
      <c r="CY439" s="899" t="s">
        <v>319</v>
      </c>
      <c r="CZ439" s="899" t="s">
        <v>118</v>
      </c>
      <c r="DA439" s="899" t="s">
        <v>579</v>
      </c>
      <c r="DB439" s="899" t="s">
        <v>119</v>
      </c>
      <c r="DC439" s="899" cm="1">
        <f t="array" aca="1" ref="DC439" ca="1">_xlfn.IFNA(OFFSET($I$49,MATCH(CY439,$I$50:$I$63,0),MATCH(CZ439,TRANSPOSE($J$49:$W$49),0)),0)</f>
        <v>0.12902805074146864</v>
      </c>
      <c r="DD439" s="899">
        <f ca="1">DD438</f>
        <v>0.46929999999999994</v>
      </c>
      <c r="DE439" s="899" cm="1">
        <f t="array" aca="1" ref="DE439" ca="1">_xlfn.IFNA(OFFSET($AO$49,MATCH($DA439,$AO$50:$AO$63,0),MATCH($DB439,TRANSPOSE($AP$49:$BC$49),0)),0)</f>
        <v>0</v>
      </c>
      <c r="DF439" s="881">
        <f t="shared" ca="1" si="244"/>
        <v>0</v>
      </c>
      <c r="DG439" s="910">
        <f t="shared" ca="1" si="240"/>
        <v>0.98859556831386541</v>
      </c>
      <c r="DH439" s="881">
        <f t="shared" ca="1" si="245"/>
        <v>0</v>
      </c>
      <c r="DI439" s="1460">
        <f t="shared" ca="1" si="252"/>
        <v>0</v>
      </c>
      <c r="DJ439" s="909">
        <f>_xlfn.IFNA(INDEX('Resource use and costs'!$CQ$11:$CQ$53,MATCH($CZ439,'Resource use and costs'!$BA$11:$BA$53,0)),0)*_xlfn.IFNA(INDEX(DY$10:DY$23,MATCH($CZ439,$DX$10:$DX$23,0)),0)</f>
        <v>45284.183573333321</v>
      </c>
      <c r="DK439" s="909">
        <f>IF(dd_PartSA_2_lines = "Yes",0,_xlfn.IFNA(INDEX('Resource use and costs'!$CR$11:$CR$53,MATCH(DA439,'Resource use and costs'!$BA$11:$BA$53,0)),0)*_xlfn.IFNA(INDEX(EA$10:EA$23,MATCH($DA439,$DX$10:$DX$23,0)),0))</f>
        <v>26054.50921</v>
      </c>
      <c r="DL439" s="909">
        <f>IF(dd_PartSA_2_lines = "Yes",0,_xlfn.IFNA(INDEX('Resource use and costs'!$CS$11:$CS$53,MATCH(DB439,'Resource use and costs'!$BA$11:$BA$53,0)),0)*_xlfn.IFNA(INDEX(EC$10:EC$23,MATCH($DB439,$DX$10:$DX$23,0)),0))</f>
        <v>2915.4763433333328</v>
      </c>
      <c r="DM439" s="909">
        <f t="shared" si="246"/>
        <v>74254.169126666646</v>
      </c>
      <c r="DN439" s="909">
        <f>SUM(_xlfn.IFNA(INDEX('Resource use and costs'!$DU$12:$DU$25,MATCH(CZ439,'Resource use and costs'!$DS$12:$DS$25,0)),0),_xlfn.IFNA(INDEX('Resource use and costs'!$DU$12:$DU$25,MATCH(DA439,'Resource use and costs'!$DS$12:$DS$25,0)),0),_xlfn.IFNA(INDEX('Resource use and costs'!$DU$12:$DU$25,MATCH(DB439,'Resource use and costs'!$DS$12:$DS$25,0)),0))</f>
        <v>394.5</v>
      </c>
      <c r="DO439" s="921">
        <f>_xlfn.IFNA(INDEX('Resource use and costs'!$DY$12:$DY$25,MATCH(CZ439,'Resource use and costs'!$DS$12:$DS$25,0)),0)*_xlfn.IFNA(INDEX(DY$10:DY$23,MATCH($CZ439,$DX$10:$DX$23,0)),0)</f>
        <v>415.09348571428563</v>
      </c>
      <c r="DP439" s="921">
        <f>IF(dd_PartSA_2_lines = "Yes",0,_xlfn.IFNA(INDEX('Resource use and costs'!$DZ$12:$DZ$25,MATCH(DA439,'Resource use and costs'!$DS$12:$DS$25,0)),0)*_xlfn.IFNA(INDEX(EA$10:EA$23,MATCH($DA439,$DX$10:$DX$23,0)),0))</f>
        <v>4108.3597166</v>
      </c>
      <c r="DQ439" s="921">
        <f>IF(dd_PartSA_2_lines = "Yes",0,_xlfn.IFNA(INDEX('Resource use and costs'!$EA$12:$EA$25,MATCH(DB439,'Resource use and costs'!$DS$12:$DS$25,0)),0)*_xlfn.IFNA(INDEX(EC$10:EC$23,MATCH($DB439,$DX$10:$DX$23,0)),0))</f>
        <v>256.11457142857142</v>
      </c>
      <c r="DR439" s="921">
        <f t="shared" si="247"/>
        <v>5174.0677737428568</v>
      </c>
      <c r="DS439" s="1004">
        <f ca="1">SUMIFS('Safety parameters'!$DM$6:$DM$18,'Safety parameters'!$DK$6:$DK$18,CZ439,'Safety parameters'!$DL$6:$DL$18,1)+IF(dd_PartSA_2_lines = "Yes",0,SUMIFS('Safety parameters'!$DM$6:$DM$18,'Safety parameters'!$DK$6:$DK$18,DA439,'Safety parameters'!$DL$6:$DL$18,2)+SUMIFS('Safety parameters'!$DM$6:$DM$18,'Safety parameters'!$DK$6:$DK$18,DB439,'Safety parameters'!$DL$6:$DL$18,2))</f>
        <v>1225.8382950498869</v>
      </c>
      <c r="DT439" s="910">
        <f ca="1">SUMIFS('Safety parameters'!$DO$6:$DO$18,'Safety parameters'!$DK$6:$DK$18,CZ439,'Safety parameters'!$DL$6:$DL$18,1)+IF(dd_PartSA_2_lines = "Yes",0,SUMIFS('Safety parameters'!$DO$6:$DO$18,'Safety parameters'!$DK$6:$DK$18,DA439,'Safety parameters'!$DL$6:$DL$18,2)+SUMIFS('Safety parameters'!$DO$6:$DO$18,'Safety parameters'!$DK$6:$DK$18,DB439,'Safety parameters'!$DL$6:$DL$18,2))</f>
        <v>-1.0781647242797295E-2</v>
      </c>
    </row>
    <row r="440" spans="89:124" ht="15" x14ac:dyDescent="0.2">
      <c r="CK440" s="61" t="s">
        <v>31</v>
      </c>
      <c r="CL440" s="61">
        <v>3</v>
      </c>
      <c r="CM440" s="61" t="str">
        <v>axitinib</v>
      </c>
      <c r="CN440" s="17">
        <v>11</v>
      </c>
      <c r="CO440" s="61" t="str" cm="1">
        <f t="array" ref="CO440">INDEX(List_comparators,CP426+2)</f>
        <v>placebo_BSC</v>
      </c>
      <c r="CP440" s="17">
        <v>999</v>
      </c>
      <c r="CQ440" s="601">
        <f t="shared" ca="1" si="254"/>
        <v>0</v>
      </c>
      <c r="CR440" s="601">
        <f t="shared" ca="1" si="249"/>
        <v>0</v>
      </c>
      <c r="CS440" s="671">
        <f t="shared" ca="1" si="253"/>
        <v>0</v>
      </c>
      <c r="CT440" s="671">
        <f t="shared" ca="1" si="250"/>
        <v>0</v>
      </c>
      <c r="CU440" s="1123">
        <f>MATCH(CZ447,'Resource use and costs'!$BA$11:$BA$53,0)</f>
        <v>43</v>
      </c>
      <c r="CV440" s="1223"/>
      <c r="CW440" s="1241">
        <f t="shared" si="241"/>
        <v>1</v>
      </c>
      <c r="CX440" s="899" t="s">
        <v>773</v>
      </c>
      <c r="CY440" s="899" t="s">
        <v>319</v>
      </c>
      <c r="CZ440" s="899" t="s">
        <v>119</v>
      </c>
      <c r="DA440" s="899" t="s">
        <v>327</v>
      </c>
      <c r="DB440" s="899" t="s">
        <v>765</v>
      </c>
      <c r="DC440" s="899" cm="1">
        <f t="array" aca="1" ref="DC440" ca="1">_xlfn.IFNA(OFFSET($I$49,MATCH(CY440,$I$50:$I$63,0),MATCH(CZ440,TRANSPOSE($J$49:$W$49),0)),0)</f>
        <v>0</v>
      </c>
      <c r="DD440" s="899" cm="1">
        <f t="array" aca="1" ref="DD440" ca="1">_xlfn.IFNA(OFFSET($Y$49,MATCH($CZ440,$Y$50:$Y$63,0),MATCH($DA440,TRANSPOSE($Z$49:$AM$49),0)),0)</f>
        <v>0</v>
      </c>
      <c r="DE440" s="899" cm="1">
        <f t="array" aca="1" ref="DE440" ca="1">_xlfn.IFNA(OFFSET($AO$49,MATCH($DA440,$AO$50:$AO$63,0),MATCH($DB440,TRANSPOSE($AP$49:$BC$49),0)),0)</f>
        <v>0.43140000000000001</v>
      </c>
      <c r="DF440" s="881">
        <f t="shared" ca="1" si="244"/>
        <v>0</v>
      </c>
      <c r="DG440" s="910">
        <f t="shared" ca="1" si="240"/>
        <v>0.98859556831386541</v>
      </c>
      <c r="DH440" s="881">
        <f t="shared" ca="1" si="245"/>
        <v>0</v>
      </c>
      <c r="DI440" s="1460">
        <f t="shared" ca="1" si="252"/>
        <v>0</v>
      </c>
      <c r="DJ440" s="909">
        <f>_xlfn.IFNA(INDEX('Resource use and costs'!$CQ$11:$CQ$53,MATCH($CZ440,'Resource use and costs'!$BA$11:$BA$53,0)),0)*_xlfn.IFNA(INDEX(DY$10:DY$23,MATCH($CZ440,$DX$10:$DX$23,0)),0)</f>
        <v>944.50399999999979</v>
      </c>
      <c r="DK440" s="909">
        <f>IF(dd_PartSA_2_lines = "Yes",0,_xlfn.IFNA(INDEX('Resource use and costs'!$CR$11:$CR$53,MATCH(DA440,'Resource use and costs'!$BA$11:$BA$53,0)),0)*_xlfn.IFNA(INDEX(EA$10:EA$23,MATCH($DA440,$DX$10:$DX$23,0)),0))</f>
        <v>21421.066008214286</v>
      </c>
      <c r="DL440" s="909">
        <f>IF(dd_PartSA_2_lines = "Yes",0,_xlfn.IFNA(INDEX('Resource use and costs'!$CS$11:$CS$53,MATCH(DB440,'Resource use and costs'!$BA$11:$BA$53,0)),0)*_xlfn.IFNA(INDEX(EC$10:EC$23,MATCH($DB440,$DX$10:$DX$23,0)),0))</f>
        <v>0</v>
      </c>
      <c r="DM440" s="909">
        <f t="shared" si="246"/>
        <v>22365.570008214287</v>
      </c>
      <c r="DN440" s="909">
        <f>SUM(_xlfn.IFNA(INDEX('Resource use and costs'!$DU$12:$DU$25,MATCH(CZ440,'Resource use and costs'!$DS$12:$DS$25,0)),0),_xlfn.IFNA(INDEX('Resource use and costs'!$DU$12:$DU$25,MATCH(DA440,'Resource use and costs'!$DS$12:$DS$25,0)),0),_xlfn.IFNA(INDEX('Resource use and costs'!$DU$12:$DU$25,MATCH(DB440,'Resource use and costs'!$DS$12:$DS$25,0)),0))</f>
        <v>394.5</v>
      </c>
      <c r="DO440" s="921">
        <f>_xlfn.IFNA(INDEX('Resource use and costs'!$DY$12:$DY$25,MATCH(CZ440,'Resource use and costs'!$DS$12:$DS$25,0)),0)*_xlfn.IFNA(INDEX(DY$10:DY$23,MATCH($CZ440,$DX$10:$DX$23,0)),0)</f>
        <v>82.971428571428561</v>
      </c>
      <c r="DP440" s="921">
        <f>IF(dd_PartSA_2_lines = "Yes",0,_xlfn.IFNA(INDEX('Resource use and costs'!$DZ$12:$DZ$25,MATCH(DA440,'Resource use and costs'!$DS$12:$DS$25,0)),0)*_xlfn.IFNA(INDEX(EA$10:EA$23,MATCH($DA440,$DX$10:$DX$23,0)),0))</f>
        <v>267.99172714285714</v>
      </c>
      <c r="DQ440" s="921">
        <f>IF(dd_PartSA_2_lines = "Yes",0,_xlfn.IFNA(INDEX('Resource use and costs'!$EA$12:$EA$25,MATCH(DB440,'Resource use and costs'!$DS$12:$DS$25,0)),0)*_xlfn.IFNA(INDEX(EC$10:EC$23,MATCH($DB440,$DX$10:$DX$23,0)),0))</f>
        <v>0</v>
      </c>
      <c r="DR440" s="921">
        <f t="shared" si="247"/>
        <v>745.46315571428568</v>
      </c>
      <c r="DS440" s="1004">
        <f ca="1">SUMIFS('Safety parameters'!$DM$6:$DM$18,'Safety parameters'!$DK$6:$DK$18,CZ440,'Safety parameters'!$DL$6:$DL$18,1)+IF(dd_PartSA_2_lines = "Yes",0,SUMIFS('Safety parameters'!$DM$6:$DM$18,'Safety parameters'!$DK$6:$DK$18,DA440,'Safety parameters'!$DL$6:$DL$18,2)+SUMIFS('Safety parameters'!$DM$6:$DM$18,'Safety parameters'!$DK$6:$DK$18,DB440,'Safety parameters'!$DL$6:$DL$18,2))</f>
        <v>1634.2286735654598</v>
      </c>
      <c r="DT440" s="910">
        <f ca="1">SUMIFS('Safety parameters'!$DO$6:$DO$18,'Safety parameters'!$DK$6:$DK$18,CZ440,'Safety parameters'!$DL$6:$DL$18,1)+IF(dd_PartSA_2_lines = "Yes",0,SUMIFS('Safety parameters'!$DO$6:$DO$18,'Safety parameters'!$DK$6:$DK$18,DA440,'Safety parameters'!$DL$6:$DL$18,2)+SUMIFS('Safety parameters'!$DO$6:$DO$18,'Safety parameters'!$DK$6:$DK$18,DB440,'Safety parameters'!$DL$6:$DL$18,2))</f>
        <v>-1.4741924007481429E-2</v>
      </c>
    </row>
    <row r="441" spans="89:124" ht="15" x14ac:dyDescent="0.2">
      <c r="CK441" s="61" t="s">
        <v>31</v>
      </c>
      <c r="CL441" s="61">
        <v>3</v>
      </c>
      <c r="CM441" s="61" t="str">
        <v>sorafenib</v>
      </c>
      <c r="CN441" s="17">
        <v>12</v>
      </c>
      <c r="CO441" s="61" t="str" cm="1">
        <f t="array" ref="CO441">INDEX(List_comparators,CP427+2)</f>
        <v>placebo_BSC</v>
      </c>
      <c r="CP441" s="17">
        <v>999</v>
      </c>
      <c r="CQ441" s="601">
        <f t="shared" ca="1" si="254"/>
        <v>0</v>
      </c>
      <c r="CR441" s="601">
        <f t="shared" ca="1" si="249"/>
        <v>0</v>
      </c>
      <c r="CS441" s="671">
        <f t="shared" ca="1" si="253"/>
        <v>0</v>
      </c>
      <c r="CT441" s="671">
        <f t="shared" ca="1" si="250"/>
        <v>0</v>
      </c>
      <c r="CU441" s="1123">
        <f>MATCH(CZ448,'Resource use and costs'!$BA$11:$BA$53,0)</f>
        <v>43</v>
      </c>
      <c r="CV441" s="1223"/>
      <c r="CW441" s="1241">
        <f t="shared" si="241"/>
        <v>1</v>
      </c>
      <c r="CX441" s="899" t="s">
        <v>773</v>
      </c>
      <c r="CY441" s="899" t="s">
        <v>319</v>
      </c>
      <c r="CZ441" s="899" t="s">
        <v>119</v>
      </c>
      <c r="DA441" s="899" t="s">
        <v>765</v>
      </c>
      <c r="DB441" s="899"/>
      <c r="DC441" s="899" cm="1">
        <f t="array" aca="1" ref="DC441" ca="1">_xlfn.IFNA(OFFSET($I$49,MATCH(CY441,$I$50:$I$63,0),MATCH(CZ441,TRANSPOSE($J$49:$W$49),0)),0)</f>
        <v>0</v>
      </c>
      <c r="DD441" s="899" cm="1">
        <f t="array" aca="1" ref="DD441" ca="1">_xlfn.IFNA(OFFSET($Y$49,MATCH($CZ441,$Y$50:$Y$63,0),MATCH($DA441,TRANSPOSE($Z$49:$AM$49),0)),0)</f>
        <v>1</v>
      </c>
      <c r="DE441" s="899" cm="1">
        <f t="array" aca="1" ref="DE441" ca="1">_xlfn.IFNA(OFFSET($AO$49,MATCH($DA441,$AO$50:$AO$63,0),MATCH($DB441,TRANSPOSE($AP$49:$BC$49),0)),0)</f>
        <v>0</v>
      </c>
      <c r="DF441" s="881">
        <f t="shared" ca="1" si="244"/>
        <v>0</v>
      </c>
      <c r="DG441" s="910">
        <f t="shared" ca="1" si="240"/>
        <v>0.98859556831386541</v>
      </c>
      <c r="DH441" s="881">
        <f t="shared" ca="1" si="245"/>
        <v>0</v>
      </c>
      <c r="DI441" s="1460">
        <f t="shared" ca="1" si="252"/>
        <v>0</v>
      </c>
      <c r="DJ441" s="909">
        <f>_xlfn.IFNA(INDEX('Resource use and costs'!$CQ$11:$CQ$53,MATCH($CZ441,'Resource use and costs'!$BA$11:$BA$53,0)),0)*_xlfn.IFNA(INDEX(DY$10:DY$23,MATCH($CZ441,$DX$10:$DX$23,0)),0)</f>
        <v>944.50399999999979</v>
      </c>
      <c r="DK441" s="909">
        <f>IF(dd_PartSA_2_lines = "Yes",0,_xlfn.IFNA(INDEX('Resource use and costs'!$CR$11:$CR$53,MATCH(DA441,'Resource use and costs'!$BA$11:$BA$53,0)),0)*_xlfn.IFNA(INDEX(EA$10:EA$23,MATCH($DA441,$DX$10:$DX$23,0)),0))</f>
        <v>0</v>
      </c>
      <c r="DL441" s="909">
        <f>IF(dd_PartSA_2_lines = "Yes",0,_xlfn.IFNA(INDEX('Resource use and costs'!$CS$11:$CS$53,MATCH(DB441,'Resource use and costs'!$BA$11:$BA$53,0)),0)*_xlfn.IFNA(INDEX(EC$10:EC$23,MATCH($DB441,$DX$10:$DX$23,0)),0))</f>
        <v>0</v>
      </c>
      <c r="DM441" s="909">
        <f t="shared" si="246"/>
        <v>944.50399999999979</v>
      </c>
      <c r="DN441" s="909">
        <f>SUM(_xlfn.IFNA(INDEX('Resource use and costs'!$DU$12:$DU$25,MATCH(CZ441,'Resource use and costs'!$DS$12:$DS$25,0)),0),_xlfn.IFNA(INDEX('Resource use and costs'!$DU$12:$DU$25,MATCH(DA441,'Resource use and costs'!$DS$12:$DS$25,0)),0),_xlfn.IFNA(INDEX('Resource use and costs'!$DU$12:$DU$25,MATCH(DB441,'Resource use and costs'!$DS$12:$DS$25,0)),0))</f>
        <v>197.25</v>
      </c>
      <c r="DO441" s="921">
        <f>_xlfn.IFNA(INDEX('Resource use and costs'!$DY$12:$DY$25,MATCH(CZ441,'Resource use and costs'!$DS$12:$DS$25,0)),0)*_xlfn.IFNA(INDEX(DY$10:DY$23,MATCH($CZ441,$DX$10:$DX$23,0)),0)</f>
        <v>82.971428571428561</v>
      </c>
      <c r="DP441" s="921">
        <f>IF(dd_PartSA_2_lines = "Yes",0,_xlfn.IFNA(INDEX('Resource use and costs'!$DZ$12:$DZ$25,MATCH(DA441,'Resource use and costs'!$DS$12:$DS$25,0)),0)*_xlfn.IFNA(INDEX(EA$10:EA$23,MATCH($DA441,$DX$10:$DX$23,0)),0))</f>
        <v>0</v>
      </c>
      <c r="DQ441" s="921">
        <f>IF(dd_PartSA_2_lines = "Yes",0,_xlfn.IFNA(INDEX('Resource use and costs'!$EA$12:$EA$25,MATCH(DB441,'Resource use and costs'!$DS$12:$DS$25,0)),0)*_xlfn.IFNA(INDEX(EC$10:EC$23,MATCH($DB441,$DX$10:$DX$23,0)),0))</f>
        <v>0</v>
      </c>
      <c r="DR441" s="921">
        <f t="shared" si="247"/>
        <v>280.22142857142853</v>
      </c>
      <c r="DS441" s="1004">
        <f>SUMIFS('Safety parameters'!$DM$6:$DM$18,'Safety parameters'!$DK$6:$DK$18,CZ441,'Safety parameters'!$DL$6:$DL$18,1)+IF(dd_PartSA_2_lines = "Yes",0,SUMIFS('Safety parameters'!$DM$6:$DM$18,'Safety parameters'!$DK$6:$DK$18,DA441,'Safety parameters'!$DL$6:$DL$18,2)+SUMIFS('Safety parameters'!$DM$6:$DM$18,'Safety parameters'!$DK$6:$DK$18,DB441,'Safety parameters'!$DL$6:$DL$18,2))</f>
        <v>0</v>
      </c>
      <c r="DT441" s="910">
        <f>SUMIFS('Safety parameters'!$DO$6:$DO$18,'Safety parameters'!$DK$6:$DK$18,CZ441,'Safety parameters'!$DL$6:$DL$18,1)+IF(dd_PartSA_2_lines = "Yes",0,SUMIFS('Safety parameters'!$DO$6:$DO$18,'Safety parameters'!$DK$6:$DK$18,DA441,'Safety parameters'!$DL$6:$DL$18,2)+SUMIFS('Safety parameters'!$DO$6:$DO$18,'Safety parameters'!$DK$6:$DK$18,DB441,'Safety parameters'!$DL$6:$DL$18,2))</f>
        <v>0</v>
      </c>
    </row>
    <row r="442" spans="89:124" ht="15.75" thickBot="1" x14ac:dyDescent="0.25">
      <c r="CK442" s="506" t="s">
        <v>31</v>
      </c>
      <c r="CL442" s="506">
        <v>3</v>
      </c>
      <c r="CM442" s="506" t="str">
        <v>placebo_BSC</v>
      </c>
      <c r="CN442" s="19">
        <v>999</v>
      </c>
      <c r="CO442" s="506" t="str" cm="1">
        <f t="array" ref="CO442">INDEX(List_comparators,CP428+2)</f>
        <v>placebo_BSC</v>
      </c>
      <c r="CP442" s="19">
        <v>999</v>
      </c>
      <c r="CQ442" s="602">
        <f t="shared" ca="1" si="254"/>
        <v>0</v>
      </c>
      <c r="CR442" s="602">
        <f t="shared" ca="1" si="249"/>
        <v>0</v>
      </c>
      <c r="CS442" s="670">
        <v>0</v>
      </c>
      <c r="CT442" s="670">
        <f t="shared" ca="1" si="250"/>
        <v>0</v>
      </c>
      <c r="CU442" s="1123">
        <f>MATCH(CZ449,'Resource use and costs'!$BA$11:$BA$53,0)</f>
        <v>43</v>
      </c>
      <c r="CV442" s="1223"/>
      <c r="CW442" s="1241">
        <f t="shared" si="241"/>
        <v>1</v>
      </c>
      <c r="CX442" s="899" t="s">
        <v>773</v>
      </c>
      <c r="CY442" s="899" t="s">
        <v>319</v>
      </c>
      <c r="CZ442" s="899" t="s">
        <v>119</v>
      </c>
      <c r="DA442" s="899" t="s">
        <v>118</v>
      </c>
      <c r="DB442" s="899" t="s">
        <v>327</v>
      </c>
      <c r="DC442" s="899" cm="1">
        <f t="array" aca="1" ref="DC442" ca="1">_xlfn.IFNA(OFFSET($I$49,MATCH(CY442,$I$50:$I$63,0),MATCH(CZ442,TRANSPOSE($J$49:$W$49),0)),0)</f>
        <v>0</v>
      </c>
      <c r="DD442" s="899" cm="1">
        <f t="array" aca="1" ref="DD442" ca="1">_xlfn.IFNA(OFFSET($Y$49,MATCH($CZ442,$Y$50:$Y$63,0),MATCH($DA442,TRANSPOSE($Z$49:$AM$49),0)),0)</f>
        <v>0</v>
      </c>
      <c r="DE442" s="899">
        <f ca="1">1-DE443</f>
        <v>0.56859999999999999</v>
      </c>
      <c r="DF442" s="881">
        <f t="shared" ca="1" si="244"/>
        <v>0</v>
      </c>
      <c r="DG442" s="910">
        <f t="shared" ca="1" si="240"/>
        <v>0.98859556831386541</v>
      </c>
      <c r="DH442" s="881">
        <f t="shared" ca="1" si="245"/>
        <v>0</v>
      </c>
      <c r="DI442" s="1460">
        <f t="shared" ca="1" si="252"/>
        <v>0</v>
      </c>
      <c r="DJ442" s="909">
        <f>_xlfn.IFNA(INDEX('Resource use and costs'!$CQ$11:$CQ$53,MATCH($CZ442,'Resource use and costs'!$BA$11:$BA$53,0)),0)*_xlfn.IFNA(INDEX(DY$10:DY$23,MATCH($CZ442,$DX$10:$DX$23,0)),0)</f>
        <v>944.50399999999979</v>
      </c>
      <c r="DK442" s="909">
        <f>IF(dd_PartSA_2_lines = "Yes",0,_xlfn.IFNA(INDEX('Resource use and costs'!$CR$11:$CR$53,MATCH(DA442,'Resource use and costs'!$BA$11:$BA$53,0)),0)*_xlfn.IFNA(INDEX(EA$10:EA$23,MATCH($DA442,$DX$10:$DX$23,0)),0))</f>
        <v>50308.075122000002</v>
      </c>
      <c r="DL442" s="909">
        <f>IF(dd_PartSA_2_lines = "Yes",0,_xlfn.IFNA(INDEX('Resource use and costs'!$CS$11:$CS$53,MATCH(DB442,'Resource use and costs'!$BA$11:$BA$53,0)),0)*_xlfn.IFNA(INDEX(EC$10:EC$23,MATCH($DB442,$DX$10:$DX$23,0)),0))</f>
        <v>18438.751749999999</v>
      </c>
      <c r="DM442" s="909">
        <f t="shared" si="246"/>
        <v>69691.330872000006</v>
      </c>
      <c r="DN442" s="909">
        <f>SUM(_xlfn.IFNA(INDEX('Resource use and costs'!$DU$12:$DU$25,MATCH(CZ442,'Resource use and costs'!$DS$12:$DS$25,0)),0),_xlfn.IFNA(INDEX('Resource use and costs'!$DU$12:$DU$25,MATCH(DA442,'Resource use and costs'!$DS$12:$DS$25,0)),0),_xlfn.IFNA(INDEX('Resource use and costs'!$DU$12:$DU$25,MATCH(DB442,'Resource use and costs'!$DS$12:$DS$25,0)),0))</f>
        <v>591.75</v>
      </c>
      <c r="DO442" s="921">
        <f>_xlfn.IFNA(INDEX('Resource use and costs'!$DY$12:$DY$25,MATCH(CZ442,'Resource use and costs'!$DS$12:$DS$25,0)),0)*_xlfn.IFNA(INDEX(DY$10:DY$23,MATCH($CZ442,$DX$10:$DX$23,0)),0)</f>
        <v>82.971428571428561</v>
      </c>
      <c r="DP442" s="921">
        <f>IF(dd_PartSA_2_lines = "Yes",0,_xlfn.IFNA(INDEX('Resource use and costs'!$DZ$12:$DZ$25,MATCH(DA442,'Resource use and costs'!$DS$12:$DS$25,0)),0)*_xlfn.IFNA(INDEX(EA$10:EA$23,MATCH($DA442,$DX$10:$DX$23,0)),0))</f>
        <v>461.1445457142857</v>
      </c>
      <c r="DQ442" s="921">
        <f>IF(dd_PartSA_2_lines = "Yes",0,_xlfn.IFNA(INDEX('Resource use and costs'!$EA$12:$EA$25,MATCH(DB442,'Resource use and costs'!$DS$12:$DS$25,0)),0)*_xlfn.IFNA(INDEX(EC$10:EC$23,MATCH($DB442,$DX$10:$DX$23,0)),0))</f>
        <v>230.68099999999998</v>
      </c>
      <c r="DR442" s="921">
        <f t="shared" si="247"/>
        <v>1366.5469742857142</v>
      </c>
      <c r="DS442" s="1004">
        <f ca="1">SUMIFS('Safety parameters'!$DM$6:$DM$18,'Safety parameters'!$DK$6:$DK$18,CZ442,'Safety parameters'!$DL$6:$DL$18,1)+IF(dd_PartSA_2_lines = "Yes",0,SUMIFS('Safety parameters'!$DM$6:$DM$18,'Safety parameters'!$DK$6:$DK$18,DA442,'Safety parameters'!$DL$6:$DL$18,2)+SUMIFS('Safety parameters'!$DM$6:$DM$18,'Safety parameters'!$DK$6:$DK$18,DB442,'Safety parameters'!$DL$6:$DL$18,2))</f>
        <v>2377.8779733688434</v>
      </c>
      <c r="DT442" s="910">
        <f ca="1">SUMIFS('Safety parameters'!$DO$6:$DO$18,'Safety parameters'!$DK$6:$DK$18,CZ442,'Safety parameters'!$DL$6:$DL$18,1)+IF(dd_PartSA_2_lines = "Yes",0,SUMIFS('Safety parameters'!$DO$6:$DO$18,'Safety parameters'!$DK$6:$DK$18,DA442,'Safety parameters'!$DL$6:$DL$18,2)+SUMIFS('Safety parameters'!$DO$6:$DO$18,'Safety parameters'!$DK$6:$DK$18,DB442,'Safety parameters'!$DL$6:$DL$18,2))</f>
        <v>-2.1764250363717368E-2</v>
      </c>
    </row>
    <row r="443" spans="89:124" ht="15" x14ac:dyDescent="0.2">
      <c r="CK443" s="505" t="s">
        <v>31</v>
      </c>
      <c r="CL443" s="505">
        <v>4</v>
      </c>
      <c r="CM443" s="61" t="str" cm="1">
        <f t="array" ref="CM443:CM456">List_comparators</f>
        <v>nivolumab_monotherapy</v>
      </c>
      <c r="CN443" s="17">
        <v>0</v>
      </c>
      <c r="CO443" s="61" t="str" cm="1">
        <f t="array" ref="CO443">INDEX(List_comparators,CP443+1)</f>
        <v>nivolumab_monotherapy</v>
      </c>
      <c r="CP443" s="17">
        <v>0</v>
      </c>
      <c r="CQ443" s="603">
        <f t="shared" ref="CQ443:CQ474" ca="1" si="255">OFFSET($AP$50,IF(CN443=999,13,CN443),CP443)</f>
        <v>0</v>
      </c>
      <c r="CR443" s="603">
        <f t="shared" ref="CR443:CR474" ca="1" si="256">OFFSET($AP$65,IF(CN443=999,13,CN443),CP443)</f>
        <v>0</v>
      </c>
      <c r="CS443" s="603">
        <f t="shared" ref="CS443:CS474" ca="1" si="257">OFFSET($AP$81,IF(CN443=999,13,CN443),CP443)</f>
        <v>21.82</v>
      </c>
      <c r="CT443" s="669">
        <f t="shared" ref="CT443:CT474" ca="1" si="258">OFFSET($AP$97,IF(CN443=999,13,CN443),CP443)</f>
        <v>4.1142857142857139</v>
      </c>
      <c r="CU443" s="1123">
        <f>MATCH(CZ450,'Resource use and costs'!$BA$11:$BA$53,0)</f>
        <v>43</v>
      </c>
      <c r="CV443" s="1223"/>
      <c r="CW443" s="1241">
        <f t="shared" si="241"/>
        <v>1</v>
      </c>
      <c r="CX443" s="899" t="s">
        <v>773</v>
      </c>
      <c r="CY443" s="899" t="s">
        <v>319</v>
      </c>
      <c r="CZ443" s="899" t="s">
        <v>119</v>
      </c>
      <c r="DA443" s="899" t="s">
        <v>118</v>
      </c>
      <c r="DB443" s="899" t="s">
        <v>765</v>
      </c>
      <c r="DC443" s="899" cm="1">
        <f t="array" aca="1" ref="DC443" ca="1">_xlfn.IFNA(OFFSET($I$49,MATCH(CY443,$I$50:$I$63,0),MATCH(CZ443,TRANSPOSE($J$49:$W$49),0)),0)</f>
        <v>0</v>
      </c>
      <c r="DD443" s="899" cm="1">
        <f t="array" aca="1" ref="DD443" ca="1">_xlfn.IFNA(OFFSET($Y$49,MATCH($CZ443,$Y$50:$Y$63,0),MATCH($DA443,TRANSPOSE($Z$49:$AM$49),0)),0)</f>
        <v>0</v>
      </c>
      <c r="DE443" s="899" cm="1">
        <f t="array" aca="1" ref="DE443" ca="1">_xlfn.IFNA(OFFSET($AO$49,MATCH($DA443,$AO$50:$AO$63,0),MATCH($DB443,TRANSPOSE($AP$49:$BC$49),0)),0)</f>
        <v>0.43140000000000001</v>
      </c>
      <c r="DF443" s="881">
        <f t="shared" ca="1" si="244"/>
        <v>0</v>
      </c>
      <c r="DG443" s="910">
        <f t="shared" ca="1" si="240"/>
        <v>0.98859556831386541</v>
      </c>
      <c r="DH443" s="881">
        <f t="shared" ca="1" si="245"/>
        <v>0</v>
      </c>
      <c r="DI443" s="1460">
        <f t="shared" ca="1" si="252"/>
        <v>0</v>
      </c>
      <c r="DJ443" s="909">
        <f>_xlfn.IFNA(INDEX('Resource use and costs'!$CQ$11:$CQ$53,MATCH($CZ443,'Resource use and costs'!$BA$11:$BA$53,0)),0)*_xlfn.IFNA(INDEX(DY$10:DY$23,MATCH($CZ443,$DX$10:$DX$23,0)),0)</f>
        <v>944.50399999999979</v>
      </c>
      <c r="DK443" s="909">
        <f>IF(dd_PartSA_2_lines = "Yes",0,_xlfn.IFNA(INDEX('Resource use and costs'!$CR$11:$CR$53,MATCH(DA443,'Resource use and costs'!$BA$11:$BA$53,0)),0)*_xlfn.IFNA(INDEX(EA$10:EA$23,MATCH($DA443,$DX$10:$DX$23,0)),0))</f>
        <v>50308.075122000002</v>
      </c>
      <c r="DL443" s="909">
        <f>IF(dd_PartSA_2_lines = "Yes",0,_xlfn.IFNA(INDEX('Resource use and costs'!$CS$11:$CS$53,MATCH(DB443,'Resource use and costs'!$BA$11:$BA$53,0)),0)*_xlfn.IFNA(INDEX(EC$10:EC$23,MATCH($DB443,$DX$10:$DX$23,0)),0))</f>
        <v>0</v>
      </c>
      <c r="DM443" s="909">
        <f t="shared" si="246"/>
        <v>51252.579122000003</v>
      </c>
      <c r="DN443" s="909">
        <f>SUM(_xlfn.IFNA(INDEX('Resource use and costs'!$DU$12:$DU$25,MATCH(CZ443,'Resource use and costs'!$DS$12:$DS$25,0)),0),_xlfn.IFNA(INDEX('Resource use and costs'!$DU$12:$DU$25,MATCH(DA443,'Resource use and costs'!$DS$12:$DS$25,0)),0),_xlfn.IFNA(INDEX('Resource use and costs'!$DU$12:$DU$25,MATCH(DB443,'Resource use and costs'!$DS$12:$DS$25,0)),0))</f>
        <v>394.5</v>
      </c>
      <c r="DO443" s="921">
        <f>_xlfn.IFNA(INDEX('Resource use and costs'!$DY$12:$DY$25,MATCH(CZ443,'Resource use and costs'!$DS$12:$DS$25,0)),0)*_xlfn.IFNA(INDEX(DY$10:DY$23,MATCH($CZ443,$DX$10:$DX$23,0)),0)</f>
        <v>82.971428571428561</v>
      </c>
      <c r="DP443" s="921">
        <f>IF(dd_PartSA_2_lines = "Yes",0,_xlfn.IFNA(INDEX('Resource use and costs'!$DZ$12:$DZ$25,MATCH(DA443,'Resource use and costs'!$DS$12:$DS$25,0)),0)*_xlfn.IFNA(INDEX(EA$10:EA$23,MATCH($DA443,$DX$10:$DX$23,0)),0))</f>
        <v>461.1445457142857</v>
      </c>
      <c r="DQ443" s="921">
        <f>IF(dd_PartSA_2_lines = "Yes",0,_xlfn.IFNA(INDEX('Resource use and costs'!$EA$12:$EA$25,MATCH(DB443,'Resource use and costs'!$DS$12:$DS$25,0)),0)*_xlfn.IFNA(INDEX(EC$10:EC$23,MATCH($DB443,$DX$10:$DX$23,0)),0))</f>
        <v>0</v>
      </c>
      <c r="DR443" s="921">
        <f t="shared" si="247"/>
        <v>938.61597428571417</v>
      </c>
      <c r="DS443" s="1004">
        <f ca="1">SUMIFS('Safety parameters'!$DM$6:$DM$18,'Safety parameters'!$DK$6:$DK$18,CZ443,'Safety parameters'!$DL$6:$DL$18,1)+IF(dd_PartSA_2_lines = "Yes",0,SUMIFS('Safety parameters'!$DM$6:$DM$18,'Safety parameters'!$DK$6:$DK$18,DA443,'Safety parameters'!$DL$6:$DL$18,2)+SUMIFS('Safety parameters'!$DM$6:$DM$18,'Safety parameters'!$DK$6:$DK$18,DB443,'Safety parameters'!$DL$6:$DL$18,2))</f>
        <v>743.64929980338343</v>
      </c>
      <c r="DT443" s="910">
        <f ca="1">SUMIFS('Safety parameters'!$DO$6:$DO$18,'Safety parameters'!$DK$6:$DK$18,CZ443,'Safety parameters'!$DL$6:$DL$18,1)+IF(dd_PartSA_2_lines = "Yes",0,SUMIFS('Safety parameters'!$DO$6:$DO$18,'Safety parameters'!$DK$6:$DK$18,DA443,'Safety parameters'!$DL$6:$DL$18,2)+SUMIFS('Safety parameters'!$DO$6:$DO$18,'Safety parameters'!$DK$6:$DK$18,DB443,'Safety parameters'!$DL$6:$DL$18,2))</f>
        <v>-7.0223263562359372E-3</v>
      </c>
    </row>
    <row r="444" spans="89:124" ht="15" x14ac:dyDescent="0.2">
      <c r="CK444" s="61" t="s">
        <v>31</v>
      </c>
      <c r="CL444" s="61">
        <v>4</v>
      </c>
      <c r="CM444" s="61" t="str">
        <v>cabozantinib_plus_nivolumab</v>
      </c>
      <c r="CN444" s="17">
        <v>1</v>
      </c>
      <c r="CO444" s="61" t="str" cm="1">
        <f t="array" ref="CO444">INDEX(List_comparators,CP443+1)</f>
        <v>nivolumab_monotherapy</v>
      </c>
      <c r="CP444" s="17">
        <v>0</v>
      </c>
      <c r="CQ444" s="601">
        <f t="shared" ca="1" si="255"/>
        <v>0</v>
      </c>
      <c r="CR444" s="601">
        <f t="shared" ca="1" si="256"/>
        <v>0</v>
      </c>
      <c r="CS444" s="601">
        <f t="shared" ca="1" si="257"/>
        <v>21.82</v>
      </c>
      <c r="CT444" s="669">
        <f t="shared" ca="1" si="258"/>
        <v>4.1142857142857139</v>
      </c>
      <c r="CU444" s="1123">
        <f>MATCH(CZ451,'Resource use and costs'!$BA$11:$BA$53,0)</f>
        <v>43</v>
      </c>
      <c r="CV444" s="1223"/>
      <c r="CW444" s="1241">
        <f t="shared" si="241"/>
        <v>1</v>
      </c>
      <c r="CX444" s="899" t="s">
        <v>773</v>
      </c>
      <c r="CY444" s="899" t="s">
        <v>319</v>
      </c>
      <c r="CZ444" s="899" t="s">
        <v>119</v>
      </c>
      <c r="DA444" s="899" t="s">
        <v>579</v>
      </c>
      <c r="DB444" s="899" t="s">
        <v>327</v>
      </c>
      <c r="DC444" s="899" cm="1">
        <f t="array" aca="1" ref="DC444" ca="1">_xlfn.IFNA(OFFSET($I$49,MATCH(CY444,$I$50:$I$63,0),MATCH(CZ444,TRANSPOSE($J$49:$W$49),0)),0)</f>
        <v>0</v>
      </c>
      <c r="DD444" s="899" cm="1">
        <f t="array" aca="1" ref="DD444" ca="1">_xlfn.IFNA(OFFSET($Y$49,MATCH($CZ444,$Y$50:$Y$63,0),MATCH($DA444,TRANSPOSE($Z$49:$AM$49),0)),0)</f>
        <v>0</v>
      </c>
      <c r="DE444" s="899" cm="1">
        <f t="array" aca="1" ref="DE444" ca="1">_xlfn.IFNA(OFFSET($AO$49,MATCH($DA444,$AO$50:$AO$63,0),MATCH($DB444,TRANSPOSE($AP$49:$BC$49),0)),0)</f>
        <v>0.56859999999999999</v>
      </c>
      <c r="DF444" s="881">
        <f t="shared" ca="1" si="244"/>
        <v>0</v>
      </c>
      <c r="DG444" s="910">
        <f t="shared" ca="1" si="240"/>
        <v>0.98859556831386541</v>
      </c>
      <c r="DH444" s="881">
        <f t="shared" ca="1" si="245"/>
        <v>0</v>
      </c>
      <c r="DI444" s="1460">
        <f t="shared" ca="1" si="252"/>
        <v>0</v>
      </c>
      <c r="DJ444" s="909">
        <f>_xlfn.IFNA(INDEX('Resource use and costs'!$CQ$11:$CQ$53,MATCH($CZ444,'Resource use and costs'!$BA$11:$BA$53,0)),0)*_xlfn.IFNA(INDEX(DY$10:DY$23,MATCH($CZ444,$DX$10:$DX$23,0)),0)</f>
        <v>944.50399999999979</v>
      </c>
      <c r="DK444" s="909">
        <f>IF(dd_PartSA_2_lines = "Yes",0,_xlfn.IFNA(INDEX('Resource use and costs'!$CR$11:$CR$53,MATCH(DA444,'Resource use and costs'!$BA$11:$BA$53,0)),0)*_xlfn.IFNA(INDEX(EA$10:EA$23,MATCH($DA444,$DX$10:$DX$23,0)),0))</f>
        <v>26054.50921</v>
      </c>
      <c r="DL444" s="909">
        <f>IF(dd_PartSA_2_lines = "Yes",0,_xlfn.IFNA(INDEX('Resource use and costs'!$CS$11:$CS$53,MATCH(DB444,'Resource use and costs'!$BA$11:$BA$53,0)),0)*_xlfn.IFNA(INDEX(EC$10:EC$23,MATCH($DB444,$DX$10:$DX$23,0)),0))</f>
        <v>18438.751749999999</v>
      </c>
      <c r="DM444" s="909">
        <f t="shared" si="246"/>
        <v>45437.76496</v>
      </c>
      <c r="DN444" s="909">
        <f>SUM(_xlfn.IFNA(INDEX('Resource use and costs'!$DU$12:$DU$25,MATCH(CZ444,'Resource use and costs'!$DS$12:$DS$25,0)),0),_xlfn.IFNA(INDEX('Resource use and costs'!$DU$12:$DU$25,MATCH(DA444,'Resource use and costs'!$DS$12:$DS$25,0)),0),_xlfn.IFNA(INDEX('Resource use and costs'!$DU$12:$DU$25,MATCH(DB444,'Resource use and costs'!$DS$12:$DS$25,0)),0))</f>
        <v>394.5</v>
      </c>
      <c r="DO444" s="921">
        <f>_xlfn.IFNA(INDEX('Resource use and costs'!$DY$12:$DY$25,MATCH(CZ444,'Resource use and costs'!$DS$12:$DS$25,0)),0)*_xlfn.IFNA(INDEX(DY$10:DY$23,MATCH($CZ444,$DX$10:$DX$23,0)),0)</f>
        <v>82.971428571428561</v>
      </c>
      <c r="DP444" s="921">
        <f>IF(dd_PartSA_2_lines = "Yes",0,_xlfn.IFNA(INDEX('Resource use and costs'!$DZ$12:$DZ$25,MATCH(DA444,'Resource use and costs'!$DS$12:$DS$25,0)),0)*_xlfn.IFNA(INDEX(EA$10:EA$23,MATCH($DA444,$DX$10:$DX$23,0)),0))</f>
        <v>4108.3597166</v>
      </c>
      <c r="DQ444" s="921">
        <f>IF(dd_PartSA_2_lines = "Yes",0,_xlfn.IFNA(INDEX('Resource use and costs'!$EA$12:$EA$25,MATCH(DB444,'Resource use and costs'!$DS$12:$DS$25,0)),0)*_xlfn.IFNA(INDEX(EC$10:EC$23,MATCH($DB444,$DX$10:$DX$23,0)),0))</f>
        <v>230.68099999999998</v>
      </c>
      <c r="DR444" s="921">
        <f t="shared" si="247"/>
        <v>4816.5121451714285</v>
      </c>
      <c r="DS444" s="1004">
        <f ca="1">SUMIFS('Safety parameters'!$DM$6:$DM$18,'Safety parameters'!$DK$6:$DK$18,CZ444,'Safety parameters'!$DL$6:$DL$18,1)+IF(dd_PartSA_2_lines = "Yes",0,SUMIFS('Safety parameters'!$DM$6:$DM$18,'Safety parameters'!$DK$6:$DK$18,DA444,'Safety parameters'!$DL$6:$DL$18,2)+SUMIFS('Safety parameters'!$DM$6:$DM$18,'Safety parameters'!$DK$6:$DK$18,DB444,'Safety parameters'!$DL$6:$DL$18,2))</f>
        <v>1795.3624225558742</v>
      </c>
      <c r="DT444" s="910">
        <f ca="1">SUMIFS('Safety parameters'!$DO$6:$DO$18,'Safety parameters'!$DK$6:$DK$18,CZ444,'Safety parameters'!$DL$6:$DL$18,1)+IF(dd_PartSA_2_lines = "Yes",0,SUMIFS('Safety parameters'!$DO$6:$DO$18,'Safety parameters'!$DK$6:$DK$18,DA444,'Safety parameters'!$DL$6:$DL$18,2)+SUMIFS('Safety parameters'!$DO$6:$DO$18,'Safety parameters'!$DK$6:$DK$18,DB444,'Safety parameters'!$DL$6:$DL$18,2))</f>
        <v>-1.6339008205166216E-2</v>
      </c>
    </row>
    <row r="445" spans="89:124" ht="15" x14ac:dyDescent="0.2">
      <c r="CK445" s="61" t="s">
        <v>31</v>
      </c>
      <c r="CL445" s="61">
        <v>4</v>
      </c>
      <c r="CM445" s="61" t="str">
        <v>nivolumab_plus_ipilimumab</v>
      </c>
      <c r="CN445" s="17">
        <v>2</v>
      </c>
      <c r="CO445" s="61" t="str" cm="1">
        <f t="array" ref="CO445">INDEX(List_comparators,CP444+1)</f>
        <v>nivolumab_monotherapy</v>
      </c>
      <c r="CP445" s="17">
        <v>0</v>
      </c>
      <c r="CQ445" s="601">
        <f t="shared" ca="1" si="255"/>
        <v>0</v>
      </c>
      <c r="CR445" s="601">
        <f t="shared" ca="1" si="256"/>
        <v>0</v>
      </c>
      <c r="CS445" s="601">
        <f t="shared" ca="1" si="257"/>
        <v>21.82</v>
      </c>
      <c r="CT445" s="669">
        <f t="shared" ca="1" si="258"/>
        <v>4.1142857142857139</v>
      </c>
      <c r="CU445" s="1123">
        <f>MATCH(CZ452,'Resource use and costs'!$BA$11:$BA$53,0)</f>
        <v>1</v>
      </c>
      <c r="CV445" s="1223"/>
      <c r="CW445" s="1241">
        <f t="shared" si="241"/>
        <v>1</v>
      </c>
      <c r="CX445" s="899" t="s">
        <v>773</v>
      </c>
      <c r="CY445" s="899" t="s">
        <v>319</v>
      </c>
      <c r="CZ445" s="899" t="s">
        <v>119</v>
      </c>
      <c r="DA445" s="899" t="s">
        <v>579</v>
      </c>
      <c r="DB445" s="899" t="s">
        <v>765</v>
      </c>
      <c r="DC445" s="899" cm="1">
        <f t="array" aca="1" ref="DC445" ca="1">_xlfn.IFNA(OFFSET($I$49,MATCH(CY445,$I$50:$I$63,0),MATCH(CZ445,TRANSPOSE($J$49:$W$49),0)),0)</f>
        <v>0</v>
      </c>
      <c r="DD445" s="899" cm="1">
        <f t="array" aca="1" ref="DD445" ca="1">_xlfn.IFNA(OFFSET($Y$49,MATCH($CZ445,$Y$50:$Y$63,0),MATCH($DA445,TRANSPOSE($Z$49:$AM$49),0)),0)</f>
        <v>0</v>
      </c>
      <c r="DE445" s="899" cm="1">
        <f t="array" aca="1" ref="DE445" ca="1">_xlfn.IFNA(OFFSET($AO$49,MATCH($DA445,$AO$50:$AO$63,0),MATCH($DB445,TRANSPOSE($AP$49:$BC$49),0)),0)</f>
        <v>0.43140000000000001</v>
      </c>
      <c r="DF445" s="881">
        <f t="shared" ca="1" si="244"/>
        <v>0</v>
      </c>
      <c r="DG445" s="910">
        <f t="shared" ca="1" si="240"/>
        <v>0.98859556831386541</v>
      </c>
      <c r="DH445" s="881">
        <f t="shared" ca="1" si="245"/>
        <v>0</v>
      </c>
      <c r="DI445" s="1460">
        <f t="shared" ca="1" si="252"/>
        <v>0</v>
      </c>
      <c r="DJ445" s="909">
        <f>_xlfn.IFNA(INDEX('Resource use and costs'!$CQ$11:$CQ$53,MATCH($CZ445,'Resource use and costs'!$BA$11:$BA$53,0)),0)*_xlfn.IFNA(INDEX(DY$10:DY$23,MATCH($CZ445,$DX$10:$DX$23,0)),0)</f>
        <v>944.50399999999979</v>
      </c>
      <c r="DK445" s="909">
        <f>IF(dd_PartSA_2_lines = "Yes",0,_xlfn.IFNA(INDEX('Resource use and costs'!$CR$11:$CR$53,MATCH(DA445,'Resource use and costs'!$BA$11:$BA$53,0)),0)*_xlfn.IFNA(INDEX(EA$10:EA$23,MATCH($DA445,$DX$10:$DX$23,0)),0))</f>
        <v>26054.50921</v>
      </c>
      <c r="DL445" s="909">
        <f>IF(dd_PartSA_2_lines = "Yes",0,_xlfn.IFNA(INDEX('Resource use and costs'!$CS$11:$CS$53,MATCH(DB445,'Resource use and costs'!$BA$11:$BA$53,0)),0)*_xlfn.IFNA(INDEX(EC$10:EC$23,MATCH($DB445,$DX$10:$DX$23,0)),0))</f>
        <v>0</v>
      </c>
      <c r="DM445" s="909">
        <f t="shared" si="246"/>
        <v>26999.013210000001</v>
      </c>
      <c r="DN445" s="909">
        <f>SUM(_xlfn.IFNA(INDEX('Resource use and costs'!$DU$12:$DU$25,MATCH(CZ445,'Resource use and costs'!$DS$12:$DS$25,0)),0),_xlfn.IFNA(INDEX('Resource use and costs'!$DU$12:$DU$25,MATCH(DA445,'Resource use and costs'!$DS$12:$DS$25,0)),0),_xlfn.IFNA(INDEX('Resource use and costs'!$DU$12:$DU$25,MATCH(DB445,'Resource use and costs'!$DS$12:$DS$25,0)),0))</f>
        <v>197.25</v>
      </c>
      <c r="DO445" s="921">
        <f>_xlfn.IFNA(INDEX('Resource use and costs'!$DY$12:$DY$25,MATCH(CZ445,'Resource use and costs'!$DS$12:$DS$25,0)),0)*_xlfn.IFNA(INDEX(DY$10:DY$23,MATCH($CZ445,$DX$10:$DX$23,0)),0)</f>
        <v>82.971428571428561</v>
      </c>
      <c r="DP445" s="921">
        <f>IF(dd_PartSA_2_lines = "Yes",0,_xlfn.IFNA(INDEX('Resource use and costs'!$DZ$12:$DZ$25,MATCH(DA445,'Resource use and costs'!$DS$12:$DS$25,0)),0)*_xlfn.IFNA(INDEX(EA$10:EA$23,MATCH($DA445,$DX$10:$DX$23,0)),0))</f>
        <v>4108.3597166</v>
      </c>
      <c r="DQ445" s="921">
        <f>IF(dd_PartSA_2_lines = "Yes",0,_xlfn.IFNA(INDEX('Resource use and costs'!$EA$12:$EA$25,MATCH(DB445,'Resource use and costs'!$DS$12:$DS$25,0)),0)*_xlfn.IFNA(INDEX(EC$10:EC$23,MATCH($DB445,$DX$10:$DX$23,0)),0))</f>
        <v>0</v>
      </c>
      <c r="DR445" s="921">
        <f t="shared" si="247"/>
        <v>4388.5811451714289</v>
      </c>
      <c r="DS445" s="1004">
        <f ca="1">SUMIFS('Safety parameters'!$DM$6:$DM$18,'Safety parameters'!$DK$6:$DK$18,CZ445,'Safety parameters'!$DL$6:$DL$18,1)+IF(dd_PartSA_2_lines = "Yes",0,SUMIFS('Safety parameters'!$DM$6:$DM$18,'Safety parameters'!$DK$6:$DK$18,DA445,'Safety parameters'!$DL$6:$DL$18,2)+SUMIFS('Safety parameters'!$DM$6:$DM$18,'Safety parameters'!$DK$6:$DK$18,DB445,'Safety parameters'!$DL$6:$DL$18,2))</f>
        <v>161.1337489904144</v>
      </c>
      <c r="DT445" s="910">
        <f ca="1">SUMIFS('Safety parameters'!$DO$6:$DO$18,'Safety parameters'!$DK$6:$DK$18,CZ445,'Safety parameters'!$DL$6:$DL$18,1)+IF(dd_PartSA_2_lines = "Yes",0,SUMIFS('Safety parameters'!$DO$6:$DO$18,'Safety parameters'!$DK$6:$DK$18,DA445,'Safety parameters'!$DL$6:$DL$18,2)+SUMIFS('Safety parameters'!$DO$6:$DO$18,'Safety parameters'!$DK$6:$DK$18,DB445,'Safety parameters'!$DL$6:$DL$18,2))</f>
        <v>-1.5970841976847864E-3</v>
      </c>
    </row>
    <row r="446" spans="89:124" ht="15" x14ac:dyDescent="0.2">
      <c r="CK446" s="61" t="s">
        <v>31</v>
      </c>
      <c r="CL446" s="61">
        <v>4</v>
      </c>
      <c r="CM446" s="61" t="str">
        <v>lenvatinib_plus_pembrolizumab</v>
      </c>
      <c r="CN446" s="17">
        <v>3</v>
      </c>
      <c r="CO446" s="61" t="str" cm="1">
        <f t="array" ref="CO446">INDEX(List_comparators,CP445+1)</f>
        <v>nivolumab_monotherapy</v>
      </c>
      <c r="CP446" s="17">
        <v>0</v>
      </c>
      <c r="CQ446" s="601">
        <f t="shared" ca="1" si="255"/>
        <v>0</v>
      </c>
      <c r="CR446" s="601">
        <f t="shared" ca="1" si="256"/>
        <v>0</v>
      </c>
      <c r="CS446" s="601">
        <f t="shared" ca="1" si="257"/>
        <v>21.82</v>
      </c>
      <c r="CT446" s="669">
        <f t="shared" ca="1" si="258"/>
        <v>4.1142857142857139</v>
      </c>
      <c r="CU446" s="1123">
        <f>MATCH(CZ453,'Resource use and costs'!$BA$11:$BA$53,0)</f>
        <v>1</v>
      </c>
      <c r="CV446" s="1223"/>
      <c r="CW446" s="1241">
        <f t="shared" si="241"/>
        <v>1</v>
      </c>
      <c r="CX446" s="899" t="s">
        <v>773</v>
      </c>
      <c r="CY446" s="899" t="s">
        <v>319</v>
      </c>
      <c r="CZ446" s="899" t="s">
        <v>333</v>
      </c>
      <c r="DA446" s="899" t="s">
        <v>327</v>
      </c>
      <c r="DB446" s="899" t="s">
        <v>765</v>
      </c>
      <c r="DC446" s="899" cm="1">
        <f t="array" aca="1" ref="DC446" ca="1">_xlfn.IFNA(OFFSET($I$49,MATCH(CY446,$I$50:$I$63,0),MATCH(CZ446,TRANSPOSE($J$49:$W$49),0)),0)</f>
        <v>1.6065749508665357E-2</v>
      </c>
      <c r="DD446" s="899" cm="1">
        <f t="array" aca="1" ref="DD446" ca="1">_xlfn.IFNA(OFFSET($Y$49,MATCH($CZ446,$Y$50:$Y$63,0),MATCH($DA446,TRANSPOSE($Z$49:$AM$49),0)),0)</f>
        <v>0</v>
      </c>
      <c r="DE446" s="899">
        <v>1</v>
      </c>
      <c r="DF446" s="881">
        <f t="shared" ca="1" si="244"/>
        <v>0</v>
      </c>
      <c r="DG446" s="910">
        <f t="shared" ca="1" si="240"/>
        <v>0.98859556831386541</v>
      </c>
      <c r="DH446" s="881">
        <f t="shared" ca="1" si="245"/>
        <v>0</v>
      </c>
      <c r="DI446" s="1460">
        <f t="shared" ca="1" si="252"/>
        <v>0</v>
      </c>
      <c r="DJ446" s="909">
        <f>_xlfn.IFNA(INDEX('Resource use and costs'!$CQ$11:$CQ$53,MATCH($CZ446,'Resource use and costs'!$BA$11:$BA$53,0)),0)*_xlfn.IFNA(INDEX(DY$10:DY$23,MATCH($CZ446,$DX$10:$DX$23,0)),0)</f>
        <v>54336.641519999976</v>
      </c>
      <c r="DK446" s="909">
        <f>IF(dd_PartSA_2_lines = "Yes",0,_xlfn.IFNA(INDEX('Resource use and costs'!$CR$11:$CR$53,MATCH(DA446,'Resource use and costs'!$BA$11:$BA$53,0)),0)*_xlfn.IFNA(INDEX(EA$10:EA$23,MATCH($DA446,$DX$10:$DX$23,0)),0))</f>
        <v>21421.066008214286</v>
      </c>
      <c r="DL446" s="909">
        <f>IF(dd_PartSA_2_lines = "Yes",0,_xlfn.IFNA(INDEX('Resource use and costs'!$CS$11:$CS$53,MATCH(DB446,'Resource use and costs'!$BA$11:$BA$53,0)),0)*_xlfn.IFNA(INDEX(EC$10:EC$23,MATCH($DB446,$DX$10:$DX$23,0)),0))</f>
        <v>0</v>
      </c>
      <c r="DM446" s="909">
        <f t="shared" si="246"/>
        <v>75757.707528214261</v>
      </c>
      <c r="DN446" s="909">
        <f>SUM(_xlfn.IFNA(INDEX('Resource use and costs'!$DU$12:$DU$25,MATCH(CZ446,'Resource use and costs'!$DS$12:$DS$25,0)),0),_xlfn.IFNA(INDEX('Resource use and costs'!$DU$12:$DU$25,MATCH(DA446,'Resource use and costs'!$DS$12:$DS$25,0)),0),_xlfn.IFNA(INDEX('Resource use and costs'!$DU$12:$DU$25,MATCH(DB446,'Resource use and costs'!$DS$12:$DS$25,0)),0))</f>
        <v>394.5</v>
      </c>
      <c r="DO446" s="921">
        <f>_xlfn.IFNA(INDEX('Resource use and costs'!$DY$12:$DY$25,MATCH(CZ446,'Resource use and costs'!$DS$12:$DS$25,0)),0)*_xlfn.IFNA(INDEX(DY$10:DY$23,MATCH($CZ446,$DX$10:$DX$23,0)),0)</f>
        <v>810.54285714285697</v>
      </c>
      <c r="DP446" s="921">
        <f>IF(dd_PartSA_2_lines = "Yes",0,_xlfn.IFNA(INDEX('Resource use and costs'!$DZ$12:$DZ$25,MATCH(DA446,'Resource use and costs'!$DS$12:$DS$25,0)),0)*_xlfn.IFNA(INDEX(EA$10:EA$23,MATCH($DA446,$DX$10:$DX$23,0)),0))</f>
        <v>267.99172714285714</v>
      </c>
      <c r="DQ446" s="921">
        <f>IF(dd_PartSA_2_lines = "Yes",0,_xlfn.IFNA(INDEX('Resource use and costs'!$EA$12:$EA$25,MATCH(DB446,'Resource use and costs'!$DS$12:$DS$25,0)),0)*_xlfn.IFNA(INDEX(EC$10:EC$23,MATCH($DB446,$DX$10:$DX$23,0)),0))</f>
        <v>0</v>
      </c>
      <c r="DR446" s="921">
        <f t="shared" si="247"/>
        <v>1473.0345842857141</v>
      </c>
      <c r="DS446" s="1004">
        <f ca="1">SUMIFS('Safety parameters'!$DM$6:$DM$18,'Safety parameters'!$DK$6:$DK$18,CZ446,'Safety parameters'!$DL$6:$DL$18,1)+IF(dd_PartSA_2_lines = "Yes",0,SUMIFS('Safety parameters'!$DM$6:$DM$18,'Safety parameters'!$DK$6:$DK$18,DA446,'Safety parameters'!$DL$6:$DL$18,2)+SUMIFS('Safety parameters'!$DM$6:$DM$18,'Safety parameters'!$DK$6:$DK$18,DB446,'Safety parameters'!$DL$6:$DL$18,2))</f>
        <v>1634.2286735654598</v>
      </c>
      <c r="DT446" s="910">
        <f ca="1">SUMIFS('Safety parameters'!$DO$6:$DO$18,'Safety parameters'!$DK$6:$DK$18,CZ446,'Safety parameters'!$DL$6:$DL$18,1)+IF(dd_PartSA_2_lines = "Yes",0,SUMIFS('Safety parameters'!$DO$6:$DO$18,'Safety parameters'!$DK$6:$DK$18,DA446,'Safety parameters'!$DL$6:$DL$18,2)+SUMIFS('Safety parameters'!$DO$6:$DO$18,'Safety parameters'!$DK$6:$DK$18,DB446,'Safety parameters'!$DL$6:$DL$18,2))</f>
        <v>-1.4741924007481429E-2</v>
      </c>
    </row>
    <row r="447" spans="89:124" ht="15" x14ac:dyDescent="0.2">
      <c r="CK447" s="61" t="s">
        <v>31</v>
      </c>
      <c r="CL447" s="61">
        <v>4</v>
      </c>
      <c r="CM447" s="61" t="str">
        <v>avelumab_plus_axitinib</v>
      </c>
      <c r="CN447" s="17">
        <v>4</v>
      </c>
      <c r="CO447" s="61" t="str" cm="1">
        <f t="array" ref="CO447">INDEX(List_comparators,CP446+1)</f>
        <v>nivolumab_monotherapy</v>
      </c>
      <c r="CP447" s="17">
        <v>0</v>
      </c>
      <c r="CQ447" s="601">
        <f t="shared" ca="1" si="255"/>
        <v>0</v>
      </c>
      <c r="CR447" s="601">
        <f t="shared" ca="1" si="256"/>
        <v>0</v>
      </c>
      <c r="CS447" s="601">
        <f t="shared" ca="1" si="257"/>
        <v>21.82</v>
      </c>
      <c r="CT447" s="669">
        <f t="shared" ca="1" si="258"/>
        <v>4.1142857142857139</v>
      </c>
      <c r="CU447" s="1123">
        <f>MATCH(CZ454,'Resource use and costs'!$BA$11:$BA$53,0)</f>
        <v>1</v>
      </c>
      <c r="CV447" s="1223"/>
      <c r="CW447" s="1241">
        <f t="shared" si="241"/>
        <v>1</v>
      </c>
      <c r="CX447" s="899" t="s">
        <v>773</v>
      </c>
      <c r="CY447" s="899" t="s">
        <v>319</v>
      </c>
      <c r="CZ447" s="899" t="s">
        <v>333</v>
      </c>
      <c r="DA447" s="899" t="s">
        <v>765</v>
      </c>
      <c r="DB447" s="899"/>
      <c r="DC447" s="899" cm="1">
        <f t="array" aca="1" ref="DC447" ca="1">_xlfn.IFNA(OFFSET($I$49,MATCH(CY447,$I$50:$I$63,0),MATCH(CZ447,TRANSPOSE($J$49:$W$49),0)),0)</f>
        <v>1.6065749508665357E-2</v>
      </c>
      <c r="DD447" s="899" cm="1">
        <f t="array" aca="1" ref="DD447" ca="1">_xlfn.IFNA(OFFSET($Y$49,MATCH($CZ447,$Y$50:$Y$63,0),MATCH($DA447,TRANSPOSE($Z$49:$AM$49),0)),0)</f>
        <v>0.34300000000000003</v>
      </c>
      <c r="DE447" s="899" cm="1">
        <f t="array" aca="1" ref="DE447" ca="1">_xlfn.IFNA(OFFSET($AO$49,MATCH($DA447,$AO$50:$AO$63,0),MATCH($DB447,TRANSPOSE($AP$49:$BC$49),0)),0)</f>
        <v>0</v>
      </c>
      <c r="DF447" s="881">
        <f t="shared" ca="1" si="244"/>
        <v>5.510552081472218E-3</v>
      </c>
      <c r="DG447" s="910">
        <f t="shared" ca="1" si="240"/>
        <v>0.98859556831386541</v>
      </c>
      <c r="DH447" s="881">
        <f t="shared" ca="1" si="245"/>
        <v>5.4477073667061815E-3</v>
      </c>
      <c r="DI447" s="1460">
        <f t="shared" ca="1" si="252"/>
        <v>0.56656156613744291</v>
      </c>
      <c r="DJ447" s="909">
        <f>_xlfn.IFNA(INDEX('Resource use and costs'!$CQ$11:$CQ$53,MATCH($CZ447,'Resource use and costs'!$BA$11:$BA$53,0)),0)*_xlfn.IFNA(INDEX(DY$10:DY$23,MATCH($CZ447,$DX$10:$DX$23,0)),0)</f>
        <v>54336.641519999976</v>
      </c>
      <c r="DK447" s="909">
        <f>IF(dd_PartSA_2_lines = "Yes",0,_xlfn.IFNA(INDEX('Resource use and costs'!$CR$11:$CR$53,MATCH(DA447,'Resource use and costs'!$BA$11:$BA$53,0)),0)*_xlfn.IFNA(INDEX(EA$10:EA$23,MATCH($DA447,$DX$10:$DX$23,0)),0))</f>
        <v>0</v>
      </c>
      <c r="DL447" s="909">
        <f>IF(dd_PartSA_2_lines = "Yes",0,_xlfn.IFNA(INDEX('Resource use and costs'!$CS$11:$CS$53,MATCH(DB447,'Resource use and costs'!$BA$11:$BA$53,0)),0)*_xlfn.IFNA(INDEX(EC$10:EC$23,MATCH($DB447,$DX$10:$DX$23,0)),0))</f>
        <v>0</v>
      </c>
      <c r="DM447" s="909">
        <f t="shared" si="246"/>
        <v>54336.641519999976</v>
      </c>
      <c r="DN447" s="909">
        <f>SUM(_xlfn.IFNA(INDEX('Resource use and costs'!$DU$12:$DU$25,MATCH(CZ447,'Resource use and costs'!$DS$12:$DS$25,0)),0),_xlfn.IFNA(INDEX('Resource use and costs'!$DU$12:$DU$25,MATCH(DA447,'Resource use and costs'!$DS$12:$DS$25,0)),0),_xlfn.IFNA(INDEX('Resource use and costs'!$DU$12:$DU$25,MATCH(DB447,'Resource use and costs'!$DS$12:$DS$25,0)),0))</f>
        <v>197.25</v>
      </c>
      <c r="DO447" s="921">
        <f>_xlfn.IFNA(INDEX('Resource use and costs'!$DY$12:$DY$25,MATCH(CZ447,'Resource use and costs'!$DS$12:$DS$25,0)),0)*_xlfn.IFNA(INDEX(DY$10:DY$23,MATCH($CZ447,$DX$10:$DX$23,0)),0)</f>
        <v>810.54285714285697</v>
      </c>
      <c r="DP447" s="921">
        <f>IF(dd_PartSA_2_lines = "Yes",0,_xlfn.IFNA(INDEX('Resource use and costs'!$DZ$12:$DZ$25,MATCH(DA447,'Resource use and costs'!$DS$12:$DS$25,0)),0)*_xlfn.IFNA(INDEX(EA$10:EA$23,MATCH($DA447,$DX$10:$DX$23,0)),0))</f>
        <v>0</v>
      </c>
      <c r="DQ447" s="921">
        <f>IF(dd_PartSA_2_lines = "Yes",0,_xlfn.IFNA(INDEX('Resource use and costs'!$EA$12:$EA$25,MATCH(DB447,'Resource use and costs'!$DS$12:$DS$25,0)),0)*_xlfn.IFNA(INDEX(EC$10:EC$23,MATCH($DB447,$DX$10:$DX$23,0)),0))</f>
        <v>0</v>
      </c>
      <c r="DR447" s="921">
        <f t="shared" si="247"/>
        <v>1007.792857142857</v>
      </c>
      <c r="DS447" s="1004">
        <f>SUMIFS('Safety parameters'!$DM$6:$DM$18,'Safety parameters'!$DK$6:$DK$18,CZ447,'Safety parameters'!$DL$6:$DL$18,1)+IF(dd_PartSA_2_lines = "Yes",0,SUMIFS('Safety parameters'!$DM$6:$DM$18,'Safety parameters'!$DK$6:$DK$18,DA447,'Safety parameters'!$DL$6:$DL$18,2)+SUMIFS('Safety parameters'!$DM$6:$DM$18,'Safety parameters'!$DK$6:$DK$18,DB447,'Safety parameters'!$DL$6:$DL$18,2))</f>
        <v>0</v>
      </c>
      <c r="DT447" s="910">
        <f>SUMIFS('Safety parameters'!$DO$6:$DO$18,'Safety parameters'!$DK$6:$DK$18,CZ447,'Safety parameters'!$DL$6:$DL$18,1)+IF(dd_PartSA_2_lines = "Yes",0,SUMIFS('Safety parameters'!$DO$6:$DO$18,'Safety parameters'!$DK$6:$DK$18,DA447,'Safety parameters'!$DL$6:$DL$18,2)+SUMIFS('Safety parameters'!$DO$6:$DO$18,'Safety parameters'!$DK$6:$DK$18,DB447,'Safety parameters'!$DL$6:$DL$18,2))</f>
        <v>0</v>
      </c>
    </row>
    <row r="448" spans="89:124" ht="15" x14ac:dyDescent="0.2">
      <c r="CK448" s="61" t="s">
        <v>31</v>
      </c>
      <c r="CL448" s="61">
        <v>4</v>
      </c>
      <c r="CM448" s="61" t="str">
        <v>pazopanib</v>
      </c>
      <c r="CN448" s="17">
        <v>5</v>
      </c>
      <c r="CO448" s="61" t="str" cm="1">
        <f t="array" ref="CO448">INDEX(List_comparators,CP447+1)</f>
        <v>nivolumab_monotherapy</v>
      </c>
      <c r="CP448" s="17">
        <v>0</v>
      </c>
      <c r="CQ448" s="601">
        <f t="shared" ca="1" si="255"/>
        <v>0</v>
      </c>
      <c r="CR448" s="601">
        <f t="shared" ca="1" si="256"/>
        <v>0</v>
      </c>
      <c r="CS448" s="601">
        <f t="shared" ca="1" si="257"/>
        <v>21.82</v>
      </c>
      <c r="CT448" s="669">
        <f t="shared" ca="1" si="258"/>
        <v>4.1142857142857139</v>
      </c>
      <c r="CU448" s="1123">
        <f>MATCH(CZ455,'Resource use and costs'!$BA$11:$BA$53,0)</f>
        <v>1</v>
      </c>
      <c r="CV448" s="1223"/>
      <c r="CW448" s="1241">
        <f t="shared" si="241"/>
        <v>1</v>
      </c>
      <c r="CX448" s="899" t="s">
        <v>773</v>
      </c>
      <c r="CY448" s="899" t="s">
        <v>319</v>
      </c>
      <c r="CZ448" s="899" t="s">
        <v>333</v>
      </c>
      <c r="DA448" s="899" t="s">
        <v>118</v>
      </c>
      <c r="DB448" s="899" t="s">
        <v>327</v>
      </c>
      <c r="DC448" s="899" cm="1">
        <f t="array" aca="1" ref="DC448" ca="1">_xlfn.IFNA(OFFSET($I$49,MATCH(CY448,$I$50:$I$63,0),MATCH(CZ448,TRANSPOSE($J$49:$W$49),0)),0)</f>
        <v>1.6065749508665357E-2</v>
      </c>
      <c r="DD448" s="899">
        <f ca="1">1-DD450-DD447</f>
        <v>0.57489999999999997</v>
      </c>
      <c r="DE448" s="899">
        <f ca="1">1-DE449</f>
        <v>0.56859999999999999</v>
      </c>
      <c r="DF448" s="881">
        <f t="shared" ca="1" si="244"/>
        <v>5.2517029745935313E-3</v>
      </c>
      <c r="DG448" s="910">
        <f t="shared" ca="1" si="240"/>
        <v>0.98859556831386541</v>
      </c>
      <c r="DH448" s="881">
        <f t="shared" ca="1" si="245"/>
        <v>5.1918102867839098E-3</v>
      </c>
      <c r="DI448" s="1460">
        <f t="shared" ca="1" si="252"/>
        <v>0.53994826982552657</v>
      </c>
      <c r="DJ448" s="909">
        <f>_xlfn.IFNA(INDEX('Resource use and costs'!$CQ$11:$CQ$53,MATCH($CZ448,'Resource use and costs'!$BA$11:$BA$53,0)),0)*_xlfn.IFNA(INDEX(DY$10:DY$23,MATCH($CZ448,$DX$10:$DX$23,0)),0)</f>
        <v>54336.641519999976</v>
      </c>
      <c r="DK448" s="909">
        <f>IF(dd_PartSA_2_lines = "Yes",0,_xlfn.IFNA(INDEX('Resource use and costs'!$CR$11:$CR$53,MATCH(DA448,'Resource use and costs'!$BA$11:$BA$53,0)),0)*_xlfn.IFNA(INDEX(EA$10:EA$23,MATCH($DA448,$DX$10:$DX$23,0)),0))</f>
        <v>50308.075122000002</v>
      </c>
      <c r="DL448" s="909">
        <f>IF(dd_PartSA_2_lines = "Yes",0,_xlfn.IFNA(INDEX('Resource use and costs'!$CS$11:$CS$53,MATCH(DB448,'Resource use and costs'!$BA$11:$BA$53,0)),0)*_xlfn.IFNA(INDEX(EC$10:EC$23,MATCH($DB448,$DX$10:$DX$23,0)),0))</f>
        <v>18438.751749999999</v>
      </c>
      <c r="DM448" s="909">
        <f t="shared" si="246"/>
        <v>123083.46839199998</v>
      </c>
      <c r="DN448" s="909">
        <f>SUM(_xlfn.IFNA(INDEX('Resource use and costs'!$DU$12:$DU$25,MATCH(CZ448,'Resource use and costs'!$DS$12:$DS$25,0)),0),_xlfn.IFNA(INDEX('Resource use and costs'!$DU$12:$DU$25,MATCH(DA448,'Resource use and costs'!$DS$12:$DS$25,0)),0),_xlfn.IFNA(INDEX('Resource use and costs'!$DU$12:$DU$25,MATCH(DB448,'Resource use and costs'!$DS$12:$DS$25,0)),0))</f>
        <v>591.75</v>
      </c>
      <c r="DO448" s="921">
        <f>_xlfn.IFNA(INDEX('Resource use and costs'!$DY$12:$DY$25,MATCH(CZ448,'Resource use and costs'!$DS$12:$DS$25,0)),0)*_xlfn.IFNA(INDEX(DY$10:DY$23,MATCH($CZ448,$DX$10:$DX$23,0)),0)</f>
        <v>810.54285714285697</v>
      </c>
      <c r="DP448" s="921">
        <f>IF(dd_PartSA_2_lines = "Yes",0,_xlfn.IFNA(INDEX('Resource use and costs'!$DZ$12:$DZ$25,MATCH(DA448,'Resource use and costs'!$DS$12:$DS$25,0)),0)*_xlfn.IFNA(INDEX(EA$10:EA$23,MATCH($DA448,$DX$10:$DX$23,0)),0))</f>
        <v>461.1445457142857</v>
      </c>
      <c r="DQ448" s="921">
        <f>IF(dd_PartSA_2_lines = "Yes",0,_xlfn.IFNA(INDEX('Resource use and costs'!$EA$12:$EA$25,MATCH(DB448,'Resource use and costs'!$DS$12:$DS$25,0)),0)*_xlfn.IFNA(INDEX(EC$10:EC$23,MATCH($DB448,$DX$10:$DX$23,0)),0))</f>
        <v>230.68099999999998</v>
      </c>
      <c r="DR448" s="921">
        <f t="shared" si="247"/>
        <v>2094.1184028571424</v>
      </c>
      <c r="DS448" s="1004">
        <f ca="1">SUMIFS('Safety parameters'!$DM$6:$DM$18,'Safety parameters'!$DK$6:$DK$18,CZ448,'Safety parameters'!$DL$6:$DL$18,1)+IF(dd_PartSA_2_lines = "Yes",0,SUMIFS('Safety parameters'!$DM$6:$DM$18,'Safety parameters'!$DK$6:$DK$18,DA448,'Safety parameters'!$DL$6:$DL$18,2)+SUMIFS('Safety parameters'!$DM$6:$DM$18,'Safety parameters'!$DK$6:$DK$18,DB448,'Safety parameters'!$DL$6:$DL$18,2))</f>
        <v>2377.8779733688434</v>
      </c>
      <c r="DT448" s="910">
        <f ca="1">SUMIFS('Safety parameters'!$DO$6:$DO$18,'Safety parameters'!$DK$6:$DK$18,CZ448,'Safety parameters'!$DL$6:$DL$18,1)+IF(dd_PartSA_2_lines = "Yes",0,SUMIFS('Safety parameters'!$DO$6:$DO$18,'Safety parameters'!$DK$6:$DK$18,DA448,'Safety parameters'!$DL$6:$DL$18,2)+SUMIFS('Safety parameters'!$DO$6:$DO$18,'Safety parameters'!$DK$6:$DK$18,DB448,'Safety parameters'!$DL$6:$DL$18,2))</f>
        <v>-2.1764250363717368E-2</v>
      </c>
    </row>
    <row r="449" spans="89:124" ht="15" x14ac:dyDescent="0.2">
      <c r="CK449" s="61" t="s">
        <v>31</v>
      </c>
      <c r="CL449" s="61">
        <v>4</v>
      </c>
      <c r="CM449" s="61" t="str">
        <v>tivozanib</v>
      </c>
      <c r="CN449" s="17">
        <v>6</v>
      </c>
      <c r="CO449" s="61" t="str" cm="1">
        <f t="array" ref="CO449">INDEX(List_comparators,CP448+1)</f>
        <v>nivolumab_monotherapy</v>
      </c>
      <c r="CP449" s="17">
        <v>0</v>
      </c>
      <c r="CQ449" s="601">
        <f t="shared" ca="1" si="255"/>
        <v>0</v>
      </c>
      <c r="CR449" s="601">
        <f t="shared" ca="1" si="256"/>
        <v>0</v>
      </c>
      <c r="CS449" s="601">
        <f t="shared" ca="1" si="257"/>
        <v>21.82</v>
      </c>
      <c r="CT449" s="669">
        <f t="shared" ca="1" si="258"/>
        <v>4.1142857142857139</v>
      </c>
      <c r="CU449" s="1123">
        <f>MATCH(CZ456,'Resource use and costs'!$BA$11:$BA$53,0)</f>
        <v>1</v>
      </c>
      <c r="CV449" s="1223"/>
      <c r="CW449" s="1241">
        <f t="shared" si="241"/>
        <v>1</v>
      </c>
      <c r="CX449" s="899" t="s">
        <v>773</v>
      </c>
      <c r="CY449" s="899" t="s">
        <v>319</v>
      </c>
      <c r="CZ449" s="899" t="s">
        <v>333</v>
      </c>
      <c r="DA449" s="899" t="s">
        <v>118</v>
      </c>
      <c r="DB449" s="899" t="s">
        <v>765</v>
      </c>
      <c r="DC449" s="899" cm="1">
        <f t="array" aca="1" ref="DC449" ca="1">_xlfn.IFNA(OFFSET($I$49,MATCH(CY449,$I$50:$I$63,0),MATCH(CZ449,TRANSPOSE($J$49:$W$49),0)),0)</f>
        <v>1.6065749508665357E-2</v>
      </c>
      <c r="DD449" s="899">
        <f ca="1">DD448</f>
        <v>0.57489999999999997</v>
      </c>
      <c r="DE449" s="899" cm="1">
        <f t="array" aca="1" ref="DE449" ca="1">_xlfn.IFNA(OFFSET($AO$49,MATCH($DA449,$AO$50:$AO$63,0),MATCH($DB449,TRANSPOSE($AP$49:$BC$49),0)),0)</f>
        <v>0.43140000000000001</v>
      </c>
      <c r="DF449" s="881">
        <f t="shared" ca="1" si="244"/>
        <v>3.9844964179381812E-3</v>
      </c>
      <c r="DG449" s="910">
        <f t="shared" ca="1" si="240"/>
        <v>0.98859556831386541</v>
      </c>
      <c r="DH449" s="881">
        <f t="shared" ca="1" si="245"/>
        <v>3.9390555007361569E-3</v>
      </c>
      <c r="DI449" s="1460">
        <f t="shared" ca="1" si="252"/>
        <v>0.40966177207656029</v>
      </c>
      <c r="DJ449" s="909">
        <f>_xlfn.IFNA(INDEX('Resource use and costs'!$CQ$11:$CQ$53,MATCH($CZ449,'Resource use and costs'!$BA$11:$BA$53,0)),0)*_xlfn.IFNA(INDEX(DY$10:DY$23,MATCH($CZ449,$DX$10:$DX$23,0)),0)</f>
        <v>54336.641519999976</v>
      </c>
      <c r="DK449" s="909">
        <f>IF(dd_PartSA_2_lines = "Yes",0,_xlfn.IFNA(INDEX('Resource use and costs'!$CR$11:$CR$53,MATCH(DA449,'Resource use and costs'!$BA$11:$BA$53,0)),0)*_xlfn.IFNA(INDEX(EA$10:EA$23,MATCH($DA449,$DX$10:$DX$23,0)),0))</f>
        <v>50308.075122000002</v>
      </c>
      <c r="DL449" s="909">
        <f>IF(dd_PartSA_2_lines = "Yes",0,_xlfn.IFNA(INDEX('Resource use and costs'!$CS$11:$CS$53,MATCH(DB449,'Resource use and costs'!$BA$11:$BA$53,0)),0)*_xlfn.IFNA(INDEX(EC$10:EC$23,MATCH($DB449,$DX$10:$DX$23,0)),0))</f>
        <v>0</v>
      </c>
      <c r="DM449" s="909">
        <f t="shared" si="246"/>
        <v>104644.71664199998</v>
      </c>
      <c r="DN449" s="909">
        <f>SUM(_xlfn.IFNA(INDEX('Resource use and costs'!$DU$12:$DU$25,MATCH(CZ449,'Resource use and costs'!$DS$12:$DS$25,0)),0),_xlfn.IFNA(INDEX('Resource use and costs'!$DU$12:$DU$25,MATCH(DA449,'Resource use and costs'!$DS$12:$DS$25,0)),0),_xlfn.IFNA(INDEX('Resource use and costs'!$DU$12:$DU$25,MATCH(DB449,'Resource use and costs'!$DS$12:$DS$25,0)),0))</f>
        <v>394.5</v>
      </c>
      <c r="DO449" s="921">
        <f>_xlfn.IFNA(INDEX('Resource use and costs'!$DY$12:$DY$25,MATCH(CZ449,'Resource use and costs'!$DS$12:$DS$25,0)),0)*_xlfn.IFNA(INDEX(DY$10:DY$23,MATCH($CZ449,$DX$10:$DX$23,0)),0)</f>
        <v>810.54285714285697</v>
      </c>
      <c r="DP449" s="921">
        <f>IF(dd_PartSA_2_lines = "Yes",0,_xlfn.IFNA(INDEX('Resource use and costs'!$DZ$12:$DZ$25,MATCH(DA449,'Resource use and costs'!$DS$12:$DS$25,0)),0)*_xlfn.IFNA(INDEX(EA$10:EA$23,MATCH($DA449,$DX$10:$DX$23,0)),0))</f>
        <v>461.1445457142857</v>
      </c>
      <c r="DQ449" s="921">
        <f>IF(dd_PartSA_2_lines = "Yes",0,_xlfn.IFNA(INDEX('Resource use and costs'!$EA$12:$EA$25,MATCH(DB449,'Resource use and costs'!$DS$12:$DS$25,0)),0)*_xlfn.IFNA(INDEX(EC$10:EC$23,MATCH($DB449,$DX$10:$DX$23,0)),0))</f>
        <v>0</v>
      </c>
      <c r="DR449" s="921">
        <f t="shared" si="247"/>
        <v>1666.1874028571426</v>
      </c>
      <c r="DS449" s="1004">
        <f ca="1">SUMIFS('Safety parameters'!$DM$6:$DM$18,'Safety parameters'!$DK$6:$DK$18,CZ449,'Safety parameters'!$DL$6:$DL$18,1)+IF(dd_PartSA_2_lines = "Yes",0,SUMIFS('Safety parameters'!$DM$6:$DM$18,'Safety parameters'!$DK$6:$DK$18,DA449,'Safety parameters'!$DL$6:$DL$18,2)+SUMIFS('Safety parameters'!$DM$6:$DM$18,'Safety parameters'!$DK$6:$DK$18,DB449,'Safety parameters'!$DL$6:$DL$18,2))</f>
        <v>743.64929980338343</v>
      </c>
      <c r="DT449" s="910">
        <f ca="1">SUMIFS('Safety parameters'!$DO$6:$DO$18,'Safety parameters'!$DK$6:$DK$18,CZ449,'Safety parameters'!$DL$6:$DL$18,1)+IF(dd_PartSA_2_lines = "Yes",0,SUMIFS('Safety parameters'!$DO$6:$DO$18,'Safety parameters'!$DK$6:$DK$18,DA449,'Safety parameters'!$DL$6:$DL$18,2)+SUMIFS('Safety parameters'!$DO$6:$DO$18,'Safety parameters'!$DK$6:$DK$18,DB449,'Safety parameters'!$DL$6:$DL$18,2))</f>
        <v>-7.0223263562359372E-3</v>
      </c>
    </row>
    <row r="450" spans="89:124" ht="15" x14ac:dyDescent="0.2">
      <c r="CK450" s="61" t="s">
        <v>31</v>
      </c>
      <c r="CL450" s="61">
        <v>4</v>
      </c>
      <c r="CM450" s="61" t="str">
        <v>sunitinib</v>
      </c>
      <c r="CN450" s="17">
        <v>7</v>
      </c>
      <c r="CO450" s="61" t="str" cm="1">
        <f t="array" ref="CO450">INDEX(List_comparators,CP449+1)</f>
        <v>nivolumab_monotherapy</v>
      </c>
      <c r="CP450" s="17">
        <v>0</v>
      </c>
      <c r="CQ450" s="601">
        <f t="shared" ca="1" si="255"/>
        <v>0</v>
      </c>
      <c r="CR450" s="601">
        <f t="shared" ca="1" si="256"/>
        <v>0</v>
      </c>
      <c r="CS450" s="601">
        <f t="shared" ca="1" si="257"/>
        <v>21.82</v>
      </c>
      <c r="CT450" s="669">
        <f t="shared" ca="1" si="258"/>
        <v>4.1142857142857139</v>
      </c>
      <c r="CU450" s="1123">
        <f>MATCH(CZ457,'Resource use and costs'!$BA$11:$BA$53,0)</f>
        <v>1</v>
      </c>
      <c r="CV450" s="1223"/>
      <c r="CW450" s="1241">
        <f t="shared" si="241"/>
        <v>1</v>
      </c>
      <c r="CX450" s="899" t="s">
        <v>773</v>
      </c>
      <c r="CY450" s="899" t="s">
        <v>319</v>
      </c>
      <c r="CZ450" s="899" t="s">
        <v>333</v>
      </c>
      <c r="DA450" s="899" t="s">
        <v>579</v>
      </c>
      <c r="DB450" s="899" t="s">
        <v>327</v>
      </c>
      <c r="DC450" s="899" cm="1">
        <f t="array" aca="1" ref="DC450" ca="1">_xlfn.IFNA(OFFSET($I$49,MATCH(CY450,$I$50:$I$63,0),MATCH(CZ450,TRANSPOSE($J$49:$W$49),0)),0)</f>
        <v>1.6065749508665357E-2</v>
      </c>
      <c r="DD450" s="899" cm="1">
        <f t="array" aca="1" ref="DD450" ca="1">_xlfn.IFNA(OFFSET($Y$49,MATCH($CZ450,$Y$50:$Y$63,0),MATCH($DA450,TRANSPOSE($Z$49:$AM$49),0)),0)</f>
        <v>8.2100000000000006E-2</v>
      </c>
      <c r="DE450" s="899" cm="1">
        <f t="array" aca="1" ref="DE450" ca="1">_xlfn.IFNA(OFFSET($AO$49,MATCH($DA450,$AO$50:$AO$63,0),MATCH($DB450,TRANSPOSE($AP$49:$BC$49),0)),0)</f>
        <v>0.56859999999999999</v>
      </c>
      <c r="DF450" s="881">
        <f t="shared" ca="1" si="244"/>
        <v>7.4998228250848671E-4</v>
      </c>
      <c r="DG450" s="910">
        <f t="shared" ca="1" si="240"/>
        <v>0.98859556831386541</v>
      </c>
      <c r="DH450" s="881">
        <f t="shared" ca="1" si="245"/>
        <v>7.4142916080180735E-4</v>
      </c>
      <c r="DI450" s="1460">
        <f t="shared" ca="1" si="252"/>
        <v>7.7108632723387971E-2</v>
      </c>
      <c r="DJ450" s="909">
        <f>_xlfn.IFNA(INDEX('Resource use and costs'!$CQ$11:$CQ$53,MATCH($CZ450,'Resource use and costs'!$BA$11:$BA$53,0)),0)*_xlfn.IFNA(INDEX(DY$10:DY$23,MATCH($CZ450,$DX$10:$DX$23,0)),0)</f>
        <v>54336.641519999976</v>
      </c>
      <c r="DK450" s="909">
        <f>IF(dd_PartSA_2_lines = "Yes",0,_xlfn.IFNA(INDEX('Resource use and costs'!$CR$11:$CR$53,MATCH(DA450,'Resource use and costs'!$BA$11:$BA$53,0)),0)*_xlfn.IFNA(INDEX(EA$10:EA$23,MATCH($DA450,$DX$10:$DX$23,0)),0))</f>
        <v>26054.50921</v>
      </c>
      <c r="DL450" s="909">
        <f>IF(dd_PartSA_2_lines = "Yes",0,_xlfn.IFNA(INDEX('Resource use and costs'!$CS$11:$CS$53,MATCH(DB450,'Resource use and costs'!$BA$11:$BA$53,0)),0)*_xlfn.IFNA(INDEX(EC$10:EC$23,MATCH($DB450,$DX$10:$DX$23,0)),0))</f>
        <v>18438.751749999999</v>
      </c>
      <c r="DM450" s="909">
        <f t="shared" si="246"/>
        <v>98829.902479999975</v>
      </c>
      <c r="DN450" s="909">
        <f>SUM(_xlfn.IFNA(INDEX('Resource use and costs'!$DU$12:$DU$25,MATCH(CZ450,'Resource use and costs'!$DS$12:$DS$25,0)),0),_xlfn.IFNA(INDEX('Resource use and costs'!$DU$12:$DU$25,MATCH(DA450,'Resource use and costs'!$DS$12:$DS$25,0)),0),_xlfn.IFNA(INDEX('Resource use and costs'!$DU$12:$DU$25,MATCH(DB450,'Resource use and costs'!$DS$12:$DS$25,0)),0))</f>
        <v>394.5</v>
      </c>
      <c r="DO450" s="921">
        <f>_xlfn.IFNA(INDEX('Resource use and costs'!$DY$12:$DY$25,MATCH(CZ450,'Resource use and costs'!$DS$12:$DS$25,0)),0)*_xlfn.IFNA(INDEX(DY$10:DY$23,MATCH($CZ450,$DX$10:$DX$23,0)),0)</f>
        <v>810.54285714285697</v>
      </c>
      <c r="DP450" s="921">
        <f>IF(dd_PartSA_2_lines = "Yes",0,_xlfn.IFNA(INDEX('Resource use and costs'!$DZ$12:$DZ$25,MATCH(DA450,'Resource use and costs'!$DS$12:$DS$25,0)),0)*_xlfn.IFNA(INDEX(EA$10:EA$23,MATCH($DA450,$DX$10:$DX$23,0)),0))</f>
        <v>4108.3597166</v>
      </c>
      <c r="DQ450" s="921">
        <f>IF(dd_PartSA_2_lines = "Yes",0,_xlfn.IFNA(INDEX('Resource use and costs'!$EA$12:$EA$25,MATCH(DB450,'Resource use and costs'!$DS$12:$DS$25,0)),0)*_xlfn.IFNA(INDEX(EC$10:EC$23,MATCH($DB450,$DX$10:$DX$23,0)),0))</f>
        <v>230.68099999999998</v>
      </c>
      <c r="DR450" s="921">
        <f t="shared" si="247"/>
        <v>5544.0835737428561</v>
      </c>
      <c r="DS450" s="1004">
        <f ca="1">SUMIFS('Safety parameters'!$DM$6:$DM$18,'Safety parameters'!$DK$6:$DK$18,CZ450,'Safety parameters'!$DL$6:$DL$18,1)+IF(dd_PartSA_2_lines = "Yes",0,SUMIFS('Safety parameters'!$DM$6:$DM$18,'Safety parameters'!$DK$6:$DK$18,DA450,'Safety parameters'!$DL$6:$DL$18,2)+SUMIFS('Safety parameters'!$DM$6:$DM$18,'Safety parameters'!$DK$6:$DK$18,DB450,'Safety parameters'!$DL$6:$DL$18,2))</f>
        <v>1795.3624225558742</v>
      </c>
      <c r="DT450" s="910">
        <f ca="1">SUMIFS('Safety parameters'!$DO$6:$DO$18,'Safety parameters'!$DK$6:$DK$18,CZ450,'Safety parameters'!$DL$6:$DL$18,1)+IF(dd_PartSA_2_lines = "Yes",0,SUMIFS('Safety parameters'!$DO$6:$DO$18,'Safety parameters'!$DK$6:$DK$18,DA450,'Safety parameters'!$DL$6:$DL$18,2)+SUMIFS('Safety parameters'!$DO$6:$DO$18,'Safety parameters'!$DK$6:$DK$18,DB450,'Safety parameters'!$DL$6:$DL$18,2))</f>
        <v>-1.6339008205166216E-2</v>
      </c>
    </row>
    <row r="451" spans="89:124" ht="15" x14ac:dyDescent="0.2">
      <c r="CK451" s="61" t="s">
        <v>31</v>
      </c>
      <c r="CL451" s="61">
        <v>4</v>
      </c>
      <c r="CM451" s="61" t="str">
        <v>cabozantinib</v>
      </c>
      <c r="CN451" s="17">
        <v>8</v>
      </c>
      <c r="CO451" s="61" t="str" cm="1">
        <f t="array" ref="CO451">INDEX(List_comparators,CP450+1)</f>
        <v>nivolumab_monotherapy</v>
      </c>
      <c r="CP451" s="17">
        <v>0</v>
      </c>
      <c r="CQ451" s="601">
        <f t="shared" ca="1" si="255"/>
        <v>0</v>
      </c>
      <c r="CR451" s="601">
        <f t="shared" ca="1" si="256"/>
        <v>0</v>
      </c>
      <c r="CS451" s="601">
        <f t="shared" ca="1" si="257"/>
        <v>21.82</v>
      </c>
      <c r="CT451" s="669">
        <f t="shared" ca="1" si="258"/>
        <v>4.1142857142857139</v>
      </c>
      <c r="CU451" s="1123">
        <f>MATCH(CZ458,'Resource use and costs'!$BA$11:$BA$53,0)</f>
        <v>1</v>
      </c>
      <c r="CV451" s="1223"/>
      <c r="CW451" s="1241">
        <f t="shared" si="241"/>
        <v>1</v>
      </c>
      <c r="CX451" s="899" t="s">
        <v>773</v>
      </c>
      <c r="CY451" s="899" t="s">
        <v>319</v>
      </c>
      <c r="CZ451" s="899" t="s">
        <v>333</v>
      </c>
      <c r="DA451" s="899" t="s">
        <v>579</v>
      </c>
      <c r="DB451" s="899" t="s">
        <v>765</v>
      </c>
      <c r="DC451" s="899" cm="1">
        <f t="array" aca="1" ref="DC451" ca="1">_xlfn.IFNA(OFFSET($I$49,MATCH(CY451,$I$50:$I$63,0),MATCH(CZ451,TRANSPOSE($J$49:$W$49),0)),0)</f>
        <v>1.6065749508665357E-2</v>
      </c>
      <c r="DD451" s="899" cm="1">
        <f t="array" aca="1" ref="DD451" ca="1">_xlfn.IFNA(OFFSET($Y$49,MATCH($CZ451,$Y$50:$Y$63,0),MATCH($DA451,TRANSPOSE($Z$49:$AM$49),0)),0)</f>
        <v>8.2100000000000006E-2</v>
      </c>
      <c r="DE451" s="899" cm="1">
        <f t="array" aca="1" ref="DE451" ca="1">_xlfn.IFNA(OFFSET($AO$49,MATCH($DA451,$AO$50:$AO$63,0),MATCH($DB451,TRANSPOSE($AP$49:$BC$49),0)),0)</f>
        <v>0.43140000000000001</v>
      </c>
      <c r="DF451" s="881">
        <f t="shared" ca="1" si="244"/>
        <v>5.6901575215293919E-4</v>
      </c>
      <c r="DG451" s="910">
        <f t="shared" ca="1" si="240"/>
        <v>0.98859556831386541</v>
      </c>
      <c r="DH451" s="881">
        <f t="shared" ca="1" si="245"/>
        <v>5.6252645087917648E-4</v>
      </c>
      <c r="DI451" s="1460">
        <f t="shared" ca="1" si="252"/>
        <v>5.8502750891434356E-2</v>
      </c>
      <c r="DJ451" s="909">
        <f>_xlfn.IFNA(INDEX('Resource use and costs'!$CQ$11:$CQ$53,MATCH($CZ451,'Resource use and costs'!$BA$11:$BA$53,0)),0)*_xlfn.IFNA(INDEX(DY$10:DY$23,MATCH($CZ451,$DX$10:$DX$23,0)),0)</f>
        <v>54336.641519999976</v>
      </c>
      <c r="DK451" s="909">
        <f>IF(dd_PartSA_2_lines = "Yes",0,_xlfn.IFNA(INDEX('Resource use and costs'!$CR$11:$CR$53,MATCH(DA451,'Resource use and costs'!$BA$11:$BA$53,0)),0)*_xlfn.IFNA(INDEX(EA$10:EA$23,MATCH($DA451,$DX$10:$DX$23,0)),0))</f>
        <v>26054.50921</v>
      </c>
      <c r="DL451" s="909">
        <f>IF(dd_PartSA_2_lines = "Yes",0,_xlfn.IFNA(INDEX('Resource use and costs'!$CS$11:$CS$53,MATCH(DB451,'Resource use and costs'!$BA$11:$BA$53,0)),0)*_xlfn.IFNA(INDEX(EC$10:EC$23,MATCH($DB451,$DX$10:$DX$23,0)),0))</f>
        <v>0</v>
      </c>
      <c r="DM451" s="909">
        <f t="shared" si="246"/>
        <v>80391.150729999979</v>
      </c>
      <c r="DN451" s="909">
        <f>SUM(_xlfn.IFNA(INDEX('Resource use and costs'!$DU$12:$DU$25,MATCH(CZ451,'Resource use and costs'!$DS$12:$DS$25,0)),0),_xlfn.IFNA(INDEX('Resource use and costs'!$DU$12:$DU$25,MATCH(DA451,'Resource use and costs'!$DS$12:$DS$25,0)),0),_xlfn.IFNA(INDEX('Resource use and costs'!$DU$12:$DU$25,MATCH(DB451,'Resource use and costs'!$DS$12:$DS$25,0)),0))</f>
        <v>197.25</v>
      </c>
      <c r="DO451" s="921">
        <f>_xlfn.IFNA(INDEX('Resource use and costs'!$DY$12:$DY$25,MATCH(CZ451,'Resource use and costs'!$DS$12:$DS$25,0)),0)*_xlfn.IFNA(INDEX(DY$10:DY$23,MATCH($CZ451,$DX$10:$DX$23,0)),0)</f>
        <v>810.54285714285697</v>
      </c>
      <c r="DP451" s="921">
        <f>IF(dd_PartSA_2_lines = "Yes",0,_xlfn.IFNA(INDEX('Resource use and costs'!$DZ$12:$DZ$25,MATCH(DA451,'Resource use and costs'!$DS$12:$DS$25,0)),0)*_xlfn.IFNA(INDEX(EA$10:EA$23,MATCH($DA451,$DX$10:$DX$23,0)),0))</f>
        <v>4108.3597166</v>
      </c>
      <c r="DQ451" s="921">
        <f>IF(dd_PartSA_2_lines = "Yes",0,_xlfn.IFNA(INDEX('Resource use and costs'!$EA$12:$EA$25,MATCH(DB451,'Resource use and costs'!$DS$12:$DS$25,0)),0)*_xlfn.IFNA(INDEX(EC$10:EC$23,MATCH($DB451,$DX$10:$DX$23,0)),0))</f>
        <v>0</v>
      </c>
      <c r="DR451" s="921">
        <f t="shared" si="247"/>
        <v>5116.1525737428565</v>
      </c>
      <c r="DS451" s="1004">
        <f ca="1">SUMIFS('Safety parameters'!$DM$6:$DM$18,'Safety parameters'!$DK$6:$DK$18,CZ451,'Safety parameters'!$DL$6:$DL$18,1)+IF(dd_PartSA_2_lines = "Yes",0,SUMIFS('Safety parameters'!$DM$6:$DM$18,'Safety parameters'!$DK$6:$DK$18,DA451,'Safety parameters'!$DL$6:$DL$18,2)+SUMIFS('Safety parameters'!$DM$6:$DM$18,'Safety parameters'!$DK$6:$DK$18,DB451,'Safety parameters'!$DL$6:$DL$18,2))</f>
        <v>161.1337489904144</v>
      </c>
      <c r="DT451" s="910">
        <f ca="1">SUMIFS('Safety parameters'!$DO$6:$DO$18,'Safety parameters'!$DK$6:$DK$18,CZ451,'Safety parameters'!$DL$6:$DL$18,1)+IF(dd_PartSA_2_lines = "Yes",0,SUMIFS('Safety parameters'!$DO$6:$DO$18,'Safety parameters'!$DK$6:$DK$18,DA451,'Safety parameters'!$DL$6:$DL$18,2)+SUMIFS('Safety parameters'!$DO$6:$DO$18,'Safety parameters'!$DK$6:$DK$18,DB451,'Safety parameters'!$DL$6:$DL$18,2))</f>
        <v>-1.5970841976847864E-3</v>
      </c>
    </row>
    <row r="452" spans="89:124" ht="15" x14ac:dyDescent="0.2">
      <c r="CK452" s="61" t="s">
        <v>31</v>
      </c>
      <c r="CL452" s="61">
        <v>4</v>
      </c>
      <c r="CM452" s="61" t="str">
        <v>lenvatinib_plus_everolimus</v>
      </c>
      <c r="CN452" s="17">
        <v>9</v>
      </c>
      <c r="CO452" s="61" t="str" cm="1">
        <f t="array" ref="CO452">INDEX(List_comparators,CP451+1)</f>
        <v>nivolumab_monotherapy</v>
      </c>
      <c r="CP452" s="17">
        <v>0</v>
      </c>
      <c r="CQ452" s="601">
        <f t="shared" ca="1" si="255"/>
        <v>0</v>
      </c>
      <c r="CR452" s="601">
        <f t="shared" ca="1" si="256"/>
        <v>0</v>
      </c>
      <c r="CS452" s="601">
        <f t="shared" ca="1" si="257"/>
        <v>21.82</v>
      </c>
      <c r="CT452" s="669">
        <f t="shared" ca="1" si="258"/>
        <v>4.1142857142857139</v>
      </c>
      <c r="CU452" s="1123">
        <f>MATCH(CZ459,'Resource use and costs'!$BA$11:$BA$53,0)</f>
        <v>1</v>
      </c>
      <c r="CV452" s="1223"/>
      <c r="CW452" s="1241">
        <f t="shared" si="241"/>
        <v>1</v>
      </c>
      <c r="CX452" s="899" t="s">
        <v>773</v>
      </c>
      <c r="CY452" s="899" t="s">
        <v>319</v>
      </c>
      <c r="CZ452" s="899" t="s">
        <v>579</v>
      </c>
      <c r="DA452" s="899" t="s">
        <v>327</v>
      </c>
      <c r="DB452" s="899" t="s">
        <v>765</v>
      </c>
      <c r="DC452" s="899" cm="1">
        <f t="array" aca="1" ref="DC452" ca="1">_xlfn.IFNA(OFFSET($I$49,MATCH(CY452,$I$50:$I$63,0),MATCH(CZ452,TRANSPOSE($J$49:$W$49),0)),0)</f>
        <v>0.49974522065392168</v>
      </c>
      <c r="DD452" s="899" cm="1">
        <f t="array" aca="1" ref="DD452" ca="1">_xlfn.IFNA(OFFSET($Y$49,MATCH($CZ452,$Y$50:$Y$63,0),MATCH($DA452,TRANSPOSE($Z$49:$AM$49),0)),0)</f>
        <v>5.2400000000000002E-2</v>
      </c>
      <c r="DE452" s="899" cm="1">
        <f t="array" aca="1" ref="DE452" ca="1">_xlfn.IFNA(OFFSET($AO$49,MATCH($DA452,$AO$50:$AO$63,0),MATCH($DB452,TRANSPOSE($AP$49:$BC$49),0)),0)</f>
        <v>0.43140000000000001</v>
      </c>
      <c r="DF452" s="881">
        <f t="shared" ca="1" si="244"/>
        <v>1.1296920621161336E-2</v>
      </c>
      <c r="DG452" s="910">
        <f t="shared" ca="1" si="240"/>
        <v>0.98859556831386541</v>
      </c>
      <c r="DH452" s="881">
        <f t="shared" ca="1" si="245"/>
        <v>1.1168085661673616E-2</v>
      </c>
      <c r="DI452" s="1460">
        <f t="shared" ca="1" si="252"/>
        <v>1.1614809088140561</v>
      </c>
      <c r="DJ452" s="909">
        <f>_xlfn.IFNA(INDEX('Resource use and costs'!$CQ$11:$CQ$53,MATCH($CZ452,'Resource use and costs'!$BA$11:$BA$53,0)),0)*_xlfn.IFNA(INDEX(DY$10:DY$23,MATCH($CZ452,$DX$10:$DX$23,0)),0)</f>
        <v>56693.786091428577</v>
      </c>
      <c r="DK452" s="909">
        <f>IF(dd_PartSA_2_lines = "Yes",0,_xlfn.IFNA(INDEX('Resource use and costs'!$CR$11:$CR$53,MATCH(DA452,'Resource use and costs'!$BA$11:$BA$53,0)),0)*_xlfn.IFNA(INDEX(EA$10:EA$23,MATCH($DA452,$DX$10:$DX$23,0)),0))</f>
        <v>21421.066008214286</v>
      </c>
      <c r="DL452" s="909">
        <f>IF(dd_PartSA_2_lines = "Yes",0,_xlfn.IFNA(INDEX('Resource use and costs'!$CS$11:$CS$53,MATCH(DB452,'Resource use and costs'!$BA$11:$BA$53,0)),0)*_xlfn.IFNA(INDEX(EC$10:EC$23,MATCH($DB452,$DX$10:$DX$23,0)),0))</f>
        <v>0</v>
      </c>
      <c r="DM452" s="909">
        <f t="shared" si="246"/>
        <v>78114.852099642856</v>
      </c>
      <c r="DN452" s="909">
        <f>SUM(_xlfn.IFNA(INDEX('Resource use and costs'!$DU$12:$DU$25,MATCH(CZ452,'Resource use and costs'!$DS$12:$DS$25,0)),0),_xlfn.IFNA(INDEX('Resource use and costs'!$DU$12:$DU$25,MATCH(DA452,'Resource use and costs'!$DS$12:$DS$25,0)),0),_xlfn.IFNA(INDEX('Resource use and costs'!$DU$12:$DU$25,MATCH(DB452,'Resource use and costs'!$DS$12:$DS$25,0)),0))</f>
        <v>197.25</v>
      </c>
      <c r="DO452" s="921">
        <f>_xlfn.IFNA(INDEX('Resource use and costs'!$DY$12:$DY$25,MATCH(CZ452,'Resource use and costs'!$DS$12:$DS$25,0)),0)*_xlfn.IFNA(INDEX(DY$10:DY$23,MATCH($CZ452,$DX$10:$DX$23,0)),0)</f>
        <v>8939.6605049142872</v>
      </c>
      <c r="DP452" s="921">
        <f>IF(dd_PartSA_2_lines = "Yes",0,_xlfn.IFNA(INDEX('Resource use and costs'!$DZ$12:$DZ$25,MATCH(DA452,'Resource use and costs'!$DS$12:$DS$25,0)),0)*_xlfn.IFNA(INDEX(EA$10:EA$23,MATCH($DA452,$DX$10:$DX$23,0)),0))</f>
        <v>267.99172714285714</v>
      </c>
      <c r="DQ452" s="921">
        <f>IF(dd_PartSA_2_lines = "Yes",0,_xlfn.IFNA(INDEX('Resource use and costs'!$EA$12:$EA$25,MATCH(DB452,'Resource use and costs'!$DS$12:$DS$25,0)),0)*_xlfn.IFNA(INDEX(EC$10:EC$23,MATCH($DB452,$DX$10:$DX$23,0)),0))</f>
        <v>0</v>
      </c>
      <c r="DR452" s="921">
        <f t="shared" si="247"/>
        <v>9404.9022320571439</v>
      </c>
      <c r="DS452" s="1004">
        <f ca="1">SUMIFS('Safety parameters'!$DM$6:$DM$18,'Safety parameters'!$DK$6:$DK$18,CZ452,'Safety parameters'!$DL$6:$DL$18,1)+IF(dd_PartSA_2_lines = "Yes",0,SUMIFS('Safety parameters'!$DM$6:$DM$18,'Safety parameters'!$DK$6:$DK$18,DA452,'Safety parameters'!$DL$6:$DL$18,2)+SUMIFS('Safety parameters'!$DM$6:$DM$18,'Safety parameters'!$DK$6:$DK$18,DB452,'Safety parameters'!$DL$6:$DL$18,2))</f>
        <v>1634.2286735654598</v>
      </c>
      <c r="DT452" s="910">
        <f ca="1">SUMIFS('Safety parameters'!$DO$6:$DO$18,'Safety parameters'!$DK$6:$DK$18,CZ452,'Safety parameters'!$DL$6:$DL$18,1)+IF(dd_PartSA_2_lines = "Yes",0,SUMIFS('Safety parameters'!$DO$6:$DO$18,'Safety parameters'!$DK$6:$DK$18,DA452,'Safety parameters'!$DL$6:$DL$18,2)+SUMIFS('Safety parameters'!$DO$6:$DO$18,'Safety parameters'!$DK$6:$DK$18,DB452,'Safety parameters'!$DL$6:$DL$18,2))</f>
        <v>-1.4741924007481429E-2</v>
      </c>
    </row>
    <row r="453" spans="89:124" ht="15" x14ac:dyDescent="0.2">
      <c r="CK453" s="61" t="s">
        <v>31</v>
      </c>
      <c r="CL453" s="61">
        <v>4</v>
      </c>
      <c r="CM453" s="61" t="str">
        <v>everolimus</v>
      </c>
      <c r="CN453" s="17">
        <v>10</v>
      </c>
      <c r="CO453" s="61" t="str" cm="1">
        <f t="array" ref="CO453">INDEX(List_comparators,CP452+1)</f>
        <v>nivolumab_monotherapy</v>
      </c>
      <c r="CP453" s="17">
        <v>0</v>
      </c>
      <c r="CQ453" s="601">
        <f t="shared" ca="1" si="255"/>
        <v>0</v>
      </c>
      <c r="CR453" s="601">
        <f t="shared" ca="1" si="256"/>
        <v>0</v>
      </c>
      <c r="CS453" s="601">
        <f t="shared" ca="1" si="257"/>
        <v>21.82</v>
      </c>
      <c r="CT453" s="669">
        <f t="shared" ca="1" si="258"/>
        <v>4.1142857142857139</v>
      </c>
      <c r="CU453" s="1123">
        <f>MATCH(CZ460,'Resource use and costs'!$BA$11:$BA$53,0)</f>
        <v>1</v>
      </c>
      <c r="CV453" s="1223"/>
      <c r="CW453" s="1241">
        <f t="shared" si="241"/>
        <v>1</v>
      </c>
      <c r="CX453" s="899" t="s">
        <v>773</v>
      </c>
      <c r="CY453" s="899" t="s">
        <v>319</v>
      </c>
      <c r="CZ453" s="899" t="s">
        <v>579</v>
      </c>
      <c r="DA453" s="899" t="s">
        <v>327</v>
      </c>
      <c r="DB453" s="899" t="s">
        <v>119</v>
      </c>
      <c r="DC453" s="899" cm="1">
        <f t="array" aca="1" ref="DC453" ca="1">_xlfn.IFNA(OFFSET($I$49,MATCH(CY453,$I$50:$I$63,0),MATCH(CZ453,TRANSPOSE($J$49:$W$49),0)),0)</f>
        <v>0.49974522065392168</v>
      </c>
      <c r="DD453" s="899" cm="1">
        <f t="array" aca="1" ref="DD453" ca="1">_xlfn.IFNA(OFFSET($Y$49,MATCH($CZ453,$Y$50:$Y$63,0),MATCH($DA453,TRANSPOSE($Z$49:$AM$49),0)),0)</f>
        <v>5.2400000000000002E-2</v>
      </c>
      <c r="DE453" s="899" cm="1">
        <f t="array" aca="1" ref="DE453" ca="1">_xlfn.IFNA(OFFSET($AO$49,MATCH($DA453,$AO$50:$AO$63,0),MATCH($DB453,TRANSPOSE($AP$49:$BC$49),0)),0)</f>
        <v>0.56859999999999999</v>
      </c>
      <c r="DF453" s="881">
        <f t="shared" ca="1" si="244"/>
        <v>1.4889728941104161E-2</v>
      </c>
      <c r="DG453" s="910">
        <f t="shared" ca="1" si="240"/>
        <v>0.98859556831386541</v>
      </c>
      <c r="DH453" s="881">
        <f t="shared" ca="1" si="245"/>
        <v>1.4719920044570277E-2</v>
      </c>
      <c r="DI453" s="1460">
        <f t="shared" ca="1" si="252"/>
        <v>1.5308716846353088</v>
      </c>
      <c r="DJ453" s="909">
        <f>_xlfn.IFNA(INDEX('Resource use and costs'!$CQ$11:$CQ$53,MATCH($CZ453,'Resource use and costs'!$BA$11:$BA$53,0)),0)*_xlfn.IFNA(INDEX(DY$10:DY$23,MATCH($CZ453,$DX$10:$DX$23,0)),0)</f>
        <v>56693.786091428577</v>
      </c>
      <c r="DK453" s="909">
        <f>IF(dd_PartSA_2_lines = "Yes",0,_xlfn.IFNA(INDEX('Resource use and costs'!$CR$11:$CR$53,MATCH(DA453,'Resource use and costs'!$BA$11:$BA$53,0)),0)*_xlfn.IFNA(INDEX(EA$10:EA$23,MATCH($DA453,$DX$10:$DX$23,0)),0))</f>
        <v>21421.066008214286</v>
      </c>
      <c r="DL453" s="909">
        <f>IF(dd_PartSA_2_lines = "Yes",0,_xlfn.IFNA(INDEX('Resource use and costs'!$CS$11:$CS$53,MATCH(DB453,'Resource use and costs'!$BA$11:$BA$53,0)),0)*_xlfn.IFNA(INDEX(EC$10:EC$23,MATCH($DB453,$DX$10:$DX$23,0)),0))</f>
        <v>2915.4763433333328</v>
      </c>
      <c r="DM453" s="909">
        <f t="shared" si="246"/>
        <v>81030.328442976184</v>
      </c>
      <c r="DN453" s="909">
        <f>SUM(_xlfn.IFNA(INDEX('Resource use and costs'!$DU$12:$DU$25,MATCH(CZ453,'Resource use and costs'!$DS$12:$DS$25,0)),0),_xlfn.IFNA(INDEX('Resource use and costs'!$DU$12:$DU$25,MATCH(DA453,'Resource use and costs'!$DS$12:$DS$25,0)),0),_xlfn.IFNA(INDEX('Resource use and costs'!$DU$12:$DU$25,MATCH(DB453,'Resource use and costs'!$DS$12:$DS$25,0)),0))</f>
        <v>394.5</v>
      </c>
      <c r="DO453" s="921">
        <f>_xlfn.IFNA(INDEX('Resource use and costs'!$DY$12:$DY$25,MATCH(CZ453,'Resource use and costs'!$DS$12:$DS$25,0)),0)*_xlfn.IFNA(INDEX(DY$10:DY$23,MATCH($CZ453,$DX$10:$DX$23,0)),0)</f>
        <v>8939.6605049142872</v>
      </c>
      <c r="DP453" s="921">
        <f>IF(dd_PartSA_2_lines = "Yes",0,_xlfn.IFNA(INDEX('Resource use and costs'!$DZ$12:$DZ$25,MATCH(DA453,'Resource use and costs'!$DS$12:$DS$25,0)),0)*_xlfn.IFNA(INDEX(EA$10:EA$23,MATCH($DA453,$DX$10:$DX$23,0)),0))</f>
        <v>267.99172714285714</v>
      </c>
      <c r="DQ453" s="921">
        <f>IF(dd_PartSA_2_lines = "Yes",0,_xlfn.IFNA(INDEX('Resource use and costs'!$EA$12:$EA$25,MATCH(DB453,'Resource use and costs'!$DS$12:$DS$25,0)),0)*_xlfn.IFNA(INDEX(EC$10:EC$23,MATCH($DB453,$DX$10:$DX$23,0)),0))</f>
        <v>256.11457142857142</v>
      </c>
      <c r="DR453" s="921">
        <f t="shared" si="247"/>
        <v>9858.2668034857161</v>
      </c>
      <c r="DS453" s="1004">
        <f ca="1">SUMIFS('Safety parameters'!$DM$6:$DM$18,'Safety parameters'!$DK$6:$DK$18,CZ453,'Safety parameters'!$DL$6:$DL$18,1)+IF(dd_PartSA_2_lines = "Yes",0,SUMIFS('Safety parameters'!$DM$6:$DM$18,'Safety parameters'!$DK$6:$DK$18,DA453,'Safety parameters'!$DL$6:$DL$18,2)+SUMIFS('Safety parameters'!$DM$6:$DM$18,'Safety parameters'!$DK$6:$DK$18,DB453,'Safety parameters'!$DL$6:$DL$18,2))</f>
        <v>1967.1040569407746</v>
      </c>
      <c r="DT453" s="910">
        <f ca="1">SUMIFS('Safety parameters'!$DO$6:$DO$18,'Safety parameters'!$DK$6:$DK$18,CZ453,'Safety parameters'!$DL$6:$DL$18,1)+IF(dd_PartSA_2_lines = "Yes",0,SUMIFS('Safety parameters'!$DO$6:$DO$18,'Safety parameters'!$DK$6:$DK$18,DA453,'Safety parameters'!$DL$6:$DL$18,2)+SUMIFS('Safety parameters'!$DO$6:$DO$18,'Safety parameters'!$DK$6:$DK$18,DB453,'Safety parameters'!$DL$6:$DL$18,2))</f>
        <v>-1.7409497544119149E-2</v>
      </c>
    </row>
    <row r="454" spans="89:124" ht="15" x14ac:dyDescent="0.2">
      <c r="CK454" s="61" t="s">
        <v>31</v>
      </c>
      <c r="CL454" s="61">
        <v>4</v>
      </c>
      <c r="CM454" s="61" t="str">
        <v>axitinib</v>
      </c>
      <c r="CN454" s="17">
        <v>11</v>
      </c>
      <c r="CO454" s="61" t="str" cm="1">
        <f t="array" ref="CO454">INDEX(List_comparators,CP453+1)</f>
        <v>nivolumab_monotherapy</v>
      </c>
      <c r="CP454" s="17">
        <v>0</v>
      </c>
      <c r="CQ454" s="601">
        <f t="shared" ca="1" si="255"/>
        <v>0</v>
      </c>
      <c r="CR454" s="601">
        <f t="shared" ca="1" si="256"/>
        <v>0</v>
      </c>
      <c r="CS454" s="601">
        <f t="shared" ca="1" si="257"/>
        <v>21.82</v>
      </c>
      <c r="CT454" s="669">
        <f t="shared" ca="1" si="258"/>
        <v>4.1142857142857139</v>
      </c>
      <c r="CU454" s="1123">
        <f>MATCH(CZ461,'Resource use and costs'!$BA$11:$BA$53,0)</f>
        <v>1</v>
      </c>
      <c r="CV454" s="1223"/>
      <c r="CW454" s="1241">
        <f t="shared" si="241"/>
        <v>1</v>
      </c>
      <c r="CX454" s="899" t="s">
        <v>773</v>
      </c>
      <c r="CY454" s="899" t="s">
        <v>319</v>
      </c>
      <c r="CZ454" s="899" t="s">
        <v>579</v>
      </c>
      <c r="DA454" s="899" t="s">
        <v>765</v>
      </c>
      <c r="DB454" s="899"/>
      <c r="DC454" s="899" cm="1">
        <f t="array" aca="1" ref="DC454" ca="1">_xlfn.IFNA(OFFSET($I$49,MATCH(CY454,$I$50:$I$63,0),MATCH(CZ454,TRANSPOSE($J$49:$W$49),0)),0)</f>
        <v>0.49974522065392168</v>
      </c>
      <c r="DD454" s="899" cm="1">
        <f t="array" aca="1" ref="DD454" ca="1">_xlfn.IFNA(OFFSET($Y$49,MATCH($CZ454,$Y$50:$Y$63,0),MATCH($DA454,TRANSPOSE($Z$49:$AM$49),0)),0)</f>
        <v>0.3453</v>
      </c>
      <c r="DE454" s="899" cm="1">
        <f t="array" aca="1" ref="DE454" ca="1">_xlfn.IFNA(OFFSET($AO$49,MATCH($DA454,$AO$50:$AO$63,0),MATCH($DB454,TRANSPOSE($AP$49:$BC$49),0)),0)</f>
        <v>0</v>
      </c>
      <c r="DF454" s="881">
        <f t="shared" ca="1" si="244"/>
        <v>0.17256202469179915</v>
      </c>
      <c r="DG454" s="910">
        <f t="shared" ca="1" si="240"/>
        <v>0.98859556831386541</v>
      </c>
      <c r="DH454" s="881">
        <f t="shared" ca="1" si="245"/>
        <v>0.17059405286958046</v>
      </c>
      <c r="DI454" s="1460">
        <f t="shared" ca="1" si="252"/>
        <v>17.741781498436367</v>
      </c>
      <c r="DJ454" s="909">
        <f>_xlfn.IFNA(INDEX('Resource use and costs'!$CQ$11:$CQ$53,MATCH($CZ454,'Resource use and costs'!$BA$11:$BA$53,0)),0)*_xlfn.IFNA(INDEX(DY$10:DY$23,MATCH($CZ454,$DX$10:$DX$23,0)),0)</f>
        <v>56693.786091428577</v>
      </c>
      <c r="DK454" s="909">
        <f>IF(dd_PartSA_2_lines = "Yes",0,_xlfn.IFNA(INDEX('Resource use and costs'!$CR$11:$CR$53,MATCH(DA454,'Resource use and costs'!$BA$11:$BA$53,0)),0)*_xlfn.IFNA(INDEX(EA$10:EA$23,MATCH($DA454,$DX$10:$DX$23,0)),0))</f>
        <v>0</v>
      </c>
      <c r="DL454" s="909">
        <f>IF(dd_PartSA_2_lines = "Yes",0,_xlfn.IFNA(INDEX('Resource use and costs'!$CS$11:$CS$53,MATCH(DB454,'Resource use and costs'!$BA$11:$BA$53,0)),0)*_xlfn.IFNA(INDEX(EC$10:EC$23,MATCH($DB454,$DX$10:$DX$23,0)),0))</f>
        <v>0</v>
      </c>
      <c r="DM454" s="909">
        <f t="shared" si="246"/>
        <v>56693.786091428577</v>
      </c>
      <c r="DN454" s="909">
        <f>SUM(_xlfn.IFNA(INDEX('Resource use and costs'!$DU$12:$DU$25,MATCH(CZ454,'Resource use and costs'!$DS$12:$DS$25,0)),0),_xlfn.IFNA(INDEX('Resource use and costs'!$DU$12:$DU$25,MATCH(DA454,'Resource use and costs'!$DS$12:$DS$25,0)),0),_xlfn.IFNA(INDEX('Resource use and costs'!$DU$12:$DU$25,MATCH(DB454,'Resource use and costs'!$DS$12:$DS$25,0)),0))</f>
        <v>0</v>
      </c>
      <c r="DO454" s="921">
        <f>_xlfn.IFNA(INDEX('Resource use and costs'!$DY$12:$DY$25,MATCH(CZ454,'Resource use and costs'!$DS$12:$DS$25,0)),0)*_xlfn.IFNA(INDEX(DY$10:DY$23,MATCH($CZ454,$DX$10:$DX$23,0)),0)</f>
        <v>8939.6605049142872</v>
      </c>
      <c r="DP454" s="921">
        <f>IF(dd_PartSA_2_lines = "Yes",0,_xlfn.IFNA(INDEX('Resource use and costs'!$DZ$12:$DZ$25,MATCH(DA454,'Resource use and costs'!$DS$12:$DS$25,0)),0)*_xlfn.IFNA(INDEX(EA$10:EA$23,MATCH($DA454,$DX$10:$DX$23,0)),0))</f>
        <v>0</v>
      </c>
      <c r="DQ454" s="921">
        <f>IF(dd_PartSA_2_lines = "Yes",0,_xlfn.IFNA(INDEX('Resource use and costs'!$EA$12:$EA$25,MATCH(DB454,'Resource use and costs'!$DS$12:$DS$25,0)),0)*_xlfn.IFNA(INDEX(EC$10:EC$23,MATCH($DB454,$DX$10:$DX$23,0)),0))</f>
        <v>0</v>
      </c>
      <c r="DR454" s="921">
        <f t="shared" si="247"/>
        <v>8939.6605049142872</v>
      </c>
      <c r="DS454" s="1004">
        <f>SUMIFS('Safety parameters'!$DM$6:$DM$18,'Safety parameters'!$DK$6:$DK$18,CZ454,'Safety parameters'!$DL$6:$DL$18,1)+IF(dd_PartSA_2_lines = "Yes",0,SUMIFS('Safety parameters'!$DM$6:$DM$18,'Safety parameters'!$DK$6:$DK$18,DA454,'Safety parameters'!$DL$6:$DL$18,2)+SUMIFS('Safety parameters'!$DM$6:$DM$18,'Safety parameters'!$DK$6:$DK$18,DB454,'Safety parameters'!$DL$6:$DL$18,2))</f>
        <v>0</v>
      </c>
      <c r="DT454" s="910">
        <f>SUMIFS('Safety parameters'!$DO$6:$DO$18,'Safety parameters'!$DK$6:$DK$18,CZ454,'Safety parameters'!$DL$6:$DL$18,1)+IF(dd_PartSA_2_lines = "Yes",0,SUMIFS('Safety parameters'!$DO$6:$DO$18,'Safety parameters'!$DK$6:$DK$18,DA454,'Safety parameters'!$DL$6:$DL$18,2)+SUMIFS('Safety parameters'!$DO$6:$DO$18,'Safety parameters'!$DK$6:$DK$18,DB454,'Safety parameters'!$DL$6:$DL$18,2))</f>
        <v>0</v>
      </c>
    </row>
    <row r="455" spans="89:124" ht="15" x14ac:dyDescent="0.2">
      <c r="CK455" s="61" t="s">
        <v>31</v>
      </c>
      <c r="CL455" s="61">
        <v>4</v>
      </c>
      <c r="CM455" s="61" t="str">
        <v>sorafenib</v>
      </c>
      <c r="CN455" s="17">
        <v>12</v>
      </c>
      <c r="CO455" s="61" t="str" cm="1">
        <f t="array" ref="CO455">INDEX(List_comparators,CP454+1)</f>
        <v>nivolumab_monotherapy</v>
      </c>
      <c r="CP455" s="17">
        <v>0</v>
      </c>
      <c r="CQ455" s="601">
        <f t="shared" ca="1" si="255"/>
        <v>0</v>
      </c>
      <c r="CR455" s="601">
        <f t="shared" ca="1" si="256"/>
        <v>0</v>
      </c>
      <c r="CS455" s="601">
        <f t="shared" ca="1" si="257"/>
        <v>0</v>
      </c>
      <c r="CT455" s="669">
        <f t="shared" ca="1" si="258"/>
        <v>0</v>
      </c>
      <c r="CU455" s="1123">
        <f>MATCH(CZ462,'Resource use and costs'!$BA$11:$BA$53,0)</f>
        <v>40</v>
      </c>
      <c r="CV455" s="1223"/>
      <c r="CW455" s="1241">
        <f t="shared" si="241"/>
        <v>1</v>
      </c>
      <c r="CX455" s="899" t="s">
        <v>773</v>
      </c>
      <c r="CY455" s="899" t="s">
        <v>319</v>
      </c>
      <c r="CZ455" s="899" t="s">
        <v>579</v>
      </c>
      <c r="DA455" s="899" t="s">
        <v>118</v>
      </c>
      <c r="DB455" s="899" t="s">
        <v>327</v>
      </c>
      <c r="DC455" s="899" cm="1">
        <f t="array" aca="1" ref="DC455" ca="1">_xlfn.IFNA(OFFSET($I$49,MATCH(CY455,$I$50:$I$63,0),MATCH(CZ455,TRANSPOSE($J$49:$W$49),0)),0)</f>
        <v>0.49974522065392168</v>
      </c>
      <c r="DD455" s="899">
        <f ca="1">1-DD452-DD454-DD458-DD460</f>
        <v>0.54340000000000011</v>
      </c>
      <c r="DE455" s="899" cm="1">
        <f t="array" aca="1" ref="DE455" ca="1">_xlfn.IFNA(OFFSET($AO$49,MATCH($DA455,$AO$50:$AO$63,0),MATCH($DB455,TRANSPOSE($AP$49:$BC$49),0)),0)</f>
        <v>0.38769999999999999</v>
      </c>
      <c r="DF455" s="881">
        <f t="shared" ca="1" si="244"/>
        <v>0.10528441406062534</v>
      </c>
      <c r="DG455" s="910">
        <f t="shared" ca="1" si="240"/>
        <v>0.98859556831386541</v>
      </c>
      <c r="DH455" s="881">
        <f t="shared" ca="1" si="245"/>
        <v>0.10408370515285624</v>
      </c>
      <c r="DI455" s="1460">
        <f t="shared" ca="1" si="252"/>
        <v>10.824705335897049</v>
      </c>
      <c r="DJ455" s="909">
        <f>_xlfn.IFNA(INDEX('Resource use and costs'!$CQ$11:$CQ$53,MATCH($CZ455,'Resource use and costs'!$BA$11:$BA$53,0)),0)*_xlfn.IFNA(INDEX(DY$10:DY$23,MATCH($CZ455,$DX$10:$DX$23,0)),0)</f>
        <v>56693.786091428577</v>
      </c>
      <c r="DK455" s="909">
        <f>IF(dd_PartSA_2_lines = "Yes",0,_xlfn.IFNA(INDEX('Resource use and costs'!$CR$11:$CR$53,MATCH(DA455,'Resource use and costs'!$BA$11:$BA$53,0)),0)*_xlfn.IFNA(INDEX(EA$10:EA$23,MATCH($DA455,$DX$10:$DX$23,0)),0))</f>
        <v>50308.075122000002</v>
      </c>
      <c r="DL455" s="909">
        <f>IF(dd_PartSA_2_lines = "Yes",0,_xlfn.IFNA(INDEX('Resource use and costs'!$CS$11:$CS$53,MATCH(DB455,'Resource use and costs'!$BA$11:$BA$53,0)),0)*_xlfn.IFNA(INDEX(EC$10:EC$23,MATCH($DB455,$DX$10:$DX$23,0)),0))</f>
        <v>18438.751749999999</v>
      </c>
      <c r="DM455" s="909">
        <f t="shared" si="246"/>
        <v>125440.61296342858</v>
      </c>
      <c r="DN455" s="909">
        <f>SUM(_xlfn.IFNA(INDEX('Resource use and costs'!$DU$12:$DU$25,MATCH(CZ455,'Resource use and costs'!$DS$12:$DS$25,0)),0),_xlfn.IFNA(INDEX('Resource use and costs'!$DU$12:$DU$25,MATCH(DA455,'Resource use and costs'!$DS$12:$DS$25,0)),0),_xlfn.IFNA(INDEX('Resource use and costs'!$DU$12:$DU$25,MATCH(DB455,'Resource use and costs'!$DS$12:$DS$25,0)),0))</f>
        <v>394.5</v>
      </c>
      <c r="DO455" s="921">
        <f>_xlfn.IFNA(INDEX('Resource use and costs'!$DY$12:$DY$25,MATCH(CZ455,'Resource use and costs'!$DS$12:$DS$25,0)),0)*_xlfn.IFNA(INDEX(DY$10:DY$23,MATCH($CZ455,$DX$10:$DX$23,0)),0)</f>
        <v>8939.6605049142872</v>
      </c>
      <c r="DP455" s="921">
        <f>IF(dd_PartSA_2_lines = "Yes",0,_xlfn.IFNA(INDEX('Resource use and costs'!$DZ$12:$DZ$25,MATCH(DA455,'Resource use and costs'!$DS$12:$DS$25,0)),0)*_xlfn.IFNA(INDEX(EA$10:EA$23,MATCH($DA455,$DX$10:$DX$23,0)),0))</f>
        <v>461.1445457142857</v>
      </c>
      <c r="DQ455" s="921">
        <f>IF(dd_PartSA_2_lines = "Yes",0,_xlfn.IFNA(INDEX('Resource use and costs'!$EA$12:$EA$25,MATCH(DB455,'Resource use and costs'!$DS$12:$DS$25,0)),0)*_xlfn.IFNA(INDEX(EC$10:EC$23,MATCH($DB455,$DX$10:$DX$23,0)),0))</f>
        <v>230.68099999999998</v>
      </c>
      <c r="DR455" s="921">
        <f t="shared" si="247"/>
        <v>10025.986050628573</v>
      </c>
      <c r="DS455" s="1004">
        <f ca="1">SUMIFS('Safety parameters'!$DM$6:$DM$18,'Safety parameters'!$DK$6:$DK$18,CZ455,'Safety parameters'!$DL$6:$DL$18,1)+IF(dd_PartSA_2_lines = "Yes",0,SUMIFS('Safety parameters'!$DM$6:$DM$18,'Safety parameters'!$DK$6:$DK$18,DA455,'Safety parameters'!$DL$6:$DL$18,2)+SUMIFS('Safety parameters'!$DM$6:$DM$18,'Safety parameters'!$DK$6:$DK$18,DB455,'Safety parameters'!$DL$6:$DL$18,2))</f>
        <v>2377.8779733688434</v>
      </c>
      <c r="DT455" s="910">
        <f ca="1">SUMIFS('Safety parameters'!$DO$6:$DO$18,'Safety parameters'!$DK$6:$DK$18,CZ455,'Safety parameters'!$DL$6:$DL$18,1)+IF(dd_PartSA_2_lines = "Yes",0,SUMIFS('Safety parameters'!$DO$6:$DO$18,'Safety parameters'!$DK$6:$DK$18,DA455,'Safety parameters'!$DL$6:$DL$18,2)+SUMIFS('Safety parameters'!$DO$6:$DO$18,'Safety parameters'!$DK$6:$DK$18,DB455,'Safety parameters'!$DL$6:$DL$18,2))</f>
        <v>-2.1764250363717368E-2</v>
      </c>
    </row>
    <row r="456" spans="89:124" ht="15.75" thickBot="1" x14ac:dyDescent="0.25">
      <c r="CK456" s="506" t="s">
        <v>31</v>
      </c>
      <c r="CL456" s="506">
        <v>4</v>
      </c>
      <c r="CM456" s="506" t="str">
        <v>placebo_BSC</v>
      </c>
      <c r="CN456" s="19">
        <v>999</v>
      </c>
      <c r="CO456" s="506" t="str" cm="1">
        <f t="array" ref="CO456">INDEX(List_comparators,CP443+1)</f>
        <v>nivolumab_monotherapy</v>
      </c>
      <c r="CP456" s="19">
        <v>0</v>
      </c>
      <c r="CQ456" s="602">
        <f t="shared" ca="1" si="255"/>
        <v>0</v>
      </c>
      <c r="CR456" s="602">
        <f t="shared" ca="1" si="256"/>
        <v>0</v>
      </c>
      <c r="CS456" s="602">
        <f t="shared" ca="1" si="257"/>
        <v>0</v>
      </c>
      <c r="CT456" s="748">
        <f t="shared" ca="1" si="258"/>
        <v>0</v>
      </c>
      <c r="CU456" s="1123">
        <f>MATCH(CZ463,'Resource use and costs'!$BA$11:$BA$53,0)</f>
        <v>40</v>
      </c>
      <c r="CV456" s="1223"/>
      <c r="CW456" s="1241">
        <f t="shared" si="241"/>
        <v>1</v>
      </c>
      <c r="CX456" s="899" t="s">
        <v>773</v>
      </c>
      <c r="CY456" s="899" t="s">
        <v>319</v>
      </c>
      <c r="CZ456" s="899" t="s">
        <v>579</v>
      </c>
      <c r="DA456" s="899" t="s">
        <v>118</v>
      </c>
      <c r="DB456" s="899" t="s">
        <v>765</v>
      </c>
      <c r="DC456" s="899" cm="1">
        <f t="array" aca="1" ref="DC456" ca="1">_xlfn.IFNA(OFFSET($I$49,MATCH(CY456,$I$50:$I$63,0),MATCH(CZ456,TRANSPOSE($J$49:$W$49),0)),0)</f>
        <v>0.49974522065392168</v>
      </c>
      <c r="DD456" s="899">
        <f ca="1">DD455</f>
        <v>0.54340000000000011</v>
      </c>
      <c r="DE456" s="899" cm="1">
        <f t="array" aca="1" ref="DE456" ca="1">_xlfn.IFNA(OFFSET($AO$49,MATCH($DA456,$AO$50:$AO$63,0),MATCH($DB456,TRANSPOSE($AP$49:$BC$49),0)),0)</f>
        <v>0.43140000000000001</v>
      </c>
      <c r="DF456" s="881">
        <f t="shared" ca="1" si="244"/>
        <v>0.11715165392250136</v>
      </c>
      <c r="DG456" s="910">
        <f t="shared" ca="1" si="240"/>
        <v>0.98859556831386541</v>
      </c>
      <c r="DH456" s="881">
        <f t="shared" ca="1" si="245"/>
        <v>0.11581560588842452</v>
      </c>
      <c r="DI456" s="1460">
        <f t="shared" ca="1" si="252"/>
        <v>12.044823012396149</v>
      </c>
      <c r="DJ456" s="909">
        <f>_xlfn.IFNA(INDEX('Resource use and costs'!$CQ$11:$CQ$53,MATCH($CZ456,'Resource use and costs'!$BA$11:$BA$53,0)),0)*_xlfn.IFNA(INDEX(DY$10:DY$23,MATCH($CZ456,$DX$10:$DX$23,0)),0)</f>
        <v>56693.786091428577</v>
      </c>
      <c r="DK456" s="909">
        <f>IF(dd_PartSA_2_lines = "Yes",0,_xlfn.IFNA(INDEX('Resource use and costs'!$CR$11:$CR$53,MATCH(DA456,'Resource use and costs'!$BA$11:$BA$53,0)),0)*_xlfn.IFNA(INDEX(EA$10:EA$23,MATCH($DA456,$DX$10:$DX$23,0)),0))</f>
        <v>50308.075122000002</v>
      </c>
      <c r="DL456" s="909">
        <f>IF(dd_PartSA_2_lines = "Yes",0,_xlfn.IFNA(INDEX('Resource use and costs'!$CS$11:$CS$53,MATCH(DB456,'Resource use and costs'!$BA$11:$BA$53,0)),0)*_xlfn.IFNA(INDEX(EC$10:EC$23,MATCH($DB456,$DX$10:$DX$23,0)),0))</f>
        <v>0</v>
      </c>
      <c r="DM456" s="909">
        <f t="shared" si="246"/>
        <v>107001.86121342858</v>
      </c>
      <c r="DN456" s="909">
        <f>SUM(_xlfn.IFNA(INDEX('Resource use and costs'!$DU$12:$DU$25,MATCH(CZ456,'Resource use and costs'!$DS$12:$DS$25,0)),0),_xlfn.IFNA(INDEX('Resource use and costs'!$DU$12:$DU$25,MATCH(DA456,'Resource use and costs'!$DS$12:$DS$25,0)),0),_xlfn.IFNA(INDEX('Resource use and costs'!$DU$12:$DU$25,MATCH(DB456,'Resource use and costs'!$DS$12:$DS$25,0)),0))</f>
        <v>197.25</v>
      </c>
      <c r="DO456" s="921">
        <f>_xlfn.IFNA(INDEX('Resource use and costs'!$DY$12:$DY$25,MATCH(CZ456,'Resource use and costs'!$DS$12:$DS$25,0)),0)*_xlfn.IFNA(INDEX(DY$10:DY$23,MATCH($CZ456,$DX$10:$DX$23,0)),0)</f>
        <v>8939.6605049142872</v>
      </c>
      <c r="DP456" s="921">
        <f>IF(dd_PartSA_2_lines = "Yes",0,_xlfn.IFNA(INDEX('Resource use and costs'!$DZ$12:$DZ$25,MATCH(DA456,'Resource use and costs'!$DS$12:$DS$25,0)),0)*_xlfn.IFNA(INDEX(EA$10:EA$23,MATCH($DA456,$DX$10:$DX$23,0)),0))</f>
        <v>461.1445457142857</v>
      </c>
      <c r="DQ456" s="921">
        <f>IF(dd_PartSA_2_lines = "Yes",0,_xlfn.IFNA(INDEX('Resource use and costs'!$EA$12:$EA$25,MATCH(DB456,'Resource use and costs'!$DS$12:$DS$25,0)),0)*_xlfn.IFNA(INDEX(EC$10:EC$23,MATCH($DB456,$DX$10:$DX$23,0)),0))</f>
        <v>0</v>
      </c>
      <c r="DR456" s="921">
        <f t="shared" si="247"/>
        <v>9598.0550506285726</v>
      </c>
      <c r="DS456" s="1004">
        <f ca="1">SUMIFS('Safety parameters'!$DM$6:$DM$18,'Safety parameters'!$DK$6:$DK$18,CZ456,'Safety parameters'!$DL$6:$DL$18,1)+IF(dd_PartSA_2_lines = "Yes",0,SUMIFS('Safety parameters'!$DM$6:$DM$18,'Safety parameters'!$DK$6:$DK$18,DA456,'Safety parameters'!$DL$6:$DL$18,2)+SUMIFS('Safety parameters'!$DM$6:$DM$18,'Safety parameters'!$DK$6:$DK$18,DB456,'Safety parameters'!$DL$6:$DL$18,2))</f>
        <v>743.64929980338343</v>
      </c>
      <c r="DT456" s="910">
        <f ca="1">SUMIFS('Safety parameters'!$DO$6:$DO$18,'Safety parameters'!$DK$6:$DK$18,CZ456,'Safety parameters'!$DL$6:$DL$18,1)+IF(dd_PartSA_2_lines = "Yes",0,SUMIFS('Safety parameters'!$DO$6:$DO$18,'Safety parameters'!$DK$6:$DK$18,DA456,'Safety parameters'!$DL$6:$DL$18,2)+SUMIFS('Safety parameters'!$DO$6:$DO$18,'Safety parameters'!$DK$6:$DK$18,DB456,'Safety parameters'!$DL$6:$DL$18,2))</f>
        <v>-7.0223263562359372E-3</v>
      </c>
    </row>
    <row r="457" spans="89:124" ht="15" x14ac:dyDescent="0.2">
      <c r="CK457" s="505" t="s">
        <v>31</v>
      </c>
      <c r="CL457" s="505">
        <v>4</v>
      </c>
      <c r="CM457" s="61" t="str" cm="1">
        <f t="array" ref="CM457:CM470">List_comparators</f>
        <v>nivolumab_monotherapy</v>
      </c>
      <c r="CN457" s="17">
        <v>0</v>
      </c>
      <c r="CO457" s="61" t="str" cm="1">
        <f t="array" ref="CO457">INDEX(List_comparators,CP457+1)</f>
        <v>cabozantinib_plus_nivolumab</v>
      </c>
      <c r="CP457" s="17">
        <v>1</v>
      </c>
      <c r="CQ457" s="603">
        <f t="shared" ca="1" si="255"/>
        <v>0</v>
      </c>
      <c r="CR457" s="603">
        <f t="shared" ca="1" si="256"/>
        <v>0</v>
      </c>
      <c r="CS457" s="603">
        <f t="shared" ca="1" si="257"/>
        <v>0</v>
      </c>
      <c r="CT457" s="669">
        <f t="shared" ca="1" si="258"/>
        <v>0</v>
      </c>
      <c r="CU457" s="1123">
        <f>MATCH(CZ464,'Resource use and costs'!$BA$11:$BA$53,0)</f>
        <v>40</v>
      </c>
      <c r="CV457" s="1223"/>
      <c r="CW457" s="1241">
        <f t="shared" si="241"/>
        <v>1</v>
      </c>
      <c r="CX457" s="899" t="s">
        <v>773</v>
      </c>
      <c r="CY457" s="899" t="s">
        <v>319</v>
      </c>
      <c r="CZ457" s="899" t="s">
        <v>579</v>
      </c>
      <c r="DA457" s="899" t="s">
        <v>118</v>
      </c>
      <c r="DB457" s="899" t="s">
        <v>119</v>
      </c>
      <c r="DC457" s="899" cm="1">
        <f t="array" aca="1" ref="DC457" ca="1">_xlfn.IFNA(OFFSET($I$49,MATCH(CY457,$I$50:$I$63,0),MATCH(CZ457,TRANSPOSE($J$49:$W$49),0)),0)</f>
        <v>0.49974522065392168</v>
      </c>
      <c r="DD457" s="899" cm="1">
        <f t="array" aca="1" ref="DD457" ca="1">_xlfn.IFNA(OFFSET($Y$49,MATCH($CZ457,$Y$50:$Y$63,0),MATCH($DA457,TRANSPOSE($Z$49:$AM$49),0)),0)</f>
        <v>0.51729999999999998</v>
      </c>
      <c r="DE457" s="899" cm="1">
        <f t="array" aca="1" ref="DE457" ca="1">_xlfn.IFNA(OFFSET($AO$49,MATCH($DA457,$AO$50:$AO$63,0),MATCH($DB457,TRANSPOSE($AP$49:$BC$49),0)),0)</f>
        <v>0.18090000000000001</v>
      </c>
      <c r="DF457" s="881">
        <f t="shared" ca="1" si="244"/>
        <v>4.6765942858349105E-2</v>
      </c>
      <c r="DG457" s="910">
        <f t="shared" ca="1" si="240"/>
        <v>0.98859556831386541</v>
      </c>
      <c r="DH457" s="881">
        <f t="shared" ca="1" si="245"/>
        <v>4.623260385778339E-2</v>
      </c>
      <c r="DI457" s="1460">
        <f t="shared" ca="1" si="252"/>
        <v>4.8081908012094727</v>
      </c>
      <c r="DJ457" s="909">
        <f>_xlfn.IFNA(INDEX('Resource use and costs'!$CQ$11:$CQ$53,MATCH($CZ457,'Resource use and costs'!$BA$11:$BA$53,0)),0)*_xlfn.IFNA(INDEX(DY$10:DY$23,MATCH($CZ457,$DX$10:$DX$23,0)),0)</f>
        <v>56693.786091428577</v>
      </c>
      <c r="DK457" s="909">
        <f>IF(dd_PartSA_2_lines = "Yes",0,_xlfn.IFNA(INDEX('Resource use and costs'!$CR$11:$CR$53,MATCH(DA457,'Resource use and costs'!$BA$11:$BA$53,0)),0)*_xlfn.IFNA(INDEX(EA$10:EA$23,MATCH($DA457,$DX$10:$DX$23,0)),0))</f>
        <v>50308.075122000002</v>
      </c>
      <c r="DL457" s="909">
        <f>IF(dd_PartSA_2_lines = "Yes",0,_xlfn.IFNA(INDEX('Resource use and costs'!$CS$11:$CS$53,MATCH(DB457,'Resource use and costs'!$BA$11:$BA$53,0)),0)*_xlfn.IFNA(INDEX(EC$10:EC$23,MATCH($DB457,$DX$10:$DX$23,0)),0))</f>
        <v>2915.4763433333328</v>
      </c>
      <c r="DM457" s="909">
        <f t="shared" si="246"/>
        <v>109917.33755676191</v>
      </c>
      <c r="DN457" s="909">
        <f>SUM(_xlfn.IFNA(INDEX('Resource use and costs'!$DU$12:$DU$25,MATCH(CZ457,'Resource use and costs'!$DS$12:$DS$25,0)),0),_xlfn.IFNA(INDEX('Resource use and costs'!$DU$12:$DU$25,MATCH(DA457,'Resource use and costs'!$DS$12:$DS$25,0)),0),_xlfn.IFNA(INDEX('Resource use and costs'!$DU$12:$DU$25,MATCH(DB457,'Resource use and costs'!$DS$12:$DS$25,0)),0))</f>
        <v>394.5</v>
      </c>
      <c r="DO457" s="921">
        <f>_xlfn.IFNA(INDEX('Resource use and costs'!$DY$12:$DY$25,MATCH(CZ457,'Resource use and costs'!$DS$12:$DS$25,0)),0)*_xlfn.IFNA(INDEX(DY$10:DY$23,MATCH($CZ457,$DX$10:$DX$23,0)),0)</f>
        <v>8939.6605049142872</v>
      </c>
      <c r="DP457" s="921">
        <f>IF(dd_PartSA_2_lines = "Yes",0,_xlfn.IFNA(INDEX('Resource use and costs'!$DZ$12:$DZ$25,MATCH(DA457,'Resource use and costs'!$DS$12:$DS$25,0)),0)*_xlfn.IFNA(INDEX(EA$10:EA$23,MATCH($DA457,$DX$10:$DX$23,0)),0))</f>
        <v>461.1445457142857</v>
      </c>
      <c r="DQ457" s="921">
        <f>IF(dd_PartSA_2_lines = "Yes",0,_xlfn.IFNA(INDEX('Resource use and costs'!$EA$12:$EA$25,MATCH(DB457,'Resource use and costs'!$DS$12:$DS$25,0)),0)*_xlfn.IFNA(INDEX(EC$10:EC$23,MATCH($DB457,$DX$10:$DX$23,0)),0))</f>
        <v>256.11457142857142</v>
      </c>
      <c r="DR457" s="921">
        <f t="shared" si="247"/>
        <v>10051.419622057145</v>
      </c>
      <c r="DS457" s="1004">
        <f ca="1">SUMIFS('Safety parameters'!$DM$6:$DM$18,'Safety parameters'!$DK$6:$DK$18,CZ457,'Safety parameters'!$DL$6:$DL$18,1)+IF(dd_PartSA_2_lines = "Yes",0,SUMIFS('Safety parameters'!$DM$6:$DM$18,'Safety parameters'!$DK$6:$DK$18,DA457,'Safety parameters'!$DL$6:$DL$18,2)+SUMIFS('Safety parameters'!$DM$6:$DM$18,'Safety parameters'!$DK$6:$DK$18,DB457,'Safety parameters'!$DL$6:$DL$18,2))</f>
        <v>1076.5246831786983</v>
      </c>
      <c r="DT457" s="910">
        <f ca="1">SUMIFS('Safety parameters'!$DO$6:$DO$18,'Safety parameters'!$DK$6:$DK$18,CZ457,'Safety parameters'!$DL$6:$DL$18,1)+IF(dd_PartSA_2_lines = "Yes",0,SUMIFS('Safety parameters'!$DO$6:$DO$18,'Safety parameters'!$DK$6:$DK$18,DA457,'Safety parameters'!$DL$6:$DL$18,2)+SUMIFS('Safety parameters'!$DO$6:$DO$18,'Safety parameters'!$DK$6:$DK$18,DB457,'Safety parameters'!$DL$6:$DL$18,2))</f>
        <v>-9.689899892873657E-3</v>
      </c>
    </row>
    <row r="458" spans="89:124" ht="15" x14ac:dyDescent="0.2">
      <c r="CK458" s="61" t="s">
        <v>31</v>
      </c>
      <c r="CL458" s="61">
        <v>4</v>
      </c>
      <c r="CM458" s="61" t="str">
        <v>cabozantinib_plus_nivolumab</v>
      </c>
      <c r="CN458" s="17">
        <v>1</v>
      </c>
      <c r="CO458" s="61" t="str" cm="1">
        <f t="array" ref="CO458">INDEX(List_comparators,CP457+1)</f>
        <v>cabozantinib_plus_nivolumab</v>
      </c>
      <c r="CP458" s="17">
        <v>1</v>
      </c>
      <c r="CQ458" s="601">
        <f t="shared" ca="1" si="255"/>
        <v>0</v>
      </c>
      <c r="CR458" s="601">
        <f t="shared" ca="1" si="256"/>
        <v>0</v>
      </c>
      <c r="CS458" s="601">
        <f t="shared" ca="1" si="257"/>
        <v>0</v>
      </c>
      <c r="CT458" s="669">
        <f t="shared" ca="1" si="258"/>
        <v>0</v>
      </c>
      <c r="CU458" s="1123">
        <f>MATCH(CZ465,'Resource use and costs'!$BA$11:$BA$53,0)</f>
        <v>40</v>
      </c>
      <c r="CV458" s="1223"/>
      <c r="CW458" s="1241">
        <f t="shared" si="241"/>
        <v>1</v>
      </c>
      <c r="CX458" s="899" t="s">
        <v>773</v>
      </c>
      <c r="CY458" s="899" t="s">
        <v>319</v>
      </c>
      <c r="CZ458" s="899" t="s">
        <v>579</v>
      </c>
      <c r="DA458" s="899" t="s">
        <v>119</v>
      </c>
      <c r="DB458" s="899" t="s">
        <v>327</v>
      </c>
      <c r="DC458" s="899" cm="1">
        <f t="array" aca="1" ref="DC458" ca="1">_xlfn.IFNA(OFFSET($I$49,MATCH(CY458,$I$50:$I$63,0),MATCH(CZ458,TRANSPOSE($J$49:$W$49),0)),0)</f>
        <v>0.49974522065392168</v>
      </c>
      <c r="DD458" s="899" cm="1">
        <f t="array" aca="1" ref="DD458" ca="1">_xlfn.IFNA(OFFSET($Y$49,MATCH($CZ458,$Y$50:$Y$63,0),MATCH($DA458,TRANSPOSE($Z$49:$AM$49),0)),0)</f>
        <v>6.4999999999999997E-3</v>
      </c>
      <c r="DE458" s="899" cm="1">
        <f t="array" aca="1" ref="DE458" ca="1">_xlfn.IFNA(OFFSET($AO$49,MATCH($DA458,$AO$50:$AO$63,0),MATCH($DB458,TRANSPOSE($AP$49:$BC$49),0)),0)</f>
        <v>0</v>
      </c>
      <c r="DF458" s="881">
        <f t="shared" ca="1" si="244"/>
        <v>0</v>
      </c>
      <c r="DG458" s="910">
        <f t="shared" ca="1" si="240"/>
        <v>0.98859556831386541</v>
      </c>
      <c r="DH458" s="881">
        <f t="shared" ca="1" si="245"/>
        <v>0</v>
      </c>
      <c r="DI458" s="1460">
        <f t="shared" ca="1" si="252"/>
        <v>0</v>
      </c>
      <c r="DJ458" s="909">
        <f>_xlfn.IFNA(INDEX('Resource use and costs'!$CQ$11:$CQ$53,MATCH($CZ458,'Resource use and costs'!$BA$11:$BA$53,0)),0)*_xlfn.IFNA(INDEX(DY$10:DY$23,MATCH($CZ458,$DX$10:$DX$23,0)),0)</f>
        <v>56693.786091428577</v>
      </c>
      <c r="DK458" s="909">
        <f>IF(dd_PartSA_2_lines = "Yes",0,_xlfn.IFNA(INDEX('Resource use and costs'!$CR$11:$CR$53,MATCH(DA458,'Resource use and costs'!$BA$11:$BA$53,0)),0)*_xlfn.IFNA(INDEX(EA$10:EA$23,MATCH($DA458,$DX$10:$DX$23,0)),0))</f>
        <v>848.17532499999982</v>
      </c>
      <c r="DL458" s="909">
        <f>IF(dd_PartSA_2_lines = "Yes",0,_xlfn.IFNA(INDEX('Resource use and costs'!$CS$11:$CS$53,MATCH(DB458,'Resource use and costs'!$BA$11:$BA$53,0)),0)*_xlfn.IFNA(INDEX(EC$10:EC$23,MATCH($DB458,$DX$10:$DX$23,0)),0))</f>
        <v>18438.751749999999</v>
      </c>
      <c r="DM458" s="909">
        <f t="shared" si="246"/>
        <v>75980.71316642857</v>
      </c>
      <c r="DN458" s="909">
        <f>SUM(_xlfn.IFNA(INDEX('Resource use and costs'!$DU$12:$DU$25,MATCH(CZ458,'Resource use and costs'!$DS$12:$DS$25,0)),0),_xlfn.IFNA(INDEX('Resource use and costs'!$DU$12:$DU$25,MATCH(DA458,'Resource use and costs'!$DS$12:$DS$25,0)),0),_xlfn.IFNA(INDEX('Resource use and costs'!$DU$12:$DU$25,MATCH(DB458,'Resource use and costs'!$DS$12:$DS$25,0)),0))</f>
        <v>394.5</v>
      </c>
      <c r="DO458" s="921">
        <f>_xlfn.IFNA(INDEX('Resource use and costs'!$DY$12:$DY$25,MATCH(CZ458,'Resource use and costs'!$DS$12:$DS$25,0)),0)*_xlfn.IFNA(INDEX(DY$10:DY$23,MATCH($CZ458,$DX$10:$DX$23,0)),0)</f>
        <v>8939.6605049142872</v>
      </c>
      <c r="DP458" s="921">
        <f>IF(dd_PartSA_2_lines = "Yes",0,_xlfn.IFNA(INDEX('Resource use and costs'!$DZ$12:$DZ$25,MATCH(DA458,'Resource use and costs'!$DS$12:$DS$25,0)),0)*_xlfn.IFNA(INDEX(EA$10:EA$23,MATCH($DA458,$DX$10:$DX$23,0)),0))</f>
        <v>74.50928571428571</v>
      </c>
      <c r="DQ458" s="921">
        <f>IF(dd_PartSA_2_lines = "Yes",0,_xlfn.IFNA(INDEX('Resource use and costs'!$EA$12:$EA$25,MATCH(DB458,'Resource use and costs'!$DS$12:$DS$25,0)),0)*_xlfn.IFNA(INDEX(EC$10:EC$23,MATCH($DB458,$DX$10:$DX$23,0)),0))</f>
        <v>230.68099999999998</v>
      </c>
      <c r="DR458" s="921">
        <f t="shared" si="247"/>
        <v>9639.350790628574</v>
      </c>
      <c r="DS458" s="1004">
        <f ca="1">SUMIFS('Safety parameters'!$DM$6:$DM$18,'Safety parameters'!$DK$6:$DK$18,CZ458,'Safety parameters'!$DL$6:$DL$18,1)+IF(dd_PartSA_2_lines = "Yes",0,SUMIFS('Safety parameters'!$DM$6:$DM$18,'Safety parameters'!$DK$6:$DK$18,DA458,'Safety parameters'!$DL$6:$DL$18,2)+SUMIFS('Safety parameters'!$DM$6:$DM$18,'Safety parameters'!$DK$6:$DK$18,DB458,'Safety parameters'!$DL$6:$DL$18,2))</f>
        <v>1967.1040569407746</v>
      </c>
      <c r="DT458" s="910">
        <f ca="1">SUMIFS('Safety parameters'!$DO$6:$DO$18,'Safety parameters'!$DK$6:$DK$18,CZ458,'Safety parameters'!$DL$6:$DL$18,1)+IF(dd_PartSA_2_lines = "Yes",0,SUMIFS('Safety parameters'!$DO$6:$DO$18,'Safety parameters'!$DK$6:$DK$18,DA458,'Safety parameters'!$DL$6:$DL$18,2)+SUMIFS('Safety parameters'!$DO$6:$DO$18,'Safety parameters'!$DK$6:$DK$18,DB458,'Safety parameters'!$DL$6:$DL$18,2))</f>
        <v>-1.7409497544119149E-2</v>
      </c>
    </row>
    <row r="459" spans="89:124" ht="15" x14ac:dyDescent="0.2">
      <c r="CK459" s="61" t="s">
        <v>31</v>
      </c>
      <c r="CL459" s="61">
        <v>4</v>
      </c>
      <c r="CM459" s="61" t="str">
        <v>nivolumab_plus_ipilimumab</v>
      </c>
      <c r="CN459" s="17">
        <v>2</v>
      </c>
      <c r="CO459" s="61" t="str" cm="1">
        <f t="array" ref="CO459">INDEX(List_comparators,CP458+1)</f>
        <v>cabozantinib_plus_nivolumab</v>
      </c>
      <c r="CP459" s="17">
        <v>1</v>
      </c>
      <c r="CQ459" s="601">
        <f t="shared" ca="1" si="255"/>
        <v>0</v>
      </c>
      <c r="CR459" s="601">
        <f t="shared" ca="1" si="256"/>
        <v>0</v>
      </c>
      <c r="CS459" s="601">
        <f t="shared" ca="1" si="257"/>
        <v>0</v>
      </c>
      <c r="CT459" s="669">
        <f t="shared" ca="1" si="258"/>
        <v>0</v>
      </c>
      <c r="CU459" s="1123">
        <f>MATCH(CZ466,'Resource use and costs'!$BA$11:$BA$53,0)</f>
        <v>40</v>
      </c>
      <c r="CV459" s="1223"/>
      <c r="CW459" s="1241">
        <f t="shared" si="241"/>
        <v>1</v>
      </c>
      <c r="CX459" s="899" t="s">
        <v>773</v>
      </c>
      <c r="CY459" s="899" t="s">
        <v>319</v>
      </c>
      <c r="CZ459" s="899" t="s">
        <v>579</v>
      </c>
      <c r="DA459" s="899" t="s">
        <v>119</v>
      </c>
      <c r="DB459" s="899" t="s">
        <v>765</v>
      </c>
      <c r="DC459" s="899" cm="1">
        <f t="array" aca="1" ref="DC459" ca="1">_xlfn.IFNA(OFFSET($I$49,MATCH(CY459,$I$50:$I$63,0),MATCH(CZ459,TRANSPOSE($J$49:$W$49),0)),0)</f>
        <v>0.49974522065392168</v>
      </c>
      <c r="DD459" s="899" cm="1">
        <f t="array" aca="1" ref="DD459" ca="1">_xlfn.IFNA(OFFSET($Y$49,MATCH($CZ459,$Y$50:$Y$63,0),MATCH($DA459,TRANSPOSE($Z$49:$AM$49),0)),0)</f>
        <v>6.4999999999999997E-3</v>
      </c>
      <c r="DE459" s="899" cm="1">
        <f t="array" aca="1" ref="DE459" ca="1">_xlfn.IFNA(OFFSET($AO$49,MATCH($DA459,$AO$50:$AO$63,0),MATCH($DB459,TRANSPOSE($AP$49:$BC$49),0)),0)</f>
        <v>1</v>
      </c>
      <c r="DF459" s="881">
        <f t="shared" ca="1" si="244"/>
        <v>3.2483439342504907E-3</v>
      </c>
      <c r="DG459" s="910">
        <f t="shared" ref="DG459:DG522" ca="1" si="259">IF(dd_reduceBSC="No",(1-SUMIFS($DF$11:$DF$779,$CY$11:$CY$779,CY459,$CX$11:$CX$779,CX459,$CW$11:$CW$779,0))/SUMIFS($DF$11:$DF$779,$CY$11:$CY$779,CY459,$CX$11:$CX$779,CX459,$CW$11:$CW$779,1),1/SUMIFS($DF$11:$DF$779,$CY$11:$CY$779,CY459,$CX$11:$CX$779,CX459,$CW$11:$CW$779,1))</f>
        <v>0.98859556831386541</v>
      </c>
      <c r="DH459" s="881">
        <f t="shared" ca="1" si="245"/>
        <v>3.2112984177592612E-3</v>
      </c>
      <c r="DI459" s="1460">
        <f t="shared" ca="1" si="252"/>
        <v>0.33397503544696316</v>
      </c>
      <c r="DJ459" s="909">
        <f>_xlfn.IFNA(INDEX('Resource use and costs'!$CQ$11:$CQ$53,MATCH($CZ459,'Resource use and costs'!$BA$11:$BA$53,0)),0)*_xlfn.IFNA(INDEX(DY$10:DY$23,MATCH($CZ459,$DX$10:$DX$23,0)),0)</f>
        <v>56693.786091428577</v>
      </c>
      <c r="DK459" s="909">
        <f>IF(dd_PartSA_2_lines = "Yes",0,_xlfn.IFNA(INDEX('Resource use and costs'!$CR$11:$CR$53,MATCH(DA459,'Resource use and costs'!$BA$11:$BA$53,0)),0)*_xlfn.IFNA(INDEX(EA$10:EA$23,MATCH($DA459,$DX$10:$DX$23,0)),0))</f>
        <v>848.17532499999982</v>
      </c>
      <c r="DL459" s="909">
        <f>IF(dd_PartSA_2_lines = "Yes",0,_xlfn.IFNA(INDEX('Resource use and costs'!$CS$11:$CS$53,MATCH(DB459,'Resource use and costs'!$BA$11:$BA$53,0)),0)*_xlfn.IFNA(INDEX(EC$10:EC$23,MATCH($DB459,$DX$10:$DX$23,0)),0))</f>
        <v>0</v>
      </c>
      <c r="DM459" s="909">
        <f t="shared" si="246"/>
        <v>57541.961416428574</v>
      </c>
      <c r="DN459" s="909">
        <f>SUM(_xlfn.IFNA(INDEX('Resource use and costs'!$DU$12:$DU$25,MATCH(CZ459,'Resource use and costs'!$DS$12:$DS$25,0)),0),_xlfn.IFNA(INDEX('Resource use and costs'!$DU$12:$DU$25,MATCH(DA459,'Resource use and costs'!$DS$12:$DS$25,0)),0),_xlfn.IFNA(INDEX('Resource use and costs'!$DU$12:$DU$25,MATCH(DB459,'Resource use and costs'!$DS$12:$DS$25,0)),0))</f>
        <v>197.25</v>
      </c>
      <c r="DO459" s="921">
        <f>_xlfn.IFNA(INDEX('Resource use and costs'!$DY$12:$DY$25,MATCH(CZ459,'Resource use and costs'!$DS$12:$DS$25,0)),0)*_xlfn.IFNA(INDEX(DY$10:DY$23,MATCH($CZ459,$DX$10:$DX$23,0)),0)</f>
        <v>8939.6605049142872</v>
      </c>
      <c r="DP459" s="921">
        <f>IF(dd_PartSA_2_lines = "Yes",0,_xlfn.IFNA(INDEX('Resource use and costs'!$DZ$12:$DZ$25,MATCH(DA459,'Resource use and costs'!$DS$12:$DS$25,0)),0)*_xlfn.IFNA(INDEX(EA$10:EA$23,MATCH($DA459,$DX$10:$DX$23,0)),0))</f>
        <v>74.50928571428571</v>
      </c>
      <c r="DQ459" s="921">
        <f>IF(dd_PartSA_2_lines = "Yes",0,_xlfn.IFNA(INDEX('Resource use and costs'!$EA$12:$EA$25,MATCH(DB459,'Resource use and costs'!$DS$12:$DS$25,0)),0)*_xlfn.IFNA(INDEX(EC$10:EC$23,MATCH($DB459,$DX$10:$DX$23,0)),0))</f>
        <v>0</v>
      </c>
      <c r="DR459" s="921">
        <f t="shared" si="247"/>
        <v>9211.4197906285735</v>
      </c>
      <c r="DS459" s="1004">
        <f ca="1">SUMIFS('Safety parameters'!$DM$6:$DM$18,'Safety parameters'!$DK$6:$DK$18,CZ459,'Safety parameters'!$DL$6:$DL$18,1)+IF(dd_PartSA_2_lines = "Yes",0,SUMIFS('Safety parameters'!$DM$6:$DM$18,'Safety parameters'!$DK$6:$DK$18,DA459,'Safety parameters'!$DL$6:$DL$18,2)+SUMIFS('Safety parameters'!$DM$6:$DM$18,'Safety parameters'!$DK$6:$DK$18,DB459,'Safety parameters'!$DL$6:$DL$18,2))</f>
        <v>332.87538337531487</v>
      </c>
      <c r="DT459" s="910">
        <f ca="1">SUMIFS('Safety parameters'!$DO$6:$DO$18,'Safety parameters'!$DK$6:$DK$18,CZ459,'Safety parameters'!$DL$6:$DL$18,1)+IF(dd_PartSA_2_lines = "Yes",0,SUMIFS('Safety parameters'!$DO$6:$DO$18,'Safety parameters'!$DK$6:$DK$18,DA459,'Safety parameters'!$DL$6:$DL$18,2)+SUMIFS('Safety parameters'!$DO$6:$DO$18,'Safety parameters'!$DK$6:$DK$18,DB459,'Safety parameters'!$DL$6:$DL$18,2))</f>
        <v>-2.6675735366377194E-3</v>
      </c>
    </row>
    <row r="460" spans="89:124" ht="15" x14ac:dyDescent="0.2">
      <c r="CK460" s="61" t="s">
        <v>31</v>
      </c>
      <c r="CL460" s="61">
        <v>4</v>
      </c>
      <c r="CM460" s="61" t="str">
        <v>lenvatinib_plus_pembrolizumab</v>
      </c>
      <c r="CN460" s="17">
        <v>3</v>
      </c>
      <c r="CO460" s="61" t="str" cm="1">
        <f t="array" ref="CO460">INDEX(List_comparators,CP459+1)</f>
        <v>cabozantinib_plus_nivolumab</v>
      </c>
      <c r="CP460" s="17">
        <v>1</v>
      </c>
      <c r="CQ460" s="601">
        <f t="shared" ca="1" si="255"/>
        <v>0</v>
      </c>
      <c r="CR460" s="601">
        <f t="shared" ca="1" si="256"/>
        <v>0</v>
      </c>
      <c r="CS460" s="601">
        <f t="shared" ca="1" si="257"/>
        <v>0</v>
      </c>
      <c r="CT460" s="669">
        <f t="shared" ca="1" si="258"/>
        <v>0</v>
      </c>
      <c r="CU460" s="1123">
        <f>MATCH(CZ467,'Resource use and costs'!$BA$11:$BA$53,0)</f>
        <v>40</v>
      </c>
      <c r="CV460" s="1223"/>
      <c r="CW460" s="1241">
        <f t="shared" ref="CW460:CW523" si="260">IF(CZ460="BSC",0,1)</f>
        <v>1</v>
      </c>
      <c r="CX460" s="899" t="s">
        <v>773</v>
      </c>
      <c r="CY460" s="899" t="s">
        <v>319</v>
      </c>
      <c r="CZ460" s="899" t="s">
        <v>579</v>
      </c>
      <c r="DA460" s="899" t="s">
        <v>333</v>
      </c>
      <c r="DB460" s="899" t="s">
        <v>327</v>
      </c>
      <c r="DC460" s="899" cm="1">
        <f t="array" aca="1" ref="DC460" ca="1">_xlfn.IFNA(OFFSET($I$49,MATCH(CY460,$I$50:$I$63,0),MATCH(CZ460,TRANSPOSE($J$49:$W$49),0)),0)</f>
        <v>0.49974522065392168</v>
      </c>
      <c r="DD460" s="899" cm="1">
        <f t="array" aca="1" ref="DD460" ca="1">_xlfn.IFNA(OFFSET($Y$49,MATCH($CZ460,$Y$50:$Y$63,0),MATCH($DA460,TRANSPOSE($Z$49:$AM$49),0)),0)</f>
        <v>5.2400000000000002E-2</v>
      </c>
      <c r="DE460" s="899" cm="1">
        <f t="array" aca="1" ref="DE460" ca="1">_xlfn.IFNA(OFFSET($AO$49,MATCH($DA460,$AO$50:$AO$63,0),MATCH($DB460,TRANSPOSE($AP$49:$BC$49),0)),0)</f>
        <v>0.56859999999999999</v>
      </c>
      <c r="DF460" s="881">
        <f t="shared" ca="1" si="244"/>
        <v>1.4889728941104161E-2</v>
      </c>
      <c r="DG460" s="910">
        <f t="shared" ca="1" si="259"/>
        <v>0.98859556831386541</v>
      </c>
      <c r="DH460" s="881">
        <f t="shared" ca="1" si="245"/>
        <v>1.4719920044570277E-2</v>
      </c>
      <c r="DI460" s="1460">
        <f t="shared" ca="1" si="252"/>
        <v>1.5308716846353088</v>
      </c>
      <c r="DJ460" s="909">
        <f>_xlfn.IFNA(INDEX('Resource use and costs'!$CQ$11:$CQ$53,MATCH($CZ460,'Resource use and costs'!$BA$11:$BA$53,0)),0)*_xlfn.IFNA(INDEX(DY$10:DY$23,MATCH($CZ460,$DX$10:$DX$23,0)),0)</f>
        <v>56693.786091428577</v>
      </c>
      <c r="DK460" s="909">
        <f>IF(dd_PartSA_2_lines = "Yes",0,_xlfn.IFNA(INDEX('Resource use and costs'!$CR$11:$CR$53,MATCH(DA460,'Resource use and costs'!$BA$11:$BA$53,0)),0)*_xlfn.IFNA(INDEX(EA$10:EA$23,MATCH($DA460,$DX$10:$DX$23,0)),0))</f>
        <v>24337.716731999997</v>
      </c>
      <c r="DL460" s="909">
        <f>IF(dd_PartSA_2_lines = "Yes",0,_xlfn.IFNA(INDEX('Resource use and costs'!$CS$11:$CS$53,MATCH(DB460,'Resource use and costs'!$BA$11:$BA$53,0)),0)*_xlfn.IFNA(INDEX(EC$10:EC$23,MATCH($DB460,$DX$10:$DX$23,0)),0))</f>
        <v>18438.751749999999</v>
      </c>
      <c r="DM460" s="909">
        <f t="shared" si="246"/>
        <v>99470.254573428567</v>
      </c>
      <c r="DN460" s="909">
        <f>SUM(_xlfn.IFNA(INDEX('Resource use and costs'!$DU$12:$DU$25,MATCH(CZ460,'Resource use and costs'!$DS$12:$DS$25,0)),0),_xlfn.IFNA(INDEX('Resource use and costs'!$DU$12:$DU$25,MATCH(DA460,'Resource use and costs'!$DS$12:$DS$25,0)),0),_xlfn.IFNA(INDEX('Resource use and costs'!$DU$12:$DU$25,MATCH(DB460,'Resource use and costs'!$DS$12:$DS$25,0)),0))</f>
        <v>394.5</v>
      </c>
      <c r="DO460" s="921">
        <f>_xlfn.IFNA(INDEX('Resource use and costs'!$DY$12:$DY$25,MATCH(CZ460,'Resource use and costs'!$DS$12:$DS$25,0)),0)*_xlfn.IFNA(INDEX(DY$10:DY$23,MATCH($CZ460,$DX$10:$DX$23,0)),0)</f>
        <v>8939.6605049142872</v>
      </c>
      <c r="DP460" s="921">
        <f>IF(dd_PartSA_2_lines = "Yes",0,_xlfn.IFNA(INDEX('Resource use and costs'!$DZ$12:$DZ$25,MATCH(DA460,'Resource use and costs'!$DS$12:$DS$25,0)),0)*_xlfn.IFNA(INDEX(EA$10:EA$23,MATCH($DA460,$DX$10:$DX$23,0)),0))</f>
        <v>363.04714285714283</v>
      </c>
      <c r="DQ460" s="921">
        <f>IF(dd_PartSA_2_lines = "Yes",0,_xlfn.IFNA(INDEX('Resource use and costs'!$EA$12:$EA$25,MATCH(DB460,'Resource use and costs'!$DS$12:$DS$25,0)),0)*_xlfn.IFNA(INDEX(EC$10:EC$23,MATCH($DB460,$DX$10:$DX$23,0)),0))</f>
        <v>230.68099999999998</v>
      </c>
      <c r="DR460" s="921">
        <f t="shared" si="247"/>
        <v>9927.8886477714314</v>
      </c>
      <c r="DS460" s="1004">
        <f ca="1">SUMIFS('Safety parameters'!$DM$6:$DM$18,'Safety parameters'!$DK$6:$DK$18,CZ460,'Safety parameters'!$DL$6:$DL$18,1)+IF(dd_PartSA_2_lines = "Yes",0,SUMIFS('Safety parameters'!$DM$6:$DM$18,'Safety parameters'!$DK$6:$DK$18,DA460,'Safety parameters'!$DL$6:$DL$18,2)+SUMIFS('Safety parameters'!$DM$6:$DM$18,'Safety parameters'!$DK$6:$DK$18,DB460,'Safety parameters'!$DL$6:$DL$18,2))</f>
        <v>2577.0992943484653</v>
      </c>
      <c r="DT460" s="910">
        <f ca="1">SUMIFS('Safety parameters'!$DO$6:$DO$18,'Safety parameters'!$DK$6:$DK$18,CZ460,'Safety parameters'!$DL$6:$DL$18,1)+IF(dd_PartSA_2_lines = "Yes",0,SUMIFS('Safety parameters'!$DO$6:$DO$18,'Safety parameters'!$DK$6:$DK$18,DA460,'Safety parameters'!$DL$6:$DL$18,2)+SUMIFS('Safety parameters'!$DO$6:$DO$18,'Safety parameters'!$DK$6:$DK$18,DB460,'Safety parameters'!$DL$6:$DL$18,2))</f>
        <v>-2.4384674689096917E-2</v>
      </c>
    </row>
    <row r="461" spans="89:124" ht="15" x14ac:dyDescent="0.2">
      <c r="CK461" s="61" t="s">
        <v>31</v>
      </c>
      <c r="CL461" s="61">
        <v>4</v>
      </c>
      <c r="CM461" s="61" t="str">
        <v>avelumab_plus_axitinib</v>
      </c>
      <c r="CN461" s="17">
        <v>4</v>
      </c>
      <c r="CO461" s="61" t="str" cm="1">
        <f t="array" ref="CO461">INDEX(List_comparators,CP460+1)</f>
        <v>cabozantinib_plus_nivolumab</v>
      </c>
      <c r="CP461" s="17">
        <v>1</v>
      </c>
      <c r="CQ461" s="601">
        <f t="shared" ca="1" si="255"/>
        <v>0</v>
      </c>
      <c r="CR461" s="601">
        <f t="shared" ca="1" si="256"/>
        <v>0</v>
      </c>
      <c r="CS461" s="601">
        <f t="shared" ca="1" si="257"/>
        <v>0</v>
      </c>
      <c r="CT461" s="669">
        <f t="shared" ca="1" si="258"/>
        <v>0</v>
      </c>
      <c r="CU461" s="1123" t="e">
        <f>MATCH(CZ468,'Resource use and costs'!$BA$11:$BA$53,0)</f>
        <v>#N/A</v>
      </c>
      <c r="CV461" s="1223"/>
      <c r="CW461" s="1241">
        <f t="shared" si="260"/>
        <v>1</v>
      </c>
      <c r="CX461" s="899" t="s">
        <v>773</v>
      </c>
      <c r="CY461" s="899" t="s">
        <v>319</v>
      </c>
      <c r="CZ461" s="899" t="s">
        <v>579</v>
      </c>
      <c r="DA461" s="899" t="s">
        <v>333</v>
      </c>
      <c r="DB461" s="899" t="s">
        <v>765</v>
      </c>
      <c r="DC461" s="899" cm="1">
        <f t="array" aca="1" ref="DC461" ca="1">_xlfn.IFNA(OFFSET($I$49,MATCH(CY461,$I$50:$I$63,0),MATCH(CZ461,TRANSPOSE($J$49:$W$49),0)),0)</f>
        <v>0.49974522065392168</v>
      </c>
      <c r="DD461" s="899" cm="1">
        <f t="array" aca="1" ref="DD461" ca="1">_xlfn.IFNA(OFFSET($Y$49,MATCH($CZ461,$Y$50:$Y$63,0),MATCH($DA461,TRANSPOSE($Z$49:$AM$49),0)),0)</f>
        <v>5.2400000000000002E-2</v>
      </c>
      <c r="DE461" s="899" cm="1">
        <f t="array" aca="1" ref="DE461" ca="1">_xlfn.IFNA(OFFSET($AO$49,MATCH($DA461,$AO$50:$AO$63,0),MATCH($DB461,TRANSPOSE($AP$49:$BC$49),0)),0)</f>
        <v>0.43140000000000001</v>
      </c>
      <c r="DF461" s="881">
        <f t="shared" ca="1" si="244"/>
        <v>1.1296920621161336E-2</v>
      </c>
      <c r="DG461" s="910">
        <f t="shared" ca="1" si="259"/>
        <v>0.98859556831386541</v>
      </c>
      <c r="DH461" s="881">
        <f t="shared" ca="1" si="245"/>
        <v>1.1168085661673616E-2</v>
      </c>
      <c r="DI461" s="1460">
        <f t="shared" ca="1" si="252"/>
        <v>1.1614809088140561</v>
      </c>
      <c r="DJ461" s="909">
        <f>_xlfn.IFNA(INDEX('Resource use and costs'!$CQ$11:$CQ$53,MATCH($CZ461,'Resource use and costs'!$BA$11:$BA$53,0)),0)*_xlfn.IFNA(INDEX(DY$10:DY$23,MATCH($CZ461,$DX$10:$DX$23,0)),0)</f>
        <v>56693.786091428577</v>
      </c>
      <c r="DK461" s="909">
        <f>IF(dd_PartSA_2_lines = "Yes",0,_xlfn.IFNA(INDEX('Resource use and costs'!$CR$11:$CR$53,MATCH(DA461,'Resource use and costs'!$BA$11:$BA$53,0)),0)*_xlfn.IFNA(INDEX(EA$10:EA$23,MATCH($DA461,$DX$10:$DX$23,0)),0))</f>
        <v>24337.716731999997</v>
      </c>
      <c r="DL461" s="909">
        <f>IF(dd_PartSA_2_lines = "Yes",0,_xlfn.IFNA(INDEX('Resource use and costs'!$CS$11:$CS$53,MATCH(DB461,'Resource use and costs'!$BA$11:$BA$53,0)),0)*_xlfn.IFNA(INDEX(EC$10:EC$23,MATCH($DB461,$DX$10:$DX$23,0)),0))</f>
        <v>0</v>
      </c>
      <c r="DM461" s="909">
        <f t="shared" si="246"/>
        <v>81031.502823428571</v>
      </c>
      <c r="DN461" s="909">
        <f>SUM(_xlfn.IFNA(INDEX('Resource use and costs'!$DU$12:$DU$25,MATCH(CZ461,'Resource use and costs'!$DS$12:$DS$25,0)),0),_xlfn.IFNA(INDEX('Resource use and costs'!$DU$12:$DU$25,MATCH(DA461,'Resource use and costs'!$DS$12:$DS$25,0)),0),_xlfn.IFNA(INDEX('Resource use and costs'!$DU$12:$DU$25,MATCH(DB461,'Resource use and costs'!$DS$12:$DS$25,0)),0))</f>
        <v>197.25</v>
      </c>
      <c r="DO461" s="921">
        <f>_xlfn.IFNA(INDEX('Resource use and costs'!$DY$12:$DY$25,MATCH(CZ461,'Resource use and costs'!$DS$12:$DS$25,0)),0)*_xlfn.IFNA(INDEX(DY$10:DY$23,MATCH($CZ461,$DX$10:$DX$23,0)),0)</f>
        <v>8939.6605049142872</v>
      </c>
      <c r="DP461" s="921">
        <f>IF(dd_PartSA_2_lines = "Yes",0,_xlfn.IFNA(INDEX('Resource use and costs'!$DZ$12:$DZ$25,MATCH(DA461,'Resource use and costs'!$DS$12:$DS$25,0)),0)*_xlfn.IFNA(INDEX(EA$10:EA$23,MATCH($DA461,$DX$10:$DX$23,0)),0))</f>
        <v>363.04714285714283</v>
      </c>
      <c r="DQ461" s="921">
        <f>IF(dd_PartSA_2_lines = "Yes",0,_xlfn.IFNA(INDEX('Resource use and costs'!$EA$12:$EA$25,MATCH(DB461,'Resource use and costs'!$DS$12:$DS$25,0)),0)*_xlfn.IFNA(INDEX(EC$10:EC$23,MATCH($DB461,$DX$10:$DX$23,0)),0))</f>
        <v>0</v>
      </c>
      <c r="DR461" s="921">
        <f t="shared" si="247"/>
        <v>9499.9576477714309</v>
      </c>
      <c r="DS461" s="1004">
        <f ca="1">SUMIFS('Safety parameters'!$DM$6:$DM$18,'Safety parameters'!$DK$6:$DK$18,CZ461,'Safety parameters'!$DL$6:$DL$18,1)+IF(dd_PartSA_2_lines = "Yes",0,SUMIFS('Safety parameters'!$DM$6:$DM$18,'Safety parameters'!$DK$6:$DK$18,DA461,'Safety parameters'!$DL$6:$DL$18,2)+SUMIFS('Safety parameters'!$DM$6:$DM$18,'Safety parameters'!$DK$6:$DK$18,DB461,'Safety parameters'!$DL$6:$DL$18,2))</f>
        <v>942.87062078300573</v>
      </c>
      <c r="DT461" s="910">
        <f ca="1">SUMIFS('Safety parameters'!$DO$6:$DO$18,'Safety parameters'!$DK$6:$DK$18,CZ461,'Safety parameters'!$DL$6:$DL$18,1)+IF(dd_PartSA_2_lines = "Yes",0,SUMIFS('Safety parameters'!$DO$6:$DO$18,'Safety parameters'!$DK$6:$DK$18,DA461,'Safety parameters'!$DL$6:$DL$18,2)+SUMIFS('Safety parameters'!$DO$6:$DO$18,'Safety parameters'!$DK$6:$DK$18,DB461,'Safety parameters'!$DL$6:$DL$18,2))</f>
        <v>-9.6427506816154883E-3</v>
      </c>
    </row>
    <row r="462" spans="89:124" ht="15" x14ac:dyDescent="0.2">
      <c r="CK462" s="61" t="s">
        <v>31</v>
      </c>
      <c r="CL462" s="61">
        <v>4</v>
      </c>
      <c r="CM462" s="61" t="str">
        <v>pazopanib</v>
      </c>
      <c r="CN462" s="17">
        <v>5</v>
      </c>
      <c r="CO462" s="61" t="str" cm="1">
        <f t="array" ref="CO462">INDEX(List_comparators,CP461+1)</f>
        <v>cabozantinib_plus_nivolumab</v>
      </c>
      <c r="CP462" s="17">
        <v>1</v>
      </c>
      <c r="CQ462" s="601">
        <f t="shared" ca="1" si="255"/>
        <v>0</v>
      </c>
      <c r="CR462" s="601">
        <f t="shared" ca="1" si="256"/>
        <v>0</v>
      </c>
      <c r="CS462" s="601">
        <f t="shared" ca="1" si="257"/>
        <v>0</v>
      </c>
      <c r="CT462" s="669">
        <f t="shared" ca="1" si="258"/>
        <v>0</v>
      </c>
      <c r="CU462" s="1123">
        <f>MATCH(CZ469,'Resource use and costs'!$BA$11:$BA$53,0)</f>
        <v>30</v>
      </c>
      <c r="CV462" s="1223"/>
      <c r="CW462" s="1241">
        <f t="shared" si="260"/>
        <v>1</v>
      </c>
      <c r="CX462" s="899" t="s">
        <v>788</v>
      </c>
      <c r="CY462" s="899" t="s">
        <v>585</v>
      </c>
      <c r="CZ462" s="899" t="s">
        <v>327</v>
      </c>
      <c r="DA462" s="899" t="s">
        <v>765</v>
      </c>
      <c r="DB462" s="899"/>
      <c r="DC462" s="899" cm="1">
        <f t="array" aca="1" ref="DC462" ca="1">_xlfn.IFNA(OFFSET($I$49,MATCH(CY462,$I$50:$I$63,0),MATCH(CZ462,TRANSPOSE($J$49:$W$49),0)),0)</f>
        <v>1.0300000000000002E-2</v>
      </c>
      <c r="DD462" s="899" cm="1">
        <f t="array" aca="1" ref="DD462" ca="1">_xlfn.IFNA(OFFSET($Y$49,MATCH($CZ462,$Y$50:$Y$63,0),MATCH($DA462,TRANSPOSE($Z$49:$AM$49),0)),0)</f>
        <v>0.34300000000000003</v>
      </c>
      <c r="DE462" s="899" cm="1">
        <f t="array" aca="1" ref="DE462" ca="1">_xlfn.IFNA(OFFSET($AO$49,MATCH($DA462,$AO$50:$AO$63,0),MATCH($DB462,TRANSPOSE($AP$49:$BC$49),0)),0)</f>
        <v>0</v>
      </c>
      <c r="DF462" s="881">
        <f t="shared" ca="1" si="244"/>
        <v>3.5329000000000007E-3</v>
      </c>
      <c r="DG462" s="910">
        <f t="shared" ca="1" si="259"/>
        <v>1</v>
      </c>
      <c r="DH462" s="881">
        <f t="shared" ca="1" si="245"/>
        <v>3.5329000000000007E-3</v>
      </c>
      <c r="DI462" s="1460">
        <f t="shared" ref="DI462:DI498" ca="1" si="261">234*DH462</f>
        <v>0.82669860000000017</v>
      </c>
      <c r="DJ462" s="909">
        <f>_xlfn.IFNA(INDEX('Resource use and costs'!$CQ$11:$CQ$53,MATCH($CZ462,'Resource use and costs'!$BA$11:$BA$53,0)),0)*_xlfn.IFNA(INDEX(DY$10:DY$23,MATCH($CZ462,$DX$10:$DX$23,0)),0)</f>
        <v>19241.032205</v>
      </c>
      <c r="DK462" s="909">
        <f>IF(dd_PartSA_2_lines = "Yes",0,_xlfn.IFNA(INDEX('Resource use and costs'!$CR$11:$CR$53,MATCH(DA462,'Resource use and costs'!$BA$11:$BA$53,0)),0)*_xlfn.IFNA(INDEX(EA$10:EA$23,MATCH($DA462,$DX$10:$DX$23,0)),0))</f>
        <v>0</v>
      </c>
      <c r="DL462" s="909">
        <f>IF(dd_PartSA_2_lines = "Yes",0,_xlfn.IFNA(INDEX('Resource use and costs'!$CS$11:$CS$53,MATCH(DB462,'Resource use and costs'!$BA$11:$BA$53,0)),0)*_xlfn.IFNA(INDEX(EC$10:EC$23,MATCH($DB462,$DX$10:$DX$23,0)),0))</f>
        <v>0</v>
      </c>
      <c r="DM462" s="909">
        <f t="shared" si="246"/>
        <v>19241.032205</v>
      </c>
      <c r="DN462" s="909">
        <f>SUM(_xlfn.IFNA(INDEX('Resource use and costs'!$DU$12:$DU$25,MATCH(CZ462,'Resource use and costs'!$DS$12:$DS$25,0)),0),_xlfn.IFNA(INDEX('Resource use and costs'!$DU$12:$DU$25,MATCH(DA462,'Resource use and costs'!$DS$12:$DS$25,0)),0),_xlfn.IFNA(INDEX('Resource use and costs'!$DU$12:$DU$25,MATCH(DB462,'Resource use and costs'!$DS$12:$DS$25,0)),0))</f>
        <v>197.25</v>
      </c>
      <c r="DO462" s="921">
        <f>_xlfn.IFNA(INDEX('Resource use and costs'!$DY$12:$DY$25,MATCH(CZ462,'Resource use and costs'!$DS$12:$DS$25,0)),0)*_xlfn.IFNA(INDEX(DY$10:DY$23,MATCH($CZ462,$DX$10:$DX$23,0)),0)</f>
        <v>240.71806000000001</v>
      </c>
      <c r="DP462" s="921">
        <f>IF(dd_PartSA_2_lines = "Yes",0,_xlfn.IFNA(INDEX('Resource use and costs'!$DZ$12:$DZ$25,MATCH(DA462,'Resource use and costs'!$DS$12:$DS$25,0)),0)*_xlfn.IFNA(INDEX(EA$10:EA$23,MATCH($DA462,$DX$10:$DX$23,0)),0))</f>
        <v>0</v>
      </c>
      <c r="DQ462" s="921">
        <f>IF(dd_PartSA_2_lines = "Yes",0,_xlfn.IFNA(INDEX('Resource use and costs'!$EA$12:$EA$25,MATCH(DB462,'Resource use and costs'!$DS$12:$DS$25,0)),0)*_xlfn.IFNA(INDEX(EC$10:EC$23,MATCH($DB462,$DX$10:$DX$23,0)),0))</f>
        <v>0</v>
      </c>
      <c r="DR462" s="921">
        <f t="shared" si="247"/>
        <v>437.96806000000004</v>
      </c>
      <c r="DS462" s="1004">
        <f>SUMIFS('Safety parameters'!$DM$6:$DM$18,'Safety parameters'!$DK$6:$DK$18,CZ462,'Safety parameters'!$DL$6:$DL$18,1)+IF(dd_PartSA_2_lines = "Yes",0,SUMIFS('Safety parameters'!$DM$6:$DM$18,'Safety parameters'!$DK$6:$DK$18,DA462,'Safety parameters'!$DL$6:$DL$18,2)+SUMIFS('Safety parameters'!$DM$6:$DM$18,'Safety parameters'!$DK$6:$DK$18,DB462,'Safety parameters'!$DL$6:$DL$18,2))</f>
        <v>0</v>
      </c>
      <c r="DT462" s="910">
        <f>SUMIFS('Safety parameters'!$DO$6:$DO$18,'Safety parameters'!$DK$6:$DK$18,CZ462,'Safety parameters'!$DL$6:$DL$18,1)+IF(dd_PartSA_2_lines = "Yes",0,SUMIFS('Safety parameters'!$DO$6:$DO$18,'Safety parameters'!$DK$6:$DK$18,DA462,'Safety parameters'!$DL$6:$DL$18,2)+SUMIFS('Safety parameters'!$DO$6:$DO$18,'Safety parameters'!$DK$6:$DK$18,DB462,'Safety parameters'!$DL$6:$DL$18,2))</f>
        <v>0</v>
      </c>
    </row>
    <row r="463" spans="89:124" ht="15" x14ac:dyDescent="0.2">
      <c r="CK463" s="61" t="s">
        <v>31</v>
      </c>
      <c r="CL463" s="61">
        <v>4</v>
      </c>
      <c r="CM463" s="61" t="str">
        <v>tivozanib</v>
      </c>
      <c r="CN463" s="17">
        <v>6</v>
      </c>
      <c r="CO463" s="61" t="str" cm="1">
        <f t="array" ref="CO463">INDEX(List_comparators,CP462+1)</f>
        <v>cabozantinib_plus_nivolumab</v>
      </c>
      <c r="CP463" s="17">
        <v>1</v>
      </c>
      <c r="CQ463" s="601">
        <f t="shared" ca="1" si="255"/>
        <v>0</v>
      </c>
      <c r="CR463" s="601">
        <f t="shared" ca="1" si="256"/>
        <v>0</v>
      </c>
      <c r="CS463" s="601">
        <f t="shared" ca="1" si="257"/>
        <v>0</v>
      </c>
      <c r="CT463" s="669">
        <f t="shared" ca="1" si="258"/>
        <v>0</v>
      </c>
      <c r="CU463" s="1123">
        <f>MATCH(CZ470,'Resource use and costs'!$BA$11:$BA$53,0)</f>
        <v>30</v>
      </c>
      <c r="CV463" s="1223"/>
      <c r="CW463" s="1241">
        <f t="shared" si="260"/>
        <v>1</v>
      </c>
      <c r="CX463" s="899" t="s">
        <v>788</v>
      </c>
      <c r="CY463" s="899" t="s">
        <v>585</v>
      </c>
      <c r="CZ463" s="899" t="s">
        <v>327</v>
      </c>
      <c r="DA463" s="899" t="s">
        <v>118</v>
      </c>
      <c r="DB463" s="899" t="s">
        <v>765</v>
      </c>
      <c r="DC463" s="899" cm="1">
        <f t="array" aca="1" ref="DC463" ca="1">_xlfn.IFNA(OFFSET($I$49,MATCH(CY463,$I$50:$I$63,0),MATCH(CZ463,TRANSPOSE($J$49:$W$49),0)),0)</f>
        <v>1.0300000000000002E-2</v>
      </c>
      <c r="DD463" s="899" cm="1">
        <f t="array" aca="1" ref="DD463" ca="1">_xlfn.IFNA(OFFSET($Y$49,MATCH($CZ463,$Y$50:$Y$63,0),MATCH($DA463,TRANSPOSE($Z$49:$AM$49),0)),0)</f>
        <v>0.32850000000000001</v>
      </c>
      <c r="DE463" s="899" cm="1">
        <f t="array" aca="1" ref="DE463" ca="1">_xlfn.IFNA(OFFSET($AO$49,MATCH($DA463,$AO$50:$AO$63,0),MATCH($DB463,TRANSPOSE($AP$49:$BC$49),0)),0)</f>
        <v>0.43140000000000001</v>
      </c>
      <c r="DF463" s="881">
        <f t="shared" ca="1" si="244"/>
        <v>1.4596634700000004E-3</v>
      </c>
      <c r="DG463" s="910">
        <f t="shared" ca="1" si="259"/>
        <v>1</v>
      </c>
      <c r="DH463" s="881">
        <f t="shared" ca="1" si="245"/>
        <v>1.4596634700000004E-3</v>
      </c>
      <c r="DI463" s="1460">
        <f t="shared" ca="1" si="261"/>
        <v>0.34156125198000009</v>
      </c>
      <c r="DJ463" s="909">
        <f>_xlfn.IFNA(INDEX('Resource use and costs'!$CQ$11:$CQ$53,MATCH($CZ463,'Resource use and costs'!$BA$11:$BA$53,0)),0)*_xlfn.IFNA(INDEX(DY$10:DY$23,MATCH($CZ463,$DX$10:$DX$23,0)),0)</f>
        <v>19241.032205</v>
      </c>
      <c r="DK463" s="909">
        <f>IF(dd_PartSA_2_lines = "Yes",0,_xlfn.IFNA(INDEX('Resource use and costs'!$CR$11:$CR$53,MATCH(DA463,'Resource use and costs'!$BA$11:$BA$53,0)),0)*_xlfn.IFNA(INDEX(EA$10:EA$23,MATCH($DA463,$DX$10:$DX$23,0)),0))</f>
        <v>50308.075122000002</v>
      </c>
      <c r="DL463" s="909">
        <f>IF(dd_PartSA_2_lines = "Yes",0,_xlfn.IFNA(INDEX('Resource use and costs'!$CS$11:$CS$53,MATCH(DB463,'Resource use and costs'!$BA$11:$BA$53,0)),0)*_xlfn.IFNA(INDEX(EC$10:EC$23,MATCH($DB463,$DX$10:$DX$23,0)),0))</f>
        <v>0</v>
      </c>
      <c r="DM463" s="909">
        <f t="shared" si="246"/>
        <v>69549.107327000005</v>
      </c>
      <c r="DN463" s="909">
        <f>SUM(_xlfn.IFNA(INDEX('Resource use and costs'!$DU$12:$DU$25,MATCH(CZ463,'Resource use and costs'!$DS$12:$DS$25,0)),0),_xlfn.IFNA(INDEX('Resource use and costs'!$DU$12:$DU$25,MATCH(DA463,'Resource use and costs'!$DS$12:$DS$25,0)),0),_xlfn.IFNA(INDEX('Resource use and costs'!$DU$12:$DU$25,MATCH(DB463,'Resource use and costs'!$DS$12:$DS$25,0)),0))</f>
        <v>394.5</v>
      </c>
      <c r="DO463" s="921">
        <f>_xlfn.IFNA(INDEX('Resource use and costs'!$DY$12:$DY$25,MATCH(CZ463,'Resource use and costs'!$DS$12:$DS$25,0)),0)*_xlfn.IFNA(INDEX(DY$10:DY$23,MATCH($CZ463,$DX$10:$DX$23,0)),0)</f>
        <v>240.71806000000001</v>
      </c>
      <c r="DP463" s="921">
        <f>IF(dd_PartSA_2_lines = "Yes",0,_xlfn.IFNA(INDEX('Resource use and costs'!$DZ$12:$DZ$25,MATCH(DA463,'Resource use and costs'!$DS$12:$DS$25,0)),0)*_xlfn.IFNA(INDEX(EA$10:EA$23,MATCH($DA463,$DX$10:$DX$23,0)),0))</f>
        <v>461.1445457142857</v>
      </c>
      <c r="DQ463" s="921">
        <f>IF(dd_PartSA_2_lines = "Yes",0,_xlfn.IFNA(INDEX('Resource use and costs'!$EA$12:$EA$25,MATCH(DB463,'Resource use and costs'!$DS$12:$DS$25,0)),0)*_xlfn.IFNA(INDEX(EC$10:EC$23,MATCH($DB463,$DX$10:$DX$23,0)),0))</f>
        <v>0</v>
      </c>
      <c r="DR463" s="921">
        <f t="shared" si="247"/>
        <v>1096.3626057142858</v>
      </c>
      <c r="DS463" s="1004">
        <f ca="1">SUMIFS('Safety parameters'!$DM$6:$DM$18,'Safety parameters'!$DK$6:$DK$18,CZ463,'Safety parameters'!$DL$6:$DL$18,1)+IF(dd_PartSA_2_lines = "Yes",0,SUMIFS('Safety parameters'!$DM$6:$DM$18,'Safety parameters'!$DK$6:$DK$18,DA463,'Safety parameters'!$DL$6:$DL$18,2)+SUMIFS('Safety parameters'!$DM$6:$DM$18,'Safety parameters'!$DK$6:$DK$18,DB463,'Safety parameters'!$DL$6:$DL$18,2))</f>
        <v>743.64929980338343</v>
      </c>
      <c r="DT463" s="910">
        <f ca="1">SUMIFS('Safety parameters'!$DO$6:$DO$18,'Safety parameters'!$DK$6:$DK$18,CZ463,'Safety parameters'!$DL$6:$DL$18,1)+IF(dd_PartSA_2_lines = "Yes",0,SUMIFS('Safety parameters'!$DO$6:$DO$18,'Safety parameters'!$DK$6:$DK$18,DA463,'Safety parameters'!$DL$6:$DL$18,2)+SUMIFS('Safety parameters'!$DO$6:$DO$18,'Safety parameters'!$DK$6:$DK$18,DB463,'Safety parameters'!$DL$6:$DL$18,2))</f>
        <v>-7.0223263562359372E-3</v>
      </c>
    </row>
    <row r="464" spans="89:124" ht="15" x14ac:dyDescent="0.2">
      <c r="CK464" s="61" t="s">
        <v>31</v>
      </c>
      <c r="CL464" s="61">
        <v>4</v>
      </c>
      <c r="CM464" s="61" t="str">
        <v>sunitinib</v>
      </c>
      <c r="CN464" s="17">
        <v>7</v>
      </c>
      <c r="CO464" s="61" t="str" cm="1">
        <f t="array" ref="CO464">INDEX(List_comparators,CP463+1)</f>
        <v>cabozantinib_plus_nivolumab</v>
      </c>
      <c r="CP464" s="17">
        <v>1</v>
      </c>
      <c r="CQ464" s="601">
        <f t="shared" ca="1" si="255"/>
        <v>0</v>
      </c>
      <c r="CR464" s="601">
        <f t="shared" ca="1" si="256"/>
        <v>0</v>
      </c>
      <c r="CS464" s="601">
        <f t="shared" ca="1" si="257"/>
        <v>0</v>
      </c>
      <c r="CT464" s="669">
        <f t="shared" ca="1" si="258"/>
        <v>0</v>
      </c>
      <c r="CU464" s="1123">
        <f>MATCH(CZ471,'Resource use and costs'!$BA$11:$BA$53,0)</f>
        <v>30</v>
      </c>
      <c r="CV464" s="1223"/>
      <c r="CW464" s="1241">
        <f t="shared" si="260"/>
        <v>1</v>
      </c>
      <c r="CX464" s="899" t="s">
        <v>788</v>
      </c>
      <c r="CY464" s="899" t="s">
        <v>585</v>
      </c>
      <c r="CZ464" s="899" t="s">
        <v>327</v>
      </c>
      <c r="DA464" s="899" t="s">
        <v>118</v>
      </c>
      <c r="DB464" s="899" t="s">
        <v>119</v>
      </c>
      <c r="DC464" s="899" cm="1">
        <f t="array" aca="1" ref="DC464" ca="1">_xlfn.IFNA(OFFSET($I$49,MATCH(CY464,$I$50:$I$63,0),MATCH(CZ464,TRANSPOSE($J$49:$W$49),0)),0)</f>
        <v>1.0300000000000002E-2</v>
      </c>
      <c r="DD464" s="899" cm="1">
        <f t="array" aca="1" ref="DD464" ca="1">_xlfn.IFNA(OFFSET($Y$49,MATCH($CZ464,$Y$50:$Y$63,0),MATCH($DA464,TRANSPOSE($Z$49:$AM$49),0)),0)</f>
        <v>0.32850000000000001</v>
      </c>
      <c r="DE464" s="899">
        <f ca="1">1-DE463</f>
        <v>0.56859999999999999</v>
      </c>
      <c r="DF464" s="881">
        <f t="shared" ca="1" si="244"/>
        <v>1.9238865300000004E-3</v>
      </c>
      <c r="DG464" s="910">
        <f t="shared" ca="1" si="259"/>
        <v>1</v>
      </c>
      <c r="DH464" s="881">
        <f t="shared" ca="1" si="245"/>
        <v>1.9238865300000004E-3</v>
      </c>
      <c r="DI464" s="1460">
        <f t="shared" ca="1" si="261"/>
        <v>0.4501894480200001</v>
      </c>
      <c r="DJ464" s="909">
        <f>_xlfn.IFNA(INDEX('Resource use and costs'!$CQ$11:$CQ$53,MATCH($CZ464,'Resource use and costs'!$BA$11:$BA$53,0)),0)*_xlfn.IFNA(INDEX(DY$10:DY$23,MATCH($CZ464,$DX$10:$DX$23,0)),0)</f>
        <v>19241.032205</v>
      </c>
      <c r="DK464" s="909">
        <f>IF(dd_PartSA_2_lines = "Yes",0,_xlfn.IFNA(INDEX('Resource use and costs'!$CR$11:$CR$53,MATCH(DA464,'Resource use and costs'!$BA$11:$BA$53,0)),0)*_xlfn.IFNA(INDEX(EA$10:EA$23,MATCH($DA464,$DX$10:$DX$23,0)),0))</f>
        <v>50308.075122000002</v>
      </c>
      <c r="DL464" s="909">
        <f>IF(dd_PartSA_2_lines = "Yes",0,_xlfn.IFNA(INDEX('Resource use and costs'!$CS$11:$CS$53,MATCH(DB464,'Resource use and costs'!$BA$11:$BA$53,0)),0)*_xlfn.IFNA(INDEX(EC$10:EC$23,MATCH($DB464,$DX$10:$DX$23,0)),0))</f>
        <v>2915.4763433333328</v>
      </c>
      <c r="DM464" s="909">
        <f t="shared" si="246"/>
        <v>72464.583670333333</v>
      </c>
      <c r="DN464" s="909">
        <f>SUM(_xlfn.IFNA(INDEX('Resource use and costs'!$DU$12:$DU$25,MATCH(CZ464,'Resource use and costs'!$DS$12:$DS$25,0)),0),_xlfn.IFNA(INDEX('Resource use and costs'!$DU$12:$DU$25,MATCH(DA464,'Resource use and costs'!$DS$12:$DS$25,0)),0),_xlfn.IFNA(INDEX('Resource use and costs'!$DU$12:$DU$25,MATCH(DB464,'Resource use and costs'!$DS$12:$DS$25,0)),0))</f>
        <v>591.75</v>
      </c>
      <c r="DO464" s="921">
        <f>_xlfn.IFNA(INDEX('Resource use and costs'!$DY$12:$DY$25,MATCH(CZ464,'Resource use and costs'!$DS$12:$DS$25,0)),0)*_xlfn.IFNA(INDEX(DY$10:DY$23,MATCH($CZ464,$DX$10:$DX$23,0)),0)</f>
        <v>240.71806000000001</v>
      </c>
      <c r="DP464" s="921">
        <f>IF(dd_PartSA_2_lines = "Yes",0,_xlfn.IFNA(INDEX('Resource use and costs'!$DZ$12:$DZ$25,MATCH(DA464,'Resource use and costs'!$DS$12:$DS$25,0)),0)*_xlfn.IFNA(INDEX(EA$10:EA$23,MATCH($DA464,$DX$10:$DX$23,0)),0))</f>
        <v>461.1445457142857</v>
      </c>
      <c r="DQ464" s="921">
        <f>IF(dd_PartSA_2_lines = "Yes",0,_xlfn.IFNA(INDEX('Resource use and costs'!$EA$12:$EA$25,MATCH(DB464,'Resource use and costs'!$DS$12:$DS$25,0)),0)*_xlfn.IFNA(INDEX(EC$10:EC$23,MATCH($DB464,$DX$10:$DX$23,0)),0))</f>
        <v>256.11457142857142</v>
      </c>
      <c r="DR464" s="921">
        <f t="shared" si="247"/>
        <v>1549.7271771428573</v>
      </c>
      <c r="DS464" s="1004">
        <f ca="1">SUMIFS('Safety parameters'!$DM$6:$DM$18,'Safety parameters'!$DK$6:$DK$18,CZ464,'Safety parameters'!$DL$6:$DL$18,1)+IF(dd_PartSA_2_lines = "Yes",0,SUMIFS('Safety parameters'!$DM$6:$DM$18,'Safety parameters'!$DK$6:$DK$18,DA464,'Safety parameters'!$DL$6:$DL$18,2)+SUMIFS('Safety parameters'!$DM$6:$DM$18,'Safety parameters'!$DK$6:$DK$18,DB464,'Safety parameters'!$DL$6:$DL$18,2))</f>
        <v>1076.5246831786983</v>
      </c>
      <c r="DT464" s="910">
        <f ca="1">SUMIFS('Safety parameters'!$DO$6:$DO$18,'Safety parameters'!$DK$6:$DK$18,CZ464,'Safety parameters'!$DL$6:$DL$18,1)+IF(dd_PartSA_2_lines = "Yes",0,SUMIFS('Safety parameters'!$DO$6:$DO$18,'Safety parameters'!$DK$6:$DK$18,DA464,'Safety parameters'!$DL$6:$DL$18,2)+SUMIFS('Safety parameters'!$DO$6:$DO$18,'Safety parameters'!$DK$6:$DK$18,DB464,'Safety parameters'!$DL$6:$DL$18,2))</f>
        <v>-9.689899892873657E-3</v>
      </c>
    </row>
    <row r="465" spans="89:124" ht="15" x14ac:dyDescent="0.2">
      <c r="CK465" s="61" t="s">
        <v>31</v>
      </c>
      <c r="CL465" s="61">
        <v>4</v>
      </c>
      <c r="CM465" s="61" t="str">
        <v>cabozantinib</v>
      </c>
      <c r="CN465" s="17">
        <v>8</v>
      </c>
      <c r="CO465" s="61" t="str" cm="1">
        <f t="array" ref="CO465">INDEX(List_comparators,CP464+1)</f>
        <v>cabozantinib_plus_nivolumab</v>
      </c>
      <c r="CP465" s="17">
        <v>1</v>
      </c>
      <c r="CQ465" s="601">
        <f t="shared" ca="1" si="255"/>
        <v>0</v>
      </c>
      <c r="CR465" s="601">
        <f t="shared" ca="1" si="256"/>
        <v>0</v>
      </c>
      <c r="CS465" s="601">
        <f t="shared" ca="1" si="257"/>
        <v>0</v>
      </c>
      <c r="CT465" s="669">
        <f t="shared" ca="1" si="258"/>
        <v>0</v>
      </c>
      <c r="CU465" s="1123">
        <f>MATCH(CZ472,'Resource use and costs'!$BA$11:$BA$53,0)</f>
        <v>30</v>
      </c>
      <c r="CV465" s="1223"/>
      <c r="CW465" s="1241">
        <f t="shared" si="260"/>
        <v>1</v>
      </c>
      <c r="CX465" s="899" t="s">
        <v>788</v>
      </c>
      <c r="CY465" s="899" t="s">
        <v>585</v>
      </c>
      <c r="CZ465" s="899" t="s">
        <v>327</v>
      </c>
      <c r="DA465" s="899" t="s">
        <v>119</v>
      </c>
      <c r="DB465" s="899" t="s">
        <v>765</v>
      </c>
      <c r="DC465" s="899" cm="1">
        <f t="array" aca="1" ref="DC465" ca="1">_xlfn.IFNA(OFFSET($I$49,MATCH(CY465,$I$50:$I$63,0),MATCH(CZ465,TRANSPOSE($J$49:$W$49),0)),0)</f>
        <v>1.0300000000000002E-2</v>
      </c>
      <c r="DD465" s="899" cm="1">
        <f t="array" aca="1" ref="DD465" ca="1">_xlfn.IFNA(OFFSET($Y$49,MATCH($CZ465,$Y$50:$Y$63,0),MATCH($DA465,TRANSPOSE($Z$49:$AM$49),0)),0)</f>
        <v>0</v>
      </c>
      <c r="DE465" s="899" cm="1">
        <f t="array" aca="1" ref="DE465" ca="1">_xlfn.IFNA(OFFSET($AO$49,MATCH($DA465,$AO$50:$AO$63,0),MATCH($DB465,TRANSPOSE($AP$49:$BC$49),0)),0)</f>
        <v>1</v>
      </c>
      <c r="DF465" s="881">
        <f t="shared" ca="1" si="244"/>
        <v>0</v>
      </c>
      <c r="DG465" s="910">
        <f t="shared" ca="1" si="259"/>
        <v>1</v>
      </c>
      <c r="DH465" s="881">
        <f t="shared" ca="1" si="245"/>
        <v>0</v>
      </c>
      <c r="DI465" s="1460">
        <f t="shared" ca="1" si="261"/>
        <v>0</v>
      </c>
      <c r="DJ465" s="909">
        <f>_xlfn.IFNA(INDEX('Resource use and costs'!$CQ$11:$CQ$53,MATCH($CZ465,'Resource use and costs'!$BA$11:$BA$53,0)),0)*_xlfn.IFNA(INDEX(DY$10:DY$23,MATCH($CZ465,$DX$10:$DX$23,0)),0)</f>
        <v>19241.032205</v>
      </c>
      <c r="DK465" s="909">
        <f>IF(dd_PartSA_2_lines = "Yes",0,_xlfn.IFNA(INDEX('Resource use and costs'!$CR$11:$CR$53,MATCH(DA465,'Resource use and costs'!$BA$11:$BA$53,0)),0)*_xlfn.IFNA(INDEX(EA$10:EA$23,MATCH($DA465,$DX$10:$DX$23,0)),0))</f>
        <v>848.17532499999982</v>
      </c>
      <c r="DL465" s="909">
        <f>IF(dd_PartSA_2_lines = "Yes",0,_xlfn.IFNA(INDEX('Resource use and costs'!$CS$11:$CS$53,MATCH(DB465,'Resource use and costs'!$BA$11:$BA$53,0)),0)*_xlfn.IFNA(INDEX(EC$10:EC$23,MATCH($DB465,$DX$10:$DX$23,0)),0))</f>
        <v>0</v>
      </c>
      <c r="DM465" s="909">
        <f t="shared" si="246"/>
        <v>20089.20753</v>
      </c>
      <c r="DN465" s="909">
        <f>SUM(_xlfn.IFNA(INDEX('Resource use and costs'!$DU$12:$DU$25,MATCH(CZ465,'Resource use and costs'!$DS$12:$DS$25,0)),0),_xlfn.IFNA(INDEX('Resource use and costs'!$DU$12:$DU$25,MATCH(DA465,'Resource use and costs'!$DS$12:$DS$25,0)),0),_xlfn.IFNA(INDEX('Resource use and costs'!$DU$12:$DU$25,MATCH(DB465,'Resource use and costs'!$DS$12:$DS$25,0)),0))</f>
        <v>394.5</v>
      </c>
      <c r="DO465" s="921">
        <f>_xlfn.IFNA(INDEX('Resource use and costs'!$DY$12:$DY$25,MATCH(CZ465,'Resource use and costs'!$DS$12:$DS$25,0)),0)*_xlfn.IFNA(INDEX(DY$10:DY$23,MATCH($CZ465,$DX$10:$DX$23,0)),0)</f>
        <v>240.71806000000001</v>
      </c>
      <c r="DP465" s="921">
        <f>IF(dd_PartSA_2_lines = "Yes",0,_xlfn.IFNA(INDEX('Resource use and costs'!$DZ$12:$DZ$25,MATCH(DA465,'Resource use and costs'!$DS$12:$DS$25,0)),0)*_xlfn.IFNA(INDEX(EA$10:EA$23,MATCH($DA465,$DX$10:$DX$23,0)),0))</f>
        <v>74.50928571428571</v>
      </c>
      <c r="DQ465" s="921">
        <f>IF(dd_PartSA_2_lines = "Yes",0,_xlfn.IFNA(INDEX('Resource use and costs'!$EA$12:$EA$25,MATCH(DB465,'Resource use and costs'!$DS$12:$DS$25,0)),0)*_xlfn.IFNA(INDEX(EC$10:EC$23,MATCH($DB465,$DX$10:$DX$23,0)),0))</f>
        <v>0</v>
      </c>
      <c r="DR465" s="921">
        <f t="shared" si="247"/>
        <v>709.72734571428578</v>
      </c>
      <c r="DS465" s="1004">
        <f ca="1">SUMIFS('Safety parameters'!$DM$6:$DM$18,'Safety parameters'!$DK$6:$DK$18,CZ465,'Safety parameters'!$DL$6:$DL$18,1)+IF(dd_PartSA_2_lines = "Yes",0,SUMIFS('Safety parameters'!$DM$6:$DM$18,'Safety parameters'!$DK$6:$DK$18,DA465,'Safety parameters'!$DL$6:$DL$18,2)+SUMIFS('Safety parameters'!$DM$6:$DM$18,'Safety parameters'!$DK$6:$DK$18,DB465,'Safety parameters'!$DL$6:$DL$18,2))</f>
        <v>332.87538337531487</v>
      </c>
      <c r="DT465" s="910">
        <f ca="1">SUMIFS('Safety parameters'!$DO$6:$DO$18,'Safety parameters'!$DK$6:$DK$18,CZ465,'Safety parameters'!$DL$6:$DL$18,1)+IF(dd_PartSA_2_lines = "Yes",0,SUMIFS('Safety parameters'!$DO$6:$DO$18,'Safety parameters'!$DK$6:$DK$18,DA465,'Safety parameters'!$DL$6:$DL$18,2)+SUMIFS('Safety parameters'!$DO$6:$DO$18,'Safety parameters'!$DK$6:$DK$18,DB465,'Safety parameters'!$DL$6:$DL$18,2))</f>
        <v>-2.6675735366377194E-3</v>
      </c>
    </row>
    <row r="466" spans="89:124" ht="15" x14ac:dyDescent="0.2">
      <c r="CK466" s="61" t="s">
        <v>31</v>
      </c>
      <c r="CL466" s="61">
        <v>4</v>
      </c>
      <c r="CM466" s="61" t="str">
        <v>lenvatinib_plus_everolimus</v>
      </c>
      <c r="CN466" s="17">
        <v>9</v>
      </c>
      <c r="CO466" s="61" t="str" cm="1">
        <f t="array" ref="CO466">INDEX(List_comparators,CP465+1)</f>
        <v>cabozantinib_plus_nivolumab</v>
      </c>
      <c r="CP466" s="17">
        <v>1</v>
      </c>
      <c r="CQ466" s="601">
        <f t="shared" ca="1" si="255"/>
        <v>0</v>
      </c>
      <c r="CR466" s="601">
        <f t="shared" ca="1" si="256"/>
        <v>0</v>
      </c>
      <c r="CS466" s="601">
        <f t="shared" ca="1" si="257"/>
        <v>0</v>
      </c>
      <c r="CT466" s="669">
        <f t="shared" ca="1" si="258"/>
        <v>0</v>
      </c>
      <c r="CU466" s="1123">
        <f>MATCH(CZ473,'Resource use and costs'!$BA$11:$BA$53,0)</f>
        <v>30</v>
      </c>
      <c r="CV466" s="1223"/>
      <c r="CW466" s="1241">
        <f t="shared" si="260"/>
        <v>1</v>
      </c>
      <c r="CX466" s="899" t="s">
        <v>788</v>
      </c>
      <c r="CY466" s="899" t="s">
        <v>585</v>
      </c>
      <c r="CZ466" s="899" t="s">
        <v>327</v>
      </c>
      <c r="DA466" s="899" t="s">
        <v>579</v>
      </c>
      <c r="DB466" s="899" t="s">
        <v>765</v>
      </c>
      <c r="DC466" s="899" cm="1">
        <f t="array" aca="1" ref="DC466" ca="1">_xlfn.IFNA(OFFSET($I$49,MATCH(CY466,$I$50:$I$63,0),MATCH(CZ466,TRANSPOSE($J$49:$W$49),0)),0)</f>
        <v>1.0300000000000002E-2</v>
      </c>
      <c r="DD466" s="899" cm="1">
        <f t="array" aca="1" ref="DD466" ca="1">_xlfn.IFNA(OFFSET($Y$49,MATCH($CZ466,$Y$50:$Y$63,0),MATCH($DA466,TRANSPOSE($Z$49:$AM$49),0)),0)</f>
        <v>0.32850000000000001</v>
      </c>
      <c r="DE466" s="899" cm="1">
        <f t="array" aca="1" ref="DE466" ca="1">_xlfn.IFNA(OFFSET($AO$49,MATCH($DA466,$AO$50:$AO$63,0),MATCH($DB466,TRANSPOSE($AP$49:$BC$49),0)),0)</f>
        <v>0.43140000000000001</v>
      </c>
      <c r="DF466" s="881">
        <f t="shared" ref="DF466:DF529" ca="1" si="262">IF(AND(ISBLANK(DA466),ISBLANK(DA466)),DC466,IF(ISBLANK(DB466),DC466*DD466,DC466*DD466*DE466))</f>
        <v>1.4596634700000004E-3</v>
      </c>
      <c r="DG466" s="910">
        <f t="shared" ca="1" si="259"/>
        <v>1</v>
      </c>
      <c r="DH466" s="881">
        <f t="shared" ref="DH466:DH529" ca="1" si="263">IF(CZ466="BSC",IF(dd_reduceBSC="No",DF466,0),DF466*DG466)</f>
        <v>1.4596634700000004E-3</v>
      </c>
      <c r="DI466" s="1460">
        <f t="shared" ca="1" si="261"/>
        <v>0.34156125198000009</v>
      </c>
      <c r="DJ466" s="909">
        <f>_xlfn.IFNA(INDEX('Resource use and costs'!$CQ$11:$CQ$53,MATCH($CZ466,'Resource use and costs'!$BA$11:$BA$53,0)),0)*_xlfn.IFNA(INDEX(DY$10:DY$23,MATCH($CZ466,$DX$10:$DX$23,0)),0)</f>
        <v>19241.032205</v>
      </c>
      <c r="DK466" s="909">
        <f>IF(dd_PartSA_2_lines = "Yes",0,_xlfn.IFNA(INDEX('Resource use and costs'!$CR$11:$CR$53,MATCH(DA466,'Resource use and costs'!$BA$11:$BA$53,0)),0)*_xlfn.IFNA(INDEX(EA$10:EA$23,MATCH($DA466,$DX$10:$DX$23,0)),0))</f>
        <v>26054.50921</v>
      </c>
      <c r="DL466" s="909">
        <f>IF(dd_PartSA_2_lines = "Yes",0,_xlfn.IFNA(INDEX('Resource use and costs'!$CS$11:$CS$53,MATCH(DB466,'Resource use and costs'!$BA$11:$BA$53,0)),0)*_xlfn.IFNA(INDEX(EC$10:EC$23,MATCH($DB466,$DX$10:$DX$23,0)),0))</f>
        <v>0</v>
      </c>
      <c r="DM466" s="909">
        <f t="shared" si="246"/>
        <v>45295.541415</v>
      </c>
      <c r="DN466" s="909">
        <f>SUM(_xlfn.IFNA(INDEX('Resource use and costs'!$DU$12:$DU$25,MATCH(CZ466,'Resource use and costs'!$DS$12:$DS$25,0)),0),_xlfn.IFNA(INDEX('Resource use and costs'!$DU$12:$DU$25,MATCH(DA466,'Resource use and costs'!$DS$12:$DS$25,0)),0),_xlfn.IFNA(INDEX('Resource use and costs'!$DU$12:$DU$25,MATCH(DB466,'Resource use and costs'!$DS$12:$DS$25,0)),0))</f>
        <v>197.25</v>
      </c>
      <c r="DO466" s="921">
        <f>_xlfn.IFNA(INDEX('Resource use and costs'!$DY$12:$DY$25,MATCH(CZ466,'Resource use and costs'!$DS$12:$DS$25,0)),0)*_xlfn.IFNA(INDEX(DY$10:DY$23,MATCH($CZ466,$DX$10:$DX$23,0)),0)</f>
        <v>240.71806000000001</v>
      </c>
      <c r="DP466" s="921">
        <f>IF(dd_PartSA_2_lines = "Yes",0,_xlfn.IFNA(INDEX('Resource use and costs'!$DZ$12:$DZ$25,MATCH(DA466,'Resource use and costs'!$DS$12:$DS$25,0)),0)*_xlfn.IFNA(INDEX(EA$10:EA$23,MATCH($DA466,$DX$10:$DX$23,0)),0))</f>
        <v>4108.3597166</v>
      </c>
      <c r="DQ466" s="921">
        <f>IF(dd_PartSA_2_lines = "Yes",0,_xlfn.IFNA(INDEX('Resource use and costs'!$EA$12:$EA$25,MATCH(DB466,'Resource use and costs'!$DS$12:$DS$25,0)),0)*_xlfn.IFNA(INDEX(EC$10:EC$23,MATCH($DB466,$DX$10:$DX$23,0)),0))</f>
        <v>0</v>
      </c>
      <c r="DR466" s="921">
        <f t="shared" si="247"/>
        <v>4546.3277766000001</v>
      </c>
      <c r="DS466" s="1004">
        <f ca="1">SUMIFS('Safety parameters'!$DM$6:$DM$18,'Safety parameters'!$DK$6:$DK$18,CZ466,'Safety parameters'!$DL$6:$DL$18,1)+IF(dd_PartSA_2_lines = "Yes",0,SUMIFS('Safety parameters'!$DM$6:$DM$18,'Safety parameters'!$DK$6:$DK$18,DA466,'Safety parameters'!$DL$6:$DL$18,2)+SUMIFS('Safety parameters'!$DM$6:$DM$18,'Safety parameters'!$DK$6:$DK$18,DB466,'Safety parameters'!$DL$6:$DL$18,2))</f>
        <v>161.1337489904144</v>
      </c>
      <c r="DT466" s="910">
        <f ca="1">SUMIFS('Safety parameters'!$DO$6:$DO$18,'Safety parameters'!$DK$6:$DK$18,CZ466,'Safety parameters'!$DL$6:$DL$18,1)+IF(dd_PartSA_2_lines = "Yes",0,SUMIFS('Safety parameters'!$DO$6:$DO$18,'Safety parameters'!$DK$6:$DK$18,DA466,'Safety parameters'!$DL$6:$DL$18,2)+SUMIFS('Safety parameters'!$DO$6:$DO$18,'Safety parameters'!$DK$6:$DK$18,DB466,'Safety parameters'!$DL$6:$DL$18,2))</f>
        <v>-1.5970841976847864E-3</v>
      </c>
    </row>
    <row r="467" spans="89:124" ht="15" x14ac:dyDescent="0.2">
      <c r="CK467" s="61" t="s">
        <v>31</v>
      </c>
      <c r="CL467" s="61">
        <v>4</v>
      </c>
      <c r="CM467" s="61" t="str">
        <v>everolimus</v>
      </c>
      <c r="CN467" s="17">
        <v>10</v>
      </c>
      <c r="CO467" s="61" t="str" cm="1">
        <f t="array" ref="CO467">INDEX(List_comparators,CP466+1)</f>
        <v>cabozantinib_plus_nivolumab</v>
      </c>
      <c r="CP467" s="17">
        <v>1</v>
      </c>
      <c r="CQ467" s="601">
        <f t="shared" ca="1" si="255"/>
        <v>0</v>
      </c>
      <c r="CR467" s="601">
        <f t="shared" ca="1" si="256"/>
        <v>0</v>
      </c>
      <c r="CS467" s="601">
        <f t="shared" ca="1" si="257"/>
        <v>0</v>
      </c>
      <c r="CT467" s="669">
        <f t="shared" ca="1" si="258"/>
        <v>0</v>
      </c>
      <c r="CU467" s="1123">
        <f>MATCH(CZ474,'Resource use and costs'!$BA$11:$BA$53,0)</f>
        <v>30</v>
      </c>
      <c r="CV467" s="1223"/>
      <c r="CW467" s="1241">
        <f t="shared" si="260"/>
        <v>1</v>
      </c>
      <c r="CX467" s="899" t="s">
        <v>788</v>
      </c>
      <c r="CY467" s="899" t="s">
        <v>585</v>
      </c>
      <c r="CZ467" s="899" t="s">
        <v>327</v>
      </c>
      <c r="DA467" s="899" t="s">
        <v>579</v>
      </c>
      <c r="DB467" s="899" t="s">
        <v>119</v>
      </c>
      <c r="DC467" s="899" cm="1">
        <f t="array" aca="1" ref="DC467" ca="1">_xlfn.IFNA(OFFSET($I$49,MATCH(CY467,$I$50:$I$63,0),MATCH(CZ467,TRANSPOSE($J$49:$W$49),0)),0)</f>
        <v>1.0300000000000002E-2</v>
      </c>
      <c r="DD467" s="899" cm="1">
        <f t="array" aca="1" ref="DD467" ca="1">_xlfn.IFNA(OFFSET($Y$49,MATCH($CZ467,$Y$50:$Y$63,0),MATCH($DA467,TRANSPOSE($Z$49:$AM$49),0)),0)</f>
        <v>0.32850000000000001</v>
      </c>
      <c r="DE467" s="899">
        <f ca="1">1-DE466</f>
        <v>0.56859999999999999</v>
      </c>
      <c r="DF467" s="881">
        <f t="shared" ca="1" si="262"/>
        <v>1.9238865300000004E-3</v>
      </c>
      <c r="DG467" s="910">
        <f t="shared" ca="1" si="259"/>
        <v>1</v>
      </c>
      <c r="DH467" s="881">
        <f t="shared" ca="1" si="263"/>
        <v>1.9238865300000004E-3</v>
      </c>
      <c r="DI467" s="1460">
        <f t="shared" ca="1" si="261"/>
        <v>0.4501894480200001</v>
      </c>
      <c r="DJ467" s="909">
        <f>_xlfn.IFNA(INDEX('Resource use and costs'!$CQ$11:$CQ$53,MATCH($CZ467,'Resource use and costs'!$BA$11:$BA$53,0)),0)*_xlfn.IFNA(INDEX(DY$10:DY$23,MATCH($CZ467,$DX$10:$DX$23,0)),0)</f>
        <v>19241.032205</v>
      </c>
      <c r="DK467" s="909">
        <f>IF(dd_PartSA_2_lines = "Yes",0,_xlfn.IFNA(INDEX('Resource use and costs'!$CR$11:$CR$53,MATCH(DA467,'Resource use and costs'!$BA$11:$BA$53,0)),0)*_xlfn.IFNA(INDEX(EA$10:EA$23,MATCH($DA467,$DX$10:$DX$23,0)),0))</f>
        <v>26054.50921</v>
      </c>
      <c r="DL467" s="909">
        <f>IF(dd_PartSA_2_lines = "Yes",0,_xlfn.IFNA(INDEX('Resource use and costs'!$CS$11:$CS$53,MATCH(DB467,'Resource use and costs'!$BA$11:$BA$53,0)),0)*_xlfn.IFNA(INDEX(EC$10:EC$23,MATCH($DB467,$DX$10:$DX$23,0)),0))</f>
        <v>2915.4763433333328</v>
      </c>
      <c r="DM467" s="909">
        <f t="shared" ref="DM467:DM530" si="264">SUM(DJ467:DL467)</f>
        <v>48211.017758333335</v>
      </c>
      <c r="DN467" s="909">
        <f>SUM(_xlfn.IFNA(INDEX('Resource use and costs'!$DU$12:$DU$25,MATCH(CZ467,'Resource use and costs'!$DS$12:$DS$25,0)),0),_xlfn.IFNA(INDEX('Resource use and costs'!$DU$12:$DU$25,MATCH(DA467,'Resource use and costs'!$DS$12:$DS$25,0)),0),_xlfn.IFNA(INDEX('Resource use and costs'!$DU$12:$DU$25,MATCH(DB467,'Resource use and costs'!$DS$12:$DS$25,0)),0))</f>
        <v>394.5</v>
      </c>
      <c r="DO467" s="921">
        <f>_xlfn.IFNA(INDEX('Resource use and costs'!$DY$12:$DY$25,MATCH(CZ467,'Resource use and costs'!$DS$12:$DS$25,0)),0)*_xlfn.IFNA(INDEX(DY$10:DY$23,MATCH($CZ467,$DX$10:$DX$23,0)),0)</f>
        <v>240.71806000000001</v>
      </c>
      <c r="DP467" s="921">
        <f>IF(dd_PartSA_2_lines = "Yes",0,_xlfn.IFNA(INDEX('Resource use and costs'!$DZ$12:$DZ$25,MATCH(DA467,'Resource use and costs'!$DS$12:$DS$25,0)),0)*_xlfn.IFNA(INDEX(EA$10:EA$23,MATCH($DA467,$DX$10:$DX$23,0)),0))</f>
        <v>4108.3597166</v>
      </c>
      <c r="DQ467" s="921">
        <f>IF(dd_PartSA_2_lines = "Yes",0,_xlfn.IFNA(INDEX('Resource use and costs'!$EA$12:$EA$25,MATCH(DB467,'Resource use and costs'!$DS$12:$DS$25,0)),0)*_xlfn.IFNA(INDEX(EC$10:EC$23,MATCH($DB467,$DX$10:$DX$23,0)),0))</f>
        <v>256.11457142857142</v>
      </c>
      <c r="DR467" s="921">
        <f t="shared" ref="DR467:DR530" si="265">SUM(DN467:DQ467)</f>
        <v>4999.6923480285714</v>
      </c>
      <c r="DS467" s="1004">
        <f ca="1">SUMIFS('Safety parameters'!$DM$6:$DM$18,'Safety parameters'!$DK$6:$DK$18,CZ467,'Safety parameters'!$DL$6:$DL$18,1)+IF(dd_PartSA_2_lines = "Yes",0,SUMIFS('Safety parameters'!$DM$6:$DM$18,'Safety parameters'!$DK$6:$DK$18,DA467,'Safety parameters'!$DL$6:$DL$18,2)+SUMIFS('Safety parameters'!$DM$6:$DM$18,'Safety parameters'!$DK$6:$DK$18,DB467,'Safety parameters'!$DL$6:$DL$18,2))</f>
        <v>494.00913236572927</v>
      </c>
      <c r="DT467" s="910">
        <f ca="1">SUMIFS('Safety parameters'!$DO$6:$DO$18,'Safety parameters'!$DK$6:$DK$18,CZ467,'Safety parameters'!$DL$6:$DL$18,1)+IF(dd_PartSA_2_lines = "Yes",0,SUMIFS('Safety parameters'!$DO$6:$DO$18,'Safety parameters'!$DK$6:$DK$18,DA467,'Safety parameters'!$DL$6:$DL$18,2)+SUMIFS('Safety parameters'!$DO$6:$DO$18,'Safety parameters'!$DK$6:$DK$18,DB467,'Safety parameters'!$DL$6:$DL$18,2))</f>
        <v>-4.2646577343225054E-3</v>
      </c>
    </row>
    <row r="468" spans="89:124" ht="15" x14ac:dyDescent="0.2">
      <c r="CK468" s="61" t="s">
        <v>31</v>
      </c>
      <c r="CL468" s="61">
        <v>4</v>
      </c>
      <c r="CM468" s="61" t="str">
        <v>axitinib</v>
      </c>
      <c r="CN468" s="17">
        <v>11</v>
      </c>
      <c r="CO468" s="61" t="str" cm="1">
        <f t="array" ref="CO468">INDEX(List_comparators,CP467+1)</f>
        <v>cabozantinib_plus_nivolumab</v>
      </c>
      <c r="CP468" s="17">
        <v>1</v>
      </c>
      <c r="CQ468" s="601">
        <f t="shared" ca="1" si="255"/>
        <v>0</v>
      </c>
      <c r="CR468" s="601">
        <f t="shared" ca="1" si="256"/>
        <v>0</v>
      </c>
      <c r="CS468" s="601">
        <f t="shared" ca="1" si="257"/>
        <v>0</v>
      </c>
      <c r="CT468" s="669">
        <f t="shared" ca="1" si="258"/>
        <v>0</v>
      </c>
      <c r="CU468" s="1123">
        <f>MATCH(CZ475,'Resource use and costs'!$BA$11:$BA$53,0)</f>
        <v>30</v>
      </c>
      <c r="CV468" s="1223"/>
      <c r="CW468" s="1241">
        <f t="shared" si="260"/>
        <v>0</v>
      </c>
      <c r="CX468" s="899" t="s">
        <v>788</v>
      </c>
      <c r="CY468" s="899" t="s">
        <v>585</v>
      </c>
      <c r="CZ468" s="899" t="s">
        <v>765</v>
      </c>
      <c r="DA468" s="899"/>
      <c r="DB468" s="899"/>
      <c r="DC468" s="899" cm="1">
        <f t="array" aca="1" ref="DC468" ca="1">_xlfn.IFNA(OFFSET($I$49,MATCH(CY468,$I$50:$I$63,0),MATCH(CZ468,TRANSPOSE($J$49:$W$49),0)),0)</f>
        <v>0.32729999999999998</v>
      </c>
      <c r="DD468" s="899" cm="1">
        <f t="array" aca="1" ref="DD468" ca="1">_xlfn.IFNA(OFFSET($Y$49,MATCH($CZ468,$Y$50:$Y$63,0),MATCH($DA468,TRANSPOSE($Z$49:$AM$49),0)),0)</f>
        <v>0</v>
      </c>
      <c r="DE468" s="899" cm="1">
        <f t="array" aca="1" ref="DE468" ca="1">_xlfn.IFNA(OFFSET($AO$49,MATCH($DA468,$AO$50:$AO$63,0),MATCH($DB468,TRANSPOSE($AP$49:$BC$49),0)),0)</f>
        <v>0</v>
      </c>
      <c r="DF468" s="881">
        <f t="shared" ca="1" si="262"/>
        <v>0.32729999999999998</v>
      </c>
      <c r="DG468" s="910">
        <f t="shared" ca="1" si="259"/>
        <v>1</v>
      </c>
      <c r="DH468" s="881">
        <f t="shared" ca="1" si="263"/>
        <v>0.32729999999999998</v>
      </c>
      <c r="DI468" s="1460">
        <f t="shared" ca="1" si="261"/>
        <v>76.588200000000001</v>
      </c>
      <c r="DJ468" s="909">
        <f>_xlfn.IFNA(INDEX('Resource use and costs'!$CQ$11:$CQ$53,MATCH($CZ468,'Resource use and costs'!$BA$11:$BA$53,0)),0)*_xlfn.IFNA(INDEX(DY$10:DY$23,MATCH($CZ468,$DX$10:$DX$23,0)),0)</f>
        <v>0</v>
      </c>
      <c r="DK468" s="909">
        <f>IF(dd_PartSA_2_lines = "Yes",0,_xlfn.IFNA(INDEX('Resource use and costs'!$CR$11:$CR$53,MATCH(DA468,'Resource use and costs'!$BA$11:$BA$53,0)),0)*_xlfn.IFNA(INDEX(EA$10:EA$23,MATCH($DA468,$DX$10:$DX$23,0)),0))</f>
        <v>0</v>
      </c>
      <c r="DL468" s="909">
        <f>IF(dd_PartSA_2_lines = "Yes",0,_xlfn.IFNA(INDEX('Resource use and costs'!$CS$11:$CS$53,MATCH(DB468,'Resource use and costs'!$BA$11:$BA$53,0)),0)*_xlfn.IFNA(INDEX(EC$10:EC$23,MATCH($DB468,$DX$10:$DX$23,0)),0))</f>
        <v>0</v>
      </c>
      <c r="DM468" s="909">
        <f t="shared" si="264"/>
        <v>0</v>
      </c>
      <c r="DN468" s="909">
        <f>SUM(_xlfn.IFNA(INDEX('Resource use and costs'!$DU$12:$DU$25,MATCH(CZ468,'Resource use and costs'!$DS$12:$DS$25,0)),0),_xlfn.IFNA(INDEX('Resource use and costs'!$DU$12:$DU$25,MATCH(DA468,'Resource use and costs'!$DS$12:$DS$25,0)),0),_xlfn.IFNA(INDEX('Resource use and costs'!$DU$12:$DU$25,MATCH(DB468,'Resource use and costs'!$DS$12:$DS$25,0)),0))</f>
        <v>0</v>
      </c>
      <c r="DO468" s="921">
        <f>_xlfn.IFNA(INDEX('Resource use and costs'!$DY$12:$DY$25,MATCH(CZ468,'Resource use and costs'!$DS$12:$DS$25,0)),0)*_xlfn.IFNA(INDEX(DY$10:DY$23,MATCH($CZ468,$DX$10:$DX$23,0)),0)</f>
        <v>0</v>
      </c>
      <c r="DP468" s="921">
        <f>IF(dd_PartSA_2_lines = "Yes",0,_xlfn.IFNA(INDEX('Resource use and costs'!$DZ$12:$DZ$25,MATCH(DA468,'Resource use and costs'!$DS$12:$DS$25,0)),0)*_xlfn.IFNA(INDEX(EA$10:EA$23,MATCH($DA468,$DX$10:$DX$23,0)),0))</f>
        <v>0</v>
      </c>
      <c r="DQ468" s="921">
        <f>IF(dd_PartSA_2_lines = "Yes",0,_xlfn.IFNA(INDEX('Resource use and costs'!$EA$12:$EA$25,MATCH(DB468,'Resource use and costs'!$DS$12:$DS$25,0)),0)*_xlfn.IFNA(INDEX(EC$10:EC$23,MATCH($DB468,$DX$10:$DX$23,0)),0))</f>
        <v>0</v>
      </c>
      <c r="DR468" s="921">
        <f t="shared" si="265"/>
        <v>0</v>
      </c>
      <c r="DS468" s="1004">
        <f>SUMIFS('Safety parameters'!$DM$6:$DM$18,'Safety parameters'!$DK$6:$DK$18,CZ468,'Safety parameters'!$DL$6:$DL$18,1)+IF(dd_PartSA_2_lines = "Yes",0,SUMIFS('Safety parameters'!$DM$6:$DM$18,'Safety parameters'!$DK$6:$DK$18,DA468,'Safety parameters'!$DL$6:$DL$18,2)+SUMIFS('Safety parameters'!$DM$6:$DM$18,'Safety parameters'!$DK$6:$DK$18,DB468,'Safety parameters'!$DL$6:$DL$18,2))</f>
        <v>0</v>
      </c>
      <c r="DT468" s="910">
        <f>SUMIFS('Safety parameters'!$DO$6:$DO$18,'Safety parameters'!$DK$6:$DK$18,CZ468,'Safety parameters'!$DL$6:$DL$18,1)+IF(dd_PartSA_2_lines = "Yes",0,SUMIFS('Safety parameters'!$DO$6:$DO$18,'Safety parameters'!$DK$6:$DK$18,DA468,'Safety parameters'!$DL$6:$DL$18,2)+SUMIFS('Safety parameters'!$DO$6:$DO$18,'Safety parameters'!$DK$6:$DK$18,DB468,'Safety parameters'!$DL$6:$DL$18,2))</f>
        <v>0</v>
      </c>
    </row>
    <row r="469" spans="89:124" ht="15" x14ac:dyDescent="0.2">
      <c r="CK469" s="61" t="s">
        <v>31</v>
      </c>
      <c r="CL469" s="61">
        <v>4</v>
      </c>
      <c r="CM469" s="61" t="str">
        <v>sorafenib</v>
      </c>
      <c r="CN469" s="17">
        <v>12</v>
      </c>
      <c r="CO469" s="61" t="str" cm="1">
        <f t="array" ref="CO469">INDEX(List_comparators,CP468+1)</f>
        <v>cabozantinib_plus_nivolumab</v>
      </c>
      <c r="CP469" s="17">
        <v>1</v>
      </c>
      <c r="CQ469" s="601">
        <f t="shared" ca="1" si="255"/>
        <v>0</v>
      </c>
      <c r="CR469" s="601">
        <f t="shared" ca="1" si="256"/>
        <v>0</v>
      </c>
      <c r="CS469" s="601">
        <f t="shared" ca="1" si="257"/>
        <v>0</v>
      </c>
      <c r="CT469" s="669">
        <f t="shared" ca="1" si="258"/>
        <v>0</v>
      </c>
      <c r="CU469" s="1123">
        <f>MATCH(CZ476,'Resource use and costs'!$BA$11:$BA$53,0)</f>
        <v>30</v>
      </c>
      <c r="CV469" s="1223"/>
      <c r="CW469" s="1241">
        <f t="shared" si="260"/>
        <v>1</v>
      </c>
      <c r="CX469" s="899" t="s">
        <v>788</v>
      </c>
      <c r="CY469" s="899" t="s">
        <v>585</v>
      </c>
      <c r="CZ469" s="899" t="s">
        <v>118</v>
      </c>
      <c r="DA469" s="899" t="s">
        <v>327</v>
      </c>
      <c r="DB469" s="899" t="s">
        <v>765</v>
      </c>
      <c r="DC469" s="899">
        <f ca="1">1-DC462-DC468-DC477-DC483-DC489</f>
        <v>0.26190000000000002</v>
      </c>
      <c r="DD469" s="899" cm="1">
        <f t="array" aca="1" ref="DD469" ca="1">_xlfn.IFNA(OFFSET($Y$49,MATCH($CZ469,$Y$50:$Y$63,0),MATCH($DA469,TRANSPOSE($Z$49:$AM$49),0)),0)</f>
        <v>0.122</v>
      </c>
      <c r="DE469" s="899" cm="1">
        <f t="array" aca="1" ref="DE469" ca="1">_xlfn.IFNA(OFFSET($AO$49,MATCH($DA469,$AO$50:$AO$63,0),MATCH($DB469,TRANSPOSE($AP$49:$BC$49),0)),0)</f>
        <v>0.43140000000000001</v>
      </c>
      <c r="DF469" s="881">
        <f t="shared" ca="1" si="262"/>
        <v>1.3784006520000001E-2</v>
      </c>
      <c r="DG469" s="910">
        <f t="shared" ca="1" si="259"/>
        <v>1</v>
      </c>
      <c r="DH469" s="881">
        <f t="shared" ca="1" si="263"/>
        <v>1.3784006520000001E-2</v>
      </c>
      <c r="DI469" s="1460">
        <f t="shared" ca="1" si="261"/>
        <v>3.2254575256800004</v>
      </c>
      <c r="DJ469" s="909">
        <f>_xlfn.IFNA(INDEX('Resource use and costs'!$CQ$11:$CQ$53,MATCH($CZ469,'Resource use and costs'!$BA$11:$BA$53,0)),0)*_xlfn.IFNA(INDEX(DY$10:DY$23,MATCH($CZ469,$DX$10:$DX$23,0)),0)</f>
        <v>45284.183573333321</v>
      </c>
      <c r="DK469" s="909">
        <f>IF(dd_PartSA_2_lines = "Yes",0,_xlfn.IFNA(INDEX('Resource use and costs'!$CR$11:$CR$53,MATCH(DA469,'Resource use and costs'!$BA$11:$BA$53,0)),0)*_xlfn.IFNA(INDEX(EA$10:EA$23,MATCH($DA469,$DX$10:$DX$23,0)),0))</f>
        <v>21421.066008214286</v>
      </c>
      <c r="DL469" s="909">
        <f>IF(dd_PartSA_2_lines = "Yes",0,_xlfn.IFNA(INDEX('Resource use and costs'!$CS$11:$CS$53,MATCH(DB469,'Resource use and costs'!$BA$11:$BA$53,0)),0)*_xlfn.IFNA(INDEX(EC$10:EC$23,MATCH($DB469,$DX$10:$DX$23,0)),0))</f>
        <v>0</v>
      </c>
      <c r="DM469" s="909">
        <f t="shared" si="264"/>
        <v>66705.2495815476</v>
      </c>
      <c r="DN469" s="909">
        <f>SUM(_xlfn.IFNA(INDEX('Resource use and costs'!$DU$12:$DU$25,MATCH(CZ469,'Resource use and costs'!$DS$12:$DS$25,0)),0),_xlfn.IFNA(INDEX('Resource use and costs'!$DU$12:$DU$25,MATCH(DA469,'Resource use and costs'!$DS$12:$DS$25,0)),0),_xlfn.IFNA(INDEX('Resource use and costs'!$DU$12:$DU$25,MATCH(DB469,'Resource use and costs'!$DS$12:$DS$25,0)),0))</f>
        <v>394.5</v>
      </c>
      <c r="DO469" s="921">
        <f>_xlfn.IFNA(INDEX('Resource use and costs'!$DY$12:$DY$25,MATCH(CZ469,'Resource use and costs'!$DS$12:$DS$25,0)),0)*_xlfn.IFNA(INDEX(DY$10:DY$23,MATCH($CZ469,$DX$10:$DX$23,0)),0)</f>
        <v>415.09348571428563</v>
      </c>
      <c r="DP469" s="921">
        <f>IF(dd_PartSA_2_lines = "Yes",0,_xlfn.IFNA(INDEX('Resource use and costs'!$DZ$12:$DZ$25,MATCH(DA469,'Resource use and costs'!$DS$12:$DS$25,0)),0)*_xlfn.IFNA(INDEX(EA$10:EA$23,MATCH($DA469,$DX$10:$DX$23,0)),0))</f>
        <v>267.99172714285714</v>
      </c>
      <c r="DQ469" s="921">
        <f>IF(dd_PartSA_2_lines = "Yes",0,_xlfn.IFNA(INDEX('Resource use and costs'!$EA$12:$EA$25,MATCH(DB469,'Resource use and costs'!$DS$12:$DS$25,0)),0)*_xlfn.IFNA(INDEX(EC$10:EC$23,MATCH($DB469,$DX$10:$DX$23,0)),0))</f>
        <v>0</v>
      </c>
      <c r="DR469" s="921">
        <f t="shared" si="265"/>
        <v>1077.5852128571428</v>
      </c>
      <c r="DS469" s="1004">
        <f ca="1">SUMIFS('Safety parameters'!$DM$6:$DM$18,'Safety parameters'!$DK$6:$DK$18,CZ469,'Safety parameters'!$DL$6:$DL$18,1)+IF(dd_PartSA_2_lines = "Yes",0,SUMIFS('Safety parameters'!$DM$6:$DM$18,'Safety parameters'!$DK$6:$DK$18,DA469,'Safety parameters'!$DL$6:$DL$18,2)+SUMIFS('Safety parameters'!$DM$6:$DM$18,'Safety parameters'!$DK$6:$DK$18,DB469,'Safety parameters'!$DL$6:$DL$18,2))</f>
        <v>2366.0578362496171</v>
      </c>
      <c r="DT469" s="910">
        <f ca="1">SUMIFS('Safety parameters'!$DO$6:$DO$18,'Safety parameters'!$DK$6:$DK$18,CZ469,'Safety parameters'!$DL$6:$DL$18,1)+IF(dd_PartSA_2_lines = "Yes",0,SUMIFS('Safety parameters'!$DO$6:$DO$18,'Safety parameters'!$DK$6:$DK$18,DA469,'Safety parameters'!$DL$6:$DL$18,2)+SUMIFS('Safety parameters'!$DO$6:$DO$18,'Safety parameters'!$DK$6:$DK$18,DB469,'Safety parameters'!$DL$6:$DL$18,2))</f>
        <v>-2.125891351595622E-2</v>
      </c>
    </row>
    <row r="470" spans="89:124" ht="15.75" thickBot="1" x14ac:dyDescent="0.25">
      <c r="CK470" s="506" t="s">
        <v>31</v>
      </c>
      <c r="CL470" s="506">
        <v>4</v>
      </c>
      <c r="CM470" s="506" t="str">
        <v>placebo_BSC</v>
      </c>
      <c r="CN470" s="19">
        <v>999</v>
      </c>
      <c r="CO470" s="506" t="str" cm="1">
        <f t="array" ref="CO470">INDEX(List_comparators,CP457+1)</f>
        <v>cabozantinib_plus_nivolumab</v>
      </c>
      <c r="CP470" s="19">
        <v>1</v>
      </c>
      <c r="CQ470" s="602">
        <f t="shared" ca="1" si="255"/>
        <v>0</v>
      </c>
      <c r="CR470" s="602">
        <f t="shared" ca="1" si="256"/>
        <v>0</v>
      </c>
      <c r="CS470" s="602">
        <f t="shared" ca="1" si="257"/>
        <v>0</v>
      </c>
      <c r="CT470" s="748">
        <f t="shared" ca="1" si="258"/>
        <v>0</v>
      </c>
      <c r="CU470" s="1123">
        <f>MATCH(CZ477,'Resource use and costs'!$BA$11:$BA$53,0)</f>
        <v>37</v>
      </c>
      <c r="CV470" s="1223"/>
      <c r="CW470" s="1241">
        <f t="shared" si="260"/>
        <v>1</v>
      </c>
      <c r="CX470" s="899" t="s">
        <v>788</v>
      </c>
      <c r="CY470" s="899" t="s">
        <v>585</v>
      </c>
      <c r="CZ470" s="899" t="s">
        <v>118</v>
      </c>
      <c r="DA470" s="899" t="s">
        <v>327</v>
      </c>
      <c r="DB470" s="899" t="s">
        <v>119</v>
      </c>
      <c r="DC470" s="899">
        <f t="shared" ref="DC470:DC476" ca="1" si="266">DC469</f>
        <v>0.26190000000000002</v>
      </c>
      <c r="DD470" s="899" cm="1">
        <f t="array" aca="1" ref="DD470" ca="1">_xlfn.IFNA(OFFSET($Y$49,MATCH($CZ470,$Y$50:$Y$63,0),MATCH($DA470,TRANSPOSE($Z$49:$AM$49),0)),0)</f>
        <v>0.122</v>
      </c>
      <c r="DE470" s="899" cm="1">
        <f t="array" aca="1" ref="DE470" ca="1">_xlfn.IFNA(OFFSET($AO$49,MATCH($DA470,$AO$50:$AO$63,0),MATCH($DB470,TRANSPOSE($AP$49:$BC$49),0)),0)</f>
        <v>0.56859999999999999</v>
      </c>
      <c r="DF470" s="881">
        <f t="shared" ca="1" si="262"/>
        <v>1.816779348E-2</v>
      </c>
      <c r="DG470" s="910">
        <f t="shared" ca="1" si="259"/>
        <v>1</v>
      </c>
      <c r="DH470" s="881">
        <f t="shared" ca="1" si="263"/>
        <v>1.816779348E-2</v>
      </c>
      <c r="DI470" s="1460">
        <f t="shared" ca="1" si="261"/>
        <v>4.2512636743199996</v>
      </c>
      <c r="DJ470" s="909">
        <f>_xlfn.IFNA(INDEX('Resource use and costs'!$CQ$11:$CQ$53,MATCH($CZ470,'Resource use and costs'!$BA$11:$BA$53,0)),0)*_xlfn.IFNA(INDEX(DY$10:DY$23,MATCH($CZ470,$DX$10:$DX$23,0)),0)</f>
        <v>45284.183573333321</v>
      </c>
      <c r="DK470" s="909">
        <f>IF(dd_PartSA_2_lines = "Yes",0,_xlfn.IFNA(INDEX('Resource use and costs'!$CR$11:$CR$53,MATCH(DA470,'Resource use and costs'!$BA$11:$BA$53,0)),0)*_xlfn.IFNA(INDEX(EA$10:EA$23,MATCH($DA470,$DX$10:$DX$23,0)),0))</f>
        <v>21421.066008214286</v>
      </c>
      <c r="DL470" s="909">
        <f>IF(dd_PartSA_2_lines = "Yes",0,_xlfn.IFNA(INDEX('Resource use and costs'!$CS$11:$CS$53,MATCH(DB470,'Resource use and costs'!$BA$11:$BA$53,0)),0)*_xlfn.IFNA(INDEX(EC$10:EC$23,MATCH($DB470,$DX$10:$DX$23,0)),0))</f>
        <v>2915.4763433333328</v>
      </c>
      <c r="DM470" s="909">
        <f t="shared" si="264"/>
        <v>69620.725924880928</v>
      </c>
      <c r="DN470" s="909">
        <f>SUM(_xlfn.IFNA(INDEX('Resource use and costs'!$DU$12:$DU$25,MATCH(CZ470,'Resource use and costs'!$DS$12:$DS$25,0)),0),_xlfn.IFNA(INDEX('Resource use and costs'!$DU$12:$DU$25,MATCH(DA470,'Resource use and costs'!$DS$12:$DS$25,0)),0),_xlfn.IFNA(INDEX('Resource use and costs'!$DU$12:$DU$25,MATCH(DB470,'Resource use and costs'!$DS$12:$DS$25,0)),0))</f>
        <v>591.75</v>
      </c>
      <c r="DO470" s="921">
        <f>_xlfn.IFNA(INDEX('Resource use and costs'!$DY$12:$DY$25,MATCH(CZ470,'Resource use and costs'!$DS$12:$DS$25,0)),0)*_xlfn.IFNA(INDEX(DY$10:DY$23,MATCH($CZ470,$DX$10:$DX$23,0)),0)</f>
        <v>415.09348571428563</v>
      </c>
      <c r="DP470" s="921">
        <f>IF(dd_PartSA_2_lines = "Yes",0,_xlfn.IFNA(INDEX('Resource use and costs'!$DZ$12:$DZ$25,MATCH(DA470,'Resource use and costs'!$DS$12:$DS$25,0)),0)*_xlfn.IFNA(INDEX(EA$10:EA$23,MATCH($DA470,$DX$10:$DX$23,0)),0))</f>
        <v>267.99172714285714</v>
      </c>
      <c r="DQ470" s="921">
        <f>IF(dd_PartSA_2_lines = "Yes",0,_xlfn.IFNA(INDEX('Resource use and costs'!$EA$12:$EA$25,MATCH(DB470,'Resource use and costs'!$DS$12:$DS$25,0)),0)*_xlfn.IFNA(INDEX(EC$10:EC$23,MATCH($DB470,$DX$10:$DX$23,0)),0))</f>
        <v>256.11457142857142</v>
      </c>
      <c r="DR470" s="921">
        <f t="shared" si="265"/>
        <v>1530.9497842857143</v>
      </c>
      <c r="DS470" s="1004">
        <f ca="1">SUMIFS('Safety parameters'!$DM$6:$DM$18,'Safety parameters'!$DK$6:$DK$18,CZ470,'Safety parameters'!$DL$6:$DL$18,1)+IF(dd_PartSA_2_lines = "Yes",0,SUMIFS('Safety parameters'!$DM$6:$DM$18,'Safety parameters'!$DK$6:$DK$18,DA470,'Safety parameters'!$DL$6:$DL$18,2)+SUMIFS('Safety parameters'!$DM$6:$DM$18,'Safety parameters'!$DK$6:$DK$18,DB470,'Safety parameters'!$DL$6:$DL$18,2))</f>
        <v>2698.9332196249325</v>
      </c>
      <c r="DT470" s="910">
        <f ca="1">SUMIFS('Safety parameters'!$DO$6:$DO$18,'Safety parameters'!$DK$6:$DK$18,CZ470,'Safety parameters'!$DL$6:$DL$18,1)+IF(dd_PartSA_2_lines = "Yes",0,SUMIFS('Safety parameters'!$DO$6:$DO$18,'Safety parameters'!$DK$6:$DK$18,DA470,'Safety parameters'!$DL$6:$DL$18,2)+SUMIFS('Safety parameters'!$DO$6:$DO$18,'Safety parameters'!$DK$6:$DK$18,DB470,'Safety parameters'!$DL$6:$DL$18,2))</f>
        <v>-2.3926487052593939E-2</v>
      </c>
    </row>
    <row r="471" spans="89:124" ht="15" x14ac:dyDescent="0.2">
      <c r="CK471" s="505" t="s">
        <v>31</v>
      </c>
      <c r="CL471" s="505">
        <v>4</v>
      </c>
      <c r="CM471" s="61" t="str" cm="1">
        <f t="array" ref="CM471:CM484">List_comparators</f>
        <v>nivolumab_monotherapy</v>
      </c>
      <c r="CN471" s="17">
        <v>0</v>
      </c>
      <c r="CO471" s="61" t="str" cm="1">
        <f t="array" ref="CO471">INDEX(List_comparators,CP471+1)</f>
        <v>nivolumab_plus_ipilimumab</v>
      </c>
      <c r="CP471" s="17">
        <v>2</v>
      </c>
      <c r="CQ471" s="603">
        <f t="shared" ca="1" si="255"/>
        <v>0</v>
      </c>
      <c r="CR471" s="603">
        <f t="shared" ca="1" si="256"/>
        <v>0</v>
      </c>
      <c r="CS471" s="603">
        <f t="shared" ca="1" si="257"/>
        <v>0</v>
      </c>
      <c r="CT471" s="669">
        <f t="shared" ca="1" si="258"/>
        <v>0</v>
      </c>
      <c r="CU471" s="1123">
        <f>MATCH(CZ478,'Resource use and costs'!$BA$11:$BA$53,0)</f>
        <v>37</v>
      </c>
      <c r="CV471" s="1223"/>
      <c r="CW471" s="1241">
        <f t="shared" si="260"/>
        <v>1</v>
      </c>
      <c r="CX471" s="899" t="s">
        <v>788</v>
      </c>
      <c r="CY471" s="899" t="s">
        <v>585</v>
      </c>
      <c r="CZ471" s="899" t="s">
        <v>118</v>
      </c>
      <c r="DA471" s="899" t="s">
        <v>765</v>
      </c>
      <c r="DB471" s="899"/>
      <c r="DC471" s="899">
        <f t="shared" ca="1" si="266"/>
        <v>0.26190000000000002</v>
      </c>
      <c r="DD471" s="899" cm="1">
        <f t="array" aca="1" ref="DD471" ca="1">_xlfn.IFNA(OFFSET($Y$49,MATCH($CZ471,$Y$50:$Y$63,0),MATCH($DA471,TRANSPOSE($Z$49:$AM$49),0)),0)</f>
        <v>0.34300000000000003</v>
      </c>
      <c r="DE471" s="899" cm="1">
        <f t="array" aca="1" ref="DE471" ca="1">_xlfn.IFNA(OFFSET($AO$49,MATCH($DA471,$AO$50:$AO$63,0),MATCH($DB471,TRANSPOSE($AP$49:$BC$49),0)),0)</f>
        <v>0</v>
      </c>
      <c r="DF471" s="881">
        <f t="shared" ca="1" si="262"/>
        <v>8.9831700000000014E-2</v>
      </c>
      <c r="DG471" s="910">
        <f t="shared" ca="1" si="259"/>
        <v>1</v>
      </c>
      <c r="DH471" s="881">
        <f t="shared" ca="1" si="263"/>
        <v>8.9831700000000014E-2</v>
      </c>
      <c r="DI471" s="1460">
        <f t="shared" ca="1" si="261"/>
        <v>21.020617800000004</v>
      </c>
      <c r="DJ471" s="909">
        <f>_xlfn.IFNA(INDEX('Resource use and costs'!$CQ$11:$CQ$53,MATCH($CZ471,'Resource use and costs'!$BA$11:$BA$53,0)),0)*_xlfn.IFNA(INDEX(DY$10:DY$23,MATCH($CZ471,$DX$10:$DX$23,0)),0)</f>
        <v>45284.183573333321</v>
      </c>
      <c r="DK471" s="909">
        <f>IF(dd_PartSA_2_lines = "Yes",0,_xlfn.IFNA(INDEX('Resource use and costs'!$CR$11:$CR$53,MATCH(DA471,'Resource use and costs'!$BA$11:$BA$53,0)),0)*_xlfn.IFNA(INDEX(EA$10:EA$23,MATCH($DA471,$DX$10:$DX$23,0)),0))</f>
        <v>0</v>
      </c>
      <c r="DL471" s="909">
        <f>IF(dd_PartSA_2_lines = "Yes",0,_xlfn.IFNA(INDEX('Resource use and costs'!$CS$11:$CS$53,MATCH(DB471,'Resource use and costs'!$BA$11:$BA$53,0)),0)*_xlfn.IFNA(INDEX(EC$10:EC$23,MATCH($DB471,$DX$10:$DX$23,0)),0))</f>
        <v>0</v>
      </c>
      <c r="DM471" s="909">
        <f t="shared" si="264"/>
        <v>45284.183573333321</v>
      </c>
      <c r="DN471" s="909">
        <f>SUM(_xlfn.IFNA(INDEX('Resource use and costs'!$DU$12:$DU$25,MATCH(CZ471,'Resource use and costs'!$DS$12:$DS$25,0)),0),_xlfn.IFNA(INDEX('Resource use and costs'!$DU$12:$DU$25,MATCH(DA471,'Resource use and costs'!$DS$12:$DS$25,0)),0),_xlfn.IFNA(INDEX('Resource use and costs'!$DU$12:$DU$25,MATCH(DB471,'Resource use and costs'!$DS$12:$DS$25,0)),0))</f>
        <v>197.25</v>
      </c>
      <c r="DO471" s="921">
        <f>_xlfn.IFNA(INDEX('Resource use and costs'!$DY$12:$DY$25,MATCH(CZ471,'Resource use and costs'!$DS$12:$DS$25,0)),0)*_xlfn.IFNA(INDEX(DY$10:DY$23,MATCH($CZ471,$DX$10:$DX$23,0)),0)</f>
        <v>415.09348571428563</v>
      </c>
      <c r="DP471" s="921">
        <f>IF(dd_PartSA_2_lines = "Yes",0,_xlfn.IFNA(INDEX('Resource use and costs'!$DZ$12:$DZ$25,MATCH(DA471,'Resource use and costs'!$DS$12:$DS$25,0)),0)*_xlfn.IFNA(INDEX(EA$10:EA$23,MATCH($DA471,$DX$10:$DX$23,0)),0))</f>
        <v>0</v>
      </c>
      <c r="DQ471" s="921">
        <f>IF(dd_PartSA_2_lines = "Yes",0,_xlfn.IFNA(INDEX('Resource use and costs'!$EA$12:$EA$25,MATCH(DB471,'Resource use and costs'!$DS$12:$DS$25,0)),0)*_xlfn.IFNA(INDEX(EC$10:EC$23,MATCH($DB471,$DX$10:$DX$23,0)),0))</f>
        <v>0</v>
      </c>
      <c r="DR471" s="921">
        <f t="shared" si="265"/>
        <v>612.34348571428563</v>
      </c>
      <c r="DS471" s="1004">
        <f ca="1">SUMIFS('Safety parameters'!$DM$6:$DM$18,'Safety parameters'!$DK$6:$DK$18,CZ471,'Safety parameters'!$DL$6:$DL$18,1)+IF(dd_PartSA_2_lines = "Yes",0,SUMIFS('Safety parameters'!$DM$6:$DM$18,'Safety parameters'!$DK$6:$DK$18,DA471,'Safety parameters'!$DL$6:$DL$18,2)+SUMIFS('Safety parameters'!$DM$6:$DM$18,'Safety parameters'!$DK$6:$DK$18,DB471,'Safety parameters'!$DL$6:$DL$18,2))</f>
        <v>731.82916268415761</v>
      </c>
      <c r="DT471" s="910">
        <f ca="1">SUMIFS('Safety parameters'!$DO$6:$DO$18,'Safety parameters'!$DK$6:$DK$18,CZ471,'Safety parameters'!$DL$6:$DL$18,1)+IF(dd_PartSA_2_lines = "Yes",0,SUMIFS('Safety parameters'!$DO$6:$DO$18,'Safety parameters'!$DK$6:$DK$18,DA471,'Safety parameters'!$DL$6:$DL$18,2)+SUMIFS('Safety parameters'!$DO$6:$DO$18,'Safety parameters'!$DK$6:$DK$18,DB471,'Safety parameters'!$DL$6:$DL$18,2))</f>
        <v>-6.5169895084747891E-3</v>
      </c>
    </row>
    <row r="472" spans="89:124" ht="15" x14ac:dyDescent="0.2">
      <c r="CK472" s="61" t="s">
        <v>31</v>
      </c>
      <c r="CL472" s="61">
        <v>4</v>
      </c>
      <c r="CM472" s="61" t="str">
        <v>cabozantinib_plus_nivolumab</v>
      </c>
      <c r="CN472" s="17">
        <v>1</v>
      </c>
      <c r="CO472" s="61" t="str" cm="1">
        <f t="array" ref="CO472">INDEX(List_comparators,CP471+1)</f>
        <v>nivolumab_plus_ipilimumab</v>
      </c>
      <c r="CP472" s="17">
        <v>2</v>
      </c>
      <c r="CQ472" s="601">
        <f t="shared" ca="1" si="255"/>
        <v>0</v>
      </c>
      <c r="CR472" s="601">
        <f t="shared" ca="1" si="256"/>
        <v>0</v>
      </c>
      <c r="CS472" s="601">
        <f t="shared" ca="1" si="257"/>
        <v>0</v>
      </c>
      <c r="CT472" s="669">
        <f t="shared" ca="1" si="258"/>
        <v>0</v>
      </c>
      <c r="CU472" s="1123">
        <f>MATCH(CZ479,'Resource use and costs'!$BA$11:$BA$53,0)</f>
        <v>37</v>
      </c>
      <c r="CV472" s="1223"/>
      <c r="CW472" s="1241">
        <f t="shared" si="260"/>
        <v>1</v>
      </c>
      <c r="CX472" s="899" t="s">
        <v>788</v>
      </c>
      <c r="CY472" s="899" t="s">
        <v>585</v>
      </c>
      <c r="CZ472" s="899" t="s">
        <v>118</v>
      </c>
      <c r="DA472" s="899" t="s">
        <v>119</v>
      </c>
      <c r="DB472" s="899" t="s">
        <v>327</v>
      </c>
      <c r="DC472" s="899">
        <f t="shared" ca="1" si="266"/>
        <v>0.26190000000000002</v>
      </c>
      <c r="DD472" s="899" cm="1">
        <f t="array" aca="1" ref="DD472" ca="1">_xlfn.IFNA(OFFSET($Y$49,MATCH($CZ472,$Y$50:$Y$63,0),MATCH($DA472,TRANSPOSE($Z$49:$AM$49),0)),0)</f>
        <v>6.5699999999999995E-2</v>
      </c>
      <c r="DE472" s="899" cm="1">
        <f t="array" aca="1" ref="DE472" ca="1">_xlfn.IFNA(OFFSET($AO$49,MATCH($DA472,$AO$50:$AO$63,0),MATCH($DB472,TRANSPOSE($AP$49:$BC$49),0)),0)</f>
        <v>0</v>
      </c>
      <c r="DF472" s="881">
        <f t="shared" ca="1" si="262"/>
        <v>0</v>
      </c>
      <c r="DG472" s="910">
        <f t="shared" ca="1" si="259"/>
        <v>1</v>
      </c>
      <c r="DH472" s="881">
        <f t="shared" ca="1" si="263"/>
        <v>0</v>
      </c>
      <c r="DI472" s="1460">
        <f t="shared" ca="1" si="261"/>
        <v>0</v>
      </c>
      <c r="DJ472" s="909">
        <f>_xlfn.IFNA(INDEX('Resource use and costs'!$CQ$11:$CQ$53,MATCH($CZ472,'Resource use and costs'!$BA$11:$BA$53,0)),0)*_xlfn.IFNA(INDEX(DY$10:DY$23,MATCH($CZ472,$DX$10:$DX$23,0)),0)</f>
        <v>45284.183573333321</v>
      </c>
      <c r="DK472" s="909">
        <f>IF(dd_PartSA_2_lines = "Yes",0,_xlfn.IFNA(INDEX('Resource use and costs'!$CR$11:$CR$53,MATCH(DA472,'Resource use and costs'!$BA$11:$BA$53,0)),0)*_xlfn.IFNA(INDEX(EA$10:EA$23,MATCH($DA472,$DX$10:$DX$23,0)),0))</f>
        <v>848.17532499999982</v>
      </c>
      <c r="DL472" s="909">
        <f>IF(dd_PartSA_2_lines = "Yes",0,_xlfn.IFNA(INDEX('Resource use and costs'!$CS$11:$CS$53,MATCH(DB472,'Resource use and costs'!$BA$11:$BA$53,0)),0)*_xlfn.IFNA(INDEX(EC$10:EC$23,MATCH($DB472,$DX$10:$DX$23,0)),0))</f>
        <v>18438.751749999999</v>
      </c>
      <c r="DM472" s="909">
        <f t="shared" si="264"/>
        <v>64571.110648333313</v>
      </c>
      <c r="DN472" s="909">
        <f>SUM(_xlfn.IFNA(INDEX('Resource use and costs'!$DU$12:$DU$25,MATCH(CZ472,'Resource use and costs'!$DS$12:$DS$25,0)),0),_xlfn.IFNA(INDEX('Resource use and costs'!$DU$12:$DU$25,MATCH(DA472,'Resource use and costs'!$DS$12:$DS$25,0)),0),_xlfn.IFNA(INDEX('Resource use and costs'!$DU$12:$DU$25,MATCH(DB472,'Resource use and costs'!$DS$12:$DS$25,0)),0))</f>
        <v>591.75</v>
      </c>
      <c r="DO472" s="921">
        <f>_xlfn.IFNA(INDEX('Resource use and costs'!$DY$12:$DY$25,MATCH(CZ472,'Resource use and costs'!$DS$12:$DS$25,0)),0)*_xlfn.IFNA(INDEX(DY$10:DY$23,MATCH($CZ472,$DX$10:$DX$23,0)),0)</f>
        <v>415.09348571428563</v>
      </c>
      <c r="DP472" s="921">
        <f>IF(dd_PartSA_2_lines = "Yes",0,_xlfn.IFNA(INDEX('Resource use and costs'!$DZ$12:$DZ$25,MATCH(DA472,'Resource use and costs'!$DS$12:$DS$25,0)),0)*_xlfn.IFNA(INDEX(EA$10:EA$23,MATCH($DA472,$DX$10:$DX$23,0)),0))</f>
        <v>74.50928571428571</v>
      </c>
      <c r="DQ472" s="921">
        <f>IF(dd_PartSA_2_lines = "Yes",0,_xlfn.IFNA(INDEX('Resource use and costs'!$EA$12:$EA$25,MATCH(DB472,'Resource use and costs'!$DS$12:$DS$25,0)),0)*_xlfn.IFNA(INDEX(EC$10:EC$23,MATCH($DB472,$DX$10:$DX$23,0)),0))</f>
        <v>230.68099999999998</v>
      </c>
      <c r="DR472" s="921">
        <f t="shared" si="265"/>
        <v>1312.0337714285713</v>
      </c>
      <c r="DS472" s="1004">
        <f ca="1">SUMIFS('Safety parameters'!$DM$6:$DM$18,'Safety parameters'!$DK$6:$DK$18,CZ472,'Safety parameters'!$DL$6:$DL$18,1)+IF(dd_PartSA_2_lines = "Yes",0,SUMIFS('Safety parameters'!$DM$6:$DM$18,'Safety parameters'!$DK$6:$DK$18,DA472,'Safety parameters'!$DL$6:$DL$18,2)+SUMIFS('Safety parameters'!$DM$6:$DM$18,'Safety parameters'!$DK$6:$DK$18,DB472,'Safety parameters'!$DL$6:$DL$18,2))</f>
        <v>2698.9332196249325</v>
      </c>
      <c r="DT472" s="910">
        <f ca="1">SUMIFS('Safety parameters'!$DO$6:$DO$18,'Safety parameters'!$DK$6:$DK$18,CZ472,'Safety parameters'!$DL$6:$DL$18,1)+IF(dd_PartSA_2_lines = "Yes",0,SUMIFS('Safety parameters'!$DO$6:$DO$18,'Safety parameters'!$DK$6:$DK$18,DA472,'Safety parameters'!$DL$6:$DL$18,2)+SUMIFS('Safety parameters'!$DO$6:$DO$18,'Safety parameters'!$DK$6:$DK$18,DB472,'Safety parameters'!$DL$6:$DL$18,2))</f>
        <v>-2.3926487052593939E-2</v>
      </c>
    </row>
    <row r="473" spans="89:124" ht="15" x14ac:dyDescent="0.2">
      <c r="CK473" s="61" t="s">
        <v>31</v>
      </c>
      <c r="CL473" s="61">
        <v>4</v>
      </c>
      <c r="CM473" s="61" t="str">
        <v>nivolumab_plus_ipilimumab</v>
      </c>
      <c r="CN473" s="17">
        <v>2</v>
      </c>
      <c r="CO473" s="61" t="str" cm="1">
        <f t="array" ref="CO473">INDEX(List_comparators,CP472+1)</f>
        <v>nivolumab_plus_ipilimumab</v>
      </c>
      <c r="CP473" s="17">
        <v>2</v>
      </c>
      <c r="CQ473" s="601">
        <f t="shared" ca="1" si="255"/>
        <v>0</v>
      </c>
      <c r="CR473" s="601">
        <f t="shared" ca="1" si="256"/>
        <v>0</v>
      </c>
      <c r="CS473" s="601">
        <f t="shared" ca="1" si="257"/>
        <v>0</v>
      </c>
      <c r="CT473" s="669">
        <f t="shared" ca="1" si="258"/>
        <v>0</v>
      </c>
      <c r="CU473" s="1123">
        <f>MATCH(CZ480,'Resource use and costs'!$BA$11:$BA$53,0)</f>
        <v>37</v>
      </c>
      <c r="CV473" s="1223"/>
      <c r="CW473" s="1241">
        <f t="shared" si="260"/>
        <v>1</v>
      </c>
      <c r="CX473" s="899" t="s">
        <v>788</v>
      </c>
      <c r="CY473" s="899" t="s">
        <v>585</v>
      </c>
      <c r="CZ473" s="899" t="s">
        <v>118</v>
      </c>
      <c r="DA473" s="899" t="s">
        <v>119</v>
      </c>
      <c r="DB473" s="899" t="s">
        <v>765</v>
      </c>
      <c r="DC473" s="899">
        <f t="shared" ca="1" si="266"/>
        <v>0.26190000000000002</v>
      </c>
      <c r="DD473" s="899" cm="1">
        <f t="array" aca="1" ref="DD473" ca="1">_xlfn.IFNA(OFFSET($Y$49,MATCH($CZ473,$Y$50:$Y$63,0),MATCH($DA473,TRANSPOSE($Z$49:$AM$49),0)),0)</f>
        <v>6.5699999999999995E-2</v>
      </c>
      <c r="DE473" s="899" cm="1">
        <f t="array" aca="1" ref="DE473" ca="1">_xlfn.IFNA(OFFSET($AO$49,MATCH($DA473,$AO$50:$AO$63,0),MATCH($DB473,TRANSPOSE($AP$49:$BC$49),0)),0)</f>
        <v>1</v>
      </c>
      <c r="DF473" s="881">
        <f t="shared" ca="1" si="262"/>
        <v>1.7206829999999999E-2</v>
      </c>
      <c r="DG473" s="910">
        <f t="shared" ca="1" si="259"/>
        <v>1</v>
      </c>
      <c r="DH473" s="881">
        <f t="shared" ca="1" si="263"/>
        <v>1.7206829999999999E-2</v>
      </c>
      <c r="DI473" s="1460">
        <f t="shared" ca="1" si="261"/>
        <v>4.0263982199999999</v>
      </c>
      <c r="DJ473" s="909">
        <f>_xlfn.IFNA(INDEX('Resource use and costs'!$CQ$11:$CQ$53,MATCH($CZ473,'Resource use and costs'!$BA$11:$BA$53,0)),0)*_xlfn.IFNA(INDEX(DY$10:DY$23,MATCH($CZ473,$DX$10:$DX$23,0)),0)</f>
        <v>45284.183573333321</v>
      </c>
      <c r="DK473" s="909">
        <f>IF(dd_PartSA_2_lines = "Yes",0,_xlfn.IFNA(INDEX('Resource use and costs'!$CR$11:$CR$53,MATCH(DA473,'Resource use and costs'!$BA$11:$BA$53,0)),0)*_xlfn.IFNA(INDEX(EA$10:EA$23,MATCH($DA473,$DX$10:$DX$23,0)),0))</f>
        <v>848.17532499999982</v>
      </c>
      <c r="DL473" s="909">
        <f>IF(dd_PartSA_2_lines = "Yes",0,_xlfn.IFNA(INDEX('Resource use and costs'!$CS$11:$CS$53,MATCH(DB473,'Resource use and costs'!$BA$11:$BA$53,0)),0)*_xlfn.IFNA(INDEX(EC$10:EC$23,MATCH($DB473,$DX$10:$DX$23,0)),0))</f>
        <v>0</v>
      </c>
      <c r="DM473" s="909">
        <f t="shared" si="264"/>
        <v>46132.358898333317</v>
      </c>
      <c r="DN473" s="909">
        <f>SUM(_xlfn.IFNA(INDEX('Resource use and costs'!$DU$12:$DU$25,MATCH(CZ473,'Resource use and costs'!$DS$12:$DS$25,0)),0),_xlfn.IFNA(INDEX('Resource use and costs'!$DU$12:$DU$25,MATCH(DA473,'Resource use and costs'!$DS$12:$DS$25,0)),0),_xlfn.IFNA(INDEX('Resource use and costs'!$DU$12:$DU$25,MATCH(DB473,'Resource use and costs'!$DS$12:$DS$25,0)),0))</f>
        <v>394.5</v>
      </c>
      <c r="DO473" s="921">
        <f>_xlfn.IFNA(INDEX('Resource use and costs'!$DY$12:$DY$25,MATCH(CZ473,'Resource use and costs'!$DS$12:$DS$25,0)),0)*_xlfn.IFNA(INDEX(DY$10:DY$23,MATCH($CZ473,$DX$10:$DX$23,0)),0)</f>
        <v>415.09348571428563</v>
      </c>
      <c r="DP473" s="921">
        <f>IF(dd_PartSA_2_lines = "Yes",0,_xlfn.IFNA(INDEX('Resource use and costs'!$DZ$12:$DZ$25,MATCH(DA473,'Resource use and costs'!$DS$12:$DS$25,0)),0)*_xlfn.IFNA(INDEX(EA$10:EA$23,MATCH($DA473,$DX$10:$DX$23,0)),0))</f>
        <v>74.50928571428571</v>
      </c>
      <c r="DQ473" s="921">
        <f>IF(dd_PartSA_2_lines = "Yes",0,_xlfn.IFNA(INDEX('Resource use and costs'!$EA$12:$EA$25,MATCH(DB473,'Resource use and costs'!$DS$12:$DS$25,0)),0)*_xlfn.IFNA(INDEX(EC$10:EC$23,MATCH($DB473,$DX$10:$DX$23,0)),0))</f>
        <v>0</v>
      </c>
      <c r="DR473" s="921">
        <f t="shared" si="265"/>
        <v>884.10277142857137</v>
      </c>
      <c r="DS473" s="1004">
        <f ca="1">SUMIFS('Safety parameters'!$DM$6:$DM$18,'Safety parameters'!$DK$6:$DK$18,CZ473,'Safety parameters'!$DL$6:$DL$18,1)+IF(dd_PartSA_2_lines = "Yes",0,SUMIFS('Safety parameters'!$DM$6:$DM$18,'Safety parameters'!$DK$6:$DK$18,DA473,'Safety parameters'!$DL$6:$DL$18,2)+SUMIFS('Safety parameters'!$DM$6:$DM$18,'Safety parameters'!$DK$6:$DK$18,DB473,'Safety parameters'!$DL$6:$DL$18,2))</f>
        <v>1064.7045460594725</v>
      </c>
      <c r="DT473" s="910">
        <f ca="1">SUMIFS('Safety parameters'!$DO$6:$DO$18,'Safety parameters'!$DK$6:$DK$18,CZ473,'Safety parameters'!$DL$6:$DL$18,1)+IF(dd_PartSA_2_lines = "Yes",0,SUMIFS('Safety parameters'!$DO$6:$DO$18,'Safety parameters'!$DK$6:$DK$18,DA473,'Safety parameters'!$DL$6:$DL$18,2)+SUMIFS('Safety parameters'!$DO$6:$DO$18,'Safety parameters'!$DK$6:$DK$18,DB473,'Safety parameters'!$DL$6:$DL$18,2))</f>
        <v>-9.184563045112509E-3</v>
      </c>
    </row>
    <row r="474" spans="89:124" ht="15" x14ac:dyDescent="0.2">
      <c r="CK474" s="61" t="s">
        <v>31</v>
      </c>
      <c r="CL474" s="61">
        <v>4</v>
      </c>
      <c r="CM474" s="61" t="str">
        <v>lenvatinib_plus_pembrolizumab</v>
      </c>
      <c r="CN474" s="17">
        <v>3</v>
      </c>
      <c r="CO474" s="61" t="str" cm="1">
        <f t="array" ref="CO474">INDEX(List_comparators,CP473+1)</f>
        <v>nivolumab_plus_ipilimumab</v>
      </c>
      <c r="CP474" s="17">
        <v>2</v>
      </c>
      <c r="CQ474" s="601">
        <f t="shared" ca="1" si="255"/>
        <v>0</v>
      </c>
      <c r="CR474" s="601">
        <f t="shared" ca="1" si="256"/>
        <v>0</v>
      </c>
      <c r="CS474" s="601">
        <f t="shared" ca="1" si="257"/>
        <v>0</v>
      </c>
      <c r="CT474" s="669">
        <f t="shared" ca="1" si="258"/>
        <v>0</v>
      </c>
      <c r="CU474" s="1123">
        <f>MATCH(CZ481,'Resource use and costs'!$BA$11:$BA$53,0)</f>
        <v>37</v>
      </c>
      <c r="CV474" s="1223"/>
      <c r="CW474" s="1241">
        <f t="shared" si="260"/>
        <v>1</v>
      </c>
      <c r="CX474" s="899" t="s">
        <v>788</v>
      </c>
      <c r="CY474" s="899" t="s">
        <v>585</v>
      </c>
      <c r="CZ474" s="899" t="s">
        <v>118</v>
      </c>
      <c r="DA474" s="899" t="s">
        <v>579</v>
      </c>
      <c r="DB474" s="899" t="s">
        <v>327</v>
      </c>
      <c r="DC474" s="899">
        <f t="shared" ca="1" si="266"/>
        <v>0.26190000000000002</v>
      </c>
      <c r="DD474" s="899">
        <f ca="1">1-DD469-DD471-DD472</f>
        <v>0.46929999999999994</v>
      </c>
      <c r="DE474" s="899" cm="1">
        <f t="array" aca="1" ref="DE474" ca="1">_xlfn.IFNA(OFFSET($AO$49,MATCH($DA474,$AO$50:$AO$63,0),MATCH($DB474,TRANSPOSE($AP$49:$BC$49),0)),0)</f>
        <v>0.56859999999999999</v>
      </c>
      <c r="DF474" s="881">
        <f t="shared" ca="1" si="262"/>
        <v>6.9886438361999995E-2</v>
      </c>
      <c r="DG474" s="910">
        <f t="shared" ca="1" si="259"/>
        <v>1</v>
      </c>
      <c r="DH474" s="881">
        <f t="shared" ca="1" si="263"/>
        <v>6.9886438361999995E-2</v>
      </c>
      <c r="DI474" s="1460">
        <f t="shared" ca="1" si="261"/>
        <v>16.353426576707999</v>
      </c>
      <c r="DJ474" s="909">
        <f>_xlfn.IFNA(INDEX('Resource use and costs'!$CQ$11:$CQ$53,MATCH($CZ474,'Resource use and costs'!$BA$11:$BA$53,0)),0)*_xlfn.IFNA(INDEX(DY$10:DY$23,MATCH($CZ474,$DX$10:$DX$23,0)),0)</f>
        <v>45284.183573333321</v>
      </c>
      <c r="DK474" s="909">
        <f>IF(dd_PartSA_2_lines = "Yes",0,_xlfn.IFNA(INDEX('Resource use and costs'!$CR$11:$CR$53,MATCH(DA474,'Resource use and costs'!$BA$11:$BA$53,0)),0)*_xlfn.IFNA(INDEX(EA$10:EA$23,MATCH($DA474,$DX$10:$DX$23,0)),0))</f>
        <v>26054.50921</v>
      </c>
      <c r="DL474" s="909">
        <f>IF(dd_PartSA_2_lines = "Yes",0,_xlfn.IFNA(INDEX('Resource use and costs'!$CS$11:$CS$53,MATCH(DB474,'Resource use and costs'!$BA$11:$BA$53,0)),0)*_xlfn.IFNA(INDEX(EC$10:EC$23,MATCH($DB474,$DX$10:$DX$23,0)),0))</f>
        <v>18438.751749999999</v>
      </c>
      <c r="DM474" s="909">
        <f t="shared" si="264"/>
        <v>89777.444533333313</v>
      </c>
      <c r="DN474" s="909">
        <f>SUM(_xlfn.IFNA(INDEX('Resource use and costs'!$DU$12:$DU$25,MATCH(CZ474,'Resource use and costs'!$DS$12:$DS$25,0)),0),_xlfn.IFNA(INDEX('Resource use and costs'!$DU$12:$DU$25,MATCH(DA474,'Resource use and costs'!$DS$12:$DS$25,0)),0),_xlfn.IFNA(INDEX('Resource use and costs'!$DU$12:$DU$25,MATCH(DB474,'Resource use and costs'!$DS$12:$DS$25,0)),0))</f>
        <v>394.5</v>
      </c>
      <c r="DO474" s="921">
        <f>_xlfn.IFNA(INDEX('Resource use and costs'!$DY$12:$DY$25,MATCH(CZ474,'Resource use and costs'!$DS$12:$DS$25,0)),0)*_xlfn.IFNA(INDEX(DY$10:DY$23,MATCH($CZ474,$DX$10:$DX$23,0)),0)</f>
        <v>415.09348571428563</v>
      </c>
      <c r="DP474" s="921">
        <f>IF(dd_PartSA_2_lines = "Yes",0,_xlfn.IFNA(INDEX('Resource use and costs'!$DZ$12:$DZ$25,MATCH(DA474,'Resource use and costs'!$DS$12:$DS$25,0)),0)*_xlfn.IFNA(INDEX(EA$10:EA$23,MATCH($DA474,$DX$10:$DX$23,0)),0))</f>
        <v>4108.3597166</v>
      </c>
      <c r="DQ474" s="921">
        <f>IF(dd_PartSA_2_lines = "Yes",0,_xlfn.IFNA(INDEX('Resource use and costs'!$EA$12:$EA$25,MATCH(DB474,'Resource use and costs'!$DS$12:$DS$25,0)),0)*_xlfn.IFNA(INDEX(EC$10:EC$23,MATCH($DB474,$DX$10:$DX$23,0)),0))</f>
        <v>230.68099999999998</v>
      </c>
      <c r="DR474" s="921">
        <f t="shared" si="265"/>
        <v>5148.6342023142852</v>
      </c>
      <c r="DS474" s="1004">
        <f ca="1">SUMIFS('Safety parameters'!$DM$6:$DM$18,'Safety parameters'!$DK$6:$DK$18,CZ474,'Safety parameters'!$DL$6:$DL$18,1)+IF(dd_PartSA_2_lines = "Yes",0,SUMIFS('Safety parameters'!$DM$6:$DM$18,'Safety parameters'!$DK$6:$DK$18,DA474,'Safety parameters'!$DL$6:$DL$18,2)+SUMIFS('Safety parameters'!$DM$6:$DM$18,'Safety parameters'!$DK$6:$DK$18,DB474,'Safety parameters'!$DL$6:$DL$18,2))</f>
        <v>2527.1915852400316</v>
      </c>
      <c r="DT474" s="910">
        <f ca="1">SUMIFS('Safety parameters'!$DO$6:$DO$18,'Safety parameters'!$DK$6:$DK$18,CZ474,'Safety parameters'!$DL$6:$DL$18,1)+IF(dd_PartSA_2_lines = "Yes",0,SUMIFS('Safety parameters'!$DO$6:$DO$18,'Safety parameters'!$DK$6:$DK$18,DA474,'Safety parameters'!$DL$6:$DL$18,2)+SUMIFS('Safety parameters'!$DO$6:$DO$18,'Safety parameters'!$DK$6:$DK$18,DB474,'Safety parameters'!$DL$6:$DL$18,2))</f>
        <v>-2.2855997713641003E-2</v>
      </c>
    </row>
    <row r="475" spans="89:124" ht="15" x14ac:dyDescent="0.2">
      <c r="CK475" s="61" t="s">
        <v>31</v>
      </c>
      <c r="CL475" s="61">
        <v>4</v>
      </c>
      <c r="CM475" s="61" t="str">
        <v>avelumab_plus_axitinib</v>
      </c>
      <c r="CN475" s="17">
        <v>4</v>
      </c>
      <c r="CO475" s="61" t="str" cm="1">
        <f t="array" ref="CO475">INDEX(List_comparators,CP474+1)</f>
        <v>nivolumab_plus_ipilimumab</v>
      </c>
      <c r="CP475" s="17">
        <v>2</v>
      </c>
      <c r="CQ475" s="601">
        <f t="shared" ref="CQ475:CQ506" ca="1" si="267">OFFSET($AP$50,IF(CN475=999,13,CN475),CP475)</f>
        <v>0</v>
      </c>
      <c r="CR475" s="601">
        <f t="shared" ref="CR475:CR506" ca="1" si="268">OFFSET($AP$65,IF(CN475=999,13,CN475),CP475)</f>
        <v>0</v>
      </c>
      <c r="CS475" s="601">
        <f t="shared" ref="CS475:CS506" ca="1" si="269">OFFSET($AP$81,IF(CN475=999,13,CN475),CP475)</f>
        <v>0</v>
      </c>
      <c r="CT475" s="669">
        <f t="shared" ref="CT475:CT506" ca="1" si="270">OFFSET($AP$97,IF(CN475=999,13,CN475),CP475)</f>
        <v>0</v>
      </c>
      <c r="CU475" s="1123">
        <f>MATCH(CZ482,'Resource use and costs'!$BA$11:$BA$53,0)</f>
        <v>37</v>
      </c>
      <c r="CV475" s="1223"/>
      <c r="CW475" s="1241">
        <f t="shared" si="260"/>
        <v>1</v>
      </c>
      <c r="CX475" s="899" t="s">
        <v>788</v>
      </c>
      <c r="CY475" s="899" t="s">
        <v>585</v>
      </c>
      <c r="CZ475" s="899" t="s">
        <v>118</v>
      </c>
      <c r="DA475" s="899" t="s">
        <v>579</v>
      </c>
      <c r="DB475" s="899" t="s">
        <v>765</v>
      </c>
      <c r="DC475" s="899">
        <f t="shared" ca="1" si="266"/>
        <v>0.26190000000000002</v>
      </c>
      <c r="DD475" s="899">
        <f ca="1">DD474</f>
        <v>0.46929999999999994</v>
      </c>
      <c r="DE475" s="899" cm="1">
        <f t="array" aca="1" ref="DE475" ca="1">_xlfn.IFNA(OFFSET($AO$49,MATCH($DA475,$AO$50:$AO$63,0),MATCH($DB475,TRANSPOSE($AP$49:$BC$49),0)),0)</f>
        <v>0.43140000000000001</v>
      </c>
      <c r="DF475" s="881">
        <f t="shared" ca="1" si="262"/>
        <v>5.3023231637999997E-2</v>
      </c>
      <c r="DG475" s="910">
        <f t="shared" ca="1" si="259"/>
        <v>1</v>
      </c>
      <c r="DH475" s="881">
        <f t="shared" ca="1" si="263"/>
        <v>5.3023231637999997E-2</v>
      </c>
      <c r="DI475" s="1460">
        <f t="shared" ca="1" si="261"/>
        <v>12.407436203291999</v>
      </c>
      <c r="DJ475" s="909">
        <f>_xlfn.IFNA(INDEX('Resource use and costs'!$CQ$11:$CQ$53,MATCH($CZ475,'Resource use and costs'!$BA$11:$BA$53,0)),0)*_xlfn.IFNA(INDEX(DY$10:DY$23,MATCH($CZ475,$DX$10:$DX$23,0)),0)</f>
        <v>45284.183573333321</v>
      </c>
      <c r="DK475" s="909">
        <f>IF(dd_PartSA_2_lines = "Yes",0,_xlfn.IFNA(INDEX('Resource use and costs'!$CR$11:$CR$53,MATCH(DA475,'Resource use and costs'!$BA$11:$BA$53,0)),0)*_xlfn.IFNA(INDEX(EA$10:EA$23,MATCH($DA475,$DX$10:$DX$23,0)),0))</f>
        <v>26054.50921</v>
      </c>
      <c r="DL475" s="909">
        <f>IF(dd_PartSA_2_lines = "Yes",0,_xlfn.IFNA(INDEX('Resource use and costs'!$CS$11:$CS$53,MATCH(DB475,'Resource use and costs'!$BA$11:$BA$53,0)),0)*_xlfn.IFNA(INDEX(EC$10:EC$23,MATCH($DB475,$DX$10:$DX$23,0)),0))</f>
        <v>0</v>
      </c>
      <c r="DM475" s="909">
        <f t="shared" si="264"/>
        <v>71338.692783333317</v>
      </c>
      <c r="DN475" s="909">
        <f>SUM(_xlfn.IFNA(INDEX('Resource use and costs'!$DU$12:$DU$25,MATCH(CZ475,'Resource use and costs'!$DS$12:$DS$25,0)),0),_xlfn.IFNA(INDEX('Resource use and costs'!$DU$12:$DU$25,MATCH(DA475,'Resource use and costs'!$DS$12:$DS$25,0)),0),_xlfn.IFNA(INDEX('Resource use and costs'!$DU$12:$DU$25,MATCH(DB475,'Resource use and costs'!$DS$12:$DS$25,0)),0))</f>
        <v>197.25</v>
      </c>
      <c r="DO475" s="921">
        <f>_xlfn.IFNA(INDEX('Resource use and costs'!$DY$12:$DY$25,MATCH(CZ475,'Resource use and costs'!$DS$12:$DS$25,0)),0)*_xlfn.IFNA(INDEX(DY$10:DY$23,MATCH($CZ475,$DX$10:$DX$23,0)),0)</f>
        <v>415.09348571428563</v>
      </c>
      <c r="DP475" s="921">
        <f>IF(dd_PartSA_2_lines = "Yes",0,_xlfn.IFNA(INDEX('Resource use and costs'!$DZ$12:$DZ$25,MATCH(DA475,'Resource use and costs'!$DS$12:$DS$25,0)),0)*_xlfn.IFNA(INDEX(EA$10:EA$23,MATCH($DA475,$DX$10:$DX$23,0)),0))</f>
        <v>4108.3597166</v>
      </c>
      <c r="DQ475" s="921">
        <f>IF(dd_PartSA_2_lines = "Yes",0,_xlfn.IFNA(INDEX('Resource use and costs'!$EA$12:$EA$25,MATCH(DB475,'Resource use and costs'!$DS$12:$DS$25,0)),0)*_xlfn.IFNA(INDEX(EC$10:EC$23,MATCH($DB475,$DX$10:$DX$23,0)),0))</f>
        <v>0</v>
      </c>
      <c r="DR475" s="921">
        <f t="shared" si="265"/>
        <v>4720.7032023142856</v>
      </c>
      <c r="DS475" s="1004">
        <f ca="1">SUMIFS('Safety parameters'!$DM$6:$DM$18,'Safety parameters'!$DK$6:$DK$18,CZ475,'Safety parameters'!$DL$6:$DL$18,1)+IF(dd_PartSA_2_lines = "Yes",0,SUMIFS('Safety parameters'!$DM$6:$DM$18,'Safety parameters'!$DK$6:$DK$18,DA475,'Safety parameters'!$DL$6:$DL$18,2)+SUMIFS('Safety parameters'!$DM$6:$DM$18,'Safety parameters'!$DK$6:$DK$18,DB475,'Safety parameters'!$DL$6:$DL$18,2))</f>
        <v>892.96291167457207</v>
      </c>
      <c r="DT475" s="910">
        <f ca="1">SUMIFS('Safety parameters'!$DO$6:$DO$18,'Safety parameters'!$DK$6:$DK$18,CZ475,'Safety parameters'!$DL$6:$DL$18,1)+IF(dd_PartSA_2_lines = "Yes",0,SUMIFS('Safety parameters'!$DO$6:$DO$18,'Safety parameters'!$DK$6:$DK$18,DA475,'Safety parameters'!$DL$6:$DL$18,2)+SUMIFS('Safety parameters'!$DO$6:$DO$18,'Safety parameters'!$DK$6:$DK$18,DB475,'Safety parameters'!$DL$6:$DL$18,2))</f>
        <v>-8.1140737061595747E-3</v>
      </c>
    </row>
    <row r="476" spans="89:124" ht="15" x14ac:dyDescent="0.2">
      <c r="CK476" s="61" t="s">
        <v>31</v>
      </c>
      <c r="CL476" s="61">
        <v>4</v>
      </c>
      <c r="CM476" s="61" t="str">
        <v>pazopanib</v>
      </c>
      <c r="CN476" s="17">
        <v>5</v>
      </c>
      <c r="CO476" s="61" t="str" cm="1">
        <f t="array" ref="CO476">INDEX(List_comparators,CP475+1)</f>
        <v>nivolumab_plus_ipilimumab</v>
      </c>
      <c r="CP476" s="17">
        <v>2</v>
      </c>
      <c r="CQ476" s="601">
        <f t="shared" ca="1" si="267"/>
        <v>0</v>
      </c>
      <c r="CR476" s="601">
        <f t="shared" ca="1" si="268"/>
        <v>0</v>
      </c>
      <c r="CS476" s="601">
        <f t="shared" ca="1" si="269"/>
        <v>0</v>
      </c>
      <c r="CT476" s="669">
        <f t="shared" ca="1" si="270"/>
        <v>0</v>
      </c>
      <c r="CU476" s="1123">
        <f>MATCH(CZ483,'Resource use and costs'!$BA$11:$BA$53,0)</f>
        <v>43</v>
      </c>
      <c r="CV476" s="1223"/>
      <c r="CW476" s="1241">
        <f t="shared" si="260"/>
        <v>1</v>
      </c>
      <c r="CX476" s="899" t="s">
        <v>788</v>
      </c>
      <c r="CY476" s="899" t="s">
        <v>585</v>
      </c>
      <c r="CZ476" s="899" t="s">
        <v>118</v>
      </c>
      <c r="DA476" s="899" t="s">
        <v>579</v>
      </c>
      <c r="DB476" s="899" t="s">
        <v>119</v>
      </c>
      <c r="DC476" s="899">
        <f t="shared" ca="1" si="266"/>
        <v>0.26190000000000002</v>
      </c>
      <c r="DD476" s="899">
        <f ca="1">DD475</f>
        <v>0.46929999999999994</v>
      </c>
      <c r="DE476" s="899" cm="1">
        <f t="array" aca="1" ref="DE476" ca="1">_xlfn.IFNA(OFFSET($AO$49,MATCH($DA476,$AO$50:$AO$63,0),MATCH($DB476,TRANSPOSE($AP$49:$BC$49),0)),0)</f>
        <v>0</v>
      </c>
      <c r="DF476" s="881">
        <f t="shared" ca="1" si="262"/>
        <v>0</v>
      </c>
      <c r="DG476" s="910">
        <f t="shared" ca="1" si="259"/>
        <v>1</v>
      </c>
      <c r="DH476" s="881">
        <f t="shared" ca="1" si="263"/>
        <v>0</v>
      </c>
      <c r="DI476" s="1460">
        <f t="shared" ca="1" si="261"/>
        <v>0</v>
      </c>
      <c r="DJ476" s="909">
        <f>_xlfn.IFNA(INDEX('Resource use and costs'!$CQ$11:$CQ$53,MATCH($CZ476,'Resource use and costs'!$BA$11:$BA$53,0)),0)*_xlfn.IFNA(INDEX(DY$10:DY$23,MATCH($CZ476,$DX$10:$DX$23,0)),0)</f>
        <v>45284.183573333321</v>
      </c>
      <c r="DK476" s="909">
        <f>IF(dd_PartSA_2_lines = "Yes",0,_xlfn.IFNA(INDEX('Resource use and costs'!$CR$11:$CR$53,MATCH(DA476,'Resource use and costs'!$BA$11:$BA$53,0)),0)*_xlfn.IFNA(INDEX(EA$10:EA$23,MATCH($DA476,$DX$10:$DX$23,0)),0))</f>
        <v>26054.50921</v>
      </c>
      <c r="DL476" s="909">
        <f>IF(dd_PartSA_2_lines = "Yes",0,_xlfn.IFNA(INDEX('Resource use and costs'!$CS$11:$CS$53,MATCH(DB476,'Resource use and costs'!$BA$11:$BA$53,0)),0)*_xlfn.IFNA(INDEX(EC$10:EC$23,MATCH($DB476,$DX$10:$DX$23,0)),0))</f>
        <v>2915.4763433333328</v>
      </c>
      <c r="DM476" s="909">
        <f t="shared" si="264"/>
        <v>74254.169126666646</v>
      </c>
      <c r="DN476" s="909">
        <f>SUM(_xlfn.IFNA(INDEX('Resource use and costs'!$DU$12:$DU$25,MATCH(CZ476,'Resource use and costs'!$DS$12:$DS$25,0)),0),_xlfn.IFNA(INDEX('Resource use and costs'!$DU$12:$DU$25,MATCH(DA476,'Resource use and costs'!$DS$12:$DS$25,0)),0),_xlfn.IFNA(INDEX('Resource use and costs'!$DU$12:$DU$25,MATCH(DB476,'Resource use and costs'!$DS$12:$DS$25,0)),0))</f>
        <v>394.5</v>
      </c>
      <c r="DO476" s="921">
        <f>_xlfn.IFNA(INDEX('Resource use and costs'!$DY$12:$DY$25,MATCH(CZ476,'Resource use and costs'!$DS$12:$DS$25,0)),0)*_xlfn.IFNA(INDEX(DY$10:DY$23,MATCH($CZ476,$DX$10:$DX$23,0)),0)</f>
        <v>415.09348571428563</v>
      </c>
      <c r="DP476" s="921">
        <f>IF(dd_PartSA_2_lines = "Yes",0,_xlfn.IFNA(INDEX('Resource use and costs'!$DZ$12:$DZ$25,MATCH(DA476,'Resource use and costs'!$DS$12:$DS$25,0)),0)*_xlfn.IFNA(INDEX(EA$10:EA$23,MATCH($DA476,$DX$10:$DX$23,0)),0))</f>
        <v>4108.3597166</v>
      </c>
      <c r="DQ476" s="921">
        <f>IF(dd_PartSA_2_lines = "Yes",0,_xlfn.IFNA(INDEX('Resource use and costs'!$EA$12:$EA$25,MATCH(DB476,'Resource use and costs'!$DS$12:$DS$25,0)),0)*_xlfn.IFNA(INDEX(EC$10:EC$23,MATCH($DB476,$DX$10:$DX$23,0)),0))</f>
        <v>256.11457142857142</v>
      </c>
      <c r="DR476" s="921">
        <f t="shared" si="265"/>
        <v>5174.0677737428568</v>
      </c>
      <c r="DS476" s="1004">
        <f ca="1">SUMIFS('Safety parameters'!$DM$6:$DM$18,'Safety parameters'!$DK$6:$DK$18,CZ476,'Safety parameters'!$DL$6:$DL$18,1)+IF(dd_PartSA_2_lines = "Yes",0,SUMIFS('Safety parameters'!$DM$6:$DM$18,'Safety parameters'!$DK$6:$DK$18,DA476,'Safety parameters'!$DL$6:$DL$18,2)+SUMIFS('Safety parameters'!$DM$6:$DM$18,'Safety parameters'!$DK$6:$DK$18,DB476,'Safety parameters'!$DL$6:$DL$18,2))</f>
        <v>1225.8382950498869</v>
      </c>
      <c r="DT476" s="910">
        <f ca="1">SUMIFS('Safety parameters'!$DO$6:$DO$18,'Safety parameters'!$DK$6:$DK$18,CZ476,'Safety parameters'!$DL$6:$DL$18,1)+IF(dd_PartSA_2_lines = "Yes",0,SUMIFS('Safety parameters'!$DO$6:$DO$18,'Safety parameters'!$DK$6:$DK$18,DA476,'Safety parameters'!$DL$6:$DL$18,2)+SUMIFS('Safety parameters'!$DO$6:$DO$18,'Safety parameters'!$DK$6:$DK$18,DB476,'Safety parameters'!$DL$6:$DL$18,2))</f>
        <v>-1.0781647242797295E-2</v>
      </c>
    </row>
    <row r="477" spans="89:124" ht="15" x14ac:dyDescent="0.2">
      <c r="CK477" s="61" t="s">
        <v>31</v>
      </c>
      <c r="CL477" s="61">
        <v>4</v>
      </c>
      <c r="CM477" s="61" t="str">
        <v>tivozanib</v>
      </c>
      <c r="CN477" s="17">
        <v>6</v>
      </c>
      <c r="CO477" s="61" t="str" cm="1">
        <f t="array" ref="CO477">INDEX(List_comparators,CP476+1)</f>
        <v>nivolumab_plus_ipilimumab</v>
      </c>
      <c r="CP477" s="17">
        <v>2</v>
      </c>
      <c r="CQ477" s="601">
        <f t="shared" ca="1" si="267"/>
        <v>0</v>
      </c>
      <c r="CR477" s="601">
        <f t="shared" ca="1" si="268"/>
        <v>0</v>
      </c>
      <c r="CS477" s="601">
        <f t="shared" ca="1" si="269"/>
        <v>0</v>
      </c>
      <c r="CT477" s="669">
        <f t="shared" ca="1" si="270"/>
        <v>0</v>
      </c>
      <c r="CU477" s="1123">
        <f>MATCH(CZ484,'Resource use and costs'!$BA$11:$BA$53,0)</f>
        <v>43</v>
      </c>
      <c r="CV477" s="1223"/>
      <c r="CW477" s="1241">
        <f t="shared" si="260"/>
        <v>1</v>
      </c>
      <c r="CX477" s="899" t="s">
        <v>788</v>
      </c>
      <c r="CY477" s="899" t="s">
        <v>585</v>
      </c>
      <c r="CZ477" s="899" t="s">
        <v>119</v>
      </c>
      <c r="DA477" s="899" t="s">
        <v>327</v>
      </c>
      <c r="DB477" s="899" t="s">
        <v>765</v>
      </c>
      <c r="DC477" s="899" cm="1">
        <f t="array" aca="1" ref="DC477" ca="1">_xlfn.IFNA(OFFSET($I$49,MATCH(CY477,$I$50:$I$63,0),MATCH(CZ477,TRANSPOSE($J$49:$W$49),0)),0)</f>
        <v>0</v>
      </c>
      <c r="DD477" s="899" cm="1">
        <f t="array" aca="1" ref="DD477" ca="1">_xlfn.IFNA(OFFSET($Y$49,MATCH($CZ477,$Y$50:$Y$63,0),MATCH($DA477,TRANSPOSE($Z$49:$AM$49),0)),0)</f>
        <v>0</v>
      </c>
      <c r="DE477" s="899" cm="1">
        <f t="array" aca="1" ref="DE477" ca="1">_xlfn.IFNA(OFFSET($AO$49,MATCH($DA477,$AO$50:$AO$63,0),MATCH($DB477,TRANSPOSE($AP$49:$BC$49),0)),0)</f>
        <v>0.43140000000000001</v>
      </c>
      <c r="DF477" s="881">
        <f t="shared" ca="1" si="262"/>
        <v>0</v>
      </c>
      <c r="DG477" s="910">
        <f t="shared" ca="1" si="259"/>
        <v>1</v>
      </c>
      <c r="DH477" s="881">
        <f t="shared" ca="1" si="263"/>
        <v>0</v>
      </c>
      <c r="DI477" s="1460">
        <f t="shared" ca="1" si="261"/>
        <v>0</v>
      </c>
      <c r="DJ477" s="909">
        <f>_xlfn.IFNA(INDEX('Resource use and costs'!$CQ$11:$CQ$53,MATCH($CZ477,'Resource use and costs'!$BA$11:$BA$53,0)),0)*_xlfn.IFNA(INDEX(DY$10:DY$23,MATCH($CZ477,$DX$10:$DX$23,0)),0)</f>
        <v>944.50399999999979</v>
      </c>
      <c r="DK477" s="909">
        <f>IF(dd_PartSA_2_lines = "Yes",0,_xlfn.IFNA(INDEX('Resource use and costs'!$CR$11:$CR$53,MATCH(DA477,'Resource use and costs'!$BA$11:$BA$53,0)),0)*_xlfn.IFNA(INDEX(EA$10:EA$23,MATCH($DA477,$DX$10:$DX$23,0)),0))</f>
        <v>21421.066008214286</v>
      </c>
      <c r="DL477" s="909">
        <f>IF(dd_PartSA_2_lines = "Yes",0,_xlfn.IFNA(INDEX('Resource use and costs'!$CS$11:$CS$53,MATCH(DB477,'Resource use and costs'!$BA$11:$BA$53,0)),0)*_xlfn.IFNA(INDEX(EC$10:EC$23,MATCH($DB477,$DX$10:$DX$23,0)),0))</f>
        <v>0</v>
      </c>
      <c r="DM477" s="909">
        <f t="shared" si="264"/>
        <v>22365.570008214287</v>
      </c>
      <c r="DN477" s="909">
        <f>SUM(_xlfn.IFNA(INDEX('Resource use and costs'!$DU$12:$DU$25,MATCH(CZ477,'Resource use and costs'!$DS$12:$DS$25,0)),0),_xlfn.IFNA(INDEX('Resource use and costs'!$DU$12:$DU$25,MATCH(DA477,'Resource use and costs'!$DS$12:$DS$25,0)),0),_xlfn.IFNA(INDEX('Resource use and costs'!$DU$12:$DU$25,MATCH(DB477,'Resource use and costs'!$DS$12:$DS$25,0)),0))</f>
        <v>394.5</v>
      </c>
      <c r="DO477" s="921">
        <f>_xlfn.IFNA(INDEX('Resource use and costs'!$DY$12:$DY$25,MATCH(CZ477,'Resource use and costs'!$DS$12:$DS$25,0)),0)*_xlfn.IFNA(INDEX(DY$10:DY$23,MATCH($CZ477,$DX$10:$DX$23,0)),0)</f>
        <v>82.971428571428561</v>
      </c>
      <c r="DP477" s="921">
        <f>IF(dd_PartSA_2_lines = "Yes",0,_xlfn.IFNA(INDEX('Resource use and costs'!$DZ$12:$DZ$25,MATCH(DA477,'Resource use and costs'!$DS$12:$DS$25,0)),0)*_xlfn.IFNA(INDEX(EA$10:EA$23,MATCH($DA477,$DX$10:$DX$23,0)),0))</f>
        <v>267.99172714285714</v>
      </c>
      <c r="DQ477" s="921">
        <f>IF(dd_PartSA_2_lines = "Yes",0,_xlfn.IFNA(INDEX('Resource use and costs'!$EA$12:$EA$25,MATCH(DB477,'Resource use and costs'!$DS$12:$DS$25,0)),0)*_xlfn.IFNA(INDEX(EC$10:EC$23,MATCH($DB477,$DX$10:$DX$23,0)),0))</f>
        <v>0</v>
      </c>
      <c r="DR477" s="921">
        <f t="shared" si="265"/>
        <v>745.46315571428568</v>
      </c>
      <c r="DS477" s="1004">
        <f ca="1">SUMIFS('Safety parameters'!$DM$6:$DM$18,'Safety parameters'!$DK$6:$DK$18,CZ477,'Safety parameters'!$DL$6:$DL$18,1)+IF(dd_PartSA_2_lines = "Yes",0,SUMIFS('Safety parameters'!$DM$6:$DM$18,'Safety parameters'!$DK$6:$DK$18,DA477,'Safety parameters'!$DL$6:$DL$18,2)+SUMIFS('Safety parameters'!$DM$6:$DM$18,'Safety parameters'!$DK$6:$DK$18,DB477,'Safety parameters'!$DL$6:$DL$18,2))</f>
        <v>1634.2286735654598</v>
      </c>
      <c r="DT477" s="910">
        <f ca="1">SUMIFS('Safety parameters'!$DO$6:$DO$18,'Safety parameters'!$DK$6:$DK$18,CZ477,'Safety parameters'!$DL$6:$DL$18,1)+IF(dd_PartSA_2_lines = "Yes",0,SUMIFS('Safety parameters'!$DO$6:$DO$18,'Safety parameters'!$DK$6:$DK$18,DA477,'Safety parameters'!$DL$6:$DL$18,2)+SUMIFS('Safety parameters'!$DO$6:$DO$18,'Safety parameters'!$DK$6:$DK$18,DB477,'Safety parameters'!$DL$6:$DL$18,2))</f>
        <v>-1.4741924007481429E-2</v>
      </c>
    </row>
    <row r="478" spans="89:124" ht="15" x14ac:dyDescent="0.2">
      <c r="CK478" s="61" t="s">
        <v>31</v>
      </c>
      <c r="CL478" s="61">
        <v>4</v>
      </c>
      <c r="CM478" s="61" t="str">
        <v>sunitinib</v>
      </c>
      <c r="CN478" s="17">
        <v>7</v>
      </c>
      <c r="CO478" s="61" t="str" cm="1">
        <f t="array" ref="CO478">INDEX(List_comparators,CP477+1)</f>
        <v>nivolumab_plus_ipilimumab</v>
      </c>
      <c r="CP478" s="17">
        <v>2</v>
      </c>
      <c r="CQ478" s="601">
        <f t="shared" ca="1" si="267"/>
        <v>0</v>
      </c>
      <c r="CR478" s="601">
        <f t="shared" ca="1" si="268"/>
        <v>0</v>
      </c>
      <c r="CS478" s="601">
        <f t="shared" ca="1" si="269"/>
        <v>0</v>
      </c>
      <c r="CT478" s="669">
        <f t="shared" ca="1" si="270"/>
        <v>0</v>
      </c>
      <c r="CU478" s="1123">
        <f>MATCH(CZ485,'Resource use and costs'!$BA$11:$BA$53,0)</f>
        <v>43</v>
      </c>
      <c r="CV478" s="1223"/>
      <c r="CW478" s="1241">
        <f t="shared" si="260"/>
        <v>1</v>
      </c>
      <c r="CX478" s="899" t="s">
        <v>788</v>
      </c>
      <c r="CY478" s="899" t="s">
        <v>585</v>
      </c>
      <c r="CZ478" s="899" t="s">
        <v>119</v>
      </c>
      <c r="DA478" s="899" t="s">
        <v>765</v>
      </c>
      <c r="DB478" s="899"/>
      <c r="DC478" s="899" cm="1">
        <f t="array" aca="1" ref="DC478" ca="1">_xlfn.IFNA(OFFSET($I$49,MATCH(CY478,$I$50:$I$63,0),MATCH(CZ478,TRANSPOSE($J$49:$W$49),0)),0)</f>
        <v>0</v>
      </c>
      <c r="DD478" s="899" cm="1">
        <f t="array" aca="1" ref="DD478" ca="1">_xlfn.IFNA(OFFSET($Y$49,MATCH($CZ478,$Y$50:$Y$63,0),MATCH($DA478,TRANSPOSE($Z$49:$AM$49),0)),0)</f>
        <v>1</v>
      </c>
      <c r="DE478" s="899" cm="1">
        <f t="array" aca="1" ref="DE478" ca="1">_xlfn.IFNA(OFFSET($AO$49,MATCH($DA478,$AO$50:$AO$63,0),MATCH($DB478,TRANSPOSE($AP$49:$BC$49),0)),0)</f>
        <v>0</v>
      </c>
      <c r="DF478" s="881">
        <f t="shared" ca="1" si="262"/>
        <v>0</v>
      </c>
      <c r="DG478" s="910">
        <f t="shared" ca="1" si="259"/>
        <v>1</v>
      </c>
      <c r="DH478" s="881">
        <f t="shared" ca="1" si="263"/>
        <v>0</v>
      </c>
      <c r="DI478" s="1460">
        <f t="shared" ca="1" si="261"/>
        <v>0</v>
      </c>
      <c r="DJ478" s="909">
        <f>_xlfn.IFNA(INDEX('Resource use and costs'!$CQ$11:$CQ$53,MATCH($CZ478,'Resource use and costs'!$BA$11:$BA$53,0)),0)*_xlfn.IFNA(INDEX(DY$10:DY$23,MATCH($CZ478,$DX$10:$DX$23,0)),0)</f>
        <v>944.50399999999979</v>
      </c>
      <c r="DK478" s="909">
        <f>IF(dd_PartSA_2_lines = "Yes",0,_xlfn.IFNA(INDEX('Resource use and costs'!$CR$11:$CR$53,MATCH(DA478,'Resource use and costs'!$BA$11:$BA$53,0)),0)*_xlfn.IFNA(INDEX(EA$10:EA$23,MATCH($DA478,$DX$10:$DX$23,0)),0))</f>
        <v>0</v>
      </c>
      <c r="DL478" s="909">
        <f>IF(dd_PartSA_2_lines = "Yes",0,_xlfn.IFNA(INDEX('Resource use and costs'!$CS$11:$CS$53,MATCH(DB478,'Resource use and costs'!$BA$11:$BA$53,0)),0)*_xlfn.IFNA(INDEX(EC$10:EC$23,MATCH($DB478,$DX$10:$DX$23,0)),0))</f>
        <v>0</v>
      </c>
      <c r="DM478" s="909">
        <f t="shared" si="264"/>
        <v>944.50399999999979</v>
      </c>
      <c r="DN478" s="909">
        <f>SUM(_xlfn.IFNA(INDEX('Resource use and costs'!$DU$12:$DU$25,MATCH(CZ478,'Resource use and costs'!$DS$12:$DS$25,0)),0),_xlfn.IFNA(INDEX('Resource use and costs'!$DU$12:$DU$25,MATCH(DA478,'Resource use and costs'!$DS$12:$DS$25,0)),0),_xlfn.IFNA(INDEX('Resource use and costs'!$DU$12:$DU$25,MATCH(DB478,'Resource use and costs'!$DS$12:$DS$25,0)),0))</f>
        <v>197.25</v>
      </c>
      <c r="DO478" s="921">
        <f>_xlfn.IFNA(INDEX('Resource use and costs'!$DY$12:$DY$25,MATCH(CZ478,'Resource use and costs'!$DS$12:$DS$25,0)),0)*_xlfn.IFNA(INDEX(DY$10:DY$23,MATCH($CZ478,$DX$10:$DX$23,0)),0)</f>
        <v>82.971428571428561</v>
      </c>
      <c r="DP478" s="921">
        <f>IF(dd_PartSA_2_lines = "Yes",0,_xlfn.IFNA(INDEX('Resource use and costs'!$DZ$12:$DZ$25,MATCH(DA478,'Resource use and costs'!$DS$12:$DS$25,0)),0)*_xlfn.IFNA(INDEX(EA$10:EA$23,MATCH($DA478,$DX$10:$DX$23,0)),0))</f>
        <v>0</v>
      </c>
      <c r="DQ478" s="921">
        <f>IF(dd_PartSA_2_lines = "Yes",0,_xlfn.IFNA(INDEX('Resource use and costs'!$EA$12:$EA$25,MATCH(DB478,'Resource use and costs'!$DS$12:$DS$25,0)),0)*_xlfn.IFNA(INDEX(EC$10:EC$23,MATCH($DB478,$DX$10:$DX$23,0)),0))</f>
        <v>0</v>
      </c>
      <c r="DR478" s="921">
        <f t="shared" si="265"/>
        <v>280.22142857142853</v>
      </c>
      <c r="DS478" s="1004">
        <f>SUMIFS('Safety parameters'!$DM$6:$DM$18,'Safety parameters'!$DK$6:$DK$18,CZ478,'Safety parameters'!$DL$6:$DL$18,1)+IF(dd_PartSA_2_lines = "Yes",0,SUMIFS('Safety parameters'!$DM$6:$DM$18,'Safety parameters'!$DK$6:$DK$18,DA478,'Safety parameters'!$DL$6:$DL$18,2)+SUMIFS('Safety parameters'!$DM$6:$DM$18,'Safety parameters'!$DK$6:$DK$18,DB478,'Safety parameters'!$DL$6:$DL$18,2))</f>
        <v>0</v>
      </c>
      <c r="DT478" s="910">
        <f>SUMIFS('Safety parameters'!$DO$6:$DO$18,'Safety parameters'!$DK$6:$DK$18,CZ478,'Safety parameters'!$DL$6:$DL$18,1)+IF(dd_PartSA_2_lines = "Yes",0,SUMIFS('Safety parameters'!$DO$6:$DO$18,'Safety parameters'!$DK$6:$DK$18,DA478,'Safety parameters'!$DL$6:$DL$18,2)+SUMIFS('Safety parameters'!$DO$6:$DO$18,'Safety parameters'!$DK$6:$DK$18,DB478,'Safety parameters'!$DL$6:$DL$18,2))</f>
        <v>0</v>
      </c>
    </row>
    <row r="479" spans="89:124" ht="15" x14ac:dyDescent="0.2">
      <c r="CK479" s="61" t="s">
        <v>31</v>
      </c>
      <c r="CL479" s="61">
        <v>4</v>
      </c>
      <c r="CM479" s="61" t="str">
        <v>cabozantinib</v>
      </c>
      <c r="CN479" s="17">
        <v>8</v>
      </c>
      <c r="CO479" s="61" t="str" cm="1">
        <f t="array" ref="CO479">INDEX(List_comparators,CP478+1)</f>
        <v>nivolumab_plus_ipilimumab</v>
      </c>
      <c r="CP479" s="17">
        <v>2</v>
      </c>
      <c r="CQ479" s="601">
        <f t="shared" ca="1" si="267"/>
        <v>0</v>
      </c>
      <c r="CR479" s="601">
        <f t="shared" ca="1" si="268"/>
        <v>0</v>
      </c>
      <c r="CS479" s="601">
        <f t="shared" ca="1" si="269"/>
        <v>0</v>
      </c>
      <c r="CT479" s="669">
        <f t="shared" ca="1" si="270"/>
        <v>0</v>
      </c>
      <c r="CU479" s="1123">
        <f>MATCH(CZ486,'Resource use and costs'!$BA$11:$BA$53,0)</f>
        <v>43</v>
      </c>
      <c r="CV479" s="1223"/>
      <c r="CW479" s="1241">
        <f t="shared" si="260"/>
        <v>1</v>
      </c>
      <c r="CX479" s="899" t="s">
        <v>788</v>
      </c>
      <c r="CY479" s="899" t="s">
        <v>585</v>
      </c>
      <c r="CZ479" s="899" t="s">
        <v>119</v>
      </c>
      <c r="DA479" s="899" t="s">
        <v>118</v>
      </c>
      <c r="DB479" s="899" t="s">
        <v>327</v>
      </c>
      <c r="DC479" s="899" cm="1">
        <f t="array" aca="1" ref="DC479" ca="1">_xlfn.IFNA(OFFSET($I$49,MATCH(CY479,$I$50:$I$63,0),MATCH(CZ479,TRANSPOSE($J$49:$W$49),0)),0)</f>
        <v>0</v>
      </c>
      <c r="DD479" s="899" cm="1">
        <f t="array" aca="1" ref="DD479" ca="1">_xlfn.IFNA(OFFSET($Y$49,MATCH($CZ479,$Y$50:$Y$63,0),MATCH($DA479,TRANSPOSE($Z$49:$AM$49),0)),0)</f>
        <v>0</v>
      </c>
      <c r="DE479" s="899" cm="1">
        <f t="array" aca="1" ref="DE479" ca="1">_xlfn.IFNA(OFFSET($AO$49,MATCH($DA479,$AO$50:$AO$63,0),MATCH($DB479,TRANSPOSE($AP$49:$BC$49),0)),0)</f>
        <v>0.38769999999999999</v>
      </c>
      <c r="DF479" s="881">
        <f t="shared" ca="1" si="262"/>
        <v>0</v>
      </c>
      <c r="DG479" s="910">
        <f t="shared" ca="1" si="259"/>
        <v>1</v>
      </c>
      <c r="DH479" s="881">
        <f t="shared" ca="1" si="263"/>
        <v>0</v>
      </c>
      <c r="DI479" s="1460">
        <f t="shared" ca="1" si="261"/>
        <v>0</v>
      </c>
      <c r="DJ479" s="909">
        <f>_xlfn.IFNA(INDEX('Resource use and costs'!$CQ$11:$CQ$53,MATCH($CZ479,'Resource use and costs'!$BA$11:$BA$53,0)),0)*_xlfn.IFNA(INDEX(DY$10:DY$23,MATCH($CZ479,$DX$10:$DX$23,0)),0)</f>
        <v>944.50399999999979</v>
      </c>
      <c r="DK479" s="909">
        <f>IF(dd_PartSA_2_lines = "Yes",0,_xlfn.IFNA(INDEX('Resource use and costs'!$CR$11:$CR$53,MATCH(DA479,'Resource use and costs'!$BA$11:$BA$53,0)),0)*_xlfn.IFNA(INDEX(EA$10:EA$23,MATCH($DA479,$DX$10:$DX$23,0)),0))</f>
        <v>50308.075122000002</v>
      </c>
      <c r="DL479" s="909">
        <f>IF(dd_PartSA_2_lines = "Yes",0,_xlfn.IFNA(INDEX('Resource use and costs'!$CS$11:$CS$53,MATCH(DB479,'Resource use and costs'!$BA$11:$BA$53,0)),0)*_xlfn.IFNA(INDEX(EC$10:EC$23,MATCH($DB479,$DX$10:$DX$23,0)),0))</f>
        <v>18438.751749999999</v>
      </c>
      <c r="DM479" s="909">
        <f t="shared" si="264"/>
        <v>69691.330872000006</v>
      </c>
      <c r="DN479" s="909">
        <f>SUM(_xlfn.IFNA(INDEX('Resource use and costs'!$DU$12:$DU$25,MATCH(CZ479,'Resource use and costs'!$DS$12:$DS$25,0)),0),_xlfn.IFNA(INDEX('Resource use and costs'!$DU$12:$DU$25,MATCH(DA479,'Resource use and costs'!$DS$12:$DS$25,0)),0),_xlfn.IFNA(INDEX('Resource use and costs'!$DU$12:$DU$25,MATCH(DB479,'Resource use and costs'!$DS$12:$DS$25,0)),0))</f>
        <v>591.75</v>
      </c>
      <c r="DO479" s="921">
        <f>_xlfn.IFNA(INDEX('Resource use and costs'!$DY$12:$DY$25,MATCH(CZ479,'Resource use and costs'!$DS$12:$DS$25,0)),0)*_xlfn.IFNA(INDEX(DY$10:DY$23,MATCH($CZ479,$DX$10:$DX$23,0)),0)</f>
        <v>82.971428571428561</v>
      </c>
      <c r="DP479" s="921">
        <f>IF(dd_PartSA_2_lines = "Yes",0,_xlfn.IFNA(INDEX('Resource use and costs'!$DZ$12:$DZ$25,MATCH(DA479,'Resource use and costs'!$DS$12:$DS$25,0)),0)*_xlfn.IFNA(INDEX(EA$10:EA$23,MATCH($DA479,$DX$10:$DX$23,0)),0))</f>
        <v>461.1445457142857</v>
      </c>
      <c r="DQ479" s="921">
        <f>IF(dd_PartSA_2_lines = "Yes",0,_xlfn.IFNA(INDEX('Resource use and costs'!$EA$12:$EA$25,MATCH(DB479,'Resource use and costs'!$DS$12:$DS$25,0)),0)*_xlfn.IFNA(INDEX(EC$10:EC$23,MATCH($DB479,$DX$10:$DX$23,0)),0))</f>
        <v>230.68099999999998</v>
      </c>
      <c r="DR479" s="921">
        <f t="shared" si="265"/>
        <v>1366.5469742857142</v>
      </c>
      <c r="DS479" s="1004">
        <f ca="1">SUMIFS('Safety parameters'!$DM$6:$DM$18,'Safety parameters'!$DK$6:$DK$18,CZ479,'Safety parameters'!$DL$6:$DL$18,1)+IF(dd_PartSA_2_lines = "Yes",0,SUMIFS('Safety parameters'!$DM$6:$DM$18,'Safety parameters'!$DK$6:$DK$18,DA479,'Safety parameters'!$DL$6:$DL$18,2)+SUMIFS('Safety parameters'!$DM$6:$DM$18,'Safety parameters'!$DK$6:$DK$18,DB479,'Safety parameters'!$DL$6:$DL$18,2))</f>
        <v>2377.8779733688434</v>
      </c>
      <c r="DT479" s="910">
        <f ca="1">SUMIFS('Safety parameters'!$DO$6:$DO$18,'Safety parameters'!$DK$6:$DK$18,CZ479,'Safety parameters'!$DL$6:$DL$18,1)+IF(dd_PartSA_2_lines = "Yes",0,SUMIFS('Safety parameters'!$DO$6:$DO$18,'Safety parameters'!$DK$6:$DK$18,DA479,'Safety parameters'!$DL$6:$DL$18,2)+SUMIFS('Safety parameters'!$DO$6:$DO$18,'Safety parameters'!$DK$6:$DK$18,DB479,'Safety parameters'!$DL$6:$DL$18,2))</f>
        <v>-2.1764250363717368E-2</v>
      </c>
    </row>
    <row r="480" spans="89:124" ht="15" x14ac:dyDescent="0.2">
      <c r="CK480" s="61" t="s">
        <v>31</v>
      </c>
      <c r="CL480" s="61">
        <v>4</v>
      </c>
      <c r="CM480" s="61" t="str">
        <v>lenvatinib_plus_everolimus</v>
      </c>
      <c r="CN480" s="17">
        <v>9</v>
      </c>
      <c r="CO480" s="61" t="str" cm="1">
        <f t="array" ref="CO480">INDEX(List_comparators,CP479+1)</f>
        <v>nivolumab_plus_ipilimumab</v>
      </c>
      <c r="CP480" s="17">
        <v>2</v>
      </c>
      <c r="CQ480" s="601">
        <f t="shared" ca="1" si="267"/>
        <v>0</v>
      </c>
      <c r="CR480" s="601">
        <f t="shared" ca="1" si="268"/>
        <v>0</v>
      </c>
      <c r="CS480" s="601">
        <f t="shared" ca="1" si="269"/>
        <v>0</v>
      </c>
      <c r="CT480" s="669">
        <f t="shared" ca="1" si="270"/>
        <v>0</v>
      </c>
      <c r="CU480" s="1123">
        <f>MATCH(CZ487,'Resource use and costs'!$BA$11:$BA$53,0)</f>
        <v>43</v>
      </c>
      <c r="CV480" s="1223"/>
      <c r="CW480" s="1241">
        <f t="shared" si="260"/>
        <v>1</v>
      </c>
      <c r="CX480" s="899" t="s">
        <v>788</v>
      </c>
      <c r="CY480" s="899" t="s">
        <v>585</v>
      </c>
      <c r="CZ480" s="899" t="s">
        <v>119</v>
      </c>
      <c r="DA480" s="899" t="s">
        <v>118</v>
      </c>
      <c r="DB480" s="899" t="s">
        <v>765</v>
      </c>
      <c r="DC480" s="899" cm="1">
        <f t="array" aca="1" ref="DC480" ca="1">_xlfn.IFNA(OFFSET($I$49,MATCH(CY480,$I$50:$I$63,0),MATCH(CZ480,TRANSPOSE($J$49:$W$49),0)),0)</f>
        <v>0</v>
      </c>
      <c r="DD480" s="899" cm="1">
        <f t="array" aca="1" ref="DD480" ca="1">_xlfn.IFNA(OFFSET($Y$49,MATCH($CZ480,$Y$50:$Y$63,0),MATCH($DA480,TRANSPOSE($Z$49:$AM$49),0)),0)</f>
        <v>0</v>
      </c>
      <c r="DE480" s="899" cm="1">
        <f t="array" aca="1" ref="DE480" ca="1">_xlfn.IFNA(OFFSET($AO$49,MATCH($DA480,$AO$50:$AO$63,0),MATCH($DB480,TRANSPOSE($AP$49:$BC$49),0)),0)</f>
        <v>0.43140000000000001</v>
      </c>
      <c r="DF480" s="881">
        <f t="shared" ca="1" si="262"/>
        <v>0</v>
      </c>
      <c r="DG480" s="910">
        <f t="shared" ca="1" si="259"/>
        <v>1</v>
      </c>
      <c r="DH480" s="881">
        <f t="shared" ca="1" si="263"/>
        <v>0</v>
      </c>
      <c r="DI480" s="1460">
        <f t="shared" ca="1" si="261"/>
        <v>0</v>
      </c>
      <c r="DJ480" s="909">
        <f>_xlfn.IFNA(INDEX('Resource use and costs'!$CQ$11:$CQ$53,MATCH($CZ480,'Resource use and costs'!$BA$11:$BA$53,0)),0)*_xlfn.IFNA(INDEX(DY$10:DY$23,MATCH($CZ480,$DX$10:$DX$23,0)),0)</f>
        <v>944.50399999999979</v>
      </c>
      <c r="DK480" s="909">
        <f>IF(dd_PartSA_2_lines = "Yes",0,_xlfn.IFNA(INDEX('Resource use and costs'!$CR$11:$CR$53,MATCH(DA480,'Resource use and costs'!$BA$11:$BA$53,0)),0)*_xlfn.IFNA(INDEX(EA$10:EA$23,MATCH($DA480,$DX$10:$DX$23,0)),0))</f>
        <v>50308.075122000002</v>
      </c>
      <c r="DL480" s="909">
        <f>IF(dd_PartSA_2_lines = "Yes",0,_xlfn.IFNA(INDEX('Resource use and costs'!$CS$11:$CS$53,MATCH(DB480,'Resource use and costs'!$BA$11:$BA$53,0)),0)*_xlfn.IFNA(INDEX(EC$10:EC$23,MATCH($DB480,$DX$10:$DX$23,0)),0))</f>
        <v>0</v>
      </c>
      <c r="DM480" s="909">
        <f t="shared" si="264"/>
        <v>51252.579122000003</v>
      </c>
      <c r="DN480" s="909">
        <f>SUM(_xlfn.IFNA(INDEX('Resource use and costs'!$DU$12:$DU$25,MATCH(CZ480,'Resource use and costs'!$DS$12:$DS$25,0)),0),_xlfn.IFNA(INDEX('Resource use and costs'!$DU$12:$DU$25,MATCH(DA480,'Resource use and costs'!$DS$12:$DS$25,0)),0),_xlfn.IFNA(INDEX('Resource use and costs'!$DU$12:$DU$25,MATCH(DB480,'Resource use and costs'!$DS$12:$DS$25,0)),0))</f>
        <v>394.5</v>
      </c>
      <c r="DO480" s="921">
        <f>_xlfn.IFNA(INDEX('Resource use and costs'!$DY$12:$DY$25,MATCH(CZ480,'Resource use and costs'!$DS$12:$DS$25,0)),0)*_xlfn.IFNA(INDEX(DY$10:DY$23,MATCH($CZ480,$DX$10:$DX$23,0)),0)</f>
        <v>82.971428571428561</v>
      </c>
      <c r="DP480" s="921">
        <f>IF(dd_PartSA_2_lines = "Yes",0,_xlfn.IFNA(INDEX('Resource use and costs'!$DZ$12:$DZ$25,MATCH(DA480,'Resource use and costs'!$DS$12:$DS$25,0)),0)*_xlfn.IFNA(INDEX(EA$10:EA$23,MATCH($DA480,$DX$10:$DX$23,0)),0))</f>
        <v>461.1445457142857</v>
      </c>
      <c r="DQ480" s="921">
        <f>IF(dd_PartSA_2_lines = "Yes",0,_xlfn.IFNA(INDEX('Resource use and costs'!$EA$12:$EA$25,MATCH(DB480,'Resource use and costs'!$DS$12:$DS$25,0)),0)*_xlfn.IFNA(INDEX(EC$10:EC$23,MATCH($DB480,$DX$10:$DX$23,0)),0))</f>
        <v>0</v>
      </c>
      <c r="DR480" s="921">
        <f t="shared" si="265"/>
        <v>938.61597428571417</v>
      </c>
      <c r="DS480" s="1004">
        <f ca="1">SUMIFS('Safety parameters'!$DM$6:$DM$18,'Safety parameters'!$DK$6:$DK$18,CZ480,'Safety parameters'!$DL$6:$DL$18,1)+IF(dd_PartSA_2_lines = "Yes",0,SUMIFS('Safety parameters'!$DM$6:$DM$18,'Safety parameters'!$DK$6:$DK$18,DA480,'Safety parameters'!$DL$6:$DL$18,2)+SUMIFS('Safety parameters'!$DM$6:$DM$18,'Safety parameters'!$DK$6:$DK$18,DB480,'Safety parameters'!$DL$6:$DL$18,2))</f>
        <v>743.64929980338343</v>
      </c>
      <c r="DT480" s="910">
        <f ca="1">SUMIFS('Safety parameters'!$DO$6:$DO$18,'Safety parameters'!$DK$6:$DK$18,CZ480,'Safety parameters'!$DL$6:$DL$18,1)+IF(dd_PartSA_2_lines = "Yes",0,SUMIFS('Safety parameters'!$DO$6:$DO$18,'Safety parameters'!$DK$6:$DK$18,DA480,'Safety parameters'!$DL$6:$DL$18,2)+SUMIFS('Safety parameters'!$DO$6:$DO$18,'Safety parameters'!$DK$6:$DK$18,DB480,'Safety parameters'!$DL$6:$DL$18,2))</f>
        <v>-7.0223263562359372E-3</v>
      </c>
    </row>
    <row r="481" spans="89:124" ht="15" x14ac:dyDescent="0.2">
      <c r="CK481" s="61" t="s">
        <v>31</v>
      </c>
      <c r="CL481" s="61">
        <v>4</v>
      </c>
      <c r="CM481" s="61" t="str">
        <v>everolimus</v>
      </c>
      <c r="CN481" s="17">
        <v>10</v>
      </c>
      <c r="CO481" s="61" t="str" cm="1">
        <f t="array" ref="CO481">INDEX(List_comparators,CP480+1)</f>
        <v>nivolumab_plus_ipilimumab</v>
      </c>
      <c r="CP481" s="17">
        <v>2</v>
      </c>
      <c r="CQ481" s="601">
        <f t="shared" ca="1" si="267"/>
        <v>0</v>
      </c>
      <c r="CR481" s="601">
        <f t="shared" ca="1" si="268"/>
        <v>0</v>
      </c>
      <c r="CS481" s="601">
        <f t="shared" ca="1" si="269"/>
        <v>0</v>
      </c>
      <c r="CT481" s="669">
        <f t="shared" ca="1" si="270"/>
        <v>0</v>
      </c>
      <c r="CU481" s="1123">
        <f>MATCH(CZ488,'Resource use and costs'!$BA$11:$BA$53,0)</f>
        <v>43</v>
      </c>
      <c r="CV481" s="1223"/>
      <c r="CW481" s="1241">
        <f t="shared" si="260"/>
        <v>1</v>
      </c>
      <c r="CX481" s="899" t="s">
        <v>788</v>
      </c>
      <c r="CY481" s="899" t="s">
        <v>585</v>
      </c>
      <c r="CZ481" s="899" t="s">
        <v>119</v>
      </c>
      <c r="DA481" s="899" t="s">
        <v>579</v>
      </c>
      <c r="DB481" s="899" t="s">
        <v>327</v>
      </c>
      <c r="DC481" s="899" cm="1">
        <f t="array" aca="1" ref="DC481" ca="1">_xlfn.IFNA(OFFSET($I$49,MATCH(CY481,$I$50:$I$63,0),MATCH(CZ481,TRANSPOSE($J$49:$W$49),0)),0)</f>
        <v>0</v>
      </c>
      <c r="DD481" s="899" cm="1">
        <f t="array" aca="1" ref="DD481" ca="1">_xlfn.IFNA(OFFSET($Y$49,MATCH($CZ481,$Y$50:$Y$63,0),MATCH($DA481,TRANSPOSE($Z$49:$AM$49),0)),0)</f>
        <v>0</v>
      </c>
      <c r="DE481" s="899" cm="1">
        <f t="array" aca="1" ref="DE481" ca="1">_xlfn.IFNA(OFFSET($AO$49,MATCH($DA481,$AO$50:$AO$63,0),MATCH($DB481,TRANSPOSE($AP$49:$BC$49),0)),0)</f>
        <v>0.56859999999999999</v>
      </c>
      <c r="DF481" s="881">
        <f t="shared" ca="1" si="262"/>
        <v>0</v>
      </c>
      <c r="DG481" s="910">
        <f t="shared" ca="1" si="259"/>
        <v>1</v>
      </c>
      <c r="DH481" s="881">
        <f t="shared" ca="1" si="263"/>
        <v>0</v>
      </c>
      <c r="DI481" s="1460">
        <f t="shared" ca="1" si="261"/>
        <v>0</v>
      </c>
      <c r="DJ481" s="909">
        <f>_xlfn.IFNA(INDEX('Resource use and costs'!$CQ$11:$CQ$53,MATCH($CZ481,'Resource use and costs'!$BA$11:$BA$53,0)),0)*_xlfn.IFNA(INDEX(DY$10:DY$23,MATCH($CZ481,$DX$10:$DX$23,0)),0)</f>
        <v>944.50399999999979</v>
      </c>
      <c r="DK481" s="909">
        <f>IF(dd_PartSA_2_lines = "Yes",0,_xlfn.IFNA(INDEX('Resource use and costs'!$CR$11:$CR$53,MATCH(DA481,'Resource use and costs'!$BA$11:$BA$53,0)),0)*_xlfn.IFNA(INDEX(EA$10:EA$23,MATCH($DA481,$DX$10:$DX$23,0)),0))</f>
        <v>26054.50921</v>
      </c>
      <c r="DL481" s="909">
        <f>IF(dd_PartSA_2_lines = "Yes",0,_xlfn.IFNA(INDEX('Resource use and costs'!$CS$11:$CS$53,MATCH(DB481,'Resource use and costs'!$BA$11:$BA$53,0)),0)*_xlfn.IFNA(INDEX(EC$10:EC$23,MATCH($DB481,$DX$10:$DX$23,0)),0))</f>
        <v>18438.751749999999</v>
      </c>
      <c r="DM481" s="909">
        <f t="shared" si="264"/>
        <v>45437.76496</v>
      </c>
      <c r="DN481" s="909">
        <f>SUM(_xlfn.IFNA(INDEX('Resource use and costs'!$DU$12:$DU$25,MATCH(CZ481,'Resource use and costs'!$DS$12:$DS$25,0)),0),_xlfn.IFNA(INDEX('Resource use and costs'!$DU$12:$DU$25,MATCH(DA481,'Resource use and costs'!$DS$12:$DS$25,0)),0),_xlfn.IFNA(INDEX('Resource use and costs'!$DU$12:$DU$25,MATCH(DB481,'Resource use and costs'!$DS$12:$DS$25,0)),0))</f>
        <v>394.5</v>
      </c>
      <c r="DO481" s="921">
        <f>_xlfn.IFNA(INDEX('Resource use and costs'!$DY$12:$DY$25,MATCH(CZ481,'Resource use and costs'!$DS$12:$DS$25,0)),0)*_xlfn.IFNA(INDEX(DY$10:DY$23,MATCH($CZ481,$DX$10:$DX$23,0)),0)</f>
        <v>82.971428571428561</v>
      </c>
      <c r="DP481" s="921">
        <f>IF(dd_PartSA_2_lines = "Yes",0,_xlfn.IFNA(INDEX('Resource use and costs'!$DZ$12:$DZ$25,MATCH(DA481,'Resource use and costs'!$DS$12:$DS$25,0)),0)*_xlfn.IFNA(INDEX(EA$10:EA$23,MATCH($DA481,$DX$10:$DX$23,0)),0))</f>
        <v>4108.3597166</v>
      </c>
      <c r="DQ481" s="921">
        <f>IF(dd_PartSA_2_lines = "Yes",0,_xlfn.IFNA(INDEX('Resource use and costs'!$EA$12:$EA$25,MATCH(DB481,'Resource use and costs'!$DS$12:$DS$25,0)),0)*_xlfn.IFNA(INDEX(EC$10:EC$23,MATCH($DB481,$DX$10:$DX$23,0)),0))</f>
        <v>230.68099999999998</v>
      </c>
      <c r="DR481" s="921">
        <f t="shared" si="265"/>
        <v>4816.5121451714285</v>
      </c>
      <c r="DS481" s="1004">
        <f ca="1">SUMIFS('Safety parameters'!$DM$6:$DM$18,'Safety parameters'!$DK$6:$DK$18,CZ481,'Safety parameters'!$DL$6:$DL$18,1)+IF(dd_PartSA_2_lines = "Yes",0,SUMIFS('Safety parameters'!$DM$6:$DM$18,'Safety parameters'!$DK$6:$DK$18,DA481,'Safety parameters'!$DL$6:$DL$18,2)+SUMIFS('Safety parameters'!$DM$6:$DM$18,'Safety parameters'!$DK$6:$DK$18,DB481,'Safety parameters'!$DL$6:$DL$18,2))</f>
        <v>1795.3624225558742</v>
      </c>
      <c r="DT481" s="910">
        <f ca="1">SUMIFS('Safety parameters'!$DO$6:$DO$18,'Safety parameters'!$DK$6:$DK$18,CZ481,'Safety parameters'!$DL$6:$DL$18,1)+IF(dd_PartSA_2_lines = "Yes",0,SUMIFS('Safety parameters'!$DO$6:$DO$18,'Safety parameters'!$DK$6:$DK$18,DA481,'Safety parameters'!$DL$6:$DL$18,2)+SUMIFS('Safety parameters'!$DO$6:$DO$18,'Safety parameters'!$DK$6:$DK$18,DB481,'Safety parameters'!$DL$6:$DL$18,2))</f>
        <v>-1.6339008205166216E-2</v>
      </c>
    </row>
    <row r="482" spans="89:124" ht="15" x14ac:dyDescent="0.2">
      <c r="CK482" s="61" t="s">
        <v>31</v>
      </c>
      <c r="CL482" s="61">
        <v>4</v>
      </c>
      <c r="CM482" s="61" t="str">
        <v>axitinib</v>
      </c>
      <c r="CN482" s="17">
        <v>11</v>
      </c>
      <c r="CO482" s="61" t="str" cm="1">
        <f t="array" ref="CO482">INDEX(List_comparators,CP481+1)</f>
        <v>nivolumab_plus_ipilimumab</v>
      </c>
      <c r="CP482" s="17">
        <v>2</v>
      </c>
      <c r="CQ482" s="601">
        <f t="shared" ca="1" si="267"/>
        <v>0</v>
      </c>
      <c r="CR482" s="601">
        <f t="shared" ca="1" si="268"/>
        <v>0</v>
      </c>
      <c r="CS482" s="601">
        <f t="shared" ca="1" si="269"/>
        <v>0</v>
      </c>
      <c r="CT482" s="669">
        <f t="shared" ca="1" si="270"/>
        <v>0</v>
      </c>
      <c r="CU482" s="1123">
        <f>MATCH(CZ489,'Resource use and costs'!$BA$11:$BA$53,0)</f>
        <v>1</v>
      </c>
      <c r="CV482" s="1223"/>
      <c r="CW482" s="1241">
        <f t="shared" si="260"/>
        <v>1</v>
      </c>
      <c r="CX482" s="899" t="s">
        <v>788</v>
      </c>
      <c r="CY482" s="899" t="s">
        <v>585</v>
      </c>
      <c r="CZ482" s="899" t="s">
        <v>119</v>
      </c>
      <c r="DA482" s="899" t="s">
        <v>579</v>
      </c>
      <c r="DB482" s="899" t="s">
        <v>765</v>
      </c>
      <c r="DC482" s="899" cm="1">
        <f t="array" aca="1" ref="DC482" ca="1">_xlfn.IFNA(OFFSET($I$49,MATCH(CY482,$I$50:$I$63,0),MATCH(CZ482,TRANSPOSE($J$49:$W$49),0)),0)</f>
        <v>0</v>
      </c>
      <c r="DD482" s="899" cm="1">
        <f t="array" aca="1" ref="DD482" ca="1">_xlfn.IFNA(OFFSET($Y$49,MATCH($CZ482,$Y$50:$Y$63,0),MATCH($DA482,TRANSPOSE($Z$49:$AM$49),0)),0)</f>
        <v>0</v>
      </c>
      <c r="DE482" s="899" cm="1">
        <f t="array" aca="1" ref="DE482" ca="1">_xlfn.IFNA(OFFSET($AO$49,MATCH($DA482,$AO$50:$AO$63,0),MATCH($DB482,TRANSPOSE($AP$49:$BC$49),0)),0)</f>
        <v>0.43140000000000001</v>
      </c>
      <c r="DF482" s="881">
        <f t="shared" ca="1" si="262"/>
        <v>0</v>
      </c>
      <c r="DG482" s="910">
        <f t="shared" ca="1" si="259"/>
        <v>1</v>
      </c>
      <c r="DH482" s="881">
        <f t="shared" ca="1" si="263"/>
        <v>0</v>
      </c>
      <c r="DI482" s="1460">
        <f t="shared" ca="1" si="261"/>
        <v>0</v>
      </c>
      <c r="DJ482" s="909">
        <f>_xlfn.IFNA(INDEX('Resource use and costs'!$CQ$11:$CQ$53,MATCH($CZ482,'Resource use and costs'!$BA$11:$BA$53,0)),0)*_xlfn.IFNA(INDEX(DY$10:DY$23,MATCH($CZ482,$DX$10:$DX$23,0)),0)</f>
        <v>944.50399999999979</v>
      </c>
      <c r="DK482" s="909">
        <f>IF(dd_PartSA_2_lines = "Yes",0,_xlfn.IFNA(INDEX('Resource use and costs'!$CR$11:$CR$53,MATCH(DA482,'Resource use and costs'!$BA$11:$BA$53,0)),0)*_xlfn.IFNA(INDEX(EA$10:EA$23,MATCH($DA482,$DX$10:$DX$23,0)),0))</f>
        <v>26054.50921</v>
      </c>
      <c r="DL482" s="909">
        <f>IF(dd_PartSA_2_lines = "Yes",0,_xlfn.IFNA(INDEX('Resource use and costs'!$CS$11:$CS$53,MATCH(DB482,'Resource use and costs'!$BA$11:$BA$53,0)),0)*_xlfn.IFNA(INDEX(EC$10:EC$23,MATCH($DB482,$DX$10:$DX$23,0)),0))</f>
        <v>0</v>
      </c>
      <c r="DM482" s="909">
        <f t="shared" si="264"/>
        <v>26999.013210000001</v>
      </c>
      <c r="DN482" s="909">
        <f>SUM(_xlfn.IFNA(INDEX('Resource use and costs'!$DU$12:$DU$25,MATCH(CZ482,'Resource use and costs'!$DS$12:$DS$25,0)),0),_xlfn.IFNA(INDEX('Resource use and costs'!$DU$12:$DU$25,MATCH(DA482,'Resource use and costs'!$DS$12:$DS$25,0)),0),_xlfn.IFNA(INDEX('Resource use and costs'!$DU$12:$DU$25,MATCH(DB482,'Resource use and costs'!$DS$12:$DS$25,0)),0))</f>
        <v>197.25</v>
      </c>
      <c r="DO482" s="921">
        <f>_xlfn.IFNA(INDEX('Resource use and costs'!$DY$12:$DY$25,MATCH(CZ482,'Resource use and costs'!$DS$12:$DS$25,0)),0)*_xlfn.IFNA(INDEX(DY$10:DY$23,MATCH($CZ482,$DX$10:$DX$23,0)),0)</f>
        <v>82.971428571428561</v>
      </c>
      <c r="DP482" s="921">
        <f>IF(dd_PartSA_2_lines = "Yes",0,_xlfn.IFNA(INDEX('Resource use and costs'!$DZ$12:$DZ$25,MATCH(DA482,'Resource use and costs'!$DS$12:$DS$25,0)),0)*_xlfn.IFNA(INDEX(EA$10:EA$23,MATCH($DA482,$DX$10:$DX$23,0)),0))</f>
        <v>4108.3597166</v>
      </c>
      <c r="DQ482" s="921">
        <f>IF(dd_PartSA_2_lines = "Yes",0,_xlfn.IFNA(INDEX('Resource use and costs'!$EA$12:$EA$25,MATCH(DB482,'Resource use and costs'!$DS$12:$DS$25,0)),0)*_xlfn.IFNA(INDEX(EC$10:EC$23,MATCH($DB482,$DX$10:$DX$23,0)),0))</f>
        <v>0</v>
      </c>
      <c r="DR482" s="921">
        <f t="shared" si="265"/>
        <v>4388.5811451714289</v>
      </c>
      <c r="DS482" s="1004">
        <f ca="1">SUMIFS('Safety parameters'!$DM$6:$DM$18,'Safety parameters'!$DK$6:$DK$18,CZ482,'Safety parameters'!$DL$6:$DL$18,1)+IF(dd_PartSA_2_lines = "Yes",0,SUMIFS('Safety parameters'!$DM$6:$DM$18,'Safety parameters'!$DK$6:$DK$18,DA482,'Safety parameters'!$DL$6:$DL$18,2)+SUMIFS('Safety parameters'!$DM$6:$DM$18,'Safety parameters'!$DK$6:$DK$18,DB482,'Safety parameters'!$DL$6:$DL$18,2))</f>
        <v>161.1337489904144</v>
      </c>
      <c r="DT482" s="910">
        <f ca="1">SUMIFS('Safety parameters'!$DO$6:$DO$18,'Safety parameters'!$DK$6:$DK$18,CZ482,'Safety parameters'!$DL$6:$DL$18,1)+IF(dd_PartSA_2_lines = "Yes",0,SUMIFS('Safety parameters'!$DO$6:$DO$18,'Safety parameters'!$DK$6:$DK$18,DA482,'Safety parameters'!$DL$6:$DL$18,2)+SUMIFS('Safety parameters'!$DO$6:$DO$18,'Safety parameters'!$DK$6:$DK$18,DB482,'Safety parameters'!$DL$6:$DL$18,2))</f>
        <v>-1.5970841976847864E-3</v>
      </c>
    </row>
    <row r="483" spans="89:124" ht="15" x14ac:dyDescent="0.2">
      <c r="CK483" s="61" t="s">
        <v>31</v>
      </c>
      <c r="CL483" s="61">
        <v>4</v>
      </c>
      <c r="CM483" s="61" t="str">
        <v>sorafenib</v>
      </c>
      <c r="CN483" s="17">
        <v>12</v>
      </c>
      <c r="CO483" s="61" t="str" cm="1">
        <f t="array" ref="CO483">INDEX(List_comparators,CP482+1)</f>
        <v>nivolumab_plus_ipilimumab</v>
      </c>
      <c r="CP483" s="17">
        <v>2</v>
      </c>
      <c r="CQ483" s="601">
        <f t="shared" ca="1" si="267"/>
        <v>0</v>
      </c>
      <c r="CR483" s="601">
        <f t="shared" ca="1" si="268"/>
        <v>0</v>
      </c>
      <c r="CS483" s="601">
        <f t="shared" ca="1" si="269"/>
        <v>0</v>
      </c>
      <c r="CT483" s="669">
        <f t="shared" ca="1" si="270"/>
        <v>0</v>
      </c>
      <c r="CU483" s="1123">
        <f>MATCH(CZ490,'Resource use and costs'!$BA$11:$BA$53,0)</f>
        <v>1</v>
      </c>
      <c r="CV483" s="1223"/>
      <c r="CW483" s="1241">
        <f t="shared" si="260"/>
        <v>1</v>
      </c>
      <c r="CX483" s="899" t="s">
        <v>788</v>
      </c>
      <c r="CY483" s="899" t="s">
        <v>585</v>
      </c>
      <c r="CZ483" s="899" t="s">
        <v>333</v>
      </c>
      <c r="DA483" s="899" t="s">
        <v>327</v>
      </c>
      <c r="DB483" s="899" t="s">
        <v>765</v>
      </c>
      <c r="DC483" s="899" cm="1">
        <f t="array" aca="1" ref="DC483" ca="1">_xlfn.IFNA(OFFSET($I$49,MATCH(CY483,$I$50:$I$63,0),MATCH(CZ483,TRANSPOSE($J$49:$W$49),0)),0)</f>
        <v>3.0800000000000004E-2</v>
      </c>
      <c r="DD483" s="899" cm="1">
        <f t="array" aca="1" ref="DD483" ca="1">_xlfn.IFNA(OFFSET($Y$49,MATCH($CZ483,$Y$50:$Y$63,0),MATCH($DA483,TRANSPOSE($Z$49:$AM$49),0)),0)</f>
        <v>0</v>
      </c>
      <c r="DE483" s="899">
        <v>1</v>
      </c>
      <c r="DF483" s="881">
        <f t="shared" ca="1" si="262"/>
        <v>0</v>
      </c>
      <c r="DG483" s="910">
        <f t="shared" ca="1" si="259"/>
        <v>1</v>
      </c>
      <c r="DH483" s="881">
        <f t="shared" ca="1" si="263"/>
        <v>0</v>
      </c>
      <c r="DI483" s="1460">
        <f t="shared" ca="1" si="261"/>
        <v>0</v>
      </c>
      <c r="DJ483" s="909">
        <f>_xlfn.IFNA(INDEX('Resource use and costs'!$CQ$11:$CQ$53,MATCH($CZ483,'Resource use and costs'!$BA$11:$BA$53,0)),0)*_xlfn.IFNA(INDEX(DY$10:DY$23,MATCH($CZ483,$DX$10:$DX$23,0)),0)</f>
        <v>54336.641519999976</v>
      </c>
      <c r="DK483" s="909">
        <f>IF(dd_PartSA_2_lines = "Yes",0,_xlfn.IFNA(INDEX('Resource use and costs'!$CR$11:$CR$53,MATCH(DA483,'Resource use and costs'!$BA$11:$BA$53,0)),0)*_xlfn.IFNA(INDEX(EA$10:EA$23,MATCH($DA483,$DX$10:$DX$23,0)),0))</f>
        <v>21421.066008214286</v>
      </c>
      <c r="DL483" s="909">
        <f>IF(dd_PartSA_2_lines = "Yes",0,_xlfn.IFNA(INDEX('Resource use and costs'!$CS$11:$CS$53,MATCH(DB483,'Resource use and costs'!$BA$11:$BA$53,0)),0)*_xlfn.IFNA(INDEX(EC$10:EC$23,MATCH($DB483,$DX$10:$DX$23,0)),0))</f>
        <v>0</v>
      </c>
      <c r="DM483" s="909">
        <f t="shared" si="264"/>
        <v>75757.707528214261</v>
      </c>
      <c r="DN483" s="909">
        <f>SUM(_xlfn.IFNA(INDEX('Resource use and costs'!$DU$12:$DU$25,MATCH(CZ483,'Resource use and costs'!$DS$12:$DS$25,0)),0),_xlfn.IFNA(INDEX('Resource use and costs'!$DU$12:$DU$25,MATCH(DA483,'Resource use and costs'!$DS$12:$DS$25,0)),0),_xlfn.IFNA(INDEX('Resource use and costs'!$DU$12:$DU$25,MATCH(DB483,'Resource use and costs'!$DS$12:$DS$25,0)),0))</f>
        <v>394.5</v>
      </c>
      <c r="DO483" s="921">
        <f>_xlfn.IFNA(INDEX('Resource use and costs'!$DY$12:$DY$25,MATCH(CZ483,'Resource use and costs'!$DS$12:$DS$25,0)),0)*_xlfn.IFNA(INDEX(DY$10:DY$23,MATCH($CZ483,$DX$10:$DX$23,0)),0)</f>
        <v>810.54285714285697</v>
      </c>
      <c r="DP483" s="921">
        <f>IF(dd_PartSA_2_lines = "Yes",0,_xlfn.IFNA(INDEX('Resource use and costs'!$DZ$12:$DZ$25,MATCH(DA483,'Resource use and costs'!$DS$12:$DS$25,0)),0)*_xlfn.IFNA(INDEX(EA$10:EA$23,MATCH($DA483,$DX$10:$DX$23,0)),0))</f>
        <v>267.99172714285714</v>
      </c>
      <c r="DQ483" s="921">
        <f>IF(dd_PartSA_2_lines = "Yes",0,_xlfn.IFNA(INDEX('Resource use and costs'!$EA$12:$EA$25,MATCH(DB483,'Resource use and costs'!$DS$12:$DS$25,0)),0)*_xlfn.IFNA(INDEX(EC$10:EC$23,MATCH($DB483,$DX$10:$DX$23,0)),0))</f>
        <v>0</v>
      </c>
      <c r="DR483" s="921">
        <f t="shared" si="265"/>
        <v>1473.0345842857141</v>
      </c>
      <c r="DS483" s="1004">
        <f ca="1">SUMIFS('Safety parameters'!$DM$6:$DM$18,'Safety parameters'!$DK$6:$DK$18,CZ483,'Safety parameters'!$DL$6:$DL$18,1)+IF(dd_PartSA_2_lines = "Yes",0,SUMIFS('Safety parameters'!$DM$6:$DM$18,'Safety parameters'!$DK$6:$DK$18,DA483,'Safety parameters'!$DL$6:$DL$18,2)+SUMIFS('Safety parameters'!$DM$6:$DM$18,'Safety parameters'!$DK$6:$DK$18,DB483,'Safety parameters'!$DL$6:$DL$18,2))</f>
        <v>1634.2286735654598</v>
      </c>
      <c r="DT483" s="910">
        <f ca="1">SUMIFS('Safety parameters'!$DO$6:$DO$18,'Safety parameters'!$DK$6:$DK$18,CZ483,'Safety parameters'!$DL$6:$DL$18,1)+IF(dd_PartSA_2_lines = "Yes",0,SUMIFS('Safety parameters'!$DO$6:$DO$18,'Safety parameters'!$DK$6:$DK$18,DA483,'Safety parameters'!$DL$6:$DL$18,2)+SUMIFS('Safety parameters'!$DO$6:$DO$18,'Safety parameters'!$DK$6:$DK$18,DB483,'Safety parameters'!$DL$6:$DL$18,2))</f>
        <v>-1.4741924007481429E-2</v>
      </c>
    </row>
    <row r="484" spans="89:124" ht="15.75" thickBot="1" x14ac:dyDescent="0.25">
      <c r="CK484" s="506" t="s">
        <v>31</v>
      </c>
      <c r="CL484" s="506">
        <v>4</v>
      </c>
      <c r="CM484" s="506" t="str">
        <v>placebo_BSC</v>
      </c>
      <c r="CN484" s="19">
        <v>999</v>
      </c>
      <c r="CO484" s="506" t="str" cm="1">
        <f t="array" ref="CO484">INDEX(List_comparators,CP471+1)</f>
        <v>nivolumab_plus_ipilimumab</v>
      </c>
      <c r="CP484" s="19">
        <v>2</v>
      </c>
      <c r="CQ484" s="602">
        <f t="shared" ca="1" si="267"/>
        <v>0</v>
      </c>
      <c r="CR484" s="602">
        <f t="shared" ca="1" si="268"/>
        <v>0</v>
      </c>
      <c r="CS484" s="602">
        <f t="shared" ca="1" si="269"/>
        <v>0</v>
      </c>
      <c r="CT484" s="748">
        <f t="shared" ca="1" si="270"/>
        <v>0</v>
      </c>
      <c r="CU484" s="1123">
        <f>MATCH(CZ491,'Resource use and costs'!$BA$11:$BA$53,0)</f>
        <v>1</v>
      </c>
      <c r="CV484" s="1223"/>
      <c r="CW484" s="1241">
        <f t="shared" si="260"/>
        <v>1</v>
      </c>
      <c r="CX484" s="899" t="s">
        <v>788</v>
      </c>
      <c r="CY484" s="899" t="s">
        <v>585</v>
      </c>
      <c r="CZ484" s="899" t="s">
        <v>333</v>
      </c>
      <c r="DA484" s="899" t="s">
        <v>765</v>
      </c>
      <c r="DB484" s="899"/>
      <c r="DC484" s="899" cm="1">
        <f t="array" aca="1" ref="DC484" ca="1">_xlfn.IFNA(OFFSET($I$49,MATCH(CY484,$I$50:$I$63,0),MATCH(CZ484,TRANSPOSE($J$49:$W$49),0)),0)</f>
        <v>3.0800000000000004E-2</v>
      </c>
      <c r="DD484" s="899" cm="1">
        <f t="array" aca="1" ref="DD484" ca="1">_xlfn.IFNA(OFFSET($Y$49,MATCH($CZ484,$Y$50:$Y$63,0),MATCH($DA484,TRANSPOSE($Z$49:$AM$49),0)),0)</f>
        <v>0.34300000000000003</v>
      </c>
      <c r="DE484" s="899" cm="1">
        <f t="array" aca="1" ref="DE484" ca="1">_xlfn.IFNA(OFFSET($AO$49,MATCH($DA484,$AO$50:$AO$63,0),MATCH($DB484,TRANSPOSE($AP$49:$BC$49),0)),0)</f>
        <v>0</v>
      </c>
      <c r="DF484" s="881">
        <f t="shared" ca="1" si="262"/>
        <v>1.0564400000000002E-2</v>
      </c>
      <c r="DG484" s="910">
        <f t="shared" ca="1" si="259"/>
        <v>1</v>
      </c>
      <c r="DH484" s="881">
        <f t="shared" ca="1" si="263"/>
        <v>1.0564400000000002E-2</v>
      </c>
      <c r="DI484" s="1460">
        <f t="shared" ca="1" si="261"/>
        <v>2.4720696000000002</v>
      </c>
      <c r="DJ484" s="909">
        <f>_xlfn.IFNA(INDEX('Resource use and costs'!$CQ$11:$CQ$53,MATCH($CZ484,'Resource use and costs'!$BA$11:$BA$53,0)),0)*_xlfn.IFNA(INDEX(DY$10:DY$23,MATCH($CZ484,$DX$10:$DX$23,0)),0)</f>
        <v>54336.641519999976</v>
      </c>
      <c r="DK484" s="909">
        <f>IF(dd_PartSA_2_lines = "Yes",0,_xlfn.IFNA(INDEX('Resource use and costs'!$CR$11:$CR$53,MATCH(DA484,'Resource use and costs'!$BA$11:$BA$53,0)),0)*_xlfn.IFNA(INDEX(EA$10:EA$23,MATCH($DA484,$DX$10:$DX$23,0)),0))</f>
        <v>0</v>
      </c>
      <c r="DL484" s="909">
        <f>IF(dd_PartSA_2_lines = "Yes",0,_xlfn.IFNA(INDEX('Resource use and costs'!$CS$11:$CS$53,MATCH(DB484,'Resource use and costs'!$BA$11:$BA$53,0)),0)*_xlfn.IFNA(INDEX(EC$10:EC$23,MATCH($DB484,$DX$10:$DX$23,0)),0))</f>
        <v>0</v>
      </c>
      <c r="DM484" s="909">
        <f t="shared" si="264"/>
        <v>54336.641519999976</v>
      </c>
      <c r="DN484" s="909">
        <f>SUM(_xlfn.IFNA(INDEX('Resource use and costs'!$DU$12:$DU$25,MATCH(CZ484,'Resource use and costs'!$DS$12:$DS$25,0)),0),_xlfn.IFNA(INDEX('Resource use and costs'!$DU$12:$DU$25,MATCH(DA484,'Resource use and costs'!$DS$12:$DS$25,0)),0),_xlfn.IFNA(INDEX('Resource use and costs'!$DU$12:$DU$25,MATCH(DB484,'Resource use and costs'!$DS$12:$DS$25,0)),0))</f>
        <v>197.25</v>
      </c>
      <c r="DO484" s="921">
        <f>_xlfn.IFNA(INDEX('Resource use and costs'!$DY$12:$DY$25,MATCH(CZ484,'Resource use and costs'!$DS$12:$DS$25,0)),0)*_xlfn.IFNA(INDEX(DY$10:DY$23,MATCH($CZ484,$DX$10:$DX$23,0)),0)</f>
        <v>810.54285714285697</v>
      </c>
      <c r="DP484" s="921">
        <f>IF(dd_PartSA_2_lines = "Yes",0,_xlfn.IFNA(INDEX('Resource use and costs'!$DZ$12:$DZ$25,MATCH(DA484,'Resource use and costs'!$DS$12:$DS$25,0)),0)*_xlfn.IFNA(INDEX(EA$10:EA$23,MATCH($DA484,$DX$10:$DX$23,0)),0))</f>
        <v>0</v>
      </c>
      <c r="DQ484" s="921">
        <f>IF(dd_PartSA_2_lines = "Yes",0,_xlfn.IFNA(INDEX('Resource use and costs'!$EA$12:$EA$25,MATCH(DB484,'Resource use and costs'!$DS$12:$DS$25,0)),0)*_xlfn.IFNA(INDEX(EC$10:EC$23,MATCH($DB484,$DX$10:$DX$23,0)),0))</f>
        <v>0</v>
      </c>
      <c r="DR484" s="921">
        <f t="shared" si="265"/>
        <v>1007.792857142857</v>
      </c>
      <c r="DS484" s="1004">
        <f>SUMIFS('Safety parameters'!$DM$6:$DM$18,'Safety parameters'!$DK$6:$DK$18,CZ484,'Safety parameters'!$DL$6:$DL$18,1)+IF(dd_PartSA_2_lines = "Yes",0,SUMIFS('Safety parameters'!$DM$6:$DM$18,'Safety parameters'!$DK$6:$DK$18,DA484,'Safety parameters'!$DL$6:$DL$18,2)+SUMIFS('Safety parameters'!$DM$6:$DM$18,'Safety parameters'!$DK$6:$DK$18,DB484,'Safety parameters'!$DL$6:$DL$18,2))</f>
        <v>0</v>
      </c>
      <c r="DT484" s="910">
        <f>SUMIFS('Safety parameters'!$DO$6:$DO$18,'Safety parameters'!$DK$6:$DK$18,CZ484,'Safety parameters'!$DL$6:$DL$18,1)+IF(dd_PartSA_2_lines = "Yes",0,SUMIFS('Safety parameters'!$DO$6:$DO$18,'Safety parameters'!$DK$6:$DK$18,DA484,'Safety parameters'!$DL$6:$DL$18,2)+SUMIFS('Safety parameters'!$DO$6:$DO$18,'Safety parameters'!$DK$6:$DK$18,DB484,'Safety parameters'!$DL$6:$DL$18,2))</f>
        <v>0</v>
      </c>
    </row>
    <row r="485" spans="89:124" ht="15" x14ac:dyDescent="0.2">
      <c r="CK485" s="505" t="s">
        <v>31</v>
      </c>
      <c r="CL485" s="505">
        <v>4</v>
      </c>
      <c r="CM485" s="61" t="str" cm="1">
        <f t="array" ref="CM485:CM498">List_comparators</f>
        <v>nivolumab_monotherapy</v>
      </c>
      <c r="CN485" s="17">
        <v>0</v>
      </c>
      <c r="CO485" s="61" t="str" cm="1">
        <f t="array" ref="CO485">INDEX(List_comparators,CP485+1)</f>
        <v>lenvatinib_plus_pembrolizumab</v>
      </c>
      <c r="CP485" s="17">
        <v>3</v>
      </c>
      <c r="CQ485" s="603">
        <f t="shared" ca="1" si="267"/>
        <v>0</v>
      </c>
      <c r="CR485" s="603">
        <f t="shared" ca="1" si="268"/>
        <v>0</v>
      </c>
      <c r="CS485" s="603">
        <f t="shared" ca="1" si="269"/>
        <v>0</v>
      </c>
      <c r="CT485" s="669">
        <f t="shared" ca="1" si="270"/>
        <v>0</v>
      </c>
      <c r="CU485" s="1123">
        <f>MATCH(CZ492,'Resource use and costs'!$BA$11:$BA$53,0)</f>
        <v>1</v>
      </c>
      <c r="CV485" s="1223"/>
      <c r="CW485" s="1241">
        <f t="shared" si="260"/>
        <v>1</v>
      </c>
      <c r="CX485" s="899" t="s">
        <v>788</v>
      </c>
      <c r="CY485" s="899" t="s">
        <v>585</v>
      </c>
      <c r="CZ485" s="899" t="s">
        <v>333</v>
      </c>
      <c r="DA485" s="899" t="s">
        <v>118</v>
      </c>
      <c r="DB485" s="899" t="s">
        <v>327</v>
      </c>
      <c r="DC485" s="899" cm="1">
        <f t="array" aca="1" ref="DC485" ca="1">_xlfn.IFNA(OFFSET($I$49,MATCH(CY485,$I$50:$I$63,0),MATCH(CZ485,TRANSPOSE($J$49:$W$49),0)),0)</f>
        <v>3.0800000000000004E-2</v>
      </c>
      <c r="DD485" s="899">
        <f ca="1">1-DD483-DD484-DD487</f>
        <v>0.57489999999999997</v>
      </c>
      <c r="DE485" s="899">
        <f ca="1">1-DE486</f>
        <v>0.56859999999999999</v>
      </c>
      <c r="DF485" s="881">
        <f t="shared" ca="1" si="262"/>
        <v>1.0068154712E-2</v>
      </c>
      <c r="DG485" s="910">
        <f t="shared" ca="1" si="259"/>
        <v>1</v>
      </c>
      <c r="DH485" s="881">
        <f t="shared" ca="1" si="263"/>
        <v>1.0068154712E-2</v>
      </c>
      <c r="DI485" s="1460">
        <f t="shared" ca="1" si="261"/>
        <v>2.3559482026079999</v>
      </c>
      <c r="DJ485" s="909">
        <f>_xlfn.IFNA(INDEX('Resource use and costs'!$CQ$11:$CQ$53,MATCH($CZ485,'Resource use and costs'!$BA$11:$BA$53,0)),0)*_xlfn.IFNA(INDEX(DY$10:DY$23,MATCH($CZ485,$DX$10:$DX$23,0)),0)</f>
        <v>54336.641519999976</v>
      </c>
      <c r="DK485" s="909">
        <f>IF(dd_PartSA_2_lines = "Yes",0,_xlfn.IFNA(INDEX('Resource use and costs'!$CR$11:$CR$53,MATCH(DA485,'Resource use and costs'!$BA$11:$BA$53,0)),0)*_xlfn.IFNA(INDEX(EA$10:EA$23,MATCH($DA485,$DX$10:$DX$23,0)),0))</f>
        <v>50308.075122000002</v>
      </c>
      <c r="DL485" s="909">
        <f>IF(dd_PartSA_2_lines = "Yes",0,_xlfn.IFNA(INDEX('Resource use and costs'!$CS$11:$CS$53,MATCH(DB485,'Resource use and costs'!$BA$11:$BA$53,0)),0)*_xlfn.IFNA(INDEX(EC$10:EC$23,MATCH($DB485,$DX$10:$DX$23,0)),0))</f>
        <v>18438.751749999999</v>
      </c>
      <c r="DM485" s="909">
        <f t="shared" si="264"/>
        <v>123083.46839199998</v>
      </c>
      <c r="DN485" s="909">
        <f>SUM(_xlfn.IFNA(INDEX('Resource use and costs'!$DU$12:$DU$25,MATCH(CZ485,'Resource use and costs'!$DS$12:$DS$25,0)),0),_xlfn.IFNA(INDEX('Resource use and costs'!$DU$12:$DU$25,MATCH(DA485,'Resource use and costs'!$DS$12:$DS$25,0)),0),_xlfn.IFNA(INDEX('Resource use and costs'!$DU$12:$DU$25,MATCH(DB485,'Resource use and costs'!$DS$12:$DS$25,0)),0))</f>
        <v>591.75</v>
      </c>
      <c r="DO485" s="921">
        <f>_xlfn.IFNA(INDEX('Resource use and costs'!$DY$12:$DY$25,MATCH(CZ485,'Resource use and costs'!$DS$12:$DS$25,0)),0)*_xlfn.IFNA(INDEX(DY$10:DY$23,MATCH($CZ485,$DX$10:$DX$23,0)),0)</f>
        <v>810.54285714285697</v>
      </c>
      <c r="DP485" s="921">
        <f>IF(dd_PartSA_2_lines = "Yes",0,_xlfn.IFNA(INDEX('Resource use and costs'!$DZ$12:$DZ$25,MATCH(DA485,'Resource use and costs'!$DS$12:$DS$25,0)),0)*_xlfn.IFNA(INDEX(EA$10:EA$23,MATCH($DA485,$DX$10:$DX$23,0)),0))</f>
        <v>461.1445457142857</v>
      </c>
      <c r="DQ485" s="921">
        <f>IF(dd_PartSA_2_lines = "Yes",0,_xlfn.IFNA(INDEX('Resource use and costs'!$EA$12:$EA$25,MATCH(DB485,'Resource use and costs'!$DS$12:$DS$25,0)),0)*_xlfn.IFNA(INDEX(EC$10:EC$23,MATCH($DB485,$DX$10:$DX$23,0)),0))</f>
        <v>230.68099999999998</v>
      </c>
      <c r="DR485" s="921">
        <f t="shared" si="265"/>
        <v>2094.1184028571424</v>
      </c>
      <c r="DS485" s="1004">
        <f ca="1">SUMIFS('Safety parameters'!$DM$6:$DM$18,'Safety parameters'!$DK$6:$DK$18,CZ485,'Safety parameters'!$DL$6:$DL$18,1)+IF(dd_PartSA_2_lines = "Yes",0,SUMIFS('Safety parameters'!$DM$6:$DM$18,'Safety parameters'!$DK$6:$DK$18,DA485,'Safety parameters'!$DL$6:$DL$18,2)+SUMIFS('Safety parameters'!$DM$6:$DM$18,'Safety parameters'!$DK$6:$DK$18,DB485,'Safety parameters'!$DL$6:$DL$18,2))</f>
        <v>2377.8779733688434</v>
      </c>
      <c r="DT485" s="910">
        <f ca="1">SUMIFS('Safety parameters'!$DO$6:$DO$18,'Safety parameters'!$DK$6:$DK$18,CZ485,'Safety parameters'!$DL$6:$DL$18,1)+IF(dd_PartSA_2_lines = "Yes",0,SUMIFS('Safety parameters'!$DO$6:$DO$18,'Safety parameters'!$DK$6:$DK$18,DA485,'Safety parameters'!$DL$6:$DL$18,2)+SUMIFS('Safety parameters'!$DO$6:$DO$18,'Safety parameters'!$DK$6:$DK$18,DB485,'Safety parameters'!$DL$6:$DL$18,2))</f>
        <v>-2.1764250363717368E-2</v>
      </c>
    </row>
    <row r="486" spans="89:124" ht="15" x14ac:dyDescent="0.2">
      <c r="CK486" s="61" t="s">
        <v>31</v>
      </c>
      <c r="CL486" s="61">
        <v>4</v>
      </c>
      <c r="CM486" s="61" t="str">
        <v>cabozantinib_plus_nivolumab</v>
      </c>
      <c r="CN486" s="17">
        <v>1</v>
      </c>
      <c r="CO486" s="61" t="str" cm="1">
        <f t="array" ref="CO486">INDEX(List_comparators,CP485+1)</f>
        <v>lenvatinib_plus_pembrolizumab</v>
      </c>
      <c r="CP486" s="17">
        <v>3</v>
      </c>
      <c r="CQ486" s="601">
        <f t="shared" ca="1" si="267"/>
        <v>0</v>
      </c>
      <c r="CR486" s="601">
        <f t="shared" ca="1" si="268"/>
        <v>0</v>
      </c>
      <c r="CS486" s="601">
        <f t="shared" ca="1" si="269"/>
        <v>0</v>
      </c>
      <c r="CT486" s="669">
        <f t="shared" ca="1" si="270"/>
        <v>0</v>
      </c>
      <c r="CU486" s="1123">
        <f>MATCH(CZ493,'Resource use and costs'!$BA$11:$BA$53,0)</f>
        <v>1</v>
      </c>
      <c r="CV486" s="1223"/>
      <c r="CW486" s="1241">
        <f t="shared" si="260"/>
        <v>1</v>
      </c>
      <c r="CX486" s="899" t="s">
        <v>788</v>
      </c>
      <c r="CY486" s="899" t="s">
        <v>585</v>
      </c>
      <c r="CZ486" s="899" t="s">
        <v>333</v>
      </c>
      <c r="DA486" s="899" t="s">
        <v>118</v>
      </c>
      <c r="DB486" s="899" t="s">
        <v>765</v>
      </c>
      <c r="DC486" s="899" cm="1">
        <f t="array" aca="1" ref="DC486" ca="1">_xlfn.IFNA(OFFSET($I$49,MATCH(CY486,$I$50:$I$63,0),MATCH(CZ486,TRANSPOSE($J$49:$W$49),0)),0)</f>
        <v>3.0800000000000004E-2</v>
      </c>
      <c r="DD486" s="899">
        <f ca="1">DD485</f>
        <v>0.57489999999999997</v>
      </c>
      <c r="DE486" s="899" cm="1">
        <f t="array" aca="1" ref="DE486" ca="1">_xlfn.IFNA(OFFSET($AO$49,MATCH($DA486,$AO$50:$AO$63,0),MATCH($DB486,TRANSPOSE($AP$49:$BC$49),0)),0)</f>
        <v>0.43140000000000001</v>
      </c>
      <c r="DF486" s="881">
        <f t="shared" ca="1" si="262"/>
        <v>7.6387652880000002E-3</v>
      </c>
      <c r="DG486" s="910">
        <f t="shared" ca="1" si="259"/>
        <v>1</v>
      </c>
      <c r="DH486" s="881">
        <f t="shared" ca="1" si="263"/>
        <v>7.6387652880000002E-3</v>
      </c>
      <c r="DI486" s="1460">
        <f t="shared" ca="1" si="261"/>
        <v>1.787471077392</v>
      </c>
      <c r="DJ486" s="909">
        <f>_xlfn.IFNA(INDEX('Resource use and costs'!$CQ$11:$CQ$53,MATCH($CZ486,'Resource use and costs'!$BA$11:$BA$53,0)),0)*_xlfn.IFNA(INDEX(DY$10:DY$23,MATCH($CZ486,$DX$10:$DX$23,0)),0)</f>
        <v>54336.641519999976</v>
      </c>
      <c r="DK486" s="909">
        <f>IF(dd_PartSA_2_lines = "Yes",0,_xlfn.IFNA(INDEX('Resource use and costs'!$CR$11:$CR$53,MATCH(DA486,'Resource use and costs'!$BA$11:$BA$53,0)),0)*_xlfn.IFNA(INDEX(EA$10:EA$23,MATCH($DA486,$DX$10:$DX$23,0)),0))</f>
        <v>50308.075122000002</v>
      </c>
      <c r="DL486" s="909">
        <f>IF(dd_PartSA_2_lines = "Yes",0,_xlfn.IFNA(INDEX('Resource use and costs'!$CS$11:$CS$53,MATCH(DB486,'Resource use and costs'!$BA$11:$BA$53,0)),0)*_xlfn.IFNA(INDEX(EC$10:EC$23,MATCH($DB486,$DX$10:$DX$23,0)),0))</f>
        <v>0</v>
      </c>
      <c r="DM486" s="909">
        <f t="shared" si="264"/>
        <v>104644.71664199998</v>
      </c>
      <c r="DN486" s="909">
        <f>SUM(_xlfn.IFNA(INDEX('Resource use and costs'!$DU$12:$DU$25,MATCH(CZ486,'Resource use and costs'!$DS$12:$DS$25,0)),0),_xlfn.IFNA(INDEX('Resource use and costs'!$DU$12:$DU$25,MATCH(DA486,'Resource use and costs'!$DS$12:$DS$25,0)),0),_xlfn.IFNA(INDEX('Resource use and costs'!$DU$12:$DU$25,MATCH(DB486,'Resource use and costs'!$DS$12:$DS$25,0)),0))</f>
        <v>394.5</v>
      </c>
      <c r="DO486" s="921">
        <f>_xlfn.IFNA(INDEX('Resource use and costs'!$DY$12:$DY$25,MATCH(CZ486,'Resource use and costs'!$DS$12:$DS$25,0)),0)*_xlfn.IFNA(INDEX(DY$10:DY$23,MATCH($CZ486,$DX$10:$DX$23,0)),0)</f>
        <v>810.54285714285697</v>
      </c>
      <c r="DP486" s="921">
        <f>IF(dd_PartSA_2_lines = "Yes",0,_xlfn.IFNA(INDEX('Resource use and costs'!$DZ$12:$DZ$25,MATCH(DA486,'Resource use and costs'!$DS$12:$DS$25,0)),0)*_xlfn.IFNA(INDEX(EA$10:EA$23,MATCH($DA486,$DX$10:$DX$23,0)),0))</f>
        <v>461.1445457142857</v>
      </c>
      <c r="DQ486" s="921">
        <f>IF(dd_PartSA_2_lines = "Yes",0,_xlfn.IFNA(INDEX('Resource use and costs'!$EA$12:$EA$25,MATCH(DB486,'Resource use and costs'!$DS$12:$DS$25,0)),0)*_xlfn.IFNA(INDEX(EC$10:EC$23,MATCH($DB486,$DX$10:$DX$23,0)),0))</f>
        <v>0</v>
      </c>
      <c r="DR486" s="921">
        <f t="shared" si="265"/>
        <v>1666.1874028571426</v>
      </c>
      <c r="DS486" s="1004">
        <f ca="1">SUMIFS('Safety parameters'!$DM$6:$DM$18,'Safety parameters'!$DK$6:$DK$18,CZ486,'Safety parameters'!$DL$6:$DL$18,1)+IF(dd_PartSA_2_lines = "Yes",0,SUMIFS('Safety parameters'!$DM$6:$DM$18,'Safety parameters'!$DK$6:$DK$18,DA486,'Safety parameters'!$DL$6:$DL$18,2)+SUMIFS('Safety parameters'!$DM$6:$DM$18,'Safety parameters'!$DK$6:$DK$18,DB486,'Safety parameters'!$DL$6:$DL$18,2))</f>
        <v>743.64929980338343</v>
      </c>
      <c r="DT486" s="910">
        <f ca="1">SUMIFS('Safety parameters'!$DO$6:$DO$18,'Safety parameters'!$DK$6:$DK$18,CZ486,'Safety parameters'!$DL$6:$DL$18,1)+IF(dd_PartSA_2_lines = "Yes",0,SUMIFS('Safety parameters'!$DO$6:$DO$18,'Safety parameters'!$DK$6:$DK$18,DA486,'Safety parameters'!$DL$6:$DL$18,2)+SUMIFS('Safety parameters'!$DO$6:$DO$18,'Safety parameters'!$DK$6:$DK$18,DB486,'Safety parameters'!$DL$6:$DL$18,2))</f>
        <v>-7.0223263562359372E-3</v>
      </c>
    </row>
    <row r="487" spans="89:124" ht="15" x14ac:dyDescent="0.2">
      <c r="CK487" s="61" t="s">
        <v>31</v>
      </c>
      <c r="CL487" s="61">
        <v>4</v>
      </c>
      <c r="CM487" s="61" t="str">
        <v>nivolumab_plus_ipilimumab</v>
      </c>
      <c r="CN487" s="17">
        <v>2</v>
      </c>
      <c r="CO487" s="61" t="str" cm="1">
        <f t="array" ref="CO487">INDEX(List_comparators,CP486+1)</f>
        <v>lenvatinib_plus_pembrolizumab</v>
      </c>
      <c r="CP487" s="17">
        <v>3</v>
      </c>
      <c r="CQ487" s="601">
        <f t="shared" ca="1" si="267"/>
        <v>0</v>
      </c>
      <c r="CR487" s="601">
        <f t="shared" ca="1" si="268"/>
        <v>0</v>
      </c>
      <c r="CS487" s="601">
        <f t="shared" ca="1" si="269"/>
        <v>0</v>
      </c>
      <c r="CT487" s="669">
        <f t="shared" ca="1" si="270"/>
        <v>0</v>
      </c>
      <c r="CU487" s="1123">
        <f>MATCH(CZ494,'Resource use and costs'!$BA$11:$BA$53,0)</f>
        <v>1</v>
      </c>
      <c r="CV487" s="1223"/>
      <c r="CW487" s="1241">
        <f t="shared" si="260"/>
        <v>1</v>
      </c>
      <c r="CX487" s="899" t="s">
        <v>788</v>
      </c>
      <c r="CY487" s="899" t="s">
        <v>585</v>
      </c>
      <c r="CZ487" s="899" t="s">
        <v>333</v>
      </c>
      <c r="DA487" s="899" t="s">
        <v>579</v>
      </c>
      <c r="DB487" s="899" t="s">
        <v>327</v>
      </c>
      <c r="DC487" s="899" cm="1">
        <f t="array" aca="1" ref="DC487" ca="1">_xlfn.IFNA(OFFSET($I$49,MATCH(CY487,$I$50:$I$63,0),MATCH(CZ487,TRANSPOSE($J$49:$W$49),0)),0)</f>
        <v>3.0800000000000004E-2</v>
      </c>
      <c r="DD487" s="899" cm="1">
        <f t="array" aca="1" ref="DD487" ca="1">_xlfn.IFNA(OFFSET($Y$49,MATCH($CZ487,$Y$50:$Y$63,0),MATCH($DA487,TRANSPOSE($Z$49:$AM$49),0)),0)</f>
        <v>8.2100000000000006E-2</v>
      </c>
      <c r="DE487" s="899" cm="1">
        <f t="array" aca="1" ref="DE487" ca="1">_xlfn.IFNA(OFFSET($AO$49,MATCH($DA487,$AO$50:$AO$63,0),MATCH($DB487,TRANSPOSE($AP$49:$BC$49),0)),0)</f>
        <v>0.56859999999999999</v>
      </c>
      <c r="DF487" s="881">
        <f t="shared" ca="1" si="262"/>
        <v>1.4378074480000003E-3</v>
      </c>
      <c r="DG487" s="910">
        <f t="shared" ca="1" si="259"/>
        <v>1</v>
      </c>
      <c r="DH487" s="881">
        <f t="shared" ca="1" si="263"/>
        <v>1.4378074480000003E-3</v>
      </c>
      <c r="DI487" s="1460">
        <f t="shared" ca="1" si="261"/>
        <v>0.33644694283200005</v>
      </c>
      <c r="DJ487" s="909">
        <f>_xlfn.IFNA(INDEX('Resource use and costs'!$CQ$11:$CQ$53,MATCH($CZ487,'Resource use and costs'!$BA$11:$BA$53,0)),0)*_xlfn.IFNA(INDEX(DY$10:DY$23,MATCH($CZ487,$DX$10:$DX$23,0)),0)</f>
        <v>54336.641519999976</v>
      </c>
      <c r="DK487" s="909">
        <f>IF(dd_PartSA_2_lines = "Yes",0,_xlfn.IFNA(INDEX('Resource use and costs'!$CR$11:$CR$53,MATCH(DA487,'Resource use and costs'!$BA$11:$BA$53,0)),0)*_xlfn.IFNA(INDEX(EA$10:EA$23,MATCH($DA487,$DX$10:$DX$23,0)),0))</f>
        <v>26054.50921</v>
      </c>
      <c r="DL487" s="909">
        <f>IF(dd_PartSA_2_lines = "Yes",0,_xlfn.IFNA(INDEX('Resource use and costs'!$CS$11:$CS$53,MATCH(DB487,'Resource use and costs'!$BA$11:$BA$53,0)),0)*_xlfn.IFNA(INDEX(EC$10:EC$23,MATCH($DB487,$DX$10:$DX$23,0)),0))</f>
        <v>18438.751749999999</v>
      </c>
      <c r="DM487" s="909">
        <f t="shared" si="264"/>
        <v>98829.902479999975</v>
      </c>
      <c r="DN487" s="909">
        <f>SUM(_xlfn.IFNA(INDEX('Resource use and costs'!$DU$12:$DU$25,MATCH(CZ487,'Resource use and costs'!$DS$12:$DS$25,0)),0),_xlfn.IFNA(INDEX('Resource use and costs'!$DU$12:$DU$25,MATCH(DA487,'Resource use and costs'!$DS$12:$DS$25,0)),0),_xlfn.IFNA(INDEX('Resource use and costs'!$DU$12:$DU$25,MATCH(DB487,'Resource use and costs'!$DS$12:$DS$25,0)),0))</f>
        <v>394.5</v>
      </c>
      <c r="DO487" s="921">
        <f>_xlfn.IFNA(INDEX('Resource use and costs'!$DY$12:$DY$25,MATCH(CZ487,'Resource use and costs'!$DS$12:$DS$25,0)),0)*_xlfn.IFNA(INDEX(DY$10:DY$23,MATCH($CZ487,$DX$10:$DX$23,0)),0)</f>
        <v>810.54285714285697</v>
      </c>
      <c r="DP487" s="921">
        <f>IF(dd_PartSA_2_lines = "Yes",0,_xlfn.IFNA(INDEX('Resource use and costs'!$DZ$12:$DZ$25,MATCH(DA487,'Resource use and costs'!$DS$12:$DS$25,0)),0)*_xlfn.IFNA(INDEX(EA$10:EA$23,MATCH($DA487,$DX$10:$DX$23,0)),0))</f>
        <v>4108.3597166</v>
      </c>
      <c r="DQ487" s="921">
        <f>IF(dd_PartSA_2_lines = "Yes",0,_xlfn.IFNA(INDEX('Resource use and costs'!$EA$12:$EA$25,MATCH(DB487,'Resource use and costs'!$DS$12:$DS$25,0)),0)*_xlfn.IFNA(INDEX(EC$10:EC$23,MATCH($DB487,$DX$10:$DX$23,0)),0))</f>
        <v>230.68099999999998</v>
      </c>
      <c r="DR487" s="921">
        <f t="shared" si="265"/>
        <v>5544.0835737428561</v>
      </c>
      <c r="DS487" s="1004">
        <f ca="1">SUMIFS('Safety parameters'!$DM$6:$DM$18,'Safety parameters'!$DK$6:$DK$18,CZ487,'Safety parameters'!$DL$6:$DL$18,1)+IF(dd_PartSA_2_lines = "Yes",0,SUMIFS('Safety parameters'!$DM$6:$DM$18,'Safety parameters'!$DK$6:$DK$18,DA487,'Safety parameters'!$DL$6:$DL$18,2)+SUMIFS('Safety parameters'!$DM$6:$DM$18,'Safety parameters'!$DK$6:$DK$18,DB487,'Safety parameters'!$DL$6:$DL$18,2))</f>
        <v>1795.3624225558742</v>
      </c>
      <c r="DT487" s="910">
        <f ca="1">SUMIFS('Safety parameters'!$DO$6:$DO$18,'Safety parameters'!$DK$6:$DK$18,CZ487,'Safety parameters'!$DL$6:$DL$18,1)+IF(dd_PartSA_2_lines = "Yes",0,SUMIFS('Safety parameters'!$DO$6:$DO$18,'Safety parameters'!$DK$6:$DK$18,DA487,'Safety parameters'!$DL$6:$DL$18,2)+SUMIFS('Safety parameters'!$DO$6:$DO$18,'Safety parameters'!$DK$6:$DK$18,DB487,'Safety parameters'!$DL$6:$DL$18,2))</f>
        <v>-1.6339008205166216E-2</v>
      </c>
    </row>
    <row r="488" spans="89:124" ht="15" x14ac:dyDescent="0.2">
      <c r="CK488" s="61" t="s">
        <v>31</v>
      </c>
      <c r="CL488" s="61">
        <v>4</v>
      </c>
      <c r="CM488" s="61" t="str">
        <v>lenvatinib_plus_pembrolizumab</v>
      </c>
      <c r="CN488" s="17">
        <v>3</v>
      </c>
      <c r="CO488" s="61" t="str" cm="1">
        <f t="array" ref="CO488">INDEX(List_comparators,CP487+1)</f>
        <v>lenvatinib_plus_pembrolizumab</v>
      </c>
      <c r="CP488" s="17">
        <v>3</v>
      </c>
      <c r="CQ488" s="601">
        <f t="shared" ca="1" si="267"/>
        <v>0</v>
      </c>
      <c r="CR488" s="601">
        <f t="shared" ca="1" si="268"/>
        <v>0</v>
      </c>
      <c r="CS488" s="601">
        <f t="shared" ca="1" si="269"/>
        <v>0</v>
      </c>
      <c r="CT488" s="669">
        <f t="shared" ca="1" si="270"/>
        <v>0</v>
      </c>
      <c r="CU488" s="1123">
        <f>MATCH(CZ495,'Resource use and costs'!$BA$11:$BA$53,0)</f>
        <v>1</v>
      </c>
      <c r="CV488" s="1223"/>
      <c r="CW488" s="1241">
        <f t="shared" si="260"/>
        <v>1</v>
      </c>
      <c r="CX488" s="899" t="s">
        <v>788</v>
      </c>
      <c r="CY488" s="899" t="s">
        <v>585</v>
      </c>
      <c r="CZ488" s="899" t="s">
        <v>333</v>
      </c>
      <c r="DA488" s="899" t="s">
        <v>579</v>
      </c>
      <c r="DB488" s="899" t="s">
        <v>765</v>
      </c>
      <c r="DC488" s="899" cm="1">
        <f t="array" aca="1" ref="DC488" ca="1">_xlfn.IFNA(OFFSET($I$49,MATCH(CY488,$I$50:$I$63,0),MATCH(CZ488,TRANSPOSE($J$49:$W$49),0)),0)</f>
        <v>3.0800000000000004E-2</v>
      </c>
      <c r="DD488" s="899" cm="1">
        <f t="array" aca="1" ref="DD488" ca="1">_xlfn.IFNA(OFFSET($Y$49,MATCH($CZ488,$Y$50:$Y$63,0),MATCH($DA488,TRANSPOSE($Z$49:$AM$49),0)),0)</f>
        <v>8.2100000000000006E-2</v>
      </c>
      <c r="DE488" s="899" cm="1">
        <f t="array" aca="1" ref="DE488" ca="1">_xlfn.IFNA(OFFSET($AO$49,MATCH($DA488,$AO$50:$AO$63,0),MATCH($DB488,TRANSPOSE($AP$49:$BC$49),0)),0)</f>
        <v>0.43140000000000001</v>
      </c>
      <c r="DF488" s="881">
        <f t="shared" ca="1" si="262"/>
        <v>1.0908725520000003E-3</v>
      </c>
      <c r="DG488" s="910">
        <f t="shared" ca="1" si="259"/>
        <v>1</v>
      </c>
      <c r="DH488" s="881">
        <f t="shared" ca="1" si="263"/>
        <v>1.0908725520000003E-3</v>
      </c>
      <c r="DI488" s="1460">
        <f t="shared" ca="1" si="261"/>
        <v>0.25526417716800009</v>
      </c>
      <c r="DJ488" s="909">
        <f>_xlfn.IFNA(INDEX('Resource use and costs'!$CQ$11:$CQ$53,MATCH($CZ488,'Resource use and costs'!$BA$11:$BA$53,0)),0)*_xlfn.IFNA(INDEX(DY$10:DY$23,MATCH($CZ488,$DX$10:$DX$23,0)),0)</f>
        <v>54336.641519999976</v>
      </c>
      <c r="DK488" s="909">
        <f>IF(dd_PartSA_2_lines = "Yes",0,_xlfn.IFNA(INDEX('Resource use and costs'!$CR$11:$CR$53,MATCH(DA488,'Resource use and costs'!$BA$11:$BA$53,0)),0)*_xlfn.IFNA(INDEX(EA$10:EA$23,MATCH($DA488,$DX$10:$DX$23,0)),0))</f>
        <v>26054.50921</v>
      </c>
      <c r="DL488" s="909">
        <f>IF(dd_PartSA_2_lines = "Yes",0,_xlfn.IFNA(INDEX('Resource use and costs'!$CS$11:$CS$53,MATCH(DB488,'Resource use and costs'!$BA$11:$BA$53,0)),0)*_xlfn.IFNA(INDEX(EC$10:EC$23,MATCH($DB488,$DX$10:$DX$23,0)),0))</f>
        <v>0</v>
      </c>
      <c r="DM488" s="909">
        <f t="shared" si="264"/>
        <v>80391.150729999979</v>
      </c>
      <c r="DN488" s="909">
        <f>SUM(_xlfn.IFNA(INDEX('Resource use and costs'!$DU$12:$DU$25,MATCH(CZ488,'Resource use and costs'!$DS$12:$DS$25,0)),0),_xlfn.IFNA(INDEX('Resource use and costs'!$DU$12:$DU$25,MATCH(DA488,'Resource use and costs'!$DS$12:$DS$25,0)),0),_xlfn.IFNA(INDEX('Resource use and costs'!$DU$12:$DU$25,MATCH(DB488,'Resource use and costs'!$DS$12:$DS$25,0)),0))</f>
        <v>197.25</v>
      </c>
      <c r="DO488" s="921">
        <f>_xlfn.IFNA(INDEX('Resource use and costs'!$DY$12:$DY$25,MATCH(CZ488,'Resource use and costs'!$DS$12:$DS$25,0)),0)*_xlfn.IFNA(INDEX(DY$10:DY$23,MATCH($CZ488,$DX$10:$DX$23,0)),0)</f>
        <v>810.54285714285697</v>
      </c>
      <c r="DP488" s="921">
        <f>IF(dd_PartSA_2_lines = "Yes",0,_xlfn.IFNA(INDEX('Resource use and costs'!$DZ$12:$DZ$25,MATCH(DA488,'Resource use and costs'!$DS$12:$DS$25,0)),0)*_xlfn.IFNA(INDEX(EA$10:EA$23,MATCH($DA488,$DX$10:$DX$23,0)),0))</f>
        <v>4108.3597166</v>
      </c>
      <c r="DQ488" s="921">
        <f>IF(dd_PartSA_2_lines = "Yes",0,_xlfn.IFNA(INDEX('Resource use and costs'!$EA$12:$EA$25,MATCH(DB488,'Resource use and costs'!$DS$12:$DS$25,0)),0)*_xlfn.IFNA(INDEX(EC$10:EC$23,MATCH($DB488,$DX$10:$DX$23,0)),0))</f>
        <v>0</v>
      </c>
      <c r="DR488" s="921">
        <f t="shared" si="265"/>
        <v>5116.1525737428565</v>
      </c>
      <c r="DS488" s="1004">
        <f ca="1">SUMIFS('Safety parameters'!$DM$6:$DM$18,'Safety parameters'!$DK$6:$DK$18,CZ488,'Safety parameters'!$DL$6:$DL$18,1)+IF(dd_PartSA_2_lines = "Yes",0,SUMIFS('Safety parameters'!$DM$6:$DM$18,'Safety parameters'!$DK$6:$DK$18,DA488,'Safety parameters'!$DL$6:$DL$18,2)+SUMIFS('Safety parameters'!$DM$6:$DM$18,'Safety parameters'!$DK$6:$DK$18,DB488,'Safety parameters'!$DL$6:$DL$18,2))</f>
        <v>161.1337489904144</v>
      </c>
      <c r="DT488" s="910">
        <f ca="1">SUMIFS('Safety parameters'!$DO$6:$DO$18,'Safety parameters'!$DK$6:$DK$18,CZ488,'Safety parameters'!$DL$6:$DL$18,1)+IF(dd_PartSA_2_lines = "Yes",0,SUMIFS('Safety parameters'!$DO$6:$DO$18,'Safety parameters'!$DK$6:$DK$18,DA488,'Safety parameters'!$DL$6:$DL$18,2)+SUMIFS('Safety parameters'!$DO$6:$DO$18,'Safety parameters'!$DK$6:$DK$18,DB488,'Safety parameters'!$DL$6:$DL$18,2))</f>
        <v>-1.5970841976847864E-3</v>
      </c>
    </row>
    <row r="489" spans="89:124" ht="15" x14ac:dyDescent="0.2">
      <c r="CK489" s="61" t="s">
        <v>31</v>
      </c>
      <c r="CL489" s="61">
        <v>4</v>
      </c>
      <c r="CM489" s="61" t="str">
        <v>avelumab_plus_axitinib</v>
      </c>
      <c r="CN489" s="17">
        <v>4</v>
      </c>
      <c r="CO489" s="61" t="str" cm="1">
        <f t="array" ref="CO489">INDEX(List_comparators,CP488+1)</f>
        <v>lenvatinib_plus_pembrolizumab</v>
      </c>
      <c r="CP489" s="17">
        <v>3</v>
      </c>
      <c r="CQ489" s="601">
        <f t="shared" ca="1" si="267"/>
        <v>0</v>
      </c>
      <c r="CR489" s="601">
        <f t="shared" ca="1" si="268"/>
        <v>0</v>
      </c>
      <c r="CS489" s="601">
        <f t="shared" ca="1" si="269"/>
        <v>0</v>
      </c>
      <c r="CT489" s="669">
        <f t="shared" ca="1" si="270"/>
        <v>0</v>
      </c>
      <c r="CU489" s="1123">
        <f>MATCH(CZ496,'Resource use and costs'!$BA$11:$BA$53,0)</f>
        <v>1</v>
      </c>
      <c r="CV489" s="1223"/>
      <c r="CW489" s="1241">
        <f t="shared" si="260"/>
        <v>1</v>
      </c>
      <c r="CX489" s="899" t="s">
        <v>788</v>
      </c>
      <c r="CY489" s="899" t="s">
        <v>585</v>
      </c>
      <c r="CZ489" s="899" t="s">
        <v>579</v>
      </c>
      <c r="DA489" s="899" t="s">
        <v>327</v>
      </c>
      <c r="DB489" s="899" t="s">
        <v>765</v>
      </c>
      <c r="DC489" s="899" cm="1">
        <f t="array" aca="1" ref="DC489" ca="1">_xlfn.IFNA(OFFSET($I$49,MATCH(CY489,$I$50:$I$63,0),MATCH(CZ489,TRANSPOSE($J$49:$W$49),0)),0)</f>
        <v>0.36970000000000003</v>
      </c>
      <c r="DD489" s="899" cm="1">
        <f t="array" aca="1" ref="DD489" ca="1">_xlfn.IFNA(OFFSET($Y$49,MATCH($CZ489,$Y$50:$Y$63,0),MATCH($DA489,TRANSPOSE($Z$49:$AM$49),0)),0)</f>
        <v>5.2400000000000002E-2</v>
      </c>
      <c r="DE489" s="899" cm="1">
        <f t="array" aca="1" ref="DE489" ca="1">_xlfn.IFNA(OFFSET($AO$49,MATCH($DA489,$AO$50:$AO$63,0),MATCH($DB489,TRANSPOSE($AP$49:$BC$49),0)),0)</f>
        <v>0.43140000000000001</v>
      </c>
      <c r="DF489" s="881">
        <f t="shared" ca="1" si="262"/>
        <v>8.357201592000001E-3</v>
      </c>
      <c r="DG489" s="910">
        <f t="shared" ca="1" si="259"/>
        <v>1</v>
      </c>
      <c r="DH489" s="881">
        <f t="shared" ca="1" si="263"/>
        <v>8.357201592000001E-3</v>
      </c>
      <c r="DI489" s="1460">
        <f t="shared" ca="1" si="261"/>
        <v>1.9555851725280002</v>
      </c>
      <c r="DJ489" s="909">
        <f>_xlfn.IFNA(INDEX('Resource use and costs'!$CQ$11:$CQ$53,MATCH($CZ489,'Resource use and costs'!$BA$11:$BA$53,0)),0)*_xlfn.IFNA(INDEX(DY$10:DY$23,MATCH($CZ489,$DX$10:$DX$23,0)),0)</f>
        <v>56693.786091428577</v>
      </c>
      <c r="DK489" s="909">
        <f>IF(dd_PartSA_2_lines = "Yes",0,_xlfn.IFNA(INDEX('Resource use and costs'!$CR$11:$CR$53,MATCH(DA489,'Resource use and costs'!$BA$11:$BA$53,0)),0)*_xlfn.IFNA(INDEX(EA$10:EA$23,MATCH($DA489,$DX$10:$DX$23,0)),0))</f>
        <v>21421.066008214286</v>
      </c>
      <c r="DL489" s="909">
        <f>IF(dd_PartSA_2_lines = "Yes",0,_xlfn.IFNA(INDEX('Resource use and costs'!$CS$11:$CS$53,MATCH(DB489,'Resource use and costs'!$BA$11:$BA$53,0)),0)*_xlfn.IFNA(INDEX(EC$10:EC$23,MATCH($DB489,$DX$10:$DX$23,0)),0))</f>
        <v>0</v>
      </c>
      <c r="DM489" s="909">
        <f t="shared" si="264"/>
        <v>78114.852099642856</v>
      </c>
      <c r="DN489" s="909">
        <f>SUM(_xlfn.IFNA(INDEX('Resource use and costs'!$DU$12:$DU$25,MATCH(CZ489,'Resource use and costs'!$DS$12:$DS$25,0)),0),_xlfn.IFNA(INDEX('Resource use and costs'!$DU$12:$DU$25,MATCH(DA489,'Resource use and costs'!$DS$12:$DS$25,0)),0),_xlfn.IFNA(INDEX('Resource use and costs'!$DU$12:$DU$25,MATCH(DB489,'Resource use and costs'!$DS$12:$DS$25,0)),0))</f>
        <v>197.25</v>
      </c>
      <c r="DO489" s="921">
        <f>_xlfn.IFNA(INDEX('Resource use and costs'!$DY$12:$DY$25,MATCH(CZ489,'Resource use and costs'!$DS$12:$DS$25,0)),0)*_xlfn.IFNA(INDEX(DY$10:DY$23,MATCH($CZ489,$DX$10:$DX$23,0)),0)</f>
        <v>8939.6605049142872</v>
      </c>
      <c r="DP489" s="921">
        <f>IF(dd_PartSA_2_lines = "Yes",0,_xlfn.IFNA(INDEX('Resource use and costs'!$DZ$12:$DZ$25,MATCH(DA489,'Resource use and costs'!$DS$12:$DS$25,0)),0)*_xlfn.IFNA(INDEX(EA$10:EA$23,MATCH($DA489,$DX$10:$DX$23,0)),0))</f>
        <v>267.99172714285714</v>
      </c>
      <c r="DQ489" s="921">
        <f>IF(dd_PartSA_2_lines = "Yes",0,_xlfn.IFNA(INDEX('Resource use and costs'!$EA$12:$EA$25,MATCH(DB489,'Resource use and costs'!$DS$12:$DS$25,0)),0)*_xlfn.IFNA(INDEX(EC$10:EC$23,MATCH($DB489,$DX$10:$DX$23,0)),0))</f>
        <v>0</v>
      </c>
      <c r="DR489" s="921">
        <f t="shared" si="265"/>
        <v>9404.9022320571439</v>
      </c>
      <c r="DS489" s="1004">
        <f ca="1">SUMIFS('Safety parameters'!$DM$6:$DM$18,'Safety parameters'!$DK$6:$DK$18,CZ489,'Safety parameters'!$DL$6:$DL$18,1)+IF(dd_PartSA_2_lines = "Yes",0,SUMIFS('Safety parameters'!$DM$6:$DM$18,'Safety parameters'!$DK$6:$DK$18,DA489,'Safety parameters'!$DL$6:$DL$18,2)+SUMIFS('Safety parameters'!$DM$6:$DM$18,'Safety parameters'!$DK$6:$DK$18,DB489,'Safety parameters'!$DL$6:$DL$18,2))</f>
        <v>1634.2286735654598</v>
      </c>
      <c r="DT489" s="910">
        <f ca="1">SUMIFS('Safety parameters'!$DO$6:$DO$18,'Safety parameters'!$DK$6:$DK$18,CZ489,'Safety parameters'!$DL$6:$DL$18,1)+IF(dd_PartSA_2_lines = "Yes",0,SUMIFS('Safety parameters'!$DO$6:$DO$18,'Safety parameters'!$DK$6:$DK$18,DA489,'Safety parameters'!$DL$6:$DL$18,2)+SUMIFS('Safety parameters'!$DO$6:$DO$18,'Safety parameters'!$DK$6:$DK$18,DB489,'Safety parameters'!$DL$6:$DL$18,2))</f>
        <v>-1.4741924007481429E-2</v>
      </c>
    </row>
    <row r="490" spans="89:124" ht="15" x14ac:dyDescent="0.2">
      <c r="CK490" s="61" t="s">
        <v>31</v>
      </c>
      <c r="CL490" s="61">
        <v>4</v>
      </c>
      <c r="CM490" s="61" t="str">
        <v>pazopanib</v>
      </c>
      <c r="CN490" s="17">
        <v>5</v>
      </c>
      <c r="CO490" s="61" t="str" cm="1">
        <f t="array" ref="CO490">INDEX(List_comparators,CP489+1)</f>
        <v>lenvatinib_plus_pembrolizumab</v>
      </c>
      <c r="CP490" s="17">
        <v>3</v>
      </c>
      <c r="CQ490" s="601">
        <f t="shared" ca="1" si="267"/>
        <v>0</v>
      </c>
      <c r="CR490" s="601">
        <f t="shared" ca="1" si="268"/>
        <v>0</v>
      </c>
      <c r="CS490" s="601">
        <f t="shared" ca="1" si="269"/>
        <v>0</v>
      </c>
      <c r="CT490" s="669">
        <f t="shared" ca="1" si="270"/>
        <v>0</v>
      </c>
      <c r="CU490" s="1123">
        <f>MATCH(CZ497,'Resource use and costs'!$BA$11:$BA$53,0)</f>
        <v>1</v>
      </c>
      <c r="CV490" s="1223"/>
      <c r="CW490" s="1241">
        <f t="shared" si="260"/>
        <v>1</v>
      </c>
      <c r="CX490" s="899" t="s">
        <v>788</v>
      </c>
      <c r="CY490" s="899" t="s">
        <v>585</v>
      </c>
      <c r="CZ490" s="899" t="s">
        <v>579</v>
      </c>
      <c r="DA490" s="899" t="s">
        <v>327</v>
      </c>
      <c r="DB490" s="899" t="s">
        <v>119</v>
      </c>
      <c r="DC490" s="899" cm="1">
        <f t="array" aca="1" ref="DC490" ca="1">_xlfn.IFNA(OFFSET($I$49,MATCH(CY490,$I$50:$I$63,0),MATCH(CZ490,TRANSPOSE($J$49:$W$49),0)),0)</f>
        <v>0.36970000000000003</v>
      </c>
      <c r="DD490" s="899" cm="1">
        <f t="array" aca="1" ref="DD490" ca="1">_xlfn.IFNA(OFFSET($Y$49,MATCH($CZ490,$Y$50:$Y$63,0),MATCH($DA490,TRANSPOSE($Z$49:$AM$49),0)),0)</f>
        <v>5.2400000000000002E-2</v>
      </c>
      <c r="DE490" s="899" cm="1">
        <f t="array" aca="1" ref="DE490" ca="1">_xlfn.IFNA(OFFSET($AO$49,MATCH($DA490,$AO$50:$AO$63,0),MATCH($DB490,TRANSPOSE($AP$49:$BC$49),0)),0)</f>
        <v>0.56859999999999999</v>
      </c>
      <c r="DF490" s="881">
        <f t="shared" ca="1" si="262"/>
        <v>1.1015078408000001E-2</v>
      </c>
      <c r="DG490" s="910">
        <f t="shared" ca="1" si="259"/>
        <v>1</v>
      </c>
      <c r="DH490" s="881">
        <f t="shared" ca="1" si="263"/>
        <v>1.1015078408000001E-2</v>
      </c>
      <c r="DI490" s="1460">
        <f t="shared" ca="1" si="261"/>
        <v>2.5775283474720001</v>
      </c>
      <c r="DJ490" s="909">
        <f>_xlfn.IFNA(INDEX('Resource use and costs'!$CQ$11:$CQ$53,MATCH($CZ490,'Resource use and costs'!$BA$11:$BA$53,0)),0)*_xlfn.IFNA(INDEX(DY$10:DY$23,MATCH($CZ490,$DX$10:$DX$23,0)),0)</f>
        <v>56693.786091428577</v>
      </c>
      <c r="DK490" s="909">
        <f>IF(dd_PartSA_2_lines = "Yes",0,_xlfn.IFNA(INDEX('Resource use and costs'!$CR$11:$CR$53,MATCH(DA490,'Resource use and costs'!$BA$11:$BA$53,0)),0)*_xlfn.IFNA(INDEX(EA$10:EA$23,MATCH($DA490,$DX$10:$DX$23,0)),0))</f>
        <v>21421.066008214286</v>
      </c>
      <c r="DL490" s="909">
        <f>IF(dd_PartSA_2_lines = "Yes",0,_xlfn.IFNA(INDEX('Resource use and costs'!$CS$11:$CS$53,MATCH(DB490,'Resource use and costs'!$BA$11:$BA$53,0)),0)*_xlfn.IFNA(INDEX(EC$10:EC$23,MATCH($DB490,$DX$10:$DX$23,0)),0))</f>
        <v>2915.4763433333328</v>
      </c>
      <c r="DM490" s="909">
        <f t="shared" si="264"/>
        <v>81030.328442976184</v>
      </c>
      <c r="DN490" s="909">
        <f>SUM(_xlfn.IFNA(INDEX('Resource use and costs'!$DU$12:$DU$25,MATCH(CZ490,'Resource use and costs'!$DS$12:$DS$25,0)),0),_xlfn.IFNA(INDEX('Resource use and costs'!$DU$12:$DU$25,MATCH(DA490,'Resource use and costs'!$DS$12:$DS$25,0)),0),_xlfn.IFNA(INDEX('Resource use and costs'!$DU$12:$DU$25,MATCH(DB490,'Resource use and costs'!$DS$12:$DS$25,0)),0))</f>
        <v>394.5</v>
      </c>
      <c r="DO490" s="921">
        <f>_xlfn.IFNA(INDEX('Resource use and costs'!$DY$12:$DY$25,MATCH(CZ490,'Resource use and costs'!$DS$12:$DS$25,0)),0)*_xlfn.IFNA(INDEX(DY$10:DY$23,MATCH($CZ490,$DX$10:$DX$23,0)),0)</f>
        <v>8939.6605049142872</v>
      </c>
      <c r="DP490" s="921">
        <f>IF(dd_PartSA_2_lines = "Yes",0,_xlfn.IFNA(INDEX('Resource use and costs'!$DZ$12:$DZ$25,MATCH(DA490,'Resource use and costs'!$DS$12:$DS$25,0)),0)*_xlfn.IFNA(INDEX(EA$10:EA$23,MATCH($DA490,$DX$10:$DX$23,0)),0))</f>
        <v>267.99172714285714</v>
      </c>
      <c r="DQ490" s="921">
        <f>IF(dd_PartSA_2_lines = "Yes",0,_xlfn.IFNA(INDEX('Resource use and costs'!$EA$12:$EA$25,MATCH(DB490,'Resource use and costs'!$DS$12:$DS$25,0)),0)*_xlfn.IFNA(INDEX(EC$10:EC$23,MATCH($DB490,$DX$10:$DX$23,0)),0))</f>
        <v>256.11457142857142</v>
      </c>
      <c r="DR490" s="921">
        <f t="shared" si="265"/>
        <v>9858.2668034857161</v>
      </c>
      <c r="DS490" s="1004">
        <f ca="1">SUMIFS('Safety parameters'!$DM$6:$DM$18,'Safety parameters'!$DK$6:$DK$18,CZ490,'Safety parameters'!$DL$6:$DL$18,1)+IF(dd_PartSA_2_lines = "Yes",0,SUMIFS('Safety parameters'!$DM$6:$DM$18,'Safety parameters'!$DK$6:$DK$18,DA490,'Safety parameters'!$DL$6:$DL$18,2)+SUMIFS('Safety parameters'!$DM$6:$DM$18,'Safety parameters'!$DK$6:$DK$18,DB490,'Safety parameters'!$DL$6:$DL$18,2))</f>
        <v>1967.1040569407746</v>
      </c>
      <c r="DT490" s="910">
        <f ca="1">SUMIFS('Safety parameters'!$DO$6:$DO$18,'Safety parameters'!$DK$6:$DK$18,CZ490,'Safety parameters'!$DL$6:$DL$18,1)+IF(dd_PartSA_2_lines = "Yes",0,SUMIFS('Safety parameters'!$DO$6:$DO$18,'Safety parameters'!$DK$6:$DK$18,DA490,'Safety parameters'!$DL$6:$DL$18,2)+SUMIFS('Safety parameters'!$DO$6:$DO$18,'Safety parameters'!$DK$6:$DK$18,DB490,'Safety parameters'!$DL$6:$DL$18,2))</f>
        <v>-1.7409497544119149E-2</v>
      </c>
    </row>
    <row r="491" spans="89:124" ht="15" x14ac:dyDescent="0.2">
      <c r="CK491" s="61" t="s">
        <v>31</v>
      </c>
      <c r="CL491" s="61">
        <v>4</v>
      </c>
      <c r="CM491" s="61" t="str">
        <v>tivozanib</v>
      </c>
      <c r="CN491" s="17">
        <v>6</v>
      </c>
      <c r="CO491" s="61" t="str" cm="1">
        <f t="array" ref="CO491">INDEX(List_comparators,CP490+1)</f>
        <v>lenvatinib_plus_pembrolizumab</v>
      </c>
      <c r="CP491" s="17">
        <v>3</v>
      </c>
      <c r="CQ491" s="601">
        <f t="shared" ca="1" si="267"/>
        <v>0</v>
      </c>
      <c r="CR491" s="601">
        <f t="shared" ca="1" si="268"/>
        <v>0</v>
      </c>
      <c r="CS491" s="601">
        <f t="shared" ca="1" si="269"/>
        <v>0</v>
      </c>
      <c r="CT491" s="669">
        <f t="shared" ca="1" si="270"/>
        <v>0</v>
      </c>
      <c r="CU491" s="1123">
        <f>MATCH(CZ498,'Resource use and costs'!$BA$11:$BA$53,0)</f>
        <v>1</v>
      </c>
      <c r="CV491" s="1223"/>
      <c r="CW491" s="1241">
        <f t="shared" si="260"/>
        <v>1</v>
      </c>
      <c r="CX491" s="899" t="s">
        <v>788</v>
      </c>
      <c r="CY491" s="899" t="s">
        <v>585</v>
      </c>
      <c r="CZ491" s="899" t="s">
        <v>579</v>
      </c>
      <c r="DA491" s="899" t="s">
        <v>765</v>
      </c>
      <c r="DB491" s="899"/>
      <c r="DC491" s="899" cm="1">
        <f t="array" aca="1" ref="DC491" ca="1">_xlfn.IFNA(OFFSET($I$49,MATCH(CY491,$I$50:$I$63,0),MATCH(CZ491,TRANSPOSE($J$49:$W$49),0)),0)</f>
        <v>0.36970000000000003</v>
      </c>
      <c r="DD491" s="899" cm="1">
        <f t="array" aca="1" ref="DD491" ca="1">_xlfn.IFNA(OFFSET($Y$49,MATCH($CZ491,$Y$50:$Y$63,0),MATCH($DA491,TRANSPOSE($Z$49:$AM$49),0)),0)</f>
        <v>0.3453</v>
      </c>
      <c r="DE491" s="899" cm="1">
        <f t="array" aca="1" ref="DE491" ca="1">_xlfn.IFNA(OFFSET($AO$49,MATCH($DA491,$AO$50:$AO$63,0),MATCH($DB491,TRANSPOSE($AP$49:$BC$49),0)),0)</f>
        <v>0</v>
      </c>
      <c r="DF491" s="881">
        <f t="shared" ca="1" si="262"/>
        <v>0.12765741</v>
      </c>
      <c r="DG491" s="910">
        <f t="shared" ca="1" si="259"/>
        <v>1</v>
      </c>
      <c r="DH491" s="881">
        <f t="shared" ca="1" si="263"/>
        <v>0.12765741</v>
      </c>
      <c r="DI491" s="1460">
        <f t="shared" ca="1" si="261"/>
        <v>29.871833939999998</v>
      </c>
      <c r="DJ491" s="909">
        <f>_xlfn.IFNA(INDEX('Resource use and costs'!$CQ$11:$CQ$53,MATCH($CZ491,'Resource use and costs'!$BA$11:$BA$53,0)),0)*_xlfn.IFNA(INDEX(DY$10:DY$23,MATCH($CZ491,$DX$10:$DX$23,0)),0)</f>
        <v>56693.786091428577</v>
      </c>
      <c r="DK491" s="909">
        <f>IF(dd_PartSA_2_lines = "Yes",0,_xlfn.IFNA(INDEX('Resource use and costs'!$CR$11:$CR$53,MATCH(DA491,'Resource use and costs'!$BA$11:$BA$53,0)),0)*_xlfn.IFNA(INDEX(EA$10:EA$23,MATCH($DA491,$DX$10:$DX$23,0)),0))</f>
        <v>0</v>
      </c>
      <c r="DL491" s="909">
        <f>IF(dd_PartSA_2_lines = "Yes",0,_xlfn.IFNA(INDEX('Resource use and costs'!$CS$11:$CS$53,MATCH(DB491,'Resource use and costs'!$BA$11:$BA$53,0)),0)*_xlfn.IFNA(INDEX(EC$10:EC$23,MATCH($DB491,$DX$10:$DX$23,0)),0))</f>
        <v>0</v>
      </c>
      <c r="DM491" s="909">
        <f t="shared" si="264"/>
        <v>56693.786091428577</v>
      </c>
      <c r="DN491" s="909">
        <f>SUM(_xlfn.IFNA(INDEX('Resource use and costs'!$DU$12:$DU$25,MATCH(CZ491,'Resource use and costs'!$DS$12:$DS$25,0)),0),_xlfn.IFNA(INDEX('Resource use and costs'!$DU$12:$DU$25,MATCH(DA491,'Resource use and costs'!$DS$12:$DS$25,0)),0),_xlfn.IFNA(INDEX('Resource use and costs'!$DU$12:$DU$25,MATCH(DB491,'Resource use and costs'!$DS$12:$DS$25,0)),0))</f>
        <v>0</v>
      </c>
      <c r="DO491" s="921">
        <f>_xlfn.IFNA(INDEX('Resource use and costs'!$DY$12:$DY$25,MATCH(CZ491,'Resource use and costs'!$DS$12:$DS$25,0)),0)*_xlfn.IFNA(INDEX(DY$10:DY$23,MATCH($CZ491,$DX$10:$DX$23,0)),0)</f>
        <v>8939.6605049142872</v>
      </c>
      <c r="DP491" s="921">
        <f>IF(dd_PartSA_2_lines = "Yes",0,_xlfn.IFNA(INDEX('Resource use and costs'!$DZ$12:$DZ$25,MATCH(DA491,'Resource use and costs'!$DS$12:$DS$25,0)),0)*_xlfn.IFNA(INDEX(EA$10:EA$23,MATCH($DA491,$DX$10:$DX$23,0)),0))</f>
        <v>0</v>
      </c>
      <c r="DQ491" s="921">
        <f>IF(dd_PartSA_2_lines = "Yes",0,_xlfn.IFNA(INDEX('Resource use and costs'!$EA$12:$EA$25,MATCH(DB491,'Resource use and costs'!$DS$12:$DS$25,0)),0)*_xlfn.IFNA(INDEX(EC$10:EC$23,MATCH($DB491,$DX$10:$DX$23,0)),0))</f>
        <v>0</v>
      </c>
      <c r="DR491" s="921">
        <f t="shared" si="265"/>
        <v>8939.6605049142872</v>
      </c>
      <c r="DS491" s="1004">
        <f>SUMIFS('Safety parameters'!$DM$6:$DM$18,'Safety parameters'!$DK$6:$DK$18,CZ491,'Safety parameters'!$DL$6:$DL$18,1)+IF(dd_PartSA_2_lines = "Yes",0,SUMIFS('Safety parameters'!$DM$6:$DM$18,'Safety parameters'!$DK$6:$DK$18,DA491,'Safety parameters'!$DL$6:$DL$18,2)+SUMIFS('Safety parameters'!$DM$6:$DM$18,'Safety parameters'!$DK$6:$DK$18,DB491,'Safety parameters'!$DL$6:$DL$18,2))</f>
        <v>0</v>
      </c>
      <c r="DT491" s="910">
        <f>SUMIFS('Safety parameters'!$DO$6:$DO$18,'Safety parameters'!$DK$6:$DK$18,CZ491,'Safety parameters'!$DL$6:$DL$18,1)+IF(dd_PartSA_2_lines = "Yes",0,SUMIFS('Safety parameters'!$DO$6:$DO$18,'Safety parameters'!$DK$6:$DK$18,DA491,'Safety parameters'!$DL$6:$DL$18,2)+SUMIFS('Safety parameters'!$DO$6:$DO$18,'Safety parameters'!$DK$6:$DK$18,DB491,'Safety parameters'!$DL$6:$DL$18,2))</f>
        <v>0</v>
      </c>
    </row>
    <row r="492" spans="89:124" ht="15" x14ac:dyDescent="0.2">
      <c r="CK492" s="61" t="s">
        <v>31</v>
      </c>
      <c r="CL492" s="61">
        <v>4</v>
      </c>
      <c r="CM492" s="61" t="str">
        <v>sunitinib</v>
      </c>
      <c r="CN492" s="17">
        <v>7</v>
      </c>
      <c r="CO492" s="61" t="str" cm="1">
        <f t="array" ref="CO492">INDEX(List_comparators,CP491+1)</f>
        <v>lenvatinib_plus_pembrolizumab</v>
      </c>
      <c r="CP492" s="17">
        <v>3</v>
      </c>
      <c r="CQ492" s="601">
        <f t="shared" ca="1" si="267"/>
        <v>0</v>
      </c>
      <c r="CR492" s="601">
        <f t="shared" ca="1" si="268"/>
        <v>0</v>
      </c>
      <c r="CS492" s="601">
        <f t="shared" ca="1" si="269"/>
        <v>0</v>
      </c>
      <c r="CT492" s="669">
        <f t="shared" ca="1" si="270"/>
        <v>0</v>
      </c>
      <c r="CU492" s="1123">
        <f>MATCH(CZ499,'Resource use and costs'!$BA$11:$BA$53,0)</f>
        <v>40</v>
      </c>
      <c r="CV492" s="1223"/>
      <c r="CW492" s="1241">
        <f t="shared" si="260"/>
        <v>1</v>
      </c>
      <c r="CX492" s="899" t="s">
        <v>788</v>
      </c>
      <c r="CY492" s="899" t="s">
        <v>585</v>
      </c>
      <c r="CZ492" s="899" t="s">
        <v>579</v>
      </c>
      <c r="DA492" s="899" t="s">
        <v>118</v>
      </c>
      <c r="DB492" s="899" t="s">
        <v>327</v>
      </c>
      <c r="DC492" s="899" cm="1">
        <f t="array" aca="1" ref="DC492" ca="1">_xlfn.IFNA(OFFSET($I$49,MATCH(CY492,$I$50:$I$63,0),MATCH(CZ492,TRANSPOSE($J$49:$W$49),0)),0)</f>
        <v>0.36970000000000003</v>
      </c>
      <c r="DD492" s="899">
        <f ca="1">1-DD489-DD491-DD495-DD497</f>
        <v>0.54340000000000011</v>
      </c>
      <c r="DE492" s="899" cm="1">
        <f t="array" aca="1" ref="DE492" ca="1">_xlfn.IFNA(OFFSET($AO$49,MATCH($DA492,$AO$50:$AO$63,0),MATCH($DB492,TRANSPOSE($AP$49:$BC$49),0)),0)</f>
        <v>0.38769999999999999</v>
      </c>
      <c r="DF492" s="881">
        <f t="shared" ca="1" si="262"/>
        <v>7.7886983746000019E-2</v>
      </c>
      <c r="DG492" s="910">
        <f t="shared" ca="1" si="259"/>
        <v>1</v>
      </c>
      <c r="DH492" s="881">
        <f t="shared" ca="1" si="263"/>
        <v>7.7886983746000019E-2</v>
      </c>
      <c r="DI492" s="1460">
        <f t="shared" ca="1" si="261"/>
        <v>18.225554196564005</v>
      </c>
      <c r="DJ492" s="909">
        <f>_xlfn.IFNA(INDEX('Resource use and costs'!$CQ$11:$CQ$53,MATCH($CZ492,'Resource use and costs'!$BA$11:$BA$53,0)),0)*_xlfn.IFNA(INDEX(DY$10:DY$23,MATCH($CZ492,$DX$10:$DX$23,0)),0)</f>
        <v>56693.786091428577</v>
      </c>
      <c r="DK492" s="909">
        <f>IF(dd_PartSA_2_lines = "Yes",0,_xlfn.IFNA(INDEX('Resource use and costs'!$CR$11:$CR$53,MATCH(DA492,'Resource use and costs'!$BA$11:$BA$53,0)),0)*_xlfn.IFNA(INDEX(EA$10:EA$23,MATCH($DA492,$DX$10:$DX$23,0)),0))</f>
        <v>50308.075122000002</v>
      </c>
      <c r="DL492" s="909">
        <f>IF(dd_PartSA_2_lines = "Yes",0,_xlfn.IFNA(INDEX('Resource use and costs'!$CS$11:$CS$53,MATCH(DB492,'Resource use and costs'!$BA$11:$BA$53,0)),0)*_xlfn.IFNA(INDEX(EC$10:EC$23,MATCH($DB492,$DX$10:$DX$23,0)),0))</f>
        <v>18438.751749999999</v>
      </c>
      <c r="DM492" s="909">
        <f t="shared" si="264"/>
        <v>125440.61296342858</v>
      </c>
      <c r="DN492" s="909">
        <f>SUM(_xlfn.IFNA(INDEX('Resource use and costs'!$DU$12:$DU$25,MATCH(CZ492,'Resource use and costs'!$DS$12:$DS$25,0)),0),_xlfn.IFNA(INDEX('Resource use and costs'!$DU$12:$DU$25,MATCH(DA492,'Resource use and costs'!$DS$12:$DS$25,0)),0),_xlfn.IFNA(INDEX('Resource use and costs'!$DU$12:$DU$25,MATCH(DB492,'Resource use and costs'!$DS$12:$DS$25,0)),0))</f>
        <v>394.5</v>
      </c>
      <c r="DO492" s="921">
        <f>_xlfn.IFNA(INDEX('Resource use and costs'!$DY$12:$DY$25,MATCH(CZ492,'Resource use and costs'!$DS$12:$DS$25,0)),0)*_xlfn.IFNA(INDEX(DY$10:DY$23,MATCH($CZ492,$DX$10:$DX$23,0)),0)</f>
        <v>8939.6605049142872</v>
      </c>
      <c r="DP492" s="921">
        <f>IF(dd_PartSA_2_lines = "Yes",0,_xlfn.IFNA(INDEX('Resource use and costs'!$DZ$12:$DZ$25,MATCH(DA492,'Resource use and costs'!$DS$12:$DS$25,0)),0)*_xlfn.IFNA(INDEX(EA$10:EA$23,MATCH($DA492,$DX$10:$DX$23,0)),0))</f>
        <v>461.1445457142857</v>
      </c>
      <c r="DQ492" s="921">
        <f>IF(dd_PartSA_2_lines = "Yes",0,_xlfn.IFNA(INDEX('Resource use and costs'!$EA$12:$EA$25,MATCH(DB492,'Resource use and costs'!$DS$12:$DS$25,0)),0)*_xlfn.IFNA(INDEX(EC$10:EC$23,MATCH($DB492,$DX$10:$DX$23,0)),0))</f>
        <v>230.68099999999998</v>
      </c>
      <c r="DR492" s="921">
        <f t="shared" si="265"/>
        <v>10025.986050628573</v>
      </c>
      <c r="DS492" s="1004">
        <f ca="1">SUMIFS('Safety parameters'!$DM$6:$DM$18,'Safety parameters'!$DK$6:$DK$18,CZ492,'Safety parameters'!$DL$6:$DL$18,1)+IF(dd_PartSA_2_lines = "Yes",0,SUMIFS('Safety parameters'!$DM$6:$DM$18,'Safety parameters'!$DK$6:$DK$18,DA492,'Safety parameters'!$DL$6:$DL$18,2)+SUMIFS('Safety parameters'!$DM$6:$DM$18,'Safety parameters'!$DK$6:$DK$18,DB492,'Safety parameters'!$DL$6:$DL$18,2))</f>
        <v>2377.8779733688434</v>
      </c>
      <c r="DT492" s="910">
        <f ca="1">SUMIFS('Safety parameters'!$DO$6:$DO$18,'Safety parameters'!$DK$6:$DK$18,CZ492,'Safety parameters'!$DL$6:$DL$18,1)+IF(dd_PartSA_2_lines = "Yes",0,SUMIFS('Safety parameters'!$DO$6:$DO$18,'Safety parameters'!$DK$6:$DK$18,DA492,'Safety parameters'!$DL$6:$DL$18,2)+SUMIFS('Safety parameters'!$DO$6:$DO$18,'Safety parameters'!$DK$6:$DK$18,DB492,'Safety parameters'!$DL$6:$DL$18,2))</f>
        <v>-2.1764250363717368E-2</v>
      </c>
    </row>
    <row r="493" spans="89:124" ht="15" x14ac:dyDescent="0.2">
      <c r="CK493" s="61" t="s">
        <v>31</v>
      </c>
      <c r="CL493" s="61">
        <v>4</v>
      </c>
      <c r="CM493" s="61" t="str">
        <v>cabozantinib</v>
      </c>
      <c r="CN493" s="17">
        <v>8</v>
      </c>
      <c r="CO493" s="61" t="str" cm="1">
        <f t="array" ref="CO493">INDEX(List_comparators,CP492+1)</f>
        <v>lenvatinib_plus_pembrolizumab</v>
      </c>
      <c r="CP493" s="17">
        <v>3</v>
      </c>
      <c r="CQ493" s="601">
        <f t="shared" ca="1" si="267"/>
        <v>0</v>
      </c>
      <c r="CR493" s="601">
        <f t="shared" ca="1" si="268"/>
        <v>0</v>
      </c>
      <c r="CS493" s="601">
        <f t="shared" ca="1" si="269"/>
        <v>0</v>
      </c>
      <c r="CT493" s="669">
        <f t="shared" ca="1" si="270"/>
        <v>0</v>
      </c>
      <c r="CU493" s="1123">
        <f>MATCH(CZ500,'Resource use and costs'!$BA$11:$BA$53,0)</f>
        <v>40</v>
      </c>
      <c r="CV493" s="1223"/>
      <c r="CW493" s="1241">
        <f t="shared" si="260"/>
        <v>1</v>
      </c>
      <c r="CX493" s="899" t="s">
        <v>788</v>
      </c>
      <c r="CY493" s="899" t="s">
        <v>585</v>
      </c>
      <c r="CZ493" s="899" t="s">
        <v>579</v>
      </c>
      <c r="DA493" s="899" t="s">
        <v>118</v>
      </c>
      <c r="DB493" s="899" t="s">
        <v>765</v>
      </c>
      <c r="DC493" s="899" cm="1">
        <f t="array" aca="1" ref="DC493" ca="1">_xlfn.IFNA(OFFSET($I$49,MATCH(CY493,$I$50:$I$63,0),MATCH(CZ493,TRANSPOSE($J$49:$W$49),0)),0)</f>
        <v>0.36970000000000003</v>
      </c>
      <c r="DD493" s="899">
        <f ca="1">DD492</f>
        <v>0.54340000000000011</v>
      </c>
      <c r="DE493" s="899" cm="1">
        <f t="array" aca="1" ref="DE493" ca="1">_xlfn.IFNA(OFFSET($AO$49,MATCH($DA493,$AO$50:$AO$63,0),MATCH($DB493,TRANSPOSE($AP$49:$BC$49),0)),0)</f>
        <v>0.43140000000000001</v>
      </c>
      <c r="DF493" s="881">
        <f t="shared" ca="1" si="262"/>
        <v>8.6666094372000027E-2</v>
      </c>
      <c r="DG493" s="910">
        <f t="shared" ca="1" si="259"/>
        <v>1</v>
      </c>
      <c r="DH493" s="881">
        <f t="shared" ca="1" si="263"/>
        <v>8.6666094372000027E-2</v>
      </c>
      <c r="DI493" s="1460">
        <f t="shared" ca="1" si="261"/>
        <v>20.279866083048006</v>
      </c>
      <c r="DJ493" s="909">
        <f>_xlfn.IFNA(INDEX('Resource use and costs'!$CQ$11:$CQ$53,MATCH($CZ493,'Resource use and costs'!$BA$11:$BA$53,0)),0)*_xlfn.IFNA(INDEX(DY$10:DY$23,MATCH($CZ493,$DX$10:$DX$23,0)),0)</f>
        <v>56693.786091428577</v>
      </c>
      <c r="DK493" s="909">
        <f>IF(dd_PartSA_2_lines = "Yes",0,_xlfn.IFNA(INDEX('Resource use and costs'!$CR$11:$CR$53,MATCH(DA493,'Resource use and costs'!$BA$11:$BA$53,0)),0)*_xlfn.IFNA(INDEX(EA$10:EA$23,MATCH($DA493,$DX$10:$DX$23,0)),0))</f>
        <v>50308.075122000002</v>
      </c>
      <c r="DL493" s="909">
        <f>IF(dd_PartSA_2_lines = "Yes",0,_xlfn.IFNA(INDEX('Resource use and costs'!$CS$11:$CS$53,MATCH(DB493,'Resource use and costs'!$BA$11:$BA$53,0)),0)*_xlfn.IFNA(INDEX(EC$10:EC$23,MATCH($DB493,$DX$10:$DX$23,0)),0))</f>
        <v>0</v>
      </c>
      <c r="DM493" s="909">
        <f t="shared" si="264"/>
        <v>107001.86121342858</v>
      </c>
      <c r="DN493" s="909">
        <f>SUM(_xlfn.IFNA(INDEX('Resource use and costs'!$DU$12:$DU$25,MATCH(CZ493,'Resource use and costs'!$DS$12:$DS$25,0)),0),_xlfn.IFNA(INDEX('Resource use and costs'!$DU$12:$DU$25,MATCH(DA493,'Resource use and costs'!$DS$12:$DS$25,0)),0),_xlfn.IFNA(INDEX('Resource use and costs'!$DU$12:$DU$25,MATCH(DB493,'Resource use and costs'!$DS$12:$DS$25,0)),0))</f>
        <v>197.25</v>
      </c>
      <c r="DO493" s="921">
        <f>_xlfn.IFNA(INDEX('Resource use and costs'!$DY$12:$DY$25,MATCH(CZ493,'Resource use and costs'!$DS$12:$DS$25,0)),0)*_xlfn.IFNA(INDEX(DY$10:DY$23,MATCH($CZ493,$DX$10:$DX$23,0)),0)</f>
        <v>8939.6605049142872</v>
      </c>
      <c r="DP493" s="921">
        <f>IF(dd_PartSA_2_lines = "Yes",0,_xlfn.IFNA(INDEX('Resource use and costs'!$DZ$12:$DZ$25,MATCH(DA493,'Resource use and costs'!$DS$12:$DS$25,0)),0)*_xlfn.IFNA(INDEX(EA$10:EA$23,MATCH($DA493,$DX$10:$DX$23,0)),0))</f>
        <v>461.1445457142857</v>
      </c>
      <c r="DQ493" s="921">
        <f>IF(dd_PartSA_2_lines = "Yes",0,_xlfn.IFNA(INDEX('Resource use and costs'!$EA$12:$EA$25,MATCH(DB493,'Resource use and costs'!$DS$12:$DS$25,0)),0)*_xlfn.IFNA(INDEX(EC$10:EC$23,MATCH($DB493,$DX$10:$DX$23,0)),0))</f>
        <v>0</v>
      </c>
      <c r="DR493" s="921">
        <f t="shared" si="265"/>
        <v>9598.0550506285726</v>
      </c>
      <c r="DS493" s="1004">
        <f ca="1">SUMIFS('Safety parameters'!$DM$6:$DM$18,'Safety parameters'!$DK$6:$DK$18,CZ493,'Safety parameters'!$DL$6:$DL$18,1)+IF(dd_PartSA_2_lines = "Yes",0,SUMIFS('Safety parameters'!$DM$6:$DM$18,'Safety parameters'!$DK$6:$DK$18,DA493,'Safety parameters'!$DL$6:$DL$18,2)+SUMIFS('Safety parameters'!$DM$6:$DM$18,'Safety parameters'!$DK$6:$DK$18,DB493,'Safety parameters'!$DL$6:$DL$18,2))</f>
        <v>743.64929980338343</v>
      </c>
      <c r="DT493" s="910">
        <f ca="1">SUMIFS('Safety parameters'!$DO$6:$DO$18,'Safety parameters'!$DK$6:$DK$18,CZ493,'Safety parameters'!$DL$6:$DL$18,1)+IF(dd_PartSA_2_lines = "Yes",0,SUMIFS('Safety parameters'!$DO$6:$DO$18,'Safety parameters'!$DK$6:$DK$18,DA493,'Safety parameters'!$DL$6:$DL$18,2)+SUMIFS('Safety parameters'!$DO$6:$DO$18,'Safety parameters'!$DK$6:$DK$18,DB493,'Safety parameters'!$DL$6:$DL$18,2))</f>
        <v>-7.0223263562359372E-3</v>
      </c>
    </row>
    <row r="494" spans="89:124" ht="15" x14ac:dyDescent="0.2">
      <c r="CK494" s="61" t="s">
        <v>31</v>
      </c>
      <c r="CL494" s="61">
        <v>4</v>
      </c>
      <c r="CM494" s="61" t="str">
        <v>lenvatinib_plus_everolimus</v>
      </c>
      <c r="CN494" s="17">
        <v>9</v>
      </c>
      <c r="CO494" s="61" t="str" cm="1">
        <f t="array" ref="CO494">INDEX(List_comparators,CP493+1)</f>
        <v>lenvatinib_plus_pembrolizumab</v>
      </c>
      <c r="CP494" s="17">
        <v>3</v>
      </c>
      <c r="CQ494" s="601">
        <f t="shared" ca="1" si="267"/>
        <v>0</v>
      </c>
      <c r="CR494" s="601">
        <f t="shared" ca="1" si="268"/>
        <v>0</v>
      </c>
      <c r="CS494" s="601">
        <f t="shared" ca="1" si="269"/>
        <v>0</v>
      </c>
      <c r="CT494" s="669">
        <f t="shared" ca="1" si="270"/>
        <v>0</v>
      </c>
      <c r="CU494" s="1123">
        <f>MATCH(CZ501,'Resource use and costs'!$BA$11:$BA$53,0)</f>
        <v>40</v>
      </c>
      <c r="CV494" s="1223"/>
      <c r="CW494" s="1241">
        <f t="shared" si="260"/>
        <v>1</v>
      </c>
      <c r="CX494" s="899" t="s">
        <v>788</v>
      </c>
      <c r="CY494" s="899" t="s">
        <v>585</v>
      </c>
      <c r="CZ494" s="899" t="s">
        <v>579</v>
      </c>
      <c r="DA494" s="899" t="s">
        <v>118</v>
      </c>
      <c r="DB494" s="899" t="s">
        <v>119</v>
      </c>
      <c r="DC494" s="899" cm="1">
        <f t="array" aca="1" ref="DC494" ca="1">_xlfn.IFNA(OFFSET($I$49,MATCH(CY494,$I$50:$I$63,0),MATCH(CZ494,TRANSPOSE($J$49:$W$49),0)),0)</f>
        <v>0.36970000000000003</v>
      </c>
      <c r="DD494" s="899">
        <f ca="1">DD493</f>
        <v>0.54340000000000011</v>
      </c>
      <c r="DE494" s="899" cm="1">
        <f t="array" aca="1" ref="DE494" ca="1">_xlfn.IFNA(OFFSET($AO$49,MATCH($DA494,$AO$50:$AO$63,0),MATCH($DB494,TRANSPOSE($AP$49:$BC$49),0)),0)</f>
        <v>0.18090000000000001</v>
      </c>
      <c r="DF494" s="881">
        <f t="shared" ca="1" si="262"/>
        <v>3.6341901882000011E-2</v>
      </c>
      <c r="DG494" s="910">
        <f t="shared" ca="1" si="259"/>
        <v>1</v>
      </c>
      <c r="DH494" s="881">
        <f t="shared" ca="1" si="263"/>
        <v>3.6341901882000011E-2</v>
      </c>
      <c r="DI494" s="1460">
        <f t="shared" ca="1" si="261"/>
        <v>8.5040050403880016</v>
      </c>
      <c r="DJ494" s="909">
        <f>_xlfn.IFNA(INDEX('Resource use and costs'!$CQ$11:$CQ$53,MATCH($CZ494,'Resource use and costs'!$BA$11:$BA$53,0)),0)*_xlfn.IFNA(INDEX(DY$10:DY$23,MATCH($CZ494,$DX$10:$DX$23,0)),0)</f>
        <v>56693.786091428577</v>
      </c>
      <c r="DK494" s="909">
        <f>IF(dd_PartSA_2_lines = "Yes",0,_xlfn.IFNA(INDEX('Resource use and costs'!$CR$11:$CR$53,MATCH(DA494,'Resource use and costs'!$BA$11:$BA$53,0)),0)*_xlfn.IFNA(INDEX(EA$10:EA$23,MATCH($DA494,$DX$10:$DX$23,0)),0))</f>
        <v>50308.075122000002</v>
      </c>
      <c r="DL494" s="909">
        <f>IF(dd_PartSA_2_lines = "Yes",0,_xlfn.IFNA(INDEX('Resource use and costs'!$CS$11:$CS$53,MATCH(DB494,'Resource use and costs'!$BA$11:$BA$53,0)),0)*_xlfn.IFNA(INDEX(EC$10:EC$23,MATCH($DB494,$DX$10:$DX$23,0)),0))</f>
        <v>2915.4763433333328</v>
      </c>
      <c r="DM494" s="909">
        <f t="shared" si="264"/>
        <v>109917.33755676191</v>
      </c>
      <c r="DN494" s="909">
        <f>SUM(_xlfn.IFNA(INDEX('Resource use and costs'!$DU$12:$DU$25,MATCH(CZ494,'Resource use and costs'!$DS$12:$DS$25,0)),0),_xlfn.IFNA(INDEX('Resource use and costs'!$DU$12:$DU$25,MATCH(DA494,'Resource use and costs'!$DS$12:$DS$25,0)),0),_xlfn.IFNA(INDEX('Resource use and costs'!$DU$12:$DU$25,MATCH(DB494,'Resource use and costs'!$DS$12:$DS$25,0)),0))</f>
        <v>394.5</v>
      </c>
      <c r="DO494" s="921">
        <f>_xlfn.IFNA(INDEX('Resource use and costs'!$DY$12:$DY$25,MATCH(CZ494,'Resource use and costs'!$DS$12:$DS$25,0)),0)*_xlfn.IFNA(INDEX(DY$10:DY$23,MATCH($CZ494,$DX$10:$DX$23,0)),0)</f>
        <v>8939.6605049142872</v>
      </c>
      <c r="DP494" s="921">
        <f>IF(dd_PartSA_2_lines = "Yes",0,_xlfn.IFNA(INDEX('Resource use and costs'!$DZ$12:$DZ$25,MATCH(DA494,'Resource use and costs'!$DS$12:$DS$25,0)),0)*_xlfn.IFNA(INDEX(EA$10:EA$23,MATCH($DA494,$DX$10:$DX$23,0)),0))</f>
        <v>461.1445457142857</v>
      </c>
      <c r="DQ494" s="921">
        <f>IF(dd_PartSA_2_lines = "Yes",0,_xlfn.IFNA(INDEX('Resource use and costs'!$EA$12:$EA$25,MATCH(DB494,'Resource use and costs'!$DS$12:$DS$25,0)),0)*_xlfn.IFNA(INDEX(EC$10:EC$23,MATCH($DB494,$DX$10:$DX$23,0)),0))</f>
        <v>256.11457142857142</v>
      </c>
      <c r="DR494" s="921">
        <f t="shared" si="265"/>
        <v>10051.419622057145</v>
      </c>
      <c r="DS494" s="1004">
        <f ca="1">SUMIFS('Safety parameters'!$DM$6:$DM$18,'Safety parameters'!$DK$6:$DK$18,CZ494,'Safety parameters'!$DL$6:$DL$18,1)+IF(dd_PartSA_2_lines = "Yes",0,SUMIFS('Safety parameters'!$DM$6:$DM$18,'Safety parameters'!$DK$6:$DK$18,DA494,'Safety parameters'!$DL$6:$DL$18,2)+SUMIFS('Safety parameters'!$DM$6:$DM$18,'Safety parameters'!$DK$6:$DK$18,DB494,'Safety parameters'!$DL$6:$DL$18,2))</f>
        <v>1076.5246831786983</v>
      </c>
      <c r="DT494" s="910">
        <f ca="1">SUMIFS('Safety parameters'!$DO$6:$DO$18,'Safety parameters'!$DK$6:$DK$18,CZ494,'Safety parameters'!$DL$6:$DL$18,1)+IF(dd_PartSA_2_lines = "Yes",0,SUMIFS('Safety parameters'!$DO$6:$DO$18,'Safety parameters'!$DK$6:$DK$18,DA494,'Safety parameters'!$DL$6:$DL$18,2)+SUMIFS('Safety parameters'!$DO$6:$DO$18,'Safety parameters'!$DK$6:$DK$18,DB494,'Safety parameters'!$DL$6:$DL$18,2))</f>
        <v>-9.689899892873657E-3</v>
      </c>
    </row>
    <row r="495" spans="89:124" ht="15" x14ac:dyDescent="0.2">
      <c r="CK495" s="61" t="s">
        <v>31</v>
      </c>
      <c r="CL495" s="61">
        <v>4</v>
      </c>
      <c r="CM495" s="61" t="str">
        <v>everolimus</v>
      </c>
      <c r="CN495" s="17">
        <v>10</v>
      </c>
      <c r="CO495" s="61" t="str" cm="1">
        <f t="array" ref="CO495">INDEX(List_comparators,CP494+1)</f>
        <v>lenvatinib_plus_pembrolizumab</v>
      </c>
      <c r="CP495" s="17">
        <v>3</v>
      </c>
      <c r="CQ495" s="601">
        <f t="shared" ca="1" si="267"/>
        <v>0</v>
      </c>
      <c r="CR495" s="601">
        <f t="shared" ca="1" si="268"/>
        <v>0</v>
      </c>
      <c r="CS495" s="601">
        <f t="shared" ca="1" si="269"/>
        <v>0</v>
      </c>
      <c r="CT495" s="669">
        <f t="shared" ca="1" si="270"/>
        <v>0</v>
      </c>
      <c r="CU495" s="1123">
        <f>MATCH(CZ502,'Resource use and costs'!$BA$11:$BA$53,0)</f>
        <v>40</v>
      </c>
      <c r="CV495" s="1223"/>
      <c r="CW495" s="1241">
        <f t="shared" si="260"/>
        <v>1</v>
      </c>
      <c r="CX495" s="899" t="s">
        <v>788</v>
      </c>
      <c r="CY495" s="899" t="s">
        <v>585</v>
      </c>
      <c r="CZ495" s="899" t="s">
        <v>579</v>
      </c>
      <c r="DA495" s="899" t="s">
        <v>119</v>
      </c>
      <c r="DB495" s="899" t="s">
        <v>327</v>
      </c>
      <c r="DC495" s="899" cm="1">
        <f t="array" aca="1" ref="DC495" ca="1">_xlfn.IFNA(OFFSET($I$49,MATCH(CY495,$I$50:$I$63,0),MATCH(CZ495,TRANSPOSE($J$49:$W$49),0)),0)</f>
        <v>0.36970000000000003</v>
      </c>
      <c r="DD495" s="899" cm="1">
        <f t="array" aca="1" ref="DD495" ca="1">_xlfn.IFNA(OFFSET($Y$49,MATCH($CZ495,$Y$50:$Y$63,0),MATCH($DA495,TRANSPOSE($Z$49:$AM$49),0)),0)</f>
        <v>6.4999999999999997E-3</v>
      </c>
      <c r="DE495" s="899" cm="1">
        <f t="array" aca="1" ref="DE495" ca="1">_xlfn.IFNA(OFFSET($AO$49,MATCH($DA495,$AO$50:$AO$63,0),MATCH($DB495,TRANSPOSE($AP$49:$BC$49),0)),0)</f>
        <v>0</v>
      </c>
      <c r="DF495" s="881">
        <f t="shared" ca="1" si="262"/>
        <v>0</v>
      </c>
      <c r="DG495" s="910">
        <f t="shared" ca="1" si="259"/>
        <v>1</v>
      </c>
      <c r="DH495" s="881">
        <f t="shared" ca="1" si="263"/>
        <v>0</v>
      </c>
      <c r="DI495" s="1460">
        <f t="shared" ca="1" si="261"/>
        <v>0</v>
      </c>
      <c r="DJ495" s="909">
        <f>_xlfn.IFNA(INDEX('Resource use and costs'!$CQ$11:$CQ$53,MATCH($CZ495,'Resource use and costs'!$BA$11:$BA$53,0)),0)*_xlfn.IFNA(INDEX(DY$10:DY$23,MATCH($CZ495,$DX$10:$DX$23,0)),0)</f>
        <v>56693.786091428577</v>
      </c>
      <c r="DK495" s="909">
        <f>IF(dd_PartSA_2_lines = "Yes",0,_xlfn.IFNA(INDEX('Resource use and costs'!$CR$11:$CR$53,MATCH(DA495,'Resource use and costs'!$BA$11:$BA$53,0)),0)*_xlfn.IFNA(INDEX(EA$10:EA$23,MATCH($DA495,$DX$10:$DX$23,0)),0))</f>
        <v>848.17532499999982</v>
      </c>
      <c r="DL495" s="909">
        <f>IF(dd_PartSA_2_lines = "Yes",0,_xlfn.IFNA(INDEX('Resource use and costs'!$CS$11:$CS$53,MATCH(DB495,'Resource use and costs'!$BA$11:$BA$53,0)),0)*_xlfn.IFNA(INDEX(EC$10:EC$23,MATCH($DB495,$DX$10:$DX$23,0)),0))</f>
        <v>18438.751749999999</v>
      </c>
      <c r="DM495" s="909">
        <f t="shared" si="264"/>
        <v>75980.71316642857</v>
      </c>
      <c r="DN495" s="909">
        <f>SUM(_xlfn.IFNA(INDEX('Resource use and costs'!$DU$12:$DU$25,MATCH(CZ495,'Resource use and costs'!$DS$12:$DS$25,0)),0),_xlfn.IFNA(INDEX('Resource use and costs'!$DU$12:$DU$25,MATCH(DA495,'Resource use and costs'!$DS$12:$DS$25,0)),0),_xlfn.IFNA(INDEX('Resource use and costs'!$DU$12:$DU$25,MATCH(DB495,'Resource use and costs'!$DS$12:$DS$25,0)),0))</f>
        <v>394.5</v>
      </c>
      <c r="DO495" s="921">
        <f>_xlfn.IFNA(INDEX('Resource use and costs'!$DY$12:$DY$25,MATCH(CZ495,'Resource use and costs'!$DS$12:$DS$25,0)),0)*_xlfn.IFNA(INDEX(DY$10:DY$23,MATCH($CZ495,$DX$10:$DX$23,0)),0)</f>
        <v>8939.6605049142872</v>
      </c>
      <c r="DP495" s="921">
        <f>IF(dd_PartSA_2_lines = "Yes",0,_xlfn.IFNA(INDEX('Resource use and costs'!$DZ$12:$DZ$25,MATCH(DA495,'Resource use and costs'!$DS$12:$DS$25,0)),0)*_xlfn.IFNA(INDEX(EA$10:EA$23,MATCH($DA495,$DX$10:$DX$23,0)),0))</f>
        <v>74.50928571428571</v>
      </c>
      <c r="DQ495" s="921">
        <f>IF(dd_PartSA_2_lines = "Yes",0,_xlfn.IFNA(INDEX('Resource use and costs'!$EA$12:$EA$25,MATCH(DB495,'Resource use and costs'!$DS$12:$DS$25,0)),0)*_xlfn.IFNA(INDEX(EC$10:EC$23,MATCH($DB495,$DX$10:$DX$23,0)),0))</f>
        <v>230.68099999999998</v>
      </c>
      <c r="DR495" s="921">
        <f t="shared" si="265"/>
        <v>9639.350790628574</v>
      </c>
      <c r="DS495" s="1004">
        <f ca="1">SUMIFS('Safety parameters'!$DM$6:$DM$18,'Safety parameters'!$DK$6:$DK$18,CZ495,'Safety parameters'!$DL$6:$DL$18,1)+IF(dd_PartSA_2_lines = "Yes",0,SUMIFS('Safety parameters'!$DM$6:$DM$18,'Safety parameters'!$DK$6:$DK$18,DA495,'Safety parameters'!$DL$6:$DL$18,2)+SUMIFS('Safety parameters'!$DM$6:$DM$18,'Safety parameters'!$DK$6:$DK$18,DB495,'Safety parameters'!$DL$6:$DL$18,2))</f>
        <v>1967.1040569407746</v>
      </c>
      <c r="DT495" s="910">
        <f ca="1">SUMIFS('Safety parameters'!$DO$6:$DO$18,'Safety parameters'!$DK$6:$DK$18,CZ495,'Safety parameters'!$DL$6:$DL$18,1)+IF(dd_PartSA_2_lines = "Yes",0,SUMIFS('Safety parameters'!$DO$6:$DO$18,'Safety parameters'!$DK$6:$DK$18,DA495,'Safety parameters'!$DL$6:$DL$18,2)+SUMIFS('Safety parameters'!$DO$6:$DO$18,'Safety parameters'!$DK$6:$DK$18,DB495,'Safety parameters'!$DL$6:$DL$18,2))</f>
        <v>-1.7409497544119149E-2</v>
      </c>
    </row>
    <row r="496" spans="89:124" ht="15" x14ac:dyDescent="0.2">
      <c r="CK496" s="61" t="s">
        <v>31</v>
      </c>
      <c r="CL496" s="61">
        <v>4</v>
      </c>
      <c r="CM496" s="61" t="str">
        <v>axitinib</v>
      </c>
      <c r="CN496" s="17">
        <v>11</v>
      </c>
      <c r="CO496" s="61" t="str" cm="1">
        <f t="array" ref="CO496">INDEX(List_comparators,CP495+1)</f>
        <v>lenvatinib_plus_pembrolizumab</v>
      </c>
      <c r="CP496" s="17">
        <v>3</v>
      </c>
      <c r="CQ496" s="601">
        <f t="shared" ca="1" si="267"/>
        <v>0</v>
      </c>
      <c r="CR496" s="601">
        <f t="shared" ca="1" si="268"/>
        <v>0</v>
      </c>
      <c r="CS496" s="601">
        <f t="shared" ca="1" si="269"/>
        <v>0</v>
      </c>
      <c r="CT496" s="669">
        <f t="shared" ca="1" si="270"/>
        <v>0</v>
      </c>
      <c r="CU496" s="1123">
        <f>MATCH(CZ503,'Resource use and costs'!$BA$11:$BA$53,0)</f>
        <v>40</v>
      </c>
      <c r="CV496" s="1223"/>
      <c r="CW496" s="1241">
        <f t="shared" si="260"/>
        <v>1</v>
      </c>
      <c r="CX496" s="899" t="s">
        <v>788</v>
      </c>
      <c r="CY496" s="899" t="s">
        <v>585</v>
      </c>
      <c r="CZ496" s="899" t="s">
        <v>579</v>
      </c>
      <c r="DA496" s="899" t="s">
        <v>119</v>
      </c>
      <c r="DB496" s="899" t="s">
        <v>765</v>
      </c>
      <c r="DC496" s="899" cm="1">
        <f t="array" aca="1" ref="DC496" ca="1">_xlfn.IFNA(OFFSET($I$49,MATCH(CY496,$I$50:$I$63,0),MATCH(CZ496,TRANSPOSE($J$49:$W$49),0)),0)</f>
        <v>0.36970000000000003</v>
      </c>
      <c r="DD496" s="899" cm="1">
        <f t="array" aca="1" ref="DD496" ca="1">_xlfn.IFNA(OFFSET($Y$49,MATCH($CZ496,$Y$50:$Y$63,0),MATCH($DA496,TRANSPOSE($Z$49:$AM$49),0)),0)</f>
        <v>6.4999999999999997E-3</v>
      </c>
      <c r="DE496" s="899" cm="1">
        <f t="array" aca="1" ref="DE496" ca="1">_xlfn.IFNA(OFFSET($AO$49,MATCH($DA496,$AO$50:$AO$63,0),MATCH($DB496,TRANSPOSE($AP$49:$BC$49),0)),0)</f>
        <v>1</v>
      </c>
      <c r="DF496" s="881">
        <f t="shared" ca="1" si="262"/>
        <v>2.4030499999999999E-3</v>
      </c>
      <c r="DG496" s="910">
        <f t="shared" ca="1" si="259"/>
        <v>1</v>
      </c>
      <c r="DH496" s="881">
        <f t="shared" ca="1" si="263"/>
        <v>2.4030499999999999E-3</v>
      </c>
      <c r="DI496" s="1460">
        <f t="shared" ca="1" si="261"/>
        <v>0.56231370000000003</v>
      </c>
      <c r="DJ496" s="909">
        <f>_xlfn.IFNA(INDEX('Resource use and costs'!$CQ$11:$CQ$53,MATCH($CZ496,'Resource use and costs'!$BA$11:$BA$53,0)),0)*_xlfn.IFNA(INDEX(DY$10:DY$23,MATCH($CZ496,$DX$10:$DX$23,0)),0)</f>
        <v>56693.786091428577</v>
      </c>
      <c r="DK496" s="909">
        <f>IF(dd_PartSA_2_lines = "Yes",0,_xlfn.IFNA(INDEX('Resource use and costs'!$CR$11:$CR$53,MATCH(DA496,'Resource use and costs'!$BA$11:$BA$53,0)),0)*_xlfn.IFNA(INDEX(EA$10:EA$23,MATCH($DA496,$DX$10:$DX$23,0)),0))</f>
        <v>848.17532499999982</v>
      </c>
      <c r="DL496" s="909">
        <f>IF(dd_PartSA_2_lines = "Yes",0,_xlfn.IFNA(INDEX('Resource use and costs'!$CS$11:$CS$53,MATCH(DB496,'Resource use and costs'!$BA$11:$BA$53,0)),0)*_xlfn.IFNA(INDEX(EC$10:EC$23,MATCH($DB496,$DX$10:$DX$23,0)),0))</f>
        <v>0</v>
      </c>
      <c r="DM496" s="909">
        <f t="shared" si="264"/>
        <v>57541.961416428574</v>
      </c>
      <c r="DN496" s="909">
        <f>SUM(_xlfn.IFNA(INDEX('Resource use and costs'!$DU$12:$DU$25,MATCH(CZ496,'Resource use and costs'!$DS$12:$DS$25,0)),0),_xlfn.IFNA(INDEX('Resource use and costs'!$DU$12:$DU$25,MATCH(DA496,'Resource use and costs'!$DS$12:$DS$25,0)),0),_xlfn.IFNA(INDEX('Resource use and costs'!$DU$12:$DU$25,MATCH(DB496,'Resource use and costs'!$DS$12:$DS$25,0)),0))</f>
        <v>197.25</v>
      </c>
      <c r="DO496" s="921">
        <f>_xlfn.IFNA(INDEX('Resource use and costs'!$DY$12:$DY$25,MATCH(CZ496,'Resource use and costs'!$DS$12:$DS$25,0)),0)*_xlfn.IFNA(INDEX(DY$10:DY$23,MATCH($CZ496,$DX$10:$DX$23,0)),0)</f>
        <v>8939.6605049142872</v>
      </c>
      <c r="DP496" s="921">
        <f>IF(dd_PartSA_2_lines = "Yes",0,_xlfn.IFNA(INDEX('Resource use and costs'!$DZ$12:$DZ$25,MATCH(DA496,'Resource use and costs'!$DS$12:$DS$25,0)),0)*_xlfn.IFNA(INDEX(EA$10:EA$23,MATCH($DA496,$DX$10:$DX$23,0)),0))</f>
        <v>74.50928571428571</v>
      </c>
      <c r="DQ496" s="921">
        <f>IF(dd_PartSA_2_lines = "Yes",0,_xlfn.IFNA(INDEX('Resource use and costs'!$EA$12:$EA$25,MATCH(DB496,'Resource use and costs'!$DS$12:$DS$25,0)),0)*_xlfn.IFNA(INDEX(EC$10:EC$23,MATCH($DB496,$DX$10:$DX$23,0)),0))</f>
        <v>0</v>
      </c>
      <c r="DR496" s="921">
        <f t="shared" si="265"/>
        <v>9211.4197906285735</v>
      </c>
      <c r="DS496" s="1004">
        <f ca="1">SUMIFS('Safety parameters'!$DM$6:$DM$18,'Safety parameters'!$DK$6:$DK$18,CZ496,'Safety parameters'!$DL$6:$DL$18,1)+IF(dd_PartSA_2_lines = "Yes",0,SUMIFS('Safety parameters'!$DM$6:$DM$18,'Safety parameters'!$DK$6:$DK$18,DA496,'Safety parameters'!$DL$6:$DL$18,2)+SUMIFS('Safety parameters'!$DM$6:$DM$18,'Safety parameters'!$DK$6:$DK$18,DB496,'Safety parameters'!$DL$6:$DL$18,2))</f>
        <v>332.87538337531487</v>
      </c>
      <c r="DT496" s="910">
        <f ca="1">SUMIFS('Safety parameters'!$DO$6:$DO$18,'Safety parameters'!$DK$6:$DK$18,CZ496,'Safety parameters'!$DL$6:$DL$18,1)+IF(dd_PartSA_2_lines = "Yes",0,SUMIFS('Safety parameters'!$DO$6:$DO$18,'Safety parameters'!$DK$6:$DK$18,DA496,'Safety parameters'!$DL$6:$DL$18,2)+SUMIFS('Safety parameters'!$DO$6:$DO$18,'Safety parameters'!$DK$6:$DK$18,DB496,'Safety parameters'!$DL$6:$DL$18,2))</f>
        <v>-2.6675735366377194E-3</v>
      </c>
    </row>
    <row r="497" spans="89:124" ht="15" x14ac:dyDescent="0.2">
      <c r="CK497" s="61" t="s">
        <v>31</v>
      </c>
      <c r="CL497" s="61">
        <v>4</v>
      </c>
      <c r="CM497" s="61" t="str">
        <v>sorafenib</v>
      </c>
      <c r="CN497" s="17">
        <v>12</v>
      </c>
      <c r="CO497" s="61" t="str" cm="1">
        <f t="array" ref="CO497">INDEX(List_comparators,CP496+1)</f>
        <v>lenvatinib_plus_pembrolizumab</v>
      </c>
      <c r="CP497" s="17">
        <v>3</v>
      </c>
      <c r="CQ497" s="601">
        <f t="shared" ca="1" si="267"/>
        <v>0</v>
      </c>
      <c r="CR497" s="601">
        <f t="shared" ca="1" si="268"/>
        <v>0</v>
      </c>
      <c r="CS497" s="601">
        <f t="shared" ca="1" si="269"/>
        <v>0</v>
      </c>
      <c r="CT497" s="669">
        <f t="shared" ca="1" si="270"/>
        <v>0</v>
      </c>
      <c r="CU497" s="1123">
        <f>MATCH(CZ504,'Resource use and costs'!$BA$11:$BA$53,0)</f>
        <v>40</v>
      </c>
      <c r="CV497" s="1223"/>
      <c r="CW497" s="1241">
        <f t="shared" si="260"/>
        <v>1</v>
      </c>
      <c r="CX497" s="899" t="s">
        <v>788</v>
      </c>
      <c r="CY497" s="899" t="s">
        <v>585</v>
      </c>
      <c r="CZ497" s="899" t="s">
        <v>579</v>
      </c>
      <c r="DA497" s="899" t="s">
        <v>333</v>
      </c>
      <c r="DB497" s="899" t="s">
        <v>327</v>
      </c>
      <c r="DC497" s="899" cm="1">
        <f t="array" aca="1" ref="DC497" ca="1">_xlfn.IFNA(OFFSET($I$49,MATCH(CY497,$I$50:$I$63,0),MATCH(CZ497,TRANSPOSE($J$49:$W$49),0)),0)</f>
        <v>0.36970000000000003</v>
      </c>
      <c r="DD497" s="899" cm="1">
        <f t="array" aca="1" ref="DD497" ca="1">_xlfn.IFNA(OFFSET($Y$49,MATCH($CZ497,$Y$50:$Y$63,0),MATCH($DA497,TRANSPOSE($Z$49:$AM$49),0)),0)</f>
        <v>5.2400000000000002E-2</v>
      </c>
      <c r="DE497" s="899" cm="1">
        <f t="array" aca="1" ref="DE497" ca="1">_xlfn.IFNA(OFFSET($AO$49,MATCH($DA497,$AO$50:$AO$63,0),MATCH($DB497,TRANSPOSE($AP$49:$BC$49),0)),0)</f>
        <v>0.56859999999999999</v>
      </c>
      <c r="DF497" s="881">
        <f t="shared" ca="1" si="262"/>
        <v>1.1015078408000001E-2</v>
      </c>
      <c r="DG497" s="910">
        <f t="shared" ca="1" si="259"/>
        <v>1</v>
      </c>
      <c r="DH497" s="881">
        <f t="shared" ca="1" si="263"/>
        <v>1.1015078408000001E-2</v>
      </c>
      <c r="DI497" s="1460">
        <f t="shared" ca="1" si="261"/>
        <v>2.5775283474720001</v>
      </c>
      <c r="DJ497" s="909">
        <f>_xlfn.IFNA(INDEX('Resource use and costs'!$CQ$11:$CQ$53,MATCH($CZ497,'Resource use and costs'!$BA$11:$BA$53,0)),0)*_xlfn.IFNA(INDEX(DY$10:DY$23,MATCH($CZ497,$DX$10:$DX$23,0)),0)</f>
        <v>56693.786091428577</v>
      </c>
      <c r="DK497" s="909">
        <f>IF(dd_PartSA_2_lines = "Yes",0,_xlfn.IFNA(INDEX('Resource use and costs'!$CR$11:$CR$53,MATCH(DA497,'Resource use and costs'!$BA$11:$BA$53,0)),0)*_xlfn.IFNA(INDEX(EA$10:EA$23,MATCH($DA497,$DX$10:$DX$23,0)),0))</f>
        <v>24337.716731999997</v>
      </c>
      <c r="DL497" s="909">
        <f>IF(dd_PartSA_2_lines = "Yes",0,_xlfn.IFNA(INDEX('Resource use and costs'!$CS$11:$CS$53,MATCH(DB497,'Resource use and costs'!$BA$11:$BA$53,0)),0)*_xlfn.IFNA(INDEX(EC$10:EC$23,MATCH($DB497,$DX$10:$DX$23,0)),0))</f>
        <v>18438.751749999999</v>
      </c>
      <c r="DM497" s="909">
        <f t="shared" si="264"/>
        <v>99470.254573428567</v>
      </c>
      <c r="DN497" s="909">
        <f>SUM(_xlfn.IFNA(INDEX('Resource use and costs'!$DU$12:$DU$25,MATCH(CZ497,'Resource use and costs'!$DS$12:$DS$25,0)),0),_xlfn.IFNA(INDEX('Resource use and costs'!$DU$12:$DU$25,MATCH(DA497,'Resource use and costs'!$DS$12:$DS$25,0)),0),_xlfn.IFNA(INDEX('Resource use and costs'!$DU$12:$DU$25,MATCH(DB497,'Resource use and costs'!$DS$12:$DS$25,0)),0))</f>
        <v>394.5</v>
      </c>
      <c r="DO497" s="921">
        <f>_xlfn.IFNA(INDEX('Resource use and costs'!$DY$12:$DY$25,MATCH(CZ497,'Resource use and costs'!$DS$12:$DS$25,0)),0)*_xlfn.IFNA(INDEX(DY$10:DY$23,MATCH($CZ497,$DX$10:$DX$23,0)),0)</f>
        <v>8939.6605049142872</v>
      </c>
      <c r="DP497" s="921">
        <f>IF(dd_PartSA_2_lines = "Yes",0,_xlfn.IFNA(INDEX('Resource use and costs'!$DZ$12:$DZ$25,MATCH(DA497,'Resource use and costs'!$DS$12:$DS$25,0)),0)*_xlfn.IFNA(INDEX(EA$10:EA$23,MATCH($DA497,$DX$10:$DX$23,0)),0))</f>
        <v>363.04714285714283</v>
      </c>
      <c r="DQ497" s="921">
        <f>IF(dd_PartSA_2_lines = "Yes",0,_xlfn.IFNA(INDEX('Resource use and costs'!$EA$12:$EA$25,MATCH(DB497,'Resource use and costs'!$DS$12:$DS$25,0)),0)*_xlfn.IFNA(INDEX(EC$10:EC$23,MATCH($DB497,$DX$10:$DX$23,0)),0))</f>
        <v>230.68099999999998</v>
      </c>
      <c r="DR497" s="921">
        <f t="shared" si="265"/>
        <v>9927.8886477714314</v>
      </c>
      <c r="DS497" s="1004">
        <f ca="1">SUMIFS('Safety parameters'!$DM$6:$DM$18,'Safety parameters'!$DK$6:$DK$18,CZ497,'Safety parameters'!$DL$6:$DL$18,1)+IF(dd_PartSA_2_lines = "Yes",0,SUMIFS('Safety parameters'!$DM$6:$DM$18,'Safety parameters'!$DK$6:$DK$18,DA497,'Safety parameters'!$DL$6:$DL$18,2)+SUMIFS('Safety parameters'!$DM$6:$DM$18,'Safety parameters'!$DK$6:$DK$18,DB497,'Safety parameters'!$DL$6:$DL$18,2))</f>
        <v>2577.0992943484653</v>
      </c>
      <c r="DT497" s="910">
        <f ca="1">SUMIFS('Safety parameters'!$DO$6:$DO$18,'Safety parameters'!$DK$6:$DK$18,CZ497,'Safety parameters'!$DL$6:$DL$18,1)+IF(dd_PartSA_2_lines = "Yes",0,SUMIFS('Safety parameters'!$DO$6:$DO$18,'Safety parameters'!$DK$6:$DK$18,DA497,'Safety parameters'!$DL$6:$DL$18,2)+SUMIFS('Safety parameters'!$DO$6:$DO$18,'Safety parameters'!$DK$6:$DK$18,DB497,'Safety parameters'!$DL$6:$DL$18,2))</f>
        <v>-2.4384674689096917E-2</v>
      </c>
    </row>
    <row r="498" spans="89:124" ht="15.75" thickBot="1" x14ac:dyDescent="0.25">
      <c r="CK498" s="506" t="s">
        <v>31</v>
      </c>
      <c r="CL498" s="506">
        <v>4</v>
      </c>
      <c r="CM498" s="506" t="str">
        <v>placebo_BSC</v>
      </c>
      <c r="CN498" s="19">
        <v>999</v>
      </c>
      <c r="CO498" s="506" t="str" cm="1">
        <f t="array" ref="CO498">INDEX(List_comparators,CP485+1)</f>
        <v>lenvatinib_plus_pembrolizumab</v>
      </c>
      <c r="CP498" s="19">
        <v>3</v>
      </c>
      <c r="CQ498" s="602">
        <f t="shared" ca="1" si="267"/>
        <v>0</v>
      </c>
      <c r="CR498" s="602">
        <f t="shared" ca="1" si="268"/>
        <v>0</v>
      </c>
      <c r="CS498" s="602">
        <f t="shared" ca="1" si="269"/>
        <v>0</v>
      </c>
      <c r="CT498" s="748">
        <f t="shared" ca="1" si="270"/>
        <v>0</v>
      </c>
      <c r="CU498" s="1123" t="e">
        <f>MATCH(CZ505,'Resource use and costs'!$BA$11:$BA$53,0)</f>
        <v>#N/A</v>
      </c>
      <c r="CV498" s="1223"/>
      <c r="CW498" s="1241">
        <f t="shared" si="260"/>
        <v>1</v>
      </c>
      <c r="CX498" s="899" t="s">
        <v>788</v>
      </c>
      <c r="CY498" s="899" t="s">
        <v>585</v>
      </c>
      <c r="CZ498" s="899" t="s">
        <v>579</v>
      </c>
      <c r="DA498" s="899" t="s">
        <v>333</v>
      </c>
      <c r="DB498" s="899" t="s">
        <v>765</v>
      </c>
      <c r="DC498" s="899" cm="1">
        <f t="array" aca="1" ref="DC498" ca="1">_xlfn.IFNA(OFFSET($I$49,MATCH(CY498,$I$50:$I$63,0),MATCH(CZ498,TRANSPOSE($J$49:$W$49),0)),0)</f>
        <v>0.36970000000000003</v>
      </c>
      <c r="DD498" s="899" cm="1">
        <f t="array" aca="1" ref="DD498" ca="1">_xlfn.IFNA(OFFSET($Y$49,MATCH($CZ498,$Y$50:$Y$63,0),MATCH($DA498,TRANSPOSE($Z$49:$AM$49),0)),0)</f>
        <v>5.2400000000000002E-2</v>
      </c>
      <c r="DE498" s="899" cm="1">
        <f t="array" aca="1" ref="DE498" ca="1">_xlfn.IFNA(OFFSET($AO$49,MATCH($DA498,$AO$50:$AO$63,0),MATCH($DB498,TRANSPOSE($AP$49:$BC$49),0)),0)</f>
        <v>0.43140000000000001</v>
      </c>
      <c r="DF498" s="881">
        <f t="shared" ca="1" si="262"/>
        <v>8.357201592000001E-3</v>
      </c>
      <c r="DG498" s="910">
        <f t="shared" ca="1" si="259"/>
        <v>1</v>
      </c>
      <c r="DH498" s="881">
        <f t="shared" ca="1" si="263"/>
        <v>8.357201592000001E-3</v>
      </c>
      <c r="DI498" s="1460">
        <f t="shared" ca="1" si="261"/>
        <v>1.9555851725280002</v>
      </c>
      <c r="DJ498" s="909">
        <f>_xlfn.IFNA(INDEX('Resource use and costs'!$CQ$11:$CQ$53,MATCH($CZ498,'Resource use and costs'!$BA$11:$BA$53,0)),0)*_xlfn.IFNA(INDEX(DY$10:DY$23,MATCH($CZ498,$DX$10:$DX$23,0)),0)</f>
        <v>56693.786091428577</v>
      </c>
      <c r="DK498" s="909">
        <f>IF(dd_PartSA_2_lines = "Yes",0,_xlfn.IFNA(INDEX('Resource use and costs'!$CR$11:$CR$53,MATCH(DA498,'Resource use and costs'!$BA$11:$BA$53,0)),0)*_xlfn.IFNA(INDEX(EA$10:EA$23,MATCH($DA498,$DX$10:$DX$23,0)),0))</f>
        <v>24337.716731999997</v>
      </c>
      <c r="DL498" s="909">
        <f>IF(dd_PartSA_2_lines = "Yes",0,_xlfn.IFNA(INDEX('Resource use and costs'!$CS$11:$CS$53,MATCH(DB498,'Resource use and costs'!$BA$11:$BA$53,0)),0)*_xlfn.IFNA(INDEX(EC$10:EC$23,MATCH($DB498,$DX$10:$DX$23,0)),0))</f>
        <v>0</v>
      </c>
      <c r="DM498" s="909">
        <f t="shared" si="264"/>
        <v>81031.502823428571</v>
      </c>
      <c r="DN498" s="909">
        <f>SUM(_xlfn.IFNA(INDEX('Resource use and costs'!$DU$12:$DU$25,MATCH(CZ498,'Resource use and costs'!$DS$12:$DS$25,0)),0),_xlfn.IFNA(INDEX('Resource use and costs'!$DU$12:$DU$25,MATCH(DA498,'Resource use and costs'!$DS$12:$DS$25,0)),0),_xlfn.IFNA(INDEX('Resource use and costs'!$DU$12:$DU$25,MATCH(DB498,'Resource use and costs'!$DS$12:$DS$25,0)),0))</f>
        <v>197.25</v>
      </c>
      <c r="DO498" s="921">
        <f>_xlfn.IFNA(INDEX('Resource use and costs'!$DY$12:$DY$25,MATCH(CZ498,'Resource use and costs'!$DS$12:$DS$25,0)),0)*_xlfn.IFNA(INDEX(DY$10:DY$23,MATCH($CZ498,$DX$10:$DX$23,0)),0)</f>
        <v>8939.6605049142872</v>
      </c>
      <c r="DP498" s="921">
        <f>IF(dd_PartSA_2_lines = "Yes",0,_xlfn.IFNA(INDEX('Resource use and costs'!$DZ$12:$DZ$25,MATCH(DA498,'Resource use and costs'!$DS$12:$DS$25,0)),0)*_xlfn.IFNA(INDEX(EA$10:EA$23,MATCH($DA498,$DX$10:$DX$23,0)),0))</f>
        <v>363.04714285714283</v>
      </c>
      <c r="DQ498" s="921">
        <f>IF(dd_PartSA_2_lines = "Yes",0,_xlfn.IFNA(INDEX('Resource use and costs'!$EA$12:$EA$25,MATCH(DB498,'Resource use and costs'!$DS$12:$DS$25,0)),0)*_xlfn.IFNA(INDEX(EC$10:EC$23,MATCH($DB498,$DX$10:$DX$23,0)),0))</f>
        <v>0</v>
      </c>
      <c r="DR498" s="921">
        <f t="shared" si="265"/>
        <v>9499.9576477714309</v>
      </c>
      <c r="DS498" s="1004">
        <f ca="1">SUMIFS('Safety parameters'!$DM$6:$DM$18,'Safety parameters'!$DK$6:$DK$18,CZ498,'Safety parameters'!$DL$6:$DL$18,1)+IF(dd_PartSA_2_lines = "Yes",0,SUMIFS('Safety parameters'!$DM$6:$DM$18,'Safety parameters'!$DK$6:$DK$18,DA498,'Safety parameters'!$DL$6:$DL$18,2)+SUMIFS('Safety parameters'!$DM$6:$DM$18,'Safety parameters'!$DK$6:$DK$18,DB498,'Safety parameters'!$DL$6:$DL$18,2))</f>
        <v>942.87062078300573</v>
      </c>
      <c r="DT498" s="910">
        <f ca="1">SUMIFS('Safety parameters'!$DO$6:$DO$18,'Safety parameters'!$DK$6:$DK$18,CZ498,'Safety parameters'!$DL$6:$DL$18,1)+IF(dd_PartSA_2_lines = "Yes",0,SUMIFS('Safety parameters'!$DO$6:$DO$18,'Safety parameters'!$DK$6:$DK$18,DA498,'Safety parameters'!$DL$6:$DL$18,2)+SUMIFS('Safety parameters'!$DO$6:$DO$18,'Safety parameters'!$DK$6:$DK$18,DB498,'Safety parameters'!$DL$6:$DL$18,2))</f>
        <v>-9.6427506816154883E-3</v>
      </c>
    </row>
    <row r="499" spans="89:124" ht="15" x14ac:dyDescent="0.2">
      <c r="CK499" s="505" t="s">
        <v>31</v>
      </c>
      <c r="CL499" s="505">
        <v>4</v>
      </c>
      <c r="CM499" s="61" t="str" cm="1">
        <f t="array" ref="CM499:CM512">List_comparators</f>
        <v>nivolumab_monotherapy</v>
      </c>
      <c r="CN499" s="17">
        <v>0</v>
      </c>
      <c r="CO499" s="61" t="str" cm="1">
        <f t="array" ref="CO499">INDEX(List_comparators,CP499+1)</f>
        <v>avelumab_plus_axitinib</v>
      </c>
      <c r="CP499" s="17">
        <v>4</v>
      </c>
      <c r="CQ499" s="603">
        <f t="shared" ca="1" si="267"/>
        <v>0</v>
      </c>
      <c r="CR499" s="603">
        <f t="shared" ca="1" si="268"/>
        <v>0</v>
      </c>
      <c r="CS499" s="603">
        <f t="shared" ca="1" si="269"/>
        <v>0</v>
      </c>
      <c r="CT499" s="669">
        <f t="shared" ca="1" si="270"/>
        <v>0</v>
      </c>
      <c r="CU499" s="1123">
        <f>MATCH(CZ506,'Resource use and costs'!$BA$11:$BA$53,0)</f>
        <v>30</v>
      </c>
      <c r="CV499" s="1223"/>
      <c r="CW499" s="1241">
        <f t="shared" si="260"/>
        <v>1</v>
      </c>
      <c r="CX499" s="899" t="s">
        <v>788</v>
      </c>
      <c r="CY499" s="899" t="s">
        <v>117</v>
      </c>
      <c r="CZ499" s="899" t="s">
        <v>327</v>
      </c>
      <c r="DA499" s="899" t="s">
        <v>765</v>
      </c>
      <c r="DB499" s="899"/>
      <c r="DC499" s="899" cm="1">
        <f t="array" aca="1" ref="DC499" ca="1">_xlfn.IFNA(OFFSET($I$49,MATCH(CY499,$I$50:$I$63,0),MATCH(CZ499,TRANSPOSE($J$49:$W$49),0)),0)</f>
        <v>4.4700000000000011E-2</v>
      </c>
      <c r="DD499" s="899" cm="1">
        <f t="array" aca="1" ref="DD499" ca="1">_xlfn.IFNA(OFFSET($Y$49,MATCH($CZ499,$Y$50:$Y$63,0),MATCH($DA499,TRANSPOSE($Z$49:$AM$49),0)),0)</f>
        <v>0.34300000000000003</v>
      </c>
      <c r="DE499" s="899" cm="1">
        <f t="array" aca="1" ref="DE499" ca="1">_xlfn.IFNA(OFFSET($AO$49,MATCH($DA499,$AO$50:$AO$63,0),MATCH($DB499,TRANSPOSE($AP$49:$BC$49),0)),0)</f>
        <v>0</v>
      </c>
      <c r="DF499" s="881">
        <f t="shared" ca="1" si="262"/>
        <v>1.5332100000000005E-2</v>
      </c>
      <c r="DG499" s="910">
        <f t="shared" ca="1" si="259"/>
        <v>0.99547352429578406</v>
      </c>
      <c r="DH499" s="881">
        <f t="shared" ca="1" si="263"/>
        <v>1.5262699621855396E-2</v>
      </c>
      <c r="DI499" s="1460">
        <f t="shared" ref="DI499:DI535" ca="1" si="271">326*DH499</f>
        <v>4.9756400767248596</v>
      </c>
      <c r="DJ499" s="909">
        <f>_xlfn.IFNA(INDEX('Resource use and costs'!$CQ$11:$CQ$53,MATCH($CZ499,'Resource use and costs'!$BA$11:$BA$53,0)),0)*_xlfn.IFNA(INDEX(DY$10:DY$23,MATCH($CZ499,$DX$10:$DX$23,0)),0)</f>
        <v>19241.032205</v>
      </c>
      <c r="DK499" s="909">
        <f>IF(dd_PartSA_2_lines = "Yes",0,_xlfn.IFNA(INDEX('Resource use and costs'!$CR$11:$CR$53,MATCH(DA499,'Resource use and costs'!$BA$11:$BA$53,0)),0)*_xlfn.IFNA(INDEX(EA$10:EA$23,MATCH($DA499,$DX$10:$DX$23,0)),0))</f>
        <v>0</v>
      </c>
      <c r="DL499" s="909">
        <f>IF(dd_PartSA_2_lines = "Yes",0,_xlfn.IFNA(INDEX('Resource use and costs'!$CS$11:$CS$53,MATCH(DB499,'Resource use and costs'!$BA$11:$BA$53,0)),0)*_xlfn.IFNA(INDEX(EC$10:EC$23,MATCH($DB499,$DX$10:$DX$23,0)),0))</f>
        <v>0</v>
      </c>
      <c r="DM499" s="909">
        <f t="shared" si="264"/>
        <v>19241.032205</v>
      </c>
      <c r="DN499" s="909">
        <f>SUM(_xlfn.IFNA(INDEX('Resource use and costs'!$DU$12:$DU$25,MATCH(CZ499,'Resource use and costs'!$DS$12:$DS$25,0)),0),_xlfn.IFNA(INDEX('Resource use and costs'!$DU$12:$DU$25,MATCH(DA499,'Resource use and costs'!$DS$12:$DS$25,0)),0),_xlfn.IFNA(INDEX('Resource use and costs'!$DU$12:$DU$25,MATCH(DB499,'Resource use and costs'!$DS$12:$DS$25,0)),0))</f>
        <v>197.25</v>
      </c>
      <c r="DO499" s="921">
        <f>_xlfn.IFNA(INDEX('Resource use and costs'!$DY$12:$DY$25,MATCH(CZ499,'Resource use and costs'!$DS$12:$DS$25,0)),0)*_xlfn.IFNA(INDEX(DY$10:DY$23,MATCH($CZ499,$DX$10:$DX$23,0)),0)</f>
        <v>240.71806000000001</v>
      </c>
      <c r="DP499" s="921">
        <f>IF(dd_PartSA_2_lines = "Yes",0,_xlfn.IFNA(INDEX('Resource use and costs'!$DZ$12:$DZ$25,MATCH(DA499,'Resource use and costs'!$DS$12:$DS$25,0)),0)*_xlfn.IFNA(INDEX(EA$10:EA$23,MATCH($DA499,$DX$10:$DX$23,0)),0))</f>
        <v>0</v>
      </c>
      <c r="DQ499" s="921">
        <f>IF(dd_PartSA_2_lines = "Yes",0,_xlfn.IFNA(INDEX('Resource use and costs'!$EA$12:$EA$25,MATCH(DB499,'Resource use and costs'!$DS$12:$DS$25,0)),0)*_xlfn.IFNA(INDEX(EC$10:EC$23,MATCH($DB499,$DX$10:$DX$23,0)),0))</f>
        <v>0</v>
      </c>
      <c r="DR499" s="921">
        <f t="shared" si="265"/>
        <v>437.96806000000004</v>
      </c>
      <c r="DS499" s="1004">
        <f>SUMIFS('Safety parameters'!$DM$6:$DM$18,'Safety parameters'!$DK$6:$DK$18,CZ499,'Safety parameters'!$DL$6:$DL$18,1)+IF(dd_PartSA_2_lines = "Yes",0,SUMIFS('Safety parameters'!$DM$6:$DM$18,'Safety parameters'!$DK$6:$DK$18,DA499,'Safety parameters'!$DL$6:$DL$18,2)+SUMIFS('Safety parameters'!$DM$6:$DM$18,'Safety parameters'!$DK$6:$DK$18,DB499,'Safety parameters'!$DL$6:$DL$18,2))</f>
        <v>0</v>
      </c>
      <c r="DT499" s="910">
        <f>SUMIFS('Safety parameters'!$DO$6:$DO$18,'Safety parameters'!$DK$6:$DK$18,CZ499,'Safety parameters'!$DL$6:$DL$18,1)+IF(dd_PartSA_2_lines = "Yes",0,SUMIFS('Safety parameters'!$DO$6:$DO$18,'Safety parameters'!$DK$6:$DK$18,DA499,'Safety parameters'!$DL$6:$DL$18,2)+SUMIFS('Safety parameters'!$DO$6:$DO$18,'Safety parameters'!$DK$6:$DK$18,DB499,'Safety parameters'!$DL$6:$DL$18,2))</f>
        <v>0</v>
      </c>
    </row>
    <row r="500" spans="89:124" ht="15" x14ac:dyDescent="0.2">
      <c r="CK500" s="61" t="s">
        <v>31</v>
      </c>
      <c r="CL500" s="61">
        <v>4</v>
      </c>
      <c r="CM500" s="61" t="str">
        <v>cabozantinib_plus_nivolumab</v>
      </c>
      <c r="CN500" s="17">
        <v>1</v>
      </c>
      <c r="CO500" s="61" t="str" cm="1">
        <f t="array" ref="CO500">INDEX(List_comparators,CP499+1)</f>
        <v>avelumab_plus_axitinib</v>
      </c>
      <c r="CP500" s="17">
        <v>4</v>
      </c>
      <c r="CQ500" s="601">
        <f t="shared" ca="1" si="267"/>
        <v>0</v>
      </c>
      <c r="CR500" s="601">
        <f t="shared" ca="1" si="268"/>
        <v>0</v>
      </c>
      <c r="CS500" s="601">
        <f t="shared" ca="1" si="269"/>
        <v>0</v>
      </c>
      <c r="CT500" s="669">
        <f t="shared" ca="1" si="270"/>
        <v>0</v>
      </c>
      <c r="CU500" s="1123">
        <f>MATCH(CZ507,'Resource use and costs'!$BA$11:$BA$53,0)</f>
        <v>30</v>
      </c>
      <c r="CV500" s="1223"/>
      <c r="CW500" s="1241">
        <f t="shared" si="260"/>
        <v>1</v>
      </c>
      <c r="CX500" s="899" t="s">
        <v>788</v>
      </c>
      <c r="CY500" s="899" t="s">
        <v>117</v>
      </c>
      <c r="CZ500" s="899" t="s">
        <v>327</v>
      </c>
      <c r="DA500" s="899" t="s">
        <v>118</v>
      </c>
      <c r="DB500" s="899" t="s">
        <v>765</v>
      </c>
      <c r="DC500" s="899" cm="1">
        <f t="array" aca="1" ref="DC500" ca="1">_xlfn.IFNA(OFFSET($I$49,MATCH(CY500,$I$50:$I$63,0),MATCH(CZ500,TRANSPOSE($J$49:$W$49),0)),0)</f>
        <v>4.4700000000000011E-2</v>
      </c>
      <c r="DD500" s="899" cm="1">
        <f t="array" aca="1" ref="DD500" ca="1">_xlfn.IFNA(OFFSET($Y$49,MATCH($CZ500,$Y$50:$Y$63,0),MATCH($DA500,TRANSPOSE($Z$49:$AM$49),0)),0)</f>
        <v>0.32850000000000001</v>
      </c>
      <c r="DE500" s="899" cm="1">
        <f t="array" aca="1" ref="DE500" ca="1">_xlfn.IFNA(OFFSET($AO$49,MATCH($DA500,$AO$50:$AO$63,0),MATCH($DB500,TRANSPOSE($AP$49:$BC$49),0)),0)</f>
        <v>0.43140000000000001</v>
      </c>
      <c r="DF500" s="881">
        <f t="shared" ca="1" si="262"/>
        <v>6.3346560300000018E-3</v>
      </c>
      <c r="DG500" s="910">
        <f t="shared" ca="1" si="259"/>
        <v>0.99547352429578406</v>
      </c>
      <c r="DH500" s="881">
        <f t="shared" ca="1" si="263"/>
        <v>6.3059823633856418E-3</v>
      </c>
      <c r="DI500" s="1460">
        <f t="shared" ca="1" si="271"/>
        <v>2.0557502504637193</v>
      </c>
      <c r="DJ500" s="909">
        <f>_xlfn.IFNA(INDEX('Resource use and costs'!$CQ$11:$CQ$53,MATCH($CZ500,'Resource use and costs'!$BA$11:$BA$53,0)),0)*_xlfn.IFNA(INDEX(DY$10:DY$23,MATCH($CZ500,$DX$10:$DX$23,0)),0)</f>
        <v>19241.032205</v>
      </c>
      <c r="DK500" s="909">
        <f>IF(dd_PartSA_2_lines = "Yes",0,_xlfn.IFNA(INDEX('Resource use and costs'!$CR$11:$CR$53,MATCH(DA500,'Resource use and costs'!$BA$11:$BA$53,0)),0)*_xlfn.IFNA(INDEX(EA$10:EA$23,MATCH($DA500,$DX$10:$DX$23,0)),0))</f>
        <v>50308.075122000002</v>
      </c>
      <c r="DL500" s="909">
        <f>IF(dd_PartSA_2_lines = "Yes",0,_xlfn.IFNA(INDEX('Resource use and costs'!$CS$11:$CS$53,MATCH(DB500,'Resource use and costs'!$BA$11:$BA$53,0)),0)*_xlfn.IFNA(INDEX(EC$10:EC$23,MATCH($DB500,$DX$10:$DX$23,0)),0))</f>
        <v>0</v>
      </c>
      <c r="DM500" s="909">
        <f t="shared" si="264"/>
        <v>69549.107327000005</v>
      </c>
      <c r="DN500" s="909">
        <f>SUM(_xlfn.IFNA(INDEX('Resource use and costs'!$DU$12:$DU$25,MATCH(CZ500,'Resource use and costs'!$DS$12:$DS$25,0)),0),_xlfn.IFNA(INDEX('Resource use and costs'!$DU$12:$DU$25,MATCH(DA500,'Resource use and costs'!$DS$12:$DS$25,0)),0),_xlfn.IFNA(INDEX('Resource use and costs'!$DU$12:$DU$25,MATCH(DB500,'Resource use and costs'!$DS$12:$DS$25,0)),0))</f>
        <v>394.5</v>
      </c>
      <c r="DO500" s="921">
        <f>_xlfn.IFNA(INDEX('Resource use and costs'!$DY$12:$DY$25,MATCH(CZ500,'Resource use and costs'!$DS$12:$DS$25,0)),0)*_xlfn.IFNA(INDEX(DY$10:DY$23,MATCH($CZ500,$DX$10:$DX$23,0)),0)</f>
        <v>240.71806000000001</v>
      </c>
      <c r="DP500" s="921">
        <f>IF(dd_PartSA_2_lines = "Yes",0,_xlfn.IFNA(INDEX('Resource use and costs'!$DZ$12:$DZ$25,MATCH(DA500,'Resource use and costs'!$DS$12:$DS$25,0)),0)*_xlfn.IFNA(INDEX(EA$10:EA$23,MATCH($DA500,$DX$10:$DX$23,0)),0))</f>
        <v>461.1445457142857</v>
      </c>
      <c r="DQ500" s="921">
        <f>IF(dd_PartSA_2_lines = "Yes",0,_xlfn.IFNA(INDEX('Resource use and costs'!$EA$12:$EA$25,MATCH(DB500,'Resource use and costs'!$DS$12:$DS$25,0)),0)*_xlfn.IFNA(INDEX(EC$10:EC$23,MATCH($DB500,$DX$10:$DX$23,0)),0))</f>
        <v>0</v>
      </c>
      <c r="DR500" s="921">
        <f t="shared" si="265"/>
        <v>1096.3626057142858</v>
      </c>
      <c r="DS500" s="1004">
        <f ca="1">SUMIFS('Safety parameters'!$DM$6:$DM$18,'Safety parameters'!$DK$6:$DK$18,CZ500,'Safety parameters'!$DL$6:$DL$18,1)+IF(dd_PartSA_2_lines = "Yes",0,SUMIFS('Safety parameters'!$DM$6:$DM$18,'Safety parameters'!$DK$6:$DK$18,DA500,'Safety parameters'!$DL$6:$DL$18,2)+SUMIFS('Safety parameters'!$DM$6:$DM$18,'Safety parameters'!$DK$6:$DK$18,DB500,'Safety parameters'!$DL$6:$DL$18,2))</f>
        <v>743.64929980338343</v>
      </c>
      <c r="DT500" s="910">
        <f ca="1">SUMIFS('Safety parameters'!$DO$6:$DO$18,'Safety parameters'!$DK$6:$DK$18,CZ500,'Safety parameters'!$DL$6:$DL$18,1)+IF(dd_PartSA_2_lines = "Yes",0,SUMIFS('Safety parameters'!$DO$6:$DO$18,'Safety parameters'!$DK$6:$DK$18,DA500,'Safety parameters'!$DL$6:$DL$18,2)+SUMIFS('Safety parameters'!$DO$6:$DO$18,'Safety parameters'!$DK$6:$DK$18,DB500,'Safety parameters'!$DL$6:$DL$18,2))</f>
        <v>-7.0223263562359372E-3</v>
      </c>
    </row>
    <row r="501" spans="89:124" ht="15" x14ac:dyDescent="0.2">
      <c r="CK501" s="61" t="s">
        <v>31</v>
      </c>
      <c r="CL501" s="61">
        <v>4</v>
      </c>
      <c r="CM501" s="61" t="str">
        <v>nivolumab_plus_ipilimumab</v>
      </c>
      <c r="CN501" s="17">
        <v>2</v>
      </c>
      <c r="CO501" s="61" t="str" cm="1">
        <f t="array" ref="CO501">INDEX(List_comparators,CP500+1)</f>
        <v>avelumab_plus_axitinib</v>
      </c>
      <c r="CP501" s="17">
        <v>4</v>
      </c>
      <c r="CQ501" s="601">
        <f t="shared" ca="1" si="267"/>
        <v>0</v>
      </c>
      <c r="CR501" s="601">
        <f t="shared" ca="1" si="268"/>
        <v>0</v>
      </c>
      <c r="CS501" s="601">
        <f t="shared" ca="1" si="269"/>
        <v>0</v>
      </c>
      <c r="CT501" s="669">
        <f t="shared" ca="1" si="270"/>
        <v>0</v>
      </c>
      <c r="CU501" s="1123">
        <f>MATCH(CZ508,'Resource use and costs'!$BA$11:$BA$53,0)</f>
        <v>30</v>
      </c>
      <c r="CV501" s="1223"/>
      <c r="CW501" s="1241">
        <f t="shared" si="260"/>
        <v>1</v>
      </c>
      <c r="CX501" s="899" t="s">
        <v>788</v>
      </c>
      <c r="CY501" s="899" t="s">
        <v>117</v>
      </c>
      <c r="CZ501" s="899" t="s">
        <v>327</v>
      </c>
      <c r="DA501" s="899" t="s">
        <v>118</v>
      </c>
      <c r="DB501" s="899" t="s">
        <v>119</v>
      </c>
      <c r="DC501" s="899" cm="1">
        <f t="array" aca="1" ref="DC501" ca="1">_xlfn.IFNA(OFFSET($I$49,MATCH(CY501,$I$50:$I$63,0),MATCH(CZ501,TRANSPOSE($J$49:$W$49),0)),0)</f>
        <v>4.4700000000000011E-2</v>
      </c>
      <c r="DD501" s="899" cm="1">
        <f t="array" aca="1" ref="DD501" ca="1">_xlfn.IFNA(OFFSET($Y$49,MATCH($CZ501,$Y$50:$Y$63,0),MATCH($DA501,TRANSPOSE($Z$49:$AM$49),0)),0)</f>
        <v>0.32850000000000001</v>
      </c>
      <c r="DE501" s="899">
        <f ca="1">1-DE500</f>
        <v>0.56859999999999999</v>
      </c>
      <c r="DF501" s="881">
        <f t="shared" ca="1" si="262"/>
        <v>8.3492939700000029E-3</v>
      </c>
      <c r="DG501" s="910">
        <f t="shared" ca="1" si="259"/>
        <v>0.99547352429578406</v>
      </c>
      <c r="DH501" s="881">
        <f t="shared" ca="1" si="263"/>
        <v>8.3115010936974411E-3</v>
      </c>
      <c r="DI501" s="1460">
        <f t="shared" ca="1" si="271"/>
        <v>2.7095493565453657</v>
      </c>
      <c r="DJ501" s="909">
        <f>_xlfn.IFNA(INDEX('Resource use and costs'!$CQ$11:$CQ$53,MATCH($CZ501,'Resource use and costs'!$BA$11:$BA$53,0)),0)*_xlfn.IFNA(INDEX(DY$10:DY$23,MATCH($CZ501,$DX$10:$DX$23,0)),0)</f>
        <v>19241.032205</v>
      </c>
      <c r="DK501" s="909">
        <f>IF(dd_PartSA_2_lines = "Yes",0,_xlfn.IFNA(INDEX('Resource use and costs'!$CR$11:$CR$53,MATCH(DA501,'Resource use and costs'!$BA$11:$BA$53,0)),0)*_xlfn.IFNA(INDEX(EA$10:EA$23,MATCH($DA501,$DX$10:$DX$23,0)),0))</f>
        <v>50308.075122000002</v>
      </c>
      <c r="DL501" s="909">
        <f>IF(dd_PartSA_2_lines = "Yes",0,_xlfn.IFNA(INDEX('Resource use and costs'!$CS$11:$CS$53,MATCH(DB501,'Resource use and costs'!$BA$11:$BA$53,0)),0)*_xlfn.IFNA(INDEX(EC$10:EC$23,MATCH($DB501,$DX$10:$DX$23,0)),0))</f>
        <v>2915.4763433333328</v>
      </c>
      <c r="DM501" s="909">
        <f t="shared" si="264"/>
        <v>72464.583670333333</v>
      </c>
      <c r="DN501" s="909">
        <f>SUM(_xlfn.IFNA(INDEX('Resource use and costs'!$DU$12:$DU$25,MATCH(CZ501,'Resource use and costs'!$DS$12:$DS$25,0)),0),_xlfn.IFNA(INDEX('Resource use and costs'!$DU$12:$DU$25,MATCH(DA501,'Resource use and costs'!$DS$12:$DS$25,0)),0),_xlfn.IFNA(INDEX('Resource use and costs'!$DU$12:$DU$25,MATCH(DB501,'Resource use and costs'!$DS$12:$DS$25,0)),0))</f>
        <v>591.75</v>
      </c>
      <c r="DO501" s="921">
        <f>_xlfn.IFNA(INDEX('Resource use and costs'!$DY$12:$DY$25,MATCH(CZ501,'Resource use and costs'!$DS$12:$DS$25,0)),0)*_xlfn.IFNA(INDEX(DY$10:DY$23,MATCH($CZ501,$DX$10:$DX$23,0)),0)</f>
        <v>240.71806000000001</v>
      </c>
      <c r="DP501" s="921">
        <f>IF(dd_PartSA_2_lines = "Yes",0,_xlfn.IFNA(INDEX('Resource use and costs'!$DZ$12:$DZ$25,MATCH(DA501,'Resource use and costs'!$DS$12:$DS$25,0)),0)*_xlfn.IFNA(INDEX(EA$10:EA$23,MATCH($DA501,$DX$10:$DX$23,0)),0))</f>
        <v>461.1445457142857</v>
      </c>
      <c r="DQ501" s="921">
        <f>IF(dd_PartSA_2_lines = "Yes",0,_xlfn.IFNA(INDEX('Resource use and costs'!$EA$12:$EA$25,MATCH(DB501,'Resource use and costs'!$DS$12:$DS$25,0)),0)*_xlfn.IFNA(INDEX(EC$10:EC$23,MATCH($DB501,$DX$10:$DX$23,0)),0))</f>
        <v>256.11457142857142</v>
      </c>
      <c r="DR501" s="921">
        <f t="shared" si="265"/>
        <v>1549.7271771428573</v>
      </c>
      <c r="DS501" s="1004">
        <f ca="1">SUMIFS('Safety parameters'!$DM$6:$DM$18,'Safety parameters'!$DK$6:$DK$18,CZ501,'Safety parameters'!$DL$6:$DL$18,1)+IF(dd_PartSA_2_lines = "Yes",0,SUMIFS('Safety parameters'!$DM$6:$DM$18,'Safety parameters'!$DK$6:$DK$18,DA501,'Safety parameters'!$DL$6:$DL$18,2)+SUMIFS('Safety parameters'!$DM$6:$DM$18,'Safety parameters'!$DK$6:$DK$18,DB501,'Safety parameters'!$DL$6:$DL$18,2))</f>
        <v>1076.5246831786983</v>
      </c>
      <c r="DT501" s="910">
        <f ca="1">SUMIFS('Safety parameters'!$DO$6:$DO$18,'Safety parameters'!$DK$6:$DK$18,CZ501,'Safety parameters'!$DL$6:$DL$18,1)+IF(dd_PartSA_2_lines = "Yes",0,SUMIFS('Safety parameters'!$DO$6:$DO$18,'Safety parameters'!$DK$6:$DK$18,DA501,'Safety parameters'!$DL$6:$DL$18,2)+SUMIFS('Safety parameters'!$DO$6:$DO$18,'Safety parameters'!$DK$6:$DK$18,DB501,'Safety parameters'!$DL$6:$DL$18,2))</f>
        <v>-9.689899892873657E-3</v>
      </c>
    </row>
    <row r="502" spans="89:124" ht="15" x14ac:dyDescent="0.2">
      <c r="CK502" s="61" t="s">
        <v>31</v>
      </c>
      <c r="CL502" s="61">
        <v>4</v>
      </c>
      <c r="CM502" s="61" t="str">
        <v>lenvatinib_plus_pembrolizumab</v>
      </c>
      <c r="CN502" s="17">
        <v>3</v>
      </c>
      <c r="CO502" s="61" t="str" cm="1">
        <f t="array" ref="CO502">INDEX(List_comparators,CP501+1)</f>
        <v>avelumab_plus_axitinib</v>
      </c>
      <c r="CP502" s="17">
        <v>4</v>
      </c>
      <c r="CQ502" s="601">
        <f t="shared" ca="1" si="267"/>
        <v>0</v>
      </c>
      <c r="CR502" s="601">
        <f t="shared" ca="1" si="268"/>
        <v>0</v>
      </c>
      <c r="CS502" s="601">
        <f t="shared" ca="1" si="269"/>
        <v>0</v>
      </c>
      <c r="CT502" s="669">
        <f t="shared" ca="1" si="270"/>
        <v>0</v>
      </c>
      <c r="CU502" s="1123">
        <f>MATCH(CZ509,'Resource use and costs'!$BA$11:$BA$53,0)</f>
        <v>30</v>
      </c>
      <c r="CV502" s="1223"/>
      <c r="CW502" s="1241">
        <f t="shared" si="260"/>
        <v>1</v>
      </c>
      <c r="CX502" s="899" t="s">
        <v>788</v>
      </c>
      <c r="CY502" s="899" t="s">
        <v>117</v>
      </c>
      <c r="CZ502" s="899" t="s">
        <v>327</v>
      </c>
      <c r="DA502" s="899" t="s">
        <v>119</v>
      </c>
      <c r="DB502" s="899" t="s">
        <v>765</v>
      </c>
      <c r="DC502" s="899" cm="1">
        <f t="array" aca="1" ref="DC502" ca="1">_xlfn.IFNA(OFFSET($I$49,MATCH(CY502,$I$50:$I$63,0),MATCH(CZ502,TRANSPOSE($J$49:$W$49),0)),0)</f>
        <v>4.4700000000000011E-2</v>
      </c>
      <c r="DD502" s="899" cm="1">
        <f t="array" aca="1" ref="DD502" ca="1">_xlfn.IFNA(OFFSET($Y$49,MATCH($CZ502,$Y$50:$Y$63,0),MATCH($DA502,TRANSPOSE($Z$49:$AM$49),0)),0)</f>
        <v>0</v>
      </c>
      <c r="DE502" s="899" cm="1">
        <f t="array" aca="1" ref="DE502" ca="1">_xlfn.IFNA(OFFSET($AO$49,MATCH($DA502,$AO$50:$AO$63,0),MATCH($DB502,TRANSPOSE($AP$49:$BC$49),0)),0)</f>
        <v>1</v>
      </c>
      <c r="DF502" s="881">
        <f t="shared" ca="1" si="262"/>
        <v>0</v>
      </c>
      <c r="DG502" s="910">
        <f t="shared" ca="1" si="259"/>
        <v>0.99547352429578406</v>
      </c>
      <c r="DH502" s="881">
        <f t="shared" ca="1" si="263"/>
        <v>0</v>
      </c>
      <c r="DI502" s="1460">
        <f t="shared" ca="1" si="271"/>
        <v>0</v>
      </c>
      <c r="DJ502" s="909">
        <f>_xlfn.IFNA(INDEX('Resource use and costs'!$CQ$11:$CQ$53,MATCH($CZ502,'Resource use and costs'!$BA$11:$BA$53,0)),0)*_xlfn.IFNA(INDEX(DY$10:DY$23,MATCH($CZ502,$DX$10:$DX$23,0)),0)</f>
        <v>19241.032205</v>
      </c>
      <c r="DK502" s="909">
        <f>IF(dd_PartSA_2_lines = "Yes",0,_xlfn.IFNA(INDEX('Resource use and costs'!$CR$11:$CR$53,MATCH(DA502,'Resource use and costs'!$BA$11:$BA$53,0)),0)*_xlfn.IFNA(INDEX(EA$10:EA$23,MATCH($DA502,$DX$10:$DX$23,0)),0))</f>
        <v>848.17532499999982</v>
      </c>
      <c r="DL502" s="909">
        <f>IF(dd_PartSA_2_lines = "Yes",0,_xlfn.IFNA(INDEX('Resource use and costs'!$CS$11:$CS$53,MATCH(DB502,'Resource use and costs'!$BA$11:$BA$53,0)),0)*_xlfn.IFNA(INDEX(EC$10:EC$23,MATCH($DB502,$DX$10:$DX$23,0)),0))</f>
        <v>0</v>
      </c>
      <c r="DM502" s="909">
        <f t="shared" si="264"/>
        <v>20089.20753</v>
      </c>
      <c r="DN502" s="909">
        <f>SUM(_xlfn.IFNA(INDEX('Resource use and costs'!$DU$12:$DU$25,MATCH(CZ502,'Resource use and costs'!$DS$12:$DS$25,0)),0),_xlfn.IFNA(INDEX('Resource use and costs'!$DU$12:$DU$25,MATCH(DA502,'Resource use and costs'!$DS$12:$DS$25,0)),0),_xlfn.IFNA(INDEX('Resource use and costs'!$DU$12:$DU$25,MATCH(DB502,'Resource use and costs'!$DS$12:$DS$25,0)),0))</f>
        <v>394.5</v>
      </c>
      <c r="DO502" s="921">
        <f>_xlfn.IFNA(INDEX('Resource use and costs'!$DY$12:$DY$25,MATCH(CZ502,'Resource use and costs'!$DS$12:$DS$25,0)),0)*_xlfn.IFNA(INDEX(DY$10:DY$23,MATCH($CZ502,$DX$10:$DX$23,0)),0)</f>
        <v>240.71806000000001</v>
      </c>
      <c r="DP502" s="921">
        <f>IF(dd_PartSA_2_lines = "Yes",0,_xlfn.IFNA(INDEX('Resource use and costs'!$DZ$12:$DZ$25,MATCH(DA502,'Resource use and costs'!$DS$12:$DS$25,0)),0)*_xlfn.IFNA(INDEX(EA$10:EA$23,MATCH($DA502,$DX$10:$DX$23,0)),0))</f>
        <v>74.50928571428571</v>
      </c>
      <c r="DQ502" s="921">
        <f>IF(dd_PartSA_2_lines = "Yes",0,_xlfn.IFNA(INDEX('Resource use and costs'!$EA$12:$EA$25,MATCH(DB502,'Resource use and costs'!$DS$12:$DS$25,0)),0)*_xlfn.IFNA(INDEX(EC$10:EC$23,MATCH($DB502,$DX$10:$DX$23,0)),0))</f>
        <v>0</v>
      </c>
      <c r="DR502" s="921">
        <f t="shared" si="265"/>
        <v>709.72734571428578</v>
      </c>
      <c r="DS502" s="1004">
        <f ca="1">SUMIFS('Safety parameters'!$DM$6:$DM$18,'Safety parameters'!$DK$6:$DK$18,CZ502,'Safety parameters'!$DL$6:$DL$18,1)+IF(dd_PartSA_2_lines = "Yes",0,SUMIFS('Safety parameters'!$DM$6:$DM$18,'Safety parameters'!$DK$6:$DK$18,DA502,'Safety parameters'!$DL$6:$DL$18,2)+SUMIFS('Safety parameters'!$DM$6:$DM$18,'Safety parameters'!$DK$6:$DK$18,DB502,'Safety parameters'!$DL$6:$DL$18,2))</f>
        <v>332.87538337531487</v>
      </c>
      <c r="DT502" s="910">
        <f ca="1">SUMIFS('Safety parameters'!$DO$6:$DO$18,'Safety parameters'!$DK$6:$DK$18,CZ502,'Safety parameters'!$DL$6:$DL$18,1)+IF(dd_PartSA_2_lines = "Yes",0,SUMIFS('Safety parameters'!$DO$6:$DO$18,'Safety parameters'!$DK$6:$DK$18,DA502,'Safety parameters'!$DL$6:$DL$18,2)+SUMIFS('Safety parameters'!$DO$6:$DO$18,'Safety parameters'!$DK$6:$DK$18,DB502,'Safety parameters'!$DL$6:$DL$18,2))</f>
        <v>-2.6675735366377194E-3</v>
      </c>
    </row>
    <row r="503" spans="89:124" ht="15" x14ac:dyDescent="0.2">
      <c r="CK503" s="61" t="s">
        <v>31</v>
      </c>
      <c r="CL503" s="61">
        <v>4</v>
      </c>
      <c r="CM503" s="61" t="str">
        <v>avelumab_plus_axitinib</v>
      </c>
      <c r="CN503" s="17">
        <v>4</v>
      </c>
      <c r="CO503" s="61" t="str" cm="1">
        <f t="array" ref="CO503">INDEX(List_comparators,CP502+1)</f>
        <v>avelumab_plus_axitinib</v>
      </c>
      <c r="CP503" s="17">
        <v>4</v>
      </c>
      <c r="CQ503" s="601">
        <f t="shared" ca="1" si="267"/>
        <v>0</v>
      </c>
      <c r="CR503" s="601">
        <f t="shared" ca="1" si="268"/>
        <v>0</v>
      </c>
      <c r="CS503" s="601">
        <f t="shared" ca="1" si="269"/>
        <v>0</v>
      </c>
      <c r="CT503" s="669">
        <f t="shared" ca="1" si="270"/>
        <v>0</v>
      </c>
      <c r="CU503" s="1123">
        <f>MATCH(CZ510,'Resource use and costs'!$BA$11:$BA$53,0)</f>
        <v>30</v>
      </c>
      <c r="CV503" s="1223"/>
      <c r="CW503" s="1241">
        <f t="shared" si="260"/>
        <v>1</v>
      </c>
      <c r="CX503" s="899" t="s">
        <v>788</v>
      </c>
      <c r="CY503" s="899" t="s">
        <v>117</v>
      </c>
      <c r="CZ503" s="899" t="s">
        <v>327</v>
      </c>
      <c r="DA503" s="899" t="s">
        <v>579</v>
      </c>
      <c r="DB503" s="899" t="s">
        <v>765</v>
      </c>
      <c r="DC503" s="899" cm="1">
        <f t="array" aca="1" ref="DC503" ca="1">_xlfn.IFNA(OFFSET($I$49,MATCH(CY503,$I$50:$I$63,0),MATCH(CZ503,TRANSPOSE($J$49:$W$49),0)),0)</f>
        <v>4.4700000000000011E-2</v>
      </c>
      <c r="DD503" s="899" cm="1">
        <f t="array" aca="1" ref="DD503" ca="1">_xlfn.IFNA(OFFSET($Y$49,MATCH($CZ503,$Y$50:$Y$63,0),MATCH($DA503,TRANSPOSE($Z$49:$AM$49),0)),0)</f>
        <v>0.32850000000000001</v>
      </c>
      <c r="DE503" s="899" cm="1">
        <f t="array" aca="1" ref="DE503" ca="1">_xlfn.IFNA(OFFSET($AO$49,MATCH($DA503,$AO$50:$AO$63,0),MATCH($DB503,TRANSPOSE($AP$49:$BC$49),0)),0)</f>
        <v>0.43140000000000001</v>
      </c>
      <c r="DF503" s="881">
        <f t="shared" ca="1" si="262"/>
        <v>6.3346560300000018E-3</v>
      </c>
      <c r="DG503" s="910">
        <f t="shared" ca="1" si="259"/>
        <v>0.99547352429578406</v>
      </c>
      <c r="DH503" s="881">
        <f t="shared" ca="1" si="263"/>
        <v>6.3059823633856418E-3</v>
      </c>
      <c r="DI503" s="1460">
        <f t="shared" ca="1" si="271"/>
        <v>2.0557502504637193</v>
      </c>
      <c r="DJ503" s="909">
        <f>_xlfn.IFNA(INDEX('Resource use and costs'!$CQ$11:$CQ$53,MATCH($CZ503,'Resource use and costs'!$BA$11:$BA$53,0)),0)*_xlfn.IFNA(INDEX(DY$10:DY$23,MATCH($CZ503,$DX$10:$DX$23,0)),0)</f>
        <v>19241.032205</v>
      </c>
      <c r="DK503" s="909">
        <f>IF(dd_PartSA_2_lines = "Yes",0,_xlfn.IFNA(INDEX('Resource use and costs'!$CR$11:$CR$53,MATCH(DA503,'Resource use and costs'!$BA$11:$BA$53,0)),0)*_xlfn.IFNA(INDEX(EA$10:EA$23,MATCH($DA503,$DX$10:$DX$23,0)),0))</f>
        <v>26054.50921</v>
      </c>
      <c r="DL503" s="909">
        <f>IF(dd_PartSA_2_lines = "Yes",0,_xlfn.IFNA(INDEX('Resource use and costs'!$CS$11:$CS$53,MATCH(DB503,'Resource use and costs'!$BA$11:$BA$53,0)),0)*_xlfn.IFNA(INDEX(EC$10:EC$23,MATCH($DB503,$DX$10:$DX$23,0)),0))</f>
        <v>0</v>
      </c>
      <c r="DM503" s="909">
        <f t="shared" si="264"/>
        <v>45295.541415</v>
      </c>
      <c r="DN503" s="909">
        <f>SUM(_xlfn.IFNA(INDEX('Resource use and costs'!$DU$12:$DU$25,MATCH(CZ503,'Resource use and costs'!$DS$12:$DS$25,0)),0),_xlfn.IFNA(INDEX('Resource use and costs'!$DU$12:$DU$25,MATCH(DA503,'Resource use and costs'!$DS$12:$DS$25,0)),0),_xlfn.IFNA(INDEX('Resource use and costs'!$DU$12:$DU$25,MATCH(DB503,'Resource use and costs'!$DS$12:$DS$25,0)),0))</f>
        <v>197.25</v>
      </c>
      <c r="DO503" s="921">
        <f>_xlfn.IFNA(INDEX('Resource use and costs'!$DY$12:$DY$25,MATCH(CZ503,'Resource use and costs'!$DS$12:$DS$25,0)),0)*_xlfn.IFNA(INDEX(DY$10:DY$23,MATCH($CZ503,$DX$10:$DX$23,0)),0)</f>
        <v>240.71806000000001</v>
      </c>
      <c r="DP503" s="921">
        <f>IF(dd_PartSA_2_lines = "Yes",0,_xlfn.IFNA(INDEX('Resource use and costs'!$DZ$12:$DZ$25,MATCH(DA503,'Resource use and costs'!$DS$12:$DS$25,0)),0)*_xlfn.IFNA(INDEX(EA$10:EA$23,MATCH($DA503,$DX$10:$DX$23,0)),0))</f>
        <v>4108.3597166</v>
      </c>
      <c r="DQ503" s="921">
        <f>IF(dd_PartSA_2_lines = "Yes",0,_xlfn.IFNA(INDEX('Resource use and costs'!$EA$12:$EA$25,MATCH(DB503,'Resource use and costs'!$DS$12:$DS$25,0)),0)*_xlfn.IFNA(INDEX(EC$10:EC$23,MATCH($DB503,$DX$10:$DX$23,0)),0))</f>
        <v>0</v>
      </c>
      <c r="DR503" s="921">
        <f t="shared" si="265"/>
        <v>4546.3277766000001</v>
      </c>
      <c r="DS503" s="1004">
        <f ca="1">SUMIFS('Safety parameters'!$DM$6:$DM$18,'Safety parameters'!$DK$6:$DK$18,CZ503,'Safety parameters'!$DL$6:$DL$18,1)+IF(dd_PartSA_2_lines = "Yes",0,SUMIFS('Safety parameters'!$DM$6:$DM$18,'Safety parameters'!$DK$6:$DK$18,DA503,'Safety parameters'!$DL$6:$DL$18,2)+SUMIFS('Safety parameters'!$DM$6:$DM$18,'Safety parameters'!$DK$6:$DK$18,DB503,'Safety parameters'!$DL$6:$DL$18,2))</f>
        <v>161.1337489904144</v>
      </c>
      <c r="DT503" s="910">
        <f ca="1">SUMIFS('Safety parameters'!$DO$6:$DO$18,'Safety parameters'!$DK$6:$DK$18,CZ503,'Safety parameters'!$DL$6:$DL$18,1)+IF(dd_PartSA_2_lines = "Yes",0,SUMIFS('Safety parameters'!$DO$6:$DO$18,'Safety parameters'!$DK$6:$DK$18,DA503,'Safety parameters'!$DL$6:$DL$18,2)+SUMIFS('Safety parameters'!$DO$6:$DO$18,'Safety parameters'!$DK$6:$DK$18,DB503,'Safety parameters'!$DL$6:$DL$18,2))</f>
        <v>-1.5970841976847864E-3</v>
      </c>
    </row>
    <row r="504" spans="89:124" ht="15" x14ac:dyDescent="0.2">
      <c r="CK504" s="61" t="s">
        <v>31</v>
      </c>
      <c r="CL504" s="61">
        <v>4</v>
      </c>
      <c r="CM504" s="61" t="str">
        <v>pazopanib</v>
      </c>
      <c r="CN504" s="17">
        <v>5</v>
      </c>
      <c r="CO504" s="61" t="str" cm="1">
        <f t="array" ref="CO504">INDEX(List_comparators,CP503+1)</f>
        <v>avelumab_plus_axitinib</v>
      </c>
      <c r="CP504" s="17">
        <v>4</v>
      </c>
      <c r="CQ504" s="601">
        <f t="shared" ca="1" si="267"/>
        <v>0</v>
      </c>
      <c r="CR504" s="601">
        <f t="shared" ca="1" si="268"/>
        <v>0</v>
      </c>
      <c r="CS504" s="601">
        <f t="shared" ca="1" si="269"/>
        <v>0</v>
      </c>
      <c r="CT504" s="669">
        <f t="shared" ca="1" si="270"/>
        <v>0</v>
      </c>
      <c r="CU504" s="1123">
        <f>MATCH(CZ511,'Resource use and costs'!$BA$11:$BA$53,0)</f>
        <v>30</v>
      </c>
      <c r="CV504" s="1223"/>
      <c r="CW504" s="1241">
        <f t="shared" si="260"/>
        <v>1</v>
      </c>
      <c r="CX504" s="899" t="s">
        <v>788</v>
      </c>
      <c r="CY504" s="899" t="s">
        <v>117</v>
      </c>
      <c r="CZ504" s="899" t="s">
        <v>327</v>
      </c>
      <c r="DA504" s="899" t="s">
        <v>579</v>
      </c>
      <c r="DB504" s="899" t="s">
        <v>119</v>
      </c>
      <c r="DC504" s="899" cm="1">
        <f t="array" aca="1" ref="DC504" ca="1">_xlfn.IFNA(OFFSET($I$49,MATCH(CY504,$I$50:$I$63,0),MATCH(CZ504,TRANSPOSE($J$49:$W$49),0)),0)</f>
        <v>4.4700000000000011E-2</v>
      </c>
      <c r="DD504" s="899" cm="1">
        <f t="array" aca="1" ref="DD504" ca="1">_xlfn.IFNA(OFFSET($Y$49,MATCH($CZ504,$Y$50:$Y$63,0),MATCH($DA504,TRANSPOSE($Z$49:$AM$49),0)),0)</f>
        <v>0.32850000000000001</v>
      </c>
      <c r="DE504" s="899">
        <f ca="1">1-DE503</f>
        <v>0.56859999999999999</v>
      </c>
      <c r="DF504" s="881">
        <f t="shared" ca="1" si="262"/>
        <v>8.3492939700000029E-3</v>
      </c>
      <c r="DG504" s="910">
        <f t="shared" ca="1" si="259"/>
        <v>0.99547352429578406</v>
      </c>
      <c r="DH504" s="881">
        <f t="shared" ca="1" si="263"/>
        <v>8.3115010936974411E-3</v>
      </c>
      <c r="DI504" s="1460">
        <f t="shared" ca="1" si="271"/>
        <v>2.7095493565453657</v>
      </c>
      <c r="DJ504" s="909">
        <f>_xlfn.IFNA(INDEX('Resource use and costs'!$CQ$11:$CQ$53,MATCH($CZ504,'Resource use and costs'!$BA$11:$BA$53,0)),0)*_xlfn.IFNA(INDEX(DY$10:DY$23,MATCH($CZ504,$DX$10:$DX$23,0)),0)</f>
        <v>19241.032205</v>
      </c>
      <c r="DK504" s="909">
        <f>IF(dd_PartSA_2_lines = "Yes",0,_xlfn.IFNA(INDEX('Resource use and costs'!$CR$11:$CR$53,MATCH(DA504,'Resource use and costs'!$BA$11:$BA$53,0)),0)*_xlfn.IFNA(INDEX(EA$10:EA$23,MATCH($DA504,$DX$10:$DX$23,0)),0))</f>
        <v>26054.50921</v>
      </c>
      <c r="DL504" s="909">
        <f>IF(dd_PartSA_2_lines = "Yes",0,_xlfn.IFNA(INDEX('Resource use and costs'!$CS$11:$CS$53,MATCH(DB504,'Resource use and costs'!$BA$11:$BA$53,0)),0)*_xlfn.IFNA(INDEX(EC$10:EC$23,MATCH($DB504,$DX$10:$DX$23,0)),0))</f>
        <v>2915.4763433333328</v>
      </c>
      <c r="DM504" s="909">
        <f t="shared" si="264"/>
        <v>48211.017758333335</v>
      </c>
      <c r="DN504" s="909">
        <f>SUM(_xlfn.IFNA(INDEX('Resource use and costs'!$DU$12:$DU$25,MATCH(CZ504,'Resource use and costs'!$DS$12:$DS$25,0)),0),_xlfn.IFNA(INDEX('Resource use and costs'!$DU$12:$DU$25,MATCH(DA504,'Resource use and costs'!$DS$12:$DS$25,0)),0),_xlfn.IFNA(INDEX('Resource use and costs'!$DU$12:$DU$25,MATCH(DB504,'Resource use and costs'!$DS$12:$DS$25,0)),0))</f>
        <v>394.5</v>
      </c>
      <c r="DO504" s="921">
        <f>_xlfn.IFNA(INDEX('Resource use and costs'!$DY$12:$DY$25,MATCH(CZ504,'Resource use and costs'!$DS$12:$DS$25,0)),0)*_xlfn.IFNA(INDEX(DY$10:DY$23,MATCH($CZ504,$DX$10:$DX$23,0)),0)</f>
        <v>240.71806000000001</v>
      </c>
      <c r="DP504" s="921">
        <f>IF(dd_PartSA_2_lines = "Yes",0,_xlfn.IFNA(INDEX('Resource use and costs'!$DZ$12:$DZ$25,MATCH(DA504,'Resource use and costs'!$DS$12:$DS$25,0)),0)*_xlfn.IFNA(INDEX(EA$10:EA$23,MATCH($DA504,$DX$10:$DX$23,0)),0))</f>
        <v>4108.3597166</v>
      </c>
      <c r="DQ504" s="921">
        <f>IF(dd_PartSA_2_lines = "Yes",0,_xlfn.IFNA(INDEX('Resource use and costs'!$EA$12:$EA$25,MATCH(DB504,'Resource use and costs'!$DS$12:$DS$25,0)),0)*_xlfn.IFNA(INDEX(EC$10:EC$23,MATCH($DB504,$DX$10:$DX$23,0)),0))</f>
        <v>256.11457142857142</v>
      </c>
      <c r="DR504" s="921">
        <f t="shared" si="265"/>
        <v>4999.6923480285714</v>
      </c>
      <c r="DS504" s="1004">
        <f ca="1">SUMIFS('Safety parameters'!$DM$6:$DM$18,'Safety parameters'!$DK$6:$DK$18,CZ504,'Safety parameters'!$DL$6:$DL$18,1)+IF(dd_PartSA_2_lines = "Yes",0,SUMIFS('Safety parameters'!$DM$6:$DM$18,'Safety parameters'!$DK$6:$DK$18,DA504,'Safety parameters'!$DL$6:$DL$18,2)+SUMIFS('Safety parameters'!$DM$6:$DM$18,'Safety parameters'!$DK$6:$DK$18,DB504,'Safety parameters'!$DL$6:$DL$18,2))</f>
        <v>494.00913236572927</v>
      </c>
      <c r="DT504" s="910">
        <f ca="1">SUMIFS('Safety parameters'!$DO$6:$DO$18,'Safety parameters'!$DK$6:$DK$18,CZ504,'Safety parameters'!$DL$6:$DL$18,1)+IF(dd_PartSA_2_lines = "Yes",0,SUMIFS('Safety parameters'!$DO$6:$DO$18,'Safety parameters'!$DK$6:$DK$18,DA504,'Safety parameters'!$DL$6:$DL$18,2)+SUMIFS('Safety parameters'!$DO$6:$DO$18,'Safety parameters'!$DK$6:$DK$18,DB504,'Safety parameters'!$DL$6:$DL$18,2))</f>
        <v>-4.2646577343225054E-3</v>
      </c>
    </row>
    <row r="505" spans="89:124" ht="15" x14ac:dyDescent="0.2">
      <c r="CK505" s="61" t="s">
        <v>31</v>
      </c>
      <c r="CL505" s="61">
        <v>4</v>
      </c>
      <c r="CM505" s="61" t="str">
        <v>tivozanib</v>
      </c>
      <c r="CN505" s="17">
        <v>6</v>
      </c>
      <c r="CO505" s="61" t="str" cm="1">
        <f t="array" ref="CO505">INDEX(List_comparators,CP504+1)</f>
        <v>avelumab_plus_axitinib</v>
      </c>
      <c r="CP505" s="17">
        <v>4</v>
      </c>
      <c r="CQ505" s="601">
        <f t="shared" ca="1" si="267"/>
        <v>0</v>
      </c>
      <c r="CR505" s="601">
        <f t="shared" ca="1" si="268"/>
        <v>0</v>
      </c>
      <c r="CS505" s="601">
        <f t="shared" ca="1" si="269"/>
        <v>0</v>
      </c>
      <c r="CT505" s="669">
        <f t="shared" ca="1" si="270"/>
        <v>0</v>
      </c>
      <c r="CU505" s="1123">
        <f>MATCH(CZ512,'Resource use and costs'!$BA$11:$BA$53,0)</f>
        <v>30</v>
      </c>
      <c r="CV505" s="1223"/>
      <c r="CW505" s="1241">
        <f t="shared" si="260"/>
        <v>0</v>
      </c>
      <c r="CX505" s="899" t="s">
        <v>788</v>
      </c>
      <c r="CY505" s="899" t="s">
        <v>117</v>
      </c>
      <c r="CZ505" s="899" t="s">
        <v>765</v>
      </c>
      <c r="DA505" s="899"/>
      <c r="DB505" s="899"/>
      <c r="DC505" s="899" cm="1">
        <f t="array" aca="1" ref="DC505" ca="1">_xlfn.IFNA(OFFSET($I$49,MATCH(CY505,$I$50:$I$63,0),MATCH(CZ505,TRANSPOSE($J$49:$W$49),0)),0)</f>
        <v>0.32569999999999999</v>
      </c>
      <c r="DD505" s="899" cm="1">
        <f t="array" aca="1" ref="DD505" ca="1">_xlfn.IFNA(OFFSET($Y$49,MATCH($CZ505,$Y$50:$Y$63,0),MATCH($DA505,TRANSPOSE($Z$49:$AM$49),0)),0)</f>
        <v>0</v>
      </c>
      <c r="DE505" s="899" cm="1">
        <f t="array" aca="1" ref="DE505" ca="1">_xlfn.IFNA(OFFSET($AO$49,MATCH($DA505,$AO$50:$AO$63,0),MATCH($DB505,TRANSPOSE($AP$49:$BC$49),0)),0)</f>
        <v>0</v>
      </c>
      <c r="DF505" s="881">
        <f t="shared" ca="1" si="262"/>
        <v>0.32569999999999999</v>
      </c>
      <c r="DG505" s="910">
        <f t="shared" ca="1" si="259"/>
        <v>0.99547352429578406</v>
      </c>
      <c r="DH505" s="881">
        <f t="shared" ca="1" si="263"/>
        <v>0.32569999999999999</v>
      </c>
      <c r="DI505" s="1460">
        <f t="shared" ca="1" si="271"/>
        <v>106.17819999999999</v>
      </c>
      <c r="DJ505" s="909">
        <f>_xlfn.IFNA(INDEX('Resource use and costs'!$CQ$11:$CQ$53,MATCH($CZ505,'Resource use and costs'!$BA$11:$BA$53,0)),0)*_xlfn.IFNA(INDEX(DY$10:DY$23,MATCH($CZ505,$DX$10:$DX$23,0)),0)</f>
        <v>0</v>
      </c>
      <c r="DK505" s="909">
        <f>IF(dd_PartSA_2_lines = "Yes",0,_xlfn.IFNA(INDEX('Resource use and costs'!$CR$11:$CR$53,MATCH(DA505,'Resource use and costs'!$BA$11:$BA$53,0)),0)*_xlfn.IFNA(INDEX(EA$10:EA$23,MATCH($DA505,$DX$10:$DX$23,0)),0))</f>
        <v>0</v>
      </c>
      <c r="DL505" s="909">
        <f>IF(dd_PartSA_2_lines = "Yes",0,_xlfn.IFNA(INDEX('Resource use and costs'!$CS$11:$CS$53,MATCH(DB505,'Resource use and costs'!$BA$11:$BA$53,0)),0)*_xlfn.IFNA(INDEX(EC$10:EC$23,MATCH($DB505,$DX$10:$DX$23,0)),0))</f>
        <v>0</v>
      </c>
      <c r="DM505" s="909">
        <f t="shared" si="264"/>
        <v>0</v>
      </c>
      <c r="DN505" s="909">
        <f>SUM(_xlfn.IFNA(INDEX('Resource use and costs'!$DU$12:$DU$25,MATCH(CZ505,'Resource use and costs'!$DS$12:$DS$25,0)),0),_xlfn.IFNA(INDEX('Resource use and costs'!$DU$12:$DU$25,MATCH(DA505,'Resource use and costs'!$DS$12:$DS$25,0)),0),_xlfn.IFNA(INDEX('Resource use and costs'!$DU$12:$DU$25,MATCH(DB505,'Resource use and costs'!$DS$12:$DS$25,0)),0))</f>
        <v>0</v>
      </c>
      <c r="DO505" s="921">
        <f>_xlfn.IFNA(INDEX('Resource use and costs'!$DY$12:$DY$25,MATCH(CZ505,'Resource use and costs'!$DS$12:$DS$25,0)),0)*_xlfn.IFNA(INDEX(DY$10:DY$23,MATCH($CZ505,$DX$10:$DX$23,0)),0)</f>
        <v>0</v>
      </c>
      <c r="DP505" s="921">
        <f>IF(dd_PartSA_2_lines = "Yes",0,_xlfn.IFNA(INDEX('Resource use and costs'!$DZ$12:$DZ$25,MATCH(DA505,'Resource use and costs'!$DS$12:$DS$25,0)),0)*_xlfn.IFNA(INDEX(EA$10:EA$23,MATCH($DA505,$DX$10:$DX$23,0)),0))</f>
        <v>0</v>
      </c>
      <c r="DQ505" s="921">
        <f>IF(dd_PartSA_2_lines = "Yes",0,_xlfn.IFNA(INDEX('Resource use and costs'!$EA$12:$EA$25,MATCH(DB505,'Resource use and costs'!$DS$12:$DS$25,0)),0)*_xlfn.IFNA(INDEX(EC$10:EC$23,MATCH($DB505,$DX$10:$DX$23,0)),0))</f>
        <v>0</v>
      </c>
      <c r="DR505" s="921">
        <f t="shared" si="265"/>
        <v>0</v>
      </c>
      <c r="DS505" s="1004">
        <f>SUMIFS('Safety parameters'!$DM$6:$DM$18,'Safety parameters'!$DK$6:$DK$18,CZ505,'Safety parameters'!$DL$6:$DL$18,1)+IF(dd_PartSA_2_lines = "Yes",0,SUMIFS('Safety parameters'!$DM$6:$DM$18,'Safety parameters'!$DK$6:$DK$18,DA505,'Safety parameters'!$DL$6:$DL$18,2)+SUMIFS('Safety parameters'!$DM$6:$DM$18,'Safety parameters'!$DK$6:$DK$18,DB505,'Safety parameters'!$DL$6:$DL$18,2))</f>
        <v>0</v>
      </c>
      <c r="DT505" s="910">
        <f>SUMIFS('Safety parameters'!$DO$6:$DO$18,'Safety parameters'!$DK$6:$DK$18,CZ505,'Safety parameters'!$DL$6:$DL$18,1)+IF(dd_PartSA_2_lines = "Yes",0,SUMIFS('Safety parameters'!$DO$6:$DO$18,'Safety parameters'!$DK$6:$DK$18,DA505,'Safety parameters'!$DL$6:$DL$18,2)+SUMIFS('Safety parameters'!$DO$6:$DO$18,'Safety parameters'!$DK$6:$DK$18,DB505,'Safety parameters'!$DL$6:$DL$18,2))</f>
        <v>0</v>
      </c>
    </row>
    <row r="506" spans="89:124" ht="15" x14ac:dyDescent="0.2">
      <c r="CK506" s="61" t="s">
        <v>31</v>
      </c>
      <c r="CL506" s="61">
        <v>4</v>
      </c>
      <c r="CM506" s="61" t="str">
        <v>sunitinib</v>
      </c>
      <c r="CN506" s="17">
        <v>7</v>
      </c>
      <c r="CO506" s="61" t="str" cm="1">
        <f t="array" ref="CO506">INDEX(List_comparators,CP505+1)</f>
        <v>avelumab_plus_axitinib</v>
      </c>
      <c r="CP506" s="17">
        <v>4</v>
      </c>
      <c r="CQ506" s="601">
        <f t="shared" ca="1" si="267"/>
        <v>0</v>
      </c>
      <c r="CR506" s="601">
        <f t="shared" ca="1" si="268"/>
        <v>0</v>
      </c>
      <c r="CS506" s="601">
        <f t="shared" ca="1" si="269"/>
        <v>0</v>
      </c>
      <c r="CT506" s="669">
        <f t="shared" ca="1" si="270"/>
        <v>0</v>
      </c>
      <c r="CU506" s="1123">
        <f>MATCH(CZ513,'Resource use and costs'!$BA$11:$BA$53,0)</f>
        <v>30</v>
      </c>
      <c r="CV506" s="1223"/>
      <c r="CW506" s="1241">
        <f t="shared" si="260"/>
        <v>1</v>
      </c>
      <c r="CX506" s="899" t="s">
        <v>788</v>
      </c>
      <c r="CY506" s="899" t="s">
        <v>117</v>
      </c>
      <c r="CZ506" s="899" t="s">
        <v>118</v>
      </c>
      <c r="DA506" s="899" t="s">
        <v>327</v>
      </c>
      <c r="DB506" s="899" t="s">
        <v>765</v>
      </c>
      <c r="DC506" s="899">
        <f ca="1">1-DC499-DC505-DC514-DC526</f>
        <v>0.24580000000000002</v>
      </c>
      <c r="DD506" s="899" cm="1">
        <f t="array" aca="1" ref="DD506" ca="1">_xlfn.IFNA(OFFSET($Y$49,MATCH($CZ506,$Y$50:$Y$63,0),MATCH($DA506,TRANSPOSE($Z$49:$AM$49),0)),0)</f>
        <v>0.122</v>
      </c>
      <c r="DE506" s="899" cm="1">
        <f t="array" aca="1" ref="DE506" ca="1">_xlfn.IFNA(OFFSET($AO$49,MATCH($DA506,$AO$50:$AO$63,0),MATCH($DB506,TRANSPOSE($AP$49:$BC$49),0)),0)</f>
        <v>0.43140000000000001</v>
      </c>
      <c r="DF506" s="881">
        <f t="shared" ca="1" si="262"/>
        <v>1.2936650640000002E-2</v>
      </c>
      <c r="DG506" s="910">
        <f t="shared" ca="1" si="259"/>
        <v>0.99547352429578406</v>
      </c>
      <c r="DH506" s="881">
        <f t="shared" ca="1" si="263"/>
        <v>1.2878093205184113E-2</v>
      </c>
      <c r="DI506" s="1460">
        <f t="shared" ca="1" si="271"/>
        <v>4.1982583848900212</v>
      </c>
      <c r="DJ506" s="909">
        <f>_xlfn.IFNA(INDEX('Resource use and costs'!$CQ$11:$CQ$53,MATCH($CZ506,'Resource use and costs'!$BA$11:$BA$53,0)),0)*_xlfn.IFNA(INDEX(DY$10:DY$23,MATCH($CZ506,$DX$10:$DX$23,0)),0)</f>
        <v>45284.183573333321</v>
      </c>
      <c r="DK506" s="909">
        <f>IF(dd_PartSA_2_lines = "Yes",0,_xlfn.IFNA(INDEX('Resource use and costs'!$CR$11:$CR$53,MATCH(DA506,'Resource use and costs'!$BA$11:$BA$53,0)),0)*_xlfn.IFNA(INDEX(EA$10:EA$23,MATCH($DA506,$DX$10:$DX$23,0)),0))</f>
        <v>21421.066008214286</v>
      </c>
      <c r="DL506" s="909">
        <f>IF(dd_PartSA_2_lines = "Yes",0,_xlfn.IFNA(INDEX('Resource use and costs'!$CS$11:$CS$53,MATCH(DB506,'Resource use and costs'!$BA$11:$BA$53,0)),0)*_xlfn.IFNA(INDEX(EC$10:EC$23,MATCH($DB506,$DX$10:$DX$23,0)),0))</f>
        <v>0</v>
      </c>
      <c r="DM506" s="909">
        <f t="shared" si="264"/>
        <v>66705.2495815476</v>
      </c>
      <c r="DN506" s="909">
        <f>SUM(_xlfn.IFNA(INDEX('Resource use and costs'!$DU$12:$DU$25,MATCH(CZ506,'Resource use and costs'!$DS$12:$DS$25,0)),0),_xlfn.IFNA(INDEX('Resource use and costs'!$DU$12:$DU$25,MATCH(DA506,'Resource use and costs'!$DS$12:$DS$25,0)),0),_xlfn.IFNA(INDEX('Resource use and costs'!$DU$12:$DU$25,MATCH(DB506,'Resource use and costs'!$DS$12:$DS$25,0)),0))</f>
        <v>394.5</v>
      </c>
      <c r="DO506" s="921">
        <f>_xlfn.IFNA(INDEX('Resource use and costs'!$DY$12:$DY$25,MATCH(CZ506,'Resource use and costs'!$DS$12:$DS$25,0)),0)*_xlfn.IFNA(INDEX(DY$10:DY$23,MATCH($CZ506,$DX$10:$DX$23,0)),0)</f>
        <v>415.09348571428563</v>
      </c>
      <c r="DP506" s="921">
        <f>IF(dd_PartSA_2_lines = "Yes",0,_xlfn.IFNA(INDEX('Resource use and costs'!$DZ$12:$DZ$25,MATCH(DA506,'Resource use and costs'!$DS$12:$DS$25,0)),0)*_xlfn.IFNA(INDEX(EA$10:EA$23,MATCH($DA506,$DX$10:$DX$23,0)),0))</f>
        <v>267.99172714285714</v>
      </c>
      <c r="DQ506" s="921">
        <f>IF(dd_PartSA_2_lines = "Yes",0,_xlfn.IFNA(INDEX('Resource use and costs'!$EA$12:$EA$25,MATCH(DB506,'Resource use and costs'!$DS$12:$DS$25,0)),0)*_xlfn.IFNA(INDEX(EC$10:EC$23,MATCH($DB506,$DX$10:$DX$23,0)),0))</f>
        <v>0</v>
      </c>
      <c r="DR506" s="921">
        <f t="shared" si="265"/>
        <v>1077.5852128571428</v>
      </c>
      <c r="DS506" s="1004">
        <f ca="1">SUMIFS('Safety parameters'!$DM$6:$DM$18,'Safety parameters'!$DK$6:$DK$18,CZ506,'Safety parameters'!$DL$6:$DL$18,1)+IF(dd_PartSA_2_lines = "Yes",0,SUMIFS('Safety parameters'!$DM$6:$DM$18,'Safety parameters'!$DK$6:$DK$18,DA506,'Safety parameters'!$DL$6:$DL$18,2)+SUMIFS('Safety parameters'!$DM$6:$DM$18,'Safety parameters'!$DK$6:$DK$18,DB506,'Safety parameters'!$DL$6:$DL$18,2))</f>
        <v>2366.0578362496171</v>
      </c>
      <c r="DT506" s="910">
        <f ca="1">SUMIFS('Safety parameters'!$DO$6:$DO$18,'Safety parameters'!$DK$6:$DK$18,CZ506,'Safety parameters'!$DL$6:$DL$18,1)+IF(dd_PartSA_2_lines = "Yes",0,SUMIFS('Safety parameters'!$DO$6:$DO$18,'Safety parameters'!$DK$6:$DK$18,DA506,'Safety parameters'!$DL$6:$DL$18,2)+SUMIFS('Safety parameters'!$DO$6:$DO$18,'Safety parameters'!$DK$6:$DK$18,DB506,'Safety parameters'!$DL$6:$DL$18,2))</f>
        <v>-2.125891351595622E-2</v>
      </c>
    </row>
    <row r="507" spans="89:124" ht="15" x14ac:dyDescent="0.2">
      <c r="CK507" s="61" t="s">
        <v>31</v>
      </c>
      <c r="CL507" s="61">
        <v>4</v>
      </c>
      <c r="CM507" s="61" t="str">
        <v>cabozantinib</v>
      </c>
      <c r="CN507" s="17">
        <v>8</v>
      </c>
      <c r="CO507" s="61" t="str" cm="1">
        <f t="array" ref="CO507">INDEX(List_comparators,CP506+1)</f>
        <v>avelumab_plus_axitinib</v>
      </c>
      <c r="CP507" s="17">
        <v>4</v>
      </c>
      <c r="CQ507" s="601">
        <f t="shared" ref="CQ507:CQ538" ca="1" si="272">OFFSET($AP$50,IF(CN507=999,13,CN507),CP507)</f>
        <v>0</v>
      </c>
      <c r="CR507" s="601">
        <f t="shared" ref="CR507:CR538" ca="1" si="273">OFFSET($AP$65,IF(CN507=999,13,CN507),CP507)</f>
        <v>0</v>
      </c>
      <c r="CS507" s="601">
        <f t="shared" ref="CS507:CS538" ca="1" si="274">OFFSET($AP$81,IF(CN507=999,13,CN507),CP507)</f>
        <v>0</v>
      </c>
      <c r="CT507" s="669">
        <f t="shared" ref="CT507:CT538" ca="1" si="275">OFFSET($AP$97,IF(CN507=999,13,CN507),CP507)</f>
        <v>0</v>
      </c>
      <c r="CU507" s="1123">
        <f>MATCH(CZ514,'Resource use and costs'!$BA$11:$BA$53,0)</f>
        <v>37</v>
      </c>
      <c r="CV507" s="1223"/>
      <c r="CW507" s="1241">
        <f t="shared" si="260"/>
        <v>1</v>
      </c>
      <c r="CX507" s="899" t="s">
        <v>788</v>
      </c>
      <c r="CY507" s="899" t="s">
        <v>117</v>
      </c>
      <c r="CZ507" s="899" t="s">
        <v>118</v>
      </c>
      <c r="DA507" s="899" t="s">
        <v>327</v>
      </c>
      <c r="DB507" s="899" t="s">
        <v>119</v>
      </c>
      <c r="DC507" s="899">
        <f t="shared" ref="DC507:DC513" ca="1" si="276">DC506</f>
        <v>0.24580000000000002</v>
      </c>
      <c r="DD507" s="899" cm="1">
        <f t="array" aca="1" ref="DD507" ca="1">_xlfn.IFNA(OFFSET($Y$49,MATCH($CZ507,$Y$50:$Y$63,0),MATCH($DA507,TRANSPOSE($Z$49:$AM$49),0)),0)</f>
        <v>0.122</v>
      </c>
      <c r="DE507" s="899" cm="1">
        <f t="array" aca="1" ref="DE507" ca="1">_xlfn.IFNA(OFFSET($AO$49,MATCH($DA507,$AO$50:$AO$63,0),MATCH($DB507,TRANSPOSE($AP$49:$BC$49),0)),0)</f>
        <v>0.56859999999999999</v>
      </c>
      <c r="DF507" s="881">
        <f t="shared" ca="1" si="262"/>
        <v>1.7050949360000001E-2</v>
      </c>
      <c r="DG507" s="910">
        <f t="shared" ca="1" si="259"/>
        <v>0.99547352429578406</v>
      </c>
      <c r="DH507" s="881">
        <f t="shared" ca="1" si="263"/>
        <v>1.6973768651988144E-2</v>
      </c>
      <c r="DI507" s="1460">
        <f t="shared" ca="1" si="271"/>
        <v>5.5334485805481348</v>
      </c>
      <c r="DJ507" s="909">
        <f>_xlfn.IFNA(INDEX('Resource use and costs'!$CQ$11:$CQ$53,MATCH($CZ507,'Resource use and costs'!$BA$11:$BA$53,0)),0)*_xlfn.IFNA(INDEX(DY$10:DY$23,MATCH($CZ507,$DX$10:$DX$23,0)),0)</f>
        <v>45284.183573333321</v>
      </c>
      <c r="DK507" s="909">
        <f>IF(dd_PartSA_2_lines = "Yes",0,_xlfn.IFNA(INDEX('Resource use and costs'!$CR$11:$CR$53,MATCH(DA507,'Resource use and costs'!$BA$11:$BA$53,0)),0)*_xlfn.IFNA(INDEX(EA$10:EA$23,MATCH($DA507,$DX$10:$DX$23,0)),0))</f>
        <v>21421.066008214286</v>
      </c>
      <c r="DL507" s="909">
        <f>IF(dd_PartSA_2_lines = "Yes",0,_xlfn.IFNA(INDEX('Resource use and costs'!$CS$11:$CS$53,MATCH(DB507,'Resource use and costs'!$BA$11:$BA$53,0)),0)*_xlfn.IFNA(INDEX(EC$10:EC$23,MATCH($DB507,$DX$10:$DX$23,0)),0))</f>
        <v>2915.4763433333328</v>
      </c>
      <c r="DM507" s="909">
        <f t="shared" si="264"/>
        <v>69620.725924880928</v>
      </c>
      <c r="DN507" s="909">
        <f>SUM(_xlfn.IFNA(INDEX('Resource use and costs'!$DU$12:$DU$25,MATCH(CZ507,'Resource use and costs'!$DS$12:$DS$25,0)),0),_xlfn.IFNA(INDEX('Resource use and costs'!$DU$12:$DU$25,MATCH(DA507,'Resource use and costs'!$DS$12:$DS$25,0)),0),_xlfn.IFNA(INDEX('Resource use and costs'!$DU$12:$DU$25,MATCH(DB507,'Resource use and costs'!$DS$12:$DS$25,0)),0))</f>
        <v>591.75</v>
      </c>
      <c r="DO507" s="921">
        <f>_xlfn.IFNA(INDEX('Resource use and costs'!$DY$12:$DY$25,MATCH(CZ507,'Resource use and costs'!$DS$12:$DS$25,0)),0)*_xlfn.IFNA(INDEX(DY$10:DY$23,MATCH($CZ507,$DX$10:$DX$23,0)),0)</f>
        <v>415.09348571428563</v>
      </c>
      <c r="DP507" s="921">
        <f>IF(dd_PartSA_2_lines = "Yes",0,_xlfn.IFNA(INDEX('Resource use and costs'!$DZ$12:$DZ$25,MATCH(DA507,'Resource use and costs'!$DS$12:$DS$25,0)),0)*_xlfn.IFNA(INDEX(EA$10:EA$23,MATCH($DA507,$DX$10:$DX$23,0)),0))</f>
        <v>267.99172714285714</v>
      </c>
      <c r="DQ507" s="921">
        <f>IF(dd_PartSA_2_lines = "Yes",0,_xlfn.IFNA(INDEX('Resource use and costs'!$EA$12:$EA$25,MATCH(DB507,'Resource use and costs'!$DS$12:$DS$25,0)),0)*_xlfn.IFNA(INDEX(EC$10:EC$23,MATCH($DB507,$DX$10:$DX$23,0)),0))</f>
        <v>256.11457142857142</v>
      </c>
      <c r="DR507" s="921">
        <f t="shared" si="265"/>
        <v>1530.9497842857143</v>
      </c>
      <c r="DS507" s="1004">
        <f ca="1">SUMIFS('Safety parameters'!$DM$6:$DM$18,'Safety parameters'!$DK$6:$DK$18,CZ507,'Safety parameters'!$DL$6:$DL$18,1)+IF(dd_PartSA_2_lines = "Yes",0,SUMIFS('Safety parameters'!$DM$6:$DM$18,'Safety parameters'!$DK$6:$DK$18,DA507,'Safety parameters'!$DL$6:$DL$18,2)+SUMIFS('Safety parameters'!$DM$6:$DM$18,'Safety parameters'!$DK$6:$DK$18,DB507,'Safety parameters'!$DL$6:$DL$18,2))</f>
        <v>2698.9332196249325</v>
      </c>
      <c r="DT507" s="910">
        <f ca="1">SUMIFS('Safety parameters'!$DO$6:$DO$18,'Safety parameters'!$DK$6:$DK$18,CZ507,'Safety parameters'!$DL$6:$DL$18,1)+IF(dd_PartSA_2_lines = "Yes",0,SUMIFS('Safety parameters'!$DO$6:$DO$18,'Safety parameters'!$DK$6:$DK$18,DA507,'Safety parameters'!$DL$6:$DL$18,2)+SUMIFS('Safety parameters'!$DO$6:$DO$18,'Safety parameters'!$DK$6:$DK$18,DB507,'Safety parameters'!$DL$6:$DL$18,2))</f>
        <v>-2.3926487052593939E-2</v>
      </c>
    </row>
    <row r="508" spans="89:124" ht="15" x14ac:dyDescent="0.2">
      <c r="CK508" s="61" t="s">
        <v>31</v>
      </c>
      <c r="CL508" s="61">
        <v>4</v>
      </c>
      <c r="CM508" s="61" t="str">
        <v>lenvatinib_plus_everolimus</v>
      </c>
      <c r="CN508" s="17">
        <v>9</v>
      </c>
      <c r="CO508" s="61" t="str" cm="1">
        <f t="array" ref="CO508">INDEX(List_comparators,CP507+1)</f>
        <v>avelumab_plus_axitinib</v>
      </c>
      <c r="CP508" s="17">
        <v>4</v>
      </c>
      <c r="CQ508" s="601">
        <f t="shared" ca="1" si="272"/>
        <v>0</v>
      </c>
      <c r="CR508" s="601">
        <f t="shared" ca="1" si="273"/>
        <v>0</v>
      </c>
      <c r="CS508" s="601">
        <f t="shared" ca="1" si="274"/>
        <v>0</v>
      </c>
      <c r="CT508" s="669">
        <f t="shared" ca="1" si="275"/>
        <v>0</v>
      </c>
      <c r="CU508" s="1123">
        <f>MATCH(CZ515,'Resource use and costs'!$BA$11:$BA$53,0)</f>
        <v>37</v>
      </c>
      <c r="CV508" s="1223"/>
      <c r="CW508" s="1241">
        <f t="shared" si="260"/>
        <v>1</v>
      </c>
      <c r="CX508" s="899" t="s">
        <v>788</v>
      </c>
      <c r="CY508" s="899" t="s">
        <v>117</v>
      </c>
      <c r="CZ508" s="899" t="s">
        <v>118</v>
      </c>
      <c r="DA508" s="899" t="s">
        <v>765</v>
      </c>
      <c r="DB508" s="899"/>
      <c r="DC508" s="899">
        <f t="shared" ca="1" si="276"/>
        <v>0.24580000000000002</v>
      </c>
      <c r="DD508" s="899" cm="1">
        <f t="array" aca="1" ref="DD508" ca="1">_xlfn.IFNA(OFFSET($Y$49,MATCH($CZ508,$Y$50:$Y$63,0),MATCH($DA508,TRANSPOSE($Z$49:$AM$49),0)),0)</f>
        <v>0.34300000000000003</v>
      </c>
      <c r="DE508" s="899" cm="1">
        <f t="array" aca="1" ref="DE508" ca="1">_xlfn.IFNA(OFFSET($AO$49,MATCH($DA508,$AO$50:$AO$63,0),MATCH($DB508,TRANSPOSE($AP$49:$BC$49),0)),0)</f>
        <v>0</v>
      </c>
      <c r="DF508" s="881">
        <f t="shared" ca="1" si="262"/>
        <v>8.4309400000000007E-2</v>
      </c>
      <c r="DG508" s="910">
        <f t="shared" ca="1" si="259"/>
        <v>0.99547352429578406</v>
      </c>
      <c r="DH508" s="881">
        <f t="shared" ca="1" si="263"/>
        <v>8.3927775549262978E-2</v>
      </c>
      <c r="DI508" s="1460">
        <f t="shared" ca="1" si="271"/>
        <v>27.36045482905973</v>
      </c>
      <c r="DJ508" s="909">
        <f>_xlfn.IFNA(INDEX('Resource use and costs'!$CQ$11:$CQ$53,MATCH($CZ508,'Resource use and costs'!$BA$11:$BA$53,0)),0)*_xlfn.IFNA(INDEX(DY$10:DY$23,MATCH($CZ508,$DX$10:$DX$23,0)),0)</f>
        <v>45284.183573333321</v>
      </c>
      <c r="DK508" s="909">
        <f>IF(dd_PartSA_2_lines = "Yes",0,_xlfn.IFNA(INDEX('Resource use and costs'!$CR$11:$CR$53,MATCH(DA508,'Resource use and costs'!$BA$11:$BA$53,0)),0)*_xlfn.IFNA(INDEX(EA$10:EA$23,MATCH($DA508,$DX$10:$DX$23,0)),0))</f>
        <v>0</v>
      </c>
      <c r="DL508" s="909">
        <f>IF(dd_PartSA_2_lines = "Yes",0,_xlfn.IFNA(INDEX('Resource use and costs'!$CS$11:$CS$53,MATCH(DB508,'Resource use and costs'!$BA$11:$BA$53,0)),0)*_xlfn.IFNA(INDEX(EC$10:EC$23,MATCH($DB508,$DX$10:$DX$23,0)),0))</f>
        <v>0</v>
      </c>
      <c r="DM508" s="909">
        <f t="shared" si="264"/>
        <v>45284.183573333321</v>
      </c>
      <c r="DN508" s="909">
        <f>SUM(_xlfn.IFNA(INDEX('Resource use and costs'!$DU$12:$DU$25,MATCH(CZ508,'Resource use and costs'!$DS$12:$DS$25,0)),0),_xlfn.IFNA(INDEX('Resource use and costs'!$DU$12:$DU$25,MATCH(DA508,'Resource use and costs'!$DS$12:$DS$25,0)),0),_xlfn.IFNA(INDEX('Resource use and costs'!$DU$12:$DU$25,MATCH(DB508,'Resource use and costs'!$DS$12:$DS$25,0)),0))</f>
        <v>197.25</v>
      </c>
      <c r="DO508" s="921">
        <f>_xlfn.IFNA(INDEX('Resource use and costs'!$DY$12:$DY$25,MATCH(CZ508,'Resource use and costs'!$DS$12:$DS$25,0)),0)*_xlfn.IFNA(INDEX(DY$10:DY$23,MATCH($CZ508,$DX$10:$DX$23,0)),0)</f>
        <v>415.09348571428563</v>
      </c>
      <c r="DP508" s="921">
        <f>IF(dd_PartSA_2_lines = "Yes",0,_xlfn.IFNA(INDEX('Resource use and costs'!$DZ$12:$DZ$25,MATCH(DA508,'Resource use and costs'!$DS$12:$DS$25,0)),0)*_xlfn.IFNA(INDEX(EA$10:EA$23,MATCH($DA508,$DX$10:$DX$23,0)),0))</f>
        <v>0</v>
      </c>
      <c r="DQ508" s="921">
        <f>IF(dd_PartSA_2_lines = "Yes",0,_xlfn.IFNA(INDEX('Resource use and costs'!$EA$12:$EA$25,MATCH(DB508,'Resource use and costs'!$DS$12:$DS$25,0)),0)*_xlfn.IFNA(INDEX(EC$10:EC$23,MATCH($DB508,$DX$10:$DX$23,0)),0))</f>
        <v>0</v>
      </c>
      <c r="DR508" s="921">
        <f t="shared" si="265"/>
        <v>612.34348571428563</v>
      </c>
      <c r="DS508" s="1004">
        <f ca="1">SUMIFS('Safety parameters'!$DM$6:$DM$18,'Safety parameters'!$DK$6:$DK$18,CZ508,'Safety parameters'!$DL$6:$DL$18,1)+IF(dd_PartSA_2_lines = "Yes",0,SUMIFS('Safety parameters'!$DM$6:$DM$18,'Safety parameters'!$DK$6:$DK$18,DA508,'Safety parameters'!$DL$6:$DL$18,2)+SUMIFS('Safety parameters'!$DM$6:$DM$18,'Safety parameters'!$DK$6:$DK$18,DB508,'Safety parameters'!$DL$6:$DL$18,2))</f>
        <v>731.82916268415761</v>
      </c>
      <c r="DT508" s="910">
        <f ca="1">SUMIFS('Safety parameters'!$DO$6:$DO$18,'Safety parameters'!$DK$6:$DK$18,CZ508,'Safety parameters'!$DL$6:$DL$18,1)+IF(dd_PartSA_2_lines = "Yes",0,SUMIFS('Safety parameters'!$DO$6:$DO$18,'Safety parameters'!$DK$6:$DK$18,DA508,'Safety parameters'!$DL$6:$DL$18,2)+SUMIFS('Safety parameters'!$DO$6:$DO$18,'Safety parameters'!$DK$6:$DK$18,DB508,'Safety parameters'!$DL$6:$DL$18,2))</f>
        <v>-6.5169895084747891E-3</v>
      </c>
    </row>
    <row r="509" spans="89:124" ht="15" x14ac:dyDescent="0.2">
      <c r="CK509" s="61" t="s">
        <v>31</v>
      </c>
      <c r="CL509" s="61">
        <v>4</v>
      </c>
      <c r="CM509" s="61" t="str">
        <v>everolimus</v>
      </c>
      <c r="CN509" s="17">
        <v>10</v>
      </c>
      <c r="CO509" s="61" t="str" cm="1">
        <f t="array" ref="CO509">INDEX(List_comparators,CP508+1)</f>
        <v>avelumab_plus_axitinib</v>
      </c>
      <c r="CP509" s="17">
        <v>4</v>
      </c>
      <c r="CQ509" s="601">
        <f t="shared" ca="1" si="272"/>
        <v>0</v>
      </c>
      <c r="CR509" s="601">
        <f t="shared" ca="1" si="273"/>
        <v>0</v>
      </c>
      <c r="CS509" s="601">
        <f t="shared" ca="1" si="274"/>
        <v>0</v>
      </c>
      <c r="CT509" s="669">
        <f t="shared" ca="1" si="275"/>
        <v>0</v>
      </c>
      <c r="CU509" s="1123">
        <f>MATCH(CZ516,'Resource use and costs'!$BA$11:$BA$53,0)</f>
        <v>37</v>
      </c>
      <c r="CV509" s="1223"/>
      <c r="CW509" s="1241">
        <f t="shared" si="260"/>
        <v>1</v>
      </c>
      <c r="CX509" s="899" t="s">
        <v>788</v>
      </c>
      <c r="CY509" s="899" t="s">
        <v>117</v>
      </c>
      <c r="CZ509" s="899" t="s">
        <v>118</v>
      </c>
      <c r="DA509" s="899" t="s">
        <v>119</v>
      </c>
      <c r="DB509" s="899" t="s">
        <v>327</v>
      </c>
      <c r="DC509" s="899">
        <f t="shared" ca="1" si="276"/>
        <v>0.24580000000000002</v>
      </c>
      <c r="DD509" s="899" cm="1">
        <f t="array" aca="1" ref="DD509" ca="1">_xlfn.IFNA(OFFSET($Y$49,MATCH($CZ509,$Y$50:$Y$63,0),MATCH($DA509,TRANSPOSE($Z$49:$AM$49),0)),0)</f>
        <v>6.5699999999999995E-2</v>
      </c>
      <c r="DE509" s="899" cm="1">
        <f t="array" aca="1" ref="DE509" ca="1">_xlfn.IFNA(OFFSET($AO$49,MATCH($DA509,$AO$50:$AO$63,0),MATCH($DB509,TRANSPOSE($AP$49:$BC$49),0)),0)</f>
        <v>0</v>
      </c>
      <c r="DF509" s="881">
        <f t="shared" ca="1" si="262"/>
        <v>0</v>
      </c>
      <c r="DG509" s="910">
        <f t="shared" ca="1" si="259"/>
        <v>0.99547352429578406</v>
      </c>
      <c r="DH509" s="881">
        <f t="shared" ca="1" si="263"/>
        <v>0</v>
      </c>
      <c r="DI509" s="1460">
        <f t="shared" ca="1" si="271"/>
        <v>0</v>
      </c>
      <c r="DJ509" s="909">
        <f>_xlfn.IFNA(INDEX('Resource use and costs'!$CQ$11:$CQ$53,MATCH($CZ509,'Resource use and costs'!$BA$11:$BA$53,0)),0)*_xlfn.IFNA(INDEX(DY$10:DY$23,MATCH($CZ509,$DX$10:$DX$23,0)),0)</f>
        <v>45284.183573333321</v>
      </c>
      <c r="DK509" s="909">
        <f>IF(dd_PartSA_2_lines = "Yes",0,_xlfn.IFNA(INDEX('Resource use and costs'!$CR$11:$CR$53,MATCH(DA509,'Resource use and costs'!$BA$11:$BA$53,0)),0)*_xlfn.IFNA(INDEX(EA$10:EA$23,MATCH($DA509,$DX$10:$DX$23,0)),0))</f>
        <v>848.17532499999982</v>
      </c>
      <c r="DL509" s="909">
        <f>IF(dd_PartSA_2_lines = "Yes",0,_xlfn.IFNA(INDEX('Resource use and costs'!$CS$11:$CS$53,MATCH(DB509,'Resource use and costs'!$BA$11:$BA$53,0)),0)*_xlfn.IFNA(INDEX(EC$10:EC$23,MATCH($DB509,$DX$10:$DX$23,0)),0))</f>
        <v>18438.751749999999</v>
      </c>
      <c r="DM509" s="909">
        <f t="shared" si="264"/>
        <v>64571.110648333313</v>
      </c>
      <c r="DN509" s="909">
        <f>SUM(_xlfn.IFNA(INDEX('Resource use and costs'!$DU$12:$DU$25,MATCH(CZ509,'Resource use and costs'!$DS$12:$DS$25,0)),0),_xlfn.IFNA(INDEX('Resource use and costs'!$DU$12:$DU$25,MATCH(DA509,'Resource use and costs'!$DS$12:$DS$25,0)),0),_xlfn.IFNA(INDEX('Resource use and costs'!$DU$12:$DU$25,MATCH(DB509,'Resource use and costs'!$DS$12:$DS$25,0)),0))</f>
        <v>591.75</v>
      </c>
      <c r="DO509" s="921">
        <f>_xlfn.IFNA(INDEX('Resource use and costs'!$DY$12:$DY$25,MATCH(CZ509,'Resource use and costs'!$DS$12:$DS$25,0)),0)*_xlfn.IFNA(INDEX(DY$10:DY$23,MATCH($CZ509,$DX$10:$DX$23,0)),0)</f>
        <v>415.09348571428563</v>
      </c>
      <c r="DP509" s="921">
        <f>IF(dd_PartSA_2_lines = "Yes",0,_xlfn.IFNA(INDEX('Resource use and costs'!$DZ$12:$DZ$25,MATCH(DA509,'Resource use and costs'!$DS$12:$DS$25,0)),0)*_xlfn.IFNA(INDEX(EA$10:EA$23,MATCH($DA509,$DX$10:$DX$23,0)),0))</f>
        <v>74.50928571428571</v>
      </c>
      <c r="DQ509" s="921">
        <f>IF(dd_PartSA_2_lines = "Yes",0,_xlfn.IFNA(INDEX('Resource use and costs'!$EA$12:$EA$25,MATCH(DB509,'Resource use and costs'!$DS$12:$DS$25,0)),0)*_xlfn.IFNA(INDEX(EC$10:EC$23,MATCH($DB509,$DX$10:$DX$23,0)),0))</f>
        <v>230.68099999999998</v>
      </c>
      <c r="DR509" s="921">
        <f t="shared" si="265"/>
        <v>1312.0337714285713</v>
      </c>
      <c r="DS509" s="1004">
        <f ca="1">SUMIFS('Safety parameters'!$DM$6:$DM$18,'Safety parameters'!$DK$6:$DK$18,CZ509,'Safety parameters'!$DL$6:$DL$18,1)+IF(dd_PartSA_2_lines = "Yes",0,SUMIFS('Safety parameters'!$DM$6:$DM$18,'Safety parameters'!$DK$6:$DK$18,DA509,'Safety parameters'!$DL$6:$DL$18,2)+SUMIFS('Safety parameters'!$DM$6:$DM$18,'Safety parameters'!$DK$6:$DK$18,DB509,'Safety parameters'!$DL$6:$DL$18,2))</f>
        <v>2698.9332196249325</v>
      </c>
      <c r="DT509" s="910">
        <f ca="1">SUMIFS('Safety parameters'!$DO$6:$DO$18,'Safety parameters'!$DK$6:$DK$18,CZ509,'Safety parameters'!$DL$6:$DL$18,1)+IF(dd_PartSA_2_lines = "Yes",0,SUMIFS('Safety parameters'!$DO$6:$DO$18,'Safety parameters'!$DK$6:$DK$18,DA509,'Safety parameters'!$DL$6:$DL$18,2)+SUMIFS('Safety parameters'!$DO$6:$DO$18,'Safety parameters'!$DK$6:$DK$18,DB509,'Safety parameters'!$DL$6:$DL$18,2))</f>
        <v>-2.3926487052593939E-2</v>
      </c>
    </row>
    <row r="510" spans="89:124" ht="15" x14ac:dyDescent="0.2">
      <c r="CK510" s="61" t="s">
        <v>31</v>
      </c>
      <c r="CL510" s="61">
        <v>4</v>
      </c>
      <c r="CM510" s="61" t="str">
        <v>axitinib</v>
      </c>
      <c r="CN510" s="17">
        <v>11</v>
      </c>
      <c r="CO510" s="61" t="str" cm="1">
        <f t="array" ref="CO510">INDEX(List_comparators,CP509+1)</f>
        <v>avelumab_plus_axitinib</v>
      </c>
      <c r="CP510" s="17">
        <v>4</v>
      </c>
      <c r="CQ510" s="601">
        <f t="shared" ca="1" si="272"/>
        <v>0</v>
      </c>
      <c r="CR510" s="601">
        <f t="shared" ca="1" si="273"/>
        <v>0</v>
      </c>
      <c r="CS510" s="601">
        <f t="shared" ca="1" si="274"/>
        <v>0</v>
      </c>
      <c r="CT510" s="669">
        <f t="shared" ca="1" si="275"/>
        <v>0</v>
      </c>
      <c r="CU510" s="1123">
        <f>MATCH(CZ517,'Resource use and costs'!$BA$11:$BA$53,0)</f>
        <v>37</v>
      </c>
      <c r="CV510" s="1223"/>
      <c r="CW510" s="1241">
        <f t="shared" si="260"/>
        <v>1</v>
      </c>
      <c r="CX510" s="899" t="s">
        <v>788</v>
      </c>
      <c r="CY510" s="899" t="s">
        <v>117</v>
      </c>
      <c r="CZ510" s="899" t="s">
        <v>118</v>
      </c>
      <c r="DA510" s="899" t="s">
        <v>119</v>
      </c>
      <c r="DB510" s="899" t="s">
        <v>765</v>
      </c>
      <c r="DC510" s="899">
        <f t="shared" ca="1" si="276"/>
        <v>0.24580000000000002</v>
      </c>
      <c r="DD510" s="899" cm="1">
        <f t="array" aca="1" ref="DD510" ca="1">_xlfn.IFNA(OFFSET($Y$49,MATCH($CZ510,$Y$50:$Y$63,0),MATCH($DA510,TRANSPOSE($Z$49:$AM$49),0)),0)</f>
        <v>6.5699999999999995E-2</v>
      </c>
      <c r="DE510" s="899" cm="1">
        <f t="array" aca="1" ref="DE510" ca="1">_xlfn.IFNA(OFFSET($AO$49,MATCH($DA510,$AO$50:$AO$63,0),MATCH($DB510,TRANSPOSE($AP$49:$BC$49),0)),0)</f>
        <v>1</v>
      </c>
      <c r="DF510" s="881">
        <f t="shared" ca="1" si="262"/>
        <v>1.614906E-2</v>
      </c>
      <c r="DG510" s="910">
        <f t="shared" ca="1" si="259"/>
        <v>0.99547352429578406</v>
      </c>
      <c r="DH510" s="881">
        <f t="shared" ca="1" si="263"/>
        <v>1.6075961672264074E-2</v>
      </c>
      <c r="DI510" s="1460">
        <f t="shared" ca="1" si="271"/>
        <v>5.2407635051580881</v>
      </c>
      <c r="DJ510" s="909">
        <f>_xlfn.IFNA(INDEX('Resource use and costs'!$CQ$11:$CQ$53,MATCH($CZ510,'Resource use and costs'!$BA$11:$BA$53,0)),0)*_xlfn.IFNA(INDEX(DY$10:DY$23,MATCH($CZ510,$DX$10:$DX$23,0)),0)</f>
        <v>45284.183573333321</v>
      </c>
      <c r="DK510" s="909">
        <f>IF(dd_PartSA_2_lines = "Yes",0,_xlfn.IFNA(INDEX('Resource use and costs'!$CR$11:$CR$53,MATCH(DA510,'Resource use and costs'!$BA$11:$BA$53,0)),0)*_xlfn.IFNA(INDEX(EA$10:EA$23,MATCH($DA510,$DX$10:$DX$23,0)),0))</f>
        <v>848.17532499999982</v>
      </c>
      <c r="DL510" s="909">
        <f>IF(dd_PartSA_2_lines = "Yes",0,_xlfn.IFNA(INDEX('Resource use and costs'!$CS$11:$CS$53,MATCH(DB510,'Resource use and costs'!$BA$11:$BA$53,0)),0)*_xlfn.IFNA(INDEX(EC$10:EC$23,MATCH($DB510,$DX$10:$DX$23,0)),0))</f>
        <v>0</v>
      </c>
      <c r="DM510" s="909">
        <f t="shared" si="264"/>
        <v>46132.358898333317</v>
      </c>
      <c r="DN510" s="909">
        <f>SUM(_xlfn.IFNA(INDEX('Resource use and costs'!$DU$12:$DU$25,MATCH(CZ510,'Resource use and costs'!$DS$12:$DS$25,0)),0),_xlfn.IFNA(INDEX('Resource use and costs'!$DU$12:$DU$25,MATCH(DA510,'Resource use and costs'!$DS$12:$DS$25,0)),0),_xlfn.IFNA(INDEX('Resource use and costs'!$DU$12:$DU$25,MATCH(DB510,'Resource use and costs'!$DS$12:$DS$25,0)),0))</f>
        <v>394.5</v>
      </c>
      <c r="DO510" s="921">
        <f>_xlfn.IFNA(INDEX('Resource use and costs'!$DY$12:$DY$25,MATCH(CZ510,'Resource use and costs'!$DS$12:$DS$25,0)),0)*_xlfn.IFNA(INDEX(DY$10:DY$23,MATCH($CZ510,$DX$10:$DX$23,0)),0)</f>
        <v>415.09348571428563</v>
      </c>
      <c r="DP510" s="921">
        <f>IF(dd_PartSA_2_lines = "Yes",0,_xlfn.IFNA(INDEX('Resource use and costs'!$DZ$12:$DZ$25,MATCH(DA510,'Resource use and costs'!$DS$12:$DS$25,0)),0)*_xlfn.IFNA(INDEX(EA$10:EA$23,MATCH($DA510,$DX$10:$DX$23,0)),0))</f>
        <v>74.50928571428571</v>
      </c>
      <c r="DQ510" s="921">
        <f>IF(dd_PartSA_2_lines = "Yes",0,_xlfn.IFNA(INDEX('Resource use and costs'!$EA$12:$EA$25,MATCH(DB510,'Resource use and costs'!$DS$12:$DS$25,0)),0)*_xlfn.IFNA(INDEX(EC$10:EC$23,MATCH($DB510,$DX$10:$DX$23,0)),0))</f>
        <v>0</v>
      </c>
      <c r="DR510" s="921">
        <f t="shared" si="265"/>
        <v>884.10277142857137</v>
      </c>
      <c r="DS510" s="1004">
        <f ca="1">SUMIFS('Safety parameters'!$DM$6:$DM$18,'Safety parameters'!$DK$6:$DK$18,CZ510,'Safety parameters'!$DL$6:$DL$18,1)+IF(dd_PartSA_2_lines = "Yes",0,SUMIFS('Safety parameters'!$DM$6:$DM$18,'Safety parameters'!$DK$6:$DK$18,DA510,'Safety parameters'!$DL$6:$DL$18,2)+SUMIFS('Safety parameters'!$DM$6:$DM$18,'Safety parameters'!$DK$6:$DK$18,DB510,'Safety parameters'!$DL$6:$DL$18,2))</f>
        <v>1064.7045460594725</v>
      </c>
      <c r="DT510" s="910">
        <f ca="1">SUMIFS('Safety parameters'!$DO$6:$DO$18,'Safety parameters'!$DK$6:$DK$18,CZ510,'Safety parameters'!$DL$6:$DL$18,1)+IF(dd_PartSA_2_lines = "Yes",0,SUMIFS('Safety parameters'!$DO$6:$DO$18,'Safety parameters'!$DK$6:$DK$18,DA510,'Safety parameters'!$DL$6:$DL$18,2)+SUMIFS('Safety parameters'!$DO$6:$DO$18,'Safety parameters'!$DK$6:$DK$18,DB510,'Safety parameters'!$DL$6:$DL$18,2))</f>
        <v>-9.184563045112509E-3</v>
      </c>
    </row>
    <row r="511" spans="89:124" ht="15" x14ac:dyDescent="0.2">
      <c r="CK511" s="61" t="s">
        <v>31</v>
      </c>
      <c r="CL511" s="61">
        <v>4</v>
      </c>
      <c r="CM511" s="61" t="str">
        <v>sorafenib</v>
      </c>
      <c r="CN511" s="17">
        <v>12</v>
      </c>
      <c r="CO511" s="61" t="str" cm="1">
        <f t="array" ref="CO511">INDEX(List_comparators,CP510+1)</f>
        <v>avelumab_plus_axitinib</v>
      </c>
      <c r="CP511" s="17">
        <v>4</v>
      </c>
      <c r="CQ511" s="601">
        <f t="shared" ca="1" si="272"/>
        <v>0</v>
      </c>
      <c r="CR511" s="601">
        <f t="shared" ca="1" si="273"/>
        <v>0</v>
      </c>
      <c r="CS511" s="601">
        <f t="shared" ca="1" si="274"/>
        <v>0</v>
      </c>
      <c r="CT511" s="669">
        <f t="shared" ca="1" si="275"/>
        <v>0</v>
      </c>
      <c r="CU511" s="1123">
        <f>MATCH(CZ518,'Resource use and costs'!$BA$11:$BA$53,0)</f>
        <v>37</v>
      </c>
      <c r="CV511" s="1223"/>
      <c r="CW511" s="1241">
        <f t="shared" si="260"/>
        <v>1</v>
      </c>
      <c r="CX511" s="899" t="s">
        <v>788</v>
      </c>
      <c r="CY511" s="899" t="s">
        <v>117</v>
      </c>
      <c r="CZ511" s="899" t="s">
        <v>118</v>
      </c>
      <c r="DA511" s="899" t="s">
        <v>579</v>
      </c>
      <c r="DB511" s="899" t="s">
        <v>327</v>
      </c>
      <c r="DC511" s="899">
        <f t="shared" ca="1" si="276"/>
        <v>0.24580000000000002</v>
      </c>
      <c r="DD511" s="899">
        <f ca="1">1-DD506-DD508-DD509</f>
        <v>0.46929999999999994</v>
      </c>
      <c r="DE511" s="899" cm="1">
        <f t="array" aca="1" ref="DE511" ca="1">_xlfn.IFNA(OFFSET($AO$49,MATCH($DA511,$AO$50:$AO$63,0),MATCH($DB511,TRANSPOSE($AP$49:$BC$49),0)),0)</f>
        <v>0.56859999999999999</v>
      </c>
      <c r="DF511" s="881">
        <f t="shared" ca="1" si="262"/>
        <v>6.5590250283999993E-2</v>
      </c>
      <c r="DG511" s="910">
        <f t="shared" ca="1" si="259"/>
        <v>0.99547352429578406</v>
      </c>
      <c r="DH511" s="881">
        <f t="shared" ca="1" si="263"/>
        <v>6.529335760965603E-2</v>
      </c>
      <c r="DI511" s="1460">
        <f t="shared" ca="1" si="271"/>
        <v>21.285634580747868</v>
      </c>
      <c r="DJ511" s="909">
        <f>_xlfn.IFNA(INDEX('Resource use and costs'!$CQ$11:$CQ$53,MATCH($CZ511,'Resource use and costs'!$BA$11:$BA$53,0)),0)*_xlfn.IFNA(INDEX(DY$10:DY$23,MATCH($CZ511,$DX$10:$DX$23,0)),0)</f>
        <v>45284.183573333321</v>
      </c>
      <c r="DK511" s="909">
        <f>IF(dd_PartSA_2_lines = "Yes",0,_xlfn.IFNA(INDEX('Resource use and costs'!$CR$11:$CR$53,MATCH(DA511,'Resource use and costs'!$BA$11:$BA$53,0)),0)*_xlfn.IFNA(INDEX(EA$10:EA$23,MATCH($DA511,$DX$10:$DX$23,0)),0))</f>
        <v>26054.50921</v>
      </c>
      <c r="DL511" s="909">
        <f>IF(dd_PartSA_2_lines = "Yes",0,_xlfn.IFNA(INDEX('Resource use and costs'!$CS$11:$CS$53,MATCH(DB511,'Resource use and costs'!$BA$11:$BA$53,0)),0)*_xlfn.IFNA(INDEX(EC$10:EC$23,MATCH($DB511,$DX$10:$DX$23,0)),0))</f>
        <v>18438.751749999999</v>
      </c>
      <c r="DM511" s="909">
        <f t="shared" si="264"/>
        <v>89777.444533333313</v>
      </c>
      <c r="DN511" s="909">
        <f>SUM(_xlfn.IFNA(INDEX('Resource use and costs'!$DU$12:$DU$25,MATCH(CZ511,'Resource use and costs'!$DS$12:$DS$25,0)),0),_xlfn.IFNA(INDEX('Resource use and costs'!$DU$12:$DU$25,MATCH(DA511,'Resource use and costs'!$DS$12:$DS$25,0)),0),_xlfn.IFNA(INDEX('Resource use and costs'!$DU$12:$DU$25,MATCH(DB511,'Resource use and costs'!$DS$12:$DS$25,0)),0))</f>
        <v>394.5</v>
      </c>
      <c r="DO511" s="921">
        <f>_xlfn.IFNA(INDEX('Resource use and costs'!$DY$12:$DY$25,MATCH(CZ511,'Resource use and costs'!$DS$12:$DS$25,0)),0)*_xlfn.IFNA(INDEX(DY$10:DY$23,MATCH($CZ511,$DX$10:$DX$23,0)),0)</f>
        <v>415.09348571428563</v>
      </c>
      <c r="DP511" s="921">
        <f>IF(dd_PartSA_2_lines = "Yes",0,_xlfn.IFNA(INDEX('Resource use and costs'!$DZ$12:$DZ$25,MATCH(DA511,'Resource use and costs'!$DS$12:$DS$25,0)),0)*_xlfn.IFNA(INDEX(EA$10:EA$23,MATCH($DA511,$DX$10:$DX$23,0)),0))</f>
        <v>4108.3597166</v>
      </c>
      <c r="DQ511" s="921">
        <f>IF(dd_PartSA_2_lines = "Yes",0,_xlfn.IFNA(INDEX('Resource use and costs'!$EA$12:$EA$25,MATCH(DB511,'Resource use and costs'!$DS$12:$DS$25,0)),0)*_xlfn.IFNA(INDEX(EC$10:EC$23,MATCH($DB511,$DX$10:$DX$23,0)),0))</f>
        <v>230.68099999999998</v>
      </c>
      <c r="DR511" s="921">
        <f t="shared" si="265"/>
        <v>5148.6342023142852</v>
      </c>
      <c r="DS511" s="1004">
        <f ca="1">SUMIFS('Safety parameters'!$DM$6:$DM$18,'Safety parameters'!$DK$6:$DK$18,CZ511,'Safety parameters'!$DL$6:$DL$18,1)+IF(dd_PartSA_2_lines = "Yes",0,SUMIFS('Safety parameters'!$DM$6:$DM$18,'Safety parameters'!$DK$6:$DK$18,DA511,'Safety parameters'!$DL$6:$DL$18,2)+SUMIFS('Safety parameters'!$DM$6:$DM$18,'Safety parameters'!$DK$6:$DK$18,DB511,'Safety parameters'!$DL$6:$DL$18,2))</f>
        <v>2527.1915852400316</v>
      </c>
      <c r="DT511" s="910">
        <f ca="1">SUMIFS('Safety parameters'!$DO$6:$DO$18,'Safety parameters'!$DK$6:$DK$18,CZ511,'Safety parameters'!$DL$6:$DL$18,1)+IF(dd_PartSA_2_lines = "Yes",0,SUMIFS('Safety parameters'!$DO$6:$DO$18,'Safety parameters'!$DK$6:$DK$18,DA511,'Safety parameters'!$DL$6:$DL$18,2)+SUMIFS('Safety parameters'!$DO$6:$DO$18,'Safety parameters'!$DK$6:$DK$18,DB511,'Safety parameters'!$DL$6:$DL$18,2))</f>
        <v>-2.2855997713641003E-2</v>
      </c>
    </row>
    <row r="512" spans="89:124" ht="15.75" thickBot="1" x14ac:dyDescent="0.25">
      <c r="CK512" s="506" t="s">
        <v>31</v>
      </c>
      <c r="CL512" s="506">
        <v>4</v>
      </c>
      <c r="CM512" s="506" t="str">
        <v>placebo_BSC</v>
      </c>
      <c r="CN512" s="19">
        <v>999</v>
      </c>
      <c r="CO512" s="506" t="str" cm="1">
        <f t="array" ref="CO512">INDEX(List_comparators,CP499+1)</f>
        <v>avelumab_plus_axitinib</v>
      </c>
      <c r="CP512" s="19">
        <v>4</v>
      </c>
      <c r="CQ512" s="602">
        <f t="shared" ca="1" si="272"/>
        <v>0</v>
      </c>
      <c r="CR512" s="602">
        <f t="shared" ca="1" si="273"/>
        <v>0</v>
      </c>
      <c r="CS512" s="602">
        <f t="shared" ca="1" si="274"/>
        <v>0</v>
      </c>
      <c r="CT512" s="748">
        <f t="shared" ca="1" si="275"/>
        <v>0</v>
      </c>
      <c r="CU512" s="1123">
        <f>MATCH(CZ519,'Resource use and costs'!$BA$11:$BA$53,0)</f>
        <v>37</v>
      </c>
      <c r="CV512" s="1223"/>
      <c r="CW512" s="1241">
        <f t="shared" si="260"/>
        <v>1</v>
      </c>
      <c r="CX512" s="899" t="s">
        <v>788</v>
      </c>
      <c r="CY512" s="899" t="s">
        <v>117</v>
      </c>
      <c r="CZ512" s="899" t="s">
        <v>118</v>
      </c>
      <c r="DA512" s="899" t="s">
        <v>579</v>
      </c>
      <c r="DB512" s="899" t="s">
        <v>765</v>
      </c>
      <c r="DC512" s="899">
        <f t="shared" ca="1" si="276"/>
        <v>0.24580000000000002</v>
      </c>
      <c r="DD512" s="899">
        <f ca="1">DD511</f>
        <v>0.46929999999999994</v>
      </c>
      <c r="DE512" s="899" cm="1">
        <f t="array" aca="1" ref="DE512" ca="1">_xlfn.IFNA(OFFSET($AO$49,MATCH($DA512,$AO$50:$AO$63,0),MATCH($DB512,TRANSPOSE($AP$49:$BC$49),0)),0)</f>
        <v>0.43140000000000001</v>
      </c>
      <c r="DF512" s="881">
        <f t="shared" ca="1" si="262"/>
        <v>4.9763689715999995E-2</v>
      </c>
      <c r="DG512" s="910">
        <f t="shared" ca="1" si="259"/>
        <v>0.99547352429578406</v>
      </c>
      <c r="DH512" s="881">
        <f t="shared" ca="1" si="263"/>
        <v>4.9538435583548382E-2</v>
      </c>
      <c r="DI512" s="1460">
        <f t="shared" ca="1" si="271"/>
        <v>16.149530000236773</v>
      </c>
      <c r="DJ512" s="909">
        <f>_xlfn.IFNA(INDEX('Resource use and costs'!$CQ$11:$CQ$53,MATCH($CZ512,'Resource use and costs'!$BA$11:$BA$53,0)),0)*_xlfn.IFNA(INDEX(DY$10:DY$23,MATCH($CZ512,$DX$10:$DX$23,0)),0)</f>
        <v>45284.183573333321</v>
      </c>
      <c r="DK512" s="909">
        <f>IF(dd_PartSA_2_lines = "Yes",0,_xlfn.IFNA(INDEX('Resource use and costs'!$CR$11:$CR$53,MATCH(DA512,'Resource use and costs'!$BA$11:$BA$53,0)),0)*_xlfn.IFNA(INDEX(EA$10:EA$23,MATCH($DA512,$DX$10:$DX$23,0)),0))</f>
        <v>26054.50921</v>
      </c>
      <c r="DL512" s="909">
        <f>IF(dd_PartSA_2_lines = "Yes",0,_xlfn.IFNA(INDEX('Resource use and costs'!$CS$11:$CS$53,MATCH(DB512,'Resource use and costs'!$BA$11:$BA$53,0)),0)*_xlfn.IFNA(INDEX(EC$10:EC$23,MATCH($DB512,$DX$10:$DX$23,0)),0))</f>
        <v>0</v>
      </c>
      <c r="DM512" s="909">
        <f t="shared" si="264"/>
        <v>71338.692783333317</v>
      </c>
      <c r="DN512" s="909">
        <f>SUM(_xlfn.IFNA(INDEX('Resource use and costs'!$DU$12:$DU$25,MATCH(CZ512,'Resource use and costs'!$DS$12:$DS$25,0)),0),_xlfn.IFNA(INDEX('Resource use and costs'!$DU$12:$DU$25,MATCH(DA512,'Resource use and costs'!$DS$12:$DS$25,0)),0),_xlfn.IFNA(INDEX('Resource use and costs'!$DU$12:$DU$25,MATCH(DB512,'Resource use and costs'!$DS$12:$DS$25,0)),0))</f>
        <v>197.25</v>
      </c>
      <c r="DO512" s="921">
        <f>_xlfn.IFNA(INDEX('Resource use and costs'!$DY$12:$DY$25,MATCH(CZ512,'Resource use and costs'!$DS$12:$DS$25,0)),0)*_xlfn.IFNA(INDEX(DY$10:DY$23,MATCH($CZ512,$DX$10:$DX$23,0)),0)</f>
        <v>415.09348571428563</v>
      </c>
      <c r="DP512" s="921">
        <f>IF(dd_PartSA_2_lines = "Yes",0,_xlfn.IFNA(INDEX('Resource use and costs'!$DZ$12:$DZ$25,MATCH(DA512,'Resource use and costs'!$DS$12:$DS$25,0)),0)*_xlfn.IFNA(INDEX(EA$10:EA$23,MATCH($DA512,$DX$10:$DX$23,0)),0))</f>
        <v>4108.3597166</v>
      </c>
      <c r="DQ512" s="921">
        <f>IF(dd_PartSA_2_lines = "Yes",0,_xlfn.IFNA(INDEX('Resource use and costs'!$EA$12:$EA$25,MATCH(DB512,'Resource use and costs'!$DS$12:$DS$25,0)),0)*_xlfn.IFNA(INDEX(EC$10:EC$23,MATCH($DB512,$DX$10:$DX$23,0)),0))</f>
        <v>0</v>
      </c>
      <c r="DR512" s="921">
        <f t="shared" si="265"/>
        <v>4720.7032023142856</v>
      </c>
      <c r="DS512" s="1004">
        <f ca="1">SUMIFS('Safety parameters'!$DM$6:$DM$18,'Safety parameters'!$DK$6:$DK$18,CZ512,'Safety parameters'!$DL$6:$DL$18,1)+IF(dd_PartSA_2_lines = "Yes",0,SUMIFS('Safety parameters'!$DM$6:$DM$18,'Safety parameters'!$DK$6:$DK$18,DA512,'Safety parameters'!$DL$6:$DL$18,2)+SUMIFS('Safety parameters'!$DM$6:$DM$18,'Safety parameters'!$DK$6:$DK$18,DB512,'Safety parameters'!$DL$6:$DL$18,2))</f>
        <v>892.96291167457207</v>
      </c>
      <c r="DT512" s="910">
        <f ca="1">SUMIFS('Safety parameters'!$DO$6:$DO$18,'Safety parameters'!$DK$6:$DK$18,CZ512,'Safety parameters'!$DL$6:$DL$18,1)+IF(dd_PartSA_2_lines = "Yes",0,SUMIFS('Safety parameters'!$DO$6:$DO$18,'Safety parameters'!$DK$6:$DK$18,DA512,'Safety parameters'!$DL$6:$DL$18,2)+SUMIFS('Safety parameters'!$DO$6:$DO$18,'Safety parameters'!$DK$6:$DK$18,DB512,'Safety parameters'!$DL$6:$DL$18,2))</f>
        <v>-8.1140737061595747E-3</v>
      </c>
    </row>
    <row r="513" spans="89:124" ht="15" x14ac:dyDescent="0.2">
      <c r="CK513" s="505" t="s">
        <v>31</v>
      </c>
      <c r="CL513" s="505">
        <v>4</v>
      </c>
      <c r="CM513" s="61" t="str" cm="1">
        <f t="array" ref="CM513:CM526">List_comparators</f>
        <v>nivolumab_monotherapy</v>
      </c>
      <c r="CN513" s="17">
        <v>0</v>
      </c>
      <c r="CO513" s="61" t="str" cm="1">
        <f t="array" ref="CO513">INDEX(List_comparators,CP513+1)</f>
        <v>pazopanib</v>
      </c>
      <c r="CP513" s="17">
        <v>5</v>
      </c>
      <c r="CQ513" s="603">
        <f t="shared" ca="1" si="272"/>
        <v>0</v>
      </c>
      <c r="CR513" s="603">
        <f t="shared" ca="1" si="273"/>
        <v>0</v>
      </c>
      <c r="CS513" s="603">
        <f t="shared" ca="1" si="274"/>
        <v>21.714285714285712</v>
      </c>
      <c r="CT513" s="669">
        <f t="shared" ca="1" si="275"/>
        <v>5.5785714285714283</v>
      </c>
      <c r="CU513" s="1123">
        <f>MATCH(CZ520,'Resource use and costs'!$BA$11:$BA$53,0)</f>
        <v>43</v>
      </c>
      <c r="CV513" s="1223"/>
      <c r="CW513" s="1241">
        <f t="shared" si="260"/>
        <v>1</v>
      </c>
      <c r="CX513" s="899" t="s">
        <v>788</v>
      </c>
      <c r="CY513" s="899" t="s">
        <v>117</v>
      </c>
      <c r="CZ513" s="899" t="s">
        <v>118</v>
      </c>
      <c r="DA513" s="899" t="s">
        <v>579</v>
      </c>
      <c r="DB513" s="899" t="s">
        <v>119</v>
      </c>
      <c r="DC513" s="899">
        <f t="shared" ca="1" si="276"/>
        <v>0.24580000000000002</v>
      </c>
      <c r="DD513" s="899">
        <f ca="1">DD511</f>
        <v>0.46929999999999994</v>
      </c>
      <c r="DE513" s="899" cm="1">
        <f t="array" aca="1" ref="DE513" ca="1">_xlfn.IFNA(OFFSET($AO$49,MATCH($DA513,$AO$50:$AO$63,0),MATCH($DB513,TRANSPOSE($AP$49:$BC$49),0)),0)</f>
        <v>0</v>
      </c>
      <c r="DF513" s="881">
        <f t="shared" ca="1" si="262"/>
        <v>0</v>
      </c>
      <c r="DG513" s="910">
        <f t="shared" ca="1" si="259"/>
        <v>0.99547352429578406</v>
      </c>
      <c r="DH513" s="881">
        <f t="shared" ca="1" si="263"/>
        <v>0</v>
      </c>
      <c r="DI513" s="1460">
        <f t="shared" ca="1" si="271"/>
        <v>0</v>
      </c>
      <c r="DJ513" s="909">
        <f>_xlfn.IFNA(INDEX('Resource use and costs'!$CQ$11:$CQ$53,MATCH($CZ513,'Resource use and costs'!$BA$11:$BA$53,0)),0)*_xlfn.IFNA(INDEX(DY$10:DY$23,MATCH($CZ513,$DX$10:$DX$23,0)),0)</f>
        <v>45284.183573333321</v>
      </c>
      <c r="DK513" s="909">
        <f>IF(dd_PartSA_2_lines = "Yes",0,_xlfn.IFNA(INDEX('Resource use and costs'!$CR$11:$CR$53,MATCH(DA513,'Resource use and costs'!$BA$11:$BA$53,0)),0)*_xlfn.IFNA(INDEX(EA$10:EA$23,MATCH($DA513,$DX$10:$DX$23,0)),0))</f>
        <v>26054.50921</v>
      </c>
      <c r="DL513" s="909">
        <f>IF(dd_PartSA_2_lines = "Yes",0,_xlfn.IFNA(INDEX('Resource use and costs'!$CS$11:$CS$53,MATCH(DB513,'Resource use and costs'!$BA$11:$BA$53,0)),0)*_xlfn.IFNA(INDEX(EC$10:EC$23,MATCH($DB513,$DX$10:$DX$23,0)),0))</f>
        <v>2915.4763433333328</v>
      </c>
      <c r="DM513" s="909">
        <f t="shared" si="264"/>
        <v>74254.169126666646</v>
      </c>
      <c r="DN513" s="909">
        <f>SUM(_xlfn.IFNA(INDEX('Resource use and costs'!$DU$12:$DU$25,MATCH(CZ513,'Resource use and costs'!$DS$12:$DS$25,0)),0),_xlfn.IFNA(INDEX('Resource use and costs'!$DU$12:$DU$25,MATCH(DA513,'Resource use and costs'!$DS$12:$DS$25,0)),0),_xlfn.IFNA(INDEX('Resource use and costs'!$DU$12:$DU$25,MATCH(DB513,'Resource use and costs'!$DS$12:$DS$25,0)),0))</f>
        <v>394.5</v>
      </c>
      <c r="DO513" s="921">
        <f>_xlfn.IFNA(INDEX('Resource use and costs'!$DY$12:$DY$25,MATCH(CZ513,'Resource use and costs'!$DS$12:$DS$25,0)),0)*_xlfn.IFNA(INDEX(DY$10:DY$23,MATCH($CZ513,$DX$10:$DX$23,0)),0)</f>
        <v>415.09348571428563</v>
      </c>
      <c r="DP513" s="921">
        <f>IF(dd_PartSA_2_lines = "Yes",0,_xlfn.IFNA(INDEX('Resource use and costs'!$DZ$12:$DZ$25,MATCH(DA513,'Resource use and costs'!$DS$12:$DS$25,0)),0)*_xlfn.IFNA(INDEX(EA$10:EA$23,MATCH($DA513,$DX$10:$DX$23,0)),0))</f>
        <v>4108.3597166</v>
      </c>
      <c r="DQ513" s="921">
        <f>IF(dd_PartSA_2_lines = "Yes",0,_xlfn.IFNA(INDEX('Resource use and costs'!$EA$12:$EA$25,MATCH(DB513,'Resource use and costs'!$DS$12:$DS$25,0)),0)*_xlfn.IFNA(INDEX(EC$10:EC$23,MATCH($DB513,$DX$10:$DX$23,0)),0))</f>
        <v>256.11457142857142</v>
      </c>
      <c r="DR513" s="921">
        <f t="shared" si="265"/>
        <v>5174.0677737428568</v>
      </c>
      <c r="DS513" s="1004">
        <f ca="1">SUMIFS('Safety parameters'!$DM$6:$DM$18,'Safety parameters'!$DK$6:$DK$18,CZ513,'Safety parameters'!$DL$6:$DL$18,1)+IF(dd_PartSA_2_lines = "Yes",0,SUMIFS('Safety parameters'!$DM$6:$DM$18,'Safety parameters'!$DK$6:$DK$18,DA513,'Safety parameters'!$DL$6:$DL$18,2)+SUMIFS('Safety parameters'!$DM$6:$DM$18,'Safety parameters'!$DK$6:$DK$18,DB513,'Safety parameters'!$DL$6:$DL$18,2))</f>
        <v>1225.8382950498869</v>
      </c>
      <c r="DT513" s="910">
        <f ca="1">SUMIFS('Safety parameters'!$DO$6:$DO$18,'Safety parameters'!$DK$6:$DK$18,CZ513,'Safety parameters'!$DL$6:$DL$18,1)+IF(dd_PartSA_2_lines = "Yes",0,SUMIFS('Safety parameters'!$DO$6:$DO$18,'Safety parameters'!$DK$6:$DK$18,DA513,'Safety parameters'!$DL$6:$DL$18,2)+SUMIFS('Safety parameters'!$DO$6:$DO$18,'Safety parameters'!$DK$6:$DK$18,DB513,'Safety parameters'!$DL$6:$DL$18,2))</f>
        <v>-1.0781647242797295E-2</v>
      </c>
    </row>
    <row r="514" spans="89:124" ht="15" x14ac:dyDescent="0.2">
      <c r="CK514" s="61" t="s">
        <v>31</v>
      </c>
      <c r="CL514" s="61">
        <v>4</v>
      </c>
      <c r="CM514" s="61" t="str">
        <v>cabozantinib_plus_nivolumab</v>
      </c>
      <c r="CN514" s="17">
        <v>1</v>
      </c>
      <c r="CO514" s="61" t="str" cm="1">
        <f t="array" ref="CO514">INDEX(List_comparators,CP513+1)</f>
        <v>pazopanib</v>
      </c>
      <c r="CP514" s="17">
        <v>5</v>
      </c>
      <c r="CQ514" s="601">
        <f t="shared" ca="1" si="272"/>
        <v>0</v>
      </c>
      <c r="CR514" s="601">
        <f t="shared" ca="1" si="273"/>
        <v>0</v>
      </c>
      <c r="CS514" s="601">
        <f t="shared" ca="1" si="274"/>
        <v>21.714285714285712</v>
      </c>
      <c r="CT514" s="669">
        <f t="shared" ca="1" si="275"/>
        <v>5.5785714285714283</v>
      </c>
      <c r="CU514" s="1123">
        <f>MATCH(CZ521,'Resource use and costs'!$BA$11:$BA$53,0)</f>
        <v>43</v>
      </c>
      <c r="CV514" s="1223"/>
      <c r="CW514" s="1241">
        <f t="shared" si="260"/>
        <v>1</v>
      </c>
      <c r="CX514" s="899" t="s">
        <v>788</v>
      </c>
      <c r="CY514" s="899" t="s">
        <v>117</v>
      </c>
      <c r="CZ514" s="899" t="s">
        <v>119</v>
      </c>
      <c r="DA514" s="899" t="s">
        <v>327</v>
      </c>
      <c r="DB514" s="899" t="s">
        <v>765</v>
      </c>
      <c r="DC514" s="899" cm="1">
        <f t="array" aca="1" ref="DC514" ca="1">_xlfn.IFNA(OFFSET($I$49,MATCH(CY514,$I$50:$I$63,0),MATCH(CZ514,TRANSPOSE($J$49:$W$49),0)),0)</f>
        <v>0</v>
      </c>
      <c r="DD514" s="899" cm="1">
        <f t="array" aca="1" ref="DD514" ca="1">_xlfn.IFNA(OFFSET($Y$49,MATCH($CZ514,$Y$50:$Y$63,0),MATCH($DA514,TRANSPOSE($Z$49:$AM$49),0)),0)</f>
        <v>0</v>
      </c>
      <c r="DE514" s="899" cm="1">
        <f t="array" aca="1" ref="DE514" ca="1">_xlfn.IFNA(OFFSET($AO$49,MATCH($DA514,$AO$50:$AO$63,0),MATCH($DB514,TRANSPOSE($AP$49:$BC$49),0)),0)</f>
        <v>0.43140000000000001</v>
      </c>
      <c r="DF514" s="881">
        <f t="shared" ca="1" si="262"/>
        <v>0</v>
      </c>
      <c r="DG514" s="910">
        <f t="shared" ca="1" si="259"/>
        <v>0.99547352429578406</v>
      </c>
      <c r="DH514" s="881">
        <f t="shared" ca="1" si="263"/>
        <v>0</v>
      </c>
      <c r="DI514" s="1460">
        <f t="shared" ca="1" si="271"/>
        <v>0</v>
      </c>
      <c r="DJ514" s="909">
        <f>_xlfn.IFNA(INDEX('Resource use and costs'!$CQ$11:$CQ$53,MATCH($CZ514,'Resource use and costs'!$BA$11:$BA$53,0)),0)*_xlfn.IFNA(INDEX(DY$10:DY$23,MATCH($CZ514,$DX$10:$DX$23,0)),0)</f>
        <v>944.50399999999979</v>
      </c>
      <c r="DK514" s="909">
        <f>IF(dd_PartSA_2_lines = "Yes",0,_xlfn.IFNA(INDEX('Resource use and costs'!$CR$11:$CR$53,MATCH(DA514,'Resource use and costs'!$BA$11:$BA$53,0)),0)*_xlfn.IFNA(INDEX(EA$10:EA$23,MATCH($DA514,$DX$10:$DX$23,0)),0))</f>
        <v>21421.066008214286</v>
      </c>
      <c r="DL514" s="909">
        <f>IF(dd_PartSA_2_lines = "Yes",0,_xlfn.IFNA(INDEX('Resource use and costs'!$CS$11:$CS$53,MATCH(DB514,'Resource use and costs'!$BA$11:$BA$53,0)),0)*_xlfn.IFNA(INDEX(EC$10:EC$23,MATCH($DB514,$DX$10:$DX$23,0)),0))</f>
        <v>0</v>
      </c>
      <c r="DM514" s="909">
        <f t="shared" si="264"/>
        <v>22365.570008214287</v>
      </c>
      <c r="DN514" s="909">
        <f>SUM(_xlfn.IFNA(INDEX('Resource use and costs'!$DU$12:$DU$25,MATCH(CZ514,'Resource use and costs'!$DS$12:$DS$25,0)),0),_xlfn.IFNA(INDEX('Resource use and costs'!$DU$12:$DU$25,MATCH(DA514,'Resource use and costs'!$DS$12:$DS$25,0)),0),_xlfn.IFNA(INDEX('Resource use and costs'!$DU$12:$DU$25,MATCH(DB514,'Resource use and costs'!$DS$12:$DS$25,0)),0))</f>
        <v>394.5</v>
      </c>
      <c r="DO514" s="921">
        <f>_xlfn.IFNA(INDEX('Resource use and costs'!$DY$12:$DY$25,MATCH(CZ514,'Resource use and costs'!$DS$12:$DS$25,0)),0)*_xlfn.IFNA(INDEX(DY$10:DY$23,MATCH($CZ514,$DX$10:$DX$23,0)),0)</f>
        <v>82.971428571428561</v>
      </c>
      <c r="DP514" s="921">
        <f>IF(dd_PartSA_2_lines = "Yes",0,_xlfn.IFNA(INDEX('Resource use and costs'!$DZ$12:$DZ$25,MATCH(DA514,'Resource use and costs'!$DS$12:$DS$25,0)),0)*_xlfn.IFNA(INDEX(EA$10:EA$23,MATCH($DA514,$DX$10:$DX$23,0)),0))</f>
        <v>267.99172714285714</v>
      </c>
      <c r="DQ514" s="921">
        <f>IF(dd_PartSA_2_lines = "Yes",0,_xlfn.IFNA(INDEX('Resource use and costs'!$EA$12:$EA$25,MATCH(DB514,'Resource use and costs'!$DS$12:$DS$25,0)),0)*_xlfn.IFNA(INDEX(EC$10:EC$23,MATCH($DB514,$DX$10:$DX$23,0)),0))</f>
        <v>0</v>
      </c>
      <c r="DR514" s="921">
        <f t="shared" si="265"/>
        <v>745.46315571428568</v>
      </c>
      <c r="DS514" s="1004">
        <f ca="1">SUMIFS('Safety parameters'!$DM$6:$DM$18,'Safety parameters'!$DK$6:$DK$18,CZ514,'Safety parameters'!$DL$6:$DL$18,1)+IF(dd_PartSA_2_lines = "Yes",0,SUMIFS('Safety parameters'!$DM$6:$DM$18,'Safety parameters'!$DK$6:$DK$18,DA514,'Safety parameters'!$DL$6:$DL$18,2)+SUMIFS('Safety parameters'!$DM$6:$DM$18,'Safety parameters'!$DK$6:$DK$18,DB514,'Safety parameters'!$DL$6:$DL$18,2))</f>
        <v>1634.2286735654598</v>
      </c>
      <c r="DT514" s="910">
        <f ca="1">SUMIFS('Safety parameters'!$DO$6:$DO$18,'Safety parameters'!$DK$6:$DK$18,CZ514,'Safety parameters'!$DL$6:$DL$18,1)+IF(dd_PartSA_2_lines = "Yes",0,SUMIFS('Safety parameters'!$DO$6:$DO$18,'Safety parameters'!$DK$6:$DK$18,DA514,'Safety parameters'!$DL$6:$DL$18,2)+SUMIFS('Safety parameters'!$DO$6:$DO$18,'Safety parameters'!$DK$6:$DK$18,DB514,'Safety parameters'!$DL$6:$DL$18,2))</f>
        <v>-1.4741924007481429E-2</v>
      </c>
    </row>
    <row r="515" spans="89:124" ht="15" x14ac:dyDescent="0.2">
      <c r="CK515" s="61" t="s">
        <v>31</v>
      </c>
      <c r="CL515" s="61">
        <v>4</v>
      </c>
      <c r="CM515" s="61" t="str">
        <v>nivolumab_plus_ipilimumab</v>
      </c>
      <c r="CN515" s="17">
        <v>2</v>
      </c>
      <c r="CO515" s="61" t="str" cm="1">
        <f t="array" ref="CO515">INDEX(List_comparators,CP514+1)</f>
        <v>pazopanib</v>
      </c>
      <c r="CP515" s="17">
        <v>5</v>
      </c>
      <c r="CQ515" s="601">
        <f t="shared" ca="1" si="272"/>
        <v>0</v>
      </c>
      <c r="CR515" s="601">
        <f t="shared" ca="1" si="273"/>
        <v>0</v>
      </c>
      <c r="CS515" s="601">
        <f t="shared" ca="1" si="274"/>
        <v>21.714285714285712</v>
      </c>
      <c r="CT515" s="669">
        <f t="shared" ca="1" si="275"/>
        <v>5.5785714285714283</v>
      </c>
      <c r="CU515" s="1123">
        <f>MATCH(CZ522,'Resource use and costs'!$BA$11:$BA$53,0)</f>
        <v>43</v>
      </c>
      <c r="CV515" s="1223"/>
      <c r="CW515" s="1241">
        <f t="shared" si="260"/>
        <v>1</v>
      </c>
      <c r="CX515" s="899" t="s">
        <v>788</v>
      </c>
      <c r="CY515" s="899" t="s">
        <v>117</v>
      </c>
      <c r="CZ515" s="899" t="s">
        <v>119</v>
      </c>
      <c r="DA515" s="899" t="s">
        <v>765</v>
      </c>
      <c r="DB515" s="899"/>
      <c r="DC515" s="899" cm="1">
        <f t="array" aca="1" ref="DC515" ca="1">_xlfn.IFNA(OFFSET($I$49,MATCH(CY515,$I$50:$I$63,0),MATCH(CZ515,TRANSPOSE($J$49:$W$49),0)),0)</f>
        <v>0</v>
      </c>
      <c r="DD515" s="899" cm="1">
        <f t="array" aca="1" ref="DD515" ca="1">_xlfn.IFNA(OFFSET($Y$49,MATCH($CZ515,$Y$50:$Y$63,0),MATCH($DA515,TRANSPOSE($Z$49:$AM$49),0)),0)</f>
        <v>1</v>
      </c>
      <c r="DE515" s="899" cm="1">
        <f t="array" aca="1" ref="DE515" ca="1">_xlfn.IFNA(OFFSET($AO$49,MATCH($DA515,$AO$50:$AO$63,0),MATCH($DB515,TRANSPOSE($AP$49:$BC$49),0)),0)</f>
        <v>0</v>
      </c>
      <c r="DF515" s="881">
        <f t="shared" ca="1" si="262"/>
        <v>0</v>
      </c>
      <c r="DG515" s="910">
        <f t="shared" ca="1" si="259"/>
        <v>0.99547352429578406</v>
      </c>
      <c r="DH515" s="881">
        <f t="shared" ca="1" si="263"/>
        <v>0</v>
      </c>
      <c r="DI515" s="1460">
        <f t="shared" ca="1" si="271"/>
        <v>0</v>
      </c>
      <c r="DJ515" s="909">
        <f>_xlfn.IFNA(INDEX('Resource use and costs'!$CQ$11:$CQ$53,MATCH($CZ515,'Resource use and costs'!$BA$11:$BA$53,0)),0)*_xlfn.IFNA(INDEX(DY$10:DY$23,MATCH($CZ515,$DX$10:$DX$23,0)),0)</f>
        <v>944.50399999999979</v>
      </c>
      <c r="DK515" s="909">
        <f>IF(dd_PartSA_2_lines = "Yes",0,_xlfn.IFNA(INDEX('Resource use and costs'!$CR$11:$CR$53,MATCH(DA515,'Resource use and costs'!$BA$11:$BA$53,0)),0)*_xlfn.IFNA(INDEX(EA$10:EA$23,MATCH($DA515,$DX$10:$DX$23,0)),0))</f>
        <v>0</v>
      </c>
      <c r="DL515" s="909">
        <f>IF(dd_PartSA_2_lines = "Yes",0,_xlfn.IFNA(INDEX('Resource use and costs'!$CS$11:$CS$53,MATCH(DB515,'Resource use and costs'!$BA$11:$BA$53,0)),0)*_xlfn.IFNA(INDEX(EC$10:EC$23,MATCH($DB515,$DX$10:$DX$23,0)),0))</f>
        <v>0</v>
      </c>
      <c r="DM515" s="909">
        <f t="shared" si="264"/>
        <v>944.50399999999979</v>
      </c>
      <c r="DN515" s="909">
        <f>SUM(_xlfn.IFNA(INDEX('Resource use and costs'!$DU$12:$DU$25,MATCH(CZ515,'Resource use and costs'!$DS$12:$DS$25,0)),0),_xlfn.IFNA(INDEX('Resource use and costs'!$DU$12:$DU$25,MATCH(DA515,'Resource use and costs'!$DS$12:$DS$25,0)),0),_xlfn.IFNA(INDEX('Resource use and costs'!$DU$12:$DU$25,MATCH(DB515,'Resource use and costs'!$DS$12:$DS$25,0)),0))</f>
        <v>197.25</v>
      </c>
      <c r="DO515" s="921">
        <f>_xlfn.IFNA(INDEX('Resource use and costs'!$DY$12:$DY$25,MATCH(CZ515,'Resource use and costs'!$DS$12:$DS$25,0)),0)*_xlfn.IFNA(INDEX(DY$10:DY$23,MATCH($CZ515,$DX$10:$DX$23,0)),0)</f>
        <v>82.971428571428561</v>
      </c>
      <c r="DP515" s="921">
        <f>IF(dd_PartSA_2_lines = "Yes",0,_xlfn.IFNA(INDEX('Resource use and costs'!$DZ$12:$DZ$25,MATCH(DA515,'Resource use and costs'!$DS$12:$DS$25,0)),0)*_xlfn.IFNA(INDEX(EA$10:EA$23,MATCH($DA515,$DX$10:$DX$23,0)),0))</f>
        <v>0</v>
      </c>
      <c r="DQ515" s="921">
        <f>IF(dd_PartSA_2_lines = "Yes",0,_xlfn.IFNA(INDEX('Resource use and costs'!$EA$12:$EA$25,MATCH(DB515,'Resource use and costs'!$DS$12:$DS$25,0)),0)*_xlfn.IFNA(INDEX(EC$10:EC$23,MATCH($DB515,$DX$10:$DX$23,0)),0))</f>
        <v>0</v>
      </c>
      <c r="DR515" s="921">
        <f t="shared" si="265"/>
        <v>280.22142857142853</v>
      </c>
      <c r="DS515" s="1004">
        <f>SUMIFS('Safety parameters'!$DM$6:$DM$18,'Safety parameters'!$DK$6:$DK$18,CZ515,'Safety parameters'!$DL$6:$DL$18,1)+IF(dd_PartSA_2_lines = "Yes",0,SUMIFS('Safety parameters'!$DM$6:$DM$18,'Safety parameters'!$DK$6:$DK$18,DA515,'Safety parameters'!$DL$6:$DL$18,2)+SUMIFS('Safety parameters'!$DM$6:$DM$18,'Safety parameters'!$DK$6:$DK$18,DB515,'Safety parameters'!$DL$6:$DL$18,2))</f>
        <v>0</v>
      </c>
      <c r="DT515" s="910">
        <f>SUMIFS('Safety parameters'!$DO$6:$DO$18,'Safety parameters'!$DK$6:$DK$18,CZ515,'Safety parameters'!$DL$6:$DL$18,1)+IF(dd_PartSA_2_lines = "Yes",0,SUMIFS('Safety parameters'!$DO$6:$DO$18,'Safety parameters'!$DK$6:$DK$18,DA515,'Safety parameters'!$DL$6:$DL$18,2)+SUMIFS('Safety parameters'!$DO$6:$DO$18,'Safety parameters'!$DK$6:$DK$18,DB515,'Safety parameters'!$DL$6:$DL$18,2))</f>
        <v>0</v>
      </c>
    </row>
    <row r="516" spans="89:124" ht="15" x14ac:dyDescent="0.2">
      <c r="CK516" s="61" t="s">
        <v>31</v>
      </c>
      <c r="CL516" s="61">
        <v>4</v>
      </c>
      <c r="CM516" s="61" t="str">
        <v>lenvatinib_plus_pembrolizumab</v>
      </c>
      <c r="CN516" s="17">
        <v>3</v>
      </c>
      <c r="CO516" s="61" t="str" cm="1">
        <f t="array" ref="CO516">INDEX(List_comparators,CP515+1)</f>
        <v>pazopanib</v>
      </c>
      <c r="CP516" s="17">
        <v>5</v>
      </c>
      <c r="CQ516" s="601">
        <f t="shared" ca="1" si="272"/>
        <v>0</v>
      </c>
      <c r="CR516" s="601">
        <f t="shared" ca="1" si="273"/>
        <v>0</v>
      </c>
      <c r="CS516" s="601">
        <f t="shared" ca="1" si="274"/>
        <v>21.714285714285712</v>
      </c>
      <c r="CT516" s="669">
        <f t="shared" ca="1" si="275"/>
        <v>5.5785714285714283</v>
      </c>
      <c r="CU516" s="1123">
        <f>MATCH(CZ523,'Resource use and costs'!$BA$11:$BA$53,0)</f>
        <v>43</v>
      </c>
      <c r="CV516" s="1223"/>
      <c r="CW516" s="1241">
        <f t="shared" si="260"/>
        <v>1</v>
      </c>
      <c r="CX516" s="899" t="s">
        <v>788</v>
      </c>
      <c r="CY516" s="899" t="s">
        <v>117</v>
      </c>
      <c r="CZ516" s="899" t="s">
        <v>119</v>
      </c>
      <c r="DA516" s="899" t="s">
        <v>118</v>
      </c>
      <c r="DB516" s="899" t="s">
        <v>327</v>
      </c>
      <c r="DC516" s="899" cm="1">
        <f t="array" aca="1" ref="DC516" ca="1">_xlfn.IFNA(OFFSET($I$49,MATCH(CY516,$I$50:$I$63,0),MATCH(CZ516,TRANSPOSE($J$49:$W$49),0)),0)</f>
        <v>0</v>
      </c>
      <c r="DD516" s="899" cm="1">
        <f t="array" aca="1" ref="DD516" ca="1">_xlfn.IFNA(OFFSET($Y$49,MATCH($CZ516,$Y$50:$Y$63,0),MATCH($DA516,TRANSPOSE($Z$49:$AM$49),0)),0)</f>
        <v>0</v>
      </c>
      <c r="DE516" s="899" cm="1">
        <f t="array" aca="1" ref="DE516" ca="1">_xlfn.IFNA(OFFSET($AO$49,MATCH($DA516,$AO$50:$AO$63,0),MATCH($DB516,TRANSPOSE($AP$49:$BC$49),0)),0)</f>
        <v>0.38769999999999999</v>
      </c>
      <c r="DF516" s="881">
        <f t="shared" ca="1" si="262"/>
        <v>0</v>
      </c>
      <c r="DG516" s="910">
        <f t="shared" ca="1" si="259"/>
        <v>0.99547352429578406</v>
      </c>
      <c r="DH516" s="881">
        <f t="shared" ca="1" si="263"/>
        <v>0</v>
      </c>
      <c r="DI516" s="1460">
        <f t="shared" ca="1" si="271"/>
        <v>0</v>
      </c>
      <c r="DJ516" s="909">
        <f>_xlfn.IFNA(INDEX('Resource use and costs'!$CQ$11:$CQ$53,MATCH($CZ516,'Resource use and costs'!$BA$11:$BA$53,0)),0)*_xlfn.IFNA(INDEX(DY$10:DY$23,MATCH($CZ516,$DX$10:$DX$23,0)),0)</f>
        <v>944.50399999999979</v>
      </c>
      <c r="DK516" s="909">
        <f>IF(dd_PartSA_2_lines = "Yes",0,_xlfn.IFNA(INDEX('Resource use and costs'!$CR$11:$CR$53,MATCH(DA516,'Resource use and costs'!$BA$11:$BA$53,0)),0)*_xlfn.IFNA(INDEX(EA$10:EA$23,MATCH($DA516,$DX$10:$DX$23,0)),0))</f>
        <v>50308.075122000002</v>
      </c>
      <c r="DL516" s="909">
        <f>IF(dd_PartSA_2_lines = "Yes",0,_xlfn.IFNA(INDEX('Resource use and costs'!$CS$11:$CS$53,MATCH(DB516,'Resource use and costs'!$BA$11:$BA$53,0)),0)*_xlfn.IFNA(INDEX(EC$10:EC$23,MATCH($DB516,$DX$10:$DX$23,0)),0))</f>
        <v>18438.751749999999</v>
      </c>
      <c r="DM516" s="909">
        <f t="shared" si="264"/>
        <v>69691.330872000006</v>
      </c>
      <c r="DN516" s="909">
        <f>SUM(_xlfn.IFNA(INDEX('Resource use and costs'!$DU$12:$DU$25,MATCH(CZ516,'Resource use and costs'!$DS$12:$DS$25,0)),0),_xlfn.IFNA(INDEX('Resource use and costs'!$DU$12:$DU$25,MATCH(DA516,'Resource use and costs'!$DS$12:$DS$25,0)),0),_xlfn.IFNA(INDEX('Resource use and costs'!$DU$12:$DU$25,MATCH(DB516,'Resource use and costs'!$DS$12:$DS$25,0)),0))</f>
        <v>591.75</v>
      </c>
      <c r="DO516" s="921">
        <f>_xlfn.IFNA(INDEX('Resource use and costs'!$DY$12:$DY$25,MATCH(CZ516,'Resource use and costs'!$DS$12:$DS$25,0)),0)*_xlfn.IFNA(INDEX(DY$10:DY$23,MATCH($CZ516,$DX$10:$DX$23,0)),0)</f>
        <v>82.971428571428561</v>
      </c>
      <c r="DP516" s="921">
        <f>IF(dd_PartSA_2_lines = "Yes",0,_xlfn.IFNA(INDEX('Resource use and costs'!$DZ$12:$DZ$25,MATCH(DA516,'Resource use and costs'!$DS$12:$DS$25,0)),0)*_xlfn.IFNA(INDEX(EA$10:EA$23,MATCH($DA516,$DX$10:$DX$23,0)),0))</f>
        <v>461.1445457142857</v>
      </c>
      <c r="DQ516" s="921">
        <f>IF(dd_PartSA_2_lines = "Yes",0,_xlfn.IFNA(INDEX('Resource use and costs'!$EA$12:$EA$25,MATCH(DB516,'Resource use and costs'!$DS$12:$DS$25,0)),0)*_xlfn.IFNA(INDEX(EC$10:EC$23,MATCH($DB516,$DX$10:$DX$23,0)),0))</f>
        <v>230.68099999999998</v>
      </c>
      <c r="DR516" s="921">
        <f t="shared" si="265"/>
        <v>1366.5469742857142</v>
      </c>
      <c r="DS516" s="1004">
        <f ca="1">SUMIFS('Safety parameters'!$DM$6:$DM$18,'Safety parameters'!$DK$6:$DK$18,CZ516,'Safety parameters'!$DL$6:$DL$18,1)+IF(dd_PartSA_2_lines = "Yes",0,SUMIFS('Safety parameters'!$DM$6:$DM$18,'Safety parameters'!$DK$6:$DK$18,DA516,'Safety parameters'!$DL$6:$DL$18,2)+SUMIFS('Safety parameters'!$DM$6:$DM$18,'Safety parameters'!$DK$6:$DK$18,DB516,'Safety parameters'!$DL$6:$DL$18,2))</f>
        <v>2377.8779733688434</v>
      </c>
      <c r="DT516" s="910">
        <f ca="1">SUMIFS('Safety parameters'!$DO$6:$DO$18,'Safety parameters'!$DK$6:$DK$18,CZ516,'Safety parameters'!$DL$6:$DL$18,1)+IF(dd_PartSA_2_lines = "Yes",0,SUMIFS('Safety parameters'!$DO$6:$DO$18,'Safety parameters'!$DK$6:$DK$18,DA516,'Safety parameters'!$DL$6:$DL$18,2)+SUMIFS('Safety parameters'!$DO$6:$DO$18,'Safety parameters'!$DK$6:$DK$18,DB516,'Safety parameters'!$DL$6:$DL$18,2))</f>
        <v>-2.1764250363717368E-2</v>
      </c>
    </row>
    <row r="517" spans="89:124" ht="15" x14ac:dyDescent="0.2">
      <c r="CK517" s="61" t="s">
        <v>31</v>
      </c>
      <c r="CL517" s="61">
        <v>4</v>
      </c>
      <c r="CM517" s="61" t="str">
        <v>avelumab_plus_axitinib</v>
      </c>
      <c r="CN517" s="17">
        <v>4</v>
      </c>
      <c r="CO517" s="61" t="str" cm="1">
        <f t="array" ref="CO517">INDEX(List_comparators,CP516+1)</f>
        <v>pazopanib</v>
      </c>
      <c r="CP517" s="17">
        <v>5</v>
      </c>
      <c r="CQ517" s="601">
        <f t="shared" ca="1" si="272"/>
        <v>0</v>
      </c>
      <c r="CR517" s="601">
        <f t="shared" ca="1" si="273"/>
        <v>0</v>
      </c>
      <c r="CS517" s="601">
        <f t="shared" ca="1" si="274"/>
        <v>21.714285714285712</v>
      </c>
      <c r="CT517" s="669">
        <f t="shared" ca="1" si="275"/>
        <v>5.5785714285714283</v>
      </c>
      <c r="CU517" s="1123">
        <f>MATCH(CZ524,'Resource use and costs'!$BA$11:$BA$53,0)</f>
        <v>43</v>
      </c>
      <c r="CV517" s="1223"/>
      <c r="CW517" s="1241">
        <f t="shared" si="260"/>
        <v>1</v>
      </c>
      <c r="CX517" s="899" t="s">
        <v>788</v>
      </c>
      <c r="CY517" s="899" t="s">
        <v>117</v>
      </c>
      <c r="CZ517" s="899" t="s">
        <v>119</v>
      </c>
      <c r="DA517" s="899" t="s">
        <v>118</v>
      </c>
      <c r="DB517" s="899" t="s">
        <v>765</v>
      </c>
      <c r="DC517" s="899" cm="1">
        <f t="array" aca="1" ref="DC517" ca="1">_xlfn.IFNA(OFFSET($I$49,MATCH(CY517,$I$50:$I$63,0),MATCH(CZ517,TRANSPOSE($J$49:$W$49),0)),0)</f>
        <v>0</v>
      </c>
      <c r="DD517" s="899" cm="1">
        <f t="array" aca="1" ref="DD517" ca="1">_xlfn.IFNA(OFFSET($Y$49,MATCH($CZ517,$Y$50:$Y$63,0),MATCH($DA517,TRANSPOSE($Z$49:$AM$49),0)),0)</f>
        <v>0</v>
      </c>
      <c r="DE517" s="899" cm="1">
        <f t="array" aca="1" ref="DE517" ca="1">_xlfn.IFNA(OFFSET($AO$49,MATCH($DA517,$AO$50:$AO$63,0),MATCH($DB517,TRANSPOSE($AP$49:$BC$49),0)),0)</f>
        <v>0.43140000000000001</v>
      </c>
      <c r="DF517" s="881">
        <f t="shared" ca="1" si="262"/>
        <v>0</v>
      </c>
      <c r="DG517" s="910">
        <f t="shared" ca="1" si="259"/>
        <v>0.99547352429578406</v>
      </c>
      <c r="DH517" s="881">
        <f t="shared" ca="1" si="263"/>
        <v>0</v>
      </c>
      <c r="DI517" s="1460">
        <f t="shared" ca="1" si="271"/>
        <v>0</v>
      </c>
      <c r="DJ517" s="909">
        <f>_xlfn.IFNA(INDEX('Resource use and costs'!$CQ$11:$CQ$53,MATCH($CZ517,'Resource use and costs'!$BA$11:$BA$53,0)),0)*_xlfn.IFNA(INDEX(DY$10:DY$23,MATCH($CZ517,$DX$10:$DX$23,0)),0)</f>
        <v>944.50399999999979</v>
      </c>
      <c r="DK517" s="909">
        <f>IF(dd_PartSA_2_lines = "Yes",0,_xlfn.IFNA(INDEX('Resource use and costs'!$CR$11:$CR$53,MATCH(DA517,'Resource use and costs'!$BA$11:$BA$53,0)),0)*_xlfn.IFNA(INDEX(EA$10:EA$23,MATCH($DA517,$DX$10:$DX$23,0)),0))</f>
        <v>50308.075122000002</v>
      </c>
      <c r="DL517" s="909">
        <f>IF(dd_PartSA_2_lines = "Yes",0,_xlfn.IFNA(INDEX('Resource use and costs'!$CS$11:$CS$53,MATCH(DB517,'Resource use and costs'!$BA$11:$BA$53,0)),0)*_xlfn.IFNA(INDEX(EC$10:EC$23,MATCH($DB517,$DX$10:$DX$23,0)),0))</f>
        <v>0</v>
      </c>
      <c r="DM517" s="909">
        <f t="shared" si="264"/>
        <v>51252.579122000003</v>
      </c>
      <c r="DN517" s="909">
        <f>SUM(_xlfn.IFNA(INDEX('Resource use and costs'!$DU$12:$DU$25,MATCH(CZ517,'Resource use and costs'!$DS$12:$DS$25,0)),0),_xlfn.IFNA(INDEX('Resource use and costs'!$DU$12:$DU$25,MATCH(DA517,'Resource use and costs'!$DS$12:$DS$25,0)),0),_xlfn.IFNA(INDEX('Resource use and costs'!$DU$12:$DU$25,MATCH(DB517,'Resource use and costs'!$DS$12:$DS$25,0)),0))</f>
        <v>394.5</v>
      </c>
      <c r="DO517" s="921">
        <f>_xlfn.IFNA(INDEX('Resource use and costs'!$DY$12:$DY$25,MATCH(CZ517,'Resource use and costs'!$DS$12:$DS$25,0)),0)*_xlfn.IFNA(INDEX(DY$10:DY$23,MATCH($CZ517,$DX$10:$DX$23,0)),0)</f>
        <v>82.971428571428561</v>
      </c>
      <c r="DP517" s="921">
        <f>IF(dd_PartSA_2_lines = "Yes",0,_xlfn.IFNA(INDEX('Resource use and costs'!$DZ$12:$DZ$25,MATCH(DA517,'Resource use and costs'!$DS$12:$DS$25,0)),0)*_xlfn.IFNA(INDEX(EA$10:EA$23,MATCH($DA517,$DX$10:$DX$23,0)),0))</f>
        <v>461.1445457142857</v>
      </c>
      <c r="DQ517" s="921">
        <f>IF(dd_PartSA_2_lines = "Yes",0,_xlfn.IFNA(INDEX('Resource use and costs'!$EA$12:$EA$25,MATCH(DB517,'Resource use and costs'!$DS$12:$DS$25,0)),0)*_xlfn.IFNA(INDEX(EC$10:EC$23,MATCH($DB517,$DX$10:$DX$23,0)),0))</f>
        <v>0</v>
      </c>
      <c r="DR517" s="921">
        <f t="shared" si="265"/>
        <v>938.61597428571417</v>
      </c>
      <c r="DS517" s="1004">
        <f ca="1">SUMIFS('Safety parameters'!$DM$6:$DM$18,'Safety parameters'!$DK$6:$DK$18,CZ517,'Safety parameters'!$DL$6:$DL$18,1)+IF(dd_PartSA_2_lines = "Yes",0,SUMIFS('Safety parameters'!$DM$6:$DM$18,'Safety parameters'!$DK$6:$DK$18,DA517,'Safety parameters'!$DL$6:$DL$18,2)+SUMIFS('Safety parameters'!$DM$6:$DM$18,'Safety parameters'!$DK$6:$DK$18,DB517,'Safety parameters'!$DL$6:$DL$18,2))</f>
        <v>743.64929980338343</v>
      </c>
      <c r="DT517" s="910">
        <f ca="1">SUMIFS('Safety parameters'!$DO$6:$DO$18,'Safety parameters'!$DK$6:$DK$18,CZ517,'Safety parameters'!$DL$6:$DL$18,1)+IF(dd_PartSA_2_lines = "Yes",0,SUMIFS('Safety parameters'!$DO$6:$DO$18,'Safety parameters'!$DK$6:$DK$18,DA517,'Safety parameters'!$DL$6:$DL$18,2)+SUMIFS('Safety parameters'!$DO$6:$DO$18,'Safety parameters'!$DK$6:$DK$18,DB517,'Safety parameters'!$DL$6:$DL$18,2))</f>
        <v>-7.0223263562359372E-3</v>
      </c>
    </row>
    <row r="518" spans="89:124" ht="15" x14ac:dyDescent="0.2">
      <c r="CK518" s="61" t="s">
        <v>31</v>
      </c>
      <c r="CL518" s="61">
        <v>4</v>
      </c>
      <c r="CM518" s="61" t="str">
        <v>pazopanib</v>
      </c>
      <c r="CN518" s="17">
        <v>5</v>
      </c>
      <c r="CO518" s="61" t="str" cm="1">
        <f t="array" ref="CO518">INDEX(List_comparators,CP517+1)</f>
        <v>pazopanib</v>
      </c>
      <c r="CP518" s="17">
        <v>5</v>
      </c>
      <c r="CQ518" s="601">
        <f t="shared" ca="1" si="272"/>
        <v>0</v>
      </c>
      <c r="CR518" s="601">
        <f t="shared" ca="1" si="273"/>
        <v>0</v>
      </c>
      <c r="CS518" s="601">
        <f t="shared" ca="1" si="274"/>
        <v>21.714285714285712</v>
      </c>
      <c r="CT518" s="669">
        <f t="shared" ca="1" si="275"/>
        <v>5.5785714285714283</v>
      </c>
      <c r="CU518" s="1123">
        <f>MATCH(CZ525,'Resource use and costs'!$BA$11:$BA$53,0)</f>
        <v>43</v>
      </c>
      <c r="CV518" s="1223"/>
      <c r="CW518" s="1241">
        <f t="shared" si="260"/>
        <v>1</v>
      </c>
      <c r="CX518" s="899" t="s">
        <v>788</v>
      </c>
      <c r="CY518" s="899" t="s">
        <v>117</v>
      </c>
      <c r="CZ518" s="899" t="s">
        <v>119</v>
      </c>
      <c r="DA518" s="899" t="s">
        <v>579</v>
      </c>
      <c r="DB518" s="899" t="s">
        <v>327</v>
      </c>
      <c r="DC518" s="899" cm="1">
        <f t="array" aca="1" ref="DC518" ca="1">_xlfn.IFNA(OFFSET($I$49,MATCH(CY518,$I$50:$I$63,0),MATCH(CZ518,TRANSPOSE($J$49:$W$49),0)),0)</f>
        <v>0</v>
      </c>
      <c r="DD518" s="899" cm="1">
        <f t="array" aca="1" ref="DD518" ca="1">_xlfn.IFNA(OFFSET($Y$49,MATCH($CZ518,$Y$50:$Y$63,0),MATCH($DA518,TRANSPOSE($Z$49:$AM$49),0)),0)</f>
        <v>0</v>
      </c>
      <c r="DE518" s="899" cm="1">
        <f t="array" aca="1" ref="DE518" ca="1">_xlfn.IFNA(OFFSET($AO$49,MATCH($DA518,$AO$50:$AO$63,0),MATCH($DB518,TRANSPOSE($AP$49:$BC$49),0)),0)</f>
        <v>0.56859999999999999</v>
      </c>
      <c r="DF518" s="881">
        <f t="shared" ca="1" si="262"/>
        <v>0</v>
      </c>
      <c r="DG518" s="910">
        <f t="shared" ca="1" si="259"/>
        <v>0.99547352429578406</v>
      </c>
      <c r="DH518" s="881">
        <f t="shared" ca="1" si="263"/>
        <v>0</v>
      </c>
      <c r="DI518" s="1460">
        <f t="shared" ca="1" si="271"/>
        <v>0</v>
      </c>
      <c r="DJ518" s="909">
        <f>_xlfn.IFNA(INDEX('Resource use and costs'!$CQ$11:$CQ$53,MATCH($CZ518,'Resource use and costs'!$BA$11:$BA$53,0)),0)*_xlfn.IFNA(INDEX(DY$10:DY$23,MATCH($CZ518,$DX$10:$DX$23,0)),0)</f>
        <v>944.50399999999979</v>
      </c>
      <c r="DK518" s="909">
        <f>IF(dd_PartSA_2_lines = "Yes",0,_xlfn.IFNA(INDEX('Resource use and costs'!$CR$11:$CR$53,MATCH(DA518,'Resource use and costs'!$BA$11:$BA$53,0)),0)*_xlfn.IFNA(INDEX(EA$10:EA$23,MATCH($DA518,$DX$10:$DX$23,0)),0))</f>
        <v>26054.50921</v>
      </c>
      <c r="DL518" s="909">
        <f>IF(dd_PartSA_2_lines = "Yes",0,_xlfn.IFNA(INDEX('Resource use and costs'!$CS$11:$CS$53,MATCH(DB518,'Resource use and costs'!$BA$11:$BA$53,0)),0)*_xlfn.IFNA(INDEX(EC$10:EC$23,MATCH($DB518,$DX$10:$DX$23,0)),0))</f>
        <v>18438.751749999999</v>
      </c>
      <c r="DM518" s="909">
        <f t="shared" si="264"/>
        <v>45437.76496</v>
      </c>
      <c r="DN518" s="909">
        <f>SUM(_xlfn.IFNA(INDEX('Resource use and costs'!$DU$12:$DU$25,MATCH(CZ518,'Resource use and costs'!$DS$12:$DS$25,0)),0),_xlfn.IFNA(INDEX('Resource use and costs'!$DU$12:$DU$25,MATCH(DA518,'Resource use and costs'!$DS$12:$DS$25,0)),0),_xlfn.IFNA(INDEX('Resource use and costs'!$DU$12:$DU$25,MATCH(DB518,'Resource use and costs'!$DS$12:$DS$25,0)),0))</f>
        <v>394.5</v>
      </c>
      <c r="DO518" s="921">
        <f>_xlfn.IFNA(INDEX('Resource use and costs'!$DY$12:$DY$25,MATCH(CZ518,'Resource use and costs'!$DS$12:$DS$25,0)),0)*_xlfn.IFNA(INDEX(DY$10:DY$23,MATCH($CZ518,$DX$10:$DX$23,0)),0)</f>
        <v>82.971428571428561</v>
      </c>
      <c r="DP518" s="921">
        <f>IF(dd_PartSA_2_lines = "Yes",0,_xlfn.IFNA(INDEX('Resource use and costs'!$DZ$12:$DZ$25,MATCH(DA518,'Resource use and costs'!$DS$12:$DS$25,0)),0)*_xlfn.IFNA(INDEX(EA$10:EA$23,MATCH($DA518,$DX$10:$DX$23,0)),0))</f>
        <v>4108.3597166</v>
      </c>
      <c r="DQ518" s="921">
        <f>IF(dd_PartSA_2_lines = "Yes",0,_xlfn.IFNA(INDEX('Resource use and costs'!$EA$12:$EA$25,MATCH(DB518,'Resource use and costs'!$DS$12:$DS$25,0)),0)*_xlfn.IFNA(INDEX(EC$10:EC$23,MATCH($DB518,$DX$10:$DX$23,0)),0))</f>
        <v>230.68099999999998</v>
      </c>
      <c r="DR518" s="921">
        <f t="shared" si="265"/>
        <v>4816.5121451714285</v>
      </c>
      <c r="DS518" s="1004">
        <f ca="1">SUMIFS('Safety parameters'!$DM$6:$DM$18,'Safety parameters'!$DK$6:$DK$18,CZ518,'Safety parameters'!$DL$6:$DL$18,1)+IF(dd_PartSA_2_lines = "Yes",0,SUMIFS('Safety parameters'!$DM$6:$DM$18,'Safety parameters'!$DK$6:$DK$18,DA518,'Safety parameters'!$DL$6:$DL$18,2)+SUMIFS('Safety parameters'!$DM$6:$DM$18,'Safety parameters'!$DK$6:$DK$18,DB518,'Safety parameters'!$DL$6:$DL$18,2))</f>
        <v>1795.3624225558742</v>
      </c>
      <c r="DT518" s="910">
        <f ca="1">SUMIFS('Safety parameters'!$DO$6:$DO$18,'Safety parameters'!$DK$6:$DK$18,CZ518,'Safety parameters'!$DL$6:$DL$18,1)+IF(dd_PartSA_2_lines = "Yes",0,SUMIFS('Safety parameters'!$DO$6:$DO$18,'Safety parameters'!$DK$6:$DK$18,DA518,'Safety parameters'!$DL$6:$DL$18,2)+SUMIFS('Safety parameters'!$DO$6:$DO$18,'Safety parameters'!$DK$6:$DK$18,DB518,'Safety parameters'!$DL$6:$DL$18,2))</f>
        <v>-1.6339008205166216E-2</v>
      </c>
    </row>
    <row r="519" spans="89:124" ht="15" x14ac:dyDescent="0.2">
      <c r="CK519" s="61" t="s">
        <v>31</v>
      </c>
      <c r="CL519" s="61">
        <v>4</v>
      </c>
      <c r="CM519" s="61" t="str">
        <v>tivozanib</v>
      </c>
      <c r="CN519" s="17">
        <v>6</v>
      </c>
      <c r="CO519" s="61" t="str" cm="1">
        <f t="array" ref="CO519">INDEX(List_comparators,CP518+1)</f>
        <v>pazopanib</v>
      </c>
      <c r="CP519" s="17">
        <v>5</v>
      </c>
      <c r="CQ519" s="601">
        <f t="shared" ca="1" si="272"/>
        <v>0</v>
      </c>
      <c r="CR519" s="601">
        <f t="shared" ca="1" si="273"/>
        <v>0</v>
      </c>
      <c r="CS519" s="601">
        <f t="shared" ca="1" si="274"/>
        <v>21.714285714285712</v>
      </c>
      <c r="CT519" s="669">
        <f t="shared" ca="1" si="275"/>
        <v>5.5785714285714283</v>
      </c>
      <c r="CU519" s="1123">
        <f>MATCH(CZ526,'Resource use and costs'!$BA$11:$BA$53,0)</f>
        <v>1</v>
      </c>
      <c r="CV519" s="1223"/>
      <c r="CW519" s="1241">
        <f t="shared" si="260"/>
        <v>1</v>
      </c>
      <c r="CX519" s="899" t="s">
        <v>788</v>
      </c>
      <c r="CY519" s="899" t="s">
        <v>117</v>
      </c>
      <c r="CZ519" s="899" t="s">
        <v>119</v>
      </c>
      <c r="DA519" s="899" t="s">
        <v>579</v>
      </c>
      <c r="DB519" s="899" t="s">
        <v>765</v>
      </c>
      <c r="DC519" s="899" cm="1">
        <f t="array" aca="1" ref="DC519" ca="1">_xlfn.IFNA(OFFSET($I$49,MATCH(CY519,$I$50:$I$63,0),MATCH(CZ519,TRANSPOSE($J$49:$W$49),0)),0)</f>
        <v>0</v>
      </c>
      <c r="DD519" s="899" cm="1">
        <f t="array" aca="1" ref="DD519" ca="1">_xlfn.IFNA(OFFSET($Y$49,MATCH($CZ519,$Y$50:$Y$63,0),MATCH($DA519,TRANSPOSE($Z$49:$AM$49),0)),0)</f>
        <v>0</v>
      </c>
      <c r="DE519" s="899" cm="1">
        <f t="array" aca="1" ref="DE519" ca="1">_xlfn.IFNA(OFFSET($AO$49,MATCH($DA519,$AO$50:$AO$63,0),MATCH($DB519,TRANSPOSE($AP$49:$BC$49),0)),0)</f>
        <v>0.43140000000000001</v>
      </c>
      <c r="DF519" s="881">
        <f t="shared" ca="1" si="262"/>
        <v>0</v>
      </c>
      <c r="DG519" s="910">
        <f t="shared" ca="1" si="259"/>
        <v>0.99547352429578406</v>
      </c>
      <c r="DH519" s="881">
        <f t="shared" ca="1" si="263"/>
        <v>0</v>
      </c>
      <c r="DI519" s="1460">
        <f t="shared" ca="1" si="271"/>
        <v>0</v>
      </c>
      <c r="DJ519" s="909">
        <f>_xlfn.IFNA(INDEX('Resource use and costs'!$CQ$11:$CQ$53,MATCH($CZ519,'Resource use and costs'!$BA$11:$BA$53,0)),0)*_xlfn.IFNA(INDEX(DY$10:DY$23,MATCH($CZ519,$DX$10:$DX$23,0)),0)</f>
        <v>944.50399999999979</v>
      </c>
      <c r="DK519" s="909">
        <f>IF(dd_PartSA_2_lines = "Yes",0,_xlfn.IFNA(INDEX('Resource use and costs'!$CR$11:$CR$53,MATCH(DA519,'Resource use and costs'!$BA$11:$BA$53,0)),0)*_xlfn.IFNA(INDEX(EA$10:EA$23,MATCH($DA519,$DX$10:$DX$23,0)),0))</f>
        <v>26054.50921</v>
      </c>
      <c r="DL519" s="909">
        <f>IF(dd_PartSA_2_lines = "Yes",0,_xlfn.IFNA(INDEX('Resource use and costs'!$CS$11:$CS$53,MATCH(DB519,'Resource use and costs'!$BA$11:$BA$53,0)),0)*_xlfn.IFNA(INDEX(EC$10:EC$23,MATCH($DB519,$DX$10:$DX$23,0)),0))</f>
        <v>0</v>
      </c>
      <c r="DM519" s="909">
        <f t="shared" si="264"/>
        <v>26999.013210000001</v>
      </c>
      <c r="DN519" s="909">
        <f>SUM(_xlfn.IFNA(INDEX('Resource use and costs'!$DU$12:$DU$25,MATCH(CZ519,'Resource use and costs'!$DS$12:$DS$25,0)),0),_xlfn.IFNA(INDEX('Resource use and costs'!$DU$12:$DU$25,MATCH(DA519,'Resource use and costs'!$DS$12:$DS$25,0)),0),_xlfn.IFNA(INDEX('Resource use and costs'!$DU$12:$DU$25,MATCH(DB519,'Resource use and costs'!$DS$12:$DS$25,0)),0))</f>
        <v>197.25</v>
      </c>
      <c r="DO519" s="921">
        <f>_xlfn.IFNA(INDEX('Resource use and costs'!$DY$12:$DY$25,MATCH(CZ519,'Resource use and costs'!$DS$12:$DS$25,0)),0)*_xlfn.IFNA(INDEX(DY$10:DY$23,MATCH($CZ519,$DX$10:$DX$23,0)),0)</f>
        <v>82.971428571428561</v>
      </c>
      <c r="DP519" s="921">
        <f>IF(dd_PartSA_2_lines = "Yes",0,_xlfn.IFNA(INDEX('Resource use and costs'!$DZ$12:$DZ$25,MATCH(DA519,'Resource use and costs'!$DS$12:$DS$25,0)),0)*_xlfn.IFNA(INDEX(EA$10:EA$23,MATCH($DA519,$DX$10:$DX$23,0)),0))</f>
        <v>4108.3597166</v>
      </c>
      <c r="DQ519" s="921">
        <f>IF(dd_PartSA_2_lines = "Yes",0,_xlfn.IFNA(INDEX('Resource use and costs'!$EA$12:$EA$25,MATCH(DB519,'Resource use and costs'!$DS$12:$DS$25,0)),0)*_xlfn.IFNA(INDEX(EC$10:EC$23,MATCH($DB519,$DX$10:$DX$23,0)),0))</f>
        <v>0</v>
      </c>
      <c r="DR519" s="921">
        <f t="shared" si="265"/>
        <v>4388.5811451714289</v>
      </c>
      <c r="DS519" s="1004">
        <f ca="1">SUMIFS('Safety parameters'!$DM$6:$DM$18,'Safety parameters'!$DK$6:$DK$18,CZ519,'Safety parameters'!$DL$6:$DL$18,1)+IF(dd_PartSA_2_lines = "Yes",0,SUMIFS('Safety parameters'!$DM$6:$DM$18,'Safety parameters'!$DK$6:$DK$18,DA519,'Safety parameters'!$DL$6:$DL$18,2)+SUMIFS('Safety parameters'!$DM$6:$DM$18,'Safety parameters'!$DK$6:$DK$18,DB519,'Safety parameters'!$DL$6:$DL$18,2))</f>
        <v>161.1337489904144</v>
      </c>
      <c r="DT519" s="910">
        <f ca="1">SUMIFS('Safety parameters'!$DO$6:$DO$18,'Safety parameters'!$DK$6:$DK$18,CZ519,'Safety parameters'!$DL$6:$DL$18,1)+IF(dd_PartSA_2_lines = "Yes",0,SUMIFS('Safety parameters'!$DO$6:$DO$18,'Safety parameters'!$DK$6:$DK$18,DA519,'Safety parameters'!$DL$6:$DL$18,2)+SUMIFS('Safety parameters'!$DO$6:$DO$18,'Safety parameters'!$DK$6:$DK$18,DB519,'Safety parameters'!$DL$6:$DL$18,2))</f>
        <v>-1.5970841976847864E-3</v>
      </c>
    </row>
    <row r="520" spans="89:124" ht="15" x14ac:dyDescent="0.2">
      <c r="CK520" s="61" t="s">
        <v>31</v>
      </c>
      <c r="CL520" s="61">
        <v>4</v>
      </c>
      <c r="CM520" s="61" t="str">
        <v>sunitinib</v>
      </c>
      <c r="CN520" s="17">
        <v>7</v>
      </c>
      <c r="CO520" s="61" t="str" cm="1">
        <f t="array" ref="CO520">INDEX(List_comparators,CP519+1)</f>
        <v>pazopanib</v>
      </c>
      <c r="CP520" s="17">
        <v>5</v>
      </c>
      <c r="CQ520" s="601">
        <f t="shared" ca="1" si="272"/>
        <v>0</v>
      </c>
      <c r="CR520" s="601">
        <f t="shared" ca="1" si="273"/>
        <v>0</v>
      </c>
      <c r="CS520" s="601">
        <f t="shared" ca="1" si="274"/>
        <v>21.714285714285712</v>
      </c>
      <c r="CT520" s="669">
        <f t="shared" ca="1" si="275"/>
        <v>5.5785714285714283</v>
      </c>
      <c r="CU520" s="1123">
        <f>MATCH(CZ527,'Resource use and costs'!$BA$11:$BA$53,0)</f>
        <v>1</v>
      </c>
      <c r="CV520" s="1223"/>
      <c r="CW520" s="1241">
        <f t="shared" si="260"/>
        <v>1</v>
      </c>
      <c r="CX520" s="899" t="s">
        <v>788</v>
      </c>
      <c r="CY520" s="899" t="s">
        <v>117</v>
      </c>
      <c r="CZ520" s="899" t="s">
        <v>333</v>
      </c>
      <c r="DA520" s="899" t="s">
        <v>327</v>
      </c>
      <c r="DB520" s="899" t="s">
        <v>765</v>
      </c>
      <c r="DC520" s="899" cm="1">
        <f t="array" aca="1" ref="DC520" ca="1">_xlfn.IFNA(OFFSET($I$49,MATCH(CY520,$I$50:$I$63,0),MATCH(CZ520,TRANSPOSE($J$49:$W$49),0)),0)</f>
        <v>3.700000000000001E-3</v>
      </c>
      <c r="DD520" s="899" cm="1">
        <f t="array" aca="1" ref="DD520" ca="1">_xlfn.IFNA(OFFSET($Y$49,MATCH($CZ520,$Y$50:$Y$63,0),MATCH($DA520,TRANSPOSE($Z$49:$AM$49),0)),0)</f>
        <v>0</v>
      </c>
      <c r="DE520" s="899" cm="1">
        <f t="array" aca="1" ref="DE520" ca="1">_xlfn.IFNA(OFFSET($AO$49,MATCH($DA520,$AO$50:$AO$63,0),MATCH($DB520,TRANSPOSE($AP$49:$BC$49),0)),0)</f>
        <v>0.43140000000000001</v>
      </c>
      <c r="DF520" s="881">
        <f t="shared" ca="1" si="262"/>
        <v>0</v>
      </c>
      <c r="DG520" s="910">
        <f t="shared" ca="1" si="259"/>
        <v>0.99547352429578406</v>
      </c>
      <c r="DH520" s="881">
        <f t="shared" ca="1" si="263"/>
        <v>0</v>
      </c>
      <c r="DI520" s="1460">
        <f t="shared" ca="1" si="271"/>
        <v>0</v>
      </c>
      <c r="DJ520" s="909">
        <f>_xlfn.IFNA(INDEX('Resource use and costs'!$CQ$11:$CQ$53,MATCH($CZ520,'Resource use and costs'!$BA$11:$BA$53,0)),0)*_xlfn.IFNA(INDEX(DY$10:DY$23,MATCH($CZ520,$DX$10:$DX$23,0)),0)</f>
        <v>54336.641519999976</v>
      </c>
      <c r="DK520" s="909">
        <f>IF(dd_PartSA_2_lines = "Yes",0,_xlfn.IFNA(INDEX('Resource use and costs'!$CR$11:$CR$53,MATCH(DA520,'Resource use and costs'!$BA$11:$BA$53,0)),0)*_xlfn.IFNA(INDEX(EA$10:EA$23,MATCH($DA520,$DX$10:$DX$23,0)),0))</f>
        <v>21421.066008214286</v>
      </c>
      <c r="DL520" s="909">
        <f>IF(dd_PartSA_2_lines = "Yes",0,_xlfn.IFNA(INDEX('Resource use and costs'!$CS$11:$CS$53,MATCH(DB520,'Resource use and costs'!$BA$11:$BA$53,0)),0)*_xlfn.IFNA(INDEX(EC$10:EC$23,MATCH($DB520,$DX$10:$DX$23,0)),0))</f>
        <v>0</v>
      </c>
      <c r="DM520" s="909">
        <f t="shared" si="264"/>
        <v>75757.707528214261</v>
      </c>
      <c r="DN520" s="909">
        <f>SUM(_xlfn.IFNA(INDEX('Resource use and costs'!$DU$12:$DU$25,MATCH(CZ520,'Resource use and costs'!$DS$12:$DS$25,0)),0),_xlfn.IFNA(INDEX('Resource use and costs'!$DU$12:$DU$25,MATCH(DA520,'Resource use and costs'!$DS$12:$DS$25,0)),0),_xlfn.IFNA(INDEX('Resource use and costs'!$DU$12:$DU$25,MATCH(DB520,'Resource use and costs'!$DS$12:$DS$25,0)),0))</f>
        <v>394.5</v>
      </c>
      <c r="DO520" s="921">
        <f>_xlfn.IFNA(INDEX('Resource use and costs'!$DY$12:$DY$25,MATCH(CZ520,'Resource use and costs'!$DS$12:$DS$25,0)),0)*_xlfn.IFNA(INDEX(DY$10:DY$23,MATCH($CZ520,$DX$10:$DX$23,0)),0)</f>
        <v>810.54285714285697</v>
      </c>
      <c r="DP520" s="921">
        <f>IF(dd_PartSA_2_lines = "Yes",0,_xlfn.IFNA(INDEX('Resource use and costs'!$DZ$12:$DZ$25,MATCH(DA520,'Resource use and costs'!$DS$12:$DS$25,0)),0)*_xlfn.IFNA(INDEX(EA$10:EA$23,MATCH($DA520,$DX$10:$DX$23,0)),0))</f>
        <v>267.99172714285714</v>
      </c>
      <c r="DQ520" s="921">
        <f>IF(dd_PartSA_2_lines = "Yes",0,_xlfn.IFNA(INDEX('Resource use and costs'!$EA$12:$EA$25,MATCH(DB520,'Resource use and costs'!$DS$12:$DS$25,0)),0)*_xlfn.IFNA(INDEX(EC$10:EC$23,MATCH($DB520,$DX$10:$DX$23,0)),0))</f>
        <v>0</v>
      </c>
      <c r="DR520" s="921">
        <f t="shared" si="265"/>
        <v>1473.0345842857141</v>
      </c>
      <c r="DS520" s="1004">
        <f ca="1">SUMIFS('Safety parameters'!$DM$6:$DM$18,'Safety parameters'!$DK$6:$DK$18,CZ520,'Safety parameters'!$DL$6:$DL$18,1)+IF(dd_PartSA_2_lines = "Yes",0,SUMIFS('Safety parameters'!$DM$6:$DM$18,'Safety parameters'!$DK$6:$DK$18,DA520,'Safety parameters'!$DL$6:$DL$18,2)+SUMIFS('Safety parameters'!$DM$6:$DM$18,'Safety parameters'!$DK$6:$DK$18,DB520,'Safety parameters'!$DL$6:$DL$18,2))</f>
        <v>1634.2286735654598</v>
      </c>
      <c r="DT520" s="910">
        <f ca="1">SUMIFS('Safety parameters'!$DO$6:$DO$18,'Safety parameters'!$DK$6:$DK$18,CZ520,'Safety parameters'!$DL$6:$DL$18,1)+IF(dd_PartSA_2_lines = "Yes",0,SUMIFS('Safety parameters'!$DO$6:$DO$18,'Safety parameters'!$DK$6:$DK$18,DA520,'Safety parameters'!$DL$6:$DL$18,2)+SUMIFS('Safety parameters'!$DO$6:$DO$18,'Safety parameters'!$DK$6:$DK$18,DB520,'Safety parameters'!$DL$6:$DL$18,2))</f>
        <v>-1.4741924007481429E-2</v>
      </c>
    </row>
    <row r="521" spans="89:124" ht="15" x14ac:dyDescent="0.2">
      <c r="CK521" s="61" t="s">
        <v>31</v>
      </c>
      <c r="CL521" s="61">
        <v>4</v>
      </c>
      <c r="CM521" s="61" t="str">
        <v>cabozantinib</v>
      </c>
      <c r="CN521" s="17">
        <v>8</v>
      </c>
      <c r="CO521" s="61" t="str" cm="1">
        <f t="array" ref="CO521">INDEX(List_comparators,CP520+1)</f>
        <v>pazopanib</v>
      </c>
      <c r="CP521" s="17">
        <v>5</v>
      </c>
      <c r="CQ521" s="601">
        <f t="shared" ca="1" si="272"/>
        <v>0</v>
      </c>
      <c r="CR521" s="601">
        <f t="shared" ca="1" si="273"/>
        <v>0</v>
      </c>
      <c r="CS521" s="601">
        <f t="shared" ca="1" si="274"/>
        <v>21.714285714285712</v>
      </c>
      <c r="CT521" s="669">
        <f t="shared" ca="1" si="275"/>
        <v>5.5785714285714283</v>
      </c>
      <c r="CU521" s="1123">
        <f>MATCH(CZ528,'Resource use and costs'!$BA$11:$BA$53,0)</f>
        <v>1</v>
      </c>
      <c r="CV521" s="1223"/>
      <c r="CW521" s="1241">
        <f t="shared" si="260"/>
        <v>1</v>
      </c>
      <c r="CX521" s="899" t="s">
        <v>788</v>
      </c>
      <c r="CY521" s="899" t="s">
        <v>117</v>
      </c>
      <c r="CZ521" s="899" t="s">
        <v>333</v>
      </c>
      <c r="DA521" s="899" t="s">
        <v>765</v>
      </c>
      <c r="DB521" s="899"/>
      <c r="DC521" s="899" cm="1">
        <f t="array" aca="1" ref="DC521" ca="1">_xlfn.IFNA(OFFSET($I$49,MATCH(CY521,$I$50:$I$63,0),MATCH(CZ521,TRANSPOSE($J$49:$W$49),0)),0)</f>
        <v>3.700000000000001E-3</v>
      </c>
      <c r="DD521" s="899" cm="1">
        <f t="array" aca="1" ref="DD521" ca="1">_xlfn.IFNA(OFFSET($Y$49,MATCH($CZ521,$Y$50:$Y$63,0),MATCH($DA521,TRANSPOSE($Z$49:$AM$49),0)),0)</f>
        <v>0.34300000000000003</v>
      </c>
      <c r="DE521" s="899" cm="1">
        <f t="array" aca="1" ref="DE521" ca="1">_xlfn.IFNA(OFFSET($AO$49,MATCH($DA521,$AO$50:$AO$63,0),MATCH($DB521,TRANSPOSE($AP$49:$BC$49),0)),0)</f>
        <v>0</v>
      </c>
      <c r="DF521" s="881">
        <f t="shared" ca="1" si="262"/>
        <v>1.2691000000000004E-3</v>
      </c>
      <c r="DG521" s="910">
        <f t="shared" ca="1" si="259"/>
        <v>0.99547352429578406</v>
      </c>
      <c r="DH521" s="881">
        <f t="shared" ca="1" si="263"/>
        <v>1.2633554496837801E-3</v>
      </c>
      <c r="DI521" s="1460">
        <f t="shared" ca="1" si="271"/>
        <v>0.4118538765969123</v>
      </c>
      <c r="DJ521" s="909">
        <f>_xlfn.IFNA(INDEX('Resource use and costs'!$CQ$11:$CQ$53,MATCH($CZ521,'Resource use and costs'!$BA$11:$BA$53,0)),0)*_xlfn.IFNA(INDEX(DY$10:DY$23,MATCH($CZ521,$DX$10:$DX$23,0)),0)</f>
        <v>54336.641519999976</v>
      </c>
      <c r="DK521" s="909">
        <f>IF(dd_PartSA_2_lines = "Yes",0,_xlfn.IFNA(INDEX('Resource use and costs'!$CR$11:$CR$53,MATCH(DA521,'Resource use and costs'!$BA$11:$BA$53,0)),0)*_xlfn.IFNA(INDEX(EA$10:EA$23,MATCH($DA521,$DX$10:$DX$23,0)),0))</f>
        <v>0</v>
      </c>
      <c r="DL521" s="909">
        <f>IF(dd_PartSA_2_lines = "Yes",0,_xlfn.IFNA(INDEX('Resource use and costs'!$CS$11:$CS$53,MATCH(DB521,'Resource use and costs'!$BA$11:$BA$53,0)),0)*_xlfn.IFNA(INDEX(EC$10:EC$23,MATCH($DB521,$DX$10:$DX$23,0)),0))</f>
        <v>0</v>
      </c>
      <c r="DM521" s="909">
        <f t="shared" si="264"/>
        <v>54336.641519999976</v>
      </c>
      <c r="DN521" s="909">
        <f>SUM(_xlfn.IFNA(INDEX('Resource use and costs'!$DU$12:$DU$25,MATCH(CZ521,'Resource use and costs'!$DS$12:$DS$25,0)),0),_xlfn.IFNA(INDEX('Resource use and costs'!$DU$12:$DU$25,MATCH(DA521,'Resource use and costs'!$DS$12:$DS$25,0)),0),_xlfn.IFNA(INDEX('Resource use and costs'!$DU$12:$DU$25,MATCH(DB521,'Resource use and costs'!$DS$12:$DS$25,0)),0))</f>
        <v>197.25</v>
      </c>
      <c r="DO521" s="921">
        <f>_xlfn.IFNA(INDEX('Resource use and costs'!$DY$12:$DY$25,MATCH(CZ521,'Resource use and costs'!$DS$12:$DS$25,0)),0)*_xlfn.IFNA(INDEX(DY$10:DY$23,MATCH($CZ521,$DX$10:$DX$23,0)),0)</f>
        <v>810.54285714285697</v>
      </c>
      <c r="DP521" s="921">
        <f>IF(dd_PartSA_2_lines = "Yes",0,_xlfn.IFNA(INDEX('Resource use and costs'!$DZ$12:$DZ$25,MATCH(DA521,'Resource use and costs'!$DS$12:$DS$25,0)),0)*_xlfn.IFNA(INDEX(EA$10:EA$23,MATCH($DA521,$DX$10:$DX$23,0)),0))</f>
        <v>0</v>
      </c>
      <c r="DQ521" s="921">
        <f>IF(dd_PartSA_2_lines = "Yes",0,_xlfn.IFNA(INDEX('Resource use and costs'!$EA$12:$EA$25,MATCH(DB521,'Resource use and costs'!$DS$12:$DS$25,0)),0)*_xlfn.IFNA(INDEX(EC$10:EC$23,MATCH($DB521,$DX$10:$DX$23,0)),0))</f>
        <v>0</v>
      </c>
      <c r="DR521" s="921">
        <f t="shared" si="265"/>
        <v>1007.792857142857</v>
      </c>
      <c r="DS521" s="1004">
        <f>SUMIFS('Safety parameters'!$DM$6:$DM$18,'Safety parameters'!$DK$6:$DK$18,CZ521,'Safety parameters'!$DL$6:$DL$18,1)+IF(dd_PartSA_2_lines = "Yes",0,SUMIFS('Safety parameters'!$DM$6:$DM$18,'Safety parameters'!$DK$6:$DK$18,DA521,'Safety parameters'!$DL$6:$DL$18,2)+SUMIFS('Safety parameters'!$DM$6:$DM$18,'Safety parameters'!$DK$6:$DK$18,DB521,'Safety parameters'!$DL$6:$DL$18,2))</f>
        <v>0</v>
      </c>
      <c r="DT521" s="910">
        <f>SUMIFS('Safety parameters'!$DO$6:$DO$18,'Safety parameters'!$DK$6:$DK$18,CZ521,'Safety parameters'!$DL$6:$DL$18,1)+IF(dd_PartSA_2_lines = "Yes",0,SUMIFS('Safety parameters'!$DO$6:$DO$18,'Safety parameters'!$DK$6:$DK$18,DA521,'Safety parameters'!$DL$6:$DL$18,2)+SUMIFS('Safety parameters'!$DO$6:$DO$18,'Safety parameters'!$DK$6:$DK$18,DB521,'Safety parameters'!$DL$6:$DL$18,2))</f>
        <v>0</v>
      </c>
    </row>
    <row r="522" spans="89:124" ht="15" x14ac:dyDescent="0.2">
      <c r="CK522" s="61" t="s">
        <v>31</v>
      </c>
      <c r="CL522" s="61">
        <v>4</v>
      </c>
      <c r="CM522" s="61" t="str">
        <v>lenvatinib_plus_everolimus</v>
      </c>
      <c r="CN522" s="17">
        <v>9</v>
      </c>
      <c r="CO522" s="61" t="str" cm="1">
        <f t="array" ref="CO522">INDEX(List_comparators,CP521+1)</f>
        <v>pazopanib</v>
      </c>
      <c r="CP522" s="17">
        <v>5</v>
      </c>
      <c r="CQ522" s="601">
        <f t="shared" ca="1" si="272"/>
        <v>0</v>
      </c>
      <c r="CR522" s="601">
        <f t="shared" ca="1" si="273"/>
        <v>0</v>
      </c>
      <c r="CS522" s="601">
        <f t="shared" ca="1" si="274"/>
        <v>21.714285714285712</v>
      </c>
      <c r="CT522" s="669">
        <f t="shared" ca="1" si="275"/>
        <v>5.5785714285714283</v>
      </c>
      <c r="CU522" s="1123">
        <f>MATCH(CZ529,'Resource use and costs'!$BA$11:$BA$53,0)</f>
        <v>1</v>
      </c>
      <c r="CV522" s="1223"/>
      <c r="CW522" s="1241">
        <f t="shared" si="260"/>
        <v>1</v>
      </c>
      <c r="CX522" s="899" t="s">
        <v>788</v>
      </c>
      <c r="CY522" s="899" t="s">
        <v>117</v>
      </c>
      <c r="CZ522" s="899" t="s">
        <v>333</v>
      </c>
      <c r="DA522" s="899" t="s">
        <v>118</v>
      </c>
      <c r="DB522" s="899" t="s">
        <v>327</v>
      </c>
      <c r="DC522" s="899" cm="1">
        <f t="array" aca="1" ref="DC522" ca="1">_xlfn.IFNA(OFFSET($I$49,MATCH(CY522,$I$50:$I$63,0),MATCH(CZ522,TRANSPOSE($J$49:$W$49),0)),0)</f>
        <v>3.700000000000001E-3</v>
      </c>
      <c r="DD522" s="899" cm="1">
        <f t="array" aca="1" ref="DD522" ca="1">_xlfn.IFNA(OFFSET($Y$49,MATCH($CZ522,$Y$50:$Y$63,0),MATCH($DA522,TRANSPOSE($Z$49:$AM$49),0)),0)</f>
        <v>0.49270000000000003</v>
      </c>
      <c r="DE522" s="899" cm="1">
        <f t="array" aca="1" ref="DE522" ca="1">_xlfn.IFNA(OFFSET($AO$49,MATCH($DA522,$AO$50:$AO$63,0),MATCH($DB522,TRANSPOSE($AP$49:$BC$49),0)),0)</f>
        <v>0.38769999999999999</v>
      </c>
      <c r="DF522" s="881">
        <f t="shared" ca="1" si="262"/>
        <v>7.0677322300000025E-4</v>
      </c>
      <c r="DG522" s="910">
        <f t="shared" ca="1" si="259"/>
        <v>0.99547352429578406</v>
      </c>
      <c r="DH522" s="881">
        <f t="shared" ca="1" si="263"/>
        <v>7.0357403117770039E-4</v>
      </c>
      <c r="DI522" s="1460">
        <f t="shared" ca="1" si="271"/>
        <v>0.22936513416393034</v>
      </c>
      <c r="DJ522" s="909">
        <f>_xlfn.IFNA(INDEX('Resource use and costs'!$CQ$11:$CQ$53,MATCH($CZ522,'Resource use and costs'!$BA$11:$BA$53,0)),0)*_xlfn.IFNA(INDEX(DY$10:DY$23,MATCH($CZ522,$DX$10:$DX$23,0)),0)</f>
        <v>54336.641519999976</v>
      </c>
      <c r="DK522" s="909">
        <f>IF(dd_PartSA_2_lines = "Yes",0,_xlfn.IFNA(INDEX('Resource use and costs'!$CR$11:$CR$53,MATCH(DA522,'Resource use and costs'!$BA$11:$BA$53,0)),0)*_xlfn.IFNA(INDEX(EA$10:EA$23,MATCH($DA522,$DX$10:$DX$23,0)),0))</f>
        <v>50308.075122000002</v>
      </c>
      <c r="DL522" s="909">
        <f>IF(dd_PartSA_2_lines = "Yes",0,_xlfn.IFNA(INDEX('Resource use and costs'!$CS$11:$CS$53,MATCH(DB522,'Resource use and costs'!$BA$11:$BA$53,0)),0)*_xlfn.IFNA(INDEX(EC$10:EC$23,MATCH($DB522,$DX$10:$DX$23,0)),0))</f>
        <v>18438.751749999999</v>
      </c>
      <c r="DM522" s="909">
        <f t="shared" si="264"/>
        <v>123083.46839199998</v>
      </c>
      <c r="DN522" s="909">
        <f>SUM(_xlfn.IFNA(INDEX('Resource use and costs'!$DU$12:$DU$25,MATCH(CZ522,'Resource use and costs'!$DS$12:$DS$25,0)),0),_xlfn.IFNA(INDEX('Resource use and costs'!$DU$12:$DU$25,MATCH(DA522,'Resource use and costs'!$DS$12:$DS$25,0)),0),_xlfn.IFNA(INDEX('Resource use and costs'!$DU$12:$DU$25,MATCH(DB522,'Resource use and costs'!$DS$12:$DS$25,0)),0))</f>
        <v>591.75</v>
      </c>
      <c r="DO522" s="921">
        <f>_xlfn.IFNA(INDEX('Resource use and costs'!$DY$12:$DY$25,MATCH(CZ522,'Resource use and costs'!$DS$12:$DS$25,0)),0)*_xlfn.IFNA(INDEX(DY$10:DY$23,MATCH($CZ522,$DX$10:$DX$23,0)),0)</f>
        <v>810.54285714285697</v>
      </c>
      <c r="DP522" s="921">
        <f>IF(dd_PartSA_2_lines = "Yes",0,_xlfn.IFNA(INDEX('Resource use and costs'!$DZ$12:$DZ$25,MATCH(DA522,'Resource use and costs'!$DS$12:$DS$25,0)),0)*_xlfn.IFNA(INDEX(EA$10:EA$23,MATCH($DA522,$DX$10:$DX$23,0)),0))</f>
        <v>461.1445457142857</v>
      </c>
      <c r="DQ522" s="921">
        <f>IF(dd_PartSA_2_lines = "Yes",0,_xlfn.IFNA(INDEX('Resource use and costs'!$EA$12:$EA$25,MATCH(DB522,'Resource use and costs'!$DS$12:$DS$25,0)),0)*_xlfn.IFNA(INDEX(EC$10:EC$23,MATCH($DB522,$DX$10:$DX$23,0)),0))</f>
        <v>230.68099999999998</v>
      </c>
      <c r="DR522" s="921">
        <f t="shared" si="265"/>
        <v>2094.1184028571424</v>
      </c>
      <c r="DS522" s="1004">
        <f ca="1">SUMIFS('Safety parameters'!$DM$6:$DM$18,'Safety parameters'!$DK$6:$DK$18,CZ522,'Safety parameters'!$DL$6:$DL$18,1)+IF(dd_PartSA_2_lines = "Yes",0,SUMIFS('Safety parameters'!$DM$6:$DM$18,'Safety parameters'!$DK$6:$DK$18,DA522,'Safety parameters'!$DL$6:$DL$18,2)+SUMIFS('Safety parameters'!$DM$6:$DM$18,'Safety parameters'!$DK$6:$DK$18,DB522,'Safety parameters'!$DL$6:$DL$18,2))</f>
        <v>2377.8779733688434</v>
      </c>
      <c r="DT522" s="910">
        <f ca="1">SUMIFS('Safety parameters'!$DO$6:$DO$18,'Safety parameters'!$DK$6:$DK$18,CZ522,'Safety parameters'!$DL$6:$DL$18,1)+IF(dd_PartSA_2_lines = "Yes",0,SUMIFS('Safety parameters'!$DO$6:$DO$18,'Safety parameters'!$DK$6:$DK$18,DA522,'Safety parameters'!$DL$6:$DL$18,2)+SUMIFS('Safety parameters'!$DO$6:$DO$18,'Safety parameters'!$DK$6:$DK$18,DB522,'Safety parameters'!$DL$6:$DL$18,2))</f>
        <v>-2.1764250363717368E-2</v>
      </c>
    </row>
    <row r="523" spans="89:124" ht="15" x14ac:dyDescent="0.2">
      <c r="CK523" s="61" t="s">
        <v>31</v>
      </c>
      <c r="CL523" s="61">
        <v>4</v>
      </c>
      <c r="CM523" s="61" t="str">
        <v>everolimus</v>
      </c>
      <c r="CN523" s="17">
        <v>10</v>
      </c>
      <c r="CO523" s="61" t="str" cm="1">
        <f t="array" ref="CO523">INDEX(List_comparators,CP522+1)</f>
        <v>pazopanib</v>
      </c>
      <c r="CP523" s="17">
        <v>5</v>
      </c>
      <c r="CQ523" s="601">
        <f t="shared" ca="1" si="272"/>
        <v>0</v>
      </c>
      <c r="CR523" s="601">
        <f t="shared" ca="1" si="273"/>
        <v>0</v>
      </c>
      <c r="CS523" s="601">
        <f t="shared" ca="1" si="274"/>
        <v>21.714285714285712</v>
      </c>
      <c r="CT523" s="669">
        <f t="shared" ca="1" si="275"/>
        <v>5.5785714285714283</v>
      </c>
      <c r="CU523" s="1123">
        <f>MATCH(CZ530,'Resource use and costs'!$BA$11:$BA$53,0)</f>
        <v>1</v>
      </c>
      <c r="CV523" s="1223"/>
      <c r="CW523" s="1241">
        <f t="shared" si="260"/>
        <v>1</v>
      </c>
      <c r="CX523" s="899" t="s">
        <v>788</v>
      </c>
      <c r="CY523" s="899" t="s">
        <v>117</v>
      </c>
      <c r="CZ523" s="899" t="s">
        <v>333</v>
      </c>
      <c r="DA523" s="899" t="s">
        <v>118</v>
      </c>
      <c r="DB523" s="899" t="s">
        <v>765</v>
      </c>
      <c r="DC523" s="899" cm="1">
        <f t="array" aca="1" ref="DC523" ca="1">_xlfn.IFNA(OFFSET($I$49,MATCH(CY523,$I$50:$I$63,0),MATCH(CZ523,TRANSPOSE($J$49:$W$49),0)),0)</f>
        <v>3.700000000000001E-3</v>
      </c>
      <c r="DD523" s="899" cm="1">
        <f t="array" aca="1" ref="DD523" ca="1">_xlfn.IFNA(OFFSET($Y$49,MATCH($CZ523,$Y$50:$Y$63,0),MATCH($DA523,TRANSPOSE($Z$49:$AM$49),0)),0)</f>
        <v>0.49270000000000003</v>
      </c>
      <c r="DE523" s="899" cm="1">
        <f t="array" aca="1" ref="DE523" ca="1">_xlfn.IFNA(OFFSET($AO$49,MATCH($DA523,$AO$50:$AO$63,0),MATCH($DB523,TRANSPOSE($AP$49:$BC$49),0)),0)</f>
        <v>0.43140000000000001</v>
      </c>
      <c r="DF523" s="881">
        <f t="shared" ca="1" si="262"/>
        <v>7.8643788600000033E-4</v>
      </c>
      <c r="DG523" s="910">
        <f t="shared" ref="DG523:DG586" ca="1" si="277">IF(dd_reduceBSC="No",(1-SUMIFS($DF$11:$DF$779,$CY$11:$CY$779,CY523,$CX$11:$CX$779,CX523,$CW$11:$CW$779,0))/SUMIFS($DF$11:$DF$779,$CY$11:$CY$779,CY523,$CX$11:$CX$779,CX523,$CW$11:$CW$779,1),1/SUMIFS($DF$11:$DF$779,$CY$11:$CY$779,CY523,$CX$11:$CX$779,CX523,$CW$11:$CW$779,1))</f>
        <v>0.99547352429578406</v>
      </c>
      <c r="DH523" s="881">
        <f t="shared" ca="1" si="263"/>
        <v>7.8287809401614641E-4</v>
      </c>
      <c r="DI523" s="1460">
        <f t="shared" ca="1" si="271"/>
        <v>0.25521825864926373</v>
      </c>
      <c r="DJ523" s="909">
        <f>_xlfn.IFNA(INDEX('Resource use and costs'!$CQ$11:$CQ$53,MATCH($CZ523,'Resource use and costs'!$BA$11:$BA$53,0)),0)*_xlfn.IFNA(INDEX(DY$10:DY$23,MATCH($CZ523,$DX$10:$DX$23,0)),0)</f>
        <v>54336.641519999976</v>
      </c>
      <c r="DK523" s="909">
        <f>IF(dd_PartSA_2_lines = "Yes",0,_xlfn.IFNA(INDEX('Resource use and costs'!$CR$11:$CR$53,MATCH(DA523,'Resource use and costs'!$BA$11:$BA$53,0)),0)*_xlfn.IFNA(INDEX(EA$10:EA$23,MATCH($DA523,$DX$10:$DX$23,0)),0))</f>
        <v>50308.075122000002</v>
      </c>
      <c r="DL523" s="909">
        <f>IF(dd_PartSA_2_lines = "Yes",0,_xlfn.IFNA(INDEX('Resource use and costs'!$CS$11:$CS$53,MATCH(DB523,'Resource use and costs'!$BA$11:$BA$53,0)),0)*_xlfn.IFNA(INDEX(EC$10:EC$23,MATCH($DB523,$DX$10:$DX$23,0)),0))</f>
        <v>0</v>
      </c>
      <c r="DM523" s="909">
        <f t="shared" si="264"/>
        <v>104644.71664199998</v>
      </c>
      <c r="DN523" s="909">
        <f>SUM(_xlfn.IFNA(INDEX('Resource use and costs'!$DU$12:$DU$25,MATCH(CZ523,'Resource use and costs'!$DS$12:$DS$25,0)),0),_xlfn.IFNA(INDEX('Resource use and costs'!$DU$12:$DU$25,MATCH(DA523,'Resource use and costs'!$DS$12:$DS$25,0)),0),_xlfn.IFNA(INDEX('Resource use and costs'!$DU$12:$DU$25,MATCH(DB523,'Resource use and costs'!$DS$12:$DS$25,0)),0))</f>
        <v>394.5</v>
      </c>
      <c r="DO523" s="921">
        <f>_xlfn.IFNA(INDEX('Resource use and costs'!$DY$12:$DY$25,MATCH(CZ523,'Resource use and costs'!$DS$12:$DS$25,0)),0)*_xlfn.IFNA(INDEX(DY$10:DY$23,MATCH($CZ523,$DX$10:$DX$23,0)),0)</f>
        <v>810.54285714285697</v>
      </c>
      <c r="DP523" s="921">
        <f>IF(dd_PartSA_2_lines = "Yes",0,_xlfn.IFNA(INDEX('Resource use and costs'!$DZ$12:$DZ$25,MATCH(DA523,'Resource use and costs'!$DS$12:$DS$25,0)),0)*_xlfn.IFNA(INDEX(EA$10:EA$23,MATCH($DA523,$DX$10:$DX$23,0)),0))</f>
        <v>461.1445457142857</v>
      </c>
      <c r="DQ523" s="921">
        <f>IF(dd_PartSA_2_lines = "Yes",0,_xlfn.IFNA(INDEX('Resource use and costs'!$EA$12:$EA$25,MATCH(DB523,'Resource use and costs'!$DS$12:$DS$25,0)),0)*_xlfn.IFNA(INDEX(EC$10:EC$23,MATCH($DB523,$DX$10:$DX$23,0)),0))</f>
        <v>0</v>
      </c>
      <c r="DR523" s="921">
        <f t="shared" si="265"/>
        <v>1666.1874028571426</v>
      </c>
      <c r="DS523" s="1004">
        <f ca="1">SUMIFS('Safety parameters'!$DM$6:$DM$18,'Safety parameters'!$DK$6:$DK$18,CZ523,'Safety parameters'!$DL$6:$DL$18,1)+IF(dd_PartSA_2_lines = "Yes",0,SUMIFS('Safety parameters'!$DM$6:$DM$18,'Safety parameters'!$DK$6:$DK$18,DA523,'Safety parameters'!$DL$6:$DL$18,2)+SUMIFS('Safety parameters'!$DM$6:$DM$18,'Safety parameters'!$DK$6:$DK$18,DB523,'Safety parameters'!$DL$6:$DL$18,2))</f>
        <v>743.64929980338343</v>
      </c>
      <c r="DT523" s="910">
        <f ca="1">SUMIFS('Safety parameters'!$DO$6:$DO$18,'Safety parameters'!$DK$6:$DK$18,CZ523,'Safety parameters'!$DL$6:$DL$18,1)+IF(dd_PartSA_2_lines = "Yes",0,SUMIFS('Safety parameters'!$DO$6:$DO$18,'Safety parameters'!$DK$6:$DK$18,DA523,'Safety parameters'!$DL$6:$DL$18,2)+SUMIFS('Safety parameters'!$DO$6:$DO$18,'Safety parameters'!$DK$6:$DK$18,DB523,'Safety parameters'!$DL$6:$DL$18,2))</f>
        <v>-7.0223263562359372E-3</v>
      </c>
    </row>
    <row r="524" spans="89:124" ht="15" x14ac:dyDescent="0.2">
      <c r="CK524" s="61" t="s">
        <v>31</v>
      </c>
      <c r="CL524" s="61">
        <v>4</v>
      </c>
      <c r="CM524" s="61" t="str">
        <v>axitinib</v>
      </c>
      <c r="CN524" s="17">
        <v>11</v>
      </c>
      <c r="CO524" s="61" t="str" cm="1">
        <f t="array" ref="CO524">INDEX(List_comparators,CP523+1)</f>
        <v>pazopanib</v>
      </c>
      <c r="CP524" s="17">
        <v>5</v>
      </c>
      <c r="CQ524" s="601">
        <f t="shared" ca="1" si="272"/>
        <v>0</v>
      </c>
      <c r="CR524" s="601">
        <f t="shared" ca="1" si="273"/>
        <v>0</v>
      </c>
      <c r="CS524" s="601">
        <f t="shared" ca="1" si="274"/>
        <v>21.714285714285712</v>
      </c>
      <c r="CT524" s="669">
        <f t="shared" ca="1" si="275"/>
        <v>5.5785714285714283</v>
      </c>
      <c r="CU524" s="1123">
        <f>MATCH(CZ531,'Resource use and costs'!$BA$11:$BA$53,0)</f>
        <v>1</v>
      </c>
      <c r="CV524" s="1223"/>
      <c r="CW524" s="1241">
        <f t="shared" ref="CW524:CW587" si="278">IF(CZ524="BSC",0,1)</f>
        <v>1</v>
      </c>
      <c r="CX524" s="899" t="s">
        <v>788</v>
      </c>
      <c r="CY524" s="899" t="s">
        <v>117</v>
      </c>
      <c r="CZ524" s="899" t="s">
        <v>333</v>
      </c>
      <c r="DA524" s="899" t="s">
        <v>579</v>
      </c>
      <c r="DB524" s="899" t="s">
        <v>327</v>
      </c>
      <c r="DC524" s="899" cm="1">
        <f t="array" aca="1" ref="DC524" ca="1">_xlfn.IFNA(OFFSET($I$49,MATCH(CY524,$I$50:$I$63,0),MATCH(CZ524,TRANSPOSE($J$49:$W$49),0)),0)</f>
        <v>3.700000000000001E-3</v>
      </c>
      <c r="DD524" s="899" cm="1">
        <f t="array" aca="1" ref="DD524" ca="1">_xlfn.IFNA(OFFSET($Y$49,MATCH($CZ524,$Y$50:$Y$63,0),MATCH($DA524,TRANSPOSE($Z$49:$AM$49),0)),0)</f>
        <v>8.2100000000000006E-2</v>
      </c>
      <c r="DE524" s="899" cm="1">
        <f t="array" aca="1" ref="DE524" ca="1">_xlfn.IFNA(OFFSET($AO$49,MATCH($DA524,$AO$50:$AO$63,0),MATCH($DB524,TRANSPOSE($AP$49:$BC$49),0)),0)</f>
        <v>0.56859999999999999</v>
      </c>
      <c r="DF524" s="881">
        <f t="shared" ca="1" si="262"/>
        <v>1.7272362200000004E-4</v>
      </c>
      <c r="DG524" s="910">
        <f t="shared" ca="1" si="277"/>
        <v>0.99547352429578406</v>
      </c>
      <c r="DH524" s="881">
        <f t="shared" ca="1" si="263"/>
        <v>1.7194179272147285E-4</v>
      </c>
      <c r="DI524" s="1460">
        <f t="shared" ca="1" si="271"/>
        <v>5.605302442720015E-2</v>
      </c>
      <c r="DJ524" s="909">
        <f>_xlfn.IFNA(INDEX('Resource use and costs'!$CQ$11:$CQ$53,MATCH($CZ524,'Resource use and costs'!$BA$11:$BA$53,0)),0)*_xlfn.IFNA(INDEX(DY$10:DY$23,MATCH($CZ524,$DX$10:$DX$23,0)),0)</f>
        <v>54336.641519999976</v>
      </c>
      <c r="DK524" s="909">
        <f>IF(dd_PartSA_2_lines = "Yes",0,_xlfn.IFNA(INDEX('Resource use and costs'!$CR$11:$CR$53,MATCH(DA524,'Resource use and costs'!$BA$11:$BA$53,0)),0)*_xlfn.IFNA(INDEX(EA$10:EA$23,MATCH($DA524,$DX$10:$DX$23,0)),0))</f>
        <v>26054.50921</v>
      </c>
      <c r="DL524" s="909">
        <f>IF(dd_PartSA_2_lines = "Yes",0,_xlfn.IFNA(INDEX('Resource use and costs'!$CS$11:$CS$53,MATCH(DB524,'Resource use and costs'!$BA$11:$BA$53,0)),0)*_xlfn.IFNA(INDEX(EC$10:EC$23,MATCH($DB524,$DX$10:$DX$23,0)),0))</f>
        <v>18438.751749999999</v>
      </c>
      <c r="DM524" s="909">
        <f t="shared" si="264"/>
        <v>98829.902479999975</v>
      </c>
      <c r="DN524" s="909">
        <f>SUM(_xlfn.IFNA(INDEX('Resource use and costs'!$DU$12:$DU$25,MATCH(CZ524,'Resource use and costs'!$DS$12:$DS$25,0)),0),_xlfn.IFNA(INDEX('Resource use and costs'!$DU$12:$DU$25,MATCH(DA524,'Resource use and costs'!$DS$12:$DS$25,0)),0),_xlfn.IFNA(INDEX('Resource use and costs'!$DU$12:$DU$25,MATCH(DB524,'Resource use and costs'!$DS$12:$DS$25,0)),0))</f>
        <v>394.5</v>
      </c>
      <c r="DO524" s="921">
        <f>_xlfn.IFNA(INDEX('Resource use and costs'!$DY$12:$DY$25,MATCH(CZ524,'Resource use and costs'!$DS$12:$DS$25,0)),0)*_xlfn.IFNA(INDEX(DY$10:DY$23,MATCH($CZ524,$DX$10:$DX$23,0)),0)</f>
        <v>810.54285714285697</v>
      </c>
      <c r="DP524" s="921">
        <f>IF(dd_PartSA_2_lines = "Yes",0,_xlfn.IFNA(INDEX('Resource use and costs'!$DZ$12:$DZ$25,MATCH(DA524,'Resource use and costs'!$DS$12:$DS$25,0)),0)*_xlfn.IFNA(INDEX(EA$10:EA$23,MATCH($DA524,$DX$10:$DX$23,0)),0))</f>
        <v>4108.3597166</v>
      </c>
      <c r="DQ524" s="921">
        <f>IF(dd_PartSA_2_lines = "Yes",0,_xlfn.IFNA(INDEX('Resource use and costs'!$EA$12:$EA$25,MATCH(DB524,'Resource use and costs'!$DS$12:$DS$25,0)),0)*_xlfn.IFNA(INDEX(EC$10:EC$23,MATCH($DB524,$DX$10:$DX$23,0)),0))</f>
        <v>230.68099999999998</v>
      </c>
      <c r="DR524" s="921">
        <f t="shared" si="265"/>
        <v>5544.0835737428561</v>
      </c>
      <c r="DS524" s="1004">
        <f ca="1">SUMIFS('Safety parameters'!$DM$6:$DM$18,'Safety parameters'!$DK$6:$DK$18,CZ524,'Safety parameters'!$DL$6:$DL$18,1)+IF(dd_PartSA_2_lines = "Yes",0,SUMIFS('Safety parameters'!$DM$6:$DM$18,'Safety parameters'!$DK$6:$DK$18,DA524,'Safety parameters'!$DL$6:$DL$18,2)+SUMIFS('Safety parameters'!$DM$6:$DM$18,'Safety parameters'!$DK$6:$DK$18,DB524,'Safety parameters'!$DL$6:$DL$18,2))</f>
        <v>1795.3624225558742</v>
      </c>
      <c r="DT524" s="910">
        <f ca="1">SUMIFS('Safety parameters'!$DO$6:$DO$18,'Safety parameters'!$DK$6:$DK$18,CZ524,'Safety parameters'!$DL$6:$DL$18,1)+IF(dd_PartSA_2_lines = "Yes",0,SUMIFS('Safety parameters'!$DO$6:$DO$18,'Safety parameters'!$DK$6:$DK$18,DA524,'Safety parameters'!$DL$6:$DL$18,2)+SUMIFS('Safety parameters'!$DO$6:$DO$18,'Safety parameters'!$DK$6:$DK$18,DB524,'Safety parameters'!$DL$6:$DL$18,2))</f>
        <v>-1.6339008205166216E-2</v>
      </c>
    </row>
    <row r="525" spans="89:124" ht="15" x14ac:dyDescent="0.2">
      <c r="CK525" s="61" t="s">
        <v>31</v>
      </c>
      <c r="CL525" s="61">
        <v>4</v>
      </c>
      <c r="CM525" s="61" t="str">
        <v>sorafenib</v>
      </c>
      <c r="CN525" s="17">
        <v>12</v>
      </c>
      <c r="CO525" s="61" t="str" cm="1">
        <f t="array" ref="CO525">INDEX(List_comparators,CP524+1)</f>
        <v>pazopanib</v>
      </c>
      <c r="CP525" s="17">
        <v>5</v>
      </c>
      <c r="CQ525" s="601">
        <f t="shared" ca="1" si="272"/>
        <v>0</v>
      </c>
      <c r="CR525" s="601">
        <f t="shared" ca="1" si="273"/>
        <v>0</v>
      </c>
      <c r="CS525" s="601">
        <f t="shared" ca="1" si="274"/>
        <v>0</v>
      </c>
      <c r="CT525" s="669">
        <f t="shared" ca="1" si="275"/>
        <v>0</v>
      </c>
      <c r="CU525" s="1123">
        <f>MATCH(CZ532,'Resource use and costs'!$BA$11:$BA$53,0)</f>
        <v>1</v>
      </c>
      <c r="CV525" s="1223"/>
      <c r="CW525" s="1241">
        <f t="shared" si="278"/>
        <v>1</v>
      </c>
      <c r="CX525" s="899" t="s">
        <v>788</v>
      </c>
      <c r="CY525" s="899" t="s">
        <v>117</v>
      </c>
      <c r="CZ525" s="899" t="s">
        <v>333</v>
      </c>
      <c r="DA525" s="899" t="s">
        <v>579</v>
      </c>
      <c r="DB525" s="899" t="s">
        <v>765</v>
      </c>
      <c r="DC525" s="899" cm="1">
        <f t="array" aca="1" ref="DC525" ca="1">_xlfn.IFNA(OFFSET($I$49,MATCH(CY525,$I$50:$I$63,0),MATCH(CZ525,TRANSPOSE($J$49:$W$49),0)),0)</f>
        <v>3.700000000000001E-3</v>
      </c>
      <c r="DD525" s="899" cm="1">
        <f t="array" aca="1" ref="DD525" ca="1">_xlfn.IFNA(OFFSET($Y$49,MATCH($CZ525,$Y$50:$Y$63,0),MATCH($DA525,TRANSPOSE($Z$49:$AM$49),0)),0)</f>
        <v>8.2100000000000006E-2</v>
      </c>
      <c r="DE525" s="899" cm="1">
        <f t="array" aca="1" ref="DE525" ca="1">_xlfn.IFNA(OFFSET($AO$49,MATCH($DA525,$AO$50:$AO$63,0),MATCH($DB525,TRANSPOSE($AP$49:$BC$49),0)),0)</f>
        <v>0.43140000000000001</v>
      </c>
      <c r="DF525" s="881">
        <f t="shared" ca="1" si="262"/>
        <v>1.3104637800000004E-4</v>
      </c>
      <c r="DG525" s="910">
        <f t="shared" ca="1" si="277"/>
        <v>0.99547352429578406</v>
      </c>
      <c r="DH525" s="881">
        <f t="shared" ca="1" si="263"/>
        <v>1.3045319975385754E-4</v>
      </c>
      <c r="DI525" s="1460">
        <f t="shared" ca="1" si="271"/>
        <v>4.2527743119757558E-2</v>
      </c>
      <c r="DJ525" s="909">
        <f>_xlfn.IFNA(INDEX('Resource use and costs'!$CQ$11:$CQ$53,MATCH($CZ525,'Resource use and costs'!$BA$11:$BA$53,0)),0)*_xlfn.IFNA(INDEX(DY$10:DY$23,MATCH($CZ525,$DX$10:$DX$23,0)),0)</f>
        <v>54336.641519999976</v>
      </c>
      <c r="DK525" s="909">
        <f>IF(dd_PartSA_2_lines = "Yes",0,_xlfn.IFNA(INDEX('Resource use and costs'!$CR$11:$CR$53,MATCH(DA525,'Resource use and costs'!$BA$11:$BA$53,0)),0)*_xlfn.IFNA(INDEX(EA$10:EA$23,MATCH($DA525,$DX$10:$DX$23,0)),0))</f>
        <v>26054.50921</v>
      </c>
      <c r="DL525" s="909">
        <f>IF(dd_PartSA_2_lines = "Yes",0,_xlfn.IFNA(INDEX('Resource use and costs'!$CS$11:$CS$53,MATCH(DB525,'Resource use and costs'!$BA$11:$BA$53,0)),0)*_xlfn.IFNA(INDEX(EC$10:EC$23,MATCH($DB525,$DX$10:$DX$23,0)),0))</f>
        <v>0</v>
      </c>
      <c r="DM525" s="909">
        <f t="shared" si="264"/>
        <v>80391.150729999979</v>
      </c>
      <c r="DN525" s="909">
        <f>SUM(_xlfn.IFNA(INDEX('Resource use and costs'!$DU$12:$DU$25,MATCH(CZ525,'Resource use and costs'!$DS$12:$DS$25,0)),0),_xlfn.IFNA(INDEX('Resource use and costs'!$DU$12:$DU$25,MATCH(DA525,'Resource use and costs'!$DS$12:$DS$25,0)),0),_xlfn.IFNA(INDEX('Resource use and costs'!$DU$12:$DU$25,MATCH(DB525,'Resource use and costs'!$DS$12:$DS$25,0)),0))</f>
        <v>197.25</v>
      </c>
      <c r="DO525" s="921">
        <f>_xlfn.IFNA(INDEX('Resource use and costs'!$DY$12:$DY$25,MATCH(CZ525,'Resource use and costs'!$DS$12:$DS$25,0)),0)*_xlfn.IFNA(INDEX(DY$10:DY$23,MATCH($CZ525,$DX$10:$DX$23,0)),0)</f>
        <v>810.54285714285697</v>
      </c>
      <c r="DP525" s="921">
        <f>IF(dd_PartSA_2_lines = "Yes",0,_xlfn.IFNA(INDEX('Resource use and costs'!$DZ$12:$DZ$25,MATCH(DA525,'Resource use and costs'!$DS$12:$DS$25,0)),0)*_xlfn.IFNA(INDEX(EA$10:EA$23,MATCH($DA525,$DX$10:$DX$23,0)),0))</f>
        <v>4108.3597166</v>
      </c>
      <c r="DQ525" s="921">
        <f>IF(dd_PartSA_2_lines = "Yes",0,_xlfn.IFNA(INDEX('Resource use and costs'!$EA$12:$EA$25,MATCH(DB525,'Resource use and costs'!$DS$12:$DS$25,0)),0)*_xlfn.IFNA(INDEX(EC$10:EC$23,MATCH($DB525,$DX$10:$DX$23,0)),0))</f>
        <v>0</v>
      </c>
      <c r="DR525" s="921">
        <f t="shared" si="265"/>
        <v>5116.1525737428565</v>
      </c>
      <c r="DS525" s="1004">
        <f ca="1">SUMIFS('Safety parameters'!$DM$6:$DM$18,'Safety parameters'!$DK$6:$DK$18,CZ525,'Safety parameters'!$DL$6:$DL$18,1)+IF(dd_PartSA_2_lines = "Yes",0,SUMIFS('Safety parameters'!$DM$6:$DM$18,'Safety parameters'!$DK$6:$DK$18,DA525,'Safety parameters'!$DL$6:$DL$18,2)+SUMIFS('Safety parameters'!$DM$6:$DM$18,'Safety parameters'!$DK$6:$DK$18,DB525,'Safety parameters'!$DL$6:$DL$18,2))</f>
        <v>161.1337489904144</v>
      </c>
      <c r="DT525" s="910">
        <f ca="1">SUMIFS('Safety parameters'!$DO$6:$DO$18,'Safety parameters'!$DK$6:$DK$18,CZ525,'Safety parameters'!$DL$6:$DL$18,1)+IF(dd_PartSA_2_lines = "Yes",0,SUMIFS('Safety parameters'!$DO$6:$DO$18,'Safety parameters'!$DK$6:$DK$18,DA525,'Safety parameters'!$DL$6:$DL$18,2)+SUMIFS('Safety parameters'!$DO$6:$DO$18,'Safety parameters'!$DK$6:$DK$18,DB525,'Safety parameters'!$DL$6:$DL$18,2))</f>
        <v>-1.5970841976847864E-3</v>
      </c>
    </row>
    <row r="526" spans="89:124" ht="15.75" thickBot="1" x14ac:dyDescent="0.25">
      <c r="CK526" s="506" t="s">
        <v>31</v>
      </c>
      <c r="CL526" s="506">
        <v>4</v>
      </c>
      <c r="CM526" s="506" t="str">
        <v>placebo_BSC</v>
      </c>
      <c r="CN526" s="19">
        <v>999</v>
      </c>
      <c r="CO526" s="506" t="str" cm="1">
        <f t="array" ref="CO526">INDEX(List_comparators,CP513+1)</f>
        <v>pazopanib</v>
      </c>
      <c r="CP526" s="19">
        <v>5</v>
      </c>
      <c r="CQ526" s="602">
        <f t="shared" ca="1" si="272"/>
        <v>0</v>
      </c>
      <c r="CR526" s="602">
        <f t="shared" ca="1" si="273"/>
        <v>0</v>
      </c>
      <c r="CS526" s="602">
        <f t="shared" ca="1" si="274"/>
        <v>0</v>
      </c>
      <c r="CT526" s="748">
        <f t="shared" ca="1" si="275"/>
        <v>0</v>
      </c>
      <c r="CU526" s="1123">
        <f>MATCH(CZ533,'Resource use and costs'!$BA$11:$BA$53,0)</f>
        <v>1</v>
      </c>
      <c r="CV526" s="1223"/>
      <c r="CW526" s="1241">
        <f t="shared" si="278"/>
        <v>1</v>
      </c>
      <c r="CX526" s="899" t="s">
        <v>788</v>
      </c>
      <c r="CY526" s="899" t="s">
        <v>117</v>
      </c>
      <c r="CZ526" s="899" t="s">
        <v>579</v>
      </c>
      <c r="DA526" s="899" t="s">
        <v>327</v>
      </c>
      <c r="DB526" s="899" t="s">
        <v>765</v>
      </c>
      <c r="DC526" s="899" cm="1">
        <f t="array" aca="1" ref="DC526" ca="1">_xlfn.IFNA(OFFSET($I$49,MATCH(CY526,$I$50:$I$63,0),MATCH(CZ526,TRANSPOSE($J$49:$W$49),0)),0)</f>
        <v>0.38380000000000003</v>
      </c>
      <c r="DD526" s="899" cm="1">
        <f t="array" aca="1" ref="DD526" ca="1">_xlfn.IFNA(OFFSET($Y$49,MATCH($CZ526,$Y$50:$Y$63,0),MATCH($DA526,TRANSPOSE($Z$49:$AM$49),0)),0)</f>
        <v>5.2400000000000002E-2</v>
      </c>
      <c r="DE526" s="899" cm="1">
        <f t="array" aca="1" ref="DE526" ca="1">_xlfn.IFNA(OFFSET($AO$49,MATCH($DA526,$AO$50:$AO$63,0),MATCH($DB526,TRANSPOSE($AP$49:$BC$49),0)),0)</f>
        <v>0.43140000000000001</v>
      </c>
      <c r="DF526" s="881">
        <f t="shared" ca="1" si="262"/>
        <v>8.6759371680000009E-3</v>
      </c>
      <c r="DG526" s="910">
        <f t="shared" ca="1" si="277"/>
        <v>0.99547352429578406</v>
      </c>
      <c r="DH526" s="881">
        <f t="shared" ca="1" si="263"/>
        <v>8.6366657491977455E-3</v>
      </c>
      <c r="DI526" s="1460">
        <f t="shared" ca="1" si="271"/>
        <v>2.8155530342384649</v>
      </c>
      <c r="DJ526" s="909">
        <f>_xlfn.IFNA(INDEX('Resource use and costs'!$CQ$11:$CQ$53,MATCH($CZ526,'Resource use and costs'!$BA$11:$BA$53,0)),0)*_xlfn.IFNA(INDEX(DY$10:DY$23,MATCH($CZ526,$DX$10:$DX$23,0)),0)</f>
        <v>56693.786091428577</v>
      </c>
      <c r="DK526" s="909">
        <f>IF(dd_PartSA_2_lines = "Yes",0,_xlfn.IFNA(INDEX('Resource use and costs'!$CR$11:$CR$53,MATCH(DA526,'Resource use and costs'!$BA$11:$BA$53,0)),0)*_xlfn.IFNA(INDEX(EA$10:EA$23,MATCH($DA526,$DX$10:$DX$23,0)),0))</f>
        <v>21421.066008214286</v>
      </c>
      <c r="DL526" s="909">
        <f>IF(dd_PartSA_2_lines = "Yes",0,_xlfn.IFNA(INDEX('Resource use and costs'!$CS$11:$CS$53,MATCH(DB526,'Resource use and costs'!$BA$11:$BA$53,0)),0)*_xlfn.IFNA(INDEX(EC$10:EC$23,MATCH($DB526,$DX$10:$DX$23,0)),0))</f>
        <v>0</v>
      </c>
      <c r="DM526" s="909">
        <f t="shared" si="264"/>
        <v>78114.852099642856</v>
      </c>
      <c r="DN526" s="909">
        <f>SUM(_xlfn.IFNA(INDEX('Resource use and costs'!$DU$12:$DU$25,MATCH(CZ526,'Resource use and costs'!$DS$12:$DS$25,0)),0),_xlfn.IFNA(INDEX('Resource use and costs'!$DU$12:$DU$25,MATCH(DA526,'Resource use and costs'!$DS$12:$DS$25,0)),0),_xlfn.IFNA(INDEX('Resource use and costs'!$DU$12:$DU$25,MATCH(DB526,'Resource use and costs'!$DS$12:$DS$25,0)),0))</f>
        <v>197.25</v>
      </c>
      <c r="DO526" s="921">
        <f>_xlfn.IFNA(INDEX('Resource use and costs'!$DY$12:$DY$25,MATCH(CZ526,'Resource use and costs'!$DS$12:$DS$25,0)),0)*_xlfn.IFNA(INDEX(DY$10:DY$23,MATCH($CZ526,$DX$10:$DX$23,0)),0)</f>
        <v>8939.6605049142872</v>
      </c>
      <c r="DP526" s="921">
        <f>IF(dd_PartSA_2_lines = "Yes",0,_xlfn.IFNA(INDEX('Resource use and costs'!$DZ$12:$DZ$25,MATCH(DA526,'Resource use and costs'!$DS$12:$DS$25,0)),0)*_xlfn.IFNA(INDEX(EA$10:EA$23,MATCH($DA526,$DX$10:$DX$23,0)),0))</f>
        <v>267.99172714285714</v>
      </c>
      <c r="DQ526" s="921">
        <f>IF(dd_PartSA_2_lines = "Yes",0,_xlfn.IFNA(INDEX('Resource use and costs'!$EA$12:$EA$25,MATCH(DB526,'Resource use and costs'!$DS$12:$DS$25,0)),0)*_xlfn.IFNA(INDEX(EC$10:EC$23,MATCH($DB526,$DX$10:$DX$23,0)),0))</f>
        <v>0</v>
      </c>
      <c r="DR526" s="921">
        <f t="shared" si="265"/>
        <v>9404.9022320571439</v>
      </c>
      <c r="DS526" s="1004">
        <f ca="1">SUMIFS('Safety parameters'!$DM$6:$DM$18,'Safety parameters'!$DK$6:$DK$18,CZ526,'Safety parameters'!$DL$6:$DL$18,1)+IF(dd_PartSA_2_lines = "Yes",0,SUMIFS('Safety parameters'!$DM$6:$DM$18,'Safety parameters'!$DK$6:$DK$18,DA526,'Safety parameters'!$DL$6:$DL$18,2)+SUMIFS('Safety parameters'!$DM$6:$DM$18,'Safety parameters'!$DK$6:$DK$18,DB526,'Safety parameters'!$DL$6:$DL$18,2))</f>
        <v>1634.2286735654598</v>
      </c>
      <c r="DT526" s="910">
        <f ca="1">SUMIFS('Safety parameters'!$DO$6:$DO$18,'Safety parameters'!$DK$6:$DK$18,CZ526,'Safety parameters'!$DL$6:$DL$18,1)+IF(dd_PartSA_2_lines = "Yes",0,SUMIFS('Safety parameters'!$DO$6:$DO$18,'Safety parameters'!$DK$6:$DK$18,DA526,'Safety parameters'!$DL$6:$DL$18,2)+SUMIFS('Safety parameters'!$DO$6:$DO$18,'Safety parameters'!$DK$6:$DK$18,DB526,'Safety parameters'!$DL$6:$DL$18,2))</f>
        <v>-1.4741924007481429E-2</v>
      </c>
    </row>
    <row r="527" spans="89:124" ht="15" x14ac:dyDescent="0.2">
      <c r="CK527" s="505" t="s">
        <v>31</v>
      </c>
      <c r="CL527" s="505">
        <v>4</v>
      </c>
      <c r="CM527" s="61" t="str" cm="1">
        <f t="array" ref="CM527:CM540">List_comparators</f>
        <v>nivolumab_monotherapy</v>
      </c>
      <c r="CN527" s="17">
        <v>0</v>
      </c>
      <c r="CO527" s="61" t="str" cm="1">
        <f t="array" ref="CO527">INDEX(List_comparators,CP527+1)</f>
        <v>tivozanib</v>
      </c>
      <c r="CP527" s="17">
        <v>6</v>
      </c>
      <c r="CQ527" s="603">
        <f t="shared" ca="1" si="272"/>
        <v>0</v>
      </c>
      <c r="CR527" s="603">
        <f t="shared" ca="1" si="273"/>
        <v>0</v>
      </c>
      <c r="CS527" s="603">
        <f t="shared" ca="1" si="274"/>
        <v>21.714285714285712</v>
      </c>
      <c r="CT527" s="669">
        <f t="shared" ca="1" si="275"/>
        <v>5.5785714285714283</v>
      </c>
      <c r="CU527" s="1123">
        <f>MATCH(CZ534,'Resource use and costs'!$BA$11:$BA$53,0)</f>
        <v>1</v>
      </c>
      <c r="CV527" s="1223"/>
      <c r="CW527" s="1241">
        <f t="shared" si="278"/>
        <v>1</v>
      </c>
      <c r="CX527" s="899" t="s">
        <v>788</v>
      </c>
      <c r="CY527" s="899" t="s">
        <v>117</v>
      </c>
      <c r="CZ527" s="899" t="s">
        <v>579</v>
      </c>
      <c r="DA527" s="899" t="s">
        <v>327</v>
      </c>
      <c r="DB527" s="899" t="s">
        <v>119</v>
      </c>
      <c r="DC527" s="899" cm="1">
        <f t="array" aca="1" ref="DC527" ca="1">_xlfn.IFNA(OFFSET($I$49,MATCH(CY527,$I$50:$I$63,0),MATCH(CZ527,TRANSPOSE($J$49:$W$49),0)),0)</f>
        <v>0.38380000000000003</v>
      </c>
      <c r="DD527" s="899" cm="1">
        <f t="array" aca="1" ref="DD527" ca="1">_xlfn.IFNA(OFFSET($Y$49,MATCH($CZ527,$Y$50:$Y$63,0),MATCH($DA527,TRANSPOSE($Z$49:$AM$49),0)),0)</f>
        <v>5.2400000000000002E-2</v>
      </c>
      <c r="DE527" s="899" cm="1">
        <f t="array" aca="1" ref="DE527" ca="1">_xlfn.IFNA(OFFSET($AO$49,MATCH($DA527,$AO$50:$AO$63,0),MATCH($DB527,TRANSPOSE($AP$49:$BC$49),0)),0)</f>
        <v>0.56859999999999999</v>
      </c>
      <c r="DF527" s="881">
        <f t="shared" ca="1" si="262"/>
        <v>1.1435182832000002E-2</v>
      </c>
      <c r="DG527" s="910">
        <f t="shared" ca="1" si="277"/>
        <v>0.99547352429578406</v>
      </c>
      <c r="DH527" s="881">
        <f t="shared" ca="1" si="263"/>
        <v>1.1383421754737687E-2</v>
      </c>
      <c r="DI527" s="1460">
        <f t="shared" ca="1" si="271"/>
        <v>3.7109954920444861</v>
      </c>
      <c r="DJ527" s="909">
        <f>_xlfn.IFNA(INDEX('Resource use and costs'!$CQ$11:$CQ$53,MATCH($CZ527,'Resource use and costs'!$BA$11:$BA$53,0)),0)*_xlfn.IFNA(INDEX(DY$10:DY$23,MATCH($CZ527,$DX$10:$DX$23,0)),0)</f>
        <v>56693.786091428577</v>
      </c>
      <c r="DK527" s="909">
        <f>IF(dd_PartSA_2_lines = "Yes",0,_xlfn.IFNA(INDEX('Resource use and costs'!$CR$11:$CR$53,MATCH(DA527,'Resource use and costs'!$BA$11:$BA$53,0)),0)*_xlfn.IFNA(INDEX(EA$10:EA$23,MATCH($DA527,$DX$10:$DX$23,0)),0))</f>
        <v>21421.066008214286</v>
      </c>
      <c r="DL527" s="909">
        <f>IF(dd_PartSA_2_lines = "Yes",0,_xlfn.IFNA(INDEX('Resource use and costs'!$CS$11:$CS$53,MATCH(DB527,'Resource use and costs'!$BA$11:$BA$53,0)),0)*_xlfn.IFNA(INDEX(EC$10:EC$23,MATCH($DB527,$DX$10:$DX$23,0)),0))</f>
        <v>2915.4763433333328</v>
      </c>
      <c r="DM527" s="909">
        <f t="shared" si="264"/>
        <v>81030.328442976184</v>
      </c>
      <c r="DN527" s="909">
        <f>SUM(_xlfn.IFNA(INDEX('Resource use and costs'!$DU$12:$DU$25,MATCH(CZ527,'Resource use and costs'!$DS$12:$DS$25,0)),0),_xlfn.IFNA(INDEX('Resource use and costs'!$DU$12:$DU$25,MATCH(DA527,'Resource use and costs'!$DS$12:$DS$25,0)),0),_xlfn.IFNA(INDEX('Resource use and costs'!$DU$12:$DU$25,MATCH(DB527,'Resource use and costs'!$DS$12:$DS$25,0)),0))</f>
        <v>394.5</v>
      </c>
      <c r="DO527" s="921">
        <f>_xlfn.IFNA(INDEX('Resource use and costs'!$DY$12:$DY$25,MATCH(CZ527,'Resource use and costs'!$DS$12:$DS$25,0)),0)*_xlfn.IFNA(INDEX(DY$10:DY$23,MATCH($CZ527,$DX$10:$DX$23,0)),0)</f>
        <v>8939.6605049142872</v>
      </c>
      <c r="DP527" s="921">
        <f>IF(dd_PartSA_2_lines = "Yes",0,_xlfn.IFNA(INDEX('Resource use and costs'!$DZ$12:$DZ$25,MATCH(DA527,'Resource use and costs'!$DS$12:$DS$25,0)),0)*_xlfn.IFNA(INDEX(EA$10:EA$23,MATCH($DA527,$DX$10:$DX$23,0)),0))</f>
        <v>267.99172714285714</v>
      </c>
      <c r="DQ527" s="921">
        <f>IF(dd_PartSA_2_lines = "Yes",0,_xlfn.IFNA(INDEX('Resource use and costs'!$EA$12:$EA$25,MATCH(DB527,'Resource use and costs'!$DS$12:$DS$25,0)),0)*_xlfn.IFNA(INDEX(EC$10:EC$23,MATCH($DB527,$DX$10:$DX$23,0)),0))</f>
        <v>256.11457142857142</v>
      </c>
      <c r="DR527" s="921">
        <f t="shared" si="265"/>
        <v>9858.2668034857161</v>
      </c>
      <c r="DS527" s="1004">
        <f ca="1">SUMIFS('Safety parameters'!$DM$6:$DM$18,'Safety parameters'!$DK$6:$DK$18,CZ527,'Safety parameters'!$DL$6:$DL$18,1)+IF(dd_PartSA_2_lines = "Yes",0,SUMIFS('Safety parameters'!$DM$6:$DM$18,'Safety parameters'!$DK$6:$DK$18,DA527,'Safety parameters'!$DL$6:$DL$18,2)+SUMIFS('Safety parameters'!$DM$6:$DM$18,'Safety parameters'!$DK$6:$DK$18,DB527,'Safety parameters'!$DL$6:$DL$18,2))</f>
        <v>1967.1040569407746</v>
      </c>
      <c r="DT527" s="910">
        <f ca="1">SUMIFS('Safety parameters'!$DO$6:$DO$18,'Safety parameters'!$DK$6:$DK$18,CZ527,'Safety parameters'!$DL$6:$DL$18,1)+IF(dd_PartSA_2_lines = "Yes",0,SUMIFS('Safety parameters'!$DO$6:$DO$18,'Safety parameters'!$DK$6:$DK$18,DA527,'Safety parameters'!$DL$6:$DL$18,2)+SUMIFS('Safety parameters'!$DO$6:$DO$18,'Safety parameters'!$DK$6:$DK$18,DB527,'Safety parameters'!$DL$6:$DL$18,2))</f>
        <v>-1.7409497544119149E-2</v>
      </c>
    </row>
    <row r="528" spans="89:124" ht="15" x14ac:dyDescent="0.2">
      <c r="CK528" s="61" t="s">
        <v>31</v>
      </c>
      <c r="CL528" s="61">
        <v>4</v>
      </c>
      <c r="CM528" s="61" t="str">
        <v>cabozantinib_plus_nivolumab</v>
      </c>
      <c r="CN528" s="17">
        <v>1</v>
      </c>
      <c r="CO528" s="61" t="str" cm="1">
        <f t="array" ref="CO528">INDEX(List_comparators,CP527+1)</f>
        <v>tivozanib</v>
      </c>
      <c r="CP528" s="17">
        <v>6</v>
      </c>
      <c r="CQ528" s="601">
        <f t="shared" ca="1" si="272"/>
        <v>0</v>
      </c>
      <c r="CR528" s="601">
        <f t="shared" ca="1" si="273"/>
        <v>0</v>
      </c>
      <c r="CS528" s="601">
        <f t="shared" ca="1" si="274"/>
        <v>21.714285714285712</v>
      </c>
      <c r="CT528" s="669">
        <f t="shared" ca="1" si="275"/>
        <v>5.5785714285714283</v>
      </c>
      <c r="CU528" s="1123">
        <f>MATCH(CZ535,'Resource use and costs'!$BA$11:$BA$53,0)</f>
        <v>1</v>
      </c>
      <c r="CV528" s="1223"/>
      <c r="CW528" s="1241">
        <f t="shared" si="278"/>
        <v>1</v>
      </c>
      <c r="CX528" s="899" t="s">
        <v>788</v>
      </c>
      <c r="CY528" s="899" t="s">
        <v>117</v>
      </c>
      <c r="CZ528" s="899" t="s">
        <v>579</v>
      </c>
      <c r="DA528" s="899" t="s">
        <v>765</v>
      </c>
      <c r="DB528" s="899"/>
      <c r="DC528" s="899" cm="1">
        <f t="array" aca="1" ref="DC528" ca="1">_xlfn.IFNA(OFFSET($I$49,MATCH(CY528,$I$50:$I$63,0),MATCH(CZ528,TRANSPOSE($J$49:$W$49),0)),0)</f>
        <v>0.38380000000000003</v>
      </c>
      <c r="DD528" s="899" cm="1">
        <f t="array" aca="1" ref="DD528" ca="1">_xlfn.IFNA(OFFSET($Y$49,MATCH($CZ528,$Y$50:$Y$63,0),MATCH($DA528,TRANSPOSE($Z$49:$AM$49),0)),0)</f>
        <v>0.3453</v>
      </c>
      <c r="DE528" s="899" cm="1">
        <f t="array" aca="1" ref="DE528" ca="1">_xlfn.IFNA(OFFSET($AO$49,MATCH($DA528,$AO$50:$AO$63,0),MATCH($DB528,TRANSPOSE($AP$49:$BC$49),0)),0)</f>
        <v>0</v>
      </c>
      <c r="DF528" s="881">
        <f t="shared" ca="1" si="262"/>
        <v>0.13252614000000001</v>
      </c>
      <c r="DG528" s="910">
        <f t="shared" ca="1" si="277"/>
        <v>0.99547352429578406</v>
      </c>
      <c r="DH528" s="881">
        <f t="shared" ca="1" si="263"/>
        <v>0.13192626364711649</v>
      </c>
      <c r="DI528" s="1460">
        <f t="shared" ca="1" si="271"/>
        <v>43.007961948959974</v>
      </c>
      <c r="DJ528" s="909">
        <f>_xlfn.IFNA(INDEX('Resource use and costs'!$CQ$11:$CQ$53,MATCH($CZ528,'Resource use and costs'!$BA$11:$BA$53,0)),0)*_xlfn.IFNA(INDEX(DY$10:DY$23,MATCH($CZ528,$DX$10:$DX$23,0)),0)</f>
        <v>56693.786091428577</v>
      </c>
      <c r="DK528" s="909">
        <f>IF(dd_PartSA_2_lines = "Yes",0,_xlfn.IFNA(INDEX('Resource use and costs'!$CR$11:$CR$53,MATCH(DA528,'Resource use and costs'!$BA$11:$BA$53,0)),0)*_xlfn.IFNA(INDEX(EA$10:EA$23,MATCH($DA528,$DX$10:$DX$23,0)),0))</f>
        <v>0</v>
      </c>
      <c r="DL528" s="909">
        <f>IF(dd_PartSA_2_lines = "Yes",0,_xlfn.IFNA(INDEX('Resource use and costs'!$CS$11:$CS$53,MATCH(DB528,'Resource use and costs'!$BA$11:$BA$53,0)),0)*_xlfn.IFNA(INDEX(EC$10:EC$23,MATCH($DB528,$DX$10:$DX$23,0)),0))</f>
        <v>0</v>
      </c>
      <c r="DM528" s="909">
        <f t="shared" si="264"/>
        <v>56693.786091428577</v>
      </c>
      <c r="DN528" s="909">
        <f>SUM(_xlfn.IFNA(INDEX('Resource use and costs'!$DU$12:$DU$25,MATCH(CZ528,'Resource use and costs'!$DS$12:$DS$25,0)),0),_xlfn.IFNA(INDEX('Resource use and costs'!$DU$12:$DU$25,MATCH(DA528,'Resource use and costs'!$DS$12:$DS$25,0)),0),_xlfn.IFNA(INDEX('Resource use and costs'!$DU$12:$DU$25,MATCH(DB528,'Resource use and costs'!$DS$12:$DS$25,0)),0))</f>
        <v>0</v>
      </c>
      <c r="DO528" s="921">
        <f>_xlfn.IFNA(INDEX('Resource use and costs'!$DY$12:$DY$25,MATCH(CZ528,'Resource use and costs'!$DS$12:$DS$25,0)),0)*_xlfn.IFNA(INDEX(DY$10:DY$23,MATCH($CZ528,$DX$10:$DX$23,0)),0)</f>
        <v>8939.6605049142872</v>
      </c>
      <c r="DP528" s="921">
        <f>IF(dd_PartSA_2_lines = "Yes",0,_xlfn.IFNA(INDEX('Resource use and costs'!$DZ$12:$DZ$25,MATCH(DA528,'Resource use and costs'!$DS$12:$DS$25,0)),0)*_xlfn.IFNA(INDEX(EA$10:EA$23,MATCH($DA528,$DX$10:$DX$23,0)),0))</f>
        <v>0</v>
      </c>
      <c r="DQ528" s="921">
        <f>IF(dd_PartSA_2_lines = "Yes",0,_xlfn.IFNA(INDEX('Resource use and costs'!$EA$12:$EA$25,MATCH(DB528,'Resource use and costs'!$DS$12:$DS$25,0)),0)*_xlfn.IFNA(INDEX(EC$10:EC$23,MATCH($DB528,$DX$10:$DX$23,0)),0))</f>
        <v>0</v>
      </c>
      <c r="DR528" s="921">
        <f t="shared" si="265"/>
        <v>8939.6605049142872</v>
      </c>
      <c r="DS528" s="1004">
        <f>SUMIFS('Safety parameters'!$DM$6:$DM$18,'Safety parameters'!$DK$6:$DK$18,CZ528,'Safety parameters'!$DL$6:$DL$18,1)+IF(dd_PartSA_2_lines = "Yes",0,SUMIFS('Safety parameters'!$DM$6:$DM$18,'Safety parameters'!$DK$6:$DK$18,DA528,'Safety parameters'!$DL$6:$DL$18,2)+SUMIFS('Safety parameters'!$DM$6:$DM$18,'Safety parameters'!$DK$6:$DK$18,DB528,'Safety parameters'!$DL$6:$DL$18,2))</f>
        <v>0</v>
      </c>
      <c r="DT528" s="910">
        <f>SUMIFS('Safety parameters'!$DO$6:$DO$18,'Safety parameters'!$DK$6:$DK$18,CZ528,'Safety parameters'!$DL$6:$DL$18,1)+IF(dd_PartSA_2_lines = "Yes",0,SUMIFS('Safety parameters'!$DO$6:$DO$18,'Safety parameters'!$DK$6:$DK$18,DA528,'Safety parameters'!$DL$6:$DL$18,2)+SUMIFS('Safety parameters'!$DO$6:$DO$18,'Safety parameters'!$DK$6:$DK$18,DB528,'Safety parameters'!$DL$6:$DL$18,2))</f>
        <v>0</v>
      </c>
    </row>
    <row r="529" spans="89:124" ht="15" x14ac:dyDescent="0.2">
      <c r="CK529" s="61" t="s">
        <v>31</v>
      </c>
      <c r="CL529" s="61">
        <v>4</v>
      </c>
      <c r="CM529" s="61" t="str">
        <v>nivolumab_plus_ipilimumab</v>
      </c>
      <c r="CN529" s="17">
        <v>2</v>
      </c>
      <c r="CO529" s="61" t="str" cm="1">
        <f t="array" ref="CO529">INDEX(List_comparators,CP528+1)</f>
        <v>tivozanib</v>
      </c>
      <c r="CP529" s="17">
        <v>6</v>
      </c>
      <c r="CQ529" s="601">
        <f t="shared" ca="1" si="272"/>
        <v>0</v>
      </c>
      <c r="CR529" s="601">
        <f t="shared" ca="1" si="273"/>
        <v>0</v>
      </c>
      <c r="CS529" s="601">
        <f t="shared" ca="1" si="274"/>
        <v>21.714285714285712</v>
      </c>
      <c r="CT529" s="669">
        <f t="shared" ca="1" si="275"/>
        <v>5.5785714285714283</v>
      </c>
      <c r="CU529" s="1123">
        <f>MATCH(CZ536,'Resource use and costs'!$BA$11:$BA$53,0)</f>
        <v>40</v>
      </c>
      <c r="CV529" s="1223"/>
      <c r="CW529" s="1241">
        <f t="shared" si="278"/>
        <v>1</v>
      </c>
      <c r="CX529" s="899" t="s">
        <v>788</v>
      </c>
      <c r="CY529" s="899" t="s">
        <v>117</v>
      </c>
      <c r="CZ529" s="899" t="s">
        <v>579</v>
      </c>
      <c r="DA529" s="899" t="s">
        <v>118</v>
      </c>
      <c r="DB529" s="899" t="s">
        <v>327</v>
      </c>
      <c r="DC529" s="899" cm="1">
        <f t="array" aca="1" ref="DC529" ca="1">_xlfn.IFNA(OFFSET($I$49,MATCH(CY529,$I$50:$I$63,0),MATCH(CZ529,TRANSPOSE($J$49:$W$49),0)),0)</f>
        <v>0.38380000000000003</v>
      </c>
      <c r="DD529" s="899">
        <f ca="1">1-DD526-DD528-DD532-DD534</f>
        <v>0.54340000000000011</v>
      </c>
      <c r="DE529" s="899" cm="1">
        <f t="array" aca="1" ref="DE529" ca="1">_xlfn.IFNA(OFFSET($AO$49,MATCH($DA529,$AO$50:$AO$63,0),MATCH($DB529,TRANSPOSE($AP$49:$BC$49),0)),0)</f>
        <v>0.38769999999999999</v>
      </c>
      <c r="DF529" s="881">
        <f t="shared" ca="1" si="262"/>
        <v>8.0857517884000016E-2</v>
      </c>
      <c r="DG529" s="910">
        <f t="shared" ca="1" si="277"/>
        <v>0.99547352429578406</v>
      </c>
      <c r="DH529" s="881">
        <f t="shared" ca="1" si="263"/>
        <v>8.0491518293794889E-2</v>
      </c>
      <c r="DI529" s="1460">
        <f t="shared" ca="1" si="271"/>
        <v>26.240234963777134</v>
      </c>
      <c r="DJ529" s="909">
        <f>_xlfn.IFNA(INDEX('Resource use and costs'!$CQ$11:$CQ$53,MATCH($CZ529,'Resource use and costs'!$BA$11:$BA$53,0)),0)*_xlfn.IFNA(INDEX(DY$10:DY$23,MATCH($CZ529,$DX$10:$DX$23,0)),0)</f>
        <v>56693.786091428577</v>
      </c>
      <c r="DK529" s="909">
        <f>IF(dd_PartSA_2_lines = "Yes",0,_xlfn.IFNA(INDEX('Resource use and costs'!$CR$11:$CR$53,MATCH(DA529,'Resource use and costs'!$BA$11:$BA$53,0)),0)*_xlfn.IFNA(INDEX(EA$10:EA$23,MATCH($DA529,$DX$10:$DX$23,0)),0))</f>
        <v>50308.075122000002</v>
      </c>
      <c r="DL529" s="909">
        <f>IF(dd_PartSA_2_lines = "Yes",0,_xlfn.IFNA(INDEX('Resource use and costs'!$CS$11:$CS$53,MATCH(DB529,'Resource use and costs'!$BA$11:$BA$53,0)),0)*_xlfn.IFNA(INDEX(EC$10:EC$23,MATCH($DB529,$DX$10:$DX$23,0)),0))</f>
        <v>18438.751749999999</v>
      </c>
      <c r="DM529" s="909">
        <f t="shared" si="264"/>
        <v>125440.61296342858</v>
      </c>
      <c r="DN529" s="909">
        <f>SUM(_xlfn.IFNA(INDEX('Resource use and costs'!$DU$12:$DU$25,MATCH(CZ529,'Resource use and costs'!$DS$12:$DS$25,0)),0),_xlfn.IFNA(INDEX('Resource use and costs'!$DU$12:$DU$25,MATCH(DA529,'Resource use and costs'!$DS$12:$DS$25,0)),0),_xlfn.IFNA(INDEX('Resource use and costs'!$DU$12:$DU$25,MATCH(DB529,'Resource use and costs'!$DS$12:$DS$25,0)),0))</f>
        <v>394.5</v>
      </c>
      <c r="DO529" s="921">
        <f>_xlfn.IFNA(INDEX('Resource use and costs'!$DY$12:$DY$25,MATCH(CZ529,'Resource use and costs'!$DS$12:$DS$25,0)),0)*_xlfn.IFNA(INDEX(DY$10:DY$23,MATCH($CZ529,$DX$10:$DX$23,0)),0)</f>
        <v>8939.6605049142872</v>
      </c>
      <c r="DP529" s="921">
        <f>IF(dd_PartSA_2_lines = "Yes",0,_xlfn.IFNA(INDEX('Resource use and costs'!$DZ$12:$DZ$25,MATCH(DA529,'Resource use and costs'!$DS$12:$DS$25,0)),0)*_xlfn.IFNA(INDEX(EA$10:EA$23,MATCH($DA529,$DX$10:$DX$23,0)),0))</f>
        <v>461.1445457142857</v>
      </c>
      <c r="DQ529" s="921">
        <f>IF(dd_PartSA_2_lines = "Yes",0,_xlfn.IFNA(INDEX('Resource use and costs'!$EA$12:$EA$25,MATCH(DB529,'Resource use and costs'!$DS$12:$DS$25,0)),0)*_xlfn.IFNA(INDEX(EC$10:EC$23,MATCH($DB529,$DX$10:$DX$23,0)),0))</f>
        <v>230.68099999999998</v>
      </c>
      <c r="DR529" s="921">
        <f t="shared" si="265"/>
        <v>10025.986050628573</v>
      </c>
      <c r="DS529" s="1004">
        <f ca="1">SUMIFS('Safety parameters'!$DM$6:$DM$18,'Safety parameters'!$DK$6:$DK$18,CZ529,'Safety parameters'!$DL$6:$DL$18,1)+IF(dd_PartSA_2_lines = "Yes",0,SUMIFS('Safety parameters'!$DM$6:$DM$18,'Safety parameters'!$DK$6:$DK$18,DA529,'Safety parameters'!$DL$6:$DL$18,2)+SUMIFS('Safety parameters'!$DM$6:$DM$18,'Safety parameters'!$DK$6:$DK$18,DB529,'Safety parameters'!$DL$6:$DL$18,2))</f>
        <v>2377.8779733688434</v>
      </c>
      <c r="DT529" s="910">
        <f ca="1">SUMIFS('Safety parameters'!$DO$6:$DO$18,'Safety parameters'!$DK$6:$DK$18,CZ529,'Safety parameters'!$DL$6:$DL$18,1)+IF(dd_PartSA_2_lines = "Yes",0,SUMIFS('Safety parameters'!$DO$6:$DO$18,'Safety parameters'!$DK$6:$DK$18,DA529,'Safety parameters'!$DL$6:$DL$18,2)+SUMIFS('Safety parameters'!$DO$6:$DO$18,'Safety parameters'!$DK$6:$DK$18,DB529,'Safety parameters'!$DL$6:$DL$18,2))</f>
        <v>-2.1764250363717368E-2</v>
      </c>
    </row>
    <row r="530" spans="89:124" ht="15" x14ac:dyDescent="0.2">
      <c r="CK530" s="61" t="s">
        <v>31</v>
      </c>
      <c r="CL530" s="61">
        <v>4</v>
      </c>
      <c r="CM530" s="61" t="str">
        <v>lenvatinib_plus_pembrolizumab</v>
      </c>
      <c r="CN530" s="17">
        <v>3</v>
      </c>
      <c r="CO530" s="61" t="str" cm="1">
        <f t="array" ref="CO530">INDEX(List_comparators,CP529+1)</f>
        <v>tivozanib</v>
      </c>
      <c r="CP530" s="17">
        <v>6</v>
      </c>
      <c r="CQ530" s="601">
        <f t="shared" ca="1" si="272"/>
        <v>0</v>
      </c>
      <c r="CR530" s="601">
        <f t="shared" ca="1" si="273"/>
        <v>0</v>
      </c>
      <c r="CS530" s="601">
        <f t="shared" ca="1" si="274"/>
        <v>21.714285714285712</v>
      </c>
      <c r="CT530" s="669">
        <f t="shared" ca="1" si="275"/>
        <v>5.5785714285714283</v>
      </c>
      <c r="CU530" s="1123">
        <f>MATCH(CZ537,'Resource use and costs'!$BA$11:$BA$53,0)</f>
        <v>40</v>
      </c>
      <c r="CV530" s="1223"/>
      <c r="CW530" s="1241">
        <f t="shared" si="278"/>
        <v>1</v>
      </c>
      <c r="CX530" s="899" t="s">
        <v>788</v>
      </c>
      <c r="CY530" s="899" t="s">
        <v>117</v>
      </c>
      <c r="CZ530" s="899" t="s">
        <v>579</v>
      </c>
      <c r="DA530" s="899" t="s">
        <v>118</v>
      </c>
      <c r="DB530" s="899" t="s">
        <v>765</v>
      </c>
      <c r="DC530" s="899" cm="1">
        <f t="array" aca="1" ref="DC530" ca="1">_xlfn.IFNA(OFFSET($I$49,MATCH(CY530,$I$50:$I$63,0),MATCH(CZ530,TRANSPOSE($J$49:$W$49),0)),0)</f>
        <v>0.38380000000000003</v>
      </c>
      <c r="DD530" s="899">
        <f ca="1">DD529</f>
        <v>0.54340000000000011</v>
      </c>
      <c r="DE530" s="899" cm="1">
        <f t="array" aca="1" ref="DE530" ca="1">_xlfn.IFNA(OFFSET($AO$49,MATCH($DA530,$AO$50:$AO$63,0),MATCH($DB530,TRANSPOSE($AP$49:$BC$49),0)),0)</f>
        <v>0.43140000000000001</v>
      </c>
      <c r="DF530" s="881">
        <f t="shared" ref="DF530:DF593" ca="1" si="279">IF(AND(ISBLANK(DA530),ISBLANK(DA530)),DC530,IF(ISBLANK(DB530),DC530*DD530,DC530*DD530*DE530))</f>
        <v>8.9971455288000032E-2</v>
      </c>
      <c r="DG530" s="910">
        <f t="shared" ca="1" si="277"/>
        <v>0.99547352429578406</v>
      </c>
      <c r="DH530" s="881">
        <f t="shared" ref="DH530:DH593" ca="1" si="280">IF(CZ530="BSC",IF(dd_reduceBSC="No",DF530,0),DF530*DG530)</f>
        <v>8.9564201681565953E-2</v>
      </c>
      <c r="DI530" s="1460">
        <f t="shared" ca="1" si="271"/>
        <v>29.1979297481905</v>
      </c>
      <c r="DJ530" s="909">
        <f>_xlfn.IFNA(INDEX('Resource use and costs'!$CQ$11:$CQ$53,MATCH($CZ530,'Resource use and costs'!$BA$11:$BA$53,0)),0)*_xlfn.IFNA(INDEX(DY$10:DY$23,MATCH($CZ530,$DX$10:$DX$23,0)),0)</f>
        <v>56693.786091428577</v>
      </c>
      <c r="DK530" s="909">
        <f>IF(dd_PartSA_2_lines = "Yes",0,_xlfn.IFNA(INDEX('Resource use and costs'!$CR$11:$CR$53,MATCH(DA530,'Resource use and costs'!$BA$11:$BA$53,0)),0)*_xlfn.IFNA(INDEX(EA$10:EA$23,MATCH($DA530,$DX$10:$DX$23,0)),0))</f>
        <v>50308.075122000002</v>
      </c>
      <c r="DL530" s="909">
        <f>IF(dd_PartSA_2_lines = "Yes",0,_xlfn.IFNA(INDEX('Resource use and costs'!$CS$11:$CS$53,MATCH(DB530,'Resource use and costs'!$BA$11:$BA$53,0)),0)*_xlfn.IFNA(INDEX(EC$10:EC$23,MATCH($DB530,$DX$10:$DX$23,0)),0))</f>
        <v>0</v>
      </c>
      <c r="DM530" s="909">
        <f t="shared" si="264"/>
        <v>107001.86121342858</v>
      </c>
      <c r="DN530" s="909">
        <f>SUM(_xlfn.IFNA(INDEX('Resource use and costs'!$DU$12:$DU$25,MATCH(CZ530,'Resource use and costs'!$DS$12:$DS$25,0)),0),_xlfn.IFNA(INDEX('Resource use and costs'!$DU$12:$DU$25,MATCH(DA530,'Resource use and costs'!$DS$12:$DS$25,0)),0),_xlfn.IFNA(INDEX('Resource use and costs'!$DU$12:$DU$25,MATCH(DB530,'Resource use and costs'!$DS$12:$DS$25,0)),0))</f>
        <v>197.25</v>
      </c>
      <c r="DO530" s="921">
        <f>_xlfn.IFNA(INDEX('Resource use and costs'!$DY$12:$DY$25,MATCH(CZ530,'Resource use and costs'!$DS$12:$DS$25,0)),0)*_xlfn.IFNA(INDEX(DY$10:DY$23,MATCH($CZ530,$DX$10:$DX$23,0)),0)</f>
        <v>8939.6605049142872</v>
      </c>
      <c r="DP530" s="921">
        <f>IF(dd_PartSA_2_lines = "Yes",0,_xlfn.IFNA(INDEX('Resource use and costs'!$DZ$12:$DZ$25,MATCH(DA530,'Resource use and costs'!$DS$12:$DS$25,0)),0)*_xlfn.IFNA(INDEX(EA$10:EA$23,MATCH($DA530,$DX$10:$DX$23,0)),0))</f>
        <v>461.1445457142857</v>
      </c>
      <c r="DQ530" s="921">
        <f>IF(dd_PartSA_2_lines = "Yes",0,_xlfn.IFNA(INDEX('Resource use and costs'!$EA$12:$EA$25,MATCH(DB530,'Resource use and costs'!$DS$12:$DS$25,0)),0)*_xlfn.IFNA(INDEX(EC$10:EC$23,MATCH($DB530,$DX$10:$DX$23,0)),0))</f>
        <v>0</v>
      </c>
      <c r="DR530" s="921">
        <f t="shared" si="265"/>
        <v>9598.0550506285726</v>
      </c>
      <c r="DS530" s="1004">
        <f ca="1">SUMIFS('Safety parameters'!$DM$6:$DM$18,'Safety parameters'!$DK$6:$DK$18,CZ530,'Safety parameters'!$DL$6:$DL$18,1)+IF(dd_PartSA_2_lines = "Yes",0,SUMIFS('Safety parameters'!$DM$6:$DM$18,'Safety parameters'!$DK$6:$DK$18,DA530,'Safety parameters'!$DL$6:$DL$18,2)+SUMIFS('Safety parameters'!$DM$6:$DM$18,'Safety parameters'!$DK$6:$DK$18,DB530,'Safety parameters'!$DL$6:$DL$18,2))</f>
        <v>743.64929980338343</v>
      </c>
      <c r="DT530" s="910">
        <f ca="1">SUMIFS('Safety parameters'!$DO$6:$DO$18,'Safety parameters'!$DK$6:$DK$18,CZ530,'Safety parameters'!$DL$6:$DL$18,1)+IF(dd_PartSA_2_lines = "Yes",0,SUMIFS('Safety parameters'!$DO$6:$DO$18,'Safety parameters'!$DK$6:$DK$18,DA530,'Safety parameters'!$DL$6:$DL$18,2)+SUMIFS('Safety parameters'!$DO$6:$DO$18,'Safety parameters'!$DK$6:$DK$18,DB530,'Safety parameters'!$DL$6:$DL$18,2))</f>
        <v>-7.0223263562359372E-3</v>
      </c>
    </row>
    <row r="531" spans="89:124" ht="15" x14ac:dyDescent="0.2">
      <c r="CK531" s="61" t="s">
        <v>31</v>
      </c>
      <c r="CL531" s="61">
        <v>4</v>
      </c>
      <c r="CM531" s="61" t="str">
        <v>avelumab_plus_axitinib</v>
      </c>
      <c r="CN531" s="17">
        <v>4</v>
      </c>
      <c r="CO531" s="61" t="str" cm="1">
        <f t="array" ref="CO531">INDEX(List_comparators,CP530+1)</f>
        <v>tivozanib</v>
      </c>
      <c r="CP531" s="17">
        <v>6</v>
      </c>
      <c r="CQ531" s="601">
        <f t="shared" ca="1" si="272"/>
        <v>0</v>
      </c>
      <c r="CR531" s="601">
        <f t="shared" ca="1" si="273"/>
        <v>0</v>
      </c>
      <c r="CS531" s="601">
        <f t="shared" ca="1" si="274"/>
        <v>21.714285714285712</v>
      </c>
      <c r="CT531" s="669">
        <f t="shared" ca="1" si="275"/>
        <v>5.5785714285714283</v>
      </c>
      <c r="CU531" s="1123">
        <f>MATCH(CZ538,'Resource use and costs'!$BA$11:$BA$53,0)</f>
        <v>40</v>
      </c>
      <c r="CV531" s="1223"/>
      <c r="CW531" s="1241">
        <f t="shared" si="278"/>
        <v>1</v>
      </c>
      <c r="CX531" s="899" t="s">
        <v>788</v>
      </c>
      <c r="CY531" s="899" t="s">
        <v>117</v>
      </c>
      <c r="CZ531" s="899" t="s">
        <v>579</v>
      </c>
      <c r="DA531" s="899" t="s">
        <v>118</v>
      </c>
      <c r="DB531" s="899" t="s">
        <v>119</v>
      </c>
      <c r="DC531" s="899" cm="1">
        <f t="array" aca="1" ref="DC531" ca="1">_xlfn.IFNA(OFFSET($I$49,MATCH(CY531,$I$50:$I$63,0),MATCH(CZ531,TRANSPOSE($J$49:$W$49),0)),0)</f>
        <v>0.38380000000000003</v>
      </c>
      <c r="DD531" s="899">
        <f ca="1">DD530</f>
        <v>0.54340000000000011</v>
      </c>
      <c r="DE531" s="899" cm="1">
        <f t="array" aca="1" ref="DE531" ca="1">_xlfn.IFNA(OFFSET($AO$49,MATCH($DA531,$AO$50:$AO$63,0),MATCH($DB531,TRANSPOSE($AP$49:$BC$49),0)),0)</f>
        <v>0.18090000000000001</v>
      </c>
      <c r="DF531" s="881">
        <f t="shared" ca="1" si="279"/>
        <v>3.7727946828000014E-2</v>
      </c>
      <c r="DG531" s="910">
        <f t="shared" ca="1" si="277"/>
        <v>0.99547352429578406</v>
      </c>
      <c r="DH531" s="881">
        <f t="shared" ca="1" si="280"/>
        <v>3.7557172193313122E-2</v>
      </c>
      <c r="DI531" s="1460">
        <f t="shared" ca="1" si="271"/>
        <v>12.243638135020078</v>
      </c>
      <c r="DJ531" s="909">
        <f>_xlfn.IFNA(INDEX('Resource use and costs'!$CQ$11:$CQ$53,MATCH($CZ531,'Resource use and costs'!$BA$11:$BA$53,0)),0)*_xlfn.IFNA(INDEX(DY$10:DY$23,MATCH($CZ531,$DX$10:$DX$23,0)),0)</f>
        <v>56693.786091428577</v>
      </c>
      <c r="DK531" s="909">
        <f>IF(dd_PartSA_2_lines = "Yes",0,_xlfn.IFNA(INDEX('Resource use and costs'!$CR$11:$CR$53,MATCH(DA531,'Resource use and costs'!$BA$11:$BA$53,0)),0)*_xlfn.IFNA(INDEX(EA$10:EA$23,MATCH($DA531,$DX$10:$DX$23,0)),0))</f>
        <v>50308.075122000002</v>
      </c>
      <c r="DL531" s="909">
        <f>IF(dd_PartSA_2_lines = "Yes",0,_xlfn.IFNA(INDEX('Resource use and costs'!$CS$11:$CS$53,MATCH(DB531,'Resource use and costs'!$BA$11:$BA$53,0)),0)*_xlfn.IFNA(INDEX(EC$10:EC$23,MATCH($DB531,$DX$10:$DX$23,0)),0))</f>
        <v>2915.4763433333328</v>
      </c>
      <c r="DM531" s="909">
        <f t="shared" ref="DM531:DM594" si="281">SUM(DJ531:DL531)</f>
        <v>109917.33755676191</v>
      </c>
      <c r="DN531" s="909">
        <f>SUM(_xlfn.IFNA(INDEX('Resource use and costs'!$DU$12:$DU$25,MATCH(CZ531,'Resource use and costs'!$DS$12:$DS$25,0)),0),_xlfn.IFNA(INDEX('Resource use and costs'!$DU$12:$DU$25,MATCH(DA531,'Resource use and costs'!$DS$12:$DS$25,0)),0),_xlfn.IFNA(INDEX('Resource use and costs'!$DU$12:$DU$25,MATCH(DB531,'Resource use and costs'!$DS$12:$DS$25,0)),0))</f>
        <v>394.5</v>
      </c>
      <c r="DO531" s="921">
        <f>_xlfn.IFNA(INDEX('Resource use and costs'!$DY$12:$DY$25,MATCH(CZ531,'Resource use and costs'!$DS$12:$DS$25,0)),0)*_xlfn.IFNA(INDEX(DY$10:DY$23,MATCH($CZ531,$DX$10:$DX$23,0)),0)</f>
        <v>8939.6605049142872</v>
      </c>
      <c r="DP531" s="921">
        <f>IF(dd_PartSA_2_lines = "Yes",0,_xlfn.IFNA(INDEX('Resource use and costs'!$DZ$12:$DZ$25,MATCH(DA531,'Resource use and costs'!$DS$12:$DS$25,0)),0)*_xlfn.IFNA(INDEX(EA$10:EA$23,MATCH($DA531,$DX$10:$DX$23,0)),0))</f>
        <v>461.1445457142857</v>
      </c>
      <c r="DQ531" s="921">
        <f>IF(dd_PartSA_2_lines = "Yes",0,_xlfn.IFNA(INDEX('Resource use and costs'!$EA$12:$EA$25,MATCH(DB531,'Resource use and costs'!$DS$12:$DS$25,0)),0)*_xlfn.IFNA(INDEX(EC$10:EC$23,MATCH($DB531,$DX$10:$DX$23,0)),0))</f>
        <v>256.11457142857142</v>
      </c>
      <c r="DR531" s="921">
        <f t="shared" ref="DR531:DR594" si="282">SUM(DN531:DQ531)</f>
        <v>10051.419622057145</v>
      </c>
      <c r="DS531" s="1004">
        <f ca="1">SUMIFS('Safety parameters'!$DM$6:$DM$18,'Safety parameters'!$DK$6:$DK$18,CZ531,'Safety parameters'!$DL$6:$DL$18,1)+IF(dd_PartSA_2_lines = "Yes",0,SUMIFS('Safety parameters'!$DM$6:$DM$18,'Safety parameters'!$DK$6:$DK$18,DA531,'Safety parameters'!$DL$6:$DL$18,2)+SUMIFS('Safety parameters'!$DM$6:$DM$18,'Safety parameters'!$DK$6:$DK$18,DB531,'Safety parameters'!$DL$6:$DL$18,2))</f>
        <v>1076.5246831786983</v>
      </c>
      <c r="DT531" s="910">
        <f ca="1">SUMIFS('Safety parameters'!$DO$6:$DO$18,'Safety parameters'!$DK$6:$DK$18,CZ531,'Safety parameters'!$DL$6:$DL$18,1)+IF(dd_PartSA_2_lines = "Yes",0,SUMIFS('Safety parameters'!$DO$6:$DO$18,'Safety parameters'!$DK$6:$DK$18,DA531,'Safety parameters'!$DL$6:$DL$18,2)+SUMIFS('Safety parameters'!$DO$6:$DO$18,'Safety parameters'!$DK$6:$DK$18,DB531,'Safety parameters'!$DL$6:$DL$18,2))</f>
        <v>-9.689899892873657E-3</v>
      </c>
    </row>
    <row r="532" spans="89:124" ht="15" x14ac:dyDescent="0.2">
      <c r="CK532" s="61" t="s">
        <v>31</v>
      </c>
      <c r="CL532" s="61">
        <v>4</v>
      </c>
      <c r="CM532" s="61" t="str">
        <v>pazopanib</v>
      </c>
      <c r="CN532" s="17">
        <v>5</v>
      </c>
      <c r="CO532" s="61" t="str" cm="1">
        <f t="array" ref="CO532">INDEX(List_comparators,CP531+1)</f>
        <v>tivozanib</v>
      </c>
      <c r="CP532" s="17">
        <v>6</v>
      </c>
      <c r="CQ532" s="601">
        <f t="shared" ca="1" si="272"/>
        <v>0</v>
      </c>
      <c r="CR532" s="601">
        <f t="shared" ca="1" si="273"/>
        <v>0</v>
      </c>
      <c r="CS532" s="601">
        <f t="shared" ca="1" si="274"/>
        <v>21.714285714285712</v>
      </c>
      <c r="CT532" s="669">
        <f t="shared" ca="1" si="275"/>
        <v>5.5785714285714283</v>
      </c>
      <c r="CU532" s="1123">
        <f>MATCH(CZ539,'Resource use and costs'!$BA$11:$BA$53,0)</f>
        <v>40</v>
      </c>
      <c r="CV532" s="1223"/>
      <c r="CW532" s="1241">
        <f t="shared" si="278"/>
        <v>1</v>
      </c>
      <c r="CX532" s="899" t="s">
        <v>788</v>
      </c>
      <c r="CY532" s="899" t="s">
        <v>117</v>
      </c>
      <c r="CZ532" s="899" t="s">
        <v>579</v>
      </c>
      <c r="DA532" s="899" t="s">
        <v>119</v>
      </c>
      <c r="DB532" s="899" t="s">
        <v>327</v>
      </c>
      <c r="DC532" s="899" cm="1">
        <f t="array" aca="1" ref="DC532" ca="1">_xlfn.IFNA(OFFSET($I$49,MATCH(CY532,$I$50:$I$63,0),MATCH(CZ532,TRANSPOSE($J$49:$W$49),0)),0)</f>
        <v>0.38380000000000003</v>
      </c>
      <c r="DD532" s="899" cm="1">
        <f t="array" aca="1" ref="DD532" ca="1">_xlfn.IFNA(OFFSET($Y$49,MATCH($CZ532,$Y$50:$Y$63,0),MATCH($DA532,TRANSPOSE($Z$49:$AM$49),0)),0)</f>
        <v>6.4999999999999997E-3</v>
      </c>
      <c r="DE532" s="899" cm="1">
        <f t="array" aca="1" ref="DE532" ca="1">_xlfn.IFNA(OFFSET($AO$49,MATCH($DA532,$AO$50:$AO$63,0),MATCH($DB532,TRANSPOSE($AP$49:$BC$49),0)),0)</f>
        <v>0</v>
      </c>
      <c r="DF532" s="881">
        <f t="shared" ca="1" si="279"/>
        <v>0</v>
      </c>
      <c r="DG532" s="910">
        <f t="shared" ca="1" si="277"/>
        <v>0.99547352429578406</v>
      </c>
      <c r="DH532" s="881">
        <f t="shared" ca="1" si="280"/>
        <v>0</v>
      </c>
      <c r="DI532" s="1460">
        <f t="shared" ca="1" si="271"/>
        <v>0</v>
      </c>
      <c r="DJ532" s="909">
        <f>_xlfn.IFNA(INDEX('Resource use and costs'!$CQ$11:$CQ$53,MATCH($CZ532,'Resource use and costs'!$BA$11:$BA$53,0)),0)*_xlfn.IFNA(INDEX(DY$10:DY$23,MATCH($CZ532,$DX$10:$DX$23,0)),0)</f>
        <v>56693.786091428577</v>
      </c>
      <c r="DK532" s="909">
        <f>IF(dd_PartSA_2_lines = "Yes",0,_xlfn.IFNA(INDEX('Resource use and costs'!$CR$11:$CR$53,MATCH(DA532,'Resource use and costs'!$BA$11:$BA$53,0)),0)*_xlfn.IFNA(INDEX(EA$10:EA$23,MATCH($DA532,$DX$10:$DX$23,0)),0))</f>
        <v>848.17532499999982</v>
      </c>
      <c r="DL532" s="909">
        <f>IF(dd_PartSA_2_lines = "Yes",0,_xlfn.IFNA(INDEX('Resource use and costs'!$CS$11:$CS$53,MATCH(DB532,'Resource use and costs'!$BA$11:$BA$53,0)),0)*_xlfn.IFNA(INDEX(EC$10:EC$23,MATCH($DB532,$DX$10:$DX$23,0)),0))</f>
        <v>18438.751749999999</v>
      </c>
      <c r="DM532" s="909">
        <f t="shared" si="281"/>
        <v>75980.71316642857</v>
      </c>
      <c r="DN532" s="909">
        <f>SUM(_xlfn.IFNA(INDEX('Resource use and costs'!$DU$12:$DU$25,MATCH(CZ532,'Resource use and costs'!$DS$12:$DS$25,0)),0),_xlfn.IFNA(INDEX('Resource use and costs'!$DU$12:$DU$25,MATCH(DA532,'Resource use and costs'!$DS$12:$DS$25,0)),0),_xlfn.IFNA(INDEX('Resource use and costs'!$DU$12:$DU$25,MATCH(DB532,'Resource use and costs'!$DS$12:$DS$25,0)),0))</f>
        <v>394.5</v>
      </c>
      <c r="DO532" s="921">
        <f>_xlfn.IFNA(INDEX('Resource use and costs'!$DY$12:$DY$25,MATCH(CZ532,'Resource use and costs'!$DS$12:$DS$25,0)),0)*_xlfn.IFNA(INDEX(DY$10:DY$23,MATCH($CZ532,$DX$10:$DX$23,0)),0)</f>
        <v>8939.6605049142872</v>
      </c>
      <c r="DP532" s="921">
        <f>IF(dd_PartSA_2_lines = "Yes",0,_xlfn.IFNA(INDEX('Resource use and costs'!$DZ$12:$DZ$25,MATCH(DA532,'Resource use and costs'!$DS$12:$DS$25,0)),0)*_xlfn.IFNA(INDEX(EA$10:EA$23,MATCH($DA532,$DX$10:$DX$23,0)),0))</f>
        <v>74.50928571428571</v>
      </c>
      <c r="DQ532" s="921">
        <f>IF(dd_PartSA_2_lines = "Yes",0,_xlfn.IFNA(INDEX('Resource use and costs'!$EA$12:$EA$25,MATCH(DB532,'Resource use and costs'!$DS$12:$DS$25,0)),0)*_xlfn.IFNA(INDEX(EC$10:EC$23,MATCH($DB532,$DX$10:$DX$23,0)),0))</f>
        <v>230.68099999999998</v>
      </c>
      <c r="DR532" s="921">
        <f t="shared" si="282"/>
        <v>9639.350790628574</v>
      </c>
      <c r="DS532" s="1004">
        <f ca="1">SUMIFS('Safety parameters'!$DM$6:$DM$18,'Safety parameters'!$DK$6:$DK$18,CZ532,'Safety parameters'!$DL$6:$DL$18,1)+IF(dd_PartSA_2_lines = "Yes",0,SUMIFS('Safety parameters'!$DM$6:$DM$18,'Safety parameters'!$DK$6:$DK$18,DA532,'Safety parameters'!$DL$6:$DL$18,2)+SUMIFS('Safety parameters'!$DM$6:$DM$18,'Safety parameters'!$DK$6:$DK$18,DB532,'Safety parameters'!$DL$6:$DL$18,2))</f>
        <v>1967.1040569407746</v>
      </c>
      <c r="DT532" s="910">
        <f ca="1">SUMIFS('Safety parameters'!$DO$6:$DO$18,'Safety parameters'!$DK$6:$DK$18,CZ532,'Safety parameters'!$DL$6:$DL$18,1)+IF(dd_PartSA_2_lines = "Yes",0,SUMIFS('Safety parameters'!$DO$6:$DO$18,'Safety parameters'!$DK$6:$DK$18,DA532,'Safety parameters'!$DL$6:$DL$18,2)+SUMIFS('Safety parameters'!$DO$6:$DO$18,'Safety parameters'!$DK$6:$DK$18,DB532,'Safety parameters'!$DL$6:$DL$18,2))</f>
        <v>-1.7409497544119149E-2</v>
      </c>
    </row>
    <row r="533" spans="89:124" ht="15" x14ac:dyDescent="0.2">
      <c r="CK533" s="61" t="s">
        <v>31</v>
      </c>
      <c r="CL533" s="61">
        <v>4</v>
      </c>
      <c r="CM533" s="61" t="str">
        <v>tivozanib</v>
      </c>
      <c r="CN533" s="17">
        <v>6</v>
      </c>
      <c r="CO533" s="61" t="str" cm="1">
        <f t="array" ref="CO533">INDEX(List_comparators,CP532+1)</f>
        <v>tivozanib</v>
      </c>
      <c r="CP533" s="17">
        <v>6</v>
      </c>
      <c r="CQ533" s="601">
        <f t="shared" ca="1" si="272"/>
        <v>0</v>
      </c>
      <c r="CR533" s="601">
        <f t="shared" ca="1" si="273"/>
        <v>0</v>
      </c>
      <c r="CS533" s="601">
        <f t="shared" ca="1" si="274"/>
        <v>21.714285714285712</v>
      </c>
      <c r="CT533" s="669">
        <f t="shared" ca="1" si="275"/>
        <v>5.5785714285714283</v>
      </c>
      <c r="CU533" s="1123">
        <f>MATCH(CZ540,'Resource use and costs'!$BA$11:$BA$53,0)</f>
        <v>40</v>
      </c>
      <c r="CV533" s="1223"/>
      <c r="CW533" s="1241">
        <f t="shared" si="278"/>
        <v>1</v>
      </c>
      <c r="CX533" s="899" t="s">
        <v>788</v>
      </c>
      <c r="CY533" s="899" t="s">
        <v>117</v>
      </c>
      <c r="CZ533" s="899" t="s">
        <v>579</v>
      </c>
      <c r="DA533" s="899" t="s">
        <v>119</v>
      </c>
      <c r="DB533" s="899" t="s">
        <v>765</v>
      </c>
      <c r="DC533" s="899" cm="1">
        <f t="array" aca="1" ref="DC533" ca="1">_xlfn.IFNA(OFFSET($I$49,MATCH(CY533,$I$50:$I$63,0),MATCH(CZ533,TRANSPOSE($J$49:$W$49),0)),0)</f>
        <v>0.38380000000000003</v>
      </c>
      <c r="DD533" s="899" cm="1">
        <f t="array" aca="1" ref="DD533" ca="1">_xlfn.IFNA(OFFSET($Y$49,MATCH($CZ533,$Y$50:$Y$63,0),MATCH($DA533,TRANSPOSE($Z$49:$AM$49),0)),0)</f>
        <v>6.4999999999999997E-3</v>
      </c>
      <c r="DE533" s="899" cm="1">
        <f t="array" aca="1" ref="DE533" ca="1">_xlfn.IFNA(OFFSET($AO$49,MATCH($DA533,$AO$50:$AO$63,0),MATCH($DB533,TRANSPOSE($AP$49:$BC$49),0)),0)</f>
        <v>1</v>
      </c>
      <c r="DF533" s="881">
        <f t="shared" ca="1" si="279"/>
        <v>2.4946999999999999E-3</v>
      </c>
      <c r="DG533" s="910">
        <f t="shared" ca="1" si="277"/>
        <v>0.99547352429578406</v>
      </c>
      <c r="DH533" s="881">
        <f t="shared" ca="1" si="280"/>
        <v>2.4834078010606926E-3</v>
      </c>
      <c r="DI533" s="1460">
        <f t="shared" ca="1" si="271"/>
        <v>0.80959094314578584</v>
      </c>
      <c r="DJ533" s="909">
        <f>_xlfn.IFNA(INDEX('Resource use and costs'!$CQ$11:$CQ$53,MATCH($CZ533,'Resource use and costs'!$BA$11:$BA$53,0)),0)*_xlfn.IFNA(INDEX(DY$10:DY$23,MATCH($CZ533,$DX$10:$DX$23,0)),0)</f>
        <v>56693.786091428577</v>
      </c>
      <c r="DK533" s="909">
        <f>IF(dd_PartSA_2_lines = "Yes",0,_xlfn.IFNA(INDEX('Resource use and costs'!$CR$11:$CR$53,MATCH(DA533,'Resource use and costs'!$BA$11:$BA$53,0)),0)*_xlfn.IFNA(INDEX(EA$10:EA$23,MATCH($DA533,$DX$10:$DX$23,0)),0))</f>
        <v>848.17532499999982</v>
      </c>
      <c r="DL533" s="909">
        <f>IF(dd_PartSA_2_lines = "Yes",0,_xlfn.IFNA(INDEX('Resource use and costs'!$CS$11:$CS$53,MATCH(DB533,'Resource use and costs'!$BA$11:$BA$53,0)),0)*_xlfn.IFNA(INDEX(EC$10:EC$23,MATCH($DB533,$DX$10:$DX$23,0)),0))</f>
        <v>0</v>
      </c>
      <c r="DM533" s="909">
        <f t="shared" si="281"/>
        <v>57541.961416428574</v>
      </c>
      <c r="DN533" s="909">
        <f>SUM(_xlfn.IFNA(INDEX('Resource use and costs'!$DU$12:$DU$25,MATCH(CZ533,'Resource use and costs'!$DS$12:$DS$25,0)),0),_xlfn.IFNA(INDEX('Resource use and costs'!$DU$12:$DU$25,MATCH(DA533,'Resource use and costs'!$DS$12:$DS$25,0)),0),_xlfn.IFNA(INDEX('Resource use and costs'!$DU$12:$DU$25,MATCH(DB533,'Resource use and costs'!$DS$12:$DS$25,0)),0))</f>
        <v>197.25</v>
      </c>
      <c r="DO533" s="921">
        <f>_xlfn.IFNA(INDEX('Resource use and costs'!$DY$12:$DY$25,MATCH(CZ533,'Resource use and costs'!$DS$12:$DS$25,0)),0)*_xlfn.IFNA(INDEX(DY$10:DY$23,MATCH($CZ533,$DX$10:$DX$23,0)),0)</f>
        <v>8939.6605049142872</v>
      </c>
      <c r="DP533" s="921">
        <f>IF(dd_PartSA_2_lines = "Yes",0,_xlfn.IFNA(INDEX('Resource use and costs'!$DZ$12:$DZ$25,MATCH(DA533,'Resource use and costs'!$DS$12:$DS$25,0)),0)*_xlfn.IFNA(INDEX(EA$10:EA$23,MATCH($DA533,$DX$10:$DX$23,0)),0))</f>
        <v>74.50928571428571</v>
      </c>
      <c r="DQ533" s="921">
        <f>IF(dd_PartSA_2_lines = "Yes",0,_xlfn.IFNA(INDEX('Resource use and costs'!$EA$12:$EA$25,MATCH(DB533,'Resource use and costs'!$DS$12:$DS$25,0)),0)*_xlfn.IFNA(INDEX(EC$10:EC$23,MATCH($DB533,$DX$10:$DX$23,0)),0))</f>
        <v>0</v>
      </c>
      <c r="DR533" s="921">
        <f t="shared" si="282"/>
        <v>9211.4197906285735</v>
      </c>
      <c r="DS533" s="1004">
        <f ca="1">SUMIFS('Safety parameters'!$DM$6:$DM$18,'Safety parameters'!$DK$6:$DK$18,CZ533,'Safety parameters'!$DL$6:$DL$18,1)+IF(dd_PartSA_2_lines = "Yes",0,SUMIFS('Safety parameters'!$DM$6:$DM$18,'Safety parameters'!$DK$6:$DK$18,DA533,'Safety parameters'!$DL$6:$DL$18,2)+SUMIFS('Safety parameters'!$DM$6:$DM$18,'Safety parameters'!$DK$6:$DK$18,DB533,'Safety parameters'!$DL$6:$DL$18,2))</f>
        <v>332.87538337531487</v>
      </c>
      <c r="DT533" s="910">
        <f ca="1">SUMIFS('Safety parameters'!$DO$6:$DO$18,'Safety parameters'!$DK$6:$DK$18,CZ533,'Safety parameters'!$DL$6:$DL$18,1)+IF(dd_PartSA_2_lines = "Yes",0,SUMIFS('Safety parameters'!$DO$6:$DO$18,'Safety parameters'!$DK$6:$DK$18,DA533,'Safety parameters'!$DL$6:$DL$18,2)+SUMIFS('Safety parameters'!$DO$6:$DO$18,'Safety parameters'!$DK$6:$DK$18,DB533,'Safety parameters'!$DL$6:$DL$18,2))</f>
        <v>-2.6675735366377194E-3</v>
      </c>
    </row>
    <row r="534" spans="89:124" ht="15" x14ac:dyDescent="0.2">
      <c r="CK534" s="61" t="s">
        <v>31</v>
      </c>
      <c r="CL534" s="61">
        <v>4</v>
      </c>
      <c r="CM534" s="61" t="str">
        <v>sunitinib</v>
      </c>
      <c r="CN534" s="17">
        <v>7</v>
      </c>
      <c r="CO534" s="61" t="str" cm="1">
        <f t="array" ref="CO534">INDEX(List_comparators,CP533+1)</f>
        <v>tivozanib</v>
      </c>
      <c r="CP534" s="17">
        <v>6</v>
      </c>
      <c r="CQ534" s="601">
        <f t="shared" ca="1" si="272"/>
        <v>0</v>
      </c>
      <c r="CR534" s="601">
        <f t="shared" ca="1" si="273"/>
        <v>0</v>
      </c>
      <c r="CS534" s="601">
        <f t="shared" ca="1" si="274"/>
        <v>21.714285714285712</v>
      </c>
      <c r="CT534" s="669">
        <f t="shared" ca="1" si="275"/>
        <v>5.5785714285714283</v>
      </c>
      <c r="CU534" s="1123">
        <f>MATCH(CZ541,'Resource use and costs'!$BA$11:$BA$53,0)</f>
        <v>40</v>
      </c>
      <c r="CV534" s="1223"/>
      <c r="CW534" s="1241">
        <f t="shared" si="278"/>
        <v>1</v>
      </c>
      <c r="CX534" s="899" t="s">
        <v>788</v>
      </c>
      <c r="CY534" s="899" t="s">
        <v>117</v>
      </c>
      <c r="CZ534" s="899" t="s">
        <v>579</v>
      </c>
      <c r="DA534" s="899" t="s">
        <v>333</v>
      </c>
      <c r="DB534" s="899" t="s">
        <v>327</v>
      </c>
      <c r="DC534" s="899" cm="1">
        <f t="array" aca="1" ref="DC534" ca="1">_xlfn.IFNA(OFFSET($I$49,MATCH(CY534,$I$50:$I$63,0),MATCH(CZ534,TRANSPOSE($J$49:$W$49),0)),0)</f>
        <v>0.38380000000000003</v>
      </c>
      <c r="DD534" s="899" cm="1">
        <f t="array" aca="1" ref="DD534" ca="1">_xlfn.IFNA(OFFSET($Y$49,MATCH($CZ534,$Y$50:$Y$63,0),MATCH($DA534,TRANSPOSE($Z$49:$AM$49),0)),0)</f>
        <v>5.2400000000000002E-2</v>
      </c>
      <c r="DE534" s="899" cm="1">
        <f t="array" aca="1" ref="DE534" ca="1">_xlfn.IFNA(OFFSET($AO$49,MATCH($DA534,$AO$50:$AO$63,0),MATCH($DB534,TRANSPOSE($AP$49:$BC$49),0)),0)</f>
        <v>0.56859999999999999</v>
      </c>
      <c r="DF534" s="881">
        <f t="shared" ca="1" si="279"/>
        <v>1.1435182832000002E-2</v>
      </c>
      <c r="DG534" s="910">
        <f t="shared" ca="1" si="277"/>
        <v>0.99547352429578406</v>
      </c>
      <c r="DH534" s="881">
        <f t="shared" ca="1" si="280"/>
        <v>1.1383421754737687E-2</v>
      </c>
      <c r="DI534" s="1460">
        <f t="shared" ca="1" si="271"/>
        <v>3.7109954920444861</v>
      </c>
      <c r="DJ534" s="909">
        <f>_xlfn.IFNA(INDEX('Resource use and costs'!$CQ$11:$CQ$53,MATCH($CZ534,'Resource use and costs'!$BA$11:$BA$53,0)),0)*_xlfn.IFNA(INDEX(DY$10:DY$23,MATCH($CZ534,$DX$10:$DX$23,0)),0)</f>
        <v>56693.786091428577</v>
      </c>
      <c r="DK534" s="909">
        <f>IF(dd_PartSA_2_lines = "Yes",0,_xlfn.IFNA(INDEX('Resource use and costs'!$CR$11:$CR$53,MATCH(DA534,'Resource use and costs'!$BA$11:$BA$53,0)),0)*_xlfn.IFNA(INDEX(EA$10:EA$23,MATCH($DA534,$DX$10:$DX$23,0)),0))</f>
        <v>24337.716731999997</v>
      </c>
      <c r="DL534" s="909">
        <f>IF(dd_PartSA_2_lines = "Yes",0,_xlfn.IFNA(INDEX('Resource use and costs'!$CS$11:$CS$53,MATCH(DB534,'Resource use and costs'!$BA$11:$BA$53,0)),0)*_xlfn.IFNA(INDEX(EC$10:EC$23,MATCH($DB534,$DX$10:$DX$23,0)),0))</f>
        <v>18438.751749999999</v>
      </c>
      <c r="DM534" s="909">
        <f t="shared" si="281"/>
        <v>99470.254573428567</v>
      </c>
      <c r="DN534" s="909">
        <f>SUM(_xlfn.IFNA(INDEX('Resource use and costs'!$DU$12:$DU$25,MATCH(CZ534,'Resource use and costs'!$DS$12:$DS$25,0)),0),_xlfn.IFNA(INDEX('Resource use and costs'!$DU$12:$DU$25,MATCH(DA534,'Resource use and costs'!$DS$12:$DS$25,0)),0),_xlfn.IFNA(INDEX('Resource use and costs'!$DU$12:$DU$25,MATCH(DB534,'Resource use and costs'!$DS$12:$DS$25,0)),0))</f>
        <v>394.5</v>
      </c>
      <c r="DO534" s="921">
        <f>_xlfn.IFNA(INDEX('Resource use and costs'!$DY$12:$DY$25,MATCH(CZ534,'Resource use and costs'!$DS$12:$DS$25,0)),0)*_xlfn.IFNA(INDEX(DY$10:DY$23,MATCH($CZ534,$DX$10:$DX$23,0)),0)</f>
        <v>8939.6605049142872</v>
      </c>
      <c r="DP534" s="921">
        <f>IF(dd_PartSA_2_lines = "Yes",0,_xlfn.IFNA(INDEX('Resource use and costs'!$DZ$12:$DZ$25,MATCH(DA534,'Resource use and costs'!$DS$12:$DS$25,0)),0)*_xlfn.IFNA(INDEX(EA$10:EA$23,MATCH($DA534,$DX$10:$DX$23,0)),0))</f>
        <v>363.04714285714283</v>
      </c>
      <c r="DQ534" s="921">
        <f>IF(dd_PartSA_2_lines = "Yes",0,_xlfn.IFNA(INDEX('Resource use and costs'!$EA$12:$EA$25,MATCH(DB534,'Resource use and costs'!$DS$12:$DS$25,0)),0)*_xlfn.IFNA(INDEX(EC$10:EC$23,MATCH($DB534,$DX$10:$DX$23,0)),0))</f>
        <v>230.68099999999998</v>
      </c>
      <c r="DR534" s="921">
        <f t="shared" si="282"/>
        <v>9927.8886477714314</v>
      </c>
      <c r="DS534" s="1004">
        <f ca="1">SUMIFS('Safety parameters'!$DM$6:$DM$18,'Safety parameters'!$DK$6:$DK$18,CZ534,'Safety parameters'!$DL$6:$DL$18,1)+IF(dd_PartSA_2_lines = "Yes",0,SUMIFS('Safety parameters'!$DM$6:$DM$18,'Safety parameters'!$DK$6:$DK$18,DA534,'Safety parameters'!$DL$6:$DL$18,2)+SUMIFS('Safety parameters'!$DM$6:$DM$18,'Safety parameters'!$DK$6:$DK$18,DB534,'Safety parameters'!$DL$6:$DL$18,2))</f>
        <v>2577.0992943484653</v>
      </c>
      <c r="DT534" s="910">
        <f ca="1">SUMIFS('Safety parameters'!$DO$6:$DO$18,'Safety parameters'!$DK$6:$DK$18,CZ534,'Safety parameters'!$DL$6:$DL$18,1)+IF(dd_PartSA_2_lines = "Yes",0,SUMIFS('Safety parameters'!$DO$6:$DO$18,'Safety parameters'!$DK$6:$DK$18,DA534,'Safety parameters'!$DL$6:$DL$18,2)+SUMIFS('Safety parameters'!$DO$6:$DO$18,'Safety parameters'!$DK$6:$DK$18,DB534,'Safety parameters'!$DL$6:$DL$18,2))</f>
        <v>-2.4384674689096917E-2</v>
      </c>
    </row>
    <row r="535" spans="89:124" ht="15" x14ac:dyDescent="0.2">
      <c r="CK535" s="61" t="s">
        <v>31</v>
      </c>
      <c r="CL535" s="61">
        <v>4</v>
      </c>
      <c r="CM535" s="61" t="str">
        <v>cabozantinib</v>
      </c>
      <c r="CN535" s="17">
        <v>8</v>
      </c>
      <c r="CO535" s="61" t="str" cm="1">
        <f t="array" ref="CO535">INDEX(List_comparators,CP534+1)</f>
        <v>tivozanib</v>
      </c>
      <c r="CP535" s="17">
        <v>6</v>
      </c>
      <c r="CQ535" s="601">
        <f t="shared" ca="1" si="272"/>
        <v>0</v>
      </c>
      <c r="CR535" s="601">
        <f t="shared" ca="1" si="273"/>
        <v>0</v>
      </c>
      <c r="CS535" s="601">
        <f t="shared" ca="1" si="274"/>
        <v>21.714285714285712</v>
      </c>
      <c r="CT535" s="669">
        <f t="shared" ca="1" si="275"/>
        <v>5.5785714285714283</v>
      </c>
      <c r="CU535" s="1123" t="e">
        <f>MATCH(CZ542,'Resource use and costs'!$BA$11:$BA$53,0)</f>
        <v>#N/A</v>
      </c>
      <c r="CV535" s="1223"/>
      <c r="CW535" s="1241">
        <f t="shared" si="278"/>
        <v>1</v>
      </c>
      <c r="CX535" s="899" t="s">
        <v>788</v>
      </c>
      <c r="CY535" s="899" t="s">
        <v>117</v>
      </c>
      <c r="CZ535" s="899" t="s">
        <v>579</v>
      </c>
      <c r="DA535" s="899" t="s">
        <v>333</v>
      </c>
      <c r="DB535" s="899" t="s">
        <v>765</v>
      </c>
      <c r="DC535" s="899" cm="1">
        <f t="array" aca="1" ref="DC535" ca="1">_xlfn.IFNA(OFFSET($I$49,MATCH(CY535,$I$50:$I$63,0),MATCH(CZ535,TRANSPOSE($J$49:$W$49),0)),0)</f>
        <v>0.38380000000000003</v>
      </c>
      <c r="DD535" s="899" cm="1">
        <f t="array" aca="1" ref="DD535" ca="1">_xlfn.IFNA(OFFSET($Y$49,MATCH($CZ535,$Y$50:$Y$63,0),MATCH($DA535,TRANSPOSE($Z$49:$AM$49),0)),0)</f>
        <v>5.2400000000000002E-2</v>
      </c>
      <c r="DE535" s="899" cm="1">
        <f t="array" aca="1" ref="DE535" ca="1">_xlfn.IFNA(OFFSET($AO$49,MATCH($DA535,$AO$50:$AO$63,0),MATCH($DB535,TRANSPOSE($AP$49:$BC$49),0)),0)</f>
        <v>0.43140000000000001</v>
      </c>
      <c r="DF535" s="881">
        <f t="shared" ca="1" si="279"/>
        <v>8.6759371680000009E-3</v>
      </c>
      <c r="DG535" s="910">
        <f t="shared" ca="1" si="277"/>
        <v>0.99547352429578406</v>
      </c>
      <c r="DH535" s="881">
        <f t="shared" ca="1" si="280"/>
        <v>8.6366657491977455E-3</v>
      </c>
      <c r="DI535" s="1460">
        <f t="shared" ca="1" si="271"/>
        <v>2.8155530342384649</v>
      </c>
      <c r="DJ535" s="909">
        <f>_xlfn.IFNA(INDEX('Resource use and costs'!$CQ$11:$CQ$53,MATCH($CZ535,'Resource use and costs'!$BA$11:$BA$53,0)),0)*_xlfn.IFNA(INDEX(DY$10:DY$23,MATCH($CZ535,$DX$10:$DX$23,0)),0)</f>
        <v>56693.786091428577</v>
      </c>
      <c r="DK535" s="909">
        <f>IF(dd_PartSA_2_lines = "Yes",0,_xlfn.IFNA(INDEX('Resource use and costs'!$CR$11:$CR$53,MATCH(DA535,'Resource use and costs'!$BA$11:$BA$53,0)),0)*_xlfn.IFNA(INDEX(EA$10:EA$23,MATCH($DA535,$DX$10:$DX$23,0)),0))</f>
        <v>24337.716731999997</v>
      </c>
      <c r="DL535" s="909">
        <f>IF(dd_PartSA_2_lines = "Yes",0,_xlfn.IFNA(INDEX('Resource use and costs'!$CS$11:$CS$53,MATCH(DB535,'Resource use and costs'!$BA$11:$BA$53,0)),0)*_xlfn.IFNA(INDEX(EC$10:EC$23,MATCH($DB535,$DX$10:$DX$23,0)),0))</f>
        <v>0</v>
      </c>
      <c r="DM535" s="909">
        <f t="shared" si="281"/>
        <v>81031.502823428571</v>
      </c>
      <c r="DN535" s="909">
        <f>SUM(_xlfn.IFNA(INDEX('Resource use and costs'!$DU$12:$DU$25,MATCH(CZ535,'Resource use and costs'!$DS$12:$DS$25,0)),0),_xlfn.IFNA(INDEX('Resource use and costs'!$DU$12:$DU$25,MATCH(DA535,'Resource use and costs'!$DS$12:$DS$25,0)),0),_xlfn.IFNA(INDEX('Resource use and costs'!$DU$12:$DU$25,MATCH(DB535,'Resource use and costs'!$DS$12:$DS$25,0)),0))</f>
        <v>197.25</v>
      </c>
      <c r="DO535" s="921">
        <f>_xlfn.IFNA(INDEX('Resource use and costs'!$DY$12:$DY$25,MATCH(CZ535,'Resource use and costs'!$DS$12:$DS$25,0)),0)*_xlfn.IFNA(INDEX(DY$10:DY$23,MATCH($CZ535,$DX$10:$DX$23,0)),0)</f>
        <v>8939.6605049142872</v>
      </c>
      <c r="DP535" s="921">
        <f>IF(dd_PartSA_2_lines = "Yes",0,_xlfn.IFNA(INDEX('Resource use and costs'!$DZ$12:$DZ$25,MATCH(DA535,'Resource use and costs'!$DS$12:$DS$25,0)),0)*_xlfn.IFNA(INDEX(EA$10:EA$23,MATCH($DA535,$DX$10:$DX$23,0)),0))</f>
        <v>363.04714285714283</v>
      </c>
      <c r="DQ535" s="921">
        <f>IF(dd_PartSA_2_lines = "Yes",0,_xlfn.IFNA(INDEX('Resource use and costs'!$EA$12:$EA$25,MATCH(DB535,'Resource use and costs'!$DS$12:$DS$25,0)),0)*_xlfn.IFNA(INDEX(EC$10:EC$23,MATCH($DB535,$DX$10:$DX$23,0)),0))</f>
        <v>0</v>
      </c>
      <c r="DR535" s="921">
        <f t="shared" si="282"/>
        <v>9499.9576477714309</v>
      </c>
      <c r="DS535" s="1004">
        <f ca="1">SUMIFS('Safety parameters'!$DM$6:$DM$18,'Safety parameters'!$DK$6:$DK$18,CZ535,'Safety parameters'!$DL$6:$DL$18,1)+IF(dd_PartSA_2_lines = "Yes",0,SUMIFS('Safety parameters'!$DM$6:$DM$18,'Safety parameters'!$DK$6:$DK$18,DA535,'Safety parameters'!$DL$6:$DL$18,2)+SUMIFS('Safety parameters'!$DM$6:$DM$18,'Safety parameters'!$DK$6:$DK$18,DB535,'Safety parameters'!$DL$6:$DL$18,2))</f>
        <v>942.87062078300573</v>
      </c>
      <c r="DT535" s="910">
        <f ca="1">SUMIFS('Safety parameters'!$DO$6:$DO$18,'Safety parameters'!$DK$6:$DK$18,CZ535,'Safety parameters'!$DL$6:$DL$18,1)+IF(dd_PartSA_2_lines = "Yes",0,SUMIFS('Safety parameters'!$DO$6:$DO$18,'Safety parameters'!$DK$6:$DK$18,DA535,'Safety parameters'!$DL$6:$DL$18,2)+SUMIFS('Safety parameters'!$DO$6:$DO$18,'Safety parameters'!$DK$6:$DK$18,DB535,'Safety parameters'!$DL$6:$DL$18,2))</f>
        <v>-9.6427506816154883E-3</v>
      </c>
    </row>
    <row r="536" spans="89:124" ht="15" x14ac:dyDescent="0.2">
      <c r="CK536" s="61" t="s">
        <v>31</v>
      </c>
      <c r="CL536" s="61">
        <v>4</v>
      </c>
      <c r="CM536" s="61" t="str">
        <v>lenvatinib_plus_everolimus</v>
      </c>
      <c r="CN536" s="17">
        <v>9</v>
      </c>
      <c r="CO536" s="61" t="str" cm="1">
        <f t="array" ref="CO536">INDEX(List_comparators,CP535+1)</f>
        <v>tivozanib</v>
      </c>
      <c r="CP536" s="17">
        <v>6</v>
      </c>
      <c r="CQ536" s="601">
        <f t="shared" ca="1" si="272"/>
        <v>0</v>
      </c>
      <c r="CR536" s="601">
        <f t="shared" ca="1" si="273"/>
        <v>0</v>
      </c>
      <c r="CS536" s="601">
        <f t="shared" ca="1" si="274"/>
        <v>21.714285714285712</v>
      </c>
      <c r="CT536" s="669">
        <f t="shared" ca="1" si="275"/>
        <v>5.5785714285714283</v>
      </c>
      <c r="CU536" s="1123">
        <f>MATCH(CZ543,'Resource use and costs'!$BA$11:$BA$53,0)</f>
        <v>30</v>
      </c>
      <c r="CV536" s="1223"/>
      <c r="CW536" s="1241">
        <f t="shared" si="278"/>
        <v>1</v>
      </c>
      <c r="CX536" s="899" t="s">
        <v>788</v>
      </c>
      <c r="CY536" s="899" t="s">
        <v>319</v>
      </c>
      <c r="CZ536" s="899" t="s">
        <v>327</v>
      </c>
      <c r="DA536" s="899" t="s">
        <v>765</v>
      </c>
      <c r="DB536" s="899"/>
      <c r="DC536" s="899" cm="1">
        <f t="array" aca="1" ref="DC536" ca="1">_xlfn.IFNA(OFFSET($I$49,MATCH(CY536,$I$50:$I$63,0),MATCH(CZ536,TRANSPOSE($J$49:$W$49),0)),0)</f>
        <v>2.9560979095944254E-2</v>
      </c>
      <c r="DD536" s="899" cm="1">
        <f t="array" aca="1" ref="DD536" ca="1">_xlfn.IFNA(OFFSET($Y$49,MATCH($CZ536,$Y$50:$Y$63,0),MATCH($DA536,TRANSPOSE($Z$49:$AM$49),0)),0)</f>
        <v>0.34300000000000003</v>
      </c>
      <c r="DE536" s="899" cm="1">
        <f t="array" aca="1" ref="DE536" ca="1">_xlfn.IFNA(OFFSET($AO$49,MATCH($DA536,$AO$50:$AO$63,0),MATCH($DB536,TRANSPOSE($AP$49:$BC$49),0)),0)</f>
        <v>0</v>
      </c>
      <c r="DF536" s="881">
        <f t="shared" ca="1" si="279"/>
        <v>1.013941582990888E-2</v>
      </c>
      <c r="DG536" s="910">
        <f t="shared" ca="1" si="277"/>
        <v>0.98859556831386541</v>
      </c>
      <c r="DH536" s="881">
        <f t="shared" ca="1" si="280"/>
        <v>1.0023781554739373E-2</v>
      </c>
      <c r="DI536" s="1460">
        <f t="shared" ref="DI536:DI572" ca="1" si="283">104*DH536</f>
        <v>1.0424732816928948</v>
      </c>
      <c r="DJ536" s="909">
        <f>_xlfn.IFNA(INDEX('Resource use and costs'!$CQ$11:$CQ$53,MATCH($CZ536,'Resource use and costs'!$BA$11:$BA$53,0)),0)*_xlfn.IFNA(INDEX(DY$10:DY$23,MATCH($CZ536,$DX$10:$DX$23,0)),0)</f>
        <v>19241.032205</v>
      </c>
      <c r="DK536" s="909">
        <f>IF(dd_PartSA_2_lines = "Yes",0,_xlfn.IFNA(INDEX('Resource use and costs'!$CR$11:$CR$53,MATCH(DA536,'Resource use and costs'!$BA$11:$BA$53,0)),0)*_xlfn.IFNA(INDEX(EA$10:EA$23,MATCH($DA536,$DX$10:$DX$23,0)),0))</f>
        <v>0</v>
      </c>
      <c r="DL536" s="909">
        <f>IF(dd_PartSA_2_lines = "Yes",0,_xlfn.IFNA(INDEX('Resource use and costs'!$CS$11:$CS$53,MATCH(DB536,'Resource use and costs'!$BA$11:$BA$53,0)),0)*_xlfn.IFNA(INDEX(EC$10:EC$23,MATCH($DB536,$DX$10:$DX$23,0)),0))</f>
        <v>0</v>
      </c>
      <c r="DM536" s="909">
        <f t="shared" si="281"/>
        <v>19241.032205</v>
      </c>
      <c r="DN536" s="909">
        <f>SUM(_xlfn.IFNA(INDEX('Resource use and costs'!$DU$12:$DU$25,MATCH(CZ536,'Resource use and costs'!$DS$12:$DS$25,0)),0),_xlfn.IFNA(INDEX('Resource use and costs'!$DU$12:$DU$25,MATCH(DA536,'Resource use and costs'!$DS$12:$DS$25,0)),0),_xlfn.IFNA(INDEX('Resource use and costs'!$DU$12:$DU$25,MATCH(DB536,'Resource use and costs'!$DS$12:$DS$25,0)),0))</f>
        <v>197.25</v>
      </c>
      <c r="DO536" s="921">
        <f>_xlfn.IFNA(INDEX('Resource use and costs'!$DY$12:$DY$25,MATCH(CZ536,'Resource use and costs'!$DS$12:$DS$25,0)),0)*_xlfn.IFNA(INDEX(DY$10:DY$23,MATCH($CZ536,$DX$10:$DX$23,0)),0)</f>
        <v>240.71806000000001</v>
      </c>
      <c r="DP536" s="921">
        <f>IF(dd_PartSA_2_lines = "Yes",0,_xlfn.IFNA(INDEX('Resource use and costs'!$DZ$12:$DZ$25,MATCH(DA536,'Resource use and costs'!$DS$12:$DS$25,0)),0)*_xlfn.IFNA(INDEX(EA$10:EA$23,MATCH($DA536,$DX$10:$DX$23,0)),0))</f>
        <v>0</v>
      </c>
      <c r="DQ536" s="921">
        <f>IF(dd_PartSA_2_lines = "Yes",0,_xlfn.IFNA(INDEX('Resource use and costs'!$EA$12:$EA$25,MATCH(DB536,'Resource use and costs'!$DS$12:$DS$25,0)),0)*_xlfn.IFNA(INDEX(EC$10:EC$23,MATCH($DB536,$DX$10:$DX$23,0)),0))</f>
        <v>0</v>
      </c>
      <c r="DR536" s="921">
        <f t="shared" si="282"/>
        <v>437.96806000000004</v>
      </c>
      <c r="DS536" s="1004">
        <f>SUMIFS('Safety parameters'!$DM$6:$DM$18,'Safety parameters'!$DK$6:$DK$18,CZ536,'Safety parameters'!$DL$6:$DL$18,1)+IF(dd_PartSA_2_lines = "Yes",0,SUMIFS('Safety parameters'!$DM$6:$DM$18,'Safety parameters'!$DK$6:$DK$18,DA536,'Safety parameters'!$DL$6:$DL$18,2)+SUMIFS('Safety parameters'!$DM$6:$DM$18,'Safety parameters'!$DK$6:$DK$18,DB536,'Safety parameters'!$DL$6:$DL$18,2))</f>
        <v>0</v>
      </c>
      <c r="DT536" s="910">
        <f>SUMIFS('Safety parameters'!$DO$6:$DO$18,'Safety parameters'!$DK$6:$DK$18,CZ536,'Safety parameters'!$DL$6:$DL$18,1)+IF(dd_PartSA_2_lines = "Yes",0,SUMIFS('Safety parameters'!$DO$6:$DO$18,'Safety parameters'!$DK$6:$DK$18,DA536,'Safety parameters'!$DL$6:$DL$18,2)+SUMIFS('Safety parameters'!$DO$6:$DO$18,'Safety parameters'!$DK$6:$DK$18,DB536,'Safety parameters'!$DL$6:$DL$18,2))</f>
        <v>0</v>
      </c>
    </row>
    <row r="537" spans="89:124" ht="15" x14ac:dyDescent="0.2">
      <c r="CK537" s="61" t="s">
        <v>31</v>
      </c>
      <c r="CL537" s="61">
        <v>4</v>
      </c>
      <c r="CM537" s="61" t="str">
        <v>everolimus</v>
      </c>
      <c r="CN537" s="17">
        <v>10</v>
      </c>
      <c r="CO537" s="61" t="str" cm="1">
        <f t="array" ref="CO537">INDEX(List_comparators,CP536+1)</f>
        <v>tivozanib</v>
      </c>
      <c r="CP537" s="17">
        <v>6</v>
      </c>
      <c r="CQ537" s="601">
        <f t="shared" ca="1" si="272"/>
        <v>0</v>
      </c>
      <c r="CR537" s="601">
        <f t="shared" ca="1" si="273"/>
        <v>0</v>
      </c>
      <c r="CS537" s="601">
        <f t="shared" ca="1" si="274"/>
        <v>21.714285714285712</v>
      </c>
      <c r="CT537" s="669">
        <f t="shared" ca="1" si="275"/>
        <v>5.5785714285714283</v>
      </c>
      <c r="CU537" s="1123">
        <f>MATCH(CZ544,'Resource use and costs'!$BA$11:$BA$53,0)</f>
        <v>30</v>
      </c>
      <c r="CV537" s="1223"/>
      <c r="CW537" s="1241">
        <f t="shared" si="278"/>
        <v>1</v>
      </c>
      <c r="CX537" s="899" t="s">
        <v>788</v>
      </c>
      <c r="CY537" s="899" t="s">
        <v>319</v>
      </c>
      <c r="CZ537" s="899" t="s">
        <v>327</v>
      </c>
      <c r="DA537" s="899" t="s">
        <v>118</v>
      </c>
      <c r="DB537" s="899" t="s">
        <v>765</v>
      </c>
      <c r="DC537" s="899" cm="1">
        <f t="array" aca="1" ref="DC537" ca="1">_xlfn.IFNA(OFFSET($I$49,MATCH(CY537,$I$50:$I$63,0),MATCH(CZ537,TRANSPOSE($J$49:$W$49),0)),0)</f>
        <v>2.9560979095944254E-2</v>
      </c>
      <c r="DD537" s="899" cm="1">
        <f t="array" aca="1" ref="DD537" ca="1">_xlfn.IFNA(OFFSET($Y$49,MATCH($CZ537,$Y$50:$Y$63,0),MATCH($DA537,TRANSPOSE($Z$49:$AM$49),0)),0)</f>
        <v>0.32850000000000001</v>
      </c>
      <c r="DE537" s="899" cm="1">
        <f t="array" aca="1" ref="DE537" ca="1">_xlfn.IFNA(OFFSET($AO$49,MATCH($DA537,$AO$50:$AO$63,0),MATCH($DB537,TRANSPOSE($AP$49:$BC$49),0)),0)</f>
        <v>0.43140000000000001</v>
      </c>
      <c r="DF537" s="881">
        <f t="shared" ca="1" si="279"/>
        <v>4.1892311964838308E-3</v>
      </c>
      <c r="DG537" s="910">
        <f t="shared" ca="1" si="277"/>
        <v>0.98859556831386541</v>
      </c>
      <c r="DH537" s="881">
        <f t="shared" ca="1" si="280"/>
        <v>4.141455395486107E-3</v>
      </c>
      <c r="DI537" s="1460">
        <f t="shared" ca="1" si="283"/>
        <v>0.43071136113055514</v>
      </c>
      <c r="DJ537" s="909">
        <f>_xlfn.IFNA(INDEX('Resource use and costs'!$CQ$11:$CQ$53,MATCH($CZ537,'Resource use and costs'!$BA$11:$BA$53,0)),0)*_xlfn.IFNA(INDEX(DY$10:DY$23,MATCH($CZ537,$DX$10:$DX$23,0)),0)</f>
        <v>19241.032205</v>
      </c>
      <c r="DK537" s="909">
        <f>IF(dd_PartSA_2_lines = "Yes",0,_xlfn.IFNA(INDEX('Resource use and costs'!$CR$11:$CR$53,MATCH(DA537,'Resource use and costs'!$BA$11:$BA$53,0)),0)*_xlfn.IFNA(INDEX(EA$10:EA$23,MATCH($DA537,$DX$10:$DX$23,0)),0))</f>
        <v>50308.075122000002</v>
      </c>
      <c r="DL537" s="909">
        <f>IF(dd_PartSA_2_lines = "Yes",0,_xlfn.IFNA(INDEX('Resource use and costs'!$CS$11:$CS$53,MATCH(DB537,'Resource use and costs'!$BA$11:$BA$53,0)),0)*_xlfn.IFNA(INDEX(EC$10:EC$23,MATCH($DB537,$DX$10:$DX$23,0)),0))</f>
        <v>0</v>
      </c>
      <c r="DM537" s="909">
        <f t="shared" si="281"/>
        <v>69549.107327000005</v>
      </c>
      <c r="DN537" s="909">
        <f>SUM(_xlfn.IFNA(INDEX('Resource use and costs'!$DU$12:$DU$25,MATCH(CZ537,'Resource use and costs'!$DS$12:$DS$25,0)),0),_xlfn.IFNA(INDEX('Resource use and costs'!$DU$12:$DU$25,MATCH(DA537,'Resource use and costs'!$DS$12:$DS$25,0)),0),_xlfn.IFNA(INDEX('Resource use and costs'!$DU$12:$DU$25,MATCH(DB537,'Resource use and costs'!$DS$12:$DS$25,0)),0))</f>
        <v>394.5</v>
      </c>
      <c r="DO537" s="921">
        <f>_xlfn.IFNA(INDEX('Resource use and costs'!$DY$12:$DY$25,MATCH(CZ537,'Resource use and costs'!$DS$12:$DS$25,0)),0)*_xlfn.IFNA(INDEX(DY$10:DY$23,MATCH($CZ537,$DX$10:$DX$23,0)),0)</f>
        <v>240.71806000000001</v>
      </c>
      <c r="DP537" s="921">
        <f>IF(dd_PartSA_2_lines = "Yes",0,_xlfn.IFNA(INDEX('Resource use and costs'!$DZ$12:$DZ$25,MATCH(DA537,'Resource use and costs'!$DS$12:$DS$25,0)),0)*_xlfn.IFNA(INDEX(EA$10:EA$23,MATCH($DA537,$DX$10:$DX$23,0)),0))</f>
        <v>461.1445457142857</v>
      </c>
      <c r="DQ537" s="921">
        <f>IF(dd_PartSA_2_lines = "Yes",0,_xlfn.IFNA(INDEX('Resource use and costs'!$EA$12:$EA$25,MATCH(DB537,'Resource use and costs'!$DS$12:$DS$25,0)),0)*_xlfn.IFNA(INDEX(EC$10:EC$23,MATCH($DB537,$DX$10:$DX$23,0)),0))</f>
        <v>0</v>
      </c>
      <c r="DR537" s="921">
        <f t="shared" si="282"/>
        <v>1096.3626057142858</v>
      </c>
      <c r="DS537" s="1004">
        <f ca="1">SUMIFS('Safety parameters'!$DM$6:$DM$18,'Safety parameters'!$DK$6:$DK$18,CZ537,'Safety parameters'!$DL$6:$DL$18,1)+IF(dd_PartSA_2_lines = "Yes",0,SUMIFS('Safety parameters'!$DM$6:$DM$18,'Safety parameters'!$DK$6:$DK$18,DA537,'Safety parameters'!$DL$6:$DL$18,2)+SUMIFS('Safety parameters'!$DM$6:$DM$18,'Safety parameters'!$DK$6:$DK$18,DB537,'Safety parameters'!$DL$6:$DL$18,2))</f>
        <v>743.64929980338343</v>
      </c>
      <c r="DT537" s="910">
        <f ca="1">SUMIFS('Safety parameters'!$DO$6:$DO$18,'Safety parameters'!$DK$6:$DK$18,CZ537,'Safety parameters'!$DL$6:$DL$18,1)+IF(dd_PartSA_2_lines = "Yes",0,SUMIFS('Safety parameters'!$DO$6:$DO$18,'Safety parameters'!$DK$6:$DK$18,DA537,'Safety parameters'!$DL$6:$DL$18,2)+SUMIFS('Safety parameters'!$DO$6:$DO$18,'Safety parameters'!$DK$6:$DK$18,DB537,'Safety parameters'!$DL$6:$DL$18,2))</f>
        <v>-7.0223263562359372E-3</v>
      </c>
    </row>
    <row r="538" spans="89:124" ht="15" x14ac:dyDescent="0.2">
      <c r="CK538" s="61" t="s">
        <v>31</v>
      </c>
      <c r="CL538" s="61">
        <v>4</v>
      </c>
      <c r="CM538" s="61" t="str">
        <v>axitinib</v>
      </c>
      <c r="CN538" s="17">
        <v>11</v>
      </c>
      <c r="CO538" s="61" t="str" cm="1">
        <f t="array" ref="CO538">INDEX(List_comparators,CP537+1)</f>
        <v>tivozanib</v>
      </c>
      <c r="CP538" s="17">
        <v>6</v>
      </c>
      <c r="CQ538" s="601">
        <f t="shared" ca="1" si="272"/>
        <v>0</v>
      </c>
      <c r="CR538" s="601">
        <f t="shared" ca="1" si="273"/>
        <v>0</v>
      </c>
      <c r="CS538" s="601">
        <f t="shared" ca="1" si="274"/>
        <v>21.714285714285712</v>
      </c>
      <c r="CT538" s="669">
        <f t="shared" ca="1" si="275"/>
        <v>5.5785714285714283</v>
      </c>
      <c r="CU538" s="1123">
        <f>MATCH(CZ545,'Resource use and costs'!$BA$11:$BA$53,0)</f>
        <v>30</v>
      </c>
      <c r="CV538" s="1223"/>
      <c r="CW538" s="1241">
        <f t="shared" si="278"/>
        <v>1</v>
      </c>
      <c r="CX538" s="899" t="s">
        <v>788</v>
      </c>
      <c r="CY538" s="899" t="s">
        <v>319</v>
      </c>
      <c r="CZ538" s="899" t="s">
        <v>327</v>
      </c>
      <c r="DA538" s="899" t="s">
        <v>118</v>
      </c>
      <c r="DB538" s="899" t="s">
        <v>119</v>
      </c>
      <c r="DC538" s="899" cm="1">
        <f t="array" aca="1" ref="DC538" ca="1">_xlfn.IFNA(OFFSET($I$49,MATCH(CY538,$I$50:$I$63,0),MATCH(CZ538,TRANSPOSE($J$49:$W$49),0)),0)</f>
        <v>2.9560979095944254E-2</v>
      </c>
      <c r="DD538" s="899" cm="1">
        <f t="array" aca="1" ref="DD538" ca="1">_xlfn.IFNA(OFFSET($Y$49,MATCH($CZ538,$Y$50:$Y$63,0),MATCH($DA538,TRANSPOSE($Z$49:$AM$49),0)),0)</f>
        <v>0.32850000000000001</v>
      </c>
      <c r="DE538" s="899">
        <f ca="1">1-DE537</f>
        <v>0.56859999999999999</v>
      </c>
      <c r="DF538" s="881">
        <f t="shared" ca="1" si="279"/>
        <v>5.5215504365338577E-3</v>
      </c>
      <c r="DG538" s="910">
        <f t="shared" ca="1" si="277"/>
        <v>0.98859556831386541</v>
      </c>
      <c r="DH538" s="881">
        <f t="shared" ca="1" si="280"/>
        <v>5.4585802917788608E-3</v>
      </c>
      <c r="DI538" s="1460">
        <f t="shared" ca="1" si="283"/>
        <v>0.56769235034500154</v>
      </c>
      <c r="DJ538" s="909">
        <f>_xlfn.IFNA(INDEX('Resource use and costs'!$CQ$11:$CQ$53,MATCH($CZ538,'Resource use and costs'!$BA$11:$BA$53,0)),0)*_xlfn.IFNA(INDEX(DY$10:DY$23,MATCH($CZ538,$DX$10:$DX$23,0)),0)</f>
        <v>19241.032205</v>
      </c>
      <c r="DK538" s="909">
        <f>IF(dd_PartSA_2_lines = "Yes",0,_xlfn.IFNA(INDEX('Resource use and costs'!$CR$11:$CR$53,MATCH(DA538,'Resource use and costs'!$BA$11:$BA$53,0)),0)*_xlfn.IFNA(INDEX(EA$10:EA$23,MATCH($DA538,$DX$10:$DX$23,0)),0))</f>
        <v>50308.075122000002</v>
      </c>
      <c r="DL538" s="909">
        <f>IF(dd_PartSA_2_lines = "Yes",0,_xlfn.IFNA(INDEX('Resource use and costs'!$CS$11:$CS$53,MATCH(DB538,'Resource use and costs'!$BA$11:$BA$53,0)),0)*_xlfn.IFNA(INDEX(EC$10:EC$23,MATCH($DB538,$DX$10:$DX$23,0)),0))</f>
        <v>2915.4763433333328</v>
      </c>
      <c r="DM538" s="909">
        <f t="shared" si="281"/>
        <v>72464.583670333333</v>
      </c>
      <c r="DN538" s="909">
        <f>SUM(_xlfn.IFNA(INDEX('Resource use and costs'!$DU$12:$DU$25,MATCH(CZ538,'Resource use and costs'!$DS$12:$DS$25,0)),0),_xlfn.IFNA(INDEX('Resource use and costs'!$DU$12:$DU$25,MATCH(DA538,'Resource use and costs'!$DS$12:$DS$25,0)),0),_xlfn.IFNA(INDEX('Resource use and costs'!$DU$12:$DU$25,MATCH(DB538,'Resource use and costs'!$DS$12:$DS$25,0)),0))</f>
        <v>591.75</v>
      </c>
      <c r="DO538" s="921">
        <f>_xlfn.IFNA(INDEX('Resource use and costs'!$DY$12:$DY$25,MATCH(CZ538,'Resource use and costs'!$DS$12:$DS$25,0)),0)*_xlfn.IFNA(INDEX(DY$10:DY$23,MATCH($CZ538,$DX$10:$DX$23,0)),0)</f>
        <v>240.71806000000001</v>
      </c>
      <c r="DP538" s="921">
        <f>IF(dd_PartSA_2_lines = "Yes",0,_xlfn.IFNA(INDEX('Resource use and costs'!$DZ$12:$DZ$25,MATCH(DA538,'Resource use and costs'!$DS$12:$DS$25,0)),0)*_xlfn.IFNA(INDEX(EA$10:EA$23,MATCH($DA538,$DX$10:$DX$23,0)),0))</f>
        <v>461.1445457142857</v>
      </c>
      <c r="DQ538" s="921">
        <f>IF(dd_PartSA_2_lines = "Yes",0,_xlfn.IFNA(INDEX('Resource use and costs'!$EA$12:$EA$25,MATCH(DB538,'Resource use and costs'!$DS$12:$DS$25,0)),0)*_xlfn.IFNA(INDEX(EC$10:EC$23,MATCH($DB538,$DX$10:$DX$23,0)),0))</f>
        <v>256.11457142857142</v>
      </c>
      <c r="DR538" s="921">
        <f t="shared" si="282"/>
        <v>1549.7271771428573</v>
      </c>
      <c r="DS538" s="1004">
        <f ca="1">SUMIFS('Safety parameters'!$DM$6:$DM$18,'Safety parameters'!$DK$6:$DK$18,CZ538,'Safety parameters'!$DL$6:$DL$18,1)+IF(dd_PartSA_2_lines = "Yes",0,SUMIFS('Safety parameters'!$DM$6:$DM$18,'Safety parameters'!$DK$6:$DK$18,DA538,'Safety parameters'!$DL$6:$DL$18,2)+SUMIFS('Safety parameters'!$DM$6:$DM$18,'Safety parameters'!$DK$6:$DK$18,DB538,'Safety parameters'!$DL$6:$DL$18,2))</f>
        <v>1076.5246831786983</v>
      </c>
      <c r="DT538" s="910">
        <f ca="1">SUMIFS('Safety parameters'!$DO$6:$DO$18,'Safety parameters'!$DK$6:$DK$18,CZ538,'Safety parameters'!$DL$6:$DL$18,1)+IF(dd_PartSA_2_lines = "Yes",0,SUMIFS('Safety parameters'!$DO$6:$DO$18,'Safety parameters'!$DK$6:$DK$18,DA538,'Safety parameters'!$DL$6:$DL$18,2)+SUMIFS('Safety parameters'!$DO$6:$DO$18,'Safety parameters'!$DK$6:$DK$18,DB538,'Safety parameters'!$DL$6:$DL$18,2))</f>
        <v>-9.689899892873657E-3</v>
      </c>
    </row>
    <row r="539" spans="89:124" ht="15" x14ac:dyDescent="0.2">
      <c r="CK539" s="61" t="s">
        <v>31</v>
      </c>
      <c r="CL539" s="61">
        <v>4</v>
      </c>
      <c r="CM539" s="61" t="str">
        <v>sorafenib</v>
      </c>
      <c r="CN539" s="17">
        <v>12</v>
      </c>
      <c r="CO539" s="61" t="str" cm="1">
        <f t="array" ref="CO539">INDEX(List_comparators,CP538+1)</f>
        <v>tivozanib</v>
      </c>
      <c r="CP539" s="17">
        <v>6</v>
      </c>
      <c r="CQ539" s="601">
        <f t="shared" ref="CQ539:CQ570" ca="1" si="284">OFFSET($AP$50,IF(CN539=999,13,CN539),CP539)</f>
        <v>0</v>
      </c>
      <c r="CR539" s="601">
        <f t="shared" ref="CR539:CR570" ca="1" si="285">OFFSET($AP$65,IF(CN539=999,13,CN539),CP539)</f>
        <v>0</v>
      </c>
      <c r="CS539" s="601">
        <f t="shared" ref="CS539:CS570" ca="1" si="286">OFFSET($AP$81,IF(CN539=999,13,CN539),CP539)</f>
        <v>0</v>
      </c>
      <c r="CT539" s="669">
        <f t="shared" ref="CT539:CT570" ca="1" si="287">OFFSET($AP$97,IF(CN539=999,13,CN539),CP539)</f>
        <v>0</v>
      </c>
      <c r="CU539" s="1123">
        <f>MATCH(CZ546,'Resource use and costs'!$BA$11:$BA$53,0)</f>
        <v>30</v>
      </c>
      <c r="CV539" s="1223"/>
      <c r="CW539" s="1241">
        <f t="shared" si="278"/>
        <v>1</v>
      </c>
      <c r="CX539" s="899" t="s">
        <v>788</v>
      </c>
      <c r="CY539" s="899" t="s">
        <v>319</v>
      </c>
      <c r="CZ539" s="899" t="s">
        <v>327</v>
      </c>
      <c r="DA539" s="899" t="s">
        <v>119</v>
      </c>
      <c r="DB539" s="899" t="s">
        <v>765</v>
      </c>
      <c r="DC539" s="899" cm="1">
        <f t="array" aca="1" ref="DC539" ca="1">_xlfn.IFNA(OFFSET($I$49,MATCH(CY539,$I$50:$I$63,0),MATCH(CZ539,TRANSPOSE($J$49:$W$49),0)),0)</f>
        <v>2.9560979095944254E-2</v>
      </c>
      <c r="DD539" s="899">
        <f ca="1">1-DD537-DD540</f>
        <v>0.34299999999999997</v>
      </c>
      <c r="DE539" s="899" cm="1">
        <f t="array" aca="1" ref="DE539" ca="1">_xlfn.IFNA(OFFSET($AO$49,MATCH($DA539,$AO$50:$AO$63,0),MATCH($DB539,TRANSPOSE($AP$49:$BC$49),0)),0)</f>
        <v>1</v>
      </c>
      <c r="DF539" s="881">
        <f t="shared" ca="1" si="279"/>
        <v>1.0139415829908878E-2</v>
      </c>
      <c r="DG539" s="910">
        <f t="shared" ca="1" si="277"/>
        <v>0.98859556831386541</v>
      </c>
      <c r="DH539" s="881">
        <f t="shared" ca="1" si="280"/>
        <v>1.0023781554739371E-2</v>
      </c>
      <c r="DI539" s="1460">
        <f t="shared" ca="1" si="283"/>
        <v>1.0424732816928945</v>
      </c>
      <c r="DJ539" s="909">
        <f>_xlfn.IFNA(INDEX('Resource use and costs'!$CQ$11:$CQ$53,MATCH($CZ539,'Resource use and costs'!$BA$11:$BA$53,0)),0)*_xlfn.IFNA(INDEX(DY$10:DY$23,MATCH($CZ539,$DX$10:$DX$23,0)),0)</f>
        <v>19241.032205</v>
      </c>
      <c r="DK539" s="909">
        <f>IF(dd_PartSA_2_lines = "Yes",0,_xlfn.IFNA(INDEX('Resource use and costs'!$CR$11:$CR$53,MATCH(DA539,'Resource use and costs'!$BA$11:$BA$53,0)),0)*_xlfn.IFNA(INDEX(EA$10:EA$23,MATCH($DA539,$DX$10:$DX$23,0)),0))</f>
        <v>848.17532499999982</v>
      </c>
      <c r="DL539" s="909">
        <f>IF(dd_PartSA_2_lines = "Yes",0,_xlfn.IFNA(INDEX('Resource use and costs'!$CS$11:$CS$53,MATCH(DB539,'Resource use and costs'!$BA$11:$BA$53,0)),0)*_xlfn.IFNA(INDEX(EC$10:EC$23,MATCH($DB539,$DX$10:$DX$23,0)),0))</f>
        <v>0</v>
      </c>
      <c r="DM539" s="909">
        <f t="shared" si="281"/>
        <v>20089.20753</v>
      </c>
      <c r="DN539" s="909">
        <f>SUM(_xlfn.IFNA(INDEX('Resource use and costs'!$DU$12:$DU$25,MATCH(CZ539,'Resource use and costs'!$DS$12:$DS$25,0)),0),_xlfn.IFNA(INDEX('Resource use and costs'!$DU$12:$DU$25,MATCH(DA539,'Resource use and costs'!$DS$12:$DS$25,0)),0),_xlfn.IFNA(INDEX('Resource use and costs'!$DU$12:$DU$25,MATCH(DB539,'Resource use and costs'!$DS$12:$DS$25,0)),0))</f>
        <v>394.5</v>
      </c>
      <c r="DO539" s="921">
        <f>_xlfn.IFNA(INDEX('Resource use and costs'!$DY$12:$DY$25,MATCH(CZ539,'Resource use and costs'!$DS$12:$DS$25,0)),0)*_xlfn.IFNA(INDEX(DY$10:DY$23,MATCH($CZ539,$DX$10:$DX$23,0)),0)</f>
        <v>240.71806000000001</v>
      </c>
      <c r="DP539" s="921">
        <f>IF(dd_PartSA_2_lines = "Yes",0,_xlfn.IFNA(INDEX('Resource use and costs'!$DZ$12:$DZ$25,MATCH(DA539,'Resource use and costs'!$DS$12:$DS$25,0)),0)*_xlfn.IFNA(INDEX(EA$10:EA$23,MATCH($DA539,$DX$10:$DX$23,0)),0))</f>
        <v>74.50928571428571</v>
      </c>
      <c r="DQ539" s="921">
        <f>IF(dd_PartSA_2_lines = "Yes",0,_xlfn.IFNA(INDEX('Resource use and costs'!$EA$12:$EA$25,MATCH(DB539,'Resource use and costs'!$DS$12:$DS$25,0)),0)*_xlfn.IFNA(INDEX(EC$10:EC$23,MATCH($DB539,$DX$10:$DX$23,0)),0))</f>
        <v>0</v>
      </c>
      <c r="DR539" s="921">
        <f t="shared" si="282"/>
        <v>709.72734571428578</v>
      </c>
      <c r="DS539" s="1004">
        <f ca="1">SUMIFS('Safety parameters'!$DM$6:$DM$18,'Safety parameters'!$DK$6:$DK$18,CZ539,'Safety parameters'!$DL$6:$DL$18,1)+IF(dd_PartSA_2_lines = "Yes",0,SUMIFS('Safety parameters'!$DM$6:$DM$18,'Safety parameters'!$DK$6:$DK$18,DA539,'Safety parameters'!$DL$6:$DL$18,2)+SUMIFS('Safety parameters'!$DM$6:$DM$18,'Safety parameters'!$DK$6:$DK$18,DB539,'Safety parameters'!$DL$6:$DL$18,2))</f>
        <v>332.87538337531487</v>
      </c>
      <c r="DT539" s="910">
        <f ca="1">SUMIFS('Safety parameters'!$DO$6:$DO$18,'Safety parameters'!$DK$6:$DK$18,CZ539,'Safety parameters'!$DL$6:$DL$18,1)+IF(dd_PartSA_2_lines = "Yes",0,SUMIFS('Safety parameters'!$DO$6:$DO$18,'Safety parameters'!$DK$6:$DK$18,DA539,'Safety parameters'!$DL$6:$DL$18,2)+SUMIFS('Safety parameters'!$DO$6:$DO$18,'Safety parameters'!$DK$6:$DK$18,DB539,'Safety parameters'!$DL$6:$DL$18,2))</f>
        <v>-2.6675735366377194E-3</v>
      </c>
    </row>
    <row r="540" spans="89:124" ht="15.75" thickBot="1" x14ac:dyDescent="0.25">
      <c r="CK540" s="506" t="s">
        <v>31</v>
      </c>
      <c r="CL540" s="506">
        <v>4</v>
      </c>
      <c r="CM540" s="506" t="str">
        <v>placebo_BSC</v>
      </c>
      <c r="CN540" s="19">
        <v>999</v>
      </c>
      <c r="CO540" s="506" t="str" cm="1">
        <f t="array" ref="CO540">INDEX(List_comparators,CP527+1)</f>
        <v>tivozanib</v>
      </c>
      <c r="CP540" s="19">
        <v>6</v>
      </c>
      <c r="CQ540" s="602">
        <f t="shared" ca="1" si="284"/>
        <v>0</v>
      </c>
      <c r="CR540" s="602">
        <f t="shared" ca="1" si="285"/>
        <v>0</v>
      </c>
      <c r="CS540" s="602">
        <f t="shared" ca="1" si="286"/>
        <v>0</v>
      </c>
      <c r="CT540" s="748">
        <f t="shared" ca="1" si="287"/>
        <v>0</v>
      </c>
      <c r="CU540" s="1123">
        <f>MATCH(CZ547,'Resource use and costs'!$BA$11:$BA$53,0)</f>
        <v>30</v>
      </c>
      <c r="CV540" s="1223"/>
      <c r="CW540" s="1241">
        <f t="shared" si="278"/>
        <v>1</v>
      </c>
      <c r="CX540" s="899" t="s">
        <v>788</v>
      </c>
      <c r="CY540" s="899" t="s">
        <v>319</v>
      </c>
      <c r="CZ540" s="899" t="s">
        <v>327</v>
      </c>
      <c r="DA540" s="899" t="s">
        <v>579</v>
      </c>
      <c r="DB540" s="899" t="s">
        <v>765</v>
      </c>
      <c r="DC540" s="899" cm="1">
        <f t="array" aca="1" ref="DC540" ca="1">_xlfn.IFNA(OFFSET($I$49,MATCH(CY540,$I$50:$I$63,0),MATCH(CZ540,TRANSPOSE($J$49:$W$49),0)),0)</f>
        <v>2.9560979095944254E-2</v>
      </c>
      <c r="DD540" s="899" cm="1">
        <f t="array" aca="1" ref="DD540" ca="1">_xlfn.IFNA(OFFSET($Y$49,MATCH($CZ540,$Y$50:$Y$63,0),MATCH($DA540,TRANSPOSE($Z$49:$AM$49),0)),0)</f>
        <v>0.32850000000000001</v>
      </c>
      <c r="DE540" s="899" cm="1">
        <f t="array" aca="1" ref="DE540" ca="1">_xlfn.IFNA(OFFSET($AO$49,MATCH($DA540,$AO$50:$AO$63,0),MATCH($DB540,TRANSPOSE($AP$49:$BC$49),0)),0)</f>
        <v>0.43140000000000001</v>
      </c>
      <c r="DF540" s="881">
        <f t="shared" ca="1" si="279"/>
        <v>4.1892311964838308E-3</v>
      </c>
      <c r="DG540" s="910">
        <f t="shared" ca="1" si="277"/>
        <v>0.98859556831386541</v>
      </c>
      <c r="DH540" s="881">
        <f t="shared" ca="1" si="280"/>
        <v>4.141455395486107E-3</v>
      </c>
      <c r="DI540" s="1460">
        <f t="shared" ca="1" si="283"/>
        <v>0.43071136113055514</v>
      </c>
      <c r="DJ540" s="909">
        <f>_xlfn.IFNA(INDEX('Resource use and costs'!$CQ$11:$CQ$53,MATCH($CZ540,'Resource use and costs'!$BA$11:$BA$53,0)),0)*_xlfn.IFNA(INDEX(DY$10:DY$23,MATCH($CZ540,$DX$10:$DX$23,0)),0)</f>
        <v>19241.032205</v>
      </c>
      <c r="DK540" s="909">
        <f>IF(dd_PartSA_2_lines = "Yes",0,_xlfn.IFNA(INDEX('Resource use and costs'!$CR$11:$CR$53,MATCH(DA540,'Resource use and costs'!$BA$11:$BA$53,0)),0)*_xlfn.IFNA(INDEX(EA$10:EA$23,MATCH($DA540,$DX$10:$DX$23,0)),0))</f>
        <v>26054.50921</v>
      </c>
      <c r="DL540" s="909">
        <f>IF(dd_PartSA_2_lines = "Yes",0,_xlfn.IFNA(INDEX('Resource use and costs'!$CS$11:$CS$53,MATCH(DB540,'Resource use and costs'!$BA$11:$BA$53,0)),0)*_xlfn.IFNA(INDEX(EC$10:EC$23,MATCH($DB540,$DX$10:$DX$23,0)),0))</f>
        <v>0</v>
      </c>
      <c r="DM540" s="909">
        <f t="shared" si="281"/>
        <v>45295.541415</v>
      </c>
      <c r="DN540" s="909">
        <f>SUM(_xlfn.IFNA(INDEX('Resource use and costs'!$DU$12:$DU$25,MATCH(CZ540,'Resource use and costs'!$DS$12:$DS$25,0)),0),_xlfn.IFNA(INDEX('Resource use and costs'!$DU$12:$DU$25,MATCH(DA540,'Resource use and costs'!$DS$12:$DS$25,0)),0),_xlfn.IFNA(INDEX('Resource use and costs'!$DU$12:$DU$25,MATCH(DB540,'Resource use and costs'!$DS$12:$DS$25,0)),0))</f>
        <v>197.25</v>
      </c>
      <c r="DO540" s="921">
        <f>_xlfn.IFNA(INDEX('Resource use and costs'!$DY$12:$DY$25,MATCH(CZ540,'Resource use and costs'!$DS$12:$DS$25,0)),0)*_xlfn.IFNA(INDEX(DY$10:DY$23,MATCH($CZ540,$DX$10:$DX$23,0)),0)</f>
        <v>240.71806000000001</v>
      </c>
      <c r="DP540" s="921">
        <f>IF(dd_PartSA_2_lines = "Yes",0,_xlfn.IFNA(INDEX('Resource use and costs'!$DZ$12:$DZ$25,MATCH(DA540,'Resource use and costs'!$DS$12:$DS$25,0)),0)*_xlfn.IFNA(INDEX(EA$10:EA$23,MATCH($DA540,$DX$10:$DX$23,0)),0))</f>
        <v>4108.3597166</v>
      </c>
      <c r="DQ540" s="921">
        <f>IF(dd_PartSA_2_lines = "Yes",0,_xlfn.IFNA(INDEX('Resource use and costs'!$EA$12:$EA$25,MATCH(DB540,'Resource use and costs'!$DS$12:$DS$25,0)),0)*_xlfn.IFNA(INDEX(EC$10:EC$23,MATCH($DB540,$DX$10:$DX$23,0)),0))</f>
        <v>0</v>
      </c>
      <c r="DR540" s="921">
        <f t="shared" si="282"/>
        <v>4546.3277766000001</v>
      </c>
      <c r="DS540" s="1004">
        <f ca="1">SUMIFS('Safety parameters'!$DM$6:$DM$18,'Safety parameters'!$DK$6:$DK$18,CZ540,'Safety parameters'!$DL$6:$DL$18,1)+IF(dd_PartSA_2_lines = "Yes",0,SUMIFS('Safety parameters'!$DM$6:$DM$18,'Safety parameters'!$DK$6:$DK$18,DA540,'Safety parameters'!$DL$6:$DL$18,2)+SUMIFS('Safety parameters'!$DM$6:$DM$18,'Safety parameters'!$DK$6:$DK$18,DB540,'Safety parameters'!$DL$6:$DL$18,2))</f>
        <v>161.1337489904144</v>
      </c>
      <c r="DT540" s="910">
        <f ca="1">SUMIFS('Safety parameters'!$DO$6:$DO$18,'Safety parameters'!$DK$6:$DK$18,CZ540,'Safety parameters'!$DL$6:$DL$18,1)+IF(dd_PartSA_2_lines = "Yes",0,SUMIFS('Safety parameters'!$DO$6:$DO$18,'Safety parameters'!$DK$6:$DK$18,DA540,'Safety parameters'!$DL$6:$DL$18,2)+SUMIFS('Safety parameters'!$DO$6:$DO$18,'Safety parameters'!$DK$6:$DK$18,DB540,'Safety parameters'!$DL$6:$DL$18,2))</f>
        <v>-1.5970841976847864E-3</v>
      </c>
    </row>
    <row r="541" spans="89:124" ht="15" x14ac:dyDescent="0.2">
      <c r="CK541" s="505" t="s">
        <v>31</v>
      </c>
      <c r="CL541" s="505">
        <v>4</v>
      </c>
      <c r="CM541" s="61" t="str" cm="1">
        <f t="array" ref="CM541:CM554">List_comparators</f>
        <v>nivolumab_monotherapy</v>
      </c>
      <c r="CN541" s="17">
        <v>0</v>
      </c>
      <c r="CO541" s="61" t="str" cm="1">
        <f t="array" ref="CO541">INDEX(List_comparators,CP541+1)</f>
        <v>sunitinib</v>
      </c>
      <c r="CP541" s="17">
        <v>7</v>
      </c>
      <c r="CQ541" s="603">
        <f t="shared" ca="1" si="284"/>
        <v>0</v>
      </c>
      <c r="CR541" s="603">
        <f t="shared" ca="1" si="285"/>
        <v>0</v>
      </c>
      <c r="CS541" s="603">
        <f t="shared" ca="1" si="286"/>
        <v>21.714285714285712</v>
      </c>
      <c r="CT541" s="669">
        <f t="shared" ca="1" si="287"/>
        <v>5.5785714285714283</v>
      </c>
      <c r="CU541" s="1123">
        <f>MATCH(CZ548,'Resource use and costs'!$BA$11:$BA$53,0)</f>
        <v>30</v>
      </c>
      <c r="CV541" s="1223"/>
      <c r="CW541" s="1241">
        <f t="shared" si="278"/>
        <v>1</v>
      </c>
      <c r="CX541" s="899" t="s">
        <v>788</v>
      </c>
      <c r="CY541" s="899" t="s">
        <v>319</v>
      </c>
      <c r="CZ541" s="899" t="s">
        <v>327</v>
      </c>
      <c r="DA541" s="899" t="s">
        <v>579</v>
      </c>
      <c r="DB541" s="899" t="s">
        <v>119</v>
      </c>
      <c r="DC541" s="899" cm="1">
        <f t="array" aca="1" ref="DC541" ca="1">_xlfn.IFNA(OFFSET($I$49,MATCH(CY541,$I$50:$I$63,0),MATCH(CZ541,TRANSPOSE($J$49:$W$49),0)),0)</f>
        <v>2.9560979095944254E-2</v>
      </c>
      <c r="DD541" s="899" cm="1">
        <f t="array" aca="1" ref="DD541" ca="1">_xlfn.IFNA(OFFSET($Y$49,MATCH($CZ541,$Y$50:$Y$63,0),MATCH($DA541,TRANSPOSE($Z$49:$AM$49),0)),0)</f>
        <v>0.32850000000000001</v>
      </c>
      <c r="DE541" s="899">
        <f ca="1">1-DE540</f>
        <v>0.56859999999999999</v>
      </c>
      <c r="DF541" s="881">
        <f t="shared" ca="1" si="279"/>
        <v>5.5215504365338577E-3</v>
      </c>
      <c r="DG541" s="910">
        <f t="shared" ca="1" si="277"/>
        <v>0.98859556831386541</v>
      </c>
      <c r="DH541" s="881">
        <f t="shared" ca="1" si="280"/>
        <v>5.4585802917788608E-3</v>
      </c>
      <c r="DI541" s="1460">
        <f t="shared" ca="1" si="283"/>
        <v>0.56769235034500154</v>
      </c>
      <c r="DJ541" s="909">
        <f>_xlfn.IFNA(INDEX('Resource use and costs'!$CQ$11:$CQ$53,MATCH($CZ541,'Resource use and costs'!$BA$11:$BA$53,0)),0)*_xlfn.IFNA(INDEX(DY$10:DY$23,MATCH($CZ541,$DX$10:$DX$23,0)),0)</f>
        <v>19241.032205</v>
      </c>
      <c r="DK541" s="909">
        <f>IF(dd_PartSA_2_lines = "Yes",0,_xlfn.IFNA(INDEX('Resource use and costs'!$CR$11:$CR$53,MATCH(DA541,'Resource use and costs'!$BA$11:$BA$53,0)),0)*_xlfn.IFNA(INDEX(EA$10:EA$23,MATCH($DA541,$DX$10:$DX$23,0)),0))</f>
        <v>26054.50921</v>
      </c>
      <c r="DL541" s="909">
        <f>IF(dd_PartSA_2_lines = "Yes",0,_xlfn.IFNA(INDEX('Resource use and costs'!$CS$11:$CS$53,MATCH(DB541,'Resource use and costs'!$BA$11:$BA$53,0)),0)*_xlfn.IFNA(INDEX(EC$10:EC$23,MATCH($DB541,$DX$10:$DX$23,0)),0))</f>
        <v>2915.4763433333328</v>
      </c>
      <c r="DM541" s="909">
        <f t="shared" si="281"/>
        <v>48211.017758333335</v>
      </c>
      <c r="DN541" s="909">
        <f>SUM(_xlfn.IFNA(INDEX('Resource use and costs'!$DU$12:$DU$25,MATCH(CZ541,'Resource use and costs'!$DS$12:$DS$25,0)),0),_xlfn.IFNA(INDEX('Resource use and costs'!$DU$12:$DU$25,MATCH(DA541,'Resource use and costs'!$DS$12:$DS$25,0)),0),_xlfn.IFNA(INDEX('Resource use and costs'!$DU$12:$DU$25,MATCH(DB541,'Resource use and costs'!$DS$12:$DS$25,0)),0))</f>
        <v>394.5</v>
      </c>
      <c r="DO541" s="921">
        <f>_xlfn.IFNA(INDEX('Resource use and costs'!$DY$12:$DY$25,MATCH(CZ541,'Resource use and costs'!$DS$12:$DS$25,0)),0)*_xlfn.IFNA(INDEX(DY$10:DY$23,MATCH($CZ541,$DX$10:$DX$23,0)),0)</f>
        <v>240.71806000000001</v>
      </c>
      <c r="DP541" s="921">
        <f>IF(dd_PartSA_2_lines = "Yes",0,_xlfn.IFNA(INDEX('Resource use and costs'!$DZ$12:$DZ$25,MATCH(DA541,'Resource use and costs'!$DS$12:$DS$25,0)),0)*_xlfn.IFNA(INDEX(EA$10:EA$23,MATCH($DA541,$DX$10:$DX$23,0)),0))</f>
        <v>4108.3597166</v>
      </c>
      <c r="DQ541" s="921">
        <f>IF(dd_PartSA_2_lines = "Yes",0,_xlfn.IFNA(INDEX('Resource use and costs'!$EA$12:$EA$25,MATCH(DB541,'Resource use and costs'!$DS$12:$DS$25,0)),0)*_xlfn.IFNA(INDEX(EC$10:EC$23,MATCH($DB541,$DX$10:$DX$23,0)),0))</f>
        <v>256.11457142857142</v>
      </c>
      <c r="DR541" s="921">
        <f t="shared" si="282"/>
        <v>4999.6923480285714</v>
      </c>
      <c r="DS541" s="1004">
        <f ca="1">SUMIFS('Safety parameters'!$DM$6:$DM$18,'Safety parameters'!$DK$6:$DK$18,CZ541,'Safety parameters'!$DL$6:$DL$18,1)+IF(dd_PartSA_2_lines = "Yes",0,SUMIFS('Safety parameters'!$DM$6:$DM$18,'Safety parameters'!$DK$6:$DK$18,DA541,'Safety parameters'!$DL$6:$DL$18,2)+SUMIFS('Safety parameters'!$DM$6:$DM$18,'Safety parameters'!$DK$6:$DK$18,DB541,'Safety parameters'!$DL$6:$DL$18,2))</f>
        <v>494.00913236572927</v>
      </c>
      <c r="DT541" s="910">
        <f ca="1">SUMIFS('Safety parameters'!$DO$6:$DO$18,'Safety parameters'!$DK$6:$DK$18,CZ541,'Safety parameters'!$DL$6:$DL$18,1)+IF(dd_PartSA_2_lines = "Yes",0,SUMIFS('Safety parameters'!$DO$6:$DO$18,'Safety parameters'!$DK$6:$DK$18,DA541,'Safety parameters'!$DL$6:$DL$18,2)+SUMIFS('Safety parameters'!$DO$6:$DO$18,'Safety parameters'!$DK$6:$DK$18,DB541,'Safety parameters'!$DL$6:$DL$18,2))</f>
        <v>-4.2646577343225054E-3</v>
      </c>
    </row>
    <row r="542" spans="89:124" ht="15" x14ac:dyDescent="0.2">
      <c r="CK542" s="61" t="s">
        <v>31</v>
      </c>
      <c r="CL542" s="61">
        <v>4</v>
      </c>
      <c r="CM542" s="61" t="str">
        <v>cabozantinib_plus_nivolumab</v>
      </c>
      <c r="CN542" s="17">
        <v>1</v>
      </c>
      <c r="CO542" s="61" t="str" cm="1">
        <f t="array" ref="CO542">INDEX(List_comparators,CP541+1)</f>
        <v>sunitinib</v>
      </c>
      <c r="CP542" s="17">
        <v>7</v>
      </c>
      <c r="CQ542" s="601">
        <f t="shared" ca="1" si="284"/>
        <v>0</v>
      </c>
      <c r="CR542" s="601">
        <f t="shared" ca="1" si="285"/>
        <v>0</v>
      </c>
      <c r="CS542" s="601">
        <f t="shared" ca="1" si="286"/>
        <v>21.714285714285712</v>
      </c>
      <c r="CT542" s="669">
        <f t="shared" ca="1" si="287"/>
        <v>5.5785714285714283</v>
      </c>
      <c r="CU542" s="1123">
        <f>MATCH(CZ549,'Resource use and costs'!$BA$11:$BA$53,0)</f>
        <v>30</v>
      </c>
      <c r="CV542" s="1223"/>
      <c r="CW542" s="1241">
        <f t="shared" si="278"/>
        <v>0</v>
      </c>
      <c r="CX542" s="899" t="s">
        <v>788</v>
      </c>
      <c r="CY542" s="899" t="s">
        <v>319</v>
      </c>
      <c r="CZ542" s="899" t="s">
        <v>765</v>
      </c>
      <c r="DA542" s="899"/>
      <c r="DB542" s="899"/>
      <c r="DC542" s="899" cm="1">
        <f t="array" aca="1" ref="DC542" ca="1">_xlfn.IFNA(OFFSET($I$49,MATCH(CY542,$I$50:$I$63,0),MATCH(CZ542,TRANSPOSE($J$49:$W$49),0)),0)</f>
        <v>0.3256</v>
      </c>
      <c r="DD542" s="899" cm="1">
        <f t="array" aca="1" ref="DD542" ca="1">_xlfn.IFNA(OFFSET($Y$49,MATCH($CZ542,$Y$50:$Y$63,0),MATCH($DA542,TRANSPOSE($Z$49:$AM$49),0)),0)</f>
        <v>0</v>
      </c>
      <c r="DE542" s="899" cm="1">
        <f t="array" aca="1" ref="DE542" ca="1">_xlfn.IFNA(OFFSET($AO$49,MATCH($DA542,$AO$50:$AO$63,0),MATCH($DB542,TRANSPOSE($AP$49:$BC$49),0)),0)</f>
        <v>0</v>
      </c>
      <c r="DF542" s="881">
        <f t="shared" ca="1" si="279"/>
        <v>0.3256</v>
      </c>
      <c r="DG542" s="910">
        <f t="shared" ca="1" si="277"/>
        <v>0.98859556831386541</v>
      </c>
      <c r="DH542" s="881">
        <f t="shared" ca="1" si="280"/>
        <v>0.3256</v>
      </c>
      <c r="DI542" s="1460">
        <f t="shared" ca="1" si="283"/>
        <v>33.862400000000001</v>
      </c>
      <c r="DJ542" s="909">
        <f>_xlfn.IFNA(INDEX('Resource use and costs'!$CQ$11:$CQ$53,MATCH($CZ542,'Resource use and costs'!$BA$11:$BA$53,0)),0)*_xlfn.IFNA(INDEX(DY$10:DY$23,MATCH($CZ542,$DX$10:$DX$23,0)),0)</f>
        <v>0</v>
      </c>
      <c r="DK542" s="909">
        <f>IF(dd_PartSA_2_lines = "Yes",0,_xlfn.IFNA(INDEX('Resource use and costs'!$CR$11:$CR$53,MATCH(DA542,'Resource use and costs'!$BA$11:$BA$53,0)),0)*_xlfn.IFNA(INDEX(EA$10:EA$23,MATCH($DA542,$DX$10:$DX$23,0)),0))</f>
        <v>0</v>
      </c>
      <c r="DL542" s="909">
        <f>IF(dd_PartSA_2_lines = "Yes",0,_xlfn.IFNA(INDEX('Resource use and costs'!$CS$11:$CS$53,MATCH(DB542,'Resource use and costs'!$BA$11:$BA$53,0)),0)*_xlfn.IFNA(INDEX(EC$10:EC$23,MATCH($DB542,$DX$10:$DX$23,0)),0))</f>
        <v>0</v>
      </c>
      <c r="DM542" s="909">
        <f t="shared" si="281"/>
        <v>0</v>
      </c>
      <c r="DN542" s="909">
        <f>SUM(_xlfn.IFNA(INDEX('Resource use and costs'!$DU$12:$DU$25,MATCH(CZ542,'Resource use and costs'!$DS$12:$DS$25,0)),0),_xlfn.IFNA(INDEX('Resource use and costs'!$DU$12:$DU$25,MATCH(DA542,'Resource use and costs'!$DS$12:$DS$25,0)),0),_xlfn.IFNA(INDEX('Resource use and costs'!$DU$12:$DU$25,MATCH(DB542,'Resource use and costs'!$DS$12:$DS$25,0)),0))</f>
        <v>0</v>
      </c>
      <c r="DO542" s="921">
        <f>_xlfn.IFNA(INDEX('Resource use and costs'!$DY$12:$DY$25,MATCH(CZ542,'Resource use and costs'!$DS$12:$DS$25,0)),0)*_xlfn.IFNA(INDEX(DY$10:DY$23,MATCH($CZ542,$DX$10:$DX$23,0)),0)</f>
        <v>0</v>
      </c>
      <c r="DP542" s="921">
        <f>IF(dd_PartSA_2_lines = "Yes",0,_xlfn.IFNA(INDEX('Resource use and costs'!$DZ$12:$DZ$25,MATCH(DA542,'Resource use and costs'!$DS$12:$DS$25,0)),0)*_xlfn.IFNA(INDEX(EA$10:EA$23,MATCH($DA542,$DX$10:$DX$23,0)),0))</f>
        <v>0</v>
      </c>
      <c r="DQ542" s="921">
        <f>IF(dd_PartSA_2_lines = "Yes",0,_xlfn.IFNA(INDEX('Resource use and costs'!$EA$12:$EA$25,MATCH(DB542,'Resource use and costs'!$DS$12:$DS$25,0)),0)*_xlfn.IFNA(INDEX(EC$10:EC$23,MATCH($DB542,$DX$10:$DX$23,0)),0))</f>
        <v>0</v>
      </c>
      <c r="DR542" s="921">
        <f t="shared" si="282"/>
        <v>0</v>
      </c>
      <c r="DS542" s="1004">
        <f>SUMIFS('Safety parameters'!$DM$6:$DM$18,'Safety parameters'!$DK$6:$DK$18,CZ542,'Safety parameters'!$DL$6:$DL$18,1)+IF(dd_PartSA_2_lines = "Yes",0,SUMIFS('Safety parameters'!$DM$6:$DM$18,'Safety parameters'!$DK$6:$DK$18,DA542,'Safety parameters'!$DL$6:$DL$18,2)+SUMIFS('Safety parameters'!$DM$6:$DM$18,'Safety parameters'!$DK$6:$DK$18,DB542,'Safety parameters'!$DL$6:$DL$18,2))</f>
        <v>0</v>
      </c>
      <c r="DT542" s="910">
        <f>SUMIFS('Safety parameters'!$DO$6:$DO$18,'Safety parameters'!$DK$6:$DK$18,CZ542,'Safety parameters'!$DL$6:$DL$18,1)+IF(dd_PartSA_2_lines = "Yes",0,SUMIFS('Safety parameters'!$DO$6:$DO$18,'Safety parameters'!$DK$6:$DK$18,DA542,'Safety parameters'!$DL$6:$DL$18,2)+SUMIFS('Safety parameters'!$DO$6:$DO$18,'Safety parameters'!$DK$6:$DK$18,DB542,'Safety parameters'!$DL$6:$DL$18,2))</f>
        <v>0</v>
      </c>
    </row>
    <row r="543" spans="89:124" ht="15" x14ac:dyDescent="0.2">
      <c r="CK543" s="61" t="s">
        <v>31</v>
      </c>
      <c r="CL543" s="61">
        <v>4</v>
      </c>
      <c r="CM543" s="61" t="str">
        <v>nivolumab_plus_ipilimumab</v>
      </c>
      <c r="CN543" s="17">
        <v>2</v>
      </c>
      <c r="CO543" s="61" t="str" cm="1">
        <f t="array" ref="CO543">INDEX(List_comparators,CP542+1)</f>
        <v>sunitinib</v>
      </c>
      <c r="CP543" s="17">
        <v>7</v>
      </c>
      <c r="CQ543" s="601">
        <f t="shared" ca="1" si="284"/>
        <v>0</v>
      </c>
      <c r="CR543" s="601">
        <f t="shared" ca="1" si="285"/>
        <v>0</v>
      </c>
      <c r="CS543" s="601">
        <f t="shared" ca="1" si="286"/>
        <v>21.714285714285712</v>
      </c>
      <c r="CT543" s="669">
        <f t="shared" ca="1" si="287"/>
        <v>5.5785714285714283</v>
      </c>
      <c r="CU543" s="1123">
        <f>MATCH(CZ550,'Resource use and costs'!$BA$11:$BA$53,0)</f>
        <v>30</v>
      </c>
      <c r="CV543" s="1223"/>
      <c r="CW543" s="1241">
        <f t="shared" si="278"/>
        <v>1</v>
      </c>
      <c r="CX543" s="899" t="s">
        <v>788</v>
      </c>
      <c r="CY543" s="899" t="s">
        <v>319</v>
      </c>
      <c r="CZ543" s="899" t="s">
        <v>118</v>
      </c>
      <c r="DA543" s="899" t="s">
        <v>327</v>
      </c>
      <c r="DB543" s="899" t="s">
        <v>765</v>
      </c>
      <c r="DC543" s="899" cm="1">
        <f t="array" aca="1" ref="DC543" ca="1">_xlfn.IFNA(OFFSET($I$49,MATCH(CY543,$I$50:$I$63,0),MATCH(CZ543,TRANSPOSE($J$49:$W$49),0)),0)</f>
        <v>0.12902805074146864</v>
      </c>
      <c r="DD543" s="899" cm="1">
        <f t="array" aca="1" ref="DD543" ca="1">_xlfn.IFNA(OFFSET($Y$49,MATCH($CZ543,$Y$50:$Y$63,0),MATCH($DA543,TRANSPOSE($Z$49:$AM$49),0)),0)</f>
        <v>0.122</v>
      </c>
      <c r="DE543" s="899" cm="1">
        <f t="array" aca="1" ref="DE543" ca="1">_xlfn.IFNA(OFFSET($AO$49,MATCH($DA543,$AO$50:$AO$63,0),MATCH($DB543,TRANSPOSE($AP$49:$BC$49),0)),0)</f>
        <v>0.43140000000000001</v>
      </c>
      <c r="DF543" s="881">
        <f t="shared" ca="1" si="279"/>
        <v>6.7908495329640876E-3</v>
      </c>
      <c r="DG543" s="910">
        <f t="shared" ca="1" si="277"/>
        <v>0.98859556831386541</v>
      </c>
      <c r="DH543" s="881">
        <f t="shared" ca="1" si="280"/>
        <v>6.7134037533745795E-3</v>
      </c>
      <c r="DI543" s="1460">
        <f t="shared" ca="1" si="283"/>
        <v>0.69819399035095631</v>
      </c>
      <c r="DJ543" s="909">
        <f>_xlfn.IFNA(INDEX('Resource use and costs'!$CQ$11:$CQ$53,MATCH($CZ543,'Resource use and costs'!$BA$11:$BA$53,0)),0)*_xlfn.IFNA(INDEX(DY$10:DY$23,MATCH($CZ543,$DX$10:$DX$23,0)),0)</f>
        <v>45284.183573333321</v>
      </c>
      <c r="DK543" s="909">
        <f>IF(dd_PartSA_2_lines = "Yes",0,_xlfn.IFNA(INDEX('Resource use and costs'!$CR$11:$CR$53,MATCH(DA543,'Resource use and costs'!$BA$11:$BA$53,0)),0)*_xlfn.IFNA(INDEX(EA$10:EA$23,MATCH($DA543,$DX$10:$DX$23,0)),0))</f>
        <v>21421.066008214286</v>
      </c>
      <c r="DL543" s="909">
        <f>IF(dd_PartSA_2_lines = "Yes",0,_xlfn.IFNA(INDEX('Resource use and costs'!$CS$11:$CS$53,MATCH(DB543,'Resource use and costs'!$BA$11:$BA$53,0)),0)*_xlfn.IFNA(INDEX(EC$10:EC$23,MATCH($DB543,$DX$10:$DX$23,0)),0))</f>
        <v>0</v>
      </c>
      <c r="DM543" s="909">
        <f t="shared" si="281"/>
        <v>66705.2495815476</v>
      </c>
      <c r="DN543" s="909">
        <f>SUM(_xlfn.IFNA(INDEX('Resource use and costs'!$DU$12:$DU$25,MATCH(CZ543,'Resource use and costs'!$DS$12:$DS$25,0)),0),_xlfn.IFNA(INDEX('Resource use and costs'!$DU$12:$DU$25,MATCH(DA543,'Resource use and costs'!$DS$12:$DS$25,0)),0),_xlfn.IFNA(INDEX('Resource use and costs'!$DU$12:$DU$25,MATCH(DB543,'Resource use and costs'!$DS$12:$DS$25,0)),0))</f>
        <v>394.5</v>
      </c>
      <c r="DO543" s="921">
        <f>_xlfn.IFNA(INDEX('Resource use and costs'!$DY$12:$DY$25,MATCH(CZ543,'Resource use and costs'!$DS$12:$DS$25,0)),0)*_xlfn.IFNA(INDEX(DY$10:DY$23,MATCH($CZ543,$DX$10:$DX$23,0)),0)</f>
        <v>415.09348571428563</v>
      </c>
      <c r="DP543" s="921">
        <f>IF(dd_PartSA_2_lines = "Yes",0,_xlfn.IFNA(INDEX('Resource use and costs'!$DZ$12:$DZ$25,MATCH(DA543,'Resource use and costs'!$DS$12:$DS$25,0)),0)*_xlfn.IFNA(INDEX(EA$10:EA$23,MATCH($DA543,$DX$10:$DX$23,0)),0))</f>
        <v>267.99172714285714</v>
      </c>
      <c r="DQ543" s="921">
        <f>IF(dd_PartSA_2_lines = "Yes",0,_xlfn.IFNA(INDEX('Resource use and costs'!$EA$12:$EA$25,MATCH(DB543,'Resource use and costs'!$DS$12:$DS$25,0)),0)*_xlfn.IFNA(INDEX(EC$10:EC$23,MATCH($DB543,$DX$10:$DX$23,0)),0))</f>
        <v>0</v>
      </c>
      <c r="DR543" s="921">
        <f t="shared" si="282"/>
        <v>1077.5852128571428</v>
      </c>
      <c r="DS543" s="1004">
        <f ca="1">SUMIFS('Safety parameters'!$DM$6:$DM$18,'Safety parameters'!$DK$6:$DK$18,CZ543,'Safety parameters'!$DL$6:$DL$18,1)+IF(dd_PartSA_2_lines = "Yes",0,SUMIFS('Safety parameters'!$DM$6:$DM$18,'Safety parameters'!$DK$6:$DK$18,DA543,'Safety parameters'!$DL$6:$DL$18,2)+SUMIFS('Safety parameters'!$DM$6:$DM$18,'Safety parameters'!$DK$6:$DK$18,DB543,'Safety parameters'!$DL$6:$DL$18,2))</f>
        <v>2366.0578362496171</v>
      </c>
      <c r="DT543" s="910">
        <f ca="1">SUMIFS('Safety parameters'!$DO$6:$DO$18,'Safety parameters'!$DK$6:$DK$18,CZ543,'Safety parameters'!$DL$6:$DL$18,1)+IF(dd_PartSA_2_lines = "Yes",0,SUMIFS('Safety parameters'!$DO$6:$DO$18,'Safety parameters'!$DK$6:$DK$18,DA543,'Safety parameters'!$DL$6:$DL$18,2)+SUMIFS('Safety parameters'!$DO$6:$DO$18,'Safety parameters'!$DK$6:$DK$18,DB543,'Safety parameters'!$DL$6:$DL$18,2))</f>
        <v>-2.125891351595622E-2</v>
      </c>
    </row>
    <row r="544" spans="89:124" ht="15" x14ac:dyDescent="0.2">
      <c r="CK544" s="61" t="s">
        <v>31</v>
      </c>
      <c r="CL544" s="61">
        <v>4</v>
      </c>
      <c r="CM544" s="61" t="str">
        <v>lenvatinib_plus_pembrolizumab</v>
      </c>
      <c r="CN544" s="17">
        <v>3</v>
      </c>
      <c r="CO544" s="61" t="str" cm="1">
        <f t="array" ref="CO544">INDEX(List_comparators,CP543+1)</f>
        <v>sunitinib</v>
      </c>
      <c r="CP544" s="17">
        <v>7</v>
      </c>
      <c r="CQ544" s="601">
        <f t="shared" ca="1" si="284"/>
        <v>0</v>
      </c>
      <c r="CR544" s="601">
        <f t="shared" ca="1" si="285"/>
        <v>0</v>
      </c>
      <c r="CS544" s="601">
        <f t="shared" ca="1" si="286"/>
        <v>21.714285714285712</v>
      </c>
      <c r="CT544" s="669">
        <f t="shared" ca="1" si="287"/>
        <v>5.5785714285714283</v>
      </c>
      <c r="CU544" s="1123">
        <f>MATCH(CZ551,'Resource use and costs'!$BA$11:$BA$53,0)</f>
        <v>37</v>
      </c>
      <c r="CV544" s="1223"/>
      <c r="CW544" s="1241">
        <f t="shared" si="278"/>
        <v>1</v>
      </c>
      <c r="CX544" s="899" t="s">
        <v>788</v>
      </c>
      <c r="CY544" s="899" t="s">
        <v>319</v>
      </c>
      <c r="CZ544" s="899" t="s">
        <v>118</v>
      </c>
      <c r="DA544" s="899" t="s">
        <v>327</v>
      </c>
      <c r="DB544" s="899" t="s">
        <v>119</v>
      </c>
      <c r="DC544" s="899" cm="1">
        <f t="array" aca="1" ref="DC544" ca="1">_xlfn.IFNA(OFFSET($I$49,MATCH(CY544,$I$50:$I$63,0),MATCH(CZ544,TRANSPOSE($J$49:$W$49),0)),0)</f>
        <v>0.12902805074146864</v>
      </c>
      <c r="DD544" s="899" cm="1">
        <f t="array" aca="1" ref="DD544" ca="1">_xlfn.IFNA(OFFSET($Y$49,MATCH($CZ544,$Y$50:$Y$63,0),MATCH($DA544,TRANSPOSE($Z$49:$AM$49),0)),0)</f>
        <v>0.122</v>
      </c>
      <c r="DE544" s="899" cm="1">
        <f t="array" aca="1" ref="DE544" ca="1">_xlfn.IFNA(OFFSET($AO$49,MATCH($DA544,$AO$50:$AO$63,0),MATCH($DB544,TRANSPOSE($AP$49:$BC$49),0)),0)</f>
        <v>0.56859999999999999</v>
      </c>
      <c r="DF544" s="881">
        <f t="shared" ca="1" si="279"/>
        <v>8.9505726574950865E-3</v>
      </c>
      <c r="DG544" s="910">
        <f t="shared" ca="1" si="277"/>
        <v>0.98859556831386541</v>
      </c>
      <c r="DH544" s="881">
        <f t="shared" ca="1" si="280"/>
        <v>8.8484964630709002E-3</v>
      </c>
      <c r="DI544" s="1460">
        <f t="shared" ca="1" si="283"/>
        <v>0.92024363215937366</v>
      </c>
      <c r="DJ544" s="909">
        <f>_xlfn.IFNA(INDEX('Resource use and costs'!$CQ$11:$CQ$53,MATCH($CZ544,'Resource use and costs'!$BA$11:$BA$53,0)),0)*_xlfn.IFNA(INDEX(DY$10:DY$23,MATCH($CZ544,$DX$10:$DX$23,0)),0)</f>
        <v>45284.183573333321</v>
      </c>
      <c r="DK544" s="909">
        <f>IF(dd_PartSA_2_lines = "Yes",0,_xlfn.IFNA(INDEX('Resource use and costs'!$CR$11:$CR$53,MATCH(DA544,'Resource use and costs'!$BA$11:$BA$53,0)),0)*_xlfn.IFNA(INDEX(EA$10:EA$23,MATCH($DA544,$DX$10:$DX$23,0)),0))</f>
        <v>21421.066008214286</v>
      </c>
      <c r="DL544" s="909">
        <f>IF(dd_PartSA_2_lines = "Yes",0,_xlfn.IFNA(INDEX('Resource use and costs'!$CS$11:$CS$53,MATCH(DB544,'Resource use and costs'!$BA$11:$BA$53,0)),0)*_xlfn.IFNA(INDEX(EC$10:EC$23,MATCH($DB544,$DX$10:$DX$23,0)),0))</f>
        <v>2915.4763433333328</v>
      </c>
      <c r="DM544" s="909">
        <f t="shared" si="281"/>
        <v>69620.725924880928</v>
      </c>
      <c r="DN544" s="909">
        <f>SUM(_xlfn.IFNA(INDEX('Resource use and costs'!$DU$12:$DU$25,MATCH(CZ544,'Resource use and costs'!$DS$12:$DS$25,0)),0),_xlfn.IFNA(INDEX('Resource use and costs'!$DU$12:$DU$25,MATCH(DA544,'Resource use and costs'!$DS$12:$DS$25,0)),0),_xlfn.IFNA(INDEX('Resource use and costs'!$DU$12:$DU$25,MATCH(DB544,'Resource use and costs'!$DS$12:$DS$25,0)),0))</f>
        <v>591.75</v>
      </c>
      <c r="DO544" s="921">
        <f>_xlfn.IFNA(INDEX('Resource use and costs'!$DY$12:$DY$25,MATCH(CZ544,'Resource use and costs'!$DS$12:$DS$25,0)),0)*_xlfn.IFNA(INDEX(DY$10:DY$23,MATCH($CZ544,$DX$10:$DX$23,0)),0)</f>
        <v>415.09348571428563</v>
      </c>
      <c r="DP544" s="921">
        <f>IF(dd_PartSA_2_lines = "Yes",0,_xlfn.IFNA(INDEX('Resource use and costs'!$DZ$12:$DZ$25,MATCH(DA544,'Resource use and costs'!$DS$12:$DS$25,0)),0)*_xlfn.IFNA(INDEX(EA$10:EA$23,MATCH($DA544,$DX$10:$DX$23,0)),0))</f>
        <v>267.99172714285714</v>
      </c>
      <c r="DQ544" s="921">
        <f>IF(dd_PartSA_2_lines = "Yes",0,_xlfn.IFNA(INDEX('Resource use and costs'!$EA$12:$EA$25,MATCH(DB544,'Resource use and costs'!$DS$12:$DS$25,0)),0)*_xlfn.IFNA(INDEX(EC$10:EC$23,MATCH($DB544,$DX$10:$DX$23,0)),0))</f>
        <v>256.11457142857142</v>
      </c>
      <c r="DR544" s="921">
        <f t="shared" si="282"/>
        <v>1530.9497842857143</v>
      </c>
      <c r="DS544" s="1004">
        <f ca="1">SUMIFS('Safety parameters'!$DM$6:$DM$18,'Safety parameters'!$DK$6:$DK$18,CZ544,'Safety parameters'!$DL$6:$DL$18,1)+IF(dd_PartSA_2_lines = "Yes",0,SUMIFS('Safety parameters'!$DM$6:$DM$18,'Safety parameters'!$DK$6:$DK$18,DA544,'Safety parameters'!$DL$6:$DL$18,2)+SUMIFS('Safety parameters'!$DM$6:$DM$18,'Safety parameters'!$DK$6:$DK$18,DB544,'Safety parameters'!$DL$6:$DL$18,2))</f>
        <v>2698.9332196249325</v>
      </c>
      <c r="DT544" s="910">
        <f ca="1">SUMIFS('Safety parameters'!$DO$6:$DO$18,'Safety parameters'!$DK$6:$DK$18,CZ544,'Safety parameters'!$DL$6:$DL$18,1)+IF(dd_PartSA_2_lines = "Yes",0,SUMIFS('Safety parameters'!$DO$6:$DO$18,'Safety parameters'!$DK$6:$DK$18,DA544,'Safety parameters'!$DL$6:$DL$18,2)+SUMIFS('Safety parameters'!$DO$6:$DO$18,'Safety parameters'!$DK$6:$DK$18,DB544,'Safety parameters'!$DL$6:$DL$18,2))</f>
        <v>-2.3926487052593939E-2</v>
      </c>
    </row>
    <row r="545" spans="89:124" ht="15" x14ac:dyDescent="0.2">
      <c r="CK545" s="61" t="s">
        <v>31</v>
      </c>
      <c r="CL545" s="61">
        <v>4</v>
      </c>
      <c r="CM545" s="61" t="str">
        <v>avelumab_plus_axitinib</v>
      </c>
      <c r="CN545" s="17">
        <v>4</v>
      </c>
      <c r="CO545" s="61" t="str" cm="1">
        <f t="array" ref="CO545">INDEX(List_comparators,CP544+1)</f>
        <v>sunitinib</v>
      </c>
      <c r="CP545" s="17">
        <v>7</v>
      </c>
      <c r="CQ545" s="601">
        <f t="shared" ca="1" si="284"/>
        <v>0</v>
      </c>
      <c r="CR545" s="601">
        <f t="shared" ca="1" si="285"/>
        <v>0</v>
      </c>
      <c r="CS545" s="601">
        <f t="shared" ca="1" si="286"/>
        <v>21.714285714285712</v>
      </c>
      <c r="CT545" s="669">
        <f t="shared" ca="1" si="287"/>
        <v>5.5785714285714283</v>
      </c>
      <c r="CU545" s="1123">
        <f>MATCH(CZ552,'Resource use and costs'!$BA$11:$BA$53,0)</f>
        <v>37</v>
      </c>
      <c r="CV545" s="1223"/>
      <c r="CW545" s="1241">
        <f t="shared" si="278"/>
        <v>1</v>
      </c>
      <c r="CX545" s="899" t="s">
        <v>788</v>
      </c>
      <c r="CY545" s="899" t="s">
        <v>319</v>
      </c>
      <c r="CZ545" s="899" t="s">
        <v>118</v>
      </c>
      <c r="DA545" s="899" t="s">
        <v>765</v>
      </c>
      <c r="DB545" s="899"/>
      <c r="DC545" s="899" cm="1">
        <f t="array" aca="1" ref="DC545" ca="1">_xlfn.IFNA(OFFSET($I$49,MATCH(CY545,$I$50:$I$63,0),MATCH(CZ545,TRANSPOSE($J$49:$W$49),0)),0)</f>
        <v>0.12902805074146864</v>
      </c>
      <c r="DD545" s="899" cm="1">
        <f t="array" aca="1" ref="DD545" ca="1">_xlfn.IFNA(OFFSET($Y$49,MATCH($CZ545,$Y$50:$Y$63,0),MATCH($DA545,TRANSPOSE($Z$49:$AM$49),0)),0)</f>
        <v>0.34300000000000003</v>
      </c>
      <c r="DE545" s="899" cm="1">
        <f t="array" aca="1" ref="DE545" ca="1">_xlfn.IFNA(OFFSET($AO$49,MATCH($DA545,$AO$50:$AO$63,0),MATCH($DB545,TRANSPOSE($AP$49:$BC$49),0)),0)</f>
        <v>0</v>
      </c>
      <c r="DF545" s="881">
        <f t="shared" ca="1" si="279"/>
        <v>4.4256621404323751E-2</v>
      </c>
      <c r="DG545" s="910">
        <f t="shared" ca="1" si="277"/>
        <v>0.98859556831386541</v>
      </c>
      <c r="DH545" s="881">
        <f t="shared" ca="1" si="280"/>
        <v>4.3751899788859017E-2</v>
      </c>
      <c r="DI545" s="1460">
        <f t="shared" ca="1" si="283"/>
        <v>4.5501975780413382</v>
      </c>
      <c r="DJ545" s="909">
        <f>_xlfn.IFNA(INDEX('Resource use and costs'!$CQ$11:$CQ$53,MATCH($CZ545,'Resource use and costs'!$BA$11:$BA$53,0)),0)*_xlfn.IFNA(INDEX(DY$10:DY$23,MATCH($CZ545,$DX$10:$DX$23,0)),0)</f>
        <v>45284.183573333321</v>
      </c>
      <c r="DK545" s="909">
        <f>IF(dd_PartSA_2_lines = "Yes",0,_xlfn.IFNA(INDEX('Resource use and costs'!$CR$11:$CR$53,MATCH(DA545,'Resource use and costs'!$BA$11:$BA$53,0)),0)*_xlfn.IFNA(INDEX(EA$10:EA$23,MATCH($DA545,$DX$10:$DX$23,0)),0))</f>
        <v>0</v>
      </c>
      <c r="DL545" s="909">
        <f>IF(dd_PartSA_2_lines = "Yes",0,_xlfn.IFNA(INDEX('Resource use and costs'!$CS$11:$CS$53,MATCH(DB545,'Resource use and costs'!$BA$11:$BA$53,0)),0)*_xlfn.IFNA(INDEX(EC$10:EC$23,MATCH($DB545,$DX$10:$DX$23,0)),0))</f>
        <v>0</v>
      </c>
      <c r="DM545" s="909">
        <f t="shared" si="281"/>
        <v>45284.183573333321</v>
      </c>
      <c r="DN545" s="909">
        <f>SUM(_xlfn.IFNA(INDEX('Resource use and costs'!$DU$12:$DU$25,MATCH(CZ545,'Resource use and costs'!$DS$12:$DS$25,0)),0),_xlfn.IFNA(INDEX('Resource use and costs'!$DU$12:$DU$25,MATCH(DA545,'Resource use and costs'!$DS$12:$DS$25,0)),0),_xlfn.IFNA(INDEX('Resource use and costs'!$DU$12:$DU$25,MATCH(DB545,'Resource use and costs'!$DS$12:$DS$25,0)),0))</f>
        <v>197.25</v>
      </c>
      <c r="DO545" s="921">
        <f>_xlfn.IFNA(INDEX('Resource use and costs'!$DY$12:$DY$25,MATCH(CZ545,'Resource use and costs'!$DS$12:$DS$25,0)),0)*_xlfn.IFNA(INDEX(DY$10:DY$23,MATCH($CZ545,$DX$10:$DX$23,0)),0)</f>
        <v>415.09348571428563</v>
      </c>
      <c r="DP545" s="921">
        <f>IF(dd_PartSA_2_lines = "Yes",0,_xlfn.IFNA(INDEX('Resource use and costs'!$DZ$12:$DZ$25,MATCH(DA545,'Resource use and costs'!$DS$12:$DS$25,0)),0)*_xlfn.IFNA(INDEX(EA$10:EA$23,MATCH($DA545,$DX$10:$DX$23,0)),0))</f>
        <v>0</v>
      </c>
      <c r="DQ545" s="921">
        <f>IF(dd_PartSA_2_lines = "Yes",0,_xlfn.IFNA(INDEX('Resource use and costs'!$EA$12:$EA$25,MATCH(DB545,'Resource use and costs'!$DS$12:$DS$25,0)),0)*_xlfn.IFNA(INDEX(EC$10:EC$23,MATCH($DB545,$DX$10:$DX$23,0)),0))</f>
        <v>0</v>
      </c>
      <c r="DR545" s="921">
        <f t="shared" si="282"/>
        <v>612.34348571428563</v>
      </c>
      <c r="DS545" s="1004">
        <f ca="1">SUMIFS('Safety parameters'!$DM$6:$DM$18,'Safety parameters'!$DK$6:$DK$18,CZ545,'Safety parameters'!$DL$6:$DL$18,1)+IF(dd_PartSA_2_lines = "Yes",0,SUMIFS('Safety parameters'!$DM$6:$DM$18,'Safety parameters'!$DK$6:$DK$18,DA545,'Safety parameters'!$DL$6:$DL$18,2)+SUMIFS('Safety parameters'!$DM$6:$DM$18,'Safety parameters'!$DK$6:$DK$18,DB545,'Safety parameters'!$DL$6:$DL$18,2))</f>
        <v>731.82916268415761</v>
      </c>
      <c r="DT545" s="910">
        <f ca="1">SUMIFS('Safety parameters'!$DO$6:$DO$18,'Safety parameters'!$DK$6:$DK$18,CZ545,'Safety parameters'!$DL$6:$DL$18,1)+IF(dd_PartSA_2_lines = "Yes",0,SUMIFS('Safety parameters'!$DO$6:$DO$18,'Safety parameters'!$DK$6:$DK$18,DA545,'Safety parameters'!$DL$6:$DL$18,2)+SUMIFS('Safety parameters'!$DO$6:$DO$18,'Safety parameters'!$DK$6:$DK$18,DB545,'Safety parameters'!$DL$6:$DL$18,2))</f>
        <v>-6.5169895084747891E-3</v>
      </c>
    </row>
    <row r="546" spans="89:124" ht="15" x14ac:dyDescent="0.2">
      <c r="CK546" s="61" t="s">
        <v>31</v>
      </c>
      <c r="CL546" s="61">
        <v>4</v>
      </c>
      <c r="CM546" s="61" t="str">
        <v>pazopanib</v>
      </c>
      <c r="CN546" s="17">
        <v>5</v>
      </c>
      <c r="CO546" s="61" t="str" cm="1">
        <f t="array" ref="CO546">INDEX(List_comparators,CP545+1)</f>
        <v>sunitinib</v>
      </c>
      <c r="CP546" s="17">
        <v>7</v>
      </c>
      <c r="CQ546" s="601">
        <f t="shared" ca="1" si="284"/>
        <v>0</v>
      </c>
      <c r="CR546" s="601">
        <f t="shared" ca="1" si="285"/>
        <v>0</v>
      </c>
      <c r="CS546" s="601">
        <f t="shared" ca="1" si="286"/>
        <v>21.714285714285712</v>
      </c>
      <c r="CT546" s="669">
        <f t="shared" ca="1" si="287"/>
        <v>5.5785714285714283</v>
      </c>
      <c r="CU546" s="1123">
        <f>MATCH(CZ553,'Resource use and costs'!$BA$11:$BA$53,0)</f>
        <v>37</v>
      </c>
      <c r="CV546" s="1223"/>
      <c r="CW546" s="1241">
        <f t="shared" si="278"/>
        <v>1</v>
      </c>
      <c r="CX546" s="899" t="s">
        <v>788</v>
      </c>
      <c r="CY546" s="899" t="s">
        <v>319</v>
      </c>
      <c r="CZ546" s="899" t="s">
        <v>118</v>
      </c>
      <c r="DA546" s="899" t="s">
        <v>119</v>
      </c>
      <c r="DB546" s="899" t="s">
        <v>327</v>
      </c>
      <c r="DC546" s="899" cm="1">
        <f t="array" aca="1" ref="DC546" ca="1">_xlfn.IFNA(OFFSET($I$49,MATCH(CY546,$I$50:$I$63,0),MATCH(CZ546,TRANSPOSE($J$49:$W$49),0)),0)</f>
        <v>0.12902805074146864</v>
      </c>
      <c r="DD546" s="899" cm="1">
        <f t="array" aca="1" ref="DD546" ca="1">_xlfn.IFNA(OFFSET($Y$49,MATCH($CZ546,$Y$50:$Y$63,0),MATCH($DA546,TRANSPOSE($Z$49:$AM$49),0)),0)</f>
        <v>6.5699999999999995E-2</v>
      </c>
      <c r="DE546" s="899" cm="1">
        <f t="array" aca="1" ref="DE546" ca="1">_xlfn.IFNA(OFFSET($AO$49,MATCH($DA546,$AO$50:$AO$63,0),MATCH($DB546,TRANSPOSE($AP$49:$BC$49),0)),0)</f>
        <v>0</v>
      </c>
      <c r="DF546" s="881">
        <f t="shared" ca="1" si="279"/>
        <v>0</v>
      </c>
      <c r="DG546" s="910">
        <f t="shared" ca="1" si="277"/>
        <v>0.98859556831386541</v>
      </c>
      <c r="DH546" s="881">
        <f t="shared" ca="1" si="280"/>
        <v>0</v>
      </c>
      <c r="DI546" s="1460">
        <f t="shared" ca="1" si="283"/>
        <v>0</v>
      </c>
      <c r="DJ546" s="909">
        <f>_xlfn.IFNA(INDEX('Resource use and costs'!$CQ$11:$CQ$53,MATCH($CZ546,'Resource use and costs'!$BA$11:$BA$53,0)),0)*_xlfn.IFNA(INDEX(DY$10:DY$23,MATCH($CZ546,$DX$10:$DX$23,0)),0)</f>
        <v>45284.183573333321</v>
      </c>
      <c r="DK546" s="909">
        <f>IF(dd_PartSA_2_lines = "Yes",0,_xlfn.IFNA(INDEX('Resource use and costs'!$CR$11:$CR$53,MATCH(DA546,'Resource use and costs'!$BA$11:$BA$53,0)),0)*_xlfn.IFNA(INDEX(EA$10:EA$23,MATCH($DA546,$DX$10:$DX$23,0)),0))</f>
        <v>848.17532499999982</v>
      </c>
      <c r="DL546" s="909">
        <f>IF(dd_PartSA_2_lines = "Yes",0,_xlfn.IFNA(INDEX('Resource use and costs'!$CS$11:$CS$53,MATCH(DB546,'Resource use and costs'!$BA$11:$BA$53,0)),0)*_xlfn.IFNA(INDEX(EC$10:EC$23,MATCH($DB546,$DX$10:$DX$23,0)),0))</f>
        <v>18438.751749999999</v>
      </c>
      <c r="DM546" s="909">
        <f t="shared" si="281"/>
        <v>64571.110648333313</v>
      </c>
      <c r="DN546" s="909">
        <f>SUM(_xlfn.IFNA(INDEX('Resource use and costs'!$DU$12:$DU$25,MATCH(CZ546,'Resource use and costs'!$DS$12:$DS$25,0)),0),_xlfn.IFNA(INDEX('Resource use and costs'!$DU$12:$DU$25,MATCH(DA546,'Resource use and costs'!$DS$12:$DS$25,0)),0),_xlfn.IFNA(INDEX('Resource use and costs'!$DU$12:$DU$25,MATCH(DB546,'Resource use and costs'!$DS$12:$DS$25,0)),0))</f>
        <v>591.75</v>
      </c>
      <c r="DO546" s="921">
        <f>_xlfn.IFNA(INDEX('Resource use and costs'!$DY$12:$DY$25,MATCH(CZ546,'Resource use and costs'!$DS$12:$DS$25,0)),0)*_xlfn.IFNA(INDEX(DY$10:DY$23,MATCH($CZ546,$DX$10:$DX$23,0)),0)</f>
        <v>415.09348571428563</v>
      </c>
      <c r="DP546" s="921">
        <f>IF(dd_PartSA_2_lines = "Yes",0,_xlfn.IFNA(INDEX('Resource use and costs'!$DZ$12:$DZ$25,MATCH(DA546,'Resource use and costs'!$DS$12:$DS$25,0)),0)*_xlfn.IFNA(INDEX(EA$10:EA$23,MATCH($DA546,$DX$10:$DX$23,0)),0))</f>
        <v>74.50928571428571</v>
      </c>
      <c r="DQ546" s="921">
        <f>IF(dd_PartSA_2_lines = "Yes",0,_xlfn.IFNA(INDEX('Resource use and costs'!$EA$12:$EA$25,MATCH(DB546,'Resource use and costs'!$DS$12:$DS$25,0)),0)*_xlfn.IFNA(INDEX(EC$10:EC$23,MATCH($DB546,$DX$10:$DX$23,0)),0))</f>
        <v>230.68099999999998</v>
      </c>
      <c r="DR546" s="921">
        <f t="shared" si="282"/>
        <v>1312.0337714285713</v>
      </c>
      <c r="DS546" s="1004">
        <f ca="1">SUMIFS('Safety parameters'!$DM$6:$DM$18,'Safety parameters'!$DK$6:$DK$18,CZ546,'Safety parameters'!$DL$6:$DL$18,1)+IF(dd_PartSA_2_lines = "Yes",0,SUMIFS('Safety parameters'!$DM$6:$DM$18,'Safety parameters'!$DK$6:$DK$18,DA546,'Safety parameters'!$DL$6:$DL$18,2)+SUMIFS('Safety parameters'!$DM$6:$DM$18,'Safety parameters'!$DK$6:$DK$18,DB546,'Safety parameters'!$DL$6:$DL$18,2))</f>
        <v>2698.9332196249325</v>
      </c>
      <c r="DT546" s="910">
        <f ca="1">SUMIFS('Safety parameters'!$DO$6:$DO$18,'Safety parameters'!$DK$6:$DK$18,CZ546,'Safety parameters'!$DL$6:$DL$18,1)+IF(dd_PartSA_2_lines = "Yes",0,SUMIFS('Safety parameters'!$DO$6:$DO$18,'Safety parameters'!$DK$6:$DK$18,DA546,'Safety parameters'!$DL$6:$DL$18,2)+SUMIFS('Safety parameters'!$DO$6:$DO$18,'Safety parameters'!$DK$6:$DK$18,DB546,'Safety parameters'!$DL$6:$DL$18,2))</f>
        <v>-2.3926487052593939E-2</v>
      </c>
    </row>
    <row r="547" spans="89:124" ht="15" x14ac:dyDescent="0.2">
      <c r="CK547" s="61" t="s">
        <v>31</v>
      </c>
      <c r="CL547" s="61">
        <v>4</v>
      </c>
      <c r="CM547" s="61" t="str">
        <v>tivozanib</v>
      </c>
      <c r="CN547" s="17">
        <v>6</v>
      </c>
      <c r="CO547" s="61" t="str" cm="1">
        <f t="array" ref="CO547">INDEX(List_comparators,CP546+1)</f>
        <v>sunitinib</v>
      </c>
      <c r="CP547" s="17">
        <v>7</v>
      </c>
      <c r="CQ547" s="601">
        <f t="shared" ca="1" si="284"/>
        <v>0</v>
      </c>
      <c r="CR547" s="601">
        <f t="shared" ca="1" si="285"/>
        <v>0</v>
      </c>
      <c r="CS547" s="601">
        <f t="shared" ca="1" si="286"/>
        <v>21.714285714285712</v>
      </c>
      <c r="CT547" s="669">
        <f t="shared" ca="1" si="287"/>
        <v>5.5785714285714283</v>
      </c>
      <c r="CU547" s="1123">
        <f>MATCH(CZ554,'Resource use and costs'!$BA$11:$BA$53,0)</f>
        <v>37</v>
      </c>
      <c r="CV547" s="1223"/>
      <c r="CW547" s="1241">
        <f t="shared" si="278"/>
        <v>1</v>
      </c>
      <c r="CX547" s="899" t="s">
        <v>788</v>
      </c>
      <c r="CY547" s="899" t="s">
        <v>319</v>
      </c>
      <c r="CZ547" s="899" t="s">
        <v>118</v>
      </c>
      <c r="DA547" s="899" t="s">
        <v>119</v>
      </c>
      <c r="DB547" s="899" t="s">
        <v>765</v>
      </c>
      <c r="DC547" s="899" cm="1">
        <f t="array" aca="1" ref="DC547" ca="1">_xlfn.IFNA(OFFSET($I$49,MATCH(CY547,$I$50:$I$63,0),MATCH(CZ547,TRANSPOSE($J$49:$W$49),0)),0)</f>
        <v>0.12902805074146864</v>
      </c>
      <c r="DD547" s="899" cm="1">
        <f t="array" aca="1" ref="DD547" ca="1">_xlfn.IFNA(OFFSET($Y$49,MATCH($CZ547,$Y$50:$Y$63,0),MATCH($DA547,TRANSPOSE($Z$49:$AM$49),0)),0)</f>
        <v>6.5699999999999995E-2</v>
      </c>
      <c r="DE547" s="899" cm="1">
        <f t="array" aca="1" ref="DE547" ca="1">_xlfn.IFNA(OFFSET($AO$49,MATCH($DA547,$AO$50:$AO$63,0),MATCH($DB547,TRANSPOSE($AP$49:$BC$49),0)),0)</f>
        <v>1</v>
      </c>
      <c r="DF547" s="881">
        <f t="shared" ca="1" si="279"/>
        <v>8.4771429337144894E-3</v>
      </c>
      <c r="DG547" s="910">
        <f t="shared" ca="1" si="277"/>
        <v>0.98859556831386541</v>
      </c>
      <c r="DH547" s="881">
        <f t="shared" ca="1" si="280"/>
        <v>8.3804659362333445E-3</v>
      </c>
      <c r="DI547" s="1460">
        <f t="shared" ca="1" si="283"/>
        <v>0.87156845736826782</v>
      </c>
      <c r="DJ547" s="909">
        <f>_xlfn.IFNA(INDEX('Resource use and costs'!$CQ$11:$CQ$53,MATCH($CZ547,'Resource use and costs'!$BA$11:$BA$53,0)),0)*_xlfn.IFNA(INDEX(DY$10:DY$23,MATCH($CZ547,$DX$10:$DX$23,0)),0)</f>
        <v>45284.183573333321</v>
      </c>
      <c r="DK547" s="909">
        <f>IF(dd_PartSA_2_lines = "Yes",0,_xlfn.IFNA(INDEX('Resource use and costs'!$CR$11:$CR$53,MATCH(DA547,'Resource use and costs'!$BA$11:$BA$53,0)),0)*_xlfn.IFNA(INDEX(EA$10:EA$23,MATCH($DA547,$DX$10:$DX$23,0)),0))</f>
        <v>848.17532499999982</v>
      </c>
      <c r="DL547" s="909">
        <f>IF(dd_PartSA_2_lines = "Yes",0,_xlfn.IFNA(INDEX('Resource use and costs'!$CS$11:$CS$53,MATCH(DB547,'Resource use and costs'!$BA$11:$BA$53,0)),0)*_xlfn.IFNA(INDEX(EC$10:EC$23,MATCH($DB547,$DX$10:$DX$23,0)),0))</f>
        <v>0</v>
      </c>
      <c r="DM547" s="909">
        <f t="shared" si="281"/>
        <v>46132.358898333317</v>
      </c>
      <c r="DN547" s="909">
        <f>SUM(_xlfn.IFNA(INDEX('Resource use and costs'!$DU$12:$DU$25,MATCH(CZ547,'Resource use and costs'!$DS$12:$DS$25,0)),0),_xlfn.IFNA(INDEX('Resource use and costs'!$DU$12:$DU$25,MATCH(DA547,'Resource use and costs'!$DS$12:$DS$25,0)),0),_xlfn.IFNA(INDEX('Resource use and costs'!$DU$12:$DU$25,MATCH(DB547,'Resource use and costs'!$DS$12:$DS$25,0)),0))</f>
        <v>394.5</v>
      </c>
      <c r="DO547" s="921">
        <f>_xlfn.IFNA(INDEX('Resource use and costs'!$DY$12:$DY$25,MATCH(CZ547,'Resource use and costs'!$DS$12:$DS$25,0)),0)*_xlfn.IFNA(INDEX(DY$10:DY$23,MATCH($CZ547,$DX$10:$DX$23,0)),0)</f>
        <v>415.09348571428563</v>
      </c>
      <c r="DP547" s="921">
        <f>IF(dd_PartSA_2_lines = "Yes",0,_xlfn.IFNA(INDEX('Resource use and costs'!$DZ$12:$DZ$25,MATCH(DA547,'Resource use and costs'!$DS$12:$DS$25,0)),0)*_xlfn.IFNA(INDEX(EA$10:EA$23,MATCH($DA547,$DX$10:$DX$23,0)),0))</f>
        <v>74.50928571428571</v>
      </c>
      <c r="DQ547" s="921">
        <f>IF(dd_PartSA_2_lines = "Yes",0,_xlfn.IFNA(INDEX('Resource use and costs'!$EA$12:$EA$25,MATCH(DB547,'Resource use and costs'!$DS$12:$DS$25,0)),0)*_xlfn.IFNA(INDEX(EC$10:EC$23,MATCH($DB547,$DX$10:$DX$23,0)),0))</f>
        <v>0</v>
      </c>
      <c r="DR547" s="921">
        <f t="shared" si="282"/>
        <v>884.10277142857137</v>
      </c>
      <c r="DS547" s="1004">
        <f ca="1">SUMIFS('Safety parameters'!$DM$6:$DM$18,'Safety parameters'!$DK$6:$DK$18,CZ547,'Safety parameters'!$DL$6:$DL$18,1)+IF(dd_PartSA_2_lines = "Yes",0,SUMIFS('Safety parameters'!$DM$6:$DM$18,'Safety parameters'!$DK$6:$DK$18,DA547,'Safety parameters'!$DL$6:$DL$18,2)+SUMIFS('Safety parameters'!$DM$6:$DM$18,'Safety parameters'!$DK$6:$DK$18,DB547,'Safety parameters'!$DL$6:$DL$18,2))</f>
        <v>1064.7045460594725</v>
      </c>
      <c r="DT547" s="910">
        <f ca="1">SUMIFS('Safety parameters'!$DO$6:$DO$18,'Safety parameters'!$DK$6:$DK$18,CZ547,'Safety parameters'!$DL$6:$DL$18,1)+IF(dd_PartSA_2_lines = "Yes",0,SUMIFS('Safety parameters'!$DO$6:$DO$18,'Safety parameters'!$DK$6:$DK$18,DA547,'Safety parameters'!$DL$6:$DL$18,2)+SUMIFS('Safety parameters'!$DO$6:$DO$18,'Safety parameters'!$DK$6:$DK$18,DB547,'Safety parameters'!$DL$6:$DL$18,2))</f>
        <v>-9.184563045112509E-3</v>
      </c>
    </row>
    <row r="548" spans="89:124" ht="15" x14ac:dyDescent="0.2">
      <c r="CK548" s="61" t="s">
        <v>31</v>
      </c>
      <c r="CL548" s="61">
        <v>4</v>
      </c>
      <c r="CM548" s="61" t="str">
        <v>sunitinib</v>
      </c>
      <c r="CN548" s="17">
        <v>7</v>
      </c>
      <c r="CO548" s="61" t="str" cm="1">
        <f t="array" ref="CO548">INDEX(List_comparators,CP547+1)</f>
        <v>sunitinib</v>
      </c>
      <c r="CP548" s="17">
        <v>7</v>
      </c>
      <c r="CQ548" s="601">
        <f t="shared" ca="1" si="284"/>
        <v>0</v>
      </c>
      <c r="CR548" s="601">
        <f t="shared" ca="1" si="285"/>
        <v>0</v>
      </c>
      <c r="CS548" s="601">
        <f t="shared" ca="1" si="286"/>
        <v>21.714285714285712</v>
      </c>
      <c r="CT548" s="669">
        <f t="shared" ca="1" si="287"/>
        <v>5.5785714285714283</v>
      </c>
      <c r="CU548" s="1123">
        <f>MATCH(CZ555,'Resource use and costs'!$BA$11:$BA$53,0)</f>
        <v>37</v>
      </c>
      <c r="CV548" s="1223"/>
      <c r="CW548" s="1241">
        <f t="shared" si="278"/>
        <v>1</v>
      </c>
      <c r="CX548" s="899" t="s">
        <v>788</v>
      </c>
      <c r="CY548" s="899" t="s">
        <v>319</v>
      </c>
      <c r="CZ548" s="899" t="s">
        <v>118</v>
      </c>
      <c r="DA548" s="899" t="s">
        <v>579</v>
      </c>
      <c r="DB548" s="899" t="s">
        <v>327</v>
      </c>
      <c r="DC548" s="899" cm="1">
        <f t="array" aca="1" ref="DC548" ca="1">_xlfn.IFNA(OFFSET($I$49,MATCH(CY548,$I$50:$I$63,0),MATCH(CZ548,TRANSPOSE($J$49:$W$49),0)),0)</f>
        <v>0.12902805074146864</v>
      </c>
      <c r="DD548" s="899">
        <f ca="1">1-DD543-DD545-DD546</f>
        <v>0.46929999999999994</v>
      </c>
      <c r="DE548" s="899" cm="1">
        <f t="array" aca="1" ref="DE548" ca="1">_xlfn.IFNA(OFFSET($AO$49,MATCH($DA548,$AO$50:$AO$63,0),MATCH($DB548,TRANSPOSE($AP$49:$BC$49),0)),0)</f>
        <v>0.56859999999999999</v>
      </c>
      <c r="DF548" s="881">
        <f t="shared" ca="1" si="279"/>
        <v>3.4430358591495437E-2</v>
      </c>
      <c r="DG548" s="910">
        <f t="shared" ca="1" si="277"/>
        <v>0.98859556831386541</v>
      </c>
      <c r="DH548" s="881">
        <f t="shared" ca="1" si="280"/>
        <v>3.4037699919009609E-2</v>
      </c>
      <c r="DI548" s="1460">
        <f t="shared" ca="1" si="283"/>
        <v>3.5399207915769995</v>
      </c>
      <c r="DJ548" s="909">
        <f>_xlfn.IFNA(INDEX('Resource use and costs'!$CQ$11:$CQ$53,MATCH($CZ548,'Resource use and costs'!$BA$11:$BA$53,0)),0)*_xlfn.IFNA(INDEX(DY$10:DY$23,MATCH($CZ548,$DX$10:$DX$23,0)),0)</f>
        <v>45284.183573333321</v>
      </c>
      <c r="DK548" s="909">
        <f>IF(dd_PartSA_2_lines = "Yes",0,_xlfn.IFNA(INDEX('Resource use and costs'!$CR$11:$CR$53,MATCH(DA548,'Resource use and costs'!$BA$11:$BA$53,0)),0)*_xlfn.IFNA(INDEX(EA$10:EA$23,MATCH($DA548,$DX$10:$DX$23,0)),0))</f>
        <v>26054.50921</v>
      </c>
      <c r="DL548" s="909">
        <f>IF(dd_PartSA_2_lines = "Yes",0,_xlfn.IFNA(INDEX('Resource use and costs'!$CS$11:$CS$53,MATCH(DB548,'Resource use and costs'!$BA$11:$BA$53,0)),0)*_xlfn.IFNA(INDEX(EC$10:EC$23,MATCH($DB548,$DX$10:$DX$23,0)),0))</f>
        <v>18438.751749999999</v>
      </c>
      <c r="DM548" s="909">
        <f t="shared" si="281"/>
        <v>89777.444533333313</v>
      </c>
      <c r="DN548" s="909">
        <f>SUM(_xlfn.IFNA(INDEX('Resource use and costs'!$DU$12:$DU$25,MATCH(CZ548,'Resource use and costs'!$DS$12:$DS$25,0)),0),_xlfn.IFNA(INDEX('Resource use and costs'!$DU$12:$DU$25,MATCH(DA548,'Resource use and costs'!$DS$12:$DS$25,0)),0),_xlfn.IFNA(INDEX('Resource use and costs'!$DU$12:$DU$25,MATCH(DB548,'Resource use and costs'!$DS$12:$DS$25,0)),0))</f>
        <v>394.5</v>
      </c>
      <c r="DO548" s="921">
        <f>_xlfn.IFNA(INDEX('Resource use and costs'!$DY$12:$DY$25,MATCH(CZ548,'Resource use and costs'!$DS$12:$DS$25,0)),0)*_xlfn.IFNA(INDEX(DY$10:DY$23,MATCH($CZ548,$DX$10:$DX$23,0)),0)</f>
        <v>415.09348571428563</v>
      </c>
      <c r="DP548" s="921">
        <f>IF(dd_PartSA_2_lines = "Yes",0,_xlfn.IFNA(INDEX('Resource use and costs'!$DZ$12:$DZ$25,MATCH(DA548,'Resource use and costs'!$DS$12:$DS$25,0)),0)*_xlfn.IFNA(INDEX(EA$10:EA$23,MATCH($DA548,$DX$10:$DX$23,0)),0))</f>
        <v>4108.3597166</v>
      </c>
      <c r="DQ548" s="921">
        <f>IF(dd_PartSA_2_lines = "Yes",0,_xlfn.IFNA(INDEX('Resource use and costs'!$EA$12:$EA$25,MATCH(DB548,'Resource use and costs'!$DS$12:$DS$25,0)),0)*_xlfn.IFNA(INDEX(EC$10:EC$23,MATCH($DB548,$DX$10:$DX$23,0)),0))</f>
        <v>230.68099999999998</v>
      </c>
      <c r="DR548" s="921">
        <f t="shared" si="282"/>
        <v>5148.6342023142852</v>
      </c>
      <c r="DS548" s="1004">
        <f ca="1">SUMIFS('Safety parameters'!$DM$6:$DM$18,'Safety parameters'!$DK$6:$DK$18,CZ548,'Safety parameters'!$DL$6:$DL$18,1)+IF(dd_PartSA_2_lines = "Yes",0,SUMIFS('Safety parameters'!$DM$6:$DM$18,'Safety parameters'!$DK$6:$DK$18,DA548,'Safety parameters'!$DL$6:$DL$18,2)+SUMIFS('Safety parameters'!$DM$6:$DM$18,'Safety parameters'!$DK$6:$DK$18,DB548,'Safety parameters'!$DL$6:$DL$18,2))</f>
        <v>2527.1915852400316</v>
      </c>
      <c r="DT548" s="910">
        <f ca="1">SUMIFS('Safety parameters'!$DO$6:$DO$18,'Safety parameters'!$DK$6:$DK$18,CZ548,'Safety parameters'!$DL$6:$DL$18,1)+IF(dd_PartSA_2_lines = "Yes",0,SUMIFS('Safety parameters'!$DO$6:$DO$18,'Safety parameters'!$DK$6:$DK$18,DA548,'Safety parameters'!$DL$6:$DL$18,2)+SUMIFS('Safety parameters'!$DO$6:$DO$18,'Safety parameters'!$DK$6:$DK$18,DB548,'Safety parameters'!$DL$6:$DL$18,2))</f>
        <v>-2.2855997713641003E-2</v>
      </c>
    </row>
    <row r="549" spans="89:124" ht="15" x14ac:dyDescent="0.2">
      <c r="CK549" s="61" t="s">
        <v>31</v>
      </c>
      <c r="CL549" s="61">
        <v>4</v>
      </c>
      <c r="CM549" s="61" t="str">
        <v>cabozantinib</v>
      </c>
      <c r="CN549" s="17">
        <v>8</v>
      </c>
      <c r="CO549" s="61" t="str" cm="1">
        <f t="array" ref="CO549">INDEX(List_comparators,CP548+1)</f>
        <v>sunitinib</v>
      </c>
      <c r="CP549" s="17">
        <v>7</v>
      </c>
      <c r="CQ549" s="601">
        <f t="shared" ca="1" si="284"/>
        <v>0</v>
      </c>
      <c r="CR549" s="601">
        <f t="shared" ca="1" si="285"/>
        <v>0</v>
      </c>
      <c r="CS549" s="601">
        <f t="shared" ca="1" si="286"/>
        <v>21.714285714285712</v>
      </c>
      <c r="CT549" s="669">
        <f t="shared" ca="1" si="287"/>
        <v>5.5785714285714283</v>
      </c>
      <c r="CU549" s="1123">
        <f>MATCH(CZ556,'Resource use and costs'!$BA$11:$BA$53,0)</f>
        <v>37</v>
      </c>
      <c r="CV549" s="1223"/>
      <c r="CW549" s="1241">
        <f t="shared" si="278"/>
        <v>1</v>
      </c>
      <c r="CX549" s="899" t="s">
        <v>788</v>
      </c>
      <c r="CY549" s="899" t="s">
        <v>319</v>
      </c>
      <c r="CZ549" s="899" t="s">
        <v>118</v>
      </c>
      <c r="DA549" s="899" t="s">
        <v>579</v>
      </c>
      <c r="DB549" s="899" t="s">
        <v>765</v>
      </c>
      <c r="DC549" s="899" cm="1">
        <f t="array" aca="1" ref="DC549" ca="1">_xlfn.IFNA(OFFSET($I$49,MATCH(CY549,$I$50:$I$63,0),MATCH(CZ549,TRANSPOSE($J$49:$W$49),0)),0)</f>
        <v>0.12902805074146864</v>
      </c>
      <c r="DD549" s="899">
        <f ca="1">DD548</f>
        <v>0.46929999999999994</v>
      </c>
      <c r="DE549" s="899" cm="1">
        <f t="array" aca="1" ref="DE549" ca="1">_xlfn.IFNA(OFFSET($AO$49,MATCH($DA549,$AO$50:$AO$63,0),MATCH($DB549,TRANSPOSE($AP$49:$BC$49),0)),0)</f>
        <v>0.43140000000000001</v>
      </c>
      <c r="DF549" s="881">
        <f t="shared" ca="1" si="279"/>
        <v>2.6122505621475788E-2</v>
      </c>
      <c r="DG549" s="910">
        <f t="shared" ca="1" si="277"/>
        <v>0.98859556831386541</v>
      </c>
      <c r="DH549" s="881">
        <f t="shared" ca="1" si="280"/>
        <v>2.5824593290645001E-2</v>
      </c>
      <c r="DI549" s="1460">
        <f t="shared" ca="1" si="283"/>
        <v>2.6857577022270802</v>
      </c>
      <c r="DJ549" s="909">
        <f>_xlfn.IFNA(INDEX('Resource use and costs'!$CQ$11:$CQ$53,MATCH($CZ549,'Resource use and costs'!$BA$11:$BA$53,0)),0)*_xlfn.IFNA(INDEX(DY$10:DY$23,MATCH($CZ549,$DX$10:$DX$23,0)),0)</f>
        <v>45284.183573333321</v>
      </c>
      <c r="DK549" s="909">
        <f>IF(dd_PartSA_2_lines = "Yes",0,_xlfn.IFNA(INDEX('Resource use and costs'!$CR$11:$CR$53,MATCH(DA549,'Resource use and costs'!$BA$11:$BA$53,0)),0)*_xlfn.IFNA(INDEX(EA$10:EA$23,MATCH($DA549,$DX$10:$DX$23,0)),0))</f>
        <v>26054.50921</v>
      </c>
      <c r="DL549" s="909">
        <f>IF(dd_PartSA_2_lines = "Yes",0,_xlfn.IFNA(INDEX('Resource use and costs'!$CS$11:$CS$53,MATCH(DB549,'Resource use and costs'!$BA$11:$BA$53,0)),0)*_xlfn.IFNA(INDEX(EC$10:EC$23,MATCH($DB549,$DX$10:$DX$23,0)),0))</f>
        <v>0</v>
      </c>
      <c r="DM549" s="909">
        <f t="shared" si="281"/>
        <v>71338.692783333317</v>
      </c>
      <c r="DN549" s="909">
        <f>SUM(_xlfn.IFNA(INDEX('Resource use and costs'!$DU$12:$DU$25,MATCH(CZ549,'Resource use and costs'!$DS$12:$DS$25,0)),0),_xlfn.IFNA(INDEX('Resource use and costs'!$DU$12:$DU$25,MATCH(DA549,'Resource use and costs'!$DS$12:$DS$25,0)),0),_xlfn.IFNA(INDEX('Resource use and costs'!$DU$12:$DU$25,MATCH(DB549,'Resource use and costs'!$DS$12:$DS$25,0)),0))</f>
        <v>197.25</v>
      </c>
      <c r="DO549" s="921">
        <f>_xlfn.IFNA(INDEX('Resource use and costs'!$DY$12:$DY$25,MATCH(CZ549,'Resource use and costs'!$DS$12:$DS$25,0)),0)*_xlfn.IFNA(INDEX(DY$10:DY$23,MATCH($CZ549,$DX$10:$DX$23,0)),0)</f>
        <v>415.09348571428563</v>
      </c>
      <c r="DP549" s="921">
        <f>IF(dd_PartSA_2_lines = "Yes",0,_xlfn.IFNA(INDEX('Resource use and costs'!$DZ$12:$DZ$25,MATCH(DA549,'Resource use and costs'!$DS$12:$DS$25,0)),0)*_xlfn.IFNA(INDEX(EA$10:EA$23,MATCH($DA549,$DX$10:$DX$23,0)),0))</f>
        <v>4108.3597166</v>
      </c>
      <c r="DQ549" s="921">
        <f>IF(dd_PartSA_2_lines = "Yes",0,_xlfn.IFNA(INDEX('Resource use and costs'!$EA$12:$EA$25,MATCH(DB549,'Resource use and costs'!$DS$12:$DS$25,0)),0)*_xlfn.IFNA(INDEX(EC$10:EC$23,MATCH($DB549,$DX$10:$DX$23,0)),0))</f>
        <v>0</v>
      </c>
      <c r="DR549" s="921">
        <f t="shared" si="282"/>
        <v>4720.7032023142856</v>
      </c>
      <c r="DS549" s="1004">
        <f ca="1">SUMIFS('Safety parameters'!$DM$6:$DM$18,'Safety parameters'!$DK$6:$DK$18,CZ549,'Safety parameters'!$DL$6:$DL$18,1)+IF(dd_PartSA_2_lines = "Yes",0,SUMIFS('Safety parameters'!$DM$6:$DM$18,'Safety parameters'!$DK$6:$DK$18,DA549,'Safety parameters'!$DL$6:$DL$18,2)+SUMIFS('Safety parameters'!$DM$6:$DM$18,'Safety parameters'!$DK$6:$DK$18,DB549,'Safety parameters'!$DL$6:$DL$18,2))</f>
        <v>892.96291167457207</v>
      </c>
      <c r="DT549" s="910">
        <f ca="1">SUMIFS('Safety parameters'!$DO$6:$DO$18,'Safety parameters'!$DK$6:$DK$18,CZ549,'Safety parameters'!$DL$6:$DL$18,1)+IF(dd_PartSA_2_lines = "Yes",0,SUMIFS('Safety parameters'!$DO$6:$DO$18,'Safety parameters'!$DK$6:$DK$18,DA549,'Safety parameters'!$DL$6:$DL$18,2)+SUMIFS('Safety parameters'!$DO$6:$DO$18,'Safety parameters'!$DK$6:$DK$18,DB549,'Safety parameters'!$DL$6:$DL$18,2))</f>
        <v>-8.1140737061595747E-3</v>
      </c>
    </row>
    <row r="550" spans="89:124" ht="15" x14ac:dyDescent="0.2">
      <c r="CK550" s="61" t="s">
        <v>31</v>
      </c>
      <c r="CL550" s="61">
        <v>4</v>
      </c>
      <c r="CM550" s="61" t="str">
        <v>lenvatinib_plus_everolimus</v>
      </c>
      <c r="CN550" s="17">
        <v>9</v>
      </c>
      <c r="CO550" s="61" t="str" cm="1">
        <f t="array" ref="CO550">INDEX(List_comparators,CP549+1)</f>
        <v>sunitinib</v>
      </c>
      <c r="CP550" s="17">
        <v>7</v>
      </c>
      <c r="CQ550" s="601">
        <f t="shared" ca="1" si="284"/>
        <v>0</v>
      </c>
      <c r="CR550" s="601">
        <f t="shared" ca="1" si="285"/>
        <v>0</v>
      </c>
      <c r="CS550" s="601">
        <f t="shared" ca="1" si="286"/>
        <v>21.714285714285712</v>
      </c>
      <c r="CT550" s="669">
        <f t="shared" ca="1" si="287"/>
        <v>5.5785714285714283</v>
      </c>
      <c r="CU550" s="1123">
        <f>MATCH(CZ557,'Resource use and costs'!$BA$11:$BA$53,0)</f>
        <v>43</v>
      </c>
      <c r="CV550" s="1223"/>
      <c r="CW550" s="1241">
        <f t="shared" si="278"/>
        <v>1</v>
      </c>
      <c r="CX550" s="899" t="s">
        <v>788</v>
      </c>
      <c r="CY550" s="899" t="s">
        <v>319</v>
      </c>
      <c r="CZ550" s="899" t="s">
        <v>118</v>
      </c>
      <c r="DA550" s="899" t="s">
        <v>579</v>
      </c>
      <c r="DB550" s="899" t="s">
        <v>119</v>
      </c>
      <c r="DC550" s="899" cm="1">
        <f t="array" aca="1" ref="DC550" ca="1">_xlfn.IFNA(OFFSET($I$49,MATCH(CY550,$I$50:$I$63,0),MATCH(CZ550,TRANSPOSE($J$49:$W$49),0)),0)</f>
        <v>0.12902805074146864</v>
      </c>
      <c r="DD550" s="899">
        <f ca="1">DD549</f>
        <v>0.46929999999999994</v>
      </c>
      <c r="DE550" s="899" cm="1">
        <f t="array" aca="1" ref="DE550" ca="1">_xlfn.IFNA(OFFSET($AO$49,MATCH($DA550,$AO$50:$AO$63,0),MATCH($DB550,TRANSPOSE($AP$49:$BC$49),0)),0)</f>
        <v>0</v>
      </c>
      <c r="DF550" s="881">
        <f t="shared" ca="1" si="279"/>
        <v>0</v>
      </c>
      <c r="DG550" s="910">
        <f t="shared" ca="1" si="277"/>
        <v>0.98859556831386541</v>
      </c>
      <c r="DH550" s="881">
        <f t="shared" ca="1" si="280"/>
        <v>0</v>
      </c>
      <c r="DI550" s="1460">
        <f t="shared" ca="1" si="283"/>
        <v>0</v>
      </c>
      <c r="DJ550" s="909">
        <f>_xlfn.IFNA(INDEX('Resource use and costs'!$CQ$11:$CQ$53,MATCH($CZ550,'Resource use and costs'!$BA$11:$BA$53,0)),0)*_xlfn.IFNA(INDEX(DY$10:DY$23,MATCH($CZ550,$DX$10:$DX$23,0)),0)</f>
        <v>45284.183573333321</v>
      </c>
      <c r="DK550" s="909">
        <f>IF(dd_PartSA_2_lines = "Yes",0,_xlfn.IFNA(INDEX('Resource use and costs'!$CR$11:$CR$53,MATCH(DA550,'Resource use and costs'!$BA$11:$BA$53,0)),0)*_xlfn.IFNA(INDEX(EA$10:EA$23,MATCH($DA550,$DX$10:$DX$23,0)),0))</f>
        <v>26054.50921</v>
      </c>
      <c r="DL550" s="909">
        <f>IF(dd_PartSA_2_lines = "Yes",0,_xlfn.IFNA(INDEX('Resource use and costs'!$CS$11:$CS$53,MATCH(DB550,'Resource use and costs'!$BA$11:$BA$53,0)),0)*_xlfn.IFNA(INDEX(EC$10:EC$23,MATCH($DB550,$DX$10:$DX$23,0)),0))</f>
        <v>2915.4763433333328</v>
      </c>
      <c r="DM550" s="909">
        <f t="shared" si="281"/>
        <v>74254.169126666646</v>
      </c>
      <c r="DN550" s="909">
        <f>SUM(_xlfn.IFNA(INDEX('Resource use and costs'!$DU$12:$DU$25,MATCH(CZ550,'Resource use and costs'!$DS$12:$DS$25,0)),0),_xlfn.IFNA(INDEX('Resource use and costs'!$DU$12:$DU$25,MATCH(DA550,'Resource use and costs'!$DS$12:$DS$25,0)),0),_xlfn.IFNA(INDEX('Resource use and costs'!$DU$12:$DU$25,MATCH(DB550,'Resource use and costs'!$DS$12:$DS$25,0)),0))</f>
        <v>394.5</v>
      </c>
      <c r="DO550" s="921">
        <f>_xlfn.IFNA(INDEX('Resource use and costs'!$DY$12:$DY$25,MATCH(CZ550,'Resource use and costs'!$DS$12:$DS$25,0)),0)*_xlfn.IFNA(INDEX(DY$10:DY$23,MATCH($CZ550,$DX$10:$DX$23,0)),0)</f>
        <v>415.09348571428563</v>
      </c>
      <c r="DP550" s="921">
        <f>IF(dd_PartSA_2_lines = "Yes",0,_xlfn.IFNA(INDEX('Resource use and costs'!$DZ$12:$DZ$25,MATCH(DA550,'Resource use and costs'!$DS$12:$DS$25,0)),0)*_xlfn.IFNA(INDEX(EA$10:EA$23,MATCH($DA550,$DX$10:$DX$23,0)),0))</f>
        <v>4108.3597166</v>
      </c>
      <c r="DQ550" s="921">
        <f>IF(dd_PartSA_2_lines = "Yes",0,_xlfn.IFNA(INDEX('Resource use and costs'!$EA$12:$EA$25,MATCH(DB550,'Resource use and costs'!$DS$12:$DS$25,0)),0)*_xlfn.IFNA(INDEX(EC$10:EC$23,MATCH($DB550,$DX$10:$DX$23,0)),0))</f>
        <v>256.11457142857142</v>
      </c>
      <c r="DR550" s="921">
        <f t="shared" si="282"/>
        <v>5174.0677737428568</v>
      </c>
      <c r="DS550" s="1004">
        <f ca="1">SUMIFS('Safety parameters'!$DM$6:$DM$18,'Safety parameters'!$DK$6:$DK$18,CZ550,'Safety parameters'!$DL$6:$DL$18,1)+IF(dd_PartSA_2_lines = "Yes",0,SUMIFS('Safety parameters'!$DM$6:$DM$18,'Safety parameters'!$DK$6:$DK$18,DA550,'Safety parameters'!$DL$6:$DL$18,2)+SUMIFS('Safety parameters'!$DM$6:$DM$18,'Safety parameters'!$DK$6:$DK$18,DB550,'Safety parameters'!$DL$6:$DL$18,2))</f>
        <v>1225.8382950498869</v>
      </c>
      <c r="DT550" s="910">
        <f ca="1">SUMIFS('Safety parameters'!$DO$6:$DO$18,'Safety parameters'!$DK$6:$DK$18,CZ550,'Safety parameters'!$DL$6:$DL$18,1)+IF(dd_PartSA_2_lines = "Yes",0,SUMIFS('Safety parameters'!$DO$6:$DO$18,'Safety parameters'!$DK$6:$DK$18,DA550,'Safety parameters'!$DL$6:$DL$18,2)+SUMIFS('Safety parameters'!$DO$6:$DO$18,'Safety parameters'!$DK$6:$DK$18,DB550,'Safety parameters'!$DL$6:$DL$18,2))</f>
        <v>-1.0781647242797295E-2</v>
      </c>
    </row>
    <row r="551" spans="89:124" ht="15" x14ac:dyDescent="0.2">
      <c r="CK551" s="61" t="s">
        <v>31</v>
      </c>
      <c r="CL551" s="61">
        <v>4</v>
      </c>
      <c r="CM551" s="61" t="str">
        <v>everolimus</v>
      </c>
      <c r="CN551" s="17">
        <v>10</v>
      </c>
      <c r="CO551" s="61" t="str" cm="1">
        <f t="array" ref="CO551">INDEX(List_comparators,CP550+1)</f>
        <v>sunitinib</v>
      </c>
      <c r="CP551" s="17">
        <v>7</v>
      </c>
      <c r="CQ551" s="601">
        <f t="shared" ca="1" si="284"/>
        <v>0</v>
      </c>
      <c r="CR551" s="601">
        <f t="shared" ca="1" si="285"/>
        <v>0</v>
      </c>
      <c r="CS551" s="601">
        <f t="shared" ca="1" si="286"/>
        <v>21.714285714285712</v>
      </c>
      <c r="CT551" s="669">
        <f t="shared" ca="1" si="287"/>
        <v>5.5785714285714283</v>
      </c>
      <c r="CU551" s="1123">
        <f>MATCH(CZ558,'Resource use and costs'!$BA$11:$BA$53,0)</f>
        <v>43</v>
      </c>
      <c r="CV551" s="1223"/>
      <c r="CW551" s="1241">
        <f t="shared" si="278"/>
        <v>1</v>
      </c>
      <c r="CX551" s="899" t="s">
        <v>788</v>
      </c>
      <c r="CY551" s="899" t="s">
        <v>319</v>
      </c>
      <c r="CZ551" s="899" t="s">
        <v>119</v>
      </c>
      <c r="DA551" s="899" t="s">
        <v>327</v>
      </c>
      <c r="DB551" s="899" t="s">
        <v>765</v>
      </c>
      <c r="DC551" s="899" cm="1">
        <f t="array" aca="1" ref="DC551" ca="1">_xlfn.IFNA(OFFSET($I$49,MATCH(CY551,$I$50:$I$63,0),MATCH(CZ551,TRANSPOSE($J$49:$W$49),0)),0)</f>
        <v>0</v>
      </c>
      <c r="DD551" s="899" cm="1">
        <f t="array" aca="1" ref="DD551" ca="1">_xlfn.IFNA(OFFSET($Y$49,MATCH($CZ551,$Y$50:$Y$63,0),MATCH($DA551,TRANSPOSE($Z$49:$AM$49),0)),0)</f>
        <v>0</v>
      </c>
      <c r="DE551" s="899" cm="1">
        <f t="array" aca="1" ref="DE551" ca="1">_xlfn.IFNA(OFFSET($AO$49,MATCH($DA551,$AO$50:$AO$63,0),MATCH($DB551,TRANSPOSE($AP$49:$BC$49),0)),0)</f>
        <v>0.43140000000000001</v>
      </c>
      <c r="DF551" s="881">
        <f t="shared" ca="1" si="279"/>
        <v>0</v>
      </c>
      <c r="DG551" s="910">
        <f t="shared" ca="1" si="277"/>
        <v>0.98859556831386541</v>
      </c>
      <c r="DH551" s="881">
        <f t="shared" ca="1" si="280"/>
        <v>0</v>
      </c>
      <c r="DI551" s="1460">
        <f t="shared" ca="1" si="283"/>
        <v>0</v>
      </c>
      <c r="DJ551" s="909">
        <f>_xlfn.IFNA(INDEX('Resource use and costs'!$CQ$11:$CQ$53,MATCH($CZ551,'Resource use and costs'!$BA$11:$BA$53,0)),0)*_xlfn.IFNA(INDEX(DY$10:DY$23,MATCH($CZ551,$DX$10:$DX$23,0)),0)</f>
        <v>944.50399999999979</v>
      </c>
      <c r="DK551" s="909">
        <f>IF(dd_PartSA_2_lines = "Yes",0,_xlfn.IFNA(INDEX('Resource use and costs'!$CR$11:$CR$53,MATCH(DA551,'Resource use and costs'!$BA$11:$BA$53,0)),0)*_xlfn.IFNA(INDEX(EA$10:EA$23,MATCH($DA551,$DX$10:$DX$23,0)),0))</f>
        <v>21421.066008214286</v>
      </c>
      <c r="DL551" s="909">
        <f>IF(dd_PartSA_2_lines = "Yes",0,_xlfn.IFNA(INDEX('Resource use and costs'!$CS$11:$CS$53,MATCH(DB551,'Resource use and costs'!$BA$11:$BA$53,0)),0)*_xlfn.IFNA(INDEX(EC$10:EC$23,MATCH($DB551,$DX$10:$DX$23,0)),0))</f>
        <v>0</v>
      </c>
      <c r="DM551" s="909">
        <f t="shared" si="281"/>
        <v>22365.570008214287</v>
      </c>
      <c r="DN551" s="909">
        <f>SUM(_xlfn.IFNA(INDEX('Resource use and costs'!$DU$12:$DU$25,MATCH(CZ551,'Resource use and costs'!$DS$12:$DS$25,0)),0),_xlfn.IFNA(INDEX('Resource use and costs'!$DU$12:$DU$25,MATCH(DA551,'Resource use and costs'!$DS$12:$DS$25,0)),0),_xlfn.IFNA(INDEX('Resource use and costs'!$DU$12:$DU$25,MATCH(DB551,'Resource use and costs'!$DS$12:$DS$25,0)),0))</f>
        <v>394.5</v>
      </c>
      <c r="DO551" s="921">
        <f>_xlfn.IFNA(INDEX('Resource use and costs'!$DY$12:$DY$25,MATCH(CZ551,'Resource use and costs'!$DS$12:$DS$25,0)),0)*_xlfn.IFNA(INDEX(DY$10:DY$23,MATCH($CZ551,$DX$10:$DX$23,0)),0)</f>
        <v>82.971428571428561</v>
      </c>
      <c r="DP551" s="921">
        <f>IF(dd_PartSA_2_lines = "Yes",0,_xlfn.IFNA(INDEX('Resource use and costs'!$DZ$12:$DZ$25,MATCH(DA551,'Resource use and costs'!$DS$12:$DS$25,0)),0)*_xlfn.IFNA(INDEX(EA$10:EA$23,MATCH($DA551,$DX$10:$DX$23,0)),0))</f>
        <v>267.99172714285714</v>
      </c>
      <c r="DQ551" s="921">
        <f>IF(dd_PartSA_2_lines = "Yes",0,_xlfn.IFNA(INDEX('Resource use and costs'!$EA$12:$EA$25,MATCH(DB551,'Resource use and costs'!$DS$12:$DS$25,0)),0)*_xlfn.IFNA(INDEX(EC$10:EC$23,MATCH($DB551,$DX$10:$DX$23,0)),0))</f>
        <v>0</v>
      </c>
      <c r="DR551" s="921">
        <f t="shared" si="282"/>
        <v>745.46315571428568</v>
      </c>
      <c r="DS551" s="1004">
        <f ca="1">SUMIFS('Safety parameters'!$DM$6:$DM$18,'Safety parameters'!$DK$6:$DK$18,CZ551,'Safety parameters'!$DL$6:$DL$18,1)+IF(dd_PartSA_2_lines = "Yes",0,SUMIFS('Safety parameters'!$DM$6:$DM$18,'Safety parameters'!$DK$6:$DK$18,DA551,'Safety parameters'!$DL$6:$DL$18,2)+SUMIFS('Safety parameters'!$DM$6:$DM$18,'Safety parameters'!$DK$6:$DK$18,DB551,'Safety parameters'!$DL$6:$DL$18,2))</f>
        <v>1634.2286735654598</v>
      </c>
      <c r="DT551" s="910">
        <f ca="1">SUMIFS('Safety parameters'!$DO$6:$DO$18,'Safety parameters'!$DK$6:$DK$18,CZ551,'Safety parameters'!$DL$6:$DL$18,1)+IF(dd_PartSA_2_lines = "Yes",0,SUMIFS('Safety parameters'!$DO$6:$DO$18,'Safety parameters'!$DK$6:$DK$18,DA551,'Safety parameters'!$DL$6:$DL$18,2)+SUMIFS('Safety parameters'!$DO$6:$DO$18,'Safety parameters'!$DK$6:$DK$18,DB551,'Safety parameters'!$DL$6:$DL$18,2))</f>
        <v>-1.4741924007481429E-2</v>
      </c>
    </row>
    <row r="552" spans="89:124" ht="15" x14ac:dyDescent="0.2">
      <c r="CK552" s="61" t="s">
        <v>31</v>
      </c>
      <c r="CL552" s="61">
        <v>4</v>
      </c>
      <c r="CM552" s="61" t="str">
        <v>axitinib</v>
      </c>
      <c r="CN552" s="17">
        <v>11</v>
      </c>
      <c r="CO552" s="61" t="str" cm="1">
        <f t="array" ref="CO552">INDEX(List_comparators,CP551+1)</f>
        <v>sunitinib</v>
      </c>
      <c r="CP552" s="17">
        <v>7</v>
      </c>
      <c r="CQ552" s="601">
        <f t="shared" ca="1" si="284"/>
        <v>0</v>
      </c>
      <c r="CR552" s="601">
        <f t="shared" ca="1" si="285"/>
        <v>0</v>
      </c>
      <c r="CS552" s="601">
        <f t="shared" ca="1" si="286"/>
        <v>21.714285714285712</v>
      </c>
      <c r="CT552" s="669">
        <f t="shared" ca="1" si="287"/>
        <v>5.5785714285714283</v>
      </c>
      <c r="CU552" s="1123">
        <f>MATCH(CZ559,'Resource use and costs'!$BA$11:$BA$53,0)</f>
        <v>43</v>
      </c>
      <c r="CV552" s="1223"/>
      <c r="CW552" s="1241">
        <f t="shared" si="278"/>
        <v>1</v>
      </c>
      <c r="CX552" s="899" t="s">
        <v>788</v>
      </c>
      <c r="CY552" s="899" t="s">
        <v>319</v>
      </c>
      <c r="CZ552" s="899" t="s">
        <v>119</v>
      </c>
      <c r="DA552" s="899" t="s">
        <v>765</v>
      </c>
      <c r="DB552" s="899"/>
      <c r="DC552" s="899" cm="1">
        <f t="array" aca="1" ref="DC552" ca="1">_xlfn.IFNA(OFFSET($I$49,MATCH(CY552,$I$50:$I$63,0),MATCH(CZ552,TRANSPOSE($J$49:$W$49),0)),0)</f>
        <v>0</v>
      </c>
      <c r="DD552" s="899" cm="1">
        <f t="array" aca="1" ref="DD552" ca="1">_xlfn.IFNA(OFFSET($Y$49,MATCH($CZ552,$Y$50:$Y$63,0),MATCH($DA552,TRANSPOSE($Z$49:$AM$49),0)),0)</f>
        <v>1</v>
      </c>
      <c r="DE552" s="899" cm="1">
        <f t="array" aca="1" ref="DE552" ca="1">_xlfn.IFNA(OFFSET($AO$49,MATCH($DA552,$AO$50:$AO$63,0),MATCH($DB552,TRANSPOSE($AP$49:$BC$49),0)),0)</f>
        <v>0</v>
      </c>
      <c r="DF552" s="881">
        <f t="shared" ca="1" si="279"/>
        <v>0</v>
      </c>
      <c r="DG552" s="910">
        <f t="shared" ca="1" si="277"/>
        <v>0.98859556831386541</v>
      </c>
      <c r="DH552" s="881">
        <f t="shared" ca="1" si="280"/>
        <v>0</v>
      </c>
      <c r="DI552" s="1460">
        <f t="shared" ca="1" si="283"/>
        <v>0</v>
      </c>
      <c r="DJ552" s="909">
        <f>_xlfn.IFNA(INDEX('Resource use and costs'!$CQ$11:$CQ$53,MATCH($CZ552,'Resource use and costs'!$BA$11:$BA$53,0)),0)*_xlfn.IFNA(INDEX(DY$10:DY$23,MATCH($CZ552,$DX$10:$DX$23,0)),0)</f>
        <v>944.50399999999979</v>
      </c>
      <c r="DK552" s="909">
        <f>IF(dd_PartSA_2_lines = "Yes",0,_xlfn.IFNA(INDEX('Resource use and costs'!$CR$11:$CR$53,MATCH(DA552,'Resource use and costs'!$BA$11:$BA$53,0)),0)*_xlfn.IFNA(INDEX(EA$10:EA$23,MATCH($DA552,$DX$10:$DX$23,0)),0))</f>
        <v>0</v>
      </c>
      <c r="DL552" s="909">
        <f>IF(dd_PartSA_2_lines = "Yes",0,_xlfn.IFNA(INDEX('Resource use and costs'!$CS$11:$CS$53,MATCH(DB552,'Resource use and costs'!$BA$11:$BA$53,0)),0)*_xlfn.IFNA(INDEX(EC$10:EC$23,MATCH($DB552,$DX$10:$DX$23,0)),0))</f>
        <v>0</v>
      </c>
      <c r="DM552" s="909">
        <f t="shared" si="281"/>
        <v>944.50399999999979</v>
      </c>
      <c r="DN552" s="909">
        <f>SUM(_xlfn.IFNA(INDEX('Resource use and costs'!$DU$12:$DU$25,MATCH(CZ552,'Resource use and costs'!$DS$12:$DS$25,0)),0),_xlfn.IFNA(INDEX('Resource use and costs'!$DU$12:$DU$25,MATCH(DA552,'Resource use and costs'!$DS$12:$DS$25,0)),0),_xlfn.IFNA(INDEX('Resource use and costs'!$DU$12:$DU$25,MATCH(DB552,'Resource use and costs'!$DS$12:$DS$25,0)),0))</f>
        <v>197.25</v>
      </c>
      <c r="DO552" s="921">
        <f>_xlfn.IFNA(INDEX('Resource use and costs'!$DY$12:$DY$25,MATCH(CZ552,'Resource use and costs'!$DS$12:$DS$25,0)),0)*_xlfn.IFNA(INDEX(DY$10:DY$23,MATCH($CZ552,$DX$10:$DX$23,0)),0)</f>
        <v>82.971428571428561</v>
      </c>
      <c r="DP552" s="921">
        <f>IF(dd_PartSA_2_lines = "Yes",0,_xlfn.IFNA(INDEX('Resource use and costs'!$DZ$12:$DZ$25,MATCH(DA552,'Resource use and costs'!$DS$12:$DS$25,0)),0)*_xlfn.IFNA(INDEX(EA$10:EA$23,MATCH($DA552,$DX$10:$DX$23,0)),0))</f>
        <v>0</v>
      </c>
      <c r="DQ552" s="921">
        <f>IF(dd_PartSA_2_lines = "Yes",0,_xlfn.IFNA(INDEX('Resource use and costs'!$EA$12:$EA$25,MATCH(DB552,'Resource use and costs'!$DS$12:$DS$25,0)),0)*_xlfn.IFNA(INDEX(EC$10:EC$23,MATCH($DB552,$DX$10:$DX$23,0)),0))</f>
        <v>0</v>
      </c>
      <c r="DR552" s="921">
        <f t="shared" si="282"/>
        <v>280.22142857142853</v>
      </c>
      <c r="DS552" s="1004">
        <f>SUMIFS('Safety parameters'!$DM$6:$DM$18,'Safety parameters'!$DK$6:$DK$18,CZ552,'Safety parameters'!$DL$6:$DL$18,1)+IF(dd_PartSA_2_lines = "Yes",0,SUMIFS('Safety parameters'!$DM$6:$DM$18,'Safety parameters'!$DK$6:$DK$18,DA552,'Safety parameters'!$DL$6:$DL$18,2)+SUMIFS('Safety parameters'!$DM$6:$DM$18,'Safety parameters'!$DK$6:$DK$18,DB552,'Safety parameters'!$DL$6:$DL$18,2))</f>
        <v>0</v>
      </c>
      <c r="DT552" s="910">
        <f>SUMIFS('Safety parameters'!$DO$6:$DO$18,'Safety parameters'!$DK$6:$DK$18,CZ552,'Safety parameters'!$DL$6:$DL$18,1)+IF(dd_PartSA_2_lines = "Yes",0,SUMIFS('Safety parameters'!$DO$6:$DO$18,'Safety parameters'!$DK$6:$DK$18,DA552,'Safety parameters'!$DL$6:$DL$18,2)+SUMIFS('Safety parameters'!$DO$6:$DO$18,'Safety parameters'!$DK$6:$DK$18,DB552,'Safety parameters'!$DL$6:$DL$18,2))</f>
        <v>0</v>
      </c>
    </row>
    <row r="553" spans="89:124" ht="15" x14ac:dyDescent="0.2">
      <c r="CK553" s="61" t="s">
        <v>31</v>
      </c>
      <c r="CL553" s="61">
        <v>4</v>
      </c>
      <c r="CM553" s="61" t="str">
        <v>sorafenib</v>
      </c>
      <c r="CN553" s="17">
        <v>12</v>
      </c>
      <c r="CO553" s="61" t="str" cm="1">
        <f t="array" ref="CO553">INDEX(List_comparators,CP552+1)</f>
        <v>sunitinib</v>
      </c>
      <c r="CP553" s="17">
        <v>7</v>
      </c>
      <c r="CQ553" s="601">
        <f t="shared" ca="1" si="284"/>
        <v>0</v>
      </c>
      <c r="CR553" s="601">
        <f t="shared" ca="1" si="285"/>
        <v>0</v>
      </c>
      <c r="CS553" s="601">
        <f t="shared" ca="1" si="286"/>
        <v>0</v>
      </c>
      <c r="CT553" s="669">
        <f t="shared" ca="1" si="287"/>
        <v>0</v>
      </c>
      <c r="CU553" s="1123">
        <f>MATCH(CZ560,'Resource use and costs'!$BA$11:$BA$53,0)</f>
        <v>43</v>
      </c>
      <c r="CV553" s="1223"/>
      <c r="CW553" s="1241">
        <f t="shared" si="278"/>
        <v>1</v>
      </c>
      <c r="CX553" s="899" t="s">
        <v>788</v>
      </c>
      <c r="CY553" s="899" t="s">
        <v>319</v>
      </c>
      <c r="CZ553" s="899" t="s">
        <v>119</v>
      </c>
      <c r="DA553" s="899" t="s">
        <v>118</v>
      </c>
      <c r="DB553" s="899" t="s">
        <v>327</v>
      </c>
      <c r="DC553" s="899" cm="1">
        <f t="array" aca="1" ref="DC553" ca="1">_xlfn.IFNA(OFFSET($I$49,MATCH(CY553,$I$50:$I$63,0),MATCH(CZ553,TRANSPOSE($J$49:$W$49),0)),0)</f>
        <v>0</v>
      </c>
      <c r="DD553" s="899" cm="1">
        <f t="array" aca="1" ref="DD553" ca="1">_xlfn.IFNA(OFFSET($Y$49,MATCH($CZ553,$Y$50:$Y$63,0),MATCH($DA553,TRANSPOSE($Z$49:$AM$49),0)),0)</f>
        <v>0</v>
      </c>
      <c r="DE553" s="899">
        <f ca="1">1-DE554</f>
        <v>0.56859999999999999</v>
      </c>
      <c r="DF553" s="881">
        <f t="shared" ca="1" si="279"/>
        <v>0</v>
      </c>
      <c r="DG553" s="910">
        <f t="shared" ca="1" si="277"/>
        <v>0.98859556831386541</v>
      </c>
      <c r="DH553" s="881">
        <f t="shared" ca="1" si="280"/>
        <v>0</v>
      </c>
      <c r="DI553" s="1460">
        <f t="shared" ca="1" si="283"/>
        <v>0</v>
      </c>
      <c r="DJ553" s="909">
        <f>_xlfn.IFNA(INDEX('Resource use and costs'!$CQ$11:$CQ$53,MATCH($CZ553,'Resource use and costs'!$BA$11:$BA$53,0)),0)*_xlfn.IFNA(INDEX(DY$10:DY$23,MATCH($CZ553,$DX$10:$DX$23,0)),0)</f>
        <v>944.50399999999979</v>
      </c>
      <c r="DK553" s="909">
        <f>IF(dd_PartSA_2_lines = "Yes",0,_xlfn.IFNA(INDEX('Resource use and costs'!$CR$11:$CR$53,MATCH(DA553,'Resource use and costs'!$BA$11:$BA$53,0)),0)*_xlfn.IFNA(INDEX(EA$10:EA$23,MATCH($DA553,$DX$10:$DX$23,0)),0))</f>
        <v>50308.075122000002</v>
      </c>
      <c r="DL553" s="909">
        <f>IF(dd_PartSA_2_lines = "Yes",0,_xlfn.IFNA(INDEX('Resource use and costs'!$CS$11:$CS$53,MATCH(DB553,'Resource use and costs'!$BA$11:$BA$53,0)),0)*_xlfn.IFNA(INDEX(EC$10:EC$23,MATCH($DB553,$DX$10:$DX$23,0)),0))</f>
        <v>18438.751749999999</v>
      </c>
      <c r="DM553" s="909">
        <f t="shared" si="281"/>
        <v>69691.330872000006</v>
      </c>
      <c r="DN553" s="909">
        <f>SUM(_xlfn.IFNA(INDEX('Resource use and costs'!$DU$12:$DU$25,MATCH(CZ553,'Resource use and costs'!$DS$12:$DS$25,0)),0),_xlfn.IFNA(INDEX('Resource use and costs'!$DU$12:$DU$25,MATCH(DA553,'Resource use and costs'!$DS$12:$DS$25,0)),0),_xlfn.IFNA(INDEX('Resource use and costs'!$DU$12:$DU$25,MATCH(DB553,'Resource use and costs'!$DS$12:$DS$25,0)),0))</f>
        <v>591.75</v>
      </c>
      <c r="DO553" s="921">
        <f>_xlfn.IFNA(INDEX('Resource use and costs'!$DY$12:$DY$25,MATCH(CZ553,'Resource use and costs'!$DS$12:$DS$25,0)),0)*_xlfn.IFNA(INDEX(DY$10:DY$23,MATCH($CZ553,$DX$10:$DX$23,0)),0)</f>
        <v>82.971428571428561</v>
      </c>
      <c r="DP553" s="921">
        <f>IF(dd_PartSA_2_lines = "Yes",0,_xlfn.IFNA(INDEX('Resource use and costs'!$DZ$12:$DZ$25,MATCH(DA553,'Resource use and costs'!$DS$12:$DS$25,0)),0)*_xlfn.IFNA(INDEX(EA$10:EA$23,MATCH($DA553,$DX$10:$DX$23,0)),0))</f>
        <v>461.1445457142857</v>
      </c>
      <c r="DQ553" s="921">
        <f>IF(dd_PartSA_2_lines = "Yes",0,_xlfn.IFNA(INDEX('Resource use and costs'!$EA$12:$EA$25,MATCH(DB553,'Resource use and costs'!$DS$12:$DS$25,0)),0)*_xlfn.IFNA(INDEX(EC$10:EC$23,MATCH($DB553,$DX$10:$DX$23,0)),0))</f>
        <v>230.68099999999998</v>
      </c>
      <c r="DR553" s="921">
        <f t="shared" si="282"/>
        <v>1366.5469742857142</v>
      </c>
      <c r="DS553" s="1004">
        <f ca="1">SUMIFS('Safety parameters'!$DM$6:$DM$18,'Safety parameters'!$DK$6:$DK$18,CZ553,'Safety parameters'!$DL$6:$DL$18,1)+IF(dd_PartSA_2_lines = "Yes",0,SUMIFS('Safety parameters'!$DM$6:$DM$18,'Safety parameters'!$DK$6:$DK$18,DA553,'Safety parameters'!$DL$6:$DL$18,2)+SUMIFS('Safety parameters'!$DM$6:$DM$18,'Safety parameters'!$DK$6:$DK$18,DB553,'Safety parameters'!$DL$6:$DL$18,2))</f>
        <v>2377.8779733688434</v>
      </c>
      <c r="DT553" s="910">
        <f ca="1">SUMIFS('Safety parameters'!$DO$6:$DO$18,'Safety parameters'!$DK$6:$DK$18,CZ553,'Safety parameters'!$DL$6:$DL$18,1)+IF(dd_PartSA_2_lines = "Yes",0,SUMIFS('Safety parameters'!$DO$6:$DO$18,'Safety parameters'!$DK$6:$DK$18,DA553,'Safety parameters'!$DL$6:$DL$18,2)+SUMIFS('Safety parameters'!$DO$6:$DO$18,'Safety parameters'!$DK$6:$DK$18,DB553,'Safety parameters'!$DL$6:$DL$18,2))</f>
        <v>-2.1764250363717368E-2</v>
      </c>
    </row>
    <row r="554" spans="89:124" ht="15.75" thickBot="1" x14ac:dyDescent="0.25">
      <c r="CK554" s="506" t="s">
        <v>31</v>
      </c>
      <c r="CL554" s="506">
        <v>4</v>
      </c>
      <c r="CM554" s="506" t="str">
        <v>placebo_BSC</v>
      </c>
      <c r="CN554" s="19">
        <v>999</v>
      </c>
      <c r="CO554" s="506" t="str" cm="1">
        <f t="array" ref="CO554">INDEX(List_comparators,CP541+1)</f>
        <v>sunitinib</v>
      </c>
      <c r="CP554" s="19">
        <v>7</v>
      </c>
      <c r="CQ554" s="602">
        <f t="shared" ca="1" si="284"/>
        <v>0</v>
      </c>
      <c r="CR554" s="602">
        <f t="shared" ca="1" si="285"/>
        <v>0</v>
      </c>
      <c r="CS554" s="602">
        <f t="shared" ca="1" si="286"/>
        <v>0</v>
      </c>
      <c r="CT554" s="748">
        <f t="shared" ca="1" si="287"/>
        <v>0</v>
      </c>
      <c r="CU554" s="1123">
        <f>MATCH(CZ561,'Resource use and costs'!$BA$11:$BA$53,0)</f>
        <v>43</v>
      </c>
      <c r="CV554" s="1223"/>
      <c r="CW554" s="1241">
        <f t="shared" si="278"/>
        <v>1</v>
      </c>
      <c r="CX554" s="899" t="s">
        <v>788</v>
      </c>
      <c r="CY554" s="899" t="s">
        <v>319</v>
      </c>
      <c r="CZ554" s="899" t="s">
        <v>119</v>
      </c>
      <c r="DA554" s="899" t="s">
        <v>118</v>
      </c>
      <c r="DB554" s="899" t="s">
        <v>765</v>
      </c>
      <c r="DC554" s="899" cm="1">
        <f t="array" aca="1" ref="DC554" ca="1">_xlfn.IFNA(OFFSET($I$49,MATCH(CY554,$I$50:$I$63,0),MATCH(CZ554,TRANSPOSE($J$49:$W$49),0)),0)</f>
        <v>0</v>
      </c>
      <c r="DD554" s="899" cm="1">
        <f t="array" aca="1" ref="DD554" ca="1">_xlfn.IFNA(OFFSET($Y$49,MATCH($CZ554,$Y$50:$Y$63,0),MATCH($DA554,TRANSPOSE($Z$49:$AM$49),0)),0)</f>
        <v>0</v>
      </c>
      <c r="DE554" s="899" cm="1">
        <f t="array" aca="1" ref="DE554" ca="1">_xlfn.IFNA(OFFSET($AO$49,MATCH($DA554,$AO$50:$AO$63,0),MATCH($DB554,TRANSPOSE($AP$49:$BC$49),0)),0)</f>
        <v>0.43140000000000001</v>
      </c>
      <c r="DF554" s="881">
        <f t="shared" ca="1" si="279"/>
        <v>0</v>
      </c>
      <c r="DG554" s="910">
        <f t="shared" ca="1" si="277"/>
        <v>0.98859556831386541</v>
      </c>
      <c r="DH554" s="881">
        <f t="shared" ca="1" si="280"/>
        <v>0</v>
      </c>
      <c r="DI554" s="1460">
        <f t="shared" ca="1" si="283"/>
        <v>0</v>
      </c>
      <c r="DJ554" s="909">
        <f>_xlfn.IFNA(INDEX('Resource use and costs'!$CQ$11:$CQ$53,MATCH($CZ554,'Resource use and costs'!$BA$11:$BA$53,0)),0)*_xlfn.IFNA(INDEX(DY$10:DY$23,MATCH($CZ554,$DX$10:$DX$23,0)),0)</f>
        <v>944.50399999999979</v>
      </c>
      <c r="DK554" s="909">
        <f>IF(dd_PartSA_2_lines = "Yes",0,_xlfn.IFNA(INDEX('Resource use and costs'!$CR$11:$CR$53,MATCH(DA554,'Resource use and costs'!$BA$11:$BA$53,0)),0)*_xlfn.IFNA(INDEX(EA$10:EA$23,MATCH($DA554,$DX$10:$DX$23,0)),0))</f>
        <v>50308.075122000002</v>
      </c>
      <c r="DL554" s="909">
        <f>IF(dd_PartSA_2_lines = "Yes",0,_xlfn.IFNA(INDEX('Resource use and costs'!$CS$11:$CS$53,MATCH(DB554,'Resource use and costs'!$BA$11:$BA$53,0)),0)*_xlfn.IFNA(INDEX(EC$10:EC$23,MATCH($DB554,$DX$10:$DX$23,0)),0))</f>
        <v>0</v>
      </c>
      <c r="DM554" s="909">
        <f t="shared" si="281"/>
        <v>51252.579122000003</v>
      </c>
      <c r="DN554" s="909">
        <f>SUM(_xlfn.IFNA(INDEX('Resource use and costs'!$DU$12:$DU$25,MATCH(CZ554,'Resource use and costs'!$DS$12:$DS$25,0)),0),_xlfn.IFNA(INDEX('Resource use and costs'!$DU$12:$DU$25,MATCH(DA554,'Resource use and costs'!$DS$12:$DS$25,0)),0),_xlfn.IFNA(INDEX('Resource use and costs'!$DU$12:$DU$25,MATCH(DB554,'Resource use and costs'!$DS$12:$DS$25,0)),0))</f>
        <v>394.5</v>
      </c>
      <c r="DO554" s="921">
        <f>_xlfn.IFNA(INDEX('Resource use and costs'!$DY$12:$DY$25,MATCH(CZ554,'Resource use and costs'!$DS$12:$DS$25,0)),0)*_xlfn.IFNA(INDEX(DY$10:DY$23,MATCH($CZ554,$DX$10:$DX$23,0)),0)</f>
        <v>82.971428571428561</v>
      </c>
      <c r="DP554" s="921">
        <f>IF(dd_PartSA_2_lines = "Yes",0,_xlfn.IFNA(INDEX('Resource use and costs'!$DZ$12:$DZ$25,MATCH(DA554,'Resource use and costs'!$DS$12:$DS$25,0)),0)*_xlfn.IFNA(INDEX(EA$10:EA$23,MATCH($DA554,$DX$10:$DX$23,0)),0))</f>
        <v>461.1445457142857</v>
      </c>
      <c r="DQ554" s="921">
        <f>IF(dd_PartSA_2_lines = "Yes",0,_xlfn.IFNA(INDEX('Resource use and costs'!$EA$12:$EA$25,MATCH(DB554,'Resource use and costs'!$DS$12:$DS$25,0)),0)*_xlfn.IFNA(INDEX(EC$10:EC$23,MATCH($DB554,$DX$10:$DX$23,0)),0))</f>
        <v>0</v>
      </c>
      <c r="DR554" s="921">
        <f t="shared" si="282"/>
        <v>938.61597428571417</v>
      </c>
      <c r="DS554" s="1004">
        <f ca="1">SUMIFS('Safety parameters'!$DM$6:$DM$18,'Safety parameters'!$DK$6:$DK$18,CZ554,'Safety parameters'!$DL$6:$DL$18,1)+IF(dd_PartSA_2_lines = "Yes",0,SUMIFS('Safety parameters'!$DM$6:$DM$18,'Safety parameters'!$DK$6:$DK$18,DA554,'Safety parameters'!$DL$6:$DL$18,2)+SUMIFS('Safety parameters'!$DM$6:$DM$18,'Safety parameters'!$DK$6:$DK$18,DB554,'Safety parameters'!$DL$6:$DL$18,2))</f>
        <v>743.64929980338343</v>
      </c>
      <c r="DT554" s="910">
        <f ca="1">SUMIFS('Safety parameters'!$DO$6:$DO$18,'Safety parameters'!$DK$6:$DK$18,CZ554,'Safety parameters'!$DL$6:$DL$18,1)+IF(dd_PartSA_2_lines = "Yes",0,SUMIFS('Safety parameters'!$DO$6:$DO$18,'Safety parameters'!$DK$6:$DK$18,DA554,'Safety parameters'!$DL$6:$DL$18,2)+SUMIFS('Safety parameters'!$DO$6:$DO$18,'Safety parameters'!$DK$6:$DK$18,DB554,'Safety parameters'!$DL$6:$DL$18,2))</f>
        <v>-7.0223263562359372E-3</v>
      </c>
    </row>
    <row r="555" spans="89:124" ht="15" x14ac:dyDescent="0.2">
      <c r="CK555" s="505" t="s">
        <v>31</v>
      </c>
      <c r="CL555" s="505">
        <v>4</v>
      </c>
      <c r="CM555" s="61" t="str" cm="1">
        <f t="array" ref="CM555:CM568">List_comparators</f>
        <v>nivolumab_monotherapy</v>
      </c>
      <c r="CN555" s="17">
        <v>0</v>
      </c>
      <c r="CO555" s="61" t="str" cm="1">
        <f t="array" ref="CO555">INDEX(List_comparators,CP555+1)</f>
        <v>cabozantinib</v>
      </c>
      <c r="CP555" s="17">
        <v>8</v>
      </c>
      <c r="CQ555" s="603">
        <f t="shared" ca="1" si="284"/>
        <v>0</v>
      </c>
      <c r="CR555" s="603">
        <f t="shared" ca="1" si="285"/>
        <v>0</v>
      </c>
      <c r="CS555" s="603">
        <f t="shared" ca="1" si="286"/>
        <v>63.808571428571426</v>
      </c>
      <c r="CT555" s="669">
        <f t="shared" ca="1" si="287"/>
        <v>7.218571428571428</v>
      </c>
      <c r="CU555" s="1123">
        <f>MATCH(CZ562,'Resource use and costs'!$BA$11:$BA$53,0)</f>
        <v>43</v>
      </c>
      <c r="CV555" s="1223"/>
      <c r="CW555" s="1241">
        <f t="shared" si="278"/>
        <v>1</v>
      </c>
      <c r="CX555" s="899" t="s">
        <v>788</v>
      </c>
      <c r="CY555" s="899" t="s">
        <v>319</v>
      </c>
      <c r="CZ555" s="899" t="s">
        <v>119</v>
      </c>
      <c r="DA555" s="899" t="s">
        <v>579</v>
      </c>
      <c r="DB555" s="899" t="s">
        <v>327</v>
      </c>
      <c r="DC555" s="899" cm="1">
        <f t="array" aca="1" ref="DC555" ca="1">_xlfn.IFNA(OFFSET($I$49,MATCH(CY555,$I$50:$I$63,0),MATCH(CZ555,TRANSPOSE($J$49:$W$49),0)),0)</f>
        <v>0</v>
      </c>
      <c r="DD555" s="899" cm="1">
        <f t="array" aca="1" ref="DD555" ca="1">_xlfn.IFNA(OFFSET($Y$49,MATCH($CZ555,$Y$50:$Y$63,0),MATCH($DA555,TRANSPOSE($Z$49:$AM$49),0)),0)</f>
        <v>0</v>
      </c>
      <c r="DE555" s="899" cm="1">
        <f t="array" aca="1" ref="DE555" ca="1">_xlfn.IFNA(OFFSET($AO$49,MATCH($DA555,$AO$50:$AO$63,0),MATCH($DB555,TRANSPOSE($AP$49:$BC$49),0)),0)</f>
        <v>0.56859999999999999</v>
      </c>
      <c r="DF555" s="881">
        <f t="shared" ca="1" si="279"/>
        <v>0</v>
      </c>
      <c r="DG555" s="910">
        <f t="shared" ca="1" si="277"/>
        <v>0.98859556831386541</v>
      </c>
      <c r="DH555" s="881">
        <f t="shared" ca="1" si="280"/>
        <v>0</v>
      </c>
      <c r="DI555" s="1460">
        <f t="shared" ca="1" si="283"/>
        <v>0</v>
      </c>
      <c r="DJ555" s="909">
        <f>_xlfn.IFNA(INDEX('Resource use and costs'!$CQ$11:$CQ$53,MATCH($CZ555,'Resource use and costs'!$BA$11:$BA$53,0)),0)*_xlfn.IFNA(INDEX(DY$10:DY$23,MATCH($CZ555,$DX$10:$DX$23,0)),0)</f>
        <v>944.50399999999979</v>
      </c>
      <c r="DK555" s="909">
        <f>IF(dd_PartSA_2_lines = "Yes",0,_xlfn.IFNA(INDEX('Resource use and costs'!$CR$11:$CR$53,MATCH(DA555,'Resource use and costs'!$BA$11:$BA$53,0)),0)*_xlfn.IFNA(INDEX(EA$10:EA$23,MATCH($DA555,$DX$10:$DX$23,0)),0))</f>
        <v>26054.50921</v>
      </c>
      <c r="DL555" s="909">
        <f>IF(dd_PartSA_2_lines = "Yes",0,_xlfn.IFNA(INDEX('Resource use and costs'!$CS$11:$CS$53,MATCH(DB555,'Resource use and costs'!$BA$11:$BA$53,0)),0)*_xlfn.IFNA(INDEX(EC$10:EC$23,MATCH($DB555,$DX$10:$DX$23,0)),0))</f>
        <v>18438.751749999999</v>
      </c>
      <c r="DM555" s="909">
        <f t="shared" si="281"/>
        <v>45437.76496</v>
      </c>
      <c r="DN555" s="909">
        <f>SUM(_xlfn.IFNA(INDEX('Resource use and costs'!$DU$12:$DU$25,MATCH(CZ555,'Resource use and costs'!$DS$12:$DS$25,0)),0),_xlfn.IFNA(INDEX('Resource use and costs'!$DU$12:$DU$25,MATCH(DA555,'Resource use and costs'!$DS$12:$DS$25,0)),0),_xlfn.IFNA(INDEX('Resource use and costs'!$DU$12:$DU$25,MATCH(DB555,'Resource use and costs'!$DS$12:$DS$25,0)),0))</f>
        <v>394.5</v>
      </c>
      <c r="DO555" s="921">
        <f>_xlfn.IFNA(INDEX('Resource use and costs'!$DY$12:$DY$25,MATCH(CZ555,'Resource use and costs'!$DS$12:$DS$25,0)),0)*_xlfn.IFNA(INDEX(DY$10:DY$23,MATCH($CZ555,$DX$10:$DX$23,0)),0)</f>
        <v>82.971428571428561</v>
      </c>
      <c r="DP555" s="921">
        <f>IF(dd_PartSA_2_lines = "Yes",0,_xlfn.IFNA(INDEX('Resource use and costs'!$DZ$12:$DZ$25,MATCH(DA555,'Resource use and costs'!$DS$12:$DS$25,0)),0)*_xlfn.IFNA(INDEX(EA$10:EA$23,MATCH($DA555,$DX$10:$DX$23,0)),0))</f>
        <v>4108.3597166</v>
      </c>
      <c r="DQ555" s="921">
        <f>IF(dd_PartSA_2_lines = "Yes",0,_xlfn.IFNA(INDEX('Resource use and costs'!$EA$12:$EA$25,MATCH(DB555,'Resource use and costs'!$DS$12:$DS$25,0)),0)*_xlfn.IFNA(INDEX(EC$10:EC$23,MATCH($DB555,$DX$10:$DX$23,0)),0))</f>
        <v>230.68099999999998</v>
      </c>
      <c r="DR555" s="921">
        <f t="shared" si="282"/>
        <v>4816.5121451714285</v>
      </c>
      <c r="DS555" s="1004">
        <f ca="1">SUMIFS('Safety parameters'!$DM$6:$DM$18,'Safety parameters'!$DK$6:$DK$18,CZ555,'Safety parameters'!$DL$6:$DL$18,1)+IF(dd_PartSA_2_lines = "Yes",0,SUMIFS('Safety parameters'!$DM$6:$DM$18,'Safety parameters'!$DK$6:$DK$18,DA555,'Safety parameters'!$DL$6:$DL$18,2)+SUMIFS('Safety parameters'!$DM$6:$DM$18,'Safety parameters'!$DK$6:$DK$18,DB555,'Safety parameters'!$DL$6:$DL$18,2))</f>
        <v>1795.3624225558742</v>
      </c>
      <c r="DT555" s="910">
        <f ca="1">SUMIFS('Safety parameters'!$DO$6:$DO$18,'Safety parameters'!$DK$6:$DK$18,CZ555,'Safety parameters'!$DL$6:$DL$18,1)+IF(dd_PartSA_2_lines = "Yes",0,SUMIFS('Safety parameters'!$DO$6:$DO$18,'Safety parameters'!$DK$6:$DK$18,DA555,'Safety parameters'!$DL$6:$DL$18,2)+SUMIFS('Safety parameters'!$DO$6:$DO$18,'Safety parameters'!$DK$6:$DK$18,DB555,'Safety parameters'!$DL$6:$DL$18,2))</f>
        <v>-1.6339008205166216E-2</v>
      </c>
    </row>
    <row r="556" spans="89:124" ht="15" x14ac:dyDescent="0.2">
      <c r="CK556" s="61" t="s">
        <v>31</v>
      </c>
      <c r="CL556" s="61">
        <v>4</v>
      </c>
      <c r="CM556" s="61" t="str">
        <v>cabozantinib_plus_nivolumab</v>
      </c>
      <c r="CN556" s="17">
        <v>1</v>
      </c>
      <c r="CO556" s="61" t="str" cm="1">
        <f t="array" ref="CO556">INDEX(List_comparators,CP555+1)</f>
        <v>cabozantinib</v>
      </c>
      <c r="CP556" s="17">
        <v>8</v>
      </c>
      <c r="CQ556" s="601">
        <f t="shared" ca="1" si="284"/>
        <v>0</v>
      </c>
      <c r="CR556" s="601">
        <f t="shared" ca="1" si="285"/>
        <v>0</v>
      </c>
      <c r="CS556" s="601">
        <f t="shared" ca="1" si="286"/>
        <v>63.808571428571426</v>
      </c>
      <c r="CT556" s="669">
        <f t="shared" ca="1" si="287"/>
        <v>7.218571428571428</v>
      </c>
      <c r="CU556" s="1123">
        <f>MATCH(CZ563,'Resource use and costs'!$BA$11:$BA$53,0)</f>
        <v>1</v>
      </c>
      <c r="CV556" s="1223"/>
      <c r="CW556" s="1241">
        <f t="shared" si="278"/>
        <v>1</v>
      </c>
      <c r="CX556" s="899" t="s">
        <v>788</v>
      </c>
      <c r="CY556" s="899" t="s">
        <v>319</v>
      </c>
      <c r="CZ556" s="899" t="s">
        <v>119</v>
      </c>
      <c r="DA556" s="899" t="s">
        <v>579</v>
      </c>
      <c r="DB556" s="899" t="s">
        <v>765</v>
      </c>
      <c r="DC556" s="899" cm="1">
        <f t="array" aca="1" ref="DC556" ca="1">_xlfn.IFNA(OFFSET($I$49,MATCH(CY556,$I$50:$I$63,0),MATCH(CZ556,TRANSPOSE($J$49:$W$49),0)),0)</f>
        <v>0</v>
      </c>
      <c r="DD556" s="899" cm="1">
        <f t="array" aca="1" ref="DD556" ca="1">_xlfn.IFNA(OFFSET($Y$49,MATCH($CZ556,$Y$50:$Y$63,0),MATCH($DA556,TRANSPOSE($Z$49:$AM$49),0)),0)</f>
        <v>0</v>
      </c>
      <c r="DE556" s="899" cm="1">
        <f t="array" aca="1" ref="DE556" ca="1">_xlfn.IFNA(OFFSET($AO$49,MATCH($DA556,$AO$50:$AO$63,0),MATCH($DB556,TRANSPOSE($AP$49:$BC$49),0)),0)</f>
        <v>0.43140000000000001</v>
      </c>
      <c r="DF556" s="881">
        <f t="shared" ca="1" si="279"/>
        <v>0</v>
      </c>
      <c r="DG556" s="910">
        <f t="shared" ca="1" si="277"/>
        <v>0.98859556831386541</v>
      </c>
      <c r="DH556" s="881">
        <f t="shared" ca="1" si="280"/>
        <v>0</v>
      </c>
      <c r="DI556" s="1460">
        <f t="shared" ca="1" si="283"/>
        <v>0</v>
      </c>
      <c r="DJ556" s="909">
        <f>_xlfn.IFNA(INDEX('Resource use and costs'!$CQ$11:$CQ$53,MATCH($CZ556,'Resource use and costs'!$BA$11:$BA$53,0)),0)*_xlfn.IFNA(INDEX(DY$10:DY$23,MATCH($CZ556,$DX$10:$DX$23,0)),0)</f>
        <v>944.50399999999979</v>
      </c>
      <c r="DK556" s="909">
        <f>IF(dd_PartSA_2_lines = "Yes",0,_xlfn.IFNA(INDEX('Resource use and costs'!$CR$11:$CR$53,MATCH(DA556,'Resource use and costs'!$BA$11:$BA$53,0)),0)*_xlfn.IFNA(INDEX(EA$10:EA$23,MATCH($DA556,$DX$10:$DX$23,0)),0))</f>
        <v>26054.50921</v>
      </c>
      <c r="DL556" s="909">
        <f>IF(dd_PartSA_2_lines = "Yes",0,_xlfn.IFNA(INDEX('Resource use and costs'!$CS$11:$CS$53,MATCH(DB556,'Resource use and costs'!$BA$11:$BA$53,0)),0)*_xlfn.IFNA(INDEX(EC$10:EC$23,MATCH($DB556,$DX$10:$DX$23,0)),0))</f>
        <v>0</v>
      </c>
      <c r="DM556" s="909">
        <f t="shared" si="281"/>
        <v>26999.013210000001</v>
      </c>
      <c r="DN556" s="909">
        <f>SUM(_xlfn.IFNA(INDEX('Resource use and costs'!$DU$12:$DU$25,MATCH(CZ556,'Resource use and costs'!$DS$12:$DS$25,0)),0),_xlfn.IFNA(INDEX('Resource use and costs'!$DU$12:$DU$25,MATCH(DA556,'Resource use and costs'!$DS$12:$DS$25,0)),0),_xlfn.IFNA(INDEX('Resource use and costs'!$DU$12:$DU$25,MATCH(DB556,'Resource use and costs'!$DS$12:$DS$25,0)),0))</f>
        <v>197.25</v>
      </c>
      <c r="DO556" s="921">
        <f>_xlfn.IFNA(INDEX('Resource use and costs'!$DY$12:$DY$25,MATCH(CZ556,'Resource use and costs'!$DS$12:$DS$25,0)),0)*_xlfn.IFNA(INDEX(DY$10:DY$23,MATCH($CZ556,$DX$10:$DX$23,0)),0)</f>
        <v>82.971428571428561</v>
      </c>
      <c r="DP556" s="921">
        <f>IF(dd_PartSA_2_lines = "Yes",0,_xlfn.IFNA(INDEX('Resource use and costs'!$DZ$12:$DZ$25,MATCH(DA556,'Resource use and costs'!$DS$12:$DS$25,0)),0)*_xlfn.IFNA(INDEX(EA$10:EA$23,MATCH($DA556,$DX$10:$DX$23,0)),0))</f>
        <v>4108.3597166</v>
      </c>
      <c r="DQ556" s="921">
        <f>IF(dd_PartSA_2_lines = "Yes",0,_xlfn.IFNA(INDEX('Resource use and costs'!$EA$12:$EA$25,MATCH(DB556,'Resource use and costs'!$DS$12:$DS$25,0)),0)*_xlfn.IFNA(INDEX(EC$10:EC$23,MATCH($DB556,$DX$10:$DX$23,0)),0))</f>
        <v>0</v>
      </c>
      <c r="DR556" s="921">
        <f t="shared" si="282"/>
        <v>4388.5811451714289</v>
      </c>
      <c r="DS556" s="1004">
        <f ca="1">SUMIFS('Safety parameters'!$DM$6:$DM$18,'Safety parameters'!$DK$6:$DK$18,CZ556,'Safety parameters'!$DL$6:$DL$18,1)+IF(dd_PartSA_2_lines = "Yes",0,SUMIFS('Safety parameters'!$DM$6:$DM$18,'Safety parameters'!$DK$6:$DK$18,DA556,'Safety parameters'!$DL$6:$DL$18,2)+SUMIFS('Safety parameters'!$DM$6:$DM$18,'Safety parameters'!$DK$6:$DK$18,DB556,'Safety parameters'!$DL$6:$DL$18,2))</f>
        <v>161.1337489904144</v>
      </c>
      <c r="DT556" s="910">
        <f ca="1">SUMIFS('Safety parameters'!$DO$6:$DO$18,'Safety parameters'!$DK$6:$DK$18,CZ556,'Safety parameters'!$DL$6:$DL$18,1)+IF(dd_PartSA_2_lines = "Yes",0,SUMIFS('Safety parameters'!$DO$6:$DO$18,'Safety parameters'!$DK$6:$DK$18,DA556,'Safety parameters'!$DL$6:$DL$18,2)+SUMIFS('Safety parameters'!$DO$6:$DO$18,'Safety parameters'!$DK$6:$DK$18,DB556,'Safety parameters'!$DL$6:$DL$18,2))</f>
        <v>-1.5970841976847864E-3</v>
      </c>
    </row>
    <row r="557" spans="89:124" ht="15" x14ac:dyDescent="0.2">
      <c r="CK557" s="61" t="s">
        <v>31</v>
      </c>
      <c r="CL557" s="61">
        <v>4</v>
      </c>
      <c r="CM557" s="61" t="str">
        <v>nivolumab_plus_ipilimumab</v>
      </c>
      <c r="CN557" s="17">
        <v>2</v>
      </c>
      <c r="CO557" s="61" t="str" cm="1">
        <f t="array" ref="CO557">INDEX(List_comparators,CP556+1)</f>
        <v>cabozantinib</v>
      </c>
      <c r="CP557" s="17">
        <v>8</v>
      </c>
      <c r="CQ557" s="601">
        <f t="shared" ca="1" si="284"/>
        <v>0</v>
      </c>
      <c r="CR557" s="601">
        <f t="shared" ca="1" si="285"/>
        <v>0</v>
      </c>
      <c r="CS557" s="601">
        <f t="shared" ca="1" si="286"/>
        <v>63.808571428571426</v>
      </c>
      <c r="CT557" s="669">
        <f t="shared" ca="1" si="287"/>
        <v>7.218571428571428</v>
      </c>
      <c r="CU557" s="1123">
        <f>MATCH(CZ564,'Resource use and costs'!$BA$11:$BA$53,0)</f>
        <v>1</v>
      </c>
      <c r="CV557" s="1223"/>
      <c r="CW557" s="1241">
        <f t="shared" si="278"/>
        <v>1</v>
      </c>
      <c r="CX557" s="899" t="s">
        <v>788</v>
      </c>
      <c r="CY557" s="899" t="s">
        <v>319</v>
      </c>
      <c r="CZ557" s="899" t="s">
        <v>333</v>
      </c>
      <c r="DA557" s="899" t="s">
        <v>327</v>
      </c>
      <c r="DB557" s="899" t="s">
        <v>765</v>
      </c>
      <c r="DC557" s="899" cm="1">
        <f t="array" aca="1" ref="DC557" ca="1">_xlfn.IFNA(OFFSET($I$49,MATCH(CY557,$I$50:$I$63,0),MATCH(CZ557,TRANSPOSE($J$49:$W$49),0)),0)</f>
        <v>1.6065749508665357E-2</v>
      </c>
      <c r="DD557" s="899" cm="1">
        <f t="array" aca="1" ref="DD557" ca="1">_xlfn.IFNA(OFFSET($Y$49,MATCH($CZ557,$Y$50:$Y$63,0),MATCH($DA557,TRANSPOSE($Z$49:$AM$49),0)),0)</f>
        <v>0</v>
      </c>
      <c r="DE557" s="899">
        <v>1</v>
      </c>
      <c r="DF557" s="881">
        <f t="shared" ca="1" si="279"/>
        <v>0</v>
      </c>
      <c r="DG557" s="910">
        <f t="shared" ca="1" si="277"/>
        <v>0.98859556831386541</v>
      </c>
      <c r="DH557" s="881">
        <f t="shared" ca="1" si="280"/>
        <v>0</v>
      </c>
      <c r="DI557" s="1460">
        <f t="shared" ca="1" si="283"/>
        <v>0</v>
      </c>
      <c r="DJ557" s="909">
        <f>_xlfn.IFNA(INDEX('Resource use and costs'!$CQ$11:$CQ$53,MATCH($CZ557,'Resource use and costs'!$BA$11:$BA$53,0)),0)*_xlfn.IFNA(INDEX(DY$10:DY$23,MATCH($CZ557,$DX$10:$DX$23,0)),0)</f>
        <v>54336.641519999976</v>
      </c>
      <c r="DK557" s="909">
        <f>IF(dd_PartSA_2_lines = "Yes",0,_xlfn.IFNA(INDEX('Resource use and costs'!$CR$11:$CR$53,MATCH(DA557,'Resource use and costs'!$BA$11:$BA$53,0)),0)*_xlfn.IFNA(INDEX(EA$10:EA$23,MATCH($DA557,$DX$10:$DX$23,0)),0))</f>
        <v>21421.066008214286</v>
      </c>
      <c r="DL557" s="909">
        <f>IF(dd_PartSA_2_lines = "Yes",0,_xlfn.IFNA(INDEX('Resource use and costs'!$CS$11:$CS$53,MATCH(DB557,'Resource use and costs'!$BA$11:$BA$53,0)),0)*_xlfn.IFNA(INDEX(EC$10:EC$23,MATCH($DB557,$DX$10:$DX$23,0)),0))</f>
        <v>0</v>
      </c>
      <c r="DM557" s="909">
        <f t="shared" si="281"/>
        <v>75757.707528214261</v>
      </c>
      <c r="DN557" s="909">
        <f>SUM(_xlfn.IFNA(INDEX('Resource use and costs'!$DU$12:$DU$25,MATCH(CZ557,'Resource use and costs'!$DS$12:$DS$25,0)),0),_xlfn.IFNA(INDEX('Resource use and costs'!$DU$12:$DU$25,MATCH(DA557,'Resource use and costs'!$DS$12:$DS$25,0)),0),_xlfn.IFNA(INDEX('Resource use and costs'!$DU$12:$DU$25,MATCH(DB557,'Resource use and costs'!$DS$12:$DS$25,0)),0))</f>
        <v>394.5</v>
      </c>
      <c r="DO557" s="921">
        <f>_xlfn.IFNA(INDEX('Resource use and costs'!$DY$12:$DY$25,MATCH(CZ557,'Resource use and costs'!$DS$12:$DS$25,0)),0)*_xlfn.IFNA(INDEX(DY$10:DY$23,MATCH($CZ557,$DX$10:$DX$23,0)),0)</f>
        <v>810.54285714285697</v>
      </c>
      <c r="DP557" s="921">
        <f>IF(dd_PartSA_2_lines = "Yes",0,_xlfn.IFNA(INDEX('Resource use and costs'!$DZ$12:$DZ$25,MATCH(DA557,'Resource use and costs'!$DS$12:$DS$25,0)),0)*_xlfn.IFNA(INDEX(EA$10:EA$23,MATCH($DA557,$DX$10:$DX$23,0)),0))</f>
        <v>267.99172714285714</v>
      </c>
      <c r="DQ557" s="921">
        <f>IF(dd_PartSA_2_lines = "Yes",0,_xlfn.IFNA(INDEX('Resource use and costs'!$EA$12:$EA$25,MATCH(DB557,'Resource use and costs'!$DS$12:$DS$25,0)),0)*_xlfn.IFNA(INDEX(EC$10:EC$23,MATCH($DB557,$DX$10:$DX$23,0)),0))</f>
        <v>0</v>
      </c>
      <c r="DR557" s="921">
        <f t="shared" si="282"/>
        <v>1473.0345842857141</v>
      </c>
      <c r="DS557" s="1004">
        <f ca="1">SUMIFS('Safety parameters'!$DM$6:$DM$18,'Safety parameters'!$DK$6:$DK$18,CZ557,'Safety parameters'!$DL$6:$DL$18,1)+IF(dd_PartSA_2_lines = "Yes",0,SUMIFS('Safety parameters'!$DM$6:$DM$18,'Safety parameters'!$DK$6:$DK$18,DA557,'Safety parameters'!$DL$6:$DL$18,2)+SUMIFS('Safety parameters'!$DM$6:$DM$18,'Safety parameters'!$DK$6:$DK$18,DB557,'Safety parameters'!$DL$6:$DL$18,2))</f>
        <v>1634.2286735654598</v>
      </c>
      <c r="DT557" s="910">
        <f ca="1">SUMIFS('Safety parameters'!$DO$6:$DO$18,'Safety parameters'!$DK$6:$DK$18,CZ557,'Safety parameters'!$DL$6:$DL$18,1)+IF(dd_PartSA_2_lines = "Yes",0,SUMIFS('Safety parameters'!$DO$6:$DO$18,'Safety parameters'!$DK$6:$DK$18,DA557,'Safety parameters'!$DL$6:$DL$18,2)+SUMIFS('Safety parameters'!$DO$6:$DO$18,'Safety parameters'!$DK$6:$DK$18,DB557,'Safety parameters'!$DL$6:$DL$18,2))</f>
        <v>-1.4741924007481429E-2</v>
      </c>
    </row>
    <row r="558" spans="89:124" ht="15" x14ac:dyDescent="0.2">
      <c r="CK558" s="61" t="s">
        <v>31</v>
      </c>
      <c r="CL558" s="61">
        <v>4</v>
      </c>
      <c r="CM558" s="61" t="str">
        <v>lenvatinib_plus_pembrolizumab</v>
      </c>
      <c r="CN558" s="17">
        <v>3</v>
      </c>
      <c r="CO558" s="61" t="str" cm="1">
        <f t="array" ref="CO558">INDEX(List_comparators,CP557+1)</f>
        <v>cabozantinib</v>
      </c>
      <c r="CP558" s="17">
        <v>8</v>
      </c>
      <c r="CQ558" s="601">
        <f t="shared" ca="1" si="284"/>
        <v>0</v>
      </c>
      <c r="CR558" s="601">
        <f t="shared" ca="1" si="285"/>
        <v>0</v>
      </c>
      <c r="CS558" s="601">
        <f t="shared" ca="1" si="286"/>
        <v>63.808571428571426</v>
      </c>
      <c r="CT558" s="669">
        <f t="shared" ca="1" si="287"/>
        <v>7.218571428571428</v>
      </c>
      <c r="CU558" s="1123">
        <f>MATCH(CZ565,'Resource use and costs'!$BA$11:$BA$53,0)</f>
        <v>1</v>
      </c>
      <c r="CV558" s="1223"/>
      <c r="CW558" s="1241">
        <f t="shared" si="278"/>
        <v>1</v>
      </c>
      <c r="CX558" s="899" t="s">
        <v>788</v>
      </c>
      <c r="CY558" s="899" t="s">
        <v>319</v>
      </c>
      <c r="CZ558" s="899" t="s">
        <v>333</v>
      </c>
      <c r="DA558" s="899" t="s">
        <v>765</v>
      </c>
      <c r="DB558" s="899"/>
      <c r="DC558" s="899" cm="1">
        <f t="array" aca="1" ref="DC558" ca="1">_xlfn.IFNA(OFFSET($I$49,MATCH(CY558,$I$50:$I$63,0),MATCH(CZ558,TRANSPOSE($J$49:$W$49),0)),0)</f>
        <v>1.6065749508665357E-2</v>
      </c>
      <c r="DD558" s="899" cm="1">
        <f t="array" aca="1" ref="DD558" ca="1">_xlfn.IFNA(OFFSET($Y$49,MATCH($CZ558,$Y$50:$Y$63,0),MATCH($DA558,TRANSPOSE($Z$49:$AM$49),0)),0)</f>
        <v>0.34300000000000003</v>
      </c>
      <c r="DE558" s="899" cm="1">
        <f t="array" aca="1" ref="DE558" ca="1">_xlfn.IFNA(OFFSET($AO$49,MATCH($DA558,$AO$50:$AO$63,0),MATCH($DB558,TRANSPOSE($AP$49:$BC$49),0)),0)</f>
        <v>0</v>
      </c>
      <c r="DF558" s="881">
        <f t="shared" ca="1" si="279"/>
        <v>5.510552081472218E-3</v>
      </c>
      <c r="DG558" s="910">
        <f t="shared" ca="1" si="277"/>
        <v>0.98859556831386541</v>
      </c>
      <c r="DH558" s="881">
        <f t="shared" ca="1" si="280"/>
        <v>5.4477073667061815E-3</v>
      </c>
      <c r="DI558" s="1460">
        <f t="shared" ca="1" si="283"/>
        <v>0.56656156613744291</v>
      </c>
      <c r="DJ558" s="909">
        <f>_xlfn.IFNA(INDEX('Resource use and costs'!$CQ$11:$CQ$53,MATCH($CZ558,'Resource use and costs'!$BA$11:$BA$53,0)),0)*_xlfn.IFNA(INDEX(DY$10:DY$23,MATCH($CZ558,$DX$10:$DX$23,0)),0)</f>
        <v>54336.641519999976</v>
      </c>
      <c r="DK558" s="909">
        <f>IF(dd_PartSA_2_lines = "Yes",0,_xlfn.IFNA(INDEX('Resource use and costs'!$CR$11:$CR$53,MATCH(DA558,'Resource use and costs'!$BA$11:$BA$53,0)),0)*_xlfn.IFNA(INDEX(EA$10:EA$23,MATCH($DA558,$DX$10:$DX$23,0)),0))</f>
        <v>0</v>
      </c>
      <c r="DL558" s="909">
        <f>IF(dd_PartSA_2_lines = "Yes",0,_xlfn.IFNA(INDEX('Resource use and costs'!$CS$11:$CS$53,MATCH(DB558,'Resource use and costs'!$BA$11:$BA$53,0)),0)*_xlfn.IFNA(INDEX(EC$10:EC$23,MATCH($DB558,$DX$10:$DX$23,0)),0))</f>
        <v>0</v>
      </c>
      <c r="DM558" s="909">
        <f t="shared" si="281"/>
        <v>54336.641519999976</v>
      </c>
      <c r="DN558" s="909">
        <f>SUM(_xlfn.IFNA(INDEX('Resource use and costs'!$DU$12:$DU$25,MATCH(CZ558,'Resource use and costs'!$DS$12:$DS$25,0)),0),_xlfn.IFNA(INDEX('Resource use and costs'!$DU$12:$DU$25,MATCH(DA558,'Resource use and costs'!$DS$12:$DS$25,0)),0),_xlfn.IFNA(INDEX('Resource use and costs'!$DU$12:$DU$25,MATCH(DB558,'Resource use and costs'!$DS$12:$DS$25,0)),0))</f>
        <v>197.25</v>
      </c>
      <c r="DO558" s="921">
        <f>_xlfn.IFNA(INDEX('Resource use and costs'!$DY$12:$DY$25,MATCH(CZ558,'Resource use and costs'!$DS$12:$DS$25,0)),0)*_xlfn.IFNA(INDEX(DY$10:DY$23,MATCH($CZ558,$DX$10:$DX$23,0)),0)</f>
        <v>810.54285714285697</v>
      </c>
      <c r="DP558" s="921">
        <f>IF(dd_PartSA_2_lines = "Yes",0,_xlfn.IFNA(INDEX('Resource use and costs'!$DZ$12:$DZ$25,MATCH(DA558,'Resource use and costs'!$DS$12:$DS$25,0)),0)*_xlfn.IFNA(INDEX(EA$10:EA$23,MATCH($DA558,$DX$10:$DX$23,0)),0))</f>
        <v>0</v>
      </c>
      <c r="DQ558" s="921">
        <f>IF(dd_PartSA_2_lines = "Yes",0,_xlfn.IFNA(INDEX('Resource use and costs'!$EA$12:$EA$25,MATCH(DB558,'Resource use and costs'!$DS$12:$DS$25,0)),0)*_xlfn.IFNA(INDEX(EC$10:EC$23,MATCH($DB558,$DX$10:$DX$23,0)),0))</f>
        <v>0</v>
      </c>
      <c r="DR558" s="921">
        <f t="shared" si="282"/>
        <v>1007.792857142857</v>
      </c>
      <c r="DS558" s="1004">
        <f>SUMIFS('Safety parameters'!$DM$6:$DM$18,'Safety parameters'!$DK$6:$DK$18,CZ558,'Safety parameters'!$DL$6:$DL$18,1)+IF(dd_PartSA_2_lines = "Yes",0,SUMIFS('Safety parameters'!$DM$6:$DM$18,'Safety parameters'!$DK$6:$DK$18,DA558,'Safety parameters'!$DL$6:$DL$18,2)+SUMIFS('Safety parameters'!$DM$6:$DM$18,'Safety parameters'!$DK$6:$DK$18,DB558,'Safety parameters'!$DL$6:$DL$18,2))</f>
        <v>0</v>
      </c>
      <c r="DT558" s="910">
        <f>SUMIFS('Safety parameters'!$DO$6:$DO$18,'Safety parameters'!$DK$6:$DK$18,CZ558,'Safety parameters'!$DL$6:$DL$18,1)+IF(dd_PartSA_2_lines = "Yes",0,SUMIFS('Safety parameters'!$DO$6:$DO$18,'Safety parameters'!$DK$6:$DK$18,DA558,'Safety parameters'!$DL$6:$DL$18,2)+SUMIFS('Safety parameters'!$DO$6:$DO$18,'Safety parameters'!$DK$6:$DK$18,DB558,'Safety parameters'!$DL$6:$DL$18,2))</f>
        <v>0</v>
      </c>
    </row>
    <row r="559" spans="89:124" ht="15" x14ac:dyDescent="0.2">
      <c r="CK559" s="61" t="s">
        <v>31</v>
      </c>
      <c r="CL559" s="61">
        <v>4</v>
      </c>
      <c r="CM559" s="61" t="str">
        <v>avelumab_plus_axitinib</v>
      </c>
      <c r="CN559" s="17">
        <v>4</v>
      </c>
      <c r="CO559" s="61" t="str" cm="1">
        <f t="array" ref="CO559">INDEX(List_comparators,CP558+1)</f>
        <v>cabozantinib</v>
      </c>
      <c r="CP559" s="17">
        <v>8</v>
      </c>
      <c r="CQ559" s="601">
        <f t="shared" ca="1" si="284"/>
        <v>0</v>
      </c>
      <c r="CR559" s="601">
        <f t="shared" ca="1" si="285"/>
        <v>0</v>
      </c>
      <c r="CS559" s="601">
        <f t="shared" ca="1" si="286"/>
        <v>63.808571428571426</v>
      </c>
      <c r="CT559" s="669">
        <f t="shared" ca="1" si="287"/>
        <v>7.218571428571428</v>
      </c>
      <c r="CU559" s="1123">
        <f>MATCH(CZ566,'Resource use and costs'!$BA$11:$BA$53,0)</f>
        <v>1</v>
      </c>
      <c r="CV559" s="1223"/>
      <c r="CW559" s="1241">
        <f t="shared" si="278"/>
        <v>1</v>
      </c>
      <c r="CX559" s="899" t="s">
        <v>788</v>
      </c>
      <c r="CY559" s="899" t="s">
        <v>319</v>
      </c>
      <c r="CZ559" s="899" t="s">
        <v>333</v>
      </c>
      <c r="DA559" s="899" t="s">
        <v>118</v>
      </c>
      <c r="DB559" s="899" t="s">
        <v>327</v>
      </c>
      <c r="DC559" s="899" cm="1">
        <f t="array" aca="1" ref="DC559" ca="1">_xlfn.IFNA(OFFSET($I$49,MATCH(CY559,$I$50:$I$63,0),MATCH(CZ559,TRANSPOSE($J$49:$W$49),0)),0)</f>
        <v>1.6065749508665357E-2</v>
      </c>
      <c r="DD559" s="899">
        <f ca="1">1-DD561-DD558</f>
        <v>0.57489999999999997</v>
      </c>
      <c r="DE559" s="899">
        <f ca="1">1-DE560</f>
        <v>0.56859999999999999</v>
      </c>
      <c r="DF559" s="881">
        <f t="shared" ca="1" si="279"/>
        <v>5.2517029745935313E-3</v>
      </c>
      <c r="DG559" s="910">
        <f t="shared" ca="1" si="277"/>
        <v>0.98859556831386541</v>
      </c>
      <c r="DH559" s="881">
        <f t="shared" ca="1" si="280"/>
        <v>5.1918102867839098E-3</v>
      </c>
      <c r="DI559" s="1460">
        <f t="shared" ca="1" si="283"/>
        <v>0.53994826982552657</v>
      </c>
      <c r="DJ559" s="909">
        <f>_xlfn.IFNA(INDEX('Resource use and costs'!$CQ$11:$CQ$53,MATCH($CZ559,'Resource use and costs'!$BA$11:$BA$53,0)),0)*_xlfn.IFNA(INDEX(DY$10:DY$23,MATCH($CZ559,$DX$10:$DX$23,0)),0)</f>
        <v>54336.641519999976</v>
      </c>
      <c r="DK559" s="909">
        <f>IF(dd_PartSA_2_lines = "Yes",0,_xlfn.IFNA(INDEX('Resource use and costs'!$CR$11:$CR$53,MATCH(DA559,'Resource use and costs'!$BA$11:$BA$53,0)),0)*_xlfn.IFNA(INDEX(EA$10:EA$23,MATCH($DA559,$DX$10:$DX$23,0)),0))</f>
        <v>50308.075122000002</v>
      </c>
      <c r="DL559" s="909">
        <f>IF(dd_PartSA_2_lines = "Yes",0,_xlfn.IFNA(INDEX('Resource use and costs'!$CS$11:$CS$53,MATCH(DB559,'Resource use and costs'!$BA$11:$BA$53,0)),0)*_xlfn.IFNA(INDEX(EC$10:EC$23,MATCH($DB559,$DX$10:$DX$23,0)),0))</f>
        <v>18438.751749999999</v>
      </c>
      <c r="DM559" s="909">
        <f t="shared" si="281"/>
        <v>123083.46839199998</v>
      </c>
      <c r="DN559" s="909">
        <f>SUM(_xlfn.IFNA(INDEX('Resource use and costs'!$DU$12:$DU$25,MATCH(CZ559,'Resource use and costs'!$DS$12:$DS$25,0)),0),_xlfn.IFNA(INDEX('Resource use and costs'!$DU$12:$DU$25,MATCH(DA559,'Resource use and costs'!$DS$12:$DS$25,0)),0),_xlfn.IFNA(INDEX('Resource use and costs'!$DU$12:$DU$25,MATCH(DB559,'Resource use and costs'!$DS$12:$DS$25,0)),0))</f>
        <v>591.75</v>
      </c>
      <c r="DO559" s="921">
        <f>_xlfn.IFNA(INDEX('Resource use and costs'!$DY$12:$DY$25,MATCH(CZ559,'Resource use and costs'!$DS$12:$DS$25,0)),0)*_xlfn.IFNA(INDEX(DY$10:DY$23,MATCH($CZ559,$DX$10:$DX$23,0)),0)</f>
        <v>810.54285714285697</v>
      </c>
      <c r="DP559" s="921">
        <f>IF(dd_PartSA_2_lines = "Yes",0,_xlfn.IFNA(INDEX('Resource use and costs'!$DZ$12:$DZ$25,MATCH(DA559,'Resource use and costs'!$DS$12:$DS$25,0)),0)*_xlfn.IFNA(INDEX(EA$10:EA$23,MATCH($DA559,$DX$10:$DX$23,0)),0))</f>
        <v>461.1445457142857</v>
      </c>
      <c r="DQ559" s="921">
        <f>IF(dd_PartSA_2_lines = "Yes",0,_xlfn.IFNA(INDEX('Resource use and costs'!$EA$12:$EA$25,MATCH(DB559,'Resource use and costs'!$DS$12:$DS$25,0)),0)*_xlfn.IFNA(INDEX(EC$10:EC$23,MATCH($DB559,$DX$10:$DX$23,0)),0))</f>
        <v>230.68099999999998</v>
      </c>
      <c r="DR559" s="921">
        <f t="shared" si="282"/>
        <v>2094.1184028571424</v>
      </c>
      <c r="DS559" s="1004">
        <f ca="1">SUMIFS('Safety parameters'!$DM$6:$DM$18,'Safety parameters'!$DK$6:$DK$18,CZ559,'Safety parameters'!$DL$6:$DL$18,1)+IF(dd_PartSA_2_lines = "Yes",0,SUMIFS('Safety parameters'!$DM$6:$DM$18,'Safety parameters'!$DK$6:$DK$18,DA559,'Safety parameters'!$DL$6:$DL$18,2)+SUMIFS('Safety parameters'!$DM$6:$DM$18,'Safety parameters'!$DK$6:$DK$18,DB559,'Safety parameters'!$DL$6:$DL$18,2))</f>
        <v>2377.8779733688434</v>
      </c>
      <c r="DT559" s="910">
        <f ca="1">SUMIFS('Safety parameters'!$DO$6:$DO$18,'Safety parameters'!$DK$6:$DK$18,CZ559,'Safety parameters'!$DL$6:$DL$18,1)+IF(dd_PartSA_2_lines = "Yes",0,SUMIFS('Safety parameters'!$DO$6:$DO$18,'Safety parameters'!$DK$6:$DK$18,DA559,'Safety parameters'!$DL$6:$DL$18,2)+SUMIFS('Safety parameters'!$DO$6:$DO$18,'Safety parameters'!$DK$6:$DK$18,DB559,'Safety parameters'!$DL$6:$DL$18,2))</f>
        <v>-2.1764250363717368E-2</v>
      </c>
    </row>
    <row r="560" spans="89:124" ht="15" x14ac:dyDescent="0.2">
      <c r="CK560" s="61" t="s">
        <v>31</v>
      </c>
      <c r="CL560" s="61">
        <v>4</v>
      </c>
      <c r="CM560" s="61" t="str">
        <v>pazopanib</v>
      </c>
      <c r="CN560" s="17">
        <v>5</v>
      </c>
      <c r="CO560" s="61" t="str" cm="1">
        <f t="array" ref="CO560">INDEX(List_comparators,CP559+1)</f>
        <v>cabozantinib</v>
      </c>
      <c r="CP560" s="17">
        <v>8</v>
      </c>
      <c r="CQ560" s="601">
        <f t="shared" ca="1" si="284"/>
        <v>0</v>
      </c>
      <c r="CR560" s="601">
        <f t="shared" ca="1" si="285"/>
        <v>0</v>
      </c>
      <c r="CS560" s="601">
        <f t="shared" ca="1" si="286"/>
        <v>63.808571428571426</v>
      </c>
      <c r="CT560" s="669">
        <f t="shared" ca="1" si="287"/>
        <v>7.218571428571428</v>
      </c>
      <c r="CU560" s="1123">
        <f>MATCH(CZ567,'Resource use and costs'!$BA$11:$BA$53,0)</f>
        <v>1</v>
      </c>
      <c r="CV560" s="1223"/>
      <c r="CW560" s="1241">
        <f t="shared" si="278"/>
        <v>1</v>
      </c>
      <c r="CX560" s="899" t="s">
        <v>788</v>
      </c>
      <c r="CY560" s="899" t="s">
        <v>319</v>
      </c>
      <c r="CZ560" s="899" t="s">
        <v>333</v>
      </c>
      <c r="DA560" s="899" t="s">
        <v>118</v>
      </c>
      <c r="DB560" s="899" t="s">
        <v>765</v>
      </c>
      <c r="DC560" s="899" cm="1">
        <f t="array" aca="1" ref="DC560" ca="1">_xlfn.IFNA(OFFSET($I$49,MATCH(CY560,$I$50:$I$63,0),MATCH(CZ560,TRANSPOSE($J$49:$W$49),0)),0)</f>
        <v>1.6065749508665357E-2</v>
      </c>
      <c r="DD560" s="899">
        <f ca="1">DD559</f>
        <v>0.57489999999999997</v>
      </c>
      <c r="DE560" s="899" cm="1">
        <f t="array" aca="1" ref="DE560" ca="1">_xlfn.IFNA(OFFSET($AO$49,MATCH($DA560,$AO$50:$AO$63,0),MATCH($DB560,TRANSPOSE($AP$49:$BC$49),0)),0)</f>
        <v>0.43140000000000001</v>
      </c>
      <c r="DF560" s="881">
        <f t="shared" ca="1" si="279"/>
        <v>3.9844964179381812E-3</v>
      </c>
      <c r="DG560" s="910">
        <f t="shared" ca="1" si="277"/>
        <v>0.98859556831386541</v>
      </c>
      <c r="DH560" s="881">
        <f t="shared" ca="1" si="280"/>
        <v>3.9390555007361569E-3</v>
      </c>
      <c r="DI560" s="1460">
        <f t="shared" ca="1" si="283"/>
        <v>0.40966177207656029</v>
      </c>
      <c r="DJ560" s="909">
        <f>_xlfn.IFNA(INDEX('Resource use and costs'!$CQ$11:$CQ$53,MATCH($CZ560,'Resource use and costs'!$BA$11:$BA$53,0)),0)*_xlfn.IFNA(INDEX(DY$10:DY$23,MATCH($CZ560,$DX$10:$DX$23,0)),0)</f>
        <v>54336.641519999976</v>
      </c>
      <c r="DK560" s="909">
        <f>IF(dd_PartSA_2_lines = "Yes",0,_xlfn.IFNA(INDEX('Resource use and costs'!$CR$11:$CR$53,MATCH(DA560,'Resource use and costs'!$BA$11:$BA$53,0)),0)*_xlfn.IFNA(INDEX(EA$10:EA$23,MATCH($DA560,$DX$10:$DX$23,0)),0))</f>
        <v>50308.075122000002</v>
      </c>
      <c r="DL560" s="909">
        <f>IF(dd_PartSA_2_lines = "Yes",0,_xlfn.IFNA(INDEX('Resource use and costs'!$CS$11:$CS$53,MATCH(DB560,'Resource use and costs'!$BA$11:$BA$53,0)),0)*_xlfn.IFNA(INDEX(EC$10:EC$23,MATCH($DB560,$DX$10:$DX$23,0)),0))</f>
        <v>0</v>
      </c>
      <c r="DM560" s="909">
        <f t="shared" si="281"/>
        <v>104644.71664199998</v>
      </c>
      <c r="DN560" s="909">
        <f>SUM(_xlfn.IFNA(INDEX('Resource use and costs'!$DU$12:$DU$25,MATCH(CZ560,'Resource use and costs'!$DS$12:$DS$25,0)),0),_xlfn.IFNA(INDEX('Resource use and costs'!$DU$12:$DU$25,MATCH(DA560,'Resource use and costs'!$DS$12:$DS$25,0)),0),_xlfn.IFNA(INDEX('Resource use and costs'!$DU$12:$DU$25,MATCH(DB560,'Resource use and costs'!$DS$12:$DS$25,0)),0))</f>
        <v>394.5</v>
      </c>
      <c r="DO560" s="921">
        <f>_xlfn.IFNA(INDEX('Resource use and costs'!$DY$12:$DY$25,MATCH(CZ560,'Resource use and costs'!$DS$12:$DS$25,0)),0)*_xlfn.IFNA(INDEX(DY$10:DY$23,MATCH($CZ560,$DX$10:$DX$23,0)),0)</f>
        <v>810.54285714285697</v>
      </c>
      <c r="DP560" s="921">
        <f>IF(dd_PartSA_2_lines = "Yes",0,_xlfn.IFNA(INDEX('Resource use and costs'!$DZ$12:$DZ$25,MATCH(DA560,'Resource use and costs'!$DS$12:$DS$25,0)),0)*_xlfn.IFNA(INDEX(EA$10:EA$23,MATCH($DA560,$DX$10:$DX$23,0)),0))</f>
        <v>461.1445457142857</v>
      </c>
      <c r="DQ560" s="921">
        <f>IF(dd_PartSA_2_lines = "Yes",0,_xlfn.IFNA(INDEX('Resource use and costs'!$EA$12:$EA$25,MATCH(DB560,'Resource use and costs'!$DS$12:$DS$25,0)),0)*_xlfn.IFNA(INDEX(EC$10:EC$23,MATCH($DB560,$DX$10:$DX$23,0)),0))</f>
        <v>0</v>
      </c>
      <c r="DR560" s="921">
        <f t="shared" si="282"/>
        <v>1666.1874028571426</v>
      </c>
      <c r="DS560" s="1004">
        <f ca="1">SUMIFS('Safety parameters'!$DM$6:$DM$18,'Safety parameters'!$DK$6:$DK$18,CZ560,'Safety parameters'!$DL$6:$DL$18,1)+IF(dd_PartSA_2_lines = "Yes",0,SUMIFS('Safety parameters'!$DM$6:$DM$18,'Safety parameters'!$DK$6:$DK$18,DA560,'Safety parameters'!$DL$6:$DL$18,2)+SUMIFS('Safety parameters'!$DM$6:$DM$18,'Safety parameters'!$DK$6:$DK$18,DB560,'Safety parameters'!$DL$6:$DL$18,2))</f>
        <v>743.64929980338343</v>
      </c>
      <c r="DT560" s="910">
        <f ca="1">SUMIFS('Safety parameters'!$DO$6:$DO$18,'Safety parameters'!$DK$6:$DK$18,CZ560,'Safety parameters'!$DL$6:$DL$18,1)+IF(dd_PartSA_2_lines = "Yes",0,SUMIFS('Safety parameters'!$DO$6:$DO$18,'Safety parameters'!$DK$6:$DK$18,DA560,'Safety parameters'!$DL$6:$DL$18,2)+SUMIFS('Safety parameters'!$DO$6:$DO$18,'Safety parameters'!$DK$6:$DK$18,DB560,'Safety parameters'!$DL$6:$DL$18,2))</f>
        <v>-7.0223263562359372E-3</v>
      </c>
    </row>
    <row r="561" spans="89:124" ht="15" x14ac:dyDescent="0.2">
      <c r="CK561" s="61" t="s">
        <v>31</v>
      </c>
      <c r="CL561" s="61">
        <v>4</v>
      </c>
      <c r="CM561" s="61" t="str">
        <v>tivozanib</v>
      </c>
      <c r="CN561" s="17">
        <v>6</v>
      </c>
      <c r="CO561" s="61" t="str" cm="1">
        <f t="array" ref="CO561">INDEX(List_comparators,CP560+1)</f>
        <v>cabozantinib</v>
      </c>
      <c r="CP561" s="17">
        <v>8</v>
      </c>
      <c r="CQ561" s="601">
        <f t="shared" ca="1" si="284"/>
        <v>0</v>
      </c>
      <c r="CR561" s="601">
        <f t="shared" ca="1" si="285"/>
        <v>0</v>
      </c>
      <c r="CS561" s="601">
        <f t="shared" ca="1" si="286"/>
        <v>63.808571428571426</v>
      </c>
      <c r="CT561" s="669">
        <f t="shared" ca="1" si="287"/>
        <v>7.218571428571428</v>
      </c>
      <c r="CU561" s="1123">
        <f>MATCH(CZ568,'Resource use and costs'!$BA$11:$BA$53,0)</f>
        <v>1</v>
      </c>
      <c r="CV561" s="1223"/>
      <c r="CW561" s="1241">
        <f t="shared" si="278"/>
        <v>1</v>
      </c>
      <c r="CX561" s="899" t="s">
        <v>788</v>
      </c>
      <c r="CY561" s="899" t="s">
        <v>319</v>
      </c>
      <c r="CZ561" s="899" t="s">
        <v>333</v>
      </c>
      <c r="DA561" s="899" t="s">
        <v>579</v>
      </c>
      <c r="DB561" s="899" t="s">
        <v>327</v>
      </c>
      <c r="DC561" s="899" cm="1">
        <f t="array" aca="1" ref="DC561" ca="1">_xlfn.IFNA(OFFSET($I$49,MATCH(CY561,$I$50:$I$63,0),MATCH(CZ561,TRANSPOSE($J$49:$W$49),0)),0)</f>
        <v>1.6065749508665357E-2</v>
      </c>
      <c r="DD561" s="899" cm="1">
        <f t="array" aca="1" ref="DD561" ca="1">_xlfn.IFNA(OFFSET($Y$49,MATCH($CZ561,$Y$50:$Y$63,0),MATCH($DA561,TRANSPOSE($Z$49:$AM$49),0)),0)</f>
        <v>8.2100000000000006E-2</v>
      </c>
      <c r="DE561" s="899" cm="1">
        <f t="array" aca="1" ref="DE561" ca="1">_xlfn.IFNA(OFFSET($AO$49,MATCH($DA561,$AO$50:$AO$63,0),MATCH($DB561,TRANSPOSE($AP$49:$BC$49),0)),0)</f>
        <v>0.56859999999999999</v>
      </c>
      <c r="DF561" s="881">
        <f t="shared" ca="1" si="279"/>
        <v>7.4998228250848671E-4</v>
      </c>
      <c r="DG561" s="910">
        <f t="shared" ca="1" si="277"/>
        <v>0.98859556831386541</v>
      </c>
      <c r="DH561" s="881">
        <f t="shared" ca="1" si="280"/>
        <v>7.4142916080180735E-4</v>
      </c>
      <c r="DI561" s="1460">
        <f t="shared" ca="1" si="283"/>
        <v>7.7108632723387971E-2</v>
      </c>
      <c r="DJ561" s="909">
        <f>_xlfn.IFNA(INDEX('Resource use and costs'!$CQ$11:$CQ$53,MATCH($CZ561,'Resource use and costs'!$BA$11:$BA$53,0)),0)*_xlfn.IFNA(INDEX(DY$10:DY$23,MATCH($CZ561,$DX$10:$DX$23,0)),0)</f>
        <v>54336.641519999976</v>
      </c>
      <c r="DK561" s="909">
        <f>IF(dd_PartSA_2_lines = "Yes",0,_xlfn.IFNA(INDEX('Resource use and costs'!$CR$11:$CR$53,MATCH(DA561,'Resource use and costs'!$BA$11:$BA$53,0)),0)*_xlfn.IFNA(INDEX(EA$10:EA$23,MATCH($DA561,$DX$10:$DX$23,0)),0))</f>
        <v>26054.50921</v>
      </c>
      <c r="DL561" s="909">
        <f>IF(dd_PartSA_2_lines = "Yes",0,_xlfn.IFNA(INDEX('Resource use and costs'!$CS$11:$CS$53,MATCH(DB561,'Resource use and costs'!$BA$11:$BA$53,0)),0)*_xlfn.IFNA(INDEX(EC$10:EC$23,MATCH($DB561,$DX$10:$DX$23,0)),0))</f>
        <v>18438.751749999999</v>
      </c>
      <c r="DM561" s="909">
        <f t="shared" si="281"/>
        <v>98829.902479999975</v>
      </c>
      <c r="DN561" s="909">
        <f>SUM(_xlfn.IFNA(INDEX('Resource use and costs'!$DU$12:$DU$25,MATCH(CZ561,'Resource use and costs'!$DS$12:$DS$25,0)),0),_xlfn.IFNA(INDEX('Resource use and costs'!$DU$12:$DU$25,MATCH(DA561,'Resource use and costs'!$DS$12:$DS$25,0)),0),_xlfn.IFNA(INDEX('Resource use and costs'!$DU$12:$DU$25,MATCH(DB561,'Resource use and costs'!$DS$12:$DS$25,0)),0))</f>
        <v>394.5</v>
      </c>
      <c r="DO561" s="921">
        <f>_xlfn.IFNA(INDEX('Resource use and costs'!$DY$12:$DY$25,MATCH(CZ561,'Resource use and costs'!$DS$12:$DS$25,0)),0)*_xlfn.IFNA(INDEX(DY$10:DY$23,MATCH($CZ561,$DX$10:$DX$23,0)),0)</f>
        <v>810.54285714285697</v>
      </c>
      <c r="DP561" s="921">
        <f>IF(dd_PartSA_2_lines = "Yes",0,_xlfn.IFNA(INDEX('Resource use and costs'!$DZ$12:$DZ$25,MATCH(DA561,'Resource use and costs'!$DS$12:$DS$25,0)),0)*_xlfn.IFNA(INDEX(EA$10:EA$23,MATCH($DA561,$DX$10:$DX$23,0)),0))</f>
        <v>4108.3597166</v>
      </c>
      <c r="DQ561" s="921">
        <f>IF(dd_PartSA_2_lines = "Yes",0,_xlfn.IFNA(INDEX('Resource use and costs'!$EA$12:$EA$25,MATCH(DB561,'Resource use and costs'!$DS$12:$DS$25,0)),0)*_xlfn.IFNA(INDEX(EC$10:EC$23,MATCH($DB561,$DX$10:$DX$23,0)),0))</f>
        <v>230.68099999999998</v>
      </c>
      <c r="DR561" s="921">
        <f t="shared" si="282"/>
        <v>5544.0835737428561</v>
      </c>
      <c r="DS561" s="1004">
        <f ca="1">SUMIFS('Safety parameters'!$DM$6:$DM$18,'Safety parameters'!$DK$6:$DK$18,CZ561,'Safety parameters'!$DL$6:$DL$18,1)+IF(dd_PartSA_2_lines = "Yes",0,SUMIFS('Safety parameters'!$DM$6:$DM$18,'Safety parameters'!$DK$6:$DK$18,DA561,'Safety parameters'!$DL$6:$DL$18,2)+SUMIFS('Safety parameters'!$DM$6:$DM$18,'Safety parameters'!$DK$6:$DK$18,DB561,'Safety parameters'!$DL$6:$DL$18,2))</f>
        <v>1795.3624225558742</v>
      </c>
      <c r="DT561" s="910">
        <f ca="1">SUMIFS('Safety parameters'!$DO$6:$DO$18,'Safety parameters'!$DK$6:$DK$18,CZ561,'Safety parameters'!$DL$6:$DL$18,1)+IF(dd_PartSA_2_lines = "Yes",0,SUMIFS('Safety parameters'!$DO$6:$DO$18,'Safety parameters'!$DK$6:$DK$18,DA561,'Safety parameters'!$DL$6:$DL$18,2)+SUMIFS('Safety parameters'!$DO$6:$DO$18,'Safety parameters'!$DK$6:$DK$18,DB561,'Safety parameters'!$DL$6:$DL$18,2))</f>
        <v>-1.6339008205166216E-2</v>
      </c>
    </row>
    <row r="562" spans="89:124" ht="15" x14ac:dyDescent="0.2">
      <c r="CK562" s="61" t="s">
        <v>31</v>
      </c>
      <c r="CL562" s="61">
        <v>4</v>
      </c>
      <c r="CM562" s="61" t="str">
        <v>sunitinib</v>
      </c>
      <c r="CN562" s="17">
        <v>7</v>
      </c>
      <c r="CO562" s="61" t="str" cm="1">
        <f t="array" ref="CO562">INDEX(List_comparators,CP561+1)</f>
        <v>cabozantinib</v>
      </c>
      <c r="CP562" s="17">
        <v>8</v>
      </c>
      <c r="CQ562" s="601">
        <f t="shared" ca="1" si="284"/>
        <v>0</v>
      </c>
      <c r="CR562" s="601">
        <f t="shared" ca="1" si="285"/>
        <v>0</v>
      </c>
      <c r="CS562" s="601">
        <f t="shared" ca="1" si="286"/>
        <v>63.808571428571426</v>
      </c>
      <c r="CT562" s="669">
        <f t="shared" ca="1" si="287"/>
        <v>7.218571428571428</v>
      </c>
      <c r="CU562" s="1123">
        <f>MATCH(CZ569,'Resource use and costs'!$BA$11:$BA$53,0)</f>
        <v>1</v>
      </c>
      <c r="CV562" s="1223"/>
      <c r="CW562" s="1241">
        <f t="shared" si="278"/>
        <v>1</v>
      </c>
      <c r="CX562" s="899" t="s">
        <v>788</v>
      </c>
      <c r="CY562" s="899" t="s">
        <v>319</v>
      </c>
      <c r="CZ562" s="899" t="s">
        <v>333</v>
      </c>
      <c r="DA562" s="899" t="s">
        <v>579</v>
      </c>
      <c r="DB562" s="899" t="s">
        <v>765</v>
      </c>
      <c r="DC562" s="899" cm="1">
        <f t="array" aca="1" ref="DC562" ca="1">_xlfn.IFNA(OFFSET($I$49,MATCH(CY562,$I$50:$I$63,0),MATCH(CZ562,TRANSPOSE($J$49:$W$49),0)),0)</f>
        <v>1.6065749508665357E-2</v>
      </c>
      <c r="DD562" s="899" cm="1">
        <f t="array" aca="1" ref="DD562" ca="1">_xlfn.IFNA(OFFSET($Y$49,MATCH($CZ562,$Y$50:$Y$63,0),MATCH($DA562,TRANSPOSE($Z$49:$AM$49),0)),0)</f>
        <v>8.2100000000000006E-2</v>
      </c>
      <c r="DE562" s="899" cm="1">
        <f t="array" aca="1" ref="DE562" ca="1">_xlfn.IFNA(OFFSET($AO$49,MATCH($DA562,$AO$50:$AO$63,0),MATCH($DB562,TRANSPOSE($AP$49:$BC$49),0)),0)</f>
        <v>0.43140000000000001</v>
      </c>
      <c r="DF562" s="881">
        <f t="shared" ca="1" si="279"/>
        <v>5.6901575215293919E-4</v>
      </c>
      <c r="DG562" s="910">
        <f t="shared" ca="1" si="277"/>
        <v>0.98859556831386541</v>
      </c>
      <c r="DH562" s="881">
        <f t="shared" ca="1" si="280"/>
        <v>5.6252645087917648E-4</v>
      </c>
      <c r="DI562" s="1460">
        <f t="shared" ca="1" si="283"/>
        <v>5.8502750891434356E-2</v>
      </c>
      <c r="DJ562" s="909">
        <f>_xlfn.IFNA(INDEX('Resource use and costs'!$CQ$11:$CQ$53,MATCH($CZ562,'Resource use and costs'!$BA$11:$BA$53,0)),0)*_xlfn.IFNA(INDEX(DY$10:DY$23,MATCH($CZ562,$DX$10:$DX$23,0)),0)</f>
        <v>54336.641519999976</v>
      </c>
      <c r="DK562" s="909">
        <f>IF(dd_PartSA_2_lines = "Yes",0,_xlfn.IFNA(INDEX('Resource use and costs'!$CR$11:$CR$53,MATCH(DA562,'Resource use and costs'!$BA$11:$BA$53,0)),0)*_xlfn.IFNA(INDEX(EA$10:EA$23,MATCH($DA562,$DX$10:$DX$23,0)),0))</f>
        <v>26054.50921</v>
      </c>
      <c r="DL562" s="909">
        <f>IF(dd_PartSA_2_lines = "Yes",0,_xlfn.IFNA(INDEX('Resource use and costs'!$CS$11:$CS$53,MATCH(DB562,'Resource use and costs'!$BA$11:$BA$53,0)),0)*_xlfn.IFNA(INDEX(EC$10:EC$23,MATCH($DB562,$DX$10:$DX$23,0)),0))</f>
        <v>0</v>
      </c>
      <c r="DM562" s="909">
        <f t="shared" si="281"/>
        <v>80391.150729999979</v>
      </c>
      <c r="DN562" s="909">
        <f>SUM(_xlfn.IFNA(INDEX('Resource use and costs'!$DU$12:$DU$25,MATCH(CZ562,'Resource use and costs'!$DS$12:$DS$25,0)),0),_xlfn.IFNA(INDEX('Resource use and costs'!$DU$12:$DU$25,MATCH(DA562,'Resource use and costs'!$DS$12:$DS$25,0)),0),_xlfn.IFNA(INDEX('Resource use and costs'!$DU$12:$DU$25,MATCH(DB562,'Resource use and costs'!$DS$12:$DS$25,0)),0))</f>
        <v>197.25</v>
      </c>
      <c r="DO562" s="921">
        <f>_xlfn.IFNA(INDEX('Resource use and costs'!$DY$12:$DY$25,MATCH(CZ562,'Resource use and costs'!$DS$12:$DS$25,0)),0)*_xlfn.IFNA(INDEX(DY$10:DY$23,MATCH($CZ562,$DX$10:$DX$23,0)),0)</f>
        <v>810.54285714285697</v>
      </c>
      <c r="DP562" s="921">
        <f>IF(dd_PartSA_2_lines = "Yes",0,_xlfn.IFNA(INDEX('Resource use and costs'!$DZ$12:$DZ$25,MATCH(DA562,'Resource use and costs'!$DS$12:$DS$25,0)),0)*_xlfn.IFNA(INDEX(EA$10:EA$23,MATCH($DA562,$DX$10:$DX$23,0)),0))</f>
        <v>4108.3597166</v>
      </c>
      <c r="DQ562" s="921">
        <f>IF(dd_PartSA_2_lines = "Yes",0,_xlfn.IFNA(INDEX('Resource use and costs'!$EA$12:$EA$25,MATCH(DB562,'Resource use and costs'!$DS$12:$DS$25,0)),0)*_xlfn.IFNA(INDEX(EC$10:EC$23,MATCH($DB562,$DX$10:$DX$23,0)),0))</f>
        <v>0</v>
      </c>
      <c r="DR562" s="921">
        <f t="shared" si="282"/>
        <v>5116.1525737428565</v>
      </c>
      <c r="DS562" s="1004">
        <f ca="1">SUMIFS('Safety parameters'!$DM$6:$DM$18,'Safety parameters'!$DK$6:$DK$18,CZ562,'Safety parameters'!$DL$6:$DL$18,1)+IF(dd_PartSA_2_lines = "Yes",0,SUMIFS('Safety parameters'!$DM$6:$DM$18,'Safety parameters'!$DK$6:$DK$18,DA562,'Safety parameters'!$DL$6:$DL$18,2)+SUMIFS('Safety parameters'!$DM$6:$DM$18,'Safety parameters'!$DK$6:$DK$18,DB562,'Safety parameters'!$DL$6:$DL$18,2))</f>
        <v>161.1337489904144</v>
      </c>
      <c r="DT562" s="910">
        <f ca="1">SUMIFS('Safety parameters'!$DO$6:$DO$18,'Safety parameters'!$DK$6:$DK$18,CZ562,'Safety parameters'!$DL$6:$DL$18,1)+IF(dd_PartSA_2_lines = "Yes",0,SUMIFS('Safety parameters'!$DO$6:$DO$18,'Safety parameters'!$DK$6:$DK$18,DA562,'Safety parameters'!$DL$6:$DL$18,2)+SUMIFS('Safety parameters'!$DO$6:$DO$18,'Safety parameters'!$DK$6:$DK$18,DB562,'Safety parameters'!$DL$6:$DL$18,2))</f>
        <v>-1.5970841976847864E-3</v>
      </c>
    </row>
    <row r="563" spans="89:124" ht="15" x14ac:dyDescent="0.2">
      <c r="CK563" s="61" t="s">
        <v>31</v>
      </c>
      <c r="CL563" s="61">
        <v>4</v>
      </c>
      <c r="CM563" s="61" t="str">
        <v>cabozantinib</v>
      </c>
      <c r="CN563" s="17">
        <v>8</v>
      </c>
      <c r="CO563" s="61" t="str" cm="1">
        <f t="array" ref="CO563">INDEX(List_comparators,CP562+1)</f>
        <v>cabozantinib</v>
      </c>
      <c r="CP563" s="17">
        <v>8</v>
      </c>
      <c r="CQ563" s="601">
        <f t="shared" ca="1" si="284"/>
        <v>0</v>
      </c>
      <c r="CR563" s="601">
        <f t="shared" ca="1" si="285"/>
        <v>0</v>
      </c>
      <c r="CS563" s="601">
        <f t="shared" ca="1" si="286"/>
        <v>63.808571428571426</v>
      </c>
      <c r="CT563" s="669">
        <f t="shared" ca="1" si="287"/>
        <v>7.218571428571428</v>
      </c>
      <c r="CU563" s="1123">
        <f>MATCH(CZ570,'Resource use and costs'!$BA$11:$BA$53,0)</f>
        <v>1</v>
      </c>
      <c r="CV563" s="1223"/>
      <c r="CW563" s="1241">
        <f t="shared" si="278"/>
        <v>1</v>
      </c>
      <c r="CX563" s="899" t="s">
        <v>788</v>
      </c>
      <c r="CY563" s="899" t="s">
        <v>319</v>
      </c>
      <c r="CZ563" s="899" t="s">
        <v>579</v>
      </c>
      <c r="DA563" s="899" t="s">
        <v>327</v>
      </c>
      <c r="DB563" s="899" t="s">
        <v>765</v>
      </c>
      <c r="DC563" s="899" cm="1">
        <f t="array" aca="1" ref="DC563" ca="1">_xlfn.IFNA(OFFSET($I$49,MATCH(CY563,$I$50:$I$63,0),MATCH(CZ563,TRANSPOSE($J$49:$W$49),0)),0)</f>
        <v>0.49974522065392168</v>
      </c>
      <c r="DD563" s="899" cm="1">
        <f t="array" aca="1" ref="DD563" ca="1">_xlfn.IFNA(OFFSET($Y$49,MATCH($CZ563,$Y$50:$Y$63,0),MATCH($DA563,TRANSPOSE($Z$49:$AM$49),0)),0)</f>
        <v>5.2400000000000002E-2</v>
      </c>
      <c r="DE563" s="899" cm="1">
        <f t="array" aca="1" ref="DE563" ca="1">_xlfn.IFNA(OFFSET($AO$49,MATCH($DA563,$AO$50:$AO$63,0),MATCH($DB563,TRANSPOSE($AP$49:$BC$49),0)),0)</f>
        <v>0.43140000000000001</v>
      </c>
      <c r="DF563" s="881">
        <f t="shared" ca="1" si="279"/>
        <v>1.1296920621161336E-2</v>
      </c>
      <c r="DG563" s="910">
        <f t="shared" ca="1" si="277"/>
        <v>0.98859556831386541</v>
      </c>
      <c r="DH563" s="881">
        <f t="shared" ca="1" si="280"/>
        <v>1.1168085661673616E-2</v>
      </c>
      <c r="DI563" s="1460">
        <f t="shared" ca="1" si="283"/>
        <v>1.1614809088140561</v>
      </c>
      <c r="DJ563" s="909">
        <f>_xlfn.IFNA(INDEX('Resource use and costs'!$CQ$11:$CQ$53,MATCH($CZ563,'Resource use and costs'!$BA$11:$BA$53,0)),0)*_xlfn.IFNA(INDEX(DY$10:DY$23,MATCH($CZ563,$DX$10:$DX$23,0)),0)</f>
        <v>56693.786091428577</v>
      </c>
      <c r="DK563" s="909">
        <f>IF(dd_PartSA_2_lines = "Yes",0,_xlfn.IFNA(INDEX('Resource use and costs'!$CR$11:$CR$53,MATCH(DA563,'Resource use and costs'!$BA$11:$BA$53,0)),0)*_xlfn.IFNA(INDEX(EA$10:EA$23,MATCH($DA563,$DX$10:$DX$23,0)),0))</f>
        <v>21421.066008214286</v>
      </c>
      <c r="DL563" s="909">
        <f>IF(dd_PartSA_2_lines = "Yes",0,_xlfn.IFNA(INDEX('Resource use and costs'!$CS$11:$CS$53,MATCH(DB563,'Resource use and costs'!$BA$11:$BA$53,0)),0)*_xlfn.IFNA(INDEX(EC$10:EC$23,MATCH($DB563,$DX$10:$DX$23,0)),0))</f>
        <v>0</v>
      </c>
      <c r="DM563" s="909">
        <f t="shared" si="281"/>
        <v>78114.852099642856</v>
      </c>
      <c r="DN563" s="909">
        <f>SUM(_xlfn.IFNA(INDEX('Resource use and costs'!$DU$12:$DU$25,MATCH(CZ563,'Resource use and costs'!$DS$12:$DS$25,0)),0),_xlfn.IFNA(INDEX('Resource use and costs'!$DU$12:$DU$25,MATCH(DA563,'Resource use and costs'!$DS$12:$DS$25,0)),0),_xlfn.IFNA(INDEX('Resource use and costs'!$DU$12:$DU$25,MATCH(DB563,'Resource use and costs'!$DS$12:$DS$25,0)),0))</f>
        <v>197.25</v>
      </c>
      <c r="DO563" s="921">
        <f>_xlfn.IFNA(INDEX('Resource use and costs'!$DY$12:$DY$25,MATCH(CZ563,'Resource use and costs'!$DS$12:$DS$25,0)),0)*_xlfn.IFNA(INDEX(DY$10:DY$23,MATCH($CZ563,$DX$10:$DX$23,0)),0)</f>
        <v>8939.6605049142872</v>
      </c>
      <c r="DP563" s="921">
        <f>IF(dd_PartSA_2_lines = "Yes",0,_xlfn.IFNA(INDEX('Resource use and costs'!$DZ$12:$DZ$25,MATCH(DA563,'Resource use and costs'!$DS$12:$DS$25,0)),0)*_xlfn.IFNA(INDEX(EA$10:EA$23,MATCH($DA563,$DX$10:$DX$23,0)),0))</f>
        <v>267.99172714285714</v>
      </c>
      <c r="DQ563" s="921">
        <f>IF(dd_PartSA_2_lines = "Yes",0,_xlfn.IFNA(INDEX('Resource use and costs'!$EA$12:$EA$25,MATCH(DB563,'Resource use and costs'!$DS$12:$DS$25,0)),0)*_xlfn.IFNA(INDEX(EC$10:EC$23,MATCH($DB563,$DX$10:$DX$23,0)),0))</f>
        <v>0</v>
      </c>
      <c r="DR563" s="921">
        <f t="shared" si="282"/>
        <v>9404.9022320571439</v>
      </c>
      <c r="DS563" s="1004">
        <f ca="1">SUMIFS('Safety parameters'!$DM$6:$DM$18,'Safety parameters'!$DK$6:$DK$18,CZ563,'Safety parameters'!$DL$6:$DL$18,1)+IF(dd_PartSA_2_lines = "Yes",0,SUMIFS('Safety parameters'!$DM$6:$DM$18,'Safety parameters'!$DK$6:$DK$18,DA563,'Safety parameters'!$DL$6:$DL$18,2)+SUMIFS('Safety parameters'!$DM$6:$DM$18,'Safety parameters'!$DK$6:$DK$18,DB563,'Safety parameters'!$DL$6:$DL$18,2))</f>
        <v>1634.2286735654598</v>
      </c>
      <c r="DT563" s="910">
        <f ca="1">SUMIFS('Safety parameters'!$DO$6:$DO$18,'Safety parameters'!$DK$6:$DK$18,CZ563,'Safety parameters'!$DL$6:$DL$18,1)+IF(dd_PartSA_2_lines = "Yes",0,SUMIFS('Safety parameters'!$DO$6:$DO$18,'Safety parameters'!$DK$6:$DK$18,DA563,'Safety parameters'!$DL$6:$DL$18,2)+SUMIFS('Safety parameters'!$DO$6:$DO$18,'Safety parameters'!$DK$6:$DK$18,DB563,'Safety parameters'!$DL$6:$DL$18,2))</f>
        <v>-1.4741924007481429E-2</v>
      </c>
    </row>
    <row r="564" spans="89:124" ht="15" x14ac:dyDescent="0.2">
      <c r="CK564" s="61" t="s">
        <v>31</v>
      </c>
      <c r="CL564" s="61">
        <v>4</v>
      </c>
      <c r="CM564" s="61" t="str">
        <v>lenvatinib_plus_everolimus</v>
      </c>
      <c r="CN564" s="17">
        <v>9</v>
      </c>
      <c r="CO564" s="61" t="str" cm="1">
        <f t="array" ref="CO564">INDEX(List_comparators,CP563+1)</f>
        <v>cabozantinib</v>
      </c>
      <c r="CP564" s="17">
        <v>8</v>
      </c>
      <c r="CQ564" s="601">
        <f t="shared" ca="1" si="284"/>
        <v>0</v>
      </c>
      <c r="CR564" s="601">
        <f t="shared" ca="1" si="285"/>
        <v>0</v>
      </c>
      <c r="CS564" s="601">
        <f t="shared" ca="1" si="286"/>
        <v>63.808571428571426</v>
      </c>
      <c r="CT564" s="669">
        <f t="shared" ca="1" si="287"/>
        <v>7.218571428571428</v>
      </c>
      <c r="CU564" s="1123">
        <f>MATCH(CZ571,'Resource use and costs'!$BA$11:$BA$53,0)</f>
        <v>1</v>
      </c>
      <c r="CV564" s="1223"/>
      <c r="CW564" s="1241">
        <f t="shared" si="278"/>
        <v>1</v>
      </c>
      <c r="CX564" s="899" t="s">
        <v>788</v>
      </c>
      <c r="CY564" s="899" t="s">
        <v>319</v>
      </c>
      <c r="CZ564" s="899" t="s">
        <v>579</v>
      </c>
      <c r="DA564" s="899" t="s">
        <v>327</v>
      </c>
      <c r="DB564" s="899" t="s">
        <v>119</v>
      </c>
      <c r="DC564" s="899" cm="1">
        <f t="array" aca="1" ref="DC564" ca="1">_xlfn.IFNA(OFFSET($I$49,MATCH(CY564,$I$50:$I$63,0),MATCH(CZ564,TRANSPOSE($J$49:$W$49),0)),0)</f>
        <v>0.49974522065392168</v>
      </c>
      <c r="DD564" s="899" cm="1">
        <f t="array" aca="1" ref="DD564" ca="1">_xlfn.IFNA(OFFSET($Y$49,MATCH($CZ564,$Y$50:$Y$63,0),MATCH($DA564,TRANSPOSE($Z$49:$AM$49),0)),0)</f>
        <v>5.2400000000000002E-2</v>
      </c>
      <c r="DE564" s="899" cm="1">
        <f t="array" aca="1" ref="DE564" ca="1">_xlfn.IFNA(OFFSET($AO$49,MATCH($DA564,$AO$50:$AO$63,0),MATCH($DB564,TRANSPOSE($AP$49:$BC$49),0)),0)</f>
        <v>0.56859999999999999</v>
      </c>
      <c r="DF564" s="881">
        <f t="shared" ca="1" si="279"/>
        <v>1.4889728941104161E-2</v>
      </c>
      <c r="DG564" s="910">
        <f t="shared" ca="1" si="277"/>
        <v>0.98859556831386541</v>
      </c>
      <c r="DH564" s="881">
        <f t="shared" ca="1" si="280"/>
        <v>1.4719920044570277E-2</v>
      </c>
      <c r="DI564" s="1460">
        <f t="shared" ca="1" si="283"/>
        <v>1.5308716846353088</v>
      </c>
      <c r="DJ564" s="909">
        <f>_xlfn.IFNA(INDEX('Resource use and costs'!$CQ$11:$CQ$53,MATCH($CZ564,'Resource use and costs'!$BA$11:$BA$53,0)),0)*_xlfn.IFNA(INDEX(DY$10:DY$23,MATCH($CZ564,$DX$10:$DX$23,0)),0)</f>
        <v>56693.786091428577</v>
      </c>
      <c r="DK564" s="909">
        <f>IF(dd_PartSA_2_lines = "Yes",0,_xlfn.IFNA(INDEX('Resource use and costs'!$CR$11:$CR$53,MATCH(DA564,'Resource use and costs'!$BA$11:$BA$53,0)),0)*_xlfn.IFNA(INDEX(EA$10:EA$23,MATCH($DA564,$DX$10:$DX$23,0)),0))</f>
        <v>21421.066008214286</v>
      </c>
      <c r="DL564" s="909">
        <f>IF(dd_PartSA_2_lines = "Yes",0,_xlfn.IFNA(INDEX('Resource use and costs'!$CS$11:$CS$53,MATCH(DB564,'Resource use and costs'!$BA$11:$BA$53,0)),0)*_xlfn.IFNA(INDEX(EC$10:EC$23,MATCH($DB564,$DX$10:$DX$23,0)),0))</f>
        <v>2915.4763433333328</v>
      </c>
      <c r="DM564" s="909">
        <f t="shared" si="281"/>
        <v>81030.328442976184</v>
      </c>
      <c r="DN564" s="909">
        <f>SUM(_xlfn.IFNA(INDEX('Resource use and costs'!$DU$12:$DU$25,MATCH(CZ564,'Resource use and costs'!$DS$12:$DS$25,0)),0),_xlfn.IFNA(INDEX('Resource use and costs'!$DU$12:$DU$25,MATCH(DA564,'Resource use and costs'!$DS$12:$DS$25,0)),0),_xlfn.IFNA(INDEX('Resource use and costs'!$DU$12:$DU$25,MATCH(DB564,'Resource use and costs'!$DS$12:$DS$25,0)),0))</f>
        <v>394.5</v>
      </c>
      <c r="DO564" s="921">
        <f>_xlfn.IFNA(INDEX('Resource use and costs'!$DY$12:$DY$25,MATCH(CZ564,'Resource use and costs'!$DS$12:$DS$25,0)),0)*_xlfn.IFNA(INDEX(DY$10:DY$23,MATCH($CZ564,$DX$10:$DX$23,0)),0)</f>
        <v>8939.6605049142872</v>
      </c>
      <c r="DP564" s="921">
        <f>IF(dd_PartSA_2_lines = "Yes",0,_xlfn.IFNA(INDEX('Resource use and costs'!$DZ$12:$DZ$25,MATCH(DA564,'Resource use and costs'!$DS$12:$DS$25,0)),0)*_xlfn.IFNA(INDEX(EA$10:EA$23,MATCH($DA564,$DX$10:$DX$23,0)),0))</f>
        <v>267.99172714285714</v>
      </c>
      <c r="DQ564" s="921">
        <f>IF(dd_PartSA_2_lines = "Yes",0,_xlfn.IFNA(INDEX('Resource use and costs'!$EA$12:$EA$25,MATCH(DB564,'Resource use and costs'!$DS$12:$DS$25,0)),0)*_xlfn.IFNA(INDEX(EC$10:EC$23,MATCH($DB564,$DX$10:$DX$23,0)),0))</f>
        <v>256.11457142857142</v>
      </c>
      <c r="DR564" s="921">
        <f t="shared" si="282"/>
        <v>9858.2668034857161</v>
      </c>
      <c r="DS564" s="1004">
        <f ca="1">SUMIFS('Safety parameters'!$DM$6:$DM$18,'Safety parameters'!$DK$6:$DK$18,CZ564,'Safety parameters'!$DL$6:$DL$18,1)+IF(dd_PartSA_2_lines = "Yes",0,SUMIFS('Safety parameters'!$DM$6:$DM$18,'Safety parameters'!$DK$6:$DK$18,DA564,'Safety parameters'!$DL$6:$DL$18,2)+SUMIFS('Safety parameters'!$DM$6:$DM$18,'Safety parameters'!$DK$6:$DK$18,DB564,'Safety parameters'!$DL$6:$DL$18,2))</f>
        <v>1967.1040569407746</v>
      </c>
      <c r="DT564" s="910">
        <f ca="1">SUMIFS('Safety parameters'!$DO$6:$DO$18,'Safety parameters'!$DK$6:$DK$18,CZ564,'Safety parameters'!$DL$6:$DL$18,1)+IF(dd_PartSA_2_lines = "Yes",0,SUMIFS('Safety parameters'!$DO$6:$DO$18,'Safety parameters'!$DK$6:$DK$18,DA564,'Safety parameters'!$DL$6:$DL$18,2)+SUMIFS('Safety parameters'!$DO$6:$DO$18,'Safety parameters'!$DK$6:$DK$18,DB564,'Safety parameters'!$DL$6:$DL$18,2))</f>
        <v>-1.7409497544119149E-2</v>
      </c>
    </row>
    <row r="565" spans="89:124" ht="15" x14ac:dyDescent="0.2">
      <c r="CK565" s="61" t="s">
        <v>31</v>
      </c>
      <c r="CL565" s="61">
        <v>4</v>
      </c>
      <c r="CM565" s="61" t="str">
        <v>everolimus</v>
      </c>
      <c r="CN565" s="17">
        <v>10</v>
      </c>
      <c r="CO565" s="61" t="str" cm="1">
        <f t="array" ref="CO565">INDEX(List_comparators,CP564+1)</f>
        <v>cabozantinib</v>
      </c>
      <c r="CP565" s="17">
        <v>8</v>
      </c>
      <c r="CQ565" s="601">
        <f t="shared" ca="1" si="284"/>
        <v>0</v>
      </c>
      <c r="CR565" s="601">
        <f t="shared" ca="1" si="285"/>
        <v>0</v>
      </c>
      <c r="CS565" s="601">
        <f t="shared" ca="1" si="286"/>
        <v>63.808571428571426</v>
      </c>
      <c r="CT565" s="669">
        <f t="shared" ca="1" si="287"/>
        <v>7.218571428571428</v>
      </c>
      <c r="CU565" s="1123">
        <f>MATCH(CZ572,'Resource use and costs'!$BA$11:$BA$53,0)</f>
        <v>1</v>
      </c>
      <c r="CV565" s="1223"/>
      <c r="CW565" s="1241">
        <f t="shared" si="278"/>
        <v>1</v>
      </c>
      <c r="CX565" s="899" t="s">
        <v>788</v>
      </c>
      <c r="CY565" s="899" t="s">
        <v>319</v>
      </c>
      <c r="CZ565" s="899" t="s">
        <v>579</v>
      </c>
      <c r="DA565" s="899" t="s">
        <v>765</v>
      </c>
      <c r="DB565" s="899"/>
      <c r="DC565" s="899" cm="1">
        <f t="array" aca="1" ref="DC565" ca="1">_xlfn.IFNA(OFFSET($I$49,MATCH(CY565,$I$50:$I$63,0),MATCH(CZ565,TRANSPOSE($J$49:$W$49),0)),0)</f>
        <v>0.49974522065392168</v>
      </c>
      <c r="DD565" s="899" cm="1">
        <f t="array" aca="1" ref="DD565" ca="1">_xlfn.IFNA(OFFSET($Y$49,MATCH($CZ565,$Y$50:$Y$63,0),MATCH($DA565,TRANSPOSE($Z$49:$AM$49),0)),0)</f>
        <v>0.3453</v>
      </c>
      <c r="DE565" s="899" cm="1">
        <f t="array" aca="1" ref="DE565" ca="1">_xlfn.IFNA(OFFSET($AO$49,MATCH($DA565,$AO$50:$AO$63,0),MATCH($DB565,TRANSPOSE($AP$49:$BC$49),0)),0)</f>
        <v>0</v>
      </c>
      <c r="DF565" s="881">
        <f t="shared" ca="1" si="279"/>
        <v>0.17256202469179915</v>
      </c>
      <c r="DG565" s="910">
        <f t="shared" ca="1" si="277"/>
        <v>0.98859556831386541</v>
      </c>
      <c r="DH565" s="881">
        <f t="shared" ca="1" si="280"/>
        <v>0.17059405286958046</v>
      </c>
      <c r="DI565" s="1460">
        <f t="shared" ca="1" si="283"/>
        <v>17.741781498436367</v>
      </c>
      <c r="DJ565" s="909">
        <f>_xlfn.IFNA(INDEX('Resource use and costs'!$CQ$11:$CQ$53,MATCH($CZ565,'Resource use and costs'!$BA$11:$BA$53,0)),0)*_xlfn.IFNA(INDEX(DY$10:DY$23,MATCH($CZ565,$DX$10:$DX$23,0)),0)</f>
        <v>56693.786091428577</v>
      </c>
      <c r="DK565" s="909">
        <f>IF(dd_PartSA_2_lines = "Yes",0,_xlfn.IFNA(INDEX('Resource use and costs'!$CR$11:$CR$53,MATCH(DA565,'Resource use and costs'!$BA$11:$BA$53,0)),0)*_xlfn.IFNA(INDEX(EA$10:EA$23,MATCH($DA565,$DX$10:$DX$23,0)),0))</f>
        <v>0</v>
      </c>
      <c r="DL565" s="909">
        <f>IF(dd_PartSA_2_lines = "Yes",0,_xlfn.IFNA(INDEX('Resource use and costs'!$CS$11:$CS$53,MATCH(DB565,'Resource use and costs'!$BA$11:$BA$53,0)),0)*_xlfn.IFNA(INDEX(EC$10:EC$23,MATCH($DB565,$DX$10:$DX$23,0)),0))</f>
        <v>0</v>
      </c>
      <c r="DM565" s="909">
        <f t="shared" si="281"/>
        <v>56693.786091428577</v>
      </c>
      <c r="DN565" s="909">
        <f>SUM(_xlfn.IFNA(INDEX('Resource use and costs'!$DU$12:$DU$25,MATCH(CZ565,'Resource use and costs'!$DS$12:$DS$25,0)),0),_xlfn.IFNA(INDEX('Resource use and costs'!$DU$12:$DU$25,MATCH(DA565,'Resource use and costs'!$DS$12:$DS$25,0)),0),_xlfn.IFNA(INDEX('Resource use and costs'!$DU$12:$DU$25,MATCH(DB565,'Resource use and costs'!$DS$12:$DS$25,0)),0))</f>
        <v>0</v>
      </c>
      <c r="DO565" s="921">
        <f>_xlfn.IFNA(INDEX('Resource use and costs'!$DY$12:$DY$25,MATCH(CZ565,'Resource use and costs'!$DS$12:$DS$25,0)),0)*_xlfn.IFNA(INDEX(DY$10:DY$23,MATCH($CZ565,$DX$10:$DX$23,0)),0)</f>
        <v>8939.6605049142872</v>
      </c>
      <c r="DP565" s="921">
        <f>IF(dd_PartSA_2_lines = "Yes",0,_xlfn.IFNA(INDEX('Resource use and costs'!$DZ$12:$DZ$25,MATCH(DA565,'Resource use and costs'!$DS$12:$DS$25,0)),0)*_xlfn.IFNA(INDEX(EA$10:EA$23,MATCH($DA565,$DX$10:$DX$23,0)),0))</f>
        <v>0</v>
      </c>
      <c r="DQ565" s="921">
        <f>IF(dd_PartSA_2_lines = "Yes",0,_xlfn.IFNA(INDEX('Resource use and costs'!$EA$12:$EA$25,MATCH(DB565,'Resource use and costs'!$DS$12:$DS$25,0)),0)*_xlfn.IFNA(INDEX(EC$10:EC$23,MATCH($DB565,$DX$10:$DX$23,0)),0))</f>
        <v>0</v>
      </c>
      <c r="DR565" s="921">
        <f t="shared" si="282"/>
        <v>8939.6605049142872</v>
      </c>
      <c r="DS565" s="1004">
        <f>SUMIFS('Safety parameters'!$DM$6:$DM$18,'Safety parameters'!$DK$6:$DK$18,CZ565,'Safety parameters'!$DL$6:$DL$18,1)+IF(dd_PartSA_2_lines = "Yes",0,SUMIFS('Safety parameters'!$DM$6:$DM$18,'Safety parameters'!$DK$6:$DK$18,DA565,'Safety parameters'!$DL$6:$DL$18,2)+SUMIFS('Safety parameters'!$DM$6:$DM$18,'Safety parameters'!$DK$6:$DK$18,DB565,'Safety parameters'!$DL$6:$DL$18,2))</f>
        <v>0</v>
      </c>
      <c r="DT565" s="910">
        <f>SUMIFS('Safety parameters'!$DO$6:$DO$18,'Safety parameters'!$DK$6:$DK$18,CZ565,'Safety parameters'!$DL$6:$DL$18,1)+IF(dd_PartSA_2_lines = "Yes",0,SUMIFS('Safety parameters'!$DO$6:$DO$18,'Safety parameters'!$DK$6:$DK$18,DA565,'Safety parameters'!$DL$6:$DL$18,2)+SUMIFS('Safety parameters'!$DO$6:$DO$18,'Safety parameters'!$DK$6:$DK$18,DB565,'Safety parameters'!$DL$6:$DL$18,2))</f>
        <v>0</v>
      </c>
    </row>
    <row r="566" spans="89:124" ht="15" x14ac:dyDescent="0.2">
      <c r="CK566" s="61" t="s">
        <v>31</v>
      </c>
      <c r="CL566" s="61">
        <v>4</v>
      </c>
      <c r="CM566" s="61" t="str">
        <v>axitinib</v>
      </c>
      <c r="CN566" s="17">
        <v>11</v>
      </c>
      <c r="CO566" s="61" t="str" cm="1">
        <f t="array" ref="CO566">INDEX(List_comparators,CP565+1)</f>
        <v>cabozantinib</v>
      </c>
      <c r="CP566" s="17">
        <v>8</v>
      </c>
      <c r="CQ566" s="601">
        <f t="shared" ca="1" si="284"/>
        <v>0</v>
      </c>
      <c r="CR566" s="601">
        <f t="shared" ca="1" si="285"/>
        <v>0</v>
      </c>
      <c r="CS566" s="601">
        <f t="shared" ca="1" si="286"/>
        <v>63.808571428571426</v>
      </c>
      <c r="CT566" s="669">
        <f t="shared" ca="1" si="287"/>
        <v>7.218571428571428</v>
      </c>
      <c r="CU566" s="1123">
        <f>MATCH(CZ573,'Resource use and costs'!$BA$11:$BA$53,0)</f>
        <v>40</v>
      </c>
      <c r="CV566" s="1223"/>
      <c r="CW566" s="1241">
        <f t="shared" si="278"/>
        <v>1</v>
      </c>
      <c r="CX566" s="899" t="s">
        <v>788</v>
      </c>
      <c r="CY566" s="899" t="s">
        <v>319</v>
      </c>
      <c r="CZ566" s="899" t="s">
        <v>579</v>
      </c>
      <c r="DA566" s="899" t="s">
        <v>118</v>
      </c>
      <c r="DB566" s="899" t="s">
        <v>327</v>
      </c>
      <c r="DC566" s="899" cm="1">
        <f t="array" aca="1" ref="DC566" ca="1">_xlfn.IFNA(OFFSET($I$49,MATCH(CY566,$I$50:$I$63,0),MATCH(CZ566,TRANSPOSE($J$49:$W$49),0)),0)</f>
        <v>0.49974522065392168</v>
      </c>
      <c r="DD566" s="899">
        <f ca="1">1-DD563-DD565-DD569-DD571</f>
        <v>0.54340000000000011</v>
      </c>
      <c r="DE566" s="899" cm="1">
        <f t="array" aca="1" ref="DE566" ca="1">_xlfn.IFNA(OFFSET($AO$49,MATCH($DA566,$AO$50:$AO$63,0),MATCH($DB566,TRANSPOSE($AP$49:$BC$49),0)),0)</f>
        <v>0.38769999999999999</v>
      </c>
      <c r="DF566" s="881">
        <f t="shared" ca="1" si="279"/>
        <v>0.10528441406062534</v>
      </c>
      <c r="DG566" s="910">
        <f t="shared" ca="1" si="277"/>
        <v>0.98859556831386541</v>
      </c>
      <c r="DH566" s="881">
        <f t="shared" ca="1" si="280"/>
        <v>0.10408370515285624</v>
      </c>
      <c r="DI566" s="1460">
        <f t="shared" ca="1" si="283"/>
        <v>10.824705335897049</v>
      </c>
      <c r="DJ566" s="909">
        <f>_xlfn.IFNA(INDEX('Resource use and costs'!$CQ$11:$CQ$53,MATCH($CZ566,'Resource use and costs'!$BA$11:$BA$53,0)),0)*_xlfn.IFNA(INDEX(DY$10:DY$23,MATCH($CZ566,$DX$10:$DX$23,0)),0)</f>
        <v>56693.786091428577</v>
      </c>
      <c r="DK566" s="909">
        <f>IF(dd_PartSA_2_lines = "Yes",0,_xlfn.IFNA(INDEX('Resource use and costs'!$CR$11:$CR$53,MATCH(DA566,'Resource use and costs'!$BA$11:$BA$53,0)),0)*_xlfn.IFNA(INDEX(EA$10:EA$23,MATCH($DA566,$DX$10:$DX$23,0)),0))</f>
        <v>50308.075122000002</v>
      </c>
      <c r="DL566" s="909">
        <f>IF(dd_PartSA_2_lines = "Yes",0,_xlfn.IFNA(INDEX('Resource use and costs'!$CS$11:$CS$53,MATCH(DB566,'Resource use and costs'!$BA$11:$BA$53,0)),0)*_xlfn.IFNA(INDEX(EC$10:EC$23,MATCH($DB566,$DX$10:$DX$23,0)),0))</f>
        <v>18438.751749999999</v>
      </c>
      <c r="DM566" s="909">
        <f t="shared" si="281"/>
        <v>125440.61296342858</v>
      </c>
      <c r="DN566" s="909">
        <f>SUM(_xlfn.IFNA(INDEX('Resource use and costs'!$DU$12:$DU$25,MATCH(CZ566,'Resource use and costs'!$DS$12:$DS$25,0)),0),_xlfn.IFNA(INDEX('Resource use and costs'!$DU$12:$DU$25,MATCH(DA566,'Resource use and costs'!$DS$12:$DS$25,0)),0),_xlfn.IFNA(INDEX('Resource use and costs'!$DU$12:$DU$25,MATCH(DB566,'Resource use and costs'!$DS$12:$DS$25,0)),0))</f>
        <v>394.5</v>
      </c>
      <c r="DO566" s="921">
        <f>_xlfn.IFNA(INDEX('Resource use and costs'!$DY$12:$DY$25,MATCH(CZ566,'Resource use and costs'!$DS$12:$DS$25,0)),0)*_xlfn.IFNA(INDEX(DY$10:DY$23,MATCH($CZ566,$DX$10:$DX$23,0)),0)</f>
        <v>8939.6605049142872</v>
      </c>
      <c r="DP566" s="921">
        <f>IF(dd_PartSA_2_lines = "Yes",0,_xlfn.IFNA(INDEX('Resource use and costs'!$DZ$12:$DZ$25,MATCH(DA566,'Resource use and costs'!$DS$12:$DS$25,0)),0)*_xlfn.IFNA(INDEX(EA$10:EA$23,MATCH($DA566,$DX$10:$DX$23,0)),0))</f>
        <v>461.1445457142857</v>
      </c>
      <c r="DQ566" s="921">
        <f>IF(dd_PartSA_2_lines = "Yes",0,_xlfn.IFNA(INDEX('Resource use and costs'!$EA$12:$EA$25,MATCH(DB566,'Resource use and costs'!$DS$12:$DS$25,0)),0)*_xlfn.IFNA(INDEX(EC$10:EC$23,MATCH($DB566,$DX$10:$DX$23,0)),0))</f>
        <v>230.68099999999998</v>
      </c>
      <c r="DR566" s="921">
        <f t="shared" si="282"/>
        <v>10025.986050628573</v>
      </c>
      <c r="DS566" s="1004">
        <f ca="1">SUMIFS('Safety parameters'!$DM$6:$DM$18,'Safety parameters'!$DK$6:$DK$18,CZ566,'Safety parameters'!$DL$6:$DL$18,1)+IF(dd_PartSA_2_lines = "Yes",0,SUMIFS('Safety parameters'!$DM$6:$DM$18,'Safety parameters'!$DK$6:$DK$18,DA566,'Safety parameters'!$DL$6:$DL$18,2)+SUMIFS('Safety parameters'!$DM$6:$DM$18,'Safety parameters'!$DK$6:$DK$18,DB566,'Safety parameters'!$DL$6:$DL$18,2))</f>
        <v>2377.8779733688434</v>
      </c>
      <c r="DT566" s="910">
        <f ca="1">SUMIFS('Safety parameters'!$DO$6:$DO$18,'Safety parameters'!$DK$6:$DK$18,CZ566,'Safety parameters'!$DL$6:$DL$18,1)+IF(dd_PartSA_2_lines = "Yes",0,SUMIFS('Safety parameters'!$DO$6:$DO$18,'Safety parameters'!$DK$6:$DK$18,DA566,'Safety parameters'!$DL$6:$DL$18,2)+SUMIFS('Safety parameters'!$DO$6:$DO$18,'Safety parameters'!$DK$6:$DK$18,DB566,'Safety parameters'!$DL$6:$DL$18,2))</f>
        <v>-2.1764250363717368E-2</v>
      </c>
    </row>
    <row r="567" spans="89:124" ht="15" x14ac:dyDescent="0.2">
      <c r="CK567" s="61" t="s">
        <v>31</v>
      </c>
      <c r="CL567" s="61">
        <v>4</v>
      </c>
      <c r="CM567" s="61" t="str">
        <v>sorafenib</v>
      </c>
      <c r="CN567" s="17">
        <v>12</v>
      </c>
      <c r="CO567" s="61" t="str" cm="1">
        <f t="array" ref="CO567">INDEX(List_comparators,CP566+1)</f>
        <v>cabozantinib</v>
      </c>
      <c r="CP567" s="17">
        <v>8</v>
      </c>
      <c r="CQ567" s="601">
        <f t="shared" ca="1" si="284"/>
        <v>0</v>
      </c>
      <c r="CR567" s="601">
        <f t="shared" ca="1" si="285"/>
        <v>0</v>
      </c>
      <c r="CS567" s="601">
        <f t="shared" ca="1" si="286"/>
        <v>0</v>
      </c>
      <c r="CT567" s="669">
        <f t="shared" ca="1" si="287"/>
        <v>0</v>
      </c>
      <c r="CU567" s="1123">
        <f>MATCH(CZ574,'Resource use and costs'!$BA$11:$BA$53,0)</f>
        <v>40</v>
      </c>
      <c r="CV567" s="1223"/>
      <c r="CW567" s="1241">
        <f t="shared" si="278"/>
        <v>1</v>
      </c>
      <c r="CX567" s="899" t="s">
        <v>788</v>
      </c>
      <c r="CY567" s="899" t="s">
        <v>319</v>
      </c>
      <c r="CZ567" s="899" t="s">
        <v>579</v>
      </c>
      <c r="DA567" s="899" t="s">
        <v>118</v>
      </c>
      <c r="DB567" s="899" t="s">
        <v>765</v>
      </c>
      <c r="DC567" s="899" cm="1">
        <f t="array" aca="1" ref="DC567" ca="1">_xlfn.IFNA(OFFSET($I$49,MATCH(CY567,$I$50:$I$63,0),MATCH(CZ567,TRANSPOSE($J$49:$W$49),0)),0)</f>
        <v>0.49974522065392168</v>
      </c>
      <c r="DD567" s="899">
        <f ca="1">DD566</f>
        <v>0.54340000000000011</v>
      </c>
      <c r="DE567" s="899" cm="1">
        <f t="array" aca="1" ref="DE567" ca="1">_xlfn.IFNA(OFFSET($AO$49,MATCH($DA567,$AO$50:$AO$63,0),MATCH($DB567,TRANSPOSE($AP$49:$BC$49),0)),0)</f>
        <v>0.43140000000000001</v>
      </c>
      <c r="DF567" s="881">
        <f t="shared" ca="1" si="279"/>
        <v>0.11715165392250136</v>
      </c>
      <c r="DG567" s="910">
        <f t="shared" ca="1" si="277"/>
        <v>0.98859556831386541</v>
      </c>
      <c r="DH567" s="881">
        <f t="shared" ca="1" si="280"/>
        <v>0.11581560588842452</v>
      </c>
      <c r="DI567" s="1460">
        <f t="shared" ca="1" si="283"/>
        <v>12.044823012396149</v>
      </c>
      <c r="DJ567" s="909">
        <f>_xlfn.IFNA(INDEX('Resource use and costs'!$CQ$11:$CQ$53,MATCH($CZ567,'Resource use and costs'!$BA$11:$BA$53,0)),0)*_xlfn.IFNA(INDEX(DY$10:DY$23,MATCH($CZ567,$DX$10:$DX$23,0)),0)</f>
        <v>56693.786091428577</v>
      </c>
      <c r="DK567" s="909">
        <f>IF(dd_PartSA_2_lines = "Yes",0,_xlfn.IFNA(INDEX('Resource use and costs'!$CR$11:$CR$53,MATCH(DA567,'Resource use and costs'!$BA$11:$BA$53,0)),0)*_xlfn.IFNA(INDEX(EA$10:EA$23,MATCH($DA567,$DX$10:$DX$23,0)),0))</f>
        <v>50308.075122000002</v>
      </c>
      <c r="DL567" s="909">
        <f>IF(dd_PartSA_2_lines = "Yes",0,_xlfn.IFNA(INDEX('Resource use and costs'!$CS$11:$CS$53,MATCH(DB567,'Resource use and costs'!$BA$11:$BA$53,0)),0)*_xlfn.IFNA(INDEX(EC$10:EC$23,MATCH($DB567,$DX$10:$DX$23,0)),0))</f>
        <v>0</v>
      </c>
      <c r="DM567" s="909">
        <f t="shared" si="281"/>
        <v>107001.86121342858</v>
      </c>
      <c r="DN567" s="909">
        <f>SUM(_xlfn.IFNA(INDEX('Resource use and costs'!$DU$12:$DU$25,MATCH(CZ567,'Resource use and costs'!$DS$12:$DS$25,0)),0),_xlfn.IFNA(INDEX('Resource use and costs'!$DU$12:$DU$25,MATCH(DA567,'Resource use and costs'!$DS$12:$DS$25,0)),0),_xlfn.IFNA(INDEX('Resource use and costs'!$DU$12:$DU$25,MATCH(DB567,'Resource use and costs'!$DS$12:$DS$25,0)),0))</f>
        <v>197.25</v>
      </c>
      <c r="DO567" s="921">
        <f>_xlfn.IFNA(INDEX('Resource use and costs'!$DY$12:$DY$25,MATCH(CZ567,'Resource use and costs'!$DS$12:$DS$25,0)),0)*_xlfn.IFNA(INDEX(DY$10:DY$23,MATCH($CZ567,$DX$10:$DX$23,0)),0)</f>
        <v>8939.6605049142872</v>
      </c>
      <c r="DP567" s="921">
        <f>IF(dd_PartSA_2_lines = "Yes",0,_xlfn.IFNA(INDEX('Resource use and costs'!$DZ$12:$DZ$25,MATCH(DA567,'Resource use and costs'!$DS$12:$DS$25,0)),0)*_xlfn.IFNA(INDEX(EA$10:EA$23,MATCH($DA567,$DX$10:$DX$23,0)),0))</f>
        <v>461.1445457142857</v>
      </c>
      <c r="DQ567" s="921">
        <f>IF(dd_PartSA_2_lines = "Yes",0,_xlfn.IFNA(INDEX('Resource use and costs'!$EA$12:$EA$25,MATCH(DB567,'Resource use and costs'!$DS$12:$DS$25,0)),0)*_xlfn.IFNA(INDEX(EC$10:EC$23,MATCH($DB567,$DX$10:$DX$23,0)),0))</f>
        <v>0</v>
      </c>
      <c r="DR567" s="921">
        <f t="shared" si="282"/>
        <v>9598.0550506285726</v>
      </c>
      <c r="DS567" s="1004">
        <f ca="1">SUMIFS('Safety parameters'!$DM$6:$DM$18,'Safety parameters'!$DK$6:$DK$18,CZ567,'Safety parameters'!$DL$6:$DL$18,1)+IF(dd_PartSA_2_lines = "Yes",0,SUMIFS('Safety parameters'!$DM$6:$DM$18,'Safety parameters'!$DK$6:$DK$18,DA567,'Safety parameters'!$DL$6:$DL$18,2)+SUMIFS('Safety parameters'!$DM$6:$DM$18,'Safety parameters'!$DK$6:$DK$18,DB567,'Safety parameters'!$DL$6:$DL$18,2))</f>
        <v>743.64929980338343</v>
      </c>
      <c r="DT567" s="910">
        <f ca="1">SUMIFS('Safety parameters'!$DO$6:$DO$18,'Safety parameters'!$DK$6:$DK$18,CZ567,'Safety parameters'!$DL$6:$DL$18,1)+IF(dd_PartSA_2_lines = "Yes",0,SUMIFS('Safety parameters'!$DO$6:$DO$18,'Safety parameters'!$DK$6:$DK$18,DA567,'Safety parameters'!$DL$6:$DL$18,2)+SUMIFS('Safety parameters'!$DO$6:$DO$18,'Safety parameters'!$DK$6:$DK$18,DB567,'Safety parameters'!$DL$6:$DL$18,2))</f>
        <v>-7.0223263562359372E-3</v>
      </c>
    </row>
    <row r="568" spans="89:124" ht="15.75" thickBot="1" x14ac:dyDescent="0.25">
      <c r="CK568" s="506" t="s">
        <v>31</v>
      </c>
      <c r="CL568" s="506">
        <v>4</v>
      </c>
      <c r="CM568" s="506" t="str">
        <v>placebo_BSC</v>
      </c>
      <c r="CN568" s="19">
        <v>999</v>
      </c>
      <c r="CO568" s="506" t="str" cm="1">
        <f t="array" ref="CO568">INDEX(List_comparators,CP555+1)</f>
        <v>cabozantinib</v>
      </c>
      <c r="CP568" s="19">
        <v>8</v>
      </c>
      <c r="CQ568" s="602">
        <f t="shared" ca="1" si="284"/>
        <v>0</v>
      </c>
      <c r="CR568" s="602">
        <f t="shared" ca="1" si="285"/>
        <v>0</v>
      </c>
      <c r="CS568" s="602">
        <f t="shared" ca="1" si="286"/>
        <v>0</v>
      </c>
      <c r="CT568" s="748">
        <f t="shared" ca="1" si="287"/>
        <v>0</v>
      </c>
      <c r="CU568" s="1123">
        <f>MATCH(CZ575,'Resource use and costs'!$BA$11:$BA$53,0)</f>
        <v>40</v>
      </c>
      <c r="CV568" s="1223"/>
      <c r="CW568" s="1241">
        <f t="shared" si="278"/>
        <v>1</v>
      </c>
      <c r="CX568" s="899" t="s">
        <v>788</v>
      </c>
      <c r="CY568" s="899" t="s">
        <v>319</v>
      </c>
      <c r="CZ568" s="899" t="s">
        <v>579</v>
      </c>
      <c r="DA568" s="899" t="s">
        <v>118</v>
      </c>
      <c r="DB568" s="899" t="s">
        <v>119</v>
      </c>
      <c r="DC568" s="899" cm="1">
        <f t="array" aca="1" ref="DC568" ca="1">_xlfn.IFNA(OFFSET($I$49,MATCH(CY568,$I$50:$I$63,0),MATCH(CZ568,TRANSPOSE($J$49:$W$49),0)),0)</f>
        <v>0.49974522065392168</v>
      </c>
      <c r="DD568" s="899" cm="1">
        <f t="array" aca="1" ref="DD568" ca="1">_xlfn.IFNA(OFFSET($Y$49,MATCH($CZ568,$Y$50:$Y$63,0),MATCH($DA568,TRANSPOSE($Z$49:$AM$49),0)),0)</f>
        <v>0.51729999999999998</v>
      </c>
      <c r="DE568" s="899" cm="1">
        <f t="array" aca="1" ref="DE568" ca="1">_xlfn.IFNA(OFFSET($AO$49,MATCH($DA568,$AO$50:$AO$63,0),MATCH($DB568,TRANSPOSE($AP$49:$BC$49),0)),0)</f>
        <v>0.18090000000000001</v>
      </c>
      <c r="DF568" s="881">
        <f t="shared" ca="1" si="279"/>
        <v>4.6765942858349105E-2</v>
      </c>
      <c r="DG568" s="910">
        <f t="shared" ca="1" si="277"/>
        <v>0.98859556831386541</v>
      </c>
      <c r="DH568" s="881">
        <f t="shared" ca="1" si="280"/>
        <v>4.623260385778339E-2</v>
      </c>
      <c r="DI568" s="1460">
        <f t="shared" ca="1" si="283"/>
        <v>4.8081908012094727</v>
      </c>
      <c r="DJ568" s="909">
        <f>_xlfn.IFNA(INDEX('Resource use and costs'!$CQ$11:$CQ$53,MATCH($CZ568,'Resource use and costs'!$BA$11:$BA$53,0)),0)*_xlfn.IFNA(INDEX(DY$10:DY$23,MATCH($CZ568,$DX$10:$DX$23,0)),0)</f>
        <v>56693.786091428577</v>
      </c>
      <c r="DK568" s="909">
        <f>IF(dd_PartSA_2_lines = "Yes",0,_xlfn.IFNA(INDEX('Resource use and costs'!$CR$11:$CR$53,MATCH(DA568,'Resource use and costs'!$BA$11:$BA$53,0)),0)*_xlfn.IFNA(INDEX(EA$10:EA$23,MATCH($DA568,$DX$10:$DX$23,0)),0))</f>
        <v>50308.075122000002</v>
      </c>
      <c r="DL568" s="909">
        <f>IF(dd_PartSA_2_lines = "Yes",0,_xlfn.IFNA(INDEX('Resource use and costs'!$CS$11:$CS$53,MATCH(DB568,'Resource use and costs'!$BA$11:$BA$53,0)),0)*_xlfn.IFNA(INDEX(EC$10:EC$23,MATCH($DB568,$DX$10:$DX$23,0)),0))</f>
        <v>2915.4763433333328</v>
      </c>
      <c r="DM568" s="909">
        <f t="shared" si="281"/>
        <v>109917.33755676191</v>
      </c>
      <c r="DN568" s="909">
        <f>SUM(_xlfn.IFNA(INDEX('Resource use and costs'!$DU$12:$DU$25,MATCH(CZ568,'Resource use and costs'!$DS$12:$DS$25,0)),0),_xlfn.IFNA(INDEX('Resource use and costs'!$DU$12:$DU$25,MATCH(DA568,'Resource use and costs'!$DS$12:$DS$25,0)),0),_xlfn.IFNA(INDEX('Resource use and costs'!$DU$12:$DU$25,MATCH(DB568,'Resource use and costs'!$DS$12:$DS$25,0)),0))</f>
        <v>394.5</v>
      </c>
      <c r="DO568" s="921">
        <f>_xlfn.IFNA(INDEX('Resource use and costs'!$DY$12:$DY$25,MATCH(CZ568,'Resource use and costs'!$DS$12:$DS$25,0)),0)*_xlfn.IFNA(INDEX(DY$10:DY$23,MATCH($CZ568,$DX$10:$DX$23,0)),0)</f>
        <v>8939.6605049142872</v>
      </c>
      <c r="DP568" s="921">
        <f>IF(dd_PartSA_2_lines = "Yes",0,_xlfn.IFNA(INDEX('Resource use and costs'!$DZ$12:$DZ$25,MATCH(DA568,'Resource use and costs'!$DS$12:$DS$25,0)),0)*_xlfn.IFNA(INDEX(EA$10:EA$23,MATCH($DA568,$DX$10:$DX$23,0)),0))</f>
        <v>461.1445457142857</v>
      </c>
      <c r="DQ568" s="921">
        <f>IF(dd_PartSA_2_lines = "Yes",0,_xlfn.IFNA(INDEX('Resource use and costs'!$EA$12:$EA$25,MATCH(DB568,'Resource use and costs'!$DS$12:$DS$25,0)),0)*_xlfn.IFNA(INDEX(EC$10:EC$23,MATCH($DB568,$DX$10:$DX$23,0)),0))</f>
        <v>256.11457142857142</v>
      </c>
      <c r="DR568" s="921">
        <f t="shared" si="282"/>
        <v>10051.419622057145</v>
      </c>
      <c r="DS568" s="1004">
        <f ca="1">SUMIFS('Safety parameters'!$DM$6:$DM$18,'Safety parameters'!$DK$6:$DK$18,CZ568,'Safety parameters'!$DL$6:$DL$18,1)+IF(dd_PartSA_2_lines = "Yes",0,SUMIFS('Safety parameters'!$DM$6:$DM$18,'Safety parameters'!$DK$6:$DK$18,DA568,'Safety parameters'!$DL$6:$DL$18,2)+SUMIFS('Safety parameters'!$DM$6:$DM$18,'Safety parameters'!$DK$6:$DK$18,DB568,'Safety parameters'!$DL$6:$DL$18,2))</f>
        <v>1076.5246831786983</v>
      </c>
      <c r="DT568" s="910">
        <f ca="1">SUMIFS('Safety parameters'!$DO$6:$DO$18,'Safety parameters'!$DK$6:$DK$18,CZ568,'Safety parameters'!$DL$6:$DL$18,1)+IF(dd_PartSA_2_lines = "Yes",0,SUMIFS('Safety parameters'!$DO$6:$DO$18,'Safety parameters'!$DK$6:$DK$18,DA568,'Safety parameters'!$DL$6:$DL$18,2)+SUMIFS('Safety parameters'!$DO$6:$DO$18,'Safety parameters'!$DK$6:$DK$18,DB568,'Safety parameters'!$DL$6:$DL$18,2))</f>
        <v>-9.689899892873657E-3</v>
      </c>
    </row>
    <row r="569" spans="89:124" ht="15" x14ac:dyDescent="0.2">
      <c r="CK569" s="505" t="s">
        <v>31</v>
      </c>
      <c r="CL569" s="505">
        <v>4</v>
      </c>
      <c r="CM569" s="61" t="str" cm="1">
        <f t="array" ref="CM569:CM582">List_comparators</f>
        <v>nivolumab_monotherapy</v>
      </c>
      <c r="CN569" s="17">
        <v>0</v>
      </c>
      <c r="CO569" s="61" t="str" cm="1">
        <f t="array" ref="CO569">INDEX(List_comparators,CP569+1)</f>
        <v>lenvatinib_plus_everolimus</v>
      </c>
      <c r="CP569" s="17">
        <v>9</v>
      </c>
      <c r="CQ569" s="603">
        <f t="shared" ca="1" si="284"/>
        <v>0</v>
      </c>
      <c r="CR569" s="603">
        <f t="shared" ca="1" si="285"/>
        <v>0</v>
      </c>
      <c r="CS569" s="603">
        <f t="shared" ca="1" si="286"/>
        <v>33.004285714285714</v>
      </c>
      <c r="CT569" s="669">
        <f t="shared" ca="1" si="287"/>
        <v>6.8914285714285715</v>
      </c>
      <c r="CU569" s="1123">
        <f>MATCH(CZ576,'Resource use and costs'!$BA$11:$BA$53,0)</f>
        <v>40</v>
      </c>
      <c r="CV569" s="1223"/>
      <c r="CW569" s="1241">
        <f t="shared" si="278"/>
        <v>1</v>
      </c>
      <c r="CX569" s="899" t="s">
        <v>788</v>
      </c>
      <c r="CY569" s="899" t="s">
        <v>319</v>
      </c>
      <c r="CZ569" s="899" t="s">
        <v>579</v>
      </c>
      <c r="DA569" s="899" t="s">
        <v>119</v>
      </c>
      <c r="DB569" s="899" t="s">
        <v>327</v>
      </c>
      <c r="DC569" s="899" cm="1">
        <f t="array" aca="1" ref="DC569" ca="1">_xlfn.IFNA(OFFSET($I$49,MATCH(CY569,$I$50:$I$63,0),MATCH(CZ569,TRANSPOSE($J$49:$W$49),0)),0)</f>
        <v>0.49974522065392168</v>
      </c>
      <c r="DD569" s="899" cm="1">
        <f t="array" aca="1" ref="DD569" ca="1">_xlfn.IFNA(OFFSET($Y$49,MATCH($CZ569,$Y$50:$Y$63,0),MATCH($DA569,TRANSPOSE($Z$49:$AM$49),0)),0)</f>
        <v>6.4999999999999997E-3</v>
      </c>
      <c r="DE569" s="899" cm="1">
        <f t="array" aca="1" ref="DE569" ca="1">_xlfn.IFNA(OFFSET($AO$49,MATCH($DA569,$AO$50:$AO$63,0),MATCH($DB569,TRANSPOSE($AP$49:$BC$49),0)),0)</f>
        <v>0</v>
      </c>
      <c r="DF569" s="881">
        <f t="shared" ca="1" si="279"/>
        <v>0</v>
      </c>
      <c r="DG569" s="910">
        <f t="shared" ca="1" si="277"/>
        <v>0.98859556831386541</v>
      </c>
      <c r="DH569" s="881">
        <f t="shared" ca="1" si="280"/>
        <v>0</v>
      </c>
      <c r="DI569" s="1460">
        <f t="shared" ca="1" si="283"/>
        <v>0</v>
      </c>
      <c r="DJ569" s="909">
        <f>_xlfn.IFNA(INDEX('Resource use and costs'!$CQ$11:$CQ$53,MATCH($CZ569,'Resource use and costs'!$BA$11:$BA$53,0)),0)*_xlfn.IFNA(INDEX(DY$10:DY$23,MATCH($CZ569,$DX$10:$DX$23,0)),0)</f>
        <v>56693.786091428577</v>
      </c>
      <c r="DK569" s="909">
        <f>IF(dd_PartSA_2_lines = "Yes",0,_xlfn.IFNA(INDEX('Resource use and costs'!$CR$11:$CR$53,MATCH(DA569,'Resource use and costs'!$BA$11:$BA$53,0)),0)*_xlfn.IFNA(INDEX(EA$10:EA$23,MATCH($DA569,$DX$10:$DX$23,0)),0))</f>
        <v>848.17532499999982</v>
      </c>
      <c r="DL569" s="909">
        <f>IF(dd_PartSA_2_lines = "Yes",0,_xlfn.IFNA(INDEX('Resource use and costs'!$CS$11:$CS$53,MATCH(DB569,'Resource use and costs'!$BA$11:$BA$53,0)),0)*_xlfn.IFNA(INDEX(EC$10:EC$23,MATCH($DB569,$DX$10:$DX$23,0)),0))</f>
        <v>18438.751749999999</v>
      </c>
      <c r="DM569" s="909">
        <f t="shared" si="281"/>
        <v>75980.71316642857</v>
      </c>
      <c r="DN569" s="909">
        <f>SUM(_xlfn.IFNA(INDEX('Resource use and costs'!$DU$12:$DU$25,MATCH(CZ569,'Resource use and costs'!$DS$12:$DS$25,0)),0),_xlfn.IFNA(INDEX('Resource use and costs'!$DU$12:$DU$25,MATCH(DA569,'Resource use and costs'!$DS$12:$DS$25,0)),0),_xlfn.IFNA(INDEX('Resource use and costs'!$DU$12:$DU$25,MATCH(DB569,'Resource use and costs'!$DS$12:$DS$25,0)),0))</f>
        <v>394.5</v>
      </c>
      <c r="DO569" s="921">
        <f>_xlfn.IFNA(INDEX('Resource use and costs'!$DY$12:$DY$25,MATCH(CZ569,'Resource use and costs'!$DS$12:$DS$25,0)),0)*_xlfn.IFNA(INDEX(DY$10:DY$23,MATCH($CZ569,$DX$10:$DX$23,0)),0)</f>
        <v>8939.6605049142872</v>
      </c>
      <c r="DP569" s="921">
        <f>IF(dd_PartSA_2_lines = "Yes",0,_xlfn.IFNA(INDEX('Resource use and costs'!$DZ$12:$DZ$25,MATCH(DA569,'Resource use and costs'!$DS$12:$DS$25,0)),0)*_xlfn.IFNA(INDEX(EA$10:EA$23,MATCH($DA569,$DX$10:$DX$23,0)),0))</f>
        <v>74.50928571428571</v>
      </c>
      <c r="DQ569" s="921">
        <f>IF(dd_PartSA_2_lines = "Yes",0,_xlfn.IFNA(INDEX('Resource use and costs'!$EA$12:$EA$25,MATCH(DB569,'Resource use and costs'!$DS$12:$DS$25,0)),0)*_xlfn.IFNA(INDEX(EC$10:EC$23,MATCH($DB569,$DX$10:$DX$23,0)),0))</f>
        <v>230.68099999999998</v>
      </c>
      <c r="DR569" s="921">
        <f t="shared" si="282"/>
        <v>9639.350790628574</v>
      </c>
      <c r="DS569" s="1004">
        <f ca="1">SUMIFS('Safety parameters'!$DM$6:$DM$18,'Safety parameters'!$DK$6:$DK$18,CZ569,'Safety parameters'!$DL$6:$DL$18,1)+IF(dd_PartSA_2_lines = "Yes",0,SUMIFS('Safety parameters'!$DM$6:$DM$18,'Safety parameters'!$DK$6:$DK$18,DA569,'Safety parameters'!$DL$6:$DL$18,2)+SUMIFS('Safety parameters'!$DM$6:$DM$18,'Safety parameters'!$DK$6:$DK$18,DB569,'Safety parameters'!$DL$6:$DL$18,2))</f>
        <v>1967.1040569407746</v>
      </c>
      <c r="DT569" s="910">
        <f ca="1">SUMIFS('Safety parameters'!$DO$6:$DO$18,'Safety parameters'!$DK$6:$DK$18,CZ569,'Safety parameters'!$DL$6:$DL$18,1)+IF(dd_PartSA_2_lines = "Yes",0,SUMIFS('Safety parameters'!$DO$6:$DO$18,'Safety parameters'!$DK$6:$DK$18,DA569,'Safety parameters'!$DL$6:$DL$18,2)+SUMIFS('Safety parameters'!$DO$6:$DO$18,'Safety parameters'!$DK$6:$DK$18,DB569,'Safety parameters'!$DL$6:$DL$18,2))</f>
        <v>-1.7409497544119149E-2</v>
      </c>
    </row>
    <row r="570" spans="89:124" ht="15" x14ac:dyDescent="0.2">
      <c r="CK570" s="61" t="s">
        <v>31</v>
      </c>
      <c r="CL570" s="61">
        <v>4</v>
      </c>
      <c r="CM570" s="61" t="str">
        <v>cabozantinib_plus_nivolumab</v>
      </c>
      <c r="CN570" s="17">
        <v>1</v>
      </c>
      <c r="CO570" s="61" t="str" cm="1">
        <f t="array" ref="CO570">INDEX(List_comparators,CP569+1)</f>
        <v>lenvatinib_plus_everolimus</v>
      </c>
      <c r="CP570" s="17">
        <v>9</v>
      </c>
      <c r="CQ570" s="601">
        <f t="shared" ca="1" si="284"/>
        <v>0</v>
      </c>
      <c r="CR570" s="601">
        <f t="shared" ca="1" si="285"/>
        <v>0</v>
      </c>
      <c r="CS570" s="601">
        <f t="shared" ca="1" si="286"/>
        <v>33.004285714285714</v>
      </c>
      <c r="CT570" s="669">
        <f t="shared" ca="1" si="287"/>
        <v>6.8914285714285715</v>
      </c>
      <c r="CU570" s="1123">
        <f>MATCH(CZ577,'Resource use and costs'!$BA$11:$BA$53,0)</f>
        <v>40</v>
      </c>
      <c r="CV570" s="1223"/>
      <c r="CW570" s="1241">
        <f t="shared" si="278"/>
        <v>1</v>
      </c>
      <c r="CX570" s="899" t="s">
        <v>788</v>
      </c>
      <c r="CY570" s="899" t="s">
        <v>319</v>
      </c>
      <c r="CZ570" s="899" t="s">
        <v>579</v>
      </c>
      <c r="DA570" s="899" t="s">
        <v>119</v>
      </c>
      <c r="DB570" s="899" t="s">
        <v>765</v>
      </c>
      <c r="DC570" s="899" cm="1">
        <f t="array" aca="1" ref="DC570" ca="1">_xlfn.IFNA(OFFSET($I$49,MATCH(CY570,$I$50:$I$63,0),MATCH(CZ570,TRANSPOSE($J$49:$W$49),0)),0)</f>
        <v>0.49974522065392168</v>
      </c>
      <c r="DD570" s="899" cm="1">
        <f t="array" aca="1" ref="DD570" ca="1">_xlfn.IFNA(OFFSET($Y$49,MATCH($CZ570,$Y$50:$Y$63,0),MATCH($DA570,TRANSPOSE($Z$49:$AM$49),0)),0)</f>
        <v>6.4999999999999997E-3</v>
      </c>
      <c r="DE570" s="899" cm="1">
        <f t="array" aca="1" ref="DE570" ca="1">_xlfn.IFNA(OFFSET($AO$49,MATCH($DA570,$AO$50:$AO$63,0),MATCH($DB570,TRANSPOSE($AP$49:$BC$49),0)),0)</f>
        <v>1</v>
      </c>
      <c r="DF570" s="881">
        <f t="shared" ca="1" si="279"/>
        <v>3.2483439342504907E-3</v>
      </c>
      <c r="DG570" s="910">
        <f t="shared" ca="1" si="277"/>
        <v>0.98859556831386541</v>
      </c>
      <c r="DH570" s="881">
        <f t="shared" ca="1" si="280"/>
        <v>3.2112984177592612E-3</v>
      </c>
      <c r="DI570" s="1460">
        <f t="shared" ca="1" si="283"/>
        <v>0.33397503544696316</v>
      </c>
      <c r="DJ570" s="909">
        <f>_xlfn.IFNA(INDEX('Resource use and costs'!$CQ$11:$CQ$53,MATCH($CZ570,'Resource use and costs'!$BA$11:$BA$53,0)),0)*_xlfn.IFNA(INDEX(DY$10:DY$23,MATCH($CZ570,$DX$10:$DX$23,0)),0)</f>
        <v>56693.786091428577</v>
      </c>
      <c r="DK570" s="909">
        <f>IF(dd_PartSA_2_lines = "Yes",0,_xlfn.IFNA(INDEX('Resource use and costs'!$CR$11:$CR$53,MATCH(DA570,'Resource use and costs'!$BA$11:$BA$53,0)),0)*_xlfn.IFNA(INDEX(EA$10:EA$23,MATCH($DA570,$DX$10:$DX$23,0)),0))</f>
        <v>848.17532499999982</v>
      </c>
      <c r="DL570" s="909">
        <f>IF(dd_PartSA_2_lines = "Yes",0,_xlfn.IFNA(INDEX('Resource use and costs'!$CS$11:$CS$53,MATCH(DB570,'Resource use and costs'!$BA$11:$BA$53,0)),0)*_xlfn.IFNA(INDEX(EC$10:EC$23,MATCH($DB570,$DX$10:$DX$23,0)),0))</f>
        <v>0</v>
      </c>
      <c r="DM570" s="909">
        <f t="shared" si="281"/>
        <v>57541.961416428574</v>
      </c>
      <c r="DN570" s="909">
        <f>SUM(_xlfn.IFNA(INDEX('Resource use and costs'!$DU$12:$DU$25,MATCH(CZ570,'Resource use and costs'!$DS$12:$DS$25,0)),0),_xlfn.IFNA(INDEX('Resource use and costs'!$DU$12:$DU$25,MATCH(DA570,'Resource use and costs'!$DS$12:$DS$25,0)),0),_xlfn.IFNA(INDEX('Resource use and costs'!$DU$12:$DU$25,MATCH(DB570,'Resource use and costs'!$DS$12:$DS$25,0)),0))</f>
        <v>197.25</v>
      </c>
      <c r="DO570" s="921">
        <f>_xlfn.IFNA(INDEX('Resource use and costs'!$DY$12:$DY$25,MATCH(CZ570,'Resource use and costs'!$DS$12:$DS$25,0)),0)*_xlfn.IFNA(INDEX(DY$10:DY$23,MATCH($CZ570,$DX$10:$DX$23,0)),0)</f>
        <v>8939.6605049142872</v>
      </c>
      <c r="DP570" s="921">
        <f>IF(dd_PartSA_2_lines = "Yes",0,_xlfn.IFNA(INDEX('Resource use and costs'!$DZ$12:$DZ$25,MATCH(DA570,'Resource use and costs'!$DS$12:$DS$25,0)),0)*_xlfn.IFNA(INDEX(EA$10:EA$23,MATCH($DA570,$DX$10:$DX$23,0)),0))</f>
        <v>74.50928571428571</v>
      </c>
      <c r="DQ570" s="921">
        <f>IF(dd_PartSA_2_lines = "Yes",0,_xlfn.IFNA(INDEX('Resource use and costs'!$EA$12:$EA$25,MATCH(DB570,'Resource use and costs'!$DS$12:$DS$25,0)),0)*_xlfn.IFNA(INDEX(EC$10:EC$23,MATCH($DB570,$DX$10:$DX$23,0)),0))</f>
        <v>0</v>
      </c>
      <c r="DR570" s="921">
        <f t="shared" si="282"/>
        <v>9211.4197906285735</v>
      </c>
      <c r="DS570" s="1004">
        <f ca="1">SUMIFS('Safety parameters'!$DM$6:$DM$18,'Safety parameters'!$DK$6:$DK$18,CZ570,'Safety parameters'!$DL$6:$DL$18,1)+IF(dd_PartSA_2_lines = "Yes",0,SUMIFS('Safety parameters'!$DM$6:$DM$18,'Safety parameters'!$DK$6:$DK$18,DA570,'Safety parameters'!$DL$6:$DL$18,2)+SUMIFS('Safety parameters'!$DM$6:$DM$18,'Safety parameters'!$DK$6:$DK$18,DB570,'Safety parameters'!$DL$6:$DL$18,2))</f>
        <v>332.87538337531487</v>
      </c>
      <c r="DT570" s="910">
        <f ca="1">SUMIFS('Safety parameters'!$DO$6:$DO$18,'Safety parameters'!$DK$6:$DK$18,CZ570,'Safety parameters'!$DL$6:$DL$18,1)+IF(dd_PartSA_2_lines = "Yes",0,SUMIFS('Safety parameters'!$DO$6:$DO$18,'Safety parameters'!$DK$6:$DK$18,DA570,'Safety parameters'!$DL$6:$DL$18,2)+SUMIFS('Safety parameters'!$DO$6:$DO$18,'Safety parameters'!$DK$6:$DK$18,DB570,'Safety parameters'!$DL$6:$DL$18,2))</f>
        <v>-2.6675735366377194E-3</v>
      </c>
    </row>
    <row r="571" spans="89:124" ht="15" x14ac:dyDescent="0.2">
      <c r="CK571" s="61" t="s">
        <v>31</v>
      </c>
      <c r="CL571" s="61">
        <v>4</v>
      </c>
      <c r="CM571" s="61" t="str">
        <v>nivolumab_plus_ipilimumab</v>
      </c>
      <c r="CN571" s="17">
        <v>2</v>
      </c>
      <c r="CO571" s="61" t="str" cm="1">
        <f t="array" ref="CO571">INDEX(List_comparators,CP570+1)</f>
        <v>lenvatinib_plus_everolimus</v>
      </c>
      <c r="CP571" s="17">
        <v>9</v>
      </c>
      <c r="CQ571" s="601">
        <f t="shared" ref="CQ571:CQ602" ca="1" si="288">OFFSET($AP$50,IF(CN571=999,13,CN571),CP571)</f>
        <v>0</v>
      </c>
      <c r="CR571" s="601">
        <f t="shared" ref="CR571:CR602" ca="1" si="289">OFFSET($AP$65,IF(CN571=999,13,CN571),CP571)</f>
        <v>0</v>
      </c>
      <c r="CS571" s="601">
        <f t="shared" ref="CS571:CS602" ca="1" si="290">OFFSET($AP$81,IF(CN571=999,13,CN571),CP571)</f>
        <v>33.004285714285714</v>
      </c>
      <c r="CT571" s="669">
        <f t="shared" ref="CT571:CT602" ca="1" si="291">OFFSET($AP$97,IF(CN571=999,13,CN571),CP571)</f>
        <v>6.8914285714285715</v>
      </c>
      <c r="CU571" s="1123">
        <f>MATCH(CZ578,'Resource use and costs'!$BA$11:$BA$53,0)</f>
        <v>40</v>
      </c>
      <c r="CV571" s="1223"/>
      <c r="CW571" s="1241">
        <f t="shared" si="278"/>
        <v>1</v>
      </c>
      <c r="CX571" s="899" t="s">
        <v>788</v>
      </c>
      <c r="CY571" s="899" t="s">
        <v>319</v>
      </c>
      <c r="CZ571" s="899" t="s">
        <v>579</v>
      </c>
      <c r="DA571" s="899" t="s">
        <v>333</v>
      </c>
      <c r="DB571" s="899" t="s">
        <v>327</v>
      </c>
      <c r="DC571" s="899" cm="1">
        <f t="array" aca="1" ref="DC571" ca="1">_xlfn.IFNA(OFFSET($I$49,MATCH(CY571,$I$50:$I$63,0),MATCH(CZ571,TRANSPOSE($J$49:$W$49),0)),0)</f>
        <v>0.49974522065392168</v>
      </c>
      <c r="DD571" s="899" cm="1">
        <f t="array" aca="1" ref="DD571" ca="1">_xlfn.IFNA(OFFSET($Y$49,MATCH($CZ571,$Y$50:$Y$63,0),MATCH($DA571,TRANSPOSE($Z$49:$AM$49),0)),0)</f>
        <v>5.2400000000000002E-2</v>
      </c>
      <c r="DE571" s="899" cm="1">
        <f t="array" aca="1" ref="DE571" ca="1">_xlfn.IFNA(OFFSET($AO$49,MATCH($DA571,$AO$50:$AO$63,0),MATCH($DB571,TRANSPOSE($AP$49:$BC$49),0)),0)</f>
        <v>0.56859999999999999</v>
      </c>
      <c r="DF571" s="881">
        <f t="shared" ca="1" si="279"/>
        <v>1.4889728941104161E-2</v>
      </c>
      <c r="DG571" s="910">
        <f t="shared" ca="1" si="277"/>
        <v>0.98859556831386541</v>
      </c>
      <c r="DH571" s="881">
        <f t="shared" ca="1" si="280"/>
        <v>1.4719920044570277E-2</v>
      </c>
      <c r="DI571" s="1460">
        <f t="shared" ca="1" si="283"/>
        <v>1.5308716846353088</v>
      </c>
      <c r="DJ571" s="909">
        <f>_xlfn.IFNA(INDEX('Resource use and costs'!$CQ$11:$CQ$53,MATCH($CZ571,'Resource use and costs'!$BA$11:$BA$53,0)),0)*_xlfn.IFNA(INDEX(DY$10:DY$23,MATCH($CZ571,$DX$10:$DX$23,0)),0)</f>
        <v>56693.786091428577</v>
      </c>
      <c r="DK571" s="909">
        <f>IF(dd_PartSA_2_lines = "Yes",0,_xlfn.IFNA(INDEX('Resource use and costs'!$CR$11:$CR$53,MATCH(DA571,'Resource use and costs'!$BA$11:$BA$53,0)),0)*_xlfn.IFNA(INDEX(EA$10:EA$23,MATCH($DA571,$DX$10:$DX$23,0)),0))</f>
        <v>24337.716731999997</v>
      </c>
      <c r="DL571" s="909">
        <f>IF(dd_PartSA_2_lines = "Yes",0,_xlfn.IFNA(INDEX('Resource use and costs'!$CS$11:$CS$53,MATCH(DB571,'Resource use and costs'!$BA$11:$BA$53,0)),0)*_xlfn.IFNA(INDEX(EC$10:EC$23,MATCH($DB571,$DX$10:$DX$23,0)),0))</f>
        <v>18438.751749999999</v>
      </c>
      <c r="DM571" s="909">
        <f t="shared" si="281"/>
        <v>99470.254573428567</v>
      </c>
      <c r="DN571" s="909">
        <f>SUM(_xlfn.IFNA(INDEX('Resource use and costs'!$DU$12:$DU$25,MATCH(CZ571,'Resource use and costs'!$DS$12:$DS$25,0)),0),_xlfn.IFNA(INDEX('Resource use and costs'!$DU$12:$DU$25,MATCH(DA571,'Resource use and costs'!$DS$12:$DS$25,0)),0),_xlfn.IFNA(INDEX('Resource use and costs'!$DU$12:$DU$25,MATCH(DB571,'Resource use and costs'!$DS$12:$DS$25,0)),0))</f>
        <v>394.5</v>
      </c>
      <c r="DO571" s="921">
        <f>_xlfn.IFNA(INDEX('Resource use and costs'!$DY$12:$DY$25,MATCH(CZ571,'Resource use and costs'!$DS$12:$DS$25,0)),0)*_xlfn.IFNA(INDEX(DY$10:DY$23,MATCH($CZ571,$DX$10:$DX$23,0)),0)</f>
        <v>8939.6605049142872</v>
      </c>
      <c r="DP571" s="921">
        <f>IF(dd_PartSA_2_lines = "Yes",0,_xlfn.IFNA(INDEX('Resource use and costs'!$DZ$12:$DZ$25,MATCH(DA571,'Resource use and costs'!$DS$12:$DS$25,0)),0)*_xlfn.IFNA(INDEX(EA$10:EA$23,MATCH($DA571,$DX$10:$DX$23,0)),0))</f>
        <v>363.04714285714283</v>
      </c>
      <c r="DQ571" s="921">
        <f>IF(dd_PartSA_2_lines = "Yes",0,_xlfn.IFNA(INDEX('Resource use and costs'!$EA$12:$EA$25,MATCH(DB571,'Resource use and costs'!$DS$12:$DS$25,0)),0)*_xlfn.IFNA(INDEX(EC$10:EC$23,MATCH($DB571,$DX$10:$DX$23,0)),0))</f>
        <v>230.68099999999998</v>
      </c>
      <c r="DR571" s="921">
        <f t="shared" si="282"/>
        <v>9927.8886477714314</v>
      </c>
      <c r="DS571" s="1004">
        <f ca="1">SUMIFS('Safety parameters'!$DM$6:$DM$18,'Safety parameters'!$DK$6:$DK$18,CZ571,'Safety parameters'!$DL$6:$DL$18,1)+IF(dd_PartSA_2_lines = "Yes",0,SUMIFS('Safety parameters'!$DM$6:$DM$18,'Safety parameters'!$DK$6:$DK$18,DA571,'Safety parameters'!$DL$6:$DL$18,2)+SUMIFS('Safety parameters'!$DM$6:$DM$18,'Safety parameters'!$DK$6:$DK$18,DB571,'Safety parameters'!$DL$6:$DL$18,2))</f>
        <v>2577.0992943484653</v>
      </c>
      <c r="DT571" s="910">
        <f ca="1">SUMIFS('Safety parameters'!$DO$6:$DO$18,'Safety parameters'!$DK$6:$DK$18,CZ571,'Safety parameters'!$DL$6:$DL$18,1)+IF(dd_PartSA_2_lines = "Yes",0,SUMIFS('Safety parameters'!$DO$6:$DO$18,'Safety parameters'!$DK$6:$DK$18,DA571,'Safety parameters'!$DL$6:$DL$18,2)+SUMIFS('Safety parameters'!$DO$6:$DO$18,'Safety parameters'!$DK$6:$DK$18,DB571,'Safety parameters'!$DL$6:$DL$18,2))</f>
        <v>-2.4384674689096917E-2</v>
      </c>
    </row>
    <row r="572" spans="89:124" ht="15" x14ac:dyDescent="0.2">
      <c r="CK572" s="61" t="s">
        <v>31</v>
      </c>
      <c r="CL572" s="61">
        <v>4</v>
      </c>
      <c r="CM572" s="61" t="str">
        <v>lenvatinib_plus_pembrolizumab</v>
      </c>
      <c r="CN572" s="17">
        <v>3</v>
      </c>
      <c r="CO572" s="61" t="str" cm="1">
        <f t="array" ref="CO572">INDEX(List_comparators,CP571+1)</f>
        <v>lenvatinib_plus_everolimus</v>
      </c>
      <c r="CP572" s="17">
        <v>9</v>
      </c>
      <c r="CQ572" s="601">
        <f t="shared" ca="1" si="288"/>
        <v>0</v>
      </c>
      <c r="CR572" s="601">
        <f t="shared" ca="1" si="289"/>
        <v>0</v>
      </c>
      <c r="CS572" s="601">
        <f t="shared" ca="1" si="290"/>
        <v>33.004285714285714</v>
      </c>
      <c r="CT572" s="669">
        <f t="shared" ca="1" si="291"/>
        <v>6.8914285714285715</v>
      </c>
      <c r="CU572" s="1123">
        <f>MATCH(CZ579,'Resource use and costs'!$BA$11:$BA$53,0)</f>
        <v>40</v>
      </c>
      <c r="CV572" s="1223"/>
      <c r="CW572" s="1241">
        <f t="shared" si="278"/>
        <v>1</v>
      </c>
      <c r="CX572" s="899" t="s">
        <v>788</v>
      </c>
      <c r="CY572" s="899" t="s">
        <v>319</v>
      </c>
      <c r="CZ572" s="899" t="s">
        <v>579</v>
      </c>
      <c r="DA572" s="899" t="s">
        <v>333</v>
      </c>
      <c r="DB572" s="899" t="s">
        <v>765</v>
      </c>
      <c r="DC572" s="899" cm="1">
        <f t="array" aca="1" ref="DC572" ca="1">_xlfn.IFNA(OFFSET($I$49,MATCH(CY572,$I$50:$I$63,0),MATCH(CZ572,TRANSPOSE($J$49:$W$49),0)),0)</f>
        <v>0.49974522065392168</v>
      </c>
      <c r="DD572" s="899" cm="1">
        <f t="array" aca="1" ref="DD572" ca="1">_xlfn.IFNA(OFFSET($Y$49,MATCH($CZ572,$Y$50:$Y$63,0),MATCH($DA572,TRANSPOSE($Z$49:$AM$49),0)),0)</f>
        <v>5.2400000000000002E-2</v>
      </c>
      <c r="DE572" s="899" cm="1">
        <f t="array" aca="1" ref="DE572" ca="1">_xlfn.IFNA(OFFSET($AO$49,MATCH($DA572,$AO$50:$AO$63,0),MATCH($DB572,TRANSPOSE($AP$49:$BC$49),0)),0)</f>
        <v>0.43140000000000001</v>
      </c>
      <c r="DF572" s="881">
        <f t="shared" ca="1" si="279"/>
        <v>1.1296920621161336E-2</v>
      </c>
      <c r="DG572" s="910">
        <f t="shared" ca="1" si="277"/>
        <v>0.98859556831386541</v>
      </c>
      <c r="DH572" s="881">
        <f t="shared" ca="1" si="280"/>
        <v>1.1168085661673616E-2</v>
      </c>
      <c r="DI572" s="1460">
        <f t="shared" ca="1" si="283"/>
        <v>1.1614809088140561</v>
      </c>
      <c r="DJ572" s="909">
        <f>_xlfn.IFNA(INDEX('Resource use and costs'!$CQ$11:$CQ$53,MATCH($CZ572,'Resource use and costs'!$BA$11:$BA$53,0)),0)*_xlfn.IFNA(INDEX(DY$10:DY$23,MATCH($CZ572,$DX$10:$DX$23,0)),0)</f>
        <v>56693.786091428577</v>
      </c>
      <c r="DK572" s="909">
        <f>IF(dd_PartSA_2_lines = "Yes",0,_xlfn.IFNA(INDEX('Resource use and costs'!$CR$11:$CR$53,MATCH(DA572,'Resource use and costs'!$BA$11:$BA$53,0)),0)*_xlfn.IFNA(INDEX(EA$10:EA$23,MATCH($DA572,$DX$10:$DX$23,0)),0))</f>
        <v>24337.716731999997</v>
      </c>
      <c r="DL572" s="909">
        <f>IF(dd_PartSA_2_lines = "Yes",0,_xlfn.IFNA(INDEX('Resource use and costs'!$CS$11:$CS$53,MATCH(DB572,'Resource use and costs'!$BA$11:$BA$53,0)),0)*_xlfn.IFNA(INDEX(EC$10:EC$23,MATCH($DB572,$DX$10:$DX$23,0)),0))</f>
        <v>0</v>
      </c>
      <c r="DM572" s="909">
        <f t="shared" si="281"/>
        <v>81031.502823428571</v>
      </c>
      <c r="DN572" s="909">
        <f>SUM(_xlfn.IFNA(INDEX('Resource use and costs'!$DU$12:$DU$25,MATCH(CZ572,'Resource use and costs'!$DS$12:$DS$25,0)),0),_xlfn.IFNA(INDEX('Resource use and costs'!$DU$12:$DU$25,MATCH(DA572,'Resource use and costs'!$DS$12:$DS$25,0)),0),_xlfn.IFNA(INDEX('Resource use and costs'!$DU$12:$DU$25,MATCH(DB572,'Resource use and costs'!$DS$12:$DS$25,0)),0))</f>
        <v>197.25</v>
      </c>
      <c r="DO572" s="921">
        <f>_xlfn.IFNA(INDEX('Resource use and costs'!$DY$12:$DY$25,MATCH(CZ572,'Resource use and costs'!$DS$12:$DS$25,0)),0)*_xlfn.IFNA(INDEX(DY$10:DY$23,MATCH($CZ572,$DX$10:$DX$23,0)),0)</f>
        <v>8939.6605049142872</v>
      </c>
      <c r="DP572" s="921">
        <f>IF(dd_PartSA_2_lines = "Yes",0,_xlfn.IFNA(INDEX('Resource use and costs'!$DZ$12:$DZ$25,MATCH(DA572,'Resource use and costs'!$DS$12:$DS$25,0)),0)*_xlfn.IFNA(INDEX(EA$10:EA$23,MATCH($DA572,$DX$10:$DX$23,0)),0))</f>
        <v>363.04714285714283</v>
      </c>
      <c r="DQ572" s="921">
        <f>IF(dd_PartSA_2_lines = "Yes",0,_xlfn.IFNA(INDEX('Resource use and costs'!$EA$12:$EA$25,MATCH(DB572,'Resource use and costs'!$DS$12:$DS$25,0)),0)*_xlfn.IFNA(INDEX(EC$10:EC$23,MATCH($DB572,$DX$10:$DX$23,0)),0))</f>
        <v>0</v>
      </c>
      <c r="DR572" s="921">
        <f t="shared" si="282"/>
        <v>9499.9576477714309</v>
      </c>
      <c r="DS572" s="1004">
        <f ca="1">SUMIFS('Safety parameters'!$DM$6:$DM$18,'Safety parameters'!$DK$6:$DK$18,CZ572,'Safety parameters'!$DL$6:$DL$18,1)+IF(dd_PartSA_2_lines = "Yes",0,SUMIFS('Safety parameters'!$DM$6:$DM$18,'Safety parameters'!$DK$6:$DK$18,DA572,'Safety parameters'!$DL$6:$DL$18,2)+SUMIFS('Safety parameters'!$DM$6:$DM$18,'Safety parameters'!$DK$6:$DK$18,DB572,'Safety parameters'!$DL$6:$DL$18,2))</f>
        <v>942.87062078300573</v>
      </c>
      <c r="DT572" s="910">
        <f ca="1">SUMIFS('Safety parameters'!$DO$6:$DO$18,'Safety parameters'!$DK$6:$DK$18,CZ572,'Safety parameters'!$DL$6:$DL$18,1)+IF(dd_PartSA_2_lines = "Yes",0,SUMIFS('Safety parameters'!$DO$6:$DO$18,'Safety parameters'!$DK$6:$DK$18,DA572,'Safety parameters'!$DL$6:$DL$18,2)+SUMIFS('Safety parameters'!$DO$6:$DO$18,'Safety parameters'!$DK$6:$DK$18,DB572,'Safety parameters'!$DL$6:$DL$18,2))</f>
        <v>-9.6427506816154883E-3</v>
      </c>
    </row>
    <row r="573" spans="89:124" ht="15" x14ac:dyDescent="0.2">
      <c r="CK573" s="61" t="s">
        <v>31</v>
      </c>
      <c r="CL573" s="61">
        <v>4</v>
      </c>
      <c r="CM573" s="61" t="str">
        <v>avelumab_plus_axitinib</v>
      </c>
      <c r="CN573" s="17">
        <v>4</v>
      </c>
      <c r="CO573" s="61" t="str" cm="1">
        <f t="array" ref="CO573">INDEX(List_comparators,CP572+1)</f>
        <v>lenvatinib_plus_everolimus</v>
      </c>
      <c r="CP573" s="17">
        <v>9</v>
      </c>
      <c r="CQ573" s="601">
        <f t="shared" ca="1" si="288"/>
        <v>0</v>
      </c>
      <c r="CR573" s="601">
        <f t="shared" ca="1" si="289"/>
        <v>0</v>
      </c>
      <c r="CS573" s="601">
        <f t="shared" ca="1" si="290"/>
        <v>33.004285714285714</v>
      </c>
      <c r="CT573" s="669">
        <f t="shared" ca="1" si="291"/>
        <v>6.8914285714285715</v>
      </c>
      <c r="CU573" s="1123">
        <f>MATCH(CZ580,'Resource use and costs'!$BA$11:$BA$53,0)</f>
        <v>40</v>
      </c>
      <c r="CV573" s="1223"/>
      <c r="CW573" s="1241">
        <f t="shared" si="278"/>
        <v>1</v>
      </c>
      <c r="CX573" s="899" t="s">
        <v>794</v>
      </c>
      <c r="CY573" s="899" t="s">
        <v>118</v>
      </c>
      <c r="CZ573" s="899" t="s">
        <v>327</v>
      </c>
      <c r="DA573" s="899" t="s">
        <v>765</v>
      </c>
      <c r="DB573" s="899"/>
      <c r="DC573" s="899" cm="1">
        <f t="array" aca="1" ref="DC573" ca="1">_xlfn.IFNA(OFFSET($I$49,MATCH(CY573,$I$50:$I$63,0),MATCH(CZ573,TRANSPOSE($J$49:$W$49),0)),0)</f>
        <v>1.4897774790919952E-2</v>
      </c>
      <c r="DD573" s="899" cm="1">
        <f t="array" aca="1" ref="DD573" ca="1">_xlfn.IFNA(OFFSET($Y$49,MATCH($CZ573,$Y$50:$Y$63,0),MATCH($DA573,TRANSPOSE($Z$49:$AM$49),0)),0)</f>
        <v>0.34300000000000003</v>
      </c>
      <c r="DE573" s="899" cm="1">
        <f t="array" aca="1" ref="DE573" ca="1">_xlfn.IFNA(OFFSET($AO$49,MATCH($DA573,$AO$50:$AO$63,0),MATCH($DB573,TRANSPOSE($AP$49:$BC$49),0)),0)</f>
        <v>0</v>
      </c>
      <c r="DF573" s="881">
        <f t="shared" ca="1" si="279"/>
        <v>5.109936753285544E-3</v>
      </c>
      <c r="DG573" s="910">
        <f t="shared" ca="1" si="277"/>
        <v>1.0010447133454794</v>
      </c>
      <c r="DH573" s="881">
        <f t="shared" ca="1" si="280"/>
        <v>5.1152751724062567E-3</v>
      </c>
      <c r="DI573" s="1460">
        <f t="shared" ref="DI573:DI636" ca="1" si="292">114*DH573</f>
        <v>0.58314136965431329</v>
      </c>
      <c r="DJ573" s="909">
        <f>_xlfn.IFNA(INDEX('Resource use and costs'!$CQ$11:$CQ$53,MATCH($CZ573,'Resource use and costs'!$BA$11:$BA$53,0)),0)*_xlfn.IFNA(INDEX(DY$10:DY$23,MATCH($CZ573,$DX$10:$DX$23,0)),0)</f>
        <v>19241.032205</v>
      </c>
      <c r="DK573" s="909">
        <f>IF(dd_PartSA_2_lines = "Yes",0,_xlfn.IFNA(INDEX('Resource use and costs'!$CR$11:$CR$53,MATCH(DA573,'Resource use and costs'!$BA$11:$BA$53,0)),0)*_xlfn.IFNA(INDEX(EA$10:EA$23,MATCH($DA573,$DX$10:$DX$23,0)),0))</f>
        <v>0</v>
      </c>
      <c r="DL573" s="909">
        <f>IF(dd_PartSA_2_lines = "Yes",0,_xlfn.IFNA(INDEX('Resource use and costs'!$CS$11:$CS$53,MATCH(DB573,'Resource use and costs'!$BA$11:$BA$53,0)),0)*_xlfn.IFNA(INDEX(EC$10:EC$23,MATCH($DB573,$DX$10:$DX$23,0)),0))</f>
        <v>0</v>
      </c>
      <c r="DM573" s="909">
        <f t="shared" si="281"/>
        <v>19241.032205</v>
      </c>
      <c r="DN573" s="909">
        <f>SUM(_xlfn.IFNA(INDEX('Resource use and costs'!$DU$12:$DU$25,MATCH(CZ573,'Resource use and costs'!$DS$12:$DS$25,0)),0),_xlfn.IFNA(INDEX('Resource use and costs'!$DU$12:$DU$25,MATCH(DA573,'Resource use and costs'!$DS$12:$DS$25,0)),0),_xlfn.IFNA(INDEX('Resource use and costs'!$DU$12:$DU$25,MATCH(DB573,'Resource use and costs'!$DS$12:$DS$25,0)),0))</f>
        <v>197.25</v>
      </c>
      <c r="DO573" s="921">
        <f>_xlfn.IFNA(INDEX('Resource use and costs'!$DY$12:$DY$25,MATCH(CZ573,'Resource use and costs'!$DS$12:$DS$25,0)),0)*_xlfn.IFNA(INDEX(DY$10:DY$23,MATCH($CZ573,$DX$10:$DX$23,0)),0)</f>
        <v>240.71806000000001</v>
      </c>
      <c r="DP573" s="921">
        <f>IF(dd_PartSA_2_lines = "Yes",0,_xlfn.IFNA(INDEX('Resource use and costs'!$DZ$12:$DZ$25,MATCH(DA573,'Resource use and costs'!$DS$12:$DS$25,0)),0)*_xlfn.IFNA(INDEX(EA$10:EA$23,MATCH($DA573,$DX$10:$DX$23,0)),0))</f>
        <v>0</v>
      </c>
      <c r="DQ573" s="921">
        <f>IF(dd_PartSA_2_lines = "Yes",0,_xlfn.IFNA(INDEX('Resource use and costs'!$EA$12:$EA$25,MATCH(DB573,'Resource use and costs'!$DS$12:$DS$25,0)),0)*_xlfn.IFNA(INDEX(EC$10:EC$23,MATCH($DB573,$DX$10:$DX$23,0)),0))</f>
        <v>0</v>
      </c>
      <c r="DR573" s="921">
        <f t="shared" si="282"/>
        <v>437.96806000000004</v>
      </c>
      <c r="DS573" s="1004">
        <f>SUMIFS('Safety parameters'!$DM$6:$DM$18,'Safety parameters'!$DK$6:$DK$18,CZ573,'Safety parameters'!$DL$6:$DL$18,1)+IF(dd_PartSA_2_lines = "Yes",0,SUMIFS('Safety parameters'!$DM$6:$DM$18,'Safety parameters'!$DK$6:$DK$18,DA573,'Safety parameters'!$DL$6:$DL$18,2)+SUMIFS('Safety parameters'!$DM$6:$DM$18,'Safety parameters'!$DK$6:$DK$18,DB573,'Safety parameters'!$DL$6:$DL$18,2))</f>
        <v>0</v>
      </c>
      <c r="DT573" s="910">
        <f>SUMIFS('Safety parameters'!$DO$6:$DO$18,'Safety parameters'!$DK$6:$DK$18,CZ573,'Safety parameters'!$DL$6:$DL$18,1)+IF(dd_PartSA_2_lines = "Yes",0,SUMIFS('Safety parameters'!$DO$6:$DO$18,'Safety parameters'!$DK$6:$DK$18,DA573,'Safety parameters'!$DL$6:$DL$18,2)+SUMIFS('Safety parameters'!$DO$6:$DO$18,'Safety parameters'!$DK$6:$DK$18,DB573,'Safety parameters'!$DL$6:$DL$18,2))</f>
        <v>0</v>
      </c>
    </row>
    <row r="574" spans="89:124" ht="15" x14ac:dyDescent="0.2">
      <c r="CK574" s="61" t="s">
        <v>31</v>
      </c>
      <c r="CL574" s="61">
        <v>4</v>
      </c>
      <c r="CM574" s="61" t="str">
        <v>pazopanib</v>
      </c>
      <c r="CN574" s="17">
        <v>5</v>
      </c>
      <c r="CO574" s="61" t="str" cm="1">
        <f t="array" ref="CO574">INDEX(List_comparators,CP573+1)</f>
        <v>lenvatinib_plus_everolimus</v>
      </c>
      <c r="CP574" s="17">
        <v>9</v>
      </c>
      <c r="CQ574" s="601">
        <f t="shared" ca="1" si="288"/>
        <v>0</v>
      </c>
      <c r="CR574" s="601">
        <f t="shared" ca="1" si="289"/>
        <v>0</v>
      </c>
      <c r="CS574" s="601">
        <f t="shared" ca="1" si="290"/>
        <v>33.004285714285714</v>
      </c>
      <c r="CT574" s="669">
        <f t="shared" ca="1" si="291"/>
        <v>6.8914285714285715</v>
      </c>
      <c r="CU574" s="1123">
        <f>MATCH(CZ581,'Resource use and costs'!$BA$11:$BA$53,0)</f>
        <v>40</v>
      </c>
      <c r="CV574" s="1223"/>
      <c r="CW574" s="1241">
        <f t="shared" si="278"/>
        <v>1</v>
      </c>
      <c r="CX574" s="899" t="s">
        <v>794</v>
      </c>
      <c r="CY574" s="899" t="s">
        <v>118</v>
      </c>
      <c r="CZ574" s="899" t="s">
        <v>327</v>
      </c>
      <c r="DA574" s="899" t="s">
        <v>119</v>
      </c>
      <c r="DB574" s="899" t="s">
        <v>765</v>
      </c>
      <c r="DC574" s="899" cm="1">
        <f t="array" aca="1" ref="DC574" ca="1">_xlfn.IFNA(OFFSET($I$49,MATCH(CY574,$I$50:$I$63,0),MATCH(CZ574,TRANSPOSE($J$49:$W$49),0)),0)</f>
        <v>1.4897774790919952E-2</v>
      </c>
      <c r="DD574" s="899" cm="1">
        <f t="array" aca="1" ref="DD574" ca="1">_xlfn.IFNA(OFFSET($Y$49,MATCH($CZ574,$Y$50:$Y$63,0),MATCH($DA574,TRANSPOSE($Z$49:$AM$49),0)),0)</f>
        <v>0</v>
      </c>
      <c r="DE574" s="899" cm="1">
        <f t="array" aca="1" ref="DE574" ca="1">_xlfn.IFNA(OFFSET($AO$49,MATCH($DA574,$AO$50:$AO$63,0),MATCH($DB574,TRANSPOSE($AP$49:$BC$49),0)),0)</f>
        <v>1</v>
      </c>
      <c r="DF574" s="881">
        <f t="shared" ca="1" si="279"/>
        <v>0</v>
      </c>
      <c r="DG574" s="910">
        <f t="shared" ca="1" si="277"/>
        <v>1.0010447133454794</v>
      </c>
      <c r="DH574" s="881">
        <f t="shared" ca="1" si="280"/>
        <v>0</v>
      </c>
      <c r="DI574" s="1460">
        <f t="shared" ca="1" si="292"/>
        <v>0</v>
      </c>
      <c r="DJ574" s="909">
        <f>_xlfn.IFNA(INDEX('Resource use and costs'!$CQ$11:$CQ$53,MATCH($CZ574,'Resource use and costs'!$BA$11:$BA$53,0)),0)*_xlfn.IFNA(INDEX(DY$10:DY$23,MATCH($CZ574,$DX$10:$DX$23,0)),0)</f>
        <v>19241.032205</v>
      </c>
      <c r="DK574" s="909">
        <f>IF(dd_PartSA_2_lines = "Yes",0,_xlfn.IFNA(INDEX('Resource use and costs'!$CR$11:$CR$53,MATCH(DA574,'Resource use and costs'!$BA$11:$BA$53,0)),0)*_xlfn.IFNA(INDEX(EA$10:EA$23,MATCH($DA574,$DX$10:$DX$23,0)),0))</f>
        <v>848.17532499999982</v>
      </c>
      <c r="DL574" s="909">
        <f>IF(dd_PartSA_2_lines = "Yes",0,_xlfn.IFNA(INDEX('Resource use and costs'!$CS$11:$CS$53,MATCH(DB574,'Resource use and costs'!$BA$11:$BA$53,0)),0)*_xlfn.IFNA(INDEX(EC$10:EC$23,MATCH($DB574,$DX$10:$DX$23,0)),0))</f>
        <v>0</v>
      </c>
      <c r="DM574" s="909">
        <f t="shared" si="281"/>
        <v>20089.20753</v>
      </c>
      <c r="DN574" s="909">
        <f>SUM(_xlfn.IFNA(INDEX('Resource use and costs'!$DU$12:$DU$25,MATCH(CZ574,'Resource use and costs'!$DS$12:$DS$25,0)),0),_xlfn.IFNA(INDEX('Resource use and costs'!$DU$12:$DU$25,MATCH(DA574,'Resource use and costs'!$DS$12:$DS$25,0)),0),_xlfn.IFNA(INDEX('Resource use and costs'!$DU$12:$DU$25,MATCH(DB574,'Resource use and costs'!$DS$12:$DS$25,0)),0))</f>
        <v>394.5</v>
      </c>
      <c r="DO574" s="921">
        <f>_xlfn.IFNA(INDEX('Resource use and costs'!$DY$12:$DY$25,MATCH(CZ574,'Resource use and costs'!$DS$12:$DS$25,0)),0)*_xlfn.IFNA(INDEX(DY$10:DY$23,MATCH($CZ574,$DX$10:$DX$23,0)),0)</f>
        <v>240.71806000000001</v>
      </c>
      <c r="DP574" s="921">
        <f>IF(dd_PartSA_2_lines = "Yes",0,_xlfn.IFNA(INDEX('Resource use and costs'!$DZ$12:$DZ$25,MATCH(DA574,'Resource use and costs'!$DS$12:$DS$25,0)),0)*_xlfn.IFNA(INDEX(EA$10:EA$23,MATCH($DA574,$DX$10:$DX$23,0)),0))</f>
        <v>74.50928571428571</v>
      </c>
      <c r="DQ574" s="921">
        <f>IF(dd_PartSA_2_lines = "Yes",0,_xlfn.IFNA(INDEX('Resource use and costs'!$EA$12:$EA$25,MATCH(DB574,'Resource use and costs'!$DS$12:$DS$25,0)),0)*_xlfn.IFNA(INDEX(EC$10:EC$23,MATCH($DB574,$DX$10:$DX$23,0)),0))</f>
        <v>0</v>
      </c>
      <c r="DR574" s="921">
        <f t="shared" si="282"/>
        <v>709.72734571428578</v>
      </c>
      <c r="DS574" s="1004">
        <f ca="1">SUMIFS('Safety parameters'!$DM$6:$DM$18,'Safety parameters'!$DK$6:$DK$18,CZ574,'Safety parameters'!$DL$6:$DL$18,1)+IF(dd_PartSA_2_lines = "Yes",0,SUMIFS('Safety parameters'!$DM$6:$DM$18,'Safety parameters'!$DK$6:$DK$18,DA574,'Safety parameters'!$DL$6:$DL$18,2)+SUMIFS('Safety parameters'!$DM$6:$DM$18,'Safety parameters'!$DK$6:$DK$18,DB574,'Safety parameters'!$DL$6:$DL$18,2))</f>
        <v>332.87538337531487</v>
      </c>
      <c r="DT574" s="910">
        <f ca="1">SUMIFS('Safety parameters'!$DO$6:$DO$18,'Safety parameters'!$DK$6:$DK$18,CZ574,'Safety parameters'!$DL$6:$DL$18,1)+IF(dd_PartSA_2_lines = "Yes",0,SUMIFS('Safety parameters'!$DO$6:$DO$18,'Safety parameters'!$DK$6:$DK$18,DA574,'Safety parameters'!$DL$6:$DL$18,2)+SUMIFS('Safety parameters'!$DO$6:$DO$18,'Safety parameters'!$DK$6:$DK$18,DB574,'Safety parameters'!$DL$6:$DL$18,2))</f>
        <v>-2.6675735366377194E-3</v>
      </c>
    </row>
    <row r="575" spans="89:124" ht="15" x14ac:dyDescent="0.2">
      <c r="CK575" s="61" t="s">
        <v>31</v>
      </c>
      <c r="CL575" s="61">
        <v>4</v>
      </c>
      <c r="CM575" s="61" t="str">
        <v>tivozanib</v>
      </c>
      <c r="CN575" s="17">
        <v>6</v>
      </c>
      <c r="CO575" s="61" t="str" cm="1">
        <f t="array" ref="CO575">INDEX(List_comparators,CP574+1)</f>
        <v>lenvatinib_plus_everolimus</v>
      </c>
      <c r="CP575" s="17">
        <v>9</v>
      </c>
      <c r="CQ575" s="601">
        <f t="shared" ca="1" si="288"/>
        <v>0</v>
      </c>
      <c r="CR575" s="601">
        <f t="shared" ca="1" si="289"/>
        <v>0</v>
      </c>
      <c r="CS575" s="601">
        <f t="shared" ca="1" si="290"/>
        <v>33.004285714285714</v>
      </c>
      <c r="CT575" s="669">
        <f t="shared" ca="1" si="291"/>
        <v>6.8914285714285715</v>
      </c>
      <c r="CU575" s="1123">
        <f>MATCH(CZ582,'Resource use and costs'!$BA$11:$BA$53,0)</f>
        <v>40</v>
      </c>
      <c r="CV575" s="1223"/>
      <c r="CW575" s="1241">
        <f t="shared" si="278"/>
        <v>1</v>
      </c>
      <c r="CX575" s="899" t="s">
        <v>794</v>
      </c>
      <c r="CY575" s="899" t="s">
        <v>118</v>
      </c>
      <c r="CZ575" s="899" t="s">
        <v>327</v>
      </c>
      <c r="DA575" s="899" t="s">
        <v>579</v>
      </c>
      <c r="DB575" s="899" t="s">
        <v>765</v>
      </c>
      <c r="DC575" s="899" cm="1">
        <f t="array" aca="1" ref="DC575" ca="1">_xlfn.IFNA(OFFSET($I$49,MATCH(CY575,$I$50:$I$63,0),MATCH(CZ575,TRANSPOSE($J$49:$W$49),0)),0)</f>
        <v>1.4897774790919952E-2</v>
      </c>
      <c r="DD575" s="899">
        <f ca="1">1-DD573-DD574-DD577-DD579-DD581</f>
        <v>0.65700000000000003</v>
      </c>
      <c r="DE575" s="899" cm="1">
        <f t="array" aca="1" ref="DE575" ca="1">_xlfn.IFNA(OFFSET($AO$49,MATCH($DA575,$AO$50:$AO$63,0),MATCH($DB575,TRANSPOSE($AP$49:$BC$49),0)),0)</f>
        <v>0.43140000000000001</v>
      </c>
      <c r="DF575" s="881">
        <f t="shared" ca="1" si="279"/>
        <v>4.2224733294354841E-3</v>
      </c>
      <c r="DG575" s="910">
        <f t="shared" ca="1" si="277"/>
        <v>1.0010447133454794</v>
      </c>
      <c r="DH575" s="881">
        <f t="shared" ca="1" si="280"/>
        <v>4.2268846036736763E-3</v>
      </c>
      <c r="DI575" s="1460">
        <f t="shared" ca="1" si="292"/>
        <v>0.4818648448187991</v>
      </c>
      <c r="DJ575" s="909">
        <f>_xlfn.IFNA(INDEX('Resource use and costs'!$CQ$11:$CQ$53,MATCH($CZ575,'Resource use and costs'!$BA$11:$BA$53,0)),0)*_xlfn.IFNA(INDEX(DY$10:DY$23,MATCH($CZ575,$DX$10:$DX$23,0)),0)</f>
        <v>19241.032205</v>
      </c>
      <c r="DK575" s="909">
        <f>IF(dd_PartSA_2_lines = "Yes",0,_xlfn.IFNA(INDEX('Resource use and costs'!$CR$11:$CR$53,MATCH(DA575,'Resource use and costs'!$BA$11:$BA$53,0)),0)*_xlfn.IFNA(INDEX(EA$10:EA$23,MATCH($DA575,$DX$10:$DX$23,0)),0))</f>
        <v>26054.50921</v>
      </c>
      <c r="DL575" s="909">
        <f>IF(dd_PartSA_2_lines = "Yes",0,_xlfn.IFNA(INDEX('Resource use and costs'!$CS$11:$CS$53,MATCH(DB575,'Resource use and costs'!$BA$11:$BA$53,0)),0)*_xlfn.IFNA(INDEX(EC$10:EC$23,MATCH($DB575,$DX$10:$DX$23,0)),0))</f>
        <v>0</v>
      </c>
      <c r="DM575" s="909">
        <f t="shared" si="281"/>
        <v>45295.541415</v>
      </c>
      <c r="DN575" s="909">
        <f>SUM(_xlfn.IFNA(INDEX('Resource use and costs'!$DU$12:$DU$25,MATCH(CZ575,'Resource use and costs'!$DS$12:$DS$25,0)),0),_xlfn.IFNA(INDEX('Resource use and costs'!$DU$12:$DU$25,MATCH(DA575,'Resource use and costs'!$DS$12:$DS$25,0)),0),_xlfn.IFNA(INDEX('Resource use and costs'!$DU$12:$DU$25,MATCH(DB575,'Resource use and costs'!$DS$12:$DS$25,0)),0))</f>
        <v>197.25</v>
      </c>
      <c r="DO575" s="921">
        <f>_xlfn.IFNA(INDEX('Resource use and costs'!$DY$12:$DY$25,MATCH(CZ575,'Resource use and costs'!$DS$12:$DS$25,0)),0)*_xlfn.IFNA(INDEX(DY$10:DY$23,MATCH($CZ575,$DX$10:$DX$23,0)),0)</f>
        <v>240.71806000000001</v>
      </c>
      <c r="DP575" s="921">
        <f>IF(dd_PartSA_2_lines = "Yes",0,_xlfn.IFNA(INDEX('Resource use and costs'!$DZ$12:$DZ$25,MATCH(DA575,'Resource use and costs'!$DS$12:$DS$25,0)),0)*_xlfn.IFNA(INDEX(EA$10:EA$23,MATCH($DA575,$DX$10:$DX$23,0)),0))</f>
        <v>4108.3597166</v>
      </c>
      <c r="DQ575" s="921">
        <f>IF(dd_PartSA_2_lines = "Yes",0,_xlfn.IFNA(INDEX('Resource use and costs'!$EA$12:$EA$25,MATCH(DB575,'Resource use and costs'!$DS$12:$DS$25,0)),0)*_xlfn.IFNA(INDEX(EC$10:EC$23,MATCH($DB575,$DX$10:$DX$23,0)),0))</f>
        <v>0</v>
      </c>
      <c r="DR575" s="921">
        <f t="shared" si="282"/>
        <v>4546.3277766000001</v>
      </c>
      <c r="DS575" s="1004">
        <f ca="1">SUMIFS('Safety parameters'!$DM$6:$DM$18,'Safety parameters'!$DK$6:$DK$18,CZ575,'Safety parameters'!$DL$6:$DL$18,1)+IF(dd_PartSA_2_lines = "Yes",0,SUMIFS('Safety parameters'!$DM$6:$DM$18,'Safety parameters'!$DK$6:$DK$18,DA575,'Safety parameters'!$DL$6:$DL$18,2)+SUMIFS('Safety parameters'!$DM$6:$DM$18,'Safety parameters'!$DK$6:$DK$18,DB575,'Safety parameters'!$DL$6:$DL$18,2))</f>
        <v>161.1337489904144</v>
      </c>
      <c r="DT575" s="910">
        <f ca="1">SUMIFS('Safety parameters'!$DO$6:$DO$18,'Safety parameters'!$DK$6:$DK$18,CZ575,'Safety parameters'!$DL$6:$DL$18,1)+IF(dd_PartSA_2_lines = "Yes",0,SUMIFS('Safety parameters'!$DO$6:$DO$18,'Safety parameters'!$DK$6:$DK$18,DA575,'Safety parameters'!$DL$6:$DL$18,2)+SUMIFS('Safety parameters'!$DO$6:$DO$18,'Safety parameters'!$DK$6:$DK$18,DB575,'Safety parameters'!$DL$6:$DL$18,2))</f>
        <v>-1.5970841976847864E-3</v>
      </c>
    </row>
    <row r="576" spans="89:124" ht="15" x14ac:dyDescent="0.2">
      <c r="CK576" s="61" t="s">
        <v>31</v>
      </c>
      <c r="CL576" s="61">
        <v>4</v>
      </c>
      <c r="CM576" s="61" t="str">
        <v>sunitinib</v>
      </c>
      <c r="CN576" s="17">
        <v>7</v>
      </c>
      <c r="CO576" s="61" t="str" cm="1">
        <f t="array" ref="CO576">INDEX(List_comparators,CP575+1)</f>
        <v>lenvatinib_plus_everolimus</v>
      </c>
      <c r="CP576" s="17">
        <v>9</v>
      </c>
      <c r="CQ576" s="601">
        <f t="shared" ca="1" si="288"/>
        <v>0</v>
      </c>
      <c r="CR576" s="601">
        <f t="shared" ca="1" si="289"/>
        <v>0</v>
      </c>
      <c r="CS576" s="601">
        <f t="shared" ca="1" si="290"/>
        <v>33.004285714285714</v>
      </c>
      <c r="CT576" s="669">
        <f t="shared" ca="1" si="291"/>
        <v>6.8914285714285715</v>
      </c>
      <c r="CU576" s="1123" t="e">
        <f>MATCH(CZ583,'Resource use and costs'!$BA$11:$BA$53,0)</f>
        <v>#N/A</v>
      </c>
      <c r="CV576" s="1223"/>
      <c r="CW576" s="1241">
        <f t="shared" si="278"/>
        <v>1</v>
      </c>
      <c r="CX576" s="899" t="s">
        <v>794</v>
      </c>
      <c r="CY576" s="899" t="s">
        <v>118</v>
      </c>
      <c r="CZ576" s="899" t="s">
        <v>327</v>
      </c>
      <c r="DA576" s="899" t="s">
        <v>579</v>
      </c>
      <c r="DB576" s="899" t="s">
        <v>119</v>
      </c>
      <c r="DC576" s="899" cm="1">
        <f t="array" aca="1" ref="DC576" ca="1">_xlfn.IFNA(OFFSET($I$49,MATCH(CY576,$I$50:$I$63,0),MATCH(CZ576,TRANSPOSE($J$49:$W$49),0)),0)</f>
        <v>1.4897774790919952E-2</v>
      </c>
      <c r="DD576" s="899">
        <f ca="1">DD575</f>
        <v>0.65700000000000003</v>
      </c>
      <c r="DE576" s="899">
        <f ca="1">1-DE575</f>
        <v>0.56859999999999999</v>
      </c>
      <c r="DF576" s="881">
        <f t="shared" ca="1" si="279"/>
        <v>5.5653647081989254E-3</v>
      </c>
      <c r="DG576" s="910">
        <f t="shared" ca="1" si="277"/>
        <v>1.0010447133454794</v>
      </c>
      <c r="DH576" s="881">
        <f t="shared" ca="1" si="280"/>
        <v>5.5711789189820411E-3</v>
      </c>
      <c r="DI576" s="1460">
        <f t="shared" ca="1" si="292"/>
        <v>0.63511439676395265</v>
      </c>
      <c r="DJ576" s="909">
        <f>_xlfn.IFNA(INDEX('Resource use and costs'!$CQ$11:$CQ$53,MATCH($CZ576,'Resource use and costs'!$BA$11:$BA$53,0)),0)*_xlfn.IFNA(INDEX(DY$10:DY$23,MATCH($CZ576,$DX$10:$DX$23,0)),0)</f>
        <v>19241.032205</v>
      </c>
      <c r="DK576" s="909">
        <f>IF(dd_PartSA_2_lines = "Yes",0,_xlfn.IFNA(INDEX('Resource use and costs'!$CR$11:$CR$53,MATCH(DA576,'Resource use and costs'!$BA$11:$BA$53,0)),0)*_xlfn.IFNA(INDEX(EA$10:EA$23,MATCH($DA576,$DX$10:$DX$23,0)),0))</f>
        <v>26054.50921</v>
      </c>
      <c r="DL576" s="909">
        <f>IF(dd_PartSA_2_lines = "Yes",0,_xlfn.IFNA(INDEX('Resource use and costs'!$CS$11:$CS$53,MATCH(DB576,'Resource use and costs'!$BA$11:$BA$53,0)),0)*_xlfn.IFNA(INDEX(EC$10:EC$23,MATCH($DB576,$DX$10:$DX$23,0)),0))</f>
        <v>2915.4763433333328</v>
      </c>
      <c r="DM576" s="909">
        <f t="shared" si="281"/>
        <v>48211.017758333335</v>
      </c>
      <c r="DN576" s="909">
        <f>SUM(_xlfn.IFNA(INDEX('Resource use and costs'!$DU$12:$DU$25,MATCH(CZ576,'Resource use and costs'!$DS$12:$DS$25,0)),0),_xlfn.IFNA(INDEX('Resource use and costs'!$DU$12:$DU$25,MATCH(DA576,'Resource use and costs'!$DS$12:$DS$25,0)),0),_xlfn.IFNA(INDEX('Resource use and costs'!$DU$12:$DU$25,MATCH(DB576,'Resource use and costs'!$DS$12:$DS$25,0)),0))</f>
        <v>394.5</v>
      </c>
      <c r="DO576" s="921">
        <f>_xlfn.IFNA(INDEX('Resource use and costs'!$DY$12:$DY$25,MATCH(CZ576,'Resource use and costs'!$DS$12:$DS$25,0)),0)*_xlfn.IFNA(INDEX(DY$10:DY$23,MATCH($CZ576,$DX$10:$DX$23,0)),0)</f>
        <v>240.71806000000001</v>
      </c>
      <c r="DP576" s="921">
        <f>IF(dd_PartSA_2_lines = "Yes",0,_xlfn.IFNA(INDEX('Resource use and costs'!$DZ$12:$DZ$25,MATCH(DA576,'Resource use and costs'!$DS$12:$DS$25,0)),0)*_xlfn.IFNA(INDEX(EA$10:EA$23,MATCH($DA576,$DX$10:$DX$23,0)),0))</f>
        <v>4108.3597166</v>
      </c>
      <c r="DQ576" s="921">
        <f>IF(dd_PartSA_2_lines = "Yes",0,_xlfn.IFNA(INDEX('Resource use and costs'!$EA$12:$EA$25,MATCH(DB576,'Resource use and costs'!$DS$12:$DS$25,0)),0)*_xlfn.IFNA(INDEX(EC$10:EC$23,MATCH($DB576,$DX$10:$DX$23,0)),0))</f>
        <v>256.11457142857142</v>
      </c>
      <c r="DR576" s="921">
        <f t="shared" si="282"/>
        <v>4999.6923480285714</v>
      </c>
      <c r="DS576" s="1004">
        <f ca="1">SUMIFS('Safety parameters'!$DM$6:$DM$18,'Safety parameters'!$DK$6:$DK$18,CZ576,'Safety parameters'!$DL$6:$DL$18,1)+IF(dd_PartSA_2_lines = "Yes",0,SUMIFS('Safety parameters'!$DM$6:$DM$18,'Safety parameters'!$DK$6:$DK$18,DA576,'Safety parameters'!$DL$6:$DL$18,2)+SUMIFS('Safety parameters'!$DM$6:$DM$18,'Safety parameters'!$DK$6:$DK$18,DB576,'Safety parameters'!$DL$6:$DL$18,2))</f>
        <v>494.00913236572927</v>
      </c>
      <c r="DT576" s="910">
        <f ca="1">SUMIFS('Safety parameters'!$DO$6:$DO$18,'Safety parameters'!$DK$6:$DK$18,CZ576,'Safety parameters'!$DL$6:$DL$18,1)+IF(dd_PartSA_2_lines = "Yes",0,SUMIFS('Safety parameters'!$DO$6:$DO$18,'Safety parameters'!$DK$6:$DK$18,DA576,'Safety parameters'!$DL$6:$DL$18,2)+SUMIFS('Safety parameters'!$DO$6:$DO$18,'Safety parameters'!$DK$6:$DK$18,DB576,'Safety parameters'!$DL$6:$DL$18,2))</f>
        <v>-4.2646577343225054E-3</v>
      </c>
    </row>
    <row r="577" spans="89:124" ht="15" x14ac:dyDescent="0.2">
      <c r="CK577" s="61" t="s">
        <v>31</v>
      </c>
      <c r="CL577" s="61">
        <v>4</v>
      </c>
      <c r="CM577" s="61" t="str">
        <v>cabozantinib</v>
      </c>
      <c r="CN577" s="17">
        <v>8</v>
      </c>
      <c r="CO577" s="61" t="str" cm="1">
        <f t="array" ref="CO577">INDEX(List_comparators,CP576+1)</f>
        <v>lenvatinib_plus_everolimus</v>
      </c>
      <c r="CP577" s="17">
        <v>9</v>
      </c>
      <c r="CQ577" s="601">
        <f t="shared" ca="1" si="288"/>
        <v>0</v>
      </c>
      <c r="CR577" s="601">
        <f t="shared" ca="1" si="289"/>
        <v>0</v>
      </c>
      <c r="CS577" s="601">
        <f t="shared" ca="1" si="290"/>
        <v>33.004285714285714</v>
      </c>
      <c r="CT577" s="669">
        <f t="shared" ca="1" si="291"/>
        <v>6.8914285714285715</v>
      </c>
      <c r="CU577" s="1123">
        <f>MATCH(CZ584,'Resource use and costs'!$BA$11:$BA$53,0)</f>
        <v>37</v>
      </c>
      <c r="CV577" s="1223"/>
      <c r="CW577" s="1241">
        <f t="shared" si="278"/>
        <v>1</v>
      </c>
      <c r="CX577" s="899" t="s">
        <v>794</v>
      </c>
      <c r="CY577" s="899" t="s">
        <v>118</v>
      </c>
      <c r="CZ577" s="899" t="s">
        <v>327</v>
      </c>
      <c r="DA577" s="899" t="s">
        <v>585</v>
      </c>
      <c r="DB577" s="899" t="s">
        <v>765</v>
      </c>
      <c r="DC577" s="899" cm="1">
        <f t="array" aca="1" ref="DC577" ca="1">_xlfn.IFNA(OFFSET($I$49,MATCH(CY577,$I$50:$I$63,0),MATCH(CZ577,TRANSPOSE($J$49:$W$49),0)),0)</f>
        <v>1.4897774790919952E-2</v>
      </c>
      <c r="DD577" s="899" cm="1">
        <f t="array" aca="1" ref="DD577" ca="1">_xlfn.IFNA(OFFSET($Y$49,MATCH($CZ577,$Y$50:$Y$63,0),MATCH($DA577,TRANSPOSE($Z$49:$AM$49),0)),0)</f>
        <v>0</v>
      </c>
      <c r="DE577" s="899" cm="1">
        <f t="array" aca="1" ref="DE577" ca="1">_xlfn.IFNA(OFFSET($AO$49,MATCH($DA577,$AO$50:$AO$63,0),MATCH($DB577,TRANSPOSE($AP$49:$BC$49),0)),0)</f>
        <v>0.43140000000000001</v>
      </c>
      <c r="DF577" s="881">
        <f t="shared" ca="1" si="279"/>
        <v>0</v>
      </c>
      <c r="DG577" s="910">
        <f t="shared" ca="1" si="277"/>
        <v>1.0010447133454794</v>
      </c>
      <c r="DH577" s="881">
        <f t="shared" ca="1" si="280"/>
        <v>0</v>
      </c>
      <c r="DI577" s="1460">
        <f t="shared" ca="1" si="292"/>
        <v>0</v>
      </c>
      <c r="DJ577" s="909">
        <f>_xlfn.IFNA(INDEX('Resource use and costs'!$CQ$11:$CQ$53,MATCH($CZ577,'Resource use and costs'!$BA$11:$BA$53,0)),0)*_xlfn.IFNA(INDEX(DY$10:DY$23,MATCH($CZ577,$DX$10:$DX$23,0)),0)</f>
        <v>19241.032205</v>
      </c>
      <c r="DK577" s="909">
        <f>IF(dd_PartSA_2_lines = "Yes",0,_xlfn.IFNA(INDEX('Resource use and costs'!$CR$11:$CR$53,MATCH(DA577,'Resource use and costs'!$BA$11:$BA$53,0)),0)*_xlfn.IFNA(INDEX(EA$10:EA$23,MATCH($DA577,$DX$10:$DX$23,0)),0))</f>
        <v>1987.9066666666663</v>
      </c>
      <c r="DL577" s="909">
        <f>IF(dd_PartSA_2_lines = "Yes",0,_xlfn.IFNA(INDEX('Resource use and costs'!$CS$11:$CS$53,MATCH(DB577,'Resource use and costs'!$BA$11:$BA$53,0)),0)*_xlfn.IFNA(INDEX(EC$10:EC$23,MATCH($DB577,$DX$10:$DX$23,0)),0))</f>
        <v>0</v>
      </c>
      <c r="DM577" s="909">
        <f t="shared" si="281"/>
        <v>21228.938871666665</v>
      </c>
      <c r="DN577" s="909">
        <f>SUM(_xlfn.IFNA(INDEX('Resource use and costs'!$DU$12:$DU$25,MATCH(CZ577,'Resource use and costs'!$DS$12:$DS$25,0)),0),_xlfn.IFNA(INDEX('Resource use and costs'!$DU$12:$DU$25,MATCH(DA577,'Resource use and costs'!$DS$12:$DS$25,0)),0),_xlfn.IFNA(INDEX('Resource use and costs'!$DU$12:$DU$25,MATCH(DB577,'Resource use and costs'!$DS$12:$DS$25,0)),0))</f>
        <v>394.5</v>
      </c>
      <c r="DO577" s="921">
        <f>_xlfn.IFNA(INDEX('Resource use and costs'!$DY$12:$DY$25,MATCH(CZ577,'Resource use and costs'!$DS$12:$DS$25,0)),0)*_xlfn.IFNA(INDEX(DY$10:DY$23,MATCH($CZ577,$DX$10:$DX$23,0)),0)</f>
        <v>240.71806000000001</v>
      </c>
      <c r="DP577" s="921">
        <f>IF(dd_PartSA_2_lines = "Yes",0,_xlfn.IFNA(INDEX('Resource use and costs'!$DZ$12:$DZ$25,MATCH(DA577,'Resource use and costs'!$DS$12:$DS$25,0)),0)*_xlfn.IFNA(INDEX(EA$10:EA$23,MATCH($DA577,$DX$10:$DX$23,0)),0))</f>
        <v>179.14285714285711</v>
      </c>
      <c r="DQ577" s="921">
        <f>IF(dd_PartSA_2_lines = "Yes",0,_xlfn.IFNA(INDEX('Resource use and costs'!$EA$12:$EA$25,MATCH(DB577,'Resource use and costs'!$DS$12:$DS$25,0)),0)*_xlfn.IFNA(INDEX(EC$10:EC$23,MATCH($DB577,$DX$10:$DX$23,0)),0))</f>
        <v>0</v>
      </c>
      <c r="DR577" s="921">
        <f t="shared" si="282"/>
        <v>814.36091714285715</v>
      </c>
      <c r="DS577" s="1004">
        <f>SUMIFS('Safety parameters'!$DM$6:$DM$18,'Safety parameters'!$DK$6:$DK$18,CZ577,'Safety parameters'!$DL$6:$DL$18,1)+IF(dd_PartSA_2_lines = "Yes",0,SUMIFS('Safety parameters'!$DM$6:$DM$18,'Safety parameters'!$DK$6:$DK$18,DA577,'Safety parameters'!$DL$6:$DL$18,2)+SUMIFS('Safety parameters'!$DM$6:$DM$18,'Safety parameters'!$DK$6:$DK$18,DB577,'Safety parameters'!$DL$6:$DL$18,2))</f>
        <v>0</v>
      </c>
      <c r="DT577" s="910">
        <f>SUMIFS('Safety parameters'!$DO$6:$DO$18,'Safety parameters'!$DK$6:$DK$18,CZ577,'Safety parameters'!$DL$6:$DL$18,1)+IF(dd_PartSA_2_lines = "Yes",0,SUMIFS('Safety parameters'!$DO$6:$DO$18,'Safety parameters'!$DK$6:$DK$18,DA577,'Safety parameters'!$DL$6:$DL$18,2)+SUMIFS('Safety parameters'!$DO$6:$DO$18,'Safety parameters'!$DK$6:$DK$18,DB577,'Safety parameters'!$DL$6:$DL$18,2))</f>
        <v>0</v>
      </c>
    </row>
    <row r="578" spans="89:124" ht="15" x14ac:dyDescent="0.2">
      <c r="CK578" s="61" t="s">
        <v>31</v>
      </c>
      <c r="CL578" s="61">
        <v>4</v>
      </c>
      <c r="CM578" s="61" t="str">
        <v>lenvatinib_plus_everolimus</v>
      </c>
      <c r="CN578" s="17">
        <v>9</v>
      </c>
      <c r="CO578" s="61" t="str" cm="1">
        <f t="array" ref="CO578">INDEX(List_comparators,CP577+1)</f>
        <v>lenvatinib_plus_everolimus</v>
      </c>
      <c r="CP578" s="17">
        <v>9</v>
      </c>
      <c r="CQ578" s="601">
        <f t="shared" ca="1" si="288"/>
        <v>0</v>
      </c>
      <c r="CR578" s="601">
        <f t="shared" ca="1" si="289"/>
        <v>0</v>
      </c>
      <c r="CS578" s="601">
        <f t="shared" ca="1" si="290"/>
        <v>33.004285714285714</v>
      </c>
      <c r="CT578" s="669">
        <f t="shared" ca="1" si="291"/>
        <v>6.8914285714285715</v>
      </c>
      <c r="CU578" s="1123">
        <f>MATCH(CZ585,'Resource use and costs'!$BA$11:$BA$53,0)</f>
        <v>37</v>
      </c>
      <c r="CV578" s="1223"/>
      <c r="CW578" s="1241">
        <f t="shared" si="278"/>
        <v>1</v>
      </c>
      <c r="CX578" s="899" t="s">
        <v>794</v>
      </c>
      <c r="CY578" s="899" t="s">
        <v>118</v>
      </c>
      <c r="CZ578" s="899" t="s">
        <v>327</v>
      </c>
      <c r="DA578" s="899" t="s">
        <v>585</v>
      </c>
      <c r="DB578" s="899" t="s">
        <v>119</v>
      </c>
      <c r="DC578" s="899" cm="1">
        <f t="array" aca="1" ref="DC578" ca="1">_xlfn.IFNA(OFFSET($I$49,MATCH(CY578,$I$50:$I$63,0),MATCH(CZ578,TRANSPOSE($J$49:$W$49),0)),0)</f>
        <v>1.4897774790919952E-2</v>
      </c>
      <c r="DD578" s="899" cm="1">
        <f t="array" aca="1" ref="DD578" ca="1">_xlfn.IFNA(OFFSET($Y$49,MATCH($CZ578,$Y$50:$Y$63,0),MATCH($DA578,TRANSPOSE($Z$49:$AM$49),0)),0)</f>
        <v>0</v>
      </c>
      <c r="DE578" s="899" cm="1">
        <f t="array" aca="1" ref="DE578" ca="1">_xlfn.IFNA(OFFSET($AO$49,MATCH($DA578,$AO$50:$AO$63,0),MATCH($DB578,TRANSPOSE($AP$49:$BC$49),0)),0)</f>
        <v>0.1895</v>
      </c>
      <c r="DF578" s="881">
        <f t="shared" ca="1" si="279"/>
        <v>0</v>
      </c>
      <c r="DG578" s="910">
        <f t="shared" ca="1" si="277"/>
        <v>1.0010447133454794</v>
      </c>
      <c r="DH578" s="881">
        <f t="shared" ca="1" si="280"/>
        <v>0</v>
      </c>
      <c r="DI578" s="1460">
        <f t="shared" ca="1" si="292"/>
        <v>0</v>
      </c>
      <c r="DJ578" s="909">
        <f>_xlfn.IFNA(INDEX('Resource use and costs'!$CQ$11:$CQ$53,MATCH($CZ578,'Resource use and costs'!$BA$11:$BA$53,0)),0)*_xlfn.IFNA(INDEX(DY$10:DY$23,MATCH($CZ578,$DX$10:$DX$23,0)),0)</f>
        <v>19241.032205</v>
      </c>
      <c r="DK578" s="909">
        <f>IF(dd_PartSA_2_lines = "Yes",0,_xlfn.IFNA(INDEX('Resource use and costs'!$CR$11:$CR$53,MATCH(DA578,'Resource use and costs'!$BA$11:$BA$53,0)),0)*_xlfn.IFNA(INDEX(EA$10:EA$23,MATCH($DA578,$DX$10:$DX$23,0)),0))</f>
        <v>1987.9066666666663</v>
      </c>
      <c r="DL578" s="909">
        <f>IF(dd_PartSA_2_lines = "Yes",0,_xlfn.IFNA(INDEX('Resource use and costs'!$CS$11:$CS$53,MATCH(DB578,'Resource use and costs'!$BA$11:$BA$53,0)),0)*_xlfn.IFNA(INDEX(EC$10:EC$23,MATCH($DB578,$DX$10:$DX$23,0)),0))</f>
        <v>2915.4763433333328</v>
      </c>
      <c r="DM578" s="909">
        <f t="shared" si="281"/>
        <v>24144.415214999997</v>
      </c>
      <c r="DN578" s="909">
        <f>SUM(_xlfn.IFNA(INDEX('Resource use and costs'!$DU$12:$DU$25,MATCH(CZ578,'Resource use and costs'!$DS$12:$DS$25,0)),0),_xlfn.IFNA(INDEX('Resource use and costs'!$DU$12:$DU$25,MATCH(DA578,'Resource use and costs'!$DS$12:$DS$25,0)),0),_xlfn.IFNA(INDEX('Resource use and costs'!$DU$12:$DU$25,MATCH(DB578,'Resource use and costs'!$DS$12:$DS$25,0)),0))</f>
        <v>591.75</v>
      </c>
      <c r="DO578" s="921">
        <f>_xlfn.IFNA(INDEX('Resource use and costs'!$DY$12:$DY$25,MATCH(CZ578,'Resource use and costs'!$DS$12:$DS$25,0)),0)*_xlfn.IFNA(INDEX(DY$10:DY$23,MATCH($CZ578,$DX$10:$DX$23,0)),0)</f>
        <v>240.71806000000001</v>
      </c>
      <c r="DP578" s="921">
        <f>IF(dd_PartSA_2_lines = "Yes",0,_xlfn.IFNA(INDEX('Resource use and costs'!$DZ$12:$DZ$25,MATCH(DA578,'Resource use and costs'!$DS$12:$DS$25,0)),0)*_xlfn.IFNA(INDEX(EA$10:EA$23,MATCH($DA578,$DX$10:$DX$23,0)),0))</f>
        <v>179.14285714285711</v>
      </c>
      <c r="DQ578" s="921">
        <f>IF(dd_PartSA_2_lines = "Yes",0,_xlfn.IFNA(INDEX('Resource use and costs'!$EA$12:$EA$25,MATCH(DB578,'Resource use and costs'!$DS$12:$DS$25,0)),0)*_xlfn.IFNA(INDEX(EC$10:EC$23,MATCH($DB578,$DX$10:$DX$23,0)),0))</f>
        <v>256.11457142857142</v>
      </c>
      <c r="DR578" s="921">
        <f t="shared" si="282"/>
        <v>1267.7254885714285</v>
      </c>
      <c r="DS578" s="1004">
        <f ca="1">SUMIFS('Safety parameters'!$DM$6:$DM$18,'Safety parameters'!$DK$6:$DK$18,CZ578,'Safety parameters'!$DL$6:$DL$18,1)+IF(dd_PartSA_2_lines = "Yes",0,SUMIFS('Safety parameters'!$DM$6:$DM$18,'Safety parameters'!$DK$6:$DK$18,DA578,'Safety parameters'!$DL$6:$DL$18,2)+SUMIFS('Safety parameters'!$DM$6:$DM$18,'Safety parameters'!$DK$6:$DK$18,DB578,'Safety parameters'!$DL$6:$DL$18,2))</f>
        <v>332.87538337531487</v>
      </c>
      <c r="DT578" s="910">
        <f ca="1">SUMIFS('Safety parameters'!$DO$6:$DO$18,'Safety parameters'!$DK$6:$DK$18,CZ578,'Safety parameters'!$DL$6:$DL$18,1)+IF(dd_PartSA_2_lines = "Yes",0,SUMIFS('Safety parameters'!$DO$6:$DO$18,'Safety parameters'!$DK$6:$DK$18,DA578,'Safety parameters'!$DL$6:$DL$18,2)+SUMIFS('Safety parameters'!$DO$6:$DO$18,'Safety parameters'!$DK$6:$DK$18,DB578,'Safety parameters'!$DL$6:$DL$18,2))</f>
        <v>-2.6675735366377194E-3</v>
      </c>
    </row>
    <row r="579" spans="89:124" ht="15" x14ac:dyDescent="0.2">
      <c r="CK579" s="61" t="s">
        <v>31</v>
      </c>
      <c r="CL579" s="61">
        <v>4</v>
      </c>
      <c r="CM579" s="61" t="str">
        <v>everolimus</v>
      </c>
      <c r="CN579" s="17">
        <v>10</v>
      </c>
      <c r="CO579" s="61" t="str" cm="1">
        <f t="array" ref="CO579">INDEX(List_comparators,CP578+1)</f>
        <v>lenvatinib_plus_everolimus</v>
      </c>
      <c r="CP579" s="17">
        <v>9</v>
      </c>
      <c r="CQ579" s="601">
        <f t="shared" ca="1" si="288"/>
        <v>0</v>
      </c>
      <c r="CR579" s="601">
        <f t="shared" ca="1" si="289"/>
        <v>0</v>
      </c>
      <c r="CS579" s="601">
        <f t="shared" ca="1" si="290"/>
        <v>33.004285714285714</v>
      </c>
      <c r="CT579" s="669">
        <f t="shared" ca="1" si="291"/>
        <v>6.8914285714285715</v>
      </c>
      <c r="CU579" s="1123">
        <f>MATCH(CZ586,'Resource use and costs'!$BA$11:$BA$53,0)</f>
        <v>37</v>
      </c>
      <c r="CV579" s="1223"/>
      <c r="CW579" s="1241">
        <f t="shared" si="278"/>
        <v>1</v>
      </c>
      <c r="CX579" s="899" t="s">
        <v>794</v>
      </c>
      <c r="CY579" s="899" t="s">
        <v>118</v>
      </c>
      <c r="CZ579" s="899" t="s">
        <v>327</v>
      </c>
      <c r="DA579" s="899" t="s">
        <v>117</v>
      </c>
      <c r="DB579" s="899" t="s">
        <v>765</v>
      </c>
      <c r="DC579" s="899" cm="1">
        <f t="array" aca="1" ref="DC579" ca="1">_xlfn.IFNA(OFFSET($I$49,MATCH(CY579,$I$50:$I$63,0),MATCH(CZ579,TRANSPOSE($J$49:$W$49),0)),0)</f>
        <v>1.4897774790919952E-2</v>
      </c>
      <c r="DD579" s="899" cm="1">
        <f t="array" aca="1" ref="DD579" ca="1">_xlfn.IFNA(OFFSET($Y$49,MATCH($CZ579,$Y$50:$Y$63,0),MATCH($DA579,TRANSPOSE($Z$49:$AM$49),0)),0)</f>
        <v>0</v>
      </c>
      <c r="DE579" s="899" cm="1">
        <f t="array" aca="1" ref="DE579" ca="1">_xlfn.IFNA(OFFSET($AO$49,MATCH($DA579,$AO$50:$AO$63,0),MATCH($DB579,TRANSPOSE($AP$49:$BC$49),0)),0)</f>
        <v>0.43140000000000001</v>
      </c>
      <c r="DF579" s="881">
        <f t="shared" ca="1" si="279"/>
        <v>0</v>
      </c>
      <c r="DG579" s="910">
        <f t="shared" ca="1" si="277"/>
        <v>1.0010447133454794</v>
      </c>
      <c r="DH579" s="881">
        <f t="shared" ca="1" si="280"/>
        <v>0</v>
      </c>
      <c r="DI579" s="1460">
        <f t="shared" ca="1" si="292"/>
        <v>0</v>
      </c>
      <c r="DJ579" s="909">
        <f>_xlfn.IFNA(INDEX('Resource use and costs'!$CQ$11:$CQ$53,MATCH($CZ579,'Resource use and costs'!$BA$11:$BA$53,0)),0)*_xlfn.IFNA(INDEX(DY$10:DY$23,MATCH($CZ579,$DX$10:$DX$23,0)),0)</f>
        <v>19241.032205</v>
      </c>
      <c r="DK579" s="909">
        <f>IF(dd_PartSA_2_lines = "Yes",0,_xlfn.IFNA(INDEX('Resource use and costs'!$CR$11:$CR$53,MATCH(DA579,'Resource use and costs'!$BA$11:$BA$53,0)),0)*_xlfn.IFNA(INDEX(EA$10:EA$23,MATCH($DA579,$DX$10:$DX$23,0)),0))</f>
        <v>1602.2899047619044</v>
      </c>
      <c r="DL579" s="909">
        <f>IF(dd_PartSA_2_lines = "Yes",0,_xlfn.IFNA(INDEX('Resource use and costs'!$CS$11:$CS$53,MATCH(DB579,'Resource use and costs'!$BA$11:$BA$53,0)),0)*_xlfn.IFNA(INDEX(EC$10:EC$23,MATCH($DB579,$DX$10:$DX$23,0)),0))</f>
        <v>0</v>
      </c>
      <c r="DM579" s="909">
        <f t="shared" si="281"/>
        <v>20843.322109761903</v>
      </c>
      <c r="DN579" s="909">
        <f>SUM(_xlfn.IFNA(INDEX('Resource use and costs'!$DU$12:$DU$25,MATCH(CZ579,'Resource use and costs'!$DS$12:$DS$25,0)),0),_xlfn.IFNA(INDEX('Resource use and costs'!$DU$12:$DU$25,MATCH(DA579,'Resource use and costs'!$DS$12:$DS$25,0)),0),_xlfn.IFNA(INDEX('Resource use and costs'!$DU$12:$DU$25,MATCH(DB579,'Resource use and costs'!$DS$12:$DS$25,0)),0))</f>
        <v>394.5</v>
      </c>
      <c r="DO579" s="921">
        <f>_xlfn.IFNA(INDEX('Resource use and costs'!$DY$12:$DY$25,MATCH(CZ579,'Resource use and costs'!$DS$12:$DS$25,0)),0)*_xlfn.IFNA(INDEX(DY$10:DY$23,MATCH($CZ579,$DX$10:$DX$23,0)),0)</f>
        <v>240.71806000000001</v>
      </c>
      <c r="DP579" s="921">
        <f>IF(dd_PartSA_2_lines = "Yes",0,_xlfn.IFNA(INDEX('Resource use and costs'!$DZ$12:$DZ$25,MATCH(DA579,'Resource use and costs'!$DS$12:$DS$25,0)),0)*_xlfn.IFNA(INDEX(EA$10:EA$23,MATCH($DA579,$DX$10:$DX$23,0)),0))</f>
        <v>226.91428571428568</v>
      </c>
      <c r="DQ579" s="921">
        <f>IF(dd_PartSA_2_lines = "Yes",0,_xlfn.IFNA(INDEX('Resource use and costs'!$EA$12:$EA$25,MATCH(DB579,'Resource use and costs'!$DS$12:$DS$25,0)),0)*_xlfn.IFNA(INDEX(EC$10:EC$23,MATCH($DB579,$DX$10:$DX$23,0)),0))</f>
        <v>0</v>
      </c>
      <c r="DR579" s="921">
        <f t="shared" si="282"/>
        <v>862.13234571428575</v>
      </c>
      <c r="DS579" s="1004">
        <f>SUMIFS('Safety parameters'!$DM$6:$DM$18,'Safety parameters'!$DK$6:$DK$18,CZ579,'Safety parameters'!$DL$6:$DL$18,1)+IF(dd_PartSA_2_lines = "Yes",0,SUMIFS('Safety parameters'!$DM$6:$DM$18,'Safety parameters'!$DK$6:$DK$18,DA579,'Safety parameters'!$DL$6:$DL$18,2)+SUMIFS('Safety parameters'!$DM$6:$DM$18,'Safety parameters'!$DK$6:$DK$18,DB579,'Safety parameters'!$DL$6:$DL$18,2))</f>
        <v>0</v>
      </c>
      <c r="DT579" s="910">
        <f>SUMIFS('Safety parameters'!$DO$6:$DO$18,'Safety parameters'!$DK$6:$DK$18,CZ579,'Safety parameters'!$DL$6:$DL$18,1)+IF(dd_PartSA_2_lines = "Yes",0,SUMIFS('Safety parameters'!$DO$6:$DO$18,'Safety parameters'!$DK$6:$DK$18,DA579,'Safety parameters'!$DL$6:$DL$18,2)+SUMIFS('Safety parameters'!$DO$6:$DO$18,'Safety parameters'!$DK$6:$DK$18,DB579,'Safety parameters'!$DL$6:$DL$18,2))</f>
        <v>0</v>
      </c>
    </row>
    <row r="580" spans="89:124" ht="15" x14ac:dyDescent="0.2">
      <c r="CK580" s="61" t="s">
        <v>31</v>
      </c>
      <c r="CL580" s="61">
        <v>4</v>
      </c>
      <c r="CM580" s="61" t="str">
        <v>axitinib</v>
      </c>
      <c r="CN580" s="17">
        <v>11</v>
      </c>
      <c r="CO580" s="61" t="str" cm="1">
        <f t="array" ref="CO580">INDEX(List_comparators,CP579+1)</f>
        <v>lenvatinib_plus_everolimus</v>
      </c>
      <c r="CP580" s="17">
        <v>9</v>
      </c>
      <c r="CQ580" s="601">
        <f t="shared" ca="1" si="288"/>
        <v>0</v>
      </c>
      <c r="CR580" s="601">
        <f t="shared" ca="1" si="289"/>
        <v>0</v>
      </c>
      <c r="CS580" s="601">
        <f t="shared" ca="1" si="290"/>
        <v>33.004285714285714</v>
      </c>
      <c r="CT580" s="669">
        <f t="shared" ca="1" si="291"/>
        <v>6.8914285714285715</v>
      </c>
      <c r="CU580" s="1123">
        <f>MATCH(CZ587,'Resource use and costs'!$BA$11:$BA$53,0)</f>
        <v>37</v>
      </c>
      <c r="CV580" s="1223"/>
      <c r="CW580" s="1241">
        <f t="shared" si="278"/>
        <v>1</v>
      </c>
      <c r="CX580" s="899" t="s">
        <v>794</v>
      </c>
      <c r="CY580" s="899" t="s">
        <v>118</v>
      </c>
      <c r="CZ580" s="899" t="s">
        <v>327</v>
      </c>
      <c r="DA580" s="899" t="s">
        <v>117</v>
      </c>
      <c r="DB580" s="899" t="s">
        <v>119</v>
      </c>
      <c r="DC580" s="899" cm="1">
        <f t="array" aca="1" ref="DC580" ca="1">_xlfn.IFNA(OFFSET($I$49,MATCH(CY580,$I$50:$I$63,0),MATCH(CZ580,TRANSPOSE($J$49:$W$49),0)),0)</f>
        <v>1.4897774790919952E-2</v>
      </c>
      <c r="DD580" s="899" cm="1">
        <f t="array" aca="1" ref="DD580" ca="1">_xlfn.IFNA(OFFSET($Y$49,MATCH($CZ580,$Y$50:$Y$63,0),MATCH($DA580,TRANSPOSE($Z$49:$AM$49),0)),0)</f>
        <v>0</v>
      </c>
      <c r="DE580" s="899" cm="1">
        <f t="array" aca="1" ref="DE580" ca="1">_xlfn.IFNA(OFFSET($AO$49,MATCH($DA580,$AO$50:$AO$63,0),MATCH($DB580,TRANSPOSE($AP$49:$BC$49),0)),0)</f>
        <v>0.1895</v>
      </c>
      <c r="DF580" s="881">
        <f t="shared" ca="1" si="279"/>
        <v>0</v>
      </c>
      <c r="DG580" s="910">
        <f t="shared" ca="1" si="277"/>
        <v>1.0010447133454794</v>
      </c>
      <c r="DH580" s="881">
        <f t="shared" ca="1" si="280"/>
        <v>0</v>
      </c>
      <c r="DI580" s="1460">
        <f t="shared" ca="1" si="292"/>
        <v>0</v>
      </c>
      <c r="DJ580" s="909">
        <f>_xlfn.IFNA(INDEX('Resource use and costs'!$CQ$11:$CQ$53,MATCH($CZ580,'Resource use and costs'!$BA$11:$BA$53,0)),0)*_xlfn.IFNA(INDEX(DY$10:DY$23,MATCH($CZ580,$DX$10:$DX$23,0)),0)</f>
        <v>19241.032205</v>
      </c>
      <c r="DK580" s="909">
        <f>IF(dd_PartSA_2_lines = "Yes",0,_xlfn.IFNA(INDEX('Resource use and costs'!$CR$11:$CR$53,MATCH(DA580,'Resource use and costs'!$BA$11:$BA$53,0)),0)*_xlfn.IFNA(INDEX(EA$10:EA$23,MATCH($DA580,$DX$10:$DX$23,0)),0))</f>
        <v>1602.2899047619044</v>
      </c>
      <c r="DL580" s="909">
        <f>IF(dd_PartSA_2_lines = "Yes",0,_xlfn.IFNA(INDEX('Resource use and costs'!$CS$11:$CS$53,MATCH(DB580,'Resource use and costs'!$BA$11:$BA$53,0)),0)*_xlfn.IFNA(INDEX(EC$10:EC$23,MATCH($DB580,$DX$10:$DX$23,0)),0))</f>
        <v>2915.4763433333328</v>
      </c>
      <c r="DM580" s="909">
        <f t="shared" si="281"/>
        <v>23758.798453095234</v>
      </c>
      <c r="DN580" s="909">
        <f>SUM(_xlfn.IFNA(INDEX('Resource use and costs'!$DU$12:$DU$25,MATCH(CZ580,'Resource use and costs'!$DS$12:$DS$25,0)),0),_xlfn.IFNA(INDEX('Resource use and costs'!$DU$12:$DU$25,MATCH(DA580,'Resource use and costs'!$DS$12:$DS$25,0)),0),_xlfn.IFNA(INDEX('Resource use and costs'!$DU$12:$DU$25,MATCH(DB580,'Resource use and costs'!$DS$12:$DS$25,0)),0))</f>
        <v>591.75</v>
      </c>
      <c r="DO580" s="921">
        <f>_xlfn.IFNA(INDEX('Resource use and costs'!$DY$12:$DY$25,MATCH(CZ580,'Resource use and costs'!$DS$12:$DS$25,0)),0)*_xlfn.IFNA(INDEX(DY$10:DY$23,MATCH($CZ580,$DX$10:$DX$23,0)),0)</f>
        <v>240.71806000000001</v>
      </c>
      <c r="DP580" s="921">
        <f>IF(dd_PartSA_2_lines = "Yes",0,_xlfn.IFNA(INDEX('Resource use and costs'!$DZ$12:$DZ$25,MATCH(DA580,'Resource use and costs'!$DS$12:$DS$25,0)),0)*_xlfn.IFNA(INDEX(EA$10:EA$23,MATCH($DA580,$DX$10:$DX$23,0)),0))</f>
        <v>226.91428571428568</v>
      </c>
      <c r="DQ580" s="921">
        <f>IF(dd_PartSA_2_lines = "Yes",0,_xlfn.IFNA(INDEX('Resource use and costs'!$EA$12:$EA$25,MATCH(DB580,'Resource use and costs'!$DS$12:$DS$25,0)),0)*_xlfn.IFNA(INDEX(EC$10:EC$23,MATCH($DB580,$DX$10:$DX$23,0)),0))</f>
        <v>256.11457142857142</v>
      </c>
      <c r="DR580" s="921">
        <f t="shared" si="282"/>
        <v>1315.4969171428572</v>
      </c>
      <c r="DS580" s="1004">
        <f ca="1">SUMIFS('Safety parameters'!$DM$6:$DM$18,'Safety parameters'!$DK$6:$DK$18,CZ580,'Safety parameters'!$DL$6:$DL$18,1)+IF(dd_PartSA_2_lines = "Yes",0,SUMIFS('Safety parameters'!$DM$6:$DM$18,'Safety parameters'!$DK$6:$DK$18,DA580,'Safety parameters'!$DL$6:$DL$18,2)+SUMIFS('Safety parameters'!$DM$6:$DM$18,'Safety parameters'!$DK$6:$DK$18,DB580,'Safety parameters'!$DL$6:$DL$18,2))</f>
        <v>332.87538337531487</v>
      </c>
      <c r="DT580" s="910">
        <f ca="1">SUMIFS('Safety parameters'!$DO$6:$DO$18,'Safety parameters'!$DK$6:$DK$18,CZ580,'Safety parameters'!$DL$6:$DL$18,1)+IF(dd_PartSA_2_lines = "Yes",0,SUMIFS('Safety parameters'!$DO$6:$DO$18,'Safety parameters'!$DK$6:$DK$18,DA580,'Safety parameters'!$DL$6:$DL$18,2)+SUMIFS('Safety parameters'!$DO$6:$DO$18,'Safety parameters'!$DK$6:$DK$18,DB580,'Safety parameters'!$DL$6:$DL$18,2))</f>
        <v>-2.6675735366377194E-3</v>
      </c>
    </row>
    <row r="581" spans="89:124" ht="15" x14ac:dyDescent="0.2">
      <c r="CK581" s="61" t="s">
        <v>31</v>
      </c>
      <c r="CL581" s="61">
        <v>4</v>
      </c>
      <c r="CM581" s="61" t="str">
        <v>sorafenib</v>
      </c>
      <c r="CN581" s="17">
        <v>12</v>
      </c>
      <c r="CO581" s="61" t="str" cm="1">
        <f t="array" ref="CO581">INDEX(List_comparators,CP580+1)</f>
        <v>lenvatinib_plus_everolimus</v>
      </c>
      <c r="CP581" s="17">
        <v>9</v>
      </c>
      <c r="CQ581" s="601">
        <f t="shared" ca="1" si="288"/>
        <v>0</v>
      </c>
      <c r="CR581" s="601">
        <f t="shared" ca="1" si="289"/>
        <v>0</v>
      </c>
      <c r="CS581" s="601">
        <f t="shared" ca="1" si="290"/>
        <v>0</v>
      </c>
      <c r="CT581" s="669">
        <f t="shared" ca="1" si="291"/>
        <v>0</v>
      </c>
      <c r="CU581" s="1123">
        <f>MATCH(CZ588,'Resource use and costs'!$BA$11:$BA$53,0)</f>
        <v>37</v>
      </c>
      <c r="CV581" s="1223"/>
      <c r="CW581" s="1241">
        <f t="shared" si="278"/>
        <v>1</v>
      </c>
      <c r="CX581" s="899" t="s">
        <v>794</v>
      </c>
      <c r="CY581" s="899" t="s">
        <v>118</v>
      </c>
      <c r="CZ581" s="899" t="s">
        <v>327</v>
      </c>
      <c r="DA581" s="899" t="s">
        <v>319</v>
      </c>
      <c r="DB581" s="899" t="s">
        <v>765</v>
      </c>
      <c r="DC581" s="899" cm="1">
        <f t="array" aca="1" ref="DC581" ca="1">_xlfn.IFNA(OFFSET($I$49,MATCH(CY581,$I$50:$I$63,0),MATCH(CZ581,TRANSPOSE($J$49:$W$49),0)),0)</f>
        <v>1.4897774790919952E-2</v>
      </c>
      <c r="DD581" s="899" cm="1">
        <f t="array" aca="1" ref="DD581" ca="1">_xlfn.IFNA(OFFSET($Y$49,MATCH($CZ581,$Y$50:$Y$63,0),MATCH($DA581,TRANSPOSE($Z$49:$AM$49),0)),0)</f>
        <v>0</v>
      </c>
      <c r="DE581" s="899" cm="1">
        <f t="array" aca="1" ref="DE581" ca="1">_xlfn.IFNA(OFFSET($AO$49,MATCH($DA581,$AO$50:$AO$63,0),MATCH($DB581,TRANSPOSE($AP$49:$BC$49),0)),0)</f>
        <v>0.43140000000000001</v>
      </c>
      <c r="DF581" s="881">
        <f t="shared" ca="1" si="279"/>
        <v>0</v>
      </c>
      <c r="DG581" s="910">
        <f t="shared" ca="1" si="277"/>
        <v>1.0010447133454794</v>
      </c>
      <c r="DH581" s="881">
        <f t="shared" ca="1" si="280"/>
        <v>0</v>
      </c>
      <c r="DI581" s="1460">
        <f t="shared" ca="1" si="292"/>
        <v>0</v>
      </c>
      <c r="DJ581" s="909">
        <f>_xlfn.IFNA(INDEX('Resource use and costs'!$CQ$11:$CQ$53,MATCH($CZ581,'Resource use and costs'!$BA$11:$BA$53,0)),0)*_xlfn.IFNA(INDEX(DY$10:DY$23,MATCH($CZ581,$DX$10:$DX$23,0)),0)</f>
        <v>19241.032205</v>
      </c>
      <c r="DK581" s="909">
        <f>IF(dd_PartSA_2_lines = "Yes",0,_xlfn.IFNA(INDEX('Resource use and costs'!$CR$11:$CR$53,MATCH(DA581,'Resource use and costs'!$BA$11:$BA$53,0)),0)*_xlfn.IFNA(INDEX(EA$10:EA$23,MATCH($DA581,$DX$10:$DX$23,0)),0))</f>
        <v>11139.428571428571</v>
      </c>
      <c r="DL581" s="909">
        <f>IF(dd_PartSA_2_lines = "Yes",0,_xlfn.IFNA(INDEX('Resource use and costs'!$CS$11:$CS$53,MATCH(DB581,'Resource use and costs'!$BA$11:$BA$53,0)),0)*_xlfn.IFNA(INDEX(EC$10:EC$23,MATCH($DB581,$DX$10:$DX$23,0)),0))</f>
        <v>0</v>
      </c>
      <c r="DM581" s="909">
        <f t="shared" si="281"/>
        <v>30380.460776428568</v>
      </c>
      <c r="DN581" s="909">
        <f>SUM(_xlfn.IFNA(INDEX('Resource use and costs'!$DU$12:$DU$25,MATCH(CZ581,'Resource use and costs'!$DS$12:$DS$25,0)),0),_xlfn.IFNA(INDEX('Resource use and costs'!$DU$12:$DU$25,MATCH(DA581,'Resource use and costs'!$DS$12:$DS$25,0)),0),_xlfn.IFNA(INDEX('Resource use and costs'!$DU$12:$DU$25,MATCH(DB581,'Resource use and costs'!$DS$12:$DS$25,0)),0))</f>
        <v>394.5</v>
      </c>
      <c r="DO581" s="921">
        <f>_xlfn.IFNA(INDEX('Resource use and costs'!$DY$12:$DY$25,MATCH(CZ581,'Resource use and costs'!$DS$12:$DS$25,0)),0)*_xlfn.IFNA(INDEX(DY$10:DY$23,MATCH($CZ581,$DX$10:$DX$23,0)),0)</f>
        <v>240.71806000000001</v>
      </c>
      <c r="DP581" s="921">
        <f>IF(dd_PartSA_2_lines = "Yes",0,_xlfn.IFNA(INDEX('Resource use and costs'!$DZ$12:$DZ$25,MATCH(DA581,'Resource use and costs'!$DS$12:$DS$25,0)),0)*_xlfn.IFNA(INDEX(EA$10:EA$23,MATCH($DA581,$DX$10:$DX$23,0)),0))</f>
        <v>238.85714285714283</v>
      </c>
      <c r="DQ581" s="921">
        <f>IF(dd_PartSA_2_lines = "Yes",0,_xlfn.IFNA(INDEX('Resource use and costs'!$EA$12:$EA$25,MATCH(DB581,'Resource use and costs'!$DS$12:$DS$25,0)),0)*_xlfn.IFNA(INDEX(EC$10:EC$23,MATCH($DB581,$DX$10:$DX$23,0)),0))</f>
        <v>0</v>
      </c>
      <c r="DR581" s="921">
        <f t="shared" si="282"/>
        <v>874.07520285714281</v>
      </c>
      <c r="DS581" s="1004">
        <f>SUMIFS('Safety parameters'!$DM$6:$DM$18,'Safety parameters'!$DK$6:$DK$18,CZ581,'Safety parameters'!$DL$6:$DL$18,1)+IF(dd_PartSA_2_lines = "Yes",0,SUMIFS('Safety parameters'!$DM$6:$DM$18,'Safety parameters'!$DK$6:$DK$18,DA581,'Safety parameters'!$DL$6:$DL$18,2)+SUMIFS('Safety parameters'!$DM$6:$DM$18,'Safety parameters'!$DK$6:$DK$18,DB581,'Safety parameters'!$DL$6:$DL$18,2))</f>
        <v>0</v>
      </c>
      <c r="DT581" s="910">
        <f>SUMIFS('Safety parameters'!$DO$6:$DO$18,'Safety parameters'!$DK$6:$DK$18,CZ581,'Safety parameters'!$DL$6:$DL$18,1)+IF(dd_PartSA_2_lines = "Yes",0,SUMIFS('Safety parameters'!$DO$6:$DO$18,'Safety parameters'!$DK$6:$DK$18,DA581,'Safety parameters'!$DL$6:$DL$18,2)+SUMIFS('Safety parameters'!$DO$6:$DO$18,'Safety parameters'!$DK$6:$DK$18,DB581,'Safety parameters'!$DL$6:$DL$18,2))</f>
        <v>0</v>
      </c>
    </row>
    <row r="582" spans="89:124" ht="15.75" thickBot="1" x14ac:dyDescent="0.25">
      <c r="CK582" s="506" t="s">
        <v>31</v>
      </c>
      <c r="CL582" s="506">
        <v>4</v>
      </c>
      <c r="CM582" s="506" t="str">
        <v>placebo_BSC</v>
      </c>
      <c r="CN582" s="19">
        <v>999</v>
      </c>
      <c r="CO582" s="506" t="str" cm="1">
        <f t="array" ref="CO582">INDEX(List_comparators,CP569+1)</f>
        <v>lenvatinib_plus_everolimus</v>
      </c>
      <c r="CP582" s="19">
        <v>9</v>
      </c>
      <c r="CQ582" s="602">
        <f t="shared" ca="1" si="288"/>
        <v>0</v>
      </c>
      <c r="CR582" s="602">
        <f t="shared" ca="1" si="289"/>
        <v>0</v>
      </c>
      <c r="CS582" s="602">
        <f t="shared" ca="1" si="290"/>
        <v>0</v>
      </c>
      <c r="CT582" s="748">
        <f t="shared" ca="1" si="291"/>
        <v>0</v>
      </c>
      <c r="CU582" s="1123">
        <f>MATCH(CZ589,'Resource use and costs'!$BA$11:$BA$53,0)</f>
        <v>37</v>
      </c>
      <c r="CV582" s="1223"/>
      <c r="CW582" s="1241">
        <f t="shared" si="278"/>
        <v>1</v>
      </c>
      <c r="CX582" s="899" t="s">
        <v>794</v>
      </c>
      <c r="CY582" s="899" t="s">
        <v>118</v>
      </c>
      <c r="CZ582" s="899" t="s">
        <v>327</v>
      </c>
      <c r="DA582" s="899" t="s">
        <v>319</v>
      </c>
      <c r="DB582" s="899" t="s">
        <v>119</v>
      </c>
      <c r="DC582" s="899" cm="1">
        <f t="array" aca="1" ref="DC582" ca="1">_xlfn.IFNA(OFFSET($I$49,MATCH(CY582,$I$50:$I$63,0),MATCH(CZ582,TRANSPOSE($J$49:$W$49),0)),0)</f>
        <v>1.4897774790919952E-2</v>
      </c>
      <c r="DD582" s="899" cm="1">
        <f t="array" aca="1" ref="DD582" ca="1">_xlfn.IFNA(OFFSET($Y$49,MATCH($CZ582,$Y$50:$Y$63,0),MATCH($DA582,TRANSPOSE($Z$49:$AM$49),0)),0)</f>
        <v>0</v>
      </c>
      <c r="DE582" s="899" cm="1">
        <f t="array" aca="1" ref="DE582" ca="1">_xlfn.IFNA(OFFSET($AO$49,MATCH($DA582,$AO$50:$AO$63,0),MATCH($DB582,TRANSPOSE($AP$49:$BC$49),0)),0)</f>
        <v>0.1895</v>
      </c>
      <c r="DF582" s="881">
        <f t="shared" ca="1" si="279"/>
        <v>0</v>
      </c>
      <c r="DG582" s="910">
        <f t="shared" ca="1" si="277"/>
        <v>1.0010447133454794</v>
      </c>
      <c r="DH582" s="881">
        <f t="shared" ca="1" si="280"/>
        <v>0</v>
      </c>
      <c r="DI582" s="1460">
        <f t="shared" ca="1" si="292"/>
        <v>0</v>
      </c>
      <c r="DJ582" s="909">
        <f>_xlfn.IFNA(INDEX('Resource use and costs'!$CQ$11:$CQ$53,MATCH($CZ582,'Resource use and costs'!$BA$11:$BA$53,0)),0)*_xlfn.IFNA(INDEX(DY$10:DY$23,MATCH($CZ582,$DX$10:$DX$23,0)),0)</f>
        <v>19241.032205</v>
      </c>
      <c r="DK582" s="909">
        <f>IF(dd_PartSA_2_lines = "Yes",0,_xlfn.IFNA(INDEX('Resource use and costs'!$CR$11:$CR$53,MATCH(DA582,'Resource use and costs'!$BA$11:$BA$53,0)),0)*_xlfn.IFNA(INDEX(EA$10:EA$23,MATCH($DA582,$DX$10:$DX$23,0)),0))</f>
        <v>11139.428571428571</v>
      </c>
      <c r="DL582" s="909">
        <f>IF(dd_PartSA_2_lines = "Yes",0,_xlfn.IFNA(INDEX('Resource use and costs'!$CS$11:$CS$53,MATCH(DB582,'Resource use and costs'!$BA$11:$BA$53,0)),0)*_xlfn.IFNA(INDEX(EC$10:EC$23,MATCH($DB582,$DX$10:$DX$23,0)),0))</f>
        <v>2915.4763433333328</v>
      </c>
      <c r="DM582" s="909">
        <f t="shared" si="281"/>
        <v>33295.937119761904</v>
      </c>
      <c r="DN582" s="909">
        <f>SUM(_xlfn.IFNA(INDEX('Resource use and costs'!$DU$12:$DU$25,MATCH(CZ582,'Resource use and costs'!$DS$12:$DS$25,0)),0),_xlfn.IFNA(INDEX('Resource use and costs'!$DU$12:$DU$25,MATCH(DA582,'Resource use and costs'!$DS$12:$DS$25,0)),0),_xlfn.IFNA(INDEX('Resource use and costs'!$DU$12:$DU$25,MATCH(DB582,'Resource use and costs'!$DS$12:$DS$25,0)),0))</f>
        <v>591.75</v>
      </c>
      <c r="DO582" s="921">
        <f>_xlfn.IFNA(INDEX('Resource use and costs'!$DY$12:$DY$25,MATCH(CZ582,'Resource use and costs'!$DS$12:$DS$25,0)),0)*_xlfn.IFNA(INDEX(DY$10:DY$23,MATCH($CZ582,$DX$10:$DX$23,0)),0)</f>
        <v>240.71806000000001</v>
      </c>
      <c r="DP582" s="921">
        <f>IF(dd_PartSA_2_lines = "Yes",0,_xlfn.IFNA(INDEX('Resource use and costs'!$DZ$12:$DZ$25,MATCH(DA582,'Resource use and costs'!$DS$12:$DS$25,0)),0)*_xlfn.IFNA(INDEX(EA$10:EA$23,MATCH($DA582,$DX$10:$DX$23,0)),0))</f>
        <v>238.85714285714283</v>
      </c>
      <c r="DQ582" s="921">
        <f>IF(dd_PartSA_2_lines = "Yes",0,_xlfn.IFNA(INDEX('Resource use and costs'!$EA$12:$EA$25,MATCH(DB582,'Resource use and costs'!$DS$12:$DS$25,0)),0)*_xlfn.IFNA(INDEX(EC$10:EC$23,MATCH($DB582,$DX$10:$DX$23,0)),0))</f>
        <v>256.11457142857142</v>
      </c>
      <c r="DR582" s="921">
        <f t="shared" si="282"/>
        <v>1327.4397742857143</v>
      </c>
      <c r="DS582" s="1004">
        <f ca="1">SUMIFS('Safety parameters'!$DM$6:$DM$18,'Safety parameters'!$DK$6:$DK$18,CZ582,'Safety parameters'!$DL$6:$DL$18,1)+IF(dd_PartSA_2_lines = "Yes",0,SUMIFS('Safety parameters'!$DM$6:$DM$18,'Safety parameters'!$DK$6:$DK$18,DA582,'Safety parameters'!$DL$6:$DL$18,2)+SUMIFS('Safety parameters'!$DM$6:$DM$18,'Safety parameters'!$DK$6:$DK$18,DB582,'Safety parameters'!$DL$6:$DL$18,2))</f>
        <v>332.87538337531487</v>
      </c>
      <c r="DT582" s="910">
        <f ca="1">SUMIFS('Safety parameters'!$DO$6:$DO$18,'Safety parameters'!$DK$6:$DK$18,CZ582,'Safety parameters'!$DL$6:$DL$18,1)+IF(dd_PartSA_2_lines = "Yes",0,SUMIFS('Safety parameters'!$DO$6:$DO$18,'Safety parameters'!$DK$6:$DK$18,DA582,'Safety parameters'!$DL$6:$DL$18,2)+SUMIFS('Safety parameters'!$DO$6:$DO$18,'Safety parameters'!$DK$6:$DK$18,DB582,'Safety parameters'!$DL$6:$DL$18,2))</f>
        <v>-2.6675735366377194E-3</v>
      </c>
    </row>
    <row r="583" spans="89:124" ht="15" x14ac:dyDescent="0.2">
      <c r="CK583" s="505" t="s">
        <v>31</v>
      </c>
      <c r="CL583" s="505">
        <v>4</v>
      </c>
      <c r="CM583" s="61" t="str" cm="1">
        <f t="array" ref="CM583:CM596">List_comparators</f>
        <v>nivolumab_monotherapy</v>
      </c>
      <c r="CN583" s="17">
        <v>0</v>
      </c>
      <c r="CO583" s="61" t="str" cm="1">
        <f t="array" ref="CO583">INDEX(List_comparators,CP583+1)</f>
        <v>everolimus</v>
      </c>
      <c r="CP583" s="17">
        <v>10</v>
      </c>
      <c r="CQ583" s="603">
        <f t="shared" ca="1" si="288"/>
        <v>0</v>
      </c>
      <c r="CR583" s="603">
        <f t="shared" ca="1" si="289"/>
        <v>0</v>
      </c>
      <c r="CS583" s="603">
        <f t="shared" ca="1" si="290"/>
        <v>24.508571428571429</v>
      </c>
      <c r="CT583" s="669">
        <f t="shared" ca="1" si="291"/>
        <v>11.564285714285713</v>
      </c>
      <c r="CU583" s="1123">
        <f>MATCH(CZ590,'Resource use and costs'!$BA$11:$BA$53,0)</f>
        <v>37</v>
      </c>
      <c r="CV583" s="1223"/>
      <c r="CW583" s="1241">
        <f t="shared" si="278"/>
        <v>0</v>
      </c>
      <c r="CX583" s="899" t="s">
        <v>794</v>
      </c>
      <c r="CY583" s="899" t="s">
        <v>118</v>
      </c>
      <c r="CZ583" s="899" t="s">
        <v>765</v>
      </c>
      <c r="DA583" s="899"/>
      <c r="DB583" s="899"/>
      <c r="DC583" s="899" cm="1">
        <f t="array" aca="1" ref="DC583" ca="1">_xlfn.IFNA(OFFSET($I$49,MATCH(CY583,$I$50:$I$63,0),MATCH(CZ583,TRANSPOSE($J$49:$W$49),0)),0)</f>
        <v>0.33050000000000002</v>
      </c>
      <c r="DD583" s="899" cm="1">
        <f t="array" aca="1" ref="DD583" ca="1">_xlfn.IFNA(OFFSET($Y$49,MATCH($CZ583,$Y$50:$Y$63,0),MATCH($DA583,TRANSPOSE($Z$49:$AM$49),0)),0)</f>
        <v>0</v>
      </c>
      <c r="DE583" s="899" cm="1">
        <f t="array" aca="1" ref="DE583" ca="1">_xlfn.IFNA(OFFSET($AO$49,MATCH($DA583,$AO$50:$AO$63,0),MATCH($DB583,TRANSPOSE($AP$49:$BC$49),0)),0)</f>
        <v>0</v>
      </c>
      <c r="DF583" s="881">
        <f t="shared" ca="1" si="279"/>
        <v>0.33050000000000002</v>
      </c>
      <c r="DG583" s="910">
        <f t="shared" ca="1" si="277"/>
        <v>1.0010447133454794</v>
      </c>
      <c r="DH583" s="881">
        <f t="shared" ca="1" si="280"/>
        <v>0.33050000000000002</v>
      </c>
      <c r="DI583" s="1460">
        <f t="shared" ca="1" si="292"/>
        <v>37.677</v>
      </c>
      <c r="DJ583" s="909">
        <f>_xlfn.IFNA(INDEX('Resource use and costs'!$CQ$11:$CQ$53,MATCH($CZ583,'Resource use and costs'!$BA$11:$BA$53,0)),0)*_xlfn.IFNA(INDEX(DY$10:DY$23,MATCH($CZ583,$DX$10:$DX$23,0)),0)</f>
        <v>0</v>
      </c>
      <c r="DK583" s="909">
        <f>IF(dd_PartSA_2_lines = "Yes",0,_xlfn.IFNA(INDEX('Resource use and costs'!$CR$11:$CR$53,MATCH(DA583,'Resource use and costs'!$BA$11:$BA$53,0)),0)*_xlfn.IFNA(INDEX(EA$10:EA$23,MATCH($DA583,$DX$10:$DX$23,0)),0))</f>
        <v>0</v>
      </c>
      <c r="DL583" s="909">
        <f>IF(dd_PartSA_2_lines = "Yes",0,_xlfn.IFNA(INDEX('Resource use and costs'!$CS$11:$CS$53,MATCH(DB583,'Resource use and costs'!$BA$11:$BA$53,0)),0)*_xlfn.IFNA(INDEX(EC$10:EC$23,MATCH($DB583,$DX$10:$DX$23,0)),0))</f>
        <v>0</v>
      </c>
      <c r="DM583" s="909">
        <f t="shared" si="281"/>
        <v>0</v>
      </c>
      <c r="DN583" s="909">
        <f>SUM(_xlfn.IFNA(INDEX('Resource use and costs'!$DU$12:$DU$25,MATCH(CZ583,'Resource use and costs'!$DS$12:$DS$25,0)),0),_xlfn.IFNA(INDEX('Resource use and costs'!$DU$12:$DU$25,MATCH(DA583,'Resource use and costs'!$DS$12:$DS$25,0)),0),_xlfn.IFNA(INDEX('Resource use and costs'!$DU$12:$DU$25,MATCH(DB583,'Resource use and costs'!$DS$12:$DS$25,0)),0))</f>
        <v>0</v>
      </c>
      <c r="DO583" s="921">
        <f>_xlfn.IFNA(INDEX('Resource use and costs'!$DY$12:$DY$25,MATCH(CZ583,'Resource use and costs'!$DS$12:$DS$25,0)),0)*_xlfn.IFNA(INDEX(DY$10:DY$23,MATCH($CZ583,$DX$10:$DX$23,0)),0)</f>
        <v>0</v>
      </c>
      <c r="DP583" s="921">
        <f>IF(dd_PartSA_2_lines = "Yes",0,_xlfn.IFNA(INDEX('Resource use and costs'!$DZ$12:$DZ$25,MATCH(DA583,'Resource use and costs'!$DS$12:$DS$25,0)),0)*_xlfn.IFNA(INDEX(EA$10:EA$23,MATCH($DA583,$DX$10:$DX$23,0)),0))</f>
        <v>0</v>
      </c>
      <c r="DQ583" s="921">
        <f>IF(dd_PartSA_2_lines = "Yes",0,_xlfn.IFNA(INDEX('Resource use and costs'!$EA$12:$EA$25,MATCH(DB583,'Resource use and costs'!$DS$12:$DS$25,0)),0)*_xlfn.IFNA(INDEX(EC$10:EC$23,MATCH($DB583,$DX$10:$DX$23,0)),0))</f>
        <v>0</v>
      </c>
      <c r="DR583" s="921">
        <f t="shared" si="282"/>
        <v>0</v>
      </c>
      <c r="DS583" s="1004">
        <f>SUMIFS('Safety parameters'!$DM$6:$DM$18,'Safety parameters'!$DK$6:$DK$18,CZ583,'Safety parameters'!$DL$6:$DL$18,1)+IF(dd_PartSA_2_lines = "Yes",0,SUMIFS('Safety parameters'!$DM$6:$DM$18,'Safety parameters'!$DK$6:$DK$18,DA583,'Safety parameters'!$DL$6:$DL$18,2)+SUMIFS('Safety parameters'!$DM$6:$DM$18,'Safety parameters'!$DK$6:$DK$18,DB583,'Safety parameters'!$DL$6:$DL$18,2))</f>
        <v>0</v>
      </c>
      <c r="DT583" s="910">
        <f>SUMIFS('Safety parameters'!$DO$6:$DO$18,'Safety parameters'!$DK$6:$DK$18,CZ583,'Safety parameters'!$DL$6:$DL$18,1)+IF(dd_PartSA_2_lines = "Yes",0,SUMIFS('Safety parameters'!$DO$6:$DO$18,'Safety parameters'!$DK$6:$DK$18,DA583,'Safety parameters'!$DL$6:$DL$18,2)+SUMIFS('Safety parameters'!$DO$6:$DO$18,'Safety parameters'!$DK$6:$DK$18,DB583,'Safety parameters'!$DL$6:$DL$18,2))</f>
        <v>0</v>
      </c>
    </row>
    <row r="584" spans="89:124" ht="15" x14ac:dyDescent="0.2">
      <c r="CK584" s="61" t="s">
        <v>31</v>
      </c>
      <c r="CL584" s="61">
        <v>4</v>
      </c>
      <c r="CM584" s="61" t="str">
        <v>cabozantinib_plus_nivolumab</v>
      </c>
      <c r="CN584" s="17">
        <v>1</v>
      </c>
      <c r="CO584" s="61" t="str" cm="1">
        <f t="array" ref="CO584">INDEX(List_comparators,CP583+1)</f>
        <v>everolimus</v>
      </c>
      <c r="CP584" s="17">
        <v>10</v>
      </c>
      <c r="CQ584" s="601">
        <f t="shared" ca="1" si="288"/>
        <v>0</v>
      </c>
      <c r="CR584" s="601">
        <f t="shared" ca="1" si="289"/>
        <v>0</v>
      </c>
      <c r="CS584" s="601">
        <f t="shared" ca="1" si="290"/>
        <v>24.508571428571429</v>
      </c>
      <c r="CT584" s="669">
        <f t="shared" ca="1" si="291"/>
        <v>11.564285714285713</v>
      </c>
      <c r="CU584" s="1123">
        <f>MATCH(CZ591,'Resource use and costs'!$BA$11:$BA$53,0)</f>
        <v>37</v>
      </c>
      <c r="CV584" s="1223"/>
      <c r="CW584" s="1241">
        <f t="shared" si="278"/>
        <v>1</v>
      </c>
      <c r="CX584" s="899" t="s">
        <v>794</v>
      </c>
      <c r="CY584" s="899" t="s">
        <v>118</v>
      </c>
      <c r="CZ584" s="899" t="s">
        <v>119</v>
      </c>
      <c r="DA584" s="899" t="s">
        <v>327</v>
      </c>
      <c r="DB584" s="899" t="s">
        <v>765</v>
      </c>
      <c r="DC584" s="899" cm="1">
        <f t="array" aca="1" ref="DC584" ca="1">_xlfn.IFNA(OFFSET($I$49,MATCH(CY584,$I$50:$I$63,0),MATCH(CZ584,TRANSPOSE($J$49:$W$49),0)),0)</f>
        <v>0</v>
      </c>
      <c r="DD584" s="899" cm="1">
        <f t="array" aca="1" ref="DD584" ca="1">_xlfn.IFNA(OFFSET($Y$49,MATCH($CZ584,$Y$50:$Y$63,0),MATCH($DA584,TRANSPOSE($Z$49:$AM$49),0)),0)</f>
        <v>0</v>
      </c>
      <c r="DE584" s="899" cm="1">
        <f t="array" aca="1" ref="DE584" ca="1">_xlfn.IFNA(OFFSET($AO$49,MATCH($DA584,$AO$50:$AO$63,0),MATCH($DB584,TRANSPOSE($AP$49:$BC$49),0)),0)</f>
        <v>0.43140000000000001</v>
      </c>
      <c r="DF584" s="881">
        <f t="shared" ca="1" si="279"/>
        <v>0</v>
      </c>
      <c r="DG584" s="910">
        <f t="shared" ca="1" si="277"/>
        <v>1.0010447133454794</v>
      </c>
      <c r="DH584" s="881">
        <f t="shared" ca="1" si="280"/>
        <v>0</v>
      </c>
      <c r="DI584" s="1460">
        <f t="shared" ca="1" si="292"/>
        <v>0</v>
      </c>
      <c r="DJ584" s="909">
        <f>_xlfn.IFNA(INDEX('Resource use and costs'!$CQ$11:$CQ$53,MATCH($CZ584,'Resource use and costs'!$BA$11:$BA$53,0)),0)*_xlfn.IFNA(INDEX(DY$10:DY$23,MATCH($CZ584,$DX$10:$DX$23,0)),0)</f>
        <v>944.50399999999979</v>
      </c>
      <c r="DK584" s="909">
        <f>IF(dd_PartSA_2_lines = "Yes",0,_xlfn.IFNA(INDEX('Resource use and costs'!$CR$11:$CR$53,MATCH(DA584,'Resource use and costs'!$BA$11:$BA$53,0)),0)*_xlfn.IFNA(INDEX(EA$10:EA$23,MATCH($DA584,$DX$10:$DX$23,0)),0))</f>
        <v>21421.066008214286</v>
      </c>
      <c r="DL584" s="909">
        <f>IF(dd_PartSA_2_lines = "Yes",0,_xlfn.IFNA(INDEX('Resource use and costs'!$CS$11:$CS$53,MATCH(DB584,'Resource use and costs'!$BA$11:$BA$53,0)),0)*_xlfn.IFNA(INDEX(EC$10:EC$23,MATCH($DB584,$DX$10:$DX$23,0)),0))</f>
        <v>0</v>
      </c>
      <c r="DM584" s="909">
        <f t="shared" si="281"/>
        <v>22365.570008214287</v>
      </c>
      <c r="DN584" s="909">
        <f>SUM(_xlfn.IFNA(INDEX('Resource use and costs'!$DU$12:$DU$25,MATCH(CZ584,'Resource use and costs'!$DS$12:$DS$25,0)),0),_xlfn.IFNA(INDEX('Resource use and costs'!$DU$12:$DU$25,MATCH(DA584,'Resource use and costs'!$DS$12:$DS$25,0)),0),_xlfn.IFNA(INDEX('Resource use and costs'!$DU$12:$DU$25,MATCH(DB584,'Resource use and costs'!$DS$12:$DS$25,0)),0))</f>
        <v>394.5</v>
      </c>
      <c r="DO584" s="921">
        <f>_xlfn.IFNA(INDEX('Resource use and costs'!$DY$12:$DY$25,MATCH(CZ584,'Resource use and costs'!$DS$12:$DS$25,0)),0)*_xlfn.IFNA(INDEX(DY$10:DY$23,MATCH($CZ584,$DX$10:$DX$23,0)),0)</f>
        <v>82.971428571428561</v>
      </c>
      <c r="DP584" s="921">
        <f>IF(dd_PartSA_2_lines = "Yes",0,_xlfn.IFNA(INDEX('Resource use and costs'!$DZ$12:$DZ$25,MATCH(DA584,'Resource use and costs'!$DS$12:$DS$25,0)),0)*_xlfn.IFNA(INDEX(EA$10:EA$23,MATCH($DA584,$DX$10:$DX$23,0)),0))</f>
        <v>267.99172714285714</v>
      </c>
      <c r="DQ584" s="921">
        <f>IF(dd_PartSA_2_lines = "Yes",0,_xlfn.IFNA(INDEX('Resource use and costs'!$EA$12:$EA$25,MATCH(DB584,'Resource use and costs'!$DS$12:$DS$25,0)),0)*_xlfn.IFNA(INDEX(EC$10:EC$23,MATCH($DB584,$DX$10:$DX$23,0)),0))</f>
        <v>0</v>
      </c>
      <c r="DR584" s="921">
        <f t="shared" si="282"/>
        <v>745.46315571428568</v>
      </c>
      <c r="DS584" s="1004">
        <f ca="1">SUMIFS('Safety parameters'!$DM$6:$DM$18,'Safety parameters'!$DK$6:$DK$18,CZ584,'Safety parameters'!$DL$6:$DL$18,1)+IF(dd_PartSA_2_lines = "Yes",0,SUMIFS('Safety parameters'!$DM$6:$DM$18,'Safety parameters'!$DK$6:$DK$18,DA584,'Safety parameters'!$DL$6:$DL$18,2)+SUMIFS('Safety parameters'!$DM$6:$DM$18,'Safety parameters'!$DK$6:$DK$18,DB584,'Safety parameters'!$DL$6:$DL$18,2))</f>
        <v>1634.2286735654598</v>
      </c>
      <c r="DT584" s="910">
        <f ca="1">SUMIFS('Safety parameters'!$DO$6:$DO$18,'Safety parameters'!$DK$6:$DK$18,CZ584,'Safety parameters'!$DL$6:$DL$18,1)+IF(dd_PartSA_2_lines = "Yes",0,SUMIFS('Safety parameters'!$DO$6:$DO$18,'Safety parameters'!$DK$6:$DK$18,DA584,'Safety parameters'!$DL$6:$DL$18,2)+SUMIFS('Safety parameters'!$DO$6:$DO$18,'Safety parameters'!$DK$6:$DK$18,DB584,'Safety parameters'!$DL$6:$DL$18,2))</f>
        <v>-1.4741924007481429E-2</v>
      </c>
    </row>
    <row r="585" spans="89:124" ht="15" x14ac:dyDescent="0.2">
      <c r="CK585" s="61" t="s">
        <v>31</v>
      </c>
      <c r="CL585" s="61">
        <v>4</v>
      </c>
      <c r="CM585" s="61" t="str">
        <v>nivolumab_plus_ipilimumab</v>
      </c>
      <c r="CN585" s="17">
        <v>2</v>
      </c>
      <c r="CO585" s="61" t="str" cm="1">
        <f t="array" ref="CO585">INDEX(List_comparators,CP584+1)</f>
        <v>everolimus</v>
      </c>
      <c r="CP585" s="17">
        <v>10</v>
      </c>
      <c r="CQ585" s="601">
        <f t="shared" ca="1" si="288"/>
        <v>0</v>
      </c>
      <c r="CR585" s="601">
        <f t="shared" ca="1" si="289"/>
        <v>0</v>
      </c>
      <c r="CS585" s="601">
        <f t="shared" ca="1" si="290"/>
        <v>24.508571428571429</v>
      </c>
      <c r="CT585" s="669">
        <f t="shared" ca="1" si="291"/>
        <v>11.564285714285713</v>
      </c>
      <c r="CU585" s="1123">
        <f>MATCH(CZ592,'Resource use and costs'!$BA$11:$BA$53,0)</f>
        <v>37</v>
      </c>
      <c r="CV585" s="1223"/>
      <c r="CW585" s="1241">
        <f t="shared" si="278"/>
        <v>1</v>
      </c>
      <c r="CX585" s="899" t="s">
        <v>794</v>
      </c>
      <c r="CY585" s="899" t="s">
        <v>118</v>
      </c>
      <c r="CZ585" s="899" t="s">
        <v>119</v>
      </c>
      <c r="DA585" s="899" t="s">
        <v>765</v>
      </c>
      <c r="DB585" s="899"/>
      <c r="DC585" s="899" cm="1">
        <f t="array" aca="1" ref="DC585" ca="1">_xlfn.IFNA(OFFSET($I$49,MATCH(CY585,$I$50:$I$63,0),MATCH(CZ585,TRANSPOSE($J$49:$W$49),0)),0)</f>
        <v>0</v>
      </c>
      <c r="DD585" s="899" cm="1">
        <f t="array" aca="1" ref="DD585" ca="1">_xlfn.IFNA(OFFSET($Y$49,MATCH($CZ585,$Y$50:$Y$63,0),MATCH($DA585,TRANSPOSE($Z$49:$AM$49),0)),0)</f>
        <v>1</v>
      </c>
      <c r="DE585" s="899" cm="1">
        <f t="array" aca="1" ref="DE585" ca="1">_xlfn.IFNA(OFFSET($AO$49,MATCH($DA585,$AO$50:$AO$63,0),MATCH($DB585,TRANSPOSE($AP$49:$BC$49),0)),0)</f>
        <v>0</v>
      </c>
      <c r="DF585" s="881">
        <f t="shared" ca="1" si="279"/>
        <v>0</v>
      </c>
      <c r="DG585" s="910">
        <f t="shared" ca="1" si="277"/>
        <v>1.0010447133454794</v>
      </c>
      <c r="DH585" s="881">
        <f t="shared" ca="1" si="280"/>
        <v>0</v>
      </c>
      <c r="DI585" s="1460">
        <f t="shared" ca="1" si="292"/>
        <v>0</v>
      </c>
      <c r="DJ585" s="909">
        <f>_xlfn.IFNA(INDEX('Resource use and costs'!$CQ$11:$CQ$53,MATCH($CZ585,'Resource use and costs'!$BA$11:$BA$53,0)),0)*_xlfn.IFNA(INDEX(DY$10:DY$23,MATCH($CZ585,$DX$10:$DX$23,0)),0)</f>
        <v>944.50399999999979</v>
      </c>
      <c r="DK585" s="909">
        <f>IF(dd_PartSA_2_lines = "Yes",0,_xlfn.IFNA(INDEX('Resource use and costs'!$CR$11:$CR$53,MATCH(DA585,'Resource use and costs'!$BA$11:$BA$53,0)),0)*_xlfn.IFNA(INDEX(EA$10:EA$23,MATCH($DA585,$DX$10:$DX$23,0)),0))</f>
        <v>0</v>
      </c>
      <c r="DL585" s="909">
        <f>IF(dd_PartSA_2_lines = "Yes",0,_xlfn.IFNA(INDEX('Resource use and costs'!$CS$11:$CS$53,MATCH(DB585,'Resource use and costs'!$BA$11:$BA$53,0)),0)*_xlfn.IFNA(INDEX(EC$10:EC$23,MATCH($DB585,$DX$10:$DX$23,0)),0))</f>
        <v>0</v>
      </c>
      <c r="DM585" s="909">
        <f t="shared" si="281"/>
        <v>944.50399999999979</v>
      </c>
      <c r="DN585" s="909">
        <f>SUM(_xlfn.IFNA(INDEX('Resource use and costs'!$DU$12:$DU$25,MATCH(CZ585,'Resource use and costs'!$DS$12:$DS$25,0)),0),_xlfn.IFNA(INDEX('Resource use and costs'!$DU$12:$DU$25,MATCH(DA585,'Resource use and costs'!$DS$12:$DS$25,0)),0),_xlfn.IFNA(INDEX('Resource use and costs'!$DU$12:$DU$25,MATCH(DB585,'Resource use and costs'!$DS$12:$DS$25,0)),0))</f>
        <v>197.25</v>
      </c>
      <c r="DO585" s="921">
        <f>_xlfn.IFNA(INDEX('Resource use and costs'!$DY$12:$DY$25,MATCH(CZ585,'Resource use and costs'!$DS$12:$DS$25,0)),0)*_xlfn.IFNA(INDEX(DY$10:DY$23,MATCH($CZ585,$DX$10:$DX$23,0)),0)</f>
        <v>82.971428571428561</v>
      </c>
      <c r="DP585" s="921">
        <f>IF(dd_PartSA_2_lines = "Yes",0,_xlfn.IFNA(INDEX('Resource use and costs'!$DZ$12:$DZ$25,MATCH(DA585,'Resource use and costs'!$DS$12:$DS$25,0)),0)*_xlfn.IFNA(INDEX(EA$10:EA$23,MATCH($DA585,$DX$10:$DX$23,0)),0))</f>
        <v>0</v>
      </c>
      <c r="DQ585" s="921">
        <f>IF(dd_PartSA_2_lines = "Yes",0,_xlfn.IFNA(INDEX('Resource use and costs'!$EA$12:$EA$25,MATCH(DB585,'Resource use and costs'!$DS$12:$DS$25,0)),0)*_xlfn.IFNA(INDEX(EC$10:EC$23,MATCH($DB585,$DX$10:$DX$23,0)),0))</f>
        <v>0</v>
      </c>
      <c r="DR585" s="921">
        <f t="shared" si="282"/>
        <v>280.22142857142853</v>
      </c>
      <c r="DS585" s="1004">
        <f>SUMIFS('Safety parameters'!$DM$6:$DM$18,'Safety parameters'!$DK$6:$DK$18,CZ585,'Safety parameters'!$DL$6:$DL$18,1)+IF(dd_PartSA_2_lines = "Yes",0,SUMIFS('Safety parameters'!$DM$6:$DM$18,'Safety parameters'!$DK$6:$DK$18,DA585,'Safety parameters'!$DL$6:$DL$18,2)+SUMIFS('Safety parameters'!$DM$6:$DM$18,'Safety parameters'!$DK$6:$DK$18,DB585,'Safety parameters'!$DL$6:$DL$18,2))</f>
        <v>0</v>
      </c>
      <c r="DT585" s="910">
        <f>SUMIFS('Safety parameters'!$DO$6:$DO$18,'Safety parameters'!$DK$6:$DK$18,CZ585,'Safety parameters'!$DL$6:$DL$18,1)+IF(dd_PartSA_2_lines = "Yes",0,SUMIFS('Safety parameters'!$DO$6:$DO$18,'Safety parameters'!$DK$6:$DK$18,DA585,'Safety parameters'!$DL$6:$DL$18,2)+SUMIFS('Safety parameters'!$DO$6:$DO$18,'Safety parameters'!$DK$6:$DK$18,DB585,'Safety parameters'!$DL$6:$DL$18,2))</f>
        <v>0</v>
      </c>
    </row>
    <row r="586" spans="89:124" ht="15" x14ac:dyDescent="0.2">
      <c r="CK586" s="61" t="s">
        <v>31</v>
      </c>
      <c r="CL586" s="61">
        <v>4</v>
      </c>
      <c r="CM586" s="61" t="str">
        <v>lenvatinib_plus_pembrolizumab</v>
      </c>
      <c r="CN586" s="17">
        <v>3</v>
      </c>
      <c r="CO586" s="61" t="str" cm="1">
        <f t="array" ref="CO586">INDEX(List_comparators,CP585+1)</f>
        <v>everolimus</v>
      </c>
      <c r="CP586" s="17">
        <v>10</v>
      </c>
      <c r="CQ586" s="601">
        <f t="shared" ca="1" si="288"/>
        <v>0</v>
      </c>
      <c r="CR586" s="601">
        <f t="shared" ca="1" si="289"/>
        <v>0</v>
      </c>
      <c r="CS586" s="601">
        <f t="shared" ca="1" si="290"/>
        <v>24.508571428571429</v>
      </c>
      <c r="CT586" s="669">
        <f t="shared" ca="1" si="291"/>
        <v>11.564285714285713</v>
      </c>
      <c r="CU586" s="1123">
        <f>MATCH(CZ593,'Resource use and costs'!$BA$11:$BA$53,0)</f>
        <v>37</v>
      </c>
      <c r="CV586" s="1223"/>
      <c r="CW586" s="1241">
        <f t="shared" si="278"/>
        <v>1</v>
      </c>
      <c r="CX586" s="899" t="s">
        <v>794</v>
      </c>
      <c r="CY586" s="899" t="s">
        <v>118</v>
      </c>
      <c r="CZ586" s="899" t="s">
        <v>119</v>
      </c>
      <c r="DA586" s="899" t="s">
        <v>579</v>
      </c>
      <c r="DB586" s="899" t="s">
        <v>327</v>
      </c>
      <c r="DC586" s="899" cm="1">
        <f t="array" aca="1" ref="DC586" ca="1">_xlfn.IFNA(OFFSET($I$49,MATCH(CY586,$I$50:$I$63,0),MATCH(CZ586,TRANSPOSE($J$49:$W$49),0)),0)</f>
        <v>0</v>
      </c>
      <c r="DD586" s="899" cm="1">
        <f t="array" aca="1" ref="DD586" ca="1">_xlfn.IFNA(OFFSET($Y$49,MATCH($CZ586,$Y$50:$Y$63,0),MATCH($DA586,TRANSPOSE($Z$49:$AM$49),0)),0)</f>
        <v>0</v>
      </c>
      <c r="DE586" s="899" cm="1">
        <f t="array" aca="1" ref="DE586" ca="1">_xlfn.IFNA(OFFSET($AO$49,MATCH($DA586,$AO$50:$AO$63,0),MATCH($DB586,TRANSPOSE($AP$49:$BC$49),0)),0)</f>
        <v>0.56859999999999999</v>
      </c>
      <c r="DF586" s="881">
        <f t="shared" ca="1" si="279"/>
        <v>0</v>
      </c>
      <c r="DG586" s="910">
        <f t="shared" ca="1" si="277"/>
        <v>1.0010447133454794</v>
      </c>
      <c r="DH586" s="881">
        <f t="shared" ca="1" si="280"/>
        <v>0</v>
      </c>
      <c r="DI586" s="1460">
        <f t="shared" ca="1" si="292"/>
        <v>0</v>
      </c>
      <c r="DJ586" s="909">
        <f>_xlfn.IFNA(INDEX('Resource use and costs'!$CQ$11:$CQ$53,MATCH($CZ586,'Resource use and costs'!$BA$11:$BA$53,0)),0)*_xlfn.IFNA(INDEX(DY$10:DY$23,MATCH($CZ586,$DX$10:$DX$23,0)),0)</f>
        <v>944.50399999999979</v>
      </c>
      <c r="DK586" s="909">
        <f>IF(dd_PartSA_2_lines = "Yes",0,_xlfn.IFNA(INDEX('Resource use and costs'!$CR$11:$CR$53,MATCH(DA586,'Resource use and costs'!$BA$11:$BA$53,0)),0)*_xlfn.IFNA(INDEX(EA$10:EA$23,MATCH($DA586,$DX$10:$DX$23,0)),0))</f>
        <v>26054.50921</v>
      </c>
      <c r="DL586" s="909">
        <f>IF(dd_PartSA_2_lines = "Yes",0,_xlfn.IFNA(INDEX('Resource use and costs'!$CS$11:$CS$53,MATCH(DB586,'Resource use and costs'!$BA$11:$BA$53,0)),0)*_xlfn.IFNA(INDEX(EC$10:EC$23,MATCH($DB586,$DX$10:$DX$23,0)),0))</f>
        <v>18438.751749999999</v>
      </c>
      <c r="DM586" s="909">
        <f t="shared" si="281"/>
        <v>45437.76496</v>
      </c>
      <c r="DN586" s="909">
        <f>SUM(_xlfn.IFNA(INDEX('Resource use and costs'!$DU$12:$DU$25,MATCH(CZ586,'Resource use and costs'!$DS$12:$DS$25,0)),0),_xlfn.IFNA(INDEX('Resource use and costs'!$DU$12:$DU$25,MATCH(DA586,'Resource use and costs'!$DS$12:$DS$25,0)),0),_xlfn.IFNA(INDEX('Resource use and costs'!$DU$12:$DU$25,MATCH(DB586,'Resource use and costs'!$DS$12:$DS$25,0)),0))</f>
        <v>394.5</v>
      </c>
      <c r="DO586" s="921">
        <f>_xlfn.IFNA(INDEX('Resource use and costs'!$DY$12:$DY$25,MATCH(CZ586,'Resource use and costs'!$DS$12:$DS$25,0)),0)*_xlfn.IFNA(INDEX(DY$10:DY$23,MATCH($CZ586,$DX$10:$DX$23,0)),0)</f>
        <v>82.971428571428561</v>
      </c>
      <c r="DP586" s="921">
        <f>IF(dd_PartSA_2_lines = "Yes",0,_xlfn.IFNA(INDEX('Resource use and costs'!$DZ$12:$DZ$25,MATCH(DA586,'Resource use and costs'!$DS$12:$DS$25,0)),0)*_xlfn.IFNA(INDEX(EA$10:EA$23,MATCH($DA586,$DX$10:$DX$23,0)),0))</f>
        <v>4108.3597166</v>
      </c>
      <c r="DQ586" s="921">
        <f>IF(dd_PartSA_2_lines = "Yes",0,_xlfn.IFNA(INDEX('Resource use and costs'!$EA$12:$EA$25,MATCH(DB586,'Resource use and costs'!$DS$12:$DS$25,0)),0)*_xlfn.IFNA(INDEX(EC$10:EC$23,MATCH($DB586,$DX$10:$DX$23,0)),0))</f>
        <v>230.68099999999998</v>
      </c>
      <c r="DR586" s="921">
        <f t="shared" si="282"/>
        <v>4816.5121451714285</v>
      </c>
      <c r="DS586" s="1004">
        <f ca="1">SUMIFS('Safety parameters'!$DM$6:$DM$18,'Safety parameters'!$DK$6:$DK$18,CZ586,'Safety parameters'!$DL$6:$DL$18,1)+IF(dd_PartSA_2_lines = "Yes",0,SUMIFS('Safety parameters'!$DM$6:$DM$18,'Safety parameters'!$DK$6:$DK$18,DA586,'Safety parameters'!$DL$6:$DL$18,2)+SUMIFS('Safety parameters'!$DM$6:$DM$18,'Safety parameters'!$DK$6:$DK$18,DB586,'Safety parameters'!$DL$6:$DL$18,2))</f>
        <v>1795.3624225558742</v>
      </c>
      <c r="DT586" s="910">
        <f ca="1">SUMIFS('Safety parameters'!$DO$6:$DO$18,'Safety parameters'!$DK$6:$DK$18,CZ586,'Safety parameters'!$DL$6:$DL$18,1)+IF(dd_PartSA_2_lines = "Yes",0,SUMIFS('Safety parameters'!$DO$6:$DO$18,'Safety parameters'!$DK$6:$DK$18,DA586,'Safety parameters'!$DL$6:$DL$18,2)+SUMIFS('Safety parameters'!$DO$6:$DO$18,'Safety parameters'!$DK$6:$DK$18,DB586,'Safety parameters'!$DL$6:$DL$18,2))</f>
        <v>-1.6339008205166216E-2</v>
      </c>
    </row>
    <row r="587" spans="89:124" ht="15" x14ac:dyDescent="0.2">
      <c r="CK587" s="61" t="s">
        <v>31</v>
      </c>
      <c r="CL587" s="61">
        <v>4</v>
      </c>
      <c r="CM587" s="61" t="str">
        <v>avelumab_plus_axitinib</v>
      </c>
      <c r="CN587" s="17">
        <v>4</v>
      </c>
      <c r="CO587" s="61" t="str" cm="1">
        <f t="array" ref="CO587">INDEX(List_comparators,CP586+1)</f>
        <v>everolimus</v>
      </c>
      <c r="CP587" s="17">
        <v>10</v>
      </c>
      <c r="CQ587" s="601">
        <f t="shared" ca="1" si="288"/>
        <v>0</v>
      </c>
      <c r="CR587" s="601">
        <f t="shared" ca="1" si="289"/>
        <v>0</v>
      </c>
      <c r="CS587" s="601">
        <f t="shared" ca="1" si="290"/>
        <v>24.508571428571429</v>
      </c>
      <c r="CT587" s="669">
        <f t="shared" ca="1" si="291"/>
        <v>11.564285714285713</v>
      </c>
      <c r="CU587" s="1123">
        <f>MATCH(CZ594,'Resource use and costs'!$BA$11:$BA$53,0)</f>
        <v>43</v>
      </c>
      <c r="CV587" s="1223"/>
      <c r="CW587" s="1241">
        <f t="shared" si="278"/>
        <v>1</v>
      </c>
      <c r="CX587" s="899" t="s">
        <v>794</v>
      </c>
      <c r="CY587" s="899" t="s">
        <v>118</v>
      </c>
      <c r="CZ587" s="899" t="s">
        <v>119</v>
      </c>
      <c r="DA587" s="899" t="s">
        <v>579</v>
      </c>
      <c r="DB587" s="899" t="s">
        <v>765</v>
      </c>
      <c r="DC587" s="899" cm="1">
        <f t="array" aca="1" ref="DC587" ca="1">_xlfn.IFNA(OFFSET($I$49,MATCH(CY587,$I$50:$I$63,0),MATCH(CZ587,TRANSPOSE($J$49:$W$49),0)),0)</f>
        <v>0</v>
      </c>
      <c r="DD587" s="899" cm="1">
        <f t="array" aca="1" ref="DD587" ca="1">_xlfn.IFNA(OFFSET($Y$49,MATCH($CZ587,$Y$50:$Y$63,0),MATCH($DA587,TRANSPOSE($Z$49:$AM$49),0)),0)</f>
        <v>0</v>
      </c>
      <c r="DE587" s="899" cm="1">
        <f t="array" aca="1" ref="DE587" ca="1">_xlfn.IFNA(OFFSET($AO$49,MATCH($DA587,$AO$50:$AO$63,0),MATCH($DB587,TRANSPOSE($AP$49:$BC$49),0)),0)</f>
        <v>0.43140000000000001</v>
      </c>
      <c r="DF587" s="881">
        <f t="shared" ca="1" si="279"/>
        <v>0</v>
      </c>
      <c r="DG587" s="910">
        <f t="shared" ref="DG587:DG650" ca="1" si="293">IF(dd_reduceBSC="No",(1-SUMIFS($DF$11:$DF$779,$CY$11:$CY$779,CY587,$CX$11:$CX$779,CX587,$CW$11:$CW$779,0))/SUMIFS($DF$11:$DF$779,$CY$11:$CY$779,CY587,$CX$11:$CX$779,CX587,$CW$11:$CW$779,1),1/SUMIFS($DF$11:$DF$779,$CY$11:$CY$779,CY587,$CX$11:$CX$779,CX587,$CW$11:$CW$779,1))</f>
        <v>1.0010447133454794</v>
      </c>
      <c r="DH587" s="881">
        <f t="shared" ca="1" si="280"/>
        <v>0</v>
      </c>
      <c r="DI587" s="1460">
        <f t="shared" ca="1" si="292"/>
        <v>0</v>
      </c>
      <c r="DJ587" s="909">
        <f>_xlfn.IFNA(INDEX('Resource use and costs'!$CQ$11:$CQ$53,MATCH($CZ587,'Resource use and costs'!$BA$11:$BA$53,0)),0)*_xlfn.IFNA(INDEX(DY$10:DY$23,MATCH($CZ587,$DX$10:$DX$23,0)),0)</f>
        <v>944.50399999999979</v>
      </c>
      <c r="DK587" s="909">
        <f>IF(dd_PartSA_2_lines = "Yes",0,_xlfn.IFNA(INDEX('Resource use and costs'!$CR$11:$CR$53,MATCH(DA587,'Resource use and costs'!$BA$11:$BA$53,0)),0)*_xlfn.IFNA(INDEX(EA$10:EA$23,MATCH($DA587,$DX$10:$DX$23,0)),0))</f>
        <v>26054.50921</v>
      </c>
      <c r="DL587" s="909">
        <f>IF(dd_PartSA_2_lines = "Yes",0,_xlfn.IFNA(INDEX('Resource use and costs'!$CS$11:$CS$53,MATCH(DB587,'Resource use and costs'!$BA$11:$BA$53,0)),0)*_xlfn.IFNA(INDEX(EC$10:EC$23,MATCH($DB587,$DX$10:$DX$23,0)),0))</f>
        <v>0</v>
      </c>
      <c r="DM587" s="909">
        <f t="shared" si="281"/>
        <v>26999.013210000001</v>
      </c>
      <c r="DN587" s="909">
        <f>SUM(_xlfn.IFNA(INDEX('Resource use and costs'!$DU$12:$DU$25,MATCH(CZ587,'Resource use and costs'!$DS$12:$DS$25,0)),0),_xlfn.IFNA(INDEX('Resource use and costs'!$DU$12:$DU$25,MATCH(DA587,'Resource use and costs'!$DS$12:$DS$25,0)),0),_xlfn.IFNA(INDEX('Resource use and costs'!$DU$12:$DU$25,MATCH(DB587,'Resource use and costs'!$DS$12:$DS$25,0)),0))</f>
        <v>197.25</v>
      </c>
      <c r="DO587" s="921">
        <f>_xlfn.IFNA(INDEX('Resource use and costs'!$DY$12:$DY$25,MATCH(CZ587,'Resource use and costs'!$DS$12:$DS$25,0)),0)*_xlfn.IFNA(INDEX(DY$10:DY$23,MATCH($CZ587,$DX$10:$DX$23,0)),0)</f>
        <v>82.971428571428561</v>
      </c>
      <c r="DP587" s="921">
        <f>IF(dd_PartSA_2_lines = "Yes",0,_xlfn.IFNA(INDEX('Resource use and costs'!$DZ$12:$DZ$25,MATCH(DA587,'Resource use and costs'!$DS$12:$DS$25,0)),0)*_xlfn.IFNA(INDEX(EA$10:EA$23,MATCH($DA587,$DX$10:$DX$23,0)),0))</f>
        <v>4108.3597166</v>
      </c>
      <c r="DQ587" s="921">
        <f>IF(dd_PartSA_2_lines = "Yes",0,_xlfn.IFNA(INDEX('Resource use and costs'!$EA$12:$EA$25,MATCH(DB587,'Resource use and costs'!$DS$12:$DS$25,0)),0)*_xlfn.IFNA(INDEX(EC$10:EC$23,MATCH($DB587,$DX$10:$DX$23,0)),0))</f>
        <v>0</v>
      </c>
      <c r="DR587" s="921">
        <f t="shared" si="282"/>
        <v>4388.5811451714289</v>
      </c>
      <c r="DS587" s="1004">
        <f ca="1">SUMIFS('Safety parameters'!$DM$6:$DM$18,'Safety parameters'!$DK$6:$DK$18,CZ587,'Safety parameters'!$DL$6:$DL$18,1)+IF(dd_PartSA_2_lines = "Yes",0,SUMIFS('Safety parameters'!$DM$6:$DM$18,'Safety parameters'!$DK$6:$DK$18,DA587,'Safety parameters'!$DL$6:$DL$18,2)+SUMIFS('Safety parameters'!$DM$6:$DM$18,'Safety parameters'!$DK$6:$DK$18,DB587,'Safety parameters'!$DL$6:$DL$18,2))</f>
        <v>161.1337489904144</v>
      </c>
      <c r="DT587" s="910">
        <f ca="1">SUMIFS('Safety parameters'!$DO$6:$DO$18,'Safety parameters'!$DK$6:$DK$18,CZ587,'Safety parameters'!$DL$6:$DL$18,1)+IF(dd_PartSA_2_lines = "Yes",0,SUMIFS('Safety parameters'!$DO$6:$DO$18,'Safety parameters'!$DK$6:$DK$18,DA587,'Safety parameters'!$DL$6:$DL$18,2)+SUMIFS('Safety parameters'!$DO$6:$DO$18,'Safety parameters'!$DK$6:$DK$18,DB587,'Safety parameters'!$DL$6:$DL$18,2))</f>
        <v>-1.5970841976847864E-3</v>
      </c>
    </row>
    <row r="588" spans="89:124" ht="15" x14ac:dyDescent="0.2">
      <c r="CK588" s="61" t="s">
        <v>31</v>
      </c>
      <c r="CL588" s="61">
        <v>4</v>
      </c>
      <c r="CM588" s="61" t="str">
        <v>pazopanib</v>
      </c>
      <c r="CN588" s="17">
        <v>5</v>
      </c>
      <c r="CO588" s="61" t="str" cm="1">
        <f t="array" ref="CO588">INDEX(List_comparators,CP587+1)</f>
        <v>everolimus</v>
      </c>
      <c r="CP588" s="17">
        <v>10</v>
      </c>
      <c r="CQ588" s="601">
        <f t="shared" ca="1" si="288"/>
        <v>0.1895</v>
      </c>
      <c r="CR588" s="601">
        <f t="shared" ca="1" si="289"/>
        <v>1.8950000000000002E-2</v>
      </c>
      <c r="CS588" s="601">
        <f t="shared" ca="1" si="290"/>
        <v>24.508571428571429</v>
      </c>
      <c r="CT588" s="669">
        <f t="shared" ca="1" si="291"/>
        <v>11.564285714285713</v>
      </c>
      <c r="CU588" s="1123">
        <f>MATCH(CZ595,'Resource use and costs'!$BA$11:$BA$53,0)</f>
        <v>43</v>
      </c>
      <c r="CV588" s="1223"/>
      <c r="CW588" s="1241">
        <f t="shared" ref="CW588:CW651" si="294">IF(CZ588="BSC",0,1)</f>
        <v>1</v>
      </c>
      <c r="CX588" s="899" t="s">
        <v>794</v>
      </c>
      <c r="CY588" s="899" t="s">
        <v>118</v>
      </c>
      <c r="CZ588" s="899" t="s">
        <v>119</v>
      </c>
      <c r="DA588" s="899" t="s">
        <v>585</v>
      </c>
      <c r="DB588" s="899" t="s">
        <v>327</v>
      </c>
      <c r="DC588" s="899" cm="1">
        <f t="array" aca="1" ref="DC588" ca="1">_xlfn.IFNA(OFFSET($I$49,MATCH(CY588,$I$50:$I$63,0),MATCH(CZ588,TRANSPOSE($J$49:$W$49),0)),0)</f>
        <v>0</v>
      </c>
      <c r="DD588" s="899" cm="1">
        <f t="array" aca="1" ref="DD588" ca="1">_xlfn.IFNA(OFFSET($Y$49,MATCH($CZ588,$Y$50:$Y$63,0),MATCH($DA588,TRANSPOSE($Z$49:$AM$49),0)),0)</f>
        <v>0</v>
      </c>
      <c r="DE588" s="899" cm="1">
        <f t="array" aca="1" ref="DE588" ca="1">_xlfn.IFNA(OFFSET($AO$49,MATCH($DA588,$AO$50:$AO$63,0),MATCH($DB588,TRANSPOSE($AP$49:$BC$49),0)),0)</f>
        <v>0.37909999999999999</v>
      </c>
      <c r="DF588" s="881">
        <f t="shared" ca="1" si="279"/>
        <v>0</v>
      </c>
      <c r="DG588" s="910">
        <f t="shared" ca="1" si="293"/>
        <v>1.0010447133454794</v>
      </c>
      <c r="DH588" s="881">
        <f t="shared" ca="1" si="280"/>
        <v>0</v>
      </c>
      <c r="DI588" s="1460">
        <f t="shared" ca="1" si="292"/>
        <v>0</v>
      </c>
      <c r="DJ588" s="909">
        <f>_xlfn.IFNA(INDEX('Resource use and costs'!$CQ$11:$CQ$53,MATCH($CZ588,'Resource use and costs'!$BA$11:$BA$53,0)),0)*_xlfn.IFNA(INDEX(DY$10:DY$23,MATCH($CZ588,$DX$10:$DX$23,0)),0)</f>
        <v>944.50399999999979</v>
      </c>
      <c r="DK588" s="909">
        <f>IF(dd_PartSA_2_lines = "Yes",0,_xlfn.IFNA(INDEX('Resource use and costs'!$CR$11:$CR$53,MATCH(DA588,'Resource use and costs'!$BA$11:$BA$53,0)),0)*_xlfn.IFNA(INDEX(EA$10:EA$23,MATCH($DA588,$DX$10:$DX$23,0)),0))</f>
        <v>1987.9066666666663</v>
      </c>
      <c r="DL588" s="909">
        <f>IF(dd_PartSA_2_lines = "Yes",0,_xlfn.IFNA(INDEX('Resource use and costs'!$CS$11:$CS$53,MATCH(DB588,'Resource use and costs'!$BA$11:$BA$53,0)),0)*_xlfn.IFNA(INDEX(EC$10:EC$23,MATCH($DB588,$DX$10:$DX$23,0)),0))</f>
        <v>18438.751749999999</v>
      </c>
      <c r="DM588" s="909">
        <f t="shared" si="281"/>
        <v>21371.162416666666</v>
      </c>
      <c r="DN588" s="909">
        <f>SUM(_xlfn.IFNA(INDEX('Resource use and costs'!$DU$12:$DU$25,MATCH(CZ588,'Resource use and costs'!$DS$12:$DS$25,0)),0),_xlfn.IFNA(INDEX('Resource use and costs'!$DU$12:$DU$25,MATCH(DA588,'Resource use and costs'!$DS$12:$DS$25,0)),0),_xlfn.IFNA(INDEX('Resource use and costs'!$DU$12:$DU$25,MATCH(DB588,'Resource use and costs'!$DS$12:$DS$25,0)),0))</f>
        <v>591.75</v>
      </c>
      <c r="DO588" s="921">
        <f>_xlfn.IFNA(INDEX('Resource use and costs'!$DY$12:$DY$25,MATCH(CZ588,'Resource use and costs'!$DS$12:$DS$25,0)),0)*_xlfn.IFNA(INDEX(DY$10:DY$23,MATCH($CZ588,$DX$10:$DX$23,0)),0)</f>
        <v>82.971428571428561</v>
      </c>
      <c r="DP588" s="921">
        <f>IF(dd_PartSA_2_lines = "Yes",0,_xlfn.IFNA(INDEX('Resource use and costs'!$DZ$12:$DZ$25,MATCH(DA588,'Resource use and costs'!$DS$12:$DS$25,0)),0)*_xlfn.IFNA(INDEX(EA$10:EA$23,MATCH($DA588,$DX$10:$DX$23,0)),0))</f>
        <v>179.14285714285711</v>
      </c>
      <c r="DQ588" s="921">
        <f>IF(dd_PartSA_2_lines = "Yes",0,_xlfn.IFNA(INDEX('Resource use and costs'!$EA$12:$EA$25,MATCH(DB588,'Resource use and costs'!$DS$12:$DS$25,0)),0)*_xlfn.IFNA(INDEX(EC$10:EC$23,MATCH($DB588,$DX$10:$DX$23,0)),0))</f>
        <v>230.68099999999998</v>
      </c>
      <c r="DR588" s="921">
        <f t="shared" si="282"/>
        <v>1084.5452857142857</v>
      </c>
      <c r="DS588" s="1004">
        <f ca="1">SUMIFS('Safety parameters'!$DM$6:$DM$18,'Safety parameters'!$DK$6:$DK$18,CZ588,'Safety parameters'!$DL$6:$DL$18,1)+IF(dd_PartSA_2_lines = "Yes",0,SUMIFS('Safety parameters'!$DM$6:$DM$18,'Safety parameters'!$DK$6:$DK$18,DA588,'Safety parameters'!$DL$6:$DL$18,2)+SUMIFS('Safety parameters'!$DM$6:$DM$18,'Safety parameters'!$DK$6:$DK$18,DB588,'Safety parameters'!$DL$6:$DL$18,2))</f>
        <v>1634.2286735654598</v>
      </c>
      <c r="DT588" s="910">
        <f ca="1">SUMIFS('Safety parameters'!$DO$6:$DO$18,'Safety parameters'!$DK$6:$DK$18,CZ588,'Safety parameters'!$DL$6:$DL$18,1)+IF(dd_PartSA_2_lines = "Yes",0,SUMIFS('Safety parameters'!$DO$6:$DO$18,'Safety parameters'!$DK$6:$DK$18,DA588,'Safety parameters'!$DL$6:$DL$18,2)+SUMIFS('Safety parameters'!$DO$6:$DO$18,'Safety parameters'!$DK$6:$DK$18,DB588,'Safety parameters'!$DL$6:$DL$18,2))</f>
        <v>-1.4741924007481429E-2</v>
      </c>
    </row>
    <row r="589" spans="89:124" ht="15" x14ac:dyDescent="0.2">
      <c r="CK589" s="61" t="s">
        <v>31</v>
      </c>
      <c r="CL589" s="61">
        <v>4</v>
      </c>
      <c r="CM589" s="61" t="str">
        <v>tivozanib</v>
      </c>
      <c r="CN589" s="17">
        <v>6</v>
      </c>
      <c r="CO589" s="61" t="str" cm="1">
        <f t="array" ref="CO589">INDEX(List_comparators,CP588+1)</f>
        <v>everolimus</v>
      </c>
      <c r="CP589" s="17">
        <v>10</v>
      </c>
      <c r="CQ589" s="601">
        <f t="shared" ca="1" si="288"/>
        <v>0.1895</v>
      </c>
      <c r="CR589" s="601">
        <f t="shared" ca="1" si="289"/>
        <v>1.8950000000000002E-2</v>
      </c>
      <c r="CS589" s="601">
        <f t="shared" ca="1" si="290"/>
        <v>24.508571428571429</v>
      </c>
      <c r="CT589" s="669">
        <f t="shared" ca="1" si="291"/>
        <v>11.564285714285713</v>
      </c>
      <c r="CU589" s="1123">
        <f>MATCH(CZ596,'Resource use and costs'!$BA$11:$BA$53,0)</f>
        <v>43</v>
      </c>
      <c r="CV589" s="1223"/>
      <c r="CW589" s="1241">
        <f t="shared" si="294"/>
        <v>1</v>
      </c>
      <c r="CX589" s="899" t="s">
        <v>794</v>
      </c>
      <c r="CY589" s="899" t="s">
        <v>118</v>
      </c>
      <c r="CZ589" s="899" t="s">
        <v>119</v>
      </c>
      <c r="DA589" s="899" t="s">
        <v>585</v>
      </c>
      <c r="DB589" s="899" t="s">
        <v>765</v>
      </c>
      <c r="DC589" s="899" cm="1">
        <f t="array" aca="1" ref="DC589" ca="1">_xlfn.IFNA(OFFSET($I$49,MATCH(CY589,$I$50:$I$63,0),MATCH(CZ589,TRANSPOSE($J$49:$W$49),0)),0)</f>
        <v>0</v>
      </c>
      <c r="DD589" s="899" cm="1">
        <f t="array" aca="1" ref="DD589" ca="1">_xlfn.IFNA(OFFSET($Y$49,MATCH($CZ589,$Y$50:$Y$63,0),MATCH($DA589,TRANSPOSE($Z$49:$AM$49),0)),0)</f>
        <v>0</v>
      </c>
      <c r="DE589" s="899" cm="1">
        <f t="array" aca="1" ref="DE589" ca="1">_xlfn.IFNA(OFFSET($AO$49,MATCH($DA589,$AO$50:$AO$63,0),MATCH($DB589,TRANSPOSE($AP$49:$BC$49),0)),0)</f>
        <v>0.43140000000000001</v>
      </c>
      <c r="DF589" s="881">
        <f t="shared" ca="1" si="279"/>
        <v>0</v>
      </c>
      <c r="DG589" s="910">
        <f t="shared" ca="1" si="293"/>
        <v>1.0010447133454794</v>
      </c>
      <c r="DH589" s="881">
        <f t="shared" ca="1" si="280"/>
        <v>0</v>
      </c>
      <c r="DI589" s="1460">
        <f t="shared" ca="1" si="292"/>
        <v>0</v>
      </c>
      <c r="DJ589" s="909">
        <f>_xlfn.IFNA(INDEX('Resource use and costs'!$CQ$11:$CQ$53,MATCH($CZ589,'Resource use and costs'!$BA$11:$BA$53,0)),0)*_xlfn.IFNA(INDEX(DY$10:DY$23,MATCH($CZ589,$DX$10:$DX$23,0)),0)</f>
        <v>944.50399999999979</v>
      </c>
      <c r="DK589" s="909">
        <f>IF(dd_PartSA_2_lines = "Yes",0,_xlfn.IFNA(INDEX('Resource use and costs'!$CR$11:$CR$53,MATCH(DA589,'Resource use and costs'!$BA$11:$BA$53,0)),0)*_xlfn.IFNA(INDEX(EA$10:EA$23,MATCH($DA589,$DX$10:$DX$23,0)),0))</f>
        <v>1987.9066666666663</v>
      </c>
      <c r="DL589" s="909">
        <f>IF(dd_PartSA_2_lines = "Yes",0,_xlfn.IFNA(INDEX('Resource use and costs'!$CS$11:$CS$53,MATCH(DB589,'Resource use and costs'!$BA$11:$BA$53,0)),0)*_xlfn.IFNA(INDEX(EC$10:EC$23,MATCH($DB589,$DX$10:$DX$23,0)),0))</f>
        <v>0</v>
      </c>
      <c r="DM589" s="909">
        <f t="shared" si="281"/>
        <v>2932.4106666666662</v>
      </c>
      <c r="DN589" s="909">
        <f>SUM(_xlfn.IFNA(INDEX('Resource use and costs'!$DU$12:$DU$25,MATCH(CZ589,'Resource use and costs'!$DS$12:$DS$25,0)),0),_xlfn.IFNA(INDEX('Resource use and costs'!$DU$12:$DU$25,MATCH(DA589,'Resource use and costs'!$DS$12:$DS$25,0)),0),_xlfn.IFNA(INDEX('Resource use and costs'!$DU$12:$DU$25,MATCH(DB589,'Resource use and costs'!$DS$12:$DS$25,0)),0))</f>
        <v>394.5</v>
      </c>
      <c r="DO589" s="921">
        <f>_xlfn.IFNA(INDEX('Resource use and costs'!$DY$12:$DY$25,MATCH(CZ589,'Resource use and costs'!$DS$12:$DS$25,0)),0)*_xlfn.IFNA(INDEX(DY$10:DY$23,MATCH($CZ589,$DX$10:$DX$23,0)),0)</f>
        <v>82.971428571428561</v>
      </c>
      <c r="DP589" s="921">
        <f>IF(dd_PartSA_2_lines = "Yes",0,_xlfn.IFNA(INDEX('Resource use and costs'!$DZ$12:$DZ$25,MATCH(DA589,'Resource use and costs'!$DS$12:$DS$25,0)),0)*_xlfn.IFNA(INDEX(EA$10:EA$23,MATCH($DA589,$DX$10:$DX$23,0)),0))</f>
        <v>179.14285714285711</v>
      </c>
      <c r="DQ589" s="921">
        <f>IF(dd_PartSA_2_lines = "Yes",0,_xlfn.IFNA(INDEX('Resource use and costs'!$EA$12:$EA$25,MATCH(DB589,'Resource use and costs'!$DS$12:$DS$25,0)),0)*_xlfn.IFNA(INDEX(EC$10:EC$23,MATCH($DB589,$DX$10:$DX$23,0)),0))</f>
        <v>0</v>
      </c>
      <c r="DR589" s="921">
        <f t="shared" si="282"/>
        <v>656.61428571428564</v>
      </c>
      <c r="DS589" s="1004">
        <f>SUMIFS('Safety parameters'!$DM$6:$DM$18,'Safety parameters'!$DK$6:$DK$18,CZ589,'Safety parameters'!$DL$6:$DL$18,1)+IF(dd_PartSA_2_lines = "Yes",0,SUMIFS('Safety parameters'!$DM$6:$DM$18,'Safety parameters'!$DK$6:$DK$18,DA589,'Safety parameters'!$DL$6:$DL$18,2)+SUMIFS('Safety parameters'!$DM$6:$DM$18,'Safety parameters'!$DK$6:$DK$18,DB589,'Safety parameters'!$DL$6:$DL$18,2))</f>
        <v>0</v>
      </c>
      <c r="DT589" s="910">
        <f>SUMIFS('Safety parameters'!$DO$6:$DO$18,'Safety parameters'!$DK$6:$DK$18,CZ589,'Safety parameters'!$DL$6:$DL$18,1)+IF(dd_PartSA_2_lines = "Yes",0,SUMIFS('Safety parameters'!$DO$6:$DO$18,'Safety parameters'!$DK$6:$DK$18,DA589,'Safety parameters'!$DL$6:$DL$18,2)+SUMIFS('Safety parameters'!$DO$6:$DO$18,'Safety parameters'!$DK$6:$DK$18,DB589,'Safety parameters'!$DL$6:$DL$18,2))</f>
        <v>0</v>
      </c>
    </row>
    <row r="590" spans="89:124" ht="15" x14ac:dyDescent="0.2">
      <c r="CK590" s="61" t="s">
        <v>31</v>
      </c>
      <c r="CL590" s="61">
        <v>4</v>
      </c>
      <c r="CM590" s="61" t="str">
        <v>sunitinib</v>
      </c>
      <c r="CN590" s="17">
        <v>7</v>
      </c>
      <c r="CO590" s="61" t="str" cm="1">
        <f t="array" ref="CO590">INDEX(List_comparators,CP589+1)</f>
        <v>everolimus</v>
      </c>
      <c r="CP590" s="17">
        <v>10</v>
      </c>
      <c r="CQ590" s="601">
        <f t="shared" ca="1" si="288"/>
        <v>0.1895</v>
      </c>
      <c r="CR590" s="601">
        <f t="shared" ca="1" si="289"/>
        <v>1.8950000000000002E-2</v>
      </c>
      <c r="CS590" s="601">
        <f t="shared" ca="1" si="290"/>
        <v>24.508571428571429</v>
      </c>
      <c r="CT590" s="669">
        <f t="shared" ca="1" si="291"/>
        <v>11.564285714285713</v>
      </c>
      <c r="CU590" s="1123">
        <f>MATCH(CZ597,'Resource use and costs'!$BA$11:$BA$53,0)</f>
        <v>43</v>
      </c>
      <c r="CV590" s="1223"/>
      <c r="CW590" s="1241">
        <f t="shared" si="294"/>
        <v>1</v>
      </c>
      <c r="CX590" s="899" t="s">
        <v>794</v>
      </c>
      <c r="CY590" s="899" t="s">
        <v>118</v>
      </c>
      <c r="CZ590" s="899" t="s">
        <v>119</v>
      </c>
      <c r="DA590" s="899" t="s">
        <v>117</v>
      </c>
      <c r="DB590" s="899" t="s">
        <v>327</v>
      </c>
      <c r="DC590" s="899" cm="1">
        <f t="array" aca="1" ref="DC590" ca="1">_xlfn.IFNA(OFFSET($I$49,MATCH(CY590,$I$50:$I$63,0),MATCH(CZ590,TRANSPOSE($J$49:$W$49),0)),0)</f>
        <v>0</v>
      </c>
      <c r="DD590" s="899" cm="1">
        <f t="array" aca="1" ref="DD590" ca="1">_xlfn.IFNA(OFFSET($Y$49,MATCH($CZ590,$Y$50:$Y$63,0),MATCH($DA590,TRANSPOSE($Z$49:$AM$49),0)),0)</f>
        <v>0</v>
      </c>
      <c r="DE590" s="899" cm="1">
        <f t="array" aca="1" ref="DE590" ca="1">_xlfn.IFNA(OFFSET($AO$49,MATCH($DA590,$AO$50:$AO$63,0),MATCH($DB590,TRANSPOSE($AP$49:$BC$49),0)),0)</f>
        <v>0.37909999999999999</v>
      </c>
      <c r="DF590" s="881">
        <f t="shared" ca="1" si="279"/>
        <v>0</v>
      </c>
      <c r="DG590" s="910">
        <f t="shared" ca="1" si="293"/>
        <v>1.0010447133454794</v>
      </c>
      <c r="DH590" s="881">
        <f t="shared" ca="1" si="280"/>
        <v>0</v>
      </c>
      <c r="DI590" s="1460">
        <f t="shared" ca="1" si="292"/>
        <v>0</v>
      </c>
      <c r="DJ590" s="909">
        <f>_xlfn.IFNA(INDEX('Resource use and costs'!$CQ$11:$CQ$53,MATCH($CZ590,'Resource use and costs'!$BA$11:$BA$53,0)),0)*_xlfn.IFNA(INDEX(DY$10:DY$23,MATCH($CZ590,$DX$10:$DX$23,0)),0)</f>
        <v>944.50399999999979</v>
      </c>
      <c r="DK590" s="909">
        <f>IF(dd_PartSA_2_lines = "Yes",0,_xlfn.IFNA(INDEX('Resource use and costs'!$CR$11:$CR$53,MATCH(DA590,'Resource use and costs'!$BA$11:$BA$53,0)),0)*_xlfn.IFNA(INDEX(EA$10:EA$23,MATCH($DA590,$DX$10:$DX$23,0)),0))</f>
        <v>1602.2899047619044</v>
      </c>
      <c r="DL590" s="909">
        <f>IF(dd_PartSA_2_lines = "Yes",0,_xlfn.IFNA(INDEX('Resource use and costs'!$CS$11:$CS$53,MATCH(DB590,'Resource use and costs'!$BA$11:$BA$53,0)),0)*_xlfn.IFNA(INDEX(EC$10:EC$23,MATCH($DB590,$DX$10:$DX$23,0)),0))</f>
        <v>18438.751749999999</v>
      </c>
      <c r="DM590" s="909">
        <f t="shared" si="281"/>
        <v>20985.545654761903</v>
      </c>
      <c r="DN590" s="909">
        <f>SUM(_xlfn.IFNA(INDEX('Resource use and costs'!$DU$12:$DU$25,MATCH(CZ590,'Resource use and costs'!$DS$12:$DS$25,0)),0),_xlfn.IFNA(INDEX('Resource use and costs'!$DU$12:$DU$25,MATCH(DA590,'Resource use and costs'!$DS$12:$DS$25,0)),0),_xlfn.IFNA(INDEX('Resource use and costs'!$DU$12:$DU$25,MATCH(DB590,'Resource use and costs'!$DS$12:$DS$25,0)),0))</f>
        <v>591.75</v>
      </c>
      <c r="DO590" s="921">
        <f>_xlfn.IFNA(INDEX('Resource use and costs'!$DY$12:$DY$25,MATCH(CZ590,'Resource use and costs'!$DS$12:$DS$25,0)),0)*_xlfn.IFNA(INDEX(DY$10:DY$23,MATCH($CZ590,$DX$10:$DX$23,0)),0)</f>
        <v>82.971428571428561</v>
      </c>
      <c r="DP590" s="921">
        <f>IF(dd_PartSA_2_lines = "Yes",0,_xlfn.IFNA(INDEX('Resource use and costs'!$DZ$12:$DZ$25,MATCH(DA590,'Resource use and costs'!$DS$12:$DS$25,0)),0)*_xlfn.IFNA(INDEX(EA$10:EA$23,MATCH($DA590,$DX$10:$DX$23,0)),0))</f>
        <v>226.91428571428568</v>
      </c>
      <c r="DQ590" s="921">
        <f>IF(dd_PartSA_2_lines = "Yes",0,_xlfn.IFNA(INDEX('Resource use and costs'!$EA$12:$EA$25,MATCH(DB590,'Resource use and costs'!$DS$12:$DS$25,0)),0)*_xlfn.IFNA(INDEX(EC$10:EC$23,MATCH($DB590,$DX$10:$DX$23,0)),0))</f>
        <v>230.68099999999998</v>
      </c>
      <c r="DR590" s="921">
        <f t="shared" si="282"/>
        <v>1132.3167142857142</v>
      </c>
      <c r="DS590" s="1004">
        <f ca="1">SUMIFS('Safety parameters'!$DM$6:$DM$18,'Safety parameters'!$DK$6:$DK$18,CZ590,'Safety parameters'!$DL$6:$DL$18,1)+IF(dd_PartSA_2_lines = "Yes",0,SUMIFS('Safety parameters'!$DM$6:$DM$18,'Safety parameters'!$DK$6:$DK$18,DA590,'Safety parameters'!$DL$6:$DL$18,2)+SUMIFS('Safety parameters'!$DM$6:$DM$18,'Safety parameters'!$DK$6:$DK$18,DB590,'Safety parameters'!$DL$6:$DL$18,2))</f>
        <v>1634.2286735654598</v>
      </c>
      <c r="DT590" s="910">
        <f ca="1">SUMIFS('Safety parameters'!$DO$6:$DO$18,'Safety parameters'!$DK$6:$DK$18,CZ590,'Safety parameters'!$DL$6:$DL$18,1)+IF(dd_PartSA_2_lines = "Yes",0,SUMIFS('Safety parameters'!$DO$6:$DO$18,'Safety parameters'!$DK$6:$DK$18,DA590,'Safety parameters'!$DL$6:$DL$18,2)+SUMIFS('Safety parameters'!$DO$6:$DO$18,'Safety parameters'!$DK$6:$DK$18,DB590,'Safety parameters'!$DL$6:$DL$18,2))</f>
        <v>-1.4741924007481429E-2</v>
      </c>
    </row>
    <row r="591" spans="89:124" ht="15" x14ac:dyDescent="0.2">
      <c r="CK591" s="61" t="s">
        <v>31</v>
      </c>
      <c r="CL591" s="61">
        <v>4</v>
      </c>
      <c r="CM591" s="61" t="str">
        <v>cabozantinib</v>
      </c>
      <c r="CN591" s="17">
        <v>8</v>
      </c>
      <c r="CO591" s="61" t="str" cm="1">
        <f t="array" ref="CO591">INDEX(List_comparators,CP590+1)</f>
        <v>everolimus</v>
      </c>
      <c r="CP591" s="17">
        <v>10</v>
      </c>
      <c r="CQ591" s="601">
        <f t="shared" ca="1" si="288"/>
        <v>0.18090000000000001</v>
      </c>
      <c r="CR591" s="601">
        <f t="shared" ca="1" si="289"/>
        <v>1.8090000000000002E-2</v>
      </c>
      <c r="CS591" s="601">
        <f t="shared" ca="1" si="290"/>
        <v>24.508571428571429</v>
      </c>
      <c r="CT591" s="669">
        <f t="shared" ca="1" si="291"/>
        <v>11.564285714285713</v>
      </c>
      <c r="CU591" s="1123">
        <f>MATCH(CZ598,'Resource use and costs'!$BA$11:$BA$53,0)</f>
        <v>43</v>
      </c>
      <c r="CV591" s="1223"/>
      <c r="CW591" s="1241">
        <f t="shared" si="294"/>
        <v>1</v>
      </c>
      <c r="CX591" s="899" t="s">
        <v>794</v>
      </c>
      <c r="CY591" s="899" t="s">
        <v>118</v>
      </c>
      <c r="CZ591" s="899" t="s">
        <v>119</v>
      </c>
      <c r="DA591" s="899" t="s">
        <v>117</v>
      </c>
      <c r="DB591" s="899" t="s">
        <v>765</v>
      </c>
      <c r="DC591" s="899" cm="1">
        <f t="array" aca="1" ref="DC591" ca="1">_xlfn.IFNA(OFFSET($I$49,MATCH(CY591,$I$50:$I$63,0),MATCH(CZ591,TRANSPOSE($J$49:$W$49),0)),0)</f>
        <v>0</v>
      </c>
      <c r="DD591" s="899" cm="1">
        <f t="array" aca="1" ref="DD591" ca="1">_xlfn.IFNA(OFFSET($Y$49,MATCH($CZ591,$Y$50:$Y$63,0),MATCH($DA591,TRANSPOSE($Z$49:$AM$49),0)),0)</f>
        <v>0</v>
      </c>
      <c r="DE591" s="899" cm="1">
        <f t="array" aca="1" ref="DE591" ca="1">_xlfn.IFNA(OFFSET($AO$49,MATCH($DA591,$AO$50:$AO$63,0),MATCH($DB591,TRANSPOSE($AP$49:$BC$49),0)),0)</f>
        <v>0.43140000000000001</v>
      </c>
      <c r="DF591" s="881">
        <f t="shared" ca="1" si="279"/>
        <v>0</v>
      </c>
      <c r="DG591" s="910">
        <f t="shared" ca="1" si="293"/>
        <v>1.0010447133454794</v>
      </c>
      <c r="DH591" s="881">
        <f t="shared" ca="1" si="280"/>
        <v>0</v>
      </c>
      <c r="DI591" s="1460">
        <f t="shared" ca="1" si="292"/>
        <v>0</v>
      </c>
      <c r="DJ591" s="909">
        <f>_xlfn.IFNA(INDEX('Resource use and costs'!$CQ$11:$CQ$53,MATCH($CZ591,'Resource use and costs'!$BA$11:$BA$53,0)),0)*_xlfn.IFNA(INDEX(DY$10:DY$23,MATCH($CZ591,$DX$10:$DX$23,0)),0)</f>
        <v>944.50399999999979</v>
      </c>
      <c r="DK591" s="909">
        <f>IF(dd_PartSA_2_lines = "Yes",0,_xlfn.IFNA(INDEX('Resource use and costs'!$CR$11:$CR$53,MATCH(DA591,'Resource use and costs'!$BA$11:$BA$53,0)),0)*_xlfn.IFNA(INDEX(EA$10:EA$23,MATCH($DA591,$DX$10:$DX$23,0)),0))</f>
        <v>1602.2899047619044</v>
      </c>
      <c r="DL591" s="909">
        <f>IF(dd_PartSA_2_lines = "Yes",0,_xlfn.IFNA(INDEX('Resource use and costs'!$CS$11:$CS$53,MATCH(DB591,'Resource use and costs'!$BA$11:$BA$53,0)),0)*_xlfn.IFNA(INDEX(EC$10:EC$23,MATCH($DB591,$DX$10:$DX$23,0)),0))</f>
        <v>0</v>
      </c>
      <c r="DM591" s="909">
        <f t="shared" si="281"/>
        <v>2546.7939047619043</v>
      </c>
      <c r="DN591" s="909">
        <f>SUM(_xlfn.IFNA(INDEX('Resource use and costs'!$DU$12:$DU$25,MATCH(CZ591,'Resource use and costs'!$DS$12:$DS$25,0)),0),_xlfn.IFNA(INDEX('Resource use and costs'!$DU$12:$DU$25,MATCH(DA591,'Resource use and costs'!$DS$12:$DS$25,0)),0),_xlfn.IFNA(INDEX('Resource use and costs'!$DU$12:$DU$25,MATCH(DB591,'Resource use and costs'!$DS$12:$DS$25,0)),0))</f>
        <v>394.5</v>
      </c>
      <c r="DO591" s="921">
        <f>_xlfn.IFNA(INDEX('Resource use and costs'!$DY$12:$DY$25,MATCH(CZ591,'Resource use and costs'!$DS$12:$DS$25,0)),0)*_xlfn.IFNA(INDEX(DY$10:DY$23,MATCH($CZ591,$DX$10:$DX$23,0)),0)</f>
        <v>82.971428571428561</v>
      </c>
      <c r="DP591" s="921">
        <f>IF(dd_PartSA_2_lines = "Yes",0,_xlfn.IFNA(INDEX('Resource use and costs'!$DZ$12:$DZ$25,MATCH(DA591,'Resource use and costs'!$DS$12:$DS$25,0)),0)*_xlfn.IFNA(INDEX(EA$10:EA$23,MATCH($DA591,$DX$10:$DX$23,0)),0))</f>
        <v>226.91428571428568</v>
      </c>
      <c r="DQ591" s="921">
        <f>IF(dd_PartSA_2_lines = "Yes",0,_xlfn.IFNA(INDEX('Resource use and costs'!$EA$12:$EA$25,MATCH(DB591,'Resource use and costs'!$DS$12:$DS$25,0)),0)*_xlfn.IFNA(INDEX(EC$10:EC$23,MATCH($DB591,$DX$10:$DX$23,0)),0))</f>
        <v>0</v>
      </c>
      <c r="DR591" s="921">
        <f t="shared" si="282"/>
        <v>704.38571428571424</v>
      </c>
      <c r="DS591" s="1004">
        <f>SUMIFS('Safety parameters'!$DM$6:$DM$18,'Safety parameters'!$DK$6:$DK$18,CZ591,'Safety parameters'!$DL$6:$DL$18,1)+IF(dd_PartSA_2_lines = "Yes",0,SUMIFS('Safety parameters'!$DM$6:$DM$18,'Safety parameters'!$DK$6:$DK$18,DA591,'Safety parameters'!$DL$6:$DL$18,2)+SUMIFS('Safety parameters'!$DM$6:$DM$18,'Safety parameters'!$DK$6:$DK$18,DB591,'Safety parameters'!$DL$6:$DL$18,2))</f>
        <v>0</v>
      </c>
      <c r="DT591" s="910">
        <f>SUMIFS('Safety parameters'!$DO$6:$DO$18,'Safety parameters'!$DK$6:$DK$18,CZ591,'Safety parameters'!$DL$6:$DL$18,1)+IF(dd_PartSA_2_lines = "Yes",0,SUMIFS('Safety parameters'!$DO$6:$DO$18,'Safety parameters'!$DK$6:$DK$18,DA591,'Safety parameters'!$DL$6:$DL$18,2)+SUMIFS('Safety parameters'!$DO$6:$DO$18,'Safety parameters'!$DK$6:$DK$18,DB591,'Safety parameters'!$DL$6:$DL$18,2))</f>
        <v>0</v>
      </c>
    </row>
    <row r="592" spans="89:124" ht="15" x14ac:dyDescent="0.2">
      <c r="CK592" s="61" t="s">
        <v>31</v>
      </c>
      <c r="CL592" s="61">
        <v>4</v>
      </c>
      <c r="CM592" s="61" t="str">
        <v>lenvatinib_plus_everolimus</v>
      </c>
      <c r="CN592" s="17">
        <v>9</v>
      </c>
      <c r="CO592" s="61" t="str" cm="1">
        <f t="array" ref="CO592">INDEX(List_comparators,CP591+1)</f>
        <v>everolimus</v>
      </c>
      <c r="CP592" s="17">
        <v>10</v>
      </c>
      <c r="CQ592" s="601">
        <f t="shared" ca="1" si="288"/>
        <v>0</v>
      </c>
      <c r="CR592" s="601">
        <f t="shared" ca="1" si="289"/>
        <v>0</v>
      </c>
      <c r="CS592" s="601">
        <f t="shared" ca="1" si="290"/>
        <v>24.508571428571429</v>
      </c>
      <c r="CT592" s="669">
        <f t="shared" ca="1" si="291"/>
        <v>11.564285714285713</v>
      </c>
      <c r="CU592" s="1123">
        <f>MATCH(CZ599,'Resource use and costs'!$BA$11:$BA$53,0)</f>
        <v>43</v>
      </c>
      <c r="CV592" s="1223"/>
      <c r="CW592" s="1241">
        <f t="shared" si="294"/>
        <v>1</v>
      </c>
      <c r="CX592" s="899" t="s">
        <v>794</v>
      </c>
      <c r="CY592" s="899" t="s">
        <v>118</v>
      </c>
      <c r="CZ592" s="899" t="s">
        <v>119</v>
      </c>
      <c r="DA592" s="899" t="s">
        <v>319</v>
      </c>
      <c r="DB592" s="899" t="s">
        <v>327</v>
      </c>
      <c r="DC592" s="899" cm="1">
        <f t="array" aca="1" ref="DC592" ca="1">_xlfn.IFNA(OFFSET($I$49,MATCH(CY592,$I$50:$I$63,0),MATCH(CZ592,TRANSPOSE($J$49:$W$49),0)),0)</f>
        <v>0</v>
      </c>
      <c r="DD592" s="899" cm="1">
        <f t="array" aca="1" ref="DD592" ca="1">_xlfn.IFNA(OFFSET($Y$49,MATCH($CZ592,$Y$50:$Y$63,0),MATCH($DA592,TRANSPOSE($Z$49:$AM$49),0)),0)</f>
        <v>0</v>
      </c>
      <c r="DE592" s="899" cm="1">
        <f t="array" aca="1" ref="DE592" ca="1">_xlfn.IFNA(OFFSET($AO$49,MATCH($DA592,$AO$50:$AO$63,0),MATCH($DB592,TRANSPOSE($AP$49:$BC$49),0)),0)</f>
        <v>0.37909999999999999</v>
      </c>
      <c r="DF592" s="881">
        <f t="shared" ca="1" si="279"/>
        <v>0</v>
      </c>
      <c r="DG592" s="910">
        <f t="shared" ca="1" si="293"/>
        <v>1.0010447133454794</v>
      </c>
      <c r="DH592" s="881">
        <f t="shared" ca="1" si="280"/>
        <v>0</v>
      </c>
      <c r="DI592" s="1460">
        <f t="shared" ca="1" si="292"/>
        <v>0</v>
      </c>
      <c r="DJ592" s="909">
        <f>_xlfn.IFNA(INDEX('Resource use and costs'!$CQ$11:$CQ$53,MATCH($CZ592,'Resource use and costs'!$BA$11:$BA$53,0)),0)*_xlfn.IFNA(INDEX(DY$10:DY$23,MATCH($CZ592,$DX$10:$DX$23,0)),0)</f>
        <v>944.50399999999979</v>
      </c>
      <c r="DK592" s="909">
        <f>IF(dd_PartSA_2_lines = "Yes",0,_xlfn.IFNA(INDEX('Resource use and costs'!$CR$11:$CR$53,MATCH(DA592,'Resource use and costs'!$BA$11:$BA$53,0)),0)*_xlfn.IFNA(INDEX(EA$10:EA$23,MATCH($DA592,$DX$10:$DX$23,0)),0))</f>
        <v>11139.428571428571</v>
      </c>
      <c r="DL592" s="909">
        <f>IF(dd_PartSA_2_lines = "Yes",0,_xlfn.IFNA(INDEX('Resource use and costs'!$CS$11:$CS$53,MATCH(DB592,'Resource use and costs'!$BA$11:$BA$53,0)),0)*_xlfn.IFNA(INDEX(EC$10:EC$23,MATCH($DB592,$DX$10:$DX$23,0)),0))</f>
        <v>18438.751749999999</v>
      </c>
      <c r="DM592" s="909">
        <f t="shared" si="281"/>
        <v>30522.684321428569</v>
      </c>
      <c r="DN592" s="909">
        <f>SUM(_xlfn.IFNA(INDEX('Resource use and costs'!$DU$12:$DU$25,MATCH(CZ592,'Resource use and costs'!$DS$12:$DS$25,0)),0),_xlfn.IFNA(INDEX('Resource use and costs'!$DU$12:$DU$25,MATCH(DA592,'Resource use and costs'!$DS$12:$DS$25,0)),0),_xlfn.IFNA(INDEX('Resource use and costs'!$DU$12:$DU$25,MATCH(DB592,'Resource use and costs'!$DS$12:$DS$25,0)),0))</f>
        <v>591.75</v>
      </c>
      <c r="DO592" s="921">
        <f>_xlfn.IFNA(INDEX('Resource use and costs'!$DY$12:$DY$25,MATCH(CZ592,'Resource use and costs'!$DS$12:$DS$25,0)),0)*_xlfn.IFNA(INDEX(DY$10:DY$23,MATCH($CZ592,$DX$10:$DX$23,0)),0)</f>
        <v>82.971428571428561</v>
      </c>
      <c r="DP592" s="921">
        <f>IF(dd_PartSA_2_lines = "Yes",0,_xlfn.IFNA(INDEX('Resource use and costs'!$DZ$12:$DZ$25,MATCH(DA592,'Resource use and costs'!$DS$12:$DS$25,0)),0)*_xlfn.IFNA(INDEX(EA$10:EA$23,MATCH($DA592,$DX$10:$DX$23,0)),0))</f>
        <v>238.85714285714283</v>
      </c>
      <c r="DQ592" s="921">
        <f>IF(dd_PartSA_2_lines = "Yes",0,_xlfn.IFNA(INDEX('Resource use and costs'!$EA$12:$EA$25,MATCH(DB592,'Resource use and costs'!$DS$12:$DS$25,0)),0)*_xlfn.IFNA(INDEX(EC$10:EC$23,MATCH($DB592,$DX$10:$DX$23,0)),0))</f>
        <v>230.68099999999998</v>
      </c>
      <c r="DR592" s="921">
        <f t="shared" si="282"/>
        <v>1144.2595714285715</v>
      </c>
      <c r="DS592" s="1004">
        <f ca="1">SUMIFS('Safety parameters'!$DM$6:$DM$18,'Safety parameters'!$DK$6:$DK$18,CZ592,'Safety parameters'!$DL$6:$DL$18,1)+IF(dd_PartSA_2_lines = "Yes",0,SUMIFS('Safety parameters'!$DM$6:$DM$18,'Safety parameters'!$DK$6:$DK$18,DA592,'Safety parameters'!$DL$6:$DL$18,2)+SUMIFS('Safety parameters'!$DM$6:$DM$18,'Safety parameters'!$DK$6:$DK$18,DB592,'Safety parameters'!$DL$6:$DL$18,2))</f>
        <v>1634.2286735654598</v>
      </c>
      <c r="DT592" s="910">
        <f ca="1">SUMIFS('Safety parameters'!$DO$6:$DO$18,'Safety parameters'!$DK$6:$DK$18,CZ592,'Safety parameters'!$DL$6:$DL$18,1)+IF(dd_PartSA_2_lines = "Yes",0,SUMIFS('Safety parameters'!$DO$6:$DO$18,'Safety parameters'!$DK$6:$DK$18,DA592,'Safety parameters'!$DL$6:$DL$18,2)+SUMIFS('Safety parameters'!$DO$6:$DO$18,'Safety parameters'!$DK$6:$DK$18,DB592,'Safety parameters'!$DL$6:$DL$18,2))</f>
        <v>-1.4741924007481429E-2</v>
      </c>
    </row>
    <row r="593" spans="89:124" ht="15" x14ac:dyDescent="0.2">
      <c r="CK593" s="61" t="s">
        <v>31</v>
      </c>
      <c r="CL593" s="61">
        <v>4</v>
      </c>
      <c r="CM593" s="61" t="str">
        <v>everolimus</v>
      </c>
      <c r="CN593" s="17">
        <v>10</v>
      </c>
      <c r="CO593" s="61" t="str" cm="1">
        <f t="array" ref="CO593">INDEX(List_comparators,CP592+1)</f>
        <v>everolimus</v>
      </c>
      <c r="CP593" s="17">
        <v>10</v>
      </c>
      <c r="CQ593" s="601">
        <f t="shared" ca="1" si="288"/>
        <v>0</v>
      </c>
      <c r="CR593" s="601">
        <f t="shared" ca="1" si="289"/>
        <v>0</v>
      </c>
      <c r="CS593" s="601">
        <f t="shared" ca="1" si="290"/>
        <v>24.508571428571429</v>
      </c>
      <c r="CT593" s="669">
        <f t="shared" ca="1" si="291"/>
        <v>11.564285714285713</v>
      </c>
      <c r="CU593" s="1123">
        <f>MATCH(CZ600,'Resource use and costs'!$BA$11:$BA$53,0)</f>
        <v>43</v>
      </c>
      <c r="CV593" s="1223"/>
      <c r="CW593" s="1241">
        <f t="shared" si="294"/>
        <v>1</v>
      </c>
      <c r="CX593" s="899" t="s">
        <v>794</v>
      </c>
      <c r="CY593" s="899" t="s">
        <v>118</v>
      </c>
      <c r="CZ593" s="899" t="s">
        <v>119</v>
      </c>
      <c r="DA593" s="899" t="s">
        <v>319</v>
      </c>
      <c r="DB593" s="899" t="s">
        <v>765</v>
      </c>
      <c r="DC593" s="899" cm="1">
        <f t="array" aca="1" ref="DC593" ca="1">_xlfn.IFNA(OFFSET($I$49,MATCH(CY593,$I$50:$I$63,0),MATCH(CZ593,TRANSPOSE($J$49:$W$49),0)),0)</f>
        <v>0</v>
      </c>
      <c r="DD593" s="899" cm="1">
        <f t="array" aca="1" ref="DD593" ca="1">_xlfn.IFNA(OFFSET($Y$49,MATCH($CZ593,$Y$50:$Y$63,0),MATCH($DA593,TRANSPOSE($Z$49:$AM$49),0)),0)</f>
        <v>0</v>
      </c>
      <c r="DE593" s="899" cm="1">
        <f t="array" aca="1" ref="DE593" ca="1">_xlfn.IFNA(OFFSET($AO$49,MATCH($DA593,$AO$50:$AO$63,0),MATCH($DB593,TRANSPOSE($AP$49:$BC$49),0)),0)</f>
        <v>0.43140000000000001</v>
      </c>
      <c r="DF593" s="881">
        <f t="shared" ca="1" si="279"/>
        <v>0</v>
      </c>
      <c r="DG593" s="910">
        <f t="shared" ca="1" si="293"/>
        <v>1.0010447133454794</v>
      </c>
      <c r="DH593" s="881">
        <f t="shared" ca="1" si="280"/>
        <v>0</v>
      </c>
      <c r="DI593" s="1460">
        <f t="shared" ca="1" si="292"/>
        <v>0</v>
      </c>
      <c r="DJ593" s="909">
        <f>_xlfn.IFNA(INDEX('Resource use and costs'!$CQ$11:$CQ$53,MATCH($CZ593,'Resource use and costs'!$BA$11:$BA$53,0)),0)*_xlfn.IFNA(INDEX(DY$10:DY$23,MATCH($CZ593,$DX$10:$DX$23,0)),0)</f>
        <v>944.50399999999979</v>
      </c>
      <c r="DK593" s="909">
        <f>IF(dd_PartSA_2_lines = "Yes",0,_xlfn.IFNA(INDEX('Resource use and costs'!$CR$11:$CR$53,MATCH(DA593,'Resource use and costs'!$BA$11:$BA$53,0)),0)*_xlfn.IFNA(INDEX(EA$10:EA$23,MATCH($DA593,$DX$10:$DX$23,0)),0))</f>
        <v>11139.428571428571</v>
      </c>
      <c r="DL593" s="909">
        <f>IF(dd_PartSA_2_lines = "Yes",0,_xlfn.IFNA(INDEX('Resource use and costs'!$CS$11:$CS$53,MATCH(DB593,'Resource use and costs'!$BA$11:$BA$53,0)),0)*_xlfn.IFNA(INDEX(EC$10:EC$23,MATCH($DB593,$DX$10:$DX$23,0)),0))</f>
        <v>0</v>
      </c>
      <c r="DM593" s="909">
        <f t="shared" si="281"/>
        <v>12083.93257142857</v>
      </c>
      <c r="DN593" s="909">
        <f>SUM(_xlfn.IFNA(INDEX('Resource use and costs'!$DU$12:$DU$25,MATCH(CZ593,'Resource use and costs'!$DS$12:$DS$25,0)),0),_xlfn.IFNA(INDEX('Resource use and costs'!$DU$12:$DU$25,MATCH(DA593,'Resource use and costs'!$DS$12:$DS$25,0)),0),_xlfn.IFNA(INDEX('Resource use and costs'!$DU$12:$DU$25,MATCH(DB593,'Resource use and costs'!$DS$12:$DS$25,0)),0))</f>
        <v>394.5</v>
      </c>
      <c r="DO593" s="921">
        <f>_xlfn.IFNA(INDEX('Resource use and costs'!$DY$12:$DY$25,MATCH(CZ593,'Resource use and costs'!$DS$12:$DS$25,0)),0)*_xlfn.IFNA(INDEX(DY$10:DY$23,MATCH($CZ593,$DX$10:$DX$23,0)),0)</f>
        <v>82.971428571428561</v>
      </c>
      <c r="DP593" s="921">
        <f>IF(dd_PartSA_2_lines = "Yes",0,_xlfn.IFNA(INDEX('Resource use and costs'!$DZ$12:$DZ$25,MATCH(DA593,'Resource use and costs'!$DS$12:$DS$25,0)),0)*_xlfn.IFNA(INDEX(EA$10:EA$23,MATCH($DA593,$DX$10:$DX$23,0)),0))</f>
        <v>238.85714285714283</v>
      </c>
      <c r="DQ593" s="921">
        <f>IF(dd_PartSA_2_lines = "Yes",0,_xlfn.IFNA(INDEX('Resource use and costs'!$EA$12:$EA$25,MATCH(DB593,'Resource use and costs'!$DS$12:$DS$25,0)),0)*_xlfn.IFNA(INDEX(EC$10:EC$23,MATCH($DB593,$DX$10:$DX$23,0)),0))</f>
        <v>0</v>
      </c>
      <c r="DR593" s="921">
        <f t="shared" si="282"/>
        <v>716.32857142857142</v>
      </c>
      <c r="DS593" s="1004">
        <f>SUMIFS('Safety parameters'!$DM$6:$DM$18,'Safety parameters'!$DK$6:$DK$18,CZ593,'Safety parameters'!$DL$6:$DL$18,1)+IF(dd_PartSA_2_lines = "Yes",0,SUMIFS('Safety parameters'!$DM$6:$DM$18,'Safety parameters'!$DK$6:$DK$18,DA593,'Safety parameters'!$DL$6:$DL$18,2)+SUMIFS('Safety parameters'!$DM$6:$DM$18,'Safety parameters'!$DK$6:$DK$18,DB593,'Safety parameters'!$DL$6:$DL$18,2))</f>
        <v>0</v>
      </c>
      <c r="DT593" s="910">
        <f>SUMIFS('Safety parameters'!$DO$6:$DO$18,'Safety parameters'!$DK$6:$DK$18,CZ593,'Safety parameters'!$DL$6:$DL$18,1)+IF(dd_PartSA_2_lines = "Yes",0,SUMIFS('Safety parameters'!$DO$6:$DO$18,'Safety parameters'!$DK$6:$DK$18,DA593,'Safety parameters'!$DL$6:$DL$18,2)+SUMIFS('Safety parameters'!$DO$6:$DO$18,'Safety parameters'!$DK$6:$DK$18,DB593,'Safety parameters'!$DL$6:$DL$18,2))</f>
        <v>0</v>
      </c>
    </row>
    <row r="594" spans="89:124" ht="15" x14ac:dyDescent="0.2">
      <c r="CK594" s="61" t="s">
        <v>31</v>
      </c>
      <c r="CL594" s="61">
        <v>4</v>
      </c>
      <c r="CM594" s="61" t="str">
        <v>axitinib</v>
      </c>
      <c r="CN594" s="17">
        <v>11</v>
      </c>
      <c r="CO594" s="61" t="str" cm="1">
        <f t="array" ref="CO594">INDEX(List_comparators,CP593+1)</f>
        <v>everolimus</v>
      </c>
      <c r="CP594" s="17">
        <v>10</v>
      </c>
      <c r="CQ594" s="601">
        <f t="shared" ca="1" si="288"/>
        <v>0.56859999999999999</v>
      </c>
      <c r="CR594" s="601">
        <f t="shared" ca="1" si="289"/>
        <v>5.6860000000000001E-2</v>
      </c>
      <c r="CS594" s="601">
        <f t="shared" ca="1" si="290"/>
        <v>24.508571428571429</v>
      </c>
      <c r="CT594" s="669">
        <f t="shared" ca="1" si="291"/>
        <v>11.564285714285713</v>
      </c>
      <c r="CU594" s="1123">
        <f>MATCH(CZ601,'Resource use and costs'!$BA$11:$BA$53,0)</f>
        <v>43</v>
      </c>
      <c r="CV594" s="1223"/>
      <c r="CW594" s="1241">
        <f t="shared" si="294"/>
        <v>1</v>
      </c>
      <c r="CX594" s="899" t="s">
        <v>794</v>
      </c>
      <c r="CY594" s="899" t="s">
        <v>118</v>
      </c>
      <c r="CZ594" s="899" t="s">
        <v>333</v>
      </c>
      <c r="DA594" s="899" t="s">
        <v>327</v>
      </c>
      <c r="DB594" s="899" t="s">
        <v>765</v>
      </c>
      <c r="DC594" s="899" cm="1">
        <f t="array" aca="1" ref="DC594" ca="1">_xlfn.IFNA(OFFSET($I$49,MATCH(CY594,$I$50:$I$63,0),MATCH(CZ594,TRANSPOSE($J$49:$W$49),0)),0)</f>
        <v>4.4593339307048986E-2</v>
      </c>
      <c r="DD594" s="899" cm="1">
        <f t="array" aca="1" ref="DD594" ca="1">_xlfn.IFNA(OFFSET($Y$49,MATCH($CZ594,$Y$50:$Y$63,0),MATCH($DA594,TRANSPOSE($Z$49:$AM$49),0)),0)</f>
        <v>0</v>
      </c>
      <c r="DE594" s="899">
        <v>1</v>
      </c>
      <c r="DF594" s="881">
        <f t="shared" ref="DF594:DF657" ca="1" si="295">IF(AND(ISBLANK(DA594),ISBLANK(DA594)),DC594,IF(ISBLANK(DB594),DC594*DD594,DC594*DD594*DE594))</f>
        <v>0</v>
      </c>
      <c r="DG594" s="910">
        <f t="shared" ca="1" si="293"/>
        <v>1.0010447133454794</v>
      </c>
      <c r="DH594" s="881">
        <f t="shared" ref="DH594:DH657" ca="1" si="296">IF(CZ594="BSC",IF(dd_reduceBSC="No",DF594,0),DF594*DG594)</f>
        <v>0</v>
      </c>
      <c r="DI594" s="1460">
        <f t="shared" ca="1" si="292"/>
        <v>0</v>
      </c>
      <c r="DJ594" s="909">
        <f>_xlfn.IFNA(INDEX('Resource use and costs'!$CQ$11:$CQ$53,MATCH($CZ594,'Resource use and costs'!$BA$11:$BA$53,0)),0)*_xlfn.IFNA(INDEX(DY$10:DY$23,MATCH($CZ594,$DX$10:$DX$23,0)),0)</f>
        <v>54336.641519999976</v>
      </c>
      <c r="DK594" s="909">
        <f>IF(dd_PartSA_2_lines = "Yes",0,_xlfn.IFNA(INDEX('Resource use and costs'!$CR$11:$CR$53,MATCH(DA594,'Resource use and costs'!$BA$11:$BA$53,0)),0)*_xlfn.IFNA(INDEX(EA$10:EA$23,MATCH($DA594,$DX$10:$DX$23,0)),0))</f>
        <v>21421.066008214286</v>
      </c>
      <c r="DL594" s="909">
        <f>IF(dd_PartSA_2_lines = "Yes",0,_xlfn.IFNA(INDEX('Resource use and costs'!$CS$11:$CS$53,MATCH(DB594,'Resource use and costs'!$BA$11:$BA$53,0)),0)*_xlfn.IFNA(INDEX(EC$10:EC$23,MATCH($DB594,$DX$10:$DX$23,0)),0))</f>
        <v>0</v>
      </c>
      <c r="DM594" s="909">
        <f t="shared" si="281"/>
        <v>75757.707528214261</v>
      </c>
      <c r="DN594" s="909">
        <f>SUM(_xlfn.IFNA(INDEX('Resource use and costs'!$DU$12:$DU$25,MATCH(CZ594,'Resource use and costs'!$DS$12:$DS$25,0)),0),_xlfn.IFNA(INDEX('Resource use and costs'!$DU$12:$DU$25,MATCH(DA594,'Resource use and costs'!$DS$12:$DS$25,0)),0),_xlfn.IFNA(INDEX('Resource use and costs'!$DU$12:$DU$25,MATCH(DB594,'Resource use and costs'!$DS$12:$DS$25,0)),0))</f>
        <v>394.5</v>
      </c>
      <c r="DO594" s="921">
        <f>_xlfn.IFNA(INDEX('Resource use and costs'!$DY$12:$DY$25,MATCH(CZ594,'Resource use and costs'!$DS$12:$DS$25,0)),0)*_xlfn.IFNA(INDEX(DY$10:DY$23,MATCH($CZ594,$DX$10:$DX$23,0)),0)</f>
        <v>810.54285714285697</v>
      </c>
      <c r="DP594" s="921">
        <f>IF(dd_PartSA_2_lines = "Yes",0,_xlfn.IFNA(INDEX('Resource use and costs'!$DZ$12:$DZ$25,MATCH(DA594,'Resource use and costs'!$DS$12:$DS$25,0)),0)*_xlfn.IFNA(INDEX(EA$10:EA$23,MATCH($DA594,$DX$10:$DX$23,0)),0))</f>
        <v>267.99172714285714</v>
      </c>
      <c r="DQ594" s="921">
        <f>IF(dd_PartSA_2_lines = "Yes",0,_xlfn.IFNA(INDEX('Resource use and costs'!$EA$12:$EA$25,MATCH(DB594,'Resource use and costs'!$DS$12:$DS$25,0)),0)*_xlfn.IFNA(INDEX(EC$10:EC$23,MATCH($DB594,$DX$10:$DX$23,0)),0))</f>
        <v>0</v>
      </c>
      <c r="DR594" s="921">
        <f t="shared" si="282"/>
        <v>1473.0345842857141</v>
      </c>
      <c r="DS594" s="1004">
        <f ca="1">SUMIFS('Safety parameters'!$DM$6:$DM$18,'Safety parameters'!$DK$6:$DK$18,CZ594,'Safety parameters'!$DL$6:$DL$18,1)+IF(dd_PartSA_2_lines = "Yes",0,SUMIFS('Safety parameters'!$DM$6:$DM$18,'Safety parameters'!$DK$6:$DK$18,DA594,'Safety parameters'!$DL$6:$DL$18,2)+SUMIFS('Safety parameters'!$DM$6:$DM$18,'Safety parameters'!$DK$6:$DK$18,DB594,'Safety parameters'!$DL$6:$DL$18,2))</f>
        <v>1634.2286735654598</v>
      </c>
      <c r="DT594" s="910">
        <f ca="1">SUMIFS('Safety parameters'!$DO$6:$DO$18,'Safety parameters'!$DK$6:$DK$18,CZ594,'Safety parameters'!$DL$6:$DL$18,1)+IF(dd_PartSA_2_lines = "Yes",0,SUMIFS('Safety parameters'!$DO$6:$DO$18,'Safety parameters'!$DK$6:$DK$18,DA594,'Safety parameters'!$DL$6:$DL$18,2)+SUMIFS('Safety parameters'!$DO$6:$DO$18,'Safety parameters'!$DK$6:$DK$18,DB594,'Safety parameters'!$DL$6:$DL$18,2))</f>
        <v>-1.4741924007481429E-2</v>
      </c>
    </row>
    <row r="595" spans="89:124" ht="15" x14ac:dyDescent="0.2">
      <c r="CK595" s="61" t="s">
        <v>31</v>
      </c>
      <c r="CL595" s="61">
        <v>4</v>
      </c>
      <c r="CM595" s="61" t="str">
        <v>sorafenib</v>
      </c>
      <c r="CN595" s="17">
        <v>12</v>
      </c>
      <c r="CO595" s="61" t="str" cm="1">
        <f t="array" ref="CO595">INDEX(List_comparators,CP594+1)</f>
        <v>everolimus</v>
      </c>
      <c r="CP595" s="17">
        <v>10</v>
      </c>
      <c r="CQ595" s="601">
        <f t="shared" ca="1" si="288"/>
        <v>0</v>
      </c>
      <c r="CR595" s="601">
        <f t="shared" ca="1" si="289"/>
        <v>0</v>
      </c>
      <c r="CS595" s="601">
        <f t="shared" ca="1" si="290"/>
        <v>0</v>
      </c>
      <c r="CT595" s="669">
        <f t="shared" ca="1" si="291"/>
        <v>0</v>
      </c>
      <c r="CU595" s="1123">
        <f>MATCH(CZ602,'Resource use and costs'!$BA$11:$BA$53,0)</f>
        <v>43</v>
      </c>
      <c r="CV595" s="1223"/>
      <c r="CW595" s="1241">
        <f t="shared" si="294"/>
        <v>1</v>
      </c>
      <c r="CX595" s="899" t="s">
        <v>794</v>
      </c>
      <c r="CY595" s="899" t="s">
        <v>118</v>
      </c>
      <c r="CZ595" s="899" t="s">
        <v>333</v>
      </c>
      <c r="DA595" s="899" t="s">
        <v>765</v>
      </c>
      <c r="DB595" s="899"/>
      <c r="DC595" s="899" cm="1">
        <f t="array" aca="1" ref="DC595" ca="1">_xlfn.IFNA(OFFSET($I$49,MATCH(CY595,$I$50:$I$63,0),MATCH(CZ595,TRANSPOSE($J$49:$W$49),0)),0)</f>
        <v>4.4593339307048986E-2</v>
      </c>
      <c r="DD595" s="899" cm="1">
        <f t="array" aca="1" ref="DD595" ca="1">_xlfn.IFNA(OFFSET($Y$49,MATCH($CZ595,$Y$50:$Y$63,0),MATCH($DA595,TRANSPOSE($Z$49:$AM$49),0)),0)</f>
        <v>0.34300000000000003</v>
      </c>
      <c r="DE595" s="899" cm="1">
        <f t="array" aca="1" ref="DE595" ca="1">_xlfn.IFNA(OFFSET($AO$49,MATCH($DA595,$AO$50:$AO$63,0),MATCH($DB595,TRANSPOSE($AP$49:$BC$49),0)),0)</f>
        <v>0</v>
      </c>
      <c r="DF595" s="881">
        <f t="shared" ca="1" si="295"/>
        <v>1.5295515382317803E-2</v>
      </c>
      <c r="DG595" s="910">
        <f t="shared" ca="1" si="293"/>
        <v>1.0010447133454794</v>
      </c>
      <c r="DH595" s="881">
        <f t="shared" ca="1" si="296"/>
        <v>1.5311494811363697E-2</v>
      </c>
      <c r="DI595" s="1460">
        <f t="shared" ca="1" si="292"/>
        <v>1.7455104084954614</v>
      </c>
      <c r="DJ595" s="909">
        <f>_xlfn.IFNA(INDEX('Resource use and costs'!$CQ$11:$CQ$53,MATCH($CZ595,'Resource use and costs'!$BA$11:$BA$53,0)),0)*_xlfn.IFNA(INDEX(DY$10:DY$23,MATCH($CZ595,$DX$10:$DX$23,0)),0)</f>
        <v>54336.641519999976</v>
      </c>
      <c r="DK595" s="909">
        <f>IF(dd_PartSA_2_lines = "Yes",0,_xlfn.IFNA(INDEX('Resource use and costs'!$CR$11:$CR$53,MATCH(DA595,'Resource use and costs'!$BA$11:$BA$53,0)),0)*_xlfn.IFNA(INDEX(EA$10:EA$23,MATCH($DA595,$DX$10:$DX$23,0)),0))</f>
        <v>0</v>
      </c>
      <c r="DL595" s="909">
        <f>IF(dd_PartSA_2_lines = "Yes",0,_xlfn.IFNA(INDEX('Resource use and costs'!$CS$11:$CS$53,MATCH(DB595,'Resource use and costs'!$BA$11:$BA$53,0)),0)*_xlfn.IFNA(INDEX(EC$10:EC$23,MATCH($DB595,$DX$10:$DX$23,0)),0))</f>
        <v>0</v>
      </c>
      <c r="DM595" s="909">
        <f t="shared" ref="DM595:DM658" si="297">SUM(DJ595:DL595)</f>
        <v>54336.641519999976</v>
      </c>
      <c r="DN595" s="909">
        <f>SUM(_xlfn.IFNA(INDEX('Resource use and costs'!$DU$12:$DU$25,MATCH(CZ595,'Resource use and costs'!$DS$12:$DS$25,0)),0),_xlfn.IFNA(INDEX('Resource use and costs'!$DU$12:$DU$25,MATCH(DA595,'Resource use and costs'!$DS$12:$DS$25,0)),0),_xlfn.IFNA(INDEX('Resource use and costs'!$DU$12:$DU$25,MATCH(DB595,'Resource use and costs'!$DS$12:$DS$25,0)),0))</f>
        <v>197.25</v>
      </c>
      <c r="DO595" s="921">
        <f>_xlfn.IFNA(INDEX('Resource use and costs'!$DY$12:$DY$25,MATCH(CZ595,'Resource use and costs'!$DS$12:$DS$25,0)),0)*_xlfn.IFNA(INDEX(DY$10:DY$23,MATCH($CZ595,$DX$10:$DX$23,0)),0)</f>
        <v>810.54285714285697</v>
      </c>
      <c r="DP595" s="921">
        <f>IF(dd_PartSA_2_lines = "Yes",0,_xlfn.IFNA(INDEX('Resource use and costs'!$DZ$12:$DZ$25,MATCH(DA595,'Resource use and costs'!$DS$12:$DS$25,0)),0)*_xlfn.IFNA(INDEX(EA$10:EA$23,MATCH($DA595,$DX$10:$DX$23,0)),0))</f>
        <v>0</v>
      </c>
      <c r="DQ595" s="921">
        <f>IF(dd_PartSA_2_lines = "Yes",0,_xlfn.IFNA(INDEX('Resource use and costs'!$EA$12:$EA$25,MATCH(DB595,'Resource use and costs'!$DS$12:$DS$25,0)),0)*_xlfn.IFNA(INDEX(EC$10:EC$23,MATCH($DB595,$DX$10:$DX$23,0)),0))</f>
        <v>0</v>
      </c>
      <c r="DR595" s="921">
        <f t="shared" ref="DR595:DR658" si="298">SUM(DN595:DQ595)</f>
        <v>1007.792857142857</v>
      </c>
      <c r="DS595" s="1004">
        <f>SUMIFS('Safety parameters'!$DM$6:$DM$18,'Safety parameters'!$DK$6:$DK$18,CZ595,'Safety parameters'!$DL$6:$DL$18,1)+IF(dd_PartSA_2_lines = "Yes",0,SUMIFS('Safety parameters'!$DM$6:$DM$18,'Safety parameters'!$DK$6:$DK$18,DA595,'Safety parameters'!$DL$6:$DL$18,2)+SUMIFS('Safety parameters'!$DM$6:$DM$18,'Safety parameters'!$DK$6:$DK$18,DB595,'Safety parameters'!$DL$6:$DL$18,2))</f>
        <v>0</v>
      </c>
      <c r="DT595" s="910">
        <f>SUMIFS('Safety parameters'!$DO$6:$DO$18,'Safety parameters'!$DK$6:$DK$18,CZ595,'Safety parameters'!$DL$6:$DL$18,1)+IF(dd_PartSA_2_lines = "Yes",0,SUMIFS('Safety parameters'!$DO$6:$DO$18,'Safety parameters'!$DK$6:$DK$18,DA595,'Safety parameters'!$DL$6:$DL$18,2)+SUMIFS('Safety parameters'!$DO$6:$DO$18,'Safety parameters'!$DK$6:$DK$18,DB595,'Safety parameters'!$DL$6:$DL$18,2))</f>
        <v>0</v>
      </c>
    </row>
    <row r="596" spans="89:124" ht="15.75" thickBot="1" x14ac:dyDescent="0.25">
      <c r="CK596" s="506" t="s">
        <v>31</v>
      </c>
      <c r="CL596" s="506">
        <v>4</v>
      </c>
      <c r="CM596" s="506" t="str">
        <v>placebo_BSC</v>
      </c>
      <c r="CN596" s="19">
        <v>999</v>
      </c>
      <c r="CO596" s="506" t="str" cm="1">
        <f t="array" ref="CO596">INDEX(List_comparators,CP583+1)</f>
        <v>everolimus</v>
      </c>
      <c r="CP596" s="19">
        <v>10</v>
      </c>
      <c r="CQ596" s="602">
        <f t="shared" ca="1" si="288"/>
        <v>0</v>
      </c>
      <c r="CR596" s="602">
        <f t="shared" ca="1" si="289"/>
        <v>0</v>
      </c>
      <c r="CS596" s="602">
        <f t="shared" ca="1" si="290"/>
        <v>0</v>
      </c>
      <c r="CT596" s="748">
        <f t="shared" ca="1" si="291"/>
        <v>0</v>
      </c>
      <c r="CU596" s="1123">
        <f>MATCH(CZ603,'Resource use and costs'!$BA$11:$BA$53,0)</f>
        <v>43</v>
      </c>
      <c r="CV596" s="1223"/>
      <c r="CW596" s="1241">
        <f t="shared" si="294"/>
        <v>1</v>
      </c>
      <c r="CX596" s="899" t="s">
        <v>794</v>
      </c>
      <c r="CY596" s="899" t="s">
        <v>118</v>
      </c>
      <c r="CZ596" s="899" t="s">
        <v>333</v>
      </c>
      <c r="DA596" s="899" t="s">
        <v>579</v>
      </c>
      <c r="DB596" s="899" t="s">
        <v>327</v>
      </c>
      <c r="DC596" s="899" cm="1">
        <f t="array" aca="1" ref="DC596" ca="1">_xlfn.IFNA(OFFSET($I$49,MATCH(CY596,$I$50:$I$63,0),MATCH(CZ596,TRANSPOSE($J$49:$W$49),0)),0)</f>
        <v>4.4593339307048986E-2</v>
      </c>
      <c r="DD596" s="899">
        <f ca="1">1-DD595-DD598-DD600-DD602</f>
        <v>0.57489999999999997</v>
      </c>
      <c r="DE596" s="899" cm="1">
        <f t="array" aca="1" ref="DE596" ca="1">_xlfn.IFNA(OFFSET($AO$49,MATCH($DA596,$AO$50:$AO$63,0),MATCH($DB596,TRANSPOSE($AP$49:$BC$49),0)),0)</f>
        <v>0.56859999999999999</v>
      </c>
      <c r="DF596" s="881">
        <f t="shared" ca="1" si="295"/>
        <v>1.4577033742470132E-2</v>
      </c>
      <c r="DG596" s="910">
        <f t="shared" ca="1" si="293"/>
        <v>1.0010447133454794</v>
      </c>
      <c r="DH596" s="881">
        <f t="shared" ca="1" si="296"/>
        <v>1.4592262564158394E-2</v>
      </c>
      <c r="DI596" s="1460">
        <f t="shared" ca="1" si="292"/>
        <v>1.6635179323140568</v>
      </c>
      <c r="DJ596" s="909">
        <f>_xlfn.IFNA(INDEX('Resource use and costs'!$CQ$11:$CQ$53,MATCH($CZ596,'Resource use and costs'!$BA$11:$BA$53,0)),0)*_xlfn.IFNA(INDEX(DY$10:DY$23,MATCH($CZ596,$DX$10:$DX$23,0)),0)</f>
        <v>54336.641519999976</v>
      </c>
      <c r="DK596" s="909">
        <f>IF(dd_PartSA_2_lines = "Yes",0,_xlfn.IFNA(INDEX('Resource use and costs'!$CR$11:$CR$53,MATCH(DA596,'Resource use and costs'!$BA$11:$BA$53,0)),0)*_xlfn.IFNA(INDEX(EA$10:EA$23,MATCH($DA596,$DX$10:$DX$23,0)),0))</f>
        <v>26054.50921</v>
      </c>
      <c r="DL596" s="909">
        <f>IF(dd_PartSA_2_lines = "Yes",0,_xlfn.IFNA(INDEX('Resource use and costs'!$CS$11:$CS$53,MATCH(DB596,'Resource use and costs'!$BA$11:$BA$53,0)),0)*_xlfn.IFNA(INDEX(EC$10:EC$23,MATCH($DB596,$DX$10:$DX$23,0)),0))</f>
        <v>18438.751749999999</v>
      </c>
      <c r="DM596" s="909">
        <f t="shared" si="297"/>
        <v>98829.902479999975</v>
      </c>
      <c r="DN596" s="909">
        <f>SUM(_xlfn.IFNA(INDEX('Resource use and costs'!$DU$12:$DU$25,MATCH(CZ596,'Resource use and costs'!$DS$12:$DS$25,0)),0),_xlfn.IFNA(INDEX('Resource use and costs'!$DU$12:$DU$25,MATCH(DA596,'Resource use and costs'!$DS$12:$DS$25,0)),0),_xlfn.IFNA(INDEX('Resource use and costs'!$DU$12:$DU$25,MATCH(DB596,'Resource use and costs'!$DS$12:$DS$25,0)),0))</f>
        <v>394.5</v>
      </c>
      <c r="DO596" s="921">
        <f>_xlfn.IFNA(INDEX('Resource use and costs'!$DY$12:$DY$25,MATCH(CZ596,'Resource use and costs'!$DS$12:$DS$25,0)),0)*_xlfn.IFNA(INDEX(DY$10:DY$23,MATCH($CZ596,$DX$10:$DX$23,0)),0)</f>
        <v>810.54285714285697</v>
      </c>
      <c r="DP596" s="921">
        <f>IF(dd_PartSA_2_lines = "Yes",0,_xlfn.IFNA(INDEX('Resource use and costs'!$DZ$12:$DZ$25,MATCH(DA596,'Resource use and costs'!$DS$12:$DS$25,0)),0)*_xlfn.IFNA(INDEX(EA$10:EA$23,MATCH($DA596,$DX$10:$DX$23,0)),0))</f>
        <v>4108.3597166</v>
      </c>
      <c r="DQ596" s="921">
        <f>IF(dd_PartSA_2_lines = "Yes",0,_xlfn.IFNA(INDEX('Resource use and costs'!$EA$12:$EA$25,MATCH(DB596,'Resource use and costs'!$DS$12:$DS$25,0)),0)*_xlfn.IFNA(INDEX(EC$10:EC$23,MATCH($DB596,$DX$10:$DX$23,0)),0))</f>
        <v>230.68099999999998</v>
      </c>
      <c r="DR596" s="921">
        <f t="shared" si="298"/>
        <v>5544.0835737428561</v>
      </c>
      <c r="DS596" s="1004">
        <f ca="1">SUMIFS('Safety parameters'!$DM$6:$DM$18,'Safety parameters'!$DK$6:$DK$18,CZ596,'Safety parameters'!$DL$6:$DL$18,1)+IF(dd_PartSA_2_lines = "Yes",0,SUMIFS('Safety parameters'!$DM$6:$DM$18,'Safety parameters'!$DK$6:$DK$18,DA596,'Safety parameters'!$DL$6:$DL$18,2)+SUMIFS('Safety parameters'!$DM$6:$DM$18,'Safety parameters'!$DK$6:$DK$18,DB596,'Safety parameters'!$DL$6:$DL$18,2))</f>
        <v>1795.3624225558742</v>
      </c>
      <c r="DT596" s="910">
        <f ca="1">SUMIFS('Safety parameters'!$DO$6:$DO$18,'Safety parameters'!$DK$6:$DK$18,CZ596,'Safety parameters'!$DL$6:$DL$18,1)+IF(dd_PartSA_2_lines = "Yes",0,SUMIFS('Safety parameters'!$DO$6:$DO$18,'Safety parameters'!$DK$6:$DK$18,DA596,'Safety parameters'!$DL$6:$DL$18,2)+SUMIFS('Safety parameters'!$DO$6:$DO$18,'Safety parameters'!$DK$6:$DK$18,DB596,'Safety parameters'!$DL$6:$DL$18,2))</f>
        <v>-1.6339008205166216E-2</v>
      </c>
    </row>
    <row r="597" spans="89:124" ht="15" x14ac:dyDescent="0.2">
      <c r="CK597" s="505" t="s">
        <v>31</v>
      </c>
      <c r="CL597" s="505">
        <v>4</v>
      </c>
      <c r="CM597" s="61" t="str" cm="1">
        <f t="array" ref="CM597:CM610">List_comparators</f>
        <v>nivolumab_monotherapy</v>
      </c>
      <c r="CN597" s="17">
        <v>0</v>
      </c>
      <c r="CO597" s="61" t="str" cm="1">
        <f t="array" ref="CO597">INDEX(List_comparators,CP597+1)</f>
        <v>axitinib</v>
      </c>
      <c r="CP597" s="17">
        <v>11</v>
      </c>
      <c r="CQ597" s="603">
        <f t="shared" ca="1" si="288"/>
        <v>0.56859999999999999</v>
      </c>
      <c r="CR597" s="603">
        <f t="shared" ca="1" si="289"/>
        <v>5.6860000000000001E-2</v>
      </c>
      <c r="CS597" s="603">
        <f t="shared" ca="1" si="290"/>
        <v>22.357142857142858</v>
      </c>
      <c r="CT597" s="669">
        <f t="shared" ca="1" si="291"/>
        <v>4.38</v>
      </c>
      <c r="CU597" s="1123">
        <f>MATCH(CZ604,'Resource use and costs'!$BA$11:$BA$53,0)</f>
        <v>1</v>
      </c>
      <c r="CV597" s="1223"/>
      <c r="CW597" s="1241">
        <f t="shared" si="294"/>
        <v>1</v>
      </c>
      <c r="CX597" s="899" t="s">
        <v>794</v>
      </c>
      <c r="CY597" s="899" t="s">
        <v>118</v>
      </c>
      <c r="CZ597" s="899" t="s">
        <v>333</v>
      </c>
      <c r="DA597" s="899" t="s">
        <v>579</v>
      </c>
      <c r="DB597" s="899" t="s">
        <v>765</v>
      </c>
      <c r="DC597" s="899" cm="1">
        <f t="array" aca="1" ref="DC597" ca="1">_xlfn.IFNA(OFFSET($I$49,MATCH(CY597,$I$50:$I$63,0),MATCH(CZ597,TRANSPOSE($J$49:$W$49),0)),0)</f>
        <v>4.4593339307048986E-2</v>
      </c>
      <c r="DD597" s="899">
        <f ca="1">DD596</f>
        <v>0.57489999999999997</v>
      </c>
      <c r="DE597" s="899" cm="1">
        <f t="array" aca="1" ref="DE597" ca="1">_xlfn.IFNA(OFFSET($AO$49,MATCH($DA597,$AO$50:$AO$63,0),MATCH($DB597,TRANSPOSE($AP$49:$BC$49),0)),0)</f>
        <v>0.43140000000000001</v>
      </c>
      <c r="DF597" s="881">
        <f t="shared" ca="1" si="295"/>
        <v>1.105967702515233E-2</v>
      </c>
      <c r="DG597" s="910">
        <f t="shared" ca="1" si="293"/>
        <v>1.0010447133454794</v>
      </c>
      <c r="DH597" s="881">
        <f t="shared" ca="1" si="296"/>
        <v>1.1071231217337199E-2</v>
      </c>
      <c r="DI597" s="1460">
        <f t="shared" ca="1" si="292"/>
        <v>1.2621203587764407</v>
      </c>
      <c r="DJ597" s="909">
        <f>_xlfn.IFNA(INDEX('Resource use and costs'!$CQ$11:$CQ$53,MATCH($CZ597,'Resource use and costs'!$BA$11:$BA$53,0)),0)*_xlfn.IFNA(INDEX(DY$10:DY$23,MATCH($CZ597,$DX$10:$DX$23,0)),0)</f>
        <v>54336.641519999976</v>
      </c>
      <c r="DK597" s="909">
        <f>IF(dd_PartSA_2_lines = "Yes",0,_xlfn.IFNA(INDEX('Resource use and costs'!$CR$11:$CR$53,MATCH(DA597,'Resource use and costs'!$BA$11:$BA$53,0)),0)*_xlfn.IFNA(INDEX(EA$10:EA$23,MATCH($DA597,$DX$10:$DX$23,0)),0))</f>
        <v>26054.50921</v>
      </c>
      <c r="DL597" s="909">
        <f>IF(dd_PartSA_2_lines = "Yes",0,_xlfn.IFNA(INDEX('Resource use and costs'!$CS$11:$CS$53,MATCH(DB597,'Resource use and costs'!$BA$11:$BA$53,0)),0)*_xlfn.IFNA(INDEX(EC$10:EC$23,MATCH($DB597,$DX$10:$DX$23,0)),0))</f>
        <v>0</v>
      </c>
      <c r="DM597" s="909">
        <f t="shared" si="297"/>
        <v>80391.150729999979</v>
      </c>
      <c r="DN597" s="909">
        <f>SUM(_xlfn.IFNA(INDEX('Resource use and costs'!$DU$12:$DU$25,MATCH(CZ597,'Resource use and costs'!$DS$12:$DS$25,0)),0),_xlfn.IFNA(INDEX('Resource use and costs'!$DU$12:$DU$25,MATCH(DA597,'Resource use and costs'!$DS$12:$DS$25,0)),0),_xlfn.IFNA(INDEX('Resource use and costs'!$DU$12:$DU$25,MATCH(DB597,'Resource use and costs'!$DS$12:$DS$25,0)),0))</f>
        <v>197.25</v>
      </c>
      <c r="DO597" s="921">
        <f>_xlfn.IFNA(INDEX('Resource use and costs'!$DY$12:$DY$25,MATCH(CZ597,'Resource use and costs'!$DS$12:$DS$25,0)),0)*_xlfn.IFNA(INDEX(DY$10:DY$23,MATCH($CZ597,$DX$10:$DX$23,0)),0)</f>
        <v>810.54285714285697</v>
      </c>
      <c r="DP597" s="921">
        <f>IF(dd_PartSA_2_lines = "Yes",0,_xlfn.IFNA(INDEX('Resource use and costs'!$DZ$12:$DZ$25,MATCH(DA597,'Resource use and costs'!$DS$12:$DS$25,0)),0)*_xlfn.IFNA(INDEX(EA$10:EA$23,MATCH($DA597,$DX$10:$DX$23,0)),0))</f>
        <v>4108.3597166</v>
      </c>
      <c r="DQ597" s="921">
        <f>IF(dd_PartSA_2_lines = "Yes",0,_xlfn.IFNA(INDEX('Resource use and costs'!$EA$12:$EA$25,MATCH(DB597,'Resource use and costs'!$DS$12:$DS$25,0)),0)*_xlfn.IFNA(INDEX(EC$10:EC$23,MATCH($DB597,$DX$10:$DX$23,0)),0))</f>
        <v>0</v>
      </c>
      <c r="DR597" s="921">
        <f t="shared" si="298"/>
        <v>5116.1525737428565</v>
      </c>
      <c r="DS597" s="1004">
        <f ca="1">SUMIFS('Safety parameters'!$DM$6:$DM$18,'Safety parameters'!$DK$6:$DK$18,CZ597,'Safety parameters'!$DL$6:$DL$18,1)+IF(dd_PartSA_2_lines = "Yes",0,SUMIFS('Safety parameters'!$DM$6:$DM$18,'Safety parameters'!$DK$6:$DK$18,DA597,'Safety parameters'!$DL$6:$DL$18,2)+SUMIFS('Safety parameters'!$DM$6:$DM$18,'Safety parameters'!$DK$6:$DK$18,DB597,'Safety parameters'!$DL$6:$DL$18,2))</f>
        <v>161.1337489904144</v>
      </c>
      <c r="DT597" s="910">
        <f ca="1">SUMIFS('Safety parameters'!$DO$6:$DO$18,'Safety parameters'!$DK$6:$DK$18,CZ597,'Safety parameters'!$DL$6:$DL$18,1)+IF(dd_PartSA_2_lines = "Yes",0,SUMIFS('Safety parameters'!$DO$6:$DO$18,'Safety parameters'!$DK$6:$DK$18,DA597,'Safety parameters'!$DL$6:$DL$18,2)+SUMIFS('Safety parameters'!$DO$6:$DO$18,'Safety parameters'!$DK$6:$DK$18,DB597,'Safety parameters'!$DL$6:$DL$18,2))</f>
        <v>-1.5970841976847864E-3</v>
      </c>
    </row>
    <row r="598" spans="89:124" ht="15" x14ac:dyDescent="0.2">
      <c r="CK598" s="61" t="s">
        <v>31</v>
      </c>
      <c r="CL598" s="61">
        <v>4</v>
      </c>
      <c r="CM598" s="61" t="str">
        <v>cabozantinib_plus_nivolumab</v>
      </c>
      <c r="CN598" s="17">
        <v>1</v>
      </c>
      <c r="CO598" s="61" t="str" cm="1">
        <f t="array" ref="CO598">INDEX(List_comparators,CP597+1)</f>
        <v>axitinib</v>
      </c>
      <c r="CP598" s="17">
        <v>11</v>
      </c>
      <c r="CQ598" s="601">
        <f t="shared" ca="1" si="288"/>
        <v>0</v>
      </c>
      <c r="CR598" s="601">
        <f t="shared" ca="1" si="289"/>
        <v>0</v>
      </c>
      <c r="CS598" s="601">
        <f t="shared" ca="1" si="290"/>
        <v>22.357142857142858</v>
      </c>
      <c r="CT598" s="669">
        <f t="shared" ca="1" si="291"/>
        <v>4.38</v>
      </c>
      <c r="CU598" s="1123">
        <f>MATCH(CZ605,'Resource use and costs'!$BA$11:$BA$53,0)</f>
        <v>1</v>
      </c>
      <c r="CV598" s="1223"/>
      <c r="CW598" s="1241">
        <f t="shared" si="294"/>
        <v>1</v>
      </c>
      <c r="CX598" s="899" t="s">
        <v>794</v>
      </c>
      <c r="CY598" s="899" t="s">
        <v>118</v>
      </c>
      <c r="CZ598" s="899" t="s">
        <v>333</v>
      </c>
      <c r="DA598" s="899" t="s">
        <v>585</v>
      </c>
      <c r="DB598" s="899" t="s">
        <v>327</v>
      </c>
      <c r="DC598" s="899" cm="1">
        <f t="array" aca="1" ref="DC598" ca="1">_xlfn.IFNA(OFFSET($I$49,MATCH(CY598,$I$50:$I$63,0),MATCH(CZ598,TRANSPOSE($J$49:$W$49),0)),0)</f>
        <v>4.4593339307048986E-2</v>
      </c>
      <c r="DD598" s="899" cm="1">
        <f t="array" aca="1" ref="DD598" ca="1">_xlfn.IFNA(OFFSET($Y$49,MATCH($CZ598,$Y$50:$Y$63,0),MATCH($DA598,TRANSPOSE($Z$49:$AM$49),0)),0)</f>
        <v>8.2100000000000006E-2</v>
      </c>
      <c r="DE598" s="899">
        <f ca="1">1-DE599</f>
        <v>0.56859999999999999</v>
      </c>
      <c r="DF598" s="881">
        <f t="shared" ca="1" si="295"/>
        <v>2.0817089411320194E-3</v>
      </c>
      <c r="DG598" s="910">
        <f t="shared" ca="1" si="293"/>
        <v>1.0010447133454794</v>
      </c>
      <c r="DH598" s="881">
        <f t="shared" ca="1" si="296"/>
        <v>2.0838837302442239E-3</v>
      </c>
      <c r="DI598" s="1460">
        <f t="shared" ca="1" si="292"/>
        <v>0.23756274524784152</v>
      </c>
      <c r="DJ598" s="909">
        <f>_xlfn.IFNA(INDEX('Resource use and costs'!$CQ$11:$CQ$53,MATCH($CZ598,'Resource use and costs'!$BA$11:$BA$53,0)),0)*_xlfn.IFNA(INDEX(DY$10:DY$23,MATCH($CZ598,$DX$10:$DX$23,0)),0)</f>
        <v>54336.641519999976</v>
      </c>
      <c r="DK598" s="909">
        <f>IF(dd_PartSA_2_lines = "Yes",0,_xlfn.IFNA(INDEX('Resource use and costs'!$CR$11:$CR$53,MATCH(DA598,'Resource use and costs'!$BA$11:$BA$53,0)),0)*_xlfn.IFNA(INDEX(EA$10:EA$23,MATCH($DA598,$DX$10:$DX$23,0)),0))</f>
        <v>1987.9066666666663</v>
      </c>
      <c r="DL598" s="909">
        <f>IF(dd_PartSA_2_lines = "Yes",0,_xlfn.IFNA(INDEX('Resource use and costs'!$CS$11:$CS$53,MATCH(DB598,'Resource use and costs'!$BA$11:$BA$53,0)),0)*_xlfn.IFNA(INDEX(EC$10:EC$23,MATCH($DB598,$DX$10:$DX$23,0)),0))</f>
        <v>18438.751749999999</v>
      </c>
      <c r="DM598" s="909">
        <f t="shared" si="297"/>
        <v>74763.299936666648</v>
      </c>
      <c r="DN598" s="909">
        <f>SUM(_xlfn.IFNA(INDEX('Resource use and costs'!$DU$12:$DU$25,MATCH(CZ598,'Resource use and costs'!$DS$12:$DS$25,0)),0),_xlfn.IFNA(INDEX('Resource use and costs'!$DU$12:$DU$25,MATCH(DA598,'Resource use and costs'!$DS$12:$DS$25,0)),0),_xlfn.IFNA(INDEX('Resource use and costs'!$DU$12:$DU$25,MATCH(DB598,'Resource use and costs'!$DS$12:$DS$25,0)),0))</f>
        <v>591.75</v>
      </c>
      <c r="DO598" s="921">
        <f>_xlfn.IFNA(INDEX('Resource use and costs'!$DY$12:$DY$25,MATCH(CZ598,'Resource use and costs'!$DS$12:$DS$25,0)),0)*_xlfn.IFNA(INDEX(DY$10:DY$23,MATCH($CZ598,$DX$10:$DX$23,0)),0)</f>
        <v>810.54285714285697</v>
      </c>
      <c r="DP598" s="921">
        <f>IF(dd_PartSA_2_lines = "Yes",0,_xlfn.IFNA(INDEX('Resource use and costs'!$DZ$12:$DZ$25,MATCH(DA598,'Resource use and costs'!$DS$12:$DS$25,0)),0)*_xlfn.IFNA(INDEX(EA$10:EA$23,MATCH($DA598,$DX$10:$DX$23,0)),0))</f>
        <v>179.14285714285711</v>
      </c>
      <c r="DQ598" s="921">
        <f>IF(dd_PartSA_2_lines = "Yes",0,_xlfn.IFNA(INDEX('Resource use and costs'!$EA$12:$EA$25,MATCH(DB598,'Resource use and costs'!$DS$12:$DS$25,0)),0)*_xlfn.IFNA(INDEX(EC$10:EC$23,MATCH($DB598,$DX$10:$DX$23,0)),0))</f>
        <v>230.68099999999998</v>
      </c>
      <c r="DR598" s="921">
        <f t="shared" si="298"/>
        <v>1812.1167142857141</v>
      </c>
      <c r="DS598" s="1004">
        <f ca="1">SUMIFS('Safety parameters'!$DM$6:$DM$18,'Safety parameters'!$DK$6:$DK$18,CZ598,'Safety parameters'!$DL$6:$DL$18,1)+IF(dd_PartSA_2_lines = "Yes",0,SUMIFS('Safety parameters'!$DM$6:$DM$18,'Safety parameters'!$DK$6:$DK$18,DA598,'Safety parameters'!$DL$6:$DL$18,2)+SUMIFS('Safety parameters'!$DM$6:$DM$18,'Safety parameters'!$DK$6:$DK$18,DB598,'Safety parameters'!$DL$6:$DL$18,2))</f>
        <v>1634.2286735654598</v>
      </c>
      <c r="DT598" s="910">
        <f ca="1">SUMIFS('Safety parameters'!$DO$6:$DO$18,'Safety parameters'!$DK$6:$DK$18,CZ598,'Safety parameters'!$DL$6:$DL$18,1)+IF(dd_PartSA_2_lines = "Yes",0,SUMIFS('Safety parameters'!$DO$6:$DO$18,'Safety parameters'!$DK$6:$DK$18,DA598,'Safety parameters'!$DL$6:$DL$18,2)+SUMIFS('Safety parameters'!$DO$6:$DO$18,'Safety parameters'!$DK$6:$DK$18,DB598,'Safety parameters'!$DL$6:$DL$18,2))</f>
        <v>-1.4741924007481429E-2</v>
      </c>
    </row>
    <row r="599" spans="89:124" ht="15" x14ac:dyDescent="0.2">
      <c r="CK599" s="61" t="s">
        <v>31</v>
      </c>
      <c r="CL599" s="61">
        <v>4</v>
      </c>
      <c r="CM599" s="61" t="str">
        <v>nivolumab_plus_ipilimumab</v>
      </c>
      <c r="CN599" s="17">
        <v>2</v>
      </c>
      <c r="CO599" s="61" t="str" cm="1">
        <f t="array" ref="CO599">INDEX(List_comparators,CP598+1)</f>
        <v>axitinib</v>
      </c>
      <c r="CP599" s="17">
        <v>11</v>
      </c>
      <c r="CQ599" s="601">
        <f t="shared" ca="1" si="288"/>
        <v>0</v>
      </c>
      <c r="CR599" s="601">
        <f t="shared" ca="1" si="289"/>
        <v>0</v>
      </c>
      <c r="CS599" s="601">
        <f t="shared" ca="1" si="290"/>
        <v>22.357142857142858</v>
      </c>
      <c r="CT599" s="669">
        <f t="shared" ca="1" si="291"/>
        <v>4.38</v>
      </c>
      <c r="CU599" s="1123">
        <f>MATCH(CZ606,'Resource use and costs'!$BA$11:$BA$53,0)</f>
        <v>1</v>
      </c>
      <c r="CV599" s="1223"/>
      <c r="CW599" s="1241">
        <f t="shared" si="294"/>
        <v>1</v>
      </c>
      <c r="CX599" s="899" t="s">
        <v>794</v>
      </c>
      <c r="CY599" s="899" t="s">
        <v>118</v>
      </c>
      <c r="CZ599" s="899" t="s">
        <v>333</v>
      </c>
      <c r="DA599" s="899" t="s">
        <v>585</v>
      </c>
      <c r="DB599" s="899" t="s">
        <v>765</v>
      </c>
      <c r="DC599" s="899" cm="1">
        <f t="array" aca="1" ref="DC599" ca="1">_xlfn.IFNA(OFFSET($I$49,MATCH(CY599,$I$50:$I$63,0),MATCH(CZ599,TRANSPOSE($J$49:$W$49),0)),0)</f>
        <v>4.4593339307048986E-2</v>
      </c>
      <c r="DD599" s="899" cm="1">
        <f t="array" aca="1" ref="DD599" ca="1">_xlfn.IFNA(OFFSET($Y$49,MATCH($CZ599,$Y$50:$Y$63,0),MATCH($DA599,TRANSPOSE($Z$49:$AM$49),0)),0)</f>
        <v>8.2100000000000006E-2</v>
      </c>
      <c r="DE599" s="899" cm="1">
        <f t="array" aca="1" ref="DE599" ca="1">_xlfn.IFNA(OFFSET($AO$49,MATCH($DA599,$AO$50:$AO$63,0),MATCH($DB599,TRANSPOSE($AP$49:$BC$49),0)),0)</f>
        <v>0.43140000000000001</v>
      </c>
      <c r="DF599" s="881">
        <f t="shared" ca="1" si="295"/>
        <v>1.5794042159767026E-3</v>
      </c>
      <c r="DG599" s="910">
        <f t="shared" ca="1" si="293"/>
        <v>1.0010447133454794</v>
      </c>
      <c r="DH599" s="881">
        <f t="shared" ca="1" si="296"/>
        <v>1.5810542406390399E-3</v>
      </c>
      <c r="DI599" s="1460">
        <f t="shared" ca="1" si="292"/>
        <v>0.18024018343285053</v>
      </c>
      <c r="DJ599" s="909">
        <f>_xlfn.IFNA(INDEX('Resource use and costs'!$CQ$11:$CQ$53,MATCH($CZ599,'Resource use and costs'!$BA$11:$BA$53,0)),0)*_xlfn.IFNA(INDEX(DY$10:DY$23,MATCH($CZ599,$DX$10:$DX$23,0)),0)</f>
        <v>54336.641519999976</v>
      </c>
      <c r="DK599" s="909">
        <f>IF(dd_PartSA_2_lines = "Yes",0,_xlfn.IFNA(INDEX('Resource use and costs'!$CR$11:$CR$53,MATCH(DA599,'Resource use and costs'!$BA$11:$BA$53,0)),0)*_xlfn.IFNA(INDEX(EA$10:EA$23,MATCH($DA599,$DX$10:$DX$23,0)),0))</f>
        <v>1987.9066666666663</v>
      </c>
      <c r="DL599" s="909">
        <f>IF(dd_PartSA_2_lines = "Yes",0,_xlfn.IFNA(INDEX('Resource use and costs'!$CS$11:$CS$53,MATCH(DB599,'Resource use and costs'!$BA$11:$BA$53,0)),0)*_xlfn.IFNA(INDEX(EC$10:EC$23,MATCH($DB599,$DX$10:$DX$23,0)),0))</f>
        <v>0</v>
      </c>
      <c r="DM599" s="909">
        <f t="shared" si="297"/>
        <v>56324.548186666645</v>
      </c>
      <c r="DN599" s="909">
        <f>SUM(_xlfn.IFNA(INDEX('Resource use and costs'!$DU$12:$DU$25,MATCH(CZ599,'Resource use and costs'!$DS$12:$DS$25,0)),0),_xlfn.IFNA(INDEX('Resource use and costs'!$DU$12:$DU$25,MATCH(DA599,'Resource use and costs'!$DS$12:$DS$25,0)),0),_xlfn.IFNA(INDEX('Resource use and costs'!$DU$12:$DU$25,MATCH(DB599,'Resource use and costs'!$DS$12:$DS$25,0)),0))</f>
        <v>394.5</v>
      </c>
      <c r="DO599" s="921">
        <f>_xlfn.IFNA(INDEX('Resource use and costs'!$DY$12:$DY$25,MATCH(CZ599,'Resource use and costs'!$DS$12:$DS$25,0)),0)*_xlfn.IFNA(INDEX(DY$10:DY$23,MATCH($CZ599,$DX$10:$DX$23,0)),0)</f>
        <v>810.54285714285697</v>
      </c>
      <c r="DP599" s="921">
        <f>IF(dd_PartSA_2_lines = "Yes",0,_xlfn.IFNA(INDEX('Resource use and costs'!$DZ$12:$DZ$25,MATCH(DA599,'Resource use and costs'!$DS$12:$DS$25,0)),0)*_xlfn.IFNA(INDEX(EA$10:EA$23,MATCH($DA599,$DX$10:$DX$23,0)),0))</f>
        <v>179.14285714285711</v>
      </c>
      <c r="DQ599" s="921">
        <f>IF(dd_PartSA_2_lines = "Yes",0,_xlfn.IFNA(INDEX('Resource use and costs'!$EA$12:$EA$25,MATCH(DB599,'Resource use and costs'!$DS$12:$DS$25,0)),0)*_xlfn.IFNA(INDEX(EC$10:EC$23,MATCH($DB599,$DX$10:$DX$23,0)),0))</f>
        <v>0</v>
      </c>
      <c r="DR599" s="921">
        <f t="shared" si="298"/>
        <v>1384.1857142857141</v>
      </c>
      <c r="DS599" s="1004">
        <f>SUMIFS('Safety parameters'!$DM$6:$DM$18,'Safety parameters'!$DK$6:$DK$18,CZ599,'Safety parameters'!$DL$6:$DL$18,1)+IF(dd_PartSA_2_lines = "Yes",0,SUMIFS('Safety parameters'!$DM$6:$DM$18,'Safety parameters'!$DK$6:$DK$18,DA599,'Safety parameters'!$DL$6:$DL$18,2)+SUMIFS('Safety parameters'!$DM$6:$DM$18,'Safety parameters'!$DK$6:$DK$18,DB599,'Safety parameters'!$DL$6:$DL$18,2))</f>
        <v>0</v>
      </c>
      <c r="DT599" s="910">
        <f>SUMIFS('Safety parameters'!$DO$6:$DO$18,'Safety parameters'!$DK$6:$DK$18,CZ599,'Safety parameters'!$DL$6:$DL$18,1)+IF(dd_PartSA_2_lines = "Yes",0,SUMIFS('Safety parameters'!$DO$6:$DO$18,'Safety parameters'!$DK$6:$DK$18,DA599,'Safety parameters'!$DL$6:$DL$18,2)+SUMIFS('Safety parameters'!$DO$6:$DO$18,'Safety parameters'!$DK$6:$DK$18,DB599,'Safety parameters'!$DL$6:$DL$18,2))</f>
        <v>0</v>
      </c>
    </row>
    <row r="600" spans="89:124" ht="15" x14ac:dyDescent="0.2">
      <c r="CK600" s="61" t="s">
        <v>31</v>
      </c>
      <c r="CL600" s="61">
        <v>4</v>
      </c>
      <c r="CM600" s="61" t="str">
        <v>lenvatinib_plus_pembrolizumab</v>
      </c>
      <c r="CN600" s="17">
        <v>3</v>
      </c>
      <c r="CO600" s="61" t="str" cm="1">
        <f t="array" ref="CO600">INDEX(List_comparators,CP599+1)</f>
        <v>axitinib</v>
      </c>
      <c r="CP600" s="17">
        <v>11</v>
      </c>
      <c r="CQ600" s="601">
        <f t="shared" ca="1" si="288"/>
        <v>0</v>
      </c>
      <c r="CR600" s="601">
        <f t="shared" ca="1" si="289"/>
        <v>0</v>
      </c>
      <c r="CS600" s="601">
        <f t="shared" ca="1" si="290"/>
        <v>22.357142857142858</v>
      </c>
      <c r="CT600" s="669">
        <f t="shared" ca="1" si="291"/>
        <v>4.38</v>
      </c>
      <c r="CU600" s="1123">
        <f>MATCH(CZ607,'Resource use and costs'!$BA$11:$BA$53,0)</f>
        <v>1</v>
      </c>
      <c r="CV600" s="1223"/>
      <c r="CW600" s="1241">
        <f t="shared" si="294"/>
        <v>1</v>
      </c>
      <c r="CX600" s="899" t="s">
        <v>794</v>
      </c>
      <c r="CY600" s="899" t="s">
        <v>118</v>
      </c>
      <c r="CZ600" s="899" t="s">
        <v>333</v>
      </c>
      <c r="DA600" s="899" t="s">
        <v>117</v>
      </c>
      <c r="DB600" s="899" t="s">
        <v>327</v>
      </c>
      <c r="DC600" s="899" cm="1">
        <f t="array" aca="1" ref="DC600" ca="1">_xlfn.IFNA(OFFSET($I$49,MATCH(CY600,$I$50:$I$63,0),MATCH(CZ600,TRANSPOSE($J$49:$W$49),0)),0)</f>
        <v>4.4593339307048986E-2</v>
      </c>
      <c r="DD600" s="899" cm="1">
        <f t="array" aca="1" ref="DD600" ca="1">_xlfn.IFNA(OFFSET($Y$49,MATCH($CZ600,$Y$50:$Y$63,0),MATCH($DA600,TRANSPOSE($Z$49:$AM$49),0)),0)</f>
        <v>0</v>
      </c>
      <c r="DE600" s="899">
        <f ca="1">1-DE601</f>
        <v>0.56859999999999999</v>
      </c>
      <c r="DF600" s="881">
        <f t="shared" ca="1" si="295"/>
        <v>0</v>
      </c>
      <c r="DG600" s="910">
        <f t="shared" ca="1" si="293"/>
        <v>1.0010447133454794</v>
      </c>
      <c r="DH600" s="881">
        <f t="shared" ca="1" si="296"/>
        <v>0</v>
      </c>
      <c r="DI600" s="1460">
        <f t="shared" ca="1" si="292"/>
        <v>0</v>
      </c>
      <c r="DJ600" s="909">
        <f>_xlfn.IFNA(INDEX('Resource use and costs'!$CQ$11:$CQ$53,MATCH($CZ600,'Resource use and costs'!$BA$11:$BA$53,0)),0)*_xlfn.IFNA(INDEX(DY$10:DY$23,MATCH($CZ600,$DX$10:$DX$23,0)),0)</f>
        <v>54336.641519999976</v>
      </c>
      <c r="DK600" s="909">
        <f>IF(dd_PartSA_2_lines = "Yes",0,_xlfn.IFNA(INDEX('Resource use and costs'!$CR$11:$CR$53,MATCH(DA600,'Resource use and costs'!$BA$11:$BA$53,0)),0)*_xlfn.IFNA(INDEX(EA$10:EA$23,MATCH($DA600,$DX$10:$DX$23,0)),0))</f>
        <v>1602.2899047619044</v>
      </c>
      <c r="DL600" s="909">
        <f>IF(dd_PartSA_2_lines = "Yes",0,_xlfn.IFNA(INDEX('Resource use and costs'!$CS$11:$CS$53,MATCH(DB600,'Resource use and costs'!$BA$11:$BA$53,0)),0)*_xlfn.IFNA(INDEX(EC$10:EC$23,MATCH($DB600,$DX$10:$DX$23,0)),0))</f>
        <v>18438.751749999999</v>
      </c>
      <c r="DM600" s="909">
        <f t="shared" si="297"/>
        <v>74377.683174761885</v>
      </c>
      <c r="DN600" s="909">
        <f>SUM(_xlfn.IFNA(INDEX('Resource use and costs'!$DU$12:$DU$25,MATCH(CZ600,'Resource use and costs'!$DS$12:$DS$25,0)),0),_xlfn.IFNA(INDEX('Resource use and costs'!$DU$12:$DU$25,MATCH(DA600,'Resource use and costs'!$DS$12:$DS$25,0)),0),_xlfn.IFNA(INDEX('Resource use and costs'!$DU$12:$DU$25,MATCH(DB600,'Resource use and costs'!$DS$12:$DS$25,0)),0))</f>
        <v>591.75</v>
      </c>
      <c r="DO600" s="921">
        <f>_xlfn.IFNA(INDEX('Resource use and costs'!$DY$12:$DY$25,MATCH(CZ600,'Resource use and costs'!$DS$12:$DS$25,0)),0)*_xlfn.IFNA(INDEX(DY$10:DY$23,MATCH($CZ600,$DX$10:$DX$23,0)),0)</f>
        <v>810.54285714285697</v>
      </c>
      <c r="DP600" s="921">
        <f>IF(dd_PartSA_2_lines = "Yes",0,_xlfn.IFNA(INDEX('Resource use and costs'!$DZ$12:$DZ$25,MATCH(DA600,'Resource use and costs'!$DS$12:$DS$25,0)),0)*_xlfn.IFNA(INDEX(EA$10:EA$23,MATCH($DA600,$DX$10:$DX$23,0)),0))</f>
        <v>226.91428571428568</v>
      </c>
      <c r="DQ600" s="921">
        <f>IF(dd_PartSA_2_lines = "Yes",0,_xlfn.IFNA(INDEX('Resource use and costs'!$EA$12:$EA$25,MATCH(DB600,'Resource use and costs'!$DS$12:$DS$25,0)),0)*_xlfn.IFNA(INDEX(EC$10:EC$23,MATCH($DB600,$DX$10:$DX$23,0)),0))</f>
        <v>230.68099999999998</v>
      </c>
      <c r="DR600" s="921">
        <f t="shared" si="298"/>
        <v>1859.8881428571426</v>
      </c>
      <c r="DS600" s="1004">
        <f ca="1">SUMIFS('Safety parameters'!$DM$6:$DM$18,'Safety parameters'!$DK$6:$DK$18,CZ600,'Safety parameters'!$DL$6:$DL$18,1)+IF(dd_PartSA_2_lines = "Yes",0,SUMIFS('Safety parameters'!$DM$6:$DM$18,'Safety parameters'!$DK$6:$DK$18,DA600,'Safety parameters'!$DL$6:$DL$18,2)+SUMIFS('Safety parameters'!$DM$6:$DM$18,'Safety parameters'!$DK$6:$DK$18,DB600,'Safety parameters'!$DL$6:$DL$18,2))</f>
        <v>1634.2286735654598</v>
      </c>
      <c r="DT600" s="910">
        <f ca="1">SUMIFS('Safety parameters'!$DO$6:$DO$18,'Safety parameters'!$DK$6:$DK$18,CZ600,'Safety parameters'!$DL$6:$DL$18,1)+IF(dd_PartSA_2_lines = "Yes",0,SUMIFS('Safety parameters'!$DO$6:$DO$18,'Safety parameters'!$DK$6:$DK$18,DA600,'Safety parameters'!$DL$6:$DL$18,2)+SUMIFS('Safety parameters'!$DO$6:$DO$18,'Safety parameters'!$DK$6:$DK$18,DB600,'Safety parameters'!$DL$6:$DL$18,2))</f>
        <v>-1.4741924007481429E-2</v>
      </c>
    </row>
    <row r="601" spans="89:124" ht="15" x14ac:dyDescent="0.2">
      <c r="CK601" s="61" t="s">
        <v>31</v>
      </c>
      <c r="CL601" s="61">
        <v>4</v>
      </c>
      <c r="CM601" s="61" t="str">
        <v>avelumab_plus_axitinib</v>
      </c>
      <c r="CN601" s="17">
        <v>4</v>
      </c>
      <c r="CO601" s="61" t="str" cm="1">
        <f t="array" ref="CO601">INDEX(List_comparators,CP600+1)</f>
        <v>axitinib</v>
      </c>
      <c r="CP601" s="17">
        <v>11</v>
      </c>
      <c r="CQ601" s="601">
        <f t="shared" ca="1" si="288"/>
        <v>0</v>
      </c>
      <c r="CR601" s="601">
        <f t="shared" ca="1" si="289"/>
        <v>0</v>
      </c>
      <c r="CS601" s="601">
        <f t="shared" ca="1" si="290"/>
        <v>22.357142857142858</v>
      </c>
      <c r="CT601" s="669">
        <f t="shared" ca="1" si="291"/>
        <v>4.38</v>
      </c>
      <c r="CU601" s="1123">
        <f>MATCH(CZ608,'Resource use and costs'!$BA$11:$BA$53,0)</f>
        <v>1</v>
      </c>
      <c r="CV601" s="1223"/>
      <c r="CW601" s="1241">
        <f t="shared" si="294"/>
        <v>1</v>
      </c>
      <c r="CX601" s="899" t="s">
        <v>794</v>
      </c>
      <c r="CY601" s="899" t="s">
        <v>118</v>
      </c>
      <c r="CZ601" s="899" t="s">
        <v>333</v>
      </c>
      <c r="DA601" s="899" t="s">
        <v>117</v>
      </c>
      <c r="DB601" s="899" t="s">
        <v>765</v>
      </c>
      <c r="DC601" s="899" cm="1">
        <f t="array" aca="1" ref="DC601" ca="1">_xlfn.IFNA(OFFSET($I$49,MATCH(CY601,$I$50:$I$63,0),MATCH(CZ601,TRANSPOSE($J$49:$W$49),0)),0)</f>
        <v>4.4593339307048986E-2</v>
      </c>
      <c r="DD601" s="899" cm="1">
        <f t="array" aca="1" ref="DD601" ca="1">_xlfn.IFNA(OFFSET($Y$49,MATCH($CZ601,$Y$50:$Y$63,0),MATCH($DA601,TRANSPOSE($Z$49:$AM$49),0)),0)</f>
        <v>0</v>
      </c>
      <c r="DE601" s="899" cm="1">
        <f t="array" aca="1" ref="DE601" ca="1">_xlfn.IFNA(OFFSET($AO$49,MATCH($DA601,$AO$50:$AO$63,0),MATCH($DB601,TRANSPOSE($AP$49:$BC$49),0)),0)</f>
        <v>0.43140000000000001</v>
      </c>
      <c r="DF601" s="881">
        <f t="shared" ca="1" si="295"/>
        <v>0</v>
      </c>
      <c r="DG601" s="910">
        <f t="shared" ca="1" si="293"/>
        <v>1.0010447133454794</v>
      </c>
      <c r="DH601" s="881">
        <f t="shared" ca="1" si="296"/>
        <v>0</v>
      </c>
      <c r="DI601" s="1460">
        <f t="shared" ca="1" si="292"/>
        <v>0</v>
      </c>
      <c r="DJ601" s="909">
        <f>_xlfn.IFNA(INDEX('Resource use and costs'!$CQ$11:$CQ$53,MATCH($CZ601,'Resource use and costs'!$BA$11:$BA$53,0)),0)*_xlfn.IFNA(INDEX(DY$10:DY$23,MATCH($CZ601,$DX$10:$DX$23,0)),0)</f>
        <v>54336.641519999976</v>
      </c>
      <c r="DK601" s="909">
        <f>IF(dd_PartSA_2_lines = "Yes",0,_xlfn.IFNA(INDEX('Resource use and costs'!$CR$11:$CR$53,MATCH(DA601,'Resource use and costs'!$BA$11:$BA$53,0)),0)*_xlfn.IFNA(INDEX(EA$10:EA$23,MATCH($DA601,$DX$10:$DX$23,0)),0))</f>
        <v>1602.2899047619044</v>
      </c>
      <c r="DL601" s="909">
        <f>IF(dd_PartSA_2_lines = "Yes",0,_xlfn.IFNA(INDEX('Resource use and costs'!$CS$11:$CS$53,MATCH(DB601,'Resource use and costs'!$BA$11:$BA$53,0)),0)*_xlfn.IFNA(INDEX(EC$10:EC$23,MATCH($DB601,$DX$10:$DX$23,0)),0))</f>
        <v>0</v>
      </c>
      <c r="DM601" s="909">
        <f t="shared" si="297"/>
        <v>55938.931424761882</v>
      </c>
      <c r="DN601" s="909">
        <f>SUM(_xlfn.IFNA(INDEX('Resource use and costs'!$DU$12:$DU$25,MATCH(CZ601,'Resource use and costs'!$DS$12:$DS$25,0)),0),_xlfn.IFNA(INDEX('Resource use and costs'!$DU$12:$DU$25,MATCH(DA601,'Resource use and costs'!$DS$12:$DS$25,0)),0),_xlfn.IFNA(INDEX('Resource use and costs'!$DU$12:$DU$25,MATCH(DB601,'Resource use and costs'!$DS$12:$DS$25,0)),0))</f>
        <v>394.5</v>
      </c>
      <c r="DO601" s="921">
        <f>_xlfn.IFNA(INDEX('Resource use and costs'!$DY$12:$DY$25,MATCH(CZ601,'Resource use and costs'!$DS$12:$DS$25,0)),0)*_xlfn.IFNA(INDEX(DY$10:DY$23,MATCH($CZ601,$DX$10:$DX$23,0)),0)</f>
        <v>810.54285714285697</v>
      </c>
      <c r="DP601" s="921">
        <f>IF(dd_PartSA_2_lines = "Yes",0,_xlfn.IFNA(INDEX('Resource use and costs'!$DZ$12:$DZ$25,MATCH(DA601,'Resource use and costs'!$DS$12:$DS$25,0)),0)*_xlfn.IFNA(INDEX(EA$10:EA$23,MATCH($DA601,$DX$10:$DX$23,0)),0))</f>
        <v>226.91428571428568</v>
      </c>
      <c r="DQ601" s="921">
        <f>IF(dd_PartSA_2_lines = "Yes",0,_xlfn.IFNA(INDEX('Resource use and costs'!$EA$12:$EA$25,MATCH(DB601,'Resource use and costs'!$DS$12:$DS$25,0)),0)*_xlfn.IFNA(INDEX(EC$10:EC$23,MATCH($DB601,$DX$10:$DX$23,0)),0))</f>
        <v>0</v>
      </c>
      <c r="DR601" s="921">
        <f t="shared" si="298"/>
        <v>1431.9571428571426</v>
      </c>
      <c r="DS601" s="1004">
        <f>SUMIFS('Safety parameters'!$DM$6:$DM$18,'Safety parameters'!$DK$6:$DK$18,CZ601,'Safety parameters'!$DL$6:$DL$18,1)+IF(dd_PartSA_2_lines = "Yes",0,SUMIFS('Safety parameters'!$DM$6:$DM$18,'Safety parameters'!$DK$6:$DK$18,DA601,'Safety parameters'!$DL$6:$DL$18,2)+SUMIFS('Safety parameters'!$DM$6:$DM$18,'Safety parameters'!$DK$6:$DK$18,DB601,'Safety parameters'!$DL$6:$DL$18,2))</f>
        <v>0</v>
      </c>
      <c r="DT601" s="910">
        <f>SUMIFS('Safety parameters'!$DO$6:$DO$18,'Safety parameters'!$DK$6:$DK$18,CZ601,'Safety parameters'!$DL$6:$DL$18,1)+IF(dd_PartSA_2_lines = "Yes",0,SUMIFS('Safety parameters'!$DO$6:$DO$18,'Safety parameters'!$DK$6:$DK$18,DA601,'Safety parameters'!$DL$6:$DL$18,2)+SUMIFS('Safety parameters'!$DO$6:$DO$18,'Safety parameters'!$DK$6:$DK$18,DB601,'Safety parameters'!$DL$6:$DL$18,2))</f>
        <v>0</v>
      </c>
    </row>
    <row r="602" spans="89:124" ht="15" x14ac:dyDescent="0.2">
      <c r="CK602" s="61" t="s">
        <v>31</v>
      </c>
      <c r="CL602" s="61">
        <v>4</v>
      </c>
      <c r="CM602" s="61" t="str">
        <v>pazopanib</v>
      </c>
      <c r="CN602" s="17">
        <v>5</v>
      </c>
      <c r="CO602" s="61" t="str" cm="1">
        <f t="array" ref="CO602">INDEX(List_comparators,CP601+1)</f>
        <v>axitinib</v>
      </c>
      <c r="CP602" s="17">
        <v>11</v>
      </c>
      <c r="CQ602" s="601">
        <f t="shared" ca="1" si="288"/>
        <v>0.37909999999999999</v>
      </c>
      <c r="CR602" s="601">
        <f t="shared" ca="1" si="289"/>
        <v>3.7909999999999999E-2</v>
      </c>
      <c r="CS602" s="601">
        <f t="shared" ca="1" si="290"/>
        <v>22.357142857142858</v>
      </c>
      <c r="CT602" s="669">
        <f t="shared" ca="1" si="291"/>
        <v>4.38</v>
      </c>
      <c r="CU602" s="1123">
        <f>MATCH(CZ609,'Resource use and costs'!$BA$11:$BA$53,0)</f>
        <v>1</v>
      </c>
      <c r="CV602" s="1223"/>
      <c r="CW602" s="1241">
        <f t="shared" si="294"/>
        <v>1</v>
      </c>
      <c r="CX602" s="899" t="s">
        <v>794</v>
      </c>
      <c r="CY602" s="899" t="s">
        <v>118</v>
      </c>
      <c r="CZ602" s="899" t="s">
        <v>333</v>
      </c>
      <c r="DA602" s="899" t="s">
        <v>319</v>
      </c>
      <c r="DB602" s="899" t="s">
        <v>327</v>
      </c>
      <c r="DC602" s="899" cm="1">
        <f t="array" aca="1" ref="DC602" ca="1">_xlfn.IFNA(OFFSET($I$49,MATCH(CY602,$I$50:$I$63,0),MATCH(CZ602,TRANSPOSE($J$49:$W$49),0)),0)</f>
        <v>4.4593339307048986E-2</v>
      </c>
      <c r="DD602" s="899" cm="1">
        <f t="array" aca="1" ref="DD602" ca="1">_xlfn.IFNA(OFFSET($Y$49,MATCH($CZ602,$Y$50:$Y$63,0),MATCH($DA602,TRANSPOSE($Z$49:$AM$49),0)),0)</f>
        <v>0</v>
      </c>
      <c r="DE602" s="899">
        <f ca="1">1-DE603</f>
        <v>0.56859999999999999</v>
      </c>
      <c r="DF602" s="881">
        <f t="shared" ca="1" si="295"/>
        <v>0</v>
      </c>
      <c r="DG602" s="910">
        <f t="shared" ca="1" si="293"/>
        <v>1.0010447133454794</v>
      </c>
      <c r="DH602" s="881">
        <f t="shared" ca="1" si="296"/>
        <v>0</v>
      </c>
      <c r="DI602" s="1460">
        <f t="shared" ca="1" si="292"/>
        <v>0</v>
      </c>
      <c r="DJ602" s="909">
        <f>_xlfn.IFNA(INDEX('Resource use and costs'!$CQ$11:$CQ$53,MATCH($CZ602,'Resource use and costs'!$BA$11:$BA$53,0)),0)*_xlfn.IFNA(INDEX(DY$10:DY$23,MATCH($CZ602,$DX$10:$DX$23,0)),0)</f>
        <v>54336.641519999976</v>
      </c>
      <c r="DK602" s="909">
        <f>IF(dd_PartSA_2_lines = "Yes",0,_xlfn.IFNA(INDEX('Resource use and costs'!$CR$11:$CR$53,MATCH(DA602,'Resource use and costs'!$BA$11:$BA$53,0)),0)*_xlfn.IFNA(INDEX(EA$10:EA$23,MATCH($DA602,$DX$10:$DX$23,0)),0))</f>
        <v>11139.428571428571</v>
      </c>
      <c r="DL602" s="909">
        <f>IF(dd_PartSA_2_lines = "Yes",0,_xlfn.IFNA(INDEX('Resource use and costs'!$CS$11:$CS$53,MATCH(DB602,'Resource use and costs'!$BA$11:$BA$53,0)),0)*_xlfn.IFNA(INDEX(EC$10:EC$23,MATCH($DB602,$DX$10:$DX$23,0)),0))</f>
        <v>18438.751749999999</v>
      </c>
      <c r="DM602" s="909">
        <f t="shared" si="297"/>
        <v>83914.821841428551</v>
      </c>
      <c r="DN602" s="909">
        <f>SUM(_xlfn.IFNA(INDEX('Resource use and costs'!$DU$12:$DU$25,MATCH(CZ602,'Resource use and costs'!$DS$12:$DS$25,0)),0),_xlfn.IFNA(INDEX('Resource use and costs'!$DU$12:$DU$25,MATCH(DA602,'Resource use and costs'!$DS$12:$DS$25,0)),0),_xlfn.IFNA(INDEX('Resource use and costs'!$DU$12:$DU$25,MATCH(DB602,'Resource use and costs'!$DS$12:$DS$25,0)),0))</f>
        <v>591.75</v>
      </c>
      <c r="DO602" s="921">
        <f>_xlfn.IFNA(INDEX('Resource use and costs'!$DY$12:$DY$25,MATCH(CZ602,'Resource use and costs'!$DS$12:$DS$25,0)),0)*_xlfn.IFNA(INDEX(DY$10:DY$23,MATCH($CZ602,$DX$10:$DX$23,0)),0)</f>
        <v>810.54285714285697</v>
      </c>
      <c r="DP602" s="921">
        <f>IF(dd_PartSA_2_lines = "Yes",0,_xlfn.IFNA(INDEX('Resource use and costs'!$DZ$12:$DZ$25,MATCH(DA602,'Resource use and costs'!$DS$12:$DS$25,0)),0)*_xlfn.IFNA(INDEX(EA$10:EA$23,MATCH($DA602,$DX$10:$DX$23,0)),0))</f>
        <v>238.85714285714283</v>
      </c>
      <c r="DQ602" s="921">
        <f>IF(dd_PartSA_2_lines = "Yes",0,_xlfn.IFNA(INDEX('Resource use and costs'!$EA$12:$EA$25,MATCH(DB602,'Resource use and costs'!$DS$12:$DS$25,0)),0)*_xlfn.IFNA(INDEX(EC$10:EC$23,MATCH($DB602,$DX$10:$DX$23,0)),0))</f>
        <v>230.68099999999998</v>
      </c>
      <c r="DR602" s="921">
        <f t="shared" si="298"/>
        <v>1871.8309999999999</v>
      </c>
      <c r="DS602" s="1004">
        <f ca="1">SUMIFS('Safety parameters'!$DM$6:$DM$18,'Safety parameters'!$DK$6:$DK$18,CZ602,'Safety parameters'!$DL$6:$DL$18,1)+IF(dd_PartSA_2_lines = "Yes",0,SUMIFS('Safety parameters'!$DM$6:$DM$18,'Safety parameters'!$DK$6:$DK$18,DA602,'Safety parameters'!$DL$6:$DL$18,2)+SUMIFS('Safety parameters'!$DM$6:$DM$18,'Safety parameters'!$DK$6:$DK$18,DB602,'Safety parameters'!$DL$6:$DL$18,2))</f>
        <v>1634.2286735654598</v>
      </c>
      <c r="DT602" s="910">
        <f ca="1">SUMIFS('Safety parameters'!$DO$6:$DO$18,'Safety parameters'!$DK$6:$DK$18,CZ602,'Safety parameters'!$DL$6:$DL$18,1)+IF(dd_PartSA_2_lines = "Yes",0,SUMIFS('Safety parameters'!$DO$6:$DO$18,'Safety parameters'!$DK$6:$DK$18,DA602,'Safety parameters'!$DL$6:$DL$18,2)+SUMIFS('Safety parameters'!$DO$6:$DO$18,'Safety parameters'!$DK$6:$DK$18,DB602,'Safety parameters'!$DL$6:$DL$18,2))</f>
        <v>-1.4741924007481429E-2</v>
      </c>
    </row>
    <row r="603" spans="89:124" ht="15" x14ac:dyDescent="0.2">
      <c r="CK603" s="61" t="s">
        <v>31</v>
      </c>
      <c r="CL603" s="61">
        <v>4</v>
      </c>
      <c r="CM603" s="61" t="str">
        <v>tivozanib</v>
      </c>
      <c r="CN603" s="17">
        <v>6</v>
      </c>
      <c r="CO603" s="61" t="str" cm="1">
        <f t="array" ref="CO603">INDEX(List_comparators,CP602+1)</f>
        <v>axitinib</v>
      </c>
      <c r="CP603" s="17">
        <v>11</v>
      </c>
      <c r="CQ603" s="601">
        <f t="shared" ref="CQ603:CQ634" ca="1" si="299">OFFSET($AP$50,IF(CN603=999,13,CN603),CP603)</f>
        <v>0.37909999999999999</v>
      </c>
      <c r="CR603" s="601">
        <f t="shared" ref="CR603:CR638" ca="1" si="300">OFFSET($AP$65,IF(CN603=999,13,CN603),CP603)</f>
        <v>3.7909999999999999E-2</v>
      </c>
      <c r="CS603" s="601">
        <f t="shared" ref="CS603:CS638" ca="1" si="301">OFFSET($AP$81,IF(CN603=999,13,CN603),CP603)</f>
        <v>22.357142857142858</v>
      </c>
      <c r="CT603" s="669">
        <f t="shared" ref="CT603:CT638" ca="1" si="302">OFFSET($AP$97,IF(CN603=999,13,CN603),CP603)</f>
        <v>4.38</v>
      </c>
      <c r="CU603" s="1123">
        <f>MATCH(CZ610,'Resource use and costs'!$BA$11:$BA$53,0)</f>
        <v>1</v>
      </c>
      <c r="CV603" s="1223"/>
      <c r="CW603" s="1241">
        <f t="shared" si="294"/>
        <v>1</v>
      </c>
      <c r="CX603" s="899" t="s">
        <v>794</v>
      </c>
      <c r="CY603" s="899" t="s">
        <v>118</v>
      </c>
      <c r="CZ603" s="899" t="s">
        <v>333</v>
      </c>
      <c r="DA603" s="899" t="s">
        <v>319</v>
      </c>
      <c r="DB603" s="899" t="s">
        <v>765</v>
      </c>
      <c r="DC603" s="899" cm="1">
        <f t="array" aca="1" ref="DC603" ca="1">_xlfn.IFNA(OFFSET($I$49,MATCH(CY603,$I$50:$I$63,0),MATCH(CZ603,TRANSPOSE($J$49:$W$49),0)),0)</f>
        <v>4.4593339307048986E-2</v>
      </c>
      <c r="DD603" s="899" cm="1">
        <f t="array" aca="1" ref="DD603" ca="1">_xlfn.IFNA(OFFSET($Y$49,MATCH($CZ603,$Y$50:$Y$63,0),MATCH($DA603,TRANSPOSE($Z$49:$AM$49),0)),0)</f>
        <v>0</v>
      </c>
      <c r="DE603" s="899" cm="1">
        <f t="array" aca="1" ref="DE603" ca="1">_xlfn.IFNA(OFFSET($AO$49,MATCH($DA603,$AO$50:$AO$63,0),MATCH($DB603,TRANSPOSE($AP$49:$BC$49),0)),0)</f>
        <v>0.43140000000000001</v>
      </c>
      <c r="DF603" s="881">
        <f t="shared" ca="1" si="295"/>
        <v>0</v>
      </c>
      <c r="DG603" s="910">
        <f t="shared" ca="1" si="293"/>
        <v>1.0010447133454794</v>
      </c>
      <c r="DH603" s="881">
        <f t="shared" ca="1" si="296"/>
        <v>0</v>
      </c>
      <c r="DI603" s="1460">
        <f t="shared" ca="1" si="292"/>
        <v>0</v>
      </c>
      <c r="DJ603" s="909">
        <f>_xlfn.IFNA(INDEX('Resource use and costs'!$CQ$11:$CQ$53,MATCH($CZ603,'Resource use and costs'!$BA$11:$BA$53,0)),0)*_xlfn.IFNA(INDEX(DY$10:DY$23,MATCH($CZ603,$DX$10:$DX$23,0)),0)</f>
        <v>54336.641519999976</v>
      </c>
      <c r="DK603" s="909">
        <f>IF(dd_PartSA_2_lines = "Yes",0,_xlfn.IFNA(INDEX('Resource use and costs'!$CR$11:$CR$53,MATCH(DA603,'Resource use and costs'!$BA$11:$BA$53,0)),0)*_xlfn.IFNA(INDEX(EA$10:EA$23,MATCH($DA603,$DX$10:$DX$23,0)),0))</f>
        <v>11139.428571428571</v>
      </c>
      <c r="DL603" s="909">
        <f>IF(dd_PartSA_2_lines = "Yes",0,_xlfn.IFNA(INDEX('Resource use and costs'!$CS$11:$CS$53,MATCH(DB603,'Resource use and costs'!$BA$11:$BA$53,0)),0)*_xlfn.IFNA(INDEX(EC$10:EC$23,MATCH($DB603,$DX$10:$DX$23,0)),0))</f>
        <v>0</v>
      </c>
      <c r="DM603" s="909">
        <f t="shared" si="297"/>
        <v>65476.070091428548</v>
      </c>
      <c r="DN603" s="909">
        <f>SUM(_xlfn.IFNA(INDEX('Resource use and costs'!$DU$12:$DU$25,MATCH(CZ603,'Resource use and costs'!$DS$12:$DS$25,0)),0),_xlfn.IFNA(INDEX('Resource use and costs'!$DU$12:$DU$25,MATCH(DA603,'Resource use and costs'!$DS$12:$DS$25,0)),0),_xlfn.IFNA(INDEX('Resource use and costs'!$DU$12:$DU$25,MATCH(DB603,'Resource use and costs'!$DS$12:$DS$25,0)),0))</f>
        <v>394.5</v>
      </c>
      <c r="DO603" s="921">
        <f>_xlfn.IFNA(INDEX('Resource use and costs'!$DY$12:$DY$25,MATCH(CZ603,'Resource use and costs'!$DS$12:$DS$25,0)),0)*_xlfn.IFNA(INDEX(DY$10:DY$23,MATCH($CZ603,$DX$10:$DX$23,0)),0)</f>
        <v>810.54285714285697</v>
      </c>
      <c r="DP603" s="921">
        <f>IF(dd_PartSA_2_lines = "Yes",0,_xlfn.IFNA(INDEX('Resource use and costs'!$DZ$12:$DZ$25,MATCH(DA603,'Resource use and costs'!$DS$12:$DS$25,0)),0)*_xlfn.IFNA(INDEX(EA$10:EA$23,MATCH($DA603,$DX$10:$DX$23,0)),0))</f>
        <v>238.85714285714283</v>
      </c>
      <c r="DQ603" s="921">
        <f>IF(dd_PartSA_2_lines = "Yes",0,_xlfn.IFNA(INDEX('Resource use and costs'!$EA$12:$EA$25,MATCH(DB603,'Resource use and costs'!$DS$12:$DS$25,0)),0)*_xlfn.IFNA(INDEX(EC$10:EC$23,MATCH($DB603,$DX$10:$DX$23,0)),0))</f>
        <v>0</v>
      </c>
      <c r="DR603" s="921">
        <f t="shared" si="298"/>
        <v>1443.8999999999999</v>
      </c>
      <c r="DS603" s="1004">
        <f>SUMIFS('Safety parameters'!$DM$6:$DM$18,'Safety parameters'!$DK$6:$DK$18,CZ603,'Safety parameters'!$DL$6:$DL$18,1)+IF(dd_PartSA_2_lines = "Yes",0,SUMIFS('Safety parameters'!$DM$6:$DM$18,'Safety parameters'!$DK$6:$DK$18,DA603,'Safety parameters'!$DL$6:$DL$18,2)+SUMIFS('Safety parameters'!$DM$6:$DM$18,'Safety parameters'!$DK$6:$DK$18,DB603,'Safety parameters'!$DL$6:$DL$18,2))</f>
        <v>0</v>
      </c>
      <c r="DT603" s="910">
        <f>SUMIFS('Safety parameters'!$DO$6:$DO$18,'Safety parameters'!$DK$6:$DK$18,CZ603,'Safety parameters'!$DL$6:$DL$18,1)+IF(dd_PartSA_2_lines = "Yes",0,SUMIFS('Safety parameters'!$DO$6:$DO$18,'Safety parameters'!$DK$6:$DK$18,DA603,'Safety parameters'!$DL$6:$DL$18,2)+SUMIFS('Safety parameters'!$DO$6:$DO$18,'Safety parameters'!$DK$6:$DK$18,DB603,'Safety parameters'!$DL$6:$DL$18,2))</f>
        <v>0</v>
      </c>
    </row>
    <row r="604" spans="89:124" ht="15" x14ac:dyDescent="0.2">
      <c r="CK604" s="61" t="s">
        <v>31</v>
      </c>
      <c r="CL604" s="61">
        <v>4</v>
      </c>
      <c r="CM604" s="61" t="str">
        <v>sunitinib</v>
      </c>
      <c r="CN604" s="17">
        <v>7</v>
      </c>
      <c r="CO604" s="61" t="str" cm="1">
        <f t="array" ref="CO604">INDEX(List_comparators,CP603+1)</f>
        <v>axitinib</v>
      </c>
      <c r="CP604" s="17">
        <v>11</v>
      </c>
      <c r="CQ604" s="601">
        <f t="shared" ca="1" si="299"/>
        <v>0.37909999999999999</v>
      </c>
      <c r="CR604" s="601">
        <f t="shared" ca="1" si="300"/>
        <v>3.7909999999999999E-2</v>
      </c>
      <c r="CS604" s="601">
        <f t="shared" ca="1" si="301"/>
        <v>22.357142857142858</v>
      </c>
      <c r="CT604" s="669">
        <f t="shared" ca="1" si="302"/>
        <v>4.38</v>
      </c>
      <c r="CU604" s="1123">
        <f>MATCH(CZ611,'Resource use and costs'!$BA$11:$BA$53,0)</f>
        <v>1</v>
      </c>
      <c r="CV604" s="1223"/>
      <c r="CW604" s="1241">
        <f t="shared" si="294"/>
        <v>1</v>
      </c>
      <c r="CX604" s="899" t="s">
        <v>794</v>
      </c>
      <c r="CY604" s="899" t="s">
        <v>118</v>
      </c>
      <c r="CZ604" s="899" t="s">
        <v>579</v>
      </c>
      <c r="DA604" s="899" t="s">
        <v>327</v>
      </c>
      <c r="DB604" s="899" t="s">
        <v>765</v>
      </c>
      <c r="DC604" s="899" cm="1">
        <f t="array" aca="1" ref="DC604" ca="1">_xlfn.IFNA(OFFSET($I$49,MATCH(CY604,$I$50:$I$63,0),MATCH(CZ604,TRANSPOSE($J$49:$W$49),0)),0)</f>
        <v>0.59511111111111104</v>
      </c>
      <c r="DD604" s="899" cm="1">
        <f t="array" aca="1" ref="DD604" ca="1">_xlfn.IFNA(OFFSET($Y$49,MATCH($CZ604,$Y$50:$Y$63,0),MATCH($DA604,TRANSPOSE($Z$49:$AM$49),0)),0)</f>
        <v>5.2400000000000002E-2</v>
      </c>
      <c r="DE604" s="899" cm="1">
        <f t="array" aca="1" ref="DE604" ca="1">_xlfn.IFNA(OFFSET($AO$49,MATCH($DA604,$AO$50:$AO$63,0),MATCH($DB604,TRANSPOSE($AP$49:$BC$49),0)),0)</f>
        <v>0.43140000000000001</v>
      </c>
      <c r="DF604" s="881">
        <f t="shared" ca="1" si="295"/>
        <v>1.3452700906666665E-2</v>
      </c>
      <c r="DG604" s="910">
        <f t="shared" ca="1" si="293"/>
        <v>1.0010447133454794</v>
      </c>
      <c r="DH604" s="881">
        <f t="shared" ca="1" si="296"/>
        <v>1.3466755122836602E-2</v>
      </c>
      <c r="DI604" s="1460">
        <f t="shared" ca="1" si="292"/>
        <v>1.5352100840033727</v>
      </c>
      <c r="DJ604" s="909">
        <f>_xlfn.IFNA(INDEX('Resource use and costs'!$CQ$11:$CQ$53,MATCH($CZ604,'Resource use and costs'!$BA$11:$BA$53,0)),0)*_xlfn.IFNA(INDEX(DY$10:DY$23,MATCH($CZ604,$DX$10:$DX$23,0)),0)</f>
        <v>56693.786091428577</v>
      </c>
      <c r="DK604" s="909">
        <f>IF(dd_PartSA_2_lines = "Yes",0,_xlfn.IFNA(INDEX('Resource use and costs'!$CR$11:$CR$53,MATCH(DA604,'Resource use and costs'!$BA$11:$BA$53,0)),0)*_xlfn.IFNA(INDEX(EA$10:EA$23,MATCH($DA604,$DX$10:$DX$23,0)),0))</f>
        <v>21421.066008214286</v>
      </c>
      <c r="DL604" s="909">
        <f>IF(dd_PartSA_2_lines = "Yes",0,_xlfn.IFNA(INDEX('Resource use and costs'!$CS$11:$CS$53,MATCH(DB604,'Resource use and costs'!$BA$11:$BA$53,0)),0)*_xlfn.IFNA(INDEX(EC$10:EC$23,MATCH($DB604,$DX$10:$DX$23,0)),0))</f>
        <v>0</v>
      </c>
      <c r="DM604" s="909">
        <f t="shared" si="297"/>
        <v>78114.852099642856</v>
      </c>
      <c r="DN604" s="909">
        <f>SUM(_xlfn.IFNA(INDEX('Resource use and costs'!$DU$12:$DU$25,MATCH(CZ604,'Resource use and costs'!$DS$12:$DS$25,0)),0),_xlfn.IFNA(INDEX('Resource use and costs'!$DU$12:$DU$25,MATCH(DA604,'Resource use and costs'!$DS$12:$DS$25,0)),0),_xlfn.IFNA(INDEX('Resource use and costs'!$DU$12:$DU$25,MATCH(DB604,'Resource use and costs'!$DS$12:$DS$25,0)),0))</f>
        <v>197.25</v>
      </c>
      <c r="DO604" s="921">
        <f>_xlfn.IFNA(INDEX('Resource use and costs'!$DY$12:$DY$25,MATCH(CZ604,'Resource use and costs'!$DS$12:$DS$25,0)),0)*_xlfn.IFNA(INDEX(DY$10:DY$23,MATCH($CZ604,$DX$10:$DX$23,0)),0)</f>
        <v>8939.6605049142872</v>
      </c>
      <c r="DP604" s="921">
        <f>IF(dd_PartSA_2_lines = "Yes",0,_xlfn.IFNA(INDEX('Resource use and costs'!$DZ$12:$DZ$25,MATCH(DA604,'Resource use and costs'!$DS$12:$DS$25,0)),0)*_xlfn.IFNA(INDEX(EA$10:EA$23,MATCH($DA604,$DX$10:$DX$23,0)),0))</f>
        <v>267.99172714285714</v>
      </c>
      <c r="DQ604" s="921">
        <f>IF(dd_PartSA_2_lines = "Yes",0,_xlfn.IFNA(INDEX('Resource use and costs'!$EA$12:$EA$25,MATCH(DB604,'Resource use and costs'!$DS$12:$DS$25,0)),0)*_xlfn.IFNA(INDEX(EC$10:EC$23,MATCH($DB604,$DX$10:$DX$23,0)),0))</f>
        <v>0</v>
      </c>
      <c r="DR604" s="921">
        <f t="shared" si="298"/>
        <v>9404.9022320571439</v>
      </c>
      <c r="DS604" s="1004">
        <f ca="1">SUMIFS('Safety parameters'!$DM$6:$DM$18,'Safety parameters'!$DK$6:$DK$18,CZ604,'Safety parameters'!$DL$6:$DL$18,1)+IF(dd_PartSA_2_lines = "Yes",0,SUMIFS('Safety parameters'!$DM$6:$DM$18,'Safety parameters'!$DK$6:$DK$18,DA604,'Safety parameters'!$DL$6:$DL$18,2)+SUMIFS('Safety parameters'!$DM$6:$DM$18,'Safety parameters'!$DK$6:$DK$18,DB604,'Safety parameters'!$DL$6:$DL$18,2))</f>
        <v>1634.2286735654598</v>
      </c>
      <c r="DT604" s="910">
        <f ca="1">SUMIFS('Safety parameters'!$DO$6:$DO$18,'Safety parameters'!$DK$6:$DK$18,CZ604,'Safety parameters'!$DL$6:$DL$18,1)+IF(dd_PartSA_2_lines = "Yes",0,SUMIFS('Safety parameters'!$DO$6:$DO$18,'Safety parameters'!$DK$6:$DK$18,DA604,'Safety parameters'!$DL$6:$DL$18,2)+SUMIFS('Safety parameters'!$DO$6:$DO$18,'Safety parameters'!$DK$6:$DK$18,DB604,'Safety parameters'!$DL$6:$DL$18,2))</f>
        <v>-1.4741924007481429E-2</v>
      </c>
    </row>
    <row r="605" spans="89:124" ht="15" x14ac:dyDescent="0.2">
      <c r="CK605" s="61" t="s">
        <v>31</v>
      </c>
      <c r="CL605" s="61">
        <v>4</v>
      </c>
      <c r="CM605" s="61" t="str">
        <v>cabozantinib</v>
      </c>
      <c r="CN605" s="17">
        <v>8</v>
      </c>
      <c r="CO605" s="61" t="str" cm="1">
        <f t="array" ref="CO605">INDEX(List_comparators,CP604+1)</f>
        <v>axitinib</v>
      </c>
      <c r="CP605" s="17">
        <v>11</v>
      </c>
      <c r="CQ605" s="601">
        <f t="shared" ca="1" si="299"/>
        <v>0.38769999999999999</v>
      </c>
      <c r="CR605" s="601">
        <f t="shared" ca="1" si="300"/>
        <v>3.8769999999999999E-2</v>
      </c>
      <c r="CS605" s="601">
        <f t="shared" ca="1" si="301"/>
        <v>22.357142857142858</v>
      </c>
      <c r="CT605" s="669">
        <f t="shared" ca="1" si="302"/>
        <v>4.38</v>
      </c>
      <c r="CU605" s="1123">
        <f>MATCH(CZ612,'Resource use and costs'!$BA$11:$BA$53,0)</f>
        <v>1</v>
      </c>
      <c r="CV605" s="1223"/>
      <c r="CW605" s="1241">
        <f t="shared" si="294"/>
        <v>1</v>
      </c>
      <c r="CX605" s="899" t="s">
        <v>794</v>
      </c>
      <c r="CY605" s="899" t="s">
        <v>118</v>
      </c>
      <c r="CZ605" s="899" t="s">
        <v>579</v>
      </c>
      <c r="DA605" s="899" t="s">
        <v>327</v>
      </c>
      <c r="DB605" s="899" t="s">
        <v>119</v>
      </c>
      <c r="DC605" s="899" cm="1">
        <f t="array" aca="1" ref="DC605" ca="1">_xlfn.IFNA(OFFSET($I$49,MATCH(CY605,$I$50:$I$63,0),MATCH(CZ605,TRANSPOSE($J$49:$W$49),0)),0)</f>
        <v>0.59511111111111104</v>
      </c>
      <c r="DD605" s="899" cm="1">
        <f t="array" aca="1" ref="DD605" ca="1">_xlfn.IFNA(OFFSET($Y$49,MATCH($CZ605,$Y$50:$Y$63,0),MATCH($DA605,TRANSPOSE($Z$49:$AM$49),0)),0)</f>
        <v>5.2400000000000002E-2</v>
      </c>
      <c r="DE605" s="899" cm="1">
        <f t="array" aca="1" ref="DE605" ca="1">_xlfn.IFNA(OFFSET($AO$49,MATCH($DA605,$AO$50:$AO$63,0),MATCH($DB605,TRANSPOSE($AP$49:$BC$49),0)),0)</f>
        <v>0.56859999999999999</v>
      </c>
      <c r="DF605" s="881">
        <f t="shared" ca="1" si="295"/>
        <v>1.7731121315555553E-2</v>
      </c>
      <c r="DG605" s="910">
        <f t="shared" ca="1" si="293"/>
        <v>1.0010447133454794</v>
      </c>
      <c r="DH605" s="881">
        <f t="shared" ca="1" si="296"/>
        <v>1.7749645254624229E-2</v>
      </c>
      <c r="DI605" s="1460">
        <f t="shared" ca="1" si="292"/>
        <v>2.0234595590271622</v>
      </c>
      <c r="DJ605" s="909">
        <f>_xlfn.IFNA(INDEX('Resource use and costs'!$CQ$11:$CQ$53,MATCH($CZ605,'Resource use and costs'!$BA$11:$BA$53,0)),0)*_xlfn.IFNA(INDEX(DY$10:DY$23,MATCH($CZ605,$DX$10:$DX$23,0)),0)</f>
        <v>56693.786091428577</v>
      </c>
      <c r="DK605" s="909">
        <f>IF(dd_PartSA_2_lines = "Yes",0,_xlfn.IFNA(INDEX('Resource use and costs'!$CR$11:$CR$53,MATCH(DA605,'Resource use and costs'!$BA$11:$BA$53,0)),0)*_xlfn.IFNA(INDEX(EA$10:EA$23,MATCH($DA605,$DX$10:$DX$23,0)),0))</f>
        <v>21421.066008214286</v>
      </c>
      <c r="DL605" s="909">
        <f>IF(dd_PartSA_2_lines = "Yes",0,_xlfn.IFNA(INDEX('Resource use and costs'!$CS$11:$CS$53,MATCH(DB605,'Resource use and costs'!$BA$11:$BA$53,0)),0)*_xlfn.IFNA(INDEX(EC$10:EC$23,MATCH($DB605,$DX$10:$DX$23,0)),0))</f>
        <v>2915.4763433333328</v>
      </c>
      <c r="DM605" s="909">
        <f t="shared" si="297"/>
        <v>81030.328442976184</v>
      </c>
      <c r="DN605" s="909">
        <f>SUM(_xlfn.IFNA(INDEX('Resource use and costs'!$DU$12:$DU$25,MATCH(CZ605,'Resource use and costs'!$DS$12:$DS$25,0)),0),_xlfn.IFNA(INDEX('Resource use and costs'!$DU$12:$DU$25,MATCH(DA605,'Resource use and costs'!$DS$12:$DS$25,0)),0),_xlfn.IFNA(INDEX('Resource use and costs'!$DU$12:$DU$25,MATCH(DB605,'Resource use and costs'!$DS$12:$DS$25,0)),0))</f>
        <v>394.5</v>
      </c>
      <c r="DO605" s="921">
        <f>_xlfn.IFNA(INDEX('Resource use and costs'!$DY$12:$DY$25,MATCH(CZ605,'Resource use and costs'!$DS$12:$DS$25,0)),0)*_xlfn.IFNA(INDEX(DY$10:DY$23,MATCH($CZ605,$DX$10:$DX$23,0)),0)</f>
        <v>8939.6605049142872</v>
      </c>
      <c r="DP605" s="921">
        <f>IF(dd_PartSA_2_lines = "Yes",0,_xlfn.IFNA(INDEX('Resource use and costs'!$DZ$12:$DZ$25,MATCH(DA605,'Resource use and costs'!$DS$12:$DS$25,0)),0)*_xlfn.IFNA(INDEX(EA$10:EA$23,MATCH($DA605,$DX$10:$DX$23,0)),0))</f>
        <v>267.99172714285714</v>
      </c>
      <c r="DQ605" s="921">
        <f>IF(dd_PartSA_2_lines = "Yes",0,_xlfn.IFNA(INDEX('Resource use and costs'!$EA$12:$EA$25,MATCH(DB605,'Resource use and costs'!$DS$12:$DS$25,0)),0)*_xlfn.IFNA(INDEX(EC$10:EC$23,MATCH($DB605,$DX$10:$DX$23,0)),0))</f>
        <v>256.11457142857142</v>
      </c>
      <c r="DR605" s="921">
        <f t="shared" si="298"/>
        <v>9858.2668034857161</v>
      </c>
      <c r="DS605" s="1004">
        <f ca="1">SUMIFS('Safety parameters'!$DM$6:$DM$18,'Safety parameters'!$DK$6:$DK$18,CZ605,'Safety parameters'!$DL$6:$DL$18,1)+IF(dd_PartSA_2_lines = "Yes",0,SUMIFS('Safety parameters'!$DM$6:$DM$18,'Safety parameters'!$DK$6:$DK$18,DA605,'Safety parameters'!$DL$6:$DL$18,2)+SUMIFS('Safety parameters'!$DM$6:$DM$18,'Safety parameters'!$DK$6:$DK$18,DB605,'Safety parameters'!$DL$6:$DL$18,2))</f>
        <v>1967.1040569407746</v>
      </c>
      <c r="DT605" s="910">
        <f ca="1">SUMIFS('Safety parameters'!$DO$6:$DO$18,'Safety parameters'!$DK$6:$DK$18,CZ605,'Safety parameters'!$DL$6:$DL$18,1)+IF(dd_PartSA_2_lines = "Yes",0,SUMIFS('Safety parameters'!$DO$6:$DO$18,'Safety parameters'!$DK$6:$DK$18,DA605,'Safety parameters'!$DL$6:$DL$18,2)+SUMIFS('Safety parameters'!$DO$6:$DO$18,'Safety parameters'!$DK$6:$DK$18,DB605,'Safety parameters'!$DL$6:$DL$18,2))</f>
        <v>-1.7409497544119149E-2</v>
      </c>
    </row>
    <row r="606" spans="89:124" ht="15" x14ac:dyDescent="0.2">
      <c r="CK606" s="61" t="s">
        <v>31</v>
      </c>
      <c r="CL606" s="61">
        <v>4</v>
      </c>
      <c r="CM606" s="61" t="str">
        <v>lenvatinib_plus_everolimus</v>
      </c>
      <c r="CN606" s="17">
        <v>9</v>
      </c>
      <c r="CO606" s="61" t="str" cm="1">
        <f t="array" ref="CO606">INDEX(List_comparators,CP605+1)</f>
        <v>axitinib</v>
      </c>
      <c r="CP606" s="17">
        <v>11</v>
      </c>
      <c r="CQ606" s="601">
        <f t="shared" ca="1" si="299"/>
        <v>0.56859999999999999</v>
      </c>
      <c r="CR606" s="601">
        <f t="shared" ca="1" si="300"/>
        <v>5.6860000000000001E-2</v>
      </c>
      <c r="CS606" s="601">
        <f t="shared" ca="1" si="301"/>
        <v>22.357142857142858</v>
      </c>
      <c r="CT606" s="669">
        <f t="shared" ca="1" si="302"/>
        <v>4.38</v>
      </c>
      <c r="CU606" s="1123">
        <f>MATCH(CZ613,'Resource use and costs'!$BA$11:$BA$53,0)</f>
        <v>1</v>
      </c>
      <c r="CV606" s="1223"/>
      <c r="CW606" s="1241">
        <f t="shared" si="294"/>
        <v>1</v>
      </c>
      <c r="CX606" s="899" t="s">
        <v>794</v>
      </c>
      <c r="CY606" s="899" t="s">
        <v>118</v>
      </c>
      <c r="CZ606" s="899" t="s">
        <v>579</v>
      </c>
      <c r="DA606" s="899" t="s">
        <v>765</v>
      </c>
      <c r="DB606" s="899"/>
      <c r="DC606" s="899" cm="1">
        <f t="array" aca="1" ref="DC606" ca="1">_xlfn.IFNA(OFFSET($I$49,MATCH(CY606,$I$50:$I$63,0),MATCH(CZ606,TRANSPOSE($J$49:$W$49),0)),0)</f>
        <v>0.59511111111111104</v>
      </c>
      <c r="DD606" s="899" cm="1">
        <f t="array" aca="1" ref="DD606" ca="1">_xlfn.IFNA(OFFSET($Y$49,MATCH($CZ606,$Y$50:$Y$63,0),MATCH($DA606,TRANSPOSE($Z$49:$AM$49),0)),0)</f>
        <v>0.3453</v>
      </c>
      <c r="DE606" s="899" cm="1">
        <f t="array" aca="1" ref="DE606" ca="1">_xlfn.IFNA(OFFSET($AO$49,MATCH($DA606,$AO$50:$AO$63,0),MATCH($DB606,TRANSPOSE($AP$49:$BC$49),0)),0)</f>
        <v>0</v>
      </c>
      <c r="DF606" s="881">
        <f t="shared" ca="1" si="295"/>
        <v>0.20549186666666663</v>
      </c>
      <c r="DG606" s="910">
        <f t="shared" ca="1" si="293"/>
        <v>1.0010447133454794</v>
      </c>
      <c r="DH606" s="881">
        <f t="shared" ca="1" si="296"/>
        <v>0.20570654676216077</v>
      </c>
      <c r="DI606" s="1460">
        <f t="shared" ca="1" si="292"/>
        <v>23.450546330886329</v>
      </c>
      <c r="DJ606" s="909">
        <f>_xlfn.IFNA(INDEX('Resource use and costs'!$CQ$11:$CQ$53,MATCH($CZ606,'Resource use and costs'!$BA$11:$BA$53,0)),0)*_xlfn.IFNA(INDEX(DY$10:DY$23,MATCH($CZ606,$DX$10:$DX$23,0)),0)</f>
        <v>56693.786091428577</v>
      </c>
      <c r="DK606" s="909">
        <f>IF(dd_PartSA_2_lines = "Yes",0,_xlfn.IFNA(INDEX('Resource use and costs'!$CR$11:$CR$53,MATCH(DA606,'Resource use and costs'!$BA$11:$BA$53,0)),0)*_xlfn.IFNA(INDEX(EA$10:EA$23,MATCH($DA606,$DX$10:$DX$23,0)),0))</f>
        <v>0</v>
      </c>
      <c r="DL606" s="909">
        <f>IF(dd_PartSA_2_lines = "Yes",0,_xlfn.IFNA(INDEX('Resource use and costs'!$CS$11:$CS$53,MATCH(DB606,'Resource use and costs'!$BA$11:$BA$53,0)),0)*_xlfn.IFNA(INDEX(EC$10:EC$23,MATCH($DB606,$DX$10:$DX$23,0)),0))</f>
        <v>0</v>
      </c>
      <c r="DM606" s="909">
        <f t="shared" si="297"/>
        <v>56693.786091428577</v>
      </c>
      <c r="DN606" s="909">
        <f>SUM(_xlfn.IFNA(INDEX('Resource use and costs'!$DU$12:$DU$25,MATCH(CZ606,'Resource use and costs'!$DS$12:$DS$25,0)),0),_xlfn.IFNA(INDEX('Resource use and costs'!$DU$12:$DU$25,MATCH(DA606,'Resource use and costs'!$DS$12:$DS$25,0)),0),_xlfn.IFNA(INDEX('Resource use and costs'!$DU$12:$DU$25,MATCH(DB606,'Resource use and costs'!$DS$12:$DS$25,0)),0))</f>
        <v>0</v>
      </c>
      <c r="DO606" s="921">
        <f>_xlfn.IFNA(INDEX('Resource use and costs'!$DY$12:$DY$25,MATCH(CZ606,'Resource use and costs'!$DS$12:$DS$25,0)),0)*_xlfn.IFNA(INDEX(DY$10:DY$23,MATCH($CZ606,$DX$10:$DX$23,0)),0)</f>
        <v>8939.6605049142872</v>
      </c>
      <c r="DP606" s="921">
        <f>IF(dd_PartSA_2_lines = "Yes",0,_xlfn.IFNA(INDEX('Resource use and costs'!$DZ$12:$DZ$25,MATCH(DA606,'Resource use and costs'!$DS$12:$DS$25,0)),0)*_xlfn.IFNA(INDEX(EA$10:EA$23,MATCH($DA606,$DX$10:$DX$23,0)),0))</f>
        <v>0</v>
      </c>
      <c r="DQ606" s="921">
        <f>IF(dd_PartSA_2_lines = "Yes",0,_xlfn.IFNA(INDEX('Resource use and costs'!$EA$12:$EA$25,MATCH(DB606,'Resource use and costs'!$DS$12:$DS$25,0)),0)*_xlfn.IFNA(INDEX(EC$10:EC$23,MATCH($DB606,$DX$10:$DX$23,0)),0))</f>
        <v>0</v>
      </c>
      <c r="DR606" s="921">
        <f t="shared" si="298"/>
        <v>8939.6605049142872</v>
      </c>
      <c r="DS606" s="1004">
        <f>SUMIFS('Safety parameters'!$DM$6:$DM$18,'Safety parameters'!$DK$6:$DK$18,CZ606,'Safety parameters'!$DL$6:$DL$18,1)+IF(dd_PartSA_2_lines = "Yes",0,SUMIFS('Safety parameters'!$DM$6:$DM$18,'Safety parameters'!$DK$6:$DK$18,DA606,'Safety parameters'!$DL$6:$DL$18,2)+SUMIFS('Safety parameters'!$DM$6:$DM$18,'Safety parameters'!$DK$6:$DK$18,DB606,'Safety parameters'!$DL$6:$DL$18,2))</f>
        <v>0</v>
      </c>
      <c r="DT606" s="910">
        <f>SUMIFS('Safety parameters'!$DO$6:$DO$18,'Safety parameters'!$DK$6:$DK$18,CZ606,'Safety parameters'!$DL$6:$DL$18,1)+IF(dd_PartSA_2_lines = "Yes",0,SUMIFS('Safety parameters'!$DO$6:$DO$18,'Safety parameters'!$DK$6:$DK$18,DA606,'Safety parameters'!$DL$6:$DL$18,2)+SUMIFS('Safety parameters'!$DO$6:$DO$18,'Safety parameters'!$DK$6:$DK$18,DB606,'Safety parameters'!$DL$6:$DL$18,2))</f>
        <v>0</v>
      </c>
    </row>
    <row r="607" spans="89:124" ht="15" x14ac:dyDescent="0.2">
      <c r="CK607" s="61" t="s">
        <v>31</v>
      </c>
      <c r="CL607" s="61">
        <v>4</v>
      </c>
      <c r="CM607" s="61" t="str">
        <v>everolimus</v>
      </c>
      <c r="CN607" s="17">
        <v>10</v>
      </c>
      <c r="CO607" s="61" t="str" cm="1">
        <f t="array" ref="CO607">INDEX(List_comparators,CP606+1)</f>
        <v>axitinib</v>
      </c>
      <c r="CP607" s="17">
        <v>11</v>
      </c>
      <c r="CQ607" s="601">
        <f t="shared" ca="1" si="299"/>
        <v>0</v>
      </c>
      <c r="CR607" s="601">
        <f t="shared" ca="1" si="300"/>
        <v>0</v>
      </c>
      <c r="CS607" s="601">
        <f t="shared" ca="1" si="301"/>
        <v>22.357142857142858</v>
      </c>
      <c r="CT607" s="669">
        <f t="shared" ca="1" si="302"/>
        <v>4.38</v>
      </c>
      <c r="CU607" s="1123">
        <f>MATCH(CZ614,'Resource use and costs'!$BA$11:$BA$53,0)</f>
        <v>1</v>
      </c>
      <c r="CV607" s="1223"/>
      <c r="CW607" s="1241">
        <f t="shared" si="294"/>
        <v>1</v>
      </c>
      <c r="CX607" s="899" t="s">
        <v>794</v>
      </c>
      <c r="CY607" s="899" t="s">
        <v>118</v>
      </c>
      <c r="CZ607" s="899" t="s">
        <v>579</v>
      </c>
      <c r="DA607" s="899" t="s">
        <v>119</v>
      </c>
      <c r="DB607" s="899" t="s">
        <v>327</v>
      </c>
      <c r="DC607" s="899" cm="1">
        <f t="array" aca="1" ref="DC607" ca="1">_xlfn.IFNA(OFFSET($I$49,MATCH(CY607,$I$50:$I$63,0),MATCH(CZ607,TRANSPOSE($J$49:$W$49),0)),0)</f>
        <v>0.59511111111111104</v>
      </c>
      <c r="DD607" s="899" cm="1">
        <f t="array" aca="1" ref="DD607" ca="1">_xlfn.IFNA(OFFSET($Y$49,MATCH($CZ607,$Y$50:$Y$63,0),MATCH($DA607,TRANSPOSE($Z$49:$AM$49),0)),0)</f>
        <v>6.4999999999999997E-3</v>
      </c>
      <c r="DE607" s="899" cm="1">
        <f t="array" aca="1" ref="DE607" ca="1">_xlfn.IFNA(OFFSET($AO$49,MATCH($DA607,$AO$50:$AO$63,0),MATCH($DB607,TRANSPOSE($AP$49:$BC$49),0)),0)</f>
        <v>0</v>
      </c>
      <c r="DF607" s="881">
        <f t="shared" ca="1" si="295"/>
        <v>0</v>
      </c>
      <c r="DG607" s="910">
        <f t="shared" ca="1" si="293"/>
        <v>1.0010447133454794</v>
      </c>
      <c r="DH607" s="881">
        <f t="shared" ca="1" si="296"/>
        <v>0</v>
      </c>
      <c r="DI607" s="1460">
        <f t="shared" ca="1" si="292"/>
        <v>0</v>
      </c>
      <c r="DJ607" s="909">
        <f>_xlfn.IFNA(INDEX('Resource use and costs'!$CQ$11:$CQ$53,MATCH($CZ607,'Resource use and costs'!$BA$11:$BA$53,0)),0)*_xlfn.IFNA(INDEX(DY$10:DY$23,MATCH($CZ607,$DX$10:$DX$23,0)),0)</f>
        <v>56693.786091428577</v>
      </c>
      <c r="DK607" s="909">
        <f>IF(dd_PartSA_2_lines = "Yes",0,_xlfn.IFNA(INDEX('Resource use and costs'!$CR$11:$CR$53,MATCH(DA607,'Resource use and costs'!$BA$11:$BA$53,0)),0)*_xlfn.IFNA(INDEX(EA$10:EA$23,MATCH($DA607,$DX$10:$DX$23,0)),0))</f>
        <v>848.17532499999982</v>
      </c>
      <c r="DL607" s="909">
        <f>IF(dd_PartSA_2_lines = "Yes",0,_xlfn.IFNA(INDEX('Resource use and costs'!$CS$11:$CS$53,MATCH(DB607,'Resource use and costs'!$BA$11:$BA$53,0)),0)*_xlfn.IFNA(INDEX(EC$10:EC$23,MATCH($DB607,$DX$10:$DX$23,0)),0))</f>
        <v>18438.751749999999</v>
      </c>
      <c r="DM607" s="909">
        <f t="shared" si="297"/>
        <v>75980.71316642857</v>
      </c>
      <c r="DN607" s="909">
        <f>SUM(_xlfn.IFNA(INDEX('Resource use and costs'!$DU$12:$DU$25,MATCH(CZ607,'Resource use and costs'!$DS$12:$DS$25,0)),0),_xlfn.IFNA(INDEX('Resource use and costs'!$DU$12:$DU$25,MATCH(DA607,'Resource use and costs'!$DS$12:$DS$25,0)),0),_xlfn.IFNA(INDEX('Resource use and costs'!$DU$12:$DU$25,MATCH(DB607,'Resource use and costs'!$DS$12:$DS$25,0)),0))</f>
        <v>394.5</v>
      </c>
      <c r="DO607" s="921">
        <f>_xlfn.IFNA(INDEX('Resource use and costs'!$DY$12:$DY$25,MATCH(CZ607,'Resource use and costs'!$DS$12:$DS$25,0)),0)*_xlfn.IFNA(INDEX(DY$10:DY$23,MATCH($CZ607,$DX$10:$DX$23,0)),0)</f>
        <v>8939.6605049142872</v>
      </c>
      <c r="DP607" s="921">
        <f>IF(dd_PartSA_2_lines = "Yes",0,_xlfn.IFNA(INDEX('Resource use and costs'!$DZ$12:$DZ$25,MATCH(DA607,'Resource use and costs'!$DS$12:$DS$25,0)),0)*_xlfn.IFNA(INDEX(EA$10:EA$23,MATCH($DA607,$DX$10:$DX$23,0)),0))</f>
        <v>74.50928571428571</v>
      </c>
      <c r="DQ607" s="921">
        <f>IF(dd_PartSA_2_lines = "Yes",0,_xlfn.IFNA(INDEX('Resource use and costs'!$EA$12:$EA$25,MATCH(DB607,'Resource use and costs'!$DS$12:$DS$25,0)),0)*_xlfn.IFNA(INDEX(EC$10:EC$23,MATCH($DB607,$DX$10:$DX$23,0)),0))</f>
        <v>230.68099999999998</v>
      </c>
      <c r="DR607" s="921">
        <f t="shared" si="298"/>
        <v>9639.350790628574</v>
      </c>
      <c r="DS607" s="1004">
        <f ca="1">SUMIFS('Safety parameters'!$DM$6:$DM$18,'Safety parameters'!$DK$6:$DK$18,CZ607,'Safety parameters'!$DL$6:$DL$18,1)+IF(dd_PartSA_2_lines = "Yes",0,SUMIFS('Safety parameters'!$DM$6:$DM$18,'Safety parameters'!$DK$6:$DK$18,DA607,'Safety parameters'!$DL$6:$DL$18,2)+SUMIFS('Safety parameters'!$DM$6:$DM$18,'Safety parameters'!$DK$6:$DK$18,DB607,'Safety parameters'!$DL$6:$DL$18,2))</f>
        <v>1967.1040569407746</v>
      </c>
      <c r="DT607" s="910">
        <f ca="1">SUMIFS('Safety parameters'!$DO$6:$DO$18,'Safety parameters'!$DK$6:$DK$18,CZ607,'Safety parameters'!$DL$6:$DL$18,1)+IF(dd_PartSA_2_lines = "Yes",0,SUMIFS('Safety parameters'!$DO$6:$DO$18,'Safety parameters'!$DK$6:$DK$18,DA607,'Safety parameters'!$DL$6:$DL$18,2)+SUMIFS('Safety parameters'!$DO$6:$DO$18,'Safety parameters'!$DK$6:$DK$18,DB607,'Safety parameters'!$DL$6:$DL$18,2))</f>
        <v>-1.7409497544119149E-2</v>
      </c>
    </row>
    <row r="608" spans="89:124" ht="15" x14ac:dyDescent="0.2">
      <c r="CK608" s="61" t="s">
        <v>31</v>
      </c>
      <c r="CL608" s="61">
        <v>4</v>
      </c>
      <c r="CM608" s="61" t="str">
        <v>axitinib</v>
      </c>
      <c r="CN608" s="17">
        <v>11</v>
      </c>
      <c r="CO608" s="61" t="str" cm="1">
        <f t="array" ref="CO608">INDEX(List_comparators,CP607+1)</f>
        <v>axitinib</v>
      </c>
      <c r="CP608" s="17">
        <v>11</v>
      </c>
      <c r="CQ608" s="601">
        <f t="shared" ca="1" si="299"/>
        <v>0</v>
      </c>
      <c r="CR608" s="601">
        <f t="shared" ca="1" si="300"/>
        <v>0</v>
      </c>
      <c r="CS608" s="601">
        <f t="shared" ca="1" si="301"/>
        <v>22.357142857142858</v>
      </c>
      <c r="CT608" s="669">
        <f t="shared" ca="1" si="302"/>
        <v>4.38</v>
      </c>
      <c r="CU608" s="1123">
        <f>MATCH(CZ615,'Resource use and costs'!$BA$11:$BA$53,0)</f>
        <v>1</v>
      </c>
      <c r="CV608" s="1223"/>
      <c r="CW608" s="1241">
        <f t="shared" si="294"/>
        <v>1</v>
      </c>
      <c r="CX608" s="899" t="s">
        <v>794</v>
      </c>
      <c r="CY608" s="899" t="s">
        <v>118</v>
      </c>
      <c r="CZ608" s="899" t="s">
        <v>579</v>
      </c>
      <c r="DA608" s="899" t="s">
        <v>119</v>
      </c>
      <c r="DB608" s="899" t="s">
        <v>765</v>
      </c>
      <c r="DC608" s="899" cm="1">
        <f t="array" aca="1" ref="DC608" ca="1">_xlfn.IFNA(OFFSET($I$49,MATCH(CY608,$I$50:$I$63,0),MATCH(CZ608,TRANSPOSE($J$49:$W$49),0)),0)</f>
        <v>0.59511111111111104</v>
      </c>
      <c r="DD608" s="899" cm="1">
        <f t="array" aca="1" ref="DD608" ca="1">_xlfn.IFNA(OFFSET($Y$49,MATCH($CZ608,$Y$50:$Y$63,0),MATCH($DA608,TRANSPOSE($Z$49:$AM$49),0)),0)</f>
        <v>6.4999999999999997E-3</v>
      </c>
      <c r="DE608" s="899" cm="1">
        <f t="array" aca="1" ref="DE608" ca="1">_xlfn.IFNA(OFFSET($AO$49,MATCH($DA608,$AO$50:$AO$63,0),MATCH($DB608,TRANSPOSE($AP$49:$BC$49),0)),0)</f>
        <v>1</v>
      </c>
      <c r="DF608" s="881">
        <f t="shared" ca="1" si="295"/>
        <v>3.8682222222222217E-3</v>
      </c>
      <c r="DG608" s="910">
        <f t="shared" ca="1" si="293"/>
        <v>1.0010447133454794</v>
      </c>
      <c r="DH608" s="881">
        <f t="shared" ca="1" si="296"/>
        <v>3.872263405601057E-3</v>
      </c>
      <c r="DI608" s="1460">
        <f t="shared" ca="1" si="292"/>
        <v>0.44143802823852052</v>
      </c>
      <c r="DJ608" s="909">
        <f>_xlfn.IFNA(INDEX('Resource use and costs'!$CQ$11:$CQ$53,MATCH($CZ608,'Resource use and costs'!$BA$11:$BA$53,0)),0)*_xlfn.IFNA(INDEX(DY$10:DY$23,MATCH($CZ608,$DX$10:$DX$23,0)),0)</f>
        <v>56693.786091428577</v>
      </c>
      <c r="DK608" s="909">
        <f>IF(dd_PartSA_2_lines = "Yes",0,_xlfn.IFNA(INDEX('Resource use and costs'!$CR$11:$CR$53,MATCH(DA608,'Resource use and costs'!$BA$11:$BA$53,0)),0)*_xlfn.IFNA(INDEX(EA$10:EA$23,MATCH($DA608,$DX$10:$DX$23,0)),0))</f>
        <v>848.17532499999982</v>
      </c>
      <c r="DL608" s="909">
        <f>IF(dd_PartSA_2_lines = "Yes",0,_xlfn.IFNA(INDEX('Resource use and costs'!$CS$11:$CS$53,MATCH(DB608,'Resource use and costs'!$BA$11:$BA$53,0)),0)*_xlfn.IFNA(INDEX(EC$10:EC$23,MATCH($DB608,$DX$10:$DX$23,0)),0))</f>
        <v>0</v>
      </c>
      <c r="DM608" s="909">
        <f t="shared" si="297"/>
        <v>57541.961416428574</v>
      </c>
      <c r="DN608" s="909">
        <f>SUM(_xlfn.IFNA(INDEX('Resource use and costs'!$DU$12:$DU$25,MATCH(CZ608,'Resource use and costs'!$DS$12:$DS$25,0)),0),_xlfn.IFNA(INDEX('Resource use and costs'!$DU$12:$DU$25,MATCH(DA608,'Resource use and costs'!$DS$12:$DS$25,0)),0),_xlfn.IFNA(INDEX('Resource use and costs'!$DU$12:$DU$25,MATCH(DB608,'Resource use and costs'!$DS$12:$DS$25,0)),0))</f>
        <v>197.25</v>
      </c>
      <c r="DO608" s="921">
        <f>_xlfn.IFNA(INDEX('Resource use and costs'!$DY$12:$DY$25,MATCH(CZ608,'Resource use and costs'!$DS$12:$DS$25,0)),0)*_xlfn.IFNA(INDEX(DY$10:DY$23,MATCH($CZ608,$DX$10:$DX$23,0)),0)</f>
        <v>8939.6605049142872</v>
      </c>
      <c r="DP608" s="921">
        <f>IF(dd_PartSA_2_lines = "Yes",0,_xlfn.IFNA(INDEX('Resource use and costs'!$DZ$12:$DZ$25,MATCH(DA608,'Resource use and costs'!$DS$12:$DS$25,0)),0)*_xlfn.IFNA(INDEX(EA$10:EA$23,MATCH($DA608,$DX$10:$DX$23,0)),0))</f>
        <v>74.50928571428571</v>
      </c>
      <c r="DQ608" s="921">
        <f>IF(dd_PartSA_2_lines = "Yes",0,_xlfn.IFNA(INDEX('Resource use and costs'!$EA$12:$EA$25,MATCH(DB608,'Resource use and costs'!$DS$12:$DS$25,0)),0)*_xlfn.IFNA(INDEX(EC$10:EC$23,MATCH($DB608,$DX$10:$DX$23,0)),0))</f>
        <v>0</v>
      </c>
      <c r="DR608" s="921">
        <f t="shared" si="298"/>
        <v>9211.4197906285735</v>
      </c>
      <c r="DS608" s="1004">
        <f ca="1">SUMIFS('Safety parameters'!$DM$6:$DM$18,'Safety parameters'!$DK$6:$DK$18,CZ608,'Safety parameters'!$DL$6:$DL$18,1)+IF(dd_PartSA_2_lines = "Yes",0,SUMIFS('Safety parameters'!$DM$6:$DM$18,'Safety parameters'!$DK$6:$DK$18,DA608,'Safety parameters'!$DL$6:$DL$18,2)+SUMIFS('Safety parameters'!$DM$6:$DM$18,'Safety parameters'!$DK$6:$DK$18,DB608,'Safety parameters'!$DL$6:$DL$18,2))</f>
        <v>332.87538337531487</v>
      </c>
      <c r="DT608" s="910">
        <f ca="1">SUMIFS('Safety parameters'!$DO$6:$DO$18,'Safety parameters'!$DK$6:$DK$18,CZ608,'Safety parameters'!$DL$6:$DL$18,1)+IF(dd_PartSA_2_lines = "Yes",0,SUMIFS('Safety parameters'!$DO$6:$DO$18,'Safety parameters'!$DK$6:$DK$18,DA608,'Safety parameters'!$DL$6:$DL$18,2)+SUMIFS('Safety parameters'!$DO$6:$DO$18,'Safety parameters'!$DK$6:$DK$18,DB608,'Safety parameters'!$DL$6:$DL$18,2))</f>
        <v>-2.6675735366377194E-3</v>
      </c>
    </row>
    <row r="609" spans="89:124" ht="15" x14ac:dyDescent="0.2">
      <c r="CK609" s="61" t="s">
        <v>31</v>
      </c>
      <c r="CL609" s="61">
        <v>4</v>
      </c>
      <c r="CM609" s="61" t="str">
        <v>sorafenib</v>
      </c>
      <c r="CN609" s="17">
        <v>12</v>
      </c>
      <c r="CO609" s="61" t="str" cm="1">
        <f t="array" ref="CO609">INDEX(List_comparators,CP608+1)</f>
        <v>axitinib</v>
      </c>
      <c r="CP609" s="17">
        <v>11</v>
      </c>
      <c r="CQ609" s="601">
        <f t="shared" ca="1" si="299"/>
        <v>0</v>
      </c>
      <c r="CR609" s="601">
        <f t="shared" ca="1" si="300"/>
        <v>0</v>
      </c>
      <c r="CS609" s="601">
        <f t="shared" ca="1" si="301"/>
        <v>0</v>
      </c>
      <c r="CT609" s="669">
        <f t="shared" ca="1" si="302"/>
        <v>0</v>
      </c>
      <c r="CU609" s="1123">
        <f>MATCH(CZ616,'Resource use and costs'!$BA$11:$BA$53,0)</f>
        <v>1</v>
      </c>
      <c r="CV609" s="1223"/>
      <c r="CW609" s="1241">
        <f t="shared" si="294"/>
        <v>1</v>
      </c>
      <c r="CX609" s="899" t="s">
        <v>794</v>
      </c>
      <c r="CY609" s="899" t="s">
        <v>118</v>
      </c>
      <c r="CZ609" s="899" t="s">
        <v>579</v>
      </c>
      <c r="DA609" s="899" t="s">
        <v>333</v>
      </c>
      <c r="DB609" s="899" t="s">
        <v>327</v>
      </c>
      <c r="DC609" s="899" cm="1">
        <f t="array" aca="1" ref="DC609" ca="1">_xlfn.IFNA(OFFSET($I$49,MATCH(CY609,$I$50:$I$63,0),MATCH(CZ609,TRANSPOSE($J$49:$W$49),0)),0)</f>
        <v>0.59511111111111104</v>
      </c>
      <c r="DD609" s="899">
        <f ca="1">1-DD604-DD606-DD607-DD611-DD614-DD617</f>
        <v>0.56960000000000011</v>
      </c>
      <c r="DE609" s="899" cm="1">
        <f t="array" aca="1" ref="DE609" ca="1">_xlfn.IFNA(OFFSET($AO$49,MATCH($DA609,$AO$50:$AO$63,0),MATCH($DB609,TRANSPOSE($AP$49:$BC$49),0)),0)</f>
        <v>0.56859999999999999</v>
      </c>
      <c r="DF609" s="881">
        <f t="shared" ca="1" si="295"/>
        <v>0.19274134926222222</v>
      </c>
      <c r="DG609" s="910">
        <f t="shared" ca="1" si="293"/>
        <v>1.0010447133454794</v>
      </c>
      <c r="DH609" s="881">
        <f t="shared" ca="1" si="296"/>
        <v>0.19294270872202218</v>
      </c>
      <c r="DI609" s="1460">
        <f t="shared" ca="1" si="292"/>
        <v>21.995468794310529</v>
      </c>
      <c r="DJ609" s="909">
        <f>_xlfn.IFNA(INDEX('Resource use and costs'!$CQ$11:$CQ$53,MATCH($CZ609,'Resource use and costs'!$BA$11:$BA$53,0)),0)*_xlfn.IFNA(INDEX(DY$10:DY$23,MATCH($CZ609,$DX$10:$DX$23,0)),0)</f>
        <v>56693.786091428577</v>
      </c>
      <c r="DK609" s="909">
        <f>IF(dd_PartSA_2_lines = "Yes",0,_xlfn.IFNA(INDEX('Resource use and costs'!$CR$11:$CR$53,MATCH(DA609,'Resource use and costs'!$BA$11:$BA$53,0)),0)*_xlfn.IFNA(INDEX(EA$10:EA$23,MATCH($DA609,$DX$10:$DX$23,0)),0))</f>
        <v>24337.716731999997</v>
      </c>
      <c r="DL609" s="909">
        <f>IF(dd_PartSA_2_lines = "Yes",0,_xlfn.IFNA(INDEX('Resource use and costs'!$CS$11:$CS$53,MATCH(DB609,'Resource use and costs'!$BA$11:$BA$53,0)),0)*_xlfn.IFNA(INDEX(EC$10:EC$23,MATCH($DB609,$DX$10:$DX$23,0)),0))</f>
        <v>18438.751749999999</v>
      </c>
      <c r="DM609" s="909">
        <f t="shared" si="297"/>
        <v>99470.254573428567</v>
      </c>
      <c r="DN609" s="909">
        <f>SUM(_xlfn.IFNA(INDEX('Resource use and costs'!$DU$12:$DU$25,MATCH(CZ609,'Resource use and costs'!$DS$12:$DS$25,0)),0),_xlfn.IFNA(INDEX('Resource use and costs'!$DU$12:$DU$25,MATCH(DA609,'Resource use and costs'!$DS$12:$DS$25,0)),0),_xlfn.IFNA(INDEX('Resource use and costs'!$DU$12:$DU$25,MATCH(DB609,'Resource use and costs'!$DS$12:$DS$25,0)),0))</f>
        <v>394.5</v>
      </c>
      <c r="DO609" s="921">
        <f>_xlfn.IFNA(INDEX('Resource use and costs'!$DY$12:$DY$25,MATCH(CZ609,'Resource use and costs'!$DS$12:$DS$25,0)),0)*_xlfn.IFNA(INDEX(DY$10:DY$23,MATCH($CZ609,$DX$10:$DX$23,0)),0)</f>
        <v>8939.6605049142872</v>
      </c>
      <c r="DP609" s="921">
        <f>IF(dd_PartSA_2_lines = "Yes",0,_xlfn.IFNA(INDEX('Resource use and costs'!$DZ$12:$DZ$25,MATCH(DA609,'Resource use and costs'!$DS$12:$DS$25,0)),0)*_xlfn.IFNA(INDEX(EA$10:EA$23,MATCH($DA609,$DX$10:$DX$23,0)),0))</f>
        <v>363.04714285714283</v>
      </c>
      <c r="DQ609" s="921">
        <f>IF(dd_PartSA_2_lines = "Yes",0,_xlfn.IFNA(INDEX('Resource use and costs'!$EA$12:$EA$25,MATCH(DB609,'Resource use and costs'!$DS$12:$DS$25,0)),0)*_xlfn.IFNA(INDEX(EC$10:EC$23,MATCH($DB609,$DX$10:$DX$23,0)),0))</f>
        <v>230.68099999999998</v>
      </c>
      <c r="DR609" s="921">
        <f t="shared" si="298"/>
        <v>9927.8886477714314</v>
      </c>
      <c r="DS609" s="1004">
        <f ca="1">SUMIFS('Safety parameters'!$DM$6:$DM$18,'Safety parameters'!$DK$6:$DK$18,CZ609,'Safety parameters'!$DL$6:$DL$18,1)+IF(dd_PartSA_2_lines = "Yes",0,SUMIFS('Safety parameters'!$DM$6:$DM$18,'Safety parameters'!$DK$6:$DK$18,DA609,'Safety parameters'!$DL$6:$DL$18,2)+SUMIFS('Safety parameters'!$DM$6:$DM$18,'Safety parameters'!$DK$6:$DK$18,DB609,'Safety parameters'!$DL$6:$DL$18,2))</f>
        <v>2577.0992943484653</v>
      </c>
      <c r="DT609" s="910">
        <f ca="1">SUMIFS('Safety parameters'!$DO$6:$DO$18,'Safety parameters'!$DK$6:$DK$18,CZ609,'Safety parameters'!$DL$6:$DL$18,1)+IF(dd_PartSA_2_lines = "Yes",0,SUMIFS('Safety parameters'!$DO$6:$DO$18,'Safety parameters'!$DK$6:$DK$18,DA609,'Safety parameters'!$DL$6:$DL$18,2)+SUMIFS('Safety parameters'!$DO$6:$DO$18,'Safety parameters'!$DK$6:$DK$18,DB609,'Safety parameters'!$DL$6:$DL$18,2))</f>
        <v>-2.4384674689096917E-2</v>
      </c>
    </row>
    <row r="610" spans="89:124" ht="15.75" thickBot="1" x14ac:dyDescent="0.25">
      <c r="CK610" s="506" t="s">
        <v>31</v>
      </c>
      <c r="CL610" s="506">
        <v>4</v>
      </c>
      <c r="CM610" s="506" t="str">
        <v>placebo_BSC</v>
      </c>
      <c r="CN610" s="19">
        <v>999</v>
      </c>
      <c r="CO610" s="506" t="str" cm="1">
        <f t="array" ref="CO610">INDEX(List_comparators,CP597+1)</f>
        <v>axitinib</v>
      </c>
      <c r="CP610" s="19">
        <v>11</v>
      </c>
      <c r="CQ610" s="602">
        <f t="shared" ca="1" si="299"/>
        <v>0</v>
      </c>
      <c r="CR610" s="602">
        <f t="shared" ca="1" si="300"/>
        <v>0</v>
      </c>
      <c r="CS610" s="602">
        <f t="shared" ca="1" si="301"/>
        <v>0</v>
      </c>
      <c r="CT610" s="748">
        <f t="shared" ca="1" si="302"/>
        <v>0</v>
      </c>
      <c r="CU610" s="1123">
        <f>MATCH(CZ617,'Resource use and costs'!$BA$11:$BA$53,0)</f>
        <v>1</v>
      </c>
      <c r="CV610" s="1223"/>
      <c r="CW610" s="1241">
        <f t="shared" si="294"/>
        <v>1</v>
      </c>
      <c r="CX610" s="899" t="s">
        <v>794</v>
      </c>
      <c r="CY610" s="899" t="s">
        <v>118</v>
      </c>
      <c r="CZ610" s="899" t="s">
        <v>579</v>
      </c>
      <c r="DA610" s="899" t="s">
        <v>333</v>
      </c>
      <c r="DB610" s="899" t="s">
        <v>765</v>
      </c>
      <c r="DC610" s="899" cm="1">
        <f t="array" aca="1" ref="DC610" ca="1">_xlfn.IFNA(OFFSET($I$49,MATCH(CY610,$I$50:$I$63,0),MATCH(CZ610,TRANSPOSE($J$49:$W$49),0)),0)</f>
        <v>0.59511111111111104</v>
      </c>
      <c r="DD610" s="899">
        <f ca="1">DD609</f>
        <v>0.56960000000000011</v>
      </c>
      <c r="DE610" s="899" cm="1">
        <f t="array" aca="1" ref="DE610" ca="1">_xlfn.IFNA(OFFSET($AO$49,MATCH($DA610,$AO$50:$AO$63,0),MATCH($DB610,TRANSPOSE($AP$49:$BC$49),0)),0)</f>
        <v>0.43140000000000001</v>
      </c>
      <c r="DF610" s="881">
        <f t="shared" ca="1" si="295"/>
        <v>0.14623393962666667</v>
      </c>
      <c r="DG610" s="910">
        <f t="shared" ca="1" si="293"/>
        <v>1.0010447133454794</v>
      </c>
      <c r="DH610" s="881">
        <f t="shared" ca="1" si="296"/>
        <v>0.14638671217495669</v>
      </c>
      <c r="DI610" s="1460">
        <f t="shared" ca="1" si="292"/>
        <v>16.688085187945063</v>
      </c>
      <c r="DJ610" s="909">
        <f>_xlfn.IFNA(INDEX('Resource use and costs'!$CQ$11:$CQ$53,MATCH($CZ610,'Resource use and costs'!$BA$11:$BA$53,0)),0)*_xlfn.IFNA(INDEX(DY$10:DY$23,MATCH($CZ610,$DX$10:$DX$23,0)),0)</f>
        <v>56693.786091428577</v>
      </c>
      <c r="DK610" s="909">
        <f>IF(dd_PartSA_2_lines = "Yes",0,_xlfn.IFNA(INDEX('Resource use and costs'!$CR$11:$CR$53,MATCH(DA610,'Resource use and costs'!$BA$11:$BA$53,0)),0)*_xlfn.IFNA(INDEX(EA$10:EA$23,MATCH($DA610,$DX$10:$DX$23,0)),0))</f>
        <v>24337.716731999997</v>
      </c>
      <c r="DL610" s="909">
        <f>IF(dd_PartSA_2_lines = "Yes",0,_xlfn.IFNA(INDEX('Resource use and costs'!$CS$11:$CS$53,MATCH(DB610,'Resource use and costs'!$BA$11:$BA$53,0)),0)*_xlfn.IFNA(INDEX(EC$10:EC$23,MATCH($DB610,$DX$10:$DX$23,0)),0))</f>
        <v>0</v>
      </c>
      <c r="DM610" s="909">
        <f t="shared" si="297"/>
        <v>81031.502823428571</v>
      </c>
      <c r="DN610" s="909">
        <f>SUM(_xlfn.IFNA(INDEX('Resource use and costs'!$DU$12:$DU$25,MATCH(CZ610,'Resource use and costs'!$DS$12:$DS$25,0)),0),_xlfn.IFNA(INDEX('Resource use and costs'!$DU$12:$DU$25,MATCH(DA610,'Resource use and costs'!$DS$12:$DS$25,0)),0),_xlfn.IFNA(INDEX('Resource use and costs'!$DU$12:$DU$25,MATCH(DB610,'Resource use and costs'!$DS$12:$DS$25,0)),0))</f>
        <v>197.25</v>
      </c>
      <c r="DO610" s="921">
        <f>_xlfn.IFNA(INDEX('Resource use and costs'!$DY$12:$DY$25,MATCH(CZ610,'Resource use and costs'!$DS$12:$DS$25,0)),0)*_xlfn.IFNA(INDEX(DY$10:DY$23,MATCH($CZ610,$DX$10:$DX$23,0)),0)</f>
        <v>8939.6605049142872</v>
      </c>
      <c r="DP610" s="921">
        <f>IF(dd_PartSA_2_lines = "Yes",0,_xlfn.IFNA(INDEX('Resource use and costs'!$DZ$12:$DZ$25,MATCH(DA610,'Resource use and costs'!$DS$12:$DS$25,0)),0)*_xlfn.IFNA(INDEX(EA$10:EA$23,MATCH($DA610,$DX$10:$DX$23,0)),0))</f>
        <v>363.04714285714283</v>
      </c>
      <c r="DQ610" s="921">
        <f>IF(dd_PartSA_2_lines = "Yes",0,_xlfn.IFNA(INDEX('Resource use and costs'!$EA$12:$EA$25,MATCH(DB610,'Resource use and costs'!$DS$12:$DS$25,0)),0)*_xlfn.IFNA(INDEX(EC$10:EC$23,MATCH($DB610,$DX$10:$DX$23,0)),0))</f>
        <v>0</v>
      </c>
      <c r="DR610" s="921">
        <f t="shared" si="298"/>
        <v>9499.9576477714309</v>
      </c>
      <c r="DS610" s="1004">
        <f ca="1">SUMIFS('Safety parameters'!$DM$6:$DM$18,'Safety parameters'!$DK$6:$DK$18,CZ610,'Safety parameters'!$DL$6:$DL$18,1)+IF(dd_PartSA_2_lines = "Yes",0,SUMIFS('Safety parameters'!$DM$6:$DM$18,'Safety parameters'!$DK$6:$DK$18,DA610,'Safety parameters'!$DL$6:$DL$18,2)+SUMIFS('Safety parameters'!$DM$6:$DM$18,'Safety parameters'!$DK$6:$DK$18,DB610,'Safety parameters'!$DL$6:$DL$18,2))</f>
        <v>942.87062078300573</v>
      </c>
      <c r="DT610" s="910">
        <f ca="1">SUMIFS('Safety parameters'!$DO$6:$DO$18,'Safety parameters'!$DK$6:$DK$18,CZ610,'Safety parameters'!$DL$6:$DL$18,1)+IF(dd_PartSA_2_lines = "Yes",0,SUMIFS('Safety parameters'!$DO$6:$DO$18,'Safety parameters'!$DK$6:$DK$18,DA610,'Safety parameters'!$DL$6:$DL$18,2)+SUMIFS('Safety parameters'!$DO$6:$DO$18,'Safety parameters'!$DK$6:$DK$18,DB610,'Safety parameters'!$DL$6:$DL$18,2))</f>
        <v>-9.6427506816154883E-3</v>
      </c>
    </row>
    <row r="611" spans="89:124" ht="15" x14ac:dyDescent="0.2">
      <c r="CK611" s="505" t="s">
        <v>31</v>
      </c>
      <c r="CL611" s="505">
        <v>4</v>
      </c>
      <c r="CM611" s="61" t="str" cm="1">
        <f t="array" ref="CM611:CM624">List_comparators</f>
        <v>nivolumab_monotherapy</v>
      </c>
      <c r="CN611" s="17">
        <v>0</v>
      </c>
      <c r="CO611" s="61" t="str" cm="1">
        <f t="array" ref="CO611">INDEX(List_comparators,CP611+1)</f>
        <v>sorafenib</v>
      </c>
      <c r="CP611" s="17">
        <v>12</v>
      </c>
      <c r="CQ611" s="603">
        <f t="shared" ca="1" si="299"/>
        <v>0</v>
      </c>
      <c r="CR611" s="603">
        <f t="shared" ca="1" si="300"/>
        <v>0</v>
      </c>
      <c r="CS611" s="603">
        <f t="shared" ca="1" si="301"/>
        <v>0</v>
      </c>
      <c r="CT611" s="669">
        <f t="shared" ca="1" si="302"/>
        <v>0</v>
      </c>
      <c r="CU611" s="1123">
        <f>MATCH(CZ618,'Resource use and costs'!$BA$11:$BA$53,0)</f>
        <v>1</v>
      </c>
      <c r="CV611" s="1223"/>
      <c r="CW611" s="1241">
        <f t="shared" si="294"/>
        <v>1</v>
      </c>
      <c r="CX611" s="899" t="s">
        <v>794</v>
      </c>
      <c r="CY611" s="899" t="s">
        <v>118</v>
      </c>
      <c r="CZ611" s="899" t="s">
        <v>579</v>
      </c>
      <c r="DA611" s="899" t="s">
        <v>585</v>
      </c>
      <c r="DB611" s="899" t="s">
        <v>327</v>
      </c>
      <c r="DC611" s="899" cm="1">
        <f t="array" aca="1" ref="DC611" ca="1">_xlfn.IFNA(OFFSET($I$49,MATCH(CY611,$I$50:$I$63,0),MATCH(CZ611,TRANSPOSE($J$49:$W$49),0)),0)</f>
        <v>0.59511111111111104</v>
      </c>
      <c r="DD611" s="899" cm="1">
        <f t="array" aca="1" ref="DD611" ca="1">_xlfn.IFNA(OFFSET($Y$49,MATCH($CZ611,$Y$50:$Y$63,0),MATCH($DA611,TRANSPOSE($Z$49:$AM$49),0)),0)</f>
        <v>0</v>
      </c>
      <c r="DE611" s="899">
        <f ca="1">1-DE612</f>
        <v>0.56859999999999999</v>
      </c>
      <c r="DF611" s="881">
        <f t="shared" ca="1" si="295"/>
        <v>0</v>
      </c>
      <c r="DG611" s="910">
        <f t="shared" ca="1" si="293"/>
        <v>1.0010447133454794</v>
      </c>
      <c r="DH611" s="881">
        <f t="shared" ca="1" si="296"/>
        <v>0</v>
      </c>
      <c r="DI611" s="1460">
        <f t="shared" ca="1" si="292"/>
        <v>0</v>
      </c>
      <c r="DJ611" s="909">
        <f>_xlfn.IFNA(INDEX('Resource use and costs'!$CQ$11:$CQ$53,MATCH($CZ611,'Resource use and costs'!$BA$11:$BA$53,0)),0)*_xlfn.IFNA(INDEX(DY$10:DY$23,MATCH($CZ611,$DX$10:$DX$23,0)),0)</f>
        <v>56693.786091428577</v>
      </c>
      <c r="DK611" s="909">
        <f>IF(dd_PartSA_2_lines = "Yes",0,_xlfn.IFNA(INDEX('Resource use and costs'!$CR$11:$CR$53,MATCH(DA611,'Resource use and costs'!$BA$11:$BA$53,0)),0)*_xlfn.IFNA(INDEX(EA$10:EA$23,MATCH($DA611,$DX$10:$DX$23,0)),0))</f>
        <v>1987.9066666666663</v>
      </c>
      <c r="DL611" s="909">
        <f>IF(dd_PartSA_2_lines = "Yes",0,_xlfn.IFNA(INDEX('Resource use and costs'!$CS$11:$CS$53,MATCH(DB611,'Resource use and costs'!$BA$11:$BA$53,0)),0)*_xlfn.IFNA(INDEX(EC$10:EC$23,MATCH($DB611,$DX$10:$DX$23,0)),0))</f>
        <v>18438.751749999999</v>
      </c>
      <c r="DM611" s="909">
        <f t="shared" si="297"/>
        <v>77120.444508095243</v>
      </c>
      <c r="DN611" s="909">
        <f>SUM(_xlfn.IFNA(INDEX('Resource use and costs'!$DU$12:$DU$25,MATCH(CZ611,'Resource use and costs'!$DS$12:$DS$25,0)),0),_xlfn.IFNA(INDEX('Resource use and costs'!$DU$12:$DU$25,MATCH(DA611,'Resource use and costs'!$DS$12:$DS$25,0)),0),_xlfn.IFNA(INDEX('Resource use and costs'!$DU$12:$DU$25,MATCH(DB611,'Resource use and costs'!$DS$12:$DS$25,0)),0))</f>
        <v>394.5</v>
      </c>
      <c r="DO611" s="921">
        <f>_xlfn.IFNA(INDEX('Resource use and costs'!$DY$12:$DY$25,MATCH(CZ611,'Resource use and costs'!$DS$12:$DS$25,0)),0)*_xlfn.IFNA(INDEX(DY$10:DY$23,MATCH($CZ611,$DX$10:$DX$23,0)),0)</f>
        <v>8939.6605049142872</v>
      </c>
      <c r="DP611" s="921">
        <f>IF(dd_PartSA_2_lines = "Yes",0,_xlfn.IFNA(INDEX('Resource use and costs'!$DZ$12:$DZ$25,MATCH(DA611,'Resource use and costs'!$DS$12:$DS$25,0)),0)*_xlfn.IFNA(INDEX(EA$10:EA$23,MATCH($DA611,$DX$10:$DX$23,0)),0))</f>
        <v>179.14285714285711</v>
      </c>
      <c r="DQ611" s="921">
        <f>IF(dd_PartSA_2_lines = "Yes",0,_xlfn.IFNA(INDEX('Resource use and costs'!$EA$12:$EA$25,MATCH(DB611,'Resource use and costs'!$DS$12:$DS$25,0)),0)*_xlfn.IFNA(INDEX(EC$10:EC$23,MATCH($DB611,$DX$10:$DX$23,0)),0))</f>
        <v>230.68099999999998</v>
      </c>
      <c r="DR611" s="921">
        <f t="shared" si="298"/>
        <v>9743.9843620571446</v>
      </c>
      <c r="DS611" s="1004">
        <f ca="1">SUMIFS('Safety parameters'!$DM$6:$DM$18,'Safety parameters'!$DK$6:$DK$18,CZ611,'Safety parameters'!$DL$6:$DL$18,1)+IF(dd_PartSA_2_lines = "Yes",0,SUMIFS('Safety parameters'!$DM$6:$DM$18,'Safety parameters'!$DK$6:$DK$18,DA611,'Safety parameters'!$DL$6:$DL$18,2)+SUMIFS('Safety parameters'!$DM$6:$DM$18,'Safety parameters'!$DK$6:$DK$18,DB611,'Safety parameters'!$DL$6:$DL$18,2))</f>
        <v>1634.2286735654598</v>
      </c>
      <c r="DT611" s="910">
        <f ca="1">SUMIFS('Safety parameters'!$DO$6:$DO$18,'Safety parameters'!$DK$6:$DK$18,CZ611,'Safety parameters'!$DL$6:$DL$18,1)+IF(dd_PartSA_2_lines = "Yes",0,SUMIFS('Safety parameters'!$DO$6:$DO$18,'Safety parameters'!$DK$6:$DK$18,DA611,'Safety parameters'!$DL$6:$DL$18,2)+SUMIFS('Safety parameters'!$DO$6:$DO$18,'Safety parameters'!$DK$6:$DK$18,DB611,'Safety parameters'!$DL$6:$DL$18,2))</f>
        <v>-1.4741924007481429E-2</v>
      </c>
    </row>
    <row r="612" spans="89:124" ht="15" x14ac:dyDescent="0.2">
      <c r="CK612" s="61" t="s">
        <v>31</v>
      </c>
      <c r="CL612" s="61">
        <v>4</v>
      </c>
      <c r="CM612" s="61" t="str">
        <v>cabozantinib_plus_nivolumab</v>
      </c>
      <c r="CN612" s="17">
        <v>1</v>
      </c>
      <c r="CO612" s="61" t="str" cm="1">
        <f t="array" ref="CO612">INDEX(List_comparators,CP611+1)</f>
        <v>sorafenib</v>
      </c>
      <c r="CP612" s="17">
        <v>12</v>
      </c>
      <c r="CQ612" s="601">
        <f t="shared" ca="1" si="299"/>
        <v>0</v>
      </c>
      <c r="CR612" s="601">
        <f t="shared" ca="1" si="300"/>
        <v>0</v>
      </c>
      <c r="CS612" s="601">
        <f t="shared" ca="1" si="301"/>
        <v>0</v>
      </c>
      <c r="CT612" s="669">
        <f t="shared" ca="1" si="302"/>
        <v>0</v>
      </c>
      <c r="CU612" s="1123">
        <f>MATCH(CZ619,'Resource use and costs'!$BA$11:$BA$53,0)</f>
        <v>1</v>
      </c>
      <c r="CV612" s="1223"/>
      <c r="CW612" s="1241">
        <f t="shared" si="294"/>
        <v>1</v>
      </c>
      <c r="CX612" s="899" t="s">
        <v>794</v>
      </c>
      <c r="CY612" s="899" t="s">
        <v>118</v>
      </c>
      <c r="CZ612" s="899" t="s">
        <v>579</v>
      </c>
      <c r="DA612" s="899" t="s">
        <v>585</v>
      </c>
      <c r="DB612" s="899" t="s">
        <v>765</v>
      </c>
      <c r="DC612" s="899" cm="1">
        <f t="array" aca="1" ref="DC612" ca="1">_xlfn.IFNA(OFFSET($I$49,MATCH(CY612,$I$50:$I$63,0),MATCH(CZ612,TRANSPOSE($J$49:$W$49),0)),0)</f>
        <v>0.59511111111111104</v>
      </c>
      <c r="DD612" s="899" cm="1">
        <f t="array" aca="1" ref="DD612" ca="1">_xlfn.IFNA(OFFSET($Y$49,MATCH($CZ612,$Y$50:$Y$63,0),MATCH($DA612,TRANSPOSE($Z$49:$AM$49),0)),0)</f>
        <v>0</v>
      </c>
      <c r="DE612" s="899" cm="1">
        <f t="array" aca="1" ref="DE612" ca="1">_xlfn.IFNA(OFFSET($AO$49,MATCH($DA612,$AO$50:$AO$63,0),MATCH($DB612,TRANSPOSE($AP$49:$BC$49),0)),0)</f>
        <v>0.43140000000000001</v>
      </c>
      <c r="DF612" s="881">
        <f t="shared" ca="1" si="295"/>
        <v>0</v>
      </c>
      <c r="DG612" s="910">
        <f t="shared" ca="1" si="293"/>
        <v>1.0010447133454794</v>
      </c>
      <c r="DH612" s="881">
        <f t="shared" ca="1" si="296"/>
        <v>0</v>
      </c>
      <c r="DI612" s="1460">
        <f t="shared" ca="1" si="292"/>
        <v>0</v>
      </c>
      <c r="DJ612" s="909">
        <f>_xlfn.IFNA(INDEX('Resource use and costs'!$CQ$11:$CQ$53,MATCH($CZ612,'Resource use and costs'!$BA$11:$BA$53,0)),0)*_xlfn.IFNA(INDEX(DY$10:DY$23,MATCH($CZ612,$DX$10:$DX$23,0)),0)</f>
        <v>56693.786091428577</v>
      </c>
      <c r="DK612" s="909">
        <f>IF(dd_PartSA_2_lines = "Yes",0,_xlfn.IFNA(INDEX('Resource use and costs'!$CR$11:$CR$53,MATCH(DA612,'Resource use and costs'!$BA$11:$BA$53,0)),0)*_xlfn.IFNA(INDEX(EA$10:EA$23,MATCH($DA612,$DX$10:$DX$23,0)),0))</f>
        <v>1987.9066666666663</v>
      </c>
      <c r="DL612" s="909">
        <f>IF(dd_PartSA_2_lines = "Yes",0,_xlfn.IFNA(INDEX('Resource use and costs'!$CS$11:$CS$53,MATCH(DB612,'Resource use and costs'!$BA$11:$BA$53,0)),0)*_xlfn.IFNA(INDEX(EC$10:EC$23,MATCH($DB612,$DX$10:$DX$23,0)),0))</f>
        <v>0</v>
      </c>
      <c r="DM612" s="909">
        <f t="shared" si="297"/>
        <v>58681.692758095247</v>
      </c>
      <c r="DN612" s="909">
        <f>SUM(_xlfn.IFNA(INDEX('Resource use and costs'!$DU$12:$DU$25,MATCH(CZ612,'Resource use and costs'!$DS$12:$DS$25,0)),0),_xlfn.IFNA(INDEX('Resource use and costs'!$DU$12:$DU$25,MATCH(DA612,'Resource use and costs'!$DS$12:$DS$25,0)),0),_xlfn.IFNA(INDEX('Resource use and costs'!$DU$12:$DU$25,MATCH(DB612,'Resource use and costs'!$DS$12:$DS$25,0)),0))</f>
        <v>197.25</v>
      </c>
      <c r="DO612" s="921">
        <f>_xlfn.IFNA(INDEX('Resource use and costs'!$DY$12:$DY$25,MATCH(CZ612,'Resource use and costs'!$DS$12:$DS$25,0)),0)*_xlfn.IFNA(INDEX(DY$10:DY$23,MATCH($CZ612,$DX$10:$DX$23,0)),0)</f>
        <v>8939.6605049142872</v>
      </c>
      <c r="DP612" s="921">
        <f>IF(dd_PartSA_2_lines = "Yes",0,_xlfn.IFNA(INDEX('Resource use and costs'!$DZ$12:$DZ$25,MATCH(DA612,'Resource use and costs'!$DS$12:$DS$25,0)),0)*_xlfn.IFNA(INDEX(EA$10:EA$23,MATCH($DA612,$DX$10:$DX$23,0)),0))</f>
        <v>179.14285714285711</v>
      </c>
      <c r="DQ612" s="921">
        <f>IF(dd_PartSA_2_lines = "Yes",0,_xlfn.IFNA(INDEX('Resource use and costs'!$EA$12:$EA$25,MATCH(DB612,'Resource use and costs'!$DS$12:$DS$25,0)),0)*_xlfn.IFNA(INDEX(EC$10:EC$23,MATCH($DB612,$DX$10:$DX$23,0)),0))</f>
        <v>0</v>
      </c>
      <c r="DR612" s="921">
        <f t="shared" si="298"/>
        <v>9316.0533620571441</v>
      </c>
      <c r="DS612" s="1004">
        <f>SUMIFS('Safety parameters'!$DM$6:$DM$18,'Safety parameters'!$DK$6:$DK$18,CZ612,'Safety parameters'!$DL$6:$DL$18,1)+IF(dd_PartSA_2_lines = "Yes",0,SUMIFS('Safety parameters'!$DM$6:$DM$18,'Safety parameters'!$DK$6:$DK$18,DA612,'Safety parameters'!$DL$6:$DL$18,2)+SUMIFS('Safety parameters'!$DM$6:$DM$18,'Safety parameters'!$DK$6:$DK$18,DB612,'Safety parameters'!$DL$6:$DL$18,2))</f>
        <v>0</v>
      </c>
      <c r="DT612" s="910">
        <f>SUMIFS('Safety parameters'!$DO$6:$DO$18,'Safety parameters'!$DK$6:$DK$18,CZ612,'Safety parameters'!$DL$6:$DL$18,1)+IF(dd_PartSA_2_lines = "Yes",0,SUMIFS('Safety parameters'!$DO$6:$DO$18,'Safety parameters'!$DK$6:$DK$18,DA612,'Safety parameters'!$DL$6:$DL$18,2)+SUMIFS('Safety parameters'!$DO$6:$DO$18,'Safety parameters'!$DK$6:$DK$18,DB612,'Safety parameters'!$DL$6:$DL$18,2))</f>
        <v>0</v>
      </c>
    </row>
    <row r="613" spans="89:124" ht="15" x14ac:dyDescent="0.2">
      <c r="CK613" s="61" t="s">
        <v>31</v>
      </c>
      <c r="CL613" s="61">
        <v>4</v>
      </c>
      <c r="CM613" s="61" t="str">
        <v>nivolumab_plus_ipilimumab</v>
      </c>
      <c r="CN613" s="17">
        <v>2</v>
      </c>
      <c r="CO613" s="61" t="str" cm="1">
        <f t="array" ref="CO613">INDEX(List_comparators,CP612+1)</f>
        <v>sorafenib</v>
      </c>
      <c r="CP613" s="17">
        <v>12</v>
      </c>
      <c r="CQ613" s="601">
        <f t="shared" ca="1" si="299"/>
        <v>0</v>
      </c>
      <c r="CR613" s="601">
        <f t="shared" ca="1" si="300"/>
        <v>0</v>
      </c>
      <c r="CS613" s="601">
        <f t="shared" ca="1" si="301"/>
        <v>0</v>
      </c>
      <c r="CT613" s="669">
        <f t="shared" ca="1" si="302"/>
        <v>0</v>
      </c>
      <c r="CU613" s="1123">
        <f>MATCH(CZ620,'Resource use and costs'!$BA$11:$BA$53,0)</f>
        <v>21</v>
      </c>
      <c r="CV613" s="1223"/>
      <c r="CW613" s="1241">
        <f t="shared" si="294"/>
        <v>1</v>
      </c>
      <c r="CX613" s="899" t="s">
        <v>794</v>
      </c>
      <c r="CY613" s="899" t="s">
        <v>118</v>
      </c>
      <c r="CZ613" s="899" t="s">
        <v>579</v>
      </c>
      <c r="DA613" s="899" t="s">
        <v>585</v>
      </c>
      <c r="DB613" s="899" t="s">
        <v>119</v>
      </c>
      <c r="DC613" s="899" cm="1">
        <f t="array" aca="1" ref="DC613" ca="1">_xlfn.IFNA(OFFSET($I$49,MATCH(CY613,$I$50:$I$63,0),MATCH(CZ613,TRANSPOSE($J$49:$W$49),0)),0)</f>
        <v>0.59511111111111104</v>
      </c>
      <c r="DD613" s="899" cm="1">
        <f t="array" aca="1" ref="DD613" ca="1">_xlfn.IFNA(OFFSET($Y$49,MATCH($CZ613,$Y$50:$Y$63,0),MATCH($DA613,TRANSPOSE($Z$49:$AM$49),0)),0)</f>
        <v>0</v>
      </c>
      <c r="DE613" s="899" cm="1">
        <f t="array" aca="1" ref="DE613" ca="1">_xlfn.IFNA(OFFSET($AO$49,MATCH($DA613,$AO$50:$AO$63,0),MATCH($DB613,TRANSPOSE($AP$49:$BC$49),0)),0)</f>
        <v>0.1895</v>
      </c>
      <c r="DF613" s="881">
        <f t="shared" ca="1" si="295"/>
        <v>0</v>
      </c>
      <c r="DG613" s="910">
        <f t="shared" ca="1" si="293"/>
        <v>1.0010447133454794</v>
      </c>
      <c r="DH613" s="881">
        <f t="shared" ca="1" si="296"/>
        <v>0</v>
      </c>
      <c r="DI613" s="1460">
        <f t="shared" ca="1" si="292"/>
        <v>0</v>
      </c>
      <c r="DJ613" s="909">
        <f>_xlfn.IFNA(INDEX('Resource use and costs'!$CQ$11:$CQ$53,MATCH($CZ613,'Resource use and costs'!$BA$11:$BA$53,0)),0)*_xlfn.IFNA(INDEX(DY$10:DY$23,MATCH($CZ613,$DX$10:$DX$23,0)),0)</f>
        <v>56693.786091428577</v>
      </c>
      <c r="DK613" s="909">
        <f>IF(dd_PartSA_2_lines = "Yes",0,_xlfn.IFNA(INDEX('Resource use and costs'!$CR$11:$CR$53,MATCH(DA613,'Resource use and costs'!$BA$11:$BA$53,0)),0)*_xlfn.IFNA(INDEX(EA$10:EA$23,MATCH($DA613,$DX$10:$DX$23,0)),0))</f>
        <v>1987.9066666666663</v>
      </c>
      <c r="DL613" s="909">
        <f>IF(dd_PartSA_2_lines = "Yes",0,_xlfn.IFNA(INDEX('Resource use and costs'!$CS$11:$CS$53,MATCH(DB613,'Resource use and costs'!$BA$11:$BA$53,0)),0)*_xlfn.IFNA(INDEX(EC$10:EC$23,MATCH($DB613,$DX$10:$DX$23,0)),0))</f>
        <v>2915.4763433333328</v>
      </c>
      <c r="DM613" s="909">
        <f t="shared" si="297"/>
        <v>61597.169101428583</v>
      </c>
      <c r="DN613" s="909">
        <f>SUM(_xlfn.IFNA(INDEX('Resource use and costs'!$DU$12:$DU$25,MATCH(CZ613,'Resource use and costs'!$DS$12:$DS$25,0)),0),_xlfn.IFNA(INDEX('Resource use and costs'!$DU$12:$DU$25,MATCH(DA613,'Resource use and costs'!$DS$12:$DS$25,0)),0),_xlfn.IFNA(INDEX('Resource use and costs'!$DU$12:$DU$25,MATCH(DB613,'Resource use and costs'!$DS$12:$DS$25,0)),0))</f>
        <v>394.5</v>
      </c>
      <c r="DO613" s="921">
        <f>_xlfn.IFNA(INDEX('Resource use and costs'!$DY$12:$DY$25,MATCH(CZ613,'Resource use and costs'!$DS$12:$DS$25,0)),0)*_xlfn.IFNA(INDEX(DY$10:DY$23,MATCH($CZ613,$DX$10:$DX$23,0)),0)</f>
        <v>8939.6605049142872</v>
      </c>
      <c r="DP613" s="921">
        <f>IF(dd_PartSA_2_lines = "Yes",0,_xlfn.IFNA(INDEX('Resource use and costs'!$DZ$12:$DZ$25,MATCH(DA613,'Resource use and costs'!$DS$12:$DS$25,0)),0)*_xlfn.IFNA(INDEX(EA$10:EA$23,MATCH($DA613,$DX$10:$DX$23,0)),0))</f>
        <v>179.14285714285711</v>
      </c>
      <c r="DQ613" s="921">
        <f>IF(dd_PartSA_2_lines = "Yes",0,_xlfn.IFNA(INDEX('Resource use and costs'!$EA$12:$EA$25,MATCH(DB613,'Resource use and costs'!$DS$12:$DS$25,0)),0)*_xlfn.IFNA(INDEX(EC$10:EC$23,MATCH($DB613,$DX$10:$DX$23,0)),0))</f>
        <v>256.11457142857142</v>
      </c>
      <c r="DR613" s="921">
        <f t="shared" si="298"/>
        <v>9769.4179334857163</v>
      </c>
      <c r="DS613" s="1004">
        <f ca="1">SUMIFS('Safety parameters'!$DM$6:$DM$18,'Safety parameters'!$DK$6:$DK$18,CZ613,'Safety parameters'!$DL$6:$DL$18,1)+IF(dd_PartSA_2_lines = "Yes",0,SUMIFS('Safety parameters'!$DM$6:$DM$18,'Safety parameters'!$DK$6:$DK$18,DA613,'Safety parameters'!$DL$6:$DL$18,2)+SUMIFS('Safety parameters'!$DM$6:$DM$18,'Safety parameters'!$DK$6:$DK$18,DB613,'Safety parameters'!$DL$6:$DL$18,2))</f>
        <v>332.87538337531487</v>
      </c>
      <c r="DT613" s="910">
        <f ca="1">SUMIFS('Safety parameters'!$DO$6:$DO$18,'Safety parameters'!$DK$6:$DK$18,CZ613,'Safety parameters'!$DL$6:$DL$18,1)+IF(dd_PartSA_2_lines = "Yes",0,SUMIFS('Safety parameters'!$DO$6:$DO$18,'Safety parameters'!$DK$6:$DK$18,DA613,'Safety parameters'!$DL$6:$DL$18,2)+SUMIFS('Safety parameters'!$DO$6:$DO$18,'Safety parameters'!$DK$6:$DK$18,DB613,'Safety parameters'!$DL$6:$DL$18,2))</f>
        <v>-2.6675735366377194E-3</v>
      </c>
    </row>
    <row r="614" spans="89:124" ht="15" x14ac:dyDescent="0.2">
      <c r="CK614" s="61" t="s">
        <v>31</v>
      </c>
      <c r="CL614" s="61">
        <v>4</v>
      </c>
      <c r="CM614" s="61" t="str">
        <v>lenvatinib_plus_pembrolizumab</v>
      </c>
      <c r="CN614" s="17">
        <v>3</v>
      </c>
      <c r="CO614" s="61" t="str" cm="1">
        <f t="array" ref="CO614">INDEX(List_comparators,CP613+1)</f>
        <v>sorafenib</v>
      </c>
      <c r="CP614" s="17">
        <v>12</v>
      </c>
      <c r="CQ614" s="601">
        <f t="shared" ca="1" si="299"/>
        <v>0</v>
      </c>
      <c r="CR614" s="601">
        <f t="shared" ca="1" si="300"/>
        <v>0</v>
      </c>
      <c r="CS614" s="601">
        <f t="shared" ca="1" si="301"/>
        <v>0</v>
      </c>
      <c r="CT614" s="669">
        <f t="shared" ca="1" si="302"/>
        <v>0</v>
      </c>
      <c r="CU614" s="1123">
        <f>MATCH(CZ621,'Resource use and costs'!$BA$11:$BA$53,0)</f>
        <v>21</v>
      </c>
      <c r="CV614" s="1223"/>
      <c r="CW614" s="1241">
        <f t="shared" si="294"/>
        <v>1</v>
      </c>
      <c r="CX614" s="899" t="s">
        <v>794</v>
      </c>
      <c r="CY614" s="899" t="s">
        <v>118</v>
      </c>
      <c r="CZ614" s="899" t="s">
        <v>579</v>
      </c>
      <c r="DA614" s="899" t="s">
        <v>117</v>
      </c>
      <c r="DB614" s="899" t="s">
        <v>327</v>
      </c>
      <c r="DC614" s="899" cm="1">
        <f t="array" aca="1" ref="DC614" ca="1">_xlfn.IFNA(OFFSET($I$49,MATCH(CY614,$I$50:$I$63,0),MATCH(CZ614,TRANSPOSE($J$49:$W$49),0)),0)</f>
        <v>0.59511111111111104</v>
      </c>
      <c r="DD614" s="899" cm="1">
        <f t="array" aca="1" ref="DD614" ca="1">_xlfn.IFNA(OFFSET($Y$49,MATCH($CZ614,$Y$50:$Y$63,0),MATCH($DA614,TRANSPOSE($Z$49:$AM$49),0)),0)</f>
        <v>2.6200000000000001E-2</v>
      </c>
      <c r="DE614" s="899" cm="1">
        <f t="array" aca="1" ref="DE614" ca="1">_xlfn.IFNA(OFFSET($AO$49,MATCH($DA614,$AO$50:$AO$63,0),MATCH($DB614,TRANSPOSE($AP$49:$BC$49),0)),0)</f>
        <v>0.37909999999999999</v>
      </c>
      <c r="DF614" s="881">
        <f t="shared" ca="1" si="295"/>
        <v>5.9108935022222217E-3</v>
      </c>
      <c r="DG614" s="910">
        <f t="shared" ca="1" si="293"/>
        <v>1.0010447133454794</v>
      </c>
      <c r="DH614" s="881">
        <f t="shared" ca="1" si="296"/>
        <v>5.9170686915477003E-3</v>
      </c>
      <c r="DI614" s="1460">
        <f t="shared" ca="1" si="292"/>
        <v>0.67454583083643782</v>
      </c>
      <c r="DJ614" s="909">
        <f>_xlfn.IFNA(INDEX('Resource use and costs'!$CQ$11:$CQ$53,MATCH($CZ614,'Resource use and costs'!$BA$11:$BA$53,0)),0)*_xlfn.IFNA(INDEX(DY$10:DY$23,MATCH($CZ614,$DX$10:$DX$23,0)),0)</f>
        <v>56693.786091428577</v>
      </c>
      <c r="DK614" s="909">
        <f>IF(dd_PartSA_2_lines = "Yes",0,_xlfn.IFNA(INDEX('Resource use and costs'!$CR$11:$CR$53,MATCH(DA614,'Resource use and costs'!$BA$11:$BA$53,0)),0)*_xlfn.IFNA(INDEX(EA$10:EA$23,MATCH($DA614,$DX$10:$DX$23,0)),0))</f>
        <v>1602.2899047619044</v>
      </c>
      <c r="DL614" s="909">
        <f>IF(dd_PartSA_2_lines = "Yes",0,_xlfn.IFNA(INDEX('Resource use and costs'!$CS$11:$CS$53,MATCH(DB614,'Resource use and costs'!$BA$11:$BA$53,0)),0)*_xlfn.IFNA(INDEX(EC$10:EC$23,MATCH($DB614,$DX$10:$DX$23,0)),0))</f>
        <v>18438.751749999999</v>
      </c>
      <c r="DM614" s="909">
        <f t="shared" si="297"/>
        <v>76734.82774619048</v>
      </c>
      <c r="DN614" s="909">
        <f>SUM(_xlfn.IFNA(INDEX('Resource use and costs'!$DU$12:$DU$25,MATCH(CZ614,'Resource use and costs'!$DS$12:$DS$25,0)),0),_xlfn.IFNA(INDEX('Resource use and costs'!$DU$12:$DU$25,MATCH(DA614,'Resource use and costs'!$DS$12:$DS$25,0)),0),_xlfn.IFNA(INDEX('Resource use and costs'!$DU$12:$DU$25,MATCH(DB614,'Resource use and costs'!$DS$12:$DS$25,0)),0))</f>
        <v>394.5</v>
      </c>
      <c r="DO614" s="921">
        <f>_xlfn.IFNA(INDEX('Resource use and costs'!$DY$12:$DY$25,MATCH(CZ614,'Resource use and costs'!$DS$12:$DS$25,0)),0)*_xlfn.IFNA(INDEX(DY$10:DY$23,MATCH($CZ614,$DX$10:$DX$23,0)),0)</f>
        <v>8939.6605049142872</v>
      </c>
      <c r="DP614" s="921">
        <f>IF(dd_PartSA_2_lines = "Yes",0,_xlfn.IFNA(INDEX('Resource use and costs'!$DZ$12:$DZ$25,MATCH(DA614,'Resource use and costs'!$DS$12:$DS$25,0)),0)*_xlfn.IFNA(INDEX(EA$10:EA$23,MATCH($DA614,$DX$10:$DX$23,0)),0))</f>
        <v>226.91428571428568</v>
      </c>
      <c r="DQ614" s="921">
        <f>IF(dd_PartSA_2_lines = "Yes",0,_xlfn.IFNA(INDEX('Resource use and costs'!$EA$12:$EA$25,MATCH(DB614,'Resource use and costs'!$DS$12:$DS$25,0)),0)*_xlfn.IFNA(INDEX(EC$10:EC$23,MATCH($DB614,$DX$10:$DX$23,0)),0))</f>
        <v>230.68099999999998</v>
      </c>
      <c r="DR614" s="921">
        <f t="shared" si="298"/>
        <v>9791.7557906285729</v>
      </c>
      <c r="DS614" s="1004">
        <f ca="1">SUMIFS('Safety parameters'!$DM$6:$DM$18,'Safety parameters'!$DK$6:$DK$18,CZ614,'Safety parameters'!$DL$6:$DL$18,1)+IF(dd_PartSA_2_lines = "Yes",0,SUMIFS('Safety parameters'!$DM$6:$DM$18,'Safety parameters'!$DK$6:$DK$18,DA614,'Safety parameters'!$DL$6:$DL$18,2)+SUMIFS('Safety parameters'!$DM$6:$DM$18,'Safety parameters'!$DK$6:$DK$18,DB614,'Safety parameters'!$DL$6:$DL$18,2))</f>
        <v>1634.2286735654598</v>
      </c>
      <c r="DT614" s="910">
        <f ca="1">SUMIFS('Safety parameters'!$DO$6:$DO$18,'Safety parameters'!$DK$6:$DK$18,CZ614,'Safety parameters'!$DL$6:$DL$18,1)+IF(dd_PartSA_2_lines = "Yes",0,SUMIFS('Safety parameters'!$DO$6:$DO$18,'Safety parameters'!$DK$6:$DK$18,DA614,'Safety parameters'!$DL$6:$DL$18,2)+SUMIFS('Safety parameters'!$DO$6:$DO$18,'Safety parameters'!$DK$6:$DK$18,DB614,'Safety parameters'!$DL$6:$DL$18,2))</f>
        <v>-1.4741924007481429E-2</v>
      </c>
    </row>
    <row r="615" spans="89:124" ht="15" x14ac:dyDescent="0.2">
      <c r="CK615" s="61" t="s">
        <v>31</v>
      </c>
      <c r="CL615" s="61">
        <v>4</v>
      </c>
      <c r="CM615" s="61" t="str">
        <v>avelumab_plus_axitinib</v>
      </c>
      <c r="CN615" s="17">
        <v>4</v>
      </c>
      <c r="CO615" s="61" t="str" cm="1">
        <f t="array" ref="CO615">INDEX(List_comparators,CP614+1)</f>
        <v>sorafenib</v>
      </c>
      <c r="CP615" s="17">
        <v>12</v>
      </c>
      <c r="CQ615" s="601">
        <f t="shared" ca="1" si="299"/>
        <v>0</v>
      </c>
      <c r="CR615" s="601">
        <f t="shared" ca="1" si="300"/>
        <v>0</v>
      </c>
      <c r="CS615" s="601">
        <f t="shared" ca="1" si="301"/>
        <v>0</v>
      </c>
      <c r="CT615" s="669">
        <f t="shared" ca="1" si="302"/>
        <v>0</v>
      </c>
      <c r="CU615" s="1123">
        <f>MATCH(CZ622,'Resource use and costs'!$BA$11:$BA$53,0)</f>
        <v>21</v>
      </c>
      <c r="CV615" s="1223"/>
      <c r="CW615" s="1241">
        <f t="shared" si="294"/>
        <v>1</v>
      </c>
      <c r="CX615" s="899" t="s">
        <v>794</v>
      </c>
      <c r="CY615" s="899" t="s">
        <v>118</v>
      </c>
      <c r="CZ615" s="899" t="s">
        <v>579</v>
      </c>
      <c r="DA615" s="899" t="s">
        <v>117</v>
      </c>
      <c r="DB615" s="899" t="s">
        <v>765</v>
      </c>
      <c r="DC615" s="899" cm="1">
        <f t="array" aca="1" ref="DC615" ca="1">_xlfn.IFNA(OFFSET($I$49,MATCH(CY615,$I$50:$I$63,0),MATCH(CZ615,TRANSPOSE($J$49:$W$49),0)),0)</f>
        <v>0.59511111111111104</v>
      </c>
      <c r="DD615" s="899" cm="1">
        <f t="array" aca="1" ref="DD615" ca="1">_xlfn.IFNA(OFFSET($Y$49,MATCH($CZ615,$Y$50:$Y$63,0),MATCH($DA615,TRANSPOSE($Z$49:$AM$49),0)),0)</f>
        <v>2.6200000000000001E-2</v>
      </c>
      <c r="DE615" s="899" cm="1">
        <f t="array" aca="1" ref="DE615" ca="1">_xlfn.IFNA(OFFSET($AO$49,MATCH($DA615,$AO$50:$AO$63,0),MATCH($DB615,TRANSPOSE($AP$49:$BC$49),0)),0)</f>
        <v>0.43140000000000001</v>
      </c>
      <c r="DF615" s="881">
        <f t="shared" ca="1" si="295"/>
        <v>6.7263504533333325E-3</v>
      </c>
      <c r="DG615" s="910">
        <f t="shared" ca="1" si="293"/>
        <v>1.0010447133454794</v>
      </c>
      <c r="DH615" s="881">
        <f t="shared" ca="1" si="296"/>
        <v>6.7333775614183012E-3</v>
      </c>
      <c r="DI615" s="1460">
        <f t="shared" ca="1" si="292"/>
        <v>0.76760504200168633</v>
      </c>
      <c r="DJ615" s="909">
        <f>_xlfn.IFNA(INDEX('Resource use and costs'!$CQ$11:$CQ$53,MATCH($CZ615,'Resource use and costs'!$BA$11:$BA$53,0)),0)*_xlfn.IFNA(INDEX(DY$10:DY$23,MATCH($CZ615,$DX$10:$DX$23,0)),0)</f>
        <v>56693.786091428577</v>
      </c>
      <c r="DK615" s="909">
        <f>IF(dd_PartSA_2_lines = "Yes",0,_xlfn.IFNA(INDEX('Resource use and costs'!$CR$11:$CR$53,MATCH(DA615,'Resource use and costs'!$BA$11:$BA$53,0)),0)*_xlfn.IFNA(INDEX(EA$10:EA$23,MATCH($DA615,$DX$10:$DX$23,0)),0))</f>
        <v>1602.2899047619044</v>
      </c>
      <c r="DL615" s="909">
        <f>IF(dd_PartSA_2_lines = "Yes",0,_xlfn.IFNA(INDEX('Resource use and costs'!$CS$11:$CS$53,MATCH(DB615,'Resource use and costs'!$BA$11:$BA$53,0)),0)*_xlfn.IFNA(INDEX(EC$10:EC$23,MATCH($DB615,$DX$10:$DX$23,0)),0))</f>
        <v>0</v>
      </c>
      <c r="DM615" s="909">
        <f t="shared" si="297"/>
        <v>58296.075996190484</v>
      </c>
      <c r="DN615" s="909">
        <f>SUM(_xlfn.IFNA(INDEX('Resource use and costs'!$DU$12:$DU$25,MATCH(CZ615,'Resource use and costs'!$DS$12:$DS$25,0)),0),_xlfn.IFNA(INDEX('Resource use and costs'!$DU$12:$DU$25,MATCH(DA615,'Resource use and costs'!$DS$12:$DS$25,0)),0),_xlfn.IFNA(INDEX('Resource use and costs'!$DU$12:$DU$25,MATCH(DB615,'Resource use and costs'!$DS$12:$DS$25,0)),0))</f>
        <v>197.25</v>
      </c>
      <c r="DO615" s="921">
        <f>_xlfn.IFNA(INDEX('Resource use and costs'!$DY$12:$DY$25,MATCH(CZ615,'Resource use and costs'!$DS$12:$DS$25,0)),0)*_xlfn.IFNA(INDEX(DY$10:DY$23,MATCH($CZ615,$DX$10:$DX$23,0)),0)</f>
        <v>8939.6605049142872</v>
      </c>
      <c r="DP615" s="921">
        <f>IF(dd_PartSA_2_lines = "Yes",0,_xlfn.IFNA(INDEX('Resource use and costs'!$DZ$12:$DZ$25,MATCH(DA615,'Resource use and costs'!$DS$12:$DS$25,0)),0)*_xlfn.IFNA(INDEX(EA$10:EA$23,MATCH($DA615,$DX$10:$DX$23,0)),0))</f>
        <v>226.91428571428568</v>
      </c>
      <c r="DQ615" s="921">
        <f>IF(dd_PartSA_2_lines = "Yes",0,_xlfn.IFNA(INDEX('Resource use and costs'!$EA$12:$EA$25,MATCH(DB615,'Resource use and costs'!$DS$12:$DS$25,0)),0)*_xlfn.IFNA(INDEX(EC$10:EC$23,MATCH($DB615,$DX$10:$DX$23,0)),0))</f>
        <v>0</v>
      </c>
      <c r="DR615" s="921">
        <f t="shared" si="298"/>
        <v>9363.8247906285724</v>
      </c>
      <c r="DS615" s="1004">
        <f>SUMIFS('Safety parameters'!$DM$6:$DM$18,'Safety parameters'!$DK$6:$DK$18,CZ615,'Safety parameters'!$DL$6:$DL$18,1)+IF(dd_PartSA_2_lines = "Yes",0,SUMIFS('Safety parameters'!$DM$6:$DM$18,'Safety parameters'!$DK$6:$DK$18,DA615,'Safety parameters'!$DL$6:$DL$18,2)+SUMIFS('Safety parameters'!$DM$6:$DM$18,'Safety parameters'!$DK$6:$DK$18,DB615,'Safety parameters'!$DL$6:$DL$18,2))</f>
        <v>0</v>
      </c>
      <c r="DT615" s="910">
        <f>SUMIFS('Safety parameters'!$DO$6:$DO$18,'Safety parameters'!$DK$6:$DK$18,CZ615,'Safety parameters'!$DL$6:$DL$18,1)+IF(dd_PartSA_2_lines = "Yes",0,SUMIFS('Safety parameters'!$DO$6:$DO$18,'Safety parameters'!$DK$6:$DK$18,DA615,'Safety parameters'!$DL$6:$DL$18,2)+SUMIFS('Safety parameters'!$DO$6:$DO$18,'Safety parameters'!$DK$6:$DK$18,DB615,'Safety parameters'!$DL$6:$DL$18,2))</f>
        <v>0</v>
      </c>
    </row>
    <row r="616" spans="89:124" ht="15" x14ac:dyDescent="0.2">
      <c r="CK616" s="61" t="s">
        <v>31</v>
      </c>
      <c r="CL616" s="61">
        <v>4</v>
      </c>
      <c r="CM616" s="61" t="str">
        <v>pazopanib</v>
      </c>
      <c r="CN616" s="17">
        <v>5</v>
      </c>
      <c r="CO616" s="61" t="str" cm="1">
        <f t="array" ref="CO616">INDEX(List_comparators,CP615+1)</f>
        <v>sorafenib</v>
      </c>
      <c r="CP616" s="17">
        <v>12</v>
      </c>
      <c r="CQ616" s="601">
        <f t="shared" ca="1" si="299"/>
        <v>0</v>
      </c>
      <c r="CR616" s="601">
        <f t="shared" ca="1" si="300"/>
        <v>0</v>
      </c>
      <c r="CS616" s="601">
        <f t="shared" ca="1" si="301"/>
        <v>0</v>
      </c>
      <c r="CT616" s="669">
        <f t="shared" ca="1" si="302"/>
        <v>0</v>
      </c>
      <c r="CU616" s="1123">
        <f>MATCH(CZ623,'Resource use and costs'!$BA$11:$BA$53,0)</f>
        <v>21</v>
      </c>
      <c r="CV616" s="1223"/>
      <c r="CW616" s="1241">
        <f t="shared" si="294"/>
        <v>1</v>
      </c>
      <c r="CX616" s="899" t="s">
        <v>794</v>
      </c>
      <c r="CY616" s="899" t="s">
        <v>118</v>
      </c>
      <c r="CZ616" s="899" t="s">
        <v>579</v>
      </c>
      <c r="DA616" s="899" t="s">
        <v>117</v>
      </c>
      <c r="DB616" s="899" t="s">
        <v>119</v>
      </c>
      <c r="DC616" s="899" cm="1">
        <f t="array" aca="1" ref="DC616" ca="1">_xlfn.IFNA(OFFSET($I$49,MATCH(CY616,$I$50:$I$63,0),MATCH(CZ616,TRANSPOSE($J$49:$W$49),0)),0)</f>
        <v>0.59511111111111104</v>
      </c>
      <c r="DD616" s="899" cm="1">
        <f t="array" aca="1" ref="DD616" ca="1">_xlfn.IFNA(OFFSET($Y$49,MATCH($CZ616,$Y$50:$Y$63,0),MATCH($DA616,TRANSPOSE($Z$49:$AM$49),0)),0)</f>
        <v>2.6200000000000001E-2</v>
      </c>
      <c r="DE616" s="899" cm="1">
        <f t="array" aca="1" ref="DE616" ca="1">_xlfn.IFNA(OFFSET($AO$49,MATCH($DA616,$AO$50:$AO$63,0),MATCH($DB616,TRANSPOSE($AP$49:$BC$49),0)),0)</f>
        <v>0.1895</v>
      </c>
      <c r="DF616" s="881">
        <f t="shared" ca="1" si="295"/>
        <v>2.9546671555555552E-3</v>
      </c>
      <c r="DG616" s="910">
        <f t="shared" ca="1" si="293"/>
        <v>1.0010447133454794</v>
      </c>
      <c r="DH616" s="881">
        <f t="shared" ca="1" si="296"/>
        <v>2.9577539357644139E-3</v>
      </c>
      <c r="DI616" s="1460">
        <f t="shared" ca="1" si="292"/>
        <v>0.33718394867714319</v>
      </c>
      <c r="DJ616" s="909">
        <f>_xlfn.IFNA(INDEX('Resource use and costs'!$CQ$11:$CQ$53,MATCH($CZ616,'Resource use and costs'!$BA$11:$BA$53,0)),0)*_xlfn.IFNA(INDEX(DY$10:DY$23,MATCH($CZ616,$DX$10:$DX$23,0)),0)</f>
        <v>56693.786091428577</v>
      </c>
      <c r="DK616" s="909">
        <f>IF(dd_PartSA_2_lines = "Yes",0,_xlfn.IFNA(INDEX('Resource use and costs'!$CR$11:$CR$53,MATCH(DA616,'Resource use and costs'!$BA$11:$BA$53,0)),0)*_xlfn.IFNA(INDEX(EA$10:EA$23,MATCH($DA616,$DX$10:$DX$23,0)),0))</f>
        <v>1602.2899047619044</v>
      </c>
      <c r="DL616" s="909">
        <f>IF(dd_PartSA_2_lines = "Yes",0,_xlfn.IFNA(INDEX('Resource use and costs'!$CS$11:$CS$53,MATCH(DB616,'Resource use and costs'!$BA$11:$BA$53,0)),0)*_xlfn.IFNA(INDEX(EC$10:EC$23,MATCH($DB616,$DX$10:$DX$23,0)),0))</f>
        <v>2915.4763433333328</v>
      </c>
      <c r="DM616" s="909">
        <f t="shared" si="297"/>
        <v>61211.55233952382</v>
      </c>
      <c r="DN616" s="909">
        <f>SUM(_xlfn.IFNA(INDEX('Resource use and costs'!$DU$12:$DU$25,MATCH(CZ616,'Resource use and costs'!$DS$12:$DS$25,0)),0),_xlfn.IFNA(INDEX('Resource use and costs'!$DU$12:$DU$25,MATCH(DA616,'Resource use and costs'!$DS$12:$DS$25,0)),0),_xlfn.IFNA(INDEX('Resource use and costs'!$DU$12:$DU$25,MATCH(DB616,'Resource use and costs'!$DS$12:$DS$25,0)),0))</f>
        <v>394.5</v>
      </c>
      <c r="DO616" s="921">
        <f>_xlfn.IFNA(INDEX('Resource use and costs'!$DY$12:$DY$25,MATCH(CZ616,'Resource use and costs'!$DS$12:$DS$25,0)),0)*_xlfn.IFNA(INDEX(DY$10:DY$23,MATCH($CZ616,$DX$10:$DX$23,0)),0)</f>
        <v>8939.6605049142872</v>
      </c>
      <c r="DP616" s="921">
        <f>IF(dd_PartSA_2_lines = "Yes",0,_xlfn.IFNA(INDEX('Resource use and costs'!$DZ$12:$DZ$25,MATCH(DA616,'Resource use and costs'!$DS$12:$DS$25,0)),0)*_xlfn.IFNA(INDEX(EA$10:EA$23,MATCH($DA616,$DX$10:$DX$23,0)),0))</f>
        <v>226.91428571428568</v>
      </c>
      <c r="DQ616" s="921">
        <f>IF(dd_PartSA_2_lines = "Yes",0,_xlfn.IFNA(INDEX('Resource use and costs'!$EA$12:$EA$25,MATCH(DB616,'Resource use and costs'!$DS$12:$DS$25,0)),0)*_xlfn.IFNA(INDEX(EC$10:EC$23,MATCH($DB616,$DX$10:$DX$23,0)),0))</f>
        <v>256.11457142857142</v>
      </c>
      <c r="DR616" s="921">
        <f t="shared" si="298"/>
        <v>9817.1893620571445</v>
      </c>
      <c r="DS616" s="1004">
        <f ca="1">SUMIFS('Safety parameters'!$DM$6:$DM$18,'Safety parameters'!$DK$6:$DK$18,CZ616,'Safety parameters'!$DL$6:$DL$18,1)+IF(dd_PartSA_2_lines = "Yes",0,SUMIFS('Safety parameters'!$DM$6:$DM$18,'Safety parameters'!$DK$6:$DK$18,DA616,'Safety parameters'!$DL$6:$DL$18,2)+SUMIFS('Safety parameters'!$DM$6:$DM$18,'Safety parameters'!$DK$6:$DK$18,DB616,'Safety parameters'!$DL$6:$DL$18,2))</f>
        <v>332.87538337531487</v>
      </c>
      <c r="DT616" s="910">
        <f ca="1">SUMIFS('Safety parameters'!$DO$6:$DO$18,'Safety parameters'!$DK$6:$DK$18,CZ616,'Safety parameters'!$DL$6:$DL$18,1)+IF(dd_PartSA_2_lines = "Yes",0,SUMIFS('Safety parameters'!$DO$6:$DO$18,'Safety parameters'!$DK$6:$DK$18,DA616,'Safety parameters'!$DL$6:$DL$18,2)+SUMIFS('Safety parameters'!$DO$6:$DO$18,'Safety parameters'!$DK$6:$DK$18,DB616,'Safety parameters'!$DL$6:$DL$18,2))</f>
        <v>-2.6675735366377194E-3</v>
      </c>
    </row>
    <row r="617" spans="89:124" ht="15" x14ac:dyDescent="0.2">
      <c r="CK617" s="61" t="s">
        <v>31</v>
      </c>
      <c r="CL617" s="61">
        <v>4</v>
      </c>
      <c r="CM617" s="61" t="str">
        <v>tivozanib</v>
      </c>
      <c r="CN617" s="17">
        <v>6</v>
      </c>
      <c r="CO617" s="61" t="str" cm="1">
        <f t="array" ref="CO617">INDEX(List_comparators,CP616+1)</f>
        <v>sorafenib</v>
      </c>
      <c r="CP617" s="17">
        <v>12</v>
      </c>
      <c r="CQ617" s="601">
        <f t="shared" ca="1" si="299"/>
        <v>0</v>
      </c>
      <c r="CR617" s="601">
        <f t="shared" ca="1" si="300"/>
        <v>0</v>
      </c>
      <c r="CS617" s="601">
        <f t="shared" ca="1" si="301"/>
        <v>0</v>
      </c>
      <c r="CT617" s="669">
        <f t="shared" ca="1" si="302"/>
        <v>0</v>
      </c>
      <c r="CU617" s="1123">
        <f>MATCH(CZ624,'Resource use and costs'!$BA$11:$BA$53,0)</f>
        <v>21</v>
      </c>
      <c r="CV617" s="1223"/>
      <c r="CW617" s="1241">
        <f t="shared" si="294"/>
        <v>1</v>
      </c>
      <c r="CX617" s="899" t="s">
        <v>794</v>
      </c>
      <c r="CY617" s="899" t="s">
        <v>118</v>
      </c>
      <c r="CZ617" s="899" t="s">
        <v>579</v>
      </c>
      <c r="DA617" s="899" t="s">
        <v>319</v>
      </c>
      <c r="DB617" s="899" t="s">
        <v>327</v>
      </c>
      <c r="DC617" s="899" cm="1">
        <f t="array" aca="1" ref="DC617" ca="1">_xlfn.IFNA(OFFSET($I$49,MATCH(CY617,$I$50:$I$63,0),MATCH(CZ617,TRANSPOSE($J$49:$W$49),0)),0)</f>
        <v>0.59511111111111104</v>
      </c>
      <c r="DD617" s="899" cm="1">
        <f t="array" aca="1" ref="DD617" ca="1">_xlfn.IFNA(OFFSET($Y$49,MATCH($CZ617,$Y$50:$Y$63,0),MATCH($DA617,TRANSPOSE($Z$49:$AM$49),0)),0)</f>
        <v>0</v>
      </c>
      <c r="DE617" s="899" cm="1">
        <f t="array" aca="1" ref="DE617" ca="1">_xlfn.IFNA(OFFSET($AO$49,MATCH($DA617,$AO$50:$AO$63,0),MATCH($DB617,TRANSPOSE($AP$49:$BC$49),0)),0)</f>
        <v>0.37909999999999999</v>
      </c>
      <c r="DF617" s="881">
        <f t="shared" ca="1" si="295"/>
        <v>0</v>
      </c>
      <c r="DG617" s="910">
        <f t="shared" ca="1" si="293"/>
        <v>1.0010447133454794</v>
      </c>
      <c r="DH617" s="881">
        <f t="shared" ca="1" si="296"/>
        <v>0</v>
      </c>
      <c r="DI617" s="1460">
        <f t="shared" ca="1" si="292"/>
        <v>0</v>
      </c>
      <c r="DJ617" s="909">
        <f>_xlfn.IFNA(INDEX('Resource use and costs'!$CQ$11:$CQ$53,MATCH($CZ617,'Resource use and costs'!$BA$11:$BA$53,0)),0)*_xlfn.IFNA(INDEX(DY$10:DY$23,MATCH($CZ617,$DX$10:$DX$23,0)),0)</f>
        <v>56693.786091428577</v>
      </c>
      <c r="DK617" s="909">
        <f>IF(dd_PartSA_2_lines = "Yes",0,_xlfn.IFNA(INDEX('Resource use and costs'!$CR$11:$CR$53,MATCH(DA617,'Resource use and costs'!$BA$11:$BA$53,0)),0)*_xlfn.IFNA(INDEX(EA$10:EA$23,MATCH($DA617,$DX$10:$DX$23,0)),0))</f>
        <v>11139.428571428571</v>
      </c>
      <c r="DL617" s="909">
        <f>IF(dd_PartSA_2_lines = "Yes",0,_xlfn.IFNA(INDEX('Resource use and costs'!$CS$11:$CS$53,MATCH(DB617,'Resource use and costs'!$BA$11:$BA$53,0)),0)*_xlfn.IFNA(INDEX(EC$10:EC$23,MATCH($DB617,$DX$10:$DX$23,0)),0))</f>
        <v>18438.751749999999</v>
      </c>
      <c r="DM617" s="909">
        <f t="shared" si="297"/>
        <v>86271.966412857146</v>
      </c>
      <c r="DN617" s="909">
        <f>SUM(_xlfn.IFNA(INDEX('Resource use and costs'!$DU$12:$DU$25,MATCH(CZ617,'Resource use and costs'!$DS$12:$DS$25,0)),0),_xlfn.IFNA(INDEX('Resource use and costs'!$DU$12:$DU$25,MATCH(DA617,'Resource use and costs'!$DS$12:$DS$25,0)),0),_xlfn.IFNA(INDEX('Resource use and costs'!$DU$12:$DU$25,MATCH(DB617,'Resource use and costs'!$DS$12:$DS$25,0)),0))</f>
        <v>394.5</v>
      </c>
      <c r="DO617" s="921">
        <f>_xlfn.IFNA(INDEX('Resource use and costs'!$DY$12:$DY$25,MATCH(CZ617,'Resource use and costs'!$DS$12:$DS$25,0)),0)*_xlfn.IFNA(INDEX(DY$10:DY$23,MATCH($CZ617,$DX$10:$DX$23,0)),0)</f>
        <v>8939.6605049142872</v>
      </c>
      <c r="DP617" s="921">
        <f>IF(dd_PartSA_2_lines = "Yes",0,_xlfn.IFNA(INDEX('Resource use and costs'!$DZ$12:$DZ$25,MATCH(DA617,'Resource use and costs'!$DS$12:$DS$25,0)),0)*_xlfn.IFNA(INDEX(EA$10:EA$23,MATCH($DA617,$DX$10:$DX$23,0)),0))</f>
        <v>238.85714285714283</v>
      </c>
      <c r="DQ617" s="921">
        <f>IF(dd_PartSA_2_lines = "Yes",0,_xlfn.IFNA(INDEX('Resource use and costs'!$EA$12:$EA$25,MATCH(DB617,'Resource use and costs'!$DS$12:$DS$25,0)),0)*_xlfn.IFNA(INDEX(EC$10:EC$23,MATCH($DB617,$DX$10:$DX$23,0)),0))</f>
        <v>230.68099999999998</v>
      </c>
      <c r="DR617" s="921">
        <f t="shared" si="298"/>
        <v>9803.6986477714308</v>
      </c>
      <c r="DS617" s="1004">
        <f ca="1">SUMIFS('Safety parameters'!$DM$6:$DM$18,'Safety parameters'!$DK$6:$DK$18,CZ617,'Safety parameters'!$DL$6:$DL$18,1)+IF(dd_PartSA_2_lines = "Yes",0,SUMIFS('Safety parameters'!$DM$6:$DM$18,'Safety parameters'!$DK$6:$DK$18,DA617,'Safety parameters'!$DL$6:$DL$18,2)+SUMIFS('Safety parameters'!$DM$6:$DM$18,'Safety parameters'!$DK$6:$DK$18,DB617,'Safety parameters'!$DL$6:$DL$18,2))</f>
        <v>1634.2286735654598</v>
      </c>
      <c r="DT617" s="910">
        <f ca="1">SUMIFS('Safety parameters'!$DO$6:$DO$18,'Safety parameters'!$DK$6:$DK$18,CZ617,'Safety parameters'!$DL$6:$DL$18,1)+IF(dd_PartSA_2_lines = "Yes",0,SUMIFS('Safety parameters'!$DO$6:$DO$18,'Safety parameters'!$DK$6:$DK$18,DA617,'Safety parameters'!$DL$6:$DL$18,2)+SUMIFS('Safety parameters'!$DO$6:$DO$18,'Safety parameters'!$DK$6:$DK$18,DB617,'Safety parameters'!$DL$6:$DL$18,2))</f>
        <v>-1.4741924007481429E-2</v>
      </c>
    </row>
    <row r="618" spans="89:124" ht="15" x14ac:dyDescent="0.2">
      <c r="CK618" s="61" t="s">
        <v>31</v>
      </c>
      <c r="CL618" s="61">
        <v>4</v>
      </c>
      <c r="CM618" s="61" t="str">
        <v>sunitinib</v>
      </c>
      <c r="CN618" s="17">
        <v>7</v>
      </c>
      <c r="CO618" s="61" t="str" cm="1">
        <f t="array" ref="CO618">INDEX(List_comparators,CP617+1)</f>
        <v>sorafenib</v>
      </c>
      <c r="CP618" s="17">
        <v>12</v>
      </c>
      <c r="CQ618" s="601">
        <f t="shared" ca="1" si="299"/>
        <v>0</v>
      </c>
      <c r="CR618" s="601">
        <f t="shared" ca="1" si="300"/>
        <v>0</v>
      </c>
      <c r="CS618" s="601">
        <f t="shared" ca="1" si="301"/>
        <v>0</v>
      </c>
      <c r="CT618" s="669">
        <f t="shared" ca="1" si="302"/>
        <v>0</v>
      </c>
      <c r="CU618" s="1123">
        <f>MATCH(CZ625,'Resource use and costs'!$BA$11:$BA$53,0)</f>
        <v>21</v>
      </c>
      <c r="CV618" s="1223"/>
      <c r="CW618" s="1241">
        <f t="shared" si="294"/>
        <v>1</v>
      </c>
      <c r="CX618" s="899" t="s">
        <v>794</v>
      </c>
      <c r="CY618" s="899" t="s">
        <v>118</v>
      </c>
      <c r="CZ618" s="899" t="s">
        <v>579</v>
      </c>
      <c r="DA618" s="899" t="s">
        <v>319</v>
      </c>
      <c r="DB618" s="899" t="s">
        <v>765</v>
      </c>
      <c r="DC618" s="899" cm="1">
        <f t="array" aca="1" ref="DC618" ca="1">_xlfn.IFNA(OFFSET($I$49,MATCH(CY618,$I$50:$I$63,0),MATCH(CZ618,TRANSPOSE($J$49:$W$49),0)),0)</f>
        <v>0.59511111111111104</v>
      </c>
      <c r="DD618" s="899" cm="1">
        <f t="array" aca="1" ref="DD618" ca="1">_xlfn.IFNA(OFFSET($Y$49,MATCH($CZ618,$Y$50:$Y$63,0),MATCH($DA618,TRANSPOSE($Z$49:$AM$49),0)),0)</f>
        <v>0</v>
      </c>
      <c r="DE618" s="899" cm="1">
        <f t="array" aca="1" ref="DE618" ca="1">_xlfn.IFNA(OFFSET($AO$49,MATCH($DA618,$AO$50:$AO$63,0),MATCH($DB618,TRANSPOSE($AP$49:$BC$49),0)),0)</f>
        <v>0.43140000000000001</v>
      </c>
      <c r="DF618" s="881">
        <f t="shared" ca="1" si="295"/>
        <v>0</v>
      </c>
      <c r="DG618" s="910">
        <f t="shared" ca="1" si="293"/>
        <v>1.0010447133454794</v>
      </c>
      <c r="DH618" s="881">
        <f t="shared" ca="1" si="296"/>
        <v>0</v>
      </c>
      <c r="DI618" s="1460">
        <f t="shared" ca="1" si="292"/>
        <v>0</v>
      </c>
      <c r="DJ618" s="909">
        <f>_xlfn.IFNA(INDEX('Resource use and costs'!$CQ$11:$CQ$53,MATCH($CZ618,'Resource use and costs'!$BA$11:$BA$53,0)),0)*_xlfn.IFNA(INDEX(DY$10:DY$23,MATCH($CZ618,$DX$10:$DX$23,0)),0)</f>
        <v>56693.786091428577</v>
      </c>
      <c r="DK618" s="909">
        <f>IF(dd_PartSA_2_lines = "Yes",0,_xlfn.IFNA(INDEX('Resource use and costs'!$CR$11:$CR$53,MATCH(DA618,'Resource use and costs'!$BA$11:$BA$53,0)),0)*_xlfn.IFNA(INDEX(EA$10:EA$23,MATCH($DA618,$DX$10:$DX$23,0)),0))</f>
        <v>11139.428571428571</v>
      </c>
      <c r="DL618" s="909">
        <f>IF(dd_PartSA_2_lines = "Yes",0,_xlfn.IFNA(INDEX('Resource use and costs'!$CS$11:$CS$53,MATCH(DB618,'Resource use and costs'!$BA$11:$BA$53,0)),0)*_xlfn.IFNA(INDEX(EC$10:EC$23,MATCH($DB618,$DX$10:$DX$23,0)),0))</f>
        <v>0</v>
      </c>
      <c r="DM618" s="909">
        <f t="shared" si="297"/>
        <v>67833.21466285715</v>
      </c>
      <c r="DN618" s="909">
        <f>SUM(_xlfn.IFNA(INDEX('Resource use and costs'!$DU$12:$DU$25,MATCH(CZ618,'Resource use and costs'!$DS$12:$DS$25,0)),0),_xlfn.IFNA(INDEX('Resource use and costs'!$DU$12:$DU$25,MATCH(DA618,'Resource use and costs'!$DS$12:$DS$25,0)),0),_xlfn.IFNA(INDEX('Resource use and costs'!$DU$12:$DU$25,MATCH(DB618,'Resource use and costs'!$DS$12:$DS$25,0)),0))</f>
        <v>197.25</v>
      </c>
      <c r="DO618" s="921">
        <f>_xlfn.IFNA(INDEX('Resource use and costs'!$DY$12:$DY$25,MATCH(CZ618,'Resource use and costs'!$DS$12:$DS$25,0)),0)*_xlfn.IFNA(INDEX(DY$10:DY$23,MATCH($CZ618,$DX$10:$DX$23,0)),0)</f>
        <v>8939.6605049142872</v>
      </c>
      <c r="DP618" s="921">
        <f>IF(dd_PartSA_2_lines = "Yes",0,_xlfn.IFNA(INDEX('Resource use and costs'!$DZ$12:$DZ$25,MATCH(DA618,'Resource use and costs'!$DS$12:$DS$25,0)),0)*_xlfn.IFNA(INDEX(EA$10:EA$23,MATCH($DA618,$DX$10:$DX$23,0)),0))</f>
        <v>238.85714285714283</v>
      </c>
      <c r="DQ618" s="921">
        <f>IF(dd_PartSA_2_lines = "Yes",0,_xlfn.IFNA(INDEX('Resource use and costs'!$EA$12:$EA$25,MATCH(DB618,'Resource use and costs'!$DS$12:$DS$25,0)),0)*_xlfn.IFNA(INDEX(EC$10:EC$23,MATCH($DB618,$DX$10:$DX$23,0)),0))</f>
        <v>0</v>
      </c>
      <c r="DR618" s="921">
        <f t="shared" si="298"/>
        <v>9375.7676477714303</v>
      </c>
      <c r="DS618" s="1004">
        <f>SUMIFS('Safety parameters'!$DM$6:$DM$18,'Safety parameters'!$DK$6:$DK$18,CZ618,'Safety parameters'!$DL$6:$DL$18,1)+IF(dd_PartSA_2_lines = "Yes",0,SUMIFS('Safety parameters'!$DM$6:$DM$18,'Safety parameters'!$DK$6:$DK$18,DA618,'Safety parameters'!$DL$6:$DL$18,2)+SUMIFS('Safety parameters'!$DM$6:$DM$18,'Safety parameters'!$DK$6:$DK$18,DB618,'Safety parameters'!$DL$6:$DL$18,2))</f>
        <v>0</v>
      </c>
      <c r="DT618" s="910">
        <f>SUMIFS('Safety parameters'!$DO$6:$DO$18,'Safety parameters'!$DK$6:$DK$18,CZ618,'Safety parameters'!$DL$6:$DL$18,1)+IF(dd_PartSA_2_lines = "Yes",0,SUMIFS('Safety parameters'!$DO$6:$DO$18,'Safety parameters'!$DK$6:$DK$18,DA618,'Safety parameters'!$DL$6:$DL$18,2)+SUMIFS('Safety parameters'!$DO$6:$DO$18,'Safety parameters'!$DK$6:$DK$18,DB618,'Safety parameters'!$DL$6:$DL$18,2))</f>
        <v>0</v>
      </c>
    </row>
    <row r="619" spans="89:124" ht="15" x14ac:dyDescent="0.2">
      <c r="CK619" s="61" t="s">
        <v>31</v>
      </c>
      <c r="CL619" s="61">
        <v>4</v>
      </c>
      <c r="CM619" s="61" t="str">
        <v>cabozantinib</v>
      </c>
      <c r="CN619" s="17">
        <v>8</v>
      </c>
      <c r="CO619" s="61" t="str" cm="1">
        <f t="array" ref="CO619">INDEX(List_comparators,CP618+1)</f>
        <v>sorafenib</v>
      </c>
      <c r="CP619" s="17">
        <v>12</v>
      </c>
      <c r="CQ619" s="601">
        <f t="shared" ca="1" si="299"/>
        <v>0</v>
      </c>
      <c r="CR619" s="601">
        <f t="shared" ca="1" si="300"/>
        <v>0</v>
      </c>
      <c r="CS619" s="601">
        <f t="shared" ca="1" si="301"/>
        <v>0</v>
      </c>
      <c r="CT619" s="669">
        <f t="shared" ca="1" si="302"/>
        <v>0</v>
      </c>
      <c r="CU619" s="1123">
        <f>MATCH(CZ626,'Resource use and costs'!$BA$11:$BA$53,0)</f>
        <v>21</v>
      </c>
      <c r="CV619" s="1223"/>
      <c r="CW619" s="1241">
        <f t="shared" si="294"/>
        <v>1</v>
      </c>
      <c r="CX619" s="899" t="s">
        <v>794</v>
      </c>
      <c r="CY619" s="899" t="s">
        <v>118</v>
      </c>
      <c r="CZ619" s="899" t="s">
        <v>579</v>
      </c>
      <c r="DA619" s="899" t="s">
        <v>319</v>
      </c>
      <c r="DB619" s="899" t="s">
        <v>119</v>
      </c>
      <c r="DC619" s="899" cm="1">
        <f t="array" aca="1" ref="DC619" ca="1">_xlfn.IFNA(OFFSET($I$49,MATCH(CY619,$I$50:$I$63,0),MATCH(CZ619,TRANSPOSE($J$49:$W$49),0)),0)</f>
        <v>0.59511111111111104</v>
      </c>
      <c r="DD619" s="899" cm="1">
        <f t="array" aca="1" ref="DD619" ca="1">_xlfn.IFNA(OFFSET($Y$49,MATCH($CZ619,$Y$50:$Y$63,0),MATCH($DA619,TRANSPOSE($Z$49:$AM$49),0)),0)</f>
        <v>0</v>
      </c>
      <c r="DE619" s="899" cm="1">
        <f t="array" aca="1" ref="DE619" ca="1">_xlfn.IFNA(OFFSET($AO$49,MATCH($DA619,$AO$50:$AO$63,0),MATCH($DB619,TRANSPOSE($AP$49:$BC$49),0)),0)</f>
        <v>0.1895</v>
      </c>
      <c r="DF619" s="881">
        <f t="shared" ca="1" si="295"/>
        <v>0</v>
      </c>
      <c r="DG619" s="910">
        <f t="shared" ca="1" si="293"/>
        <v>1.0010447133454794</v>
      </c>
      <c r="DH619" s="881">
        <f t="shared" ca="1" si="296"/>
        <v>0</v>
      </c>
      <c r="DI619" s="1460">
        <f t="shared" ca="1" si="292"/>
        <v>0</v>
      </c>
      <c r="DJ619" s="909">
        <f>_xlfn.IFNA(INDEX('Resource use and costs'!$CQ$11:$CQ$53,MATCH($CZ619,'Resource use and costs'!$BA$11:$BA$53,0)),0)*_xlfn.IFNA(INDEX(DY$10:DY$23,MATCH($CZ619,$DX$10:$DX$23,0)),0)</f>
        <v>56693.786091428577</v>
      </c>
      <c r="DK619" s="909">
        <f>IF(dd_PartSA_2_lines = "Yes",0,_xlfn.IFNA(INDEX('Resource use and costs'!$CR$11:$CR$53,MATCH(DA619,'Resource use and costs'!$BA$11:$BA$53,0)),0)*_xlfn.IFNA(INDEX(EA$10:EA$23,MATCH($DA619,$DX$10:$DX$23,0)),0))</f>
        <v>11139.428571428571</v>
      </c>
      <c r="DL619" s="909">
        <f>IF(dd_PartSA_2_lines = "Yes",0,_xlfn.IFNA(INDEX('Resource use and costs'!$CS$11:$CS$53,MATCH(DB619,'Resource use and costs'!$BA$11:$BA$53,0)),0)*_xlfn.IFNA(INDEX(EC$10:EC$23,MATCH($DB619,$DX$10:$DX$23,0)),0))</f>
        <v>2915.4763433333328</v>
      </c>
      <c r="DM619" s="909">
        <f t="shared" si="297"/>
        <v>70748.691006190478</v>
      </c>
      <c r="DN619" s="909">
        <f>SUM(_xlfn.IFNA(INDEX('Resource use and costs'!$DU$12:$DU$25,MATCH(CZ619,'Resource use and costs'!$DS$12:$DS$25,0)),0),_xlfn.IFNA(INDEX('Resource use and costs'!$DU$12:$DU$25,MATCH(DA619,'Resource use and costs'!$DS$12:$DS$25,0)),0),_xlfn.IFNA(INDEX('Resource use and costs'!$DU$12:$DU$25,MATCH(DB619,'Resource use and costs'!$DS$12:$DS$25,0)),0))</f>
        <v>394.5</v>
      </c>
      <c r="DO619" s="921">
        <f>_xlfn.IFNA(INDEX('Resource use and costs'!$DY$12:$DY$25,MATCH(CZ619,'Resource use and costs'!$DS$12:$DS$25,0)),0)*_xlfn.IFNA(INDEX(DY$10:DY$23,MATCH($CZ619,$DX$10:$DX$23,0)),0)</f>
        <v>8939.6605049142872</v>
      </c>
      <c r="DP619" s="921">
        <f>IF(dd_PartSA_2_lines = "Yes",0,_xlfn.IFNA(INDEX('Resource use and costs'!$DZ$12:$DZ$25,MATCH(DA619,'Resource use and costs'!$DS$12:$DS$25,0)),0)*_xlfn.IFNA(INDEX(EA$10:EA$23,MATCH($DA619,$DX$10:$DX$23,0)),0))</f>
        <v>238.85714285714283</v>
      </c>
      <c r="DQ619" s="921">
        <f>IF(dd_PartSA_2_lines = "Yes",0,_xlfn.IFNA(INDEX('Resource use and costs'!$EA$12:$EA$25,MATCH(DB619,'Resource use and costs'!$DS$12:$DS$25,0)),0)*_xlfn.IFNA(INDEX(EC$10:EC$23,MATCH($DB619,$DX$10:$DX$23,0)),0))</f>
        <v>256.11457142857142</v>
      </c>
      <c r="DR619" s="921">
        <f t="shared" si="298"/>
        <v>9829.1322192000025</v>
      </c>
      <c r="DS619" s="1004">
        <f ca="1">SUMIFS('Safety parameters'!$DM$6:$DM$18,'Safety parameters'!$DK$6:$DK$18,CZ619,'Safety parameters'!$DL$6:$DL$18,1)+IF(dd_PartSA_2_lines = "Yes",0,SUMIFS('Safety parameters'!$DM$6:$DM$18,'Safety parameters'!$DK$6:$DK$18,DA619,'Safety parameters'!$DL$6:$DL$18,2)+SUMIFS('Safety parameters'!$DM$6:$DM$18,'Safety parameters'!$DK$6:$DK$18,DB619,'Safety parameters'!$DL$6:$DL$18,2))</f>
        <v>332.87538337531487</v>
      </c>
      <c r="DT619" s="910">
        <f ca="1">SUMIFS('Safety parameters'!$DO$6:$DO$18,'Safety parameters'!$DK$6:$DK$18,CZ619,'Safety parameters'!$DL$6:$DL$18,1)+IF(dd_PartSA_2_lines = "Yes",0,SUMIFS('Safety parameters'!$DO$6:$DO$18,'Safety parameters'!$DK$6:$DK$18,DA619,'Safety parameters'!$DL$6:$DL$18,2)+SUMIFS('Safety parameters'!$DO$6:$DO$18,'Safety parameters'!$DK$6:$DK$18,DB619,'Safety parameters'!$DL$6:$DL$18,2))</f>
        <v>-2.6675735366377194E-3</v>
      </c>
    </row>
    <row r="620" spans="89:124" ht="15" x14ac:dyDescent="0.2">
      <c r="CK620" s="61" t="s">
        <v>31</v>
      </c>
      <c r="CL620" s="61">
        <v>4</v>
      </c>
      <c r="CM620" s="61" t="str">
        <v>lenvatinib_plus_everolimus</v>
      </c>
      <c r="CN620" s="17">
        <v>9</v>
      </c>
      <c r="CO620" s="61" t="str" cm="1">
        <f t="array" ref="CO620">INDEX(List_comparators,CP619+1)</f>
        <v>sorafenib</v>
      </c>
      <c r="CP620" s="17">
        <v>12</v>
      </c>
      <c r="CQ620" s="601">
        <f t="shared" ca="1" si="299"/>
        <v>0</v>
      </c>
      <c r="CR620" s="601">
        <f t="shared" ca="1" si="300"/>
        <v>0</v>
      </c>
      <c r="CS620" s="601">
        <f t="shared" ca="1" si="301"/>
        <v>0</v>
      </c>
      <c r="CT620" s="669">
        <f t="shared" ca="1" si="302"/>
        <v>0</v>
      </c>
      <c r="CU620" s="1123">
        <f>MATCH(CZ627,'Resource use and costs'!$BA$11:$BA$53,0)</f>
        <v>21</v>
      </c>
      <c r="CV620" s="1223"/>
      <c r="CW620" s="1241">
        <f t="shared" si="294"/>
        <v>1</v>
      </c>
      <c r="CX620" s="899" t="s">
        <v>794</v>
      </c>
      <c r="CY620" s="899" t="s">
        <v>118</v>
      </c>
      <c r="CZ620" s="899" t="s">
        <v>585</v>
      </c>
      <c r="DA620" s="899" t="s">
        <v>327</v>
      </c>
      <c r="DB620" s="899" t="s">
        <v>765</v>
      </c>
      <c r="DC620" s="899" cm="1">
        <f t="array" aca="1" ref="DC620" ca="1">_xlfn.IFNA(OFFSET($I$49,MATCH(CY620,$I$50:$I$63,0),MATCH(CZ620,TRANSPOSE($J$49:$W$49),0)),0)</f>
        <v>0</v>
      </c>
      <c r="DD620" s="899" cm="1">
        <f t="array" aca="1" ref="DD620" ca="1">_xlfn.IFNA(OFFSET($Y$49,MATCH($CZ620,$Y$50:$Y$63,0),MATCH($DA620,TRANSPOSE($Z$49:$AM$49),0)),0)</f>
        <v>0</v>
      </c>
      <c r="DE620" s="899" cm="1">
        <f t="array" aca="1" ref="DE620" ca="1">_xlfn.IFNA(OFFSET($AO$49,MATCH($DA620,$AO$50:$AO$63,0),MATCH($DB620,TRANSPOSE($AP$49:$BC$49),0)),0)</f>
        <v>0.43140000000000001</v>
      </c>
      <c r="DF620" s="881">
        <f t="shared" ca="1" si="295"/>
        <v>0</v>
      </c>
      <c r="DG620" s="910">
        <f t="shared" ca="1" si="293"/>
        <v>1.0010447133454794</v>
      </c>
      <c r="DH620" s="881">
        <f t="shared" ca="1" si="296"/>
        <v>0</v>
      </c>
      <c r="DI620" s="1460">
        <f t="shared" ca="1" si="292"/>
        <v>0</v>
      </c>
      <c r="DJ620" s="909">
        <f>_xlfn.IFNA(INDEX('Resource use and costs'!$CQ$11:$CQ$53,MATCH($CZ620,'Resource use and costs'!$BA$11:$BA$53,0)),0)*_xlfn.IFNA(INDEX(DY$10:DY$23,MATCH($CZ620,$DX$10:$DX$23,0)),0)</f>
        <v>4551.2486654444447</v>
      </c>
      <c r="DK620" s="909">
        <f>IF(dd_PartSA_2_lines = "Yes",0,_xlfn.IFNA(INDEX('Resource use and costs'!$CR$11:$CR$53,MATCH(DA620,'Resource use and costs'!$BA$11:$BA$53,0)),0)*_xlfn.IFNA(INDEX(EA$10:EA$23,MATCH($DA620,$DX$10:$DX$23,0)),0))</f>
        <v>21421.066008214286</v>
      </c>
      <c r="DL620" s="909">
        <f>IF(dd_PartSA_2_lines = "Yes",0,_xlfn.IFNA(INDEX('Resource use and costs'!$CS$11:$CS$53,MATCH(DB620,'Resource use and costs'!$BA$11:$BA$53,0)),0)*_xlfn.IFNA(INDEX(EC$10:EC$23,MATCH($DB620,$DX$10:$DX$23,0)),0))</f>
        <v>0</v>
      </c>
      <c r="DM620" s="909">
        <f t="shared" si="297"/>
        <v>25972.31467365873</v>
      </c>
      <c r="DN620" s="909">
        <f>SUM(_xlfn.IFNA(INDEX('Resource use and costs'!$DU$12:$DU$25,MATCH(CZ620,'Resource use and costs'!$DS$12:$DS$25,0)),0),_xlfn.IFNA(INDEX('Resource use and costs'!$DU$12:$DU$25,MATCH(DA620,'Resource use and costs'!$DS$12:$DS$25,0)),0),_xlfn.IFNA(INDEX('Resource use and costs'!$DU$12:$DU$25,MATCH(DB620,'Resource use and costs'!$DS$12:$DS$25,0)),0))</f>
        <v>394.5</v>
      </c>
      <c r="DO620" s="921">
        <f>_xlfn.IFNA(INDEX('Resource use and costs'!$DY$12:$DY$25,MATCH(CZ620,'Resource use and costs'!$DS$12:$DS$25,0)),0)*_xlfn.IFNA(INDEX(DY$10:DY$23,MATCH($CZ620,$DX$10:$DX$23,0)),0)</f>
        <v>410.14183571428572</v>
      </c>
      <c r="DP620" s="921">
        <f>IF(dd_PartSA_2_lines = "Yes",0,_xlfn.IFNA(INDEX('Resource use and costs'!$DZ$12:$DZ$25,MATCH(DA620,'Resource use and costs'!$DS$12:$DS$25,0)),0)*_xlfn.IFNA(INDEX(EA$10:EA$23,MATCH($DA620,$DX$10:$DX$23,0)),0))</f>
        <v>267.99172714285714</v>
      </c>
      <c r="DQ620" s="921">
        <f>IF(dd_PartSA_2_lines = "Yes",0,_xlfn.IFNA(INDEX('Resource use and costs'!$EA$12:$EA$25,MATCH(DB620,'Resource use and costs'!$DS$12:$DS$25,0)),0)*_xlfn.IFNA(INDEX(EC$10:EC$23,MATCH($DB620,$DX$10:$DX$23,0)),0))</f>
        <v>0</v>
      </c>
      <c r="DR620" s="921">
        <f t="shared" si="298"/>
        <v>1072.6335628571428</v>
      </c>
      <c r="DS620" s="1004">
        <f ca="1">SUMIFS('Safety parameters'!$DM$6:$DM$18,'Safety parameters'!$DK$6:$DK$18,CZ620,'Safety parameters'!$DL$6:$DL$18,1)+IF(dd_PartSA_2_lines = "Yes",0,SUMIFS('Safety parameters'!$DM$6:$DM$18,'Safety parameters'!$DK$6:$DK$18,DA620,'Safety parameters'!$DL$6:$DL$18,2)+SUMIFS('Safety parameters'!$DM$6:$DM$18,'Safety parameters'!$DK$6:$DK$18,DB620,'Safety parameters'!$DL$6:$DL$18,2))</f>
        <v>2145.8369470981288</v>
      </c>
      <c r="DT620" s="910">
        <f ca="1">SUMIFS('Safety parameters'!$DO$6:$DO$18,'Safety parameters'!$DK$6:$DK$18,CZ620,'Safety parameters'!$DL$6:$DL$18,1)+IF(dd_PartSA_2_lines = "Yes",0,SUMIFS('Safety parameters'!$DO$6:$DO$18,'Safety parameters'!$DK$6:$DK$18,DA620,'Safety parameters'!$DL$6:$DL$18,2)+SUMIFS('Safety parameters'!$DO$6:$DO$18,'Safety parameters'!$DK$6:$DK$18,DB620,'Safety parameters'!$DL$6:$DL$18,2))</f>
        <v>-1.9786705662528051E-2</v>
      </c>
    </row>
    <row r="621" spans="89:124" ht="15" x14ac:dyDescent="0.2">
      <c r="CK621" s="61" t="s">
        <v>31</v>
      </c>
      <c r="CL621" s="61">
        <v>4</v>
      </c>
      <c r="CM621" s="61" t="str">
        <v>everolimus</v>
      </c>
      <c r="CN621" s="17">
        <v>10</v>
      </c>
      <c r="CO621" s="61" t="str" cm="1">
        <f t="array" ref="CO621">INDEX(List_comparators,CP620+1)</f>
        <v>sorafenib</v>
      </c>
      <c r="CP621" s="17">
        <v>12</v>
      </c>
      <c r="CQ621" s="601">
        <f t="shared" ca="1" si="299"/>
        <v>0</v>
      </c>
      <c r="CR621" s="601">
        <f t="shared" ca="1" si="300"/>
        <v>0</v>
      </c>
      <c r="CS621" s="601">
        <f t="shared" ca="1" si="301"/>
        <v>0</v>
      </c>
      <c r="CT621" s="669">
        <f t="shared" ca="1" si="302"/>
        <v>0</v>
      </c>
      <c r="CU621" s="1123">
        <f>MATCH(CZ628,'Resource use and costs'!$BA$11:$BA$53,0)</f>
        <v>27</v>
      </c>
      <c r="CV621" s="1223"/>
      <c r="CW621" s="1241">
        <f t="shared" si="294"/>
        <v>1</v>
      </c>
      <c r="CX621" s="899" t="s">
        <v>794</v>
      </c>
      <c r="CY621" s="899" t="s">
        <v>118</v>
      </c>
      <c r="CZ621" s="899" t="s">
        <v>585</v>
      </c>
      <c r="DA621" s="899" t="s">
        <v>327</v>
      </c>
      <c r="DB621" s="899" t="s">
        <v>119</v>
      </c>
      <c r="DC621" s="899" cm="1">
        <f t="array" aca="1" ref="DC621" ca="1">_xlfn.IFNA(OFFSET($I$49,MATCH(CY621,$I$50:$I$63,0),MATCH(CZ621,TRANSPOSE($J$49:$W$49),0)),0)</f>
        <v>0</v>
      </c>
      <c r="DD621" s="899" cm="1">
        <f t="array" aca="1" ref="DD621" ca="1">_xlfn.IFNA(OFFSET($Y$49,MATCH($CZ621,$Y$50:$Y$63,0),MATCH($DA621,TRANSPOSE($Z$49:$AM$49),0)),0)</f>
        <v>0</v>
      </c>
      <c r="DE621" s="899" cm="1">
        <f t="array" aca="1" ref="DE621" ca="1">_xlfn.IFNA(OFFSET($AO$49,MATCH($DA621,$AO$50:$AO$63,0),MATCH($DB621,TRANSPOSE($AP$49:$BC$49),0)),0)</f>
        <v>0.56859999999999999</v>
      </c>
      <c r="DF621" s="881">
        <f t="shared" ca="1" si="295"/>
        <v>0</v>
      </c>
      <c r="DG621" s="910">
        <f t="shared" ca="1" si="293"/>
        <v>1.0010447133454794</v>
      </c>
      <c r="DH621" s="881">
        <f t="shared" ca="1" si="296"/>
        <v>0</v>
      </c>
      <c r="DI621" s="1460">
        <f t="shared" ca="1" si="292"/>
        <v>0</v>
      </c>
      <c r="DJ621" s="909">
        <f>_xlfn.IFNA(INDEX('Resource use and costs'!$CQ$11:$CQ$53,MATCH($CZ621,'Resource use and costs'!$BA$11:$BA$53,0)),0)*_xlfn.IFNA(INDEX(DY$10:DY$23,MATCH($CZ621,$DX$10:$DX$23,0)),0)</f>
        <v>4551.2486654444447</v>
      </c>
      <c r="DK621" s="909">
        <f>IF(dd_PartSA_2_lines = "Yes",0,_xlfn.IFNA(INDEX('Resource use and costs'!$CR$11:$CR$53,MATCH(DA621,'Resource use and costs'!$BA$11:$BA$53,0)),0)*_xlfn.IFNA(INDEX(EA$10:EA$23,MATCH($DA621,$DX$10:$DX$23,0)),0))</f>
        <v>21421.066008214286</v>
      </c>
      <c r="DL621" s="909">
        <f>IF(dd_PartSA_2_lines = "Yes",0,_xlfn.IFNA(INDEX('Resource use and costs'!$CS$11:$CS$53,MATCH(DB621,'Resource use and costs'!$BA$11:$BA$53,0)),0)*_xlfn.IFNA(INDEX(EC$10:EC$23,MATCH($DB621,$DX$10:$DX$23,0)),0))</f>
        <v>2915.4763433333328</v>
      </c>
      <c r="DM621" s="909">
        <f t="shared" si="297"/>
        <v>28887.791016992061</v>
      </c>
      <c r="DN621" s="909">
        <f>SUM(_xlfn.IFNA(INDEX('Resource use and costs'!$DU$12:$DU$25,MATCH(CZ621,'Resource use and costs'!$DS$12:$DS$25,0)),0),_xlfn.IFNA(INDEX('Resource use and costs'!$DU$12:$DU$25,MATCH(DA621,'Resource use and costs'!$DS$12:$DS$25,0)),0),_xlfn.IFNA(INDEX('Resource use and costs'!$DU$12:$DU$25,MATCH(DB621,'Resource use and costs'!$DS$12:$DS$25,0)),0))</f>
        <v>591.75</v>
      </c>
      <c r="DO621" s="921">
        <f>_xlfn.IFNA(INDEX('Resource use and costs'!$DY$12:$DY$25,MATCH(CZ621,'Resource use and costs'!$DS$12:$DS$25,0)),0)*_xlfn.IFNA(INDEX(DY$10:DY$23,MATCH($CZ621,$DX$10:$DX$23,0)),0)</f>
        <v>410.14183571428572</v>
      </c>
      <c r="DP621" s="921">
        <f>IF(dd_PartSA_2_lines = "Yes",0,_xlfn.IFNA(INDEX('Resource use and costs'!$DZ$12:$DZ$25,MATCH(DA621,'Resource use and costs'!$DS$12:$DS$25,0)),0)*_xlfn.IFNA(INDEX(EA$10:EA$23,MATCH($DA621,$DX$10:$DX$23,0)),0))</f>
        <v>267.99172714285714</v>
      </c>
      <c r="DQ621" s="921">
        <f>IF(dd_PartSA_2_lines = "Yes",0,_xlfn.IFNA(INDEX('Resource use and costs'!$EA$12:$EA$25,MATCH(DB621,'Resource use and costs'!$DS$12:$DS$25,0)),0)*_xlfn.IFNA(INDEX(EC$10:EC$23,MATCH($DB621,$DX$10:$DX$23,0)),0))</f>
        <v>256.11457142857142</v>
      </c>
      <c r="DR621" s="921">
        <f t="shared" si="298"/>
        <v>1525.9981342857143</v>
      </c>
      <c r="DS621" s="1004">
        <f ca="1">SUMIFS('Safety parameters'!$DM$6:$DM$18,'Safety parameters'!$DK$6:$DK$18,CZ621,'Safety parameters'!$DL$6:$DL$18,1)+IF(dd_PartSA_2_lines = "Yes",0,SUMIFS('Safety parameters'!$DM$6:$DM$18,'Safety parameters'!$DK$6:$DK$18,DA621,'Safety parameters'!$DL$6:$DL$18,2)+SUMIFS('Safety parameters'!$DM$6:$DM$18,'Safety parameters'!$DK$6:$DK$18,DB621,'Safety parameters'!$DL$6:$DL$18,2))</f>
        <v>2478.7123304734437</v>
      </c>
      <c r="DT621" s="910">
        <f ca="1">SUMIFS('Safety parameters'!$DO$6:$DO$18,'Safety parameters'!$DK$6:$DK$18,CZ621,'Safety parameters'!$DL$6:$DL$18,1)+IF(dd_PartSA_2_lines = "Yes",0,SUMIFS('Safety parameters'!$DO$6:$DO$18,'Safety parameters'!$DK$6:$DK$18,DA621,'Safety parameters'!$DL$6:$DL$18,2)+SUMIFS('Safety parameters'!$DO$6:$DO$18,'Safety parameters'!$DK$6:$DK$18,DB621,'Safety parameters'!$DL$6:$DL$18,2))</f>
        <v>-2.2454279199165771E-2</v>
      </c>
    </row>
    <row r="622" spans="89:124" ht="15" x14ac:dyDescent="0.2">
      <c r="CK622" s="61" t="s">
        <v>31</v>
      </c>
      <c r="CL622" s="61">
        <v>4</v>
      </c>
      <c r="CM622" s="61" t="str">
        <v>axitinib</v>
      </c>
      <c r="CN622" s="17">
        <v>11</v>
      </c>
      <c r="CO622" s="61" t="str" cm="1">
        <f t="array" ref="CO622">INDEX(List_comparators,CP621+1)</f>
        <v>sorafenib</v>
      </c>
      <c r="CP622" s="17">
        <v>12</v>
      </c>
      <c r="CQ622" s="601">
        <f t="shared" ca="1" si="299"/>
        <v>0</v>
      </c>
      <c r="CR622" s="601">
        <f t="shared" ca="1" si="300"/>
        <v>0</v>
      </c>
      <c r="CS622" s="601">
        <f t="shared" ca="1" si="301"/>
        <v>0</v>
      </c>
      <c r="CT622" s="669">
        <f t="shared" ca="1" si="302"/>
        <v>0</v>
      </c>
      <c r="CU622" s="1123">
        <f>MATCH(CZ629,'Resource use and costs'!$BA$11:$BA$53,0)</f>
        <v>27</v>
      </c>
      <c r="CV622" s="1223"/>
      <c r="CW622" s="1241">
        <f t="shared" si="294"/>
        <v>1</v>
      </c>
      <c r="CX622" s="899" t="s">
        <v>794</v>
      </c>
      <c r="CY622" s="899" t="s">
        <v>118</v>
      </c>
      <c r="CZ622" s="899" t="s">
        <v>585</v>
      </c>
      <c r="DA622" s="899" t="s">
        <v>765</v>
      </c>
      <c r="DB622" s="899"/>
      <c r="DC622" s="899" cm="1">
        <f t="array" aca="1" ref="DC622" ca="1">_xlfn.IFNA(OFFSET($I$49,MATCH(CY622,$I$50:$I$63,0),MATCH(CZ622,TRANSPOSE($J$49:$W$49),0)),0)</f>
        <v>0</v>
      </c>
      <c r="DD622" s="899" cm="1">
        <f t="array" aca="1" ref="DD622" ca="1">_xlfn.IFNA(OFFSET($Y$49,MATCH($CZ622,$Y$50:$Y$63,0),MATCH($DA622,TRANSPOSE($Z$49:$AM$49),0)),0)</f>
        <v>0.34300000000000003</v>
      </c>
      <c r="DE622" s="899" cm="1">
        <f t="array" aca="1" ref="DE622" ca="1">_xlfn.IFNA(OFFSET($AO$49,MATCH($DA622,$AO$50:$AO$63,0),MATCH($DB622,TRANSPOSE($AP$49:$BC$49),0)),0)</f>
        <v>0</v>
      </c>
      <c r="DF622" s="881">
        <f t="shared" ca="1" si="295"/>
        <v>0</v>
      </c>
      <c r="DG622" s="910">
        <f t="shared" ca="1" si="293"/>
        <v>1.0010447133454794</v>
      </c>
      <c r="DH622" s="881">
        <f t="shared" ca="1" si="296"/>
        <v>0</v>
      </c>
      <c r="DI622" s="1460">
        <f t="shared" ca="1" si="292"/>
        <v>0</v>
      </c>
      <c r="DJ622" s="909">
        <f>_xlfn.IFNA(INDEX('Resource use and costs'!$CQ$11:$CQ$53,MATCH($CZ622,'Resource use and costs'!$BA$11:$BA$53,0)),0)*_xlfn.IFNA(INDEX(DY$10:DY$23,MATCH($CZ622,$DX$10:$DX$23,0)),0)</f>
        <v>4551.2486654444447</v>
      </c>
      <c r="DK622" s="909">
        <f>IF(dd_PartSA_2_lines = "Yes",0,_xlfn.IFNA(INDEX('Resource use and costs'!$CR$11:$CR$53,MATCH(DA622,'Resource use and costs'!$BA$11:$BA$53,0)),0)*_xlfn.IFNA(INDEX(EA$10:EA$23,MATCH($DA622,$DX$10:$DX$23,0)),0))</f>
        <v>0</v>
      </c>
      <c r="DL622" s="909">
        <f>IF(dd_PartSA_2_lines = "Yes",0,_xlfn.IFNA(INDEX('Resource use and costs'!$CS$11:$CS$53,MATCH(DB622,'Resource use and costs'!$BA$11:$BA$53,0)),0)*_xlfn.IFNA(INDEX(EC$10:EC$23,MATCH($DB622,$DX$10:$DX$23,0)),0))</f>
        <v>0</v>
      </c>
      <c r="DM622" s="909">
        <f t="shared" si="297"/>
        <v>4551.2486654444447</v>
      </c>
      <c r="DN622" s="909">
        <f>SUM(_xlfn.IFNA(INDEX('Resource use and costs'!$DU$12:$DU$25,MATCH(CZ622,'Resource use and costs'!$DS$12:$DS$25,0)),0),_xlfn.IFNA(INDEX('Resource use and costs'!$DU$12:$DU$25,MATCH(DA622,'Resource use and costs'!$DS$12:$DS$25,0)),0),_xlfn.IFNA(INDEX('Resource use and costs'!$DU$12:$DU$25,MATCH(DB622,'Resource use and costs'!$DS$12:$DS$25,0)),0))</f>
        <v>197.25</v>
      </c>
      <c r="DO622" s="921">
        <f>_xlfn.IFNA(INDEX('Resource use and costs'!$DY$12:$DY$25,MATCH(CZ622,'Resource use and costs'!$DS$12:$DS$25,0)),0)*_xlfn.IFNA(INDEX(DY$10:DY$23,MATCH($CZ622,$DX$10:$DX$23,0)),0)</f>
        <v>410.14183571428572</v>
      </c>
      <c r="DP622" s="921">
        <f>IF(dd_PartSA_2_lines = "Yes",0,_xlfn.IFNA(INDEX('Resource use and costs'!$DZ$12:$DZ$25,MATCH(DA622,'Resource use and costs'!$DS$12:$DS$25,0)),0)*_xlfn.IFNA(INDEX(EA$10:EA$23,MATCH($DA622,$DX$10:$DX$23,0)),0))</f>
        <v>0</v>
      </c>
      <c r="DQ622" s="921">
        <f>IF(dd_PartSA_2_lines = "Yes",0,_xlfn.IFNA(INDEX('Resource use and costs'!$EA$12:$EA$25,MATCH(DB622,'Resource use and costs'!$DS$12:$DS$25,0)),0)*_xlfn.IFNA(INDEX(EC$10:EC$23,MATCH($DB622,$DX$10:$DX$23,0)),0))</f>
        <v>0</v>
      </c>
      <c r="DR622" s="921">
        <f t="shared" si="298"/>
        <v>607.39183571428566</v>
      </c>
      <c r="DS622" s="1004">
        <f ca="1">SUMIFS('Safety parameters'!$DM$6:$DM$18,'Safety parameters'!$DK$6:$DK$18,CZ622,'Safety parameters'!$DL$6:$DL$18,1)+IF(dd_PartSA_2_lines = "Yes",0,SUMIFS('Safety parameters'!$DM$6:$DM$18,'Safety parameters'!$DK$6:$DK$18,DA622,'Safety parameters'!$DL$6:$DL$18,2)+SUMIFS('Safety parameters'!$DM$6:$DM$18,'Safety parameters'!$DK$6:$DK$18,DB622,'Safety parameters'!$DL$6:$DL$18,2))</f>
        <v>511.60827353266905</v>
      </c>
      <c r="DT622" s="910">
        <f ca="1">SUMIFS('Safety parameters'!$DO$6:$DO$18,'Safety parameters'!$DK$6:$DK$18,CZ622,'Safety parameters'!$DL$6:$DL$18,1)+IF(dd_PartSA_2_lines = "Yes",0,SUMIFS('Safety parameters'!$DO$6:$DO$18,'Safety parameters'!$DK$6:$DK$18,DA622,'Safety parameters'!$DL$6:$DL$18,2)+SUMIFS('Safety parameters'!$DO$6:$DO$18,'Safety parameters'!$DK$6:$DK$18,DB622,'Safety parameters'!$DL$6:$DL$18,2))</f>
        <v>-5.0447816550466236E-3</v>
      </c>
    </row>
    <row r="623" spans="89:124" ht="15" x14ac:dyDescent="0.2">
      <c r="CK623" s="61" t="s">
        <v>31</v>
      </c>
      <c r="CL623" s="61">
        <v>4</v>
      </c>
      <c r="CM623" s="61" t="str">
        <v>sorafenib</v>
      </c>
      <c r="CN623" s="17">
        <v>12</v>
      </c>
      <c r="CO623" s="61" t="str" cm="1">
        <f t="array" ref="CO623">INDEX(List_comparators,CP622+1)</f>
        <v>sorafenib</v>
      </c>
      <c r="CP623" s="17">
        <v>12</v>
      </c>
      <c r="CQ623" s="601">
        <f t="shared" ca="1" si="299"/>
        <v>0</v>
      </c>
      <c r="CR623" s="601">
        <f t="shared" ca="1" si="300"/>
        <v>0</v>
      </c>
      <c r="CS623" s="601">
        <f t="shared" ca="1" si="301"/>
        <v>0</v>
      </c>
      <c r="CT623" s="669">
        <f t="shared" ca="1" si="302"/>
        <v>0</v>
      </c>
      <c r="CU623" s="1123">
        <f>MATCH(CZ630,'Resource use and costs'!$BA$11:$BA$53,0)</f>
        <v>27</v>
      </c>
      <c r="CV623" s="1223"/>
      <c r="CW623" s="1241">
        <f t="shared" si="294"/>
        <v>1</v>
      </c>
      <c r="CX623" s="899" t="s">
        <v>794</v>
      </c>
      <c r="CY623" s="899" t="s">
        <v>118</v>
      </c>
      <c r="CZ623" s="899" t="s">
        <v>585</v>
      </c>
      <c r="DA623" s="899" t="s">
        <v>119</v>
      </c>
      <c r="DB623" s="899" t="s">
        <v>327</v>
      </c>
      <c r="DC623" s="899" cm="1">
        <f t="array" aca="1" ref="DC623" ca="1">_xlfn.IFNA(OFFSET($I$49,MATCH(CY623,$I$50:$I$63,0),MATCH(CZ623,TRANSPOSE($J$49:$W$49),0)),0)</f>
        <v>0</v>
      </c>
      <c r="DD623" s="899" cm="1">
        <f t="array" aca="1" ref="DD623" ca="1">_xlfn.IFNA(OFFSET($Y$49,MATCH($CZ623,$Y$50:$Y$63,0),MATCH($DA623,TRANSPOSE($Z$49:$AM$49),0)),0)</f>
        <v>0</v>
      </c>
      <c r="DE623" s="899" cm="1">
        <f t="array" aca="1" ref="DE623" ca="1">_xlfn.IFNA(OFFSET($AO$49,MATCH($DA623,$AO$50:$AO$63,0),MATCH($DB623,TRANSPOSE($AP$49:$BC$49),0)),0)</f>
        <v>0</v>
      </c>
      <c r="DF623" s="881">
        <f t="shared" ca="1" si="295"/>
        <v>0</v>
      </c>
      <c r="DG623" s="910">
        <f t="shared" ca="1" si="293"/>
        <v>1.0010447133454794</v>
      </c>
      <c r="DH623" s="881">
        <f t="shared" ca="1" si="296"/>
        <v>0</v>
      </c>
      <c r="DI623" s="1460">
        <f t="shared" ca="1" si="292"/>
        <v>0</v>
      </c>
      <c r="DJ623" s="909">
        <f>_xlfn.IFNA(INDEX('Resource use and costs'!$CQ$11:$CQ$53,MATCH($CZ623,'Resource use and costs'!$BA$11:$BA$53,0)),0)*_xlfn.IFNA(INDEX(DY$10:DY$23,MATCH($CZ623,$DX$10:$DX$23,0)),0)</f>
        <v>4551.2486654444447</v>
      </c>
      <c r="DK623" s="909">
        <f>IF(dd_PartSA_2_lines = "Yes",0,_xlfn.IFNA(INDEX('Resource use and costs'!$CR$11:$CR$53,MATCH(DA623,'Resource use and costs'!$BA$11:$BA$53,0)),0)*_xlfn.IFNA(INDEX(EA$10:EA$23,MATCH($DA623,$DX$10:$DX$23,0)),0))</f>
        <v>848.17532499999982</v>
      </c>
      <c r="DL623" s="909">
        <f>IF(dd_PartSA_2_lines = "Yes",0,_xlfn.IFNA(INDEX('Resource use and costs'!$CS$11:$CS$53,MATCH(DB623,'Resource use and costs'!$BA$11:$BA$53,0)),0)*_xlfn.IFNA(INDEX(EC$10:EC$23,MATCH($DB623,$DX$10:$DX$23,0)),0))</f>
        <v>18438.751749999999</v>
      </c>
      <c r="DM623" s="909">
        <f t="shared" si="297"/>
        <v>23838.175740444443</v>
      </c>
      <c r="DN623" s="909">
        <f>SUM(_xlfn.IFNA(INDEX('Resource use and costs'!$DU$12:$DU$25,MATCH(CZ623,'Resource use and costs'!$DS$12:$DS$25,0)),0),_xlfn.IFNA(INDEX('Resource use and costs'!$DU$12:$DU$25,MATCH(DA623,'Resource use and costs'!$DS$12:$DS$25,0)),0),_xlfn.IFNA(INDEX('Resource use and costs'!$DU$12:$DU$25,MATCH(DB623,'Resource use and costs'!$DS$12:$DS$25,0)),0))</f>
        <v>591.75</v>
      </c>
      <c r="DO623" s="921">
        <f>_xlfn.IFNA(INDEX('Resource use and costs'!$DY$12:$DY$25,MATCH(CZ623,'Resource use and costs'!$DS$12:$DS$25,0)),0)*_xlfn.IFNA(INDEX(DY$10:DY$23,MATCH($CZ623,$DX$10:$DX$23,0)),0)</f>
        <v>410.14183571428572</v>
      </c>
      <c r="DP623" s="921">
        <f>IF(dd_PartSA_2_lines = "Yes",0,_xlfn.IFNA(INDEX('Resource use and costs'!$DZ$12:$DZ$25,MATCH(DA623,'Resource use and costs'!$DS$12:$DS$25,0)),0)*_xlfn.IFNA(INDEX(EA$10:EA$23,MATCH($DA623,$DX$10:$DX$23,0)),0))</f>
        <v>74.50928571428571</v>
      </c>
      <c r="DQ623" s="921">
        <f>IF(dd_PartSA_2_lines = "Yes",0,_xlfn.IFNA(INDEX('Resource use and costs'!$EA$12:$EA$25,MATCH(DB623,'Resource use and costs'!$DS$12:$DS$25,0)),0)*_xlfn.IFNA(INDEX(EC$10:EC$23,MATCH($DB623,$DX$10:$DX$23,0)),0))</f>
        <v>230.68099999999998</v>
      </c>
      <c r="DR623" s="921">
        <f t="shared" si="298"/>
        <v>1307.0821214285713</v>
      </c>
      <c r="DS623" s="1004">
        <f ca="1">SUMIFS('Safety parameters'!$DM$6:$DM$18,'Safety parameters'!$DK$6:$DK$18,CZ623,'Safety parameters'!$DL$6:$DL$18,1)+IF(dd_PartSA_2_lines = "Yes",0,SUMIFS('Safety parameters'!$DM$6:$DM$18,'Safety parameters'!$DK$6:$DK$18,DA623,'Safety parameters'!$DL$6:$DL$18,2)+SUMIFS('Safety parameters'!$DM$6:$DM$18,'Safety parameters'!$DK$6:$DK$18,DB623,'Safety parameters'!$DL$6:$DL$18,2))</f>
        <v>2478.7123304734437</v>
      </c>
      <c r="DT623" s="910">
        <f ca="1">SUMIFS('Safety parameters'!$DO$6:$DO$18,'Safety parameters'!$DK$6:$DK$18,CZ623,'Safety parameters'!$DL$6:$DL$18,1)+IF(dd_PartSA_2_lines = "Yes",0,SUMIFS('Safety parameters'!$DO$6:$DO$18,'Safety parameters'!$DK$6:$DK$18,DA623,'Safety parameters'!$DL$6:$DL$18,2)+SUMIFS('Safety parameters'!$DO$6:$DO$18,'Safety parameters'!$DK$6:$DK$18,DB623,'Safety parameters'!$DL$6:$DL$18,2))</f>
        <v>-2.2454279199165771E-2</v>
      </c>
    </row>
    <row r="624" spans="89:124" ht="15.75" thickBot="1" x14ac:dyDescent="0.25">
      <c r="CK624" s="506" t="s">
        <v>31</v>
      </c>
      <c r="CL624" s="506">
        <v>4</v>
      </c>
      <c r="CM624" s="506" t="str">
        <v>placebo_BSC</v>
      </c>
      <c r="CN624" s="19">
        <v>999</v>
      </c>
      <c r="CO624" s="506" t="str" cm="1">
        <f t="array" ref="CO624">INDEX(List_comparators,CP611+1)</f>
        <v>sorafenib</v>
      </c>
      <c r="CP624" s="19">
        <v>12</v>
      </c>
      <c r="CQ624" s="602">
        <f t="shared" ca="1" si="299"/>
        <v>0</v>
      </c>
      <c r="CR624" s="602">
        <f t="shared" ca="1" si="300"/>
        <v>0</v>
      </c>
      <c r="CS624" s="602">
        <f t="shared" ca="1" si="301"/>
        <v>0</v>
      </c>
      <c r="CT624" s="748">
        <f t="shared" ca="1" si="302"/>
        <v>0</v>
      </c>
      <c r="CU624" s="1123">
        <f>MATCH(CZ631,'Resource use and costs'!$BA$11:$BA$53,0)</f>
        <v>27</v>
      </c>
      <c r="CV624" s="1223"/>
      <c r="CW624" s="1241">
        <f t="shared" si="294"/>
        <v>1</v>
      </c>
      <c r="CX624" s="899" t="s">
        <v>794</v>
      </c>
      <c r="CY624" s="899" t="s">
        <v>118</v>
      </c>
      <c r="CZ624" s="899" t="s">
        <v>585</v>
      </c>
      <c r="DA624" s="899" t="s">
        <v>119</v>
      </c>
      <c r="DB624" s="899" t="s">
        <v>765</v>
      </c>
      <c r="DC624" s="899" cm="1">
        <f t="array" aca="1" ref="DC624" ca="1">_xlfn.IFNA(OFFSET($I$49,MATCH(CY624,$I$50:$I$63,0),MATCH(CZ624,TRANSPOSE($J$49:$W$49),0)),0)</f>
        <v>0</v>
      </c>
      <c r="DD624" s="899" cm="1">
        <f t="array" aca="1" ref="DD624" ca="1">_xlfn.IFNA(OFFSET($Y$49,MATCH($CZ624,$Y$50:$Y$63,0),MATCH($DA624,TRANSPOSE($Z$49:$AM$49),0)),0)</f>
        <v>0</v>
      </c>
      <c r="DE624" s="899" cm="1">
        <f t="array" aca="1" ref="DE624" ca="1">_xlfn.IFNA(OFFSET($AO$49,MATCH($DA624,$AO$50:$AO$63,0),MATCH($DB624,TRANSPOSE($AP$49:$BC$49),0)),0)</f>
        <v>1</v>
      </c>
      <c r="DF624" s="881">
        <f t="shared" ca="1" si="295"/>
        <v>0</v>
      </c>
      <c r="DG624" s="910">
        <f t="shared" ca="1" si="293"/>
        <v>1.0010447133454794</v>
      </c>
      <c r="DH624" s="881">
        <f t="shared" ca="1" si="296"/>
        <v>0</v>
      </c>
      <c r="DI624" s="1460">
        <f t="shared" ca="1" si="292"/>
        <v>0</v>
      </c>
      <c r="DJ624" s="909">
        <f>_xlfn.IFNA(INDEX('Resource use and costs'!$CQ$11:$CQ$53,MATCH($CZ624,'Resource use and costs'!$BA$11:$BA$53,0)),0)*_xlfn.IFNA(INDEX(DY$10:DY$23,MATCH($CZ624,$DX$10:$DX$23,0)),0)</f>
        <v>4551.2486654444447</v>
      </c>
      <c r="DK624" s="909">
        <f>IF(dd_PartSA_2_lines = "Yes",0,_xlfn.IFNA(INDEX('Resource use and costs'!$CR$11:$CR$53,MATCH(DA624,'Resource use and costs'!$BA$11:$BA$53,0)),0)*_xlfn.IFNA(INDEX(EA$10:EA$23,MATCH($DA624,$DX$10:$DX$23,0)),0))</f>
        <v>848.17532499999982</v>
      </c>
      <c r="DL624" s="909">
        <f>IF(dd_PartSA_2_lines = "Yes",0,_xlfn.IFNA(INDEX('Resource use and costs'!$CS$11:$CS$53,MATCH(DB624,'Resource use and costs'!$BA$11:$BA$53,0)),0)*_xlfn.IFNA(INDEX(EC$10:EC$23,MATCH($DB624,$DX$10:$DX$23,0)),0))</f>
        <v>0</v>
      </c>
      <c r="DM624" s="909">
        <f t="shared" si="297"/>
        <v>5399.4239904444448</v>
      </c>
      <c r="DN624" s="909">
        <f>SUM(_xlfn.IFNA(INDEX('Resource use and costs'!$DU$12:$DU$25,MATCH(CZ624,'Resource use and costs'!$DS$12:$DS$25,0)),0),_xlfn.IFNA(INDEX('Resource use and costs'!$DU$12:$DU$25,MATCH(DA624,'Resource use and costs'!$DS$12:$DS$25,0)),0),_xlfn.IFNA(INDEX('Resource use and costs'!$DU$12:$DU$25,MATCH(DB624,'Resource use and costs'!$DS$12:$DS$25,0)),0))</f>
        <v>394.5</v>
      </c>
      <c r="DO624" s="921">
        <f>_xlfn.IFNA(INDEX('Resource use and costs'!$DY$12:$DY$25,MATCH(CZ624,'Resource use and costs'!$DS$12:$DS$25,0)),0)*_xlfn.IFNA(INDEX(DY$10:DY$23,MATCH($CZ624,$DX$10:$DX$23,0)),0)</f>
        <v>410.14183571428572</v>
      </c>
      <c r="DP624" s="921">
        <f>IF(dd_PartSA_2_lines = "Yes",0,_xlfn.IFNA(INDEX('Resource use and costs'!$DZ$12:$DZ$25,MATCH(DA624,'Resource use and costs'!$DS$12:$DS$25,0)),0)*_xlfn.IFNA(INDEX(EA$10:EA$23,MATCH($DA624,$DX$10:$DX$23,0)),0))</f>
        <v>74.50928571428571</v>
      </c>
      <c r="DQ624" s="921">
        <f>IF(dd_PartSA_2_lines = "Yes",0,_xlfn.IFNA(INDEX('Resource use and costs'!$EA$12:$EA$25,MATCH(DB624,'Resource use and costs'!$DS$12:$DS$25,0)),0)*_xlfn.IFNA(INDEX(EC$10:EC$23,MATCH($DB624,$DX$10:$DX$23,0)),0))</f>
        <v>0</v>
      </c>
      <c r="DR624" s="921">
        <f t="shared" si="298"/>
        <v>879.1511214285714</v>
      </c>
      <c r="DS624" s="1004">
        <f ca="1">SUMIFS('Safety parameters'!$DM$6:$DM$18,'Safety parameters'!$DK$6:$DK$18,CZ624,'Safety parameters'!$DL$6:$DL$18,1)+IF(dd_PartSA_2_lines = "Yes",0,SUMIFS('Safety parameters'!$DM$6:$DM$18,'Safety parameters'!$DK$6:$DK$18,DA624,'Safety parameters'!$DL$6:$DL$18,2)+SUMIFS('Safety parameters'!$DM$6:$DM$18,'Safety parameters'!$DK$6:$DK$18,DB624,'Safety parameters'!$DL$6:$DL$18,2))</f>
        <v>844.48365690798391</v>
      </c>
      <c r="DT624" s="910">
        <f ca="1">SUMIFS('Safety parameters'!$DO$6:$DO$18,'Safety parameters'!$DK$6:$DK$18,CZ624,'Safety parameters'!$DL$6:$DL$18,1)+IF(dd_PartSA_2_lines = "Yes",0,SUMIFS('Safety parameters'!$DO$6:$DO$18,'Safety parameters'!$DK$6:$DK$18,DA624,'Safety parameters'!$DL$6:$DL$18,2)+SUMIFS('Safety parameters'!$DO$6:$DO$18,'Safety parameters'!$DK$6:$DK$18,DB624,'Safety parameters'!$DL$6:$DL$18,2))</f>
        <v>-7.7123551916843426E-3</v>
      </c>
    </row>
    <row r="625" spans="89:124" ht="15" x14ac:dyDescent="0.2">
      <c r="CK625" s="505" t="s">
        <v>31</v>
      </c>
      <c r="CL625" s="505">
        <v>4</v>
      </c>
      <c r="CM625" s="61" t="str" cm="1">
        <f t="array" ref="CM625:CM638">List_comparators</f>
        <v>nivolumab_monotherapy</v>
      </c>
      <c r="CN625" s="17">
        <v>0</v>
      </c>
      <c r="CO625" s="61" t="str" cm="1">
        <f t="array" ref="CO625">INDEX(List_comparators,CP611+2)</f>
        <v>placebo_BSC</v>
      </c>
      <c r="CP625" s="17">
        <v>999</v>
      </c>
      <c r="CQ625" s="603">
        <f t="shared" ca="1" si="299"/>
        <v>0</v>
      </c>
      <c r="CR625" s="603">
        <f t="shared" ca="1" si="300"/>
        <v>0</v>
      </c>
      <c r="CS625" s="603">
        <f t="shared" ca="1" si="301"/>
        <v>0</v>
      </c>
      <c r="CT625" s="669">
        <f t="shared" ca="1" si="302"/>
        <v>0</v>
      </c>
      <c r="CU625" s="1123">
        <f>MATCH(CZ632,'Resource use and costs'!$BA$11:$BA$53,0)</f>
        <v>27</v>
      </c>
      <c r="CV625" s="1223"/>
      <c r="CW625" s="1241">
        <f t="shared" si="294"/>
        <v>1</v>
      </c>
      <c r="CX625" s="899" t="s">
        <v>794</v>
      </c>
      <c r="CY625" s="899" t="s">
        <v>118</v>
      </c>
      <c r="CZ625" s="899" t="s">
        <v>585</v>
      </c>
      <c r="DA625" s="899" t="s">
        <v>579</v>
      </c>
      <c r="DB625" s="899" t="s">
        <v>327</v>
      </c>
      <c r="DC625" s="899" cm="1">
        <f t="array" aca="1" ref="DC625" ca="1">_xlfn.IFNA(OFFSET($I$49,MATCH(CY625,$I$50:$I$63,0),MATCH(CZ625,TRANSPOSE($J$49:$W$49),0)),0)</f>
        <v>0</v>
      </c>
      <c r="DD625" s="899" cm="1">
        <f t="array" aca="1" ref="DD625" ca="1">_xlfn.IFNA(OFFSET($Y$49,MATCH($CZ625,$Y$50:$Y$63,0),MATCH($DA625,TRANSPOSE($Z$49:$AM$49),0)),0)</f>
        <v>0</v>
      </c>
      <c r="DE625" s="899" cm="1">
        <f t="array" aca="1" ref="DE625" ca="1">_xlfn.IFNA(OFFSET($AO$49,MATCH($DA625,$AO$50:$AO$63,0),MATCH($DB625,TRANSPOSE($AP$49:$BC$49),0)),0)</f>
        <v>0.56859999999999999</v>
      </c>
      <c r="DF625" s="881">
        <f t="shared" ca="1" si="295"/>
        <v>0</v>
      </c>
      <c r="DG625" s="910">
        <f t="shared" ca="1" si="293"/>
        <v>1.0010447133454794</v>
      </c>
      <c r="DH625" s="881">
        <f t="shared" ca="1" si="296"/>
        <v>0</v>
      </c>
      <c r="DI625" s="1460">
        <f t="shared" ca="1" si="292"/>
        <v>0</v>
      </c>
      <c r="DJ625" s="909">
        <f>_xlfn.IFNA(INDEX('Resource use and costs'!$CQ$11:$CQ$53,MATCH($CZ625,'Resource use and costs'!$BA$11:$BA$53,0)),0)*_xlfn.IFNA(INDEX(DY$10:DY$23,MATCH($CZ625,$DX$10:$DX$23,0)),0)</f>
        <v>4551.2486654444447</v>
      </c>
      <c r="DK625" s="909">
        <f>IF(dd_PartSA_2_lines = "Yes",0,_xlfn.IFNA(INDEX('Resource use and costs'!$CR$11:$CR$53,MATCH(DA625,'Resource use and costs'!$BA$11:$BA$53,0)),0)*_xlfn.IFNA(INDEX(EA$10:EA$23,MATCH($DA625,$DX$10:$DX$23,0)),0))</f>
        <v>26054.50921</v>
      </c>
      <c r="DL625" s="909">
        <f>IF(dd_PartSA_2_lines = "Yes",0,_xlfn.IFNA(INDEX('Resource use and costs'!$CS$11:$CS$53,MATCH(DB625,'Resource use and costs'!$BA$11:$BA$53,0)),0)*_xlfn.IFNA(INDEX(EC$10:EC$23,MATCH($DB625,$DX$10:$DX$23,0)),0))</f>
        <v>18438.751749999999</v>
      </c>
      <c r="DM625" s="909">
        <f t="shared" si="297"/>
        <v>49044.509625444443</v>
      </c>
      <c r="DN625" s="909">
        <f>SUM(_xlfn.IFNA(INDEX('Resource use and costs'!$DU$12:$DU$25,MATCH(CZ625,'Resource use and costs'!$DS$12:$DS$25,0)),0),_xlfn.IFNA(INDEX('Resource use and costs'!$DU$12:$DU$25,MATCH(DA625,'Resource use and costs'!$DS$12:$DS$25,0)),0),_xlfn.IFNA(INDEX('Resource use and costs'!$DU$12:$DU$25,MATCH(DB625,'Resource use and costs'!$DS$12:$DS$25,0)),0))</f>
        <v>394.5</v>
      </c>
      <c r="DO625" s="921">
        <f>_xlfn.IFNA(INDEX('Resource use and costs'!$DY$12:$DY$25,MATCH(CZ625,'Resource use and costs'!$DS$12:$DS$25,0)),0)*_xlfn.IFNA(INDEX(DY$10:DY$23,MATCH($CZ625,$DX$10:$DX$23,0)),0)</f>
        <v>410.14183571428572</v>
      </c>
      <c r="DP625" s="921">
        <f>IF(dd_PartSA_2_lines = "Yes",0,_xlfn.IFNA(INDEX('Resource use and costs'!$DZ$12:$DZ$25,MATCH(DA625,'Resource use and costs'!$DS$12:$DS$25,0)),0)*_xlfn.IFNA(INDEX(EA$10:EA$23,MATCH($DA625,$DX$10:$DX$23,0)),0))</f>
        <v>4108.3597166</v>
      </c>
      <c r="DQ625" s="921">
        <f>IF(dd_PartSA_2_lines = "Yes",0,_xlfn.IFNA(INDEX('Resource use and costs'!$EA$12:$EA$25,MATCH(DB625,'Resource use and costs'!$DS$12:$DS$25,0)),0)*_xlfn.IFNA(INDEX(EC$10:EC$23,MATCH($DB625,$DX$10:$DX$23,0)),0))</f>
        <v>230.68099999999998</v>
      </c>
      <c r="DR625" s="921">
        <f t="shared" si="298"/>
        <v>5143.6825523142852</v>
      </c>
      <c r="DS625" s="1004">
        <f ca="1">SUMIFS('Safety parameters'!$DM$6:$DM$18,'Safety parameters'!$DK$6:$DK$18,CZ625,'Safety parameters'!$DL$6:$DL$18,1)+IF(dd_PartSA_2_lines = "Yes",0,SUMIFS('Safety parameters'!$DM$6:$DM$18,'Safety parameters'!$DK$6:$DK$18,DA625,'Safety parameters'!$DL$6:$DL$18,2)+SUMIFS('Safety parameters'!$DM$6:$DM$18,'Safety parameters'!$DK$6:$DK$18,DB625,'Safety parameters'!$DL$6:$DL$18,2))</f>
        <v>2306.9706960885433</v>
      </c>
      <c r="DT625" s="910">
        <f ca="1">SUMIFS('Safety parameters'!$DO$6:$DO$18,'Safety parameters'!$DK$6:$DK$18,CZ625,'Safety parameters'!$DL$6:$DL$18,1)+IF(dd_PartSA_2_lines = "Yes",0,SUMIFS('Safety parameters'!$DO$6:$DO$18,'Safety parameters'!$DK$6:$DK$18,DA625,'Safety parameters'!$DL$6:$DL$18,2)+SUMIFS('Safety parameters'!$DO$6:$DO$18,'Safety parameters'!$DK$6:$DK$18,DB625,'Safety parameters'!$DL$6:$DL$18,2))</f>
        <v>-2.1383789860212839E-2</v>
      </c>
    </row>
    <row r="626" spans="89:124" ht="15" x14ac:dyDescent="0.2">
      <c r="CK626" s="61" t="s">
        <v>31</v>
      </c>
      <c r="CL626" s="61">
        <v>4</v>
      </c>
      <c r="CM626" s="61" t="str">
        <v>cabozantinib_plus_nivolumab</v>
      </c>
      <c r="CN626" s="17">
        <v>1</v>
      </c>
      <c r="CO626" s="61" t="str" cm="1">
        <f t="array" ref="CO626">INDEX(List_comparators,CP612+2)</f>
        <v>placebo_BSC</v>
      </c>
      <c r="CP626" s="17">
        <v>999</v>
      </c>
      <c r="CQ626" s="601">
        <f t="shared" ca="1" si="299"/>
        <v>0</v>
      </c>
      <c r="CR626" s="601">
        <f t="shared" ca="1" si="300"/>
        <v>0</v>
      </c>
      <c r="CS626" s="601">
        <f t="shared" ca="1" si="301"/>
        <v>0</v>
      </c>
      <c r="CT626" s="669">
        <f t="shared" ca="1" si="302"/>
        <v>0</v>
      </c>
      <c r="CU626" s="1123">
        <f>MATCH(CZ633,'Resource use and costs'!$BA$11:$BA$53,0)</f>
        <v>27</v>
      </c>
      <c r="CV626" s="1223"/>
      <c r="CW626" s="1241">
        <f t="shared" si="294"/>
        <v>1</v>
      </c>
      <c r="CX626" s="899" t="s">
        <v>794</v>
      </c>
      <c r="CY626" s="899" t="s">
        <v>118</v>
      </c>
      <c r="CZ626" s="899" t="s">
        <v>585</v>
      </c>
      <c r="DA626" s="899" t="s">
        <v>579</v>
      </c>
      <c r="DB626" s="899" t="s">
        <v>765</v>
      </c>
      <c r="DC626" s="899" cm="1">
        <f t="array" aca="1" ref="DC626" ca="1">_xlfn.IFNA(OFFSET($I$49,MATCH(CY626,$I$50:$I$63,0),MATCH(CZ626,TRANSPOSE($J$49:$W$49),0)),0)</f>
        <v>0</v>
      </c>
      <c r="DD626" s="899" cm="1">
        <f t="array" aca="1" ref="DD626" ca="1">_xlfn.IFNA(OFFSET($Y$49,MATCH($CZ626,$Y$50:$Y$63,0),MATCH($DA626,TRANSPOSE($Z$49:$AM$49),0)),0)</f>
        <v>0</v>
      </c>
      <c r="DE626" s="899" cm="1">
        <f t="array" aca="1" ref="DE626" ca="1">_xlfn.IFNA(OFFSET($AO$49,MATCH($DA626,$AO$50:$AO$63,0),MATCH($DB626,TRANSPOSE($AP$49:$BC$49),0)),0)</f>
        <v>0.43140000000000001</v>
      </c>
      <c r="DF626" s="881">
        <f t="shared" ca="1" si="295"/>
        <v>0</v>
      </c>
      <c r="DG626" s="910">
        <f t="shared" ca="1" si="293"/>
        <v>1.0010447133454794</v>
      </c>
      <c r="DH626" s="881">
        <f t="shared" ca="1" si="296"/>
        <v>0</v>
      </c>
      <c r="DI626" s="1460">
        <f t="shared" ca="1" si="292"/>
        <v>0</v>
      </c>
      <c r="DJ626" s="909">
        <f>_xlfn.IFNA(INDEX('Resource use and costs'!$CQ$11:$CQ$53,MATCH($CZ626,'Resource use and costs'!$BA$11:$BA$53,0)),0)*_xlfn.IFNA(INDEX(DY$10:DY$23,MATCH($CZ626,$DX$10:$DX$23,0)),0)</f>
        <v>4551.2486654444447</v>
      </c>
      <c r="DK626" s="909">
        <f>IF(dd_PartSA_2_lines = "Yes",0,_xlfn.IFNA(INDEX('Resource use and costs'!$CR$11:$CR$53,MATCH(DA626,'Resource use and costs'!$BA$11:$BA$53,0)),0)*_xlfn.IFNA(INDEX(EA$10:EA$23,MATCH($DA626,$DX$10:$DX$23,0)),0))</f>
        <v>26054.50921</v>
      </c>
      <c r="DL626" s="909">
        <f>IF(dd_PartSA_2_lines = "Yes",0,_xlfn.IFNA(INDEX('Resource use and costs'!$CS$11:$CS$53,MATCH(DB626,'Resource use and costs'!$BA$11:$BA$53,0)),0)*_xlfn.IFNA(INDEX(EC$10:EC$23,MATCH($DB626,$DX$10:$DX$23,0)),0))</f>
        <v>0</v>
      </c>
      <c r="DM626" s="909">
        <f t="shared" si="297"/>
        <v>30605.757875444444</v>
      </c>
      <c r="DN626" s="909">
        <f>SUM(_xlfn.IFNA(INDEX('Resource use and costs'!$DU$12:$DU$25,MATCH(CZ626,'Resource use and costs'!$DS$12:$DS$25,0)),0),_xlfn.IFNA(INDEX('Resource use and costs'!$DU$12:$DU$25,MATCH(DA626,'Resource use and costs'!$DS$12:$DS$25,0)),0),_xlfn.IFNA(INDEX('Resource use and costs'!$DU$12:$DU$25,MATCH(DB626,'Resource use and costs'!$DS$12:$DS$25,0)),0))</f>
        <v>197.25</v>
      </c>
      <c r="DO626" s="921">
        <f>_xlfn.IFNA(INDEX('Resource use and costs'!$DY$12:$DY$25,MATCH(CZ626,'Resource use and costs'!$DS$12:$DS$25,0)),0)*_xlfn.IFNA(INDEX(DY$10:DY$23,MATCH($CZ626,$DX$10:$DX$23,0)),0)</f>
        <v>410.14183571428572</v>
      </c>
      <c r="DP626" s="921">
        <f>IF(dd_PartSA_2_lines = "Yes",0,_xlfn.IFNA(INDEX('Resource use and costs'!$DZ$12:$DZ$25,MATCH(DA626,'Resource use and costs'!$DS$12:$DS$25,0)),0)*_xlfn.IFNA(INDEX(EA$10:EA$23,MATCH($DA626,$DX$10:$DX$23,0)),0))</f>
        <v>4108.3597166</v>
      </c>
      <c r="DQ626" s="921">
        <f>IF(dd_PartSA_2_lines = "Yes",0,_xlfn.IFNA(INDEX('Resource use and costs'!$EA$12:$EA$25,MATCH(DB626,'Resource use and costs'!$DS$12:$DS$25,0)),0)*_xlfn.IFNA(INDEX(EC$10:EC$23,MATCH($DB626,$DX$10:$DX$23,0)),0))</f>
        <v>0</v>
      </c>
      <c r="DR626" s="921">
        <f t="shared" si="298"/>
        <v>4715.7515523142856</v>
      </c>
      <c r="DS626" s="1004">
        <f ca="1">SUMIFS('Safety parameters'!$DM$6:$DM$18,'Safety parameters'!$DK$6:$DK$18,CZ626,'Safety parameters'!$DL$6:$DL$18,1)+IF(dd_PartSA_2_lines = "Yes",0,SUMIFS('Safety parameters'!$DM$6:$DM$18,'Safety parameters'!$DK$6:$DK$18,DA626,'Safety parameters'!$DL$6:$DL$18,2)+SUMIFS('Safety parameters'!$DM$6:$DM$18,'Safety parameters'!$DK$6:$DK$18,DB626,'Safety parameters'!$DL$6:$DL$18,2))</f>
        <v>672.74202252308351</v>
      </c>
      <c r="DT626" s="910">
        <f ca="1">SUMIFS('Safety parameters'!$DO$6:$DO$18,'Safety parameters'!$DK$6:$DK$18,CZ626,'Safety parameters'!$DL$6:$DL$18,1)+IF(dd_PartSA_2_lines = "Yes",0,SUMIFS('Safety parameters'!$DO$6:$DO$18,'Safety parameters'!$DK$6:$DK$18,DA626,'Safety parameters'!$DL$6:$DL$18,2)+SUMIFS('Safety parameters'!$DO$6:$DO$18,'Safety parameters'!$DK$6:$DK$18,DB626,'Safety parameters'!$DL$6:$DL$18,2))</f>
        <v>-6.6418658527314101E-3</v>
      </c>
    </row>
    <row r="627" spans="89:124" ht="15" x14ac:dyDescent="0.2">
      <c r="CK627" s="61" t="s">
        <v>31</v>
      </c>
      <c r="CL627" s="61">
        <v>4</v>
      </c>
      <c r="CM627" s="61" t="str">
        <v>nivolumab_plus_ipilimumab</v>
      </c>
      <c r="CN627" s="17">
        <v>2</v>
      </c>
      <c r="CO627" s="61" t="str" cm="1">
        <f t="array" ref="CO627">INDEX(List_comparators,CP613+2)</f>
        <v>placebo_BSC</v>
      </c>
      <c r="CP627" s="17">
        <v>999</v>
      </c>
      <c r="CQ627" s="601">
        <f t="shared" ca="1" si="299"/>
        <v>0</v>
      </c>
      <c r="CR627" s="601">
        <f t="shared" ca="1" si="300"/>
        <v>0</v>
      </c>
      <c r="CS627" s="601">
        <f t="shared" ca="1" si="301"/>
        <v>0</v>
      </c>
      <c r="CT627" s="669">
        <f t="shared" ca="1" si="302"/>
        <v>0</v>
      </c>
      <c r="CU627" s="1123">
        <f>MATCH(CZ634,'Resource use and costs'!$BA$11:$BA$53,0)</f>
        <v>27</v>
      </c>
      <c r="CV627" s="1223"/>
      <c r="CW627" s="1241">
        <f t="shared" si="294"/>
        <v>1</v>
      </c>
      <c r="CX627" s="899" t="s">
        <v>794</v>
      </c>
      <c r="CY627" s="899" t="s">
        <v>118</v>
      </c>
      <c r="CZ627" s="899" t="s">
        <v>585</v>
      </c>
      <c r="DA627" s="899" t="s">
        <v>579</v>
      </c>
      <c r="DB627" s="899" t="s">
        <v>119</v>
      </c>
      <c r="DC627" s="899" cm="1">
        <f t="array" aca="1" ref="DC627" ca="1">_xlfn.IFNA(OFFSET($I$49,MATCH(CY627,$I$50:$I$63,0),MATCH(CZ627,TRANSPOSE($J$49:$W$49),0)),0)</f>
        <v>0</v>
      </c>
      <c r="DD627" s="899" cm="1">
        <f t="array" aca="1" ref="DD627" ca="1">_xlfn.IFNA(OFFSET($Y$49,MATCH($CZ627,$Y$50:$Y$63,0),MATCH($DA627,TRANSPOSE($Z$49:$AM$49),0)),0)</f>
        <v>0</v>
      </c>
      <c r="DE627" s="899" cm="1">
        <f t="array" aca="1" ref="DE627" ca="1">_xlfn.IFNA(OFFSET($AO$49,MATCH($DA627,$AO$50:$AO$63,0),MATCH($DB627,TRANSPOSE($AP$49:$BC$49),0)),0)</f>
        <v>0</v>
      </c>
      <c r="DF627" s="881">
        <f t="shared" ca="1" si="295"/>
        <v>0</v>
      </c>
      <c r="DG627" s="910">
        <f t="shared" ca="1" si="293"/>
        <v>1.0010447133454794</v>
      </c>
      <c r="DH627" s="881">
        <f t="shared" ca="1" si="296"/>
        <v>0</v>
      </c>
      <c r="DI627" s="1460">
        <f t="shared" ca="1" si="292"/>
        <v>0</v>
      </c>
      <c r="DJ627" s="909">
        <f>_xlfn.IFNA(INDEX('Resource use and costs'!$CQ$11:$CQ$53,MATCH($CZ627,'Resource use and costs'!$BA$11:$BA$53,0)),0)*_xlfn.IFNA(INDEX(DY$10:DY$23,MATCH($CZ627,$DX$10:$DX$23,0)),0)</f>
        <v>4551.2486654444447</v>
      </c>
      <c r="DK627" s="909">
        <f>IF(dd_PartSA_2_lines = "Yes",0,_xlfn.IFNA(INDEX('Resource use and costs'!$CR$11:$CR$53,MATCH(DA627,'Resource use and costs'!$BA$11:$BA$53,0)),0)*_xlfn.IFNA(INDEX(EA$10:EA$23,MATCH($DA627,$DX$10:$DX$23,0)),0))</f>
        <v>26054.50921</v>
      </c>
      <c r="DL627" s="909">
        <f>IF(dd_PartSA_2_lines = "Yes",0,_xlfn.IFNA(INDEX('Resource use and costs'!$CS$11:$CS$53,MATCH(DB627,'Resource use and costs'!$BA$11:$BA$53,0)),0)*_xlfn.IFNA(INDEX(EC$10:EC$23,MATCH($DB627,$DX$10:$DX$23,0)),0))</f>
        <v>2915.4763433333328</v>
      </c>
      <c r="DM627" s="909">
        <f t="shared" si="297"/>
        <v>33521.234218777776</v>
      </c>
      <c r="DN627" s="909">
        <f>SUM(_xlfn.IFNA(INDEX('Resource use and costs'!$DU$12:$DU$25,MATCH(CZ627,'Resource use and costs'!$DS$12:$DS$25,0)),0),_xlfn.IFNA(INDEX('Resource use and costs'!$DU$12:$DU$25,MATCH(DA627,'Resource use and costs'!$DS$12:$DS$25,0)),0),_xlfn.IFNA(INDEX('Resource use and costs'!$DU$12:$DU$25,MATCH(DB627,'Resource use and costs'!$DS$12:$DS$25,0)),0))</f>
        <v>394.5</v>
      </c>
      <c r="DO627" s="921">
        <f>_xlfn.IFNA(INDEX('Resource use and costs'!$DY$12:$DY$25,MATCH(CZ627,'Resource use and costs'!$DS$12:$DS$25,0)),0)*_xlfn.IFNA(INDEX(DY$10:DY$23,MATCH($CZ627,$DX$10:$DX$23,0)),0)</f>
        <v>410.14183571428572</v>
      </c>
      <c r="DP627" s="921">
        <f>IF(dd_PartSA_2_lines = "Yes",0,_xlfn.IFNA(INDEX('Resource use and costs'!$DZ$12:$DZ$25,MATCH(DA627,'Resource use and costs'!$DS$12:$DS$25,0)),0)*_xlfn.IFNA(INDEX(EA$10:EA$23,MATCH($DA627,$DX$10:$DX$23,0)),0))</f>
        <v>4108.3597166</v>
      </c>
      <c r="DQ627" s="921">
        <f>IF(dd_PartSA_2_lines = "Yes",0,_xlfn.IFNA(INDEX('Resource use and costs'!$EA$12:$EA$25,MATCH(DB627,'Resource use and costs'!$DS$12:$DS$25,0)),0)*_xlfn.IFNA(INDEX(EC$10:EC$23,MATCH($DB627,$DX$10:$DX$23,0)),0))</f>
        <v>256.11457142857142</v>
      </c>
      <c r="DR627" s="921">
        <f t="shared" si="298"/>
        <v>5169.1161237428569</v>
      </c>
      <c r="DS627" s="1004">
        <f ca="1">SUMIFS('Safety parameters'!$DM$6:$DM$18,'Safety parameters'!$DK$6:$DK$18,CZ627,'Safety parameters'!$DL$6:$DL$18,1)+IF(dd_PartSA_2_lines = "Yes",0,SUMIFS('Safety parameters'!$DM$6:$DM$18,'Safety parameters'!$DK$6:$DK$18,DA627,'Safety parameters'!$DL$6:$DL$18,2)+SUMIFS('Safety parameters'!$DM$6:$DM$18,'Safety parameters'!$DK$6:$DK$18,DB627,'Safety parameters'!$DL$6:$DL$18,2))</f>
        <v>1005.6174058983984</v>
      </c>
      <c r="DT627" s="910">
        <f ca="1">SUMIFS('Safety parameters'!$DO$6:$DO$18,'Safety parameters'!$DK$6:$DK$18,CZ627,'Safety parameters'!$DL$6:$DL$18,1)+IF(dd_PartSA_2_lines = "Yes",0,SUMIFS('Safety parameters'!$DO$6:$DO$18,'Safety parameters'!$DK$6:$DK$18,DA627,'Safety parameters'!$DL$6:$DL$18,2)+SUMIFS('Safety parameters'!$DO$6:$DO$18,'Safety parameters'!$DK$6:$DK$18,DB627,'Safety parameters'!$DL$6:$DL$18,2))</f>
        <v>-9.3094393893691299E-3</v>
      </c>
    </row>
    <row r="628" spans="89:124" ht="15" x14ac:dyDescent="0.2">
      <c r="CK628" s="61" t="s">
        <v>31</v>
      </c>
      <c r="CL628" s="61">
        <v>4</v>
      </c>
      <c r="CM628" s="61" t="str">
        <v>lenvatinib_plus_pembrolizumab</v>
      </c>
      <c r="CN628" s="17">
        <v>3</v>
      </c>
      <c r="CO628" s="61" t="str" cm="1">
        <f t="array" ref="CO628">INDEX(List_comparators,CP614+2)</f>
        <v>placebo_BSC</v>
      </c>
      <c r="CP628" s="17">
        <v>999</v>
      </c>
      <c r="CQ628" s="601">
        <f t="shared" ca="1" si="299"/>
        <v>0</v>
      </c>
      <c r="CR628" s="601">
        <f t="shared" ca="1" si="300"/>
        <v>0</v>
      </c>
      <c r="CS628" s="601">
        <f t="shared" ca="1" si="301"/>
        <v>0</v>
      </c>
      <c r="CT628" s="669">
        <f t="shared" ca="1" si="302"/>
        <v>0</v>
      </c>
      <c r="CU628" s="1123">
        <f>MATCH(CZ635,'Resource use and costs'!$BA$11:$BA$53,0)</f>
        <v>27</v>
      </c>
      <c r="CV628" s="1223"/>
      <c r="CW628" s="1241">
        <f t="shared" si="294"/>
        <v>1</v>
      </c>
      <c r="CX628" s="899" t="s">
        <v>794</v>
      </c>
      <c r="CY628" s="899" t="s">
        <v>118</v>
      </c>
      <c r="CZ628" s="899" t="s">
        <v>117</v>
      </c>
      <c r="DA628" s="899" t="s">
        <v>327</v>
      </c>
      <c r="DB628" s="899" t="s">
        <v>765</v>
      </c>
      <c r="DC628" s="899" cm="1">
        <f t="array" aca="1" ref="DC628" ca="1">_xlfn.IFNA(OFFSET($I$49,MATCH(CY628,$I$50:$I$63,0),MATCH(CZ628,TRANSPOSE($J$49:$W$49),0)),0)</f>
        <v>1.4897774790919952E-2</v>
      </c>
      <c r="DD628" s="899" cm="1">
        <f t="array" aca="1" ref="DD628" ca="1">_xlfn.IFNA(OFFSET($Y$49,MATCH($CZ628,$Y$50:$Y$63,0),MATCH($DA628,TRANSPOSE($Z$49:$AM$49),0)),0)</f>
        <v>0</v>
      </c>
      <c r="DE628" s="899" cm="1">
        <f t="array" aca="1" ref="DE628" ca="1">_xlfn.IFNA(OFFSET($AO$49,MATCH($DA628,$AO$50:$AO$63,0),MATCH($DB628,TRANSPOSE($AP$49:$BC$49),0)),0)</f>
        <v>0.43140000000000001</v>
      </c>
      <c r="DF628" s="881">
        <f t="shared" ca="1" si="295"/>
        <v>0</v>
      </c>
      <c r="DG628" s="910">
        <f t="shared" ca="1" si="293"/>
        <v>1.0010447133454794</v>
      </c>
      <c r="DH628" s="881">
        <f t="shared" ca="1" si="296"/>
        <v>0</v>
      </c>
      <c r="DI628" s="1460">
        <f t="shared" ca="1" si="292"/>
        <v>0</v>
      </c>
      <c r="DJ628" s="909">
        <f>_xlfn.IFNA(INDEX('Resource use and costs'!$CQ$11:$CQ$53,MATCH($CZ628,'Resource use and costs'!$BA$11:$BA$53,0)),0)*_xlfn.IFNA(INDEX(DY$10:DY$23,MATCH($CZ628,$DX$10:$DX$23,0)),0)</f>
        <v>2860.9927072190476</v>
      </c>
      <c r="DK628" s="909">
        <f>IF(dd_PartSA_2_lines = "Yes",0,_xlfn.IFNA(INDEX('Resource use and costs'!$CR$11:$CR$53,MATCH(DA628,'Resource use and costs'!$BA$11:$BA$53,0)),0)*_xlfn.IFNA(INDEX(EA$10:EA$23,MATCH($DA628,$DX$10:$DX$23,0)),0))</f>
        <v>21421.066008214286</v>
      </c>
      <c r="DL628" s="909">
        <f>IF(dd_PartSA_2_lines = "Yes",0,_xlfn.IFNA(INDEX('Resource use and costs'!$CS$11:$CS$53,MATCH(DB628,'Resource use and costs'!$BA$11:$BA$53,0)),0)*_xlfn.IFNA(INDEX(EC$10:EC$23,MATCH($DB628,$DX$10:$DX$23,0)),0))</f>
        <v>0</v>
      </c>
      <c r="DM628" s="909">
        <f t="shared" si="297"/>
        <v>24282.058715433333</v>
      </c>
      <c r="DN628" s="909">
        <f>SUM(_xlfn.IFNA(INDEX('Resource use and costs'!$DU$12:$DU$25,MATCH(CZ628,'Resource use and costs'!$DS$12:$DS$25,0)),0),_xlfn.IFNA(INDEX('Resource use and costs'!$DU$12:$DU$25,MATCH(DA628,'Resource use and costs'!$DS$12:$DS$25,0)),0),_xlfn.IFNA(INDEX('Resource use and costs'!$DU$12:$DU$25,MATCH(DB628,'Resource use and costs'!$DS$12:$DS$25,0)),0))</f>
        <v>394.5</v>
      </c>
      <c r="DO628" s="921">
        <f>_xlfn.IFNA(INDEX('Resource use and costs'!$DY$12:$DY$25,MATCH(CZ628,'Resource use and costs'!$DS$12:$DS$25,0)),0)*_xlfn.IFNA(INDEX(DY$10:DY$23,MATCH($CZ628,$DX$10:$DX$23,0)),0)</f>
        <v>405.17019714285709</v>
      </c>
      <c r="DP628" s="921">
        <f>IF(dd_PartSA_2_lines = "Yes",0,_xlfn.IFNA(INDEX('Resource use and costs'!$DZ$12:$DZ$25,MATCH(DA628,'Resource use and costs'!$DS$12:$DS$25,0)),0)*_xlfn.IFNA(INDEX(EA$10:EA$23,MATCH($DA628,$DX$10:$DX$23,0)),0))</f>
        <v>267.99172714285714</v>
      </c>
      <c r="DQ628" s="921">
        <f>IF(dd_PartSA_2_lines = "Yes",0,_xlfn.IFNA(INDEX('Resource use and costs'!$EA$12:$EA$25,MATCH(DB628,'Resource use and costs'!$DS$12:$DS$25,0)),0)*_xlfn.IFNA(INDEX(EC$10:EC$23,MATCH($DB628,$DX$10:$DX$23,0)),0))</f>
        <v>0</v>
      </c>
      <c r="DR628" s="921">
        <f t="shared" si="298"/>
        <v>1067.6619242857141</v>
      </c>
      <c r="DS628" s="1004">
        <f ca="1">SUMIFS('Safety parameters'!$DM$6:$DM$18,'Safety parameters'!$DK$6:$DK$18,CZ628,'Safety parameters'!$DL$6:$DL$18,1)+IF(dd_PartSA_2_lines = "Yes",0,SUMIFS('Safety parameters'!$DM$6:$DM$18,'Safety parameters'!$DK$6:$DK$18,DA628,'Safety parameters'!$DL$6:$DL$18,2)+SUMIFS('Safety parameters'!$DM$6:$DM$18,'Safety parameters'!$DK$6:$DK$18,DB628,'Safety parameters'!$DL$6:$DL$18,2))</f>
        <v>2238.0420485654599</v>
      </c>
      <c r="DT628" s="910">
        <f ca="1">SUMIFS('Safety parameters'!$DO$6:$DO$18,'Safety parameters'!$DK$6:$DK$18,CZ628,'Safety parameters'!$DL$6:$DL$18,1)+IF(dd_PartSA_2_lines = "Yes",0,SUMIFS('Safety parameters'!$DO$6:$DO$18,'Safety parameters'!$DK$6:$DK$18,DA628,'Safety parameters'!$DL$6:$DL$18,2)+SUMIFS('Safety parameters'!$DO$6:$DO$18,'Safety parameters'!$DK$6:$DK$18,DB628,'Safety parameters'!$DL$6:$DL$18,2))</f>
        <v>-2.0168002036228861E-2</v>
      </c>
    </row>
    <row r="629" spans="89:124" ht="15" x14ac:dyDescent="0.2">
      <c r="CK629" s="61" t="s">
        <v>31</v>
      </c>
      <c r="CL629" s="61">
        <v>4</v>
      </c>
      <c r="CM629" s="61" t="str">
        <v>avelumab_plus_axitinib</v>
      </c>
      <c r="CN629" s="17">
        <v>4</v>
      </c>
      <c r="CO629" s="61" t="str" cm="1">
        <f t="array" ref="CO629">INDEX(List_comparators,CP615+2)</f>
        <v>placebo_BSC</v>
      </c>
      <c r="CP629" s="17">
        <v>999</v>
      </c>
      <c r="CQ629" s="601">
        <f t="shared" ca="1" si="299"/>
        <v>0</v>
      </c>
      <c r="CR629" s="601">
        <f t="shared" ca="1" si="300"/>
        <v>0</v>
      </c>
      <c r="CS629" s="601">
        <f t="shared" ca="1" si="301"/>
        <v>0</v>
      </c>
      <c r="CT629" s="669">
        <f t="shared" ca="1" si="302"/>
        <v>0</v>
      </c>
      <c r="CU629" s="1123">
        <f>MATCH(CZ636,'Resource use and costs'!$BA$11:$BA$53,0)</f>
        <v>24</v>
      </c>
      <c r="CV629" s="1223"/>
      <c r="CW629" s="1241">
        <f t="shared" si="294"/>
        <v>1</v>
      </c>
      <c r="CX629" s="899" t="s">
        <v>794</v>
      </c>
      <c r="CY629" s="899" t="s">
        <v>118</v>
      </c>
      <c r="CZ629" s="899" t="s">
        <v>117</v>
      </c>
      <c r="DA629" s="899" t="s">
        <v>327</v>
      </c>
      <c r="DB629" s="899" t="s">
        <v>119</v>
      </c>
      <c r="DC629" s="899" cm="1">
        <f t="array" aca="1" ref="DC629" ca="1">_xlfn.IFNA(OFFSET($I$49,MATCH(CY629,$I$50:$I$63,0),MATCH(CZ629,TRANSPOSE($J$49:$W$49),0)),0)</f>
        <v>1.4897774790919952E-2</v>
      </c>
      <c r="DD629" s="899" cm="1">
        <f t="array" aca="1" ref="DD629" ca="1">_xlfn.IFNA(OFFSET($Y$49,MATCH($CZ629,$Y$50:$Y$63,0),MATCH($DA629,TRANSPOSE($Z$49:$AM$49),0)),0)</f>
        <v>0</v>
      </c>
      <c r="DE629" s="899" cm="1">
        <f t="array" aca="1" ref="DE629" ca="1">_xlfn.IFNA(OFFSET($AO$49,MATCH($DA629,$AO$50:$AO$63,0),MATCH($DB629,TRANSPOSE($AP$49:$BC$49),0)),0)</f>
        <v>0.56859999999999999</v>
      </c>
      <c r="DF629" s="881">
        <f t="shared" ca="1" si="295"/>
        <v>0</v>
      </c>
      <c r="DG629" s="910">
        <f t="shared" ca="1" si="293"/>
        <v>1.0010447133454794</v>
      </c>
      <c r="DH629" s="881">
        <f t="shared" ca="1" si="296"/>
        <v>0</v>
      </c>
      <c r="DI629" s="1460">
        <f t="shared" ca="1" si="292"/>
        <v>0</v>
      </c>
      <c r="DJ629" s="909">
        <f>_xlfn.IFNA(INDEX('Resource use and costs'!$CQ$11:$CQ$53,MATCH($CZ629,'Resource use and costs'!$BA$11:$BA$53,0)),0)*_xlfn.IFNA(INDEX(DY$10:DY$23,MATCH($CZ629,$DX$10:$DX$23,0)),0)</f>
        <v>2860.9927072190476</v>
      </c>
      <c r="DK629" s="909">
        <f>IF(dd_PartSA_2_lines = "Yes",0,_xlfn.IFNA(INDEX('Resource use and costs'!$CR$11:$CR$53,MATCH(DA629,'Resource use and costs'!$BA$11:$BA$53,0)),0)*_xlfn.IFNA(INDEX(EA$10:EA$23,MATCH($DA629,$DX$10:$DX$23,0)),0))</f>
        <v>21421.066008214286</v>
      </c>
      <c r="DL629" s="909">
        <f>IF(dd_PartSA_2_lines = "Yes",0,_xlfn.IFNA(INDEX('Resource use and costs'!$CS$11:$CS$53,MATCH(DB629,'Resource use and costs'!$BA$11:$BA$53,0)),0)*_xlfn.IFNA(INDEX(EC$10:EC$23,MATCH($DB629,$DX$10:$DX$23,0)),0))</f>
        <v>2915.4763433333328</v>
      </c>
      <c r="DM629" s="909">
        <f t="shared" si="297"/>
        <v>27197.535058766665</v>
      </c>
      <c r="DN629" s="909">
        <f>SUM(_xlfn.IFNA(INDEX('Resource use and costs'!$DU$12:$DU$25,MATCH(CZ629,'Resource use and costs'!$DS$12:$DS$25,0)),0),_xlfn.IFNA(INDEX('Resource use and costs'!$DU$12:$DU$25,MATCH(DA629,'Resource use and costs'!$DS$12:$DS$25,0)),0),_xlfn.IFNA(INDEX('Resource use and costs'!$DU$12:$DU$25,MATCH(DB629,'Resource use and costs'!$DS$12:$DS$25,0)),0))</f>
        <v>591.75</v>
      </c>
      <c r="DO629" s="921">
        <f>_xlfn.IFNA(INDEX('Resource use and costs'!$DY$12:$DY$25,MATCH(CZ629,'Resource use and costs'!$DS$12:$DS$25,0)),0)*_xlfn.IFNA(INDEX(DY$10:DY$23,MATCH($CZ629,$DX$10:$DX$23,0)),0)</f>
        <v>405.17019714285709</v>
      </c>
      <c r="DP629" s="921">
        <f>IF(dd_PartSA_2_lines = "Yes",0,_xlfn.IFNA(INDEX('Resource use and costs'!$DZ$12:$DZ$25,MATCH(DA629,'Resource use and costs'!$DS$12:$DS$25,0)),0)*_xlfn.IFNA(INDEX(EA$10:EA$23,MATCH($DA629,$DX$10:$DX$23,0)),0))</f>
        <v>267.99172714285714</v>
      </c>
      <c r="DQ629" s="921">
        <f>IF(dd_PartSA_2_lines = "Yes",0,_xlfn.IFNA(INDEX('Resource use and costs'!$EA$12:$EA$25,MATCH(DB629,'Resource use and costs'!$DS$12:$DS$25,0)),0)*_xlfn.IFNA(INDEX(EC$10:EC$23,MATCH($DB629,$DX$10:$DX$23,0)),0))</f>
        <v>256.11457142857142</v>
      </c>
      <c r="DR629" s="921">
        <f t="shared" si="298"/>
        <v>1521.0264957142856</v>
      </c>
      <c r="DS629" s="1004">
        <f ca="1">SUMIFS('Safety parameters'!$DM$6:$DM$18,'Safety parameters'!$DK$6:$DK$18,CZ629,'Safety parameters'!$DL$6:$DL$18,1)+IF(dd_PartSA_2_lines = "Yes",0,SUMIFS('Safety parameters'!$DM$6:$DM$18,'Safety parameters'!$DK$6:$DK$18,DA629,'Safety parameters'!$DL$6:$DL$18,2)+SUMIFS('Safety parameters'!$DM$6:$DM$18,'Safety parameters'!$DK$6:$DK$18,DB629,'Safety parameters'!$DL$6:$DL$18,2))</f>
        <v>2570.9174319407748</v>
      </c>
      <c r="DT629" s="910">
        <f ca="1">SUMIFS('Safety parameters'!$DO$6:$DO$18,'Safety parameters'!$DK$6:$DK$18,CZ629,'Safety parameters'!$DL$6:$DL$18,1)+IF(dd_PartSA_2_lines = "Yes",0,SUMIFS('Safety parameters'!$DO$6:$DO$18,'Safety parameters'!$DK$6:$DK$18,DA629,'Safety parameters'!$DL$6:$DL$18,2)+SUMIFS('Safety parameters'!$DO$6:$DO$18,'Safety parameters'!$DK$6:$DK$18,DB629,'Safety parameters'!$DL$6:$DL$18,2))</f>
        <v>-2.2835575572866581E-2</v>
      </c>
    </row>
    <row r="630" spans="89:124" ht="15" x14ac:dyDescent="0.2">
      <c r="CK630" s="61" t="s">
        <v>31</v>
      </c>
      <c r="CL630" s="61">
        <v>4</v>
      </c>
      <c r="CM630" s="61" t="str">
        <v>pazopanib</v>
      </c>
      <c r="CN630" s="17">
        <v>5</v>
      </c>
      <c r="CO630" s="61" t="str" cm="1">
        <f t="array" ref="CO630">INDEX(List_comparators,CP616+2)</f>
        <v>placebo_BSC</v>
      </c>
      <c r="CP630" s="17">
        <v>999</v>
      </c>
      <c r="CQ630" s="601">
        <f t="shared" ca="1" si="299"/>
        <v>0</v>
      </c>
      <c r="CR630" s="601">
        <f t="shared" ca="1" si="300"/>
        <v>0</v>
      </c>
      <c r="CS630" s="601">
        <f t="shared" ca="1" si="301"/>
        <v>0</v>
      </c>
      <c r="CT630" s="669">
        <f t="shared" ca="1" si="302"/>
        <v>0</v>
      </c>
      <c r="CU630" s="1123">
        <f>MATCH(CZ637,'Resource use and costs'!$BA$11:$BA$53,0)</f>
        <v>24</v>
      </c>
      <c r="CV630" s="1223"/>
      <c r="CW630" s="1241">
        <f t="shared" si="294"/>
        <v>1</v>
      </c>
      <c r="CX630" s="899" t="s">
        <v>794</v>
      </c>
      <c r="CY630" s="899" t="s">
        <v>118</v>
      </c>
      <c r="CZ630" s="899" t="s">
        <v>117</v>
      </c>
      <c r="DA630" s="899" t="s">
        <v>765</v>
      </c>
      <c r="DB630" s="899"/>
      <c r="DC630" s="899" cm="1">
        <f t="array" aca="1" ref="DC630" ca="1">_xlfn.IFNA(OFFSET($I$49,MATCH(CY630,$I$50:$I$63,0),MATCH(CZ630,TRANSPOSE($J$49:$W$49),0)),0)</f>
        <v>1.4897774790919952E-2</v>
      </c>
      <c r="DD630" s="899" cm="1">
        <f t="array" aca="1" ref="DD630" ca="1">_xlfn.IFNA(OFFSET($Y$49,MATCH($CZ630,$Y$50:$Y$63,0),MATCH($DA630,TRANSPOSE($Z$49:$AM$49),0)),0)</f>
        <v>0.34300000000000003</v>
      </c>
      <c r="DE630" s="899" cm="1">
        <f t="array" aca="1" ref="DE630" ca="1">_xlfn.IFNA(OFFSET($AO$49,MATCH($DA630,$AO$50:$AO$63,0),MATCH($DB630,TRANSPOSE($AP$49:$BC$49),0)),0)</f>
        <v>0</v>
      </c>
      <c r="DF630" s="881">
        <f t="shared" ca="1" si="295"/>
        <v>5.109936753285544E-3</v>
      </c>
      <c r="DG630" s="910">
        <f t="shared" ca="1" si="293"/>
        <v>1.0010447133454794</v>
      </c>
      <c r="DH630" s="881">
        <f t="shared" ca="1" si="296"/>
        <v>5.1152751724062567E-3</v>
      </c>
      <c r="DI630" s="1460">
        <f t="shared" ca="1" si="292"/>
        <v>0.58314136965431329</v>
      </c>
      <c r="DJ630" s="909">
        <f>_xlfn.IFNA(INDEX('Resource use and costs'!$CQ$11:$CQ$53,MATCH($CZ630,'Resource use and costs'!$BA$11:$BA$53,0)),0)*_xlfn.IFNA(INDEX(DY$10:DY$23,MATCH($CZ630,$DX$10:$DX$23,0)),0)</f>
        <v>2860.9927072190476</v>
      </c>
      <c r="DK630" s="909">
        <f>IF(dd_PartSA_2_lines = "Yes",0,_xlfn.IFNA(INDEX('Resource use and costs'!$CR$11:$CR$53,MATCH(DA630,'Resource use and costs'!$BA$11:$BA$53,0)),0)*_xlfn.IFNA(INDEX(EA$10:EA$23,MATCH($DA630,$DX$10:$DX$23,0)),0))</f>
        <v>0</v>
      </c>
      <c r="DL630" s="909">
        <f>IF(dd_PartSA_2_lines = "Yes",0,_xlfn.IFNA(INDEX('Resource use and costs'!$CS$11:$CS$53,MATCH(DB630,'Resource use and costs'!$BA$11:$BA$53,0)),0)*_xlfn.IFNA(INDEX(EC$10:EC$23,MATCH($DB630,$DX$10:$DX$23,0)),0))</f>
        <v>0</v>
      </c>
      <c r="DM630" s="909">
        <f t="shared" si="297"/>
        <v>2860.9927072190476</v>
      </c>
      <c r="DN630" s="909">
        <f>SUM(_xlfn.IFNA(INDEX('Resource use and costs'!$DU$12:$DU$25,MATCH(CZ630,'Resource use and costs'!$DS$12:$DS$25,0)),0),_xlfn.IFNA(INDEX('Resource use and costs'!$DU$12:$DU$25,MATCH(DA630,'Resource use and costs'!$DS$12:$DS$25,0)),0),_xlfn.IFNA(INDEX('Resource use and costs'!$DU$12:$DU$25,MATCH(DB630,'Resource use and costs'!$DS$12:$DS$25,0)),0))</f>
        <v>197.25</v>
      </c>
      <c r="DO630" s="921">
        <f>_xlfn.IFNA(INDEX('Resource use and costs'!$DY$12:$DY$25,MATCH(CZ630,'Resource use and costs'!$DS$12:$DS$25,0)),0)*_xlfn.IFNA(INDEX(DY$10:DY$23,MATCH($CZ630,$DX$10:$DX$23,0)),0)</f>
        <v>405.17019714285709</v>
      </c>
      <c r="DP630" s="921">
        <f>IF(dd_PartSA_2_lines = "Yes",0,_xlfn.IFNA(INDEX('Resource use and costs'!$DZ$12:$DZ$25,MATCH(DA630,'Resource use and costs'!$DS$12:$DS$25,0)),0)*_xlfn.IFNA(INDEX(EA$10:EA$23,MATCH($DA630,$DX$10:$DX$23,0)),0))</f>
        <v>0</v>
      </c>
      <c r="DQ630" s="921">
        <f>IF(dd_PartSA_2_lines = "Yes",0,_xlfn.IFNA(INDEX('Resource use and costs'!$EA$12:$EA$25,MATCH(DB630,'Resource use and costs'!$DS$12:$DS$25,0)),0)*_xlfn.IFNA(INDEX(EC$10:EC$23,MATCH($DB630,$DX$10:$DX$23,0)),0))</f>
        <v>0</v>
      </c>
      <c r="DR630" s="921">
        <f t="shared" si="298"/>
        <v>602.42019714285709</v>
      </c>
      <c r="DS630" s="1004">
        <f ca="1">SUMIFS('Safety parameters'!$DM$6:$DM$18,'Safety parameters'!$DK$6:$DK$18,CZ630,'Safety parameters'!$DL$6:$DL$18,1)+IF(dd_PartSA_2_lines = "Yes",0,SUMIFS('Safety parameters'!$DM$6:$DM$18,'Safety parameters'!$DK$6:$DK$18,DA630,'Safety parameters'!$DL$6:$DL$18,2)+SUMIFS('Safety parameters'!$DM$6:$DM$18,'Safety parameters'!$DK$6:$DK$18,DB630,'Safety parameters'!$DL$6:$DL$18,2))</f>
        <v>603.81337500000006</v>
      </c>
      <c r="DT630" s="910">
        <f ca="1">SUMIFS('Safety parameters'!$DO$6:$DO$18,'Safety parameters'!$DK$6:$DK$18,CZ630,'Safety parameters'!$DL$6:$DL$18,1)+IF(dd_PartSA_2_lines = "Yes",0,SUMIFS('Safety parameters'!$DO$6:$DO$18,'Safety parameters'!$DK$6:$DK$18,DA630,'Safety parameters'!$DL$6:$DL$18,2)+SUMIFS('Safety parameters'!$DO$6:$DO$18,'Safety parameters'!$DK$6:$DK$18,DB630,'Safety parameters'!$DL$6:$DL$18,2))</f>
        <v>-5.4260780287474324E-3</v>
      </c>
    </row>
    <row r="631" spans="89:124" ht="15" x14ac:dyDescent="0.2">
      <c r="CK631" s="61" t="s">
        <v>31</v>
      </c>
      <c r="CL631" s="61">
        <v>4</v>
      </c>
      <c r="CM631" s="61" t="str">
        <v>tivozanib</v>
      </c>
      <c r="CN631" s="17">
        <v>6</v>
      </c>
      <c r="CO631" s="61" t="str" cm="1">
        <f t="array" ref="CO631">INDEX(List_comparators,CP617+2)</f>
        <v>placebo_BSC</v>
      </c>
      <c r="CP631" s="17">
        <v>999</v>
      </c>
      <c r="CQ631" s="601">
        <f t="shared" ca="1" si="299"/>
        <v>0</v>
      </c>
      <c r="CR631" s="601">
        <f t="shared" ca="1" si="300"/>
        <v>0</v>
      </c>
      <c r="CS631" s="601">
        <f t="shared" ca="1" si="301"/>
        <v>0</v>
      </c>
      <c r="CT631" s="669">
        <f t="shared" ca="1" si="302"/>
        <v>0</v>
      </c>
      <c r="CU631" s="1123">
        <f>MATCH(CZ638,'Resource use and costs'!$BA$11:$BA$53,0)</f>
        <v>24</v>
      </c>
      <c r="CV631" s="1223"/>
      <c r="CW631" s="1241">
        <f t="shared" si="294"/>
        <v>1</v>
      </c>
      <c r="CX631" s="899" t="s">
        <v>794</v>
      </c>
      <c r="CY631" s="899" t="s">
        <v>118</v>
      </c>
      <c r="CZ631" s="899" t="s">
        <v>117</v>
      </c>
      <c r="DA631" s="899" t="s">
        <v>119</v>
      </c>
      <c r="DB631" s="899" t="s">
        <v>327</v>
      </c>
      <c r="DC631" s="899" cm="1">
        <f t="array" aca="1" ref="DC631" ca="1">_xlfn.IFNA(OFFSET($I$49,MATCH(CY631,$I$50:$I$63,0),MATCH(CZ631,TRANSPOSE($J$49:$W$49),0)),0)</f>
        <v>1.4897774790919952E-2</v>
      </c>
      <c r="DD631" s="899" cm="1">
        <f t="array" aca="1" ref="DD631" ca="1">_xlfn.IFNA(OFFSET($Y$49,MATCH($CZ631,$Y$50:$Y$63,0),MATCH($DA631,TRANSPOSE($Z$49:$AM$49),0)),0)</f>
        <v>0</v>
      </c>
      <c r="DE631" s="899" cm="1">
        <f t="array" aca="1" ref="DE631" ca="1">_xlfn.IFNA(OFFSET($AO$49,MATCH($DA631,$AO$50:$AO$63,0),MATCH($DB631,TRANSPOSE($AP$49:$BC$49),0)),0)</f>
        <v>0</v>
      </c>
      <c r="DF631" s="881">
        <f t="shared" ca="1" si="295"/>
        <v>0</v>
      </c>
      <c r="DG631" s="910">
        <f t="shared" ca="1" si="293"/>
        <v>1.0010447133454794</v>
      </c>
      <c r="DH631" s="881">
        <f t="shared" ca="1" si="296"/>
        <v>0</v>
      </c>
      <c r="DI631" s="1460">
        <f t="shared" ca="1" si="292"/>
        <v>0</v>
      </c>
      <c r="DJ631" s="909">
        <f>_xlfn.IFNA(INDEX('Resource use and costs'!$CQ$11:$CQ$53,MATCH($CZ631,'Resource use and costs'!$BA$11:$BA$53,0)),0)*_xlfn.IFNA(INDEX(DY$10:DY$23,MATCH($CZ631,$DX$10:$DX$23,0)),0)</f>
        <v>2860.9927072190476</v>
      </c>
      <c r="DK631" s="909">
        <f>IF(dd_PartSA_2_lines = "Yes",0,_xlfn.IFNA(INDEX('Resource use and costs'!$CR$11:$CR$53,MATCH(DA631,'Resource use and costs'!$BA$11:$BA$53,0)),0)*_xlfn.IFNA(INDEX(EA$10:EA$23,MATCH($DA631,$DX$10:$DX$23,0)),0))</f>
        <v>848.17532499999982</v>
      </c>
      <c r="DL631" s="909">
        <f>IF(dd_PartSA_2_lines = "Yes",0,_xlfn.IFNA(INDEX('Resource use and costs'!$CS$11:$CS$53,MATCH(DB631,'Resource use and costs'!$BA$11:$BA$53,0)),0)*_xlfn.IFNA(INDEX(EC$10:EC$23,MATCH($DB631,$DX$10:$DX$23,0)),0))</f>
        <v>18438.751749999999</v>
      </c>
      <c r="DM631" s="909">
        <f t="shared" si="297"/>
        <v>22147.919782219047</v>
      </c>
      <c r="DN631" s="909">
        <f>SUM(_xlfn.IFNA(INDEX('Resource use and costs'!$DU$12:$DU$25,MATCH(CZ631,'Resource use and costs'!$DS$12:$DS$25,0)),0),_xlfn.IFNA(INDEX('Resource use and costs'!$DU$12:$DU$25,MATCH(DA631,'Resource use and costs'!$DS$12:$DS$25,0)),0),_xlfn.IFNA(INDEX('Resource use and costs'!$DU$12:$DU$25,MATCH(DB631,'Resource use and costs'!$DS$12:$DS$25,0)),0))</f>
        <v>591.75</v>
      </c>
      <c r="DO631" s="921">
        <f>_xlfn.IFNA(INDEX('Resource use and costs'!$DY$12:$DY$25,MATCH(CZ631,'Resource use and costs'!$DS$12:$DS$25,0)),0)*_xlfn.IFNA(INDEX(DY$10:DY$23,MATCH($CZ631,$DX$10:$DX$23,0)),0)</f>
        <v>405.17019714285709</v>
      </c>
      <c r="DP631" s="921">
        <f>IF(dd_PartSA_2_lines = "Yes",0,_xlfn.IFNA(INDEX('Resource use and costs'!$DZ$12:$DZ$25,MATCH(DA631,'Resource use and costs'!$DS$12:$DS$25,0)),0)*_xlfn.IFNA(INDEX(EA$10:EA$23,MATCH($DA631,$DX$10:$DX$23,0)),0))</f>
        <v>74.50928571428571</v>
      </c>
      <c r="DQ631" s="921">
        <f>IF(dd_PartSA_2_lines = "Yes",0,_xlfn.IFNA(INDEX('Resource use and costs'!$EA$12:$EA$25,MATCH(DB631,'Resource use and costs'!$DS$12:$DS$25,0)),0)*_xlfn.IFNA(INDEX(EC$10:EC$23,MATCH($DB631,$DX$10:$DX$23,0)),0))</f>
        <v>230.68099999999998</v>
      </c>
      <c r="DR631" s="921">
        <f t="shared" si="298"/>
        <v>1302.1104828571429</v>
      </c>
      <c r="DS631" s="1004">
        <f ca="1">SUMIFS('Safety parameters'!$DM$6:$DM$18,'Safety parameters'!$DK$6:$DK$18,CZ631,'Safety parameters'!$DL$6:$DL$18,1)+IF(dd_PartSA_2_lines = "Yes",0,SUMIFS('Safety parameters'!$DM$6:$DM$18,'Safety parameters'!$DK$6:$DK$18,DA631,'Safety parameters'!$DL$6:$DL$18,2)+SUMIFS('Safety parameters'!$DM$6:$DM$18,'Safety parameters'!$DK$6:$DK$18,DB631,'Safety parameters'!$DL$6:$DL$18,2))</f>
        <v>2570.9174319407748</v>
      </c>
      <c r="DT631" s="910">
        <f ca="1">SUMIFS('Safety parameters'!$DO$6:$DO$18,'Safety parameters'!$DK$6:$DK$18,CZ631,'Safety parameters'!$DL$6:$DL$18,1)+IF(dd_PartSA_2_lines = "Yes",0,SUMIFS('Safety parameters'!$DO$6:$DO$18,'Safety parameters'!$DK$6:$DK$18,DA631,'Safety parameters'!$DL$6:$DL$18,2)+SUMIFS('Safety parameters'!$DO$6:$DO$18,'Safety parameters'!$DK$6:$DK$18,DB631,'Safety parameters'!$DL$6:$DL$18,2))</f>
        <v>-2.2835575572866581E-2</v>
      </c>
    </row>
    <row r="632" spans="89:124" ht="15" x14ac:dyDescent="0.2">
      <c r="CK632" s="61" t="s">
        <v>31</v>
      </c>
      <c r="CL632" s="61">
        <v>4</v>
      </c>
      <c r="CM632" s="61" t="str">
        <v>sunitinib</v>
      </c>
      <c r="CN632" s="17">
        <v>7</v>
      </c>
      <c r="CO632" s="61" t="str" cm="1">
        <f t="array" ref="CO632">INDEX(List_comparators,CP618+2)</f>
        <v>placebo_BSC</v>
      </c>
      <c r="CP632" s="17">
        <v>999</v>
      </c>
      <c r="CQ632" s="601">
        <f t="shared" ca="1" si="299"/>
        <v>0</v>
      </c>
      <c r="CR632" s="601">
        <f t="shared" ca="1" si="300"/>
        <v>0</v>
      </c>
      <c r="CS632" s="601">
        <f t="shared" ca="1" si="301"/>
        <v>0</v>
      </c>
      <c r="CT632" s="669">
        <f t="shared" ca="1" si="302"/>
        <v>0</v>
      </c>
      <c r="CU632" s="1123">
        <f>MATCH(CZ639,'Resource use and costs'!$BA$11:$BA$53,0)</f>
        <v>24</v>
      </c>
      <c r="CV632" s="1223"/>
      <c r="CW632" s="1241">
        <f t="shared" si="294"/>
        <v>1</v>
      </c>
      <c r="CX632" s="899" t="s">
        <v>794</v>
      </c>
      <c r="CY632" s="899" t="s">
        <v>118</v>
      </c>
      <c r="CZ632" s="899" t="s">
        <v>117</v>
      </c>
      <c r="DA632" s="899" t="s">
        <v>119</v>
      </c>
      <c r="DB632" s="899" t="s">
        <v>765</v>
      </c>
      <c r="DC632" s="899" cm="1">
        <f t="array" aca="1" ref="DC632" ca="1">_xlfn.IFNA(OFFSET($I$49,MATCH(CY632,$I$50:$I$63,0),MATCH(CZ632,TRANSPOSE($J$49:$W$49),0)),0)</f>
        <v>1.4897774790919952E-2</v>
      </c>
      <c r="DD632" s="899" cm="1">
        <f t="array" aca="1" ref="DD632" ca="1">_xlfn.IFNA(OFFSET($Y$49,MATCH($CZ632,$Y$50:$Y$63,0),MATCH($DA632,TRANSPOSE($Z$49:$AM$49),0)),0)</f>
        <v>0</v>
      </c>
      <c r="DE632" s="899" cm="1">
        <f t="array" aca="1" ref="DE632" ca="1">_xlfn.IFNA(OFFSET($AO$49,MATCH($DA632,$AO$50:$AO$63,0),MATCH($DB632,TRANSPOSE($AP$49:$BC$49),0)),0)</f>
        <v>1</v>
      </c>
      <c r="DF632" s="881">
        <f t="shared" ca="1" si="295"/>
        <v>0</v>
      </c>
      <c r="DG632" s="910">
        <f t="shared" ca="1" si="293"/>
        <v>1.0010447133454794</v>
      </c>
      <c r="DH632" s="881">
        <f t="shared" ca="1" si="296"/>
        <v>0</v>
      </c>
      <c r="DI632" s="1460">
        <f t="shared" ca="1" si="292"/>
        <v>0</v>
      </c>
      <c r="DJ632" s="909">
        <f>_xlfn.IFNA(INDEX('Resource use and costs'!$CQ$11:$CQ$53,MATCH($CZ632,'Resource use and costs'!$BA$11:$BA$53,0)),0)*_xlfn.IFNA(INDEX(DY$10:DY$23,MATCH($CZ632,$DX$10:$DX$23,0)),0)</f>
        <v>2860.9927072190476</v>
      </c>
      <c r="DK632" s="909">
        <f>IF(dd_PartSA_2_lines = "Yes",0,_xlfn.IFNA(INDEX('Resource use and costs'!$CR$11:$CR$53,MATCH(DA632,'Resource use and costs'!$BA$11:$BA$53,0)),0)*_xlfn.IFNA(INDEX(EA$10:EA$23,MATCH($DA632,$DX$10:$DX$23,0)),0))</f>
        <v>848.17532499999982</v>
      </c>
      <c r="DL632" s="909">
        <f>IF(dd_PartSA_2_lines = "Yes",0,_xlfn.IFNA(INDEX('Resource use and costs'!$CS$11:$CS$53,MATCH(DB632,'Resource use and costs'!$BA$11:$BA$53,0)),0)*_xlfn.IFNA(INDEX(EC$10:EC$23,MATCH($DB632,$DX$10:$DX$23,0)),0))</f>
        <v>0</v>
      </c>
      <c r="DM632" s="909">
        <f t="shared" si="297"/>
        <v>3709.1680322190473</v>
      </c>
      <c r="DN632" s="909">
        <f>SUM(_xlfn.IFNA(INDEX('Resource use and costs'!$DU$12:$DU$25,MATCH(CZ632,'Resource use and costs'!$DS$12:$DS$25,0)),0),_xlfn.IFNA(INDEX('Resource use and costs'!$DU$12:$DU$25,MATCH(DA632,'Resource use and costs'!$DS$12:$DS$25,0)),0),_xlfn.IFNA(INDEX('Resource use and costs'!$DU$12:$DU$25,MATCH(DB632,'Resource use and costs'!$DS$12:$DS$25,0)),0))</f>
        <v>394.5</v>
      </c>
      <c r="DO632" s="921">
        <f>_xlfn.IFNA(INDEX('Resource use and costs'!$DY$12:$DY$25,MATCH(CZ632,'Resource use and costs'!$DS$12:$DS$25,0)),0)*_xlfn.IFNA(INDEX(DY$10:DY$23,MATCH($CZ632,$DX$10:$DX$23,0)),0)</f>
        <v>405.17019714285709</v>
      </c>
      <c r="DP632" s="921">
        <f>IF(dd_PartSA_2_lines = "Yes",0,_xlfn.IFNA(INDEX('Resource use and costs'!$DZ$12:$DZ$25,MATCH(DA632,'Resource use and costs'!$DS$12:$DS$25,0)),0)*_xlfn.IFNA(INDEX(EA$10:EA$23,MATCH($DA632,$DX$10:$DX$23,0)),0))</f>
        <v>74.50928571428571</v>
      </c>
      <c r="DQ632" s="921">
        <f>IF(dd_PartSA_2_lines = "Yes",0,_xlfn.IFNA(INDEX('Resource use and costs'!$EA$12:$EA$25,MATCH(DB632,'Resource use and costs'!$DS$12:$DS$25,0)),0)*_xlfn.IFNA(INDEX(EC$10:EC$23,MATCH($DB632,$DX$10:$DX$23,0)),0))</f>
        <v>0</v>
      </c>
      <c r="DR632" s="921">
        <f t="shared" si="298"/>
        <v>874.17948285714283</v>
      </c>
      <c r="DS632" s="1004">
        <f ca="1">SUMIFS('Safety parameters'!$DM$6:$DM$18,'Safety parameters'!$DK$6:$DK$18,CZ632,'Safety parameters'!$DL$6:$DL$18,1)+IF(dd_PartSA_2_lines = "Yes",0,SUMIFS('Safety parameters'!$DM$6:$DM$18,'Safety parameters'!$DK$6:$DK$18,DA632,'Safety parameters'!$DL$6:$DL$18,2)+SUMIFS('Safety parameters'!$DM$6:$DM$18,'Safety parameters'!$DK$6:$DK$18,DB632,'Safety parameters'!$DL$6:$DL$18,2))</f>
        <v>936.68875837531493</v>
      </c>
      <c r="DT632" s="910">
        <f ca="1">SUMIFS('Safety parameters'!$DO$6:$DO$18,'Safety parameters'!$DK$6:$DK$18,CZ632,'Safety parameters'!$DL$6:$DL$18,1)+IF(dd_PartSA_2_lines = "Yes",0,SUMIFS('Safety parameters'!$DO$6:$DO$18,'Safety parameters'!$DK$6:$DK$18,DA632,'Safety parameters'!$DL$6:$DL$18,2)+SUMIFS('Safety parameters'!$DO$6:$DO$18,'Safety parameters'!$DK$6:$DK$18,DB632,'Safety parameters'!$DL$6:$DL$18,2))</f>
        <v>-8.0936515653851522E-3</v>
      </c>
    </row>
    <row r="633" spans="89:124" ht="15" x14ac:dyDescent="0.2">
      <c r="CK633" s="61" t="s">
        <v>31</v>
      </c>
      <c r="CL633" s="61">
        <v>4</v>
      </c>
      <c r="CM633" s="61" t="str">
        <v>cabozantinib</v>
      </c>
      <c r="CN633" s="17">
        <v>8</v>
      </c>
      <c r="CO633" s="61" t="str" cm="1">
        <f t="array" ref="CO633">INDEX(List_comparators,CP619+2)</f>
        <v>placebo_BSC</v>
      </c>
      <c r="CP633" s="17">
        <v>999</v>
      </c>
      <c r="CQ633" s="601">
        <f t="shared" ca="1" si="299"/>
        <v>0</v>
      </c>
      <c r="CR633" s="601">
        <f t="shared" ca="1" si="300"/>
        <v>0</v>
      </c>
      <c r="CS633" s="601">
        <f t="shared" ca="1" si="301"/>
        <v>0</v>
      </c>
      <c r="CT633" s="669">
        <f t="shared" ca="1" si="302"/>
        <v>0</v>
      </c>
      <c r="CU633" s="1123">
        <f>MATCH(CZ640,'Resource use and costs'!$BA$11:$BA$53,0)</f>
        <v>24</v>
      </c>
      <c r="CV633" s="1223"/>
      <c r="CW633" s="1241">
        <f t="shared" si="294"/>
        <v>1</v>
      </c>
      <c r="CX633" s="899" t="s">
        <v>794</v>
      </c>
      <c r="CY633" s="899" t="s">
        <v>118</v>
      </c>
      <c r="CZ633" s="899" t="s">
        <v>117</v>
      </c>
      <c r="DA633" s="899" t="s">
        <v>579</v>
      </c>
      <c r="DB633" s="899" t="s">
        <v>327</v>
      </c>
      <c r="DC633" s="899" cm="1">
        <f t="array" aca="1" ref="DC633" ca="1">_xlfn.IFNA(OFFSET($I$49,MATCH(CY633,$I$50:$I$63,0),MATCH(CZ633,TRANSPOSE($J$49:$W$49),0)),0)</f>
        <v>1.4897774790919952E-2</v>
      </c>
      <c r="DD633" s="899">
        <f ca="1">1-DD630-DD631-DD636</f>
        <v>0.61010000000000009</v>
      </c>
      <c r="DE633" s="899" cm="1">
        <f t="array" aca="1" ref="DE633" ca="1">_xlfn.IFNA(OFFSET($AO$49,MATCH($DA633,$AO$50:$AO$63,0),MATCH($DB633,TRANSPOSE($AP$49:$BC$49),0)),0)</f>
        <v>0.56859999999999999</v>
      </c>
      <c r="DF633" s="881">
        <f t="shared" ca="1" si="295"/>
        <v>5.1680806826060344E-3</v>
      </c>
      <c r="DG633" s="910">
        <f t="shared" ca="1" si="293"/>
        <v>1.0010447133454794</v>
      </c>
      <c r="DH633" s="881">
        <f t="shared" ca="1" si="296"/>
        <v>5.173479845465667E-3</v>
      </c>
      <c r="DI633" s="1460">
        <f t="shared" ca="1" si="292"/>
        <v>0.58977670238308599</v>
      </c>
      <c r="DJ633" s="909">
        <f>_xlfn.IFNA(INDEX('Resource use and costs'!$CQ$11:$CQ$53,MATCH($CZ633,'Resource use and costs'!$BA$11:$BA$53,0)),0)*_xlfn.IFNA(INDEX(DY$10:DY$23,MATCH($CZ633,$DX$10:$DX$23,0)),0)</f>
        <v>2860.9927072190476</v>
      </c>
      <c r="DK633" s="909">
        <f>IF(dd_PartSA_2_lines = "Yes",0,_xlfn.IFNA(INDEX('Resource use and costs'!$CR$11:$CR$53,MATCH(DA633,'Resource use and costs'!$BA$11:$BA$53,0)),0)*_xlfn.IFNA(INDEX(EA$10:EA$23,MATCH($DA633,$DX$10:$DX$23,0)),0))</f>
        <v>26054.50921</v>
      </c>
      <c r="DL633" s="909">
        <f>IF(dd_PartSA_2_lines = "Yes",0,_xlfn.IFNA(INDEX('Resource use and costs'!$CS$11:$CS$53,MATCH(DB633,'Resource use and costs'!$BA$11:$BA$53,0)),0)*_xlfn.IFNA(INDEX(EC$10:EC$23,MATCH($DB633,$DX$10:$DX$23,0)),0))</f>
        <v>18438.751749999999</v>
      </c>
      <c r="DM633" s="909">
        <f t="shared" si="297"/>
        <v>47354.253667219047</v>
      </c>
      <c r="DN633" s="909">
        <f>SUM(_xlfn.IFNA(INDEX('Resource use and costs'!$DU$12:$DU$25,MATCH(CZ633,'Resource use and costs'!$DS$12:$DS$25,0)),0),_xlfn.IFNA(INDEX('Resource use and costs'!$DU$12:$DU$25,MATCH(DA633,'Resource use and costs'!$DS$12:$DS$25,0)),0),_xlfn.IFNA(INDEX('Resource use and costs'!$DU$12:$DU$25,MATCH(DB633,'Resource use and costs'!$DS$12:$DS$25,0)),0))</f>
        <v>394.5</v>
      </c>
      <c r="DO633" s="921">
        <f>_xlfn.IFNA(INDEX('Resource use and costs'!$DY$12:$DY$25,MATCH(CZ633,'Resource use and costs'!$DS$12:$DS$25,0)),0)*_xlfn.IFNA(INDEX(DY$10:DY$23,MATCH($CZ633,$DX$10:$DX$23,0)),0)</f>
        <v>405.17019714285709</v>
      </c>
      <c r="DP633" s="921">
        <f>IF(dd_PartSA_2_lines = "Yes",0,_xlfn.IFNA(INDEX('Resource use and costs'!$DZ$12:$DZ$25,MATCH(DA633,'Resource use and costs'!$DS$12:$DS$25,0)),0)*_xlfn.IFNA(INDEX(EA$10:EA$23,MATCH($DA633,$DX$10:$DX$23,0)),0))</f>
        <v>4108.3597166</v>
      </c>
      <c r="DQ633" s="921">
        <f>IF(dd_PartSA_2_lines = "Yes",0,_xlfn.IFNA(INDEX('Resource use and costs'!$EA$12:$EA$25,MATCH(DB633,'Resource use and costs'!$DS$12:$DS$25,0)),0)*_xlfn.IFNA(INDEX(EC$10:EC$23,MATCH($DB633,$DX$10:$DX$23,0)),0))</f>
        <v>230.68099999999998</v>
      </c>
      <c r="DR633" s="921">
        <f t="shared" si="298"/>
        <v>5138.710913742857</v>
      </c>
      <c r="DS633" s="1004">
        <f ca="1">SUMIFS('Safety parameters'!$DM$6:$DM$18,'Safety parameters'!$DK$6:$DK$18,CZ633,'Safety parameters'!$DL$6:$DL$18,1)+IF(dd_PartSA_2_lines = "Yes",0,SUMIFS('Safety parameters'!$DM$6:$DM$18,'Safety parameters'!$DK$6:$DK$18,DA633,'Safety parameters'!$DL$6:$DL$18,2)+SUMIFS('Safety parameters'!$DM$6:$DM$18,'Safety parameters'!$DK$6:$DK$18,DB633,'Safety parameters'!$DL$6:$DL$18,2))</f>
        <v>2399.1757975558744</v>
      </c>
      <c r="DT633" s="910">
        <f ca="1">SUMIFS('Safety parameters'!$DO$6:$DO$18,'Safety parameters'!$DK$6:$DK$18,CZ633,'Safety parameters'!$DL$6:$DL$18,1)+IF(dd_PartSA_2_lines = "Yes",0,SUMIFS('Safety parameters'!$DO$6:$DO$18,'Safety parameters'!$DK$6:$DK$18,DA633,'Safety parameters'!$DL$6:$DL$18,2)+SUMIFS('Safety parameters'!$DO$6:$DO$18,'Safety parameters'!$DK$6:$DK$18,DB633,'Safety parameters'!$DL$6:$DL$18,2))</f>
        <v>-2.1765086233913648E-2</v>
      </c>
    </row>
    <row r="634" spans="89:124" ht="15" x14ac:dyDescent="0.2">
      <c r="CK634" s="61" t="s">
        <v>31</v>
      </c>
      <c r="CL634" s="61">
        <v>4</v>
      </c>
      <c r="CM634" s="61" t="str">
        <v>lenvatinib_plus_everolimus</v>
      </c>
      <c r="CN634" s="17">
        <v>9</v>
      </c>
      <c r="CO634" s="61" t="str" cm="1">
        <f t="array" ref="CO634">INDEX(List_comparators,CP620+2)</f>
        <v>placebo_BSC</v>
      </c>
      <c r="CP634" s="17">
        <v>999</v>
      </c>
      <c r="CQ634" s="601">
        <f t="shared" ca="1" si="299"/>
        <v>0</v>
      </c>
      <c r="CR634" s="601">
        <f t="shared" ca="1" si="300"/>
        <v>0</v>
      </c>
      <c r="CS634" s="601">
        <f t="shared" ca="1" si="301"/>
        <v>0</v>
      </c>
      <c r="CT634" s="669">
        <f t="shared" ca="1" si="302"/>
        <v>0</v>
      </c>
      <c r="CU634" s="1123">
        <f>MATCH(CZ641,'Resource use and costs'!$BA$11:$BA$53,0)</f>
        <v>24</v>
      </c>
      <c r="CV634" s="1223"/>
      <c r="CW634" s="1241">
        <f t="shared" si="294"/>
        <v>1</v>
      </c>
      <c r="CX634" s="899" t="s">
        <v>794</v>
      </c>
      <c r="CY634" s="899" t="s">
        <v>118</v>
      </c>
      <c r="CZ634" s="899" t="s">
        <v>117</v>
      </c>
      <c r="DA634" s="899" t="s">
        <v>579</v>
      </c>
      <c r="DB634" s="899" t="s">
        <v>765</v>
      </c>
      <c r="DC634" s="899" cm="1">
        <f t="array" aca="1" ref="DC634" ca="1">_xlfn.IFNA(OFFSET($I$49,MATCH(CY634,$I$50:$I$63,0),MATCH(CZ634,TRANSPOSE($J$49:$W$49),0)),0)</f>
        <v>1.4897774790919952E-2</v>
      </c>
      <c r="DD634" s="899">
        <f ca="1">DD633</f>
        <v>0.61010000000000009</v>
      </c>
      <c r="DE634" s="899" cm="1">
        <f t="array" aca="1" ref="DE634" ca="1">_xlfn.IFNA(OFFSET($AO$49,MATCH($DA634,$AO$50:$AO$63,0),MATCH($DB634,TRANSPOSE($AP$49:$BC$49),0)),0)</f>
        <v>0.43140000000000001</v>
      </c>
      <c r="DF634" s="881">
        <f t="shared" ca="1" si="295"/>
        <v>3.9210517173342303E-3</v>
      </c>
      <c r="DG634" s="910">
        <f t="shared" ca="1" si="293"/>
        <v>1.0010447133454794</v>
      </c>
      <c r="DH634" s="881">
        <f t="shared" ca="1" si="296"/>
        <v>3.9251480923916445E-3</v>
      </c>
      <c r="DI634" s="1460">
        <f t="shared" ca="1" si="292"/>
        <v>0.44746688253264749</v>
      </c>
      <c r="DJ634" s="909">
        <f>_xlfn.IFNA(INDEX('Resource use and costs'!$CQ$11:$CQ$53,MATCH($CZ634,'Resource use and costs'!$BA$11:$BA$53,0)),0)*_xlfn.IFNA(INDEX(DY$10:DY$23,MATCH($CZ634,$DX$10:$DX$23,0)),0)</f>
        <v>2860.9927072190476</v>
      </c>
      <c r="DK634" s="909">
        <f>IF(dd_PartSA_2_lines = "Yes",0,_xlfn.IFNA(INDEX('Resource use and costs'!$CR$11:$CR$53,MATCH(DA634,'Resource use and costs'!$BA$11:$BA$53,0)),0)*_xlfn.IFNA(INDEX(EA$10:EA$23,MATCH($DA634,$DX$10:$DX$23,0)),0))</f>
        <v>26054.50921</v>
      </c>
      <c r="DL634" s="909">
        <f>IF(dd_PartSA_2_lines = "Yes",0,_xlfn.IFNA(INDEX('Resource use and costs'!$CS$11:$CS$53,MATCH(DB634,'Resource use and costs'!$BA$11:$BA$53,0)),0)*_xlfn.IFNA(INDEX(EC$10:EC$23,MATCH($DB634,$DX$10:$DX$23,0)),0))</f>
        <v>0</v>
      </c>
      <c r="DM634" s="909">
        <f t="shared" si="297"/>
        <v>28915.501917219048</v>
      </c>
      <c r="DN634" s="909">
        <f>SUM(_xlfn.IFNA(INDEX('Resource use and costs'!$DU$12:$DU$25,MATCH(CZ634,'Resource use and costs'!$DS$12:$DS$25,0)),0),_xlfn.IFNA(INDEX('Resource use and costs'!$DU$12:$DU$25,MATCH(DA634,'Resource use and costs'!$DS$12:$DS$25,0)),0),_xlfn.IFNA(INDEX('Resource use and costs'!$DU$12:$DU$25,MATCH(DB634,'Resource use and costs'!$DS$12:$DS$25,0)),0))</f>
        <v>197.25</v>
      </c>
      <c r="DO634" s="921">
        <f>_xlfn.IFNA(INDEX('Resource use and costs'!$DY$12:$DY$25,MATCH(CZ634,'Resource use and costs'!$DS$12:$DS$25,0)),0)*_xlfn.IFNA(INDEX(DY$10:DY$23,MATCH($CZ634,$DX$10:$DX$23,0)),0)</f>
        <v>405.17019714285709</v>
      </c>
      <c r="DP634" s="921">
        <f>IF(dd_PartSA_2_lines = "Yes",0,_xlfn.IFNA(INDEX('Resource use and costs'!$DZ$12:$DZ$25,MATCH(DA634,'Resource use and costs'!$DS$12:$DS$25,0)),0)*_xlfn.IFNA(INDEX(EA$10:EA$23,MATCH($DA634,$DX$10:$DX$23,0)),0))</f>
        <v>4108.3597166</v>
      </c>
      <c r="DQ634" s="921">
        <f>IF(dd_PartSA_2_lines = "Yes",0,_xlfn.IFNA(INDEX('Resource use and costs'!$EA$12:$EA$25,MATCH(DB634,'Resource use and costs'!$DS$12:$DS$25,0)),0)*_xlfn.IFNA(INDEX(EC$10:EC$23,MATCH($DB634,$DX$10:$DX$23,0)),0))</f>
        <v>0</v>
      </c>
      <c r="DR634" s="921">
        <f t="shared" si="298"/>
        <v>4710.7799137428574</v>
      </c>
      <c r="DS634" s="1004">
        <f ca="1">SUMIFS('Safety parameters'!$DM$6:$DM$18,'Safety parameters'!$DK$6:$DK$18,CZ634,'Safety parameters'!$DL$6:$DL$18,1)+IF(dd_PartSA_2_lines = "Yes",0,SUMIFS('Safety parameters'!$DM$6:$DM$18,'Safety parameters'!$DK$6:$DK$18,DA634,'Safety parameters'!$DL$6:$DL$18,2)+SUMIFS('Safety parameters'!$DM$6:$DM$18,'Safety parameters'!$DK$6:$DK$18,DB634,'Safety parameters'!$DL$6:$DL$18,2))</f>
        <v>764.94712399041441</v>
      </c>
      <c r="DT634" s="910">
        <f ca="1">SUMIFS('Safety parameters'!$DO$6:$DO$18,'Safety parameters'!$DK$6:$DK$18,CZ634,'Safety parameters'!$DL$6:$DL$18,1)+IF(dd_PartSA_2_lines = "Yes",0,SUMIFS('Safety parameters'!$DO$6:$DO$18,'Safety parameters'!$DK$6:$DK$18,DA634,'Safety parameters'!$DL$6:$DL$18,2)+SUMIFS('Safety parameters'!$DO$6:$DO$18,'Safety parameters'!$DK$6:$DK$18,DB634,'Safety parameters'!$DL$6:$DL$18,2))</f>
        <v>-7.0231622264322188E-3</v>
      </c>
    </row>
    <row r="635" spans="89:124" ht="15" x14ac:dyDescent="0.2">
      <c r="CK635" s="61" t="s">
        <v>31</v>
      </c>
      <c r="CL635" s="61">
        <v>4</v>
      </c>
      <c r="CM635" s="61" t="str">
        <v>everolimus</v>
      </c>
      <c r="CN635" s="17">
        <v>10</v>
      </c>
      <c r="CO635" s="61" t="str" cm="1">
        <f t="array" ref="CO635">INDEX(List_comparators,CP621+2)</f>
        <v>placebo_BSC</v>
      </c>
      <c r="CP635" s="17">
        <v>999</v>
      </c>
      <c r="CQ635" s="601">
        <f t="shared" ref="CQ635:CQ638" ca="1" si="303">OFFSET($AP$50,IF(CN635=999,13,CN635),CP635)</f>
        <v>0</v>
      </c>
      <c r="CR635" s="601">
        <f t="shared" ca="1" si="300"/>
        <v>0</v>
      </c>
      <c r="CS635" s="601">
        <f t="shared" ca="1" si="301"/>
        <v>0</v>
      </c>
      <c r="CT635" s="669">
        <f t="shared" ca="1" si="302"/>
        <v>0</v>
      </c>
      <c r="CU635" s="1123">
        <f>MATCH(CZ642,'Resource use and costs'!$BA$11:$BA$53,0)</f>
        <v>24</v>
      </c>
      <c r="CV635" s="1223"/>
      <c r="CW635" s="1241">
        <f t="shared" si="294"/>
        <v>1</v>
      </c>
      <c r="CX635" s="899" t="s">
        <v>794</v>
      </c>
      <c r="CY635" s="899" t="s">
        <v>118</v>
      </c>
      <c r="CZ635" s="899" t="s">
        <v>117</v>
      </c>
      <c r="DA635" s="899" t="s">
        <v>579</v>
      </c>
      <c r="DB635" s="899" t="s">
        <v>119</v>
      </c>
      <c r="DC635" s="899" cm="1">
        <f t="array" aca="1" ref="DC635" ca="1">_xlfn.IFNA(OFFSET($I$49,MATCH(CY635,$I$50:$I$63,0),MATCH(CZ635,TRANSPOSE($J$49:$W$49),0)),0)</f>
        <v>1.4897774790919952E-2</v>
      </c>
      <c r="DD635" s="899">
        <f ca="1">DD634</f>
        <v>0.61010000000000009</v>
      </c>
      <c r="DE635" s="899" cm="1">
        <f t="array" aca="1" ref="DE635" ca="1">_xlfn.IFNA(OFFSET($AO$49,MATCH($DA635,$AO$50:$AO$63,0),MATCH($DB635,TRANSPOSE($AP$49:$BC$49),0)),0)</f>
        <v>0</v>
      </c>
      <c r="DF635" s="881">
        <f t="shared" ca="1" si="295"/>
        <v>0</v>
      </c>
      <c r="DG635" s="910">
        <f t="shared" ca="1" si="293"/>
        <v>1.0010447133454794</v>
      </c>
      <c r="DH635" s="881">
        <f t="shared" ca="1" si="296"/>
        <v>0</v>
      </c>
      <c r="DI635" s="1460">
        <f t="shared" ca="1" si="292"/>
        <v>0</v>
      </c>
      <c r="DJ635" s="909">
        <f>_xlfn.IFNA(INDEX('Resource use and costs'!$CQ$11:$CQ$53,MATCH($CZ635,'Resource use and costs'!$BA$11:$BA$53,0)),0)*_xlfn.IFNA(INDEX(DY$10:DY$23,MATCH($CZ635,$DX$10:$DX$23,0)),0)</f>
        <v>2860.9927072190476</v>
      </c>
      <c r="DK635" s="909">
        <f>IF(dd_PartSA_2_lines = "Yes",0,_xlfn.IFNA(INDEX('Resource use and costs'!$CR$11:$CR$53,MATCH(DA635,'Resource use and costs'!$BA$11:$BA$53,0)),0)*_xlfn.IFNA(INDEX(EA$10:EA$23,MATCH($DA635,$DX$10:$DX$23,0)),0))</f>
        <v>26054.50921</v>
      </c>
      <c r="DL635" s="909">
        <f>IF(dd_PartSA_2_lines = "Yes",0,_xlfn.IFNA(INDEX('Resource use and costs'!$CS$11:$CS$53,MATCH(DB635,'Resource use and costs'!$BA$11:$BA$53,0)),0)*_xlfn.IFNA(INDEX(EC$10:EC$23,MATCH($DB635,$DX$10:$DX$23,0)),0))</f>
        <v>2915.4763433333328</v>
      </c>
      <c r="DM635" s="909">
        <f t="shared" si="297"/>
        <v>31830.97826055238</v>
      </c>
      <c r="DN635" s="909">
        <f>SUM(_xlfn.IFNA(INDEX('Resource use and costs'!$DU$12:$DU$25,MATCH(CZ635,'Resource use and costs'!$DS$12:$DS$25,0)),0),_xlfn.IFNA(INDEX('Resource use and costs'!$DU$12:$DU$25,MATCH(DA635,'Resource use and costs'!$DS$12:$DS$25,0)),0),_xlfn.IFNA(INDEX('Resource use and costs'!$DU$12:$DU$25,MATCH(DB635,'Resource use and costs'!$DS$12:$DS$25,0)),0))</f>
        <v>394.5</v>
      </c>
      <c r="DO635" s="921">
        <f>_xlfn.IFNA(INDEX('Resource use and costs'!$DY$12:$DY$25,MATCH(CZ635,'Resource use and costs'!$DS$12:$DS$25,0)),0)*_xlfn.IFNA(INDEX(DY$10:DY$23,MATCH($CZ635,$DX$10:$DX$23,0)),0)</f>
        <v>405.17019714285709</v>
      </c>
      <c r="DP635" s="921">
        <f>IF(dd_PartSA_2_lines = "Yes",0,_xlfn.IFNA(INDEX('Resource use and costs'!$DZ$12:$DZ$25,MATCH(DA635,'Resource use and costs'!$DS$12:$DS$25,0)),0)*_xlfn.IFNA(INDEX(EA$10:EA$23,MATCH($DA635,$DX$10:$DX$23,0)),0))</f>
        <v>4108.3597166</v>
      </c>
      <c r="DQ635" s="921">
        <f>IF(dd_PartSA_2_lines = "Yes",0,_xlfn.IFNA(INDEX('Resource use and costs'!$EA$12:$EA$25,MATCH(DB635,'Resource use and costs'!$DS$12:$DS$25,0)),0)*_xlfn.IFNA(INDEX(EC$10:EC$23,MATCH($DB635,$DX$10:$DX$23,0)),0))</f>
        <v>256.11457142857142</v>
      </c>
      <c r="DR635" s="921">
        <f t="shared" si="298"/>
        <v>5164.1444851714286</v>
      </c>
      <c r="DS635" s="1004">
        <f ca="1">SUMIFS('Safety parameters'!$DM$6:$DM$18,'Safety parameters'!$DK$6:$DK$18,CZ635,'Safety parameters'!$DL$6:$DL$18,1)+IF(dd_PartSA_2_lines = "Yes",0,SUMIFS('Safety parameters'!$DM$6:$DM$18,'Safety parameters'!$DK$6:$DK$18,DA635,'Safety parameters'!$DL$6:$DL$18,2)+SUMIFS('Safety parameters'!$DM$6:$DM$18,'Safety parameters'!$DK$6:$DK$18,DB635,'Safety parameters'!$DL$6:$DL$18,2))</f>
        <v>1097.8225073657293</v>
      </c>
      <c r="DT635" s="910">
        <f ca="1">SUMIFS('Safety parameters'!$DO$6:$DO$18,'Safety parameters'!$DK$6:$DK$18,CZ635,'Safety parameters'!$DL$6:$DL$18,1)+IF(dd_PartSA_2_lines = "Yes",0,SUMIFS('Safety parameters'!$DO$6:$DO$18,'Safety parameters'!$DK$6:$DK$18,DA635,'Safety parameters'!$DL$6:$DL$18,2)+SUMIFS('Safety parameters'!$DO$6:$DO$18,'Safety parameters'!$DK$6:$DK$18,DB635,'Safety parameters'!$DL$6:$DL$18,2))</f>
        <v>-9.6907357630699378E-3</v>
      </c>
    </row>
    <row r="636" spans="89:124" ht="15" x14ac:dyDescent="0.2">
      <c r="CK636" s="61" t="s">
        <v>31</v>
      </c>
      <c r="CL636" s="61">
        <v>4</v>
      </c>
      <c r="CM636" s="61" t="str">
        <v>axitinib</v>
      </c>
      <c r="CN636" s="17">
        <v>11</v>
      </c>
      <c r="CO636" s="61" t="str" cm="1">
        <f t="array" ref="CO636">INDEX(List_comparators,CP622+2)</f>
        <v>placebo_BSC</v>
      </c>
      <c r="CP636" s="17">
        <v>999</v>
      </c>
      <c r="CQ636" s="601">
        <f t="shared" ca="1" si="303"/>
        <v>0</v>
      </c>
      <c r="CR636" s="601">
        <f t="shared" ca="1" si="300"/>
        <v>0</v>
      </c>
      <c r="CS636" s="601">
        <f t="shared" ca="1" si="301"/>
        <v>0</v>
      </c>
      <c r="CT636" s="669">
        <f t="shared" ca="1" si="302"/>
        <v>0</v>
      </c>
      <c r="CU636" s="1123">
        <f>MATCH(CZ643,'Resource use and costs'!$BA$11:$BA$53,0)</f>
        <v>24</v>
      </c>
      <c r="CV636" s="1223"/>
      <c r="CW636" s="1241">
        <f t="shared" si="294"/>
        <v>1</v>
      </c>
      <c r="CX636" s="899" t="s">
        <v>794</v>
      </c>
      <c r="CY636" s="899" t="s">
        <v>118</v>
      </c>
      <c r="CZ636" s="899" t="s">
        <v>319</v>
      </c>
      <c r="DA636" s="899" t="s">
        <v>327</v>
      </c>
      <c r="DB636" s="899" t="s">
        <v>765</v>
      </c>
      <c r="DC636" s="899" cm="1">
        <f t="array" aca="1" ref="DC636" ca="1">_xlfn.IFNA(OFFSET($I$49,MATCH(CY636,$I$50:$I$63,0),MATCH(CZ636,TRANSPOSE($J$49:$W$49),0)),0)</f>
        <v>0</v>
      </c>
      <c r="DD636" s="899" cm="1">
        <f t="array" aca="1" ref="DD636" ca="1">_xlfn.IFNA(OFFSET($Y$49,MATCH($CZ636,$Y$50:$Y$63,0),MATCH($DA636,TRANSPOSE($Z$49:$AM$49),0)),0)</f>
        <v>4.6899999999999997E-2</v>
      </c>
      <c r="DE636" s="899" cm="1">
        <f t="array" aca="1" ref="DE636" ca="1">_xlfn.IFNA(OFFSET($AO$49,MATCH($DA636,$AO$50:$AO$63,0),MATCH($DB636,TRANSPOSE($AP$49:$BC$49),0)),0)</f>
        <v>0.43140000000000001</v>
      </c>
      <c r="DF636" s="881">
        <f t="shared" ca="1" si="295"/>
        <v>0</v>
      </c>
      <c r="DG636" s="910">
        <f t="shared" ca="1" si="293"/>
        <v>1.0010447133454794</v>
      </c>
      <c r="DH636" s="881">
        <f t="shared" ca="1" si="296"/>
        <v>0</v>
      </c>
      <c r="DI636" s="1460">
        <f t="shared" ca="1" si="292"/>
        <v>0</v>
      </c>
      <c r="DJ636" s="909">
        <f>_xlfn.IFNA(INDEX('Resource use and costs'!$CQ$11:$CQ$53,MATCH($CZ636,'Resource use and costs'!$BA$11:$BA$53,0)),0)*_xlfn.IFNA(INDEX(DY$10:DY$23,MATCH($CZ636,$DX$10:$DX$23,0)),0)</f>
        <v>20680.612971428574</v>
      </c>
      <c r="DK636" s="909">
        <f>IF(dd_PartSA_2_lines = "Yes",0,_xlfn.IFNA(INDEX('Resource use and costs'!$CR$11:$CR$53,MATCH(DA636,'Resource use and costs'!$BA$11:$BA$53,0)),0)*_xlfn.IFNA(INDEX(EA$10:EA$23,MATCH($DA636,$DX$10:$DX$23,0)),0))</f>
        <v>21421.066008214286</v>
      </c>
      <c r="DL636" s="909">
        <f>IF(dd_PartSA_2_lines = "Yes",0,_xlfn.IFNA(INDEX('Resource use and costs'!$CS$11:$CS$53,MATCH(DB636,'Resource use and costs'!$BA$11:$BA$53,0)),0)*_xlfn.IFNA(INDEX(EC$10:EC$23,MATCH($DB636,$DX$10:$DX$23,0)),0))</f>
        <v>0</v>
      </c>
      <c r="DM636" s="909">
        <f t="shared" si="297"/>
        <v>42101.678979642864</v>
      </c>
      <c r="DN636" s="909">
        <f>SUM(_xlfn.IFNA(INDEX('Resource use and costs'!$DU$12:$DU$25,MATCH(CZ636,'Resource use and costs'!$DS$12:$DS$25,0)),0),_xlfn.IFNA(INDEX('Resource use and costs'!$DU$12:$DU$25,MATCH(DA636,'Resource use and costs'!$DS$12:$DS$25,0)),0),_xlfn.IFNA(INDEX('Resource use and costs'!$DU$12:$DU$25,MATCH(DB636,'Resource use and costs'!$DS$12:$DS$25,0)),0))</f>
        <v>394.5</v>
      </c>
      <c r="DO636" s="921">
        <f>_xlfn.IFNA(INDEX('Resource use and costs'!$DY$12:$DY$25,MATCH(CZ636,'Resource use and costs'!$DS$12:$DS$25,0)),0)*_xlfn.IFNA(INDEX(DY$10:DY$23,MATCH($CZ636,$DX$10:$DX$23,0)),0)</f>
        <v>443.44394285714293</v>
      </c>
      <c r="DP636" s="921">
        <f>IF(dd_PartSA_2_lines = "Yes",0,_xlfn.IFNA(INDEX('Resource use and costs'!$DZ$12:$DZ$25,MATCH(DA636,'Resource use and costs'!$DS$12:$DS$25,0)),0)*_xlfn.IFNA(INDEX(EA$10:EA$23,MATCH($DA636,$DX$10:$DX$23,0)),0))</f>
        <v>267.99172714285714</v>
      </c>
      <c r="DQ636" s="921">
        <f>IF(dd_PartSA_2_lines = "Yes",0,_xlfn.IFNA(INDEX('Resource use and costs'!$EA$12:$EA$25,MATCH(DB636,'Resource use and costs'!$DS$12:$DS$25,0)),0)*_xlfn.IFNA(INDEX(EC$10:EC$23,MATCH($DB636,$DX$10:$DX$23,0)),0))</f>
        <v>0</v>
      </c>
      <c r="DR636" s="921">
        <f t="shared" si="298"/>
        <v>1105.9356700000001</v>
      </c>
      <c r="DS636" s="1004">
        <f ca="1">SUMIFS('Safety parameters'!$DM$6:$DM$18,'Safety parameters'!$DK$6:$DK$18,CZ636,'Safety parameters'!$DL$6:$DL$18,1)+IF(dd_PartSA_2_lines = "Yes",0,SUMIFS('Safety parameters'!$DM$6:$DM$18,'Safety parameters'!$DK$6:$DK$18,DA636,'Safety parameters'!$DL$6:$DL$18,2)+SUMIFS('Safety parameters'!$DM$6:$DM$18,'Safety parameters'!$DK$6:$DK$18,DB636,'Safety parameters'!$DL$6:$DL$18,2))</f>
        <v>2042.1647262635129</v>
      </c>
      <c r="DT636" s="910">
        <f ca="1">SUMIFS('Safety parameters'!$DO$6:$DO$18,'Safety parameters'!$DK$6:$DK$18,CZ636,'Safety parameters'!$DL$6:$DL$18,1)+IF(dd_PartSA_2_lines = "Yes",0,SUMIFS('Safety parameters'!$DO$6:$DO$18,'Safety parameters'!$DK$6:$DK$18,DA636,'Safety parameters'!$DL$6:$DL$18,2)+SUMIFS('Safety parameters'!$DO$6:$DO$18,'Safety parameters'!$DK$6:$DK$18,DB636,'Safety parameters'!$DL$6:$DL$18,2))</f>
        <v>-1.8195878647800728E-2</v>
      </c>
    </row>
    <row r="637" spans="89:124" ht="15" x14ac:dyDescent="0.2">
      <c r="CK637" s="61" t="s">
        <v>31</v>
      </c>
      <c r="CL637" s="61">
        <v>4</v>
      </c>
      <c r="CM637" s="61" t="str">
        <v>sorafenib</v>
      </c>
      <c r="CN637" s="17">
        <v>12</v>
      </c>
      <c r="CO637" s="61" t="str" cm="1">
        <f t="array" ref="CO637">INDEX(List_comparators,CP623+2)</f>
        <v>placebo_BSC</v>
      </c>
      <c r="CP637" s="17">
        <v>999</v>
      </c>
      <c r="CQ637" s="601">
        <f t="shared" ca="1" si="303"/>
        <v>0</v>
      </c>
      <c r="CR637" s="601">
        <f t="shared" ca="1" si="300"/>
        <v>0</v>
      </c>
      <c r="CS637" s="601">
        <f t="shared" ca="1" si="301"/>
        <v>0</v>
      </c>
      <c r="CT637" s="669">
        <f t="shared" ca="1" si="302"/>
        <v>0</v>
      </c>
      <c r="CU637" s="1123">
        <f>MATCH(CZ644,'Resource use and costs'!$BA$11:$BA$53,0)</f>
        <v>40</v>
      </c>
      <c r="CV637" s="1223"/>
      <c r="CW637" s="1241">
        <f t="shared" si="294"/>
        <v>1</v>
      </c>
      <c r="CX637" s="899" t="s">
        <v>794</v>
      </c>
      <c r="CY637" s="899" t="s">
        <v>118</v>
      </c>
      <c r="CZ637" s="899" t="s">
        <v>319</v>
      </c>
      <c r="DA637" s="899" t="s">
        <v>327</v>
      </c>
      <c r="DB637" s="899" t="s">
        <v>119</v>
      </c>
      <c r="DC637" s="899" cm="1">
        <f t="array" aca="1" ref="DC637" ca="1">_xlfn.IFNA(OFFSET($I$49,MATCH(CY637,$I$50:$I$63,0),MATCH(CZ637,TRANSPOSE($J$49:$W$49),0)),0)</f>
        <v>0</v>
      </c>
      <c r="DD637" s="899" cm="1">
        <f t="array" aca="1" ref="DD637" ca="1">_xlfn.IFNA(OFFSET($Y$49,MATCH($CZ637,$Y$50:$Y$63,0),MATCH($DA637,TRANSPOSE($Z$49:$AM$49),0)),0)</f>
        <v>4.6899999999999997E-2</v>
      </c>
      <c r="DE637" s="899" cm="1">
        <f t="array" aca="1" ref="DE637" ca="1">_xlfn.IFNA(OFFSET($AO$49,MATCH($DA637,$AO$50:$AO$63,0),MATCH($DB637,TRANSPOSE($AP$49:$BC$49),0)),0)</f>
        <v>0.56859999999999999</v>
      </c>
      <c r="DF637" s="881">
        <f t="shared" ca="1" si="295"/>
        <v>0</v>
      </c>
      <c r="DG637" s="910">
        <f t="shared" ca="1" si="293"/>
        <v>1.0010447133454794</v>
      </c>
      <c r="DH637" s="881">
        <f t="shared" ca="1" si="296"/>
        <v>0</v>
      </c>
      <c r="DI637" s="1460">
        <f t="shared" ref="DI637:DI643" ca="1" si="304">114*DH637</f>
        <v>0</v>
      </c>
      <c r="DJ637" s="909">
        <f>_xlfn.IFNA(INDEX('Resource use and costs'!$CQ$11:$CQ$53,MATCH($CZ637,'Resource use and costs'!$BA$11:$BA$53,0)),0)*_xlfn.IFNA(INDEX(DY$10:DY$23,MATCH($CZ637,$DX$10:$DX$23,0)),0)</f>
        <v>20680.612971428574</v>
      </c>
      <c r="DK637" s="909">
        <f>IF(dd_PartSA_2_lines = "Yes",0,_xlfn.IFNA(INDEX('Resource use and costs'!$CR$11:$CR$53,MATCH(DA637,'Resource use and costs'!$BA$11:$BA$53,0)),0)*_xlfn.IFNA(INDEX(EA$10:EA$23,MATCH($DA637,$DX$10:$DX$23,0)),0))</f>
        <v>21421.066008214286</v>
      </c>
      <c r="DL637" s="909">
        <f>IF(dd_PartSA_2_lines = "Yes",0,_xlfn.IFNA(INDEX('Resource use and costs'!$CS$11:$CS$53,MATCH(DB637,'Resource use and costs'!$BA$11:$BA$53,0)),0)*_xlfn.IFNA(INDEX(EC$10:EC$23,MATCH($DB637,$DX$10:$DX$23,0)),0))</f>
        <v>2915.4763433333328</v>
      </c>
      <c r="DM637" s="909">
        <f t="shared" si="297"/>
        <v>45017.155322976199</v>
      </c>
      <c r="DN637" s="909">
        <f>SUM(_xlfn.IFNA(INDEX('Resource use and costs'!$DU$12:$DU$25,MATCH(CZ637,'Resource use and costs'!$DS$12:$DS$25,0)),0),_xlfn.IFNA(INDEX('Resource use and costs'!$DU$12:$DU$25,MATCH(DA637,'Resource use and costs'!$DS$12:$DS$25,0)),0),_xlfn.IFNA(INDEX('Resource use and costs'!$DU$12:$DU$25,MATCH(DB637,'Resource use and costs'!$DS$12:$DS$25,0)),0))</f>
        <v>591.75</v>
      </c>
      <c r="DO637" s="921">
        <f>_xlfn.IFNA(INDEX('Resource use and costs'!$DY$12:$DY$25,MATCH(CZ637,'Resource use and costs'!$DS$12:$DS$25,0)),0)*_xlfn.IFNA(INDEX(DY$10:DY$23,MATCH($CZ637,$DX$10:$DX$23,0)),0)</f>
        <v>443.44394285714293</v>
      </c>
      <c r="DP637" s="921">
        <f>IF(dd_PartSA_2_lines = "Yes",0,_xlfn.IFNA(INDEX('Resource use and costs'!$DZ$12:$DZ$25,MATCH(DA637,'Resource use and costs'!$DS$12:$DS$25,0)),0)*_xlfn.IFNA(INDEX(EA$10:EA$23,MATCH($DA637,$DX$10:$DX$23,0)),0))</f>
        <v>267.99172714285714</v>
      </c>
      <c r="DQ637" s="921">
        <f>IF(dd_PartSA_2_lines = "Yes",0,_xlfn.IFNA(INDEX('Resource use and costs'!$EA$12:$EA$25,MATCH(DB637,'Resource use and costs'!$DS$12:$DS$25,0)),0)*_xlfn.IFNA(INDEX(EC$10:EC$23,MATCH($DB637,$DX$10:$DX$23,0)),0))</f>
        <v>256.11457142857142</v>
      </c>
      <c r="DR637" s="921">
        <f t="shared" si="298"/>
        <v>1559.3002414285716</v>
      </c>
      <c r="DS637" s="1004">
        <f ca="1">SUMIFS('Safety parameters'!$DM$6:$DM$18,'Safety parameters'!$DK$6:$DK$18,CZ637,'Safety parameters'!$DL$6:$DL$18,1)+IF(dd_PartSA_2_lines = "Yes",0,SUMIFS('Safety parameters'!$DM$6:$DM$18,'Safety parameters'!$DK$6:$DK$18,DA637,'Safety parameters'!$DL$6:$DL$18,2)+SUMIFS('Safety parameters'!$DM$6:$DM$18,'Safety parameters'!$DK$6:$DK$18,DB637,'Safety parameters'!$DL$6:$DL$18,2))</f>
        <v>2375.0401096388277</v>
      </c>
      <c r="DT637" s="910">
        <f ca="1">SUMIFS('Safety parameters'!$DO$6:$DO$18,'Safety parameters'!$DK$6:$DK$18,CZ637,'Safety parameters'!$DL$6:$DL$18,1)+IF(dd_PartSA_2_lines = "Yes",0,SUMIFS('Safety parameters'!$DO$6:$DO$18,'Safety parameters'!$DK$6:$DK$18,DA637,'Safety parameters'!$DL$6:$DL$18,2)+SUMIFS('Safety parameters'!$DO$6:$DO$18,'Safety parameters'!$DK$6:$DK$18,DB637,'Safety parameters'!$DL$6:$DL$18,2))</f>
        <v>-2.0863452184438448E-2</v>
      </c>
    </row>
    <row r="638" spans="89:124" ht="15.75" thickBot="1" x14ac:dyDescent="0.25">
      <c r="CK638" s="506" t="s">
        <v>31</v>
      </c>
      <c r="CL638" s="506">
        <v>4</v>
      </c>
      <c r="CM638" s="506" t="str">
        <v>placebo_BSC</v>
      </c>
      <c r="CN638" s="19">
        <v>999</v>
      </c>
      <c r="CO638" s="506" t="str" cm="1">
        <f t="array" ref="CO638">INDEX(List_comparators,CP624+2)</f>
        <v>placebo_BSC</v>
      </c>
      <c r="CP638" s="19">
        <v>999</v>
      </c>
      <c r="CQ638" s="602">
        <f t="shared" ca="1" si="303"/>
        <v>0</v>
      </c>
      <c r="CR638" s="602">
        <f t="shared" ca="1" si="300"/>
        <v>0</v>
      </c>
      <c r="CS638" s="602">
        <f t="shared" ca="1" si="301"/>
        <v>0</v>
      </c>
      <c r="CT638" s="748">
        <f t="shared" ca="1" si="302"/>
        <v>0</v>
      </c>
      <c r="CU638" s="1123">
        <f>MATCH(CZ645,'Resource use and costs'!$BA$11:$BA$53,0)</f>
        <v>40</v>
      </c>
      <c r="CV638" s="1223"/>
      <c r="CW638" s="1241">
        <f t="shared" si="294"/>
        <v>1</v>
      </c>
      <c r="CX638" s="899" t="s">
        <v>794</v>
      </c>
      <c r="CY638" s="899" t="s">
        <v>118</v>
      </c>
      <c r="CZ638" s="899" t="s">
        <v>319</v>
      </c>
      <c r="DA638" s="899" t="s">
        <v>765</v>
      </c>
      <c r="DB638" s="899"/>
      <c r="DC638" s="899" cm="1">
        <f t="array" aca="1" ref="DC638" ca="1">_xlfn.IFNA(OFFSET($I$49,MATCH(CY638,$I$50:$I$63,0),MATCH(CZ638,TRANSPOSE($J$49:$W$49),0)),0)</f>
        <v>0</v>
      </c>
      <c r="DD638" s="899" cm="1">
        <f t="array" aca="1" ref="DD638" ca="1">_xlfn.IFNA(OFFSET($Y$49,MATCH($CZ638,$Y$50:$Y$63,0),MATCH($DA638,TRANSPOSE($Z$49:$AM$49),0)),0)</f>
        <v>0.34300000000000003</v>
      </c>
      <c r="DE638" s="899" cm="1">
        <f t="array" aca="1" ref="DE638" ca="1">_xlfn.IFNA(OFFSET($AO$49,MATCH($DA638,$AO$50:$AO$63,0),MATCH($DB638,TRANSPOSE($AP$49:$BC$49),0)),0)</f>
        <v>0</v>
      </c>
      <c r="DF638" s="881">
        <f t="shared" ca="1" si="295"/>
        <v>0</v>
      </c>
      <c r="DG638" s="910">
        <f t="shared" ca="1" si="293"/>
        <v>1.0010447133454794</v>
      </c>
      <c r="DH638" s="881">
        <f t="shared" ca="1" si="296"/>
        <v>0</v>
      </c>
      <c r="DI638" s="1460">
        <f t="shared" ca="1" si="304"/>
        <v>0</v>
      </c>
      <c r="DJ638" s="909">
        <f>_xlfn.IFNA(INDEX('Resource use and costs'!$CQ$11:$CQ$53,MATCH($CZ638,'Resource use and costs'!$BA$11:$BA$53,0)),0)*_xlfn.IFNA(INDEX(DY$10:DY$23,MATCH($CZ638,$DX$10:$DX$23,0)),0)</f>
        <v>20680.612971428574</v>
      </c>
      <c r="DK638" s="909">
        <f>IF(dd_PartSA_2_lines = "Yes",0,_xlfn.IFNA(INDEX('Resource use and costs'!$CR$11:$CR$53,MATCH(DA638,'Resource use and costs'!$BA$11:$BA$53,0)),0)*_xlfn.IFNA(INDEX(EA$10:EA$23,MATCH($DA638,$DX$10:$DX$23,0)),0))</f>
        <v>0</v>
      </c>
      <c r="DL638" s="909">
        <f>IF(dd_PartSA_2_lines = "Yes",0,_xlfn.IFNA(INDEX('Resource use and costs'!$CS$11:$CS$53,MATCH(DB638,'Resource use and costs'!$BA$11:$BA$53,0)),0)*_xlfn.IFNA(INDEX(EC$10:EC$23,MATCH($DB638,$DX$10:$DX$23,0)),0))</f>
        <v>0</v>
      </c>
      <c r="DM638" s="909">
        <f t="shared" si="297"/>
        <v>20680.612971428574</v>
      </c>
      <c r="DN638" s="909">
        <f>SUM(_xlfn.IFNA(INDEX('Resource use and costs'!$DU$12:$DU$25,MATCH(CZ638,'Resource use and costs'!$DS$12:$DS$25,0)),0),_xlfn.IFNA(INDEX('Resource use and costs'!$DU$12:$DU$25,MATCH(DA638,'Resource use and costs'!$DS$12:$DS$25,0)),0),_xlfn.IFNA(INDEX('Resource use and costs'!$DU$12:$DU$25,MATCH(DB638,'Resource use and costs'!$DS$12:$DS$25,0)),0))</f>
        <v>197.25</v>
      </c>
      <c r="DO638" s="921">
        <f>_xlfn.IFNA(INDEX('Resource use and costs'!$DY$12:$DY$25,MATCH(CZ638,'Resource use and costs'!$DS$12:$DS$25,0)),0)*_xlfn.IFNA(INDEX(DY$10:DY$23,MATCH($CZ638,$DX$10:$DX$23,0)),0)</f>
        <v>443.44394285714293</v>
      </c>
      <c r="DP638" s="921">
        <f>IF(dd_PartSA_2_lines = "Yes",0,_xlfn.IFNA(INDEX('Resource use and costs'!$DZ$12:$DZ$25,MATCH(DA638,'Resource use and costs'!$DS$12:$DS$25,0)),0)*_xlfn.IFNA(INDEX(EA$10:EA$23,MATCH($DA638,$DX$10:$DX$23,0)),0))</f>
        <v>0</v>
      </c>
      <c r="DQ638" s="921">
        <f>IF(dd_PartSA_2_lines = "Yes",0,_xlfn.IFNA(INDEX('Resource use and costs'!$EA$12:$EA$25,MATCH(DB638,'Resource use and costs'!$DS$12:$DS$25,0)),0)*_xlfn.IFNA(INDEX(EC$10:EC$23,MATCH($DB638,$DX$10:$DX$23,0)),0))</f>
        <v>0</v>
      </c>
      <c r="DR638" s="921">
        <f t="shared" si="298"/>
        <v>640.69394285714293</v>
      </c>
      <c r="DS638" s="1004">
        <f ca="1">SUMIFS('Safety parameters'!$DM$6:$DM$18,'Safety parameters'!$DK$6:$DK$18,CZ638,'Safety parameters'!$DL$6:$DL$18,1)+IF(dd_PartSA_2_lines = "Yes",0,SUMIFS('Safety parameters'!$DM$6:$DM$18,'Safety parameters'!$DK$6:$DK$18,DA638,'Safety parameters'!$DL$6:$DL$18,2)+SUMIFS('Safety parameters'!$DM$6:$DM$18,'Safety parameters'!$DK$6:$DK$18,DB638,'Safety parameters'!$DL$6:$DL$18,2))</f>
        <v>407.93605269805306</v>
      </c>
      <c r="DT638" s="910">
        <f ca="1">SUMIFS('Safety parameters'!$DO$6:$DO$18,'Safety parameters'!$DK$6:$DK$18,CZ638,'Safety parameters'!$DL$6:$DL$18,1)+IF(dd_PartSA_2_lines = "Yes",0,SUMIFS('Safety parameters'!$DO$6:$DO$18,'Safety parameters'!$DK$6:$DK$18,DA638,'Safety parameters'!$DL$6:$DL$18,2)+SUMIFS('Safety parameters'!$DO$6:$DO$18,'Safety parameters'!$DK$6:$DK$18,DB638,'Safety parameters'!$DL$6:$DL$18,2))</f>
        <v>-3.453954640319298E-3</v>
      </c>
    </row>
    <row r="639" spans="89:124" ht="15" x14ac:dyDescent="0.2">
      <c r="CK639" s="505" t="s">
        <v>31</v>
      </c>
      <c r="CL639" s="505">
        <v>5</v>
      </c>
      <c r="CM639" s="61" t="str" cm="1">
        <f t="array" ref="CM639:CM652">List_comparators</f>
        <v>nivolumab_monotherapy</v>
      </c>
      <c r="CN639" s="17">
        <v>0</v>
      </c>
      <c r="CO639" s="61" t="str" cm="1">
        <f t="array" ref="CO639">INDEX(List_comparators,CP611+2)</f>
        <v>placebo_BSC</v>
      </c>
      <c r="CP639" s="17">
        <v>999</v>
      </c>
      <c r="CQ639" s="603">
        <f t="shared" ref="CQ639:CQ652" ca="1" si="305">OFFSET($BF$50,IF(CN639=999,13,CN639),CP639)</f>
        <v>0</v>
      </c>
      <c r="CR639" s="603">
        <f t="shared" ref="CR639:CR652" ca="1" si="306">OFFSET($BF$65,IF(CN639=999,13,CN639),CP639)</f>
        <v>0</v>
      </c>
      <c r="CS639" s="603">
        <f t="shared" ref="CS639:CS652" ca="1" si="307">OFFSET($BS$81,IF(CN639=999,13,CN639),CP639)</f>
        <v>0</v>
      </c>
      <c r="CT639" s="669">
        <f t="shared" ref="CT639:CT652" ca="1" si="308">OFFSET($BS$97,IF(CN639=999,13,CN639),CP639)</f>
        <v>0</v>
      </c>
      <c r="CU639" s="1123">
        <f>MATCH(CZ646,'Resource use and costs'!$BA$11:$BA$53,0)</f>
        <v>40</v>
      </c>
      <c r="CV639" s="1223"/>
      <c r="CW639" s="1241">
        <f t="shared" si="294"/>
        <v>1</v>
      </c>
      <c r="CX639" s="899" t="s">
        <v>794</v>
      </c>
      <c r="CY639" s="899" t="s">
        <v>118</v>
      </c>
      <c r="CZ639" s="899" t="s">
        <v>319</v>
      </c>
      <c r="DA639" s="899" t="s">
        <v>119</v>
      </c>
      <c r="DB639" s="899" t="s">
        <v>327</v>
      </c>
      <c r="DC639" s="899" cm="1">
        <f t="array" aca="1" ref="DC639" ca="1">_xlfn.IFNA(OFFSET($I$49,MATCH(CY639,$I$50:$I$63,0),MATCH(CZ639,TRANSPOSE($J$49:$W$49),0)),0)</f>
        <v>0</v>
      </c>
      <c r="DD639" s="899" cm="1">
        <f t="array" aca="1" ref="DD639" ca="1">_xlfn.IFNA(OFFSET($Y$49,MATCH($CZ639,$Y$50:$Y$63,0),MATCH($DA639,TRANSPOSE($Z$49:$AM$49),0)),0)</f>
        <v>4.6899999999999997E-2</v>
      </c>
      <c r="DE639" s="899" cm="1">
        <f t="array" aca="1" ref="DE639" ca="1">_xlfn.IFNA(OFFSET($AO$49,MATCH($DA639,$AO$50:$AO$63,0),MATCH($DB639,TRANSPOSE($AP$49:$BC$49),0)),0)</f>
        <v>0</v>
      </c>
      <c r="DF639" s="881">
        <f t="shared" ca="1" si="295"/>
        <v>0</v>
      </c>
      <c r="DG639" s="910">
        <f t="shared" ca="1" si="293"/>
        <v>1.0010447133454794</v>
      </c>
      <c r="DH639" s="881">
        <f t="shared" ca="1" si="296"/>
        <v>0</v>
      </c>
      <c r="DI639" s="1460">
        <f t="shared" ca="1" si="304"/>
        <v>0</v>
      </c>
      <c r="DJ639" s="909">
        <f>_xlfn.IFNA(INDEX('Resource use and costs'!$CQ$11:$CQ$53,MATCH($CZ639,'Resource use and costs'!$BA$11:$BA$53,0)),0)*_xlfn.IFNA(INDEX(DY$10:DY$23,MATCH($CZ639,$DX$10:$DX$23,0)),0)</f>
        <v>20680.612971428574</v>
      </c>
      <c r="DK639" s="909">
        <f>IF(dd_PartSA_2_lines = "Yes",0,_xlfn.IFNA(INDEX('Resource use and costs'!$CR$11:$CR$53,MATCH(DA639,'Resource use and costs'!$BA$11:$BA$53,0)),0)*_xlfn.IFNA(INDEX(EA$10:EA$23,MATCH($DA639,$DX$10:$DX$23,0)),0))</f>
        <v>848.17532499999982</v>
      </c>
      <c r="DL639" s="909">
        <f>IF(dd_PartSA_2_lines = "Yes",0,_xlfn.IFNA(INDEX('Resource use and costs'!$CS$11:$CS$53,MATCH(DB639,'Resource use and costs'!$BA$11:$BA$53,0)),0)*_xlfn.IFNA(INDEX(EC$10:EC$23,MATCH($DB639,$DX$10:$DX$23,0)),0))</f>
        <v>18438.751749999999</v>
      </c>
      <c r="DM639" s="909">
        <f t="shared" si="297"/>
        <v>39967.540046428578</v>
      </c>
      <c r="DN639" s="909">
        <f>SUM(_xlfn.IFNA(INDEX('Resource use and costs'!$DU$12:$DU$25,MATCH(CZ639,'Resource use and costs'!$DS$12:$DS$25,0)),0),_xlfn.IFNA(INDEX('Resource use and costs'!$DU$12:$DU$25,MATCH(DA639,'Resource use and costs'!$DS$12:$DS$25,0)),0),_xlfn.IFNA(INDEX('Resource use and costs'!$DU$12:$DU$25,MATCH(DB639,'Resource use and costs'!$DS$12:$DS$25,0)),0))</f>
        <v>591.75</v>
      </c>
      <c r="DO639" s="921">
        <f>_xlfn.IFNA(INDEX('Resource use and costs'!$DY$12:$DY$25,MATCH(CZ639,'Resource use and costs'!$DS$12:$DS$25,0)),0)*_xlfn.IFNA(INDEX(DY$10:DY$23,MATCH($CZ639,$DX$10:$DX$23,0)),0)</f>
        <v>443.44394285714293</v>
      </c>
      <c r="DP639" s="921">
        <f>IF(dd_PartSA_2_lines = "Yes",0,_xlfn.IFNA(INDEX('Resource use and costs'!$DZ$12:$DZ$25,MATCH(DA639,'Resource use and costs'!$DS$12:$DS$25,0)),0)*_xlfn.IFNA(INDEX(EA$10:EA$23,MATCH($DA639,$DX$10:$DX$23,0)),0))</f>
        <v>74.50928571428571</v>
      </c>
      <c r="DQ639" s="921">
        <f>IF(dd_PartSA_2_lines = "Yes",0,_xlfn.IFNA(INDEX('Resource use and costs'!$EA$12:$EA$25,MATCH(DB639,'Resource use and costs'!$DS$12:$DS$25,0)),0)*_xlfn.IFNA(INDEX(EC$10:EC$23,MATCH($DB639,$DX$10:$DX$23,0)),0))</f>
        <v>230.68099999999998</v>
      </c>
      <c r="DR639" s="921">
        <f t="shared" si="298"/>
        <v>1340.3842285714286</v>
      </c>
      <c r="DS639" s="1004">
        <f ca="1">SUMIFS('Safety parameters'!$DM$6:$DM$18,'Safety parameters'!$DK$6:$DK$18,CZ639,'Safety parameters'!$DL$6:$DL$18,1)+IF(dd_PartSA_2_lines = "Yes",0,SUMIFS('Safety parameters'!$DM$6:$DM$18,'Safety parameters'!$DK$6:$DK$18,DA639,'Safety parameters'!$DL$6:$DL$18,2)+SUMIFS('Safety parameters'!$DM$6:$DM$18,'Safety parameters'!$DK$6:$DK$18,DB639,'Safety parameters'!$DL$6:$DL$18,2))</f>
        <v>2375.0401096388277</v>
      </c>
      <c r="DT639" s="910">
        <f ca="1">SUMIFS('Safety parameters'!$DO$6:$DO$18,'Safety parameters'!$DK$6:$DK$18,CZ639,'Safety parameters'!$DL$6:$DL$18,1)+IF(dd_PartSA_2_lines = "Yes",0,SUMIFS('Safety parameters'!$DO$6:$DO$18,'Safety parameters'!$DK$6:$DK$18,DA639,'Safety parameters'!$DL$6:$DL$18,2)+SUMIFS('Safety parameters'!$DO$6:$DO$18,'Safety parameters'!$DK$6:$DK$18,DB639,'Safety parameters'!$DL$6:$DL$18,2))</f>
        <v>-2.0863452184438448E-2</v>
      </c>
    </row>
    <row r="640" spans="89:124" ht="15" x14ac:dyDescent="0.2">
      <c r="CK640" s="61" t="s">
        <v>31</v>
      </c>
      <c r="CL640" s="61">
        <v>5</v>
      </c>
      <c r="CM640" s="61" t="str">
        <v>cabozantinib_plus_nivolumab</v>
      </c>
      <c r="CN640" s="17">
        <v>1</v>
      </c>
      <c r="CO640" s="61" t="str" cm="1">
        <f t="array" ref="CO640">INDEX(List_comparators,CP612+2)</f>
        <v>placebo_BSC</v>
      </c>
      <c r="CP640" s="17">
        <v>999</v>
      </c>
      <c r="CQ640" s="601">
        <f t="shared" ca="1" si="305"/>
        <v>0</v>
      </c>
      <c r="CR640" s="601">
        <f t="shared" ca="1" si="306"/>
        <v>0</v>
      </c>
      <c r="CS640" s="603">
        <f t="shared" ca="1" si="307"/>
        <v>0</v>
      </c>
      <c r="CT640" s="669">
        <f t="shared" ca="1" si="308"/>
        <v>0</v>
      </c>
      <c r="CU640" s="1123">
        <f>MATCH(CZ647,'Resource use and costs'!$BA$11:$BA$53,0)</f>
        <v>40</v>
      </c>
      <c r="CV640" s="1223"/>
      <c r="CW640" s="1241">
        <f t="shared" si="294"/>
        <v>1</v>
      </c>
      <c r="CX640" s="899" t="s">
        <v>794</v>
      </c>
      <c r="CY640" s="899" t="s">
        <v>118</v>
      </c>
      <c r="CZ640" s="899" t="s">
        <v>319</v>
      </c>
      <c r="DA640" s="899" t="s">
        <v>119</v>
      </c>
      <c r="DB640" s="899" t="s">
        <v>765</v>
      </c>
      <c r="DC640" s="899" cm="1">
        <f t="array" aca="1" ref="DC640" ca="1">_xlfn.IFNA(OFFSET($I$49,MATCH(CY640,$I$50:$I$63,0),MATCH(CZ640,TRANSPOSE($J$49:$W$49),0)),0)</f>
        <v>0</v>
      </c>
      <c r="DD640" s="899" cm="1">
        <f t="array" aca="1" ref="DD640" ca="1">_xlfn.IFNA(OFFSET($Y$49,MATCH($CZ640,$Y$50:$Y$63,0),MATCH($DA640,TRANSPOSE($Z$49:$AM$49),0)),0)</f>
        <v>4.6899999999999997E-2</v>
      </c>
      <c r="DE640" s="899" cm="1">
        <f t="array" aca="1" ref="DE640" ca="1">_xlfn.IFNA(OFFSET($AO$49,MATCH($DA640,$AO$50:$AO$63,0),MATCH($DB640,TRANSPOSE($AP$49:$BC$49),0)),0)</f>
        <v>1</v>
      </c>
      <c r="DF640" s="881">
        <f t="shared" ca="1" si="295"/>
        <v>0</v>
      </c>
      <c r="DG640" s="910">
        <f t="shared" ca="1" si="293"/>
        <v>1.0010447133454794</v>
      </c>
      <c r="DH640" s="881">
        <f t="shared" ca="1" si="296"/>
        <v>0</v>
      </c>
      <c r="DI640" s="1460">
        <f t="shared" ca="1" si="304"/>
        <v>0</v>
      </c>
      <c r="DJ640" s="909">
        <f>_xlfn.IFNA(INDEX('Resource use and costs'!$CQ$11:$CQ$53,MATCH($CZ640,'Resource use and costs'!$BA$11:$BA$53,0)),0)*_xlfn.IFNA(INDEX(DY$10:DY$23,MATCH($CZ640,$DX$10:$DX$23,0)),0)</f>
        <v>20680.612971428574</v>
      </c>
      <c r="DK640" s="909">
        <f>IF(dd_PartSA_2_lines = "Yes",0,_xlfn.IFNA(INDEX('Resource use and costs'!$CR$11:$CR$53,MATCH(DA640,'Resource use and costs'!$BA$11:$BA$53,0)),0)*_xlfn.IFNA(INDEX(EA$10:EA$23,MATCH($DA640,$DX$10:$DX$23,0)),0))</f>
        <v>848.17532499999982</v>
      </c>
      <c r="DL640" s="909">
        <f>IF(dd_PartSA_2_lines = "Yes",0,_xlfn.IFNA(INDEX('Resource use and costs'!$CS$11:$CS$53,MATCH(DB640,'Resource use and costs'!$BA$11:$BA$53,0)),0)*_xlfn.IFNA(INDEX(EC$10:EC$23,MATCH($DB640,$DX$10:$DX$23,0)),0))</f>
        <v>0</v>
      </c>
      <c r="DM640" s="909">
        <f t="shared" si="297"/>
        <v>21528.788296428575</v>
      </c>
      <c r="DN640" s="909">
        <f>SUM(_xlfn.IFNA(INDEX('Resource use and costs'!$DU$12:$DU$25,MATCH(CZ640,'Resource use and costs'!$DS$12:$DS$25,0)),0),_xlfn.IFNA(INDEX('Resource use and costs'!$DU$12:$DU$25,MATCH(DA640,'Resource use and costs'!$DS$12:$DS$25,0)),0),_xlfn.IFNA(INDEX('Resource use and costs'!$DU$12:$DU$25,MATCH(DB640,'Resource use and costs'!$DS$12:$DS$25,0)),0))</f>
        <v>394.5</v>
      </c>
      <c r="DO640" s="921">
        <f>_xlfn.IFNA(INDEX('Resource use and costs'!$DY$12:$DY$25,MATCH(CZ640,'Resource use and costs'!$DS$12:$DS$25,0)),0)*_xlfn.IFNA(INDEX(DY$10:DY$23,MATCH($CZ640,$DX$10:$DX$23,0)),0)</f>
        <v>443.44394285714293</v>
      </c>
      <c r="DP640" s="921">
        <f>IF(dd_PartSA_2_lines = "Yes",0,_xlfn.IFNA(INDEX('Resource use and costs'!$DZ$12:$DZ$25,MATCH(DA640,'Resource use and costs'!$DS$12:$DS$25,0)),0)*_xlfn.IFNA(INDEX(EA$10:EA$23,MATCH($DA640,$DX$10:$DX$23,0)),0))</f>
        <v>74.50928571428571</v>
      </c>
      <c r="DQ640" s="921">
        <f>IF(dd_PartSA_2_lines = "Yes",0,_xlfn.IFNA(INDEX('Resource use and costs'!$EA$12:$EA$25,MATCH(DB640,'Resource use and costs'!$DS$12:$DS$25,0)),0)*_xlfn.IFNA(INDEX(EC$10:EC$23,MATCH($DB640,$DX$10:$DX$23,0)),0))</f>
        <v>0</v>
      </c>
      <c r="DR640" s="921">
        <f t="shared" si="298"/>
        <v>912.45322857142867</v>
      </c>
      <c r="DS640" s="1004">
        <f ca="1">SUMIFS('Safety parameters'!$DM$6:$DM$18,'Safety parameters'!$DK$6:$DK$18,CZ640,'Safety parameters'!$DL$6:$DL$18,1)+IF(dd_PartSA_2_lines = "Yes",0,SUMIFS('Safety parameters'!$DM$6:$DM$18,'Safety parameters'!$DK$6:$DK$18,DA640,'Safety parameters'!$DL$6:$DL$18,2)+SUMIFS('Safety parameters'!$DM$6:$DM$18,'Safety parameters'!$DK$6:$DK$18,DB640,'Safety parameters'!$DL$6:$DL$18,2))</f>
        <v>740.81143607336799</v>
      </c>
      <c r="DT640" s="910">
        <f ca="1">SUMIFS('Safety parameters'!$DO$6:$DO$18,'Safety parameters'!$DK$6:$DK$18,CZ640,'Safety parameters'!$DL$6:$DL$18,1)+IF(dd_PartSA_2_lines = "Yes",0,SUMIFS('Safety parameters'!$DO$6:$DO$18,'Safety parameters'!$DK$6:$DK$18,DA640,'Safety parameters'!$DL$6:$DL$18,2)+SUMIFS('Safety parameters'!$DO$6:$DO$18,'Safety parameters'!$DK$6:$DK$18,DB640,'Safety parameters'!$DL$6:$DL$18,2))</f>
        <v>-6.1215281769570178E-3</v>
      </c>
    </row>
    <row r="641" spans="89:124" ht="15" x14ac:dyDescent="0.2">
      <c r="CK641" s="61" t="s">
        <v>31</v>
      </c>
      <c r="CL641" s="61">
        <v>5</v>
      </c>
      <c r="CM641" s="61" t="str">
        <v>nivolumab_plus_ipilimumab</v>
      </c>
      <c r="CN641" s="17">
        <v>2</v>
      </c>
      <c r="CO641" s="61" t="str" cm="1">
        <f t="array" ref="CO641">INDEX(List_comparators,CP613+2)</f>
        <v>placebo_BSC</v>
      </c>
      <c r="CP641" s="17">
        <v>999</v>
      </c>
      <c r="CQ641" s="601">
        <f t="shared" ca="1" si="305"/>
        <v>0</v>
      </c>
      <c r="CR641" s="601">
        <f t="shared" ca="1" si="306"/>
        <v>0</v>
      </c>
      <c r="CS641" s="603">
        <f t="shared" ca="1" si="307"/>
        <v>0</v>
      </c>
      <c r="CT641" s="669">
        <f t="shared" ca="1" si="308"/>
        <v>0</v>
      </c>
      <c r="CU641" s="1123">
        <f>MATCH(CZ648,'Resource use and costs'!$BA$11:$BA$53,0)</f>
        <v>40</v>
      </c>
      <c r="CV641" s="1223"/>
      <c r="CW641" s="1241">
        <f t="shared" si="294"/>
        <v>1</v>
      </c>
      <c r="CX641" s="899" t="s">
        <v>794</v>
      </c>
      <c r="CY641" s="899" t="s">
        <v>118</v>
      </c>
      <c r="CZ641" s="899" t="s">
        <v>319</v>
      </c>
      <c r="DA641" s="899" t="s">
        <v>579</v>
      </c>
      <c r="DB641" s="899" t="s">
        <v>327</v>
      </c>
      <c r="DC641" s="899" cm="1">
        <f t="array" aca="1" ref="DC641" ca="1">_xlfn.IFNA(OFFSET($I$49,MATCH(CY641,$I$50:$I$63,0),MATCH(CZ641,TRANSPOSE($J$49:$W$49),0)),0)</f>
        <v>0</v>
      </c>
      <c r="DD641" s="899">
        <f ca="1">1-DD636-DD638-DD639</f>
        <v>0.56320000000000014</v>
      </c>
      <c r="DE641" s="899" cm="1">
        <f t="array" aca="1" ref="DE641" ca="1">_xlfn.IFNA(OFFSET($AO$49,MATCH($DA641,$AO$50:$AO$63,0),MATCH($DB641,TRANSPOSE($AP$49:$BC$49),0)),0)</f>
        <v>0.56859999999999999</v>
      </c>
      <c r="DF641" s="881">
        <f t="shared" ca="1" si="295"/>
        <v>0</v>
      </c>
      <c r="DG641" s="910">
        <f t="shared" ca="1" si="293"/>
        <v>1.0010447133454794</v>
      </c>
      <c r="DH641" s="881">
        <f t="shared" ca="1" si="296"/>
        <v>0</v>
      </c>
      <c r="DI641" s="1460">
        <f t="shared" ca="1" si="304"/>
        <v>0</v>
      </c>
      <c r="DJ641" s="909">
        <f>_xlfn.IFNA(INDEX('Resource use and costs'!$CQ$11:$CQ$53,MATCH($CZ641,'Resource use and costs'!$BA$11:$BA$53,0)),0)*_xlfn.IFNA(INDEX(DY$10:DY$23,MATCH($CZ641,$DX$10:$DX$23,0)),0)</f>
        <v>20680.612971428574</v>
      </c>
      <c r="DK641" s="909">
        <f>IF(dd_PartSA_2_lines = "Yes",0,_xlfn.IFNA(INDEX('Resource use and costs'!$CR$11:$CR$53,MATCH(DA641,'Resource use and costs'!$BA$11:$BA$53,0)),0)*_xlfn.IFNA(INDEX(EA$10:EA$23,MATCH($DA641,$DX$10:$DX$23,0)),0))</f>
        <v>26054.50921</v>
      </c>
      <c r="DL641" s="909">
        <f>IF(dd_PartSA_2_lines = "Yes",0,_xlfn.IFNA(INDEX('Resource use and costs'!$CS$11:$CS$53,MATCH(DB641,'Resource use and costs'!$BA$11:$BA$53,0)),0)*_xlfn.IFNA(INDEX(EC$10:EC$23,MATCH($DB641,$DX$10:$DX$23,0)),0))</f>
        <v>18438.751749999999</v>
      </c>
      <c r="DM641" s="909">
        <f t="shared" si="297"/>
        <v>65173.873931428578</v>
      </c>
      <c r="DN641" s="909">
        <f>SUM(_xlfn.IFNA(INDEX('Resource use and costs'!$DU$12:$DU$25,MATCH(CZ641,'Resource use and costs'!$DS$12:$DS$25,0)),0),_xlfn.IFNA(INDEX('Resource use and costs'!$DU$12:$DU$25,MATCH(DA641,'Resource use and costs'!$DS$12:$DS$25,0)),0),_xlfn.IFNA(INDEX('Resource use and costs'!$DU$12:$DU$25,MATCH(DB641,'Resource use and costs'!$DS$12:$DS$25,0)),0))</f>
        <v>394.5</v>
      </c>
      <c r="DO641" s="921">
        <f>_xlfn.IFNA(INDEX('Resource use and costs'!$DY$12:$DY$25,MATCH(CZ641,'Resource use and costs'!$DS$12:$DS$25,0)),0)*_xlfn.IFNA(INDEX(DY$10:DY$23,MATCH($CZ641,$DX$10:$DX$23,0)),0)</f>
        <v>443.44394285714293</v>
      </c>
      <c r="DP641" s="921">
        <f>IF(dd_PartSA_2_lines = "Yes",0,_xlfn.IFNA(INDEX('Resource use and costs'!$DZ$12:$DZ$25,MATCH(DA641,'Resource use and costs'!$DS$12:$DS$25,0)),0)*_xlfn.IFNA(INDEX(EA$10:EA$23,MATCH($DA641,$DX$10:$DX$23,0)),0))</f>
        <v>4108.3597166</v>
      </c>
      <c r="DQ641" s="921">
        <f>IF(dd_PartSA_2_lines = "Yes",0,_xlfn.IFNA(INDEX('Resource use and costs'!$EA$12:$EA$25,MATCH(DB641,'Resource use and costs'!$DS$12:$DS$25,0)),0)*_xlfn.IFNA(INDEX(EC$10:EC$23,MATCH($DB641,$DX$10:$DX$23,0)),0))</f>
        <v>230.68099999999998</v>
      </c>
      <c r="DR641" s="921">
        <f t="shared" si="298"/>
        <v>5176.9846594571427</v>
      </c>
      <c r="DS641" s="1004">
        <f ca="1">SUMIFS('Safety parameters'!$DM$6:$DM$18,'Safety parameters'!$DK$6:$DK$18,CZ641,'Safety parameters'!$DL$6:$DL$18,1)+IF(dd_PartSA_2_lines = "Yes",0,SUMIFS('Safety parameters'!$DM$6:$DM$18,'Safety parameters'!$DK$6:$DK$18,DA641,'Safety parameters'!$DL$6:$DL$18,2)+SUMIFS('Safety parameters'!$DM$6:$DM$18,'Safety parameters'!$DK$6:$DK$18,DB641,'Safety parameters'!$DL$6:$DL$18,2))</f>
        <v>2203.2984752539273</v>
      </c>
      <c r="DT641" s="910">
        <f ca="1">SUMIFS('Safety parameters'!$DO$6:$DO$18,'Safety parameters'!$DK$6:$DK$18,CZ641,'Safety parameters'!$DL$6:$DL$18,1)+IF(dd_PartSA_2_lines = "Yes",0,SUMIFS('Safety parameters'!$DO$6:$DO$18,'Safety parameters'!$DK$6:$DK$18,DA641,'Safety parameters'!$DL$6:$DL$18,2)+SUMIFS('Safety parameters'!$DO$6:$DO$18,'Safety parameters'!$DK$6:$DK$18,DB641,'Safety parameters'!$DL$6:$DL$18,2))</f>
        <v>-1.9792962845485512E-2</v>
      </c>
    </row>
    <row r="642" spans="89:124" ht="15" x14ac:dyDescent="0.2">
      <c r="CK642" s="61" t="s">
        <v>31</v>
      </c>
      <c r="CL642" s="61">
        <v>5</v>
      </c>
      <c r="CM642" s="61" t="str">
        <v>lenvatinib_plus_pembrolizumab</v>
      </c>
      <c r="CN642" s="17">
        <v>3</v>
      </c>
      <c r="CO642" s="61" t="str" cm="1">
        <f t="array" ref="CO642">INDEX(List_comparators,CP614+2)</f>
        <v>placebo_BSC</v>
      </c>
      <c r="CP642" s="17">
        <v>999</v>
      </c>
      <c r="CQ642" s="601">
        <f t="shared" ca="1" si="305"/>
        <v>0</v>
      </c>
      <c r="CR642" s="601">
        <f t="shared" ca="1" si="306"/>
        <v>0</v>
      </c>
      <c r="CS642" s="603">
        <f t="shared" ca="1" si="307"/>
        <v>0</v>
      </c>
      <c r="CT642" s="669">
        <f t="shared" ca="1" si="308"/>
        <v>0</v>
      </c>
      <c r="CU642" s="1123">
        <f>MATCH(CZ649,'Resource use and costs'!$BA$11:$BA$53,0)</f>
        <v>40</v>
      </c>
      <c r="CV642" s="1223"/>
      <c r="CW642" s="1241">
        <f t="shared" si="294"/>
        <v>1</v>
      </c>
      <c r="CX642" s="899" t="s">
        <v>794</v>
      </c>
      <c r="CY642" s="899" t="s">
        <v>118</v>
      </c>
      <c r="CZ642" s="899" t="s">
        <v>319</v>
      </c>
      <c r="DA642" s="899" t="s">
        <v>579</v>
      </c>
      <c r="DB642" s="899" t="s">
        <v>765</v>
      </c>
      <c r="DC642" s="899" cm="1">
        <f t="array" aca="1" ref="DC642" ca="1">_xlfn.IFNA(OFFSET($I$49,MATCH(CY642,$I$50:$I$63,0),MATCH(CZ642,TRANSPOSE($J$49:$W$49),0)),0)</f>
        <v>0</v>
      </c>
      <c r="DD642" s="899">
        <f ca="1">DD641</f>
        <v>0.56320000000000014</v>
      </c>
      <c r="DE642" s="899" cm="1">
        <f t="array" aca="1" ref="DE642" ca="1">_xlfn.IFNA(OFFSET($AO$49,MATCH($DA642,$AO$50:$AO$63,0),MATCH($DB642,TRANSPOSE($AP$49:$BC$49),0)),0)</f>
        <v>0.43140000000000001</v>
      </c>
      <c r="DF642" s="881">
        <f t="shared" ca="1" si="295"/>
        <v>0</v>
      </c>
      <c r="DG642" s="910">
        <f t="shared" ca="1" si="293"/>
        <v>1.0010447133454794</v>
      </c>
      <c r="DH642" s="881">
        <f t="shared" ca="1" si="296"/>
        <v>0</v>
      </c>
      <c r="DI642" s="1460">
        <f t="shared" ca="1" si="304"/>
        <v>0</v>
      </c>
      <c r="DJ642" s="909">
        <f>_xlfn.IFNA(INDEX('Resource use and costs'!$CQ$11:$CQ$53,MATCH($CZ642,'Resource use and costs'!$BA$11:$BA$53,0)),0)*_xlfn.IFNA(INDEX(DY$10:DY$23,MATCH($CZ642,$DX$10:$DX$23,0)),0)</f>
        <v>20680.612971428574</v>
      </c>
      <c r="DK642" s="909">
        <f>IF(dd_PartSA_2_lines = "Yes",0,_xlfn.IFNA(INDEX('Resource use and costs'!$CR$11:$CR$53,MATCH(DA642,'Resource use and costs'!$BA$11:$BA$53,0)),0)*_xlfn.IFNA(INDEX(EA$10:EA$23,MATCH($DA642,$DX$10:$DX$23,0)),0))</f>
        <v>26054.50921</v>
      </c>
      <c r="DL642" s="909">
        <f>IF(dd_PartSA_2_lines = "Yes",0,_xlfn.IFNA(INDEX('Resource use and costs'!$CS$11:$CS$53,MATCH(DB642,'Resource use and costs'!$BA$11:$BA$53,0)),0)*_xlfn.IFNA(INDEX(EC$10:EC$23,MATCH($DB642,$DX$10:$DX$23,0)),0))</f>
        <v>0</v>
      </c>
      <c r="DM642" s="909">
        <f t="shared" si="297"/>
        <v>46735.122181428575</v>
      </c>
      <c r="DN642" s="909">
        <f>SUM(_xlfn.IFNA(INDEX('Resource use and costs'!$DU$12:$DU$25,MATCH(CZ642,'Resource use and costs'!$DS$12:$DS$25,0)),0),_xlfn.IFNA(INDEX('Resource use and costs'!$DU$12:$DU$25,MATCH(DA642,'Resource use and costs'!$DS$12:$DS$25,0)),0),_xlfn.IFNA(INDEX('Resource use and costs'!$DU$12:$DU$25,MATCH(DB642,'Resource use and costs'!$DS$12:$DS$25,0)),0))</f>
        <v>197.25</v>
      </c>
      <c r="DO642" s="921">
        <f>_xlfn.IFNA(INDEX('Resource use and costs'!$DY$12:$DY$25,MATCH(CZ642,'Resource use and costs'!$DS$12:$DS$25,0)),0)*_xlfn.IFNA(INDEX(DY$10:DY$23,MATCH($CZ642,$DX$10:$DX$23,0)),0)</f>
        <v>443.44394285714293</v>
      </c>
      <c r="DP642" s="921">
        <f>IF(dd_PartSA_2_lines = "Yes",0,_xlfn.IFNA(INDEX('Resource use and costs'!$DZ$12:$DZ$25,MATCH(DA642,'Resource use and costs'!$DS$12:$DS$25,0)),0)*_xlfn.IFNA(INDEX(EA$10:EA$23,MATCH($DA642,$DX$10:$DX$23,0)),0))</f>
        <v>4108.3597166</v>
      </c>
      <c r="DQ642" s="921">
        <f>IF(dd_PartSA_2_lines = "Yes",0,_xlfn.IFNA(INDEX('Resource use and costs'!$EA$12:$EA$25,MATCH(DB642,'Resource use and costs'!$DS$12:$DS$25,0)),0)*_xlfn.IFNA(INDEX(EC$10:EC$23,MATCH($DB642,$DX$10:$DX$23,0)),0))</f>
        <v>0</v>
      </c>
      <c r="DR642" s="921">
        <f t="shared" si="298"/>
        <v>4749.0536594571431</v>
      </c>
      <c r="DS642" s="1004">
        <f ca="1">SUMIFS('Safety parameters'!$DM$6:$DM$18,'Safety parameters'!$DK$6:$DK$18,CZ642,'Safety parameters'!$DL$6:$DL$18,1)+IF(dd_PartSA_2_lines = "Yes",0,SUMIFS('Safety parameters'!$DM$6:$DM$18,'Safety parameters'!$DK$6:$DK$18,DA642,'Safety parameters'!$DL$6:$DL$18,2)+SUMIFS('Safety parameters'!$DM$6:$DM$18,'Safety parameters'!$DK$6:$DK$18,DB642,'Safety parameters'!$DL$6:$DL$18,2))</f>
        <v>569.06980168846746</v>
      </c>
      <c r="DT642" s="910">
        <f ca="1">SUMIFS('Safety parameters'!$DO$6:$DO$18,'Safety parameters'!$DK$6:$DK$18,CZ642,'Safety parameters'!$DL$6:$DL$18,1)+IF(dd_PartSA_2_lines = "Yes",0,SUMIFS('Safety parameters'!$DO$6:$DO$18,'Safety parameters'!$DK$6:$DK$18,DA642,'Safety parameters'!$DL$6:$DL$18,2)+SUMIFS('Safety parameters'!$DO$6:$DO$18,'Safety parameters'!$DK$6:$DK$18,DB642,'Safety parameters'!$DL$6:$DL$18,2))</f>
        <v>-5.0510388380040844E-3</v>
      </c>
    </row>
    <row r="643" spans="89:124" ht="15" x14ac:dyDescent="0.2">
      <c r="CK643" s="61" t="s">
        <v>31</v>
      </c>
      <c r="CL643" s="61">
        <v>5</v>
      </c>
      <c r="CM643" s="61" t="str">
        <v>avelumab_plus_axitinib</v>
      </c>
      <c r="CN643" s="17">
        <v>4</v>
      </c>
      <c r="CO643" s="61" t="str" cm="1">
        <f t="array" ref="CO643">INDEX(List_comparators,CP615+2)</f>
        <v>placebo_BSC</v>
      </c>
      <c r="CP643" s="17">
        <v>999</v>
      </c>
      <c r="CQ643" s="601">
        <f t="shared" ca="1" si="305"/>
        <v>0</v>
      </c>
      <c r="CR643" s="601">
        <f t="shared" ca="1" si="306"/>
        <v>0</v>
      </c>
      <c r="CS643" s="603">
        <f t="shared" ca="1" si="307"/>
        <v>0</v>
      </c>
      <c r="CT643" s="669">
        <f t="shared" ca="1" si="308"/>
        <v>0</v>
      </c>
      <c r="CU643" s="1123" t="e">
        <f>MATCH(CZ650,'Resource use and costs'!$BA$11:$BA$53,0)</f>
        <v>#N/A</v>
      </c>
      <c r="CV643" s="1223"/>
      <c r="CW643" s="1241">
        <f t="shared" si="294"/>
        <v>1</v>
      </c>
      <c r="CX643" s="899" t="s">
        <v>794</v>
      </c>
      <c r="CY643" s="899" t="s">
        <v>118</v>
      </c>
      <c r="CZ643" s="899" t="s">
        <v>319</v>
      </c>
      <c r="DA643" s="899" t="s">
        <v>579</v>
      </c>
      <c r="DB643" s="899" t="s">
        <v>119</v>
      </c>
      <c r="DC643" s="899" cm="1">
        <f t="array" aca="1" ref="DC643" ca="1">_xlfn.IFNA(OFFSET($I$49,MATCH(CY643,$I$50:$I$63,0),MATCH(CZ643,TRANSPOSE($J$49:$W$49),0)),0)</f>
        <v>0</v>
      </c>
      <c r="DD643" s="899">
        <f ca="1">DD642</f>
        <v>0.56320000000000014</v>
      </c>
      <c r="DE643" s="899" cm="1">
        <f t="array" aca="1" ref="DE643" ca="1">_xlfn.IFNA(OFFSET($AO$49,MATCH($DA643,$AO$50:$AO$63,0),MATCH($DB643,TRANSPOSE($AP$49:$BC$49),0)),0)</f>
        <v>0</v>
      </c>
      <c r="DF643" s="881">
        <f t="shared" ca="1" si="295"/>
        <v>0</v>
      </c>
      <c r="DG643" s="910">
        <f t="shared" ca="1" si="293"/>
        <v>1.0010447133454794</v>
      </c>
      <c r="DH643" s="881">
        <f t="shared" ca="1" si="296"/>
        <v>0</v>
      </c>
      <c r="DI643" s="1460">
        <f t="shared" ca="1" si="304"/>
        <v>0</v>
      </c>
      <c r="DJ643" s="909">
        <f>_xlfn.IFNA(INDEX('Resource use and costs'!$CQ$11:$CQ$53,MATCH($CZ643,'Resource use and costs'!$BA$11:$BA$53,0)),0)*_xlfn.IFNA(INDEX(DY$10:DY$23,MATCH($CZ643,$DX$10:$DX$23,0)),0)</f>
        <v>20680.612971428574</v>
      </c>
      <c r="DK643" s="909">
        <f>IF(dd_PartSA_2_lines = "Yes",0,_xlfn.IFNA(INDEX('Resource use and costs'!$CR$11:$CR$53,MATCH(DA643,'Resource use and costs'!$BA$11:$BA$53,0)),0)*_xlfn.IFNA(INDEX(EA$10:EA$23,MATCH($DA643,$DX$10:$DX$23,0)),0))</f>
        <v>26054.50921</v>
      </c>
      <c r="DL643" s="909">
        <f>IF(dd_PartSA_2_lines = "Yes",0,_xlfn.IFNA(INDEX('Resource use and costs'!$CS$11:$CS$53,MATCH(DB643,'Resource use and costs'!$BA$11:$BA$53,0)),0)*_xlfn.IFNA(INDEX(EC$10:EC$23,MATCH($DB643,$DX$10:$DX$23,0)),0))</f>
        <v>2915.4763433333328</v>
      </c>
      <c r="DM643" s="909">
        <f t="shared" si="297"/>
        <v>49650.59852476191</v>
      </c>
      <c r="DN643" s="909">
        <f>SUM(_xlfn.IFNA(INDEX('Resource use and costs'!$DU$12:$DU$25,MATCH(CZ643,'Resource use and costs'!$DS$12:$DS$25,0)),0),_xlfn.IFNA(INDEX('Resource use and costs'!$DU$12:$DU$25,MATCH(DA643,'Resource use and costs'!$DS$12:$DS$25,0)),0),_xlfn.IFNA(INDEX('Resource use and costs'!$DU$12:$DU$25,MATCH(DB643,'Resource use and costs'!$DS$12:$DS$25,0)),0))</f>
        <v>394.5</v>
      </c>
      <c r="DO643" s="921">
        <f>_xlfn.IFNA(INDEX('Resource use and costs'!$DY$12:$DY$25,MATCH(CZ643,'Resource use and costs'!$DS$12:$DS$25,0)),0)*_xlfn.IFNA(INDEX(DY$10:DY$23,MATCH($CZ643,$DX$10:$DX$23,0)),0)</f>
        <v>443.44394285714293</v>
      </c>
      <c r="DP643" s="921">
        <f>IF(dd_PartSA_2_lines = "Yes",0,_xlfn.IFNA(INDEX('Resource use and costs'!$DZ$12:$DZ$25,MATCH(DA643,'Resource use and costs'!$DS$12:$DS$25,0)),0)*_xlfn.IFNA(INDEX(EA$10:EA$23,MATCH($DA643,$DX$10:$DX$23,0)),0))</f>
        <v>4108.3597166</v>
      </c>
      <c r="DQ643" s="921">
        <f>IF(dd_PartSA_2_lines = "Yes",0,_xlfn.IFNA(INDEX('Resource use and costs'!$EA$12:$EA$25,MATCH(DB643,'Resource use and costs'!$DS$12:$DS$25,0)),0)*_xlfn.IFNA(INDEX(EC$10:EC$23,MATCH($DB643,$DX$10:$DX$23,0)),0))</f>
        <v>256.11457142857142</v>
      </c>
      <c r="DR643" s="921">
        <f t="shared" si="298"/>
        <v>5202.4182308857144</v>
      </c>
      <c r="DS643" s="1004">
        <f ca="1">SUMIFS('Safety parameters'!$DM$6:$DM$18,'Safety parameters'!$DK$6:$DK$18,CZ643,'Safety parameters'!$DL$6:$DL$18,1)+IF(dd_PartSA_2_lines = "Yes",0,SUMIFS('Safety parameters'!$DM$6:$DM$18,'Safety parameters'!$DK$6:$DK$18,DA643,'Safety parameters'!$DL$6:$DL$18,2)+SUMIFS('Safety parameters'!$DM$6:$DM$18,'Safety parameters'!$DK$6:$DK$18,DB643,'Safety parameters'!$DL$6:$DL$18,2))</f>
        <v>901.94518506378233</v>
      </c>
      <c r="DT643" s="910">
        <f ca="1">SUMIFS('Safety parameters'!$DO$6:$DO$18,'Safety parameters'!$DK$6:$DK$18,CZ643,'Safety parameters'!$DL$6:$DL$18,1)+IF(dd_PartSA_2_lines = "Yes",0,SUMIFS('Safety parameters'!$DO$6:$DO$18,'Safety parameters'!$DK$6:$DK$18,DA643,'Safety parameters'!$DL$6:$DL$18,2)+SUMIFS('Safety parameters'!$DO$6:$DO$18,'Safety parameters'!$DK$6:$DK$18,DB643,'Safety parameters'!$DL$6:$DL$18,2))</f>
        <v>-7.7186123746418034E-3</v>
      </c>
    </row>
    <row r="644" spans="89:124" ht="15" x14ac:dyDescent="0.2">
      <c r="CK644" s="61" t="s">
        <v>31</v>
      </c>
      <c r="CL644" s="61">
        <v>5</v>
      </c>
      <c r="CM644" s="61" t="str">
        <v>pazopanib</v>
      </c>
      <c r="CN644" s="17">
        <v>5</v>
      </c>
      <c r="CO644" s="61" t="str" cm="1">
        <f t="array" ref="CO644">INDEX(List_comparators,CP616+2)</f>
        <v>placebo_BSC</v>
      </c>
      <c r="CP644" s="17">
        <v>999</v>
      </c>
      <c r="CQ644" s="601">
        <f t="shared" ca="1" si="305"/>
        <v>0</v>
      </c>
      <c r="CR644" s="601">
        <f t="shared" ca="1" si="306"/>
        <v>0</v>
      </c>
      <c r="CS644" s="603">
        <f t="shared" ca="1" si="307"/>
        <v>0</v>
      </c>
      <c r="CT644" s="669">
        <f t="shared" ca="1" si="308"/>
        <v>0</v>
      </c>
      <c r="CU644" s="1123">
        <f>MATCH(CZ651,'Resource use and costs'!$BA$11:$BA$53,0)</f>
        <v>30</v>
      </c>
      <c r="CV644" s="1223"/>
      <c r="CW644" s="1241">
        <f t="shared" si="294"/>
        <v>1</v>
      </c>
      <c r="CX644" s="899" t="s">
        <v>794</v>
      </c>
      <c r="CY644" s="899" t="s">
        <v>585</v>
      </c>
      <c r="CZ644" s="899" t="s">
        <v>327</v>
      </c>
      <c r="DA644" s="899" t="s">
        <v>765</v>
      </c>
      <c r="DB644" s="899"/>
      <c r="DC644" s="899" cm="1">
        <f t="array" aca="1" ref="DC644" ca="1">_xlfn.IFNA(OFFSET($I$49,MATCH(CY644,$I$50:$I$63,0),MATCH(CZ644,TRANSPOSE($J$49:$W$49),0)),0)</f>
        <v>1.0300000000000002E-2</v>
      </c>
      <c r="DD644" s="899" cm="1">
        <f t="array" aca="1" ref="DD644" ca="1">_xlfn.IFNA(OFFSET($Y$49,MATCH($CZ644,$Y$50:$Y$63,0),MATCH($DA644,TRANSPOSE($Z$49:$AM$49),0)),0)</f>
        <v>0.34300000000000003</v>
      </c>
      <c r="DE644" s="899" cm="1">
        <f t="array" aca="1" ref="DE644" ca="1">_xlfn.IFNA(OFFSET($AO$49,MATCH($DA644,$AO$50:$AO$63,0),MATCH($DB644,TRANSPOSE($AP$49:$BC$49),0)),0)</f>
        <v>0</v>
      </c>
      <c r="DF644" s="881">
        <f t="shared" ca="1" si="295"/>
        <v>3.5329000000000007E-3</v>
      </c>
      <c r="DG644" s="910">
        <f t="shared" ca="1" si="293"/>
        <v>1</v>
      </c>
      <c r="DH644" s="881">
        <f t="shared" ca="1" si="296"/>
        <v>3.5329000000000007E-3</v>
      </c>
      <c r="DI644" s="1460">
        <f t="shared" ref="DI644:DI680" ca="1" si="309">234*DH644</f>
        <v>0.82669860000000017</v>
      </c>
      <c r="DJ644" s="909">
        <f>_xlfn.IFNA(INDEX('Resource use and costs'!$CQ$11:$CQ$53,MATCH($CZ644,'Resource use and costs'!$BA$11:$BA$53,0)),0)*_xlfn.IFNA(INDEX(DY$10:DY$23,MATCH($CZ644,$DX$10:$DX$23,0)),0)</f>
        <v>19241.032205</v>
      </c>
      <c r="DK644" s="909">
        <f>IF(dd_PartSA_2_lines = "Yes",0,_xlfn.IFNA(INDEX('Resource use and costs'!$CR$11:$CR$53,MATCH(DA644,'Resource use and costs'!$BA$11:$BA$53,0)),0)*_xlfn.IFNA(INDEX(EA$10:EA$23,MATCH($DA644,$DX$10:$DX$23,0)),0))</f>
        <v>0</v>
      </c>
      <c r="DL644" s="909">
        <f>IF(dd_PartSA_2_lines = "Yes",0,_xlfn.IFNA(INDEX('Resource use and costs'!$CS$11:$CS$53,MATCH(DB644,'Resource use and costs'!$BA$11:$BA$53,0)),0)*_xlfn.IFNA(INDEX(EC$10:EC$23,MATCH($DB644,$DX$10:$DX$23,0)),0))</f>
        <v>0</v>
      </c>
      <c r="DM644" s="909">
        <f t="shared" si="297"/>
        <v>19241.032205</v>
      </c>
      <c r="DN644" s="909">
        <f>SUM(_xlfn.IFNA(INDEX('Resource use and costs'!$DU$12:$DU$25,MATCH(CZ644,'Resource use and costs'!$DS$12:$DS$25,0)),0),_xlfn.IFNA(INDEX('Resource use and costs'!$DU$12:$DU$25,MATCH(DA644,'Resource use and costs'!$DS$12:$DS$25,0)),0),_xlfn.IFNA(INDEX('Resource use and costs'!$DU$12:$DU$25,MATCH(DB644,'Resource use and costs'!$DS$12:$DS$25,0)),0))</f>
        <v>197.25</v>
      </c>
      <c r="DO644" s="921">
        <f>_xlfn.IFNA(INDEX('Resource use and costs'!$DY$12:$DY$25,MATCH(CZ644,'Resource use and costs'!$DS$12:$DS$25,0)),0)*_xlfn.IFNA(INDEX(DY$10:DY$23,MATCH($CZ644,$DX$10:$DX$23,0)),0)</f>
        <v>240.71806000000001</v>
      </c>
      <c r="DP644" s="921">
        <f>IF(dd_PartSA_2_lines = "Yes",0,_xlfn.IFNA(INDEX('Resource use and costs'!$DZ$12:$DZ$25,MATCH(DA644,'Resource use and costs'!$DS$12:$DS$25,0)),0)*_xlfn.IFNA(INDEX(EA$10:EA$23,MATCH($DA644,$DX$10:$DX$23,0)),0))</f>
        <v>0</v>
      </c>
      <c r="DQ644" s="921">
        <f>IF(dd_PartSA_2_lines = "Yes",0,_xlfn.IFNA(INDEX('Resource use and costs'!$EA$12:$EA$25,MATCH(DB644,'Resource use and costs'!$DS$12:$DS$25,0)),0)*_xlfn.IFNA(INDEX(EC$10:EC$23,MATCH($DB644,$DX$10:$DX$23,0)),0))</f>
        <v>0</v>
      </c>
      <c r="DR644" s="921">
        <f t="shared" si="298"/>
        <v>437.96806000000004</v>
      </c>
      <c r="DS644" s="1004">
        <f>SUMIFS('Safety parameters'!$DM$6:$DM$18,'Safety parameters'!$DK$6:$DK$18,CZ644,'Safety parameters'!$DL$6:$DL$18,1)+IF(dd_PartSA_2_lines = "Yes",0,SUMIFS('Safety parameters'!$DM$6:$DM$18,'Safety parameters'!$DK$6:$DK$18,DA644,'Safety parameters'!$DL$6:$DL$18,2)+SUMIFS('Safety parameters'!$DM$6:$DM$18,'Safety parameters'!$DK$6:$DK$18,DB644,'Safety parameters'!$DL$6:$DL$18,2))</f>
        <v>0</v>
      </c>
      <c r="DT644" s="910">
        <f>SUMIFS('Safety parameters'!$DO$6:$DO$18,'Safety parameters'!$DK$6:$DK$18,CZ644,'Safety parameters'!$DL$6:$DL$18,1)+IF(dd_PartSA_2_lines = "Yes",0,SUMIFS('Safety parameters'!$DO$6:$DO$18,'Safety parameters'!$DK$6:$DK$18,DA644,'Safety parameters'!$DL$6:$DL$18,2)+SUMIFS('Safety parameters'!$DO$6:$DO$18,'Safety parameters'!$DK$6:$DK$18,DB644,'Safety parameters'!$DL$6:$DL$18,2))</f>
        <v>0</v>
      </c>
    </row>
    <row r="645" spans="89:124" ht="15" x14ac:dyDescent="0.2">
      <c r="CK645" s="61" t="s">
        <v>31</v>
      </c>
      <c r="CL645" s="61">
        <v>5</v>
      </c>
      <c r="CM645" s="61" t="str">
        <v>tivozanib</v>
      </c>
      <c r="CN645" s="17">
        <v>6</v>
      </c>
      <c r="CO645" s="61" t="str" cm="1">
        <f t="array" ref="CO645">INDEX(List_comparators,CP617+2)</f>
        <v>placebo_BSC</v>
      </c>
      <c r="CP645" s="17">
        <v>999</v>
      </c>
      <c r="CQ645" s="601">
        <f t="shared" ca="1" si="305"/>
        <v>0</v>
      </c>
      <c r="CR645" s="601">
        <f t="shared" ca="1" si="306"/>
        <v>0</v>
      </c>
      <c r="CS645" s="603">
        <f t="shared" ca="1" si="307"/>
        <v>0</v>
      </c>
      <c r="CT645" s="669">
        <f t="shared" ca="1" si="308"/>
        <v>0</v>
      </c>
      <c r="CU645" s="1123">
        <f>MATCH(CZ652,'Resource use and costs'!$BA$11:$BA$53,0)</f>
        <v>30</v>
      </c>
      <c r="CV645" s="1223"/>
      <c r="CW645" s="1241">
        <f t="shared" si="294"/>
        <v>1</v>
      </c>
      <c r="CX645" s="899" t="s">
        <v>794</v>
      </c>
      <c r="CY645" s="899" t="s">
        <v>585</v>
      </c>
      <c r="CZ645" s="899" t="s">
        <v>327</v>
      </c>
      <c r="DA645" s="899" t="s">
        <v>118</v>
      </c>
      <c r="DB645" s="899" t="s">
        <v>765</v>
      </c>
      <c r="DC645" s="899" cm="1">
        <f t="array" aca="1" ref="DC645" ca="1">_xlfn.IFNA(OFFSET($I$49,MATCH(CY645,$I$50:$I$63,0),MATCH(CZ645,TRANSPOSE($J$49:$W$49),0)),0)</f>
        <v>1.0300000000000002E-2</v>
      </c>
      <c r="DD645" s="899" cm="1">
        <f t="array" aca="1" ref="DD645" ca="1">_xlfn.IFNA(OFFSET($Y$49,MATCH($CZ645,$Y$50:$Y$63,0),MATCH($DA645,TRANSPOSE($Z$49:$AM$49),0)),0)</f>
        <v>0.32850000000000001</v>
      </c>
      <c r="DE645" s="899" cm="1">
        <f t="array" aca="1" ref="DE645" ca="1">_xlfn.IFNA(OFFSET($AO$49,MATCH($DA645,$AO$50:$AO$63,0),MATCH($DB645,TRANSPOSE($AP$49:$BC$49),0)),0)</f>
        <v>0.43140000000000001</v>
      </c>
      <c r="DF645" s="881">
        <f t="shared" ca="1" si="295"/>
        <v>1.4596634700000004E-3</v>
      </c>
      <c r="DG645" s="910">
        <f t="shared" ca="1" si="293"/>
        <v>1</v>
      </c>
      <c r="DH645" s="881">
        <f t="shared" ca="1" si="296"/>
        <v>1.4596634700000004E-3</v>
      </c>
      <c r="DI645" s="1460">
        <f t="shared" ca="1" si="309"/>
        <v>0.34156125198000009</v>
      </c>
      <c r="DJ645" s="909">
        <f>_xlfn.IFNA(INDEX('Resource use and costs'!$CQ$11:$CQ$53,MATCH($CZ645,'Resource use and costs'!$BA$11:$BA$53,0)),0)*_xlfn.IFNA(INDEX(DY$10:DY$23,MATCH($CZ645,$DX$10:$DX$23,0)),0)</f>
        <v>19241.032205</v>
      </c>
      <c r="DK645" s="909">
        <f>IF(dd_PartSA_2_lines = "Yes",0,_xlfn.IFNA(INDEX('Resource use and costs'!$CR$11:$CR$53,MATCH(DA645,'Resource use and costs'!$BA$11:$BA$53,0)),0)*_xlfn.IFNA(INDEX(EA$10:EA$23,MATCH($DA645,$DX$10:$DX$23,0)),0))</f>
        <v>50308.075122000002</v>
      </c>
      <c r="DL645" s="909">
        <f>IF(dd_PartSA_2_lines = "Yes",0,_xlfn.IFNA(INDEX('Resource use and costs'!$CS$11:$CS$53,MATCH(DB645,'Resource use and costs'!$BA$11:$BA$53,0)),0)*_xlfn.IFNA(INDEX(EC$10:EC$23,MATCH($DB645,$DX$10:$DX$23,0)),0))</f>
        <v>0</v>
      </c>
      <c r="DM645" s="909">
        <f t="shared" si="297"/>
        <v>69549.107327000005</v>
      </c>
      <c r="DN645" s="909">
        <f>SUM(_xlfn.IFNA(INDEX('Resource use and costs'!$DU$12:$DU$25,MATCH(CZ645,'Resource use and costs'!$DS$12:$DS$25,0)),0),_xlfn.IFNA(INDEX('Resource use and costs'!$DU$12:$DU$25,MATCH(DA645,'Resource use and costs'!$DS$12:$DS$25,0)),0),_xlfn.IFNA(INDEX('Resource use and costs'!$DU$12:$DU$25,MATCH(DB645,'Resource use and costs'!$DS$12:$DS$25,0)),0))</f>
        <v>394.5</v>
      </c>
      <c r="DO645" s="921">
        <f>_xlfn.IFNA(INDEX('Resource use and costs'!$DY$12:$DY$25,MATCH(CZ645,'Resource use and costs'!$DS$12:$DS$25,0)),0)*_xlfn.IFNA(INDEX(DY$10:DY$23,MATCH($CZ645,$DX$10:$DX$23,0)),0)</f>
        <v>240.71806000000001</v>
      </c>
      <c r="DP645" s="921">
        <f>IF(dd_PartSA_2_lines = "Yes",0,_xlfn.IFNA(INDEX('Resource use and costs'!$DZ$12:$DZ$25,MATCH(DA645,'Resource use and costs'!$DS$12:$DS$25,0)),0)*_xlfn.IFNA(INDEX(EA$10:EA$23,MATCH($DA645,$DX$10:$DX$23,0)),0))</f>
        <v>461.1445457142857</v>
      </c>
      <c r="DQ645" s="921">
        <f>IF(dd_PartSA_2_lines = "Yes",0,_xlfn.IFNA(INDEX('Resource use and costs'!$EA$12:$EA$25,MATCH(DB645,'Resource use and costs'!$DS$12:$DS$25,0)),0)*_xlfn.IFNA(INDEX(EC$10:EC$23,MATCH($DB645,$DX$10:$DX$23,0)),0))</f>
        <v>0</v>
      </c>
      <c r="DR645" s="921">
        <f t="shared" si="298"/>
        <v>1096.3626057142858</v>
      </c>
      <c r="DS645" s="1004">
        <f ca="1">SUMIFS('Safety parameters'!$DM$6:$DM$18,'Safety parameters'!$DK$6:$DK$18,CZ645,'Safety parameters'!$DL$6:$DL$18,1)+IF(dd_PartSA_2_lines = "Yes",0,SUMIFS('Safety parameters'!$DM$6:$DM$18,'Safety parameters'!$DK$6:$DK$18,DA645,'Safety parameters'!$DL$6:$DL$18,2)+SUMIFS('Safety parameters'!$DM$6:$DM$18,'Safety parameters'!$DK$6:$DK$18,DB645,'Safety parameters'!$DL$6:$DL$18,2))</f>
        <v>743.64929980338343</v>
      </c>
      <c r="DT645" s="910">
        <f ca="1">SUMIFS('Safety parameters'!$DO$6:$DO$18,'Safety parameters'!$DK$6:$DK$18,CZ645,'Safety parameters'!$DL$6:$DL$18,1)+IF(dd_PartSA_2_lines = "Yes",0,SUMIFS('Safety parameters'!$DO$6:$DO$18,'Safety parameters'!$DK$6:$DK$18,DA645,'Safety parameters'!$DL$6:$DL$18,2)+SUMIFS('Safety parameters'!$DO$6:$DO$18,'Safety parameters'!$DK$6:$DK$18,DB645,'Safety parameters'!$DL$6:$DL$18,2))</f>
        <v>-7.0223263562359372E-3</v>
      </c>
    </row>
    <row r="646" spans="89:124" ht="15" x14ac:dyDescent="0.2">
      <c r="CK646" s="61" t="s">
        <v>31</v>
      </c>
      <c r="CL646" s="61">
        <v>5</v>
      </c>
      <c r="CM646" s="61" t="str">
        <v>sunitinib</v>
      </c>
      <c r="CN646" s="17">
        <v>7</v>
      </c>
      <c r="CO646" s="61" t="str" cm="1">
        <f t="array" ref="CO646">INDEX(List_comparators,CP618+2)</f>
        <v>placebo_BSC</v>
      </c>
      <c r="CP646" s="17">
        <v>999</v>
      </c>
      <c r="CQ646" s="601">
        <f t="shared" ca="1" si="305"/>
        <v>0</v>
      </c>
      <c r="CR646" s="601">
        <f t="shared" ca="1" si="306"/>
        <v>0</v>
      </c>
      <c r="CS646" s="603">
        <f t="shared" ca="1" si="307"/>
        <v>0</v>
      </c>
      <c r="CT646" s="669">
        <f t="shared" ca="1" si="308"/>
        <v>0</v>
      </c>
      <c r="CU646" s="1123">
        <f>MATCH(CZ653,'Resource use and costs'!$BA$11:$BA$53,0)</f>
        <v>30</v>
      </c>
      <c r="CV646" s="1223"/>
      <c r="CW646" s="1241">
        <f t="shared" si="294"/>
        <v>1</v>
      </c>
      <c r="CX646" s="899" t="s">
        <v>794</v>
      </c>
      <c r="CY646" s="899" t="s">
        <v>585</v>
      </c>
      <c r="CZ646" s="899" t="s">
        <v>327</v>
      </c>
      <c r="DA646" s="899" t="s">
        <v>118</v>
      </c>
      <c r="DB646" s="899" t="s">
        <v>119</v>
      </c>
      <c r="DC646" s="899" cm="1">
        <f t="array" aca="1" ref="DC646" ca="1">_xlfn.IFNA(OFFSET($I$49,MATCH(CY646,$I$50:$I$63,0),MATCH(CZ646,TRANSPOSE($J$49:$W$49),0)),0)</f>
        <v>1.0300000000000002E-2</v>
      </c>
      <c r="DD646" s="899" cm="1">
        <f t="array" aca="1" ref="DD646" ca="1">_xlfn.IFNA(OFFSET($Y$49,MATCH($CZ646,$Y$50:$Y$63,0),MATCH($DA646,TRANSPOSE($Z$49:$AM$49),0)),0)</f>
        <v>0.32850000000000001</v>
      </c>
      <c r="DE646" s="899">
        <f ca="1">1-DE645</f>
        <v>0.56859999999999999</v>
      </c>
      <c r="DF646" s="881">
        <f t="shared" ca="1" si="295"/>
        <v>1.9238865300000004E-3</v>
      </c>
      <c r="DG646" s="910">
        <f t="shared" ca="1" si="293"/>
        <v>1</v>
      </c>
      <c r="DH646" s="881">
        <f t="shared" ca="1" si="296"/>
        <v>1.9238865300000004E-3</v>
      </c>
      <c r="DI646" s="1460">
        <f t="shared" ca="1" si="309"/>
        <v>0.4501894480200001</v>
      </c>
      <c r="DJ646" s="909">
        <f>_xlfn.IFNA(INDEX('Resource use and costs'!$CQ$11:$CQ$53,MATCH($CZ646,'Resource use and costs'!$BA$11:$BA$53,0)),0)*_xlfn.IFNA(INDEX(DY$10:DY$23,MATCH($CZ646,$DX$10:$DX$23,0)),0)</f>
        <v>19241.032205</v>
      </c>
      <c r="DK646" s="909">
        <f>IF(dd_PartSA_2_lines = "Yes",0,_xlfn.IFNA(INDEX('Resource use and costs'!$CR$11:$CR$53,MATCH(DA646,'Resource use and costs'!$BA$11:$BA$53,0)),0)*_xlfn.IFNA(INDEX(EA$10:EA$23,MATCH($DA646,$DX$10:$DX$23,0)),0))</f>
        <v>50308.075122000002</v>
      </c>
      <c r="DL646" s="909">
        <f>IF(dd_PartSA_2_lines = "Yes",0,_xlfn.IFNA(INDEX('Resource use and costs'!$CS$11:$CS$53,MATCH(DB646,'Resource use and costs'!$BA$11:$BA$53,0)),0)*_xlfn.IFNA(INDEX(EC$10:EC$23,MATCH($DB646,$DX$10:$DX$23,0)),0))</f>
        <v>2915.4763433333328</v>
      </c>
      <c r="DM646" s="909">
        <f t="shared" si="297"/>
        <v>72464.583670333333</v>
      </c>
      <c r="DN646" s="909">
        <f>SUM(_xlfn.IFNA(INDEX('Resource use and costs'!$DU$12:$DU$25,MATCH(CZ646,'Resource use and costs'!$DS$12:$DS$25,0)),0),_xlfn.IFNA(INDEX('Resource use and costs'!$DU$12:$DU$25,MATCH(DA646,'Resource use and costs'!$DS$12:$DS$25,0)),0),_xlfn.IFNA(INDEX('Resource use and costs'!$DU$12:$DU$25,MATCH(DB646,'Resource use and costs'!$DS$12:$DS$25,0)),0))</f>
        <v>591.75</v>
      </c>
      <c r="DO646" s="921">
        <f>_xlfn.IFNA(INDEX('Resource use and costs'!$DY$12:$DY$25,MATCH(CZ646,'Resource use and costs'!$DS$12:$DS$25,0)),0)*_xlfn.IFNA(INDEX(DY$10:DY$23,MATCH($CZ646,$DX$10:$DX$23,0)),0)</f>
        <v>240.71806000000001</v>
      </c>
      <c r="DP646" s="921">
        <f>IF(dd_PartSA_2_lines = "Yes",0,_xlfn.IFNA(INDEX('Resource use and costs'!$DZ$12:$DZ$25,MATCH(DA646,'Resource use and costs'!$DS$12:$DS$25,0)),0)*_xlfn.IFNA(INDEX(EA$10:EA$23,MATCH($DA646,$DX$10:$DX$23,0)),0))</f>
        <v>461.1445457142857</v>
      </c>
      <c r="DQ646" s="921">
        <f>IF(dd_PartSA_2_lines = "Yes",0,_xlfn.IFNA(INDEX('Resource use and costs'!$EA$12:$EA$25,MATCH(DB646,'Resource use and costs'!$DS$12:$DS$25,0)),0)*_xlfn.IFNA(INDEX(EC$10:EC$23,MATCH($DB646,$DX$10:$DX$23,0)),0))</f>
        <v>256.11457142857142</v>
      </c>
      <c r="DR646" s="921">
        <f t="shared" si="298"/>
        <v>1549.7271771428573</v>
      </c>
      <c r="DS646" s="1004">
        <f ca="1">SUMIFS('Safety parameters'!$DM$6:$DM$18,'Safety parameters'!$DK$6:$DK$18,CZ646,'Safety parameters'!$DL$6:$DL$18,1)+IF(dd_PartSA_2_lines = "Yes",0,SUMIFS('Safety parameters'!$DM$6:$DM$18,'Safety parameters'!$DK$6:$DK$18,DA646,'Safety parameters'!$DL$6:$DL$18,2)+SUMIFS('Safety parameters'!$DM$6:$DM$18,'Safety parameters'!$DK$6:$DK$18,DB646,'Safety parameters'!$DL$6:$DL$18,2))</f>
        <v>1076.5246831786983</v>
      </c>
      <c r="DT646" s="910">
        <f ca="1">SUMIFS('Safety parameters'!$DO$6:$DO$18,'Safety parameters'!$DK$6:$DK$18,CZ646,'Safety parameters'!$DL$6:$DL$18,1)+IF(dd_PartSA_2_lines = "Yes",0,SUMIFS('Safety parameters'!$DO$6:$DO$18,'Safety parameters'!$DK$6:$DK$18,DA646,'Safety parameters'!$DL$6:$DL$18,2)+SUMIFS('Safety parameters'!$DO$6:$DO$18,'Safety parameters'!$DK$6:$DK$18,DB646,'Safety parameters'!$DL$6:$DL$18,2))</f>
        <v>-9.689899892873657E-3</v>
      </c>
    </row>
    <row r="647" spans="89:124" ht="15" x14ac:dyDescent="0.2">
      <c r="CK647" s="61" t="s">
        <v>31</v>
      </c>
      <c r="CL647" s="61">
        <v>5</v>
      </c>
      <c r="CM647" s="61" t="str">
        <v>cabozantinib</v>
      </c>
      <c r="CN647" s="17">
        <v>8</v>
      </c>
      <c r="CO647" s="61" t="str" cm="1">
        <f t="array" ref="CO647">INDEX(List_comparators,CP619+2)</f>
        <v>placebo_BSC</v>
      </c>
      <c r="CP647" s="17">
        <v>999</v>
      </c>
      <c r="CQ647" s="601">
        <f t="shared" ca="1" si="305"/>
        <v>0</v>
      </c>
      <c r="CR647" s="601">
        <f t="shared" ca="1" si="306"/>
        <v>0</v>
      </c>
      <c r="CS647" s="603">
        <f t="shared" ca="1" si="307"/>
        <v>0</v>
      </c>
      <c r="CT647" s="669">
        <f t="shared" ca="1" si="308"/>
        <v>0</v>
      </c>
      <c r="CU647" s="1123">
        <f>MATCH(CZ654,'Resource use and costs'!$BA$11:$BA$53,0)</f>
        <v>30</v>
      </c>
      <c r="CV647" s="1223"/>
      <c r="CW647" s="1241">
        <f t="shared" si="294"/>
        <v>1</v>
      </c>
      <c r="CX647" s="899" t="s">
        <v>794</v>
      </c>
      <c r="CY647" s="899" t="s">
        <v>585</v>
      </c>
      <c r="CZ647" s="899" t="s">
        <v>327</v>
      </c>
      <c r="DA647" s="899" t="s">
        <v>119</v>
      </c>
      <c r="DB647" s="899" t="s">
        <v>765</v>
      </c>
      <c r="DC647" s="899" cm="1">
        <f t="array" aca="1" ref="DC647" ca="1">_xlfn.IFNA(OFFSET($I$49,MATCH(CY647,$I$50:$I$63,0),MATCH(CZ647,TRANSPOSE($J$49:$W$49),0)),0)</f>
        <v>1.0300000000000002E-2</v>
      </c>
      <c r="DD647" s="899" cm="1">
        <f t="array" aca="1" ref="DD647" ca="1">_xlfn.IFNA(OFFSET($Y$49,MATCH($CZ647,$Y$50:$Y$63,0),MATCH($DA647,TRANSPOSE($Z$49:$AM$49),0)),0)</f>
        <v>0</v>
      </c>
      <c r="DE647" s="899" cm="1">
        <f t="array" aca="1" ref="DE647" ca="1">_xlfn.IFNA(OFFSET($AO$49,MATCH($DA647,$AO$50:$AO$63,0),MATCH($DB647,TRANSPOSE($AP$49:$BC$49),0)),0)</f>
        <v>1</v>
      </c>
      <c r="DF647" s="881">
        <f t="shared" ca="1" si="295"/>
        <v>0</v>
      </c>
      <c r="DG647" s="910">
        <f t="shared" ca="1" si="293"/>
        <v>1</v>
      </c>
      <c r="DH647" s="881">
        <f t="shared" ca="1" si="296"/>
        <v>0</v>
      </c>
      <c r="DI647" s="1460">
        <f t="shared" ca="1" si="309"/>
        <v>0</v>
      </c>
      <c r="DJ647" s="909">
        <f>_xlfn.IFNA(INDEX('Resource use and costs'!$CQ$11:$CQ$53,MATCH($CZ647,'Resource use and costs'!$BA$11:$BA$53,0)),0)*_xlfn.IFNA(INDEX(DY$10:DY$23,MATCH($CZ647,$DX$10:$DX$23,0)),0)</f>
        <v>19241.032205</v>
      </c>
      <c r="DK647" s="909">
        <f>IF(dd_PartSA_2_lines = "Yes",0,_xlfn.IFNA(INDEX('Resource use and costs'!$CR$11:$CR$53,MATCH(DA647,'Resource use and costs'!$BA$11:$BA$53,0)),0)*_xlfn.IFNA(INDEX(EA$10:EA$23,MATCH($DA647,$DX$10:$DX$23,0)),0))</f>
        <v>848.17532499999982</v>
      </c>
      <c r="DL647" s="909">
        <f>IF(dd_PartSA_2_lines = "Yes",0,_xlfn.IFNA(INDEX('Resource use and costs'!$CS$11:$CS$53,MATCH(DB647,'Resource use and costs'!$BA$11:$BA$53,0)),0)*_xlfn.IFNA(INDEX(EC$10:EC$23,MATCH($DB647,$DX$10:$DX$23,0)),0))</f>
        <v>0</v>
      </c>
      <c r="DM647" s="909">
        <f t="shared" si="297"/>
        <v>20089.20753</v>
      </c>
      <c r="DN647" s="909">
        <f>SUM(_xlfn.IFNA(INDEX('Resource use and costs'!$DU$12:$DU$25,MATCH(CZ647,'Resource use and costs'!$DS$12:$DS$25,0)),0),_xlfn.IFNA(INDEX('Resource use and costs'!$DU$12:$DU$25,MATCH(DA647,'Resource use and costs'!$DS$12:$DS$25,0)),0),_xlfn.IFNA(INDEX('Resource use and costs'!$DU$12:$DU$25,MATCH(DB647,'Resource use and costs'!$DS$12:$DS$25,0)),0))</f>
        <v>394.5</v>
      </c>
      <c r="DO647" s="921">
        <f>_xlfn.IFNA(INDEX('Resource use and costs'!$DY$12:$DY$25,MATCH(CZ647,'Resource use and costs'!$DS$12:$DS$25,0)),0)*_xlfn.IFNA(INDEX(DY$10:DY$23,MATCH($CZ647,$DX$10:$DX$23,0)),0)</f>
        <v>240.71806000000001</v>
      </c>
      <c r="DP647" s="921">
        <f>IF(dd_PartSA_2_lines = "Yes",0,_xlfn.IFNA(INDEX('Resource use and costs'!$DZ$12:$DZ$25,MATCH(DA647,'Resource use and costs'!$DS$12:$DS$25,0)),0)*_xlfn.IFNA(INDEX(EA$10:EA$23,MATCH($DA647,$DX$10:$DX$23,0)),0))</f>
        <v>74.50928571428571</v>
      </c>
      <c r="DQ647" s="921">
        <f>IF(dd_PartSA_2_lines = "Yes",0,_xlfn.IFNA(INDEX('Resource use and costs'!$EA$12:$EA$25,MATCH(DB647,'Resource use and costs'!$DS$12:$DS$25,0)),0)*_xlfn.IFNA(INDEX(EC$10:EC$23,MATCH($DB647,$DX$10:$DX$23,0)),0))</f>
        <v>0</v>
      </c>
      <c r="DR647" s="921">
        <f t="shared" si="298"/>
        <v>709.72734571428578</v>
      </c>
      <c r="DS647" s="1004">
        <f ca="1">SUMIFS('Safety parameters'!$DM$6:$DM$18,'Safety parameters'!$DK$6:$DK$18,CZ647,'Safety parameters'!$DL$6:$DL$18,1)+IF(dd_PartSA_2_lines = "Yes",0,SUMIFS('Safety parameters'!$DM$6:$DM$18,'Safety parameters'!$DK$6:$DK$18,DA647,'Safety parameters'!$DL$6:$DL$18,2)+SUMIFS('Safety parameters'!$DM$6:$DM$18,'Safety parameters'!$DK$6:$DK$18,DB647,'Safety parameters'!$DL$6:$DL$18,2))</f>
        <v>332.87538337531487</v>
      </c>
      <c r="DT647" s="910">
        <f ca="1">SUMIFS('Safety parameters'!$DO$6:$DO$18,'Safety parameters'!$DK$6:$DK$18,CZ647,'Safety parameters'!$DL$6:$DL$18,1)+IF(dd_PartSA_2_lines = "Yes",0,SUMIFS('Safety parameters'!$DO$6:$DO$18,'Safety parameters'!$DK$6:$DK$18,DA647,'Safety parameters'!$DL$6:$DL$18,2)+SUMIFS('Safety parameters'!$DO$6:$DO$18,'Safety parameters'!$DK$6:$DK$18,DB647,'Safety parameters'!$DL$6:$DL$18,2))</f>
        <v>-2.6675735366377194E-3</v>
      </c>
    </row>
    <row r="648" spans="89:124" ht="15" x14ac:dyDescent="0.2">
      <c r="CK648" s="61" t="s">
        <v>31</v>
      </c>
      <c r="CL648" s="61">
        <v>5</v>
      </c>
      <c r="CM648" s="61" t="str">
        <v>lenvatinib_plus_everolimus</v>
      </c>
      <c r="CN648" s="17">
        <v>9</v>
      </c>
      <c r="CO648" s="61" t="str" cm="1">
        <f t="array" ref="CO648">INDEX(List_comparators,CP620+2)</f>
        <v>placebo_BSC</v>
      </c>
      <c r="CP648" s="17">
        <v>999</v>
      </c>
      <c r="CQ648" s="601">
        <f t="shared" ca="1" si="305"/>
        <v>0</v>
      </c>
      <c r="CR648" s="601">
        <f t="shared" ca="1" si="306"/>
        <v>0</v>
      </c>
      <c r="CS648" s="603">
        <f t="shared" ca="1" si="307"/>
        <v>0</v>
      </c>
      <c r="CT648" s="669">
        <f t="shared" ca="1" si="308"/>
        <v>0</v>
      </c>
      <c r="CU648" s="1123">
        <f>MATCH(CZ655,'Resource use and costs'!$BA$11:$BA$53,0)</f>
        <v>30</v>
      </c>
      <c r="CV648" s="1223"/>
      <c r="CW648" s="1241">
        <f t="shared" si="294"/>
        <v>1</v>
      </c>
      <c r="CX648" s="899" t="s">
        <v>794</v>
      </c>
      <c r="CY648" s="899" t="s">
        <v>585</v>
      </c>
      <c r="CZ648" s="899" t="s">
        <v>327</v>
      </c>
      <c r="DA648" s="899" t="s">
        <v>579</v>
      </c>
      <c r="DB648" s="899" t="s">
        <v>765</v>
      </c>
      <c r="DC648" s="899" cm="1">
        <f t="array" aca="1" ref="DC648" ca="1">_xlfn.IFNA(OFFSET($I$49,MATCH(CY648,$I$50:$I$63,0),MATCH(CZ648,TRANSPOSE($J$49:$W$49),0)),0)</f>
        <v>1.0300000000000002E-2</v>
      </c>
      <c r="DD648" s="899" cm="1">
        <f t="array" aca="1" ref="DD648" ca="1">_xlfn.IFNA(OFFSET($Y$49,MATCH($CZ648,$Y$50:$Y$63,0),MATCH($DA648,TRANSPOSE($Z$49:$AM$49),0)),0)</f>
        <v>0.32850000000000001</v>
      </c>
      <c r="DE648" s="899" cm="1">
        <f t="array" aca="1" ref="DE648" ca="1">_xlfn.IFNA(OFFSET($AO$49,MATCH($DA648,$AO$50:$AO$63,0),MATCH($DB648,TRANSPOSE($AP$49:$BC$49),0)),0)</f>
        <v>0.43140000000000001</v>
      </c>
      <c r="DF648" s="881">
        <f t="shared" ca="1" si="295"/>
        <v>1.4596634700000004E-3</v>
      </c>
      <c r="DG648" s="910">
        <f t="shared" ca="1" si="293"/>
        <v>1</v>
      </c>
      <c r="DH648" s="881">
        <f t="shared" ca="1" si="296"/>
        <v>1.4596634700000004E-3</v>
      </c>
      <c r="DI648" s="1460">
        <f t="shared" ca="1" si="309"/>
        <v>0.34156125198000009</v>
      </c>
      <c r="DJ648" s="909">
        <f>_xlfn.IFNA(INDEX('Resource use and costs'!$CQ$11:$CQ$53,MATCH($CZ648,'Resource use and costs'!$BA$11:$BA$53,0)),0)*_xlfn.IFNA(INDEX(DY$10:DY$23,MATCH($CZ648,$DX$10:$DX$23,0)),0)</f>
        <v>19241.032205</v>
      </c>
      <c r="DK648" s="909">
        <f>IF(dd_PartSA_2_lines = "Yes",0,_xlfn.IFNA(INDEX('Resource use and costs'!$CR$11:$CR$53,MATCH(DA648,'Resource use and costs'!$BA$11:$BA$53,0)),0)*_xlfn.IFNA(INDEX(EA$10:EA$23,MATCH($DA648,$DX$10:$DX$23,0)),0))</f>
        <v>26054.50921</v>
      </c>
      <c r="DL648" s="909">
        <f>IF(dd_PartSA_2_lines = "Yes",0,_xlfn.IFNA(INDEX('Resource use and costs'!$CS$11:$CS$53,MATCH(DB648,'Resource use and costs'!$BA$11:$BA$53,0)),0)*_xlfn.IFNA(INDEX(EC$10:EC$23,MATCH($DB648,$DX$10:$DX$23,0)),0))</f>
        <v>0</v>
      </c>
      <c r="DM648" s="909">
        <f t="shared" si="297"/>
        <v>45295.541415</v>
      </c>
      <c r="DN648" s="909">
        <f>SUM(_xlfn.IFNA(INDEX('Resource use and costs'!$DU$12:$DU$25,MATCH(CZ648,'Resource use and costs'!$DS$12:$DS$25,0)),0),_xlfn.IFNA(INDEX('Resource use and costs'!$DU$12:$DU$25,MATCH(DA648,'Resource use and costs'!$DS$12:$DS$25,0)),0),_xlfn.IFNA(INDEX('Resource use and costs'!$DU$12:$DU$25,MATCH(DB648,'Resource use and costs'!$DS$12:$DS$25,0)),0))</f>
        <v>197.25</v>
      </c>
      <c r="DO648" s="921">
        <f>_xlfn.IFNA(INDEX('Resource use and costs'!$DY$12:$DY$25,MATCH(CZ648,'Resource use and costs'!$DS$12:$DS$25,0)),0)*_xlfn.IFNA(INDEX(DY$10:DY$23,MATCH($CZ648,$DX$10:$DX$23,0)),0)</f>
        <v>240.71806000000001</v>
      </c>
      <c r="DP648" s="921">
        <f>IF(dd_PartSA_2_lines = "Yes",0,_xlfn.IFNA(INDEX('Resource use and costs'!$DZ$12:$DZ$25,MATCH(DA648,'Resource use and costs'!$DS$12:$DS$25,0)),0)*_xlfn.IFNA(INDEX(EA$10:EA$23,MATCH($DA648,$DX$10:$DX$23,0)),0))</f>
        <v>4108.3597166</v>
      </c>
      <c r="DQ648" s="921">
        <f>IF(dd_PartSA_2_lines = "Yes",0,_xlfn.IFNA(INDEX('Resource use and costs'!$EA$12:$EA$25,MATCH(DB648,'Resource use and costs'!$DS$12:$DS$25,0)),0)*_xlfn.IFNA(INDEX(EC$10:EC$23,MATCH($DB648,$DX$10:$DX$23,0)),0))</f>
        <v>0</v>
      </c>
      <c r="DR648" s="921">
        <f t="shared" si="298"/>
        <v>4546.3277766000001</v>
      </c>
      <c r="DS648" s="1004">
        <f ca="1">SUMIFS('Safety parameters'!$DM$6:$DM$18,'Safety parameters'!$DK$6:$DK$18,CZ648,'Safety parameters'!$DL$6:$DL$18,1)+IF(dd_PartSA_2_lines = "Yes",0,SUMIFS('Safety parameters'!$DM$6:$DM$18,'Safety parameters'!$DK$6:$DK$18,DA648,'Safety parameters'!$DL$6:$DL$18,2)+SUMIFS('Safety parameters'!$DM$6:$DM$18,'Safety parameters'!$DK$6:$DK$18,DB648,'Safety parameters'!$DL$6:$DL$18,2))</f>
        <v>161.1337489904144</v>
      </c>
      <c r="DT648" s="910">
        <f ca="1">SUMIFS('Safety parameters'!$DO$6:$DO$18,'Safety parameters'!$DK$6:$DK$18,CZ648,'Safety parameters'!$DL$6:$DL$18,1)+IF(dd_PartSA_2_lines = "Yes",0,SUMIFS('Safety parameters'!$DO$6:$DO$18,'Safety parameters'!$DK$6:$DK$18,DA648,'Safety parameters'!$DL$6:$DL$18,2)+SUMIFS('Safety parameters'!$DO$6:$DO$18,'Safety parameters'!$DK$6:$DK$18,DB648,'Safety parameters'!$DL$6:$DL$18,2))</f>
        <v>-1.5970841976847864E-3</v>
      </c>
    </row>
    <row r="649" spans="89:124" ht="15" x14ac:dyDescent="0.2">
      <c r="CK649" s="61" t="s">
        <v>31</v>
      </c>
      <c r="CL649" s="61">
        <v>5</v>
      </c>
      <c r="CM649" s="61" t="str">
        <v>everolimus</v>
      </c>
      <c r="CN649" s="17">
        <v>10</v>
      </c>
      <c r="CO649" s="61" t="str" cm="1">
        <f t="array" ref="CO649">INDEX(List_comparators,CP621+2)</f>
        <v>placebo_BSC</v>
      </c>
      <c r="CP649" s="17">
        <v>999</v>
      </c>
      <c r="CQ649" s="601">
        <f t="shared" ca="1" si="305"/>
        <v>0</v>
      </c>
      <c r="CR649" s="601">
        <f t="shared" ca="1" si="306"/>
        <v>0</v>
      </c>
      <c r="CS649" s="603">
        <f t="shared" ca="1" si="307"/>
        <v>0</v>
      </c>
      <c r="CT649" s="669">
        <f t="shared" ca="1" si="308"/>
        <v>0</v>
      </c>
      <c r="CU649" s="1123">
        <f>MATCH(CZ656,'Resource use and costs'!$BA$11:$BA$53,0)</f>
        <v>30</v>
      </c>
      <c r="CV649" s="1223"/>
      <c r="CW649" s="1241">
        <f t="shared" si="294"/>
        <v>1</v>
      </c>
      <c r="CX649" s="899" t="s">
        <v>794</v>
      </c>
      <c r="CY649" s="899" t="s">
        <v>585</v>
      </c>
      <c r="CZ649" s="899" t="s">
        <v>327</v>
      </c>
      <c r="DA649" s="899" t="s">
        <v>579</v>
      </c>
      <c r="DB649" s="899" t="s">
        <v>119</v>
      </c>
      <c r="DC649" s="899" cm="1">
        <f t="array" aca="1" ref="DC649" ca="1">_xlfn.IFNA(OFFSET($I$49,MATCH(CY649,$I$50:$I$63,0),MATCH(CZ649,TRANSPOSE($J$49:$W$49),0)),0)</f>
        <v>1.0300000000000002E-2</v>
      </c>
      <c r="DD649" s="899" cm="1">
        <f t="array" aca="1" ref="DD649" ca="1">_xlfn.IFNA(OFFSET($Y$49,MATCH($CZ649,$Y$50:$Y$63,0),MATCH($DA649,TRANSPOSE($Z$49:$AM$49),0)),0)</f>
        <v>0.32850000000000001</v>
      </c>
      <c r="DE649" s="899">
        <f ca="1">1-DE648</f>
        <v>0.56859999999999999</v>
      </c>
      <c r="DF649" s="881">
        <f t="shared" ca="1" si="295"/>
        <v>1.9238865300000004E-3</v>
      </c>
      <c r="DG649" s="910">
        <f t="shared" ca="1" si="293"/>
        <v>1</v>
      </c>
      <c r="DH649" s="881">
        <f t="shared" ca="1" si="296"/>
        <v>1.9238865300000004E-3</v>
      </c>
      <c r="DI649" s="1460">
        <f t="shared" ca="1" si="309"/>
        <v>0.4501894480200001</v>
      </c>
      <c r="DJ649" s="909">
        <f>_xlfn.IFNA(INDEX('Resource use and costs'!$CQ$11:$CQ$53,MATCH($CZ649,'Resource use and costs'!$BA$11:$BA$53,0)),0)*_xlfn.IFNA(INDEX(DY$10:DY$23,MATCH($CZ649,$DX$10:$DX$23,0)),0)</f>
        <v>19241.032205</v>
      </c>
      <c r="DK649" s="909">
        <f>IF(dd_PartSA_2_lines = "Yes",0,_xlfn.IFNA(INDEX('Resource use and costs'!$CR$11:$CR$53,MATCH(DA649,'Resource use and costs'!$BA$11:$BA$53,0)),0)*_xlfn.IFNA(INDEX(EA$10:EA$23,MATCH($DA649,$DX$10:$DX$23,0)),0))</f>
        <v>26054.50921</v>
      </c>
      <c r="DL649" s="909">
        <f>IF(dd_PartSA_2_lines = "Yes",0,_xlfn.IFNA(INDEX('Resource use and costs'!$CS$11:$CS$53,MATCH(DB649,'Resource use and costs'!$BA$11:$BA$53,0)),0)*_xlfn.IFNA(INDEX(EC$10:EC$23,MATCH($DB649,$DX$10:$DX$23,0)),0))</f>
        <v>2915.4763433333328</v>
      </c>
      <c r="DM649" s="909">
        <f t="shared" si="297"/>
        <v>48211.017758333335</v>
      </c>
      <c r="DN649" s="909">
        <f>SUM(_xlfn.IFNA(INDEX('Resource use and costs'!$DU$12:$DU$25,MATCH(CZ649,'Resource use and costs'!$DS$12:$DS$25,0)),0),_xlfn.IFNA(INDEX('Resource use and costs'!$DU$12:$DU$25,MATCH(DA649,'Resource use and costs'!$DS$12:$DS$25,0)),0),_xlfn.IFNA(INDEX('Resource use and costs'!$DU$12:$DU$25,MATCH(DB649,'Resource use and costs'!$DS$12:$DS$25,0)),0))</f>
        <v>394.5</v>
      </c>
      <c r="DO649" s="921">
        <f>_xlfn.IFNA(INDEX('Resource use and costs'!$DY$12:$DY$25,MATCH(CZ649,'Resource use and costs'!$DS$12:$DS$25,0)),0)*_xlfn.IFNA(INDEX(DY$10:DY$23,MATCH($CZ649,$DX$10:$DX$23,0)),0)</f>
        <v>240.71806000000001</v>
      </c>
      <c r="DP649" s="921">
        <f>IF(dd_PartSA_2_lines = "Yes",0,_xlfn.IFNA(INDEX('Resource use and costs'!$DZ$12:$DZ$25,MATCH(DA649,'Resource use and costs'!$DS$12:$DS$25,0)),0)*_xlfn.IFNA(INDEX(EA$10:EA$23,MATCH($DA649,$DX$10:$DX$23,0)),0))</f>
        <v>4108.3597166</v>
      </c>
      <c r="DQ649" s="921">
        <f>IF(dd_PartSA_2_lines = "Yes",0,_xlfn.IFNA(INDEX('Resource use and costs'!$EA$12:$EA$25,MATCH(DB649,'Resource use and costs'!$DS$12:$DS$25,0)),0)*_xlfn.IFNA(INDEX(EC$10:EC$23,MATCH($DB649,$DX$10:$DX$23,0)),0))</f>
        <v>256.11457142857142</v>
      </c>
      <c r="DR649" s="921">
        <f t="shared" si="298"/>
        <v>4999.6923480285714</v>
      </c>
      <c r="DS649" s="1004">
        <f ca="1">SUMIFS('Safety parameters'!$DM$6:$DM$18,'Safety parameters'!$DK$6:$DK$18,CZ649,'Safety parameters'!$DL$6:$DL$18,1)+IF(dd_PartSA_2_lines = "Yes",0,SUMIFS('Safety parameters'!$DM$6:$DM$18,'Safety parameters'!$DK$6:$DK$18,DA649,'Safety parameters'!$DL$6:$DL$18,2)+SUMIFS('Safety parameters'!$DM$6:$DM$18,'Safety parameters'!$DK$6:$DK$18,DB649,'Safety parameters'!$DL$6:$DL$18,2))</f>
        <v>494.00913236572927</v>
      </c>
      <c r="DT649" s="910">
        <f ca="1">SUMIFS('Safety parameters'!$DO$6:$DO$18,'Safety parameters'!$DK$6:$DK$18,CZ649,'Safety parameters'!$DL$6:$DL$18,1)+IF(dd_PartSA_2_lines = "Yes",0,SUMIFS('Safety parameters'!$DO$6:$DO$18,'Safety parameters'!$DK$6:$DK$18,DA649,'Safety parameters'!$DL$6:$DL$18,2)+SUMIFS('Safety parameters'!$DO$6:$DO$18,'Safety parameters'!$DK$6:$DK$18,DB649,'Safety parameters'!$DL$6:$DL$18,2))</f>
        <v>-4.2646577343225054E-3</v>
      </c>
    </row>
    <row r="650" spans="89:124" ht="15" x14ac:dyDescent="0.2">
      <c r="CK650" s="61" t="s">
        <v>31</v>
      </c>
      <c r="CL650" s="61">
        <v>5</v>
      </c>
      <c r="CM650" s="61" t="str">
        <v>axitinib</v>
      </c>
      <c r="CN650" s="17">
        <v>11</v>
      </c>
      <c r="CO650" s="61" t="str" cm="1">
        <f t="array" ref="CO650">INDEX(List_comparators,CP622+2)</f>
        <v>placebo_BSC</v>
      </c>
      <c r="CP650" s="17">
        <v>999</v>
      </c>
      <c r="CQ650" s="601">
        <f t="shared" ca="1" si="305"/>
        <v>0</v>
      </c>
      <c r="CR650" s="601">
        <f t="shared" ca="1" si="306"/>
        <v>0</v>
      </c>
      <c r="CS650" s="603">
        <f t="shared" ca="1" si="307"/>
        <v>0</v>
      </c>
      <c r="CT650" s="669">
        <f t="shared" ca="1" si="308"/>
        <v>0</v>
      </c>
      <c r="CU650" s="1123">
        <f>MATCH(CZ657,'Resource use and costs'!$BA$11:$BA$53,0)</f>
        <v>30</v>
      </c>
      <c r="CV650" s="1223"/>
      <c r="CW650" s="1241">
        <f t="shared" si="294"/>
        <v>0</v>
      </c>
      <c r="CX650" s="899" t="s">
        <v>794</v>
      </c>
      <c r="CY650" s="899" t="s">
        <v>585</v>
      </c>
      <c r="CZ650" s="899" t="s">
        <v>765</v>
      </c>
      <c r="DA650" s="899"/>
      <c r="DB650" s="899"/>
      <c r="DC650" s="899" cm="1">
        <f t="array" aca="1" ref="DC650" ca="1">_xlfn.IFNA(OFFSET($I$49,MATCH(CY650,$I$50:$I$63,0),MATCH(CZ650,TRANSPOSE($J$49:$W$49),0)),0)</f>
        <v>0.32729999999999998</v>
      </c>
      <c r="DD650" s="899" cm="1">
        <f t="array" aca="1" ref="DD650" ca="1">_xlfn.IFNA(OFFSET($Y$49,MATCH($CZ650,$Y$50:$Y$63,0),MATCH($DA650,TRANSPOSE($Z$49:$AM$49),0)),0)</f>
        <v>0</v>
      </c>
      <c r="DE650" s="899" cm="1">
        <f t="array" aca="1" ref="DE650" ca="1">_xlfn.IFNA(OFFSET($AO$49,MATCH($DA650,$AO$50:$AO$63,0),MATCH($DB650,TRANSPOSE($AP$49:$BC$49),0)),0)</f>
        <v>0</v>
      </c>
      <c r="DF650" s="881">
        <f t="shared" ca="1" si="295"/>
        <v>0.32729999999999998</v>
      </c>
      <c r="DG650" s="910">
        <f t="shared" ca="1" si="293"/>
        <v>1</v>
      </c>
      <c r="DH650" s="881">
        <f t="shared" ca="1" si="296"/>
        <v>0.32729999999999998</v>
      </c>
      <c r="DI650" s="1460">
        <f t="shared" ca="1" si="309"/>
        <v>76.588200000000001</v>
      </c>
      <c r="DJ650" s="909">
        <f>_xlfn.IFNA(INDEX('Resource use and costs'!$CQ$11:$CQ$53,MATCH($CZ650,'Resource use and costs'!$BA$11:$BA$53,0)),0)*_xlfn.IFNA(INDEX(DY$10:DY$23,MATCH($CZ650,$DX$10:$DX$23,0)),0)</f>
        <v>0</v>
      </c>
      <c r="DK650" s="909">
        <f>IF(dd_PartSA_2_lines = "Yes",0,_xlfn.IFNA(INDEX('Resource use and costs'!$CR$11:$CR$53,MATCH(DA650,'Resource use and costs'!$BA$11:$BA$53,0)),0)*_xlfn.IFNA(INDEX(EA$10:EA$23,MATCH($DA650,$DX$10:$DX$23,0)),0))</f>
        <v>0</v>
      </c>
      <c r="DL650" s="909">
        <f>IF(dd_PartSA_2_lines = "Yes",0,_xlfn.IFNA(INDEX('Resource use and costs'!$CS$11:$CS$53,MATCH(DB650,'Resource use and costs'!$BA$11:$BA$53,0)),0)*_xlfn.IFNA(INDEX(EC$10:EC$23,MATCH($DB650,$DX$10:$DX$23,0)),0))</f>
        <v>0</v>
      </c>
      <c r="DM650" s="909">
        <f t="shared" si="297"/>
        <v>0</v>
      </c>
      <c r="DN650" s="909">
        <f>SUM(_xlfn.IFNA(INDEX('Resource use and costs'!$DU$12:$DU$25,MATCH(CZ650,'Resource use and costs'!$DS$12:$DS$25,0)),0),_xlfn.IFNA(INDEX('Resource use and costs'!$DU$12:$DU$25,MATCH(DA650,'Resource use and costs'!$DS$12:$DS$25,0)),0),_xlfn.IFNA(INDEX('Resource use and costs'!$DU$12:$DU$25,MATCH(DB650,'Resource use and costs'!$DS$12:$DS$25,0)),0))</f>
        <v>0</v>
      </c>
      <c r="DO650" s="921">
        <f>_xlfn.IFNA(INDEX('Resource use and costs'!$DY$12:$DY$25,MATCH(CZ650,'Resource use and costs'!$DS$12:$DS$25,0)),0)*_xlfn.IFNA(INDEX(DY$10:DY$23,MATCH($CZ650,$DX$10:$DX$23,0)),0)</f>
        <v>0</v>
      </c>
      <c r="DP650" s="921">
        <f>IF(dd_PartSA_2_lines = "Yes",0,_xlfn.IFNA(INDEX('Resource use and costs'!$DZ$12:$DZ$25,MATCH(DA650,'Resource use and costs'!$DS$12:$DS$25,0)),0)*_xlfn.IFNA(INDEX(EA$10:EA$23,MATCH($DA650,$DX$10:$DX$23,0)),0))</f>
        <v>0</v>
      </c>
      <c r="DQ650" s="921">
        <f>IF(dd_PartSA_2_lines = "Yes",0,_xlfn.IFNA(INDEX('Resource use and costs'!$EA$12:$EA$25,MATCH(DB650,'Resource use and costs'!$DS$12:$DS$25,0)),0)*_xlfn.IFNA(INDEX(EC$10:EC$23,MATCH($DB650,$DX$10:$DX$23,0)),0))</f>
        <v>0</v>
      </c>
      <c r="DR650" s="921">
        <f t="shared" si="298"/>
        <v>0</v>
      </c>
      <c r="DS650" s="1004">
        <f>SUMIFS('Safety parameters'!$DM$6:$DM$18,'Safety parameters'!$DK$6:$DK$18,CZ650,'Safety parameters'!$DL$6:$DL$18,1)+IF(dd_PartSA_2_lines = "Yes",0,SUMIFS('Safety parameters'!$DM$6:$DM$18,'Safety parameters'!$DK$6:$DK$18,DA650,'Safety parameters'!$DL$6:$DL$18,2)+SUMIFS('Safety parameters'!$DM$6:$DM$18,'Safety parameters'!$DK$6:$DK$18,DB650,'Safety parameters'!$DL$6:$DL$18,2))</f>
        <v>0</v>
      </c>
      <c r="DT650" s="910">
        <f>SUMIFS('Safety parameters'!$DO$6:$DO$18,'Safety parameters'!$DK$6:$DK$18,CZ650,'Safety parameters'!$DL$6:$DL$18,1)+IF(dd_PartSA_2_lines = "Yes",0,SUMIFS('Safety parameters'!$DO$6:$DO$18,'Safety parameters'!$DK$6:$DK$18,DA650,'Safety parameters'!$DL$6:$DL$18,2)+SUMIFS('Safety parameters'!$DO$6:$DO$18,'Safety parameters'!$DK$6:$DK$18,DB650,'Safety parameters'!$DL$6:$DL$18,2))</f>
        <v>0</v>
      </c>
    </row>
    <row r="651" spans="89:124" ht="15" x14ac:dyDescent="0.2">
      <c r="CK651" s="61" t="s">
        <v>31</v>
      </c>
      <c r="CL651" s="61">
        <v>5</v>
      </c>
      <c r="CM651" s="61" t="str">
        <v>sorafenib</v>
      </c>
      <c r="CN651" s="17">
        <v>12</v>
      </c>
      <c r="CO651" s="61" t="str" cm="1">
        <f t="array" ref="CO651">INDEX(List_comparators,CP623+2)</f>
        <v>placebo_BSC</v>
      </c>
      <c r="CP651" s="17">
        <v>999</v>
      </c>
      <c r="CQ651" s="601">
        <f t="shared" ca="1" si="305"/>
        <v>0</v>
      </c>
      <c r="CR651" s="601">
        <f t="shared" ca="1" si="306"/>
        <v>0</v>
      </c>
      <c r="CS651" s="603">
        <f t="shared" ca="1" si="307"/>
        <v>0</v>
      </c>
      <c r="CT651" s="669">
        <f t="shared" ca="1" si="308"/>
        <v>0</v>
      </c>
      <c r="CU651" s="1123">
        <f>MATCH(CZ658,'Resource use and costs'!$BA$11:$BA$53,0)</f>
        <v>30</v>
      </c>
      <c r="CV651" s="1223"/>
      <c r="CW651" s="1241">
        <f t="shared" si="294"/>
        <v>1</v>
      </c>
      <c r="CX651" s="899" t="s">
        <v>794</v>
      </c>
      <c r="CY651" s="899" t="s">
        <v>585</v>
      </c>
      <c r="CZ651" s="899" t="s">
        <v>118</v>
      </c>
      <c r="DA651" s="899" t="s">
        <v>327</v>
      </c>
      <c r="DB651" s="899" t="s">
        <v>765</v>
      </c>
      <c r="DC651" s="899">
        <f ca="1">1-DC644-DC650-DC659-DC665-DC671</f>
        <v>0.26190000000000002</v>
      </c>
      <c r="DD651" s="899" cm="1">
        <f t="array" aca="1" ref="DD651" ca="1">_xlfn.IFNA(OFFSET($Y$49,MATCH($CZ651,$Y$50:$Y$63,0),MATCH($DA651,TRANSPOSE($Z$49:$AM$49),0)),0)</f>
        <v>0.122</v>
      </c>
      <c r="DE651" s="899" cm="1">
        <f t="array" aca="1" ref="DE651" ca="1">_xlfn.IFNA(OFFSET($AO$49,MATCH($DA651,$AO$50:$AO$63,0),MATCH($DB651,TRANSPOSE($AP$49:$BC$49),0)),0)</f>
        <v>0.43140000000000001</v>
      </c>
      <c r="DF651" s="881">
        <f t="shared" ca="1" si="295"/>
        <v>1.3784006520000001E-2</v>
      </c>
      <c r="DG651" s="910">
        <f t="shared" ref="DG651:DG714" ca="1" si="310">IF(dd_reduceBSC="No",(1-SUMIFS($DF$11:$DF$779,$CY$11:$CY$779,CY651,$CX$11:$CX$779,CX651,$CW$11:$CW$779,0))/SUMIFS($DF$11:$DF$779,$CY$11:$CY$779,CY651,$CX$11:$CX$779,CX651,$CW$11:$CW$779,1),1/SUMIFS($DF$11:$DF$779,$CY$11:$CY$779,CY651,$CX$11:$CX$779,CX651,$CW$11:$CW$779,1))</f>
        <v>1</v>
      </c>
      <c r="DH651" s="881">
        <f t="shared" ca="1" si="296"/>
        <v>1.3784006520000001E-2</v>
      </c>
      <c r="DI651" s="1460">
        <f t="shared" ca="1" si="309"/>
        <v>3.2254575256800004</v>
      </c>
      <c r="DJ651" s="909">
        <f>_xlfn.IFNA(INDEX('Resource use and costs'!$CQ$11:$CQ$53,MATCH($CZ651,'Resource use and costs'!$BA$11:$BA$53,0)),0)*_xlfn.IFNA(INDEX(DY$10:DY$23,MATCH($CZ651,$DX$10:$DX$23,0)),0)</f>
        <v>45284.183573333321</v>
      </c>
      <c r="DK651" s="909">
        <f>IF(dd_PartSA_2_lines = "Yes",0,_xlfn.IFNA(INDEX('Resource use and costs'!$CR$11:$CR$53,MATCH(DA651,'Resource use and costs'!$BA$11:$BA$53,0)),0)*_xlfn.IFNA(INDEX(EA$10:EA$23,MATCH($DA651,$DX$10:$DX$23,0)),0))</f>
        <v>21421.066008214286</v>
      </c>
      <c r="DL651" s="909">
        <f>IF(dd_PartSA_2_lines = "Yes",0,_xlfn.IFNA(INDEX('Resource use and costs'!$CS$11:$CS$53,MATCH(DB651,'Resource use and costs'!$BA$11:$BA$53,0)),0)*_xlfn.IFNA(INDEX(EC$10:EC$23,MATCH($DB651,$DX$10:$DX$23,0)),0))</f>
        <v>0</v>
      </c>
      <c r="DM651" s="909">
        <f t="shared" si="297"/>
        <v>66705.2495815476</v>
      </c>
      <c r="DN651" s="909">
        <f>SUM(_xlfn.IFNA(INDEX('Resource use and costs'!$DU$12:$DU$25,MATCH(CZ651,'Resource use and costs'!$DS$12:$DS$25,0)),0),_xlfn.IFNA(INDEX('Resource use and costs'!$DU$12:$DU$25,MATCH(DA651,'Resource use and costs'!$DS$12:$DS$25,0)),0),_xlfn.IFNA(INDEX('Resource use and costs'!$DU$12:$DU$25,MATCH(DB651,'Resource use and costs'!$DS$12:$DS$25,0)),0))</f>
        <v>394.5</v>
      </c>
      <c r="DO651" s="921">
        <f>_xlfn.IFNA(INDEX('Resource use and costs'!$DY$12:$DY$25,MATCH(CZ651,'Resource use and costs'!$DS$12:$DS$25,0)),0)*_xlfn.IFNA(INDEX(DY$10:DY$23,MATCH($CZ651,$DX$10:$DX$23,0)),0)</f>
        <v>415.09348571428563</v>
      </c>
      <c r="DP651" s="921">
        <f>IF(dd_PartSA_2_lines = "Yes",0,_xlfn.IFNA(INDEX('Resource use and costs'!$DZ$12:$DZ$25,MATCH(DA651,'Resource use and costs'!$DS$12:$DS$25,0)),0)*_xlfn.IFNA(INDEX(EA$10:EA$23,MATCH($DA651,$DX$10:$DX$23,0)),0))</f>
        <v>267.99172714285714</v>
      </c>
      <c r="DQ651" s="921">
        <f>IF(dd_PartSA_2_lines = "Yes",0,_xlfn.IFNA(INDEX('Resource use and costs'!$EA$12:$EA$25,MATCH(DB651,'Resource use and costs'!$DS$12:$DS$25,0)),0)*_xlfn.IFNA(INDEX(EC$10:EC$23,MATCH($DB651,$DX$10:$DX$23,0)),0))</f>
        <v>0</v>
      </c>
      <c r="DR651" s="921">
        <f t="shared" si="298"/>
        <v>1077.5852128571428</v>
      </c>
      <c r="DS651" s="1004">
        <f ca="1">SUMIFS('Safety parameters'!$DM$6:$DM$18,'Safety parameters'!$DK$6:$DK$18,CZ651,'Safety parameters'!$DL$6:$DL$18,1)+IF(dd_PartSA_2_lines = "Yes",0,SUMIFS('Safety parameters'!$DM$6:$DM$18,'Safety parameters'!$DK$6:$DK$18,DA651,'Safety parameters'!$DL$6:$DL$18,2)+SUMIFS('Safety parameters'!$DM$6:$DM$18,'Safety parameters'!$DK$6:$DK$18,DB651,'Safety parameters'!$DL$6:$DL$18,2))</f>
        <v>2366.0578362496171</v>
      </c>
      <c r="DT651" s="910">
        <f ca="1">SUMIFS('Safety parameters'!$DO$6:$DO$18,'Safety parameters'!$DK$6:$DK$18,CZ651,'Safety parameters'!$DL$6:$DL$18,1)+IF(dd_PartSA_2_lines = "Yes",0,SUMIFS('Safety parameters'!$DO$6:$DO$18,'Safety parameters'!$DK$6:$DK$18,DA651,'Safety parameters'!$DL$6:$DL$18,2)+SUMIFS('Safety parameters'!$DO$6:$DO$18,'Safety parameters'!$DK$6:$DK$18,DB651,'Safety parameters'!$DL$6:$DL$18,2))</f>
        <v>-2.125891351595622E-2</v>
      </c>
    </row>
    <row r="652" spans="89:124" ht="15.75" thickBot="1" x14ac:dyDescent="0.25">
      <c r="CK652" s="506" t="s">
        <v>31</v>
      </c>
      <c r="CL652" s="506">
        <v>5</v>
      </c>
      <c r="CM652" s="506" t="str">
        <v>placebo_BSC</v>
      </c>
      <c r="CN652" s="19">
        <v>999</v>
      </c>
      <c r="CO652" s="506" t="str" cm="1">
        <f t="array" ref="CO652">INDEX(List_comparators,CP624+2)</f>
        <v>placebo_BSC</v>
      </c>
      <c r="CP652" s="19">
        <v>999</v>
      </c>
      <c r="CQ652" s="602">
        <f t="shared" ca="1" si="305"/>
        <v>0</v>
      </c>
      <c r="CR652" s="602">
        <f t="shared" ca="1" si="306"/>
        <v>0</v>
      </c>
      <c r="CS652" s="602">
        <f t="shared" ca="1" si="307"/>
        <v>0</v>
      </c>
      <c r="CT652" s="748">
        <f t="shared" ca="1" si="308"/>
        <v>0</v>
      </c>
      <c r="CU652" s="1123">
        <f>MATCH(CZ659,'Resource use and costs'!$BA$11:$BA$53,0)</f>
        <v>37</v>
      </c>
      <c r="CV652" s="1223"/>
      <c r="CW652" s="1241">
        <f t="shared" ref="CW652:CW715" si="311">IF(CZ652="BSC",0,1)</f>
        <v>1</v>
      </c>
      <c r="CX652" s="899" t="s">
        <v>794</v>
      </c>
      <c r="CY652" s="899" t="s">
        <v>585</v>
      </c>
      <c r="CZ652" s="899" t="s">
        <v>118</v>
      </c>
      <c r="DA652" s="899" t="s">
        <v>327</v>
      </c>
      <c r="DB652" s="899" t="s">
        <v>119</v>
      </c>
      <c r="DC652" s="899">
        <f t="shared" ref="DC652:DC658" ca="1" si="312">DC651</f>
        <v>0.26190000000000002</v>
      </c>
      <c r="DD652" s="899" cm="1">
        <f t="array" aca="1" ref="DD652" ca="1">_xlfn.IFNA(OFFSET($Y$49,MATCH($CZ652,$Y$50:$Y$63,0),MATCH($DA652,TRANSPOSE($Z$49:$AM$49),0)),0)</f>
        <v>0.122</v>
      </c>
      <c r="DE652" s="899" cm="1">
        <f t="array" aca="1" ref="DE652" ca="1">_xlfn.IFNA(OFFSET($AO$49,MATCH($DA652,$AO$50:$AO$63,0),MATCH($DB652,TRANSPOSE($AP$49:$BC$49),0)),0)</f>
        <v>0.56859999999999999</v>
      </c>
      <c r="DF652" s="881">
        <f t="shared" ca="1" si="295"/>
        <v>1.816779348E-2</v>
      </c>
      <c r="DG652" s="910">
        <f t="shared" ca="1" si="310"/>
        <v>1</v>
      </c>
      <c r="DH652" s="881">
        <f t="shared" ca="1" si="296"/>
        <v>1.816779348E-2</v>
      </c>
      <c r="DI652" s="1460">
        <f t="shared" ca="1" si="309"/>
        <v>4.2512636743199996</v>
      </c>
      <c r="DJ652" s="909">
        <f>_xlfn.IFNA(INDEX('Resource use and costs'!$CQ$11:$CQ$53,MATCH($CZ652,'Resource use and costs'!$BA$11:$BA$53,0)),0)*_xlfn.IFNA(INDEX(DY$10:DY$23,MATCH($CZ652,$DX$10:$DX$23,0)),0)</f>
        <v>45284.183573333321</v>
      </c>
      <c r="DK652" s="909">
        <f>IF(dd_PartSA_2_lines = "Yes",0,_xlfn.IFNA(INDEX('Resource use and costs'!$CR$11:$CR$53,MATCH(DA652,'Resource use and costs'!$BA$11:$BA$53,0)),0)*_xlfn.IFNA(INDEX(EA$10:EA$23,MATCH($DA652,$DX$10:$DX$23,0)),0))</f>
        <v>21421.066008214286</v>
      </c>
      <c r="DL652" s="909">
        <f>IF(dd_PartSA_2_lines = "Yes",0,_xlfn.IFNA(INDEX('Resource use and costs'!$CS$11:$CS$53,MATCH(DB652,'Resource use and costs'!$BA$11:$BA$53,0)),0)*_xlfn.IFNA(INDEX(EC$10:EC$23,MATCH($DB652,$DX$10:$DX$23,0)),0))</f>
        <v>2915.4763433333328</v>
      </c>
      <c r="DM652" s="909">
        <f t="shared" si="297"/>
        <v>69620.725924880928</v>
      </c>
      <c r="DN652" s="909">
        <f>SUM(_xlfn.IFNA(INDEX('Resource use and costs'!$DU$12:$DU$25,MATCH(CZ652,'Resource use and costs'!$DS$12:$DS$25,0)),0),_xlfn.IFNA(INDEX('Resource use and costs'!$DU$12:$DU$25,MATCH(DA652,'Resource use and costs'!$DS$12:$DS$25,0)),0),_xlfn.IFNA(INDEX('Resource use and costs'!$DU$12:$DU$25,MATCH(DB652,'Resource use and costs'!$DS$12:$DS$25,0)),0))</f>
        <v>591.75</v>
      </c>
      <c r="DO652" s="921">
        <f>_xlfn.IFNA(INDEX('Resource use and costs'!$DY$12:$DY$25,MATCH(CZ652,'Resource use and costs'!$DS$12:$DS$25,0)),0)*_xlfn.IFNA(INDEX(DY$10:DY$23,MATCH($CZ652,$DX$10:$DX$23,0)),0)</f>
        <v>415.09348571428563</v>
      </c>
      <c r="DP652" s="921">
        <f>IF(dd_PartSA_2_lines = "Yes",0,_xlfn.IFNA(INDEX('Resource use and costs'!$DZ$12:$DZ$25,MATCH(DA652,'Resource use and costs'!$DS$12:$DS$25,0)),0)*_xlfn.IFNA(INDEX(EA$10:EA$23,MATCH($DA652,$DX$10:$DX$23,0)),0))</f>
        <v>267.99172714285714</v>
      </c>
      <c r="DQ652" s="921">
        <f>IF(dd_PartSA_2_lines = "Yes",0,_xlfn.IFNA(INDEX('Resource use and costs'!$EA$12:$EA$25,MATCH(DB652,'Resource use and costs'!$DS$12:$DS$25,0)),0)*_xlfn.IFNA(INDEX(EC$10:EC$23,MATCH($DB652,$DX$10:$DX$23,0)),0))</f>
        <v>256.11457142857142</v>
      </c>
      <c r="DR652" s="921">
        <f t="shared" si="298"/>
        <v>1530.9497842857143</v>
      </c>
      <c r="DS652" s="1004">
        <f ca="1">SUMIFS('Safety parameters'!$DM$6:$DM$18,'Safety parameters'!$DK$6:$DK$18,CZ652,'Safety parameters'!$DL$6:$DL$18,1)+IF(dd_PartSA_2_lines = "Yes",0,SUMIFS('Safety parameters'!$DM$6:$DM$18,'Safety parameters'!$DK$6:$DK$18,DA652,'Safety parameters'!$DL$6:$DL$18,2)+SUMIFS('Safety parameters'!$DM$6:$DM$18,'Safety parameters'!$DK$6:$DK$18,DB652,'Safety parameters'!$DL$6:$DL$18,2))</f>
        <v>2698.9332196249325</v>
      </c>
      <c r="DT652" s="910">
        <f ca="1">SUMIFS('Safety parameters'!$DO$6:$DO$18,'Safety parameters'!$DK$6:$DK$18,CZ652,'Safety parameters'!$DL$6:$DL$18,1)+IF(dd_PartSA_2_lines = "Yes",0,SUMIFS('Safety parameters'!$DO$6:$DO$18,'Safety parameters'!$DK$6:$DK$18,DA652,'Safety parameters'!$DL$6:$DL$18,2)+SUMIFS('Safety parameters'!$DO$6:$DO$18,'Safety parameters'!$DK$6:$DK$18,DB652,'Safety parameters'!$DL$6:$DL$18,2))</f>
        <v>-2.3926487052593939E-2</v>
      </c>
    </row>
    <row r="653" spans="89:124" ht="28.5" x14ac:dyDescent="0.2">
      <c r="CK653" s="631" t="s">
        <v>31</v>
      </c>
      <c r="CL653" s="631"/>
      <c r="CM653" s="781" t="str">
        <f>H112</f>
        <v>Subsequent radiotherapy (from CheckMate 9ER)</v>
      </c>
      <c r="CN653" s="631"/>
      <c r="CO653" s="631"/>
      <c r="CP653" s="631"/>
      <c r="CQ653" s="782">
        <f>J114</f>
        <v>0.25</v>
      </c>
      <c r="CR653" s="1225">
        <f>K114</f>
        <v>0</v>
      </c>
      <c r="CS653" s="5"/>
      <c r="CT653" s="5"/>
      <c r="CU653" s="1123">
        <f>MATCH(CZ660,'Resource use and costs'!$BA$11:$BA$53,0)</f>
        <v>37</v>
      </c>
      <c r="CV653" s="1223"/>
      <c r="CW653" s="1241">
        <f t="shared" si="311"/>
        <v>1</v>
      </c>
      <c r="CX653" s="899" t="s">
        <v>794</v>
      </c>
      <c r="CY653" s="899" t="s">
        <v>585</v>
      </c>
      <c r="CZ653" s="899" t="s">
        <v>118</v>
      </c>
      <c r="DA653" s="899" t="s">
        <v>765</v>
      </c>
      <c r="DB653" s="899"/>
      <c r="DC653" s="899">
        <f t="shared" ca="1" si="312"/>
        <v>0.26190000000000002</v>
      </c>
      <c r="DD653" s="899" cm="1">
        <f t="array" aca="1" ref="DD653" ca="1">_xlfn.IFNA(OFFSET($Y$49,MATCH($CZ653,$Y$50:$Y$63,0),MATCH($DA653,TRANSPOSE($Z$49:$AM$49),0)),0)</f>
        <v>0.34300000000000003</v>
      </c>
      <c r="DE653" s="899" cm="1">
        <f t="array" aca="1" ref="DE653" ca="1">_xlfn.IFNA(OFFSET($AO$49,MATCH($DA653,$AO$50:$AO$63,0),MATCH($DB653,TRANSPOSE($AP$49:$BC$49),0)),0)</f>
        <v>0</v>
      </c>
      <c r="DF653" s="881">
        <f t="shared" ca="1" si="295"/>
        <v>8.9831700000000014E-2</v>
      </c>
      <c r="DG653" s="910">
        <f t="shared" ca="1" si="310"/>
        <v>1</v>
      </c>
      <c r="DH653" s="881">
        <f t="shared" ca="1" si="296"/>
        <v>8.9831700000000014E-2</v>
      </c>
      <c r="DI653" s="1460">
        <f t="shared" ca="1" si="309"/>
        <v>21.020617800000004</v>
      </c>
      <c r="DJ653" s="909">
        <f>_xlfn.IFNA(INDEX('Resource use and costs'!$CQ$11:$CQ$53,MATCH($CZ653,'Resource use and costs'!$BA$11:$BA$53,0)),0)*_xlfn.IFNA(INDEX(DY$10:DY$23,MATCH($CZ653,$DX$10:$DX$23,0)),0)</f>
        <v>45284.183573333321</v>
      </c>
      <c r="DK653" s="909">
        <f>IF(dd_PartSA_2_lines = "Yes",0,_xlfn.IFNA(INDEX('Resource use and costs'!$CR$11:$CR$53,MATCH(DA653,'Resource use and costs'!$BA$11:$BA$53,0)),0)*_xlfn.IFNA(INDEX(EA$10:EA$23,MATCH($DA653,$DX$10:$DX$23,0)),0))</f>
        <v>0</v>
      </c>
      <c r="DL653" s="909">
        <f>IF(dd_PartSA_2_lines = "Yes",0,_xlfn.IFNA(INDEX('Resource use and costs'!$CS$11:$CS$53,MATCH(DB653,'Resource use and costs'!$BA$11:$BA$53,0)),0)*_xlfn.IFNA(INDEX(EC$10:EC$23,MATCH($DB653,$DX$10:$DX$23,0)),0))</f>
        <v>0</v>
      </c>
      <c r="DM653" s="909">
        <f t="shared" si="297"/>
        <v>45284.183573333321</v>
      </c>
      <c r="DN653" s="909">
        <f>SUM(_xlfn.IFNA(INDEX('Resource use and costs'!$DU$12:$DU$25,MATCH(CZ653,'Resource use and costs'!$DS$12:$DS$25,0)),0),_xlfn.IFNA(INDEX('Resource use and costs'!$DU$12:$DU$25,MATCH(DA653,'Resource use and costs'!$DS$12:$DS$25,0)),0),_xlfn.IFNA(INDEX('Resource use and costs'!$DU$12:$DU$25,MATCH(DB653,'Resource use and costs'!$DS$12:$DS$25,0)),0))</f>
        <v>197.25</v>
      </c>
      <c r="DO653" s="921">
        <f>_xlfn.IFNA(INDEX('Resource use and costs'!$DY$12:$DY$25,MATCH(CZ653,'Resource use and costs'!$DS$12:$DS$25,0)),0)*_xlfn.IFNA(INDEX(DY$10:DY$23,MATCH($CZ653,$DX$10:$DX$23,0)),0)</f>
        <v>415.09348571428563</v>
      </c>
      <c r="DP653" s="921">
        <f>IF(dd_PartSA_2_lines = "Yes",0,_xlfn.IFNA(INDEX('Resource use and costs'!$DZ$12:$DZ$25,MATCH(DA653,'Resource use and costs'!$DS$12:$DS$25,0)),0)*_xlfn.IFNA(INDEX(EA$10:EA$23,MATCH($DA653,$DX$10:$DX$23,0)),0))</f>
        <v>0</v>
      </c>
      <c r="DQ653" s="921">
        <f>IF(dd_PartSA_2_lines = "Yes",0,_xlfn.IFNA(INDEX('Resource use and costs'!$EA$12:$EA$25,MATCH(DB653,'Resource use and costs'!$DS$12:$DS$25,0)),0)*_xlfn.IFNA(INDEX(EC$10:EC$23,MATCH($DB653,$DX$10:$DX$23,0)),0))</f>
        <v>0</v>
      </c>
      <c r="DR653" s="921">
        <f t="shared" si="298"/>
        <v>612.34348571428563</v>
      </c>
      <c r="DS653" s="1004">
        <f ca="1">SUMIFS('Safety parameters'!$DM$6:$DM$18,'Safety parameters'!$DK$6:$DK$18,CZ653,'Safety parameters'!$DL$6:$DL$18,1)+IF(dd_PartSA_2_lines = "Yes",0,SUMIFS('Safety parameters'!$DM$6:$DM$18,'Safety parameters'!$DK$6:$DK$18,DA653,'Safety parameters'!$DL$6:$DL$18,2)+SUMIFS('Safety parameters'!$DM$6:$DM$18,'Safety parameters'!$DK$6:$DK$18,DB653,'Safety parameters'!$DL$6:$DL$18,2))</f>
        <v>731.82916268415761</v>
      </c>
      <c r="DT653" s="910">
        <f ca="1">SUMIFS('Safety parameters'!$DO$6:$DO$18,'Safety parameters'!$DK$6:$DK$18,CZ653,'Safety parameters'!$DL$6:$DL$18,1)+IF(dd_PartSA_2_lines = "Yes",0,SUMIFS('Safety parameters'!$DO$6:$DO$18,'Safety parameters'!$DK$6:$DK$18,DA653,'Safety parameters'!$DL$6:$DL$18,2)+SUMIFS('Safety parameters'!$DO$6:$DO$18,'Safety parameters'!$DK$6:$DK$18,DB653,'Safety parameters'!$DL$6:$DL$18,2))</f>
        <v>-6.5169895084747891E-3</v>
      </c>
    </row>
    <row r="654" spans="89:124" ht="15" thickBot="1" x14ac:dyDescent="0.25">
      <c r="CK654" s="666" t="s">
        <v>31</v>
      </c>
      <c r="CL654" s="666"/>
      <c r="CM654" s="666" t="str">
        <f>H117</f>
        <v>Subsequent surgery (from CheckMate 9ER)</v>
      </c>
      <c r="CN654" s="666"/>
      <c r="CO654" s="666"/>
      <c r="CP654" s="666"/>
      <c r="CQ654" s="783">
        <f>J119</f>
        <v>0.25</v>
      </c>
      <c r="CR654" s="1226">
        <f>K119</f>
        <v>0</v>
      </c>
      <c r="CS654" s="666"/>
      <c r="CT654" s="666"/>
      <c r="CU654" s="1123">
        <f>MATCH(CZ661,'Resource use and costs'!$BA$11:$BA$53,0)</f>
        <v>37</v>
      </c>
      <c r="CV654" s="1223"/>
      <c r="CW654" s="1241">
        <f t="shared" si="311"/>
        <v>1</v>
      </c>
      <c r="CX654" s="899" t="s">
        <v>794</v>
      </c>
      <c r="CY654" s="899" t="s">
        <v>585</v>
      </c>
      <c r="CZ654" s="899" t="s">
        <v>118</v>
      </c>
      <c r="DA654" s="899" t="s">
        <v>119</v>
      </c>
      <c r="DB654" s="899" t="s">
        <v>327</v>
      </c>
      <c r="DC654" s="899">
        <f t="shared" ca="1" si="312"/>
        <v>0.26190000000000002</v>
      </c>
      <c r="DD654" s="899" cm="1">
        <f t="array" aca="1" ref="DD654" ca="1">_xlfn.IFNA(OFFSET($Y$49,MATCH($CZ654,$Y$50:$Y$63,0),MATCH($DA654,TRANSPOSE($Z$49:$AM$49),0)),0)</f>
        <v>6.5699999999999995E-2</v>
      </c>
      <c r="DE654" s="899" cm="1">
        <f t="array" aca="1" ref="DE654" ca="1">_xlfn.IFNA(OFFSET($AO$49,MATCH($DA654,$AO$50:$AO$63,0),MATCH($DB654,TRANSPOSE($AP$49:$BC$49),0)),0)</f>
        <v>0</v>
      </c>
      <c r="DF654" s="881">
        <f t="shared" ca="1" si="295"/>
        <v>0</v>
      </c>
      <c r="DG654" s="910">
        <f t="shared" ca="1" si="310"/>
        <v>1</v>
      </c>
      <c r="DH654" s="881">
        <f t="shared" ca="1" si="296"/>
        <v>0</v>
      </c>
      <c r="DI654" s="1460">
        <f t="shared" ca="1" si="309"/>
        <v>0</v>
      </c>
      <c r="DJ654" s="909">
        <f>_xlfn.IFNA(INDEX('Resource use and costs'!$CQ$11:$CQ$53,MATCH($CZ654,'Resource use and costs'!$BA$11:$BA$53,0)),0)*_xlfn.IFNA(INDEX(DY$10:DY$23,MATCH($CZ654,$DX$10:$DX$23,0)),0)</f>
        <v>45284.183573333321</v>
      </c>
      <c r="DK654" s="909">
        <f>IF(dd_PartSA_2_lines = "Yes",0,_xlfn.IFNA(INDEX('Resource use and costs'!$CR$11:$CR$53,MATCH(DA654,'Resource use and costs'!$BA$11:$BA$53,0)),0)*_xlfn.IFNA(INDEX(EA$10:EA$23,MATCH($DA654,$DX$10:$DX$23,0)),0))</f>
        <v>848.17532499999982</v>
      </c>
      <c r="DL654" s="909">
        <f>IF(dd_PartSA_2_lines = "Yes",0,_xlfn.IFNA(INDEX('Resource use and costs'!$CS$11:$CS$53,MATCH(DB654,'Resource use and costs'!$BA$11:$BA$53,0)),0)*_xlfn.IFNA(INDEX(EC$10:EC$23,MATCH($DB654,$DX$10:$DX$23,0)),0))</f>
        <v>18438.751749999999</v>
      </c>
      <c r="DM654" s="909">
        <f t="shared" si="297"/>
        <v>64571.110648333313</v>
      </c>
      <c r="DN654" s="909">
        <f>SUM(_xlfn.IFNA(INDEX('Resource use and costs'!$DU$12:$DU$25,MATCH(CZ654,'Resource use and costs'!$DS$12:$DS$25,0)),0),_xlfn.IFNA(INDEX('Resource use and costs'!$DU$12:$DU$25,MATCH(DA654,'Resource use and costs'!$DS$12:$DS$25,0)),0),_xlfn.IFNA(INDEX('Resource use and costs'!$DU$12:$DU$25,MATCH(DB654,'Resource use and costs'!$DS$12:$DS$25,0)),0))</f>
        <v>591.75</v>
      </c>
      <c r="DO654" s="921">
        <f>_xlfn.IFNA(INDEX('Resource use and costs'!$DY$12:$DY$25,MATCH(CZ654,'Resource use and costs'!$DS$12:$DS$25,0)),0)*_xlfn.IFNA(INDEX(DY$10:DY$23,MATCH($CZ654,$DX$10:$DX$23,0)),0)</f>
        <v>415.09348571428563</v>
      </c>
      <c r="DP654" s="921">
        <f>IF(dd_PartSA_2_lines = "Yes",0,_xlfn.IFNA(INDEX('Resource use and costs'!$DZ$12:$DZ$25,MATCH(DA654,'Resource use and costs'!$DS$12:$DS$25,0)),0)*_xlfn.IFNA(INDEX(EA$10:EA$23,MATCH($DA654,$DX$10:$DX$23,0)),0))</f>
        <v>74.50928571428571</v>
      </c>
      <c r="DQ654" s="921">
        <f>IF(dd_PartSA_2_lines = "Yes",0,_xlfn.IFNA(INDEX('Resource use and costs'!$EA$12:$EA$25,MATCH(DB654,'Resource use and costs'!$DS$12:$DS$25,0)),0)*_xlfn.IFNA(INDEX(EC$10:EC$23,MATCH($DB654,$DX$10:$DX$23,0)),0))</f>
        <v>230.68099999999998</v>
      </c>
      <c r="DR654" s="921">
        <f t="shared" si="298"/>
        <v>1312.0337714285713</v>
      </c>
      <c r="DS654" s="1004">
        <f ca="1">SUMIFS('Safety parameters'!$DM$6:$DM$18,'Safety parameters'!$DK$6:$DK$18,CZ654,'Safety parameters'!$DL$6:$DL$18,1)+IF(dd_PartSA_2_lines = "Yes",0,SUMIFS('Safety parameters'!$DM$6:$DM$18,'Safety parameters'!$DK$6:$DK$18,DA654,'Safety parameters'!$DL$6:$DL$18,2)+SUMIFS('Safety parameters'!$DM$6:$DM$18,'Safety parameters'!$DK$6:$DK$18,DB654,'Safety parameters'!$DL$6:$DL$18,2))</f>
        <v>2698.9332196249325</v>
      </c>
      <c r="DT654" s="910">
        <f ca="1">SUMIFS('Safety parameters'!$DO$6:$DO$18,'Safety parameters'!$DK$6:$DK$18,CZ654,'Safety parameters'!$DL$6:$DL$18,1)+IF(dd_PartSA_2_lines = "Yes",0,SUMIFS('Safety parameters'!$DO$6:$DO$18,'Safety parameters'!$DK$6:$DK$18,DA654,'Safety parameters'!$DL$6:$DL$18,2)+SUMIFS('Safety parameters'!$DO$6:$DO$18,'Safety parameters'!$DK$6:$DK$18,DB654,'Safety parameters'!$DL$6:$DL$18,2))</f>
        <v>-2.3926487052593939E-2</v>
      </c>
    </row>
    <row r="655" spans="89:124" x14ac:dyDescent="0.2">
      <c r="CK655" s="61" t="str">
        <f>INDEX(List_pop,2)</f>
        <v>Poor / intermediate risk</v>
      </c>
      <c r="CL655" s="631"/>
      <c r="CM655" s="631" t="str">
        <f>H112</f>
        <v>Subsequent radiotherapy (from CheckMate 9ER)</v>
      </c>
      <c r="CN655" s="631"/>
      <c r="CO655" s="631"/>
      <c r="CP655" s="631"/>
      <c r="CQ655" s="782">
        <f>L114</f>
        <v>0.25</v>
      </c>
      <c r="CR655" s="1225">
        <f>M114</f>
        <v>0</v>
      </c>
      <c r="CS655" s="631"/>
      <c r="CT655" s="631"/>
      <c r="CU655" s="1123">
        <f>MATCH(CZ662,'Resource use and costs'!$BA$11:$BA$53,0)</f>
        <v>37</v>
      </c>
      <c r="CV655" s="1223"/>
      <c r="CW655" s="1241">
        <f t="shared" si="311"/>
        <v>1</v>
      </c>
      <c r="CX655" s="899" t="s">
        <v>794</v>
      </c>
      <c r="CY655" s="899" t="s">
        <v>585</v>
      </c>
      <c r="CZ655" s="899" t="s">
        <v>118</v>
      </c>
      <c r="DA655" s="899" t="s">
        <v>119</v>
      </c>
      <c r="DB655" s="899" t="s">
        <v>765</v>
      </c>
      <c r="DC655" s="899">
        <f t="shared" ca="1" si="312"/>
        <v>0.26190000000000002</v>
      </c>
      <c r="DD655" s="899" cm="1">
        <f t="array" aca="1" ref="DD655" ca="1">_xlfn.IFNA(OFFSET($Y$49,MATCH($CZ655,$Y$50:$Y$63,0),MATCH($DA655,TRANSPOSE($Z$49:$AM$49),0)),0)</f>
        <v>6.5699999999999995E-2</v>
      </c>
      <c r="DE655" s="899" cm="1">
        <f t="array" aca="1" ref="DE655" ca="1">_xlfn.IFNA(OFFSET($AO$49,MATCH($DA655,$AO$50:$AO$63,0),MATCH($DB655,TRANSPOSE($AP$49:$BC$49),0)),0)</f>
        <v>1</v>
      </c>
      <c r="DF655" s="881">
        <f t="shared" ca="1" si="295"/>
        <v>1.7206829999999999E-2</v>
      </c>
      <c r="DG655" s="910">
        <f t="shared" ca="1" si="310"/>
        <v>1</v>
      </c>
      <c r="DH655" s="881">
        <f t="shared" ca="1" si="296"/>
        <v>1.7206829999999999E-2</v>
      </c>
      <c r="DI655" s="1460">
        <f t="shared" ca="1" si="309"/>
        <v>4.0263982199999999</v>
      </c>
      <c r="DJ655" s="909">
        <f>_xlfn.IFNA(INDEX('Resource use and costs'!$CQ$11:$CQ$53,MATCH($CZ655,'Resource use and costs'!$BA$11:$BA$53,0)),0)*_xlfn.IFNA(INDEX(DY$10:DY$23,MATCH($CZ655,$DX$10:$DX$23,0)),0)</f>
        <v>45284.183573333321</v>
      </c>
      <c r="DK655" s="909">
        <f>IF(dd_PartSA_2_lines = "Yes",0,_xlfn.IFNA(INDEX('Resource use and costs'!$CR$11:$CR$53,MATCH(DA655,'Resource use and costs'!$BA$11:$BA$53,0)),0)*_xlfn.IFNA(INDEX(EA$10:EA$23,MATCH($DA655,$DX$10:$DX$23,0)),0))</f>
        <v>848.17532499999982</v>
      </c>
      <c r="DL655" s="909">
        <f>IF(dd_PartSA_2_lines = "Yes",0,_xlfn.IFNA(INDEX('Resource use and costs'!$CS$11:$CS$53,MATCH(DB655,'Resource use and costs'!$BA$11:$BA$53,0)),0)*_xlfn.IFNA(INDEX(EC$10:EC$23,MATCH($DB655,$DX$10:$DX$23,0)),0))</f>
        <v>0</v>
      </c>
      <c r="DM655" s="909">
        <f t="shared" si="297"/>
        <v>46132.358898333317</v>
      </c>
      <c r="DN655" s="909">
        <f>SUM(_xlfn.IFNA(INDEX('Resource use and costs'!$DU$12:$DU$25,MATCH(CZ655,'Resource use and costs'!$DS$12:$DS$25,0)),0),_xlfn.IFNA(INDEX('Resource use and costs'!$DU$12:$DU$25,MATCH(DA655,'Resource use and costs'!$DS$12:$DS$25,0)),0),_xlfn.IFNA(INDEX('Resource use and costs'!$DU$12:$DU$25,MATCH(DB655,'Resource use and costs'!$DS$12:$DS$25,0)),0))</f>
        <v>394.5</v>
      </c>
      <c r="DO655" s="921">
        <f>_xlfn.IFNA(INDEX('Resource use and costs'!$DY$12:$DY$25,MATCH(CZ655,'Resource use and costs'!$DS$12:$DS$25,0)),0)*_xlfn.IFNA(INDEX(DY$10:DY$23,MATCH($CZ655,$DX$10:$DX$23,0)),0)</f>
        <v>415.09348571428563</v>
      </c>
      <c r="DP655" s="921">
        <f>IF(dd_PartSA_2_lines = "Yes",0,_xlfn.IFNA(INDEX('Resource use and costs'!$DZ$12:$DZ$25,MATCH(DA655,'Resource use and costs'!$DS$12:$DS$25,0)),0)*_xlfn.IFNA(INDEX(EA$10:EA$23,MATCH($DA655,$DX$10:$DX$23,0)),0))</f>
        <v>74.50928571428571</v>
      </c>
      <c r="DQ655" s="921">
        <f>IF(dd_PartSA_2_lines = "Yes",0,_xlfn.IFNA(INDEX('Resource use and costs'!$EA$12:$EA$25,MATCH(DB655,'Resource use and costs'!$DS$12:$DS$25,0)),0)*_xlfn.IFNA(INDEX(EC$10:EC$23,MATCH($DB655,$DX$10:$DX$23,0)),0))</f>
        <v>0</v>
      </c>
      <c r="DR655" s="921">
        <f t="shared" si="298"/>
        <v>884.10277142857137</v>
      </c>
      <c r="DS655" s="1004">
        <f ca="1">SUMIFS('Safety parameters'!$DM$6:$DM$18,'Safety parameters'!$DK$6:$DK$18,CZ655,'Safety parameters'!$DL$6:$DL$18,1)+IF(dd_PartSA_2_lines = "Yes",0,SUMIFS('Safety parameters'!$DM$6:$DM$18,'Safety parameters'!$DK$6:$DK$18,DA655,'Safety parameters'!$DL$6:$DL$18,2)+SUMIFS('Safety parameters'!$DM$6:$DM$18,'Safety parameters'!$DK$6:$DK$18,DB655,'Safety parameters'!$DL$6:$DL$18,2))</f>
        <v>1064.7045460594725</v>
      </c>
      <c r="DT655" s="910">
        <f ca="1">SUMIFS('Safety parameters'!$DO$6:$DO$18,'Safety parameters'!$DK$6:$DK$18,CZ655,'Safety parameters'!$DL$6:$DL$18,1)+IF(dd_PartSA_2_lines = "Yes",0,SUMIFS('Safety parameters'!$DO$6:$DO$18,'Safety parameters'!$DK$6:$DK$18,DA655,'Safety parameters'!$DL$6:$DL$18,2)+SUMIFS('Safety parameters'!$DO$6:$DO$18,'Safety parameters'!$DK$6:$DK$18,DB655,'Safety parameters'!$DL$6:$DL$18,2))</f>
        <v>-9.184563045112509E-3</v>
      </c>
    </row>
    <row r="656" spans="89:124" ht="15" thickBot="1" x14ac:dyDescent="0.25">
      <c r="CK656" s="506" t="str">
        <f>INDEX(List_pop,2)</f>
        <v>Poor / intermediate risk</v>
      </c>
      <c r="CL656" s="506"/>
      <c r="CM656" s="506" t="str">
        <f>H117</f>
        <v>Subsequent surgery (from CheckMate 9ER)</v>
      </c>
      <c r="CN656" s="506"/>
      <c r="CO656" s="506"/>
      <c r="CP656" s="506"/>
      <c r="CQ656" s="1226">
        <f>L119</f>
        <v>0.25</v>
      </c>
      <c r="CR656" s="1226">
        <f>M119</f>
        <v>0</v>
      </c>
      <c r="CS656" s="506"/>
      <c r="CT656" s="506"/>
      <c r="CU656" s="1123">
        <f>MATCH(CZ663,'Resource use and costs'!$BA$11:$BA$53,0)</f>
        <v>37</v>
      </c>
      <c r="CV656" s="1223"/>
      <c r="CW656" s="1241">
        <f t="shared" si="311"/>
        <v>1</v>
      </c>
      <c r="CX656" s="899" t="s">
        <v>794</v>
      </c>
      <c r="CY656" s="899" t="s">
        <v>585</v>
      </c>
      <c r="CZ656" s="899" t="s">
        <v>118</v>
      </c>
      <c r="DA656" s="899" t="s">
        <v>579</v>
      </c>
      <c r="DB656" s="899" t="s">
        <v>327</v>
      </c>
      <c r="DC656" s="899">
        <f t="shared" ca="1" si="312"/>
        <v>0.26190000000000002</v>
      </c>
      <c r="DD656" s="899">
        <f ca="1">1-DD651-DD653-DD654</f>
        <v>0.46929999999999994</v>
      </c>
      <c r="DE656" s="899" cm="1">
        <f t="array" aca="1" ref="DE656" ca="1">_xlfn.IFNA(OFFSET($AO$49,MATCH($DA656,$AO$50:$AO$63,0),MATCH($DB656,TRANSPOSE($AP$49:$BC$49),0)),0)</f>
        <v>0.56859999999999999</v>
      </c>
      <c r="DF656" s="881">
        <f t="shared" ca="1" si="295"/>
        <v>6.9886438361999995E-2</v>
      </c>
      <c r="DG656" s="910">
        <f t="shared" ca="1" si="310"/>
        <v>1</v>
      </c>
      <c r="DH656" s="881">
        <f t="shared" ca="1" si="296"/>
        <v>6.9886438361999995E-2</v>
      </c>
      <c r="DI656" s="1460">
        <f t="shared" ca="1" si="309"/>
        <v>16.353426576707999</v>
      </c>
      <c r="DJ656" s="909">
        <f>_xlfn.IFNA(INDEX('Resource use and costs'!$CQ$11:$CQ$53,MATCH($CZ656,'Resource use and costs'!$BA$11:$BA$53,0)),0)*_xlfn.IFNA(INDEX(DY$10:DY$23,MATCH($CZ656,$DX$10:$DX$23,0)),0)</f>
        <v>45284.183573333321</v>
      </c>
      <c r="DK656" s="909">
        <f>IF(dd_PartSA_2_lines = "Yes",0,_xlfn.IFNA(INDEX('Resource use and costs'!$CR$11:$CR$53,MATCH(DA656,'Resource use and costs'!$BA$11:$BA$53,0)),0)*_xlfn.IFNA(INDEX(EA$10:EA$23,MATCH($DA656,$DX$10:$DX$23,0)),0))</f>
        <v>26054.50921</v>
      </c>
      <c r="DL656" s="909">
        <f>IF(dd_PartSA_2_lines = "Yes",0,_xlfn.IFNA(INDEX('Resource use and costs'!$CS$11:$CS$53,MATCH(DB656,'Resource use and costs'!$BA$11:$BA$53,0)),0)*_xlfn.IFNA(INDEX(EC$10:EC$23,MATCH($DB656,$DX$10:$DX$23,0)),0))</f>
        <v>18438.751749999999</v>
      </c>
      <c r="DM656" s="909">
        <f t="shared" si="297"/>
        <v>89777.444533333313</v>
      </c>
      <c r="DN656" s="909">
        <f>SUM(_xlfn.IFNA(INDEX('Resource use and costs'!$DU$12:$DU$25,MATCH(CZ656,'Resource use and costs'!$DS$12:$DS$25,0)),0),_xlfn.IFNA(INDEX('Resource use and costs'!$DU$12:$DU$25,MATCH(DA656,'Resource use and costs'!$DS$12:$DS$25,0)),0),_xlfn.IFNA(INDEX('Resource use and costs'!$DU$12:$DU$25,MATCH(DB656,'Resource use and costs'!$DS$12:$DS$25,0)),0))</f>
        <v>394.5</v>
      </c>
      <c r="DO656" s="921">
        <f>_xlfn.IFNA(INDEX('Resource use and costs'!$DY$12:$DY$25,MATCH(CZ656,'Resource use and costs'!$DS$12:$DS$25,0)),0)*_xlfn.IFNA(INDEX(DY$10:DY$23,MATCH($CZ656,$DX$10:$DX$23,0)),0)</f>
        <v>415.09348571428563</v>
      </c>
      <c r="DP656" s="921">
        <f>IF(dd_PartSA_2_lines = "Yes",0,_xlfn.IFNA(INDEX('Resource use and costs'!$DZ$12:$DZ$25,MATCH(DA656,'Resource use and costs'!$DS$12:$DS$25,0)),0)*_xlfn.IFNA(INDEX(EA$10:EA$23,MATCH($DA656,$DX$10:$DX$23,0)),0))</f>
        <v>4108.3597166</v>
      </c>
      <c r="DQ656" s="921">
        <f>IF(dd_PartSA_2_lines = "Yes",0,_xlfn.IFNA(INDEX('Resource use and costs'!$EA$12:$EA$25,MATCH(DB656,'Resource use and costs'!$DS$12:$DS$25,0)),0)*_xlfn.IFNA(INDEX(EC$10:EC$23,MATCH($DB656,$DX$10:$DX$23,0)),0))</f>
        <v>230.68099999999998</v>
      </c>
      <c r="DR656" s="921">
        <f t="shared" si="298"/>
        <v>5148.6342023142852</v>
      </c>
      <c r="DS656" s="1004">
        <f ca="1">SUMIFS('Safety parameters'!$DM$6:$DM$18,'Safety parameters'!$DK$6:$DK$18,CZ656,'Safety parameters'!$DL$6:$DL$18,1)+IF(dd_PartSA_2_lines = "Yes",0,SUMIFS('Safety parameters'!$DM$6:$DM$18,'Safety parameters'!$DK$6:$DK$18,DA656,'Safety parameters'!$DL$6:$DL$18,2)+SUMIFS('Safety parameters'!$DM$6:$DM$18,'Safety parameters'!$DK$6:$DK$18,DB656,'Safety parameters'!$DL$6:$DL$18,2))</f>
        <v>2527.1915852400316</v>
      </c>
      <c r="DT656" s="910">
        <f ca="1">SUMIFS('Safety parameters'!$DO$6:$DO$18,'Safety parameters'!$DK$6:$DK$18,CZ656,'Safety parameters'!$DL$6:$DL$18,1)+IF(dd_PartSA_2_lines = "Yes",0,SUMIFS('Safety parameters'!$DO$6:$DO$18,'Safety parameters'!$DK$6:$DK$18,DA656,'Safety parameters'!$DL$6:$DL$18,2)+SUMIFS('Safety parameters'!$DO$6:$DO$18,'Safety parameters'!$DK$6:$DK$18,DB656,'Safety parameters'!$DL$6:$DL$18,2))</f>
        <v>-2.2855997713641003E-2</v>
      </c>
    </row>
    <row r="657" spans="89:124" x14ac:dyDescent="0.2">
      <c r="CK657" s="5" t="s">
        <v>559</v>
      </c>
      <c r="CL657" s="5"/>
      <c r="CM657" s="5" t="str">
        <f>H112</f>
        <v>Subsequent radiotherapy (from CheckMate 9ER)</v>
      </c>
      <c r="CN657" s="5"/>
      <c r="CO657" s="5"/>
      <c r="CP657" s="5"/>
      <c r="CQ657" s="745">
        <f>N114</f>
        <v>0.25</v>
      </c>
      <c r="CR657" s="881">
        <f>O114</f>
        <v>0</v>
      </c>
      <c r="CS657" s="5"/>
      <c r="CT657" s="5"/>
      <c r="CU657" s="1123">
        <f>MATCH(CZ664,'Resource use and costs'!$BA$11:$BA$53,0)</f>
        <v>37</v>
      </c>
      <c r="CV657" s="1223"/>
      <c r="CW657" s="1241">
        <f t="shared" si="311"/>
        <v>1</v>
      </c>
      <c r="CX657" s="899" t="s">
        <v>794</v>
      </c>
      <c r="CY657" s="899" t="s">
        <v>585</v>
      </c>
      <c r="CZ657" s="899" t="s">
        <v>118</v>
      </c>
      <c r="DA657" s="899" t="s">
        <v>579</v>
      </c>
      <c r="DB657" s="899" t="s">
        <v>765</v>
      </c>
      <c r="DC657" s="899">
        <f t="shared" ca="1" si="312"/>
        <v>0.26190000000000002</v>
      </c>
      <c r="DD657" s="899">
        <f ca="1">DD656</f>
        <v>0.46929999999999994</v>
      </c>
      <c r="DE657" s="899" cm="1">
        <f t="array" aca="1" ref="DE657" ca="1">_xlfn.IFNA(OFFSET($AO$49,MATCH($DA657,$AO$50:$AO$63,0),MATCH($DB657,TRANSPOSE($AP$49:$BC$49),0)),0)</f>
        <v>0.43140000000000001</v>
      </c>
      <c r="DF657" s="881">
        <f t="shared" ca="1" si="295"/>
        <v>5.3023231637999997E-2</v>
      </c>
      <c r="DG657" s="910">
        <f t="shared" ca="1" si="310"/>
        <v>1</v>
      </c>
      <c r="DH657" s="881">
        <f t="shared" ca="1" si="296"/>
        <v>5.3023231637999997E-2</v>
      </c>
      <c r="DI657" s="1460">
        <f t="shared" ca="1" si="309"/>
        <v>12.407436203291999</v>
      </c>
      <c r="DJ657" s="909">
        <f>_xlfn.IFNA(INDEX('Resource use and costs'!$CQ$11:$CQ$53,MATCH($CZ657,'Resource use and costs'!$BA$11:$BA$53,0)),0)*_xlfn.IFNA(INDEX(DY$10:DY$23,MATCH($CZ657,$DX$10:$DX$23,0)),0)</f>
        <v>45284.183573333321</v>
      </c>
      <c r="DK657" s="909">
        <f>IF(dd_PartSA_2_lines = "Yes",0,_xlfn.IFNA(INDEX('Resource use and costs'!$CR$11:$CR$53,MATCH(DA657,'Resource use and costs'!$BA$11:$BA$53,0)),0)*_xlfn.IFNA(INDEX(EA$10:EA$23,MATCH($DA657,$DX$10:$DX$23,0)),0))</f>
        <v>26054.50921</v>
      </c>
      <c r="DL657" s="909">
        <f>IF(dd_PartSA_2_lines = "Yes",0,_xlfn.IFNA(INDEX('Resource use and costs'!$CS$11:$CS$53,MATCH(DB657,'Resource use and costs'!$BA$11:$BA$53,0)),0)*_xlfn.IFNA(INDEX(EC$10:EC$23,MATCH($DB657,$DX$10:$DX$23,0)),0))</f>
        <v>0</v>
      </c>
      <c r="DM657" s="909">
        <f t="shared" si="297"/>
        <v>71338.692783333317</v>
      </c>
      <c r="DN657" s="909">
        <f>SUM(_xlfn.IFNA(INDEX('Resource use and costs'!$DU$12:$DU$25,MATCH(CZ657,'Resource use and costs'!$DS$12:$DS$25,0)),0),_xlfn.IFNA(INDEX('Resource use and costs'!$DU$12:$DU$25,MATCH(DA657,'Resource use and costs'!$DS$12:$DS$25,0)),0),_xlfn.IFNA(INDEX('Resource use and costs'!$DU$12:$DU$25,MATCH(DB657,'Resource use and costs'!$DS$12:$DS$25,0)),0))</f>
        <v>197.25</v>
      </c>
      <c r="DO657" s="921">
        <f>_xlfn.IFNA(INDEX('Resource use and costs'!$DY$12:$DY$25,MATCH(CZ657,'Resource use and costs'!$DS$12:$DS$25,0)),0)*_xlfn.IFNA(INDEX(DY$10:DY$23,MATCH($CZ657,$DX$10:$DX$23,0)),0)</f>
        <v>415.09348571428563</v>
      </c>
      <c r="DP657" s="921">
        <f>IF(dd_PartSA_2_lines = "Yes",0,_xlfn.IFNA(INDEX('Resource use and costs'!$DZ$12:$DZ$25,MATCH(DA657,'Resource use and costs'!$DS$12:$DS$25,0)),0)*_xlfn.IFNA(INDEX(EA$10:EA$23,MATCH($DA657,$DX$10:$DX$23,0)),0))</f>
        <v>4108.3597166</v>
      </c>
      <c r="DQ657" s="921">
        <f>IF(dd_PartSA_2_lines = "Yes",0,_xlfn.IFNA(INDEX('Resource use and costs'!$EA$12:$EA$25,MATCH(DB657,'Resource use and costs'!$DS$12:$DS$25,0)),0)*_xlfn.IFNA(INDEX(EC$10:EC$23,MATCH($DB657,$DX$10:$DX$23,0)),0))</f>
        <v>0</v>
      </c>
      <c r="DR657" s="921">
        <f t="shared" si="298"/>
        <v>4720.7032023142856</v>
      </c>
      <c r="DS657" s="1004">
        <f ca="1">SUMIFS('Safety parameters'!$DM$6:$DM$18,'Safety parameters'!$DK$6:$DK$18,CZ657,'Safety parameters'!$DL$6:$DL$18,1)+IF(dd_PartSA_2_lines = "Yes",0,SUMIFS('Safety parameters'!$DM$6:$DM$18,'Safety parameters'!$DK$6:$DK$18,DA657,'Safety parameters'!$DL$6:$DL$18,2)+SUMIFS('Safety parameters'!$DM$6:$DM$18,'Safety parameters'!$DK$6:$DK$18,DB657,'Safety parameters'!$DL$6:$DL$18,2))</f>
        <v>892.96291167457207</v>
      </c>
      <c r="DT657" s="910">
        <f ca="1">SUMIFS('Safety parameters'!$DO$6:$DO$18,'Safety parameters'!$DK$6:$DK$18,CZ657,'Safety parameters'!$DL$6:$DL$18,1)+IF(dd_PartSA_2_lines = "Yes",0,SUMIFS('Safety parameters'!$DO$6:$DO$18,'Safety parameters'!$DK$6:$DK$18,DA657,'Safety parameters'!$DL$6:$DL$18,2)+SUMIFS('Safety parameters'!$DO$6:$DO$18,'Safety parameters'!$DK$6:$DK$18,DB657,'Safety parameters'!$DL$6:$DL$18,2))</f>
        <v>-8.1140737061595747E-3</v>
      </c>
    </row>
    <row r="658" spans="89:124" x14ac:dyDescent="0.2">
      <c r="CK658" s="5" t="s">
        <v>559</v>
      </c>
      <c r="CL658" s="5"/>
      <c r="CM658" s="5" t="str">
        <f>H117</f>
        <v>Subsequent surgery (from CheckMate 9ER)</v>
      </c>
      <c r="CN658" s="5"/>
      <c r="CO658" s="5"/>
      <c r="CP658" s="5"/>
      <c r="CQ658" s="745">
        <f>N119</f>
        <v>0.25</v>
      </c>
      <c r="CR658" s="881">
        <f>O119</f>
        <v>0</v>
      </c>
      <c r="CS658" s="5"/>
      <c r="CT658" s="5"/>
      <c r="CU658" s="1123">
        <f>MATCH(CZ665,'Resource use and costs'!$BA$11:$BA$53,0)</f>
        <v>43</v>
      </c>
      <c r="CV658" s="1223"/>
      <c r="CW658" s="1241">
        <f t="shared" si="311"/>
        <v>1</v>
      </c>
      <c r="CX658" s="899" t="s">
        <v>794</v>
      </c>
      <c r="CY658" s="899" t="s">
        <v>585</v>
      </c>
      <c r="CZ658" s="899" t="s">
        <v>118</v>
      </c>
      <c r="DA658" s="899" t="s">
        <v>579</v>
      </c>
      <c r="DB658" s="899" t="s">
        <v>119</v>
      </c>
      <c r="DC658" s="899">
        <f t="shared" ca="1" si="312"/>
        <v>0.26190000000000002</v>
      </c>
      <c r="DD658" s="899">
        <f ca="1">DD657</f>
        <v>0.46929999999999994</v>
      </c>
      <c r="DE658" s="899" cm="1">
        <f t="array" aca="1" ref="DE658" ca="1">_xlfn.IFNA(OFFSET($AO$49,MATCH($DA658,$AO$50:$AO$63,0),MATCH($DB658,TRANSPOSE($AP$49:$BC$49),0)),0)</f>
        <v>0</v>
      </c>
      <c r="DF658" s="881">
        <f t="shared" ref="DF658:DF721" ca="1" si="313">IF(AND(ISBLANK(DA658),ISBLANK(DA658)),DC658,IF(ISBLANK(DB658),DC658*DD658,DC658*DD658*DE658))</f>
        <v>0</v>
      </c>
      <c r="DG658" s="910">
        <f t="shared" ca="1" si="310"/>
        <v>1</v>
      </c>
      <c r="DH658" s="881">
        <f t="shared" ref="DH658:DH721" ca="1" si="314">IF(CZ658="BSC",IF(dd_reduceBSC="No",DF658,0),DF658*DG658)</f>
        <v>0</v>
      </c>
      <c r="DI658" s="1460">
        <f t="shared" ca="1" si="309"/>
        <v>0</v>
      </c>
      <c r="DJ658" s="909">
        <f>_xlfn.IFNA(INDEX('Resource use and costs'!$CQ$11:$CQ$53,MATCH($CZ658,'Resource use and costs'!$BA$11:$BA$53,0)),0)*_xlfn.IFNA(INDEX(DY$10:DY$23,MATCH($CZ658,$DX$10:$DX$23,0)),0)</f>
        <v>45284.183573333321</v>
      </c>
      <c r="DK658" s="909">
        <f>IF(dd_PartSA_2_lines = "Yes",0,_xlfn.IFNA(INDEX('Resource use and costs'!$CR$11:$CR$53,MATCH(DA658,'Resource use and costs'!$BA$11:$BA$53,0)),0)*_xlfn.IFNA(INDEX(EA$10:EA$23,MATCH($DA658,$DX$10:$DX$23,0)),0))</f>
        <v>26054.50921</v>
      </c>
      <c r="DL658" s="909">
        <f>IF(dd_PartSA_2_lines = "Yes",0,_xlfn.IFNA(INDEX('Resource use and costs'!$CS$11:$CS$53,MATCH(DB658,'Resource use and costs'!$BA$11:$BA$53,0)),0)*_xlfn.IFNA(INDEX(EC$10:EC$23,MATCH($DB658,$DX$10:$DX$23,0)),0))</f>
        <v>2915.4763433333328</v>
      </c>
      <c r="DM658" s="909">
        <f t="shared" si="297"/>
        <v>74254.169126666646</v>
      </c>
      <c r="DN658" s="909">
        <f>SUM(_xlfn.IFNA(INDEX('Resource use and costs'!$DU$12:$DU$25,MATCH(CZ658,'Resource use and costs'!$DS$12:$DS$25,0)),0),_xlfn.IFNA(INDEX('Resource use and costs'!$DU$12:$DU$25,MATCH(DA658,'Resource use and costs'!$DS$12:$DS$25,0)),0),_xlfn.IFNA(INDEX('Resource use and costs'!$DU$12:$DU$25,MATCH(DB658,'Resource use and costs'!$DS$12:$DS$25,0)),0))</f>
        <v>394.5</v>
      </c>
      <c r="DO658" s="921">
        <f>_xlfn.IFNA(INDEX('Resource use and costs'!$DY$12:$DY$25,MATCH(CZ658,'Resource use and costs'!$DS$12:$DS$25,0)),0)*_xlfn.IFNA(INDEX(DY$10:DY$23,MATCH($CZ658,$DX$10:$DX$23,0)),0)</f>
        <v>415.09348571428563</v>
      </c>
      <c r="DP658" s="921">
        <f>IF(dd_PartSA_2_lines = "Yes",0,_xlfn.IFNA(INDEX('Resource use and costs'!$DZ$12:$DZ$25,MATCH(DA658,'Resource use and costs'!$DS$12:$DS$25,0)),0)*_xlfn.IFNA(INDEX(EA$10:EA$23,MATCH($DA658,$DX$10:$DX$23,0)),0))</f>
        <v>4108.3597166</v>
      </c>
      <c r="DQ658" s="921">
        <f>IF(dd_PartSA_2_lines = "Yes",0,_xlfn.IFNA(INDEX('Resource use and costs'!$EA$12:$EA$25,MATCH(DB658,'Resource use and costs'!$DS$12:$DS$25,0)),0)*_xlfn.IFNA(INDEX(EC$10:EC$23,MATCH($DB658,$DX$10:$DX$23,0)),0))</f>
        <v>256.11457142857142</v>
      </c>
      <c r="DR658" s="921">
        <f t="shared" si="298"/>
        <v>5174.0677737428568</v>
      </c>
      <c r="DS658" s="1004">
        <f ca="1">SUMIFS('Safety parameters'!$DM$6:$DM$18,'Safety parameters'!$DK$6:$DK$18,CZ658,'Safety parameters'!$DL$6:$DL$18,1)+IF(dd_PartSA_2_lines = "Yes",0,SUMIFS('Safety parameters'!$DM$6:$DM$18,'Safety parameters'!$DK$6:$DK$18,DA658,'Safety parameters'!$DL$6:$DL$18,2)+SUMIFS('Safety parameters'!$DM$6:$DM$18,'Safety parameters'!$DK$6:$DK$18,DB658,'Safety parameters'!$DL$6:$DL$18,2))</f>
        <v>1225.8382950498869</v>
      </c>
      <c r="DT658" s="910">
        <f ca="1">SUMIFS('Safety parameters'!$DO$6:$DO$18,'Safety parameters'!$DK$6:$DK$18,CZ658,'Safety parameters'!$DL$6:$DL$18,1)+IF(dd_PartSA_2_lines = "Yes",0,SUMIFS('Safety parameters'!$DO$6:$DO$18,'Safety parameters'!$DK$6:$DK$18,DA658,'Safety parameters'!$DL$6:$DL$18,2)+SUMIFS('Safety parameters'!$DO$6:$DO$18,'Safety parameters'!$DK$6:$DK$18,DB658,'Safety parameters'!$DL$6:$DL$18,2))</f>
        <v>-1.0781647242797295E-2</v>
      </c>
    </row>
    <row r="659" spans="89:124" x14ac:dyDescent="0.2">
      <c r="CK659" s="5"/>
      <c r="CL659" s="5"/>
      <c r="CM659" s="5"/>
      <c r="CN659" s="5"/>
      <c r="CO659" s="5"/>
      <c r="CP659" s="5"/>
      <c r="CQ659" s="5"/>
      <c r="CR659" s="5"/>
      <c r="CS659" s="5"/>
      <c r="CT659" s="5"/>
      <c r="CU659" s="1123">
        <f>MATCH(CZ666,'Resource use and costs'!$BA$11:$BA$53,0)</f>
        <v>43</v>
      </c>
      <c r="CV659" s="1223"/>
      <c r="CW659" s="1241">
        <f t="shared" si="311"/>
        <v>1</v>
      </c>
      <c r="CX659" s="899" t="s">
        <v>794</v>
      </c>
      <c r="CY659" s="899" t="s">
        <v>585</v>
      </c>
      <c r="CZ659" s="899" t="s">
        <v>119</v>
      </c>
      <c r="DA659" s="899" t="s">
        <v>327</v>
      </c>
      <c r="DB659" s="899" t="s">
        <v>765</v>
      </c>
      <c r="DC659" s="899" cm="1">
        <f t="array" aca="1" ref="DC659" ca="1">_xlfn.IFNA(OFFSET($I$49,MATCH(CY659,$I$50:$I$63,0),MATCH(CZ659,TRANSPOSE($J$49:$W$49),0)),0)</f>
        <v>0</v>
      </c>
      <c r="DD659" s="899" cm="1">
        <f t="array" aca="1" ref="DD659" ca="1">_xlfn.IFNA(OFFSET($Y$49,MATCH($CZ659,$Y$50:$Y$63,0),MATCH($DA659,TRANSPOSE($Z$49:$AM$49),0)),0)</f>
        <v>0</v>
      </c>
      <c r="DE659" s="899" cm="1">
        <f t="array" aca="1" ref="DE659" ca="1">_xlfn.IFNA(OFFSET($AO$49,MATCH($DA659,$AO$50:$AO$63,0),MATCH($DB659,TRANSPOSE($AP$49:$BC$49),0)),0)</f>
        <v>0.43140000000000001</v>
      </c>
      <c r="DF659" s="881">
        <f t="shared" ca="1" si="313"/>
        <v>0</v>
      </c>
      <c r="DG659" s="910">
        <f t="shared" ca="1" si="310"/>
        <v>1</v>
      </c>
      <c r="DH659" s="881">
        <f t="shared" ca="1" si="314"/>
        <v>0</v>
      </c>
      <c r="DI659" s="1460">
        <f t="shared" ca="1" si="309"/>
        <v>0</v>
      </c>
      <c r="DJ659" s="909">
        <f>_xlfn.IFNA(INDEX('Resource use and costs'!$CQ$11:$CQ$53,MATCH($CZ659,'Resource use and costs'!$BA$11:$BA$53,0)),0)*_xlfn.IFNA(INDEX(DY$10:DY$23,MATCH($CZ659,$DX$10:$DX$23,0)),0)</f>
        <v>944.50399999999979</v>
      </c>
      <c r="DK659" s="909">
        <f>IF(dd_PartSA_2_lines = "Yes",0,_xlfn.IFNA(INDEX('Resource use and costs'!$CR$11:$CR$53,MATCH(DA659,'Resource use and costs'!$BA$11:$BA$53,0)),0)*_xlfn.IFNA(INDEX(EA$10:EA$23,MATCH($DA659,$DX$10:$DX$23,0)),0))</f>
        <v>21421.066008214286</v>
      </c>
      <c r="DL659" s="909">
        <f>IF(dd_PartSA_2_lines = "Yes",0,_xlfn.IFNA(INDEX('Resource use and costs'!$CS$11:$CS$53,MATCH(DB659,'Resource use and costs'!$BA$11:$BA$53,0)),0)*_xlfn.IFNA(INDEX(EC$10:EC$23,MATCH($DB659,$DX$10:$DX$23,0)),0))</f>
        <v>0</v>
      </c>
      <c r="DM659" s="909">
        <f t="shared" ref="DM659:DM722" si="315">SUM(DJ659:DL659)</f>
        <v>22365.570008214287</v>
      </c>
      <c r="DN659" s="909">
        <f>SUM(_xlfn.IFNA(INDEX('Resource use and costs'!$DU$12:$DU$25,MATCH(CZ659,'Resource use and costs'!$DS$12:$DS$25,0)),0),_xlfn.IFNA(INDEX('Resource use and costs'!$DU$12:$DU$25,MATCH(DA659,'Resource use and costs'!$DS$12:$DS$25,0)),0),_xlfn.IFNA(INDEX('Resource use and costs'!$DU$12:$DU$25,MATCH(DB659,'Resource use and costs'!$DS$12:$DS$25,0)),0))</f>
        <v>394.5</v>
      </c>
      <c r="DO659" s="921">
        <f>_xlfn.IFNA(INDEX('Resource use and costs'!$DY$12:$DY$25,MATCH(CZ659,'Resource use and costs'!$DS$12:$DS$25,0)),0)*_xlfn.IFNA(INDEX(DY$10:DY$23,MATCH($CZ659,$DX$10:$DX$23,0)),0)</f>
        <v>82.971428571428561</v>
      </c>
      <c r="DP659" s="921">
        <f>IF(dd_PartSA_2_lines = "Yes",0,_xlfn.IFNA(INDEX('Resource use and costs'!$DZ$12:$DZ$25,MATCH(DA659,'Resource use and costs'!$DS$12:$DS$25,0)),0)*_xlfn.IFNA(INDEX(EA$10:EA$23,MATCH($DA659,$DX$10:$DX$23,0)),0))</f>
        <v>267.99172714285714</v>
      </c>
      <c r="DQ659" s="921">
        <f>IF(dd_PartSA_2_lines = "Yes",0,_xlfn.IFNA(INDEX('Resource use and costs'!$EA$12:$EA$25,MATCH(DB659,'Resource use and costs'!$DS$12:$DS$25,0)),0)*_xlfn.IFNA(INDEX(EC$10:EC$23,MATCH($DB659,$DX$10:$DX$23,0)),0))</f>
        <v>0</v>
      </c>
      <c r="DR659" s="921">
        <f t="shared" ref="DR659:DR722" si="316">SUM(DN659:DQ659)</f>
        <v>745.46315571428568</v>
      </c>
      <c r="DS659" s="1004">
        <f ca="1">SUMIFS('Safety parameters'!$DM$6:$DM$18,'Safety parameters'!$DK$6:$DK$18,CZ659,'Safety parameters'!$DL$6:$DL$18,1)+IF(dd_PartSA_2_lines = "Yes",0,SUMIFS('Safety parameters'!$DM$6:$DM$18,'Safety parameters'!$DK$6:$DK$18,DA659,'Safety parameters'!$DL$6:$DL$18,2)+SUMIFS('Safety parameters'!$DM$6:$DM$18,'Safety parameters'!$DK$6:$DK$18,DB659,'Safety parameters'!$DL$6:$DL$18,2))</f>
        <v>1634.2286735654598</v>
      </c>
      <c r="DT659" s="910">
        <f ca="1">SUMIFS('Safety parameters'!$DO$6:$DO$18,'Safety parameters'!$DK$6:$DK$18,CZ659,'Safety parameters'!$DL$6:$DL$18,1)+IF(dd_PartSA_2_lines = "Yes",0,SUMIFS('Safety parameters'!$DO$6:$DO$18,'Safety parameters'!$DK$6:$DK$18,DA659,'Safety parameters'!$DL$6:$DL$18,2)+SUMIFS('Safety parameters'!$DO$6:$DO$18,'Safety parameters'!$DK$6:$DK$18,DB659,'Safety parameters'!$DL$6:$DL$18,2))</f>
        <v>-1.4741924007481429E-2</v>
      </c>
    </row>
    <row r="660" spans="89:124" x14ac:dyDescent="0.2">
      <c r="CK660" s="5"/>
      <c r="CL660" s="5"/>
      <c r="CM660" s="5"/>
      <c r="CN660" s="5"/>
      <c r="CO660" s="5"/>
      <c r="CP660" s="5"/>
      <c r="CQ660" s="5"/>
      <c r="CR660" s="5"/>
      <c r="CS660" s="5"/>
      <c r="CT660" s="5"/>
      <c r="CU660" s="1123">
        <f>MATCH(CZ667,'Resource use and costs'!$BA$11:$BA$53,0)</f>
        <v>43</v>
      </c>
      <c r="CV660" s="1223"/>
      <c r="CW660" s="1241">
        <f t="shared" si="311"/>
        <v>1</v>
      </c>
      <c r="CX660" s="899" t="s">
        <v>794</v>
      </c>
      <c r="CY660" s="899" t="s">
        <v>585</v>
      </c>
      <c r="CZ660" s="899" t="s">
        <v>119</v>
      </c>
      <c r="DA660" s="899" t="s">
        <v>765</v>
      </c>
      <c r="DB660" s="899"/>
      <c r="DC660" s="899" cm="1">
        <f t="array" aca="1" ref="DC660" ca="1">_xlfn.IFNA(OFFSET($I$49,MATCH(CY660,$I$50:$I$63,0),MATCH(CZ660,TRANSPOSE($J$49:$W$49),0)),0)</f>
        <v>0</v>
      </c>
      <c r="DD660" s="899" cm="1">
        <f t="array" aca="1" ref="DD660" ca="1">_xlfn.IFNA(OFFSET($Y$49,MATCH($CZ660,$Y$50:$Y$63,0),MATCH($DA660,TRANSPOSE($Z$49:$AM$49),0)),0)</f>
        <v>1</v>
      </c>
      <c r="DE660" s="899" cm="1">
        <f t="array" aca="1" ref="DE660" ca="1">_xlfn.IFNA(OFFSET($AO$49,MATCH($DA660,$AO$50:$AO$63,0),MATCH($DB660,TRANSPOSE($AP$49:$BC$49),0)),0)</f>
        <v>0</v>
      </c>
      <c r="DF660" s="881">
        <f t="shared" ca="1" si="313"/>
        <v>0</v>
      </c>
      <c r="DG660" s="910">
        <f t="shared" ca="1" si="310"/>
        <v>1</v>
      </c>
      <c r="DH660" s="881">
        <f t="shared" ca="1" si="314"/>
        <v>0</v>
      </c>
      <c r="DI660" s="1460">
        <f t="shared" ca="1" si="309"/>
        <v>0</v>
      </c>
      <c r="DJ660" s="909">
        <f>_xlfn.IFNA(INDEX('Resource use and costs'!$CQ$11:$CQ$53,MATCH($CZ660,'Resource use and costs'!$BA$11:$BA$53,0)),0)*_xlfn.IFNA(INDEX(DY$10:DY$23,MATCH($CZ660,$DX$10:$DX$23,0)),0)</f>
        <v>944.50399999999979</v>
      </c>
      <c r="DK660" s="909">
        <f>IF(dd_PartSA_2_lines = "Yes",0,_xlfn.IFNA(INDEX('Resource use and costs'!$CR$11:$CR$53,MATCH(DA660,'Resource use and costs'!$BA$11:$BA$53,0)),0)*_xlfn.IFNA(INDEX(EA$10:EA$23,MATCH($DA660,$DX$10:$DX$23,0)),0))</f>
        <v>0</v>
      </c>
      <c r="DL660" s="909">
        <f>IF(dd_PartSA_2_lines = "Yes",0,_xlfn.IFNA(INDEX('Resource use and costs'!$CS$11:$CS$53,MATCH(DB660,'Resource use and costs'!$BA$11:$BA$53,0)),0)*_xlfn.IFNA(INDEX(EC$10:EC$23,MATCH($DB660,$DX$10:$DX$23,0)),0))</f>
        <v>0</v>
      </c>
      <c r="DM660" s="909">
        <f t="shared" si="315"/>
        <v>944.50399999999979</v>
      </c>
      <c r="DN660" s="909">
        <f>SUM(_xlfn.IFNA(INDEX('Resource use and costs'!$DU$12:$DU$25,MATCH(CZ660,'Resource use and costs'!$DS$12:$DS$25,0)),0),_xlfn.IFNA(INDEX('Resource use and costs'!$DU$12:$DU$25,MATCH(DA660,'Resource use and costs'!$DS$12:$DS$25,0)),0),_xlfn.IFNA(INDEX('Resource use and costs'!$DU$12:$DU$25,MATCH(DB660,'Resource use and costs'!$DS$12:$DS$25,0)),0))</f>
        <v>197.25</v>
      </c>
      <c r="DO660" s="921">
        <f>_xlfn.IFNA(INDEX('Resource use and costs'!$DY$12:$DY$25,MATCH(CZ660,'Resource use and costs'!$DS$12:$DS$25,0)),0)*_xlfn.IFNA(INDEX(DY$10:DY$23,MATCH($CZ660,$DX$10:$DX$23,0)),0)</f>
        <v>82.971428571428561</v>
      </c>
      <c r="DP660" s="921">
        <f>IF(dd_PartSA_2_lines = "Yes",0,_xlfn.IFNA(INDEX('Resource use and costs'!$DZ$12:$DZ$25,MATCH(DA660,'Resource use and costs'!$DS$12:$DS$25,0)),0)*_xlfn.IFNA(INDEX(EA$10:EA$23,MATCH($DA660,$DX$10:$DX$23,0)),0))</f>
        <v>0</v>
      </c>
      <c r="DQ660" s="921">
        <f>IF(dd_PartSA_2_lines = "Yes",0,_xlfn.IFNA(INDEX('Resource use and costs'!$EA$12:$EA$25,MATCH(DB660,'Resource use and costs'!$DS$12:$DS$25,0)),0)*_xlfn.IFNA(INDEX(EC$10:EC$23,MATCH($DB660,$DX$10:$DX$23,0)),0))</f>
        <v>0</v>
      </c>
      <c r="DR660" s="921">
        <f t="shared" si="316"/>
        <v>280.22142857142853</v>
      </c>
      <c r="DS660" s="1004">
        <f>SUMIFS('Safety parameters'!$DM$6:$DM$18,'Safety parameters'!$DK$6:$DK$18,CZ660,'Safety parameters'!$DL$6:$DL$18,1)+IF(dd_PartSA_2_lines = "Yes",0,SUMIFS('Safety parameters'!$DM$6:$DM$18,'Safety parameters'!$DK$6:$DK$18,DA660,'Safety parameters'!$DL$6:$DL$18,2)+SUMIFS('Safety parameters'!$DM$6:$DM$18,'Safety parameters'!$DK$6:$DK$18,DB660,'Safety parameters'!$DL$6:$DL$18,2))</f>
        <v>0</v>
      </c>
      <c r="DT660" s="910">
        <f>SUMIFS('Safety parameters'!$DO$6:$DO$18,'Safety parameters'!$DK$6:$DK$18,CZ660,'Safety parameters'!$DL$6:$DL$18,1)+IF(dd_PartSA_2_lines = "Yes",0,SUMIFS('Safety parameters'!$DO$6:$DO$18,'Safety parameters'!$DK$6:$DK$18,DA660,'Safety parameters'!$DL$6:$DL$18,2)+SUMIFS('Safety parameters'!$DO$6:$DO$18,'Safety parameters'!$DK$6:$DK$18,DB660,'Safety parameters'!$DL$6:$DL$18,2))</f>
        <v>0</v>
      </c>
    </row>
    <row r="661" spans="89:124" x14ac:dyDescent="0.2">
      <c r="CK661" s="5"/>
      <c r="CL661" s="5"/>
      <c r="CM661" s="5"/>
      <c r="CN661" s="5"/>
      <c r="CO661" s="5"/>
      <c r="CP661" s="5"/>
      <c r="CQ661" s="5"/>
      <c r="CR661" s="5"/>
      <c r="CS661" s="5"/>
      <c r="CT661" s="5"/>
      <c r="CU661" s="1123">
        <f>MATCH(CZ668,'Resource use and costs'!$BA$11:$BA$53,0)</f>
        <v>43</v>
      </c>
      <c r="CV661" s="1223"/>
      <c r="CW661" s="1241">
        <f t="shared" si="311"/>
        <v>1</v>
      </c>
      <c r="CX661" s="899" t="s">
        <v>794</v>
      </c>
      <c r="CY661" s="899" t="s">
        <v>585</v>
      </c>
      <c r="CZ661" s="899" t="s">
        <v>119</v>
      </c>
      <c r="DA661" s="899" t="s">
        <v>118</v>
      </c>
      <c r="DB661" s="899" t="s">
        <v>327</v>
      </c>
      <c r="DC661" s="899" cm="1">
        <f t="array" aca="1" ref="DC661" ca="1">_xlfn.IFNA(OFFSET($I$49,MATCH(CY661,$I$50:$I$63,0),MATCH(CZ661,TRANSPOSE($J$49:$W$49),0)),0)</f>
        <v>0</v>
      </c>
      <c r="DD661" s="899" cm="1">
        <f t="array" aca="1" ref="DD661" ca="1">_xlfn.IFNA(OFFSET($Y$49,MATCH($CZ661,$Y$50:$Y$63,0),MATCH($DA661,TRANSPOSE($Z$49:$AM$49),0)),0)</f>
        <v>0</v>
      </c>
      <c r="DE661" s="899" cm="1">
        <f t="array" aca="1" ref="DE661" ca="1">_xlfn.IFNA(OFFSET($AO$49,MATCH($DA661,$AO$50:$AO$63,0),MATCH($DB661,TRANSPOSE($AP$49:$BC$49),0)),0)</f>
        <v>0.38769999999999999</v>
      </c>
      <c r="DF661" s="881">
        <f t="shared" ca="1" si="313"/>
        <v>0</v>
      </c>
      <c r="DG661" s="910">
        <f t="shared" ca="1" si="310"/>
        <v>1</v>
      </c>
      <c r="DH661" s="881">
        <f t="shared" ca="1" si="314"/>
        <v>0</v>
      </c>
      <c r="DI661" s="1460">
        <f t="shared" ca="1" si="309"/>
        <v>0</v>
      </c>
      <c r="DJ661" s="909">
        <f>_xlfn.IFNA(INDEX('Resource use and costs'!$CQ$11:$CQ$53,MATCH($CZ661,'Resource use and costs'!$BA$11:$BA$53,0)),0)*_xlfn.IFNA(INDEX(DY$10:DY$23,MATCH($CZ661,$DX$10:$DX$23,0)),0)</f>
        <v>944.50399999999979</v>
      </c>
      <c r="DK661" s="909">
        <f>IF(dd_PartSA_2_lines = "Yes",0,_xlfn.IFNA(INDEX('Resource use and costs'!$CR$11:$CR$53,MATCH(DA661,'Resource use and costs'!$BA$11:$BA$53,0)),0)*_xlfn.IFNA(INDEX(EA$10:EA$23,MATCH($DA661,$DX$10:$DX$23,0)),0))</f>
        <v>50308.075122000002</v>
      </c>
      <c r="DL661" s="909">
        <f>IF(dd_PartSA_2_lines = "Yes",0,_xlfn.IFNA(INDEX('Resource use and costs'!$CS$11:$CS$53,MATCH(DB661,'Resource use and costs'!$BA$11:$BA$53,0)),0)*_xlfn.IFNA(INDEX(EC$10:EC$23,MATCH($DB661,$DX$10:$DX$23,0)),0))</f>
        <v>18438.751749999999</v>
      </c>
      <c r="DM661" s="909">
        <f t="shared" si="315"/>
        <v>69691.330872000006</v>
      </c>
      <c r="DN661" s="909">
        <f>SUM(_xlfn.IFNA(INDEX('Resource use and costs'!$DU$12:$DU$25,MATCH(CZ661,'Resource use and costs'!$DS$12:$DS$25,0)),0),_xlfn.IFNA(INDEX('Resource use and costs'!$DU$12:$DU$25,MATCH(DA661,'Resource use and costs'!$DS$12:$DS$25,0)),0),_xlfn.IFNA(INDEX('Resource use and costs'!$DU$12:$DU$25,MATCH(DB661,'Resource use and costs'!$DS$12:$DS$25,0)),0))</f>
        <v>591.75</v>
      </c>
      <c r="DO661" s="921">
        <f>_xlfn.IFNA(INDEX('Resource use and costs'!$DY$12:$DY$25,MATCH(CZ661,'Resource use and costs'!$DS$12:$DS$25,0)),0)*_xlfn.IFNA(INDEX(DY$10:DY$23,MATCH($CZ661,$DX$10:$DX$23,0)),0)</f>
        <v>82.971428571428561</v>
      </c>
      <c r="DP661" s="921">
        <f>IF(dd_PartSA_2_lines = "Yes",0,_xlfn.IFNA(INDEX('Resource use and costs'!$DZ$12:$DZ$25,MATCH(DA661,'Resource use and costs'!$DS$12:$DS$25,0)),0)*_xlfn.IFNA(INDEX(EA$10:EA$23,MATCH($DA661,$DX$10:$DX$23,0)),0))</f>
        <v>461.1445457142857</v>
      </c>
      <c r="DQ661" s="921">
        <f>IF(dd_PartSA_2_lines = "Yes",0,_xlfn.IFNA(INDEX('Resource use and costs'!$EA$12:$EA$25,MATCH(DB661,'Resource use and costs'!$DS$12:$DS$25,0)),0)*_xlfn.IFNA(INDEX(EC$10:EC$23,MATCH($DB661,$DX$10:$DX$23,0)),0))</f>
        <v>230.68099999999998</v>
      </c>
      <c r="DR661" s="921">
        <f t="shared" si="316"/>
        <v>1366.5469742857142</v>
      </c>
      <c r="DS661" s="1004">
        <f ca="1">SUMIFS('Safety parameters'!$DM$6:$DM$18,'Safety parameters'!$DK$6:$DK$18,CZ661,'Safety parameters'!$DL$6:$DL$18,1)+IF(dd_PartSA_2_lines = "Yes",0,SUMIFS('Safety parameters'!$DM$6:$DM$18,'Safety parameters'!$DK$6:$DK$18,DA661,'Safety parameters'!$DL$6:$DL$18,2)+SUMIFS('Safety parameters'!$DM$6:$DM$18,'Safety parameters'!$DK$6:$DK$18,DB661,'Safety parameters'!$DL$6:$DL$18,2))</f>
        <v>2377.8779733688434</v>
      </c>
      <c r="DT661" s="910">
        <f ca="1">SUMIFS('Safety parameters'!$DO$6:$DO$18,'Safety parameters'!$DK$6:$DK$18,CZ661,'Safety parameters'!$DL$6:$DL$18,1)+IF(dd_PartSA_2_lines = "Yes",0,SUMIFS('Safety parameters'!$DO$6:$DO$18,'Safety parameters'!$DK$6:$DK$18,DA661,'Safety parameters'!$DL$6:$DL$18,2)+SUMIFS('Safety parameters'!$DO$6:$DO$18,'Safety parameters'!$DK$6:$DK$18,DB661,'Safety parameters'!$DL$6:$DL$18,2))</f>
        <v>-2.1764250363717368E-2</v>
      </c>
    </row>
    <row r="662" spans="89:124" x14ac:dyDescent="0.2">
      <c r="CK662" s="5"/>
      <c r="CL662" s="5"/>
      <c r="CM662" s="5"/>
      <c r="CN662" s="5"/>
      <c r="CO662" s="5"/>
      <c r="CP662" s="5"/>
      <c r="CQ662" s="5"/>
      <c r="CR662" s="5"/>
      <c r="CS662" s="5"/>
      <c r="CT662" s="5"/>
      <c r="CU662" s="1123">
        <f>MATCH(CZ669,'Resource use and costs'!$BA$11:$BA$53,0)</f>
        <v>43</v>
      </c>
      <c r="CV662" s="1223"/>
      <c r="CW662" s="1241">
        <f t="shared" si="311"/>
        <v>1</v>
      </c>
      <c r="CX662" s="899" t="s">
        <v>794</v>
      </c>
      <c r="CY662" s="899" t="s">
        <v>585</v>
      </c>
      <c r="CZ662" s="899" t="s">
        <v>119</v>
      </c>
      <c r="DA662" s="899" t="s">
        <v>118</v>
      </c>
      <c r="DB662" s="899" t="s">
        <v>765</v>
      </c>
      <c r="DC662" s="899" cm="1">
        <f t="array" aca="1" ref="DC662" ca="1">_xlfn.IFNA(OFFSET($I$49,MATCH(CY662,$I$50:$I$63,0),MATCH(CZ662,TRANSPOSE($J$49:$W$49),0)),0)</f>
        <v>0</v>
      </c>
      <c r="DD662" s="899" cm="1">
        <f t="array" aca="1" ref="DD662" ca="1">_xlfn.IFNA(OFFSET($Y$49,MATCH($CZ662,$Y$50:$Y$63,0),MATCH($DA662,TRANSPOSE($Z$49:$AM$49),0)),0)</f>
        <v>0</v>
      </c>
      <c r="DE662" s="899" cm="1">
        <f t="array" aca="1" ref="DE662" ca="1">_xlfn.IFNA(OFFSET($AO$49,MATCH($DA662,$AO$50:$AO$63,0),MATCH($DB662,TRANSPOSE($AP$49:$BC$49),0)),0)</f>
        <v>0.43140000000000001</v>
      </c>
      <c r="DF662" s="881">
        <f t="shared" ca="1" si="313"/>
        <v>0</v>
      </c>
      <c r="DG662" s="910">
        <f t="shared" ca="1" si="310"/>
        <v>1</v>
      </c>
      <c r="DH662" s="881">
        <f t="shared" ca="1" si="314"/>
        <v>0</v>
      </c>
      <c r="DI662" s="1460">
        <f t="shared" ca="1" si="309"/>
        <v>0</v>
      </c>
      <c r="DJ662" s="909">
        <f>_xlfn.IFNA(INDEX('Resource use and costs'!$CQ$11:$CQ$53,MATCH($CZ662,'Resource use and costs'!$BA$11:$BA$53,0)),0)*_xlfn.IFNA(INDEX(DY$10:DY$23,MATCH($CZ662,$DX$10:$DX$23,0)),0)</f>
        <v>944.50399999999979</v>
      </c>
      <c r="DK662" s="909">
        <f>IF(dd_PartSA_2_lines = "Yes",0,_xlfn.IFNA(INDEX('Resource use and costs'!$CR$11:$CR$53,MATCH(DA662,'Resource use and costs'!$BA$11:$BA$53,0)),0)*_xlfn.IFNA(INDEX(EA$10:EA$23,MATCH($DA662,$DX$10:$DX$23,0)),0))</f>
        <v>50308.075122000002</v>
      </c>
      <c r="DL662" s="909">
        <f>IF(dd_PartSA_2_lines = "Yes",0,_xlfn.IFNA(INDEX('Resource use and costs'!$CS$11:$CS$53,MATCH(DB662,'Resource use and costs'!$BA$11:$BA$53,0)),0)*_xlfn.IFNA(INDEX(EC$10:EC$23,MATCH($DB662,$DX$10:$DX$23,0)),0))</f>
        <v>0</v>
      </c>
      <c r="DM662" s="909">
        <f t="shared" si="315"/>
        <v>51252.579122000003</v>
      </c>
      <c r="DN662" s="909">
        <f>SUM(_xlfn.IFNA(INDEX('Resource use and costs'!$DU$12:$DU$25,MATCH(CZ662,'Resource use and costs'!$DS$12:$DS$25,0)),0),_xlfn.IFNA(INDEX('Resource use and costs'!$DU$12:$DU$25,MATCH(DA662,'Resource use and costs'!$DS$12:$DS$25,0)),0),_xlfn.IFNA(INDEX('Resource use and costs'!$DU$12:$DU$25,MATCH(DB662,'Resource use and costs'!$DS$12:$DS$25,0)),0))</f>
        <v>394.5</v>
      </c>
      <c r="DO662" s="921">
        <f>_xlfn.IFNA(INDEX('Resource use and costs'!$DY$12:$DY$25,MATCH(CZ662,'Resource use and costs'!$DS$12:$DS$25,0)),0)*_xlfn.IFNA(INDEX(DY$10:DY$23,MATCH($CZ662,$DX$10:$DX$23,0)),0)</f>
        <v>82.971428571428561</v>
      </c>
      <c r="DP662" s="921">
        <f>IF(dd_PartSA_2_lines = "Yes",0,_xlfn.IFNA(INDEX('Resource use and costs'!$DZ$12:$DZ$25,MATCH(DA662,'Resource use and costs'!$DS$12:$DS$25,0)),0)*_xlfn.IFNA(INDEX(EA$10:EA$23,MATCH($DA662,$DX$10:$DX$23,0)),0))</f>
        <v>461.1445457142857</v>
      </c>
      <c r="DQ662" s="921">
        <f>IF(dd_PartSA_2_lines = "Yes",0,_xlfn.IFNA(INDEX('Resource use and costs'!$EA$12:$EA$25,MATCH(DB662,'Resource use and costs'!$DS$12:$DS$25,0)),0)*_xlfn.IFNA(INDEX(EC$10:EC$23,MATCH($DB662,$DX$10:$DX$23,0)),0))</f>
        <v>0</v>
      </c>
      <c r="DR662" s="921">
        <f t="shared" si="316"/>
        <v>938.61597428571417</v>
      </c>
      <c r="DS662" s="1004">
        <f ca="1">SUMIFS('Safety parameters'!$DM$6:$DM$18,'Safety parameters'!$DK$6:$DK$18,CZ662,'Safety parameters'!$DL$6:$DL$18,1)+IF(dd_PartSA_2_lines = "Yes",0,SUMIFS('Safety parameters'!$DM$6:$DM$18,'Safety parameters'!$DK$6:$DK$18,DA662,'Safety parameters'!$DL$6:$DL$18,2)+SUMIFS('Safety parameters'!$DM$6:$DM$18,'Safety parameters'!$DK$6:$DK$18,DB662,'Safety parameters'!$DL$6:$DL$18,2))</f>
        <v>743.64929980338343</v>
      </c>
      <c r="DT662" s="910">
        <f ca="1">SUMIFS('Safety parameters'!$DO$6:$DO$18,'Safety parameters'!$DK$6:$DK$18,CZ662,'Safety parameters'!$DL$6:$DL$18,1)+IF(dd_PartSA_2_lines = "Yes",0,SUMIFS('Safety parameters'!$DO$6:$DO$18,'Safety parameters'!$DK$6:$DK$18,DA662,'Safety parameters'!$DL$6:$DL$18,2)+SUMIFS('Safety parameters'!$DO$6:$DO$18,'Safety parameters'!$DK$6:$DK$18,DB662,'Safety parameters'!$DL$6:$DL$18,2))</f>
        <v>-7.0223263562359372E-3</v>
      </c>
    </row>
    <row r="663" spans="89:124" x14ac:dyDescent="0.2">
      <c r="CK663" s="5"/>
      <c r="CL663" s="5"/>
      <c r="CM663" s="5"/>
      <c r="CN663" s="5"/>
      <c r="CO663" s="5"/>
      <c r="CP663" s="5"/>
      <c r="CQ663" s="5"/>
      <c r="CR663" s="5"/>
      <c r="CS663" s="5"/>
      <c r="CT663" s="5"/>
      <c r="CU663" s="1123">
        <f>MATCH(CZ670,'Resource use and costs'!$BA$11:$BA$53,0)</f>
        <v>43</v>
      </c>
      <c r="CV663" s="1223"/>
      <c r="CW663" s="1241">
        <f t="shared" si="311"/>
        <v>1</v>
      </c>
      <c r="CX663" s="899" t="s">
        <v>794</v>
      </c>
      <c r="CY663" s="899" t="s">
        <v>585</v>
      </c>
      <c r="CZ663" s="899" t="s">
        <v>119</v>
      </c>
      <c r="DA663" s="899" t="s">
        <v>579</v>
      </c>
      <c r="DB663" s="899" t="s">
        <v>327</v>
      </c>
      <c r="DC663" s="899" cm="1">
        <f t="array" aca="1" ref="DC663" ca="1">_xlfn.IFNA(OFFSET($I$49,MATCH(CY663,$I$50:$I$63,0),MATCH(CZ663,TRANSPOSE($J$49:$W$49),0)),0)</f>
        <v>0</v>
      </c>
      <c r="DD663" s="899" cm="1">
        <f t="array" aca="1" ref="DD663" ca="1">_xlfn.IFNA(OFFSET($Y$49,MATCH($CZ663,$Y$50:$Y$63,0),MATCH($DA663,TRANSPOSE($Z$49:$AM$49),0)),0)</f>
        <v>0</v>
      </c>
      <c r="DE663" s="899" cm="1">
        <f t="array" aca="1" ref="DE663" ca="1">_xlfn.IFNA(OFFSET($AO$49,MATCH($DA663,$AO$50:$AO$63,0),MATCH($DB663,TRANSPOSE($AP$49:$BC$49),0)),0)</f>
        <v>0.56859999999999999</v>
      </c>
      <c r="DF663" s="881">
        <f t="shared" ca="1" si="313"/>
        <v>0</v>
      </c>
      <c r="DG663" s="910">
        <f t="shared" ca="1" si="310"/>
        <v>1</v>
      </c>
      <c r="DH663" s="881">
        <f t="shared" ca="1" si="314"/>
        <v>0</v>
      </c>
      <c r="DI663" s="1460">
        <f t="shared" ca="1" si="309"/>
        <v>0</v>
      </c>
      <c r="DJ663" s="909">
        <f>_xlfn.IFNA(INDEX('Resource use and costs'!$CQ$11:$CQ$53,MATCH($CZ663,'Resource use and costs'!$BA$11:$BA$53,0)),0)*_xlfn.IFNA(INDEX(DY$10:DY$23,MATCH($CZ663,$DX$10:$DX$23,0)),0)</f>
        <v>944.50399999999979</v>
      </c>
      <c r="DK663" s="909">
        <f>IF(dd_PartSA_2_lines = "Yes",0,_xlfn.IFNA(INDEX('Resource use and costs'!$CR$11:$CR$53,MATCH(DA663,'Resource use and costs'!$BA$11:$BA$53,0)),0)*_xlfn.IFNA(INDEX(EA$10:EA$23,MATCH($DA663,$DX$10:$DX$23,0)),0))</f>
        <v>26054.50921</v>
      </c>
      <c r="DL663" s="909">
        <f>IF(dd_PartSA_2_lines = "Yes",0,_xlfn.IFNA(INDEX('Resource use and costs'!$CS$11:$CS$53,MATCH(DB663,'Resource use and costs'!$BA$11:$BA$53,0)),0)*_xlfn.IFNA(INDEX(EC$10:EC$23,MATCH($DB663,$DX$10:$DX$23,0)),0))</f>
        <v>18438.751749999999</v>
      </c>
      <c r="DM663" s="909">
        <f t="shared" si="315"/>
        <v>45437.76496</v>
      </c>
      <c r="DN663" s="909">
        <f>SUM(_xlfn.IFNA(INDEX('Resource use and costs'!$DU$12:$DU$25,MATCH(CZ663,'Resource use and costs'!$DS$12:$DS$25,0)),0),_xlfn.IFNA(INDEX('Resource use and costs'!$DU$12:$DU$25,MATCH(DA663,'Resource use and costs'!$DS$12:$DS$25,0)),0),_xlfn.IFNA(INDEX('Resource use and costs'!$DU$12:$DU$25,MATCH(DB663,'Resource use and costs'!$DS$12:$DS$25,0)),0))</f>
        <v>394.5</v>
      </c>
      <c r="DO663" s="921">
        <f>_xlfn.IFNA(INDEX('Resource use and costs'!$DY$12:$DY$25,MATCH(CZ663,'Resource use and costs'!$DS$12:$DS$25,0)),0)*_xlfn.IFNA(INDEX(DY$10:DY$23,MATCH($CZ663,$DX$10:$DX$23,0)),0)</f>
        <v>82.971428571428561</v>
      </c>
      <c r="DP663" s="921">
        <f>IF(dd_PartSA_2_lines = "Yes",0,_xlfn.IFNA(INDEX('Resource use and costs'!$DZ$12:$DZ$25,MATCH(DA663,'Resource use and costs'!$DS$12:$DS$25,0)),0)*_xlfn.IFNA(INDEX(EA$10:EA$23,MATCH($DA663,$DX$10:$DX$23,0)),0))</f>
        <v>4108.3597166</v>
      </c>
      <c r="DQ663" s="921">
        <f>IF(dd_PartSA_2_lines = "Yes",0,_xlfn.IFNA(INDEX('Resource use and costs'!$EA$12:$EA$25,MATCH(DB663,'Resource use and costs'!$DS$12:$DS$25,0)),0)*_xlfn.IFNA(INDEX(EC$10:EC$23,MATCH($DB663,$DX$10:$DX$23,0)),0))</f>
        <v>230.68099999999998</v>
      </c>
      <c r="DR663" s="921">
        <f t="shared" si="316"/>
        <v>4816.5121451714285</v>
      </c>
      <c r="DS663" s="1004">
        <f ca="1">SUMIFS('Safety parameters'!$DM$6:$DM$18,'Safety parameters'!$DK$6:$DK$18,CZ663,'Safety parameters'!$DL$6:$DL$18,1)+IF(dd_PartSA_2_lines = "Yes",0,SUMIFS('Safety parameters'!$DM$6:$DM$18,'Safety parameters'!$DK$6:$DK$18,DA663,'Safety parameters'!$DL$6:$DL$18,2)+SUMIFS('Safety parameters'!$DM$6:$DM$18,'Safety parameters'!$DK$6:$DK$18,DB663,'Safety parameters'!$DL$6:$DL$18,2))</f>
        <v>1795.3624225558742</v>
      </c>
      <c r="DT663" s="910">
        <f ca="1">SUMIFS('Safety parameters'!$DO$6:$DO$18,'Safety parameters'!$DK$6:$DK$18,CZ663,'Safety parameters'!$DL$6:$DL$18,1)+IF(dd_PartSA_2_lines = "Yes",0,SUMIFS('Safety parameters'!$DO$6:$DO$18,'Safety parameters'!$DK$6:$DK$18,DA663,'Safety parameters'!$DL$6:$DL$18,2)+SUMIFS('Safety parameters'!$DO$6:$DO$18,'Safety parameters'!$DK$6:$DK$18,DB663,'Safety parameters'!$DL$6:$DL$18,2))</f>
        <v>-1.6339008205166216E-2</v>
      </c>
    </row>
    <row r="664" spans="89:124" x14ac:dyDescent="0.2">
      <c r="CK664" s="5"/>
      <c r="CL664" s="5"/>
      <c r="CM664" s="5"/>
      <c r="CN664" s="5"/>
      <c r="CO664" s="5"/>
      <c r="CP664" s="5"/>
      <c r="CQ664" s="5"/>
      <c r="CR664" s="5"/>
      <c r="CS664" s="5"/>
      <c r="CT664" s="5"/>
      <c r="CU664" s="1123">
        <f>MATCH(CZ671,'Resource use and costs'!$BA$11:$BA$53,0)</f>
        <v>1</v>
      </c>
      <c r="CV664" s="1223"/>
      <c r="CW664" s="1241">
        <f t="shared" si="311"/>
        <v>1</v>
      </c>
      <c r="CX664" s="899" t="s">
        <v>794</v>
      </c>
      <c r="CY664" s="899" t="s">
        <v>585</v>
      </c>
      <c r="CZ664" s="899" t="s">
        <v>119</v>
      </c>
      <c r="DA664" s="899" t="s">
        <v>579</v>
      </c>
      <c r="DB664" s="899" t="s">
        <v>765</v>
      </c>
      <c r="DC664" s="899" cm="1">
        <f t="array" aca="1" ref="DC664" ca="1">_xlfn.IFNA(OFFSET($I$49,MATCH(CY664,$I$50:$I$63,0),MATCH(CZ664,TRANSPOSE($J$49:$W$49),0)),0)</f>
        <v>0</v>
      </c>
      <c r="DD664" s="899" cm="1">
        <f t="array" aca="1" ref="DD664" ca="1">_xlfn.IFNA(OFFSET($Y$49,MATCH($CZ664,$Y$50:$Y$63,0),MATCH($DA664,TRANSPOSE($Z$49:$AM$49),0)),0)</f>
        <v>0</v>
      </c>
      <c r="DE664" s="899" cm="1">
        <f t="array" aca="1" ref="DE664" ca="1">_xlfn.IFNA(OFFSET($AO$49,MATCH($DA664,$AO$50:$AO$63,0),MATCH($DB664,TRANSPOSE($AP$49:$BC$49),0)),0)</f>
        <v>0.43140000000000001</v>
      </c>
      <c r="DF664" s="881">
        <f t="shared" ca="1" si="313"/>
        <v>0</v>
      </c>
      <c r="DG664" s="910">
        <f t="shared" ca="1" si="310"/>
        <v>1</v>
      </c>
      <c r="DH664" s="881">
        <f t="shared" ca="1" si="314"/>
        <v>0</v>
      </c>
      <c r="DI664" s="1460">
        <f t="shared" ca="1" si="309"/>
        <v>0</v>
      </c>
      <c r="DJ664" s="909">
        <f>_xlfn.IFNA(INDEX('Resource use and costs'!$CQ$11:$CQ$53,MATCH($CZ664,'Resource use and costs'!$BA$11:$BA$53,0)),0)*_xlfn.IFNA(INDEX(DY$10:DY$23,MATCH($CZ664,$DX$10:$DX$23,0)),0)</f>
        <v>944.50399999999979</v>
      </c>
      <c r="DK664" s="909">
        <f>IF(dd_PartSA_2_lines = "Yes",0,_xlfn.IFNA(INDEX('Resource use and costs'!$CR$11:$CR$53,MATCH(DA664,'Resource use and costs'!$BA$11:$BA$53,0)),0)*_xlfn.IFNA(INDEX(EA$10:EA$23,MATCH($DA664,$DX$10:$DX$23,0)),0))</f>
        <v>26054.50921</v>
      </c>
      <c r="DL664" s="909">
        <f>IF(dd_PartSA_2_lines = "Yes",0,_xlfn.IFNA(INDEX('Resource use and costs'!$CS$11:$CS$53,MATCH(DB664,'Resource use and costs'!$BA$11:$BA$53,0)),0)*_xlfn.IFNA(INDEX(EC$10:EC$23,MATCH($DB664,$DX$10:$DX$23,0)),0))</f>
        <v>0</v>
      </c>
      <c r="DM664" s="909">
        <f t="shared" si="315"/>
        <v>26999.013210000001</v>
      </c>
      <c r="DN664" s="909">
        <f>SUM(_xlfn.IFNA(INDEX('Resource use and costs'!$DU$12:$DU$25,MATCH(CZ664,'Resource use and costs'!$DS$12:$DS$25,0)),0),_xlfn.IFNA(INDEX('Resource use and costs'!$DU$12:$DU$25,MATCH(DA664,'Resource use and costs'!$DS$12:$DS$25,0)),0),_xlfn.IFNA(INDEX('Resource use and costs'!$DU$12:$DU$25,MATCH(DB664,'Resource use and costs'!$DS$12:$DS$25,0)),0))</f>
        <v>197.25</v>
      </c>
      <c r="DO664" s="921">
        <f>_xlfn.IFNA(INDEX('Resource use and costs'!$DY$12:$DY$25,MATCH(CZ664,'Resource use and costs'!$DS$12:$DS$25,0)),0)*_xlfn.IFNA(INDEX(DY$10:DY$23,MATCH($CZ664,$DX$10:$DX$23,0)),0)</f>
        <v>82.971428571428561</v>
      </c>
      <c r="DP664" s="921">
        <f>IF(dd_PartSA_2_lines = "Yes",0,_xlfn.IFNA(INDEX('Resource use and costs'!$DZ$12:$DZ$25,MATCH(DA664,'Resource use and costs'!$DS$12:$DS$25,0)),0)*_xlfn.IFNA(INDEX(EA$10:EA$23,MATCH($DA664,$DX$10:$DX$23,0)),0))</f>
        <v>4108.3597166</v>
      </c>
      <c r="DQ664" s="921">
        <f>IF(dd_PartSA_2_lines = "Yes",0,_xlfn.IFNA(INDEX('Resource use and costs'!$EA$12:$EA$25,MATCH(DB664,'Resource use and costs'!$DS$12:$DS$25,0)),0)*_xlfn.IFNA(INDEX(EC$10:EC$23,MATCH($DB664,$DX$10:$DX$23,0)),0))</f>
        <v>0</v>
      </c>
      <c r="DR664" s="921">
        <f t="shared" si="316"/>
        <v>4388.5811451714289</v>
      </c>
      <c r="DS664" s="1004">
        <f ca="1">SUMIFS('Safety parameters'!$DM$6:$DM$18,'Safety parameters'!$DK$6:$DK$18,CZ664,'Safety parameters'!$DL$6:$DL$18,1)+IF(dd_PartSA_2_lines = "Yes",0,SUMIFS('Safety parameters'!$DM$6:$DM$18,'Safety parameters'!$DK$6:$DK$18,DA664,'Safety parameters'!$DL$6:$DL$18,2)+SUMIFS('Safety parameters'!$DM$6:$DM$18,'Safety parameters'!$DK$6:$DK$18,DB664,'Safety parameters'!$DL$6:$DL$18,2))</f>
        <v>161.1337489904144</v>
      </c>
      <c r="DT664" s="910">
        <f ca="1">SUMIFS('Safety parameters'!$DO$6:$DO$18,'Safety parameters'!$DK$6:$DK$18,CZ664,'Safety parameters'!$DL$6:$DL$18,1)+IF(dd_PartSA_2_lines = "Yes",0,SUMIFS('Safety parameters'!$DO$6:$DO$18,'Safety parameters'!$DK$6:$DK$18,DA664,'Safety parameters'!$DL$6:$DL$18,2)+SUMIFS('Safety parameters'!$DO$6:$DO$18,'Safety parameters'!$DK$6:$DK$18,DB664,'Safety parameters'!$DL$6:$DL$18,2))</f>
        <v>-1.5970841976847864E-3</v>
      </c>
    </row>
    <row r="665" spans="89:124" x14ac:dyDescent="0.2">
      <c r="CK665" s="5"/>
      <c r="CL665" s="5"/>
      <c r="CM665" s="5"/>
      <c r="CN665" s="5"/>
      <c r="CO665" s="5"/>
      <c r="CP665" s="5"/>
      <c r="CQ665" s="5"/>
      <c r="CR665" s="5"/>
      <c r="CS665" s="5"/>
      <c r="CT665" s="5"/>
      <c r="CU665" s="1123">
        <f>MATCH(CZ672,'Resource use and costs'!$BA$11:$BA$53,0)</f>
        <v>1</v>
      </c>
      <c r="CV665" s="1223"/>
      <c r="CW665" s="1241">
        <f t="shared" si="311"/>
        <v>1</v>
      </c>
      <c r="CX665" s="899" t="s">
        <v>794</v>
      </c>
      <c r="CY665" s="899" t="s">
        <v>585</v>
      </c>
      <c r="CZ665" s="899" t="s">
        <v>333</v>
      </c>
      <c r="DA665" s="899" t="s">
        <v>327</v>
      </c>
      <c r="DB665" s="899" t="s">
        <v>765</v>
      </c>
      <c r="DC665" s="899" cm="1">
        <f t="array" aca="1" ref="DC665" ca="1">_xlfn.IFNA(OFFSET($I$49,MATCH(CY665,$I$50:$I$63,0),MATCH(CZ665,TRANSPOSE($J$49:$W$49),0)),0)</f>
        <v>3.0800000000000004E-2</v>
      </c>
      <c r="DD665" s="899" cm="1">
        <f t="array" aca="1" ref="DD665" ca="1">_xlfn.IFNA(OFFSET($Y$49,MATCH($CZ665,$Y$50:$Y$63,0),MATCH($DA665,TRANSPOSE($Z$49:$AM$49),0)),0)</f>
        <v>0</v>
      </c>
      <c r="DE665" s="899">
        <v>1</v>
      </c>
      <c r="DF665" s="881">
        <f t="shared" ca="1" si="313"/>
        <v>0</v>
      </c>
      <c r="DG665" s="910">
        <f t="shared" ca="1" si="310"/>
        <v>1</v>
      </c>
      <c r="DH665" s="881">
        <f t="shared" ca="1" si="314"/>
        <v>0</v>
      </c>
      <c r="DI665" s="1460">
        <f t="shared" ca="1" si="309"/>
        <v>0</v>
      </c>
      <c r="DJ665" s="909">
        <f>_xlfn.IFNA(INDEX('Resource use and costs'!$CQ$11:$CQ$53,MATCH($CZ665,'Resource use and costs'!$BA$11:$BA$53,0)),0)*_xlfn.IFNA(INDEX(DY$10:DY$23,MATCH($CZ665,$DX$10:$DX$23,0)),0)</f>
        <v>54336.641519999976</v>
      </c>
      <c r="DK665" s="909">
        <f>IF(dd_PartSA_2_lines = "Yes",0,_xlfn.IFNA(INDEX('Resource use and costs'!$CR$11:$CR$53,MATCH(DA665,'Resource use and costs'!$BA$11:$BA$53,0)),0)*_xlfn.IFNA(INDEX(EA$10:EA$23,MATCH($DA665,$DX$10:$DX$23,0)),0))</f>
        <v>21421.066008214286</v>
      </c>
      <c r="DL665" s="909">
        <f>IF(dd_PartSA_2_lines = "Yes",0,_xlfn.IFNA(INDEX('Resource use and costs'!$CS$11:$CS$53,MATCH(DB665,'Resource use and costs'!$BA$11:$BA$53,0)),0)*_xlfn.IFNA(INDEX(EC$10:EC$23,MATCH($DB665,$DX$10:$DX$23,0)),0))</f>
        <v>0</v>
      </c>
      <c r="DM665" s="909">
        <f t="shared" si="315"/>
        <v>75757.707528214261</v>
      </c>
      <c r="DN665" s="909">
        <f>SUM(_xlfn.IFNA(INDEX('Resource use and costs'!$DU$12:$DU$25,MATCH(CZ665,'Resource use and costs'!$DS$12:$DS$25,0)),0),_xlfn.IFNA(INDEX('Resource use and costs'!$DU$12:$DU$25,MATCH(DA665,'Resource use and costs'!$DS$12:$DS$25,0)),0),_xlfn.IFNA(INDEX('Resource use and costs'!$DU$12:$DU$25,MATCH(DB665,'Resource use and costs'!$DS$12:$DS$25,0)),0))</f>
        <v>394.5</v>
      </c>
      <c r="DO665" s="921">
        <f>_xlfn.IFNA(INDEX('Resource use and costs'!$DY$12:$DY$25,MATCH(CZ665,'Resource use and costs'!$DS$12:$DS$25,0)),0)*_xlfn.IFNA(INDEX(DY$10:DY$23,MATCH($CZ665,$DX$10:$DX$23,0)),0)</f>
        <v>810.54285714285697</v>
      </c>
      <c r="DP665" s="921">
        <f>IF(dd_PartSA_2_lines = "Yes",0,_xlfn.IFNA(INDEX('Resource use and costs'!$DZ$12:$DZ$25,MATCH(DA665,'Resource use and costs'!$DS$12:$DS$25,0)),0)*_xlfn.IFNA(INDEX(EA$10:EA$23,MATCH($DA665,$DX$10:$DX$23,0)),0))</f>
        <v>267.99172714285714</v>
      </c>
      <c r="DQ665" s="921">
        <f>IF(dd_PartSA_2_lines = "Yes",0,_xlfn.IFNA(INDEX('Resource use and costs'!$EA$12:$EA$25,MATCH(DB665,'Resource use and costs'!$DS$12:$DS$25,0)),0)*_xlfn.IFNA(INDEX(EC$10:EC$23,MATCH($DB665,$DX$10:$DX$23,0)),0))</f>
        <v>0</v>
      </c>
      <c r="DR665" s="921">
        <f t="shared" si="316"/>
        <v>1473.0345842857141</v>
      </c>
      <c r="DS665" s="1004">
        <f ca="1">SUMIFS('Safety parameters'!$DM$6:$DM$18,'Safety parameters'!$DK$6:$DK$18,CZ665,'Safety parameters'!$DL$6:$DL$18,1)+IF(dd_PartSA_2_lines = "Yes",0,SUMIFS('Safety parameters'!$DM$6:$DM$18,'Safety parameters'!$DK$6:$DK$18,DA665,'Safety parameters'!$DL$6:$DL$18,2)+SUMIFS('Safety parameters'!$DM$6:$DM$18,'Safety parameters'!$DK$6:$DK$18,DB665,'Safety parameters'!$DL$6:$DL$18,2))</f>
        <v>1634.2286735654598</v>
      </c>
      <c r="DT665" s="910">
        <f ca="1">SUMIFS('Safety parameters'!$DO$6:$DO$18,'Safety parameters'!$DK$6:$DK$18,CZ665,'Safety parameters'!$DL$6:$DL$18,1)+IF(dd_PartSA_2_lines = "Yes",0,SUMIFS('Safety parameters'!$DO$6:$DO$18,'Safety parameters'!$DK$6:$DK$18,DA665,'Safety parameters'!$DL$6:$DL$18,2)+SUMIFS('Safety parameters'!$DO$6:$DO$18,'Safety parameters'!$DK$6:$DK$18,DB665,'Safety parameters'!$DL$6:$DL$18,2))</f>
        <v>-1.4741924007481429E-2</v>
      </c>
    </row>
    <row r="666" spans="89:124" x14ac:dyDescent="0.2">
      <c r="CK666" s="5"/>
      <c r="CL666" s="5"/>
      <c r="CM666" s="5"/>
      <c r="CN666" s="5"/>
      <c r="CO666" s="5"/>
      <c r="CP666" s="5"/>
      <c r="CQ666" s="5"/>
      <c r="CR666" s="5"/>
      <c r="CS666" s="5"/>
      <c r="CT666" s="5"/>
      <c r="CU666" s="1123">
        <f>MATCH(CZ673,'Resource use and costs'!$BA$11:$BA$53,0)</f>
        <v>1</v>
      </c>
      <c r="CV666" s="1223"/>
      <c r="CW666" s="1241">
        <f t="shared" si="311"/>
        <v>1</v>
      </c>
      <c r="CX666" s="899" t="s">
        <v>794</v>
      </c>
      <c r="CY666" s="899" t="s">
        <v>585</v>
      </c>
      <c r="CZ666" s="899" t="s">
        <v>333</v>
      </c>
      <c r="DA666" s="899" t="s">
        <v>765</v>
      </c>
      <c r="DB666" s="899"/>
      <c r="DC666" s="899" cm="1">
        <f t="array" aca="1" ref="DC666" ca="1">_xlfn.IFNA(OFFSET($I$49,MATCH(CY666,$I$50:$I$63,0),MATCH(CZ666,TRANSPOSE($J$49:$W$49),0)),0)</f>
        <v>3.0800000000000004E-2</v>
      </c>
      <c r="DD666" s="899" cm="1">
        <f t="array" aca="1" ref="DD666" ca="1">_xlfn.IFNA(OFFSET($Y$49,MATCH($CZ666,$Y$50:$Y$63,0),MATCH($DA666,TRANSPOSE($Z$49:$AM$49),0)),0)</f>
        <v>0.34300000000000003</v>
      </c>
      <c r="DE666" s="899" cm="1">
        <f t="array" aca="1" ref="DE666" ca="1">_xlfn.IFNA(OFFSET($AO$49,MATCH($DA666,$AO$50:$AO$63,0),MATCH($DB666,TRANSPOSE($AP$49:$BC$49),0)),0)</f>
        <v>0</v>
      </c>
      <c r="DF666" s="881">
        <f t="shared" ca="1" si="313"/>
        <v>1.0564400000000002E-2</v>
      </c>
      <c r="DG666" s="910">
        <f t="shared" ca="1" si="310"/>
        <v>1</v>
      </c>
      <c r="DH666" s="881">
        <f t="shared" ca="1" si="314"/>
        <v>1.0564400000000002E-2</v>
      </c>
      <c r="DI666" s="1460">
        <f t="shared" ca="1" si="309"/>
        <v>2.4720696000000002</v>
      </c>
      <c r="DJ666" s="909">
        <f>_xlfn.IFNA(INDEX('Resource use and costs'!$CQ$11:$CQ$53,MATCH($CZ666,'Resource use and costs'!$BA$11:$BA$53,0)),0)*_xlfn.IFNA(INDEX(DY$10:DY$23,MATCH($CZ666,$DX$10:$DX$23,0)),0)</f>
        <v>54336.641519999976</v>
      </c>
      <c r="DK666" s="909">
        <f>IF(dd_PartSA_2_lines = "Yes",0,_xlfn.IFNA(INDEX('Resource use and costs'!$CR$11:$CR$53,MATCH(DA666,'Resource use and costs'!$BA$11:$BA$53,0)),0)*_xlfn.IFNA(INDEX(EA$10:EA$23,MATCH($DA666,$DX$10:$DX$23,0)),0))</f>
        <v>0</v>
      </c>
      <c r="DL666" s="909">
        <f>IF(dd_PartSA_2_lines = "Yes",0,_xlfn.IFNA(INDEX('Resource use and costs'!$CS$11:$CS$53,MATCH(DB666,'Resource use and costs'!$BA$11:$BA$53,0)),0)*_xlfn.IFNA(INDEX(EC$10:EC$23,MATCH($DB666,$DX$10:$DX$23,0)),0))</f>
        <v>0</v>
      </c>
      <c r="DM666" s="909">
        <f t="shared" si="315"/>
        <v>54336.641519999976</v>
      </c>
      <c r="DN666" s="909">
        <f>SUM(_xlfn.IFNA(INDEX('Resource use and costs'!$DU$12:$DU$25,MATCH(CZ666,'Resource use and costs'!$DS$12:$DS$25,0)),0),_xlfn.IFNA(INDEX('Resource use and costs'!$DU$12:$DU$25,MATCH(DA666,'Resource use and costs'!$DS$12:$DS$25,0)),0),_xlfn.IFNA(INDEX('Resource use and costs'!$DU$12:$DU$25,MATCH(DB666,'Resource use and costs'!$DS$12:$DS$25,0)),0))</f>
        <v>197.25</v>
      </c>
      <c r="DO666" s="921">
        <f>_xlfn.IFNA(INDEX('Resource use and costs'!$DY$12:$DY$25,MATCH(CZ666,'Resource use and costs'!$DS$12:$DS$25,0)),0)*_xlfn.IFNA(INDEX(DY$10:DY$23,MATCH($CZ666,$DX$10:$DX$23,0)),0)</f>
        <v>810.54285714285697</v>
      </c>
      <c r="DP666" s="921">
        <f>IF(dd_PartSA_2_lines = "Yes",0,_xlfn.IFNA(INDEX('Resource use and costs'!$DZ$12:$DZ$25,MATCH(DA666,'Resource use and costs'!$DS$12:$DS$25,0)),0)*_xlfn.IFNA(INDEX(EA$10:EA$23,MATCH($DA666,$DX$10:$DX$23,0)),0))</f>
        <v>0</v>
      </c>
      <c r="DQ666" s="921">
        <f>IF(dd_PartSA_2_lines = "Yes",0,_xlfn.IFNA(INDEX('Resource use and costs'!$EA$12:$EA$25,MATCH(DB666,'Resource use and costs'!$DS$12:$DS$25,0)),0)*_xlfn.IFNA(INDEX(EC$10:EC$23,MATCH($DB666,$DX$10:$DX$23,0)),0))</f>
        <v>0</v>
      </c>
      <c r="DR666" s="921">
        <f t="shared" si="316"/>
        <v>1007.792857142857</v>
      </c>
      <c r="DS666" s="1004">
        <f>SUMIFS('Safety parameters'!$DM$6:$DM$18,'Safety parameters'!$DK$6:$DK$18,CZ666,'Safety parameters'!$DL$6:$DL$18,1)+IF(dd_PartSA_2_lines = "Yes",0,SUMIFS('Safety parameters'!$DM$6:$DM$18,'Safety parameters'!$DK$6:$DK$18,DA666,'Safety parameters'!$DL$6:$DL$18,2)+SUMIFS('Safety parameters'!$DM$6:$DM$18,'Safety parameters'!$DK$6:$DK$18,DB666,'Safety parameters'!$DL$6:$DL$18,2))</f>
        <v>0</v>
      </c>
      <c r="DT666" s="910">
        <f>SUMIFS('Safety parameters'!$DO$6:$DO$18,'Safety parameters'!$DK$6:$DK$18,CZ666,'Safety parameters'!$DL$6:$DL$18,1)+IF(dd_PartSA_2_lines = "Yes",0,SUMIFS('Safety parameters'!$DO$6:$DO$18,'Safety parameters'!$DK$6:$DK$18,DA666,'Safety parameters'!$DL$6:$DL$18,2)+SUMIFS('Safety parameters'!$DO$6:$DO$18,'Safety parameters'!$DK$6:$DK$18,DB666,'Safety parameters'!$DL$6:$DL$18,2))</f>
        <v>0</v>
      </c>
    </row>
    <row r="667" spans="89:124" x14ac:dyDescent="0.2">
      <c r="CK667" s="5"/>
      <c r="CL667" s="5"/>
      <c r="CM667" s="5"/>
      <c r="CN667" s="5"/>
      <c r="CO667" s="5"/>
      <c r="CP667" s="5"/>
      <c r="CQ667" s="5"/>
      <c r="CR667" s="5"/>
      <c r="CS667" s="5"/>
      <c r="CT667" s="5"/>
      <c r="CU667" s="1123">
        <f>MATCH(CZ674,'Resource use and costs'!$BA$11:$BA$53,0)</f>
        <v>1</v>
      </c>
      <c r="CV667" s="1223"/>
      <c r="CW667" s="1241">
        <f t="shared" si="311"/>
        <v>1</v>
      </c>
      <c r="CX667" s="899" t="s">
        <v>794</v>
      </c>
      <c r="CY667" s="899" t="s">
        <v>585</v>
      </c>
      <c r="CZ667" s="899" t="s">
        <v>333</v>
      </c>
      <c r="DA667" s="899" t="s">
        <v>118</v>
      </c>
      <c r="DB667" s="899" t="s">
        <v>327</v>
      </c>
      <c r="DC667" s="899" cm="1">
        <f t="array" aca="1" ref="DC667" ca="1">_xlfn.IFNA(OFFSET($I$49,MATCH(CY667,$I$50:$I$63,0),MATCH(CZ667,TRANSPOSE($J$49:$W$49),0)),0)</f>
        <v>3.0800000000000004E-2</v>
      </c>
      <c r="DD667" s="899">
        <f ca="1">1-DD665-DD666-DD669</f>
        <v>0.57489999999999997</v>
      </c>
      <c r="DE667" s="899">
        <f ca="1">1-DE668</f>
        <v>0.56859999999999999</v>
      </c>
      <c r="DF667" s="881">
        <f t="shared" ca="1" si="313"/>
        <v>1.0068154712E-2</v>
      </c>
      <c r="DG667" s="910">
        <f t="shared" ca="1" si="310"/>
        <v>1</v>
      </c>
      <c r="DH667" s="881">
        <f t="shared" ca="1" si="314"/>
        <v>1.0068154712E-2</v>
      </c>
      <c r="DI667" s="1460">
        <f t="shared" ca="1" si="309"/>
        <v>2.3559482026079999</v>
      </c>
      <c r="DJ667" s="909">
        <f>_xlfn.IFNA(INDEX('Resource use and costs'!$CQ$11:$CQ$53,MATCH($CZ667,'Resource use and costs'!$BA$11:$BA$53,0)),0)*_xlfn.IFNA(INDEX(DY$10:DY$23,MATCH($CZ667,$DX$10:$DX$23,0)),0)</f>
        <v>54336.641519999976</v>
      </c>
      <c r="DK667" s="909">
        <f>IF(dd_PartSA_2_lines = "Yes",0,_xlfn.IFNA(INDEX('Resource use and costs'!$CR$11:$CR$53,MATCH(DA667,'Resource use and costs'!$BA$11:$BA$53,0)),0)*_xlfn.IFNA(INDEX(EA$10:EA$23,MATCH($DA667,$DX$10:$DX$23,0)),0))</f>
        <v>50308.075122000002</v>
      </c>
      <c r="DL667" s="909">
        <f>IF(dd_PartSA_2_lines = "Yes",0,_xlfn.IFNA(INDEX('Resource use and costs'!$CS$11:$CS$53,MATCH(DB667,'Resource use and costs'!$BA$11:$BA$53,0)),0)*_xlfn.IFNA(INDEX(EC$10:EC$23,MATCH($DB667,$DX$10:$DX$23,0)),0))</f>
        <v>18438.751749999999</v>
      </c>
      <c r="DM667" s="909">
        <f t="shared" si="315"/>
        <v>123083.46839199998</v>
      </c>
      <c r="DN667" s="909">
        <f>SUM(_xlfn.IFNA(INDEX('Resource use and costs'!$DU$12:$DU$25,MATCH(CZ667,'Resource use and costs'!$DS$12:$DS$25,0)),0),_xlfn.IFNA(INDEX('Resource use and costs'!$DU$12:$DU$25,MATCH(DA667,'Resource use and costs'!$DS$12:$DS$25,0)),0),_xlfn.IFNA(INDEX('Resource use and costs'!$DU$12:$DU$25,MATCH(DB667,'Resource use and costs'!$DS$12:$DS$25,0)),0))</f>
        <v>591.75</v>
      </c>
      <c r="DO667" s="921">
        <f>_xlfn.IFNA(INDEX('Resource use and costs'!$DY$12:$DY$25,MATCH(CZ667,'Resource use and costs'!$DS$12:$DS$25,0)),0)*_xlfn.IFNA(INDEX(DY$10:DY$23,MATCH($CZ667,$DX$10:$DX$23,0)),0)</f>
        <v>810.54285714285697</v>
      </c>
      <c r="DP667" s="921">
        <f>IF(dd_PartSA_2_lines = "Yes",0,_xlfn.IFNA(INDEX('Resource use and costs'!$DZ$12:$DZ$25,MATCH(DA667,'Resource use and costs'!$DS$12:$DS$25,0)),0)*_xlfn.IFNA(INDEX(EA$10:EA$23,MATCH($DA667,$DX$10:$DX$23,0)),0))</f>
        <v>461.1445457142857</v>
      </c>
      <c r="DQ667" s="921">
        <f>IF(dd_PartSA_2_lines = "Yes",0,_xlfn.IFNA(INDEX('Resource use and costs'!$EA$12:$EA$25,MATCH(DB667,'Resource use and costs'!$DS$12:$DS$25,0)),0)*_xlfn.IFNA(INDEX(EC$10:EC$23,MATCH($DB667,$DX$10:$DX$23,0)),0))</f>
        <v>230.68099999999998</v>
      </c>
      <c r="DR667" s="921">
        <f t="shared" si="316"/>
        <v>2094.1184028571424</v>
      </c>
      <c r="DS667" s="1004">
        <f ca="1">SUMIFS('Safety parameters'!$DM$6:$DM$18,'Safety parameters'!$DK$6:$DK$18,CZ667,'Safety parameters'!$DL$6:$DL$18,1)+IF(dd_PartSA_2_lines = "Yes",0,SUMIFS('Safety parameters'!$DM$6:$DM$18,'Safety parameters'!$DK$6:$DK$18,DA667,'Safety parameters'!$DL$6:$DL$18,2)+SUMIFS('Safety parameters'!$DM$6:$DM$18,'Safety parameters'!$DK$6:$DK$18,DB667,'Safety parameters'!$DL$6:$DL$18,2))</f>
        <v>2377.8779733688434</v>
      </c>
      <c r="DT667" s="910">
        <f ca="1">SUMIFS('Safety parameters'!$DO$6:$DO$18,'Safety parameters'!$DK$6:$DK$18,CZ667,'Safety parameters'!$DL$6:$DL$18,1)+IF(dd_PartSA_2_lines = "Yes",0,SUMIFS('Safety parameters'!$DO$6:$DO$18,'Safety parameters'!$DK$6:$DK$18,DA667,'Safety parameters'!$DL$6:$DL$18,2)+SUMIFS('Safety parameters'!$DO$6:$DO$18,'Safety parameters'!$DK$6:$DK$18,DB667,'Safety parameters'!$DL$6:$DL$18,2))</f>
        <v>-2.1764250363717368E-2</v>
      </c>
    </row>
    <row r="668" spans="89:124" x14ac:dyDescent="0.2">
      <c r="CK668" s="5"/>
      <c r="CL668" s="5"/>
      <c r="CM668" s="5"/>
      <c r="CN668" s="5"/>
      <c r="CO668" s="5"/>
      <c r="CP668" s="5"/>
      <c r="CQ668" s="5"/>
      <c r="CR668" s="5"/>
      <c r="CS668" s="5"/>
      <c r="CT668" s="5"/>
      <c r="CU668" s="1123">
        <f>MATCH(CZ675,'Resource use and costs'!$BA$11:$BA$53,0)</f>
        <v>1</v>
      </c>
      <c r="CV668" s="1223"/>
      <c r="CW668" s="1241">
        <f t="shared" si="311"/>
        <v>1</v>
      </c>
      <c r="CX668" s="899" t="s">
        <v>794</v>
      </c>
      <c r="CY668" s="899" t="s">
        <v>585</v>
      </c>
      <c r="CZ668" s="899" t="s">
        <v>333</v>
      </c>
      <c r="DA668" s="899" t="s">
        <v>118</v>
      </c>
      <c r="DB668" s="899" t="s">
        <v>765</v>
      </c>
      <c r="DC668" s="899" cm="1">
        <f t="array" aca="1" ref="DC668" ca="1">_xlfn.IFNA(OFFSET($I$49,MATCH(CY668,$I$50:$I$63,0),MATCH(CZ668,TRANSPOSE($J$49:$W$49),0)),0)</f>
        <v>3.0800000000000004E-2</v>
      </c>
      <c r="DD668" s="899">
        <f ca="1">DD667</f>
        <v>0.57489999999999997</v>
      </c>
      <c r="DE668" s="899" cm="1">
        <f t="array" aca="1" ref="DE668" ca="1">_xlfn.IFNA(OFFSET($AO$49,MATCH($DA668,$AO$50:$AO$63,0),MATCH($DB668,TRANSPOSE($AP$49:$BC$49),0)),0)</f>
        <v>0.43140000000000001</v>
      </c>
      <c r="DF668" s="881">
        <f t="shared" ca="1" si="313"/>
        <v>7.6387652880000002E-3</v>
      </c>
      <c r="DG668" s="910">
        <f t="shared" ca="1" si="310"/>
        <v>1</v>
      </c>
      <c r="DH668" s="881">
        <f t="shared" ca="1" si="314"/>
        <v>7.6387652880000002E-3</v>
      </c>
      <c r="DI668" s="1460">
        <f t="shared" ca="1" si="309"/>
        <v>1.787471077392</v>
      </c>
      <c r="DJ668" s="909">
        <f>_xlfn.IFNA(INDEX('Resource use and costs'!$CQ$11:$CQ$53,MATCH($CZ668,'Resource use and costs'!$BA$11:$BA$53,0)),0)*_xlfn.IFNA(INDEX(DY$10:DY$23,MATCH($CZ668,$DX$10:$DX$23,0)),0)</f>
        <v>54336.641519999976</v>
      </c>
      <c r="DK668" s="909">
        <f>IF(dd_PartSA_2_lines = "Yes",0,_xlfn.IFNA(INDEX('Resource use and costs'!$CR$11:$CR$53,MATCH(DA668,'Resource use and costs'!$BA$11:$BA$53,0)),0)*_xlfn.IFNA(INDEX(EA$10:EA$23,MATCH($DA668,$DX$10:$DX$23,0)),0))</f>
        <v>50308.075122000002</v>
      </c>
      <c r="DL668" s="909">
        <f>IF(dd_PartSA_2_lines = "Yes",0,_xlfn.IFNA(INDEX('Resource use and costs'!$CS$11:$CS$53,MATCH(DB668,'Resource use and costs'!$BA$11:$BA$53,0)),0)*_xlfn.IFNA(INDEX(EC$10:EC$23,MATCH($DB668,$DX$10:$DX$23,0)),0))</f>
        <v>0</v>
      </c>
      <c r="DM668" s="909">
        <f t="shared" si="315"/>
        <v>104644.71664199998</v>
      </c>
      <c r="DN668" s="909">
        <f>SUM(_xlfn.IFNA(INDEX('Resource use and costs'!$DU$12:$DU$25,MATCH(CZ668,'Resource use and costs'!$DS$12:$DS$25,0)),0),_xlfn.IFNA(INDEX('Resource use and costs'!$DU$12:$DU$25,MATCH(DA668,'Resource use and costs'!$DS$12:$DS$25,0)),0),_xlfn.IFNA(INDEX('Resource use and costs'!$DU$12:$DU$25,MATCH(DB668,'Resource use and costs'!$DS$12:$DS$25,0)),0))</f>
        <v>394.5</v>
      </c>
      <c r="DO668" s="921">
        <f>_xlfn.IFNA(INDEX('Resource use and costs'!$DY$12:$DY$25,MATCH(CZ668,'Resource use and costs'!$DS$12:$DS$25,0)),0)*_xlfn.IFNA(INDEX(DY$10:DY$23,MATCH($CZ668,$DX$10:$DX$23,0)),0)</f>
        <v>810.54285714285697</v>
      </c>
      <c r="DP668" s="921">
        <f>IF(dd_PartSA_2_lines = "Yes",0,_xlfn.IFNA(INDEX('Resource use and costs'!$DZ$12:$DZ$25,MATCH(DA668,'Resource use and costs'!$DS$12:$DS$25,0)),0)*_xlfn.IFNA(INDEX(EA$10:EA$23,MATCH($DA668,$DX$10:$DX$23,0)),0))</f>
        <v>461.1445457142857</v>
      </c>
      <c r="DQ668" s="921">
        <f>IF(dd_PartSA_2_lines = "Yes",0,_xlfn.IFNA(INDEX('Resource use and costs'!$EA$12:$EA$25,MATCH(DB668,'Resource use and costs'!$DS$12:$DS$25,0)),0)*_xlfn.IFNA(INDEX(EC$10:EC$23,MATCH($DB668,$DX$10:$DX$23,0)),0))</f>
        <v>0</v>
      </c>
      <c r="DR668" s="921">
        <f t="shared" si="316"/>
        <v>1666.1874028571426</v>
      </c>
      <c r="DS668" s="1004">
        <f ca="1">SUMIFS('Safety parameters'!$DM$6:$DM$18,'Safety parameters'!$DK$6:$DK$18,CZ668,'Safety parameters'!$DL$6:$DL$18,1)+IF(dd_PartSA_2_lines = "Yes",0,SUMIFS('Safety parameters'!$DM$6:$DM$18,'Safety parameters'!$DK$6:$DK$18,DA668,'Safety parameters'!$DL$6:$DL$18,2)+SUMIFS('Safety parameters'!$DM$6:$DM$18,'Safety parameters'!$DK$6:$DK$18,DB668,'Safety parameters'!$DL$6:$DL$18,2))</f>
        <v>743.64929980338343</v>
      </c>
      <c r="DT668" s="910">
        <f ca="1">SUMIFS('Safety parameters'!$DO$6:$DO$18,'Safety parameters'!$DK$6:$DK$18,CZ668,'Safety parameters'!$DL$6:$DL$18,1)+IF(dd_PartSA_2_lines = "Yes",0,SUMIFS('Safety parameters'!$DO$6:$DO$18,'Safety parameters'!$DK$6:$DK$18,DA668,'Safety parameters'!$DL$6:$DL$18,2)+SUMIFS('Safety parameters'!$DO$6:$DO$18,'Safety parameters'!$DK$6:$DK$18,DB668,'Safety parameters'!$DL$6:$DL$18,2))</f>
        <v>-7.0223263562359372E-3</v>
      </c>
    </row>
    <row r="669" spans="89:124" x14ac:dyDescent="0.2">
      <c r="CK669" s="5"/>
      <c r="CL669" s="5"/>
      <c r="CM669" s="5"/>
      <c r="CN669" s="5"/>
      <c r="CO669" s="5"/>
      <c r="CP669" s="5"/>
      <c r="CQ669" s="5"/>
      <c r="CR669" s="5"/>
      <c r="CS669" s="5"/>
      <c r="CT669" s="5"/>
      <c r="CU669" s="1123">
        <f>MATCH(CZ676,'Resource use and costs'!$BA$11:$BA$53,0)</f>
        <v>1</v>
      </c>
      <c r="CV669" s="1223"/>
      <c r="CW669" s="1241">
        <f t="shared" si="311"/>
        <v>1</v>
      </c>
      <c r="CX669" s="899" t="s">
        <v>794</v>
      </c>
      <c r="CY669" s="899" t="s">
        <v>585</v>
      </c>
      <c r="CZ669" s="899" t="s">
        <v>333</v>
      </c>
      <c r="DA669" s="899" t="s">
        <v>579</v>
      </c>
      <c r="DB669" s="899" t="s">
        <v>327</v>
      </c>
      <c r="DC669" s="899" cm="1">
        <f t="array" aca="1" ref="DC669" ca="1">_xlfn.IFNA(OFFSET($I$49,MATCH(CY669,$I$50:$I$63,0),MATCH(CZ669,TRANSPOSE($J$49:$W$49),0)),0)</f>
        <v>3.0800000000000004E-2</v>
      </c>
      <c r="DD669" s="899" cm="1">
        <f t="array" aca="1" ref="DD669" ca="1">_xlfn.IFNA(OFFSET($Y$49,MATCH($CZ669,$Y$50:$Y$63,0),MATCH($DA669,TRANSPOSE($Z$49:$AM$49),0)),0)</f>
        <v>8.2100000000000006E-2</v>
      </c>
      <c r="DE669" s="899" cm="1">
        <f t="array" aca="1" ref="DE669" ca="1">_xlfn.IFNA(OFFSET($AO$49,MATCH($DA669,$AO$50:$AO$63,0),MATCH($DB669,TRANSPOSE($AP$49:$BC$49),0)),0)</f>
        <v>0.56859999999999999</v>
      </c>
      <c r="DF669" s="881">
        <f t="shared" ca="1" si="313"/>
        <v>1.4378074480000003E-3</v>
      </c>
      <c r="DG669" s="910">
        <f t="shared" ca="1" si="310"/>
        <v>1</v>
      </c>
      <c r="DH669" s="881">
        <f t="shared" ca="1" si="314"/>
        <v>1.4378074480000003E-3</v>
      </c>
      <c r="DI669" s="1460">
        <f t="shared" ca="1" si="309"/>
        <v>0.33644694283200005</v>
      </c>
      <c r="DJ669" s="909">
        <f>_xlfn.IFNA(INDEX('Resource use and costs'!$CQ$11:$CQ$53,MATCH($CZ669,'Resource use and costs'!$BA$11:$BA$53,0)),0)*_xlfn.IFNA(INDEX(DY$10:DY$23,MATCH($CZ669,$DX$10:$DX$23,0)),0)</f>
        <v>54336.641519999976</v>
      </c>
      <c r="DK669" s="909">
        <f>IF(dd_PartSA_2_lines = "Yes",0,_xlfn.IFNA(INDEX('Resource use and costs'!$CR$11:$CR$53,MATCH(DA669,'Resource use and costs'!$BA$11:$BA$53,0)),0)*_xlfn.IFNA(INDEX(EA$10:EA$23,MATCH($DA669,$DX$10:$DX$23,0)),0))</f>
        <v>26054.50921</v>
      </c>
      <c r="DL669" s="909">
        <f>IF(dd_PartSA_2_lines = "Yes",0,_xlfn.IFNA(INDEX('Resource use and costs'!$CS$11:$CS$53,MATCH(DB669,'Resource use and costs'!$BA$11:$BA$53,0)),0)*_xlfn.IFNA(INDEX(EC$10:EC$23,MATCH($DB669,$DX$10:$DX$23,0)),0))</f>
        <v>18438.751749999999</v>
      </c>
      <c r="DM669" s="909">
        <f t="shared" si="315"/>
        <v>98829.902479999975</v>
      </c>
      <c r="DN669" s="909">
        <f>SUM(_xlfn.IFNA(INDEX('Resource use and costs'!$DU$12:$DU$25,MATCH(CZ669,'Resource use and costs'!$DS$12:$DS$25,0)),0),_xlfn.IFNA(INDEX('Resource use and costs'!$DU$12:$DU$25,MATCH(DA669,'Resource use and costs'!$DS$12:$DS$25,0)),0),_xlfn.IFNA(INDEX('Resource use and costs'!$DU$12:$DU$25,MATCH(DB669,'Resource use and costs'!$DS$12:$DS$25,0)),0))</f>
        <v>394.5</v>
      </c>
      <c r="DO669" s="921">
        <f>_xlfn.IFNA(INDEX('Resource use and costs'!$DY$12:$DY$25,MATCH(CZ669,'Resource use and costs'!$DS$12:$DS$25,0)),0)*_xlfn.IFNA(INDEX(DY$10:DY$23,MATCH($CZ669,$DX$10:$DX$23,0)),0)</f>
        <v>810.54285714285697</v>
      </c>
      <c r="DP669" s="921">
        <f>IF(dd_PartSA_2_lines = "Yes",0,_xlfn.IFNA(INDEX('Resource use and costs'!$DZ$12:$DZ$25,MATCH(DA669,'Resource use and costs'!$DS$12:$DS$25,0)),0)*_xlfn.IFNA(INDEX(EA$10:EA$23,MATCH($DA669,$DX$10:$DX$23,0)),0))</f>
        <v>4108.3597166</v>
      </c>
      <c r="DQ669" s="921">
        <f>IF(dd_PartSA_2_lines = "Yes",0,_xlfn.IFNA(INDEX('Resource use and costs'!$EA$12:$EA$25,MATCH(DB669,'Resource use and costs'!$DS$12:$DS$25,0)),0)*_xlfn.IFNA(INDEX(EC$10:EC$23,MATCH($DB669,$DX$10:$DX$23,0)),0))</f>
        <v>230.68099999999998</v>
      </c>
      <c r="DR669" s="921">
        <f t="shared" si="316"/>
        <v>5544.0835737428561</v>
      </c>
      <c r="DS669" s="1004">
        <f ca="1">SUMIFS('Safety parameters'!$DM$6:$DM$18,'Safety parameters'!$DK$6:$DK$18,CZ669,'Safety parameters'!$DL$6:$DL$18,1)+IF(dd_PartSA_2_lines = "Yes",0,SUMIFS('Safety parameters'!$DM$6:$DM$18,'Safety parameters'!$DK$6:$DK$18,DA669,'Safety parameters'!$DL$6:$DL$18,2)+SUMIFS('Safety parameters'!$DM$6:$DM$18,'Safety parameters'!$DK$6:$DK$18,DB669,'Safety parameters'!$DL$6:$DL$18,2))</f>
        <v>1795.3624225558742</v>
      </c>
      <c r="DT669" s="910">
        <f ca="1">SUMIFS('Safety parameters'!$DO$6:$DO$18,'Safety parameters'!$DK$6:$DK$18,CZ669,'Safety parameters'!$DL$6:$DL$18,1)+IF(dd_PartSA_2_lines = "Yes",0,SUMIFS('Safety parameters'!$DO$6:$DO$18,'Safety parameters'!$DK$6:$DK$18,DA669,'Safety parameters'!$DL$6:$DL$18,2)+SUMIFS('Safety parameters'!$DO$6:$DO$18,'Safety parameters'!$DK$6:$DK$18,DB669,'Safety parameters'!$DL$6:$DL$18,2))</f>
        <v>-1.6339008205166216E-2</v>
      </c>
    </row>
    <row r="670" spans="89:124" x14ac:dyDescent="0.2">
      <c r="CK670" s="5"/>
      <c r="CL670" s="5"/>
      <c r="CM670" s="5"/>
      <c r="CN670" s="5"/>
      <c r="CO670" s="5"/>
      <c r="CP670" s="5"/>
      <c r="CQ670" s="5"/>
      <c r="CR670" s="5"/>
      <c r="CS670" s="5"/>
      <c r="CT670" s="5"/>
      <c r="CU670" s="1123">
        <f>MATCH(CZ677,'Resource use and costs'!$BA$11:$BA$53,0)</f>
        <v>1</v>
      </c>
      <c r="CV670" s="1223"/>
      <c r="CW670" s="1241">
        <f t="shared" si="311"/>
        <v>1</v>
      </c>
      <c r="CX670" s="899" t="s">
        <v>794</v>
      </c>
      <c r="CY670" s="899" t="s">
        <v>585</v>
      </c>
      <c r="CZ670" s="899" t="s">
        <v>333</v>
      </c>
      <c r="DA670" s="899" t="s">
        <v>579</v>
      </c>
      <c r="DB670" s="899" t="s">
        <v>765</v>
      </c>
      <c r="DC670" s="899" cm="1">
        <f t="array" aca="1" ref="DC670" ca="1">_xlfn.IFNA(OFFSET($I$49,MATCH(CY670,$I$50:$I$63,0),MATCH(CZ670,TRANSPOSE($J$49:$W$49),0)),0)</f>
        <v>3.0800000000000004E-2</v>
      </c>
      <c r="DD670" s="899" cm="1">
        <f t="array" aca="1" ref="DD670" ca="1">_xlfn.IFNA(OFFSET($Y$49,MATCH($CZ670,$Y$50:$Y$63,0),MATCH($DA670,TRANSPOSE($Z$49:$AM$49),0)),0)</f>
        <v>8.2100000000000006E-2</v>
      </c>
      <c r="DE670" s="899" cm="1">
        <f t="array" aca="1" ref="DE670" ca="1">_xlfn.IFNA(OFFSET($AO$49,MATCH($DA670,$AO$50:$AO$63,0),MATCH($DB670,TRANSPOSE($AP$49:$BC$49),0)),0)</f>
        <v>0.43140000000000001</v>
      </c>
      <c r="DF670" s="881">
        <f t="shared" ca="1" si="313"/>
        <v>1.0908725520000003E-3</v>
      </c>
      <c r="DG670" s="910">
        <f t="shared" ca="1" si="310"/>
        <v>1</v>
      </c>
      <c r="DH670" s="881">
        <f t="shared" ca="1" si="314"/>
        <v>1.0908725520000003E-3</v>
      </c>
      <c r="DI670" s="1460">
        <f t="shared" ca="1" si="309"/>
        <v>0.25526417716800009</v>
      </c>
      <c r="DJ670" s="909">
        <f>_xlfn.IFNA(INDEX('Resource use and costs'!$CQ$11:$CQ$53,MATCH($CZ670,'Resource use and costs'!$BA$11:$BA$53,0)),0)*_xlfn.IFNA(INDEX(DY$10:DY$23,MATCH($CZ670,$DX$10:$DX$23,0)),0)</f>
        <v>54336.641519999976</v>
      </c>
      <c r="DK670" s="909">
        <f>IF(dd_PartSA_2_lines = "Yes",0,_xlfn.IFNA(INDEX('Resource use and costs'!$CR$11:$CR$53,MATCH(DA670,'Resource use and costs'!$BA$11:$BA$53,0)),0)*_xlfn.IFNA(INDEX(EA$10:EA$23,MATCH($DA670,$DX$10:$DX$23,0)),0))</f>
        <v>26054.50921</v>
      </c>
      <c r="DL670" s="909">
        <f>IF(dd_PartSA_2_lines = "Yes",0,_xlfn.IFNA(INDEX('Resource use and costs'!$CS$11:$CS$53,MATCH(DB670,'Resource use and costs'!$BA$11:$BA$53,0)),0)*_xlfn.IFNA(INDEX(EC$10:EC$23,MATCH($DB670,$DX$10:$DX$23,0)),0))</f>
        <v>0</v>
      </c>
      <c r="DM670" s="909">
        <f t="shared" si="315"/>
        <v>80391.150729999979</v>
      </c>
      <c r="DN670" s="909">
        <f>SUM(_xlfn.IFNA(INDEX('Resource use and costs'!$DU$12:$DU$25,MATCH(CZ670,'Resource use and costs'!$DS$12:$DS$25,0)),0),_xlfn.IFNA(INDEX('Resource use and costs'!$DU$12:$DU$25,MATCH(DA670,'Resource use and costs'!$DS$12:$DS$25,0)),0),_xlfn.IFNA(INDEX('Resource use and costs'!$DU$12:$DU$25,MATCH(DB670,'Resource use and costs'!$DS$12:$DS$25,0)),0))</f>
        <v>197.25</v>
      </c>
      <c r="DO670" s="921">
        <f>_xlfn.IFNA(INDEX('Resource use and costs'!$DY$12:$DY$25,MATCH(CZ670,'Resource use and costs'!$DS$12:$DS$25,0)),0)*_xlfn.IFNA(INDEX(DY$10:DY$23,MATCH($CZ670,$DX$10:$DX$23,0)),0)</f>
        <v>810.54285714285697</v>
      </c>
      <c r="DP670" s="921">
        <f>IF(dd_PartSA_2_lines = "Yes",0,_xlfn.IFNA(INDEX('Resource use and costs'!$DZ$12:$DZ$25,MATCH(DA670,'Resource use and costs'!$DS$12:$DS$25,0)),0)*_xlfn.IFNA(INDEX(EA$10:EA$23,MATCH($DA670,$DX$10:$DX$23,0)),0))</f>
        <v>4108.3597166</v>
      </c>
      <c r="DQ670" s="921">
        <f>IF(dd_PartSA_2_lines = "Yes",0,_xlfn.IFNA(INDEX('Resource use and costs'!$EA$12:$EA$25,MATCH(DB670,'Resource use and costs'!$DS$12:$DS$25,0)),0)*_xlfn.IFNA(INDEX(EC$10:EC$23,MATCH($DB670,$DX$10:$DX$23,0)),0))</f>
        <v>0</v>
      </c>
      <c r="DR670" s="921">
        <f t="shared" si="316"/>
        <v>5116.1525737428565</v>
      </c>
      <c r="DS670" s="1004">
        <f ca="1">SUMIFS('Safety parameters'!$DM$6:$DM$18,'Safety parameters'!$DK$6:$DK$18,CZ670,'Safety parameters'!$DL$6:$DL$18,1)+IF(dd_PartSA_2_lines = "Yes",0,SUMIFS('Safety parameters'!$DM$6:$DM$18,'Safety parameters'!$DK$6:$DK$18,DA670,'Safety parameters'!$DL$6:$DL$18,2)+SUMIFS('Safety parameters'!$DM$6:$DM$18,'Safety parameters'!$DK$6:$DK$18,DB670,'Safety parameters'!$DL$6:$DL$18,2))</f>
        <v>161.1337489904144</v>
      </c>
      <c r="DT670" s="910">
        <f ca="1">SUMIFS('Safety parameters'!$DO$6:$DO$18,'Safety parameters'!$DK$6:$DK$18,CZ670,'Safety parameters'!$DL$6:$DL$18,1)+IF(dd_PartSA_2_lines = "Yes",0,SUMIFS('Safety parameters'!$DO$6:$DO$18,'Safety parameters'!$DK$6:$DK$18,DA670,'Safety parameters'!$DL$6:$DL$18,2)+SUMIFS('Safety parameters'!$DO$6:$DO$18,'Safety parameters'!$DK$6:$DK$18,DB670,'Safety parameters'!$DL$6:$DL$18,2))</f>
        <v>-1.5970841976847864E-3</v>
      </c>
    </row>
    <row r="671" spans="89:124" x14ac:dyDescent="0.2">
      <c r="CK671" s="5"/>
      <c r="CL671" s="5"/>
      <c r="CM671" s="5"/>
      <c r="CN671" s="5"/>
      <c r="CO671" s="5"/>
      <c r="CP671" s="5"/>
      <c r="CQ671" s="5"/>
      <c r="CR671" s="5"/>
      <c r="CS671" s="5"/>
      <c r="CT671" s="5"/>
      <c r="CU671" s="1123">
        <f>MATCH(CZ678,'Resource use and costs'!$BA$11:$BA$53,0)</f>
        <v>1</v>
      </c>
      <c r="CV671" s="1223"/>
      <c r="CW671" s="1241">
        <f t="shared" si="311"/>
        <v>1</v>
      </c>
      <c r="CX671" s="899" t="s">
        <v>794</v>
      </c>
      <c r="CY671" s="899" t="s">
        <v>585</v>
      </c>
      <c r="CZ671" s="899" t="s">
        <v>579</v>
      </c>
      <c r="DA671" s="899" t="s">
        <v>327</v>
      </c>
      <c r="DB671" s="899" t="s">
        <v>765</v>
      </c>
      <c r="DC671" s="899" cm="1">
        <f t="array" aca="1" ref="DC671" ca="1">_xlfn.IFNA(OFFSET($I$49,MATCH(CY671,$I$50:$I$63,0),MATCH(CZ671,TRANSPOSE($J$49:$W$49),0)),0)</f>
        <v>0.36970000000000003</v>
      </c>
      <c r="DD671" s="899" cm="1">
        <f t="array" aca="1" ref="DD671" ca="1">_xlfn.IFNA(OFFSET($Y$49,MATCH($CZ671,$Y$50:$Y$63,0),MATCH($DA671,TRANSPOSE($Z$49:$AM$49),0)),0)</f>
        <v>5.2400000000000002E-2</v>
      </c>
      <c r="DE671" s="899" cm="1">
        <f t="array" aca="1" ref="DE671" ca="1">_xlfn.IFNA(OFFSET($AO$49,MATCH($DA671,$AO$50:$AO$63,0),MATCH($DB671,TRANSPOSE($AP$49:$BC$49),0)),0)</f>
        <v>0.43140000000000001</v>
      </c>
      <c r="DF671" s="881">
        <f t="shared" ca="1" si="313"/>
        <v>8.357201592000001E-3</v>
      </c>
      <c r="DG671" s="910">
        <f t="shared" ca="1" si="310"/>
        <v>1</v>
      </c>
      <c r="DH671" s="881">
        <f t="shared" ca="1" si="314"/>
        <v>8.357201592000001E-3</v>
      </c>
      <c r="DI671" s="1460">
        <f t="shared" ca="1" si="309"/>
        <v>1.9555851725280002</v>
      </c>
      <c r="DJ671" s="909">
        <f>_xlfn.IFNA(INDEX('Resource use and costs'!$CQ$11:$CQ$53,MATCH($CZ671,'Resource use and costs'!$BA$11:$BA$53,0)),0)*_xlfn.IFNA(INDEX(DY$10:DY$23,MATCH($CZ671,$DX$10:$DX$23,0)),0)</f>
        <v>56693.786091428577</v>
      </c>
      <c r="DK671" s="909">
        <f>IF(dd_PartSA_2_lines = "Yes",0,_xlfn.IFNA(INDEX('Resource use and costs'!$CR$11:$CR$53,MATCH(DA671,'Resource use and costs'!$BA$11:$BA$53,0)),0)*_xlfn.IFNA(INDEX(EA$10:EA$23,MATCH($DA671,$DX$10:$DX$23,0)),0))</f>
        <v>21421.066008214286</v>
      </c>
      <c r="DL671" s="909">
        <f>IF(dd_PartSA_2_lines = "Yes",0,_xlfn.IFNA(INDEX('Resource use and costs'!$CS$11:$CS$53,MATCH(DB671,'Resource use and costs'!$BA$11:$BA$53,0)),0)*_xlfn.IFNA(INDEX(EC$10:EC$23,MATCH($DB671,$DX$10:$DX$23,0)),0))</f>
        <v>0</v>
      </c>
      <c r="DM671" s="909">
        <f t="shared" si="315"/>
        <v>78114.852099642856</v>
      </c>
      <c r="DN671" s="909">
        <f>SUM(_xlfn.IFNA(INDEX('Resource use and costs'!$DU$12:$DU$25,MATCH(CZ671,'Resource use and costs'!$DS$12:$DS$25,0)),0),_xlfn.IFNA(INDEX('Resource use and costs'!$DU$12:$DU$25,MATCH(DA671,'Resource use and costs'!$DS$12:$DS$25,0)),0),_xlfn.IFNA(INDEX('Resource use and costs'!$DU$12:$DU$25,MATCH(DB671,'Resource use and costs'!$DS$12:$DS$25,0)),0))</f>
        <v>197.25</v>
      </c>
      <c r="DO671" s="921">
        <f>_xlfn.IFNA(INDEX('Resource use and costs'!$DY$12:$DY$25,MATCH(CZ671,'Resource use and costs'!$DS$12:$DS$25,0)),0)*_xlfn.IFNA(INDEX(DY$10:DY$23,MATCH($CZ671,$DX$10:$DX$23,0)),0)</f>
        <v>8939.6605049142872</v>
      </c>
      <c r="DP671" s="921">
        <f>IF(dd_PartSA_2_lines = "Yes",0,_xlfn.IFNA(INDEX('Resource use and costs'!$DZ$12:$DZ$25,MATCH(DA671,'Resource use and costs'!$DS$12:$DS$25,0)),0)*_xlfn.IFNA(INDEX(EA$10:EA$23,MATCH($DA671,$DX$10:$DX$23,0)),0))</f>
        <v>267.99172714285714</v>
      </c>
      <c r="DQ671" s="921">
        <f>IF(dd_PartSA_2_lines = "Yes",0,_xlfn.IFNA(INDEX('Resource use and costs'!$EA$12:$EA$25,MATCH(DB671,'Resource use and costs'!$DS$12:$DS$25,0)),0)*_xlfn.IFNA(INDEX(EC$10:EC$23,MATCH($DB671,$DX$10:$DX$23,0)),0))</f>
        <v>0</v>
      </c>
      <c r="DR671" s="921">
        <f t="shared" si="316"/>
        <v>9404.9022320571439</v>
      </c>
      <c r="DS671" s="1004">
        <f ca="1">SUMIFS('Safety parameters'!$DM$6:$DM$18,'Safety parameters'!$DK$6:$DK$18,CZ671,'Safety parameters'!$DL$6:$DL$18,1)+IF(dd_PartSA_2_lines = "Yes",0,SUMIFS('Safety parameters'!$DM$6:$DM$18,'Safety parameters'!$DK$6:$DK$18,DA671,'Safety parameters'!$DL$6:$DL$18,2)+SUMIFS('Safety parameters'!$DM$6:$DM$18,'Safety parameters'!$DK$6:$DK$18,DB671,'Safety parameters'!$DL$6:$DL$18,2))</f>
        <v>1634.2286735654598</v>
      </c>
      <c r="DT671" s="910">
        <f ca="1">SUMIFS('Safety parameters'!$DO$6:$DO$18,'Safety parameters'!$DK$6:$DK$18,CZ671,'Safety parameters'!$DL$6:$DL$18,1)+IF(dd_PartSA_2_lines = "Yes",0,SUMIFS('Safety parameters'!$DO$6:$DO$18,'Safety parameters'!$DK$6:$DK$18,DA671,'Safety parameters'!$DL$6:$DL$18,2)+SUMIFS('Safety parameters'!$DO$6:$DO$18,'Safety parameters'!$DK$6:$DK$18,DB671,'Safety parameters'!$DL$6:$DL$18,2))</f>
        <v>-1.4741924007481429E-2</v>
      </c>
    </row>
    <row r="672" spans="89:124" x14ac:dyDescent="0.2">
      <c r="CK672" s="5"/>
      <c r="CL672" s="5"/>
      <c r="CM672" s="5"/>
      <c r="CN672" s="5"/>
      <c r="CO672" s="5"/>
      <c r="CP672" s="5"/>
      <c r="CQ672" s="5"/>
      <c r="CR672" s="5"/>
      <c r="CS672" s="5"/>
      <c r="CT672" s="5"/>
      <c r="CU672" s="1123">
        <f>MATCH(CZ679,'Resource use and costs'!$BA$11:$BA$53,0)</f>
        <v>1</v>
      </c>
      <c r="CV672" s="1223"/>
      <c r="CW672" s="1241">
        <f t="shared" si="311"/>
        <v>1</v>
      </c>
      <c r="CX672" s="899" t="s">
        <v>794</v>
      </c>
      <c r="CY672" s="899" t="s">
        <v>585</v>
      </c>
      <c r="CZ672" s="899" t="s">
        <v>579</v>
      </c>
      <c r="DA672" s="899" t="s">
        <v>327</v>
      </c>
      <c r="DB672" s="899" t="s">
        <v>119</v>
      </c>
      <c r="DC672" s="899" cm="1">
        <f t="array" aca="1" ref="DC672" ca="1">_xlfn.IFNA(OFFSET($I$49,MATCH(CY672,$I$50:$I$63,0),MATCH(CZ672,TRANSPOSE($J$49:$W$49),0)),0)</f>
        <v>0.36970000000000003</v>
      </c>
      <c r="DD672" s="899" cm="1">
        <f t="array" aca="1" ref="DD672" ca="1">_xlfn.IFNA(OFFSET($Y$49,MATCH($CZ672,$Y$50:$Y$63,0),MATCH($DA672,TRANSPOSE($Z$49:$AM$49),0)),0)</f>
        <v>5.2400000000000002E-2</v>
      </c>
      <c r="DE672" s="899" cm="1">
        <f t="array" aca="1" ref="DE672" ca="1">_xlfn.IFNA(OFFSET($AO$49,MATCH($DA672,$AO$50:$AO$63,0),MATCH($DB672,TRANSPOSE($AP$49:$BC$49),0)),0)</f>
        <v>0.56859999999999999</v>
      </c>
      <c r="DF672" s="881">
        <f t="shared" ca="1" si="313"/>
        <v>1.1015078408000001E-2</v>
      </c>
      <c r="DG672" s="910">
        <f t="shared" ca="1" si="310"/>
        <v>1</v>
      </c>
      <c r="DH672" s="881">
        <f t="shared" ca="1" si="314"/>
        <v>1.1015078408000001E-2</v>
      </c>
      <c r="DI672" s="1460">
        <f t="shared" ca="1" si="309"/>
        <v>2.5775283474720001</v>
      </c>
      <c r="DJ672" s="909">
        <f>_xlfn.IFNA(INDEX('Resource use and costs'!$CQ$11:$CQ$53,MATCH($CZ672,'Resource use and costs'!$BA$11:$BA$53,0)),0)*_xlfn.IFNA(INDEX(DY$10:DY$23,MATCH($CZ672,$DX$10:$DX$23,0)),0)</f>
        <v>56693.786091428577</v>
      </c>
      <c r="DK672" s="909">
        <f>IF(dd_PartSA_2_lines = "Yes",0,_xlfn.IFNA(INDEX('Resource use and costs'!$CR$11:$CR$53,MATCH(DA672,'Resource use and costs'!$BA$11:$BA$53,0)),0)*_xlfn.IFNA(INDEX(EA$10:EA$23,MATCH($DA672,$DX$10:$DX$23,0)),0))</f>
        <v>21421.066008214286</v>
      </c>
      <c r="DL672" s="909">
        <f>IF(dd_PartSA_2_lines = "Yes",0,_xlfn.IFNA(INDEX('Resource use and costs'!$CS$11:$CS$53,MATCH(DB672,'Resource use and costs'!$BA$11:$BA$53,0)),0)*_xlfn.IFNA(INDEX(EC$10:EC$23,MATCH($DB672,$DX$10:$DX$23,0)),0))</f>
        <v>2915.4763433333328</v>
      </c>
      <c r="DM672" s="909">
        <f t="shared" si="315"/>
        <v>81030.328442976184</v>
      </c>
      <c r="DN672" s="909">
        <f>SUM(_xlfn.IFNA(INDEX('Resource use and costs'!$DU$12:$DU$25,MATCH(CZ672,'Resource use and costs'!$DS$12:$DS$25,0)),0),_xlfn.IFNA(INDEX('Resource use and costs'!$DU$12:$DU$25,MATCH(DA672,'Resource use and costs'!$DS$12:$DS$25,0)),0),_xlfn.IFNA(INDEX('Resource use and costs'!$DU$12:$DU$25,MATCH(DB672,'Resource use and costs'!$DS$12:$DS$25,0)),0))</f>
        <v>394.5</v>
      </c>
      <c r="DO672" s="921">
        <f>_xlfn.IFNA(INDEX('Resource use and costs'!$DY$12:$DY$25,MATCH(CZ672,'Resource use and costs'!$DS$12:$DS$25,0)),0)*_xlfn.IFNA(INDEX(DY$10:DY$23,MATCH($CZ672,$DX$10:$DX$23,0)),0)</f>
        <v>8939.6605049142872</v>
      </c>
      <c r="DP672" s="921">
        <f>IF(dd_PartSA_2_lines = "Yes",0,_xlfn.IFNA(INDEX('Resource use and costs'!$DZ$12:$DZ$25,MATCH(DA672,'Resource use and costs'!$DS$12:$DS$25,0)),0)*_xlfn.IFNA(INDEX(EA$10:EA$23,MATCH($DA672,$DX$10:$DX$23,0)),0))</f>
        <v>267.99172714285714</v>
      </c>
      <c r="DQ672" s="921">
        <f>IF(dd_PartSA_2_lines = "Yes",0,_xlfn.IFNA(INDEX('Resource use and costs'!$EA$12:$EA$25,MATCH(DB672,'Resource use and costs'!$DS$12:$DS$25,0)),0)*_xlfn.IFNA(INDEX(EC$10:EC$23,MATCH($DB672,$DX$10:$DX$23,0)),0))</f>
        <v>256.11457142857142</v>
      </c>
      <c r="DR672" s="921">
        <f t="shared" si="316"/>
        <v>9858.2668034857161</v>
      </c>
      <c r="DS672" s="1004">
        <f ca="1">SUMIFS('Safety parameters'!$DM$6:$DM$18,'Safety parameters'!$DK$6:$DK$18,CZ672,'Safety parameters'!$DL$6:$DL$18,1)+IF(dd_PartSA_2_lines = "Yes",0,SUMIFS('Safety parameters'!$DM$6:$DM$18,'Safety parameters'!$DK$6:$DK$18,DA672,'Safety parameters'!$DL$6:$DL$18,2)+SUMIFS('Safety parameters'!$DM$6:$DM$18,'Safety parameters'!$DK$6:$DK$18,DB672,'Safety parameters'!$DL$6:$DL$18,2))</f>
        <v>1967.1040569407746</v>
      </c>
      <c r="DT672" s="910">
        <f ca="1">SUMIFS('Safety parameters'!$DO$6:$DO$18,'Safety parameters'!$DK$6:$DK$18,CZ672,'Safety parameters'!$DL$6:$DL$18,1)+IF(dd_PartSA_2_lines = "Yes",0,SUMIFS('Safety parameters'!$DO$6:$DO$18,'Safety parameters'!$DK$6:$DK$18,DA672,'Safety parameters'!$DL$6:$DL$18,2)+SUMIFS('Safety parameters'!$DO$6:$DO$18,'Safety parameters'!$DK$6:$DK$18,DB672,'Safety parameters'!$DL$6:$DL$18,2))</f>
        <v>-1.7409497544119149E-2</v>
      </c>
    </row>
    <row r="673" spans="89:124" x14ac:dyDescent="0.2">
      <c r="CK673" s="5"/>
      <c r="CL673" s="5"/>
      <c r="CM673" s="5"/>
      <c r="CN673" s="5"/>
      <c r="CO673" s="5"/>
      <c r="CP673" s="5"/>
      <c r="CQ673" s="5"/>
      <c r="CR673" s="5"/>
      <c r="CS673" s="5"/>
      <c r="CT673" s="5"/>
      <c r="CU673" s="1123">
        <f>MATCH(CZ680,'Resource use and costs'!$BA$11:$BA$53,0)</f>
        <v>1</v>
      </c>
      <c r="CV673" s="1223"/>
      <c r="CW673" s="1241">
        <f t="shared" si="311"/>
        <v>1</v>
      </c>
      <c r="CX673" s="899" t="s">
        <v>794</v>
      </c>
      <c r="CY673" s="899" t="s">
        <v>585</v>
      </c>
      <c r="CZ673" s="899" t="s">
        <v>579</v>
      </c>
      <c r="DA673" s="899" t="s">
        <v>765</v>
      </c>
      <c r="DB673" s="899"/>
      <c r="DC673" s="899" cm="1">
        <f t="array" aca="1" ref="DC673" ca="1">_xlfn.IFNA(OFFSET($I$49,MATCH(CY673,$I$50:$I$63,0),MATCH(CZ673,TRANSPOSE($J$49:$W$49),0)),0)</f>
        <v>0.36970000000000003</v>
      </c>
      <c r="DD673" s="899" cm="1">
        <f t="array" aca="1" ref="DD673" ca="1">_xlfn.IFNA(OFFSET($Y$49,MATCH($CZ673,$Y$50:$Y$63,0),MATCH($DA673,TRANSPOSE($Z$49:$AM$49),0)),0)</f>
        <v>0.3453</v>
      </c>
      <c r="DE673" s="899" cm="1">
        <f t="array" aca="1" ref="DE673" ca="1">_xlfn.IFNA(OFFSET($AO$49,MATCH($DA673,$AO$50:$AO$63,0),MATCH($DB673,TRANSPOSE($AP$49:$BC$49),0)),0)</f>
        <v>0</v>
      </c>
      <c r="DF673" s="881">
        <f t="shared" ca="1" si="313"/>
        <v>0.12765741</v>
      </c>
      <c r="DG673" s="910">
        <f t="shared" ca="1" si="310"/>
        <v>1</v>
      </c>
      <c r="DH673" s="881">
        <f t="shared" ca="1" si="314"/>
        <v>0.12765741</v>
      </c>
      <c r="DI673" s="1460">
        <f t="shared" ca="1" si="309"/>
        <v>29.871833939999998</v>
      </c>
      <c r="DJ673" s="909">
        <f>_xlfn.IFNA(INDEX('Resource use and costs'!$CQ$11:$CQ$53,MATCH($CZ673,'Resource use and costs'!$BA$11:$BA$53,0)),0)*_xlfn.IFNA(INDEX(DY$10:DY$23,MATCH($CZ673,$DX$10:$DX$23,0)),0)</f>
        <v>56693.786091428577</v>
      </c>
      <c r="DK673" s="909">
        <f>IF(dd_PartSA_2_lines = "Yes",0,_xlfn.IFNA(INDEX('Resource use and costs'!$CR$11:$CR$53,MATCH(DA673,'Resource use and costs'!$BA$11:$BA$53,0)),0)*_xlfn.IFNA(INDEX(EA$10:EA$23,MATCH($DA673,$DX$10:$DX$23,0)),0))</f>
        <v>0</v>
      </c>
      <c r="DL673" s="909">
        <f>IF(dd_PartSA_2_lines = "Yes",0,_xlfn.IFNA(INDEX('Resource use and costs'!$CS$11:$CS$53,MATCH(DB673,'Resource use and costs'!$BA$11:$BA$53,0)),0)*_xlfn.IFNA(INDEX(EC$10:EC$23,MATCH($DB673,$DX$10:$DX$23,0)),0))</f>
        <v>0</v>
      </c>
      <c r="DM673" s="909">
        <f t="shared" si="315"/>
        <v>56693.786091428577</v>
      </c>
      <c r="DN673" s="909">
        <f>SUM(_xlfn.IFNA(INDEX('Resource use and costs'!$DU$12:$DU$25,MATCH(CZ673,'Resource use and costs'!$DS$12:$DS$25,0)),0),_xlfn.IFNA(INDEX('Resource use and costs'!$DU$12:$DU$25,MATCH(DA673,'Resource use and costs'!$DS$12:$DS$25,0)),0),_xlfn.IFNA(INDEX('Resource use and costs'!$DU$12:$DU$25,MATCH(DB673,'Resource use and costs'!$DS$12:$DS$25,0)),0))</f>
        <v>0</v>
      </c>
      <c r="DO673" s="921">
        <f>_xlfn.IFNA(INDEX('Resource use and costs'!$DY$12:$DY$25,MATCH(CZ673,'Resource use and costs'!$DS$12:$DS$25,0)),0)*_xlfn.IFNA(INDEX(DY$10:DY$23,MATCH($CZ673,$DX$10:$DX$23,0)),0)</f>
        <v>8939.6605049142872</v>
      </c>
      <c r="DP673" s="921">
        <f>IF(dd_PartSA_2_lines = "Yes",0,_xlfn.IFNA(INDEX('Resource use and costs'!$DZ$12:$DZ$25,MATCH(DA673,'Resource use and costs'!$DS$12:$DS$25,0)),0)*_xlfn.IFNA(INDEX(EA$10:EA$23,MATCH($DA673,$DX$10:$DX$23,0)),0))</f>
        <v>0</v>
      </c>
      <c r="DQ673" s="921">
        <f>IF(dd_PartSA_2_lines = "Yes",0,_xlfn.IFNA(INDEX('Resource use and costs'!$EA$12:$EA$25,MATCH(DB673,'Resource use and costs'!$DS$12:$DS$25,0)),0)*_xlfn.IFNA(INDEX(EC$10:EC$23,MATCH($DB673,$DX$10:$DX$23,0)),0))</f>
        <v>0</v>
      </c>
      <c r="DR673" s="921">
        <f t="shared" si="316"/>
        <v>8939.6605049142872</v>
      </c>
      <c r="DS673" s="1004">
        <f>SUMIFS('Safety parameters'!$DM$6:$DM$18,'Safety parameters'!$DK$6:$DK$18,CZ673,'Safety parameters'!$DL$6:$DL$18,1)+IF(dd_PartSA_2_lines = "Yes",0,SUMIFS('Safety parameters'!$DM$6:$DM$18,'Safety parameters'!$DK$6:$DK$18,DA673,'Safety parameters'!$DL$6:$DL$18,2)+SUMIFS('Safety parameters'!$DM$6:$DM$18,'Safety parameters'!$DK$6:$DK$18,DB673,'Safety parameters'!$DL$6:$DL$18,2))</f>
        <v>0</v>
      </c>
      <c r="DT673" s="910">
        <f>SUMIFS('Safety parameters'!$DO$6:$DO$18,'Safety parameters'!$DK$6:$DK$18,CZ673,'Safety parameters'!$DL$6:$DL$18,1)+IF(dd_PartSA_2_lines = "Yes",0,SUMIFS('Safety parameters'!$DO$6:$DO$18,'Safety parameters'!$DK$6:$DK$18,DA673,'Safety parameters'!$DL$6:$DL$18,2)+SUMIFS('Safety parameters'!$DO$6:$DO$18,'Safety parameters'!$DK$6:$DK$18,DB673,'Safety parameters'!$DL$6:$DL$18,2))</f>
        <v>0</v>
      </c>
    </row>
    <row r="674" spans="89:124" x14ac:dyDescent="0.2">
      <c r="CK674" s="5"/>
      <c r="CL674" s="5"/>
      <c r="CM674" s="5"/>
      <c r="CN674" s="5"/>
      <c r="CO674" s="5"/>
      <c r="CP674" s="5"/>
      <c r="CQ674" s="5"/>
      <c r="CR674" s="5"/>
      <c r="CS674" s="5"/>
      <c r="CT674" s="5"/>
      <c r="CU674" s="1123">
        <f>MATCH(CZ681,'Resource use and costs'!$BA$11:$BA$53,0)</f>
        <v>40</v>
      </c>
      <c r="CV674" s="1223"/>
      <c r="CW674" s="1241">
        <f t="shared" si="311"/>
        <v>1</v>
      </c>
      <c r="CX674" s="899" t="s">
        <v>794</v>
      </c>
      <c r="CY674" s="899" t="s">
        <v>585</v>
      </c>
      <c r="CZ674" s="899" t="s">
        <v>579</v>
      </c>
      <c r="DA674" s="899" t="s">
        <v>118</v>
      </c>
      <c r="DB674" s="899" t="s">
        <v>327</v>
      </c>
      <c r="DC674" s="899" cm="1">
        <f t="array" aca="1" ref="DC674" ca="1">_xlfn.IFNA(OFFSET($I$49,MATCH(CY674,$I$50:$I$63,0),MATCH(CZ674,TRANSPOSE($J$49:$W$49),0)),0)</f>
        <v>0.36970000000000003</v>
      </c>
      <c r="DD674" s="899">
        <f ca="1">1-DD671-DD673-DD677-DD679</f>
        <v>0.54340000000000011</v>
      </c>
      <c r="DE674" s="899" cm="1">
        <f t="array" aca="1" ref="DE674" ca="1">_xlfn.IFNA(OFFSET($AO$49,MATCH($DA674,$AO$50:$AO$63,0),MATCH($DB674,TRANSPOSE($AP$49:$BC$49),0)),0)</f>
        <v>0.38769999999999999</v>
      </c>
      <c r="DF674" s="881">
        <f t="shared" ca="1" si="313"/>
        <v>7.7886983746000019E-2</v>
      </c>
      <c r="DG674" s="910">
        <f t="shared" ca="1" si="310"/>
        <v>1</v>
      </c>
      <c r="DH674" s="881">
        <f t="shared" ca="1" si="314"/>
        <v>7.7886983746000019E-2</v>
      </c>
      <c r="DI674" s="1460">
        <f t="shared" ca="1" si="309"/>
        <v>18.225554196564005</v>
      </c>
      <c r="DJ674" s="909">
        <f>_xlfn.IFNA(INDEX('Resource use and costs'!$CQ$11:$CQ$53,MATCH($CZ674,'Resource use and costs'!$BA$11:$BA$53,0)),0)*_xlfn.IFNA(INDEX(DY$10:DY$23,MATCH($CZ674,$DX$10:$DX$23,0)),0)</f>
        <v>56693.786091428577</v>
      </c>
      <c r="DK674" s="909">
        <f>IF(dd_PartSA_2_lines = "Yes",0,_xlfn.IFNA(INDEX('Resource use and costs'!$CR$11:$CR$53,MATCH(DA674,'Resource use and costs'!$BA$11:$BA$53,0)),0)*_xlfn.IFNA(INDEX(EA$10:EA$23,MATCH($DA674,$DX$10:$DX$23,0)),0))</f>
        <v>50308.075122000002</v>
      </c>
      <c r="DL674" s="909">
        <f>IF(dd_PartSA_2_lines = "Yes",0,_xlfn.IFNA(INDEX('Resource use and costs'!$CS$11:$CS$53,MATCH(DB674,'Resource use and costs'!$BA$11:$BA$53,0)),0)*_xlfn.IFNA(INDEX(EC$10:EC$23,MATCH($DB674,$DX$10:$DX$23,0)),0))</f>
        <v>18438.751749999999</v>
      </c>
      <c r="DM674" s="909">
        <f t="shared" si="315"/>
        <v>125440.61296342858</v>
      </c>
      <c r="DN674" s="909">
        <f>SUM(_xlfn.IFNA(INDEX('Resource use and costs'!$DU$12:$DU$25,MATCH(CZ674,'Resource use and costs'!$DS$12:$DS$25,0)),0),_xlfn.IFNA(INDEX('Resource use and costs'!$DU$12:$DU$25,MATCH(DA674,'Resource use and costs'!$DS$12:$DS$25,0)),0),_xlfn.IFNA(INDEX('Resource use and costs'!$DU$12:$DU$25,MATCH(DB674,'Resource use and costs'!$DS$12:$DS$25,0)),0))</f>
        <v>394.5</v>
      </c>
      <c r="DO674" s="921">
        <f>_xlfn.IFNA(INDEX('Resource use and costs'!$DY$12:$DY$25,MATCH(CZ674,'Resource use and costs'!$DS$12:$DS$25,0)),0)*_xlfn.IFNA(INDEX(DY$10:DY$23,MATCH($CZ674,$DX$10:$DX$23,0)),0)</f>
        <v>8939.6605049142872</v>
      </c>
      <c r="DP674" s="921">
        <f>IF(dd_PartSA_2_lines = "Yes",0,_xlfn.IFNA(INDEX('Resource use and costs'!$DZ$12:$DZ$25,MATCH(DA674,'Resource use and costs'!$DS$12:$DS$25,0)),0)*_xlfn.IFNA(INDEX(EA$10:EA$23,MATCH($DA674,$DX$10:$DX$23,0)),0))</f>
        <v>461.1445457142857</v>
      </c>
      <c r="DQ674" s="921">
        <f>IF(dd_PartSA_2_lines = "Yes",0,_xlfn.IFNA(INDEX('Resource use and costs'!$EA$12:$EA$25,MATCH(DB674,'Resource use and costs'!$DS$12:$DS$25,0)),0)*_xlfn.IFNA(INDEX(EC$10:EC$23,MATCH($DB674,$DX$10:$DX$23,0)),0))</f>
        <v>230.68099999999998</v>
      </c>
      <c r="DR674" s="921">
        <f t="shared" si="316"/>
        <v>10025.986050628573</v>
      </c>
      <c r="DS674" s="1004">
        <f ca="1">SUMIFS('Safety parameters'!$DM$6:$DM$18,'Safety parameters'!$DK$6:$DK$18,CZ674,'Safety parameters'!$DL$6:$DL$18,1)+IF(dd_PartSA_2_lines = "Yes",0,SUMIFS('Safety parameters'!$DM$6:$DM$18,'Safety parameters'!$DK$6:$DK$18,DA674,'Safety parameters'!$DL$6:$DL$18,2)+SUMIFS('Safety parameters'!$DM$6:$DM$18,'Safety parameters'!$DK$6:$DK$18,DB674,'Safety parameters'!$DL$6:$DL$18,2))</f>
        <v>2377.8779733688434</v>
      </c>
      <c r="DT674" s="910">
        <f ca="1">SUMIFS('Safety parameters'!$DO$6:$DO$18,'Safety parameters'!$DK$6:$DK$18,CZ674,'Safety parameters'!$DL$6:$DL$18,1)+IF(dd_PartSA_2_lines = "Yes",0,SUMIFS('Safety parameters'!$DO$6:$DO$18,'Safety parameters'!$DK$6:$DK$18,DA674,'Safety parameters'!$DL$6:$DL$18,2)+SUMIFS('Safety parameters'!$DO$6:$DO$18,'Safety parameters'!$DK$6:$DK$18,DB674,'Safety parameters'!$DL$6:$DL$18,2))</f>
        <v>-2.1764250363717368E-2</v>
      </c>
    </row>
    <row r="675" spans="89:124" x14ac:dyDescent="0.2">
      <c r="CK675" s="5"/>
      <c r="CL675" s="5"/>
      <c r="CM675" s="5"/>
      <c r="CN675" s="5"/>
      <c r="CO675" s="5"/>
      <c r="CP675" s="5"/>
      <c r="CQ675" s="5"/>
      <c r="CR675" s="5"/>
      <c r="CS675" s="5"/>
      <c r="CT675" s="5"/>
      <c r="CU675" s="1123">
        <f>MATCH(CZ682,'Resource use and costs'!$BA$11:$BA$53,0)</f>
        <v>40</v>
      </c>
      <c r="CV675" s="1223"/>
      <c r="CW675" s="1241">
        <f t="shared" si="311"/>
        <v>1</v>
      </c>
      <c r="CX675" s="899" t="s">
        <v>794</v>
      </c>
      <c r="CY675" s="899" t="s">
        <v>585</v>
      </c>
      <c r="CZ675" s="899" t="s">
        <v>579</v>
      </c>
      <c r="DA675" s="899" t="s">
        <v>118</v>
      </c>
      <c r="DB675" s="899" t="s">
        <v>765</v>
      </c>
      <c r="DC675" s="899" cm="1">
        <f t="array" aca="1" ref="DC675" ca="1">_xlfn.IFNA(OFFSET($I$49,MATCH(CY675,$I$50:$I$63,0),MATCH(CZ675,TRANSPOSE($J$49:$W$49),0)),0)</f>
        <v>0.36970000000000003</v>
      </c>
      <c r="DD675" s="899">
        <f ca="1">DD674</f>
        <v>0.54340000000000011</v>
      </c>
      <c r="DE675" s="899" cm="1">
        <f t="array" aca="1" ref="DE675" ca="1">_xlfn.IFNA(OFFSET($AO$49,MATCH($DA675,$AO$50:$AO$63,0),MATCH($DB675,TRANSPOSE($AP$49:$BC$49),0)),0)</f>
        <v>0.43140000000000001</v>
      </c>
      <c r="DF675" s="881">
        <f t="shared" ca="1" si="313"/>
        <v>8.6666094372000027E-2</v>
      </c>
      <c r="DG675" s="910">
        <f t="shared" ca="1" si="310"/>
        <v>1</v>
      </c>
      <c r="DH675" s="881">
        <f t="shared" ca="1" si="314"/>
        <v>8.6666094372000027E-2</v>
      </c>
      <c r="DI675" s="1460">
        <f t="shared" ca="1" si="309"/>
        <v>20.279866083048006</v>
      </c>
      <c r="DJ675" s="909">
        <f>_xlfn.IFNA(INDEX('Resource use and costs'!$CQ$11:$CQ$53,MATCH($CZ675,'Resource use and costs'!$BA$11:$BA$53,0)),0)*_xlfn.IFNA(INDEX(DY$10:DY$23,MATCH($CZ675,$DX$10:$DX$23,0)),0)</f>
        <v>56693.786091428577</v>
      </c>
      <c r="DK675" s="909">
        <f>IF(dd_PartSA_2_lines = "Yes",0,_xlfn.IFNA(INDEX('Resource use and costs'!$CR$11:$CR$53,MATCH(DA675,'Resource use and costs'!$BA$11:$BA$53,0)),0)*_xlfn.IFNA(INDEX(EA$10:EA$23,MATCH($DA675,$DX$10:$DX$23,0)),0))</f>
        <v>50308.075122000002</v>
      </c>
      <c r="DL675" s="909">
        <f>IF(dd_PartSA_2_lines = "Yes",0,_xlfn.IFNA(INDEX('Resource use and costs'!$CS$11:$CS$53,MATCH(DB675,'Resource use and costs'!$BA$11:$BA$53,0)),0)*_xlfn.IFNA(INDEX(EC$10:EC$23,MATCH($DB675,$DX$10:$DX$23,0)),0))</f>
        <v>0</v>
      </c>
      <c r="DM675" s="909">
        <f t="shared" si="315"/>
        <v>107001.86121342858</v>
      </c>
      <c r="DN675" s="909">
        <f>SUM(_xlfn.IFNA(INDEX('Resource use and costs'!$DU$12:$DU$25,MATCH(CZ675,'Resource use and costs'!$DS$12:$DS$25,0)),0),_xlfn.IFNA(INDEX('Resource use and costs'!$DU$12:$DU$25,MATCH(DA675,'Resource use and costs'!$DS$12:$DS$25,0)),0),_xlfn.IFNA(INDEX('Resource use and costs'!$DU$12:$DU$25,MATCH(DB675,'Resource use and costs'!$DS$12:$DS$25,0)),0))</f>
        <v>197.25</v>
      </c>
      <c r="DO675" s="921">
        <f>_xlfn.IFNA(INDEX('Resource use and costs'!$DY$12:$DY$25,MATCH(CZ675,'Resource use and costs'!$DS$12:$DS$25,0)),0)*_xlfn.IFNA(INDEX(DY$10:DY$23,MATCH($CZ675,$DX$10:$DX$23,0)),0)</f>
        <v>8939.6605049142872</v>
      </c>
      <c r="DP675" s="921">
        <f>IF(dd_PartSA_2_lines = "Yes",0,_xlfn.IFNA(INDEX('Resource use and costs'!$DZ$12:$DZ$25,MATCH(DA675,'Resource use and costs'!$DS$12:$DS$25,0)),0)*_xlfn.IFNA(INDEX(EA$10:EA$23,MATCH($DA675,$DX$10:$DX$23,0)),0))</f>
        <v>461.1445457142857</v>
      </c>
      <c r="DQ675" s="921">
        <f>IF(dd_PartSA_2_lines = "Yes",0,_xlfn.IFNA(INDEX('Resource use and costs'!$EA$12:$EA$25,MATCH(DB675,'Resource use and costs'!$DS$12:$DS$25,0)),0)*_xlfn.IFNA(INDEX(EC$10:EC$23,MATCH($DB675,$DX$10:$DX$23,0)),0))</f>
        <v>0</v>
      </c>
      <c r="DR675" s="921">
        <f t="shared" si="316"/>
        <v>9598.0550506285726</v>
      </c>
      <c r="DS675" s="1004">
        <f ca="1">SUMIFS('Safety parameters'!$DM$6:$DM$18,'Safety parameters'!$DK$6:$DK$18,CZ675,'Safety parameters'!$DL$6:$DL$18,1)+IF(dd_PartSA_2_lines = "Yes",0,SUMIFS('Safety parameters'!$DM$6:$DM$18,'Safety parameters'!$DK$6:$DK$18,DA675,'Safety parameters'!$DL$6:$DL$18,2)+SUMIFS('Safety parameters'!$DM$6:$DM$18,'Safety parameters'!$DK$6:$DK$18,DB675,'Safety parameters'!$DL$6:$DL$18,2))</f>
        <v>743.64929980338343</v>
      </c>
      <c r="DT675" s="910">
        <f ca="1">SUMIFS('Safety parameters'!$DO$6:$DO$18,'Safety parameters'!$DK$6:$DK$18,CZ675,'Safety parameters'!$DL$6:$DL$18,1)+IF(dd_PartSA_2_lines = "Yes",0,SUMIFS('Safety parameters'!$DO$6:$DO$18,'Safety parameters'!$DK$6:$DK$18,DA675,'Safety parameters'!$DL$6:$DL$18,2)+SUMIFS('Safety parameters'!$DO$6:$DO$18,'Safety parameters'!$DK$6:$DK$18,DB675,'Safety parameters'!$DL$6:$DL$18,2))</f>
        <v>-7.0223263562359372E-3</v>
      </c>
    </row>
    <row r="676" spans="89:124" x14ac:dyDescent="0.2">
      <c r="CK676" s="5"/>
      <c r="CL676" s="5"/>
      <c r="CM676" s="5"/>
      <c r="CN676" s="5"/>
      <c r="CO676" s="5"/>
      <c r="CP676" s="5"/>
      <c r="CQ676" s="5"/>
      <c r="CR676" s="5"/>
      <c r="CS676" s="5"/>
      <c r="CT676" s="5"/>
      <c r="CU676" s="1123">
        <f>MATCH(CZ683,'Resource use and costs'!$BA$11:$BA$53,0)</f>
        <v>40</v>
      </c>
      <c r="CV676" s="1223"/>
      <c r="CW676" s="1241">
        <f t="shared" si="311"/>
        <v>1</v>
      </c>
      <c r="CX676" s="899" t="s">
        <v>794</v>
      </c>
      <c r="CY676" s="899" t="s">
        <v>585</v>
      </c>
      <c r="CZ676" s="899" t="s">
        <v>579</v>
      </c>
      <c r="DA676" s="899" t="s">
        <v>118</v>
      </c>
      <c r="DB676" s="899" t="s">
        <v>119</v>
      </c>
      <c r="DC676" s="899" cm="1">
        <f t="array" aca="1" ref="DC676" ca="1">_xlfn.IFNA(OFFSET($I$49,MATCH(CY676,$I$50:$I$63,0),MATCH(CZ676,TRANSPOSE($J$49:$W$49),0)),0)</f>
        <v>0.36970000000000003</v>
      </c>
      <c r="DD676" s="899">
        <f ca="1">DD675</f>
        <v>0.54340000000000011</v>
      </c>
      <c r="DE676" s="899" cm="1">
        <f t="array" aca="1" ref="DE676" ca="1">_xlfn.IFNA(OFFSET($AO$49,MATCH($DA676,$AO$50:$AO$63,0),MATCH($DB676,TRANSPOSE($AP$49:$BC$49),0)),0)</f>
        <v>0.18090000000000001</v>
      </c>
      <c r="DF676" s="881">
        <f t="shared" ca="1" si="313"/>
        <v>3.6341901882000011E-2</v>
      </c>
      <c r="DG676" s="910">
        <f t="shared" ca="1" si="310"/>
        <v>1</v>
      </c>
      <c r="DH676" s="881">
        <f t="shared" ca="1" si="314"/>
        <v>3.6341901882000011E-2</v>
      </c>
      <c r="DI676" s="1460">
        <f t="shared" ca="1" si="309"/>
        <v>8.5040050403880016</v>
      </c>
      <c r="DJ676" s="909">
        <f>_xlfn.IFNA(INDEX('Resource use and costs'!$CQ$11:$CQ$53,MATCH($CZ676,'Resource use and costs'!$BA$11:$BA$53,0)),0)*_xlfn.IFNA(INDEX(DY$10:DY$23,MATCH($CZ676,$DX$10:$DX$23,0)),0)</f>
        <v>56693.786091428577</v>
      </c>
      <c r="DK676" s="909">
        <f>IF(dd_PartSA_2_lines = "Yes",0,_xlfn.IFNA(INDEX('Resource use and costs'!$CR$11:$CR$53,MATCH(DA676,'Resource use and costs'!$BA$11:$BA$53,0)),0)*_xlfn.IFNA(INDEX(EA$10:EA$23,MATCH($DA676,$DX$10:$DX$23,0)),0))</f>
        <v>50308.075122000002</v>
      </c>
      <c r="DL676" s="909">
        <f>IF(dd_PartSA_2_lines = "Yes",0,_xlfn.IFNA(INDEX('Resource use and costs'!$CS$11:$CS$53,MATCH(DB676,'Resource use and costs'!$BA$11:$BA$53,0)),0)*_xlfn.IFNA(INDEX(EC$10:EC$23,MATCH($DB676,$DX$10:$DX$23,0)),0))</f>
        <v>2915.4763433333328</v>
      </c>
      <c r="DM676" s="909">
        <f t="shared" si="315"/>
        <v>109917.33755676191</v>
      </c>
      <c r="DN676" s="909">
        <f>SUM(_xlfn.IFNA(INDEX('Resource use and costs'!$DU$12:$DU$25,MATCH(CZ676,'Resource use and costs'!$DS$12:$DS$25,0)),0),_xlfn.IFNA(INDEX('Resource use and costs'!$DU$12:$DU$25,MATCH(DA676,'Resource use and costs'!$DS$12:$DS$25,0)),0),_xlfn.IFNA(INDEX('Resource use and costs'!$DU$12:$DU$25,MATCH(DB676,'Resource use and costs'!$DS$12:$DS$25,0)),0))</f>
        <v>394.5</v>
      </c>
      <c r="DO676" s="921">
        <f>_xlfn.IFNA(INDEX('Resource use and costs'!$DY$12:$DY$25,MATCH(CZ676,'Resource use and costs'!$DS$12:$DS$25,0)),0)*_xlfn.IFNA(INDEX(DY$10:DY$23,MATCH($CZ676,$DX$10:$DX$23,0)),0)</f>
        <v>8939.6605049142872</v>
      </c>
      <c r="DP676" s="921">
        <f>IF(dd_PartSA_2_lines = "Yes",0,_xlfn.IFNA(INDEX('Resource use and costs'!$DZ$12:$DZ$25,MATCH(DA676,'Resource use and costs'!$DS$12:$DS$25,0)),0)*_xlfn.IFNA(INDEX(EA$10:EA$23,MATCH($DA676,$DX$10:$DX$23,0)),0))</f>
        <v>461.1445457142857</v>
      </c>
      <c r="DQ676" s="921">
        <f>IF(dd_PartSA_2_lines = "Yes",0,_xlfn.IFNA(INDEX('Resource use and costs'!$EA$12:$EA$25,MATCH(DB676,'Resource use and costs'!$DS$12:$DS$25,0)),0)*_xlfn.IFNA(INDEX(EC$10:EC$23,MATCH($DB676,$DX$10:$DX$23,0)),0))</f>
        <v>256.11457142857142</v>
      </c>
      <c r="DR676" s="921">
        <f t="shared" si="316"/>
        <v>10051.419622057145</v>
      </c>
      <c r="DS676" s="1004">
        <f ca="1">SUMIFS('Safety parameters'!$DM$6:$DM$18,'Safety parameters'!$DK$6:$DK$18,CZ676,'Safety parameters'!$DL$6:$DL$18,1)+IF(dd_PartSA_2_lines = "Yes",0,SUMIFS('Safety parameters'!$DM$6:$DM$18,'Safety parameters'!$DK$6:$DK$18,DA676,'Safety parameters'!$DL$6:$DL$18,2)+SUMIFS('Safety parameters'!$DM$6:$DM$18,'Safety parameters'!$DK$6:$DK$18,DB676,'Safety parameters'!$DL$6:$DL$18,2))</f>
        <v>1076.5246831786983</v>
      </c>
      <c r="DT676" s="910">
        <f ca="1">SUMIFS('Safety parameters'!$DO$6:$DO$18,'Safety parameters'!$DK$6:$DK$18,CZ676,'Safety parameters'!$DL$6:$DL$18,1)+IF(dd_PartSA_2_lines = "Yes",0,SUMIFS('Safety parameters'!$DO$6:$DO$18,'Safety parameters'!$DK$6:$DK$18,DA676,'Safety parameters'!$DL$6:$DL$18,2)+SUMIFS('Safety parameters'!$DO$6:$DO$18,'Safety parameters'!$DK$6:$DK$18,DB676,'Safety parameters'!$DL$6:$DL$18,2))</f>
        <v>-9.689899892873657E-3</v>
      </c>
    </row>
    <row r="677" spans="89:124" x14ac:dyDescent="0.2">
      <c r="CK677" s="5"/>
      <c r="CL677" s="5"/>
      <c r="CM677" s="5"/>
      <c r="CN677" s="5"/>
      <c r="CO677" s="5"/>
      <c r="CP677" s="5"/>
      <c r="CQ677" s="5"/>
      <c r="CR677" s="5"/>
      <c r="CS677" s="5"/>
      <c r="CT677" s="5"/>
      <c r="CU677" s="1123">
        <f>MATCH(CZ684,'Resource use and costs'!$BA$11:$BA$53,0)</f>
        <v>40</v>
      </c>
      <c r="CV677" s="1223"/>
      <c r="CW677" s="1241">
        <f t="shared" si="311"/>
        <v>1</v>
      </c>
      <c r="CX677" s="899" t="s">
        <v>794</v>
      </c>
      <c r="CY677" s="899" t="s">
        <v>585</v>
      </c>
      <c r="CZ677" s="899" t="s">
        <v>579</v>
      </c>
      <c r="DA677" s="899" t="s">
        <v>119</v>
      </c>
      <c r="DB677" s="899" t="s">
        <v>327</v>
      </c>
      <c r="DC677" s="899" cm="1">
        <f t="array" aca="1" ref="DC677" ca="1">_xlfn.IFNA(OFFSET($I$49,MATCH(CY677,$I$50:$I$63,0),MATCH(CZ677,TRANSPOSE($J$49:$W$49),0)),0)</f>
        <v>0.36970000000000003</v>
      </c>
      <c r="DD677" s="899" cm="1">
        <f t="array" aca="1" ref="DD677" ca="1">_xlfn.IFNA(OFFSET($Y$49,MATCH($CZ677,$Y$50:$Y$63,0),MATCH($DA677,TRANSPOSE($Z$49:$AM$49),0)),0)</f>
        <v>6.4999999999999997E-3</v>
      </c>
      <c r="DE677" s="899" cm="1">
        <f t="array" aca="1" ref="DE677" ca="1">_xlfn.IFNA(OFFSET($AO$49,MATCH($DA677,$AO$50:$AO$63,0),MATCH($DB677,TRANSPOSE($AP$49:$BC$49),0)),0)</f>
        <v>0</v>
      </c>
      <c r="DF677" s="881">
        <f t="shared" ca="1" si="313"/>
        <v>0</v>
      </c>
      <c r="DG677" s="910">
        <f t="shared" ca="1" si="310"/>
        <v>1</v>
      </c>
      <c r="DH677" s="881">
        <f t="shared" ca="1" si="314"/>
        <v>0</v>
      </c>
      <c r="DI677" s="1460">
        <f t="shared" ca="1" si="309"/>
        <v>0</v>
      </c>
      <c r="DJ677" s="909">
        <f>_xlfn.IFNA(INDEX('Resource use and costs'!$CQ$11:$CQ$53,MATCH($CZ677,'Resource use and costs'!$BA$11:$BA$53,0)),0)*_xlfn.IFNA(INDEX(DY$10:DY$23,MATCH($CZ677,$DX$10:$DX$23,0)),0)</f>
        <v>56693.786091428577</v>
      </c>
      <c r="DK677" s="909">
        <f>IF(dd_PartSA_2_lines = "Yes",0,_xlfn.IFNA(INDEX('Resource use and costs'!$CR$11:$CR$53,MATCH(DA677,'Resource use and costs'!$BA$11:$BA$53,0)),0)*_xlfn.IFNA(INDEX(EA$10:EA$23,MATCH($DA677,$DX$10:$DX$23,0)),0))</f>
        <v>848.17532499999982</v>
      </c>
      <c r="DL677" s="909">
        <f>IF(dd_PartSA_2_lines = "Yes",0,_xlfn.IFNA(INDEX('Resource use and costs'!$CS$11:$CS$53,MATCH(DB677,'Resource use and costs'!$BA$11:$BA$53,0)),0)*_xlfn.IFNA(INDEX(EC$10:EC$23,MATCH($DB677,$DX$10:$DX$23,0)),0))</f>
        <v>18438.751749999999</v>
      </c>
      <c r="DM677" s="909">
        <f t="shared" si="315"/>
        <v>75980.71316642857</v>
      </c>
      <c r="DN677" s="909">
        <f>SUM(_xlfn.IFNA(INDEX('Resource use and costs'!$DU$12:$DU$25,MATCH(CZ677,'Resource use and costs'!$DS$12:$DS$25,0)),0),_xlfn.IFNA(INDEX('Resource use and costs'!$DU$12:$DU$25,MATCH(DA677,'Resource use and costs'!$DS$12:$DS$25,0)),0),_xlfn.IFNA(INDEX('Resource use and costs'!$DU$12:$DU$25,MATCH(DB677,'Resource use and costs'!$DS$12:$DS$25,0)),0))</f>
        <v>394.5</v>
      </c>
      <c r="DO677" s="921">
        <f>_xlfn.IFNA(INDEX('Resource use and costs'!$DY$12:$DY$25,MATCH(CZ677,'Resource use and costs'!$DS$12:$DS$25,0)),0)*_xlfn.IFNA(INDEX(DY$10:DY$23,MATCH($CZ677,$DX$10:$DX$23,0)),0)</f>
        <v>8939.6605049142872</v>
      </c>
      <c r="DP677" s="921">
        <f>IF(dd_PartSA_2_lines = "Yes",0,_xlfn.IFNA(INDEX('Resource use and costs'!$DZ$12:$DZ$25,MATCH(DA677,'Resource use and costs'!$DS$12:$DS$25,0)),0)*_xlfn.IFNA(INDEX(EA$10:EA$23,MATCH($DA677,$DX$10:$DX$23,0)),0))</f>
        <v>74.50928571428571</v>
      </c>
      <c r="DQ677" s="921">
        <f>IF(dd_PartSA_2_lines = "Yes",0,_xlfn.IFNA(INDEX('Resource use and costs'!$EA$12:$EA$25,MATCH(DB677,'Resource use and costs'!$DS$12:$DS$25,0)),0)*_xlfn.IFNA(INDEX(EC$10:EC$23,MATCH($DB677,$DX$10:$DX$23,0)),0))</f>
        <v>230.68099999999998</v>
      </c>
      <c r="DR677" s="921">
        <f t="shared" si="316"/>
        <v>9639.350790628574</v>
      </c>
      <c r="DS677" s="1004">
        <f ca="1">SUMIFS('Safety parameters'!$DM$6:$DM$18,'Safety parameters'!$DK$6:$DK$18,CZ677,'Safety parameters'!$DL$6:$DL$18,1)+IF(dd_PartSA_2_lines = "Yes",0,SUMIFS('Safety parameters'!$DM$6:$DM$18,'Safety parameters'!$DK$6:$DK$18,DA677,'Safety parameters'!$DL$6:$DL$18,2)+SUMIFS('Safety parameters'!$DM$6:$DM$18,'Safety parameters'!$DK$6:$DK$18,DB677,'Safety parameters'!$DL$6:$DL$18,2))</f>
        <v>1967.1040569407746</v>
      </c>
      <c r="DT677" s="910">
        <f ca="1">SUMIFS('Safety parameters'!$DO$6:$DO$18,'Safety parameters'!$DK$6:$DK$18,CZ677,'Safety parameters'!$DL$6:$DL$18,1)+IF(dd_PartSA_2_lines = "Yes",0,SUMIFS('Safety parameters'!$DO$6:$DO$18,'Safety parameters'!$DK$6:$DK$18,DA677,'Safety parameters'!$DL$6:$DL$18,2)+SUMIFS('Safety parameters'!$DO$6:$DO$18,'Safety parameters'!$DK$6:$DK$18,DB677,'Safety parameters'!$DL$6:$DL$18,2))</f>
        <v>-1.7409497544119149E-2</v>
      </c>
    </row>
    <row r="678" spans="89:124" x14ac:dyDescent="0.2">
      <c r="CK678" s="5"/>
      <c r="CL678" s="5"/>
      <c r="CM678" s="5"/>
      <c r="CN678" s="5"/>
      <c r="CO678" s="5"/>
      <c r="CP678" s="5"/>
      <c r="CQ678" s="5"/>
      <c r="CR678" s="5"/>
      <c r="CS678" s="5"/>
      <c r="CT678" s="5"/>
      <c r="CU678" s="1123">
        <f>MATCH(CZ685,'Resource use and costs'!$BA$11:$BA$53,0)</f>
        <v>40</v>
      </c>
      <c r="CV678" s="1223"/>
      <c r="CW678" s="1241">
        <f t="shared" si="311"/>
        <v>1</v>
      </c>
      <c r="CX678" s="899" t="s">
        <v>794</v>
      </c>
      <c r="CY678" s="899" t="s">
        <v>585</v>
      </c>
      <c r="CZ678" s="899" t="s">
        <v>579</v>
      </c>
      <c r="DA678" s="899" t="s">
        <v>119</v>
      </c>
      <c r="DB678" s="899" t="s">
        <v>765</v>
      </c>
      <c r="DC678" s="899" cm="1">
        <f t="array" aca="1" ref="DC678" ca="1">_xlfn.IFNA(OFFSET($I$49,MATCH(CY678,$I$50:$I$63,0),MATCH(CZ678,TRANSPOSE($J$49:$W$49),0)),0)</f>
        <v>0.36970000000000003</v>
      </c>
      <c r="DD678" s="899" cm="1">
        <f t="array" aca="1" ref="DD678" ca="1">_xlfn.IFNA(OFFSET($Y$49,MATCH($CZ678,$Y$50:$Y$63,0),MATCH($DA678,TRANSPOSE($Z$49:$AM$49),0)),0)</f>
        <v>6.4999999999999997E-3</v>
      </c>
      <c r="DE678" s="899" cm="1">
        <f t="array" aca="1" ref="DE678" ca="1">_xlfn.IFNA(OFFSET($AO$49,MATCH($DA678,$AO$50:$AO$63,0),MATCH($DB678,TRANSPOSE($AP$49:$BC$49),0)),0)</f>
        <v>1</v>
      </c>
      <c r="DF678" s="881">
        <f t="shared" ca="1" si="313"/>
        <v>2.4030499999999999E-3</v>
      </c>
      <c r="DG678" s="910">
        <f t="shared" ca="1" si="310"/>
        <v>1</v>
      </c>
      <c r="DH678" s="881">
        <f t="shared" ca="1" si="314"/>
        <v>2.4030499999999999E-3</v>
      </c>
      <c r="DI678" s="1460">
        <f t="shared" ca="1" si="309"/>
        <v>0.56231370000000003</v>
      </c>
      <c r="DJ678" s="909">
        <f>_xlfn.IFNA(INDEX('Resource use and costs'!$CQ$11:$CQ$53,MATCH($CZ678,'Resource use and costs'!$BA$11:$BA$53,0)),0)*_xlfn.IFNA(INDEX(DY$10:DY$23,MATCH($CZ678,$DX$10:$DX$23,0)),0)</f>
        <v>56693.786091428577</v>
      </c>
      <c r="DK678" s="909">
        <f>IF(dd_PartSA_2_lines = "Yes",0,_xlfn.IFNA(INDEX('Resource use and costs'!$CR$11:$CR$53,MATCH(DA678,'Resource use and costs'!$BA$11:$BA$53,0)),0)*_xlfn.IFNA(INDEX(EA$10:EA$23,MATCH($DA678,$DX$10:$DX$23,0)),0))</f>
        <v>848.17532499999982</v>
      </c>
      <c r="DL678" s="909">
        <f>IF(dd_PartSA_2_lines = "Yes",0,_xlfn.IFNA(INDEX('Resource use and costs'!$CS$11:$CS$53,MATCH(DB678,'Resource use and costs'!$BA$11:$BA$53,0)),0)*_xlfn.IFNA(INDEX(EC$10:EC$23,MATCH($DB678,$DX$10:$DX$23,0)),0))</f>
        <v>0</v>
      </c>
      <c r="DM678" s="909">
        <f t="shared" si="315"/>
        <v>57541.961416428574</v>
      </c>
      <c r="DN678" s="909">
        <f>SUM(_xlfn.IFNA(INDEX('Resource use and costs'!$DU$12:$DU$25,MATCH(CZ678,'Resource use and costs'!$DS$12:$DS$25,0)),0),_xlfn.IFNA(INDEX('Resource use and costs'!$DU$12:$DU$25,MATCH(DA678,'Resource use and costs'!$DS$12:$DS$25,0)),0),_xlfn.IFNA(INDEX('Resource use and costs'!$DU$12:$DU$25,MATCH(DB678,'Resource use and costs'!$DS$12:$DS$25,0)),0))</f>
        <v>197.25</v>
      </c>
      <c r="DO678" s="921">
        <f>_xlfn.IFNA(INDEX('Resource use and costs'!$DY$12:$DY$25,MATCH(CZ678,'Resource use and costs'!$DS$12:$DS$25,0)),0)*_xlfn.IFNA(INDEX(DY$10:DY$23,MATCH($CZ678,$DX$10:$DX$23,0)),0)</f>
        <v>8939.6605049142872</v>
      </c>
      <c r="DP678" s="921">
        <f>IF(dd_PartSA_2_lines = "Yes",0,_xlfn.IFNA(INDEX('Resource use and costs'!$DZ$12:$DZ$25,MATCH(DA678,'Resource use and costs'!$DS$12:$DS$25,0)),0)*_xlfn.IFNA(INDEX(EA$10:EA$23,MATCH($DA678,$DX$10:$DX$23,0)),0))</f>
        <v>74.50928571428571</v>
      </c>
      <c r="DQ678" s="921">
        <f>IF(dd_PartSA_2_lines = "Yes",0,_xlfn.IFNA(INDEX('Resource use and costs'!$EA$12:$EA$25,MATCH(DB678,'Resource use and costs'!$DS$12:$DS$25,0)),0)*_xlfn.IFNA(INDEX(EC$10:EC$23,MATCH($DB678,$DX$10:$DX$23,0)),0))</f>
        <v>0</v>
      </c>
      <c r="DR678" s="921">
        <f t="shared" si="316"/>
        <v>9211.4197906285735</v>
      </c>
      <c r="DS678" s="1004">
        <f ca="1">SUMIFS('Safety parameters'!$DM$6:$DM$18,'Safety parameters'!$DK$6:$DK$18,CZ678,'Safety parameters'!$DL$6:$DL$18,1)+IF(dd_PartSA_2_lines = "Yes",0,SUMIFS('Safety parameters'!$DM$6:$DM$18,'Safety parameters'!$DK$6:$DK$18,DA678,'Safety parameters'!$DL$6:$DL$18,2)+SUMIFS('Safety parameters'!$DM$6:$DM$18,'Safety parameters'!$DK$6:$DK$18,DB678,'Safety parameters'!$DL$6:$DL$18,2))</f>
        <v>332.87538337531487</v>
      </c>
      <c r="DT678" s="910">
        <f ca="1">SUMIFS('Safety parameters'!$DO$6:$DO$18,'Safety parameters'!$DK$6:$DK$18,CZ678,'Safety parameters'!$DL$6:$DL$18,1)+IF(dd_PartSA_2_lines = "Yes",0,SUMIFS('Safety parameters'!$DO$6:$DO$18,'Safety parameters'!$DK$6:$DK$18,DA678,'Safety parameters'!$DL$6:$DL$18,2)+SUMIFS('Safety parameters'!$DO$6:$DO$18,'Safety parameters'!$DK$6:$DK$18,DB678,'Safety parameters'!$DL$6:$DL$18,2))</f>
        <v>-2.6675735366377194E-3</v>
      </c>
    </row>
    <row r="679" spans="89:124" x14ac:dyDescent="0.2">
      <c r="CK679" s="5"/>
      <c r="CL679" s="5"/>
      <c r="CM679" s="5"/>
      <c r="CN679" s="5"/>
      <c r="CO679" s="5"/>
      <c r="CP679" s="5"/>
      <c r="CQ679" s="5"/>
      <c r="CR679" s="5"/>
      <c r="CS679" s="5"/>
      <c r="CT679" s="5"/>
      <c r="CU679" s="1123">
        <f>MATCH(CZ686,'Resource use and costs'!$BA$11:$BA$53,0)</f>
        <v>40</v>
      </c>
      <c r="CV679" s="1223"/>
      <c r="CW679" s="1241">
        <f t="shared" si="311"/>
        <v>1</v>
      </c>
      <c r="CX679" s="899" t="s">
        <v>794</v>
      </c>
      <c r="CY679" s="899" t="s">
        <v>585</v>
      </c>
      <c r="CZ679" s="899" t="s">
        <v>579</v>
      </c>
      <c r="DA679" s="899" t="s">
        <v>333</v>
      </c>
      <c r="DB679" s="899" t="s">
        <v>327</v>
      </c>
      <c r="DC679" s="899" cm="1">
        <f t="array" aca="1" ref="DC679" ca="1">_xlfn.IFNA(OFFSET($I$49,MATCH(CY679,$I$50:$I$63,0),MATCH(CZ679,TRANSPOSE($J$49:$W$49),0)),0)</f>
        <v>0.36970000000000003</v>
      </c>
      <c r="DD679" s="899" cm="1">
        <f t="array" aca="1" ref="DD679" ca="1">_xlfn.IFNA(OFFSET($Y$49,MATCH($CZ679,$Y$50:$Y$63,0),MATCH($DA679,TRANSPOSE($Z$49:$AM$49),0)),0)</f>
        <v>5.2400000000000002E-2</v>
      </c>
      <c r="DE679" s="899" cm="1">
        <f t="array" aca="1" ref="DE679" ca="1">_xlfn.IFNA(OFFSET($AO$49,MATCH($DA679,$AO$50:$AO$63,0),MATCH($DB679,TRANSPOSE($AP$49:$BC$49),0)),0)</f>
        <v>0.56859999999999999</v>
      </c>
      <c r="DF679" s="881">
        <f t="shared" ca="1" si="313"/>
        <v>1.1015078408000001E-2</v>
      </c>
      <c r="DG679" s="910">
        <f t="shared" ca="1" si="310"/>
        <v>1</v>
      </c>
      <c r="DH679" s="881">
        <f t="shared" ca="1" si="314"/>
        <v>1.1015078408000001E-2</v>
      </c>
      <c r="DI679" s="1460">
        <f t="shared" ca="1" si="309"/>
        <v>2.5775283474720001</v>
      </c>
      <c r="DJ679" s="909">
        <f>_xlfn.IFNA(INDEX('Resource use and costs'!$CQ$11:$CQ$53,MATCH($CZ679,'Resource use and costs'!$BA$11:$BA$53,0)),0)*_xlfn.IFNA(INDEX(DY$10:DY$23,MATCH($CZ679,$DX$10:$DX$23,0)),0)</f>
        <v>56693.786091428577</v>
      </c>
      <c r="DK679" s="909">
        <f>IF(dd_PartSA_2_lines = "Yes",0,_xlfn.IFNA(INDEX('Resource use and costs'!$CR$11:$CR$53,MATCH(DA679,'Resource use and costs'!$BA$11:$BA$53,0)),0)*_xlfn.IFNA(INDEX(EA$10:EA$23,MATCH($DA679,$DX$10:$DX$23,0)),0))</f>
        <v>24337.716731999997</v>
      </c>
      <c r="DL679" s="909">
        <f>IF(dd_PartSA_2_lines = "Yes",0,_xlfn.IFNA(INDEX('Resource use and costs'!$CS$11:$CS$53,MATCH(DB679,'Resource use and costs'!$BA$11:$BA$53,0)),0)*_xlfn.IFNA(INDEX(EC$10:EC$23,MATCH($DB679,$DX$10:$DX$23,0)),0))</f>
        <v>18438.751749999999</v>
      </c>
      <c r="DM679" s="909">
        <f t="shared" si="315"/>
        <v>99470.254573428567</v>
      </c>
      <c r="DN679" s="909">
        <f>SUM(_xlfn.IFNA(INDEX('Resource use and costs'!$DU$12:$DU$25,MATCH(CZ679,'Resource use and costs'!$DS$12:$DS$25,0)),0),_xlfn.IFNA(INDEX('Resource use and costs'!$DU$12:$DU$25,MATCH(DA679,'Resource use and costs'!$DS$12:$DS$25,0)),0),_xlfn.IFNA(INDEX('Resource use and costs'!$DU$12:$DU$25,MATCH(DB679,'Resource use and costs'!$DS$12:$DS$25,0)),0))</f>
        <v>394.5</v>
      </c>
      <c r="DO679" s="921">
        <f>_xlfn.IFNA(INDEX('Resource use and costs'!$DY$12:$DY$25,MATCH(CZ679,'Resource use and costs'!$DS$12:$DS$25,0)),0)*_xlfn.IFNA(INDEX(DY$10:DY$23,MATCH($CZ679,$DX$10:$DX$23,0)),0)</f>
        <v>8939.6605049142872</v>
      </c>
      <c r="DP679" s="921">
        <f>IF(dd_PartSA_2_lines = "Yes",0,_xlfn.IFNA(INDEX('Resource use and costs'!$DZ$12:$DZ$25,MATCH(DA679,'Resource use and costs'!$DS$12:$DS$25,0)),0)*_xlfn.IFNA(INDEX(EA$10:EA$23,MATCH($DA679,$DX$10:$DX$23,0)),0))</f>
        <v>363.04714285714283</v>
      </c>
      <c r="DQ679" s="921">
        <f>IF(dd_PartSA_2_lines = "Yes",0,_xlfn.IFNA(INDEX('Resource use and costs'!$EA$12:$EA$25,MATCH(DB679,'Resource use and costs'!$DS$12:$DS$25,0)),0)*_xlfn.IFNA(INDEX(EC$10:EC$23,MATCH($DB679,$DX$10:$DX$23,0)),0))</f>
        <v>230.68099999999998</v>
      </c>
      <c r="DR679" s="921">
        <f t="shared" si="316"/>
        <v>9927.8886477714314</v>
      </c>
      <c r="DS679" s="1004">
        <f ca="1">SUMIFS('Safety parameters'!$DM$6:$DM$18,'Safety parameters'!$DK$6:$DK$18,CZ679,'Safety parameters'!$DL$6:$DL$18,1)+IF(dd_PartSA_2_lines = "Yes",0,SUMIFS('Safety parameters'!$DM$6:$DM$18,'Safety parameters'!$DK$6:$DK$18,DA679,'Safety parameters'!$DL$6:$DL$18,2)+SUMIFS('Safety parameters'!$DM$6:$DM$18,'Safety parameters'!$DK$6:$DK$18,DB679,'Safety parameters'!$DL$6:$DL$18,2))</f>
        <v>2577.0992943484653</v>
      </c>
      <c r="DT679" s="910">
        <f ca="1">SUMIFS('Safety parameters'!$DO$6:$DO$18,'Safety parameters'!$DK$6:$DK$18,CZ679,'Safety parameters'!$DL$6:$DL$18,1)+IF(dd_PartSA_2_lines = "Yes",0,SUMIFS('Safety parameters'!$DO$6:$DO$18,'Safety parameters'!$DK$6:$DK$18,DA679,'Safety parameters'!$DL$6:$DL$18,2)+SUMIFS('Safety parameters'!$DO$6:$DO$18,'Safety parameters'!$DK$6:$DK$18,DB679,'Safety parameters'!$DL$6:$DL$18,2))</f>
        <v>-2.4384674689096917E-2</v>
      </c>
    </row>
    <row r="680" spans="89:124" x14ac:dyDescent="0.2">
      <c r="CK680" s="5"/>
      <c r="CL680" s="5"/>
      <c r="CM680" s="5"/>
      <c r="CN680" s="5"/>
      <c r="CO680" s="5"/>
      <c r="CP680" s="5"/>
      <c r="CQ680" s="5"/>
      <c r="CR680" s="5"/>
      <c r="CS680" s="5"/>
      <c r="CT680" s="5"/>
      <c r="CU680" s="1123" t="e">
        <f>MATCH(CZ687,'Resource use and costs'!$BA$11:$BA$53,0)</f>
        <v>#N/A</v>
      </c>
      <c r="CV680" s="1223"/>
      <c r="CW680" s="1241">
        <f t="shared" si="311"/>
        <v>1</v>
      </c>
      <c r="CX680" s="899" t="s">
        <v>794</v>
      </c>
      <c r="CY680" s="899" t="s">
        <v>585</v>
      </c>
      <c r="CZ680" s="899" t="s">
        <v>579</v>
      </c>
      <c r="DA680" s="899" t="s">
        <v>333</v>
      </c>
      <c r="DB680" s="899" t="s">
        <v>765</v>
      </c>
      <c r="DC680" s="899" cm="1">
        <f t="array" aca="1" ref="DC680" ca="1">_xlfn.IFNA(OFFSET($I$49,MATCH(CY680,$I$50:$I$63,0),MATCH(CZ680,TRANSPOSE($J$49:$W$49),0)),0)</f>
        <v>0.36970000000000003</v>
      </c>
      <c r="DD680" s="899" cm="1">
        <f t="array" aca="1" ref="DD680" ca="1">_xlfn.IFNA(OFFSET($Y$49,MATCH($CZ680,$Y$50:$Y$63,0),MATCH($DA680,TRANSPOSE($Z$49:$AM$49),0)),0)</f>
        <v>5.2400000000000002E-2</v>
      </c>
      <c r="DE680" s="899" cm="1">
        <f t="array" aca="1" ref="DE680" ca="1">_xlfn.IFNA(OFFSET($AO$49,MATCH($DA680,$AO$50:$AO$63,0),MATCH($DB680,TRANSPOSE($AP$49:$BC$49),0)),0)</f>
        <v>0.43140000000000001</v>
      </c>
      <c r="DF680" s="881">
        <f t="shared" ca="1" si="313"/>
        <v>8.357201592000001E-3</v>
      </c>
      <c r="DG680" s="910">
        <f t="shared" ca="1" si="310"/>
        <v>1</v>
      </c>
      <c r="DH680" s="881">
        <f t="shared" ca="1" si="314"/>
        <v>8.357201592000001E-3</v>
      </c>
      <c r="DI680" s="1460">
        <f t="shared" ca="1" si="309"/>
        <v>1.9555851725280002</v>
      </c>
      <c r="DJ680" s="909">
        <f>_xlfn.IFNA(INDEX('Resource use and costs'!$CQ$11:$CQ$53,MATCH($CZ680,'Resource use and costs'!$BA$11:$BA$53,0)),0)*_xlfn.IFNA(INDEX(DY$10:DY$23,MATCH($CZ680,$DX$10:$DX$23,0)),0)</f>
        <v>56693.786091428577</v>
      </c>
      <c r="DK680" s="909">
        <f>IF(dd_PartSA_2_lines = "Yes",0,_xlfn.IFNA(INDEX('Resource use and costs'!$CR$11:$CR$53,MATCH(DA680,'Resource use and costs'!$BA$11:$BA$53,0)),0)*_xlfn.IFNA(INDEX(EA$10:EA$23,MATCH($DA680,$DX$10:$DX$23,0)),0))</f>
        <v>24337.716731999997</v>
      </c>
      <c r="DL680" s="909">
        <f>IF(dd_PartSA_2_lines = "Yes",0,_xlfn.IFNA(INDEX('Resource use and costs'!$CS$11:$CS$53,MATCH(DB680,'Resource use and costs'!$BA$11:$BA$53,0)),0)*_xlfn.IFNA(INDEX(EC$10:EC$23,MATCH($DB680,$DX$10:$DX$23,0)),0))</f>
        <v>0</v>
      </c>
      <c r="DM680" s="909">
        <f t="shared" si="315"/>
        <v>81031.502823428571</v>
      </c>
      <c r="DN680" s="909">
        <f>SUM(_xlfn.IFNA(INDEX('Resource use and costs'!$DU$12:$DU$25,MATCH(CZ680,'Resource use and costs'!$DS$12:$DS$25,0)),0),_xlfn.IFNA(INDEX('Resource use and costs'!$DU$12:$DU$25,MATCH(DA680,'Resource use and costs'!$DS$12:$DS$25,0)),0),_xlfn.IFNA(INDEX('Resource use and costs'!$DU$12:$DU$25,MATCH(DB680,'Resource use and costs'!$DS$12:$DS$25,0)),0))</f>
        <v>197.25</v>
      </c>
      <c r="DO680" s="921">
        <f>_xlfn.IFNA(INDEX('Resource use and costs'!$DY$12:$DY$25,MATCH(CZ680,'Resource use and costs'!$DS$12:$DS$25,0)),0)*_xlfn.IFNA(INDEX(DY$10:DY$23,MATCH($CZ680,$DX$10:$DX$23,0)),0)</f>
        <v>8939.6605049142872</v>
      </c>
      <c r="DP680" s="921">
        <f>IF(dd_PartSA_2_lines = "Yes",0,_xlfn.IFNA(INDEX('Resource use and costs'!$DZ$12:$DZ$25,MATCH(DA680,'Resource use and costs'!$DS$12:$DS$25,0)),0)*_xlfn.IFNA(INDEX(EA$10:EA$23,MATCH($DA680,$DX$10:$DX$23,0)),0))</f>
        <v>363.04714285714283</v>
      </c>
      <c r="DQ680" s="921">
        <f>IF(dd_PartSA_2_lines = "Yes",0,_xlfn.IFNA(INDEX('Resource use and costs'!$EA$12:$EA$25,MATCH(DB680,'Resource use and costs'!$DS$12:$DS$25,0)),0)*_xlfn.IFNA(INDEX(EC$10:EC$23,MATCH($DB680,$DX$10:$DX$23,0)),0))</f>
        <v>0</v>
      </c>
      <c r="DR680" s="921">
        <f t="shared" si="316"/>
        <v>9499.9576477714309</v>
      </c>
      <c r="DS680" s="1004">
        <f ca="1">SUMIFS('Safety parameters'!$DM$6:$DM$18,'Safety parameters'!$DK$6:$DK$18,CZ680,'Safety parameters'!$DL$6:$DL$18,1)+IF(dd_PartSA_2_lines = "Yes",0,SUMIFS('Safety parameters'!$DM$6:$DM$18,'Safety parameters'!$DK$6:$DK$18,DA680,'Safety parameters'!$DL$6:$DL$18,2)+SUMIFS('Safety parameters'!$DM$6:$DM$18,'Safety parameters'!$DK$6:$DK$18,DB680,'Safety parameters'!$DL$6:$DL$18,2))</f>
        <v>942.87062078300573</v>
      </c>
      <c r="DT680" s="910">
        <f ca="1">SUMIFS('Safety parameters'!$DO$6:$DO$18,'Safety parameters'!$DK$6:$DK$18,CZ680,'Safety parameters'!$DL$6:$DL$18,1)+IF(dd_PartSA_2_lines = "Yes",0,SUMIFS('Safety parameters'!$DO$6:$DO$18,'Safety parameters'!$DK$6:$DK$18,DA680,'Safety parameters'!$DL$6:$DL$18,2)+SUMIFS('Safety parameters'!$DO$6:$DO$18,'Safety parameters'!$DK$6:$DK$18,DB680,'Safety parameters'!$DL$6:$DL$18,2))</f>
        <v>-9.6427506816154883E-3</v>
      </c>
    </row>
    <row r="681" spans="89:124" x14ac:dyDescent="0.2">
      <c r="CK681" s="5"/>
      <c r="CL681" s="5"/>
      <c r="CM681" s="5"/>
      <c r="CN681" s="5"/>
      <c r="CO681" s="5"/>
      <c r="CP681" s="5"/>
      <c r="CQ681" s="5"/>
      <c r="CR681" s="5"/>
      <c r="CS681" s="5"/>
      <c r="CT681" s="5"/>
      <c r="CU681" s="1123">
        <f>MATCH(CZ688,'Resource use and costs'!$BA$11:$BA$53,0)</f>
        <v>30</v>
      </c>
      <c r="CV681" s="1223"/>
      <c r="CW681" s="1241">
        <f t="shared" si="311"/>
        <v>1</v>
      </c>
      <c r="CX681" s="899" t="s">
        <v>794</v>
      </c>
      <c r="CY681" s="899" t="s">
        <v>117</v>
      </c>
      <c r="CZ681" s="899" t="s">
        <v>327</v>
      </c>
      <c r="DA681" s="899" t="s">
        <v>765</v>
      </c>
      <c r="DB681" s="899"/>
      <c r="DC681" s="899" cm="1">
        <f t="array" aca="1" ref="DC681" ca="1">_xlfn.IFNA(OFFSET($I$49,MATCH(CY681,$I$50:$I$63,0),MATCH(CZ681,TRANSPOSE($J$49:$W$49),0)),0)</f>
        <v>4.4700000000000011E-2</v>
      </c>
      <c r="DD681" s="899" cm="1">
        <f t="array" aca="1" ref="DD681" ca="1">_xlfn.IFNA(OFFSET($Y$49,MATCH($CZ681,$Y$50:$Y$63,0),MATCH($DA681,TRANSPOSE($Z$49:$AM$49),0)),0)</f>
        <v>0.34300000000000003</v>
      </c>
      <c r="DE681" s="899" cm="1">
        <f t="array" aca="1" ref="DE681" ca="1">_xlfn.IFNA(OFFSET($AO$49,MATCH($DA681,$AO$50:$AO$63,0),MATCH($DB681,TRANSPOSE($AP$49:$BC$49),0)),0)</f>
        <v>0</v>
      </c>
      <c r="DF681" s="881">
        <f t="shared" ca="1" si="313"/>
        <v>1.5332100000000005E-2</v>
      </c>
      <c r="DG681" s="910">
        <f t="shared" ca="1" si="310"/>
        <v>0.99547352429578406</v>
      </c>
      <c r="DH681" s="881">
        <f t="shared" ca="1" si="314"/>
        <v>1.5262699621855396E-2</v>
      </c>
      <c r="DI681" s="1460">
        <f t="shared" ref="DI681:DI717" ca="1" si="317">326*DH681</f>
        <v>4.9756400767248596</v>
      </c>
      <c r="DJ681" s="909">
        <f>_xlfn.IFNA(INDEX('Resource use and costs'!$CQ$11:$CQ$53,MATCH($CZ681,'Resource use and costs'!$BA$11:$BA$53,0)),0)*_xlfn.IFNA(INDEX(DY$10:DY$23,MATCH($CZ681,$DX$10:$DX$23,0)),0)</f>
        <v>19241.032205</v>
      </c>
      <c r="DK681" s="909">
        <f>IF(dd_PartSA_2_lines = "Yes",0,_xlfn.IFNA(INDEX('Resource use and costs'!$CR$11:$CR$53,MATCH(DA681,'Resource use and costs'!$BA$11:$BA$53,0)),0)*_xlfn.IFNA(INDEX(EA$10:EA$23,MATCH($DA681,$DX$10:$DX$23,0)),0))</f>
        <v>0</v>
      </c>
      <c r="DL681" s="909">
        <f>IF(dd_PartSA_2_lines = "Yes",0,_xlfn.IFNA(INDEX('Resource use and costs'!$CS$11:$CS$53,MATCH(DB681,'Resource use and costs'!$BA$11:$BA$53,0)),0)*_xlfn.IFNA(INDEX(EC$10:EC$23,MATCH($DB681,$DX$10:$DX$23,0)),0))</f>
        <v>0</v>
      </c>
      <c r="DM681" s="909">
        <f t="shared" si="315"/>
        <v>19241.032205</v>
      </c>
      <c r="DN681" s="909">
        <f>SUM(_xlfn.IFNA(INDEX('Resource use and costs'!$DU$12:$DU$25,MATCH(CZ681,'Resource use and costs'!$DS$12:$DS$25,0)),0),_xlfn.IFNA(INDEX('Resource use and costs'!$DU$12:$DU$25,MATCH(DA681,'Resource use and costs'!$DS$12:$DS$25,0)),0),_xlfn.IFNA(INDEX('Resource use and costs'!$DU$12:$DU$25,MATCH(DB681,'Resource use and costs'!$DS$12:$DS$25,0)),0))</f>
        <v>197.25</v>
      </c>
      <c r="DO681" s="921">
        <f>_xlfn.IFNA(INDEX('Resource use and costs'!$DY$12:$DY$25,MATCH(CZ681,'Resource use and costs'!$DS$12:$DS$25,0)),0)*_xlfn.IFNA(INDEX(DY$10:DY$23,MATCH($CZ681,$DX$10:$DX$23,0)),0)</f>
        <v>240.71806000000001</v>
      </c>
      <c r="DP681" s="921">
        <f>IF(dd_PartSA_2_lines = "Yes",0,_xlfn.IFNA(INDEX('Resource use and costs'!$DZ$12:$DZ$25,MATCH(DA681,'Resource use and costs'!$DS$12:$DS$25,0)),0)*_xlfn.IFNA(INDEX(EA$10:EA$23,MATCH($DA681,$DX$10:$DX$23,0)),0))</f>
        <v>0</v>
      </c>
      <c r="DQ681" s="921">
        <f>IF(dd_PartSA_2_lines = "Yes",0,_xlfn.IFNA(INDEX('Resource use and costs'!$EA$12:$EA$25,MATCH(DB681,'Resource use and costs'!$DS$12:$DS$25,0)),0)*_xlfn.IFNA(INDEX(EC$10:EC$23,MATCH($DB681,$DX$10:$DX$23,0)),0))</f>
        <v>0</v>
      </c>
      <c r="DR681" s="921">
        <f t="shared" si="316"/>
        <v>437.96806000000004</v>
      </c>
      <c r="DS681" s="1004">
        <f>SUMIFS('Safety parameters'!$DM$6:$DM$18,'Safety parameters'!$DK$6:$DK$18,CZ681,'Safety parameters'!$DL$6:$DL$18,1)+IF(dd_PartSA_2_lines = "Yes",0,SUMIFS('Safety parameters'!$DM$6:$DM$18,'Safety parameters'!$DK$6:$DK$18,DA681,'Safety parameters'!$DL$6:$DL$18,2)+SUMIFS('Safety parameters'!$DM$6:$DM$18,'Safety parameters'!$DK$6:$DK$18,DB681,'Safety parameters'!$DL$6:$DL$18,2))</f>
        <v>0</v>
      </c>
      <c r="DT681" s="910">
        <f>SUMIFS('Safety parameters'!$DO$6:$DO$18,'Safety parameters'!$DK$6:$DK$18,CZ681,'Safety parameters'!$DL$6:$DL$18,1)+IF(dd_PartSA_2_lines = "Yes",0,SUMIFS('Safety parameters'!$DO$6:$DO$18,'Safety parameters'!$DK$6:$DK$18,DA681,'Safety parameters'!$DL$6:$DL$18,2)+SUMIFS('Safety parameters'!$DO$6:$DO$18,'Safety parameters'!$DK$6:$DK$18,DB681,'Safety parameters'!$DL$6:$DL$18,2))</f>
        <v>0</v>
      </c>
    </row>
    <row r="682" spans="89:124" x14ac:dyDescent="0.2">
      <c r="CK682" s="5"/>
      <c r="CL682" s="5"/>
      <c r="CM682" s="5"/>
      <c r="CN682" s="5"/>
      <c r="CO682" s="5"/>
      <c r="CP682" s="5"/>
      <c r="CQ682" s="5"/>
      <c r="CR682" s="5"/>
      <c r="CS682" s="5"/>
      <c r="CT682" s="5"/>
      <c r="CU682" s="1123">
        <f>MATCH(CZ689,'Resource use and costs'!$BA$11:$BA$53,0)</f>
        <v>30</v>
      </c>
      <c r="CV682" s="1223"/>
      <c r="CW682" s="1241">
        <f t="shared" si="311"/>
        <v>1</v>
      </c>
      <c r="CX682" s="899" t="s">
        <v>794</v>
      </c>
      <c r="CY682" s="899" t="s">
        <v>117</v>
      </c>
      <c r="CZ682" s="899" t="s">
        <v>327</v>
      </c>
      <c r="DA682" s="899" t="s">
        <v>118</v>
      </c>
      <c r="DB682" s="899" t="s">
        <v>765</v>
      </c>
      <c r="DC682" s="899" cm="1">
        <f t="array" aca="1" ref="DC682" ca="1">_xlfn.IFNA(OFFSET($I$49,MATCH(CY682,$I$50:$I$63,0),MATCH(CZ682,TRANSPOSE($J$49:$W$49),0)),0)</f>
        <v>4.4700000000000011E-2</v>
      </c>
      <c r="DD682" s="899" cm="1">
        <f t="array" aca="1" ref="DD682" ca="1">_xlfn.IFNA(OFFSET($Y$49,MATCH($CZ682,$Y$50:$Y$63,0),MATCH($DA682,TRANSPOSE($Z$49:$AM$49),0)),0)</f>
        <v>0.32850000000000001</v>
      </c>
      <c r="DE682" s="899" cm="1">
        <f t="array" aca="1" ref="DE682" ca="1">_xlfn.IFNA(OFFSET($AO$49,MATCH($DA682,$AO$50:$AO$63,0),MATCH($DB682,TRANSPOSE($AP$49:$BC$49),0)),0)</f>
        <v>0.43140000000000001</v>
      </c>
      <c r="DF682" s="881">
        <f t="shared" ca="1" si="313"/>
        <v>6.3346560300000018E-3</v>
      </c>
      <c r="DG682" s="910">
        <f t="shared" ca="1" si="310"/>
        <v>0.99547352429578406</v>
      </c>
      <c r="DH682" s="881">
        <f t="shared" ca="1" si="314"/>
        <v>6.3059823633856418E-3</v>
      </c>
      <c r="DI682" s="1460">
        <f t="shared" ca="1" si="317"/>
        <v>2.0557502504637193</v>
      </c>
      <c r="DJ682" s="909">
        <f>_xlfn.IFNA(INDEX('Resource use and costs'!$CQ$11:$CQ$53,MATCH($CZ682,'Resource use and costs'!$BA$11:$BA$53,0)),0)*_xlfn.IFNA(INDEX(DY$10:DY$23,MATCH($CZ682,$DX$10:$DX$23,0)),0)</f>
        <v>19241.032205</v>
      </c>
      <c r="DK682" s="909">
        <f>IF(dd_PartSA_2_lines = "Yes",0,_xlfn.IFNA(INDEX('Resource use and costs'!$CR$11:$CR$53,MATCH(DA682,'Resource use and costs'!$BA$11:$BA$53,0)),0)*_xlfn.IFNA(INDEX(EA$10:EA$23,MATCH($DA682,$DX$10:$DX$23,0)),0))</f>
        <v>50308.075122000002</v>
      </c>
      <c r="DL682" s="909">
        <f>IF(dd_PartSA_2_lines = "Yes",0,_xlfn.IFNA(INDEX('Resource use and costs'!$CS$11:$CS$53,MATCH(DB682,'Resource use and costs'!$BA$11:$BA$53,0)),0)*_xlfn.IFNA(INDEX(EC$10:EC$23,MATCH($DB682,$DX$10:$DX$23,0)),0))</f>
        <v>0</v>
      </c>
      <c r="DM682" s="909">
        <f t="shared" si="315"/>
        <v>69549.107327000005</v>
      </c>
      <c r="DN682" s="909">
        <f>SUM(_xlfn.IFNA(INDEX('Resource use and costs'!$DU$12:$DU$25,MATCH(CZ682,'Resource use and costs'!$DS$12:$DS$25,0)),0),_xlfn.IFNA(INDEX('Resource use and costs'!$DU$12:$DU$25,MATCH(DA682,'Resource use and costs'!$DS$12:$DS$25,0)),0),_xlfn.IFNA(INDEX('Resource use and costs'!$DU$12:$DU$25,MATCH(DB682,'Resource use and costs'!$DS$12:$DS$25,0)),0))</f>
        <v>394.5</v>
      </c>
      <c r="DO682" s="921">
        <f>_xlfn.IFNA(INDEX('Resource use and costs'!$DY$12:$DY$25,MATCH(CZ682,'Resource use and costs'!$DS$12:$DS$25,0)),0)*_xlfn.IFNA(INDEX(DY$10:DY$23,MATCH($CZ682,$DX$10:$DX$23,0)),0)</f>
        <v>240.71806000000001</v>
      </c>
      <c r="DP682" s="921">
        <f>IF(dd_PartSA_2_lines = "Yes",0,_xlfn.IFNA(INDEX('Resource use and costs'!$DZ$12:$DZ$25,MATCH(DA682,'Resource use and costs'!$DS$12:$DS$25,0)),0)*_xlfn.IFNA(INDEX(EA$10:EA$23,MATCH($DA682,$DX$10:$DX$23,0)),0))</f>
        <v>461.1445457142857</v>
      </c>
      <c r="DQ682" s="921">
        <f>IF(dd_PartSA_2_lines = "Yes",0,_xlfn.IFNA(INDEX('Resource use and costs'!$EA$12:$EA$25,MATCH(DB682,'Resource use and costs'!$DS$12:$DS$25,0)),0)*_xlfn.IFNA(INDEX(EC$10:EC$23,MATCH($DB682,$DX$10:$DX$23,0)),0))</f>
        <v>0</v>
      </c>
      <c r="DR682" s="921">
        <f t="shared" si="316"/>
        <v>1096.3626057142858</v>
      </c>
      <c r="DS682" s="1004">
        <f ca="1">SUMIFS('Safety parameters'!$DM$6:$DM$18,'Safety parameters'!$DK$6:$DK$18,CZ682,'Safety parameters'!$DL$6:$DL$18,1)+IF(dd_PartSA_2_lines = "Yes",0,SUMIFS('Safety parameters'!$DM$6:$DM$18,'Safety parameters'!$DK$6:$DK$18,DA682,'Safety parameters'!$DL$6:$DL$18,2)+SUMIFS('Safety parameters'!$DM$6:$DM$18,'Safety parameters'!$DK$6:$DK$18,DB682,'Safety parameters'!$DL$6:$DL$18,2))</f>
        <v>743.64929980338343</v>
      </c>
      <c r="DT682" s="910">
        <f ca="1">SUMIFS('Safety parameters'!$DO$6:$DO$18,'Safety parameters'!$DK$6:$DK$18,CZ682,'Safety parameters'!$DL$6:$DL$18,1)+IF(dd_PartSA_2_lines = "Yes",0,SUMIFS('Safety parameters'!$DO$6:$DO$18,'Safety parameters'!$DK$6:$DK$18,DA682,'Safety parameters'!$DL$6:$DL$18,2)+SUMIFS('Safety parameters'!$DO$6:$DO$18,'Safety parameters'!$DK$6:$DK$18,DB682,'Safety parameters'!$DL$6:$DL$18,2))</f>
        <v>-7.0223263562359372E-3</v>
      </c>
    </row>
    <row r="683" spans="89:124" x14ac:dyDescent="0.2">
      <c r="CK683" s="5"/>
      <c r="CL683" s="5"/>
      <c r="CM683" s="5"/>
      <c r="CN683" s="5"/>
      <c r="CO683" s="5"/>
      <c r="CP683" s="5"/>
      <c r="CQ683" s="5"/>
      <c r="CR683" s="5"/>
      <c r="CS683" s="5"/>
      <c r="CT683" s="5"/>
      <c r="CU683" s="1123">
        <f>MATCH(CZ690,'Resource use and costs'!$BA$11:$BA$53,0)</f>
        <v>30</v>
      </c>
      <c r="CV683" s="1223"/>
      <c r="CW683" s="1241">
        <f t="shared" si="311"/>
        <v>1</v>
      </c>
      <c r="CX683" s="899" t="s">
        <v>794</v>
      </c>
      <c r="CY683" s="899" t="s">
        <v>117</v>
      </c>
      <c r="CZ683" s="899" t="s">
        <v>327</v>
      </c>
      <c r="DA683" s="899" t="s">
        <v>118</v>
      </c>
      <c r="DB683" s="899" t="s">
        <v>119</v>
      </c>
      <c r="DC683" s="899" cm="1">
        <f t="array" aca="1" ref="DC683" ca="1">_xlfn.IFNA(OFFSET($I$49,MATCH(CY683,$I$50:$I$63,0),MATCH(CZ683,TRANSPOSE($J$49:$W$49),0)),0)</f>
        <v>4.4700000000000011E-2</v>
      </c>
      <c r="DD683" s="899" cm="1">
        <f t="array" aca="1" ref="DD683" ca="1">_xlfn.IFNA(OFFSET($Y$49,MATCH($CZ683,$Y$50:$Y$63,0),MATCH($DA683,TRANSPOSE($Z$49:$AM$49),0)),0)</f>
        <v>0.32850000000000001</v>
      </c>
      <c r="DE683" s="899">
        <f ca="1">1-DE682</f>
        <v>0.56859999999999999</v>
      </c>
      <c r="DF683" s="881">
        <f t="shared" ca="1" si="313"/>
        <v>8.3492939700000029E-3</v>
      </c>
      <c r="DG683" s="910">
        <f t="shared" ca="1" si="310"/>
        <v>0.99547352429578406</v>
      </c>
      <c r="DH683" s="881">
        <f t="shared" ca="1" si="314"/>
        <v>8.3115010936974411E-3</v>
      </c>
      <c r="DI683" s="1460">
        <f t="shared" ca="1" si="317"/>
        <v>2.7095493565453657</v>
      </c>
      <c r="DJ683" s="909">
        <f>_xlfn.IFNA(INDEX('Resource use and costs'!$CQ$11:$CQ$53,MATCH($CZ683,'Resource use and costs'!$BA$11:$BA$53,0)),0)*_xlfn.IFNA(INDEX(DY$10:DY$23,MATCH($CZ683,$DX$10:$DX$23,0)),0)</f>
        <v>19241.032205</v>
      </c>
      <c r="DK683" s="909">
        <f>IF(dd_PartSA_2_lines = "Yes",0,_xlfn.IFNA(INDEX('Resource use and costs'!$CR$11:$CR$53,MATCH(DA683,'Resource use and costs'!$BA$11:$BA$53,0)),0)*_xlfn.IFNA(INDEX(EA$10:EA$23,MATCH($DA683,$DX$10:$DX$23,0)),0))</f>
        <v>50308.075122000002</v>
      </c>
      <c r="DL683" s="909">
        <f>IF(dd_PartSA_2_lines = "Yes",0,_xlfn.IFNA(INDEX('Resource use and costs'!$CS$11:$CS$53,MATCH(DB683,'Resource use and costs'!$BA$11:$BA$53,0)),0)*_xlfn.IFNA(INDEX(EC$10:EC$23,MATCH($DB683,$DX$10:$DX$23,0)),0))</f>
        <v>2915.4763433333328</v>
      </c>
      <c r="DM683" s="909">
        <f t="shared" si="315"/>
        <v>72464.583670333333</v>
      </c>
      <c r="DN683" s="909">
        <f>SUM(_xlfn.IFNA(INDEX('Resource use and costs'!$DU$12:$DU$25,MATCH(CZ683,'Resource use and costs'!$DS$12:$DS$25,0)),0),_xlfn.IFNA(INDEX('Resource use and costs'!$DU$12:$DU$25,MATCH(DA683,'Resource use and costs'!$DS$12:$DS$25,0)),0),_xlfn.IFNA(INDEX('Resource use and costs'!$DU$12:$DU$25,MATCH(DB683,'Resource use and costs'!$DS$12:$DS$25,0)),0))</f>
        <v>591.75</v>
      </c>
      <c r="DO683" s="921">
        <f>_xlfn.IFNA(INDEX('Resource use and costs'!$DY$12:$DY$25,MATCH(CZ683,'Resource use and costs'!$DS$12:$DS$25,0)),0)*_xlfn.IFNA(INDEX(DY$10:DY$23,MATCH($CZ683,$DX$10:$DX$23,0)),0)</f>
        <v>240.71806000000001</v>
      </c>
      <c r="DP683" s="921">
        <f>IF(dd_PartSA_2_lines = "Yes",0,_xlfn.IFNA(INDEX('Resource use and costs'!$DZ$12:$DZ$25,MATCH(DA683,'Resource use and costs'!$DS$12:$DS$25,0)),0)*_xlfn.IFNA(INDEX(EA$10:EA$23,MATCH($DA683,$DX$10:$DX$23,0)),0))</f>
        <v>461.1445457142857</v>
      </c>
      <c r="DQ683" s="921">
        <f>IF(dd_PartSA_2_lines = "Yes",0,_xlfn.IFNA(INDEX('Resource use and costs'!$EA$12:$EA$25,MATCH(DB683,'Resource use and costs'!$DS$12:$DS$25,0)),0)*_xlfn.IFNA(INDEX(EC$10:EC$23,MATCH($DB683,$DX$10:$DX$23,0)),0))</f>
        <v>256.11457142857142</v>
      </c>
      <c r="DR683" s="921">
        <f t="shared" si="316"/>
        <v>1549.7271771428573</v>
      </c>
      <c r="DS683" s="1004">
        <f ca="1">SUMIFS('Safety parameters'!$DM$6:$DM$18,'Safety parameters'!$DK$6:$DK$18,CZ683,'Safety parameters'!$DL$6:$DL$18,1)+IF(dd_PartSA_2_lines = "Yes",0,SUMIFS('Safety parameters'!$DM$6:$DM$18,'Safety parameters'!$DK$6:$DK$18,DA683,'Safety parameters'!$DL$6:$DL$18,2)+SUMIFS('Safety parameters'!$DM$6:$DM$18,'Safety parameters'!$DK$6:$DK$18,DB683,'Safety parameters'!$DL$6:$DL$18,2))</f>
        <v>1076.5246831786983</v>
      </c>
      <c r="DT683" s="910">
        <f ca="1">SUMIFS('Safety parameters'!$DO$6:$DO$18,'Safety parameters'!$DK$6:$DK$18,CZ683,'Safety parameters'!$DL$6:$DL$18,1)+IF(dd_PartSA_2_lines = "Yes",0,SUMIFS('Safety parameters'!$DO$6:$DO$18,'Safety parameters'!$DK$6:$DK$18,DA683,'Safety parameters'!$DL$6:$DL$18,2)+SUMIFS('Safety parameters'!$DO$6:$DO$18,'Safety parameters'!$DK$6:$DK$18,DB683,'Safety parameters'!$DL$6:$DL$18,2))</f>
        <v>-9.689899892873657E-3</v>
      </c>
    </row>
    <row r="684" spans="89:124" x14ac:dyDescent="0.2">
      <c r="CK684" s="5"/>
      <c r="CL684" s="5"/>
      <c r="CM684" s="5"/>
      <c r="CN684" s="5"/>
      <c r="CO684" s="5"/>
      <c r="CP684" s="5"/>
      <c r="CQ684" s="5"/>
      <c r="CR684" s="5"/>
      <c r="CS684" s="5"/>
      <c r="CT684" s="5"/>
      <c r="CU684" s="1123">
        <f>MATCH(CZ691,'Resource use and costs'!$BA$11:$BA$53,0)</f>
        <v>30</v>
      </c>
      <c r="CV684" s="1223"/>
      <c r="CW684" s="1241">
        <f t="shared" si="311"/>
        <v>1</v>
      </c>
      <c r="CX684" s="899" t="s">
        <v>794</v>
      </c>
      <c r="CY684" s="899" t="s">
        <v>117</v>
      </c>
      <c r="CZ684" s="899" t="s">
        <v>327</v>
      </c>
      <c r="DA684" s="899" t="s">
        <v>119</v>
      </c>
      <c r="DB684" s="899" t="s">
        <v>765</v>
      </c>
      <c r="DC684" s="899" cm="1">
        <f t="array" aca="1" ref="DC684" ca="1">_xlfn.IFNA(OFFSET($I$49,MATCH(CY684,$I$50:$I$63,0),MATCH(CZ684,TRANSPOSE($J$49:$W$49),0)),0)</f>
        <v>4.4700000000000011E-2</v>
      </c>
      <c r="DD684" s="899" cm="1">
        <f t="array" aca="1" ref="DD684" ca="1">_xlfn.IFNA(OFFSET($Y$49,MATCH($CZ684,$Y$50:$Y$63,0),MATCH($DA684,TRANSPOSE($Z$49:$AM$49),0)),0)</f>
        <v>0</v>
      </c>
      <c r="DE684" s="899" cm="1">
        <f t="array" aca="1" ref="DE684" ca="1">_xlfn.IFNA(OFFSET($AO$49,MATCH($DA684,$AO$50:$AO$63,0),MATCH($DB684,TRANSPOSE($AP$49:$BC$49),0)),0)</f>
        <v>1</v>
      </c>
      <c r="DF684" s="881">
        <f t="shared" ca="1" si="313"/>
        <v>0</v>
      </c>
      <c r="DG684" s="910">
        <f t="shared" ca="1" si="310"/>
        <v>0.99547352429578406</v>
      </c>
      <c r="DH684" s="881">
        <f t="shared" ca="1" si="314"/>
        <v>0</v>
      </c>
      <c r="DI684" s="1460">
        <f t="shared" ca="1" si="317"/>
        <v>0</v>
      </c>
      <c r="DJ684" s="909">
        <f>_xlfn.IFNA(INDEX('Resource use and costs'!$CQ$11:$CQ$53,MATCH($CZ684,'Resource use and costs'!$BA$11:$BA$53,0)),0)*_xlfn.IFNA(INDEX(DY$10:DY$23,MATCH($CZ684,$DX$10:$DX$23,0)),0)</f>
        <v>19241.032205</v>
      </c>
      <c r="DK684" s="909">
        <f>IF(dd_PartSA_2_lines = "Yes",0,_xlfn.IFNA(INDEX('Resource use and costs'!$CR$11:$CR$53,MATCH(DA684,'Resource use and costs'!$BA$11:$BA$53,0)),0)*_xlfn.IFNA(INDEX(EA$10:EA$23,MATCH($DA684,$DX$10:$DX$23,0)),0))</f>
        <v>848.17532499999982</v>
      </c>
      <c r="DL684" s="909">
        <f>IF(dd_PartSA_2_lines = "Yes",0,_xlfn.IFNA(INDEX('Resource use and costs'!$CS$11:$CS$53,MATCH(DB684,'Resource use and costs'!$BA$11:$BA$53,0)),0)*_xlfn.IFNA(INDEX(EC$10:EC$23,MATCH($DB684,$DX$10:$DX$23,0)),0))</f>
        <v>0</v>
      </c>
      <c r="DM684" s="909">
        <f t="shared" si="315"/>
        <v>20089.20753</v>
      </c>
      <c r="DN684" s="909">
        <f>SUM(_xlfn.IFNA(INDEX('Resource use and costs'!$DU$12:$DU$25,MATCH(CZ684,'Resource use and costs'!$DS$12:$DS$25,0)),0),_xlfn.IFNA(INDEX('Resource use and costs'!$DU$12:$DU$25,MATCH(DA684,'Resource use and costs'!$DS$12:$DS$25,0)),0),_xlfn.IFNA(INDEX('Resource use and costs'!$DU$12:$DU$25,MATCH(DB684,'Resource use and costs'!$DS$12:$DS$25,0)),0))</f>
        <v>394.5</v>
      </c>
      <c r="DO684" s="921">
        <f>_xlfn.IFNA(INDEX('Resource use and costs'!$DY$12:$DY$25,MATCH(CZ684,'Resource use and costs'!$DS$12:$DS$25,0)),0)*_xlfn.IFNA(INDEX(DY$10:DY$23,MATCH($CZ684,$DX$10:$DX$23,0)),0)</f>
        <v>240.71806000000001</v>
      </c>
      <c r="DP684" s="921">
        <f>IF(dd_PartSA_2_lines = "Yes",0,_xlfn.IFNA(INDEX('Resource use and costs'!$DZ$12:$DZ$25,MATCH(DA684,'Resource use and costs'!$DS$12:$DS$25,0)),0)*_xlfn.IFNA(INDEX(EA$10:EA$23,MATCH($DA684,$DX$10:$DX$23,0)),0))</f>
        <v>74.50928571428571</v>
      </c>
      <c r="DQ684" s="921">
        <f>IF(dd_PartSA_2_lines = "Yes",0,_xlfn.IFNA(INDEX('Resource use and costs'!$EA$12:$EA$25,MATCH(DB684,'Resource use and costs'!$DS$12:$DS$25,0)),0)*_xlfn.IFNA(INDEX(EC$10:EC$23,MATCH($DB684,$DX$10:$DX$23,0)),0))</f>
        <v>0</v>
      </c>
      <c r="DR684" s="921">
        <f t="shared" si="316"/>
        <v>709.72734571428578</v>
      </c>
      <c r="DS684" s="1004">
        <f ca="1">SUMIFS('Safety parameters'!$DM$6:$DM$18,'Safety parameters'!$DK$6:$DK$18,CZ684,'Safety parameters'!$DL$6:$DL$18,1)+IF(dd_PartSA_2_lines = "Yes",0,SUMIFS('Safety parameters'!$DM$6:$DM$18,'Safety parameters'!$DK$6:$DK$18,DA684,'Safety parameters'!$DL$6:$DL$18,2)+SUMIFS('Safety parameters'!$DM$6:$DM$18,'Safety parameters'!$DK$6:$DK$18,DB684,'Safety parameters'!$DL$6:$DL$18,2))</f>
        <v>332.87538337531487</v>
      </c>
      <c r="DT684" s="910">
        <f ca="1">SUMIFS('Safety parameters'!$DO$6:$DO$18,'Safety parameters'!$DK$6:$DK$18,CZ684,'Safety parameters'!$DL$6:$DL$18,1)+IF(dd_PartSA_2_lines = "Yes",0,SUMIFS('Safety parameters'!$DO$6:$DO$18,'Safety parameters'!$DK$6:$DK$18,DA684,'Safety parameters'!$DL$6:$DL$18,2)+SUMIFS('Safety parameters'!$DO$6:$DO$18,'Safety parameters'!$DK$6:$DK$18,DB684,'Safety parameters'!$DL$6:$DL$18,2))</f>
        <v>-2.6675735366377194E-3</v>
      </c>
    </row>
    <row r="685" spans="89:124" x14ac:dyDescent="0.2">
      <c r="CK685" s="5"/>
      <c r="CL685" s="5"/>
      <c r="CM685" s="5"/>
      <c r="CN685" s="5"/>
      <c r="CO685" s="5"/>
      <c r="CP685" s="5"/>
      <c r="CQ685" s="5"/>
      <c r="CR685" s="5"/>
      <c r="CS685" s="5"/>
      <c r="CT685" s="5"/>
      <c r="CU685" s="1123">
        <f>MATCH(CZ692,'Resource use and costs'!$BA$11:$BA$53,0)</f>
        <v>30</v>
      </c>
      <c r="CV685" s="1223"/>
      <c r="CW685" s="1241">
        <f t="shared" si="311"/>
        <v>1</v>
      </c>
      <c r="CX685" s="899" t="s">
        <v>794</v>
      </c>
      <c r="CY685" s="899" t="s">
        <v>117</v>
      </c>
      <c r="CZ685" s="899" t="s">
        <v>327</v>
      </c>
      <c r="DA685" s="899" t="s">
        <v>579</v>
      </c>
      <c r="DB685" s="899" t="s">
        <v>765</v>
      </c>
      <c r="DC685" s="899" cm="1">
        <f t="array" aca="1" ref="DC685" ca="1">_xlfn.IFNA(OFFSET($I$49,MATCH(CY685,$I$50:$I$63,0),MATCH(CZ685,TRANSPOSE($J$49:$W$49),0)),0)</f>
        <v>4.4700000000000011E-2</v>
      </c>
      <c r="DD685" s="899" cm="1">
        <f t="array" aca="1" ref="DD685" ca="1">_xlfn.IFNA(OFFSET($Y$49,MATCH($CZ685,$Y$50:$Y$63,0),MATCH($DA685,TRANSPOSE($Z$49:$AM$49),0)),0)</f>
        <v>0.32850000000000001</v>
      </c>
      <c r="DE685" s="899" cm="1">
        <f t="array" aca="1" ref="DE685" ca="1">_xlfn.IFNA(OFFSET($AO$49,MATCH($DA685,$AO$50:$AO$63,0),MATCH($DB685,TRANSPOSE($AP$49:$BC$49),0)),0)</f>
        <v>0.43140000000000001</v>
      </c>
      <c r="DF685" s="881">
        <f t="shared" ca="1" si="313"/>
        <v>6.3346560300000018E-3</v>
      </c>
      <c r="DG685" s="910">
        <f t="shared" ca="1" si="310"/>
        <v>0.99547352429578406</v>
      </c>
      <c r="DH685" s="881">
        <f t="shared" ca="1" si="314"/>
        <v>6.3059823633856418E-3</v>
      </c>
      <c r="DI685" s="1460">
        <f t="shared" ca="1" si="317"/>
        <v>2.0557502504637193</v>
      </c>
      <c r="DJ685" s="909">
        <f>_xlfn.IFNA(INDEX('Resource use and costs'!$CQ$11:$CQ$53,MATCH($CZ685,'Resource use and costs'!$BA$11:$BA$53,0)),0)*_xlfn.IFNA(INDEX(DY$10:DY$23,MATCH($CZ685,$DX$10:$DX$23,0)),0)</f>
        <v>19241.032205</v>
      </c>
      <c r="DK685" s="909">
        <f>IF(dd_PartSA_2_lines = "Yes",0,_xlfn.IFNA(INDEX('Resource use and costs'!$CR$11:$CR$53,MATCH(DA685,'Resource use and costs'!$BA$11:$BA$53,0)),0)*_xlfn.IFNA(INDEX(EA$10:EA$23,MATCH($DA685,$DX$10:$DX$23,0)),0))</f>
        <v>26054.50921</v>
      </c>
      <c r="DL685" s="909">
        <f>IF(dd_PartSA_2_lines = "Yes",0,_xlfn.IFNA(INDEX('Resource use and costs'!$CS$11:$CS$53,MATCH(DB685,'Resource use and costs'!$BA$11:$BA$53,0)),0)*_xlfn.IFNA(INDEX(EC$10:EC$23,MATCH($DB685,$DX$10:$DX$23,0)),0))</f>
        <v>0</v>
      </c>
      <c r="DM685" s="909">
        <f t="shared" si="315"/>
        <v>45295.541415</v>
      </c>
      <c r="DN685" s="909">
        <f>SUM(_xlfn.IFNA(INDEX('Resource use and costs'!$DU$12:$DU$25,MATCH(CZ685,'Resource use and costs'!$DS$12:$DS$25,0)),0),_xlfn.IFNA(INDEX('Resource use and costs'!$DU$12:$DU$25,MATCH(DA685,'Resource use and costs'!$DS$12:$DS$25,0)),0),_xlfn.IFNA(INDEX('Resource use and costs'!$DU$12:$DU$25,MATCH(DB685,'Resource use and costs'!$DS$12:$DS$25,0)),0))</f>
        <v>197.25</v>
      </c>
      <c r="DO685" s="921">
        <f>_xlfn.IFNA(INDEX('Resource use and costs'!$DY$12:$DY$25,MATCH(CZ685,'Resource use and costs'!$DS$12:$DS$25,0)),0)*_xlfn.IFNA(INDEX(DY$10:DY$23,MATCH($CZ685,$DX$10:$DX$23,0)),0)</f>
        <v>240.71806000000001</v>
      </c>
      <c r="DP685" s="921">
        <f>IF(dd_PartSA_2_lines = "Yes",0,_xlfn.IFNA(INDEX('Resource use and costs'!$DZ$12:$DZ$25,MATCH(DA685,'Resource use and costs'!$DS$12:$DS$25,0)),0)*_xlfn.IFNA(INDEX(EA$10:EA$23,MATCH($DA685,$DX$10:$DX$23,0)),0))</f>
        <v>4108.3597166</v>
      </c>
      <c r="DQ685" s="921">
        <f>IF(dd_PartSA_2_lines = "Yes",0,_xlfn.IFNA(INDEX('Resource use and costs'!$EA$12:$EA$25,MATCH(DB685,'Resource use and costs'!$DS$12:$DS$25,0)),0)*_xlfn.IFNA(INDEX(EC$10:EC$23,MATCH($DB685,$DX$10:$DX$23,0)),0))</f>
        <v>0</v>
      </c>
      <c r="DR685" s="921">
        <f t="shared" si="316"/>
        <v>4546.3277766000001</v>
      </c>
      <c r="DS685" s="1004">
        <f ca="1">SUMIFS('Safety parameters'!$DM$6:$DM$18,'Safety parameters'!$DK$6:$DK$18,CZ685,'Safety parameters'!$DL$6:$DL$18,1)+IF(dd_PartSA_2_lines = "Yes",0,SUMIFS('Safety parameters'!$DM$6:$DM$18,'Safety parameters'!$DK$6:$DK$18,DA685,'Safety parameters'!$DL$6:$DL$18,2)+SUMIFS('Safety parameters'!$DM$6:$DM$18,'Safety parameters'!$DK$6:$DK$18,DB685,'Safety parameters'!$DL$6:$DL$18,2))</f>
        <v>161.1337489904144</v>
      </c>
      <c r="DT685" s="910">
        <f ca="1">SUMIFS('Safety parameters'!$DO$6:$DO$18,'Safety parameters'!$DK$6:$DK$18,CZ685,'Safety parameters'!$DL$6:$DL$18,1)+IF(dd_PartSA_2_lines = "Yes",0,SUMIFS('Safety parameters'!$DO$6:$DO$18,'Safety parameters'!$DK$6:$DK$18,DA685,'Safety parameters'!$DL$6:$DL$18,2)+SUMIFS('Safety parameters'!$DO$6:$DO$18,'Safety parameters'!$DK$6:$DK$18,DB685,'Safety parameters'!$DL$6:$DL$18,2))</f>
        <v>-1.5970841976847864E-3</v>
      </c>
    </row>
    <row r="686" spans="89:124" x14ac:dyDescent="0.2">
      <c r="CK686" s="5"/>
      <c r="CL686" s="5"/>
      <c r="CM686" s="5"/>
      <c r="CN686" s="5"/>
      <c r="CO686" s="5"/>
      <c r="CP686" s="5"/>
      <c r="CQ686" s="5"/>
      <c r="CR686" s="5"/>
      <c r="CS686" s="5"/>
      <c r="CT686" s="5"/>
      <c r="CU686" s="1123">
        <f>MATCH(CZ693,'Resource use and costs'!$BA$11:$BA$53,0)</f>
        <v>30</v>
      </c>
      <c r="CV686" s="1223"/>
      <c r="CW686" s="1241">
        <f t="shared" si="311"/>
        <v>1</v>
      </c>
      <c r="CX686" s="899" t="s">
        <v>794</v>
      </c>
      <c r="CY686" s="899" t="s">
        <v>117</v>
      </c>
      <c r="CZ686" s="899" t="s">
        <v>327</v>
      </c>
      <c r="DA686" s="899" t="s">
        <v>579</v>
      </c>
      <c r="DB686" s="899" t="s">
        <v>119</v>
      </c>
      <c r="DC686" s="899" cm="1">
        <f t="array" aca="1" ref="DC686" ca="1">_xlfn.IFNA(OFFSET($I$49,MATCH(CY686,$I$50:$I$63,0),MATCH(CZ686,TRANSPOSE($J$49:$W$49),0)),0)</f>
        <v>4.4700000000000011E-2</v>
      </c>
      <c r="DD686" s="899" cm="1">
        <f t="array" aca="1" ref="DD686" ca="1">_xlfn.IFNA(OFFSET($Y$49,MATCH($CZ686,$Y$50:$Y$63,0),MATCH($DA686,TRANSPOSE($Z$49:$AM$49),0)),0)</f>
        <v>0.32850000000000001</v>
      </c>
      <c r="DE686" s="899">
        <f ca="1">1-DE685</f>
        <v>0.56859999999999999</v>
      </c>
      <c r="DF686" s="881">
        <f t="shared" ca="1" si="313"/>
        <v>8.3492939700000029E-3</v>
      </c>
      <c r="DG686" s="910">
        <f t="shared" ca="1" si="310"/>
        <v>0.99547352429578406</v>
      </c>
      <c r="DH686" s="881">
        <f t="shared" ca="1" si="314"/>
        <v>8.3115010936974411E-3</v>
      </c>
      <c r="DI686" s="1460">
        <f t="shared" ca="1" si="317"/>
        <v>2.7095493565453657</v>
      </c>
      <c r="DJ686" s="909">
        <f>_xlfn.IFNA(INDEX('Resource use and costs'!$CQ$11:$CQ$53,MATCH($CZ686,'Resource use and costs'!$BA$11:$BA$53,0)),0)*_xlfn.IFNA(INDEX(DY$10:DY$23,MATCH($CZ686,$DX$10:$DX$23,0)),0)</f>
        <v>19241.032205</v>
      </c>
      <c r="DK686" s="909">
        <f>IF(dd_PartSA_2_lines = "Yes",0,_xlfn.IFNA(INDEX('Resource use and costs'!$CR$11:$CR$53,MATCH(DA686,'Resource use and costs'!$BA$11:$BA$53,0)),0)*_xlfn.IFNA(INDEX(EA$10:EA$23,MATCH($DA686,$DX$10:$DX$23,0)),0))</f>
        <v>26054.50921</v>
      </c>
      <c r="DL686" s="909">
        <f>IF(dd_PartSA_2_lines = "Yes",0,_xlfn.IFNA(INDEX('Resource use and costs'!$CS$11:$CS$53,MATCH(DB686,'Resource use and costs'!$BA$11:$BA$53,0)),0)*_xlfn.IFNA(INDEX(EC$10:EC$23,MATCH($DB686,$DX$10:$DX$23,0)),0))</f>
        <v>2915.4763433333328</v>
      </c>
      <c r="DM686" s="909">
        <f t="shared" si="315"/>
        <v>48211.017758333335</v>
      </c>
      <c r="DN686" s="909">
        <f>SUM(_xlfn.IFNA(INDEX('Resource use and costs'!$DU$12:$DU$25,MATCH(CZ686,'Resource use and costs'!$DS$12:$DS$25,0)),0),_xlfn.IFNA(INDEX('Resource use and costs'!$DU$12:$DU$25,MATCH(DA686,'Resource use and costs'!$DS$12:$DS$25,0)),0),_xlfn.IFNA(INDEX('Resource use and costs'!$DU$12:$DU$25,MATCH(DB686,'Resource use and costs'!$DS$12:$DS$25,0)),0))</f>
        <v>394.5</v>
      </c>
      <c r="DO686" s="921">
        <f>_xlfn.IFNA(INDEX('Resource use and costs'!$DY$12:$DY$25,MATCH(CZ686,'Resource use and costs'!$DS$12:$DS$25,0)),0)*_xlfn.IFNA(INDEX(DY$10:DY$23,MATCH($CZ686,$DX$10:$DX$23,0)),0)</f>
        <v>240.71806000000001</v>
      </c>
      <c r="DP686" s="921">
        <f>IF(dd_PartSA_2_lines = "Yes",0,_xlfn.IFNA(INDEX('Resource use and costs'!$DZ$12:$DZ$25,MATCH(DA686,'Resource use and costs'!$DS$12:$DS$25,0)),0)*_xlfn.IFNA(INDEX(EA$10:EA$23,MATCH($DA686,$DX$10:$DX$23,0)),0))</f>
        <v>4108.3597166</v>
      </c>
      <c r="DQ686" s="921">
        <f>IF(dd_PartSA_2_lines = "Yes",0,_xlfn.IFNA(INDEX('Resource use and costs'!$EA$12:$EA$25,MATCH(DB686,'Resource use and costs'!$DS$12:$DS$25,0)),0)*_xlfn.IFNA(INDEX(EC$10:EC$23,MATCH($DB686,$DX$10:$DX$23,0)),0))</f>
        <v>256.11457142857142</v>
      </c>
      <c r="DR686" s="921">
        <f t="shared" si="316"/>
        <v>4999.6923480285714</v>
      </c>
      <c r="DS686" s="1004">
        <f ca="1">SUMIFS('Safety parameters'!$DM$6:$DM$18,'Safety parameters'!$DK$6:$DK$18,CZ686,'Safety parameters'!$DL$6:$DL$18,1)+IF(dd_PartSA_2_lines = "Yes",0,SUMIFS('Safety parameters'!$DM$6:$DM$18,'Safety parameters'!$DK$6:$DK$18,DA686,'Safety parameters'!$DL$6:$DL$18,2)+SUMIFS('Safety parameters'!$DM$6:$DM$18,'Safety parameters'!$DK$6:$DK$18,DB686,'Safety parameters'!$DL$6:$DL$18,2))</f>
        <v>494.00913236572927</v>
      </c>
      <c r="DT686" s="910">
        <f ca="1">SUMIFS('Safety parameters'!$DO$6:$DO$18,'Safety parameters'!$DK$6:$DK$18,CZ686,'Safety parameters'!$DL$6:$DL$18,1)+IF(dd_PartSA_2_lines = "Yes",0,SUMIFS('Safety parameters'!$DO$6:$DO$18,'Safety parameters'!$DK$6:$DK$18,DA686,'Safety parameters'!$DL$6:$DL$18,2)+SUMIFS('Safety parameters'!$DO$6:$DO$18,'Safety parameters'!$DK$6:$DK$18,DB686,'Safety parameters'!$DL$6:$DL$18,2))</f>
        <v>-4.2646577343225054E-3</v>
      </c>
    </row>
    <row r="687" spans="89:124" x14ac:dyDescent="0.2">
      <c r="CK687" s="5"/>
      <c r="CL687" s="5"/>
      <c r="CM687" s="5"/>
      <c r="CN687" s="5"/>
      <c r="CO687" s="5"/>
      <c r="CP687" s="5"/>
      <c r="CQ687" s="5"/>
      <c r="CR687" s="5"/>
      <c r="CS687" s="5"/>
      <c r="CT687" s="5"/>
      <c r="CU687" s="1123">
        <f>MATCH(CZ694,'Resource use and costs'!$BA$11:$BA$53,0)</f>
        <v>30</v>
      </c>
      <c r="CV687" s="1223"/>
      <c r="CW687" s="1241">
        <f t="shared" si="311"/>
        <v>0</v>
      </c>
      <c r="CX687" s="899" t="s">
        <v>794</v>
      </c>
      <c r="CY687" s="899" t="s">
        <v>117</v>
      </c>
      <c r="CZ687" s="899" t="s">
        <v>765</v>
      </c>
      <c r="DA687" s="899"/>
      <c r="DB687" s="899"/>
      <c r="DC687" s="899" cm="1">
        <f t="array" aca="1" ref="DC687" ca="1">_xlfn.IFNA(OFFSET($I$49,MATCH(CY687,$I$50:$I$63,0),MATCH(CZ687,TRANSPOSE($J$49:$W$49),0)),0)</f>
        <v>0.32569999999999999</v>
      </c>
      <c r="DD687" s="899" cm="1">
        <f t="array" aca="1" ref="DD687" ca="1">_xlfn.IFNA(OFFSET($Y$49,MATCH($CZ687,$Y$50:$Y$63,0),MATCH($DA687,TRANSPOSE($Z$49:$AM$49),0)),0)</f>
        <v>0</v>
      </c>
      <c r="DE687" s="899" cm="1">
        <f t="array" aca="1" ref="DE687" ca="1">_xlfn.IFNA(OFFSET($AO$49,MATCH($DA687,$AO$50:$AO$63,0),MATCH($DB687,TRANSPOSE($AP$49:$BC$49),0)),0)</f>
        <v>0</v>
      </c>
      <c r="DF687" s="881">
        <f t="shared" ca="1" si="313"/>
        <v>0.32569999999999999</v>
      </c>
      <c r="DG687" s="910">
        <f t="shared" ca="1" si="310"/>
        <v>0.99547352429578406</v>
      </c>
      <c r="DH687" s="881">
        <f t="shared" ca="1" si="314"/>
        <v>0.32569999999999999</v>
      </c>
      <c r="DI687" s="1460">
        <f t="shared" ca="1" si="317"/>
        <v>106.17819999999999</v>
      </c>
      <c r="DJ687" s="909">
        <f>_xlfn.IFNA(INDEX('Resource use and costs'!$CQ$11:$CQ$53,MATCH($CZ687,'Resource use and costs'!$BA$11:$BA$53,0)),0)*_xlfn.IFNA(INDEX(DY$10:DY$23,MATCH($CZ687,$DX$10:$DX$23,0)),0)</f>
        <v>0</v>
      </c>
      <c r="DK687" s="909">
        <f>IF(dd_PartSA_2_lines = "Yes",0,_xlfn.IFNA(INDEX('Resource use and costs'!$CR$11:$CR$53,MATCH(DA687,'Resource use and costs'!$BA$11:$BA$53,0)),0)*_xlfn.IFNA(INDEX(EA$10:EA$23,MATCH($DA687,$DX$10:$DX$23,0)),0))</f>
        <v>0</v>
      </c>
      <c r="DL687" s="909">
        <f>IF(dd_PartSA_2_lines = "Yes",0,_xlfn.IFNA(INDEX('Resource use and costs'!$CS$11:$CS$53,MATCH(DB687,'Resource use and costs'!$BA$11:$BA$53,0)),0)*_xlfn.IFNA(INDEX(EC$10:EC$23,MATCH($DB687,$DX$10:$DX$23,0)),0))</f>
        <v>0</v>
      </c>
      <c r="DM687" s="909">
        <f t="shared" si="315"/>
        <v>0</v>
      </c>
      <c r="DN687" s="909">
        <f>SUM(_xlfn.IFNA(INDEX('Resource use and costs'!$DU$12:$DU$25,MATCH(CZ687,'Resource use and costs'!$DS$12:$DS$25,0)),0),_xlfn.IFNA(INDEX('Resource use and costs'!$DU$12:$DU$25,MATCH(DA687,'Resource use and costs'!$DS$12:$DS$25,0)),0),_xlfn.IFNA(INDEX('Resource use and costs'!$DU$12:$DU$25,MATCH(DB687,'Resource use and costs'!$DS$12:$DS$25,0)),0))</f>
        <v>0</v>
      </c>
      <c r="DO687" s="921">
        <f>_xlfn.IFNA(INDEX('Resource use and costs'!$DY$12:$DY$25,MATCH(CZ687,'Resource use and costs'!$DS$12:$DS$25,0)),0)*_xlfn.IFNA(INDEX(DY$10:DY$23,MATCH($CZ687,$DX$10:$DX$23,0)),0)</f>
        <v>0</v>
      </c>
      <c r="DP687" s="921">
        <f>IF(dd_PartSA_2_lines = "Yes",0,_xlfn.IFNA(INDEX('Resource use and costs'!$DZ$12:$DZ$25,MATCH(DA687,'Resource use and costs'!$DS$12:$DS$25,0)),0)*_xlfn.IFNA(INDEX(EA$10:EA$23,MATCH($DA687,$DX$10:$DX$23,0)),0))</f>
        <v>0</v>
      </c>
      <c r="DQ687" s="921">
        <f>IF(dd_PartSA_2_lines = "Yes",0,_xlfn.IFNA(INDEX('Resource use and costs'!$EA$12:$EA$25,MATCH(DB687,'Resource use and costs'!$DS$12:$DS$25,0)),0)*_xlfn.IFNA(INDEX(EC$10:EC$23,MATCH($DB687,$DX$10:$DX$23,0)),0))</f>
        <v>0</v>
      </c>
      <c r="DR687" s="921">
        <f t="shared" si="316"/>
        <v>0</v>
      </c>
      <c r="DS687" s="1004">
        <f>SUMIFS('Safety parameters'!$DM$6:$DM$18,'Safety parameters'!$DK$6:$DK$18,CZ687,'Safety parameters'!$DL$6:$DL$18,1)+IF(dd_PartSA_2_lines = "Yes",0,SUMIFS('Safety parameters'!$DM$6:$DM$18,'Safety parameters'!$DK$6:$DK$18,DA687,'Safety parameters'!$DL$6:$DL$18,2)+SUMIFS('Safety parameters'!$DM$6:$DM$18,'Safety parameters'!$DK$6:$DK$18,DB687,'Safety parameters'!$DL$6:$DL$18,2))</f>
        <v>0</v>
      </c>
      <c r="DT687" s="910">
        <f>SUMIFS('Safety parameters'!$DO$6:$DO$18,'Safety parameters'!$DK$6:$DK$18,CZ687,'Safety parameters'!$DL$6:$DL$18,1)+IF(dd_PartSA_2_lines = "Yes",0,SUMIFS('Safety parameters'!$DO$6:$DO$18,'Safety parameters'!$DK$6:$DK$18,DA687,'Safety parameters'!$DL$6:$DL$18,2)+SUMIFS('Safety parameters'!$DO$6:$DO$18,'Safety parameters'!$DK$6:$DK$18,DB687,'Safety parameters'!$DL$6:$DL$18,2))</f>
        <v>0</v>
      </c>
    </row>
    <row r="688" spans="89:124" x14ac:dyDescent="0.2">
      <c r="CK688" s="5"/>
      <c r="CL688" s="5"/>
      <c r="CM688" s="5"/>
      <c r="CN688" s="5"/>
      <c r="CO688" s="5"/>
      <c r="CP688" s="5"/>
      <c r="CQ688" s="5"/>
      <c r="CR688" s="5"/>
      <c r="CS688" s="5"/>
      <c r="CT688" s="5"/>
      <c r="CU688" s="1123">
        <f>MATCH(CZ695,'Resource use and costs'!$BA$11:$BA$53,0)</f>
        <v>30</v>
      </c>
      <c r="CV688" s="1223"/>
      <c r="CW688" s="1241">
        <f t="shared" si="311"/>
        <v>1</v>
      </c>
      <c r="CX688" s="899" t="s">
        <v>794</v>
      </c>
      <c r="CY688" s="899" t="s">
        <v>117</v>
      </c>
      <c r="CZ688" s="899" t="s">
        <v>118</v>
      </c>
      <c r="DA688" s="899" t="s">
        <v>327</v>
      </c>
      <c r="DB688" s="899" t="s">
        <v>765</v>
      </c>
      <c r="DC688" s="899">
        <f ca="1">1-DC681-DC687-DC696-DC708</f>
        <v>0.24580000000000002</v>
      </c>
      <c r="DD688" s="899" cm="1">
        <f t="array" aca="1" ref="DD688" ca="1">_xlfn.IFNA(OFFSET($Y$49,MATCH($CZ688,$Y$50:$Y$63,0),MATCH($DA688,TRANSPOSE($Z$49:$AM$49),0)),0)</f>
        <v>0.122</v>
      </c>
      <c r="DE688" s="899" cm="1">
        <f t="array" aca="1" ref="DE688" ca="1">_xlfn.IFNA(OFFSET($AO$49,MATCH($DA688,$AO$50:$AO$63,0),MATCH($DB688,TRANSPOSE($AP$49:$BC$49),0)),0)</f>
        <v>0.43140000000000001</v>
      </c>
      <c r="DF688" s="881">
        <f t="shared" ca="1" si="313"/>
        <v>1.2936650640000002E-2</v>
      </c>
      <c r="DG688" s="910">
        <f t="shared" ca="1" si="310"/>
        <v>0.99547352429578406</v>
      </c>
      <c r="DH688" s="881">
        <f t="shared" ca="1" si="314"/>
        <v>1.2878093205184113E-2</v>
      </c>
      <c r="DI688" s="1460">
        <f t="shared" ca="1" si="317"/>
        <v>4.1982583848900212</v>
      </c>
      <c r="DJ688" s="909">
        <f>_xlfn.IFNA(INDEX('Resource use and costs'!$CQ$11:$CQ$53,MATCH($CZ688,'Resource use and costs'!$BA$11:$BA$53,0)),0)*_xlfn.IFNA(INDEX(DY$10:DY$23,MATCH($CZ688,$DX$10:$DX$23,0)),0)</f>
        <v>45284.183573333321</v>
      </c>
      <c r="DK688" s="909">
        <f>IF(dd_PartSA_2_lines = "Yes",0,_xlfn.IFNA(INDEX('Resource use and costs'!$CR$11:$CR$53,MATCH(DA688,'Resource use and costs'!$BA$11:$BA$53,0)),0)*_xlfn.IFNA(INDEX(EA$10:EA$23,MATCH($DA688,$DX$10:$DX$23,0)),0))</f>
        <v>21421.066008214286</v>
      </c>
      <c r="DL688" s="909">
        <f>IF(dd_PartSA_2_lines = "Yes",0,_xlfn.IFNA(INDEX('Resource use and costs'!$CS$11:$CS$53,MATCH(DB688,'Resource use and costs'!$BA$11:$BA$53,0)),0)*_xlfn.IFNA(INDEX(EC$10:EC$23,MATCH($DB688,$DX$10:$DX$23,0)),0))</f>
        <v>0</v>
      </c>
      <c r="DM688" s="909">
        <f t="shared" si="315"/>
        <v>66705.2495815476</v>
      </c>
      <c r="DN688" s="909">
        <f>SUM(_xlfn.IFNA(INDEX('Resource use and costs'!$DU$12:$DU$25,MATCH(CZ688,'Resource use and costs'!$DS$12:$DS$25,0)),0),_xlfn.IFNA(INDEX('Resource use and costs'!$DU$12:$DU$25,MATCH(DA688,'Resource use and costs'!$DS$12:$DS$25,0)),0),_xlfn.IFNA(INDEX('Resource use and costs'!$DU$12:$DU$25,MATCH(DB688,'Resource use and costs'!$DS$12:$DS$25,0)),0))</f>
        <v>394.5</v>
      </c>
      <c r="DO688" s="921">
        <f>_xlfn.IFNA(INDEX('Resource use and costs'!$DY$12:$DY$25,MATCH(CZ688,'Resource use and costs'!$DS$12:$DS$25,0)),0)*_xlfn.IFNA(INDEX(DY$10:DY$23,MATCH($CZ688,$DX$10:$DX$23,0)),0)</f>
        <v>415.09348571428563</v>
      </c>
      <c r="DP688" s="921">
        <f>IF(dd_PartSA_2_lines = "Yes",0,_xlfn.IFNA(INDEX('Resource use and costs'!$DZ$12:$DZ$25,MATCH(DA688,'Resource use and costs'!$DS$12:$DS$25,0)),0)*_xlfn.IFNA(INDEX(EA$10:EA$23,MATCH($DA688,$DX$10:$DX$23,0)),0))</f>
        <v>267.99172714285714</v>
      </c>
      <c r="DQ688" s="921">
        <f>IF(dd_PartSA_2_lines = "Yes",0,_xlfn.IFNA(INDEX('Resource use and costs'!$EA$12:$EA$25,MATCH(DB688,'Resource use and costs'!$DS$12:$DS$25,0)),0)*_xlfn.IFNA(INDEX(EC$10:EC$23,MATCH($DB688,$DX$10:$DX$23,0)),0))</f>
        <v>0</v>
      </c>
      <c r="DR688" s="921">
        <f t="shared" si="316"/>
        <v>1077.5852128571428</v>
      </c>
      <c r="DS688" s="1004">
        <f ca="1">SUMIFS('Safety parameters'!$DM$6:$DM$18,'Safety parameters'!$DK$6:$DK$18,CZ688,'Safety parameters'!$DL$6:$DL$18,1)+IF(dd_PartSA_2_lines = "Yes",0,SUMIFS('Safety parameters'!$DM$6:$DM$18,'Safety parameters'!$DK$6:$DK$18,DA688,'Safety parameters'!$DL$6:$DL$18,2)+SUMIFS('Safety parameters'!$DM$6:$DM$18,'Safety parameters'!$DK$6:$DK$18,DB688,'Safety parameters'!$DL$6:$DL$18,2))</f>
        <v>2366.0578362496171</v>
      </c>
      <c r="DT688" s="910">
        <f ca="1">SUMIFS('Safety parameters'!$DO$6:$DO$18,'Safety parameters'!$DK$6:$DK$18,CZ688,'Safety parameters'!$DL$6:$DL$18,1)+IF(dd_PartSA_2_lines = "Yes",0,SUMIFS('Safety parameters'!$DO$6:$DO$18,'Safety parameters'!$DK$6:$DK$18,DA688,'Safety parameters'!$DL$6:$DL$18,2)+SUMIFS('Safety parameters'!$DO$6:$DO$18,'Safety parameters'!$DK$6:$DK$18,DB688,'Safety parameters'!$DL$6:$DL$18,2))</f>
        <v>-2.125891351595622E-2</v>
      </c>
    </row>
    <row r="689" spans="89:124" x14ac:dyDescent="0.2">
      <c r="CK689" s="5"/>
      <c r="CL689" s="5"/>
      <c r="CM689" s="5"/>
      <c r="CN689" s="5"/>
      <c r="CO689" s="5"/>
      <c r="CP689" s="5"/>
      <c r="CQ689" s="5"/>
      <c r="CR689" s="5"/>
      <c r="CS689" s="5"/>
      <c r="CT689" s="5"/>
      <c r="CU689" s="1123">
        <f>MATCH(CZ696,'Resource use and costs'!$BA$11:$BA$53,0)</f>
        <v>37</v>
      </c>
      <c r="CV689" s="1223"/>
      <c r="CW689" s="1241">
        <f t="shared" si="311"/>
        <v>1</v>
      </c>
      <c r="CX689" s="899" t="s">
        <v>794</v>
      </c>
      <c r="CY689" s="899" t="s">
        <v>117</v>
      </c>
      <c r="CZ689" s="899" t="s">
        <v>118</v>
      </c>
      <c r="DA689" s="899" t="s">
        <v>327</v>
      </c>
      <c r="DB689" s="899" t="s">
        <v>119</v>
      </c>
      <c r="DC689" s="899">
        <f t="shared" ref="DC689:DC695" ca="1" si="318">DC688</f>
        <v>0.24580000000000002</v>
      </c>
      <c r="DD689" s="899" cm="1">
        <f t="array" aca="1" ref="DD689" ca="1">_xlfn.IFNA(OFFSET($Y$49,MATCH($CZ689,$Y$50:$Y$63,0),MATCH($DA689,TRANSPOSE($Z$49:$AM$49),0)),0)</f>
        <v>0.122</v>
      </c>
      <c r="DE689" s="899" cm="1">
        <f t="array" aca="1" ref="DE689" ca="1">_xlfn.IFNA(OFFSET($AO$49,MATCH($DA689,$AO$50:$AO$63,0),MATCH($DB689,TRANSPOSE($AP$49:$BC$49),0)),0)</f>
        <v>0.56859999999999999</v>
      </c>
      <c r="DF689" s="881">
        <f t="shared" ca="1" si="313"/>
        <v>1.7050949360000001E-2</v>
      </c>
      <c r="DG689" s="910">
        <f t="shared" ca="1" si="310"/>
        <v>0.99547352429578406</v>
      </c>
      <c r="DH689" s="881">
        <f t="shared" ca="1" si="314"/>
        <v>1.6973768651988144E-2</v>
      </c>
      <c r="DI689" s="1460">
        <f t="shared" ca="1" si="317"/>
        <v>5.5334485805481348</v>
      </c>
      <c r="DJ689" s="909">
        <f>_xlfn.IFNA(INDEX('Resource use and costs'!$CQ$11:$CQ$53,MATCH($CZ689,'Resource use and costs'!$BA$11:$BA$53,0)),0)*_xlfn.IFNA(INDEX(DY$10:DY$23,MATCH($CZ689,$DX$10:$DX$23,0)),0)</f>
        <v>45284.183573333321</v>
      </c>
      <c r="DK689" s="909">
        <f>IF(dd_PartSA_2_lines = "Yes",0,_xlfn.IFNA(INDEX('Resource use and costs'!$CR$11:$CR$53,MATCH(DA689,'Resource use and costs'!$BA$11:$BA$53,0)),0)*_xlfn.IFNA(INDEX(EA$10:EA$23,MATCH($DA689,$DX$10:$DX$23,0)),0))</f>
        <v>21421.066008214286</v>
      </c>
      <c r="DL689" s="909">
        <f>IF(dd_PartSA_2_lines = "Yes",0,_xlfn.IFNA(INDEX('Resource use and costs'!$CS$11:$CS$53,MATCH(DB689,'Resource use and costs'!$BA$11:$BA$53,0)),0)*_xlfn.IFNA(INDEX(EC$10:EC$23,MATCH($DB689,$DX$10:$DX$23,0)),0))</f>
        <v>2915.4763433333328</v>
      </c>
      <c r="DM689" s="909">
        <f t="shared" si="315"/>
        <v>69620.725924880928</v>
      </c>
      <c r="DN689" s="909">
        <f>SUM(_xlfn.IFNA(INDEX('Resource use and costs'!$DU$12:$DU$25,MATCH(CZ689,'Resource use and costs'!$DS$12:$DS$25,0)),0),_xlfn.IFNA(INDEX('Resource use and costs'!$DU$12:$DU$25,MATCH(DA689,'Resource use and costs'!$DS$12:$DS$25,0)),0),_xlfn.IFNA(INDEX('Resource use and costs'!$DU$12:$DU$25,MATCH(DB689,'Resource use and costs'!$DS$12:$DS$25,0)),0))</f>
        <v>591.75</v>
      </c>
      <c r="DO689" s="921">
        <f>_xlfn.IFNA(INDEX('Resource use and costs'!$DY$12:$DY$25,MATCH(CZ689,'Resource use and costs'!$DS$12:$DS$25,0)),0)*_xlfn.IFNA(INDEX(DY$10:DY$23,MATCH($CZ689,$DX$10:$DX$23,0)),0)</f>
        <v>415.09348571428563</v>
      </c>
      <c r="DP689" s="921">
        <f>IF(dd_PartSA_2_lines = "Yes",0,_xlfn.IFNA(INDEX('Resource use and costs'!$DZ$12:$DZ$25,MATCH(DA689,'Resource use and costs'!$DS$12:$DS$25,0)),0)*_xlfn.IFNA(INDEX(EA$10:EA$23,MATCH($DA689,$DX$10:$DX$23,0)),0))</f>
        <v>267.99172714285714</v>
      </c>
      <c r="DQ689" s="921">
        <f>IF(dd_PartSA_2_lines = "Yes",0,_xlfn.IFNA(INDEX('Resource use and costs'!$EA$12:$EA$25,MATCH(DB689,'Resource use and costs'!$DS$12:$DS$25,0)),0)*_xlfn.IFNA(INDEX(EC$10:EC$23,MATCH($DB689,$DX$10:$DX$23,0)),0))</f>
        <v>256.11457142857142</v>
      </c>
      <c r="DR689" s="921">
        <f t="shared" si="316"/>
        <v>1530.9497842857143</v>
      </c>
      <c r="DS689" s="1004">
        <f ca="1">SUMIFS('Safety parameters'!$DM$6:$DM$18,'Safety parameters'!$DK$6:$DK$18,CZ689,'Safety parameters'!$DL$6:$DL$18,1)+IF(dd_PartSA_2_lines = "Yes",0,SUMIFS('Safety parameters'!$DM$6:$DM$18,'Safety parameters'!$DK$6:$DK$18,DA689,'Safety parameters'!$DL$6:$DL$18,2)+SUMIFS('Safety parameters'!$DM$6:$DM$18,'Safety parameters'!$DK$6:$DK$18,DB689,'Safety parameters'!$DL$6:$DL$18,2))</f>
        <v>2698.9332196249325</v>
      </c>
      <c r="DT689" s="910">
        <f ca="1">SUMIFS('Safety parameters'!$DO$6:$DO$18,'Safety parameters'!$DK$6:$DK$18,CZ689,'Safety parameters'!$DL$6:$DL$18,1)+IF(dd_PartSA_2_lines = "Yes",0,SUMIFS('Safety parameters'!$DO$6:$DO$18,'Safety parameters'!$DK$6:$DK$18,DA689,'Safety parameters'!$DL$6:$DL$18,2)+SUMIFS('Safety parameters'!$DO$6:$DO$18,'Safety parameters'!$DK$6:$DK$18,DB689,'Safety parameters'!$DL$6:$DL$18,2))</f>
        <v>-2.3926487052593939E-2</v>
      </c>
    </row>
    <row r="690" spans="89:124" x14ac:dyDescent="0.2">
      <c r="CK690" s="5"/>
      <c r="CL690" s="5"/>
      <c r="CM690" s="5"/>
      <c r="CN690" s="5"/>
      <c r="CO690" s="5"/>
      <c r="CP690" s="5"/>
      <c r="CQ690" s="5"/>
      <c r="CR690" s="5"/>
      <c r="CS690" s="5"/>
      <c r="CT690" s="5"/>
      <c r="CU690" s="1123">
        <f>MATCH(CZ697,'Resource use and costs'!$BA$11:$BA$53,0)</f>
        <v>37</v>
      </c>
      <c r="CV690" s="1223"/>
      <c r="CW690" s="1241">
        <f t="shared" si="311"/>
        <v>1</v>
      </c>
      <c r="CX690" s="899" t="s">
        <v>794</v>
      </c>
      <c r="CY690" s="899" t="s">
        <v>117</v>
      </c>
      <c r="CZ690" s="899" t="s">
        <v>118</v>
      </c>
      <c r="DA690" s="899" t="s">
        <v>765</v>
      </c>
      <c r="DB690" s="899"/>
      <c r="DC690" s="899">
        <f t="shared" ca="1" si="318"/>
        <v>0.24580000000000002</v>
      </c>
      <c r="DD690" s="899" cm="1">
        <f t="array" aca="1" ref="DD690" ca="1">_xlfn.IFNA(OFFSET($Y$49,MATCH($CZ690,$Y$50:$Y$63,0),MATCH($DA690,TRANSPOSE($Z$49:$AM$49),0)),0)</f>
        <v>0.34300000000000003</v>
      </c>
      <c r="DE690" s="899" cm="1">
        <f t="array" aca="1" ref="DE690" ca="1">_xlfn.IFNA(OFFSET($AO$49,MATCH($DA690,$AO$50:$AO$63,0),MATCH($DB690,TRANSPOSE($AP$49:$BC$49),0)),0)</f>
        <v>0</v>
      </c>
      <c r="DF690" s="881">
        <f t="shared" ca="1" si="313"/>
        <v>8.4309400000000007E-2</v>
      </c>
      <c r="DG690" s="910">
        <f t="shared" ca="1" si="310"/>
        <v>0.99547352429578406</v>
      </c>
      <c r="DH690" s="881">
        <f t="shared" ca="1" si="314"/>
        <v>8.3927775549262978E-2</v>
      </c>
      <c r="DI690" s="1460">
        <f t="shared" ca="1" si="317"/>
        <v>27.36045482905973</v>
      </c>
      <c r="DJ690" s="909">
        <f>_xlfn.IFNA(INDEX('Resource use and costs'!$CQ$11:$CQ$53,MATCH($CZ690,'Resource use and costs'!$BA$11:$BA$53,0)),0)*_xlfn.IFNA(INDEX(DY$10:DY$23,MATCH($CZ690,$DX$10:$DX$23,0)),0)</f>
        <v>45284.183573333321</v>
      </c>
      <c r="DK690" s="909">
        <f>IF(dd_PartSA_2_lines = "Yes",0,_xlfn.IFNA(INDEX('Resource use and costs'!$CR$11:$CR$53,MATCH(DA690,'Resource use and costs'!$BA$11:$BA$53,0)),0)*_xlfn.IFNA(INDEX(EA$10:EA$23,MATCH($DA690,$DX$10:$DX$23,0)),0))</f>
        <v>0</v>
      </c>
      <c r="DL690" s="909">
        <f>IF(dd_PartSA_2_lines = "Yes",0,_xlfn.IFNA(INDEX('Resource use and costs'!$CS$11:$CS$53,MATCH(DB690,'Resource use and costs'!$BA$11:$BA$53,0)),0)*_xlfn.IFNA(INDEX(EC$10:EC$23,MATCH($DB690,$DX$10:$DX$23,0)),0))</f>
        <v>0</v>
      </c>
      <c r="DM690" s="909">
        <f t="shared" si="315"/>
        <v>45284.183573333321</v>
      </c>
      <c r="DN690" s="909">
        <f>SUM(_xlfn.IFNA(INDEX('Resource use and costs'!$DU$12:$DU$25,MATCH(CZ690,'Resource use and costs'!$DS$12:$DS$25,0)),0),_xlfn.IFNA(INDEX('Resource use and costs'!$DU$12:$DU$25,MATCH(DA690,'Resource use and costs'!$DS$12:$DS$25,0)),0),_xlfn.IFNA(INDEX('Resource use and costs'!$DU$12:$DU$25,MATCH(DB690,'Resource use and costs'!$DS$12:$DS$25,0)),0))</f>
        <v>197.25</v>
      </c>
      <c r="DO690" s="921">
        <f>_xlfn.IFNA(INDEX('Resource use and costs'!$DY$12:$DY$25,MATCH(CZ690,'Resource use and costs'!$DS$12:$DS$25,0)),0)*_xlfn.IFNA(INDEX(DY$10:DY$23,MATCH($CZ690,$DX$10:$DX$23,0)),0)</f>
        <v>415.09348571428563</v>
      </c>
      <c r="DP690" s="921">
        <f>IF(dd_PartSA_2_lines = "Yes",0,_xlfn.IFNA(INDEX('Resource use and costs'!$DZ$12:$DZ$25,MATCH(DA690,'Resource use and costs'!$DS$12:$DS$25,0)),0)*_xlfn.IFNA(INDEX(EA$10:EA$23,MATCH($DA690,$DX$10:$DX$23,0)),0))</f>
        <v>0</v>
      </c>
      <c r="DQ690" s="921">
        <f>IF(dd_PartSA_2_lines = "Yes",0,_xlfn.IFNA(INDEX('Resource use and costs'!$EA$12:$EA$25,MATCH(DB690,'Resource use and costs'!$DS$12:$DS$25,0)),0)*_xlfn.IFNA(INDEX(EC$10:EC$23,MATCH($DB690,$DX$10:$DX$23,0)),0))</f>
        <v>0</v>
      </c>
      <c r="DR690" s="921">
        <f t="shared" si="316"/>
        <v>612.34348571428563</v>
      </c>
      <c r="DS690" s="1004">
        <f ca="1">SUMIFS('Safety parameters'!$DM$6:$DM$18,'Safety parameters'!$DK$6:$DK$18,CZ690,'Safety parameters'!$DL$6:$DL$18,1)+IF(dd_PartSA_2_lines = "Yes",0,SUMIFS('Safety parameters'!$DM$6:$DM$18,'Safety parameters'!$DK$6:$DK$18,DA690,'Safety parameters'!$DL$6:$DL$18,2)+SUMIFS('Safety parameters'!$DM$6:$DM$18,'Safety parameters'!$DK$6:$DK$18,DB690,'Safety parameters'!$DL$6:$DL$18,2))</f>
        <v>731.82916268415761</v>
      </c>
      <c r="DT690" s="910">
        <f ca="1">SUMIFS('Safety parameters'!$DO$6:$DO$18,'Safety parameters'!$DK$6:$DK$18,CZ690,'Safety parameters'!$DL$6:$DL$18,1)+IF(dd_PartSA_2_lines = "Yes",0,SUMIFS('Safety parameters'!$DO$6:$DO$18,'Safety parameters'!$DK$6:$DK$18,DA690,'Safety parameters'!$DL$6:$DL$18,2)+SUMIFS('Safety parameters'!$DO$6:$DO$18,'Safety parameters'!$DK$6:$DK$18,DB690,'Safety parameters'!$DL$6:$DL$18,2))</f>
        <v>-6.5169895084747891E-3</v>
      </c>
    </row>
    <row r="691" spans="89:124" x14ac:dyDescent="0.2">
      <c r="CK691" s="5"/>
      <c r="CL691" s="5"/>
      <c r="CM691" s="5"/>
      <c r="CN691" s="5"/>
      <c r="CO691" s="5"/>
      <c r="CP691" s="5"/>
      <c r="CQ691" s="5"/>
      <c r="CR691" s="5"/>
      <c r="CS691" s="5"/>
      <c r="CT691" s="5"/>
      <c r="CU691" s="1123">
        <f>MATCH(CZ698,'Resource use and costs'!$BA$11:$BA$53,0)</f>
        <v>37</v>
      </c>
      <c r="CV691" s="1223"/>
      <c r="CW691" s="1241">
        <f t="shared" si="311"/>
        <v>1</v>
      </c>
      <c r="CX691" s="899" t="s">
        <v>794</v>
      </c>
      <c r="CY691" s="899" t="s">
        <v>117</v>
      </c>
      <c r="CZ691" s="899" t="s">
        <v>118</v>
      </c>
      <c r="DA691" s="899" t="s">
        <v>119</v>
      </c>
      <c r="DB691" s="899" t="s">
        <v>327</v>
      </c>
      <c r="DC691" s="899">
        <f t="shared" ca="1" si="318"/>
        <v>0.24580000000000002</v>
      </c>
      <c r="DD691" s="899" cm="1">
        <f t="array" aca="1" ref="DD691" ca="1">_xlfn.IFNA(OFFSET($Y$49,MATCH($CZ691,$Y$50:$Y$63,0),MATCH($DA691,TRANSPOSE($Z$49:$AM$49),0)),0)</f>
        <v>6.5699999999999995E-2</v>
      </c>
      <c r="DE691" s="899" cm="1">
        <f t="array" aca="1" ref="DE691" ca="1">_xlfn.IFNA(OFFSET($AO$49,MATCH($DA691,$AO$50:$AO$63,0),MATCH($DB691,TRANSPOSE($AP$49:$BC$49),0)),0)</f>
        <v>0</v>
      </c>
      <c r="DF691" s="881">
        <f t="shared" ca="1" si="313"/>
        <v>0</v>
      </c>
      <c r="DG691" s="910">
        <f t="shared" ca="1" si="310"/>
        <v>0.99547352429578406</v>
      </c>
      <c r="DH691" s="881">
        <f t="shared" ca="1" si="314"/>
        <v>0</v>
      </c>
      <c r="DI691" s="1460">
        <f t="shared" ca="1" si="317"/>
        <v>0</v>
      </c>
      <c r="DJ691" s="909">
        <f>_xlfn.IFNA(INDEX('Resource use and costs'!$CQ$11:$CQ$53,MATCH($CZ691,'Resource use and costs'!$BA$11:$BA$53,0)),0)*_xlfn.IFNA(INDEX(DY$10:DY$23,MATCH($CZ691,$DX$10:$DX$23,0)),0)</f>
        <v>45284.183573333321</v>
      </c>
      <c r="DK691" s="909">
        <f>IF(dd_PartSA_2_lines = "Yes",0,_xlfn.IFNA(INDEX('Resource use and costs'!$CR$11:$CR$53,MATCH(DA691,'Resource use and costs'!$BA$11:$BA$53,0)),0)*_xlfn.IFNA(INDEX(EA$10:EA$23,MATCH($DA691,$DX$10:$DX$23,0)),0))</f>
        <v>848.17532499999982</v>
      </c>
      <c r="DL691" s="909">
        <f>IF(dd_PartSA_2_lines = "Yes",0,_xlfn.IFNA(INDEX('Resource use and costs'!$CS$11:$CS$53,MATCH(DB691,'Resource use and costs'!$BA$11:$BA$53,0)),0)*_xlfn.IFNA(INDEX(EC$10:EC$23,MATCH($DB691,$DX$10:$DX$23,0)),0))</f>
        <v>18438.751749999999</v>
      </c>
      <c r="DM691" s="909">
        <f t="shared" si="315"/>
        <v>64571.110648333313</v>
      </c>
      <c r="DN691" s="909">
        <f>SUM(_xlfn.IFNA(INDEX('Resource use and costs'!$DU$12:$DU$25,MATCH(CZ691,'Resource use and costs'!$DS$12:$DS$25,0)),0),_xlfn.IFNA(INDEX('Resource use and costs'!$DU$12:$DU$25,MATCH(DA691,'Resource use and costs'!$DS$12:$DS$25,0)),0),_xlfn.IFNA(INDEX('Resource use and costs'!$DU$12:$DU$25,MATCH(DB691,'Resource use and costs'!$DS$12:$DS$25,0)),0))</f>
        <v>591.75</v>
      </c>
      <c r="DO691" s="921">
        <f>_xlfn.IFNA(INDEX('Resource use and costs'!$DY$12:$DY$25,MATCH(CZ691,'Resource use and costs'!$DS$12:$DS$25,0)),0)*_xlfn.IFNA(INDEX(DY$10:DY$23,MATCH($CZ691,$DX$10:$DX$23,0)),0)</f>
        <v>415.09348571428563</v>
      </c>
      <c r="DP691" s="921">
        <f>IF(dd_PartSA_2_lines = "Yes",0,_xlfn.IFNA(INDEX('Resource use and costs'!$DZ$12:$DZ$25,MATCH(DA691,'Resource use and costs'!$DS$12:$DS$25,0)),0)*_xlfn.IFNA(INDEX(EA$10:EA$23,MATCH($DA691,$DX$10:$DX$23,0)),0))</f>
        <v>74.50928571428571</v>
      </c>
      <c r="DQ691" s="921">
        <f>IF(dd_PartSA_2_lines = "Yes",0,_xlfn.IFNA(INDEX('Resource use and costs'!$EA$12:$EA$25,MATCH(DB691,'Resource use and costs'!$DS$12:$DS$25,0)),0)*_xlfn.IFNA(INDEX(EC$10:EC$23,MATCH($DB691,$DX$10:$DX$23,0)),0))</f>
        <v>230.68099999999998</v>
      </c>
      <c r="DR691" s="921">
        <f t="shared" si="316"/>
        <v>1312.0337714285713</v>
      </c>
      <c r="DS691" s="1004">
        <f ca="1">SUMIFS('Safety parameters'!$DM$6:$DM$18,'Safety parameters'!$DK$6:$DK$18,CZ691,'Safety parameters'!$DL$6:$DL$18,1)+IF(dd_PartSA_2_lines = "Yes",0,SUMIFS('Safety parameters'!$DM$6:$DM$18,'Safety parameters'!$DK$6:$DK$18,DA691,'Safety parameters'!$DL$6:$DL$18,2)+SUMIFS('Safety parameters'!$DM$6:$DM$18,'Safety parameters'!$DK$6:$DK$18,DB691,'Safety parameters'!$DL$6:$DL$18,2))</f>
        <v>2698.9332196249325</v>
      </c>
      <c r="DT691" s="910">
        <f ca="1">SUMIFS('Safety parameters'!$DO$6:$DO$18,'Safety parameters'!$DK$6:$DK$18,CZ691,'Safety parameters'!$DL$6:$DL$18,1)+IF(dd_PartSA_2_lines = "Yes",0,SUMIFS('Safety parameters'!$DO$6:$DO$18,'Safety parameters'!$DK$6:$DK$18,DA691,'Safety parameters'!$DL$6:$DL$18,2)+SUMIFS('Safety parameters'!$DO$6:$DO$18,'Safety parameters'!$DK$6:$DK$18,DB691,'Safety parameters'!$DL$6:$DL$18,2))</f>
        <v>-2.3926487052593939E-2</v>
      </c>
    </row>
    <row r="692" spans="89:124" x14ac:dyDescent="0.2">
      <c r="CK692" s="5"/>
      <c r="CL692" s="5"/>
      <c r="CM692" s="5"/>
      <c r="CN692" s="5"/>
      <c r="CO692" s="5"/>
      <c r="CP692" s="5"/>
      <c r="CQ692" s="5"/>
      <c r="CR692" s="5"/>
      <c r="CS692" s="5"/>
      <c r="CT692" s="5"/>
      <c r="CU692" s="1123">
        <f>MATCH(CZ699,'Resource use and costs'!$BA$11:$BA$53,0)</f>
        <v>37</v>
      </c>
      <c r="CV692" s="1223"/>
      <c r="CW692" s="1241">
        <f t="shared" si="311"/>
        <v>1</v>
      </c>
      <c r="CX692" s="899" t="s">
        <v>794</v>
      </c>
      <c r="CY692" s="899" t="s">
        <v>117</v>
      </c>
      <c r="CZ692" s="899" t="s">
        <v>118</v>
      </c>
      <c r="DA692" s="899" t="s">
        <v>119</v>
      </c>
      <c r="DB692" s="899" t="s">
        <v>765</v>
      </c>
      <c r="DC692" s="899">
        <f t="shared" ca="1" si="318"/>
        <v>0.24580000000000002</v>
      </c>
      <c r="DD692" s="899" cm="1">
        <f t="array" aca="1" ref="DD692" ca="1">_xlfn.IFNA(OFFSET($Y$49,MATCH($CZ692,$Y$50:$Y$63,0),MATCH($DA692,TRANSPOSE($Z$49:$AM$49),0)),0)</f>
        <v>6.5699999999999995E-2</v>
      </c>
      <c r="DE692" s="899" cm="1">
        <f t="array" aca="1" ref="DE692" ca="1">_xlfn.IFNA(OFFSET($AO$49,MATCH($DA692,$AO$50:$AO$63,0),MATCH($DB692,TRANSPOSE($AP$49:$BC$49),0)),0)</f>
        <v>1</v>
      </c>
      <c r="DF692" s="881">
        <f t="shared" ca="1" si="313"/>
        <v>1.614906E-2</v>
      </c>
      <c r="DG692" s="910">
        <f t="shared" ca="1" si="310"/>
        <v>0.99547352429578406</v>
      </c>
      <c r="DH692" s="881">
        <f t="shared" ca="1" si="314"/>
        <v>1.6075961672264074E-2</v>
      </c>
      <c r="DI692" s="1460">
        <f t="shared" ca="1" si="317"/>
        <v>5.2407635051580881</v>
      </c>
      <c r="DJ692" s="909">
        <f>_xlfn.IFNA(INDEX('Resource use and costs'!$CQ$11:$CQ$53,MATCH($CZ692,'Resource use and costs'!$BA$11:$BA$53,0)),0)*_xlfn.IFNA(INDEX(DY$10:DY$23,MATCH($CZ692,$DX$10:$DX$23,0)),0)</f>
        <v>45284.183573333321</v>
      </c>
      <c r="DK692" s="909">
        <f>IF(dd_PartSA_2_lines = "Yes",0,_xlfn.IFNA(INDEX('Resource use and costs'!$CR$11:$CR$53,MATCH(DA692,'Resource use and costs'!$BA$11:$BA$53,0)),0)*_xlfn.IFNA(INDEX(EA$10:EA$23,MATCH($DA692,$DX$10:$DX$23,0)),0))</f>
        <v>848.17532499999982</v>
      </c>
      <c r="DL692" s="909">
        <f>IF(dd_PartSA_2_lines = "Yes",0,_xlfn.IFNA(INDEX('Resource use and costs'!$CS$11:$CS$53,MATCH(DB692,'Resource use and costs'!$BA$11:$BA$53,0)),0)*_xlfn.IFNA(INDEX(EC$10:EC$23,MATCH($DB692,$DX$10:$DX$23,0)),0))</f>
        <v>0</v>
      </c>
      <c r="DM692" s="909">
        <f t="shared" si="315"/>
        <v>46132.358898333317</v>
      </c>
      <c r="DN692" s="909">
        <f>SUM(_xlfn.IFNA(INDEX('Resource use and costs'!$DU$12:$DU$25,MATCH(CZ692,'Resource use and costs'!$DS$12:$DS$25,0)),0),_xlfn.IFNA(INDEX('Resource use and costs'!$DU$12:$DU$25,MATCH(DA692,'Resource use and costs'!$DS$12:$DS$25,0)),0),_xlfn.IFNA(INDEX('Resource use and costs'!$DU$12:$DU$25,MATCH(DB692,'Resource use and costs'!$DS$12:$DS$25,0)),0))</f>
        <v>394.5</v>
      </c>
      <c r="DO692" s="921">
        <f>_xlfn.IFNA(INDEX('Resource use and costs'!$DY$12:$DY$25,MATCH(CZ692,'Resource use and costs'!$DS$12:$DS$25,0)),0)*_xlfn.IFNA(INDEX(DY$10:DY$23,MATCH($CZ692,$DX$10:$DX$23,0)),0)</f>
        <v>415.09348571428563</v>
      </c>
      <c r="DP692" s="921">
        <f>IF(dd_PartSA_2_lines = "Yes",0,_xlfn.IFNA(INDEX('Resource use and costs'!$DZ$12:$DZ$25,MATCH(DA692,'Resource use and costs'!$DS$12:$DS$25,0)),0)*_xlfn.IFNA(INDEX(EA$10:EA$23,MATCH($DA692,$DX$10:$DX$23,0)),0))</f>
        <v>74.50928571428571</v>
      </c>
      <c r="DQ692" s="921">
        <f>IF(dd_PartSA_2_lines = "Yes",0,_xlfn.IFNA(INDEX('Resource use and costs'!$EA$12:$EA$25,MATCH(DB692,'Resource use and costs'!$DS$12:$DS$25,0)),0)*_xlfn.IFNA(INDEX(EC$10:EC$23,MATCH($DB692,$DX$10:$DX$23,0)),0))</f>
        <v>0</v>
      </c>
      <c r="DR692" s="921">
        <f t="shared" si="316"/>
        <v>884.10277142857137</v>
      </c>
      <c r="DS692" s="1004">
        <f ca="1">SUMIFS('Safety parameters'!$DM$6:$DM$18,'Safety parameters'!$DK$6:$DK$18,CZ692,'Safety parameters'!$DL$6:$DL$18,1)+IF(dd_PartSA_2_lines = "Yes",0,SUMIFS('Safety parameters'!$DM$6:$DM$18,'Safety parameters'!$DK$6:$DK$18,DA692,'Safety parameters'!$DL$6:$DL$18,2)+SUMIFS('Safety parameters'!$DM$6:$DM$18,'Safety parameters'!$DK$6:$DK$18,DB692,'Safety parameters'!$DL$6:$DL$18,2))</f>
        <v>1064.7045460594725</v>
      </c>
      <c r="DT692" s="910">
        <f ca="1">SUMIFS('Safety parameters'!$DO$6:$DO$18,'Safety parameters'!$DK$6:$DK$18,CZ692,'Safety parameters'!$DL$6:$DL$18,1)+IF(dd_PartSA_2_lines = "Yes",0,SUMIFS('Safety parameters'!$DO$6:$DO$18,'Safety parameters'!$DK$6:$DK$18,DA692,'Safety parameters'!$DL$6:$DL$18,2)+SUMIFS('Safety parameters'!$DO$6:$DO$18,'Safety parameters'!$DK$6:$DK$18,DB692,'Safety parameters'!$DL$6:$DL$18,2))</f>
        <v>-9.184563045112509E-3</v>
      </c>
    </row>
    <row r="693" spans="89:124" x14ac:dyDescent="0.2">
      <c r="CK693" s="5"/>
      <c r="CL693" s="5"/>
      <c r="CM693" s="5"/>
      <c r="CN693" s="5"/>
      <c r="CO693" s="5"/>
      <c r="CP693" s="5"/>
      <c r="CQ693" s="5"/>
      <c r="CR693" s="5"/>
      <c r="CS693" s="5"/>
      <c r="CT693" s="5"/>
      <c r="CU693" s="1123">
        <f>MATCH(CZ700,'Resource use and costs'!$BA$11:$BA$53,0)</f>
        <v>37</v>
      </c>
      <c r="CV693" s="1223"/>
      <c r="CW693" s="1241">
        <f t="shared" si="311"/>
        <v>1</v>
      </c>
      <c r="CX693" s="899" t="s">
        <v>794</v>
      </c>
      <c r="CY693" s="899" t="s">
        <v>117</v>
      </c>
      <c r="CZ693" s="899" t="s">
        <v>118</v>
      </c>
      <c r="DA693" s="899" t="s">
        <v>579</v>
      </c>
      <c r="DB693" s="899" t="s">
        <v>327</v>
      </c>
      <c r="DC693" s="899">
        <f t="shared" ca="1" si="318"/>
        <v>0.24580000000000002</v>
      </c>
      <c r="DD693" s="899">
        <f ca="1">1-DD688-DD690-DD691</f>
        <v>0.46929999999999994</v>
      </c>
      <c r="DE693" s="899" cm="1">
        <f t="array" aca="1" ref="DE693" ca="1">_xlfn.IFNA(OFFSET($AO$49,MATCH($DA693,$AO$50:$AO$63,0),MATCH($DB693,TRANSPOSE($AP$49:$BC$49),0)),0)</f>
        <v>0.56859999999999999</v>
      </c>
      <c r="DF693" s="881">
        <f t="shared" ca="1" si="313"/>
        <v>6.5590250283999993E-2</v>
      </c>
      <c r="DG693" s="910">
        <f t="shared" ca="1" si="310"/>
        <v>0.99547352429578406</v>
      </c>
      <c r="DH693" s="881">
        <f t="shared" ca="1" si="314"/>
        <v>6.529335760965603E-2</v>
      </c>
      <c r="DI693" s="1460">
        <f t="shared" ca="1" si="317"/>
        <v>21.285634580747868</v>
      </c>
      <c r="DJ693" s="909">
        <f>_xlfn.IFNA(INDEX('Resource use and costs'!$CQ$11:$CQ$53,MATCH($CZ693,'Resource use and costs'!$BA$11:$BA$53,0)),0)*_xlfn.IFNA(INDEX(DY$10:DY$23,MATCH($CZ693,$DX$10:$DX$23,0)),0)</f>
        <v>45284.183573333321</v>
      </c>
      <c r="DK693" s="909">
        <f>IF(dd_PartSA_2_lines = "Yes",0,_xlfn.IFNA(INDEX('Resource use and costs'!$CR$11:$CR$53,MATCH(DA693,'Resource use and costs'!$BA$11:$BA$53,0)),0)*_xlfn.IFNA(INDEX(EA$10:EA$23,MATCH($DA693,$DX$10:$DX$23,0)),0))</f>
        <v>26054.50921</v>
      </c>
      <c r="DL693" s="909">
        <f>IF(dd_PartSA_2_lines = "Yes",0,_xlfn.IFNA(INDEX('Resource use and costs'!$CS$11:$CS$53,MATCH(DB693,'Resource use and costs'!$BA$11:$BA$53,0)),0)*_xlfn.IFNA(INDEX(EC$10:EC$23,MATCH($DB693,$DX$10:$DX$23,0)),0))</f>
        <v>18438.751749999999</v>
      </c>
      <c r="DM693" s="909">
        <f t="shared" si="315"/>
        <v>89777.444533333313</v>
      </c>
      <c r="DN693" s="909">
        <f>SUM(_xlfn.IFNA(INDEX('Resource use and costs'!$DU$12:$DU$25,MATCH(CZ693,'Resource use and costs'!$DS$12:$DS$25,0)),0),_xlfn.IFNA(INDEX('Resource use and costs'!$DU$12:$DU$25,MATCH(DA693,'Resource use and costs'!$DS$12:$DS$25,0)),0),_xlfn.IFNA(INDEX('Resource use and costs'!$DU$12:$DU$25,MATCH(DB693,'Resource use and costs'!$DS$12:$DS$25,0)),0))</f>
        <v>394.5</v>
      </c>
      <c r="DO693" s="921">
        <f>_xlfn.IFNA(INDEX('Resource use and costs'!$DY$12:$DY$25,MATCH(CZ693,'Resource use and costs'!$DS$12:$DS$25,0)),0)*_xlfn.IFNA(INDEX(DY$10:DY$23,MATCH($CZ693,$DX$10:$DX$23,0)),0)</f>
        <v>415.09348571428563</v>
      </c>
      <c r="DP693" s="921">
        <f>IF(dd_PartSA_2_lines = "Yes",0,_xlfn.IFNA(INDEX('Resource use and costs'!$DZ$12:$DZ$25,MATCH(DA693,'Resource use and costs'!$DS$12:$DS$25,0)),0)*_xlfn.IFNA(INDEX(EA$10:EA$23,MATCH($DA693,$DX$10:$DX$23,0)),0))</f>
        <v>4108.3597166</v>
      </c>
      <c r="DQ693" s="921">
        <f>IF(dd_PartSA_2_lines = "Yes",0,_xlfn.IFNA(INDEX('Resource use and costs'!$EA$12:$EA$25,MATCH(DB693,'Resource use and costs'!$DS$12:$DS$25,0)),0)*_xlfn.IFNA(INDEX(EC$10:EC$23,MATCH($DB693,$DX$10:$DX$23,0)),0))</f>
        <v>230.68099999999998</v>
      </c>
      <c r="DR693" s="921">
        <f t="shared" si="316"/>
        <v>5148.6342023142852</v>
      </c>
      <c r="DS693" s="1004">
        <f ca="1">SUMIFS('Safety parameters'!$DM$6:$DM$18,'Safety parameters'!$DK$6:$DK$18,CZ693,'Safety parameters'!$DL$6:$DL$18,1)+IF(dd_PartSA_2_lines = "Yes",0,SUMIFS('Safety parameters'!$DM$6:$DM$18,'Safety parameters'!$DK$6:$DK$18,DA693,'Safety parameters'!$DL$6:$DL$18,2)+SUMIFS('Safety parameters'!$DM$6:$DM$18,'Safety parameters'!$DK$6:$DK$18,DB693,'Safety parameters'!$DL$6:$DL$18,2))</f>
        <v>2527.1915852400316</v>
      </c>
      <c r="DT693" s="910">
        <f ca="1">SUMIFS('Safety parameters'!$DO$6:$DO$18,'Safety parameters'!$DK$6:$DK$18,CZ693,'Safety parameters'!$DL$6:$DL$18,1)+IF(dd_PartSA_2_lines = "Yes",0,SUMIFS('Safety parameters'!$DO$6:$DO$18,'Safety parameters'!$DK$6:$DK$18,DA693,'Safety parameters'!$DL$6:$DL$18,2)+SUMIFS('Safety parameters'!$DO$6:$DO$18,'Safety parameters'!$DK$6:$DK$18,DB693,'Safety parameters'!$DL$6:$DL$18,2))</f>
        <v>-2.2855997713641003E-2</v>
      </c>
    </row>
    <row r="694" spans="89:124" x14ac:dyDescent="0.2">
      <c r="CK694" s="5"/>
      <c r="CL694" s="5"/>
      <c r="CM694" s="5"/>
      <c r="CN694" s="5"/>
      <c r="CO694" s="5"/>
      <c r="CP694" s="5"/>
      <c r="CQ694" s="5"/>
      <c r="CR694" s="5"/>
      <c r="CS694" s="5"/>
      <c r="CT694" s="5"/>
      <c r="CU694" s="1123">
        <f>MATCH(CZ701,'Resource use and costs'!$BA$11:$BA$53,0)</f>
        <v>37</v>
      </c>
      <c r="CV694" s="1223"/>
      <c r="CW694" s="1241">
        <f t="shared" si="311"/>
        <v>1</v>
      </c>
      <c r="CX694" s="899" t="s">
        <v>794</v>
      </c>
      <c r="CY694" s="899" t="s">
        <v>117</v>
      </c>
      <c r="CZ694" s="899" t="s">
        <v>118</v>
      </c>
      <c r="DA694" s="899" t="s">
        <v>579</v>
      </c>
      <c r="DB694" s="899" t="s">
        <v>765</v>
      </c>
      <c r="DC694" s="899">
        <f t="shared" ca="1" si="318"/>
        <v>0.24580000000000002</v>
      </c>
      <c r="DD694" s="899">
        <f ca="1">DD693</f>
        <v>0.46929999999999994</v>
      </c>
      <c r="DE694" s="899" cm="1">
        <f t="array" aca="1" ref="DE694" ca="1">_xlfn.IFNA(OFFSET($AO$49,MATCH($DA694,$AO$50:$AO$63,0),MATCH($DB694,TRANSPOSE($AP$49:$BC$49),0)),0)</f>
        <v>0.43140000000000001</v>
      </c>
      <c r="DF694" s="881">
        <f t="shared" ca="1" si="313"/>
        <v>4.9763689715999995E-2</v>
      </c>
      <c r="DG694" s="910">
        <f t="shared" ca="1" si="310"/>
        <v>0.99547352429578406</v>
      </c>
      <c r="DH694" s="881">
        <f t="shared" ca="1" si="314"/>
        <v>4.9538435583548382E-2</v>
      </c>
      <c r="DI694" s="1460">
        <f t="shared" ca="1" si="317"/>
        <v>16.149530000236773</v>
      </c>
      <c r="DJ694" s="909">
        <f>_xlfn.IFNA(INDEX('Resource use and costs'!$CQ$11:$CQ$53,MATCH($CZ694,'Resource use and costs'!$BA$11:$BA$53,0)),0)*_xlfn.IFNA(INDEX(DY$10:DY$23,MATCH($CZ694,$DX$10:$DX$23,0)),0)</f>
        <v>45284.183573333321</v>
      </c>
      <c r="DK694" s="909">
        <f>IF(dd_PartSA_2_lines = "Yes",0,_xlfn.IFNA(INDEX('Resource use and costs'!$CR$11:$CR$53,MATCH(DA694,'Resource use and costs'!$BA$11:$BA$53,0)),0)*_xlfn.IFNA(INDEX(EA$10:EA$23,MATCH($DA694,$DX$10:$DX$23,0)),0))</f>
        <v>26054.50921</v>
      </c>
      <c r="DL694" s="909">
        <f>IF(dd_PartSA_2_lines = "Yes",0,_xlfn.IFNA(INDEX('Resource use and costs'!$CS$11:$CS$53,MATCH(DB694,'Resource use and costs'!$BA$11:$BA$53,0)),0)*_xlfn.IFNA(INDEX(EC$10:EC$23,MATCH($DB694,$DX$10:$DX$23,0)),0))</f>
        <v>0</v>
      </c>
      <c r="DM694" s="909">
        <f t="shared" si="315"/>
        <v>71338.692783333317</v>
      </c>
      <c r="DN694" s="909">
        <f>SUM(_xlfn.IFNA(INDEX('Resource use and costs'!$DU$12:$DU$25,MATCH(CZ694,'Resource use and costs'!$DS$12:$DS$25,0)),0),_xlfn.IFNA(INDEX('Resource use and costs'!$DU$12:$DU$25,MATCH(DA694,'Resource use and costs'!$DS$12:$DS$25,0)),0),_xlfn.IFNA(INDEX('Resource use and costs'!$DU$12:$DU$25,MATCH(DB694,'Resource use and costs'!$DS$12:$DS$25,0)),0))</f>
        <v>197.25</v>
      </c>
      <c r="DO694" s="921">
        <f>_xlfn.IFNA(INDEX('Resource use and costs'!$DY$12:$DY$25,MATCH(CZ694,'Resource use and costs'!$DS$12:$DS$25,0)),0)*_xlfn.IFNA(INDEX(DY$10:DY$23,MATCH($CZ694,$DX$10:$DX$23,0)),0)</f>
        <v>415.09348571428563</v>
      </c>
      <c r="DP694" s="921">
        <f>IF(dd_PartSA_2_lines = "Yes",0,_xlfn.IFNA(INDEX('Resource use and costs'!$DZ$12:$DZ$25,MATCH(DA694,'Resource use and costs'!$DS$12:$DS$25,0)),0)*_xlfn.IFNA(INDEX(EA$10:EA$23,MATCH($DA694,$DX$10:$DX$23,0)),0))</f>
        <v>4108.3597166</v>
      </c>
      <c r="DQ694" s="921">
        <f>IF(dd_PartSA_2_lines = "Yes",0,_xlfn.IFNA(INDEX('Resource use and costs'!$EA$12:$EA$25,MATCH(DB694,'Resource use and costs'!$DS$12:$DS$25,0)),0)*_xlfn.IFNA(INDEX(EC$10:EC$23,MATCH($DB694,$DX$10:$DX$23,0)),0))</f>
        <v>0</v>
      </c>
      <c r="DR694" s="921">
        <f t="shared" si="316"/>
        <v>4720.7032023142856</v>
      </c>
      <c r="DS694" s="1004">
        <f ca="1">SUMIFS('Safety parameters'!$DM$6:$DM$18,'Safety parameters'!$DK$6:$DK$18,CZ694,'Safety parameters'!$DL$6:$DL$18,1)+IF(dd_PartSA_2_lines = "Yes",0,SUMIFS('Safety parameters'!$DM$6:$DM$18,'Safety parameters'!$DK$6:$DK$18,DA694,'Safety parameters'!$DL$6:$DL$18,2)+SUMIFS('Safety parameters'!$DM$6:$DM$18,'Safety parameters'!$DK$6:$DK$18,DB694,'Safety parameters'!$DL$6:$DL$18,2))</f>
        <v>892.96291167457207</v>
      </c>
      <c r="DT694" s="910">
        <f ca="1">SUMIFS('Safety parameters'!$DO$6:$DO$18,'Safety parameters'!$DK$6:$DK$18,CZ694,'Safety parameters'!$DL$6:$DL$18,1)+IF(dd_PartSA_2_lines = "Yes",0,SUMIFS('Safety parameters'!$DO$6:$DO$18,'Safety parameters'!$DK$6:$DK$18,DA694,'Safety parameters'!$DL$6:$DL$18,2)+SUMIFS('Safety parameters'!$DO$6:$DO$18,'Safety parameters'!$DK$6:$DK$18,DB694,'Safety parameters'!$DL$6:$DL$18,2))</f>
        <v>-8.1140737061595747E-3</v>
      </c>
    </row>
    <row r="695" spans="89:124" x14ac:dyDescent="0.2">
      <c r="CK695" s="5"/>
      <c r="CL695" s="5"/>
      <c r="CM695" s="5"/>
      <c r="CN695" s="5"/>
      <c r="CO695" s="5"/>
      <c r="CP695" s="5"/>
      <c r="CQ695" s="5"/>
      <c r="CR695" s="5"/>
      <c r="CS695" s="5"/>
      <c r="CT695" s="5"/>
      <c r="CU695" s="1123">
        <f>MATCH(CZ702,'Resource use and costs'!$BA$11:$BA$53,0)</f>
        <v>43</v>
      </c>
      <c r="CV695" s="1223"/>
      <c r="CW695" s="1241">
        <f t="shared" si="311"/>
        <v>1</v>
      </c>
      <c r="CX695" s="899" t="s">
        <v>794</v>
      </c>
      <c r="CY695" s="899" t="s">
        <v>117</v>
      </c>
      <c r="CZ695" s="899" t="s">
        <v>118</v>
      </c>
      <c r="DA695" s="899" t="s">
        <v>579</v>
      </c>
      <c r="DB695" s="899" t="s">
        <v>119</v>
      </c>
      <c r="DC695" s="899">
        <f t="shared" ca="1" si="318"/>
        <v>0.24580000000000002</v>
      </c>
      <c r="DD695" s="899">
        <f ca="1">DD693</f>
        <v>0.46929999999999994</v>
      </c>
      <c r="DE695" s="899" cm="1">
        <f t="array" aca="1" ref="DE695" ca="1">_xlfn.IFNA(OFFSET($AO$49,MATCH($DA695,$AO$50:$AO$63,0),MATCH($DB695,TRANSPOSE($AP$49:$BC$49),0)),0)</f>
        <v>0</v>
      </c>
      <c r="DF695" s="881">
        <f t="shared" ca="1" si="313"/>
        <v>0</v>
      </c>
      <c r="DG695" s="910">
        <f t="shared" ca="1" si="310"/>
        <v>0.99547352429578406</v>
      </c>
      <c r="DH695" s="881">
        <f t="shared" ca="1" si="314"/>
        <v>0</v>
      </c>
      <c r="DI695" s="1460">
        <f t="shared" ca="1" si="317"/>
        <v>0</v>
      </c>
      <c r="DJ695" s="909">
        <f>_xlfn.IFNA(INDEX('Resource use and costs'!$CQ$11:$CQ$53,MATCH($CZ695,'Resource use and costs'!$BA$11:$BA$53,0)),0)*_xlfn.IFNA(INDEX(DY$10:DY$23,MATCH($CZ695,$DX$10:$DX$23,0)),0)</f>
        <v>45284.183573333321</v>
      </c>
      <c r="DK695" s="909">
        <f>IF(dd_PartSA_2_lines = "Yes",0,_xlfn.IFNA(INDEX('Resource use and costs'!$CR$11:$CR$53,MATCH(DA695,'Resource use and costs'!$BA$11:$BA$53,0)),0)*_xlfn.IFNA(INDEX(EA$10:EA$23,MATCH($DA695,$DX$10:$DX$23,0)),0))</f>
        <v>26054.50921</v>
      </c>
      <c r="DL695" s="909">
        <f>IF(dd_PartSA_2_lines = "Yes",0,_xlfn.IFNA(INDEX('Resource use and costs'!$CS$11:$CS$53,MATCH(DB695,'Resource use and costs'!$BA$11:$BA$53,0)),0)*_xlfn.IFNA(INDEX(EC$10:EC$23,MATCH($DB695,$DX$10:$DX$23,0)),0))</f>
        <v>2915.4763433333328</v>
      </c>
      <c r="DM695" s="909">
        <f t="shared" si="315"/>
        <v>74254.169126666646</v>
      </c>
      <c r="DN695" s="909">
        <f>SUM(_xlfn.IFNA(INDEX('Resource use and costs'!$DU$12:$DU$25,MATCH(CZ695,'Resource use and costs'!$DS$12:$DS$25,0)),0),_xlfn.IFNA(INDEX('Resource use and costs'!$DU$12:$DU$25,MATCH(DA695,'Resource use and costs'!$DS$12:$DS$25,0)),0),_xlfn.IFNA(INDEX('Resource use and costs'!$DU$12:$DU$25,MATCH(DB695,'Resource use and costs'!$DS$12:$DS$25,0)),0))</f>
        <v>394.5</v>
      </c>
      <c r="DO695" s="921">
        <f>_xlfn.IFNA(INDEX('Resource use and costs'!$DY$12:$DY$25,MATCH(CZ695,'Resource use and costs'!$DS$12:$DS$25,0)),0)*_xlfn.IFNA(INDEX(DY$10:DY$23,MATCH($CZ695,$DX$10:$DX$23,0)),0)</f>
        <v>415.09348571428563</v>
      </c>
      <c r="DP695" s="921">
        <f>IF(dd_PartSA_2_lines = "Yes",0,_xlfn.IFNA(INDEX('Resource use and costs'!$DZ$12:$DZ$25,MATCH(DA695,'Resource use and costs'!$DS$12:$DS$25,0)),0)*_xlfn.IFNA(INDEX(EA$10:EA$23,MATCH($DA695,$DX$10:$DX$23,0)),0))</f>
        <v>4108.3597166</v>
      </c>
      <c r="DQ695" s="921">
        <f>IF(dd_PartSA_2_lines = "Yes",0,_xlfn.IFNA(INDEX('Resource use and costs'!$EA$12:$EA$25,MATCH(DB695,'Resource use and costs'!$DS$12:$DS$25,0)),0)*_xlfn.IFNA(INDEX(EC$10:EC$23,MATCH($DB695,$DX$10:$DX$23,0)),0))</f>
        <v>256.11457142857142</v>
      </c>
      <c r="DR695" s="921">
        <f t="shared" si="316"/>
        <v>5174.0677737428568</v>
      </c>
      <c r="DS695" s="1004">
        <f ca="1">SUMIFS('Safety parameters'!$DM$6:$DM$18,'Safety parameters'!$DK$6:$DK$18,CZ695,'Safety parameters'!$DL$6:$DL$18,1)+IF(dd_PartSA_2_lines = "Yes",0,SUMIFS('Safety parameters'!$DM$6:$DM$18,'Safety parameters'!$DK$6:$DK$18,DA695,'Safety parameters'!$DL$6:$DL$18,2)+SUMIFS('Safety parameters'!$DM$6:$DM$18,'Safety parameters'!$DK$6:$DK$18,DB695,'Safety parameters'!$DL$6:$DL$18,2))</f>
        <v>1225.8382950498869</v>
      </c>
      <c r="DT695" s="910">
        <f ca="1">SUMIFS('Safety parameters'!$DO$6:$DO$18,'Safety parameters'!$DK$6:$DK$18,CZ695,'Safety parameters'!$DL$6:$DL$18,1)+IF(dd_PartSA_2_lines = "Yes",0,SUMIFS('Safety parameters'!$DO$6:$DO$18,'Safety parameters'!$DK$6:$DK$18,DA695,'Safety parameters'!$DL$6:$DL$18,2)+SUMIFS('Safety parameters'!$DO$6:$DO$18,'Safety parameters'!$DK$6:$DK$18,DB695,'Safety parameters'!$DL$6:$DL$18,2))</f>
        <v>-1.0781647242797295E-2</v>
      </c>
    </row>
    <row r="696" spans="89:124" x14ac:dyDescent="0.2">
      <c r="CK696" s="5"/>
      <c r="CL696" s="5"/>
      <c r="CM696" s="5"/>
      <c r="CN696" s="5"/>
      <c r="CO696" s="5"/>
      <c r="CP696" s="5"/>
      <c r="CQ696" s="5"/>
      <c r="CR696" s="5"/>
      <c r="CS696" s="5"/>
      <c r="CT696" s="5"/>
      <c r="CU696" s="1123">
        <f>MATCH(CZ703,'Resource use and costs'!$BA$11:$BA$53,0)</f>
        <v>43</v>
      </c>
      <c r="CV696" s="1223"/>
      <c r="CW696" s="1241">
        <f t="shared" si="311"/>
        <v>1</v>
      </c>
      <c r="CX696" s="899" t="s">
        <v>794</v>
      </c>
      <c r="CY696" s="899" t="s">
        <v>117</v>
      </c>
      <c r="CZ696" s="899" t="s">
        <v>119</v>
      </c>
      <c r="DA696" s="899" t="s">
        <v>327</v>
      </c>
      <c r="DB696" s="899" t="s">
        <v>765</v>
      </c>
      <c r="DC696" s="899" cm="1">
        <f t="array" aca="1" ref="DC696" ca="1">_xlfn.IFNA(OFFSET($I$49,MATCH(CY696,$I$50:$I$63,0),MATCH(CZ696,TRANSPOSE($J$49:$W$49),0)),0)</f>
        <v>0</v>
      </c>
      <c r="DD696" s="899" cm="1">
        <f t="array" aca="1" ref="DD696" ca="1">_xlfn.IFNA(OFFSET($Y$49,MATCH($CZ696,$Y$50:$Y$63,0),MATCH($DA696,TRANSPOSE($Z$49:$AM$49),0)),0)</f>
        <v>0</v>
      </c>
      <c r="DE696" s="899" cm="1">
        <f t="array" aca="1" ref="DE696" ca="1">_xlfn.IFNA(OFFSET($AO$49,MATCH($DA696,$AO$50:$AO$63,0),MATCH($DB696,TRANSPOSE($AP$49:$BC$49),0)),0)</f>
        <v>0.43140000000000001</v>
      </c>
      <c r="DF696" s="881">
        <f t="shared" ca="1" si="313"/>
        <v>0</v>
      </c>
      <c r="DG696" s="910">
        <f t="shared" ca="1" si="310"/>
        <v>0.99547352429578406</v>
      </c>
      <c r="DH696" s="881">
        <f t="shared" ca="1" si="314"/>
        <v>0</v>
      </c>
      <c r="DI696" s="1460">
        <f t="shared" ca="1" si="317"/>
        <v>0</v>
      </c>
      <c r="DJ696" s="909">
        <f>_xlfn.IFNA(INDEX('Resource use and costs'!$CQ$11:$CQ$53,MATCH($CZ696,'Resource use and costs'!$BA$11:$BA$53,0)),0)*_xlfn.IFNA(INDEX(DY$10:DY$23,MATCH($CZ696,$DX$10:$DX$23,0)),0)</f>
        <v>944.50399999999979</v>
      </c>
      <c r="DK696" s="909">
        <f>IF(dd_PartSA_2_lines = "Yes",0,_xlfn.IFNA(INDEX('Resource use and costs'!$CR$11:$CR$53,MATCH(DA696,'Resource use and costs'!$BA$11:$BA$53,0)),0)*_xlfn.IFNA(INDEX(EA$10:EA$23,MATCH($DA696,$DX$10:$DX$23,0)),0))</f>
        <v>21421.066008214286</v>
      </c>
      <c r="DL696" s="909">
        <f>IF(dd_PartSA_2_lines = "Yes",0,_xlfn.IFNA(INDEX('Resource use and costs'!$CS$11:$CS$53,MATCH(DB696,'Resource use and costs'!$BA$11:$BA$53,0)),0)*_xlfn.IFNA(INDEX(EC$10:EC$23,MATCH($DB696,$DX$10:$DX$23,0)),0))</f>
        <v>0</v>
      </c>
      <c r="DM696" s="909">
        <f t="shared" si="315"/>
        <v>22365.570008214287</v>
      </c>
      <c r="DN696" s="909">
        <f>SUM(_xlfn.IFNA(INDEX('Resource use and costs'!$DU$12:$DU$25,MATCH(CZ696,'Resource use and costs'!$DS$12:$DS$25,0)),0),_xlfn.IFNA(INDEX('Resource use and costs'!$DU$12:$DU$25,MATCH(DA696,'Resource use and costs'!$DS$12:$DS$25,0)),0),_xlfn.IFNA(INDEX('Resource use and costs'!$DU$12:$DU$25,MATCH(DB696,'Resource use and costs'!$DS$12:$DS$25,0)),0))</f>
        <v>394.5</v>
      </c>
      <c r="DO696" s="921">
        <f>_xlfn.IFNA(INDEX('Resource use and costs'!$DY$12:$DY$25,MATCH(CZ696,'Resource use and costs'!$DS$12:$DS$25,0)),0)*_xlfn.IFNA(INDEX(DY$10:DY$23,MATCH($CZ696,$DX$10:$DX$23,0)),0)</f>
        <v>82.971428571428561</v>
      </c>
      <c r="DP696" s="921">
        <f>IF(dd_PartSA_2_lines = "Yes",0,_xlfn.IFNA(INDEX('Resource use and costs'!$DZ$12:$DZ$25,MATCH(DA696,'Resource use and costs'!$DS$12:$DS$25,0)),0)*_xlfn.IFNA(INDEX(EA$10:EA$23,MATCH($DA696,$DX$10:$DX$23,0)),0))</f>
        <v>267.99172714285714</v>
      </c>
      <c r="DQ696" s="921">
        <f>IF(dd_PartSA_2_lines = "Yes",0,_xlfn.IFNA(INDEX('Resource use and costs'!$EA$12:$EA$25,MATCH(DB696,'Resource use and costs'!$DS$12:$DS$25,0)),0)*_xlfn.IFNA(INDEX(EC$10:EC$23,MATCH($DB696,$DX$10:$DX$23,0)),0))</f>
        <v>0</v>
      </c>
      <c r="DR696" s="921">
        <f t="shared" si="316"/>
        <v>745.46315571428568</v>
      </c>
      <c r="DS696" s="1004">
        <f ca="1">SUMIFS('Safety parameters'!$DM$6:$DM$18,'Safety parameters'!$DK$6:$DK$18,CZ696,'Safety parameters'!$DL$6:$DL$18,1)+IF(dd_PartSA_2_lines = "Yes",0,SUMIFS('Safety parameters'!$DM$6:$DM$18,'Safety parameters'!$DK$6:$DK$18,DA696,'Safety parameters'!$DL$6:$DL$18,2)+SUMIFS('Safety parameters'!$DM$6:$DM$18,'Safety parameters'!$DK$6:$DK$18,DB696,'Safety parameters'!$DL$6:$DL$18,2))</f>
        <v>1634.2286735654598</v>
      </c>
      <c r="DT696" s="910">
        <f ca="1">SUMIFS('Safety parameters'!$DO$6:$DO$18,'Safety parameters'!$DK$6:$DK$18,CZ696,'Safety parameters'!$DL$6:$DL$18,1)+IF(dd_PartSA_2_lines = "Yes",0,SUMIFS('Safety parameters'!$DO$6:$DO$18,'Safety parameters'!$DK$6:$DK$18,DA696,'Safety parameters'!$DL$6:$DL$18,2)+SUMIFS('Safety parameters'!$DO$6:$DO$18,'Safety parameters'!$DK$6:$DK$18,DB696,'Safety parameters'!$DL$6:$DL$18,2))</f>
        <v>-1.4741924007481429E-2</v>
      </c>
    </row>
    <row r="697" spans="89:124" x14ac:dyDescent="0.2">
      <c r="CK697" s="5"/>
      <c r="CL697" s="5"/>
      <c r="CM697" s="5"/>
      <c r="CN697" s="5"/>
      <c r="CO697" s="5"/>
      <c r="CP697" s="5"/>
      <c r="CQ697" s="5"/>
      <c r="CR697" s="5"/>
      <c r="CS697" s="5"/>
      <c r="CT697" s="5"/>
      <c r="CU697" s="1123">
        <f>MATCH(CZ704,'Resource use and costs'!$BA$11:$BA$53,0)</f>
        <v>43</v>
      </c>
      <c r="CV697" s="1223"/>
      <c r="CW697" s="1241">
        <f t="shared" si="311"/>
        <v>1</v>
      </c>
      <c r="CX697" s="899" t="s">
        <v>794</v>
      </c>
      <c r="CY697" s="899" t="s">
        <v>117</v>
      </c>
      <c r="CZ697" s="899" t="s">
        <v>119</v>
      </c>
      <c r="DA697" s="899" t="s">
        <v>765</v>
      </c>
      <c r="DB697" s="899"/>
      <c r="DC697" s="899" cm="1">
        <f t="array" aca="1" ref="DC697" ca="1">_xlfn.IFNA(OFFSET($I$49,MATCH(CY697,$I$50:$I$63,0),MATCH(CZ697,TRANSPOSE($J$49:$W$49),0)),0)</f>
        <v>0</v>
      </c>
      <c r="DD697" s="899" cm="1">
        <f t="array" aca="1" ref="DD697" ca="1">_xlfn.IFNA(OFFSET($Y$49,MATCH($CZ697,$Y$50:$Y$63,0),MATCH($DA697,TRANSPOSE($Z$49:$AM$49),0)),0)</f>
        <v>1</v>
      </c>
      <c r="DE697" s="899" cm="1">
        <f t="array" aca="1" ref="DE697" ca="1">_xlfn.IFNA(OFFSET($AO$49,MATCH($DA697,$AO$50:$AO$63,0),MATCH($DB697,TRANSPOSE($AP$49:$BC$49),0)),0)</f>
        <v>0</v>
      </c>
      <c r="DF697" s="881">
        <f t="shared" ca="1" si="313"/>
        <v>0</v>
      </c>
      <c r="DG697" s="910">
        <f t="shared" ca="1" si="310"/>
        <v>0.99547352429578406</v>
      </c>
      <c r="DH697" s="881">
        <f t="shared" ca="1" si="314"/>
        <v>0</v>
      </c>
      <c r="DI697" s="1460">
        <f t="shared" ca="1" si="317"/>
        <v>0</v>
      </c>
      <c r="DJ697" s="909">
        <f>_xlfn.IFNA(INDEX('Resource use and costs'!$CQ$11:$CQ$53,MATCH($CZ697,'Resource use and costs'!$BA$11:$BA$53,0)),0)*_xlfn.IFNA(INDEX(DY$10:DY$23,MATCH($CZ697,$DX$10:$DX$23,0)),0)</f>
        <v>944.50399999999979</v>
      </c>
      <c r="DK697" s="909">
        <f>IF(dd_PartSA_2_lines = "Yes",0,_xlfn.IFNA(INDEX('Resource use and costs'!$CR$11:$CR$53,MATCH(DA697,'Resource use and costs'!$BA$11:$BA$53,0)),0)*_xlfn.IFNA(INDEX(EA$10:EA$23,MATCH($DA697,$DX$10:$DX$23,0)),0))</f>
        <v>0</v>
      </c>
      <c r="DL697" s="909">
        <f>IF(dd_PartSA_2_lines = "Yes",0,_xlfn.IFNA(INDEX('Resource use and costs'!$CS$11:$CS$53,MATCH(DB697,'Resource use and costs'!$BA$11:$BA$53,0)),0)*_xlfn.IFNA(INDEX(EC$10:EC$23,MATCH($DB697,$DX$10:$DX$23,0)),0))</f>
        <v>0</v>
      </c>
      <c r="DM697" s="909">
        <f t="shared" si="315"/>
        <v>944.50399999999979</v>
      </c>
      <c r="DN697" s="909">
        <f>SUM(_xlfn.IFNA(INDEX('Resource use and costs'!$DU$12:$DU$25,MATCH(CZ697,'Resource use and costs'!$DS$12:$DS$25,0)),0),_xlfn.IFNA(INDEX('Resource use and costs'!$DU$12:$DU$25,MATCH(DA697,'Resource use and costs'!$DS$12:$DS$25,0)),0),_xlfn.IFNA(INDEX('Resource use and costs'!$DU$12:$DU$25,MATCH(DB697,'Resource use and costs'!$DS$12:$DS$25,0)),0))</f>
        <v>197.25</v>
      </c>
      <c r="DO697" s="921">
        <f>_xlfn.IFNA(INDEX('Resource use and costs'!$DY$12:$DY$25,MATCH(CZ697,'Resource use and costs'!$DS$12:$DS$25,0)),0)*_xlfn.IFNA(INDEX(DY$10:DY$23,MATCH($CZ697,$DX$10:$DX$23,0)),0)</f>
        <v>82.971428571428561</v>
      </c>
      <c r="DP697" s="921">
        <f>IF(dd_PartSA_2_lines = "Yes",0,_xlfn.IFNA(INDEX('Resource use and costs'!$DZ$12:$DZ$25,MATCH(DA697,'Resource use and costs'!$DS$12:$DS$25,0)),0)*_xlfn.IFNA(INDEX(EA$10:EA$23,MATCH($DA697,$DX$10:$DX$23,0)),0))</f>
        <v>0</v>
      </c>
      <c r="DQ697" s="921">
        <f>IF(dd_PartSA_2_lines = "Yes",0,_xlfn.IFNA(INDEX('Resource use and costs'!$EA$12:$EA$25,MATCH(DB697,'Resource use and costs'!$DS$12:$DS$25,0)),0)*_xlfn.IFNA(INDEX(EC$10:EC$23,MATCH($DB697,$DX$10:$DX$23,0)),0))</f>
        <v>0</v>
      </c>
      <c r="DR697" s="921">
        <f t="shared" si="316"/>
        <v>280.22142857142853</v>
      </c>
      <c r="DS697" s="1004">
        <f>SUMIFS('Safety parameters'!$DM$6:$DM$18,'Safety parameters'!$DK$6:$DK$18,CZ697,'Safety parameters'!$DL$6:$DL$18,1)+IF(dd_PartSA_2_lines = "Yes",0,SUMIFS('Safety parameters'!$DM$6:$DM$18,'Safety parameters'!$DK$6:$DK$18,DA697,'Safety parameters'!$DL$6:$DL$18,2)+SUMIFS('Safety parameters'!$DM$6:$DM$18,'Safety parameters'!$DK$6:$DK$18,DB697,'Safety parameters'!$DL$6:$DL$18,2))</f>
        <v>0</v>
      </c>
      <c r="DT697" s="910">
        <f>SUMIFS('Safety parameters'!$DO$6:$DO$18,'Safety parameters'!$DK$6:$DK$18,CZ697,'Safety parameters'!$DL$6:$DL$18,1)+IF(dd_PartSA_2_lines = "Yes",0,SUMIFS('Safety parameters'!$DO$6:$DO$18,'Safety parameters'!$DK$6:$DK$18,DA697,'Safety parameters'!$DL$6:$DL$18,2)+SUMIFS('Safety parameters'!$DO$6:$DO$18,'Safety parameters'!$DK$6:$DK$18,DB697,'Safety parameters'!$DL$6:$DL$18,2))</f>
        <v>0</v>
      </c>
    </row>
    <row r="698" spans="89:124" x14ac:dyDescent="0.2">
      <c r="CK698" s="5"/>
      <c r="CL698" s="5"/>
      <c r="CM698" s="5"/>
      <c r="CN698" s="5"/>
      <c r="CO698" s="5"/>
      <c r="CP698" s="5"/>
      <c r="CQ698" s="5"/>
      <c r="CR698" s="5"/>
      <c r="CS698" s="5"/>
      <c r="CT698" s="5"/>
      <c r="CU698" s="1123">
        <f>MATCH(CZ705,'Resource use and costs'!$BA$11:$BA$53,0)</f>
        <v>43</v>
      </c>
      <c r="CV698" s="1223"/>
      <c r="CW698" s="1241">
        <f t="shared" si="311"/>
        <v>1</v>
      </c>
      <c r="CX698" s="899" t="s">
        <v>794</v>
      </c>
      <c r="CY698" s="899" t="s">
        <v>117</v>
      </c>
      <c r="CZ698" s="899" t="s">
        <v>119</v>
      </c>
      <c r="DA698" s="899" t="s">
        <v>118</v>
      </c>
      <c r="DB698" s="899" t="s">
        <v>327</v>
      </c>
      <c r="DC698" s="899" cm="1">
        <f t="array" aca="1" ref="DC698" ca="1">_xlfn.IFNA(OFFSET($I$49,MATCH(CY698,$I$50:$I$63,0),MATCH(CZ698,TRANSPOSE($J$49:$W$49),0)),0)</f>
        <v>0</v>
      </c>
      <c r="DD698" s="899" cm="1">
        <f t="array" aca="1" ref="DD698" ca="1">_xlfn.IFNA(OFFSET($Y$49,MATCH($CZ698,$Y$50:$Y$63,0),MATCH($DA698,TRANSPOSE($Z$49:$AM$49),0)),0)</f>
        <v>0</v>
      </c>
      <c r="DE698" s="899" cm="1">
        <f t="array" aca="1" ref="DE698" ca="1">_xlfn.IFNA(OFFSET($AO$49,MATCH($DA698,$AO$50:$AO$63,0),MATCH($DB698,TRANSPOSE($AP$49:$BC$49),0)),0)</f>
        <v>0.38769999999999999</v>
      </c>
      <c r="DF698" s="881">
        <f t="shared" ca="1" si="313"/>
        <v>0</v>
      </c>
      <c r="DG698" s="910">
        <f t="shared" ca="1" si="310"/>
        <v>0.99547352429578406</v>
      </c>
      <c r="DH698" s="881">
        <f t="shared" ca="1" si="314"/>
        <v>0</v>
      </c>
      <c r="DI698" s="1460">
        <f t="shared" ca="1" si="317"/>
        <v>0</v>
      </c>
      <c r="DJ698" s="909">
        <f>_xlfn.IFNA(INDEX('Resource use and costs'!$CQ$11:$CQ$53,MATCH($CZ698,'Resource use and costs'!$BA$11:$BA$53,0)),0)*_xlfn.IFNA(INDEX(DY$10:DY$23,MATCH($CZ698,$DX$10:$DX$23,0)),0)</f>
        <v>944.50399999999979</v>
      </c>
      <c r="DK698" s="909">
        <f>IF(dd_PartSA_2_lines = "Yes",0,_xlfn.IFNA(INDEX('Resource use and costs'!$CR$11:$CR$53,MATCH(DA698,'Resource use and costs'!$BA$11:$BA$53,0)),0)*_xlfn.IFNA(INDEX(EA$10:EA$23,MATCH($DA698,$DX$10:$DX$23,0)),0))</f>
        <v>50308.075122000002</v>
      </c>
      <c r="DL698" s="909">
        <f>IF(dd_PartSA_2_lines = "Yes",0,_xlfn.IFNA(INDEX('Resource use and costs'!$CS$11:$CS$53,MATCH(DB698,'Resource use and costs'!$BA$11:$BA$53,0)),0)*_xlfn.IFNA(INDEX(EC$10:EC$23,MATCH($DB698,$DX$10:$DX$23,0)),0))</f>
        <v>18438.751749999999</v>
      </c>
      <c r="DM698" s="909">
        <f t="shared" si="315"/>
        <v>69691.330872000006</v>
      </c>
      <c r="DN698" s="909">
        <f>SUM(_xlfn.IFNA(INDEX('Resource use and costs'!$DU$12:$DU$25,MATCH(CZ698,'Resource use and costs'!$DS$12:$DS$25,0)),0),_xlfn.IFNA(INDEX('Resource use and costs'!$DU$12:$DU$25,MATCH(DA698,'Resource use and costs'!$DS$12:$DS$25,0)),0),_xlfn.IFNA(INDEX('Resource use and costs'!$DU$12:$DU$25,MATCH(DB698,'Resource use and costs'!$DS$12:$DS$25,0)),0))</f>
        <v>591.75</v>
      </c>
      <c r="DO698" s="921">
        <f>_xlfn.IFNA(INDEX('Resource use and costs'!$DY$12:$DY$25,MATCH(CZ698,'Resource use and costs'!$DS$12:$DS$25,0)),0)*_xlfn.IFNA(INDEX(DY$10:DY$23,MATCH($CZ698,$DX$10:$DX$23,0)),0)</f>
        <v>82.971428571428561</v>
      </c>
      <c r="DP698" s="921">
        <f>IF(dd_PartSA_2_lines = "Yes",0,_xlfn.IFNA(INDEX('Resource use and costs'!$DZ$12:$DZ$25,MATCH(DA698,'Resource use and costs'!$DS$12:$DS$25,0)),0)*_xlfn.IFNA(INDEX(EA$10:EA$23,MATCH($DA698,$DX$10:$DX$23,0)),0))</f>
        <v>461.1445457142857</v>
      </c>
      <c r="DQ698" s="921">
        <f>IF(dd_PartSA_2_lines = "Yes",0,_xlfn.IFNA(INDEX('Resource use and costs'!$EA$12:$EA$25,MATCH(DB698,'Resource use and costs'!$DS$12:$DS$25,0)),0)*_xlfn.IFNA(INDEX(EC$10:EC$23,MATCH($DB698,$DX$10:$DX$23,0)),0))</f>
        <v>230.68099999999998</v>
      </c>
      <c r="DR698" s="921">
        <f t="shared" si="316"/>
        <v>1366.5469742857142</v>
      </c>
      <c r="DS698" s="1004">
        <f ca="1">SUMIFS('Safety parameters'!$DM$6:$DM$18,'Safety parameters'!$DK$6:$DK$18,CZ698,'Safety parameters'!$DL$6:$DL$18,1)+IF(dd_PartSA_2_lines = "Yes",0,SUMIFS('Safety parameters'!$DM$6:$DM$18,'Safety parameters'!$DK$6:$DK$18,DA698,'Safety parameters'!$DL$6:$DL$18,2)+SUMIFS('Safety parameters'!$DM$6:$DM$18,'Safety parameters'!$DK$6:$DK$18,DB698,'Safety parameters'!$DL$6:$DL$18,2))</f>
        <v>2377.8779733688434</v>
      </c>
      <c r="DT698" s="910">
        <f ca="1">SUMIFS('Safety parameters'!$DO$6:$DO$18,'Safety parameters'!$DK$6:$DK$18,CZ698,'Safety parameters'!$DL$6:$DL$18,1)+IF(dd_PartSA_2_lines = "Yes",0,SUMIFS('Safety parameters'!$DO$6:$DO$18,'Safety parameters'!$DK$6:$DK$18,DA698,'Safety parameters'!$DL$6:$DL$18,2)+SUMIFS('Safety parameters'!$DO$6:$DO$18,'Safety parameters'!$DK$6:$DK$18,DB698,'Safety parameters'!$DL$6:$DL$18,2))</f>
        <v>-2.1764250363717368E-2</v>
      </c>
    </row>
    <row r="699" spans="89:124" x14ac:dyDescent="0.2">
      <c r="CK699" s="5"/>
      <c r="CL699" s="5"/>
      <c r="CM699" s="5"/>
      <c r="CN699" s="5"/>
      <c r="CO699" s="5"/>
      <c r="CP699" s="5"/>
      <c r="CQ699" s="5"/>
      <c r="CR699" s="5"/>
      <c r="CS699" s="5"/>
      <c r="CT699" s="5"/>
      <c r="CU699" s="1123">
        <f>MATCH(CZ706,'Resource use and costs'!$BA$11:$BA$53,0)</f>
        <v>43</v>
      </c>
      <c r="CV699" s="1223"/>
      <c r="CW699" s="1241">
        <f t="shared" si="311"/>
        <v>1</v>
      </c>
      <c r="CX699" s="899" t="s">
        <v>794</v>
      </c>
      <c r="CY699" s="899" t="s">
        <v>117</v>
      </c>
      <c r="CZ699" s="899" t="s">
        <v>119</v>
      </c>
      <c r="DA699" s="899" t="s">
        <v>118</v>
      </c>
      <c r="DB699" s="899" t="s">
        <v>765</v>
      </c>
      <c r="DC699" s="899" cm="1">
        <f t="array" aca="1" ref="DC699" ca="1">_xlfn.IFNA(OFFSET($I$49,MATCH(CY699,$I$50:$I$63,0),MATCH(CZ699,TRANSPOSE($J$49:$W$49),0)),0)</f>
        <v>0</v>
      </c>
      <c r="DD699" s="899" cm="1">
        <f t="array" aca="1" ref="DD699" ca="1">_xlfn.IFNA(OFFSET($Y$49,MATCH($CZ699,$Y$50:$Y$63,0),MATCH($DA699,TRANSPOSE($Z$49:$AM$49),0)),0)</f>
        <v>0</v>
      </c>
      <c r="DE699" s="899" cm="1">
        <f t="array" aca="1" ref="DE699" ca="1">_xlfn.IFNA(OFFSET($AO$49,MATCH($DA699,$AO$50:$AO$63,0),MATCH($DB699,TRANSPOSE($AP$49:$BC$49),0)),0)</f>
        <v>0.43140000000000001</v>
      </c>
      <c r="DF699" s="881">
        <f t="shared" ca="1" si="313"/>
        <v>0</v>
      </c>
      <c r="DG699" s="910">
        <f t="shared" ca="1" si="310"/>
        <v>0.99547352429578406</v>
      </c>
      <c r="DH699" s="881">
        <f t="shared" ca="1" si="314"/>
        <v>0</v>
      </c>
      <c r="DI699" s="1460">
        <f t="shared" ca="1" si="317"/>
        <v>0</v>
      </c>
      <c r="DJ699" s="909">
        <f>_xlfn.IFNA(INDEX('Resource use and costs'!$CQ$11:$CQ$53,MATCH($CZ699,'Resource use and costs'!$BA$11:$BA$53,0)),0)*_xlfn.IFNA(INDEX(DY$10:DY$23,MATCH($CZ699,$DX$10:$DX$23,0)),0)</f>
        <v>944.50399999999979</v>
      </c>
      <c r="DK699" s="909">
        <f>IF(dd_PartSA_2_lines = "Yes",0,_xlfn.IFNA(INDEX('Resource use and costs'!$CR$11:$CR$53,MATCH(DA699,'Resource use and costs'!$BA$11:$BA$53,0)),0)*_xlfn.IFNA(INDEX(EA$10:EA$23,MATCH($DA699,$DX$10:$DX$23,0)),0))</f>
        <v>50308.075122000002</v>
      </c>
      <c r="DL699" s="909">
        <f>IF(dd_PartSA_2_lines = "Yes",0,_xlfn.IFNA(INDEX('Resource use and costs'!$CS$11:$CS$53,MATCH(DB699,'Resource use and costs'!$BA$11:$BA$53,0)),0)*_xlfn.IFNA(INDEX(EC$10:EC$23,MATCH($DB699,$DX$10:$DX$23,0)),0))</f>
        <v>0</v>
      </c>
      <c r="DM699" s="909">
        <f t="shared" si="315"/>
        <v>51252.579122000003</v>
      </c>
      <c r="DN699" s="909">
        <f>SUM(_xlfn.IFNA(INDEX('Resource use and costs'!$DU$12:$DU$25,MATCH(CZ699,'Resource use and costs'!$DS$12:$DS$25,0)),0),_xlfn.IFNA(INDEX('Resource use and costs'!$DU$12:$DU$25,MATCH(DA699,'Resource use and costs'!$DS$12:$DS$25,0)),0),_xlfn.IFNA(INDEX('Resource use and costs'!$DU$12:$DU$25,MATCH(DB699,'Resource use and costs'!$DS$12:$DS$25,0)),0))</f>
        <v>394.5</v>
      </c>
      <c r="DO699" s="921">
        <f>_xlfn.IFNA(INDEX('Resource use and costs'!$DY$12:$DY$25,MATCH(CZ699,'Resource use and costs'!$DS$12:$DS$25,0)),0)*_xlfn.IFNA(INDEX(DY$10:DY$23,MATCH($CZ699,$DX$10:$DX$23,0)),0)</f>
        <v>82.971428571428561</v>
      </c>
      <c r="DP699" s="921">
        <f>IF(dd_PartSA_2_lines = "Yes",0,_xlfn.IFNA(INDEX('Resource use and costs'!$DZ$12:$DZ$25,MATCH(DA699,'Resource use and costs'!$DS$12:$DS$25,0)),0)*_xlfn.IFNA(INDEX(EA$10:EA$23,MATCH($DA699,$DX$10:$DX$23,0)),0))</f>
        <v>461.1445457142857</v>
      </c>
      <c r="DQ699" s="921">
        <f>IF(dd_PartSA_2_lines = "Yes",0,_xlfn.IFNA(INDEX('Resource use and costs'!$EA$12:$EA$25,MATCH(DB699,'Resource use and costs'!$DS$12:$DS$25,0)),0)*_xlfn.IFNA(INDEX(EC$10:EC$23,MATCH($DB699,$DX$10:$DX$23,0)),0))</f>
        <v>0</v>
      </c>
      <c r="DR699" s="921">
        <f t="shared" si="316"/>
        <v>938.61597428571417</v>
      </c>
      <c r="DS699" s="1004">
        <f ca="1">SUMIFS('Safety parameters'!$DM$6:$DM$18,'Safety parameters'!$DK$6:$DK$18,CZ699,'Safety parameters'!$DL$6:$DL$18,1)+IF(dd_PartSA_2_lines = "Yes",0,SUMIFS('Safety parameters'!$DM$6:$DM$18,'Safety parameters'!$DK$6:$DK$18,DA699,'Safety parameters'!$DL$6:$DL$18,2)+SUMIFS('Safety parameters'!$DM$6:$DM$18,'Safety parameters'!$DK$6:$DK$18,DB699,'Safety parameters'!$DL$6:$DL$18,2))</f>
        <v>743.64929980338343</v>
      </c>
      <c r="DT699" s="910">
        <f ca="1">SUMIFS('Safety parameters'!$DO$6:$DO$18,'Safety parameters'!$DK$6:$DK$18,CZ699,'Safety parameters'!$DL$6:$DL$18,1)+IF(dd_PartSA_2_lines = "Yes",0,SUMIFS('Safety parameters'!$DO$6:$DO$18,'Safety parameters'!$DK$6:$DK$18,DA699,'Safety parameters'!$DL$6:$DL$18,2)+SUMIFS('Safety parameters'!$DO$6:$DO$18,'Safety parameters'!$DK$6:$DK$18,DB699,'Safety parameters'!$DL$6:$DL$18,2))</f>
        <v>-7.0223263562359372E-3</v>
      </c>
    </row>
    <row r="700" spans="89:124" x14ac:dyDescent="0.2">
      <c r="CK700" s="5"/>
      <c r="CL700" s="5"/>
      <c r="CM700" s="5"/>
      <c r="CN700" s="5"/>
      <c r="CO700" s="5"/>
      <c r="CP700" s="5"/>
      <c r="CQ700" s="5"/>
      <c r="CR700" s="5"/>
      <c r="CS700" s="5"/>
      <c r="CT700" s="5"/>
      <c r="CU700" s="1123">
        <f>MATCH(CZ707,'Resource use and costs'!$BA$11:$BA$53,0)</f>
        <v>43</v>
      </c>
      <c r="CV700" s="1223"/>
      <c r="CW700" s="1241">
        <f t="shared" si="311"/>
        <v>1</v>
      </c>
      <c r="CX700" s="899" t="s">
        <v>794</v>
      </c>
      <c r="CY700" s="899" t="s">
        <v>117</v>
      </c>
      <c r="CZ700" s="899" t="s">
        <v>119</v>
      </c>
      <c r="DA700" s="899" t="s">
        <v>579</v>
      </c>
      <c r="DB700" s="899" t="s">
        <v>327</v>
      </c>
      <c r="DC700" s="899" cm="1">
        <f t="array" aca="1" ref="DC700" ca="1">_xlfn.IFNA(OFFSET($I$49,MATCH(CY700,$I$50:$I$63,0),MATCH(CZ700,TRANSPOSE($J$49:$W$49),0)),0)</f>
        <v>0</v>
      </c>
      <c r="DD700" s="899" cm="1">
        <f t="array" aca="1" ref="DD700" ca="1">_xlfn.IFNA(OFFSET($Y$49,MATCH($CZ700,$Y$50:$Y$63,0),MATCH($DA700,TRANSPOSE($Z$49:$AM$49),0)),0)</f>
        <v>0</v>
      </c>
      <c r="DE700" s="899" cm="1">
        <f t="array" aca="1" ref="DE700" ca="1">_xlfn.IFNA(OFFSET($AO$49,MATCH($DA700,$AO$50:$AO$63,0),MATCH($DB700,TRANSPOSE($AP$49:$BC$49),0)),0)</f>
        <v>0.56859999999999999</v>
      </c>
      <c r="DF700" s="881">
        <f t="shared" ca="1" si="313"/>
        <v>0</v>
      </c>
      <c r="DG700" s="910">
        <f t="shared" ca="1" si="310"/>
        <v>0.99547352429578406</v>
      </c>
      <c r="DH700" s="881">
        <f t="shared" ca="1" si="314"/>
        <v>0</v>
      </c>
      <c r="DI700" s="1460">
        <f t="shared" ca="1" si="317"/>
        <v>0</v>
      </c>
      <c r="DJ700" s="909">
        <f>_xlfn.IFNA(INDEX('Resource use and costs'!$CQ$11:$CQ$53,MATCH($CZ700,'Resource use and costs'!$BA$11:$BA$53,0)),0)*_xlfn.IFNA(INDEX(DY$10:DY$23,MATCH($CZ700,$DX$10:$DX$23,0)),0)</f>
        <v>944.50399999999979</v>
      </c>
      <c r="DK700" s="909">
        <f>IF(dd_PartSA_2_lines = "Yes",0,_xlfn.IFNA(INDEX('Resource use and costs'!$CR$11:$CR$53,MATCH(DA700,'Resource use and costs'!$BA$11:$BA$53,0)),0)*_xlfn.IFNA(INDEX(EA$10:EA$23,MATCH($DA700,$DX$10:$DX$23,0)),0))</f>
        <v>26054.50921</v>
      </c>
      <c r="DL700" s="909">
        <f>IF(dd_PartSA_2_lines = "Yes",0,_xlfn.IFNA(INDEX('Resource use and costs'!$CS$11:$CS$53,MATCH(DB700,'Resource use and costs'!$BA$11:$BA$53,0)),0)*_xlfn.IFNA(INDEX(EC$10:EC$23,MATCH($DB700,$DX$10:$DX$23,0)),0))</f>
        <v>18438.751749999999</v>
      </c>
      <c r="DM700" s="909">
        <f t="shared" si="315"/>
        <v>45437.76496</v>
      </c>
      <c r="DN700" s="909">
        <f>SUM(_xlfn.IFNA(INDEX('Resource use and costs'!$DU$12:$DU$25,MATCH(CZ700,'Resource use and costs'!$DS$12:$DS$25,0)),0),_xlfn.IFNA(INDEX('Resource use and costs'!$DU$12:$DU$25,MATCH(DA700,'Resource use and costs'!$DS$12:$DS$25,0)),0),_xlfn.IFNA(INDEX('Resource use and costs'!$DU$12:$DU$25,MATCH(DB700,'Resource use and costs'!$DS$12:$DS$25,0)),0))</f>
        <v>394.5</v>
      </c>
      <c r="DO700" s="921">
        <f>_xlfn.IFNA(INDEX('Resource use and costs'!$DY$12:$DY$25,MATCH(CZ700,'Resource use and costs'!$DS$12:$DS$25,0)),0)*_xlfn.IFNA(INDEX(DY$10:DY$23,MATCH($CZ700,$DX$10:$DX$23,0)),0)</f>
        <v>82.971428571428561</v>
      </c>
      <c r="DP700" s="921">
        <f>IF(dd_PartSA_2_lines = "Yes",0,_xlfn.IFNA(INDEX('Resource use and costs'!$DZ$12:$DZ$25,MATCH(DA700,'Resource use and costs'!$DS$12:$DS$25,0)),0)*_xlfn.IFNA(INDEX(EA$10:EA$23,MATCH($DA700,$DX$10:$DX$23,0)),0))</f>
        <v>4108.3597166</v>
      </c>
      <c r="DQ700" s="921">
        <f>IF(dd_PartSA_2_lines = "Yes",0,_xlfn.IFNA(INDEX('Resource use and costs'!$EA$12:$EA$25,MATCH(DB700,'Resource use and costs'!$DS$12:$DS$25,0)),0)*_xlfn.IFNA(INDEX(EC$10:EC$23,MATCH($DB700,$DX$10:$DX$23,0)),0))</f>
        <v>230.68099999999998</v>
      </c>
      <c r="DR700" s="921">
        <f t="shared" si="316"/>
        <v>4816.5121451714285</v>
      </c>
      <c r="DS700" s="1004">
        <f ca="1">SUMIFS('Safety parameters'!$DM$6:$DM$18,'Safety parameters'!$DK$6:$DK$18,CZ700,'Safety parameters'!$DL$6:$DL$18,1)+IF(dd_PartSA_2_lines = "Yes",0,SUMIFS('Safety parameters'!$DM$6:$DM$18,'Safety parameters'!$DK$6:$DK$18,DA700,'Safety parameters'!$DL$6:$DL$18,2)+SUMIFS('Safety parameters'!$DM$6:$DM$18,'Safety parameters'!$DK$6:$DK$18,DB700,'Safety parameters'!$DL$6:$DL$18,2))</f>
        <v>1795.3624225558742</v>
      </c>
      <c r="DT700" s="910">
        <f ca="1">SUMIFS('Safety parameters'!$DO$6:$DO$18,'Safety parameters'!$DK$6:$DK$18,CZ700,'Safety parameters'!$DL$6:$DL$18,1)+IF(dd_PartSA_2_lines = "Yes",0,SUMIFS('Safety parameters'!$DO$6:$DO$18,'Safety parameters'!$DK$6:$DK$18,DA700,'Safety parameters'!$DL$6:$DL$18,2)+SUMIFS('Safety parameters'!$DO$6:$DO$18,'Safety parameters'!$DK$6:$DK$18,DB700,'Safety parameters'!$DL$6:$DL$18,2))</f>
        <v>-1.6339008205166216E-2</v>
      </c>
    </row>
    <row r="701" spans="89:124" x14ac:dyDescent="0.2">
      <c r="CU701" s="1123">
        <f>MATCH(CZ708,'Resource use and costs'!$BA$11:$BA$53,0)</f>
        <v>1</v>
      </c>
      <c r="CV701" s="1223"/>
      <c r="CW701" s="1241">
        <f t="shared" si="311"/>
        <v>1</v>
      </c>
      <c r="CX701" s="899" t="s">
        <v>794</v>
      </c>
      <c r="CY701" s="899" t="s">
        <v>117</v>
      </c>
      <c r="CZ701" s="899" t="s">
        <v>119</v>
      </c>
      <c r="DA701" s="899" t="s">
        <v>579</v>
      </c>
      <c r="DB701" s="899" t="s">
        <v>765</v>
      </c>
      <c r="DC701" s="899" cm="1">
        <f t="array" aca="1" ref="DC701" ca="1">_xlfn.IFNA(OFFSET($I$49,MATCH(CY701,$I$50:$I$63,0),MATCH(CZ701,TRANSPOSE($J$49:$W$49),0)),0)</f>
        <v>0</v>
      </c>
      <c r="DD701" s="899" cm="1">
        <f t="array" aca="1" ref="DD701" ca="1">_xlfn.IFNA(OFFSET($Y$49,MATCH($CZ701,$Y$50:$Y$63,0),MATCH($DA701,TRANSPOSE($Z$49:$AM$49),0)),0)</f>
        <v>0</v>
      </c>
      <c r="DE701" s="899" cm="1">
        <f t="array" aca="1" ref="DE701" ca="1">_xlfn.IFNA(OFFSET($AO$49,MATCH($DA701,$AO$50:$AO$63,0),MATCH($DB701,TRANSPOSE($AP$49:$BC$49),0)),0)</f>
        <v>0.43140000000000001</v>
      </c>
      <c r="DF701" s="881">
        <f t="shared" ca="1" si="313"/>
        <v>0</v>
      </c>
      <c r="DG701" s="910">
        <f t="shared" ca="1" si="310"/>
        <v>0.99547352429578406</v>
      </c>
      <c r="DH701" s="881">
        <f t="shared" ca="1" si="314"/>
        <v>0</v>
      </c>
      <c r="DI701" s="1460">
        <f t="shared" ca="1" si="317"/>
        <v>0</v>
      </c>
      <c r="DJ701" s="909">
        <f>_xlfn.IFNA(INDEX('Resource use and costs'!$CQ$11:$CQ$53,MATCH($CZ701,'Resource use and costs'!$BA$11:$BA$53,0)),0)*_xlfn.IFNA(INDEX(DY$10:DY$23,MATCH($CZ701,$DX$10:$DX$23,0)),0)</f>
        <v>944.50399999999979</v>
      </c>
      <c r="DK701" s="909">
        <f>IF(dd_PartSA_2_lines = "Yes",0,_xlfn.IFNA(INDEX('Resource use and costs'!$CR$11:$CR$53,MATCH(DA701,'Resource use and costs'!$BA$11:$BA$53,0)),0)*_xlfn.IFNA(INDEX(EA$10:EA$23,MATCH($DA701,$DX$10:$DX$23,0)),0))</f>
        <v>26054.50921</v>
      </c>
      <c r="DL701" s="909">
        <f>IF(dd_PartSA_2_lines = "Yes",0,_xlfn.IFNA(INDEX('Resource use and costs'!$CS$11:$CS$53,MATCH(DB701,'Resource use and costs'!$BA$11:$BA$53,0)),0)*_xlfn.IFNA(INDEX(EC$10:EC$23,MATCH($DB701,$DX$10:$DX$23,0)),0))</f>
        <v>0</v>
      </c>
      <c r="DM701" s="909">
        <f t="shared" si="315"/>
        <v>26999.013210000001</v>
      </c>
      <c r="DN701" s="909">
        <f>SUM(_xlfn.IFNA(INDEX('Resource use and costs'!$DU$12:$DU$25,MATCH(CZ701,'Resource use and costs'!$DS$12:$DS$25,0)),0),_xlfn.IFNA(INDEX('Resource use and costs'!$DU$12:$DU$25,MATCH(DA701,'Resource use and costs'!$DS$12:$DS$25,0)),0),_xlfn.IFNA(INDEX('Resource use and costs'!$DU$12:$DU$25,MATCH(DB701,'Resource use and costs'!$DS$12:$DS$25,0)),0))</f>
        <v>197.25</v>
      </c>
      <c r="DO701" s="921">
        <f>_xlfn.IFNA(INDEX('Resource use and costs'!$DY$12:$DY$25,MATCH(CZ701,'Resource use and costs'!$DS$12:$DS$25,0)),0)*_xlfn.IFNA(INDEX(DY$10:DY$23,MATCH($CZ701,$DX$10:$DX$23,0)),0)</f>
        <v>82.971428571428561</v>
      </c>
      <c r="DP701" s="921">
        <f>IF(dd_PartSA_2_lines = "Yes",0,_xlfn.IFNA(INDEX('Resource use and costs'!$DZ$12:$DZ$25,MATCH(DA701,'Resource use and costs'!$DS$12:$DS$25,0)),0)*_xlfn.IFNA(INDEX(EA$10:EA$23,MATCH($DA701,$DX$10:$DX$23,0)),0))</f>
        <v>4108.3597166</v>
      </c>
      <c r="DQ701" s="921">
        <f>IF(dd_PartSA_2_lines = "Yes",0,_xlfn.IFNA(INDEX('Resource use and costs'!$EA$12:$EA$25,MATCH(DB701,'Resource use and costs'!$DS$12:$DS$25,0)),0)*_xlfn.IFNA(INDEX(EC$10:EC$23,MATCH($DB701,$DX$10:$DX$23,0)),0))</f>
        <v>0</v>
      </c>
      <c r="DR701" s="921">
        <f t="shared" si="316"/>
        <v>4388.5811451714289</v>
      </c>
      <c r="DS701" s="1004">
        <f ca="1">SUMIFS('Safety parameters'!$DM$6:$DM$18,'Safety parameters'!$DK$6:$DK$18,CZ701,'Safety parameters'!$DL$6:$DL$18,1)+IF(dd_PartSA_2_lines = "Yes",0,SUMIFS('Safety parameters'!$DM$6:$DM$18,'Safety parameters'!$DK$6:$DK$18,DA701,'Safety parameters'!$DL$6:$DL$18,2)+SUMIFS('Safety parameters'!$DM$6:$DM$18,'Safety parameters'!$DK$6:$DK$18,DB701,'Safety parameters'!$DL$6:$DL$18,2))</f>
        <v>161.1337489904144</v>
      </c>
      <c r="DT701" s="910">
        <f ca="1">SUMIFS('Safety parameters'!$DO$6:$DO$18,'Safety parameters'!$DK$6:$DK$18,CZ701,'Safety parameters'!$DL$6:$DL$18,1)+IF(dd_PartSA_2_lines = "Yes",0,SUMIFS('Safety parameters'!$DO$6:$DO$18,'Safety parameters'!$DK$6:$DK$18,DA701,'Safety parameters'!$DL$6:$DL$18,2)+SUMIFS('Safety parameters'!$DO$6:$DO$18,'Safety parameters'!$DK$6:$DK$18,DB701,'Safety parameters'!$DL$6:$DL$18,2))</f>
        <v>-1.5970841976847864E-3</v>
      </c>
    </row>
    <row r="702" spans="89:124" x14ac:dyDescent="0.2">
      <c r="CU702" s="1123">
        <f>MATCH(CZ709,'Resource use and costs'!$BA$11:$BA$53,0)</f>
        <v>1</v>
      </c>
      <c r="CV702" s="1223"/>
      <c r="CW702" s="1241">
        <f t="shared" si="311"/>
        <v>1</v>
      </c>
      <c r="CX702" s="899" t="s">
        <v>794</v>
      </c>
      <c r="CY702" s="899" t="s">
        <v>117</v>
      </c>
      <c r="CZ702" s="899" t="s">
        <v>333</v>
      </c>
      <c r="DA702" s="899" t="s">
        <v>327</v>
      </c>
      <c r="DB702" s="899" t="s">
        <v>765</v>
      </c>
      <c r="DC702" s="899" cm="1">
        <f t="array" aca="1" ref="DC702" ca="1">_xlfn.IFNA(OFFSET($I$49,MATCH(CY702,$I$50:$I$63,0),MATCH(CZ702,TRANSPOSE($J$49:$W$49),0)),0)</f>
        <v>3.700000000000001E-3</v>
      </c>
      <c r="DD702" s="899" cm="1">
        <f t="array" aca="1" ref="DD702" ca="1">_xlfn.IFNA(OFFSET($Y$49,MATCH($CZ702,$Y$50:$Y$63,0),MATCH($DA702,TRANSPOSE($Z$49:$AM$49),0)),0)</f>
        <v>0</v>
      </c>
      <c r="DE702" s="899" cm="1">
        <f t="array" aca="1" ref="DE702" ca="1">_xlfn.IFNA(OFFSET($AO$49,MATCH($DA702,$AO$50:$AO$63,0),MATCH($DB702,TRANSPOSE($AP$49:$BC$49),0)),0)</f>
        <v>0.43140000000000001</v>
      </c>
      <c r="DF702" s="881">
        <f t="shared" ca="1" si="313"/>
        <v>0</v>
      </c>
      <c r="DG702" s="910">
        <f t="shared" ca="1" si="310"/>
        <v>0.99547352429578406</v>
      </c>
      <c r="DH702" s="881">
        <f t="shared" ca="1" si="314"/>
        <v>0</v>
      </c>
      <c r="DI702" s="1460">
        <f t="shared" ca="1" si="317"/>
        <v>0</v>
      </c>
      <c r="DJ702" s="909">
        <f>_xlfn.IFNA(INDEX('Resource use and costs'!$CQ$11:$CQ$53,MATCH($CZ702,'Resource use and costs'!$BA$11:$BA$53,0)),0)*_xlfn.IFNA(INDEX(DY$10:DY$23,MATCH($CZ702,$DX$10:$DX$23,0)),0)</f>
        <v>54336.641519999976</v>
      </c>
      <c r="DK702" s="909">
        <f>IF(dd_PartSA_2_lines = "Yes",0,_xlfn.IFNA(INDEX('Resource use and costs'!$CR$11:$CR$53,MATCH(DA702,'Resource use and costs'!$BA$11:$BA$53,0)),0)*_xlfn.IFNA(INDEX(EA$10:EA$23,MATCH($DA702,$DX$10:$DX$23,0)),0))</f>
        <v>21421.066008214286</v>
      </c>
      <c r="DL702" s="909">
        <f>IF(dd_PartSA_2_lines = "Yes",0,_xlfn.IFNA(INDEX('Resource use and costs'!$CS$11:$CS$53,MATCH(DB702,'Resource use and costs'!$BA$11:$BA$53,0)),0)*_xlfn.IFNA(INDEX(EC$10:EC$23,MATCH($DB702,$DX$10:$DX$23,0)),0))</f>
        <v>0</v>
      </c>
      <c r="DM702" s="909">
        <f t="shared" si="315"/>
        <v>75757.707528214261</v>
      </c>
      <c r="DN702" s="909">
        <f>SUM(_xlfn.IFNA(INDEX('Resource use and costs'!$DU$12:$DU$25,MATCH(CZ702,'Resource use and costs'!$DS$12:$DS$25,0)),0),_xlfn.IFNA(INDEX('Resource use and costs'!$DU$12:$DU$25,MATCH(DA702,'Resource use and costs'!$DS$12:$DS$25,0)),0),_xlfn.IFNA(INDEX('Resource use and costs'!$DU$12:$DU$25,MATCH(DB702,'Resource use and costs'!$DS$12:$DS$25,0)),0))</f>
        <v>394.5</v>
      </c>
      <c r="DO702" s="921">
        <f>_xlfn.IFNA(INDEX('Resource use and costs'!$DY$12:$DY$25,MATCH(CZ702,'Resource use and costs'!$DS$12:$DS$25,0)),0)*_xlfn.IFNA(INDEX(DY$10:DY$23,MATCH($CZ702,$DX$10:$DX$23,0)),0)</f>
        <v>810.54285714285697</v>
      </c>
      <c r="DP702" s="921">
        <f>IF(dd_PartSA_2_lines = "Yes",0,_xlfn.IFNA(INDEX('Resource use and costs'!$DZ$12:$DZ$25,MATCH(DA702,'Resource use and costs'!$DS$12:$DS$25,0)),0)*_xlfn.IFNA(INDEX(EA$10:EA$23,MATCH($DA702,$DX$10:$DX$23,0)),0))</f>
        <v>267.99172714285714</v>
      </c>
      <c r="DQ702" s="921">
        <f>IF(dd_PartSA_2_lines = "Yes",0,_xlfn.IFNA(INDEX('Resource use and costs'!$EA$12:$EA$25,MATCH(DB702,'Resource use and costs'!$DS$12:$DS$25,0)),0)*_xlfn.IFNA(INDEX(EC$10:EC$23,MATCH($DB702,$DX$10:$DX$23,0)),0))</f>
        <v>0</v>
      </c>
      <c r="DR702" s="921">
        <f t="shared" si="316"/>
        <v>1473.0345842857141</v>
      </c>
      <c r="DS702" s="1004">
        <f ca="1">SUMIFS('Safety parameters'!$DM$6:$DM$18,'Safety parameters'!$DK$6:$DK$18,CZ702,'Safety parameters'!$DL$6:$DL$18,1)+IF(dd_PartSA_2_lines = "Yes",0,SUMIFS('Safety parameters'!$DM$6:$DM$18,'Safety parameters'!$DK$6:$DK$18,DA702,'Safety parameters'!$DL$6:$DL$18,2)+SUMIFS('Safety parameters'!$DM$6:$DM$18,'Safety parameters'!$DK$6:$DK$18,DB702,'Safety parameters'!$DL$6:$DL$18,2))</f>
        <v>1634.2286735654598</v>
      </c>
      <c r="DT702" s="910">
        <f ca="1">SUMIFS('Safety parameters'!$DO$6:$DO$18,'Safety parameters'!$DK$6:$DK$18,CZ702,'Safety parameters'!$DL$6:$DL$18,1)+IF(dd_PartSA_2_lines = "Yes",0,SUMIFS('Safety parameters'!$DO$6:$DO$18,'Safety parameters'!$DK$6:$DK$18,DA702,'Safety parameters'!$DL$6:$DL$18,2)+SUMIFS('Safety parameters'!$DO$6:$DO$18,'Safety parameters'!$DK$6:$DK$18,DB702,'Safety parameters'!$DL$6:$DL$18,2))</f>
        <v>-1.4741924007481429E-2</v>
      </c>
    </row>
    <row r="703" spans="89:124" x14ac:dyDescent="0.2">
      <c r="CU703" s="1123">
        <f>MATCH(CZ710,'Resource use and costs'!$BA$11:$BA$53,0)</f>
        <v>1</v>
      </c>
      <c r="CV703" s="1223"/>
      <c r="CW703" s="1241">
        <f t="shared" si="311"/>
        <v>1</v>
      </c>
      <c r="CX703" s="899" t="s">
        <v>794</v>
      </c>
      <c r="CY703" s="899" t="s">
        <v>117</v>
      </c>
      <c r="CZ703" s="899" t="s">
        <v>333</v>
      </c>
      <c r="DA703" s="899" t="s">
        <v>765</v>
      </c>
      <c r="DB703" s="899"/>
      <c r="DC703" s="899" cm="1">
        <f t="array" aca="1" ref="DC703" ca="1">_xlfn.IFNA(OFFSET($I$49,MATCH(CY703,$I$50:$I$63,0),MATCH(CZ703,TRANSPOSE($J$49:$W$49),0)),0)</f>
        <v>3.700000000000001E-3</v>
      </c>
      <c r="DD703" s="899" cm="1">
        <f t="array" aca="1" ref="DD703" ca="1">_xlfn.IFNA(OFFSET($Y$49,MATCH($CZ703,$Y$50:$Y$63,0),MATCH($DA703,TRANSPOSE($Z$49:$AM$49),0)),0)</f>
        <v>0.34300000000000003</v>
      </c>
      <c r="DE703" s="899" cm="1">
        <f t="array" aca="1" ref="DE703" ca="1">_xlfn.IFNA(OFFSET($AO$49,MATCH($DA703,$AO$50:$AO$63,0),MATCH($DB703,TRANSPOSE($AP$49:$BC$49),0)),0)</f>
        <v>0</v>
      </c>
      <c r="DF703" s="881">
        <f t="shared" ca="1" si="313"/>
        <v>1.2691000000000004E-3</v>
      </c>
      <c r="DG703" s="910">
        <f t="shared" ca="1" si="310"/>
        <v>0.99547352429578406</v>
      </c>
      <c r="DH703" s="881">
        <f t="shared" ca="1" si="314"/>
        <v>1.2633554496837801E-3</v>
      </c>
      <c r="DI703" s="1460">
        <f t="shared" ca="1" si="317"/>
        <v>0.4118538765969123</v>
      </c>
      <c r="DJ703" s="909">
        <f>_xlfn.IFNA(INDEX('Resource use and costs'!$CQ$11:$CQ$53,MATCH($CZ703,'Resource use and costs'!$BA$11:$BA$53,0)),0)*_xlfn.IFNA(INDEX(DY$10:DY$23,MATCH($CZ703,$DX$10:$DX$23,0)),0)</f>
        <v>54336.641519999976</v>
      </c>
      <c r="DK703" s="909">
        <f>IF(dd_PartSA_2_lines = "Yes",0,_xlfn.IFNA(INDEX('Resource use and costs'!$CR$11:$CR$53,MATCH(DA703,'Resource use and costs'!$BA$11:$BA$53,0)),0)*_xlfn.IFNA(INDEX(EA$10:EA$23,MATCH($DA703,$DX$10:$DX$23,0)),0))</f>
        <v>0</v>
      </c>
      <c r="DL703" s="909">
        <f>IF(dd_PartSA_2_lines = "Yes",0,_xlfn.IFNA(INDEX('Resource use and costs'!$CS$11:$CS$53,MATCH(DB703,'Resource use and costs'!$BA$11:$BA$53,0)),0)*_xlfn.IFNA(INDEX(EC$10:EC$23,MATCH($DB703,$DX$10:$DX$23,0)),0))</f>
        <v>0</v>
      </c>
      <c r="DM703" s="909">
        <f t="shared" si="315"/>
        <v>54336.641519999976</v>
      </c>
      <c r="DN703" s="909">
        <f>SUM(_xlfn.IFNA(INDEX('Resource use and costs'!$DU$12:$DU$25,MATCH(CZ703,'Resource use and costs'!$DS$12:$DS$25,0)),0),_xlfn.IFNA(INDEX('Resource use and costs'!$DU$12:$DU$25,MATCH(DA703,'Resource use and costs'!$DS$12:$DS$25,0)),0),_xlfn.IFNA(INDEX('Resource use and costs'!$DU$12:$DU$25,MATCH(DB703,'Resource use and costs'!$DS$12:$DS$25,0)),0))</f>
        <v>197.25</v>
      </c>
      <c r="DO703" s="921">
        <f>_xlfn.IFNA(INDEX('Resource use and costs'!$DY$12:$DY$25,MATCH(CZ703,'Resource use and costs'!$DS$12:$DS$25,0)),0)*_xlfn.IFNA(INDEX(DY$10:DY$23,MATCH($CZ703,$DX$10:$DX$23,0)),0)</f>
        <v>810.54285714285697</v>
      </c>
      <c r="DP703" s="921">
        <f>IF(dd_PartSA_2_lines = "Yes",0,_xlfn.IFNA(INDEX('Resource use and costs'!$DZ$12:$DZ$25,MATCH(DA703,'Resource use and costs'!$DS$12:$DS$25,0)),0)*_xlfn.IFNA(INDEX(EA$10:EA$23,MATCH($DA703,$DX$10:$DX$23,0)),0))</f>
        <v>0</v>
      </c>
      <c r="DQ703" s="921">
        <f>IF(dd_PartSA_2_lines = "Yes",0,_xlfn.IFNA(INDEX('Resource use and costs'!$EA$12:$EA$25,MATCH(DB703,'Resource use and costs'!$DS$12:$DS$25,0)),0)*_xlfn.IFNA(INDEX(EC$10:EC$23,MATCH($DB703,$DX$10:$DX$23,0)),0))</f>
        <v>0</v>
      </c>
      <c r="DR703" s="921">
        <f t="shared" si="316"/>
        <v>1007.792857142857</v>
      </c>
      <c r="DS703" s="1004">
        <f>SUMIFS('Safety parameters'!$DM$6:$DM$18,'Safety parameters'!$DK$6:$DK$18,CZ703,'Safety parameters'!$DL$6:$DL$18,1)+IF(dd_PartSA_2_lines = "Yes",0,SUMIFS('Safety parameters'!$DM$6:$DM$18,'Safety parameters'!$DK$6:$DK$18,DA703,'Safety parameters'!$DL$6:$DL$18,2)+SUMIFS('Safety parameters'!$DM$6:$DM$18,'Safety parameters'!$DK$6:$DK$18,DB703,'Safety parameters'!$DL$6:$DL$18,2))</f>
        <v>0</v>
      </c>
      <c r="DT703" s="910">
        <f>SUMIFS('Safety parameters'!$DO$6:$DO$18,'Safety parameters'!$DK$6:$DK$18,CZ703,'Safety parameters'!$DL$6:$DL$18,1)+IF(dd_PartSA_2_lines = "Yes",0,SUMIFS('Safety parameters'!$DO$6:$DO$18,'Safety parameters'!$DK$6:$DK$18,DA703,'Safety parameters'!$DL$6:$DL$18,2)+SUMIFS('Safety parameters'!$DO$6:$DO$18,'Safety parameters'!$DK$6:$DK$18,DB703,'Safety parameters'!$DL$6:$DL$18,2))</f>
        <v>0</v>
      </c>
    </row>
    <row r="704" spans="89:124" x14ac:dyDescent="0.2">
      <c r="CU704" s="1123">
        <f>MATCH(CZ711,'Resource use and costs'!$BA$11:$BA$53,0)</f>
        <v>1</v>
      </c>
      <c r="CV704" s="1223"/>
      <c r="CW704" s="1241">
        <f t="shared" si="311"/>
        <v>1</v>
      </c>
      <c r="CX704" s="899" t="s">
        <v>794</v>
      </c>
      <c r="CY704" s="899" t="s">
        <v>117</v>
      </c>
      <c r="CZ704" s="899" t="s">
        <v>333</v>
      </c>
      <c r="DA704" s="899" t="s">
        <v>118</v>
      </c>
      <c r="DB704" s="899" t="s">
        <v>327</v>
      </c>
      <c r="DC704" s="899" cm="1">
        <f t="array" aca="1" ref="DC704" ca="1">_xlfn.IFNA(OFFSET($I$49,MATCH(CY704,$I$50:$I$63,0),MATCH(CZ704,TRANSPOSE($J$49:$W$49),0)),0)</f>
        <v>3.700000000000001E-3</v>
      </c>
      <c r="DD704" s="899" cm="1">
        <f t="array" aca="1" ref="DD704" ca="1">_xlfn.IFNA(OFFSET($Y$49,MATCH($CZ704,$Y$50:$Y$63,0),MATCH($DA704,TRANSPOSE($Z$49:$AM$49),0)),0)</f>
        <v>0.49270000000000003</v>
      </c>
      <c r="DE704" s="899" cm="1">
        <f t="array" aca="1" ref="DE704" ca="1">_xlfn.IFNA(OFFSET($AO$49,MATCH($DA704,$AO$50:$AO$63,0),MATCH($DB704,TRANSPOSE($AP$49:$BC$49),0)),0)</f>
        <v>0.38769999999999999</v>
      </c>
      <c r="DF704" s="881">
        <f t="shared" ca="1" si="313"/>
        <v>7.0677322300000025E-4</v>
      </c>
      <c r="DG704" s="910">
        <f t="shared" ca="1" si="310"/>
        <v>0.99547352429578406</v>
      </c>
      <c r="DH704" s="881">
        <f t="shared" ca="1" si="314"/>
        <v>7.0357403117770039E-4</v>
      </c>
      <c r="DI704" s="1460">
        <f t="shared" ca="1" si="317"/>
        <v>0.22936513416393034</v>
      </c>
      <c r="DJ704" s="909">
        <f>_xlfn.IFNA(INDEX('Resource use and costs'!$CQ$11:$CQ$53,MATCH($CZ704,'Resource use and costs'!$BA$11:$BA$53,0)),0)*_xlfn.IFNA(INDEX(DY$10:DY$23,MATCH($CZ704,$DX$10:$DX$23,0)),0)</f>
        <v>54336.641519999976</v>
      </c>
      <c r="DK704" s="909">
        <f>IF(dd_PartSA_2_lines = "Yes",0,_xlfn.IFNA(INDEX('Resource use and costs'!$CR$11:$CR$53,MATCH(DA704,'Resource use and costs'!$BA$11:$BA$53,0)),0)*_xlfn.IFNA(INDEX(EA$10:EA$23,MATCH($DA704,$DX$10:$DX$23,0)),0))</f>
        <v>50308.075122000002</v>
      </c>
      <c r="DL704" s="909">
        <f>IF(dd_PartSA_2_lines = "Yes",0,_xlfn.IFNA(INDEX('Resource use and costs'!$CS$11:$CS$53,MATCH(DB704,'Resource use and costs'!$BA$11:$BA$53,0)),0)*_xlfn.IFNA(INDEX(EC$10:EC$23,MATCH($DB704,$DX$10:$DX$23,0)),0))</f>
        <v>18438.751749999999</v>
      </c>
      <c r="DM704" s="909">
        <f t="shared" si="315"/>
        <v>123083.46839199998</v>
      </c>
      <c r="DN704" s="909">
        <f>SUM(_xlfn.IFNA(INDEX('Resource use and costs'!$DU$12:$DU$25,MATCH(CZ704,'Resource use and costs'!$DS$12:$DS$25,0)),0),_xlfn.IFNA(INDEX('Resource use and costs'!$DU$12:$DU$25,MATCH(DA704,'Resource use and costs'!$DS$12:$DS$25,0)),0),_xlfn.IFNA(INDEX('Resource use and costs'!$DU$12:$DU$25,MATCH(DB704,'Resource use and costs'!$DS$12:$DS$25,0)),0))</f>
        <v>591.75</v>
      </c>
      <c r="DO704" s="921">
        <f>_xlfn.IFNA(INDEX('Resource use and costs'!$DY$12:$DY$25,MATCH(CZ704,'Resource use and costs'!$DS$12:$DS$25,0)),0)*_xlfn.IFNA(INDEX(DY$10:DY$23,MATCH($CZ704,$DX$10:$DX$23,0)),0)</f>
        <v>810.54285714285697</v>
      </c>
      <c r="DP704" s="921">
        <f>IF(dd_PartSA_2_lines = "Yes",0,_xlfn.IFNA(INDEX('Resource use and costs'!$DZ$12:$DZ$25,MATCH(DA704,'Resource use and costs'!$DS$12:$DS$25,0)),0)*_xlfn.IFNA(INDEX(EA$10:EA$23,MATCH($DA704,$DX$10:$DX$23,0)),0))</f>
        <v>461.1445457142857</v>
      </c>
      <c r="DQ704" s="921">
        <f>IF(dd_PartSA_2_lines = "Yes",0,_xlfn.IFNA(INDEX('Resource use and costs'!$EA$12:$EA$25,MATCH(DB704,'Resource use and costs'!$DS$12:$DS$25,0)),0)*_xlfn.IFNA(INDEX(EC$10:EC$23,MATCH($DB704,$DX$10:$DX$23,0)),0))</f>
        <v>230.68099999999998</v>
      </c>
      <c r="DR704" s="921">
        <f t="shared" si="316"/>
        <v>2094.1184028571424</v>
      </c>
      <c r="DS704" s="1004">
        <f ca="1">SUMIFS('Safety parameters'!$DM$6:$DM$18,'Safety parameters'!$DK$6:$DK$18,CZ704,'Safety parameters'!$DL$6:$DL$18,1)+IF(dd_PartSA_2_lines = "Yes",0,SUMIFS('Safety parameters'!$DM$6:$DM$18,'Safety parameters'!$DK$6:$DK$18,DA704,'Safety parameters'!$DL$6:$DL$18,2)+SUMIFS('Safety parameters'!$DM$6:$DM$18,'Safety parameters'!$DK$6:$DK$18,DB704,'Safety parameters'!$DL$6:$DL$18,2))</f>
        <v>2377.8779733688434</v>
      </c>
      <c r="DT704" s="910">
        <f ca="1">SUMIFS('Safety parameters'!$DO$6:$DO$18,'Safety parameters'!$DK$6:$DK$18,CZ704,'Safety parameters'!$DL$6:$DL$18,1)+IF(dd_PartSA_2_lines = "Yes",0,SUMIFS('Safety parameters'!$DO$6:$DO$18,'Safety parameters'!$DK$6:$DK$18,DA704,'Safety parameters'!$DL$6:$DL$18,2)+SUMIFS('Safety parameters'!$DO$6:$DO$18,'Safety parameters'!$DK$6:$DK$18,DB704,'Safety parameters'!$DL$6:$DL$18,2))</f>
        <v>-2.1764250363717368E-2</v>
      </c>
    </row>
    <row r="705" spans="99:124" x14ac:dyDescent="0.2">
      <c r="CU705" s="1123">
        <f>MATCH(CZ712,'Resource use and costs'!$BA$11:$BA$53,0)</f>
        <v>1</v>
      </c>
      <c r="CV705" s="1223"/>
      <c r="CW705" s="1241">
        <f t="shared" si="311"/>
        <v>1</v>
      </c>
      <c r="CX705" s="899" t="s">
        <v>794</v>
      </c>
      <c r="CY705" s="899" t="s">
        <v>117</v>
      </c>
      <c r="CZ705" s="899" t="s">
        <v>333</v>
      </c>
      <c r="DA705" s="899" t="s">
        <v>118</v>
      </c>
      <c r="DB705" s="899" t="s">
        <v>765</v>
      </c>
      <c r="DC705" s="899" cm="1">
        <f t="array" aca="1" ref="DC705" ca="1">_xlfn.IFNA(OFFSET($I$49,MATCH(CY705,$I$50:$I$63,0),MATCH(CZ705,TRANSPOSE($J$49:$W$49),0)),0)</f>
        <v>3.700000000000001E-3</v>
      </c>
      <c r="DD705" s="899" cm="1">
        <f t="array" aca="1" ref="DD705" ca="1">_xlfn.IFNA(OFFSET($Y$49,MATCH($CZ705,$Y$50:$Y$63,0),MATCH($DA705,TRANSPOSE($Z$49:$AM$49),0)),0)</f>
        <v>0.49270000000000003</v>
      </c>
      <c r="DE705" s="899" cm="1">
        <f t="array" aca="1" ref="DE705" ca="1">_xlfn.IFNA(OFFSET($AO$49,MATCH($DA705,$AO$50:$AO$63,0),MATCH($DB705,TRANSPOSE($AP$49:$BC$49),0)),0)</f>
        <v>0.43140000000000001</v>
      </c>
      <c r="DF705" s="881">
        <f t="shared" ca="1" si="313"/>
        <v>7.8643788600000033E-4</v>
      </c>
      <c r="DG705" s="910">
        <f t="shared" ca="1" si="310"/>
        <v>0.99547352429578406</v>
      </c>
      <c r="DH705" s="881">
        <f t="shared" ca="1" si="314"/>
        <v>7.8287809401614641E-4</v>
      </c>
      <c r="DI705" s="1460">
        <f t="shared" ca="1" si="317"/>
        <v>0.25521825864926373</v>
      </c>
      <c r="DJ705" s="909">
        <f>_xlfn.IFNA(INDEX('Resource use and costs'!$CQ$11:$CQ$53,MATCH($CZ705,'Resource use and costs'!$BA$11:$BA$53,0)),0)*_xlfn.IFNA(INDEX(DY$10:DY$23,MATCH($CZ705,$DX$10:$DX$23,0)),0)</f>
        <v>54336.641519999976</v>
      </c>
      <c r="DK705" s="909">
        <f>IF(dd_PartSA_2_lines = "Yes",0,_xlfn.IFNA(INDEX('Resource use and costs'!$CR$11:$CR$53,MATCH(DA705,'Resource use and costs'!$BA$11:$BA$53,0)),0)*_xlfn.IFNA(INDEX(EA$10:EA$23,MATCH($DA705,$DX$10:$DX$23,0)),0))</f>
        <v>50308.075122000002</v>
      </c>
      <c r="DL705" s="909">
        <f>IF(dd_PartSA_2_lines = "Yes",0,_xlfn.IFNA(INDEX('Resource use and costs'!$CS$11:$CS$53,MATCH(DB705,'Resource use and costs'!$BA$11:$BA$53,0)),0)*_xlfn.IFNA(INDEX(EC$10:EC$23,MATCH($DB705,$DX$10:$DX$23,0)),0))</f>
        <v>0</v>
      </c>
      <c r="DM705" s="909">
        <f t="shared" si="315"/>
        <v>104644.71664199998</v>
      </c>
      <c r="DN705" s="909">
        <f>SUM(_xlfn.IFNA(INDEX('Resource use and costs'!$DU$12:$DU$25,MATCH(CZ705,'Resource use and costs'!$DS$12:$DS$25,0)),0),_xlfn.IFNA(INDEX('Resource use and costs'!$DU$12:$DU$25,MATCH(DA705,'Resource use and costs'!$DS$12:$DS$25,0)),0),_xlfn.IFNA(INDEX('Resource use and costs'!$DU$12:$DU$25,MATCH(DB705,'Resource use and costs'!$DS$12:$DS$25,0)),0))</f>
        <v>394.5</v>
      </c>
      <c r="DO705" s="921">
        <f>_xlfn.IFNA(INDEX('Resource use and costs'!$DY$12:$DY$25,MATCH(CZ705,'Resource use and costs'!$DS$12:$DS$25,0)),0)*_xlfn.IFNA(INDEX(DY$10:DY$23,MATCH($CZ705,$DX$10:$DX$23,0)),0)</f>
        <v>810.54285714285697</v>
      </c>
      <c r="DP705" s="921">
        <f>IF(dd_PartSA_2_lines = "Yes",0,_xlfn.IFNA(INDEX('Resource use and costs'!$DZ$12:$DZ$25,MATCH(DA705,'Resource use and costs'!$DS$12:$DS$25,0)),0)*_xlfn.IFNA(INDEX(EA$10:EA$23,MATCH($DA705,$DX$10:$DX$23,0)),0))</f>
        <v>461.1445457142857</v>
      </c>
      <c r="DQ705" s="921">
        <f>IF(dd_PartSA_2_lines = "Yes",0,_xlfn.IFNA(INDEX('Resource use and costs'!$EA$12:$EA$25,MATCH(DB705,'Resource use and costs'!$DS$12:$DS$25,0)),0)*_xlfn.IFNA(INDEX(EC$10:EC$23,MATCH($DB705,$DX$10:$DX$23,0)),0))</f>
        <v>0</v>
      </c>
      <c r="DR705" s="921">
        <f t="shared" si="316"/>
        <v>1666.1874028571426</v>
      </c>
      <c r="DS705" s="1004">
        <f ca="1">SUMIFS('Safety parameters'!$DM$6:$DM$18,'Safety parameters'!$DK$6:$DK$18,CZ705,'Safety parameters'!$DL$6:$DL$18,1)+IF(dd_PartSA_2_lines = "Yes",0,SUMIFS('Safety parameters'!$DM$6:$DM$18,'Safety parameters'!$DK$6:$DK$18,DA705,'Safety parameters'!$DL$6:$DL$18,2)+SUMIFS('Safety parameters'!$DM$6:$DM$18,'Safety parameters'!$DK$6:$DK$18,DB705,'Safety parameters'!$DL$6:$DL$18,2))</f>
        <v>743.64929980338343</v>
      </c>
      <c r="DT705" s="910">
        <f ca="1">SUMIFS('Safety parameters'!$DO$6:$DO$18,'Safety parameters'!$DK$6:$DK$18,CZ705,'Safety parameters'!$DL$6:$DL$18,1)+IF(dd_PartSA_2_lines = "Yes",0,SUMIFS('Safety parameters'!$DO$6:$DO$18,'Safety parameters'!$DK$6:$DK$18,DA705,'Safety parameters'!$DL$6:$DL$18,2)+SUMIFS('Safety parameters'!$DO$6:$DO$18,'Safety parameters'!$DK$6:$DK$18,DB705,'Safety parameters'!$DL$6:$DL$18,2))</f>
        <v>-7.0223263562359372E-3</v>
      </c>
    </row>
    <row r="706" spans="99:124" x14ac:dyDescent="0.2">
      <c r="CU706" s="1123">
        <f>MATCH(CZ713,'Resource use and costs'!$BA$11:$BA$53,0)</f>
        <v>1</v>
      </c>
      <c r="CV706" s="1223"/>
      <c r="CW706" s="1241">
        <f t="shared" si="311"/>
        <v>1</v>
      </c>
      <c r="CX706" s="899" t="s">
        <v>794</v>
      </c>
      <c r="CY706" s="899" t="s">
        <v>117</v>
      </c>
      <c r="CZ706" s="899" t="s">
        <v>333</v>
      </c>
      <c r="DA706" s="899" t="s">
        <v>579</v>
      </c>
      <c r="DB706" s="899" t="s">
        <v>327</v>
      </c>
      <c r="DC706" s="899" cm="1">
        <f t="array" aca="1" ref="DC706" ca="1">_xlfn.IFNA(OFFSET($I$49,MATCH(CY706,$I$50:$I$63,0),MATCH(CZ706,TRANSPOSE($J$49:$W$49),0)),0)</f>
        <v>3.700000000000001E-3</v>
      </c>
      <c r="DD706" s="899" cm="1">
        <f t="array" aca="1" ref="DD706" ca="1">_xlfn.IFNA(OFFSET($Y$49,MATCH($CZ706,$Y$50:$Y$63,0),MATCH($DA706,TRANSPOSE($Z$49:$AM$49),0)),0)</f>
        <v>8.2100000000000006E-2</v>
      </c>
      <c r="DE706" s="899" cm="1">
        <f t="array" aca="1" ref="DE706" ca="1">_xlfn.IFNA(OFFSET($AO$49,MATCH($DA706,$AO$50:$AO$63,0),MATCH($DB706,TRANSPOSE($AP$49:$BC$49),0)),0)</f>
        <v>0.56859999999999999</v>
      </c>
      <c r="DF706" s="881">
        <f t="shared" ca="1" si="313"/>
        <v>1.7272362200000004E-4</v>
      </c>
      <c r="DG706" s="910">
        <f t="shared" ca="1" si="310"/>
        <v>0.99547352429578406</v>
      </c>
      <c r="DH706" s="881">
        <f t="shared" ca="1" si="314"/>
        <v>1.7194179272147285E-4</v>
      </c>
      <c r="DI706" s="1460">
        <f t="shared" ca="1" si="317"/>
        <v>5.605302442720015E-2</v>
      </c>
      <c r="DJ706" s="909">
        <f>_xlfn.IFNA(INDEX('Resource use and costs'!$CQ$11:$CQ$53,MATCH($CZ706,'Resource use and costs'!$BA$11:$BA$53,0)),0)*_xlfn.IFNA(INDEX(DY$10:DY$23,MATCH($CZ706,$DX$10:$DX$23,0)),0)</f>
        <v>54336.641519999976</v>
      </c>
      <c r="DK706" s="909">
        <f>IF(dd_PartSA_2_lines = "Yes",0,_xlfn.IFNA(INDEX('Resource use and costs'!$CR$11:$CR$53,MATCH(DA706,'Resource use and costs'!$BA$11:$BA$53,0)),0)*_xlfn.IFNA(INDEX(EA$10:EA$23,MATCH($DA706,$DX$10:$DX$23,0)),0))</f>
        <v>26054.50921</v>
      </c>
      <c r="DL706" s="909">
        <f>IF(dd_PartSA_2_lines = "Yes",0,_xlfn.IFNA(INDEX('Resource use and costs'!$CS$11:$CS$53,MATCH(DB706,'Resource use and costs'!$BA$11:$BA$53,0)),0)*_xlfn.IFNA(INDEX(EC$10:EC$23,MATCH($DB706,$DX$10:$DX$23,0)),0))</f>
        <v>18438.751749999999</v>
      </c>
      <c r="DM706" s="909">
        <f t="shared" si="315"/>
        <v>98829.902479999975</v>
      </c>
      <c r="DN706" s="909">
        <f>SUM(_xlfn.IFNA(INDEX('Resource use and costs'!$DU$12:$DU$25,MATCH(CZ706,'Resource use and costs'!$DS$12:$DS$25,0)),0),_xlfn.IFNA(INDEX('Resource use and costs'!$DU$12:$DU$25,MATCH(DA706,'Resource use and costs'!$DS$12:$DS$25,0)),0),_xlfn.IFNA(INDEX('Resource use and costs'!$DU$12:$DU$25,MATCH(DB706,'Resource use and costs'!$DS$12:$DS$25,0)),0))</f>
        <v>394.5</v>
      </c>
      <c r="DO706" s="921">
        <f>_xlfn.IFNA(INDEX('Resource use and costs'!$DY$12:$DY$25,MATCH(CZ706,'Resource use and costs'!$DS$12:$DS$25,0)),0)*_xlfn.IFNA(INDEX(DY$10:DY$23,MATCH($CZ706,$DX$10:$DX$23,0)),0)</f>
        <v>810.54285714285697</v>
      </c>
      <c r="DP706" s="921">
        <f>IF(dd_PartSA_2_lines = "Yes",0,_xlfn.IFNA(INDEX('Resource use and costs'!$DZ$12:$DZ$25,MATCH(DA706,'Resource use and costs'!$DS$12:$DS$25,0)),0)*_xlfn.IFNA(INDEX(EA$10:EA$23,MATCH($DA706,$DX$10:$DX$23,0)),0))</f>
        <v>4108.3597166</v>
      </c>
      <c r="DQ706" s="921">
        <f>IF(dd_PartSA_2_lines = "Yes",0,_xlfn.IFNA(INDEX('Resource use and costs'!$EA$12:$EA$25,MATCH(DB706,'Resource use and costs'!$DS$12:$DS$25,0)),0)*_xlfn.IFNA(INDEX(EC$10:EC$23,MATCH($DB706,$DX$10:$DX$23,0)),0))</f>
        <v>230.68099999999998</v>
      </c>
      <c r="DR706" s="921">
        <f t="shared" si="316"/>
        <v>5544.0835737428561</v>
      </c>
      <c r="DS706" s="1004">
        <f ca="1">SUMIFS('Safety parameters'!$DM$6:$DM$18,'Safety parameters'!$DK$6:$DK$18,CZ706,'Safety parameters'!$DL$6:$DL$18,1)+IF(dd_PartSA_2_lines = "Yes",0,SUMIFS('Safety parameters'!$DM$6:$DM$18,'Safety parameters'!$DK$6:$DK$18,DA706,'Safety parameters'!$DL$6:$DL$18,2)+SUMIFS('Safety parameters'!$DM$6:$DM$18,'Safety parameters'!$DK$6:$DK$18,DB706,'Safety parameters'!$DL$6:$DL$18,2))</f>
        <v>1795.3624225558742</v>
      </c>
      <c r="DT706" s="910">
        <f ca="1">SUMIFS('Safety parameters'!$DO$6:$DO$18,'Safety parameters'!$DK$6:$DK$18,CZ706,'Safety parameters'!$DL$6:$DL$18,1)+IF(dd_PartSA_2_lines = "Yes",0,SUMIFS('Safety parameters'!$DO$6:$DO$18,'Safety parameters'!$DK$6:$DK$18,DA706,'Safety parameters'!$DL$6:$DL$18,2)+SUMIFS('Safety parameters'!$DO$6:$DO$18,'Safety parameters'!$DK$6:$DK$18,DB706,'Safety parameters'!$DL$6:$DL$18,2))</f>
        <v>-1.6339008205166216E-2</v>
      </c>
    </row>
    <row r="707" spans="99:124" x14ac:dyDescent="0.2">
      <c r="CU707" s="1123">
        <f>MATCH(CZ714,'Resource use and costs'!$BA$11:$BA$53,0)</f>
        <v>1</v>
      </c>
      <c r="CV707" s="1223"/>
      <c r="CW707" s="1241">
        <f t="shared" si="311"/>
        <v>1</v>
      </c>
      <c r="CX707" s="899" t="s">
        <v>794</v>
      </c>
      <c r="CY707" s="899" t="s">
        <v>117</v>
      </c>
      <c r="CZ707" s="899" t="s">
        <v>333</v>
      </c>
      <c r="DA707" s="899" t="s">
        <v>579</v>
      </c>
      <c r="DB707" s="899" t="s">
        <v>765</v>
      </c>
      <c r="DC707" s="899" cm="1">
        <f t="array" aca="1" ref="DC707" ca="1">_xlfn.IFNA(OFFSET($I$49,MATCH(CY707,$I$50:$I$63,0),MATCH(CZ707,TRANSPOSE($J$49:$W$49),0)),0)</f>
        <v>3.700000000000001E-3</v>
      </c>
      <c r="DD707" s="899" cm="1">
        <f t="array" aca="1" ref="DD707" ca="1">_xlfn.IFNA(OFFSET($Y$49,MATCH($CZ707,$Y$50:$Y$63,0),MATCH($DA707,TRANSPOSE($Z$49:$AM$49),0)),0)</f>
        <v>8.2100000000000006E-2</v>
      </c>
      <c r="DE707" s="899" cm="1">
        <f t="array" aca="1" ref="DE707" ca="1">_xlfn.IFNA(OFFSET($AO$49,MATCH($DA707,$AO$50:$AO$63,0),MATCH($DB707,TRANSPOSE($AP$49:$BC$49),0)),0)</f>
        <v>0.43140000000000001</v>
      </c>
      <c r="DF707" s="881">
        <f t="shared" ca="1" si="313"/>
        <v>1.3104637800000004E-4</v>
      </c>
      <c r="DG707" s="910">
        <f t="shared" ca="1" si="310"/>
        <v>0.99547352429578406</v>
      </c>
      <c r="DH707" s="881">
        <f t="shared" ca="1" si="314"/>
        <v>1.3045319975385754E-4</v>
      </c>
      <c r="DI707" s="1460">
        <f t="shared" ca="1" si="317"/>
        <v>4.2527743119757558E-2</v>
      </c>
      <c r="DJ707" s="909">
        <f>_xlfn.IFNA(INDEX('Resource use and costs'!$CQ$11:$CQ$53,MATCH($CZ707,'Resource use and costs'!$BA$11:$BA$53,0)),0)*_xlfn.IFNA(INDEX(DY$10:DY$23,MATCH($CZ707,$DX$10:$DX$23,0)),0)</f>
        <v>54336.641519999976</v>
      </c>
      <c r="DK707" s="909">
        <f>IF(dd_PartSA_2_lines = "Yes",0,_xlfn.IFNA(INDEX('Resource use and costs'!$CR$11:$CR$53,MATCH(DA707,'Resource use and costs'!$BA$11:$BA$53,0)),0)*_xlfn.IFNA(INDEX(EA$10:EA$23,MATCH($DA707,$DX$10:$DX$23,0)),0))</f>
        <v>26054.50921</v>
      </c>
      <c r="DL707" s="909">
        <f>IF(dd_PartSA_2_lines = "Yes",0,_xlfn.IFNA(INDEX('Resource use and costs'!$CS$11:$CS$53,MATCH(DB707,'Resource use and costs'!$BA$11:$BA$53,0)),0)*_xlfn.IFNA(INDEX(EC$10:EC$23,MATCH($DB707,$DX$10:$DX$23,0)),0))</f>
        <v>0</v>
      </c>
      <c r="DM707" s="909">
        <f t="shared" si="315"/>
        <v>80391.150729999979</v>
      </c>
      <c r="DN707" s="909">
        <f>SUM(_xlfn.IFNA(INDEX('Resource use and costs'!$DU$12:$DU$25,MATCH(CZ707,'Resource use and costs'!$DS$12:$DS$25,0)),0),_xlfn.IFNA(INDEX('Resource use and costs'!$DU$12:$DU$25,MATCH(DA707,'Resource use and costs'!$DS$12:$DS$25,0)),0),_xlfn.IFNA(INDEX('Resource use and costs'!$DU$12:$DU$25,MATCH(DB707,'Resource use and costs'!$DS$12:$DS$25,0)),0))</f>
        <v>197.25</v>
      </c>
      <c r="DO707" s="921">
        <f>_xlfn.IFNA(INDEX('Resource use and costs'!$DY$12:$DY$25,MATCH(CZ707,'Resource use and costs'!$DS$12:$DS$25,0)),0)*_xlfn.IFNA(INDEX(DY$10:DY$23,MATCH($CZ707,$DX$10:$DX$23,0)),0)</f>
        <v>810.54285714285697</v>
      </c>
      <c r="DP707" s="921">
        <f>IF(dd_PartSA_2_lines = "Yes",0,_xlfn.IFNA(INDEX('Resource use and costs'!$DZ$12:$DZ$25,MATCH(DA707,'Resource use and costs'!$DS$12:$DS$25,0)),0)*_xlfn.IFNA(INDEX(EA$10:EA$23,MATCH($DA707,$DX$10:$DX$23,0)),0))</f>
        <v>4108.3597166</v>
      </c>
      <c r="DQ707" s="921">
        <f>IF(dd_PartSA_2_lines = "Yes",0,_xlfn.IFNA(INDEX('Resource use and costs'!$EA$12:$EA$25,MATCH(DB707,'Resource use and costs'!$DS$12:$DS$25,0)),0)*_xlfn.IFNA(INDEX(EC$10:EC$23,MATCH($DB707,$DX$10:$DX$23,0)),0))</f>
        <v>0</v>
      </c>
      <c r="DR707" s="921">
        <f t="shared" si="316"/>
        <v>5116.1525737428565</v>
      </c>
      <c r="DS707" s="1004">
        <f ca="1">SUMIFS('Safety parameters'!$DM$6:$DM$18,'Safety parameters'!$DK$6:$DK$18,CZ707,'Safety parameters'!$DL$6:$DL$18,1)+IF(dd_PartSA_2_lines = "Yes",0,SUMIFS('Safety parameters'!$DM$6:$DM$18,'Safety parameters'!$DK$6:$DK$18,DA707,'Safety parameters'!$DL$6:$DL$18,2)+SUMIFS('Safety parameters'!$DM$6:$DM$18,'Safety parameters'!$DK$6:$DK$18,DB707,'Safety parameters'!$DL$6:$DL$18,2))</f>
        <v>161.1337489904144</v>
      </c>
      <c r="DT707" s="910">
        <f ca="1">SUMIFS('Safety parameters'!$DO$6:$DO$18,'Safety parameters'!$DK$6:$DK$18,CZ707,'Safety parameters'!$DL$6:$DL$18,1)+IF(dd_PartSA_2_lines = "Yes",0,SUMIFS('Safety parameters'!$DO$6:$DO$18,'Safety parameters'!$DK$6:$DK$18,DA707,'Safety parameters'!$DL$6:$DL$18,2)+SUMIFS('Safety parameters'!$DO$6:$DO$18,'Safety parameters'!$DK$6:$DK$18,DB707,'Safety parameters'!$DL$6:$DL$18,2))</f>
        <v>-1.5970841976847864E-3</v>
      </c>
    </row>
    <row r="708" spans="99:124" x14ac:dyDescent="0.2">
      <c r="CU708" s="1123">
        <f>MATCH(CZ715,'Resource use and costs'!$BA$11:$BA$53,0)</f>
        <v>1</v>
      </c>
      <c r="CV708" s="1223"/>
      <c r="CW708" s="1241">
        <f t="shared" si="311"/>
        <v>1</v>
      </c>
      <c r="CX708" s="899" t="s">
        <v>794</v>
      </c>
      <c r="CY708" s="899" t="s">
        <v>117</v>
      </c>
      <c r="CZ708" s="899" t="s">
        <v>579</v>
      </c>
      <c r="DA708" s="899" t="s">
        <v>327</v>
      </c>
      <c r="DB708" s="899" t="s">
        <v>765</v>
      </c>
      <c r="DC708" s="899" cm="1">
        <f t="array" aca="1" ref="DC708" ca="1">_xlfn.IFNA(OFFSET($I$49,MATCH(CY708,$I$50:$I$63,0),MATCH(CZ708,TRANSPOSE($J$49:$W$49),0)),0)</f>
        <v>0.38380000000000003</v>
      </c>
      <c r="DD708" s="899" cm="1">
        <f t="array" aca="1" ref="DD708" ca="1">_xlfn.IFNA(OFFSET($Y$49,MATCH($CZ708,$Y$50:$Y$63,0),MATCH($DA708,TRANSPOSE($Z$49:$AM$49),0)),0)</f>
        <v>5.2400000000000002E-2</v>
      </c>
      <c r="DE708" s="899" cm="1">
        <f t="array" aca="1" ref="DE708" ca="1">_xlfn.IFNA(OFFSET($AO$49,MATCH($DA708,$AO$50:$AO$63,0),MATCH($DB708,TRANSPOSE($AP$49:$BC$49),0)),0)</f>
        <v>0.43140000000000001</v>
      </c>
      <c r="DF708" s="881">
        <f t="shared" ca="1" si="313"/>
        <v>8.6759371680000009E-3</v>
      </c>
      <c r="DG708" s="910">
        <f t="shared" ca="1" si="310"/>
        <v>0.99547352429578406</v>
      </c>
      <c r="DH708" s="881">
        <f t="shared" ca="1" si="314"/>
        <v>8.6366657491977455E-3</v>
      </c>
      <c r="DI708" s="1460">
        <f t="shared" ca="1" si="317"/>
        <v>2.8155530342384649</v>
      </c>
      <c r="DJ708" s="909">
        <f>_xlfn.IFNA(INDEX('Resource use and costs'!$CQ$11:$CQ$53,MATCH($CZ708,'Resource use and costs'!$BA$11:$BA$53,0)),0)*_xlfn.IFNA(INDEX(DY$10:DY$23,MATCH($CZ708,$DX$10:$DX$23,0)),0)</f>
        <v>56693.786091428577</v>
      </c>
      <c r="DK708" s="909">
        <f>IF(dd_PartSA_2_lines = "Yes",0,_xlfn.IFNA(INDEX('Resource use and costs'!$CR$11:$CR$53,MATCH(DA708,'Resource use and costs'!$BA$11:$BA$53,0)),0)*_xlfn.IFNA(INDEX(EA$10:EA$23,MATCH($DA708,$DX$10:$DX$23,0)),0))</f>
        <v>21421.066008214286</v>
      </c>
      <c r="DL708" s="909">
        <f>IF(dd_PartSA_2_lines = "Yes",0,_xlfn.IFNA(INDEX('Resource use and costs'!$CS$11:$CS$53,MATCH(DB708,'Resource use and costs'!$BA$11:$BA$53,0)),0)*_xlfn.IFNA(INDEX(EC$10:EC$23,MATCH($DB708,$DX$10:$DX$23,0)),0))</f>
        <v>0</v>
      </c>
      <c r="DM708" s="909">
        <f t="shared" si="315"/>
        <v>78114.852099642856</v>
      </c>
      <c r="DN708" s="909">
        <f>SUM(_xlfn.IFNA(INDEX('Resource use and costs'!$DU$12:$DU$25,MATCH(CZ708,'Resource use and costs'!$DS$12:$DS$25,0)),0),_xlfn.IFNA(INDEX('Resource use and costs'!$DU$12:$DU$25,MATCH(DA708,'Resource use and costs'!$DS$12:$DS$25,0)),0),_xlfn.IFNA(INDEX('Resource use and costs'!$DU$12:$DU$25,MATCH(DB708,'Resource use and costs'!$DS$12:$DS$25,0)),0))</f>
        <v>197.25</v>
      </c>
      <c r="DO708" s="921">
        <f>_xlfn.IFNA(INDEX('Resource use and costs'!$DY$12:$DY$25,MATCH(CZ708,'Resource use and costs'!$DS$12:$DS$25,0)),0)*_xlfn.IFNA(INDEX(DY$10:DY$23,MATCH($CZ708,$DX$10:$DX$23,0)),0)</f>
        <v>8939.6605049142872</v>
      </c>
      <c r="DP708" s="921">
        <f>IF(dd_PartSA_2_lines = "Yes",0,_xlfn.IFNA(INDEX('Resource use and costs'!$DZ$12:$DZ$25,MATCH(DA708,'Resource use and costs'!$DS$12:$DS$25,0)),0)*_xlfn.IFNA(INDEX(EA$10:EA$23,MATCH($DA708,$DX$10:$DX$23,0)),0))</f>
        <v>267.99172714285714</v>
      </c>
      <c r="DQ708" s="921">
        <f>IF(dd_PartSA_2_lines = "Yes",0,_xlfn.IFNA(INDEX('Resource use and costs'!$EA$12:$EA$25,MATCH(DB708,'Resource use and costs'!$DS$12:$DS$25,0)),0)*_xlfn.IFNA(INDEX(EC$10:EC$23,MATCH($DB708,$DX$10:$DX$23,0)),0))</f>
        <v>0</v>
      </c>
      <c r="DR708" s="921">
        <f t="shared" si="316"/>
        <v>9404.9022320571439</v>
      </c>
      <c r="DS708" s="1004">
        <f ca="1">SUMIFS('Safety parameters'!$DM$6:$DM$18,'Safety parameters'!$DK$6:$DK$18,CZ708,'Safety parameters'!$DL$6:$DL$18,1)+IF(dd_PartSA_2_lines = "Yes",0,SUMIFS('Safety parameters'!$DM$6:$DM$18,'Safety parameters'!$DK$6:$DK$18,DA708,'Safety parameters'!$DL$6:$DL$18,2)+SUMIFS('Safety parameters'!$DM$6:$DM$18,'Safety parameters'!$DK$6:$DK$18,DB708,'Safety parameters'!$DL$6:$DL$18,2))</f>
        <v>1634.2286735654598</v>
      </c>
      <c r="DT708" s="910">
        <f ca="1">SUMIFS('Safety parameters'!$DO$6:$DO$18,'Safety parameters'!$DK$6:$DK$18,CZ708,'Safety parameters'!$DL$6:$DL$18,1)+IF(dd_PartSA_2_lines = "Yes",0,SUMIFS('Safety parameters'!$DO$6:$DO$18,'Safety parameters'!$DK$6:$DK$18,DA708,'Safety parameters'!$DL$6:$DL$18,2)+SUMIFS('Safety parameters'!$DO$6:$DO$18,'Safety parameters'!$DK$6:$DK$18,DB708,'Safety parameters'!$DL$6:$DL$18,2))</f>
        <v>-1.4741924007481429E-2</v>
      </c>
    </row>
    <row r="709" spans="99:124" x14ac:dyDescent="0.2">
      <c r="CU709" s="1123">
        <f>MATCH(CZ716,'Resource use and costs'!$BA$11:$BA$53,0)</f>
        <v>1</v>
      </c>
      <c r="CV709" s="1223"/>
      <c r="CW709" s="1241">
        <f t="shared" si="311"/>
        <v>1</v>
      </c>
      <c r="CX709" s="899" t="s">
        <v>794</v>
      </c>
      <c r="CY709" s="899" t="s">
        <v>117</v>
      </c>
      <c r="CZ709" s="899" t="s">
        <v>579</v>
      </c>
      <c r="DA709" s="899" t="s">
        <v>327</v>
      </c>
      <c r="DB709" s="899" t="s">
        <v>119</v>
      </c>
      <c r="DC709" s="899" cm="1">
        <f t="array" aca="1" ref="DC709" ca="1">_xlfn.IFNA(OFFSET($I$49,MATCH(CY709,$I$50:$I$63,0),MATCH(CZ709,TRANSPOSE($J$49:$W$49),0)),0)</f>
        <v>0.38380000000000003</v>
      </c>
      <c r="DD709" s="899" cm="1">
        <f t="array" aca="1" ref="DD709" ca="1">_xlfn.IFNA(OFFSET($Y$49,MATCH($CZ709,$Y$50:$Y$63,0),MATCH($DA709,TRANSPOSE($Z$49:$AM$49),0)),0)</f>
        <v>5.2400000000000002E-2</v>
      </c>
      <c r="DE709" s="899" cm="1">
        <f t="array" aca="1" ref="DE709" ca="1">_xlfn.IFNA(OFFSET($AO$49,MATCH($DA709,$AO$50:$AO$63,0),MATCH($DB709,TRANSPOSE($AP$49:$BC$49),0)),0)</f>
        <v>0.56859999999999999</v>
      </c>
      <c r="DF709" s="881">
        <f t="shared" ca="1" si="313"/>
        <v>1.1435182832000002E-2</v>
      </c>
      <c r="DG709" s="910">
        <f t="shared" ca="1" si="310"/>
        <v>0.99547352429578406</v>
      </c>
      <c r="DH709" s="881">
        <f t="shared" ca="1" si="314"/>
        <v>1.1383421754737687E-2</v>
      </c>
      <c r="DI709" s="1460">
        <f t="shared" ca="1" si="317"/>
        <v>3.7109954920444861</v>
      </c>
      <c r="DJ709" s="909">
        <f>_xlfn.IFNA(INDEX('Resource use and costs'!$CQ$11:$CQ$53,MATCH($CZ709,'Resource use and costs'!$BA$11:$BA$53,0)),0)*_xlfn.IFNA(INDEX(DY$10:DY$23,MATCH($CZ709,$DX$10:$DX$23,0)),0)</f>
        <v>56693.786091428577</v>
      </c>
      <c r="DK709" s="909">
        <f>IF(dd_PartSA_2_lines = "Yes",0,_xlfn.IFNA(INDEX('Resource use and costs'!$CR$11:$CR$53,MATCH(DA709,'Resource use and costs'!$BA$11:$BA$53,0)),0)*_xlfn.IFNA(INDEX(EA$10:EA$23,MATCH($DA709,$DX$10:$DX$23,0)),0))</f>
        <v>21421.066008214286</v>
      </c>
      <c r="DL709" s="909">
        <f>IF(dd_PartSA_2_lines = "Yes",0,_xlfn.IFNA(INDEX('Resource use and costs'!$CS$11:$CS$53,MATCH(DB709,'Resource use and costs'!$BA$11:$BA$53,0)),0)*_xlfn.IFNA(INDEX(EC$10:EC$23,MATCH($DB709,$DX$10:$DX$23,0)),0))</f>
        <v>2915.4763433333328</v>
      </c>
      <c r="DM709" s="909">
        <f t="shared" si="315"/>
        <v>81030.328442976184</v>
      </c>
      <c r="DN709" s="909">
        <f>SUM(_xlfn.IFNA(INDEX('Resource use and costs'!$DU$12:$DU$25,MATCH(CZ709,'Resource use and costs'!$DS$12:$DS$25,0)),0),_xlfn.IFNA(INDEX('Resource use and costs'!$DU$12:$DU$25,MATCH(DA709,'Resource use and costs'!$DS$12:$DS$25,0)),0),_xlfn.IFNA(INDEX('Resource use and costs'!$DU$12:$DU$25,MATCH(DB709,'Resource use and costs'!$DS$12:$DS$25,0)),0))</f>
        <v>394.5</v>
      </c>
      <c r="DO709" s="921">
        <f>_xlfn.IFNA(INDEX('Resource use and costs'!$DY$12:$DY$25,MATCH(CZ709,'Resource use and costs'!$DS$12:$DS$25,0)),0)*_xlfn.IFNA(INDEX(DY$10:DY$23,MATCH($CZ709,$DX$10:$DX$23,0)),0)</f>
        <v>8939.6605049142872</v>
      </c>
      <c r="DP709" s="921">
        <f>IF(dd_PartSA_2_lines = "Yes",0,_xlfn.IFNA(INDEX('Resource use and costs'!$DZ$12:$DZ$25,MATCH(DA709,'Resource use and costs'!$DS$12:$DS$25,0)),0)*_xlfn.IFNA(INDEX(EA$10:EA$23,MATCH($DA709,$DX$10:$DX$23,0)),0))</f>
        <v>267.99172714285714</v>
      </c>
      <c r="DQ709" s="921">
        <f>IF(dd_PartSA_2_lines = "Yes",0,_xlfn.IFNA(INDEX('Resource use and costs'!$EA$12:$EA$25,MATCH(DB709,'Resource use and costs'!$DS$12:$DS$25,0)),0)*_xlfn.IFNA(INDEX(EC$10:EC$23,MATCH($DB709,$DX$10:$DX$23,0)),0))</f>
        <v>256.11457142857142</v>
      </c>
      <c r="DR709" s="921">
        <f t="shared" si="316"/>
        <v>9858.2668034857161</v>
      </c>
      <c r="DS709" s="1004">
        <f ca="1">SUMIFS('Safety parameters'!$DM$6:$DM$18,'Safety parameters'!$DK$6:$DK$18,CZ709,'Safety parameters'!$DL$6:$DL$18,1)+IF(dd_PartSA_2_lines = "Yes",0,SUMIFS('Safety parameters'!$DM$6:$DM$18,'Safety parameters'!$DK$6:$DK$18,DA709,'Safety parameters'!$DL$6:$DL$18,2)+SUMIFS('Safety parameters'!$DM$6:$DM$18,'Safety parameters'!$DK$6:$DK$18,DB709,'Safety parameters'!$DL$6:$DL$18,2))</f>
        <v>1967.1040569407746</v>
      </c>
      <c r="DT709" s="910">
        <f ca="1">SUMIFS('Safety parameters'!$DO$6:$DO$18,'Safety parameters'!$DK$6:$DK$18,CZ709,'Safety parameters'!$DL$6:$DL$18,1)+IF(dd_PartSA_2_lines = "Yes",0,SUMIFS('Safety parameters'!$DO$6:$DO$18,'Safety parameters'!$DK$6:$DK$18,DA709,'Safety parameters'!$DL$6:$DL$18,2)+SUMIFS('Safety parameters'!$DO$6:$DO$18,'Safety parameters'!$DK$6:$DK$18,DB709,'Safety parameters'!$DL$6:$DL$18,2))</f>
        <v>-1.7409497544119149E-2</v>
      </c>
    </row>
    <row r="710" spans="99:124" x14ac:dyDescent="0.2">
      <c r="CU710" s="1123">
        <f>MATCH(CZ717,'Resource use and costs'!$BA$11:$BA$53,0)</f>
        <v>1</v>
      </c>
      <c r="CV710" s="1223"/>
      <c r="CW710" s="1241">
        <f t="shared" si="311"/>
        <v>1</v>
      </c>
      <c r="CX710" s="899" t="s">
        <v>794</v>
      </c>
      <c r="CY710" s="899" t="s">
        <v>117</v>
      </c>
      <c r="CZ710" s="899" t="s">
        <v>579</v>
      </c>
      <c r="DA710" s="899" t="s">
        <v>765</v>
      </c>
      <c r="DB710" s="899"/>
      <c r="DC710" s="899" cm="1">
        <f t="array" aca="1" ref="DC710" ca="1">_xlfn.IFNA(OFFSET($I$49,MATCH(CY710,$I$50:$I$63,0),MATCH(CZ710,TRANSPOSE($J$49:$W$49),0)),0)</f>
        <v>0.38380000000000003</v>
      </c>
      <c r="DD710" s="899" cm="1">
        <f t="array" aca="1" ref="DD710" ca="1">_xlfn.IFNA(OFFSET($Y$49,MATCH($CZ710,$Y$50:$Y$63,0),MATCH($DA710,TRANSPOSE($Z$49:$AM$49),0)),0)</f>
        <v>0.3453</v>
      </c>
      <c r="DE710" s="899" cm="1">
        <f t="array" aca="1" ref="DE710" ca="1">_xlfn.IFNA(OFFSET($AO$49,MATCH($DA710,$AO$50:$AO$63,0),MATCH($DB710,TRANSPOSE($AP$49:$BC$49),0)),0)</f>
        <v>0</v>
      </c>
      <c r="DF710" s="881">
        <f t="shared" ca="1" si="313"/>
        <v>0.13252614000000001</v>
      </c>
      <c r="DG710" s="910">
        <f t="shared" ca="1" si="310"/>
        <v>0.99547352429578406</v>
      </c>
      <c r="DH710" s="881">
        <f t="shared" ca="1" si="314"/>
        <v>0.13192626364711649</v>
      </c>
      <c r="DI710" s="1460">
        <f t="shared" ca="1" si="317"/>
        <v>43.007961948959974</v>
      </c>
      <c r="DJ710" s="909">
        <f>_xlfn.IFNA(INDEX('Resource use and costs'!$CQ$11:$CQ$53,MATCH($CZ710,'Resource use and costs'!$BA$11:$BA$53,0)),0)*_xlfn.IFNA(INDEX(DY$10:DY$23,MATCH($CZ710,$DX$10:$DX$23,0)),0)</f>
        <v>56693.786091428577</v>
      </c>
      <c r="DK710" s="909">
        <f>IF(dd_PartSA_2_lines = "Yes",0,_xlfn.IFNA(INDEX('Resource use and costs'!$CR$11:$CR$53,MATCH(DA710,'Resource use and costs'!$BA$11:$BA$53,0)),0)*_xlfn.IFNA(INDEX(EA$10:EA$23,MATCH($DA710,$DX$10:$DX$23,0)),0))</f>
        <v>0</v>
      </c>
      <c r="DL710" s="909">
        <f>IF(dd_PartSA_2_lines = "Yes",0,_xlfn.IFNA(INDEX('Resource use and costs'!$CS$11:$CS$53,MATCH(DB710,'Resource use and costs'!$BA$11:$BA$53,0)),0)*_xlfn.IFNA(INDEX(EC$10:EC$23,MATCH($DB710,$DX$10:$DX$23,0)),0))</f>
        <v>0</v>
      </c>
      <c r="DM710" s="909">
        <f t="shared" si="315"/>
        <v>56693.786091428577</v>
      </c>
      <c r="DN710" s="909">
        <f>SUM(_xlfn.IFNA(INDEX('Resource use and costs'!$DU$12:$DU$25,MATCH(CZ710,'Resource use and costs'!$DS$12:$DS$25,0)),0),_xlfn.IFNA(INDEX('Resource use and costs'!$DU$12:$DU$25,MATCH(DA710,'Resource use and costs'!$DS$12:$DS$25,0)),0),_xlfn.IFNA(INDEX('Resource use and costs'!$DU$12:$DU$25,MATCH(DB710,'Resource use and costs'!$DS$12:$DS$25,0)),0))</f>
        <v>0</v>
      </c>
      <c r="DO710" s="921">
        <f>_xlfn.IFNA(INDEX('Resource use and costs'!$DY$12:$DY$25,MATCH(CZ710,'Resource use and costs'!$DS$12:$DS$25,0)),0)*_xlfn.IFNA(INDEX(DY$10:DY$23,MATCH($CZ710,$DX$10:$DX$23,0)),0)</f>
        <v>8939.6605049142872</v>
      </c>
      <c r="DP710" s="921">
        <f>IF(dd_PartSA_2_lines = "Yes",0,_xlfn.IFNA(INDEX('Resource use and costs'!$DZ$12:$DZ$25,MATCH(DA710,'Resource use and costs'!$DS$12:$DS$25,0)),0)*_xlfn.IFNA(INDEX(EA$10:EA$23,MATCH($DA710,$DX$10:$DX$23,0)),0))</f>
        <v>0</v>
      </c>
      <c r="DQ710" s="921">
        <f>IF(dd_PartSA_2_lines = "Yes",0,_xlfn.IFNA(INDEX('Resource use and costs'!$EA$12:$EA$25,MATCH(DB710,'Resource use and costs'!$DS$12:$DS$25,0)),0)*_xlfn.IFNA(INDEX(EC$10:EC$23,MATCH($DB710,$DX$10:$DX$23,0)),0))</f>
        <v>0</v>
      </c>
      <c r="DR710" s="921">
        <f t="shared" si="316"/>
        <v>8939.6605049142872</v>
      </c>
      <c r="DS710" s="1004">
        <f>SUMIFS('Safety parameters'!$DM$6:$DM$18,'Safety parameters'!$DK$6:$DK$18,CZ710,'Safety parameters'!$DL$6:$DL$18,1)+IF(dd_PartSA_2_lines = "Yes",0,SUMIFS('Safety parameters'!$DM$6:$DM$18,'Safety parameters'!$DK$6:$DK$18,DA710,'Safety parameters'!$DL$6:$DL$18,2)+SUMIFS('Safety parameters'!$DM$6:$DM$18,'Safety parameters'!$DK$6:$DK$18,DB710,'Safety parameters'!$DL$6:$DL$18,2))</f>
        <v>0</v>
      </c>
      <c r="DT710" s="910">
        <f>SUMIFS('Safety parameters'!$DO$6:$DO$18,'Safety parameters'!$DK$6:$DK$18,CZ710,'Safety parameters'!$DL$6:$DL$18,1)+IF(dd_PartSA_2_lines = "Yes",0,SUMIFS('Safety parameters'!$DO$6:$DO$18,'Safety parameters'!$DK$6:$DK$18,DA710,'Safety parameters'!$DL$6:$DL$18,2)+SUMIFS('Safety parameters'!$DO$6:$DO$18,'Safety parameters'!$DK$6:$DK$18,DB710,'Safety parameters'!$DL$6:$DL$18,2))</f>
        <v>0</v>
      </c>
    </row>
    <row r="711" spans="99:124" x14ac:dyDescent="0.2">
      <c r="CU711" s="1123">
        <f>MATCH(CZ718,'Resource use and costs'!$BA$11:$BA$53,0)</f>
        <v>40</v>
      </c>
      <c r="CV711" s="1223"/>
      <c r="CW711" s="1241">
        <f t="shared" si="311"/>
        <v>1</v>
      </c>
      <c r="CX711" s="899" t="s">
        <v>794</v>
      </c>
      <c r="CY711" s="899" t="s">
        <v>117</v>
      </c>
      <c r="CZ711" s="899" t="s">
        <v>579</v>
      </c>
      <c r="DA711" s="899" t="s">
        <v>118</v>
      </c>
      <c r="DB711" s="899" t="s">
        <v>327</v>
      </c>
      <c r="DC711" s="899" cm="1">
        <f t="array" aca="1" ref="DC711" ca="1">_xlfn.IFNA(OFFSET($I$49,MATCH(CY711,$I$50:$I$63,0),MATCH(CZ711,TRANSPOSE($J$49:$W$49),0)),0)</f>
        <v>0.38380000000000003</v>
      </c>
      <c r="DD711" s="899">
        <f ca="1">1-DD708-DD710-DD714-DD716</f>
        <v>0.54340000000000011</v>
      </c>
      <c r="DE711" s="899" cm="1">
        <f t="array" aca="1" ref="DE711" ca="1">_xlfn.IFNA(OFFSET($AO$49,MATCH($DA711,$AO$50:$AO$63,0),MATCH($DB711,TRANSPOSE($AP$49:$BC$49),0)),0)</f>
        <v>0.38769999999999999</v>
      </c>
      <c r="DF711" s="881">
        <f t="shared" ca="1" si="313"/>
        <v>8.0857517884000016E-2</v>
      </c>
      <c r="DG711" s="910">
        <f t="shared" ca="1" si="310"/>
        <v>0.99547352429578406</v>
      </c>
      <c r="DH711" s="881">
        <f t="shared" ca="1" si="314"/>
        <v>8.0491518293794889E-2</v>
      </c>
      <c r="DI711" s="1460">
        <f t="shared" ca="1" si="317"/>
        <v>26.240234963777134</v>
      </c>
      <c r="DJ711" s="909">
        <f>_xlfn.IFNA(INDEX('Resource use and costs'!$CQ$11:$CQ$53,MATCH($CZ711,'Resource use and costs'!$BA$11:$BA$53,0)),0)*_xlfn.IFNA(INDEX(DY$10:DY$23,MATCH($CZ711,$DX$10:$DX$23,0)),0)</f>
        <v>56693.786091428577</v>
      </c>
      <c r="DK711" s="909">
        <f>IF(dd_PartSA_2_lines = "Yes",0,_xlfn.IFNA(INDEX('Resource use and costs'!$CR$11:$CR$53,MATCH(DA711,'Resource use and costs'!$BA$11:$BA$53,0)),0)*_xlfn.IFNA(INDEX(EA$10:EA$23,MATCH($DA711,$DX$10:$DX$23,0)),0))</f>
        <v>50308.075122000002</v>
      </c>
      <c r="DL711" s="909">
        <f>IF(dd_PartSA_2_lines = "Yes",0,_xlfn.IFNA(INDEX('Resource use and costs'!$CS$11:$CS$53,MATCH(DB711,'Resource use and costs'!$BA$11:$BA$53,0)),0)*_xlfn.IFNA(INDEX(EC$10:EC$23,MATCH($DB711,$DX$10:$DX$23,0)),0))</f>
        <v>18438.751749999999</v>
      </c>
      <c r="DM711" s="909">
        <f t="shared" si="315"/>
        <v>125440.61296342858</v>
      </c>
      <c r="DN711" s="909">
        <f>SUM(_xlfn.IFNA(INDEX('Resource use and costs'!$DU$12:$DU$25,MATCH(CZ711,'Resource use and costs'!$DS$12:$DS$25,0)),0),_xlfn.IFNA(INDEX('Resource use and costs'!$DU$12:$DU$25,MATCH(DA711,'Resource use and costs'!$DS$12:$DS$25,0)),0),_xlfn.IFNA(INDEX('Resource use and costs'!$DU$12:$DU$25,MATCH(DB711,'Resource use and costs'!$DS$12:$DS$25,0)),0))</f>
        <v>394.5</v>
      </c>
      <c r="DO711" s="921">
        <f>_xlfn.IFNA(INDEX('Resource use and costs'!$DY$12:$DY$25,MATCH(CZ711,'Resource use and costs'!$DS$12:$DS$25,0)),0)*_xlfn.IFNA(INDEX(DY$10:DY$23,MATCH($CZ711,$DX$10:$DX$23,0)),0)</f>
        <v>8939.6605049142872</v>
      </c>
      <c r="DP711" s="921">
        <f>IF(dd_PartSA_2_lines = "Yes",0,_xlfn.IFNA(INDEX('Resource use and costs'!$DZ$12:$DZ$25,MATCH(DA711,'Resource use and costs'!$DS$12:$DS$25,0)),0)*_xlfn.IFNA(INDEX(EA$10:EA$23,MATCH($DA711,$DX$10:$DX$23,0)),0))</f>
        <v>461.1445457142857</v>
      </c>
      <c r="DQ711" s="921">
        <f>IF(dd_PartSA_2_lines = "Yes",0,_xlfn.IFNA(INDEX('Resource use and costs'!$EA$12:$EA$25,MATCH(DB711,'Resource use and costs'!$DS$12:$DS$25,0)),0)*_xlfn.IFNA(INDEX(EC$10:EC$23,MATCH($DB711,$DX$10:$DX$23,0)),0))</f>
        <v>230.68099999999998</v>
      </c>
      <c r="DR711" s="921">
        <f t="shared" si="316"/>
        <v>10025.986050628573</v>
      </c>
      <c r="DS711" s="1004">
        <f ca="1">SUMIFS('Safety parameters'!$DM$6:$DM$18,'Safety parameters'!$DK$6:$DK$18,CZ711,'Safety parameters'!$DL$6:$DL$18,1)+IF(dd_PartSA_2_lines = "Yes",0,SUMIFS('Safety parameters'!$DM$6:$DM$18,'Safety parameters'!$DK$6:$DK$18,DA711,'Safety parameters'!$DL$6:$DL$18,2)+SUMIFS('Safety parameters'!$DM$6:$DM$18,'Safety parameters'!$DK$6:$DK$18,DB711,'Safety parameters'!$DL$6:$DL$18,2))</f>
        <v>2377.8779733688434</v>
      </c>
      <c r="DT711" s="910">
        <f ca="1">SUMIFS('Safety parameters'!$DO$6:$DO$18,'Safety parameters'!$DK$6:$DK$18,CZ711,'Safety parameters'!$DL$6:$DL$18,1)+IF(dd_PartSA_2_lines = "Yes",0,SUMIFS('Safety parameters'!$DO$6:$DO$18,'Safety parameters'!$DK$6:$DK$18,DA711,'Safety parameters'!$DL$6:$DL$18,2)+SUMIFS('Safety parameters'!$DO$6:$DO$18,'Safety parameters'!$DK$6:$DK$18,DB711,'Safety parameters'!$DL$6:$DL$18,2))</f>
        <v>-2.1764250363717368E-2</v>
      </c>
    </row>
    <row r="712" spans="99:124" x14ac:dyDescent="0.2">
      <c r="CU712" s="1123">
        <f>MATCH(CZ719,'Resource use and costs'!$BA$11:$BA$53,0)</f>
        <v>40</v>
      </c>
      <c r="CV712" s="1223"/>
      <c r="CW712" s="1241">
        <f t="shared" si="311"/>
        <v>1</v>
      </c>
      <c r="CX712" s="899" t="s">
        <v>794</v>
      </c>
      <c r="CY712" s="899" t="s">
        <v>117</v>
      </c>
      <c r="CZ712" s="899" t="s">
        <v>579</v>
      </c>
      <c r="DA712" s="899" t="s">
        <v>118</v>
      </c>
      <c r="DB712" s="899" t="s">
        <v>765</v>
      </c>
      <c r="DC712" s="899" cm="1">
        <f t="array" aca="1" ref="DC712" ca="1">_xlfn.IFNA(OFFSET($I$49,MATCH(CY712,$I$50:$I$63,0),MATCH(CZ712,TRANSPOSE($J$49:$W$49),0)),0)</f>
        <v>0.38380000000000003</v>
      </c>
      <c r="DD712" s="899">
        <f ca="1">DD711</f>
        <v>0.54340000000000011</v>
      </c>
      <c r="DE712" s="899" cm="1">
        <f t="array" aca="1" ref="DE712" ca="1">_xlfn.IFNA(OFFSET($AO$49,MATCH($DA712,$AO$50:$AO$63,0),MATCH($DB712,TRANSPOSE($AP$49:$BC$49),0)),0)</f>
        <v>0.43140000000000001</v>
      </c>
      <c r="DF712" s="881">
        <f t="shared" ca="1" si="313"/>
        <v>8.9971455288000032E-2</v>
      </c>
      <c r="DG712" s="910">
        <f t="shared" ca="1" si="310"/>
        <v>0.99547352429578406</v>
      </c>
      <c r="DH712" s="881">
        <f t="shared" ca="1" si="314"/>
        <v>8.9564201681565953E-2</v>
      </c>
      <c r="DI712" s="1460">
        <f t="shared" ca="1" si="317"/>
        <v>29.1979297481905</v>
      </c>
      <c r="DJ712" s="909">
        <f>_xlfn.IFNA(INDEX('Resource use and costs'!$CQ$11:$CQ$53,MATCH($CZ712,'Resource use and costs'!$BA$11:$BA$53,0)),0)*_xlfn.IFNA(INDEX(DY$10:DY$23,MATCH($CZ712,$DX$10:$DX$23,0)),0)</f>
        <v>56693.786091428577</v>
      </c>
      <c r="DK712" s="909">
        <f>IF(dd_PartSA_2_lines = "Yes",0,_xlfn.IFNA(INDEX('Resource use and costs'!$CR$11:$CR$53,MATCH(DA712,'Resource use and costs'!$BA$11:$BA$53,0)),0)*_xlfn.IFNA(INDEX(EA$10:EA$23,MATCH($DA712,$DX$10:$DX$23,0)),0))</f>
        <v>50308.075122000002</v>
      </c>
      <c r="DL712" s="909">
        <f>IF(dd_PartSA_2_lines = "Yes",0,_xlfn.IFNA(INDEX('Resource use and costs'!$CS$11:$CS$53,MATCH(DB712,'Resource use and costs'!$BA$11:$BA$53,0)),0)*_xlfn.IFNA(INDEX(EC$10:EC$23,MATCH($DB712,$DX$10:$DX$23,0)),0))</f>
        <v>0</v>
      </c>
      <c r="DM712" s="909">
        <f t="shared" si="315"/>
        <v>107001.86121342858</v>
      </c>
      <c r="DN712" s="909">
        <f>SUM(_xlfn.IFNA(INDEX('Resource use and costs'!$DU$12:$DU$25,MATCH(CZ712,'Resource use and costs'!$DS$12:$DS$25,0)),0),_xlfn.IFNA(INDEX('Resource use and costs'!$DU$12:$DU$25,MATCH(DA712,'Resource use and costs'!$DS$12:$DS$25,0)),0),_xlfn.IFNA(INDEX('Resource use and costs'!$DU$12:$DU$25,MATCH(DB712,'Resource use and costs'!$DS$12:$DS$25,0)),0))</f>
        <v>197.25</v>
      </c>
      <c r="DO712" s="921">
        <f>_xlfn.IFNA(INDEX('Resource use and costs'!$DY$12:$DY$25,MATCH(CZ712,'Resource use and costs'!$DS$12:$DS$25,0)),0)*_xlfn.IFNA(INDEX(DY$10:DY$23,MATCH($CZ712,$DX$10:$DX$23,0)),0)</f>
        <v>8939.6605049142872</v>
      </c>
      <c r="DP712" s="921">
        <f>IF(dd_PartSA_2_lines = "Yes",0,_xlfn.IFNA(INDEX('Resource use and costs'!$DZ$12:$DZ$25,MATCH(DA712,'Resource use and costs'!$DS$12:$DS$25,0)),0)*_xlfn.IFNA(INDEX(EA$10:EA$23,MATCH($DA712,$DX$10:$DX$23,0)),0))</f>
        <v>461.1445457142857</v>
      </c>
      <c r="DQ712" s="921">
        <f>IF(dd_PartSA_2_lines = "Yes",0,_xlfn.IFNA(INDEX('Resource use and costs'!$EA$12:$EA$25,MATCH(DB712,'Resource use and costs'!$DS$12:$DS$25,0)),0)*_xlfn.IFNA(INDEX(EC$10:EC$23,MATCH($DB712,$DX$10:$DX$23,0)),0))</f>
        <v>0</v>
      </c>
      <c r="DR712" s="921">
        <f t="shared" si="316"/>
        <v>9598.0550506285726</v>
      </c>
      <c r="DS712" s="1004">
        <f ca="1">SUMIFS('Safety parameters'!$DM$6:$DM$18,'Safety parameters'!$DK$6:$DK$18,CZ712,'Safety parameters'!$DL$6:$DL$18,1)+IF(dd_PartSA_2_lines = "Yes",0,SUMIFS('Safety parameters'!$DM$6:$DM$18,'Safety parameters'!$DK$6:$DK$18,DA712,'Safety parameters'!$DL$6:$DL$18,2)+SUMIFS('Safety parameters'!$DM$6:$DM$18,'Safety parameters'!$DK$6:$DK$18,DB712,'Safety parameters'!$DL$6:$DL$18,2))</f>
        <v>743.64929980338343</v>
      </c>
      <c r="DT712" s="910">
        <f ca="1">SUMIFS('Safety parameters'!$DO$6:$DO$18,'Safety parameters'!$DK$6:$DK$18,CZ712,'Safety parameters'!$DL$6:$DL$18,1)+IF(dd_PartSA_2_lines = "Yes",0,SUMIFS('Safety parameters'!$DO$6:$DO$18,'Safety parameters'!$DK$6:$DK$18,DA712,'Safety parameters'!$DL$6:$DL$18,2)+SUMIFS('Safety parameters'!$DO$6:$DO$18,'Safety parameters'!$DK$6:$DK$18,DB712,'Safety parameters'!$DL$6:$DL$18,2))</f>
        <v>-7.0223263562359372E-3</v>
      </c>
    </row>
    <row r="713" spans="99:124" x14ac:dyDescent="0.2">
      <c r="CU713" s="1123">
        <f>MATCH(CZ720,'Resource use and costs'!$BA$11:$BA$53,0)</f>
        <v>40</v>
      </c>
      <c r="CV713" s="1223"/>
      <c r="CW713" s="1241">
        <f t="shared" si="311"/>
        <v>1</v>
      </c>
      <c r="CX713" s="899" t="s">
        <v>794</v>
      </c>
      <c r="CY713" s="899" t="s">
        <v>117</v>
      </c>
      <c r="CZ713" s="899" t="s">
        <v>579</v>
      </c>
      <c r="DA713" s="899" t="s">
        <v>118</v>
      </c>
      <c r="DB713" s="899" t="s">
        <v>119</v>
      </c>
      <c r="DC713" s="899" cm="1">
        <f t="array" aca="1" ref="DC713" ca="1">_xlfn.IFNA(OFFSET($I$49,MATCH(CY713,$I$50:$I$63,0),MATCH(CZ713,TRANSPOSE($J$49:$W$49),0)),0)</f>
        <v>0.38380000000000003</v>
      </c>
      <c r="DD713" s="899">
        <f ca="1">DD712</f>
        <v>0.54340000000000011</v>
      </c>
      <c r="DE713" s="899" cm="1">
        <f t="array" aca="1" ref="DE713" ca="1">_xlfn.IFNA(OFFSET($AO$49,MATCH($DA713,$AO$50:$AO$63,0),MATCH($DB713,TRANSPOSE($AP$49:$BC$49),0)),0)</f>
        <v>0.18090000000000001</v>
      </c>
      <c r="DF713" s="881">
        <f t="shared" ca="1" si="313"/>
        <v>3.7727946828000014E-2</v>
      </c>
      <c r="DG713" s="910">
        <f t="shared" ca="1" si="310"/>
        <v>0.99547352429578406</v>
      </c>
      <c r="DH713" s="881">
        <f t="shared" ca="1" si="314"/>
        <v>3.7557172193313122E-2</v>
      </c>
      <c r="DI713" s="1460">
        <f t="shared" ca="1" si="317"/>
        <v>12.243638135020078</v>
      </c>
      <c r="DJ713" s="909">
        <f>_xlfn.IFNA(INDEX('Resource use and costs'!$CQ$11:$CQ$53,MATCH($CZ713,'Resource use and costs'!$BA$11:$BA$53,0)),0)*_xlfn.IFNA(INDEX(DY$10:DY$23,MATCH($CZ713,$DX$10:$DX$23,0)),0)</f>
        <v>56693.786091428577</v>
      </c>
      <c r="DK713" s="909">
        <f>IF(dd_PartSA_2_lines = "Yes",0,_xlfn.IFNA(INDEX('Resource use and costs'!$CR$11:$CR$53,MATCH(DA713,'Resource use and costs'!$BA$11:$BA$53,0)),0)*_xlfn.IFNA(INDEX(EA$10:EA$23,MATCH($DA713,$DX$10:$DX$23,0)),0))</f>
        <v>50308.075122000002</v>
      </c>
      <c r="DL713" s="909">
        <f>IF(dd_PartSA_2_lines = "Yes",0,_xlfn.IFNA(INDEX('Resource use and costs'!$CS$11:$CS$53,MATCH(DB713,'Resource use and costs'!$BA$11:$BA$53,0)),0)*_xlfn.IFNA(INDEX(EC$10:EC$23,MATCH($DB713,$DX$10:$DX$23,0)),0))</f>
        <v>2915.4763433333328</v>
      </c>
      <c r="DM713" s="909">
        <f t="shared" si="315"/>
        <v>109917.33755676191</v>
      </c>
      <c r="DN713" s="909">
        <f>SUM(_xlfn.IFNA(INDEX('Resource use and costs'!$DU$12:$DU$25,MATCH(CZ713,'Resource use and costs'!$DS$12:$DS$25,0)),0),_xlfn.IFNA(INDEX('Resource use and costs'!$DU$12:$DU$25,MATCH(DA713,'Resource use and costs'!$DS$12:$DS$25,0)),0),_xlfn.IFNA(INDEX('Resource use and costs'!$DU$12:$DU$25,MATCH(DB713,'Resource use and costs'!$DS$12:$DS$25,0)),0))</f>
        <v>394.5</v>
      </c>
      <c r="DO713" s="921">
        <f>_xlfn.IFNA(INDEX('Resource use and costs'!$DY$12:$DY$25,MATCH(CZ713,'Resource use and costs'!$DS$12:$DS$25,0)),0)*_xlfn.IFNA(INDEX(DY$10:DY$23,MATCH($CZ713,$DX$10:$DX$23,0)),0)</f>
        <v>8939.6605049142872</v>
      </c>
      <c r="DP713" s="921">
        <f>IF(dd_PartSA_2_lines = "Yes",0,_xlfn.IFNA(INDEX('Resource use and costs'!$DZ$12:$DZ$25,MATCH(DA713,'Resource use and costs'!$DS$12:$DS$25,0)),0)*_xlfn.IFNA(INDEX(EA$10:EA$23,MATCH($DA713,$DX$10:$DX$23,0)),0))</f>
        <v>461.1445457142857</v>
      </c>
      <c r="DQ713" s="921">
        <f>IF(dd_PartSA_2_lines = "Yes",0,_xlfn.IFNA(INDEX('Resource use and costs'!$EA$12:$EA$25,MATCH(DB713,'Resource use and costs'!$DS$12:$DS$25,0)),0)*_xlfn.IFNA(INDEX(EC$10:EC$23,MATCH($DB713,$DX$10:$DX$23,0)),0))</f>
        <v>256.11457142857142</v>
      </c>
      <c r="DR713" s="921">
        <f t="shared" si="316"/>
        <v>10051.419622057145</v>
      </c>
      <c r="DS713" s="1004">
        <f ca="1">SUMIFS('Safety parameters'!$DM$6:$DM$18,'Safety parameters'!$DK$6:$DK$18,CZ713,'Safety parameters'!$DL$6:$DL$18,1)+IF(dd_PartSA_2_lines = "Yes",0,SUMIFS('Safety parameters'!$DM$6:$DM$18,'Safety parameters'!$DK$6:$DK$18,DA713,'Safety parameters'!$DL$6:$DL$18,2)+SUMIFS('Safety parameters'!$DM$6:$DM$18,'Safety parameters'!$DK$6:$DK$18,DB713,'Safety parameters'!$DL$6:$DL$18,2))</f>
        <v>1076.5246831786983</v>
      </c>
      <c r="DT713" s="910">
        <f ca="1">SUMIFS('Safety parameters'!$DO$6:$DO$18,'Safety parameters'!$DK$6:$DK$18,CZ713,'Safety parameters'!$DL$6:$DL$18,1)+IF(dd_PartSA_2_lines = "Yes",0,SUMIFS('Safety parameters'!$DO$6:$DO$18,'Safety parameters'!$DK$6:$DK$18,DA713,'Safety parameters'!$DL$6:$DL$18,2)+SUMIFS('Safety parameters'!$DO$6:$DO$18,'Safety parameters'!$DK$6:$DK$18,DB713,'Safety parameters'!$DL$6:$DL$18,2))</f>
        <v>-9.689899892873657E-3</v>
      </c>
    </row>
    <row r="714" spans="99:124" x14ac:dyDescent="0.2">
      <c r="CU714" s="1123">
        <f>MATCH(CZ721,'Resource use and costs'!$BA$11:$BA$53,0)</f>
        <v>40</v>
      </c>
      <c r="CV714" s="1223"/>
      <c r="CW714" s="1241">
        <f t="shared" si="311"/>
        <v>1</v>
      </c>
      <c r="CX714" s="899" t="s">
        <v>794</v>
      </c>
      <c r="CY714" s="899" t="s">
        <v>117</v>
      </c>
      <c r="CZ714" s="899" t="s">
        <v>579</v>
      </c>
      <c r="DA714" s="899" t="s">
        <v>119</v>
      </c>
      <c r="DB714" s="899" t="s">
        <v>327</v>
      </c>
      <c r="DC714" s="899" cm="1">
        <f t="array" aca="1" ref="DC714" ca="1">_xlfn.IFNA(OFFSET($I$49,MATCH(CY714,$I$50:$I$63,0),MATCH(CZ714,TRANSPOSE($J$49:$W$49),0)),0)</f>
        <v>0.38380000000000003</v>
      </c>
      <c r="DD714" s="899" cm="1">
        <f t="array" aca="1" ref="DD714" ca="1">_xlfn.IFNA(OFFSET($Y$49,MATCH($CZ714,$Y$50:$Y$63,0),MATCH($DA714,TRANSPOSE($Z$49:$AM$49),0)),0)</f>
        <v>6.4999999999999997E-3</v>
      </c>
      <c r="DE714" s="899" cm="1">
        <f t="array" aca="1" ref="DE714" ca="1">_xlfn.IFNA(OFFSET($AO$49,MATCH($DA714,$AO$50:$AO$63,0),MATCH($DB714,TRANSPOSE($AP$49:$BC$49),0)),0)</f>
        <v>0</v>
      </c>
      <c r="DF714" s="881">
        <f t="shared" ca="1" si="313"/>
        <v>0</v>
      </c>
      <c r="DG714" s="910">
        <f t="shared" ca="1" si="310"/>
        <v>0.99547352429578406</v>
      </c>
      <c r="DH714" s="881">
        <f t="shared" ca="1" si="314"/>
        <v>0</v>
      </c>
      <c r="DI714" s="1460">
        <f t="shared" ca="1" si="317"/>
        <v>0</v>
      </c>
      <c r="DJ714" s="909">
        <f>_xlfn.IFNA(INDEX('Resource use and costs'!$CQ$11:$CQ$53,MATCH($CZ714,'Resource use and costs'!$BA$11:$BA$53,0)),0)*_xlfn.IFNA(INDEX(DY$10:DY$23,MATCH($CZ714,$DX$10:$DX$23,0)),0)</f>
        <v>56693.786091428577</v>
      </c>
      <c r="DK714" s="909">
        <f>IF(dd_PartSA_2_lines = "Yes",0,_xlfn.IFNA(INDEX('Resource use and costs'!$CR$11:$CR$53,MATCH(DA714,'Resource use and costs'!$BA$11:$BA$53,0)),0)*_xlfn.IFNA(INDEX(EA$10:EA$23,MATCH($DA714,$DX$10:$DX$23,0)),0))</f>
        <v>848.17532499999982</v>
      </c>
      <c r="DL714" s="909">
        <f>IF(dd_PartSA_2_lines = "Yes",0,_xlfn.IFNA(INDEX('Resource use and costs'!$CS$11:$CS$53,MATCH(DB714,'Resource use and costs'!$BA$11:$BA$53,0)),0)*_xlfn.IFNA(INDEX(EC$10:EC$23,MATCH($DB714,$DX$10:$DX$23,0)),0))</f>
        <v>18438.751749999999</v>
      </c>
      <c r="DM714" s="909">
        <f t="shared" si="315"/>
        <v>75980.71316642857</v>
      </c>
      <c r="DN714" s="909">
        <f>SUM(_xlfn.IFNA(INDEX('Resource use and costs'!$DU$12:$DU$25,MATCH(CZ714,'Resource use and costs'!$DS$12:$DS$25,0)),0),_xlfn.IFNA(INDEX('Resource use and costs'!$DU$12:$DU$25,MATCH(DA714,'Resource use and costs'!$DS$12:$DS$25,0)),0),_xlfn.IFNA(INDEX('Resource use and costs'!$DU$12:$DU$25,MATCH(DB714,'Resource use and costs'!$DS$12:$DS$25,0)),0))</f>
        <v>394.5</v>
      </c>
      <c r="DO714" s="921">
        <f>_xlfn.IFNA(INDEX('Resource use and costs'!$DY$12:$DY$25,MATCH(CZ714,'Resource use and costs'!$DS$12:$DS$25,0)),0)*_xlfn.IFNA(INDEX(DY$10:DY$23,MATCH($CZ714,$DX$10:$DX$23,0)),0)</f>
        <v>8939.6605049142872</v>
      </c>
      <c r="DP714" s="921">
        <f>IF(dd_PartSA_2_lines = "Yes",0,_xlfn.IFNA(INDEX('Resource use and costs'!$DZ$12:$DZ$25,MATCH(DA714,'Resource use and costs'!$DS$12:$DS$25,0)),0)*_xlfn.IFNA(INDEX(EA$10:EA$23,MATCH($DA714,$DX$10:$DX$23,0)),0))</f>
        <v>74.50928571428571</v>
      </c>
      <c r="DQ714" s="921">
        <f>IF(dd_PartSA_2_lines = "Yes",0,_xlfn.IFNA(INDEX('Resource use and costs'!$EA$12:$EA$25,MATCH(DB714,'Resource use and costs'!$DS$12:$DS$25,0)),0)*_xlfn.IFNA(INDEX(EC$10:EC$23,MATCH($DB714,$DX$10:$DX$23,0)),0))</f>
        <v>230.68099999999998</v>
      </c>
      <c r="DR714" s="921">
        <f t="shared" si="316"/>
        <v>9639.350790628574</v>
      </c>
      <c r="DS714" s="1004">
        <f ca="1">SUMIFS('Safety parameters'!$DM$6:$DM$18,'Safety parameters'!$DK$6:$DK$18,CZ714,'Safety parameters'!$DL$6:$DL$18,1)+IF(dd_PartSA_2_lines = "Yes",0,SUMIFS('Safety parameters'!$DM$6:$DM$18,'Safety parameters'!$DK$6:$DK$18,DA714,'Safety parameters'!$DL$6:$DL$18,2)+SUMIFS('Safety parameters'!$DM$6:$DM$18,'Safety parameters'!$DK$6:$DK$18,DB714,'Safety parameters'!$DL$6:$DL$18,2))</f>
        <v>1967.1040569407746</v>
      </c>
      <c r="DT714" s="910">
        <f ca="1">SUMIFS('Safety parameters'!$DO$6:$DO$18,'Safety parameters'!$DK$6:$DK$18,CZ714,'Safety parameters'!$DL$6:$DL$18,1)+IF(dd_PartSA_2_lines = "Yes",0,SUMIFS('Safety parameters'!$DO$6:$DO$18,'Safety parameters'!$DK$6:$DK$18,DA714,'Safety parameters'!$DL$6:$DL$18,2)+SUMIFS('Safety parameters'!$DO$6:$DO$18,'Safety parameters'!$DK$6:$DK$18,DB714,'Safety parameters'!$DL$6:$DL$18,2))</f>
        <v>-1.7409497544119149E-2</v>
      </c>
    </row>
    <row r="715" spans="99:124" x14ac:dyDescent="0.2">
      <c r="CU715" s="1123">
        <f>MATCH(CZ722,'Resource use and costs'!$BA$11:$BA$53,0)</f>
        <v>40</v>
      </c>
      <c r="CV715" s="1223"/>
      <c r="CW715" s="1241">
        <f t="shared" si="311"/>
        <v>1</v>
      </c>
      <c r="CX715" s="899" t="s">
        <v>794</v>
      </c>
      <c r="CY715" s="899" t="s">
        <v>117</v>
      </c>
      <c r="CZ715" s="899" t="s">
        <v>579</v>
      </c>
      <c r="DA715" s="899" t="s">
        <v>119</v>
      </c>
      <c r="DB715" s="899" t="s">
        <v>765</v>
      </c>
      <c r="DC715" s="899" cm="1">
        <f t="array" aca="1" ref="DC715" ca="1">_xlfn.IFNA(OFFSET($I$49,MATCH(CY715,$I$50:$I$63,0),MATCH(CZ715,TRANSPOSE($J$49:$W$49),0)),0)</f>
        <v>0.38380000000000003</v>
      </c>
      <c r="DD715" s="899" cm="1">
        <f t="array" aca="1" ref="DD715" ca="1">_xlfn.IFNA(OFFSET($Y$49,MATCH($CZ715,$Y$50:$Y$63,0),MATCH($DA715,TRANSPOSE($Z$49:$AM$49),0)),0)</f>
        <v>6.4999999999999997E-3</v>
      </c>
      <c r="DE715" s="899" cm="1">
        <f t="array" aca="1" ref="DE715" ca="1">_xlfn.IFNA(OFFSET($AO$49,MATCH($DA715,$AO$50:$AO$63,0),MATCH($DB715,TRANSPOSE($AP$49:$BC$49),0)),0)</f>
        <v>1</v>
      </c>
      <c r="DF715" s="881">
        <f t="shared" ca="1" si="313"/>
        <v>2.4946999999999999E-3</v>
      </c>
      <c r="DG715" s="910">
        <f t="shared" ref="DG715:DG754" ca="1" si="319">IF(dd_reduceBSC="No",(1-SUMIFS($DF$11:$DF$779,$CY$11:$CY$779,CY715,$CX$11:$CX$779,CX715,$CW$11:$CW$779,0))/SUMIFS($DF$11:$DF$779,$CY$11:$CY$779,CY715,$CX$11:$CX$779,CX715,$CW$11:$CW$779,1),1/SUMIFS($DF$11:$DF$779,$CY$11:$CY$779,CY715,$CX$11:$CX$779,CX715,$CW$11:$CW$779,1))</f>
        <v>0.99547352429578406</v>
      </c>
      <c r="DH715" s="881">
        <f t="shared" ca="1" si="314"/>
        <v>2.4834078010606926E-3</v>
      </c>
      <c r="DI715" s="1460">
        <f t="shared" ca="1" si="317"/>
        <v>0.80959094314578584</v>
      </c>
      <c r="DJ715" s="909">
        <f>_xlfn.IFNA(INDEX('Resource use and costs'!$CQ$11:$CQ$53,MATCH($CZ715,'Resource use and costs'!$BA$11:$BA$53,0)),0)*_xlfn.IFNA(INDEX(DY$10:DY$23,MATCH($CZ715,$DX$10:$DX$23,0)),0)</f>
        <v>56693.786091428577</v>
      </c>
      <c r="DK715" s="909">
        <f>IF(dd_PartSA_2_lines = "Yes",0,_xlfn.IFNA(INDEX('Resource use and costs'!$CR$11:$CR$53,MATCH(DA715,'Resource use and costs'!$BA$11:$BA$53,0)),0)*_xlfn.IFNA(INDEX(EA$10:EA$23,MATCH($DA715,$DX$10:$DX$23,0)),0))</f>
        <v>848.17532499999982</v>
      </c>
      <c r="DL715" s="909">
        <f>IF(dd_PartSA_2_lines = "Yes",0,_xlfn.IFNA(INDEX('Resource use and costs'!$CS$11:$CS$53,MATCH(DB715,'Resource use and costs'!$BA$11:$BA$53,0)),0)*_xlfn.IFNA(INDEX(EC$10:EC$23,MATCH($DB715,$DX$10:$DX$23,0)),0))</f>
        <v>0</v>
      </c>
      <c r="DM715" s="909">
        <f t="shared" si="315"/>
        <v>57541.961416428574</v>
      </c>
      <c r="DN715" s="909">
        <f>SUM(_xlfn.IFNA(INDEX('Resource use and costs'!$DU$12:$DU$25,MATCH(CZ715,'Resource use and costs'!$DS$12:$DS$25,0)),0),_xlfn.IFNA(INDEX('Resource use and costs'!$DU$12:$DU$25,MATCH(DA715,'Resource use and costs'!$DS$12:$DS$25,0)),0),_xlfn.IFNA(INDEX('Resource use and costs'!$DU$12:$DU$25,MATCH(DB715,'Resource use and costs'!$DS$12:$DS$25,0)),0))</f>
        <v>197.25</v>
      </c>
      <c r="DO715" s="921">
        <f>_xlfn.IFNA(INDEX('Resource use and costs'!$DY$12:$DY$25,MATCH(CZ715,'Resource use and costs'!$DS$12:$DS$25,0)),0)*_xlfn.IFNA(INDEX(DY$10:DY$23,MATCH($CZ715,$DX$10:$DX$23,0)),0)</f>
        <v>8939.6605049142872</v>
      </c>
      <c r="DP715" s="921">
        <f>IF(dd_PartSA_2_lines = "Yes",0,_xlfn.IFNA(INDEX('Resource use and costs'!$DZ$12:$DZ$25,MATCH(DA715,'Resource use and costs'!$DS$12:$DS$25,0)),0)*_xlfn.IFNA(INDEX(EA$10:EA$23,MATCH($DA715,$DX$10:$DX$23,0)),0))</f>
        <v>74.50928571428571</v>
      </c>
      <c r="DQ715" s="921">
        <f>IF(dd_PartSA_2_lines = "Yes",0,_xlfn.IFNA(INDEX('Resource use and costs'!$EA$12:$EA$25,MATCH(DB715,'Resource use and costs'!$DS$12:$DS$25,0)),0)*_xlfn.IFNA(INDEX(EC$10:EC$23,MATCH($DB715,$DX$10:$DX$23,0)),0))</f>
        <v>0</v>
      </c>
      <c r="DR715" s="921">
        <f t="shared" si="316"/>
        <v>9211.4197906285735</v>
      </c>
      <c r="DS715" s="1004">
        <f ca="1">SUMIFS('Safety parameters'!$DM$6:$DM$18,'Safety parameters'!$DK$6:$DK$18,CZ715,'Safety parameters'!$DL$6:$DL$18,1)+IF(dd_PartSA_2_lines = "Yes",0,SUMIFS('Safety parameters'!$DM$6:$DM$18,'Safety parameters'!$DK$6:$DK$18,DA715,'Safety parameters'!$DL$6:$DL$18,2)+SUMIFS('Safety parameters'!$DM$6:$DM$18,'Safety parameters'!$DK$6:$DK$18,DB715,'Safety parameters'!$DL$6:$DL$18,2))</f>
        <v>332.87538337531487</v>
      </c>
      <c r="DT715" s="910">
        <f ca="1">SUMIFS('Safety parameters'!$DO$6:$DO$18,'Safety parameters'!$DK$6:$DK$18,CZ715,'Safety parameters'!$DL$6:$DL$18,1)+IF(dd_PartSA_2_lines = "Yes",0,SUMIFS('Safety parameters'!$DO$6:$DO$18,'Safety parameters'!$DK$6:$DK$18,DA715,'Safety parameters'!$DL$6:$DL$18,2)+SUMIFS('Safety parameters'!$DO$6:$DO$18,'Safety parameters'!$DK$6:$DK$18,DB715,'Safety parameters'!$DL$6:$DL$18,2))</f>
        <v>-2.6675735366377194E-3</v>
      </c>
    </row>
    <row r="716" spans="99:124" x14ac:dyDescent="0.2">
      <c r="CU716" s="1123">
        <f>MATCH(CZ723,'Resource use and costs'!$BA$11:$BA$53,0)</f>
        <v>40</v>
      </c>
      <c r="CV716" s="1223"/>
      <c r="CW716" s="1241">
        <f t="shared" ref="CW716:CW754" si="320">IF(CZ716="BSC",0,1)</f>
        <v>1</v>
      </c>
      <c r="CX716" s="899" t="s">
        <v>794</v>
      </c>
      <c r="CY716" s="899" t="s">
        <v>117</v>
      </c>
      <c r="CZ716" s="899" t="s">
        <v>579</v>
      </c>
      <c r="DA716" s="899" t="s">
        <v>333</v>
      </c>
      <c r="DB716" s="899" t="s">
        <v>327</v>
      </c>
      <c r="DC716" s="899" cm="1">
        <f t="array" aca="1" ref="DC716" ca="1">_xlfn.IFNA(OFFSET($I$49,MATCH(CY716,$I$50:$I$63,0),MATCH(CZ716,TRANSPOSE($J$49:$W$49),0)),0)</f>
        <v>0.38380000000000003</v>
      </c>
      <c r="DD716" s="899" cm="1">
        <f t="array" aca="1" ref="DD716" ca="1">_xlfn.IFNA(OFFSET($Y$49,MATCH($CZ716,$Y$50:$Y$63,0),MATCH($DA716,TRANSPOSE($Z$49:$AM$49),0)),0)</f>
        <v>5.2400000000000002E-2</v>
      </c>
      <c r="DE716" s="899" cm="1">
        <f t="array" aca="1" ref="DE716" ca="1">_xlfn.IFNA(OFFSET($AO$49,MATCH($DA716,$AO$50:$AO$63,0),MATCH($DB716,TRANSPOSE($AP$49:$BC$49),0)),0)</f>
        <v>0.56859999999999999</v>
      </c>
      <c r="DF716" s="881">
        <f t="shared" ca="1" si="313"/>
        <v>1.1435182832000002E-2</v>
      </c>
      <c r="DG716" s="910">
        <f t="shared" ca="1" si="319"/>
        <v>0.99547352429578406</v>
      </c>
      <c r="DH716" s="881">
        <f t="shared" ca="1" si="314"/>
        <v>1.1383421754737687E-2</v>
      </c>
      <c r="DI716" s="1460">
        <f t="shared" ca="1" si="317"/>
        <v>3.7109954920444861</v>
      </c>
      <c r="DJ716" s="909">
        <f>_xlfn.IFNA(INDEX('Resource use and costs'!$CQ$11:$CQ$53,MATCH($CZ716,'Resource use and costs'!$BA$11:$BA$53,0)),0)*_xlfn.IFNA(INDEX(DY$10:DY$23,MATCH($CZ716,$DX$10:$DX$23,0)),0)</f>
        <v>56693.786091428577</v>
      </c>
      <c r="DK716" s="909">
        <f>IF(dd_PartSA_2_lines = "Yes",0,_xlfn.IFNA(INDEX('Resource use and costs'!$CR$11:$CR$53,MATCH(DA716,'Resource use and costs'!$BA$11:$BA$53,0)),0)*_xlfn.IFNA(INDEX(EA$10:EA$23,MATCH($DA716,$DX$10:$DX$23,0)),0))</f>
        <v>24337.716731999997</v>
      </c>
      <c r="DL716" s="909">
        <f>IF(dd_PartSA_2_lines = "Yes",0,_xlfn.IFNA(INDEX('Resource use and costs'!$CS$11:$CS$53,MATCH(DB716,'Resource use and costs'!$BA$11:$BA$53,0)),0)*_xlfn.IFNA(INDEX(EC$10:EC$23,MATCH($DB716,$DX$10:$DX$23,0)),0))</f>
        <v>18438.751749999999</v>
      </c>
      <c r="DM716" s="909">
        <f t="shared" si="315"/>
        <v>99470.254573428567</v>
      </c>
      <c r="DN716" s="909">
        <f>SUM(_xlfn.IFNA(INDEX('Resource use and costs'!$DU$12:$DU$25,MATCH(CZ716,'Resource use and costs'!$DS$12:$DS$25,0)),0),_xlfn.IFNA(INDEX('Resource use and costs'!$DU$12:$DU$25,MATCH(DA716,'Resource use and costs'!$DS$12:$DS$25,0)),0),_xlfn.IFNA(INDEX('Resource use and costs'!$DU$12:$DU$25,MATCH(DB716,'Resource use and costs'!$DS$12:$DS$25,0)),0))</f>
        <v>394.5</v>
      </c>
      <c r="DO716" s="921">
        <f>_xlfn.IFNA(INDEX('Resource use and costs'!$DY$12:$DY$25,MATCH(CZ716,'Resource use and costs'!$DS$12:$DS$25,0)),0)*_xlfn.IFNA(INDEX(DY$10:DY$23,MATCH($CZ716,$DX$10:$DX$23,0)),0)</f>
        <v>8939.6605049142872</v>
      </c>
      <c r="DP716" s="921">
        <f>IF(dd_PartSA_2_lines = "Yes",0,_xlfn.IFNA(INDEX('Resource use and costs'!$DZ$12:$DZ$25,MATCH(DA716,'Resource use and costs'!$DS$12:$DS$25,0)),0)*_xlfn.IFNA(INDEX(EA$10:EA$23,MATCH($DA716,$DX$10:$DX$23,0)),0))</f>
        <v>363.04714285714283</v>
      </c>
      <c r="DQ716" s="921">
        <f>IF(dd_PartSA_2_lines = "Yes",0,_xlfn.IFNA(INDEX('Resource use and costs'!$EA$12:$EA$25,MATCH(DB716,'Resource use and costs'!$DS$12:$DS$25,0)),0)*_xlfn.IFNA(INDEX(EC$10:EC$23,MATCH($DB716,$DX$10:$DX$23,0)),0))</f>
        <v>230.68099999999998</v>
      </c>
      <c r="DR716" s="921">
        <f t="shared" si="316"/>
        <v>9927.8886477714314</v>
      </c>
      <c r="DS716" s="1004">
        <f ca="1">SUMIFS('Safety parameters'!$DM$6:$DM$18,'Safety parameters'!$DK$6:$DK$18,CZ716,'Safety parameters'!$DL$6:$DL$18,1)+IF(dd_PartSA_2_lines = "Yes",0,SUMIFS('Safety parameters'!$DM$6:$DM$18,'Safety parameters'!$DK$6:$DK$18,DA716,'Safety parameters'!$DL$6:$DL$18,2)+SUMIFS('Safety parameters'!$DM$6:$DM$18,'Safety parameters'!$DK$6:$DK$18,DB716,'Safety parameters'!$DL$6:$DL$18,2))</f>
        <v>2577.0992943484653</v>
      </c>
      <c r="DT716" s="910">
        <f ca="1">SUMIFS('Safety parameters'!$DO$6:$DO$18,'Safety parameters'!$DK$6:$DK$18,CZ716,'Safety parameters'!$DL$6:$DL$18,1)+IF(dd_PartSA_2_lines = "Yes",0,SUMIFS('Safety parameters'!$DO$6:$DO$18,'Safety parameters'!$DK$6:$DK$18,DA716,'Safety parameters'!$DL$6:$DL$18,2)+SUMIFS('Safety parameters'!$DO$6:$DO$18,'Safety parameters'!$DK$6:$DK$18,DB716,'Safety parameters'!$DL$6:$DL$18,2))</f>
        <v>-2.4384674689096917E-2</v>
      </c>
    </row>
    <row r="717" spans="99:124" x14ac:dyDescent="0.2">
      <c r="CU717" s="1123" t="e">
        <f>MATCH(CZ724,'Resource use and costs'!$BA$11:$BA$53,0)</f>
        <v>#N/A</v>
      </c>
      <c r="CV717" s="1223"/>
      <c r="CW717" s="1241">
        <f t="shared" si="320"/>
        <v>1</v>
      </c>
      <c r="CX717" s="899" t="s">
        <v>794</v>
      </c>
      <c r="CY717" s="899" t="s">
        <v>117</v>
      </c>
      <c r="CZ717" s="899" t="s">
        <v>579</v>
      </c>
      <c r="DA717" s="899" t="s">
        <v>333</v>
      </c>
      <c r="DB717" s="899" t="s">
        <v>765</v>
      </c>
      <c r="DC717" s="899" cm="1">
        <f t="array" aca="1" ref="DC717" ca="1">_xlfn.IFNA(OFFSET($I$49,MATCH(CY717,$I$50:$I$63,0),MATCH(CZ717,TRANSPOSE($J$49:$W$49),0)),0)</f>
        <v>0.38380000000000003</v>
      </c>
      <c r="DD717" s="899" cm="1">
        <f t="array" aca="1" ref="DD717" ca="1">_xlfn.IFNA(OFFSET($Y$49,MATCH($CZ717,$Y$50:$Y$63,0),MATCH($DA717,TRANSPOSE($Z$49:$AM$49),0)),0)</f>
        <v>5.2400000000000002E-2</v>
      </c>
      <c r="DE717" s="899" cm="1">
        <f t="array" aca="1" ref="DE717" ca="1">_xlfn.IFNA(OFFSET($AO$49,MATCH($DA717,$AO$50:$AO$63,0),MATCH($DB717,TRANSPOSE($AP$49:$BC$49),0)),0)</f>
        <v>0.43140000000000001</v>
      </c>
      <c r="DF717" s="881">
        <f t="shared" ca="1" si="313"/>
        <v>8.6759371680000009E-3</v>
      </c>
      <c r="DG717" s="910">
        <f t="shared" ca="1" si="319"/>
        <v>0.99547352429578406</v>
      </c>
      <c r="DH717" s="881">
        <f t="shared" ca="1" si="314"/>
        <v>8.6366657491977455E-3</v>
      </c>
      <c r="DI717" s="1460">
        <f t="shared" ca="1" si="317"/>
        <v>2.8155530342384649</v>
      </c>
      <c r="DJ717" s="909">
        <f>_xlfn.IFNA(INDEX('Resource use and costs'!$CQ$11:$CQ$53,MATCH($CZ717,'Resource use and costs'!$BA$11:$BA$53,0)),0)*_xlfn.IFNA(INDEX(DY$10:DY$23,MATCH($CZ717,$DX$10:$DX$23,0)),0)</f>
        <v>56693.786091428577</v>
      </c>
      <c r="DK717" s="909">
        <f>IF(dd_PartSA_2_lines = "Yes",0,_xlfn.IFNA(INDEX('Resource use and costs'!$CR$11:$CR$53,MATCH(DA717,'Resource use and costs'!$BA$11:$BA$53,0)),0)*_xlfn.IFNA(INDEX(EA$10:EA$23,MATCH($DA717,$DX$10:$DX$23,0)),0))</f>
        <v>24337.716731999997</v>
      </c>
      <c r="DL717" s="909">
        <f>IF(dd_PartSA_2_lines = "Yes",0,_xlfn.IFNA(INDEX('Resource use and costs'!$CS$11:$CS$53,MATCH(DB717,'Resource use and costs'!$BA$11:$BA$53,0)),0)*_xlfn.IFNA(INDEX(EC$10:EC$23,MATCH($DB717,$DX$10:$DX$23,0)),0))</f>
        <v>0</v>
      </c>
      <c r="DM717" s="909">
        <f t="shared" si="315"/>
        <v>81031.502823428571</v>
      </c>
      <c r="DN717" s="909">
        <f>SUM(_xlfn.IFNA(INDEX('Resource use and costs'!$DU$12:$DU$25,MATCH(CZ717,'Resource use and costs'!$DS$12:$DS$25,0)),0),_xlfn.IFNA(INDEX('Resource use and costs'!$DU$12:$DU$25,MATCH(DA717,'Resource use and costs'!$DS$12:$DS$25,0)),0),_xlfn.IFNA(INDEX('Resource use and costs'!$DU$12:$DU$25,MATCH(DB717,'Resource use and costs'!$DS$12:$DS$25,0)),0))</f>
        <v>197.25</v>
      </c>
      <c r="DO717" s="921">
        <f>_xlfn.IFNA(INDEX('Resource use and costs'!$DY$12:$DY$25,MATCH(CZ717,'Resource use and costs'!$DS$12:$DS$25,0)),0)*_xlfn.IFNA(INDEX(DY$10:DY$23,MATCH($CZ717,$DX$10:$DX$23,0)),0)</f>
        <v>8939.6605049142872</v>
      </c>
      <c r="DP717" s="921">
        <f>IF(dd_PartSA_2_lines = "Yes",0,_xlfn.IFNA(INDEX('Resource use and costs'!$DZ$12:$DZ$25,MATCH(DA717,'Resource use and costs'!$DS$12:$DS$25,0)),0)*_xlfn.IFNA(INDEX(EA$10:EA$23,MATCH($DA717,$DX$10:$DX$23,0)),0))</f>
        <v>363.04714285714283</v>
      </c>
      <c r="DQ717" s="921">
        <f>IF(dd_PartSA_2_lines = "Yes",0,_xlfn.IFNA(INDEX('Resource use and costs'!$EA$12:$EA$25,MATCH(DB717,'Resource use and costs'!$DS$12:$DS$25,0)),0)*_xlfn.IFNA(INDEX(EC$10:EC$23,MATCH($DB717,$DX$10:$DX$23,0)),0))</f>
        <v>0</v>
      </c>
      <c r="DR717" s="921">
        <f t="shared" si="316"/>
        <v>9499.9576477714309</v>
      </c>
      <c r="DS717" s="1004">
        <f ca="1">SUMIFS('Safety parameters'!$DM$6:$DM$18,'Safety parameters'!$DK$6:$DK$18,CZ717,'Safety parameters'!$DL$6:$DL$18,1)+IF(dd_PartSA_2_lines = "Yes",0,SUMIFS('Safety parameters'!$DM$6:$DM$18,'Safety parameters'!$DK$6:$DK$18,DA717,'Safety parameters'!$DL$6:$DL$18,2)+SUMIFS('Safety parameters'!$DM$6:$DM$18,'Safety parameters'!$DK$6:$DK$18,DB717,'Safety parameters'!$DL$6:$DL$18,2))</f>
        <v>942.87062078300573</v>
      </c>
      <c r="DT717" s="910">
        <f ca="1">SUMIFS('Safety parameters'!$DO$6:$DO$18,'Safety parameters'!$DK$6:$DK$18,CZ717,'Safety parameters'!$DL$6:$DL$18,1)+IF(dd_PartSA_2_lines = "Yes",0,SUMIFS('Safety parameters'!$DO$6:$DO$18,'Safety parameters'!$DK$6:$DK$18,DA717,'Safety parameters'!$DL$6:$DL$18,2)+SUMIFS('Safety parameters'!$DO$6:$DO$18,'Safety parameters'!$DK$6:$DK$18,DB717,'Safety parameters'!$DL$6:$DL$18,2))</f>
        <v>-9.6427506816154883E-3</v>
      </c>
    </row>
    <row r="718" spans="99:124" x14ac:dyDescent="0.2">
      <c r="CU718" s="1123">
        <f>MATCH(CZ725,'Resource use and costs'!$BA$11:$BA$53,0)</f>
        <v>30</v>
      </c>
      <c r="CV718" s="1223"/>
      <c r="CW718" s="1241">
        <f t="shared" si="320"/>
        <v>1</v>
      </c>
      <c r="CX718" s="899" t="s">
        <v>794</v>
      </c>
      <c r="CY718" s="899" t="s">
        <v>319</v>
      </c>
      <c r="CZ718" s="899" t="s">
        <v>327</v>
      </c>
      <c r="DA718" s="899" t="s">
        <v>765</v>
      </c>
      <c r="DB718" s="899"/>
      <c r="DC718" s="899" cm="1">
        <f t="array" aca="1" ref="DC718" ca="1">_xlfn.IFNA(OFFSET($I$49,MATCH(CY718,$I$50:$I$63,0),MATCH(CZ718,TRANSPOSE($J$49:$W$49),0)),0)</f>
        <v>2.9560979095944254E-2</v>
      </c>
      <c r="DD718" s="899" cm="1">
        <f t="array" aca="1" ref="DD718" ca="1">_xlfn.IFNA(OFFSET($Y$49,MATCH($CZ718,$Y$50:$Y$63,0),MATCH($DA718,TRANSPOSE($Z$49:$AM$49),0)),0)</f>
        <v>0.34300000000000003</v>
      </c>
      <c r="DE718" s="899" cm="1">
        <f t="array" aca="1" ref="DE718" ca="1">_xlfn.IFNA(OFFSET($AO$49,MATCH($DA718,$AO$50:$AO$63,0),MATCH($DB718,TRANSPOSE($AP$49:$BC$49),0)),0)</f>
        <v>0</v>
      </c>
      <c r="DF718" s="881">
        <f t="shared" ca="1" si="313"/>
        <v>1.013941582990888E-2</v>
      </c>
      <c r="DG718" s="910">
        <f t="shared" ca="1" si="319"/>
        <v>0.98859556831386541</v>
      </c>
      <c r="DH718" s="881">
        <f t="shared" ca="1" si="314"/>
        <v>1.0023781554739373E-2</v>
      </c>
      <c r="DI718" s="1460">
        <f t="shared" ref="DI718:DI754" ca="1" si="321">104*DH718</f>
        <v>1.0424732816928948</v>
      </c>
      <c r="DJ718" s="909">
        <f>_xlfn.IFNA(INDEX('Resource use and costs'!$CQ$11:$CQ$53,MATCH($CZ718,'Resource use and costs'!$BA$11:$BA$53,0)),0)*_xlfn.IFNA(INDEX(DY$10:DY$23,MATCH($CZ718,$DX$10:$DX$23,0)),0)</f>
        <v>19241.032205</v>
      </c>
      <c r="DK718" s="909">
        <f>IF(dd_PartSA_2_lines = "Yes",0,_xlfn.IFNA(INDEX('Resource use and costs'!$CR$11:$CR$53,MATCH(DA718,'Resource use and costs'!$BA$11:$BA$53,0)),0)*_xlfn.IFNA(INDEX(EA$10:EA$23,MATCH($DA718,$DX$10:$DX$23,0)),0))</f>
        <v>0</v>
      </c>
      <c r="DL718" s="909">
        <f>IF(dd_PartSA_2_lines = "Yes",0,_xlfn.IFNA(INDEX('Resource use and costs'!$CS$11:$CS$53,MATCH(DB718,'Resource use and costs'!$BA$11:$BA$53,0)),0)*_xlfn.IFNA(INDEX(EC$10:EC$23,MATCH($DB718,$DX$10:$DX$23,0)),0))</f>
        <v>0</v>
      </c>
      <c r="DM718" s="909">
        <f t="shared" si="315"/>
        <v>19241.032205</v>
      </c>
      <c r="DN718" s="909">
        <f>SUM(_xlfn.IFNA(INDEX('Resource use and costs'!$DU$12:$DU$25,MATCH(CZ718,'Resource use and costs'!$DS$12:$DS$25,0)),0),_xlfn.IFNA(INDEX('Resource use and costs'!$DU$12:$DU$25,MATCH(DA718,'Resource use and costs'!$DS$12:$DS$25,0)),0),_xlfn.IFNA(INDEX('Resource use and costs'!$DU$12:$DU$25,MATCH(DB718,'Resource use and costs'!$DS$12:$DS$25,0)),0))</f>
        <v>197.25</v>
      </c>
      <c r="DO718" s="921">
        <f>_xlfn.IFNA(INDEX('Resource use and costs'!$DY$12:$DY$25,MATCH(CZ718,'Resource use and costs'!$DS$12:$DS$25,0)),0)*_xlfn.IFNA(INDEX(DY$10:DY$23,MATCH($CZ718,$DX$10:$DX$23,0)),0)</f>
        <v>240.71806000000001</v>
      </c>
      <c r="DP718" s="921">
        <f>IF(dd_PartSA_2_lines = "Yes",0,_xlfn.IFNA(INDEX('Resource use and costs'!$DZ$12:$DZ$25,MATCH(DA718,'Resource use and costs'!$DS$12:$DS$25,0)),0)*_xlfn.IFNA(INDEX(EA$10:EA$23,MATCH($DA718,$DX$10:$DX$23,0)),0))</f>
        <v>0</v>
      </c>
      <c r="DQ718" s="921">
        <f>IF(dd_PartSA_2_lines = "Yes",0,_xlfn.IFNA(INDEX('Resource use and costs'!$EA$12:$EA$25,MATCH(DB718,'Resource use and costs'!$DS$12:$DS$25,0)),0)*_xlfn.IFNA(INDEX(EC$10:EC$23,MATCH($DB718,$DX$10:$DX$23,0)),0))</f>
        <v>0</v>
      </c>
      <c r="DR718" s="921">
        <f t="shared" si="316"/>
        <v>437.96806000000004</v>
      </c>
      <c r="DS718" s="1004">
        <f>SUMIFS('Safety parameters'!$DM$6:$DM$18,'Safety parameters'!$DK$6:$DK$18,CZ718,'Safety parameters'!$DL$6:$DL$18,1)+IF(dd_PartSA_2_lines = "Yes",0,SUMIFS('Safety parameters'!$DM$6:$DM$18,'Safety parameters'!$DK$6:$DK$18,DA718,'Safety parameters'!$DL$6:$DL$18,2)+SUMIFS('Safety parameters'!$DM$6:$DM$18,'Safety parameters'!$DK$6:$DK$18,DB718,'Safety parameters'!$DL$6:$DL$18,2))</f>
        <v>0</v>
      </c>
      <c r="DT718" s="910">
        <f>SUMIFS('Safety parameters'!$DO$6:$DO$18,'Safety parameters'!$DK$6:$DK$18,CZ718,'Safety parameters'!$DL$6:$DL$18,1)+IF(dd_PartSA_2_lines = "Yes",0,SUMIFS('Safety parameters'!$DO$6:$DO$18,'Safety parameters'!$DK$6:$DK$18,DA718,'Safety parameters'!$DL$6:$DL$18,2)+SUMIFS('Safety parameters'!$DO$6:$DO$18,'Safety parameters'!$DK$6:$DK$18,DB718,'Safety parameters'!$DL$6:$DL$18,2))</f>
        <v>0</v>
      </c>
    </row>
    <row r="719" spans="99:124" x14ac:dyDescent="0.2">
      <c r="CU719" s="1123">
        <f>MATCH(CZ726,'Resource use and costs'!$BA$11:$BA$53,0)</f>
        <v>30</v>
      </c>
      <c r="CV719" s="1223"/>
      <c r="CW719" s="1241">
        <f t="shared" si="320"/>
        <v>1</v>
      </c>
      <c r="CX719" s="899" t="s">
        <v>794</v>
      </c>
      <c r="CY719" s="899" t="s">
        <v>319</v>
      </c>
      <c r="CZ719" s="899" t="s">
        <v>327</v>
      </c>
      <c r="DA719" s="899" t="s">
        <v>118</v>
      </c>
      <c r="DB719" s="899" t="s">
        <v>765</v>
      </c>
      <c r="DC719" s="899" cm="1">
        <f t="array" aca="1" ref="DC719" ca="1">_xlfn.IFNA(OFFSET($I$49,MATCH(CY719,$I$50:$I$63,0),MATCH(CZ719,TRANSPOSE($J$49:$W$49),0)),0)</f>
        <v>2.9560979095944254E-2</v>
      </c>
      <c r="DD719" s="899" cm="1">
        <f t="array" aca="1" ref="DD719" ca="1">_xlfn.IFNA(OFFSET($Y$49,MATCH($CZ719,$Y$50:$Y$63,0),MATCH($DA719,TRANSPOSE($Z$49:$AM$49),0)),0)</f>
        <v>0.32850000000000001</v>
      </c>
      <c r="DE719" s="899" cm="1">
        <f t="array" aca="1" ref="DE719" ca="1">_xlfn.IFNA(OFFSET($AO$49,MATCH($DA719,$AO$50:$AO$63,0),MATCH($DB719,TRANSPOSE($AP$49:$BC$49),0)),0)</f>
        <v>0.43140000000000001</v>
      </c>
      <c r="DF719" s="881">
        <f t="shared" ca="1" si="313"/>
        <v>4.1892311964838308E-3</v>
      </c>
      <c r="DG719" s="910">
        <f t="shared" ca="1" si="319"/>
        <v>0.98859556831386541</v>
      </c>
      <c r="DH719" s="881">
        <f t="shared" ca="1" si="314"/>
        <v>4.141455395486107E-3</v>
      </c>
      <c r="DI719" s="1460">
        <f t="shared" ca="1" si="321"/>
        <v>0.43071136113055514</v>
      </c>
      <c r="DJ719" s="909">
        <f>_xlfn.IFNA(INDEX('Resource use and costs'!$CQ$11:$CQ$53,MATCH($CZ719,'Resource use and costs'!$BA$11:$BA$53,0)),0)*_xlfn.IFNA(INDEX(DY$10:DY$23,MATCH($CZ719,$DX$10:$DX$23,0)),0)</f>
        <v>19241.032205</v>
      </c>
      <c r="DK719" s="909">
        <f>IF(dd_PartSA_2_lines = "Yes",0,_xlfn.IFNA(INDEX('Resource use and costs'!$CR$11:$CR$53,MATCH(DA719,'Resource use and costs'!$BA$11:$BA$53,0)),0)*_xlfn.IFNA(INDEX(EA$10:EA$23,MATCH($DA719,$DX$10:$DX$23,0)),0))</f>
        <v>50308.075122000002</v>
      </c>
      <c r="DL719" s="909">
        <f>IF(dd_PartSA_2_lines = "Yes",0,_xlfn.IFNA(INDEX('Resource use and costs'!$CS$11:$CS$53,MATCH(DB719,'Resource use and costs'!$BA$11:$BA$53,0)),0)*_xlfn.IFNA(INDEX(EC$10:EC$23,MATCH($DB719,$DX$10:$DX$23,0)),0))</f>
        <v>0</v>
      </c>
      <c r="DM719" s="909">
        <f t="shared" si="315"/>
        <v>69549.107327000005</v>
      </c>
      <c r="DN719" s="909">
        <f>SUM(_xlfn.IFNA(INDEX('Resource use and costs'!$DU$12:$DU$25,MATCH(CZ719,'Resource use and costs'!$DS$12:$DS$25,0)),0),_xlfn.IFNA(INDEX('Resource use and costs'!$DU$12:$DU$25,MATCH(DA719,'Resource use and costs'!$DS$12:$DS$25,0)),0),_xlfn.IFNA(INDEX('Resource use and costs'!$DU$12:$DU$25,MATCH(DB719,'Resource use and costs'!$DS$12:$DS$25,0)),0))</f>
        <v>394.5</v>
      </c>
      <c r="DO719" s="921">
        <f>_xlfn.IFNA(INDEX('Resource use and costs'!$DY$12:$DY$25,MATCH(CZ719,'Resource use and costs'!$DS$12:$DS$25,0)),0)*_xlfn.IFNA(INDEX(DY$10:DY$23,MATCH($CZ719,$DX$10:$DX$23,0)),0)</f>
        <v>240.71806000000001</v>
      </c>
      <c r="DP719" s="921">
        <f>IF(dd_PartSA_2_lines = "Yes",0,_xlfn.IFNA(INDEX('Resource use and costs'!$DZ$12:$DZ$25,MATCH(DA719,'Resource use and costs'!$DS$12:$DS$25,0)),0)*_xlfn.IFNA(INDEX(EA$10:EA$23,MATCH($DA719,$DX$10:$DX$23,0)),0))</f>
        <v>461.1445457142857</v>
      </c>
      <c r="DQ719" s="921">
        <f>IF(dd_PartSA_2_lines = "Yes",0,_xlfn.IFNA(INDEX('Resource use and costs'!$EA$12:$EA$25,MATCH(DB719,'Resource use and costs'!$DS$12:$DS$25,0)),0)*_xlfn.IFNA(INDEX(EC$10:EC$23,MATCH($DB719,$DX$10:$DX$23,0)),0))</f>
        <v>0</v>
      </c>
      <c r="DR719" s="921">
        <f t="shared" si="316"/>
        <v>1096.3626057142858</v>
      </c>
      <c r="DS719" s="1004">
        <f ca="1">SUMIFS('Safety parameters'!$DM$6:$DM$18,'Safety parameters'!$DK$6:$DK$18,CZ719,'Safety parameters'!$DL$6:$DL$18,1)+IF(dd_PartSA_2_lines = "Yes",0,SUMIFS('Safety parameters'!$DM$6:$DM$18,'Safety parameters'!$DK$6:$DK$18,DA719,'Safety parameters'!$DL$6:$DL$18,2)+SUMIFS('Safety parameters'!$DM$6:$DM$18,'Safety parameters'!$DK$6:$DK$18,DB719,'Safety parameters'!$DL$6:$DL$18,2))</f>
        <v>743.64929980338343</v>
      </c>
      <c r="DT719" s="910">
        <f ca="1">SUMIFS('Safety parameters'!$DO$6:$DO$18,'Safety parameters'!$DK$6:$DK$18,CZ719,'Safety parameters'!$DL$6:$DL$18,1)+IF(dd_PartSA_2_lines = "Yes",0,SUMIFS('Safety parameters'!$DO$6:$DO$18,'Safety parameters'!$DK$6:$DK$18,DA719,'Safety parameters'!$DL$6:$DL$18,2)+SUMIFS('Safety parameters'!$DO$6:$DO$18,'Safety parameters'!$DK$6:$DK$18,DB719,'Safety parameters'!$DL$6:$DL$18,2))</f>
        <v>-7.0223263562359372E-3</v>
      </c>
    </row>
    <row r="720" spans="99:124" x14ac:dyDescent="0.2">
      <c r="CU720" s="1123">
        <f>MATCH(CZ727,'Resource use and costs'!$BA$11:$BA$53,0)</f>
        <v>30</v>
      </c>
      <c r="CV720" s="1223"/>
      <c r="CW720" s="1241">
        <f t="shared" si="320"/>
        <v>1</v>
      </c>
      <c r="CX720" s="899" t="s">
        <v>794</v>
      </c>
      <c r="CY720" s="899" t="s">
        <v>319</v>
      </c>
      <c r="CZ720" s="899" t="s">
        <v>327</v>
      </c>
      <c r="DA720" s="899" t="s">
        <v>118</v>
      </c>
      <c r="DB720" s="899" t="s">
        <v>119</v>
      </c>
      <c r="DC720" s="899" cm="1">
        <f t="array" aca="1" ref="DC720" ca="1">_xlfn.IFNA(OFFSET($I$49,MATCH(CY720,$I$50:$I$63,0),MATCH(CZ720,TRANSPOSE($J$49:$W$49),0)),0)</f>
        <v>2.9560979095944254E-2</v>
      </c>
      <c r="DD720" s="899" cm="1">
        <f t="array" aca="1" ref="DD720" ca="1">_xlfn.IFNA(OFFSET($Y$49,MATCH($CZ720,$Y$50:$Y$63,0),MATCH($DA720,TRANSPOSE($Z$49:$AM$49),0)),0)</f>
        <v>0.32850000000000001</v>
      </c>
      <c r="DE720" s="899">
        <f ca="1">1-DE719</f>
        <v>0.56859999999999999</v>
      </c>
      <c r="DF720" s="881">
        <f t="shared" ca="1" si="313"/>
        <v>5.5215504365338577E-3</v>
      </c>
      <c r="DG720" s="910">
        <f t="shared" ca="1" si="319"/>
        <v>0.98859556831386541</v>
      </c>
      <c r="DH720" s="881">
        <f t="shared" ca="1" si="314"/>
        <v>5.4585802917788608E-3</v>
      </c>
      <c r="DI720" s="1460">
        <f t="shared" ca="1" si="321"/>
        <v>0.56769235034500154</v>
      </c>
      <c r="DJ720" s="909">
        <f>_xlfn.IFNA(INDEX('Resource use and costs'!$CQ$11:$CQ$53,MATCH($CZ720,'Resource use and costs'!$BA$11:$BA$53,0)),0)*_xlfn.IFNA(INDEX(DY$10:DY$23,MATCH($CZ720,$DX$10:$DX$23,0)),0)</f>
        <v>19241.032205</v>
      </c>
      <c r="DK720" s="909">
        <f>IF(dd_PartSA_2_lines = "Yes",0,_xlfn.IFNA(INDEX('Resource use and costs'!$CR$11:$CR$53,MATCH(DA720,'Resource use and costs'!$BA$11:$BA$53,0)),0)*_xlfn.IFNA(INDEX(EA$10:EA$23,MATCH($DA720,$DX$10:$DX$23,0)),0))</f>
        <v>50308.075122000002</v>
      </c>
      <c r="DL720" s="909">
        <f>IF(dd_PartSA_2_lines = "Yes",0,_xlfn.IFNA(INDEX('Resource use and costs'!$CS$11:$CS$53,MATCH(DB720,'Resource use and costs'!$BA$11:$BA$53,0)),0)*_xlfn.IFNA(INDEX(EC$10:EC$23,MATCH($DB720,$DX$10:$DX$23,0)),0))</f>
        <v>2915.4763433333328</v>
      </c>
      <c r="DM720" s="909">
        <f t="shared" si="315"/>
        <v>72464.583670333333</v>
      </c>
      <c r="DN720" s="909">
        <f>SUM(_xlfn.IFNA(INDEX('Resource use and costs'!$DU$12:$DU$25,MATCH(CZ720,'Resource use and costs'!$DS$12:$DS$25,0)),0),_xlfn.IFNA(INDEX('Resource use and costs'!$DU$12:$DU$25,MATCH(DA720,'Resource use and costs'!$DS$12:$DS$25,0)),0),_xlfn.IFNA(INDEX('Resource use and costs'!$DU$12:$DU$25,MATCH(DB720,'Resource use and costs'!$DS$12:$DS$25,0)),0))</f>
        <v>591.75</v>
      </c>
      <c r="DO720" s="921">
        <f>_xlfn.IFNA(INDEX('Resource use and costs'!$DY$12:$DY$25,MATCH(CZ720,'Resource use and costs'!$DS$12:$DS$25,0)),0)*_xlfn.IFNA(INDEX(DY$10:DY$23,MATCH($CZ720,$DX$10:$DX$23,0)),0)</f>
        <v>240.71806000000001</v>
      </c>
      <c r="DP720" s="921">
        <f>IF(dd_PartSA_2_lines = "Yes",0,_xlfn.IFNA(INDEX('Resource use and costs'!$DZ$12:$DZ$25,MATCH(DA720,'Resource use and costs'!$DS$12:$DS$25,0)),0)*_xlfn.IFNA(INDEX(EA$10:EA$23,MATCH($DA720,$DX$10:$DX$23,0)),0))</f>
        <v>461.1445457142857</v>
      </c>
      <c r="DQ720" s="921">
        <f>IF(dd_PartSA_2_lines = "Yes",0,_xlfn.IFNA(INDEX('Resource use and costs'!$EA$12:$EA$25,MATCH(DB720,'Resource use and costs'!$DS$12:$DS$25,0)),0)*_xlfn.IFNA(INDEX(EC$10:EC$23,MATCH($DB720,$DX$10:$DX$23,0)),0))</f>
        <v>256.11457142857142</v>
      </c>
      <c r="DR720" s="921">
        <f t="shared" si="316"/>
        <v>1549.7271771428573</v>
      </c>
      <c r="DS720" s="1004">
        <f ca="1">SUMIFS('Safety parameters'!$DM$6:$DM$18,'Safety parameters'!$DK$6:$DK$18,CZ720,'Safety parameters'!$DL$6:$DL$18,1)+IF(dd_PartSA_2_lines = "Yes",0,SUMIFS('Safety parameters'!$DM$6:$DM$18,'Safety parameters'!$DK$6:$DK$18,DA720,'Safety parameters'!$DL$6:$DL$18,2)+SUMIFS('Safety parameters'!$DM$6:$DM$18,'Safety parameters'!$DK$6:$DK$18,DB720,'Safety parameters'!$DL$6:$DL$18,2))</f>
        <v>1076.5246831786983</v>
      </c>
      <c r="DT720" s="910">
        <f ca="1">SUMIFS('Safety parameters'!$DO$6:$DO$18,'Safety parameters'!$DK$6:$DK$18,CZ720,'Safety parameters'!$DL$6:$DL$18,1)+IF(dd_PartSA_2_lines = "Yes",0,SUMIFS('Safety parameters'!$DO$6:$DO$18,'Safety parameters'!$DK$6:$DK$18,DA720,'Safety parameters'!$DL$6:$DL$18,2)+SUMIFS('Safety parameters'!$DO$6:$DO$18,'Safety parameters'!$DK$6:$DK$18,DB720,'Safety parameters'!$DL$6:$DL$18,2))</f>
        <v>-9.689899892873657E-3</v>
      </c>
    </row>
    <row r="721" spans="99:124" x14ac:dyDescent="0.2">
      <c r="CU721" s="1123">
        <f>MATCH(CZ728,'Resource use and costs'!$BA$11:$BA$53,0)</f>
        <v>30</v>
      </c>
      <c r="CV721" s="1223"/>
      <c r="CW721" s="1241">
        <f t="shared" si="320"/>
        <v>1</v>
      </c>
      <c r="CX721" s="899" t="s">
        <v>794</v>
      </c>
      <c r="CY721" s="899" t="s">
        <v>319</v>
      </c>
      <c r="CZ721" s="899" t="s">
        <v>327</v>
      </c>
      <c r="DA721" s="899" t="s">
        <v>119</v>
      </c>
      <c r="DB721" s="899" t="s">
        <v>765</v>
      </c>
      <c r="DC721" s="899" cm="1">
        <f t="array" aca="1" ref="DC721" ca="1">_xlfn.IFNA(OFFSET($I$49,MATCH(CY721,$I$50:$I$63,0),MATCH(CZ721,TRANSPOSE($J$49:$W$49),0)),0)</f>
        <v>2.9560979095944254E-2</v>
      </c>
      <c r="DD721" s="899">
        <f ca="1">1-DD719-DD722</f>
        <v>0.34299999999999997</v>
      </c>
      <c r="DE721" s="899" cm="1">
        <f t="array" aca="1" ref="DE721" ca="1">_xlfn.IFNA(OFFSET($AO$49,MATCH($DA721,$AO$50:$AO$63,0),MATCH($DB721,TRANSPOSE($AP$49:$BC$49),0)),0)</f>
        <v>1</v>
      </c>
      <c r="DF721" s="881">
        <f t="shared" ca="1" si="313"/>
        <v>1.0139415829908878E-2</v>
      </c>
      <c r="DG721" s="910">
        <f t="shared" ca="1" si="319"/>
        <v>0.98859556831386541</v>
      </c>
      <c r="DH721" s="881">
        <f t="shared" ca="1" si="314"/>
        <v>1.0023781554739371E-2</v>
      </c>
      <c r="DI721" s="1460">
        <f t="shared" ca="1" si="321"/>
        <v>1.0424732816928945</v>
      </c>
      <c r="DJ721" s="909">
        <f>_xlfn.IFNA(INDEX('Resource use and costs'!$CQ$11:$CQ$53,MATCH($CZ721,'Resource use and costs'!$BA$11:$BA$53,0)),0)*_xlfn.IFNA(INDEX(DY$10:DY$23,MATCH($CZ721,$DX$10:$DX$23,0)),0)</f>
        <v>19241.032205</v>
      </c>
      <c r="DK721" s="909">
        <f>IF(dd_PartSA_2_lines = "Yes",0,_xlfn.IFNA(INDEX('Resource use and costs'!$CR$11:$CR$53,MATCH(DA721,'Resource use and costs'!$BA$11:$BA$53,0)),0)*_xlfn.IFNA(INDEX(EA$10:EA$23,MATCH($DA721,$DX$10:$DX$23,0)),0))</f>
        <v>848.17532499999982</v>
      </c>
      <c r="DL721" s="909">
        <f>IF(dd_PartSA_2_lines = "Yes",0,_xlfn.IFNA(INDEX('Resource use and costs'!$CS$11:$CS$53,MATCH(DB721,'Resource use and costs'!$BA$11:$BA$53,0)),0)*_xlfn.IFNA(INDEX(EC$10:EC$23,MATCH($DB721,$DX$10:$DX$23,0)),0))</f>
        <v>0</v>
      </c>
      <c r="DM721" s="909">
        <f t="shared" si="315"/>
        <v>20089.20753</v>
      </c>
      <c r="DN721" s="909">
        <f>SUM(_xlfn.IFNA(INDEX('Resource use and costs'!$DU$12:$DU$25,MATCH(CZ721,'Resource use and costs'!$DS$12:$DS$25,0)),0),_xlfn.IFNA(INDEX('Resource use and costs'!$DU$12:$DU$25,MATCH(DA721,'Resource use and costs'!$DS$12:$DS$25,0)),0),_xlfn.IFNA(INDEX('Resource use and costs'!$DU$12:$DU$25,MATCH(DB721,'Resource use and costs'!$DS$12:$DS$25,0)),0))</f>
        <v>394.5</v>
      </c>
      <c r="DO721" s="921">
        <f>_xlfn.IFNA(INDEX('Resource use and costs'!$DY$12:$DY$25,MATCH(CZ721,'Resource use and costs'!$DS$12:$DS$25,0)),0)*_xlfn.IFNA(INDEX(DY$10:DY$23,MATCH($CZ721,$DX$10:$DX$23,0)),0)</f>
        <v>240.71806000000001</v>
      </c>
      <c r="DP721" s="921">
        <f>IF(dd_PartSA_2_lines = "Yes",0,_xlfn.IFNA(INDEX('Resource use and costs'!$DZ$12:$DZ$25,MATCH(DA721,'Resource use and costs'!$DS$12:$DS$25,0)),0)*_xlfn.IFNA(INDEX(EA$10:EA$23,MATCH($DA721,$DX$10:$DX$23,0)),0))</f>
        <v>74.50928571428571</v>
      </c>
      <c r="DQ721" s="921">
        <f>IF(dd_PartSA_2_lines = "Yes",0,_xlfn.IFNA(INDEX('Resource use and costs'!$EA$12:$EA$25,MATCH(DB721,'Resource use and costs'!$DS$12:$DS$25,0)),0)*_xlfn.IFNA(INDEX(EC$10:EC$23,MATCH($DB721,$DX$10:$DX$23,0)),0))</f>
        <v>0</v>
      </c>
      <c r="DR721" s="921">
        <f t="shared" si="316"/>
        <v>709.72734571428578</v>
      </c>
      <c r="DS721" s="1004">
        <f ca="1">SUMIFS('Safety parameters'!$DM$6:$DM$18,'Safety parameters'!$DK$6:$DK$18,CZ721,'Safety parameters'!$DL$6:$DL$18,1)+IF(dd_PartSA_2_lines = "Yes",0,SUMIFS('Safety parameters'!$DM$6:$DM$18,'Safety parameters'!$DK$6:$DK$18,DA721,'Safety parameters'!$DL$6:$DL$18,2)+SUMIFS('Safety parameters'!$DM$6:$DM$18,'Safety parameters'!$DK$6:$DK$18,DB721,'Safety parameters'!$DL$6:$DL$18,2))</f>
        <v>332.87538337531487</v>
      </c>
      <c r="DT721" s="910">
        <f ca="1">SUMIFS('Safety parameters'!$DO$6:$DO$18,'Safety parameters'!$DK$6:$DK$18,CZ721,'Safety parameters'!$DL$6:$DL$18,1)+IF(dd_PartSA_2_lines = "Yes",0,SUMIFS('Safety parameters'!$DO$6:$DO$18,'Safety parameters'!$DK$6:$DK$18,DA721,'Safety parameters'!$DL$6:$DL$18,2)+SUMIFS('Safety parameters'!$DO$6:$DO$18,'Safety parameters'!$DK$6:$DK$18,DB721,'Safety parameters'!$DL$6:$DL$18,2))</f>
        <v>-2.6675735366377194E-3</v>
      </c>
    </row>
    <row r="722" spans="99:124" x14ac:dyDescent="0.2">
      <c r="CU722" s="1123">
        <f>MATCH(CZ729,'Resource use and costs'!$BA$11:$BA$53,0)</f>
        <v>30</v>
      </c>
      <c r="CV722" s="1223"/>
      <c r="CW722" s="1241">
        <f t="shared" si="320"/>
        <v>1</v>
      </c>
      <c r="CX722" s="899" t="s">
        <v>794</v>
      </c>
      <c r="CY722" s="899" t="s">
        <v>319</v>
      </c>
      <c r="CZ722" s="899" t="s">
        <v>327</v>
      </c>
      <c r="DA722" s="899" t="s">
        <v>579</v>
      </c>
      <c r="DB722" s="899" t="s">
        <v>765</v>
      </c>
      <c r="DC722" s="899" cm="1">
        <f t="array" aca="1" ref="DC722" ca="1">_xlfn.IFNA(OFFSET($I$49,MATCH(CY722,$I$50:$I$63,0),MATCH(CZ722,TRANSPOSE($J$49:$W$49),0)),0)</f>
        <v>2.9560979095944254E-2</v>
      </c>
      <c r="DD722" s="899" cm="1">
        <f t="array" aca="1" ref="DD722" ca="1">_xlfn.IFNA(OFFSET($Y$49,MATCH($CZ722,$Y$50:$Y$63,0),MATCH($DA722,TRANSPOSE($Z$49:$AM$49),0)),0)</f>
        <v>0.32850000000000001</v>
      </c>
      <c r="DE722" s="899" cm="1">
        <f t="array" aca="1" ref="DE722" ca="1">_xlfn.IFNA(OFFSET($AO$49,MATCH($DA722,$AO$50:$AO$63,0),MATCH($DB722,TRANSPOSE($AP$49:$BC$49),0)),0)</f>
        <v>0.43140000000000001</v>
      </c>
      <c r="DF722" s="881">
        <f t="shared" ref="DF722:DF754" ca="1" si="322">IF(AND(ISBLANK(DA722),ISBLANK(DA722)),DC722,IF(ISBLANK(DB722),DC722*DD722,DC722*DD722*DE722))</f>
        <v>4.1892311964838308E-3</v>
      </c>
      <c r="DG722" s="910">
        <f t="shared" ca="1" si="319"/>
        <v>0.98859556831386541</v>
      </c>
      <c r="DH722" s="881">
        <f t="shared" ref="DH722:DH754" ca="1" si="323">IF(CZ722="BSC",IF(dd_reduceBSC="No",DF722,0),DF722*DG722)</f>
        <v>4.141455395486107E-3</v>
      </c>
      <c r="DI722" s="1460">
        <f t="shared" ca="1" si="321"/>
        <v>0.43071136113055514</v>
      </c>
      <c r="DJ722" s="909">
        <f>_xlfn.IFNA(INDEX('Resource use and costs'!$CQ$11:$CQ$53,MATCH($CZ722,'Resource use and costs'!$BA$11:$BA$53,0)),0)*_xlfn.IFNA(INDEX(DY$10:DY$23,MATCH($CZ722,$DX$10:$DX$23,0)),0)</f>
        <v>19241.032205</v>
      </c>
      <c r="DK722" s="909">
        <f>IF(dd_PartSA_2_lines = "Yes",0,_xlfn.IFNA(INDEX('Resource use and costs'!$CR$11:$CR$53,MATCH(DA722,'Resource use and costs'!$BA$11:$BA$53,0)),0)*_xlfn.IFNA(INDEX(EA$10:EA$23,MATCH($DA722,$DX$10:$DX$23,0)),0))</f>
        <v>26054.50921</v>
      </c>
      <c r="DL722" s="909">
        <f>IF(dd_PartSA_2_lines = "Yes",0,_xlfn.IFNA(INDEX('Resource use and costs'!$CS$11:$CS$53,MATCH(DB722,'Resource use and costs'!$BA$11:$BA$53,0)),0)*_xlfn.IFNA(INDEX(EC$10:EC$23,MATCH($DB722,$DX$10:$DX$23,0)),0))</f>
        <v>0</v>
      </c>
      <c r="DM722" s="909">
        <f t="shared" si="315"/>
        <v>45295.541415</v>
      </c>
      <c r="DN722" s="909">
        <f>SUM(_xlfn.IFNA(INDEX('Resource use and costs'!$DU$12:$DU$25,MATCH(CZ722,'Resource use and costs'!$DS$12:$DS$25,0)),0),_xlfn.IFNA(INDEX('Resource use and costs'!$DU$12:$DU$25,MATCH(DA722,'Resource use and costs'!$DS$12:$DS$25,0)),0),_xlfn.IFNA(INDEX('Resource use and costs'!$DU$12:$DU$25,MATCH(DB722,'Resource use and costs'!$DS$12:$DS$25,0)),0))</f>
        <v>197.25</v>
      </c>
      <c r="DO722" s="921">
        <f>_xlfn.IFNA(INDEX('Resource use and costs'!$DY$12:$DY$25,MATCH(CZ722,'Resource use and costs'!$DS$12:$DS$25,0)),0)*_xlfn.IFNA(INDEX(DY$10:DY$23,MATCH($CZ722,$DX$10:$DX$23,0)),0)</f>
        <v>240.71806000000001</v>
      </c>
      <c r="DP722" s="921">
        <f>IF(dd_PartSA_2_lines = "Yes",0,_xlfn.IFNA(INDEX('Resource use and costs'!$DZ$12:$DZ$25,MATCH(DA722,'Resource use and costs'!$DS$12:$DS$25,0)),0)*_xlfn.IFNA(INDEX(EA$10:EA$23,MATCH($DA722,$DX$10:$DX$23,0)),0))</f>
        <v>4108.3597166</v>
      </c>
      <c r="DQ722" s="921">
        <f>IF(dd_PartSA_2_lines = "Yes",0,_xlfn.IFNA(INDEX('Resource use and costs'!$EA$12:$EA$25,MATCH(DB722,'Resource use and costs'!$DS$12:$DS$25,0)),0)*_xlfn.IFNA(INDEX(EC$10:EC$23,MATCH($DB722,$DX$10:$DX$23,0)),0))</f>
        <v>0</v>
      </c>
      <c r="DR722" s="921">
        <f t="shared" si="316"/>
        <v>4546.3277766000001</v>
      </c>
      <c r="DS722" s="1004">
        <f ca="1">SUMIFS('Safety parameters'!$DM$6:$DM$18,'Safety parameters'!$DK$6:$DK$18,CZ722,'Safety parameters'!$DL$6:$DL$18,1)+IF(dd_PartSA_2_lines = "Yes",0,SUMIFS('Safety parameters'!$DM$6:$DM$18,'Safety parameters'!$DK$6:$DK$18,DA722,'Safety parameters'!$DL$6:$DL$18,2)+SUMIFS('Safety parameters'!$DM$6:$DM$18,'Safety parameters'!$DK$6:$DK$18,DB722,'Safety parameters'!$DL$6:$DL$18,2))</f>
        <v>161.1337489904144</v>
      </c>
      <c r="DT722" s="910">
        <f ca="1">SUMIFS('Safety parameters'!$DO$6:$DO$18,'Safety parameters'!$DK$6:$DK$18,CZ722,'Safety parameters'!$DL$6:$DL$18,1)+IF(dd_PartSA_2_lines = "Yes",0,SUMIFS('Safety parameters'!$DO$6:$DO$18,'Safety parameters'!$DK$6:$DK$18,DA722,'Safety parameters'!$DL$6:$DL$18,2)+SUMIFS('Safety parameters'!$DO$6:$DO$18,'Safety parameters'!$DK$6:$DK$18,DB722,'Safety parameters'!$DL$6:$DL$18,2))</f>
        <v>-1.5970841976847864E-3</v>
      </c>
    </row>
    <row r="723" spans="99:124" x14ac:dyDescent="0.2">
      <c r="CU723" s="1123">
        <f>MATCH(CZ730,'Resource use and costs'!$BA$11:$BA$53,0)</f>
        <v>30</v>
      </c>
      <c r="CV723" s="1223"/>
      <c r="CW723" s="1241">
        <f t="shared" si="320"/>
        <v>1</v>
      </c>
      <c r="CX723" s="899" t="s">
        <v>794</v>
      </c>
      <c r="CY723" s="899" t="s">
        <v>319</v>
      </c>
      <c r="CZ723" s="899" t="s">
        <v>327</v>
      </c>
      <c r="DA723" s="899" t="s">
        <v>579</v>
      </c>
      <c r="DB723" s="899" t="s">
        <v>119</v>
      </c>
      <c r="DC723" s="899" cm="1">
        <f t="array" aca="1" ref="DC723" ca="1">_xlfn.IFNA(OFFSET($I$49,MATCH(CY723,$I$50:$I$63,0),MATCH(CZ723,TRANSPOSE($J$49:$W$49),0)),0)</f>
        <v>2.9560979095944254E-2</v>
      </c>
      <c r="DD723" s="899" cm="1">
        <f t="array" aca="1" ref="DD723" ca="1">_xlfn.IFNA(OFFSET($Y$49,MATCH($CZ723,$Y$50:$Y$63,0),MATCH($DA723,TRANSPOSE($Z$49:$AM$49),0)),0)</f>
        <v>0.32850000000000001</v>
      </c>
      <c r="DE723" s="899">
        <f ca="1">1-DE722</f>
        <v>0.56859999999999999</v>
      </c>
      <c r="DF723" s="881">
        <f t="shared" ca="1" si="322"/>
        <v>5.5215504365338577E-3</v>
      </c>
      <c r="DG723" s="910">
        <f t="shared" ca="1" si="319"/>
        <v>0.98859556831386541</v>
      </c>
      <c r="DH723" s="881">
        <f t="shared" ca="1" si="323"/>
        <v>5.4585802917788608E-3</v>
      </c>
      <c r="DI723" s="1460">
        <f t="shared" ca="1" si="321"/>
        <v>0.56769235034500154</v>
      </c>
      <c r="DJ723" s="909">
        <f>_xlfn.IFNA(INDEX('Resource use and costs'!$CQ$11:$CQ$53,MATCH($CZ723,'Resource use and costs'!$BA$11:$BA$53,0)),0)*_xlfn.IFNA(INDEX(DY$10:DY$23,MATCH($CZ723,$DX$10:$DX$23,0)),0)</f>
        <v>19241.032205</v>
      </c>
      <c r="DK723" s="909">
        <f>IF(dd_PartSA_2_lines = "Yes",0,_xlfn.IFNA(INDEX('Resource use and costs'!$CR$11:$CR$53,MATCH(DA723,'Resource use and costs'!$BA$11:$BA$53,0)),0)*_xlfn.IFNA(INDEX(EA$10:EA$23,MATCH($DA723,$DX$10:$DX$23,0)),0))</f>
        <v>26054.50921</v>
      </c>
      <c r="DL723" s="909">
        <f>IF(dd_PartSA_2_lines = "Yes",0,_xlfn.IFNA(INDEX('Resource use and costs'!$CS$11:$CS$53,MATCH(DB723,'Resource use and costs'!$BA$11:$BA$53,0)),0)*_xlfn.IFNA(INDEX(EC$10:EC$23,MATCH($DB723,$DX$10:$DX$23,0)),0))</f>
        <v>2915.4763433333328</v>
      </c>
      <c r="DM723" s="909">
        <f t="shared" ref="DM723:DM754" si="324">SUM(DJ723:DL723)</f>
        <v>48211.017758333335</v>
      </c>
      <c r="DN723" s="909">
        <f>SUM(_xlfn.IFNA(INDEX('Resource use and costs'!$DU$12:$DU$25,MATCH(CZ723,'Resource use and costs'!$DS$12:$DS$25,0)),0),_xlfn.IFNA(INDEX('Resource use and costs'!$DU$12:$DU$25,MATCH(DA723,'Resource use and costs'!$DS$12:$DS$25,0)),0),_xlfn.IFNA(INDEX('Resource use and costs'!$DU$12:$DU$25,MATCH(DB723,'Resource use and costs'!$DS$12:$DS$25,0)),0))</f>
        <v>394.5</v>
      </c>
      <c r="DO723" s="921">
        <f>_xlfn.IFNA(INDEX('Resource use and costs'!$DY$12:$DY$25,MATCH(CZ723,'Resource use and costs'!$DS$12:$DS$25,0)),0)*_xlfn.IFNA(INDEX(DY$10:DY$23,MATCH($CZ723,$DX$10:$DX$23,0)),0)</f>
        <v>240.71806000000001</v>
      </c>
      <c r="DP723" s="921">
        <f>IF(dd_PartSA_2_lines = "Yes",0,_xlfn.IFNA(INDEX('Resource use and costs'!$DZ$12:$DZ$25,MATCH(DA723,'Resource use and costs'!$DS$12:$DS$25,0)),0)*_xlfn.IFNA(INDEX(EA$10:EA$23,MATCH($DA723,$DX$10:$DX$23,0)),0))</f>
        <v>4108.3597166</v>
      </c>
      <c r="DQ723" s="921">
        <f>IF(dd_PartSA_2_lines = "Yes",0,_xlfn.IFNA(INDEX('Resource use and costs'!$EA$12:$EA$25,MATCH(DB723,'Resource use and costs'!$DS$12:$DS$25,0)),0)*_xlfn.IFNA(INDEX(EC$10:EC$23,MATCH($DB723,$DX$10:$DX$23,0)),0))</f>
        <v>256.11457142857142</v>
      </c>
      <c r="DR723" s="921">
        <f t="shared" ref="DR723:DR754" si="325">SUM(DN723:DQ723)</f>
        <v>4999.6923480285714</v>
      </c>
      <c r="DS723" s="1004">
        <f ca="1">SUMIFS('Safety parameters'!$DM$6:$DM$18,'Safety parameters'!$DK$6:$DK$18,CZ723,'Safety parameters'!$DL$6:$DL$18,1)+IF(dd_PartSA_2_lines = "Yes",0,SUMIFS('Safety parameters'!$DM$6:$DM$18,'Safety parameters'!$DK$6:$DK$18,DA723,'Safety parameters'!$DL$6:$DL$18,2)+SUMIFS('Safety parameters'!$DM$6:$DM$18,'Safety parameters'!$DK$6:$DK$18,DB723,'Safety parameters'!$DL$6:$DL$18,2))</f>
        <v>494.00913236572927</v>
      </c>
      <c r="DT723" s="910">
        <f ca="1">SUMIFS('Safety parameters'!$DO$6:$DO$18,'Safety parameters'!$DK$6:$DK$18,CZ723,'Safety parameters'!$DL$6:$DL$18,1)+IF(dd_PartSA_2_lines = "Yes",0,SUMIFS('Safety parameters'!$DO$6:$DO$18,'Safety parameters'!$DK$6:$DK$18,DA723,'Safety parameters'!$DL$6:$DL$18,2)+SUMIFS('Safety parameters'!$DO$6:$DO$18,'Safety parameters'!$DK$6:$DK$18,DB723,'Safety parameters'!$DL$6:$DL$18,2))</f>
        <v>-4.2646577343225054E-3</v>
      </c>
    </row>
    <row r="724" spans="99:124" x14ac:dyDescent="0.2">
      <c r="CU724" s="1123">
        <f>MATCH(CZ731,'Resource use and costs'!$BA$11:$BA$53,0)</f>
        <v>30</v>
      </c>
      <c r="CV724" s="1223"/>
      <c r="CW724" s="1241">
        <f t="shared" si="320"/>
        <v>0</v>
      </c>
      <c r="CX724" s="899" t="s">
        <v>794</v>
      </c>
      <c r="CY724" s="899" t="s">
        <v>319</v>
      </c>
      <c r="CZ724" s="899" t="s">
        <v>765</v>
      </c>
      <c r="DA724" s="899"/>
      <c r="DB724" s="899"/>
      <c r="DC724" s="899" cm="1">
        <f t="array" aca="1" ref="DC724" ca="1">_xlfn.IFNA(OFFSET($I$49,MATCH(CY724,$I$50:$I$63,0),MATCH(CZ724,TRANSPOSE($J$49:$W$49),0)),0)</f>
        <v>0.3256</v>
      </c>
      <c r="DD724" s="899" cm="1">
        <f t="array" aca="1" ref="DD724" ca="1">_xlfn.IFNA(OFFSET($Y$49,MATCH($CZ724,$Y$50:$Y$63,0),MATCH($DA724,TRANSPOSE($Z$49:$AM$49),0)),0)</f>
        <v>0</v>
      </c>
      <c r="DE724" s="899" cm="1">
        <f t="array" aca="1" ref="DE724" ca="1">_xlfn.IFNA(OFFSET($AO$49,MATCH($DA724,$AO$50:$AO$63,0),MATCH($DB724,TRANSPOSE($AP$49:$BC$49),0)),0)</f>
        <v>0</v>
      </c>
      <c r="DF724" s="881">
        <f t="shared" ca="1" si="322"/>
        <v>0.3256</v>
      </c>
      <c r="DG724" s="910">
        <f t="shared" ca="1" si="319"/>
        <v>0.98859556831386541</v>
      </c>
      <c r="DH724" s="881">
        <f t="shared" ca="1" si="323"/>
        <v>0.3256</v>
      </c>
      <c r="DI724" s="1460">
        <f t="shared" ca="1" si="321"/>
        <v>33.862400000000001</v>
      </c>
      <c r="DJ724" s="909">
        <f>_xlfn.IFNA(INDEX('Resource use and costs'!$CQ$11:$CQ$53,MATCH($CZ724,'Resource use and costs'!$BA$11:$BA$53,0)),0)*_xlfn.IFNA(INDEX(DY$10:DY$23,MATCH($CZ724,$DX$10:$DX$23,0)),0)</f>
        <v>0</v>
      </c>
      <c r="DK724" s="909">
        <f>IF(dd_PartSA_2_lines = "Yes",0,_xlfn.IFNA(INDEX('Resource use and costs'!$CR$11:$CR$53,MATCH(DA724,'Resource use and costs'!$BA$11:$BA$53,0)),0)*_xlfn.IFNA(INDEX(EA$10:EA$23,MATCH($DA724,$DX$10:$DX$23,0)),0))</f>
        <v>0</v>
      </c>
      <c r="DL724" s="909">
        <f>IF(dd_PartSA_2_lines = "Yes",0,_xlfn.IFNA(INDEX('Resource use and costs'!$CS$11:$CS$53,MATCH(DB724,'Resource use and costs'!$BA$11:$BA$53,0)),0)*_xlfn.IFNA(INDEX(EC$10:EC$23,MATCH($DB724,$DX$10:$DX$23,0)),0))</f>
        <v>0</v>
      </c>
      <c r="DM724" s="909">
        <f t="shared" si="324"/>
        <v>0</v>
      </c>
      <c r="DN724" s="909">
        <f>SUM(_xlfn.IFNA(INDEX('Resource use and costs'!$DU$12:$DU$25,MATCH(CZ724,'Resource use and costs'!$DS$12:$DS$25,0)),0),_xlfn.IFNA(INDEX('Resource use and costs'!$DU$12:$DU$25,MATCH(DA724,'Resource use and costs'!$DS$12:$DS$25,0)),0),_xlfn.IFNA(INDEX('Resource use and costs'!$DU$12:$DU$25,MATCH(DB724,'Resource use and costs'!$DS$12:$DS$25,0)),0))</f>
        <v>0</v>
      </c>
      <c r="DO724" s="921">
        <f>_xlfn.IFNA(INDEX('Resource use and costs'!$DY$12:$DY$25,MATCH(CZ724,'Resource use and costs'!$DS$12:$DS$25,0)),0)*_xlfn.IFNA(INDEX(DY$10:DY$23,MATCH($CZ724,$DX$10:$DX$23,0)),0)</f>
        <v>0</v>
      </c>
      <c r="DP724" s="921">
        <f>IF(dd_PartSA_2_lines = "Yes",0,_xlfn.IFNA(INDEX('Resource use and costs'!$DZ$12:$DZ$25,MATCH(DA724,'Resource use and costs'!$DS$12:$DS$25,0)),0)*_xlfn.IFNA(INDEX(EA$10:EA$23,MATCH($DA724,$DX$10:$DX$23,0)),0))</f>
        <v>0</v>
      </c>
      <c r="DQ724" s="921">
        <f>IF(dd_PartSA_2_lines = "Yes",0,_xlfn.IFNA(INDEX('Resource use and costs'!$EA$12:$EA$25,MATCH(DB724,'Resource use and costs'!$DS$12:$DS$25,0)),0)*_xlfn.IFNA(INDEX(EC$10:EC$23,MATCH($DB724,$DX$10:$DX$23,0)),0))</f>
        <v>0</v>
      </c>
      <c r="DR724" s="921">
        <f t="shared" si="325"/>
        <v>0</v>
      </c>
      <c r="DS724" s="1004">
        <f>SUMIFS('Safety parameters'!$DM$6:$DM$18,'Safety parameters'!$DK$6:$DK$18,CZ724,'Safety parameters'!$DL$6:$DL$18,1)+IF(dd_PartSA_2_lines = "Yes",0,SUMIFS('Safety parameters'!$DM$6:$DM$18,'Safety parameters'!$DK$6:$DK$18,DA724,'Safety parameters'!$DL$6:$DL$18,2)+SUMIFS('Safety parameters'!$DM$6:$DM$18,'Safety parameters'!$DK$6:$DK$18,DB724,'Safety parameters'!$DL$6:$DL$18,2))</f>
        <v>0</v>
      </c>
      <c r="DT724" s="910">
        <f>SUMIFS('Safety parameters'!$DO$6:$DO$18,'Safety parameters'!$DK$6:$DK$18,CZ724,'Safety parameters'!$DL$6:$DL$18,1)+IF(dd_PartSA_2_lines = "Yes",0,SUMIFS('Safety parameters'!$DO$6:$DO$18,'Safety parameters'!$DK$6:$DK$18,DA724,'Safety parameters'!$DL$6:$DL$18,2)+SUMIFS('Safety parameters'!$DO$6:$DO$18,'Safety parameters'!$DK$6:$DK$18,DB724,'Safety parameters'!$DL$6:$DL$18,2))</f>
        <v>0</v>
      </c>
    </row>
    <row r="725" spans="99:124" x14ac:dyDescent="0.2">
      <c r="CU725" s="1123">
        <f>MATCH(CZ732,'Resource use and costs'!$BA$11:$BA$53,0)</f>
        <v>30</v>
      </c>
      <c r="CV725" s="1223"/>
      <c r="CW725" s="1241">
        <f t="shared" si="320"/>
        <v>1</v>
      </c>
      <c r="CX725" s="899" t="s">
        <v>794</v>
      </c>
      <c r="CY725" s="899" t="s">
        <v>319</v>
      </c>
      <c r="CZ725" s="899" t="s">
        <v>118</v>
      </c>
      <c r="DA725" s="899" t="s">
        <v>327</v>
      </c>
      <c r="DB725" s="899" t="s">
        <v>765</v>
      </c>
      <c r="DC725" s="899" cm="1">
        <f t="array" aca="1" ref="DC725" ca="1">_xlfn.IFNA(OFFSET($I$49,MATCH(CY725,$I$50:$I$63,0),MATCH(CZ725,TRANSPOSE($J$49:$W$49),0)),0)</f>
        <v>0.12902805074146864</v>
      </c>
      <c r="DD725" s="899" cm="1">
        <f t="array" aca="1" ref="DD725" ca="1">_xlfn.IFNA(OFFSET($Y$49,MATCH($CZ725,$Y$50:$Y$63,0),MATCH($DA725,TRANSPOSE($Z$49:$AM$49),0)),0)</f>
        <v>0.122</v>
      </c>
      <c r="DE725" s="899" cm="1">
        <f t="array" aca="1" ref="DE725" ca="1">_xlfn.IFNA(OFFSET($AO$49,MATCH($DA725,$AO$50:$AO$63,0),MATCH($DB725,TRANSPOSE($AP$49:$BC$49),0)),0)</f>
        <v>0.43140000000000001</v>
      </c>
      <c r="DF725" s="881">
        <f t="shared" ca="1" si="322"/>
        <v>6.7908495329640876E-3</v>
      </c>
      <c r="DG725" s="910">
        <f t="shared" ca="1" si="319"/>
        <v>0.98859556831386541</v>
      </c>
      <c r="DH725" s="881">
        <f t="shared" ca="1" si="323"/>
        <v>6.7134037533745795E-3</v>
      </c>
      <c r="DI725" s="1460">
        <f t="shared" ca="1" si="321"/>
        <v>0.69819399035095631</v>
      </c>
      <c r="DJ725" s="909">
        <f>_xlfn.IFNA(INDEX('Resource use and costs'!$CQ$11:$CQ$53,MATCH($CZ725,'Resource use and costs'!$BA$11:$BA$53,0)),0)*_xlfn.IFNA(INDEX(DY$10:DY$23,MATCH($CZ725,$DX$10:$DX$23,0)),0)</f>
        <v>45284.183573333321</v>
      </c>
      <c r="DK725" s="909">
        <f>IF(dd_PartSA_2_lines = "Yes",0,_xlfn.IFNA(INDEX('Resource use and costs'!$CR$11:$CR$53,MATCH(DA725,'Resource use and costs'!$BA$11:$BA$53,0)),0)*_xlfn.IFNA(INDEX(EA$10:EA$23,MATCH($DA725,$DX$10:$DX$23,0)),0))</f>
        <v>21421.066008214286</v>
      </c>
      <c r="DL725" s="909">
        <f>IF(dd_PartSA_2_lines = "Yes",0,_xlfn.IFNA(INDEX('Resource use and costs'!$CS$11:$CS$53,MATCH(DB725,'Resource use and costs'!$BA$11:$BA$53,0)),0)*_xlfn.IFNA(INDEX(EC$10:EC$23,MATCH($DB725,$DX$10:$DX$23,0)),0))</f>
        <v>0</v>
      </c>
      <c r="DM725" s="909">
        <f t="shared" si="324"/>
        <v>66705.2495815476</v>
      </c>
      <c r="DN725" s="909">
        <f>SUM(_xlfn.IFNA(INDEX('Resource use and costs'!$DU$12:$DU$25,MATCH(CZ725,'Resource use and costs'!$DS$12:$DS$25,0)),0),_xlfn.IFNA(INDEX('Resource use and costs'!$DU$12:$DU$25,MATCH(DA725,'Resource use and costs'!$DS$12:$DS$25,0)),0),_xlfn.IFNA(INDEX('Resource use and costs'!$DU$12:$DU$25,MATCH(DB725,'Resource use and costs'!$DS$12:$DS$25,0)),0))</f>
        <v>394.5</v>
      </c>
      <c r="DO725" s="921">
        <f>_xlfn.IFNA(INDEX('Resource use and costs'!$DY$12:$DY$25,MATCH(CZ725,'Resource use and costs'!$DS$12:$DS$25,0)),0)*_xlfn.IFNA(INDEX(DY$10:DY$23,MATCH($CZ725,$DX$10:$DX$23,0)),0)</f>
        <v>415.09348571428563</v>
      </c>
      <c r="DP725" s="921">
        <f>IF(dd_PartSA_2_lines = "Yes",0,_xlfn.IFNA(INDEX('Resource use and costs'!$DZ$12:$DZ$25,MATCH(DA725,'Resource use and costs'!$DS$12:$DS$25,0)),0)*_xlfn.IFNA(INDEX(EA$10:EA$23,MATCH($DA725,$DX$10:$DX$23,0)),0))</f>
        <v>267.99172714285714</v>
      </c>
      <c r="DQ725" s="921">
        <f>IF(dd_PartSA_2_lines = "Yes",0,_xlfn.IFNA(INDEX('Resource use and costs'!$EA$12:$EA$25,MATCH(DB725,'Resource use and costs'!$DS$12:$DS$25,0)),0)*_xlfn.IFNA(INDEX(EC$10:EC$23,MATCH($DB725,$DX$10:$DX$23,0)),0))</f>
        <v>0</v>
      </c>
      <c r="DR725" s="921">
        <f t="shared" si="325"/>
        <v>1077.5852128571428</v>
      </c>
      <c r="DS725" s="1004">
        <f ca="1">SUMIFS('Safety parameters'!$DM$6:$DM$18,'Safety parameters'!$DK$6:$DK$18,CZ725,'Safety parameters'!$DL$6:$DL$18,1)+IF(dd_PartSA_2_lines = "Yes",0,SUMIFS('Safety parameters'!$DM$6:$DM$18,'Safety parameters'!$DK$6:$DK$18,DA725,'Safety parameters'!$DL$6:$DL$18,2)+SUMIFS('Safety parameters'!$DM$6:$DM$18,'Safety parameters'!$DK$6:$DK$18,DB725,'Safety parameters'!$DL$6:$DL$18,2))</f>
        <v>2366.0578362496171</v>
      </c>
      <c r="DT725" s="910">
        <f ca="1">SUMIFS('Safety parameters'!$DO$6:$DO$18,'Safety parameters'!$DK$6:$DK$18,CZ725,'Safety parameters'!$DL$6:$DL$18,1)+IF(dd_PartSA_2_lines = "Yes",0,SUMIFS('Safety parameters'!$DO$6:$DO$18,'Safety parameters'!$DK$6:$DK$18,DA725,'Safety parameters'!$DL$6:$DL$18,2)+SUMIFS('Safety parameters'!$DO$6:$DO$18,'Safety parameters'!$DK$6:$DK$18,DB725,'Safety parameters'!$DL$6:$DL$18,2))</f>
        <v>-2.125891351595622E-2</v>
      </c>
    </row>
    <row r="726" spans="99:124" x14ac:dyDescent="0.2">
      <c r="CU726" s="1123">
        <f>MATCH(CZ733,'Resource use and costs'!$BA$11:$BA$53,0)</f>
        <v>37</v>
      </c>
      <c r="CV726" s="1223"/>
      <c r="CW726" s="1241">
        <f t="shared" si="320"/>
        <v>1</v>
      </c>
      <c r="CX726" s="899" t="s">
        <v>794</v>
      </c>
      <c r="CY726" s="899" t="s">
        <v>319</v>
      </c>
      <c r="CZ726" s="899" t="s">
        <v>118</v>
      </c>
      <c r="DA726" s="899" t="s">
        <v>327</v>
      </c>
      <c r="DB726" s="899" t="s">
        <v>119</v>
      </c>
      <c r="DC726" s="899" cm="1">
        <f t="array" aca="1" ref="DC726" ca="1">_xlfn.IFNA(OFFSET($I$49,MATCH(CY726,$I$50:$I$63,0),MATCH(CZ726,TRANSPOSE($J$49:$W$49),0)),0)</f>
        <v>0.12902805074146864</v>
      </c>
      <c r="DD726" s="899" cm="1">
        <f t="array" aca="1" ref="DD726" ca="1">_xlfn.IFNA(OFFSET($Y$49,MATCH($CZ726,$Y$50:$Y$63,0),MATCH($DA726,TRANSPOSE($Z$49:$AM$49),0)),0)</f>
        <v>0.122</v>
      </c>
      <c r="DE726" s="899" cm="1">
        <f t="array" aca="1" ref="DE726" ca="1">_xlfn.IFNA(OFFSET($AO$49,MATCH($DA726,$AO$50:$AO$63,0),MATCH($DB726,TRANSPOSE($AP$49:$BC$49),0)),0)</f>
        <v>0.56859999999999999</v>
      </c>
      <c r="DF726" s="881">
        <f t="shared" ca="1" si="322"/>
        <v>8.9505726574950865E-3</v>
      </c>
      <c r="DG726" s="910">
        <f t="shared" ca="1" si="319"/>
        <v>0.98859556831386541</v>
      </c>
      <c r="DH726" s="881">
        <f t="shared" ca="1" si="323"/>
        <v>8.8484964630709002E-3</v>
      </c>
      <c r="DI726" s="1460">
        <f t="shared" ca="1" si="321"/>
        <v>0.92024363215937366</v>
      </c>
      <c r="DJ726" s="909">
        <f>_xlfn.IFNA(INDEX('Resource use and costs'!$CQ$11:$CQ$53,MATCH($CZ726,'Resource use and costs'!$BA$11:$BA$53,0)),0)*_xlfn.IFNA(INDEX(DY$10:DY$23,MATCH($CZ726,$DX$10:$DX$23,0)),0)</f>
        <v>45284.183573333321</v>
      </c>
      <c r="DK726" s="909">
        <f>IF(dd_PartSA_2_lines = "Yes",0,_xlfn.IFNA(INDEX('Resource use and costs'!$CR$11:$CR$53,MATCH(DA726,'Resource use and costs'!$BA$11:$BA$53,0)),0)*_xlfn.IFNA(INDEX(EA$10:EA$23,MATCH($DA726,$DX$10:$DX$23,0)),0))</f>
        <v>21421.066008214286</v>
      </c>
      <c r="DL726" s="909">
        <f>IF(dd_PartSA_2_lines = "Yes",0,_xlfn.IFNA(INDEX('Resource use and costs'!$CS$11:$CS$53,MATCH(DB726,'Resource use and costs'!$BA$11:$BA$53,0)),0)*_xlfn.IFNA(INDEX(EC$10:EC$23,MATCH($DB726,$DX$10:$DX$23,0)),0))</f>
        <v>2915.4763433333328</v>
      </c>
      <c r="DM726" s="909">
        <f t="shared" si="324"/>
        <v>69620.725924880928</v>
      </c>
      <c r="DN726" s="909">
        <f>SUM(_xlfn.IFNA(INDEX('Resource use and costs'!$DU$12:$DU$25,MATCH(CZ726,'Resource use and costs'!$DS$12:$DS$25,0)),0),_xlfn.IFNA(INDEX('Resource use and costs'!$DU$12:$DU$25,MATCH(DA726,'Resource use and costs'!$DS$12:$DS$25,0)),0),_xlfn.IFNA(INDEX('Resource use and costs'!$DU$12:$DU$25,MATCH(DB726,'Resource use and costs'!$DS$12:$DS$25,0)),0))</f>
        <v>591.75</v>
      </c>
      <c r="DO726" s="921">
        <f>_xlfn.IFNA(INDEX('Resource use and costs'!$DY$12:$DY$25,MATCH(CZ726,'Resource use and costs'!$DS$12:$DS$25,0)),0)*_xlfn.IFNA(INDEX(DY$10:DY$23,MATCH($CZ726,$DX$10:$DX$23,0)),0)</f>
        <v>415.09348571428563</v>
      </c>
      <c r="DP726" s="921">
        <f>IF(dd_PartSA_2_lines = "Yes",0,_xlfn.IFNA(INDEX('Resource use and costs'!$DZ$12:$DZ$25,MATCH(DA726,'Resource use and costs'!$DS$12:$DS$25,0)),0)*_xlfn.IFNA(INDEX(EA$10:EA$23,MATCH($DA726,$DX$10:$DX$23,0)),0))</f>
        <v>267.99172714285714</v>
      </c>
      <c r="DQ726" s="921">
        <f>IF(dd_PartSA_2_lines = "Yes",0,_xlfn.IFNA(INDEX('Resource use and costs'!$EA$12:$EA$25,MATCH(DB726,'Resource use and costs'!$DS$12:$DS$25,0)),0)*_xlfn.IFNA(INDEX(EC$10:EC$23,MATCH($DB726,$DX$10:$DX$23,0)),0))</f>
        <v>256.11457142857142</v>
      </c>
      <c r="DR726" s="921">
        <f t="shared" si="325"/>
        <v>1530.9497842857143</v>
      </c>
      <c r="DS726" s="1004">
        <f ca="1">SUMIFS('Safety parameters'!$DM$6:$DM$18,'Safety parameters'!$DK$6:$DK$18,CZ726,'Safety parameters'!$DL$6:$DL$18,1)+IF(dd_PartSA_2_lines = "Yes",0,SUMIFS('Safety parameters'!$DM$6:$DM$18,'Safety parameters'!$DK$6:$DK$18,DA726,'Safety parameters'!$DL$6:$DL$18,2)+SUMIFS('Safety parameters'!$DM$6:$DM$18,'Safety parameters'!$DK$6:$DK$18,DB726,'Safety parameters'!$DL$6:$DL$18,2))</f>
        <v>2698.9332196249325</v>
      </c>
      <c r="DT726" s="910">
        <f ca="1">SUMIFS('Safety parameters'!$DO$6:$DO$18,'Safety parameters'!$DK$6:$DK$18,CZ726,'Safety parameters'!$DL$6:$DL$18,1)+IF(dd_PartSA_2_lines = "Yes",0,SUMIFS('Safety parameters'!$DO$6:$DO$18,'Safety parameters'!$DK$6:$DK$18,DA726,'Safety parameters'!$DL$6:$DL$18,2)+SUMIFS('Safety parameters'!$DO$6:$DO$18,'Safety parameters'!$DK$6:$DK$18,DB726,'Safety parameters'!$DL$6:$DL$18,2))</f>
        <v>-2.3926487052593939E-2</v>
      </c>
    </row>
    <row r="727" spans="99:124" x14ac:dyDescent="0.2">
      <c r="CU727" s="1123">
        <f>MATCH(CZ734,'Resource use and costs'!$BA$11:$BA$53,0)</f>
        <v>37</v>
      </c>
      <c r="CV727" s="1223"/>
      <c r="CW727" s="1241">
        <f t="shared" si="320"/>
        <v>1</v>
      </c>
      <c r="CX727" s="899" t="s">
        <v>794</v>
      </c>
      <c r="CY727" s="899" t="s">
        <v>319</v>
      </c>
      <c r="CZ727" s="899" t="s">
        <v>118</v>
      </c>
      <c r="DA727" s="899" t="s">
        <v>765</v>
      </c>
      <c r="DB727" s="899"/>
      <c r="DC727" s="899" cm="1">
        <f t="array" aca="1" ref="DC727" ca="1">_xlfn.IFNA(OFFSET($I$49,MATCH(CY727,$I$50:$I$63,0),MATCH(CZ727,TRANSPOSE($J$49:$W$49),0)),0)</f>
        <v>0.12902805074146864</v>
      </c>
      <c r="DD727" s="899" cm="1">
        <f t="array" aca="1" ref="DD727" ca="1">_xlfn.IFNA(OFFSET($Y$49,MATCH($CZ727,$Y$50:$Y$63,0),MATCH($DA727,TRANSPOSE($Z$49:$AM$49),0)),0)</f>
        <v>0.34300000000000003</v>
      </c>
      <c r="DE727" s="899" cm="1">
        <f t="array" aca="1" ref="DE727" ca="1">_xlfn.IFNA(OFFSET($AO$49,MATCH($DA727,$AO$50:$AO$63,0),MATCH($DB727,TRANSPOSE($AP$49:$BC$49),0)),0)</f>
        <v>0</v>
      </c>
      <c r="DF727" s="881">
        <f t="shared" ca="1" si="322"/>
        <v>4.4256621404323751E-2</v>
      </c>
      <c r="DG727" s="910">
        <f t="shared" ca="1" si="319"/>
        <v>0.98859556831386541</v>
      </c>
      <c r="DH727" s="881">
        <f t="shared" ca="1" si="323"/>
        <v>4.3751899788859017E-2</v>
      </c>
      <c r="DI727" s="1460">
        <f t="shared" ca="1" si="321"/>
        <v>4.5501975780413382</v>
      </c>
      <c r="DJ727" s="909">
        <f>_xlfn.IFNA(INDEX('Resource use and costs'!$CQ$11:$CQ$53,MATCH($CZ727,'Resource use and costs'!$BA$11:$BA$53,0)),0)*_xlfn.IFNA(INDEX(DY$10:DY$23,MATCH($CZ727,$DX$10:$DX$23,0)),0)</f>
        <v>45284.183573333321</v>
      </c>
      <c r="DK727" s="909">
        <f>IF(dd_PartSA_2_lines = "Yes",0,_xlfn.IFNA(INDEX('Resource use and costs'!$CR$11:$CR$53,MATCH(DA727,'Resource use and costs'!$BA$11:$BA$53,0)),0)*_xlfn.IFNA(INDEX(EA$10:EA$23,MATCH($DA727,$DX$10:$DX$23,0)),0))</f>
        <v>0</v>
      </c>
      <c r="DL727" s="909">
        <f>IF(dd_PartSA_2_lines = "Yes",0,_xlfn.IFNA(INDEX('Resource use and costs'!$CS$11:$CS$53,MATCH(DB727,'Resource use and costs'!$BA$11:$BA$53,0)),0)*_xlfn.IFNA(INDEX(EC$10:EC$23,MATCH($DB727,$DX$10:$DX$23,0)),0))</f>
        <v>0</v>
      </c>
      <c r="DM727" s="909">
        <f t="shared" si="324"/>
        <v>45284.183573333321</v>
      </c>
      <c r="DN727" s="909">
        <f>SUM(_xlfn.IFNA(INDEX('Resource use and costs'!$DU$12:$DU$25,MATCH(CZ727,'Resource use and costs'!$DS$12:$DS$25,0)),0),_xlfn.IFNA(INDEX('Resource use and costs'!$DU$12:$DU$25,MATCH(DA727,'Resource use and costs'!$DS$12:$DS$25,0)),0),_xlfn.IFNA(INDEX('Resource use and costs'!$DU$12:$DU$25,MATCH(DB727,'Resource use and costs'!$DS$12:$DS$25,0)),0))</f>
        <v>197.25</v>
      </c>
      <c r="DO727" s="921">
        <f>_xlfn.IFNA(INDEX('Resource use and costs'!$DY$12:$DY$25,MATCH(CZ727,'Resource use and costs'!$DS$12:$DS$25,0)),0)*_xlfn.IFNA(INDEX(DY$10:DY$23,MATCH($CZ727,$DX$10:$DX$23,0)),0)</f>
        <v>415.09348571428563</v>
      </c>
      <c r="DP727" s="921">
        <f>IF(dd_PartSA_2_lines = "Yes",0,_xlfn.IFNA(INDEX('Resource use and costs'!$DZ$12:$DZ$25,MATCH(DA727,'Resource use and costs'!$DS$12:$DS$25,0)),0)*_xlfn.IFNA(INDEX(EA$10:EA$23,MATCH($DA727,$DX$10:$DX$23,0)),0))</f>
        <v>0</v>
      </c>
      <c r="DQ727" s="921">
        <f>IF(dd_PartSA_2_lines = "Yes",0,_xlfn.IFNA(INDEX('Resource use and costs'!$EA$12:$EA$25,MATCH(DB727,'Resource use and costs'!$DS$12:$DS$25,0)),0)*_xlfn.IFNA(INDEX(EC$10:EC$23,MATCH($DB727,$DX$10:$DX$23,0)),0))</f>
        <v>0</v>
      </c>
      <c r="DR727" s="921">
        <f t="shared" si="325"/>
        <v>612.34348571428563</v>
      </c>
      <c r="DS727" s="1004">
        <f ca="1">SUMIFS('Safety parameters'!$DM$6:$DM$18,'Safety parameters'!$DK$6:$DK$18,CZ727,'Safety parameters'!$DL$6:$DL$18,1)+IF(dd_PartSA_2_lines = "Yes",0,SUMIFS('Safety parameters'!$DM$6:$DM$18,'Safety parameters'!$DK$6:$DK$18,DA727,'Safety parameters'!$DL$6:$DL$18,2)+SUMIFS('Safety parameters'!$DM$6:$DM$18,'Safety parameters'!$DK$6:$DK$18,DB727,'Safety parameters'!$DL$6:$DL$18,2))</f>
        <v>731.82916268415761</v>
      </c>
      <c r="DT727" s="910">
        <f ca="1">SUMIFS('Safety parameters'!$DO$6:$DO$18,'Safety parameters'!$DK$6:$DK$18,CZ727,'Safety parameters'!$DL$6:$DL$18,1)+IF(dd_PartSA_2_lines = "Yes",0,SUMIFS('Safety parameters'!$DO$6:$DO$18,'Safety parameters'!$DK$6:$DK$18,DA727,'Safety parameters'!$DL$6:$DL$18,2)+SUMIFS('Safety parameters'!$DO$6:$DO$18,'Safety parameters'!$DK$6:$DK$18,DB727,'Safety parameters'!$DL$6:$DL$18,2))</f>
        <v>-6.5169895084747891E-3</v>
      </c>
    </row>
    <row r="728" spans="99:124" x14ac:dyDescent="0.2">
      <c r="CU728" s="1123">
        <f>MATCH(CZ735,'Resource use and costs'!$BA$11:$BA$53,0)</f>
        <v>37</v>
      </c>
      <c r="CV728" s="1223"/>
      <c r="CW728" s="1241">
        <f t="shared" si="320"/>
        <v>1</v>
      </c>
      <c r="CX728" s="899" t="s">
        <v>794</v>
      </c>
      <c r="CY728" s="899" t="s">
        <v>319</v>
      </c>
      <c r="CZ728" s="899" t="s">
        <v>118</v>
      </c>
      <c r="DA728" s="899" t="s">
        <v>119</v>
      </c>
      <c r="DB728" s="899" t="s">
        <v>327</v>
      </c>
      <c r="DC728" s="899" cm="1">
        <f t="array" aca="1" ref="DC728" ca="1">_xlfn.IFNA(OFFSET($I$49,MATCH(CY728,$I$50:$I$63,0),MATCH(CZ728,TRANSPOSE($J$49:$W$49),0)),0)</f>
        <v>0.12902805074146864</v>
      </c>
      <c r="DD728" s="899" cm="1">
        <f t="array" aca="1" ref="DD728" ca="1">_xlfn.IFNA(OFFSET($Y$49,MATCH($CZ728,$Y$50:$Y$63,0),MATCH($DA728,TRANSPOSE($Z$49:$AM$49),0)),0)</f>
        <v>6.5699999999999995E-2</v>
      </c>
      <c r="DE728" s="899" cm="1">
        <f t="array" aca="1" ref="DE728" ca="1">_xlfn.IFNA(OFFSET($AO$49,MATCH($DA728,$AO$50:$AO$63,0),MATCH($DB728,TRANSPOSE($AP$49:$BC$49),0)),0)</f>
        <v>0</v>
      </c>
      <c r="DF728" s="881">
        <f t="shared" ca="1" si="322"/>
        <v>0</v>
      </c>
      <c r="DG728" s="910">
        <f t="shared" ca="1" si="319"/>
        <v>0.98859556831386541</v>
      </c>
      <c r="DH728" s="881">
        <f t="shared" ca="1" si="323"/>
        <v>0</v>
      </c>
      <c r="DI728" s="1460">
        <f t="shared" ca="1" si="321"/>
        <v>0</v>
      </c>
      <c r="DJ728" s="909">
        <f>_xlfn.IFNA(INDEX('Resource use and costs'!$CQ$11:$CQ$53,MATCH($CZ728,'Resource use and costs'!$BA$11:$BA$53,0)),0)*_xlfn.IFNA(INDEX(DY$10:DY$23,MATCH($CZ728,$DX$10:$DX$23,0)),0)</f>
        <v>45284.183573333321</v>
      </c>
      <c r="DK728" s="909">
        <f>IF(dd_PartSA_2_lines = "Yes",0,_xlfn.IFNA(INDEX('Resource use and costs'!$CR$11:$CR$53,MATCH(DA728,'Resource use and costs'!$BA$11:$BA$53,0)),0)*_xlfn.IFNA(INDEX(EA$10:EA$23,MATCH($DA728,$DX$10:$DX$23,0)),0))</f>
        <v>848.17532499999982</v>
      </c>
      <c r="DL728" s="909">
        <f>IF(dd_PartSA_2_lines = "Yes",0,_xlfn.IFNA(INDEX('Resource use and costs'!$CS$11:$CS$53,MATCH(DB728,'Resource use and costs'!$BA$11:$BA$53,0)),0)*_xlfn.IFNA(INDEX(EC$10:EC$23,MATCH($DB728,$DX$10:$DX$23,0)),0))</f>
        <v>18438.751749999999</v>
      </c>
      <c r="DM728" s="909">
        <f t="shared" si="324"/>
        <v>64571.110648333313</v>
      </c>
      <c r="DN728" s="909">
        <f>SUM(_xlfn.IFNA(INDEX('Resource use and costs'!$DU$12:$DU$25,MATCH(CZ728,'Resource use and costs'!$DS$12:$DS$25,0)),0),_xlfn.IFNA(INDEX('Resource use and costs'!$DU$12:$DU$25,MATCH(DA728,'Resource use and costs'!$DS$12:$DS$25,0)),0),_xlfn.IFNA(INDEX('Resource use and costs'!$DU$12:$DU$25,MATCH(DB728,'Resource use and costs'!$DS$12:$DS$25,0)),0))</f>
        <v>591.75</v>
      </c>
      <c r="DO728" s="921">
        <f>_xlfn.IFNA(INDEX('Resource use and costs'!$DY$12:$DY$25,MATCH(CZ728,'Resource use and costs'!$DS$12:$DS$25,0)),0)*_xlfn.IFNA(INDEX(DY$10:DY$23,MATCH($CZ728,$DX$10:$DX$23,0)),0)</f>
        <v>415.09348571428563</v>
      </c>
      <c r="DP728" s="921">
        <f>IF(dd_PartSA_2_lines = "Yes",0,_xlfn.IFNA(INDEX('Resource use and costs'!$DZ$12:$DZ$25,MATCH(DA728,'Resource use and costs'!$DS$12:$DS$25,0)),0)*_xlfn.IFNA(INDEX(EA$10:EA$23,MATCH($DA728,$DX$10:$DX$23,0)),0))</f>
        <v>74.50928571428571</v>
      </c>
      <c r="DQ728" s="921">
        <f>IF(dd_PartSA_2_lines = "Yes",0,_xlfn.IFNA(INDEX('Resource use and costs'!$EA$12:$EA$25,MATCH(DB728,'Resource use and costs'!$DS$12:$DS$25,0)),0)*_xlfn.IFNA(INDEX(EC$10:EC$23,MATCH($DB728,$DX$10:$DX$23,0)),0))</f>
        <v>230.68099999999998</v>
      </c>
      <c r="DR728" s="921">
        <f t="shared" si="325"/>
        <v>1312.0337714285713</v>
      </c>
      <c r="DS728" s="1004">
        <f ca="1">SUMIFS('Safety parameters'!$DM$6:$DM$18,'Safety parameters'!$DK$6:$DK$18,CZ728,'Safety parameters'!$DL$6:$DL$18,1)+IF(dd_PartSA_2_lines = "Yes",0,SUMIFS('Safety parameters'!$DM$6:$DM$18,'Safety parameters'!$DK$6:$DK$18,DA728,'Safety parameters'!$DL$6:$DL$18,2)+SUMIFS('Safety parameters'!$DM$6:$DM$18,'Safety parameters'!$DK$6:$DK$18,DB728,'Safety parameters'!$DL$6:$DL$18,2))</f>
        <v>2698.9332196249325</v>
      </c>
      <c r="DT728" s="910">
        <f ca="1">SUMIFS('Safety parameters'!$DO$6:$DO$18,'Safety parameters'!$DK$6:$DK$18,CZ728,'Safety parameters'!$DL$6:$DL$18,1)+IF(dd_PartSA_2_lines = "Yes",0,SUMIFS('Safety parameters'!$DO$6:$DO$18,'Safety parameters'!$DK$6:$DK$18,DA728,'Safety parameters'!$DL$6:$DL$18,2)+SUMIFS('Safety parameters'!$DO$6:$DO$18,'Safety parameters'!$DK$6:$DK$18,DB728,'Safety parameters'!$DL$6:$DL$18,2))</f>
        <v>-2.3926487052593939E-2</v>
      </c>
    </row>
    <row r="729" spans="99:124" x14ac:dyDescent="0.2">
      <c r="CU729" s="1123">
        <f>MATCH(CZ736,'Resource use and costs'!$BA$11:$BA$53,0)</f>
        <v>37</v>
      </c>
      <c r="CV729" s="1223"/>
      <c r="CW729" s="1241">
        <f t="shared" si="320"/>
        <v>1</v>
      </c>
      <c r="CX729" s="899" t="s">
        <v>794</v>
      </c>
      <c r="CY729" s="899" t="s">
        <v>319</v>
      </c>
      <c r="CZ729" s="899" t="s">
        <v>118</v>
      </c>
      <c r="DA729" s="899" t="s">
        <v>119</v>
      </c>
      <c r="DB729" s="899" t="s">
        <v>765</v>
      </c>
      <c r="DC729" s="899" cm="1">
        <f t="array" aca="1" ref="DC729" ca="1">_xlfn.IFNA(OFFSET($I$49,MATCH(CY729,$I$50:$I$63,0),MATCH(CZ729,TRANSPOSE($J$49:$W$49),0)),0)</f>
        <v>0.12902805074146864</v>
      </c>
      <c r="DD729" s="899" cm="1">
        <f t="array" aca="1" ref="DD729" ca="1">_xlfn.IFNA(OFFSET($Y$49,MATCH($CZ729,$Y$50:$Y$63,0),MATCH($DA729,TRANSPOSE($Z$49:$AM$49),0)),0)</f>
        <v>6.5699999999999995E-2</v>
      </c>
      <c r="DE729" s="899" cm="1">
        <f t="array" aca="1" ref="DE729" ca="1">_xlfn.IFNA(OFFSET($AO$49,MATCH($DA729,$AO$50:$AO$63,0),MATCH($DB729,TRANSPOSE($AP$49:$BC$49),0)),0)</f>
        <v>1</v>
      </c>
      <c r="DF729" s="881">
        <f t="shared" ca="1" si="322"/>
        <v>8.4771429337144894E-3</v>
      </c>
      <c r="DG729" s="910">
        <f t="shared" ca="1" si="319"/>
        <v>0.98859556831386541</v>
      </c>
      <c r="DH729" s="881">
        <f t="shared" ca="1" si="323"/>
        <v>8.3804659362333445E-3</v>
      </c>
      <c r="DI729" s="1460">
        <f t="shared" ca="1" si="321"/>
        <v>0.87156845736826782</v>
      </c>
      <c r="DJ729" s="909">
        <f>_xlfn.IFNA(INDEX('Resource use and costs'!$CQ$11:$CQ$53,MATCH($CZ729,'Resource use and costs'!$BA$11:$BA$53,0)),0)*_xlfn.IFNA(INDEX(DY$10:DY$23,MATCH($CZ729,$DX$10:$DX$23,0)),0)</f>
        <v>45284.183573333321</v>
      </c>
      <c r="DK729" s="909">
        <f>IF(dd_PartSA_2_lines = "Yes",0,_xlfn.IFNA(INDEX('Resource use and costs'!$CR$11:$CR$53,MATCH(DA729,'Resource use and costs'!$BA$11:$BA$53,0)),0)*_xlfn.IFNA(INDEX(EA$10:EA$23,MATCH($DA729,$DX$10:$DX$23,0)),0))</f>
        <v>848.17532499999982</v>
      </c>
      <c r="DL729" s="909">
        <f>IF(dd_PartSA_2_lines = "Yes",0,_xlfn.IFNA(INDEX('Resource use and costs'!$CS$11:$CS$53,MATCH(DB729,'Resource use and costs'!$BA$11:$BA$53,0)),0)*_xlfn.IFNA(INDEX(EC$10:EC$23,MATCH($DB729,$DX$10:$DX$23,0)),0))</f>
        <v>0</v>
      </c>
      <c r="DM729" s="909">
        <f t="shared" si="324"/>
        <v>46132.358898333317</v>
      </c>
      <c r="DN729" s="909">
        <f>SUM(_xlfn.IFNA(INDEX('Resource use and costs'!$DU$12:$DU$25,MATCH(CZ729,'Resource use and costs'!$DS$12:$DS$25,0)),0),_xlfn.IFNA(INDEX('Resource use and costs'!$DU$12:$DU$25,MATCH(DA729,'Resource use and costs'!$DS$12:$DS$25,0)),0),_xlfn.IFNA(INDEX('Resource use and costs'!$DU$12:$DU$25,MATCH(DB729,'Resource use and costs'!$DS$12:$DS$25,0)),0))</f>
        <v>394.5</v>
      </c>
      <c r="DO729" s="921">
        <f>_xlfn.IFNA(INDEX('Resource use and costs'!$DY$12:$DY$25,MATCH(CZ729,'Resource use and costs'!$DS$12:$DS$25,0)),0)*_xlfn.IFNA(INDEX(DY$10:DY$23,MATCH($CZ729,$DX$10:$DX$23,0)),0)</f>
        <v>415.09348571428563</v>
      </c>
      <c r="DP729" s="921">
        <f>IF(dd_PartSA_2_lines = "Yes",0,_xlfn.IFNA(INDEX('Resource use and costs'!$DZ$12:$DZ$25,MATCH(DA729,'Resource use and costs'!$DS$12:$DS$25,0)),0)*_xlfn.IFNA(INDEX(EA$10:EA$23,MATCH($DA729,$DX$10:$DX$23,0)),0))</f>
        <v>74.50928571428571</v>
      </c>
      <c r="DQ729" s="921">
        <f>IF(dd_PartSA_2_lines = "Yes",0,_xlfn.IFNA(INDEX('Resource use and costs'!$EA$12:$EA$25,MATCH(DB729,'Resource use and costs'!$DS$12:$DS$25,0)),0)*_xlfn.IFNA(INDEX(EC$10:EC$23,MATCH($DB729,$DX$10:$DX$23,0)),0))</f>
        <v>0</v>
      </c>
      <c r="DR729" s="921">
        <f t="shared" si="325"/>
        <v>884.10277142857137</v>
      </c>
      <c r="DS729" s="1004">
        <f ca="1">SUMIFS('Safety parameters'!$DM$6:$DM$18,'Safety parameters'!$DK$6:$DK$18,CZ729,'Safety parameters'!$DL$6:$DL$18,1)+IF(dd_PartSA_2_lines = "Yes",0,SUMIFS('Safety parameters'!$DM$6:$DM$18,'Safety parameters'!$DK$6:$DK$18,DA729,'Safety parameters'!$DL$6:$DL$18,2)+SUMIFS('Safety parameters'!$DM$6:$DM$18,'Safety parameters'!$DK$6:$DK$18,DB729,'Safety parameters'!$DL$6:$DL$18,2))</f>
        <v>1064.7045460594725</v>
      </c>
      <c r="DT729" s="910">
        <f ca="1">SUMIFS('Safety parameters'!$DO$6:$DO$18,'Safety parameters'!$DK$6:$DK$18,CZ729,'Safety parameters'!$DL$6:$DL$18,1)+IF(dd_PartSA_2_lines = "Yes",0,SUMIFS('Safety parameters'!$DO$6:$DO$18,'Safety parameters'!$DK$6:$DK$18,DA729,'Safety parameters'!$DL$6:$DL$18,2)+SUMIFS('Safety parameters'!$DO$6:$DO$18,'Safety parameters'!$DK$6:$DK$18,DB729,'Safety parameters'!$DL$6:$DL$18,2))</f>
        <v>-9.184563045112509E-3</v>
      </c>
    </row>
    <row r="730" spans="99:124" x14ac:dyDescent="0.2">
      <c r="CU730" s="1123">
        <f>MATCH(CZ737,'Resource use and costs'!$BA$11:$BA$53,0)</f>
        <v>37</v>
      </c>
      <c r="CV730" s="1223"/>
      <c r="CW730" s="1241">
        <f t="shared" si="320"/>
        <v>1</v>
      </c>
      <c r="CX730" s="899" t="s">
        <v>794</v>
      </c>
      <c r="CY730" s="899" t="s">
        <v>319</v>
      </c>
      <c r="CZ730" s="899" t="s">
        <v>118</v>
      </c>
      <c r="DA730" s="899" t="s">
        <v>579</v>
      </c>
      <c r="DB730" s="899" t="s">
        <v>327</v>
      </c>
      <c r="DC730" s="899" cm="1">
        <f t="array" aca="1" ref="DC730" ca="1">_xlfn.IFNA(OFFSET($I$49,MATCH(CY730,$I$50:$I$63,0),MATCH(CZ730,TRANSPOSE($J$49:$W$49),0)),0)</f>
        <v>0.12902805074146864</v>
      </c>
      <c r="DD730" s="899">
        <f ca="1">1-DD725-DD727-DD728</f>
        <v>0.46929999999999994</v>
      </c>
      <c r="DE730" s="899" cm="1">
        <f t="array" aca="1" ref="DE730" ca="1">_xlfn.IFNA(OFFSET($AO$49,MATCH($DA730,$AO$50:$AO$63,0),MATCH($DB730,TRANSPOSE($AP$49:$BC$49),0)),0)</f>
        <v>0.56859999999999999</v>
      </c>
      <c r="DF730" s="881">
        <f t="shared" ca="1" si="322"/>
        <v>3.4430358591495437E-2</v>
      </c>
      <c r="DG730" s="910">
        <f t="shared" ca="1" si="319"/>
        <v>0.98859556831386541</v>
      </c>
      <c r="DH730" s="881">
        <f t="shared" ca="1" si="323"/>
        <v>3.4037699919009609E-2</v>
      </c>
      <c r="DI730" s="1460">
        <f t="shared" ca="1" si="321"/>
        <v>3.5399207915769995</v>
      </c>
      <c r="DJ730" s="909">
        <f>_xlfn.IFNA(INDEX('Resource use and costs'!$CQ$11:$CQ$53,MATCH($CZ730,'Resource use and costs'!$BA$11:$BA$53,0)),0)*_xlfn.IFNA(INDEX(DY$10:DY$23,MATCH($CZ730,$DX$10:$DX$23,0)),0)</f>
        <v>45284.183573333321</v>
      </c>
      <c r="DK730" s="909">
        <f>IF(dd_PartSA_2_lines = "Yes",0,_xlfn.IFNA(INDEX('Resource use and costs'!$CR$11:$CR$53,MATCH(DA730,'Resource use and costs'!$BA$11:$BA$53,0)),0)*_xlfn.IFNA(INDEX(EA$10:EA$23,MATCH($DA730,$DX$10:$DX$23,0)),0))</f>
        <v>26054.50921</v>
      </c>
      <c r="DL730" s="909">
        <f>IF(dd_PartSA_2_lines = "Yes",0,_xlfn.IFNA(INDEX('Resource use and costs'!$CS$11:$CS$53,MATCH(DB730,'Resource use and costs'!$BA$11:$BA$53,0)),0)*_xlfn.IFNA(INDEX(EC$10:EC$23,MATCH($DB730,$DX$10:$DX$23,0)),0))</f>
        <v>18438.751749999999</v>
      </c>
      <c r="DM730" s="909">
        <f t="shared" si="324"/>
        <v>89777.444533333313</v>
      </c>
      <c r="DN730" s="909">
        <f>SUM(_xlfn.IFNA(INDEX('Resource use and costs'!$DU$12:$DU$25,MATCH(CZ730,'Resource use and costs'!$DS$12:$DS$25,0)),0),_xlfn.IFNA(INDEX('Resource use and costs'!$DU$12:$DU$25,MATCH(DA730,'Resource use and costs'!$DS$12:$DS$25,0)),0),_xlfn.IFNA(INDEX('Resource use and costs'!$DU$12:$DU$25,MATCH(DB730,'Resource use and costs'!$DS$12:$DS$25,0)),0))</f>
        <v>394.5</v>
      </c>
      <c r="DO730" s="921">
        <f>_xlfn.IFNA(INDEX('Resource use and costs'!$DY$12:$DY$25,MATCH(CZ730,'Resource use and costs'!$DS$12:$DS$25,0)),0)*_xlfn.IFNA(INDEX(DY$10:DY$23,MATCH($CZ730,$DX$10:$DX$23,0)),0)</f>
        <v>415.09348571428563</v>
      </c>
      <c r="DP730" s="921">
        <f>IF(dd_PartSA_2_lines = "Yes",0,_xlfn.IFNA(INDEX('Resource use and costs'!$DZ$12:$DZ$25,MATCH(DA730,'Resource use and costs'!$DS$12:$DS$25,0)),0)*_xlfn.IFNA(INDEX(EA$10:EA$23,MATCH($DA730,$DX$10:$DX$23,0)),0))</f>
        <v>4108.3597166</v>
      </c>
      <c r="DQ730" s="921">
        <f>IF(dd_PartSA_2_lines = "Yes",0,_xlfn.IFNA(INDEX('Resource use and costs'!$EA$12:$EA$25,MATCH(DB730,'Resource use and costs'!$DS$12:$DS$25,0)),0)*_xlfn.IFNA(INDEX(EC$10:EC$23,MATCH($DB730,$DX$10:$DX$23,0)),0))</f>
        <v>230.68099999999998</v>
      </c>
      <c r="DR730" s="921">
        <f t="shared" si="325"/>
        <v>5148.6342023142852</v>
      </c>
      <c r="DS730" s="1004">
        <f ca="1">SUMIFS('Safety parameters'!$DM$6:$DM$18,'Safety parameters'!$DK$6:$DK$18,CZ730,'Safety parameters'!$DL$6:$DL$18,1)+IF(dd_PartSA_2_lines = "Yes",0,SUMIFS('Safety parameters'!$DM$6:$DM$18,'Safety parameters'!$DK$6:$DK$18,DA730,'Safety parameters'!$DL$6:$DL$18,2)+SUMIFS('Safety parameters'!$DM$6:$DM$18,'Safety parameters'!$DK$6:$DK$18,DB730,'Safety parameters'!$DL$6:$DL$18,2))</f>
        <v>2527.1915852400316</v>
      </c>
      <c r="DT730" s="910">
        <f ca="1">SUMIFS('Safety parameters'!$DO$6:$DO$18,'Safety parameters'!$DK$6:$DK$18,CZ730,'Safety parameters'!$DL$6:$DL$18,1)+IF(dd_PartSA_2_lines = "Yes",0,SUMIFS('Safety parameters'!$DO$6:$DO$18,'Safety parameters'!$DK$6:$DK$18,DA730,'Safety parameters'!$DL$6:$DL$18,2)+SUMIFS('Safety parameters'!$DO$6:$DO$18,'Safety parameters'!$DK$6:$DK$18,DB730,'Safety parameters'!$DL$6:$DL$18,2))</f>
        <v>-2.2855997713641003E-2</v>
      </c>
    </row>
    <row r="731" spans="99:124" x14ac:dyDescent="0.2">
      <c r="CU731" s="1123">
        <f>MATCH(CZ738,'Resource use and costs'!$BA$11:$BA$53,0)</f>
        <v>37</v>
      </c>
      <c r="CV731" s="1223"/>
      <c r="CW731" s="1241">
        <f t="shared" si="320"/>
        <v>1</v>
      </c>
      <c r="CX731" s="899" t="s">
        <v>794</v>
      </c>
      <c r="CY731" s="899" t="s">
        <v>319</v>
      </c>
      <c r="CZ731" s="899" t="s">
        <v>118</v>
      </c>
      <c r="DA731" s="899" t="s">
        <v>579</v>
      </c>
      <c r="DB731" s="899" t="s">
        <v>765</v>
      </c>
      <c r="DC731" s="899" cm="1">
        <f t="array" aca="1" ref="DC731" ca="1">_xlfn.IFNA(OFFSET($I$49,MATCH(CY731,$I$50:$I$63,0),MATCH(CZ731,TRANSPOSE($J$49:$W$49),0)),0)</f>
        <v>0.12902805074146864</v>
      </c>
      <c r="DD731" s="899">
        <f ca="1">DD730</f>
        <v>0.46929999999999994</v>
      </c>
      <c r="DE731" s="899" cm="1">
        <f t="array" aca="1" ref="DE731" ca="1">_xlfn.IFNA(OFFSET($AO$49,MATCH($DA731,$AO$50:$AO$63,0),MATCH($DB731,TRANSPOSE($AP$49:$BC$49),0)),0)</f>
        <v>0.43140000000000001</v>
      </c>
      <c r="DF731" s="881">
        <f t="shared" ca="1" si="322"/>
        <v>2.6122505621475788E-2</v>
      </c>
      <c r="DG731" s="910">
        <f t="shared" ca="1" si="319"/>
        <v>0.98859556831386541</v>
      </c>
      <c r="DH731" s="881">
        <f t="shared" ca="1" si="323"/>
        <v>2.5824593290645001E-2</v>
      </c>
      <c r="DI731" s="1460">
        <f t="shared" ca="1" si="321"/>
        <v>2.6857577022270802</v>
      </c>
      <c r="DJ731" s="909">
        <f>_xlfn.IFNA(INDEX('Resource use and costs'!$CQ$11:$CQ$53,MATCH($CZ731,'Resource use and costs'!$BA$11:$BA$53,0)),0)*_xlfn.IFNA(INDEX(DY$10:DY$23,MATCH($CZ731,$DX$10:$DX$23,0)),0)</f>
        <v>45284.183573333321</v>
      </c>
      <c r="DK731" s="909">
        <f>IF(dd_PartSA_2_lines = "Yes",0,_xlfn.IFNA(INDEX('Resource use and costs'!$CR$11:$CR$53,MATCH(DA731,'Resource use and costs'!$BA$11:$BA$53,0)),0)*_xlfn.IFNA(INDEX(EA$10:EA$23,MATCH($DA731,$DX$10:$DX$23,0)),0))</f>
        <v>26054.50921</v>
      </c>
      <c r="DL731" s="909">
        <f>IF(dd_PartSA_2_lines = "Yes",0,_xlfn.IFNA(INDEX('Resource use and costs'!$CS$11:$CS$53,MATCH(DB731,'Resource use and costs'!$BA$11:$BA$53,0)),0)*_xlfn.IFNA(INDEX(EC$10:EC$23,MATCH($DB731,$DX$10:$DX$23,0)),0))</f>
        <v>0</v>
      </c>
      <c r="DM731" s="909">
        <f t="shared" si="324"/>
        <v>71338.692783333317</v>
      </c>
      <c r="DN731" s="909">
        <f>SUM(_xlfn.IFNA(INDEX('Resource use and costs'!$DU$12:$DU$25,MATCH(CZ731,'Resource use and costs'!$DS$12:$DS$25,0)),0),_xlfn.IFNA(INDEX('Resource use and costs'!$DU$12:$DU$25,MATCH(DA731,'Resource use and costs'!$DS$12:$DS$25,0)),0),_xlfn.IFNA(INDEX('Resource use and costs'!$DU$12:$DU$25,MATCH(DB731,'Resource use and costs'!$DS$12:$DS$25,0)),0))</f>
        <v>197.25</v>
      </c>
      <c r="DO731" s="921">
        <f>_xlfn.IFNA(INDEX('Resource use and costs'!$DY$12:$DY$25,MATCH(CZ731,'Resource use and costs'!$DS$12:$DS$25,0)),0)*_xlfn.IFNA(INDEX(DY$10:DY$23,MATCH($CZ731,$DX$10:$DX$23,0)),0)</f>
        <v>415.09348571428563</v>
      </c>
      <c r="DP731" s="921">
        <f>IF(dd_PartSA_2_lines = "Yes",0,_xlfn.IFNA(INDEX('Resource use and costs'!$DZ$12:$DZ$25,MATCH(DA731,'Resource use and costs'!$DS$12:$DS$25,0)),0)*_xlfn.IFNA(INDEX(EA$10:EA$23,MATCH($DA731,$DX$10:$DX$23,0)),0))</f>
        <v>4108.3597166</v>
      </c>
      <c r="DQ731" s="921">
        <f>IF(dd_PartSA_2_lines = "Yes",0,_xlfn.IFNA(INDEX('Resource use and costs'!$EA$12:$EA$25,MATCH(DB731,'Resource use and costs'!$DS$12:$DS$25,0)),0)*_xlfn.IFNA(INDEX(EC$10:EC$23,MATCH($DB731,$DX$10:$DX$23,0)),0))</f>
        <v>0</v>
      </c>
      <c r="DR731" s="921">
        <f t="shared" si="325"/>
        <v>4720.7032023142856</v>
      </c>
      <c r="DS731" s="1004">
        <f ca="1">SUMIFS('Safety parameters'!$DM$6:$DM$18,'Safety parameters'!$DK$6:$DK$18,CZ731,'Safety parameters'!$DL$6:$DL$18,1)+IF(dd_PartSA_2_lines = "Yes",0,SUMIFS('Safety parameters'!$DM$6:$DM$18,'Safety parameters'!$DK$6:$DK$18,DA731,'Safety parameters'!$DL$6:$DL$18,2)+SUMIFS('Safety parameters'!$DM$6:$DM$18,'Safety parameters'!$DK$6:$DK$18,DB731,'Safety parameters'!$DL$6:$DL$18,2))</f>
        <v>892.96291167457207</v>
      </c>
      <c r="DT731" s="910">
        <f ca="1">SUMIFS('Safety parameters'!$DO$6:$DO$18,'Safety parameters'!$DK$6:$DK$18,CZ731,'Safety parameters'!$DL$6:$DL$18,1)+IF(dd_PartSA_2_lines = "Yes",0,SUMIFS('Safety parameters'!$DO$6:$DO$18,'Safety parameters'!$DK$6:$DK$18,DA731,'Safety parameters'!$DL$6:$DL$18,2)+SUMIFS('Safety parameters'!$DO$6:$DO$18,'Safety parameters'!$DK$6:$DK$18,DB731,'Safety parameters'!$DL$6:$DL$18,2))</f>
        <v>-8.1140737061595747E-3</v>
      </c>
    </row>
    <row r="732" spans="99:124" x14ac:dyDescent="0.2">
      <c r="CU732" s="1123">
        <f>MATCH(CZ739,'Resource use and costs'!$BA$11:$BA$53,0)</f>
        <v>43</v>
      </c>
      <c r="CV732" s="1223"/>
      <c r="CW732" s="1241">
        <f t="shared" si="320"/>
        <v>1</v>
      </c>
      <c r="CX732" s="899" t="s">
        <v>794</v>
      </c>
      <c r="CY732" s="899" t="s">
        <v>319</v>
      </c>
      <c r="CZ732" s="899" t="s">
        <v>118</v>
      </c>
      <c r="DA732" s="899" t="s">
        <v>579</v>
      </c>
      <c r="DB732" s="899" t="s">
        <v>119</v>
      </c>
      <c r="DC732" s="899" cm="1">
        <f t="array" aca="1" ref="DC732" ca="1">_xlfn.IFNA(OFFSET($I$49,MATCH(CY732,$I$50:$I$63,0),MATCH(CZ732,TRANSPOSE($J$49:$W$49),0)),0)</f>
        <v>0.12902805074146864</v>
      </c>
      <c r="DD732" s="899">
        <f ca="1">DD731</f>
        <v>0.46929999999999994</v>
      </c>
      <c r="DE732" s="899" cm="1">
        <f t="array" aca="1" ref="DE732" ca="1">_xlfn.IFNA(OFFSET($AO$49,MATCH($DA732,$AO$50:$AO$63,0),MATCH($DB732,TRANSPOSE($AP$49:$BC$49),0)),0)</f>
        <v>0</v>
      </c>
      <c r="DF732" s="881">
        <f t="shared" ca="1" si="322"/>
        <v>0</v>
      </c>
      <c r="DG732" s="910">
        <f t="shared" ca="1" si="319"/>
        <v>0.98859556831386541</v>
      </c>
      <c r="DH732" s="881">
        <f t="shared" ca="1" si="323"/>
        <v>0</v>
      </c>
      <c r="DI732" s="1460">
        <f t="shared" ca="1" si="321"/>
        <v>0</v>
      </c>
      <c r="DJ732" s="909">
        <f>_xlfn.IFNA(INDEX('Resource use and costs'!$CQ$11:$CQ$53,MATCH($CZ732,'Resource use and costs'!$BA$11:$BA$53,0)),0)*_xlfn.IFNA(INDEX(DY$10:DY$23,MATCH($CZ732,$DX$10:$DX$23,0)),0)</f>
        <v>45284.183573333321</v>
      </c>
      <c r="DK732" s="909">
        <f>IF(dd_PartSA_2_lines = "Yes",0,_xlfn.IFNA(INDEX('Resource use and costs'!$CR$11:$CR$53,MATCH(DA732,'Resource use and costs'!$BA$11:$BA$53,0)),0)*_xlfn.IFNA(INDEX(EA$10:EA$23,MATCH($DA732,$DX$10:$DX$23,0)),0))</f>
        <v>26054.50921</v>
      </c>
      <c r="DL732" s="909">
        <f>IF(dd_PartSA_2_lines = "Yes",0,_xlfn.IFNA(INDEX('Resource use and costs'!$CS$11:$CS$53,MATCH(DB732,'Resource use and costs'!$BA$11:$BA$53,0)),0)*_xlfn.IFNA(INDEX(EC$10:EC$23,MATCH($DB732,$DX$10:$DX$23,0)),0))</f>
        <v>2915.4763433333328</v>
      </c>
      <c r="DM732" s="909">
        <f t="shared" si="324"/>
        <v>74254.169126666646</v>
      </c>
      <c r="DN732" s="909">
        <f>SUM(_xlfn.IFNA(INDEX('Resource use and costs'!$DU$12:$DU$25,MATCH(CZ732,'Resource use and costs'!$DS$12:$DS$25,0)),0),_xlfn.IFNA(INDEX('Resource use and costs'!$DU$12:$DU$25,MATCH(DA732,'Resource use and costs'!$DS$12:$DS$25,0)),0),_xlfn.IFNA(INDEX('Resource use and costs'!$DU$12:$DU$25,MATCH(DB732,'Resource use and costs'!$DS$12:$DS$25,0)),0))</f>
        <v>394.5</v>
      </c>
      <c r="DO732" s="921">
        <f>_xlfn.IFNA(INDEX('Resource use and costs'!$DY$12:$DY$25,MATCH(CZ732,'Resource use and costs'!$DS$12:$DS$25,0)),0)*_xlfn.IFNA(INDEX(DY$10:DY$23,MATCH($CZ732,$DX$10:$DX$23,0)),0)</f>
        <v>415.09348571428563</v>
      </c>
      <c r="DP732" s="921">
        <f>IF(dd_PartSA_2_lines = "Yes",0,_xlfn.IFNA(INDEX('Resource use and costs'!$DZ$12:$DZ$25,MATCH(DA732,'Resource use and costs'!$DS$12:$DS$25,0)),0)*_xlfn.IFNA(INDEX(EA$10:EA$23,MATCH($DA732,$DX$10:$DX$23,0)),0))</f>
        <v>4108.3597166</v>
      </c>
      <c r="DQ732" s="921">
        <f>IF(dd_PartSA_2_lines = "Yes",0,_xlfn.IFNA(INDEX('Resource use and costs'!$EA$12:$EA$25,MATCH(DB732,'Resource use and costs'!$DS$12:$DS$25,0)),0)*_xlfn.IFNA(INDEX(EC$10:EC$23,MATCH($DB732,$DX$10:$DX$23,0)),0))</f>
        <v>256.11457142857142</v>
      </c>
      <c r="DR732" s="921">
        <f t="shared" si="325"/>
        <v>5174.0677737428568</v>
      </c>
      <c r="DS732" s="1004">
        <f ca="1">SUMIFS('Safety parameters'!$DM$6:$DM$18,'Safety parameters'!$DK$6:$DK$18,CZ732,'Safety parameters'!$DL$6:$DL$18,1)+IF(dd_PartSA_2_lines = "Yes",0,SUMIFS('Safety parameters'!$DM$6:$DM$18,'Safety parameters'!$DK$6:$DK$18,DA732,'Safety parameters'!$DL$6:$DL$18,2)+SUMIFS('Safety parameters'!$DM$6:$DM$18,'Safety parameters'!$DK$6:$DK$18,DB732,'Safety parameters'!$DL$6:$DL$18,2))</f>
        <v>1225.8382950498869</v>
      </c>
      <c r="DT732" s="910">
        <f ca="1">SUMIFS('Safety parameters'!$DO$6:$DO$18,'Safety parameters'!$DK$6:$DK$18,CZ732,'Safety parameters'!$DL$6:$DL$18,1)+IF(dd_PartSA_2_lines = "Yes",0,SUMIFS('Safety parameters'!$DO$6:$DO$18,'Safety parameters'!$DK$6:$DK$18,DA732,'Safety parameters'!$DL$6:$DL$18,2)+SUMIFS('Safety parameters'!$DO$6:$DO$18,'Safety parameters'!$DK$6:$DK$18,DB732,'Safety parameters'!$DL$6:$DL$18,2))</f>
        <v>-1.0781647242797295E-2</v>
      </c>
    </row>
    <row r="733" spans="99:124" x14ac:dyDescent="0.2">
      <c r="CU733" s="1123">
        <f>MATCH(CZ740,'Resource use and costs'!$BA$11:$BA$53,0)</f>
        <v>43</v>
      </c>
      <c r="CV733" s="1223"/>
      <c r="CW733" s="1241">
        <f t="shared" si="320"/>
        <v>1</v>
      </c>
      <c r="CX733" s="899" t="s">
        <v>794</v>
      </c>
      <c r="CY733" s="899" t="s">
        <v>319</v>
      </c>
      <c r="CZ733" s="899" t="s">
        <v>119</v>
      </c>
      <c r="DA733" s="899" t="s">
        <v>327</v>
      </c>
      <c r="DB733" s="899" t="s">
        <v>765</v>
      </c>
      <c r="DC733" s="899" cm="1">
        <f t="array" aca="1" ref="DC733" ca="1">_xlfn.IFNA(OFFSET($I$49,MATCH(CY733,$I$50:$I$63,0),MATCH(CZ733,TRANSPOSE($J$49:$W$49),0)),0)</f>
        <v>0</v>
      </c>
      <c r="DD733" s="899" cm="1">
        <f t="array" aca="1" ref="DD733" ca="1">_xlfn.IFNA(OFFSET($Y$49,MATCH($CZ733,$Y$50:$Y$63,0),MATCH($DA733,TRANSPOSE($Z$49:$AM$49),0)),0)</f>
        <v>0</v>
      </c>
      <c r="DE733" s="899" cm="1">
        <f t="array" aca="1" ref="DE733" ca="1">_xlfn.IFNA(OFFSET($AO$49,MATCH($DA733,$AO$50:$AO$63,0),MATCH($DB733,TRANSPOSE($AP$49:$BC$49),0)),0)</f>
        <v>0.43140000000000001</v>
      </c>
      <c r="DF733" s="881">
        <f t="shared" ca="1" si="322"/>
        <v>0</v>
      </c>
      <c r="DG733" s="910">
        <f t="shared" ca="1" si="319"/>
        <v>0.98859556831386541</v>
      </c>
      <c r="DH733" s="881">
        <f t="shared" ca="1" si="323"/>
        <v>0</v>
      </c>
      <c r="DI733" s="1460">
        <f t="shared" ca="1" si="321"/>
        <v>0</v>
      </c>
      <c r="DJ733" s="909">
        <f>_xlfn.IFNA(INDEX('Resource use and costs'!$CQ$11:$CQ$53,MATCH($CZ733,'Resource use and costs'!$BA$11:$BA$53,0)),0)*_xlfn.IFNA(INDEX(DY$10:DY$23,MATCH($CZ733,$DX$10:$DX$23,0)),0)</f>
        <v>944.50399999999979</v>
      </c>
      <c r="DK733" s="909">
        <f>IF(dd_PartSA_2_lines = "Yes",0,_xlfn.IFNA(INDEX('Resource use and costs'!$CR$11:$CR$53,MATCH(DA733,'Resource use and costs'!$BA$11:$BA$53,0)),0)*_xlfn.IFNA(INDEX(EA$10:EA$23,MATCH($DA733,$DX$10:$DX$23,0)),0))</f>
        <v>21421.066008214286</v>
      </c>
      <c r="DL733" s="909">
        <f>IF(dd_PartSA_2_lines = "Yes",0,_xlfn.IFNA(INDEX('Resource use and costs'!$CS$11:$CS$53,MATCH(DB733,'Resource use and costs'!$BA$11:$BA$53,0)),0)*_xlfn.IFNA(INDEX(EC$10:EC$23,MATCH($DB733,$DX$10:$DX$23,0)),0))</f>
        <v>0</v>
      </c>
      <c r="DM733" s="909">
        <f t="shared" si="324"/>
        <v>22365.570008214287</v>
      </c>
      <c r="DN733" s="909">
        <f>SUM(_xlfn.IFNA(INDEX('Resource use and costs'!$DU$12:$DU$25,MATCH(CZ733,'Resource use and costs'!$DS$12:$DS$25,0)),0),_xlfn.IFNA(INDEX('Resource use and costs'!$DU$12:$DU$25,MATCH(DA733,'Resource use and costs'!$DS$12:$DS$25,0)),0),_xlfn.IFNA(INDEX('Resource use and costs'!$DU$12:$DU$25,MATCH(DB733,'Resource use and costs'!$DS$12:$DS$25,0)),0))</f>
        <v>394.5</v>
      </c>
      <c r="DO733" s="921">
        <f>_xlfn.IFNA(INDEX('Resource use and costs'!$DY$12:$DY$25,MATCH(CZ733,'Resource use and costs'!$DS$12:$DS$25,0)),0)*_xlfn.IFNA(INDEX(DY$10:DY$23,MATCH($CZ733,$DX$10:$DX$23,0)),0)</f>
        <v>82.971428571428561</v>
      </c>
      <c r="DP733" s="921">
        <f>IF(dd_PartSA_2_lines = "Yes",0,_xlfn.IFNA(INDEX('Resource use and costs'!$DZ$12:$DZ$25,MATCH(DA733,'Resource use and costs'!$DS$12:$DS$25,0)),0)*_xlfn.IFNA(INDEX(EA$10:EA$23,MATCH($DA733,$DX$10:$DX$23,0)),0))</f>
        <v>267.99172714285714</v>
      </c>
      <c r="DQ733" s="921">
        <f>IF(dd_PartSA_2_lines = "Yes",0,_xlfn.IFNA(INDEX('Resource use and costs'!$EA$12:$EA$25,MATCH(DB733,'Resource use and costs'!$DS$12:$DS$25,0)),0)*_xlfn.IFNA(INDEX(EC$10:EC$23,MATCH($DB733,$DX$10:$DX$23,0)),0))</f>
        <v>0</v>
      </c>
      <c r="DR733" s="921">
        <f t="shared" si="325"/>
        <v>745.46315571428568</v>
      </c>
      <c r="DS733" s="1004">
        <f ca="1">SUMIFS('Safety parameters'!$DM$6:$DM$18,'Safety parameters'!$DK$6:$DK$18,CZ733,'Safety parameters'!$DL$6:$DL$18,1)+IF(dd_PartSA_2_lines = "Yes",0,SUMIFS('Safety parameters'!$DM$6:$DM$18,'Safety parameters'!$DK$6:$DK$18,DA733,'Safety parameters'!$DL$6:$DL$18,2)+SUMIFS('Safety parameters'!$DM$6:$DM$18,'Safety parameters'!$DK$6:$DK$18,DB733,'Safety parameters'!$DL$6:$DL$18,2))</f>
        <v>1634.2286735654598</v>
      </c>
      <c r="DT733" s="910">
        <f ca="1">SUMIFS('Safety parameters'!$DO$6:$DO$18,'Safety parameters'!$DK$6:$DK$18,CZ733,'Safety parameters'!$DL$6:$DL$18,1)+IF(dd_PartSA_2_lines = "Yes",0,SUMIFS('Safety parameters'!$DO$6:$DO$18,'Safety parameters'!$DK$6:$DK$18,DA733,'Safety parameters'!$DL$6:$DL$18,2)+SUMIFS('Safety parameters'!$DO$6:$DO$18,'Safety parameters'!$DK$6:$DK$18,DB733,'Safety parameters'!$DL$6:$DL$18,2))</f>
        <v>-1.4741924007481429E-2</v>
      </c>
    </row>
    <row r="734" spans="99:124" x14ac:dyDescent="0.2">
      <c r="CU734" s="1123">
        <f>MATCH(CZ741,'Resource use and costs'!$BA$11:$BA$53,0)</f>
        <v>43</v>
      </c>
      <c r="CV734" s="1223"/>
      <c r="CW734" s="1241">
        <f t="shared" si="320"/>
        <v>1</v>
      </c>
      <c r="CX734" s="899" t="s">
        <v>794</v>
      </c>
      <c r="CY734" s="899" t="s">
        <v>319</v>
      </c>
      <c r="CZ734" s="899" t="s">
        <v>119</v>
      </c>
      <c r="DA734" s="899" t="s">
        <v>765</v>
      </c>
      <c r="DB734" s="899"/>
      <c r="DC734" s="899" cm="1">
        <f t="array" aca="1" ref="DC734" ca="1">_xlfn.IFNA(OFFSET($I$49,MATCH(CY734,$I$50:$I$63,0),MATCH(CZ734,TRANSPOSE($J$49:$W$49),0)),0)</f>
        <v>0</v>
      </c>
      <c r="DD734" s="899" cm="1">
        <f t="array" aca="1" ref="DD734" ca="1">_xlfn.IFNA(OFFSET($Y$49,MATCH($CZ734,$Y$50:$Y$63,0),MATCH($DA734,TRANSPOSE($Z$49:$AM$49),0)),0)</f>
        <v>1</v>
      </c>
      <c r="DE734" s="899" cm="1">
        <f t="array" aca="1" ref="DE734" ca="1">_xlfn.IFNA(OFFSET($AO$49,MATCH($DA734,$AO$50:$AO$63,0),MATCH($DB734,TRANSPOSE($AP$49:$BC$49),0)),0)</f>
        <v>0</v>
      </c>
      <c r="DF734" s="881">
        <f t="shared" ca="1" si="322"/>
        <v>0</v>
      </c>
      <c r="DG734" s="910">
        <f t="shared" ca="1" si="319"/>
        <v>0.98859556831386541</v>
      </c>
      <c r="DH734" s="881">
        <f t="shared" ca="1" si="323"/>
        <v>0</v>
      </c>
      <c r="DI734" s="1460">
        <f t="shared" ca="1" si="321"/>
        <v>0</v>
      </c>
      <c r="DJ734" s="909">
        <f>_xlfn.IFNA(INDEX('Resource use and costs'!$CQ$11:$CQ$53,MATCH($CZ734,'Resource use and costs'!$BA$11:$BA$53,0)),0)*_xlfn.IFNA(INDEX(DY$10:DY$23,MATCH($CZ734,$DX$10:$DX$23,0)),0)</f>
        <v>944.50399999999979</v>
      </c>
      <c r="DK734" s="909">
        <f>IF(dd_PartSA_2_lines = "Yes",0,_xlfn.IFNA(INDEX('Resource use and costs'!$CR$11:$CR$53,MATCH(DA734,'Resource use and costs'!$BA$11:$BA$53,0)),0)*_xlfn.IFNA(INDEX(EA$10:EA$23,MATCH($DA734,$DX$10:$DX$23,0)),0))</f>
        <v>0</v>
      </c>
      <c r="DL734" s="909">
        <f>IF(dd_PartSA_2_lines = "Yes",0,_xlfn.IFNA(INDEX('Resource use and costs'!$CS$11:$CS$53,MATCH(DB734,'Resource use and costs'!$BA$11:$BA$53,0)),0)*_xlfn.IFNA(INDEX(EC$10:EC$23,MATCH($DB734,$DX$10:$DX$23,0)),0))</f>
        <v>0</v>
      </c>
      <c r="DM734" s="909">
        <f t="shared" si="324"/>
        <v>944.50399999999979</v>
      </c>
      <c r="DN734" s="909">
        <f>SUM(_xlfn.IFNA(INDEX('Resource use and costs'!$DU$12:$DU$25,MATCH(CZ734,'Resource use and costs'!$DS$12:$DS$25,0)),0),_xlfn.IFNA(INDEX('Resource use and costs'!$DU$12:$DU$25,MATCH(DA734,'Resource use and costs'!$DS$12:$DS$25,0)),0),_xlfn.IFNA(INDEX('Resource use and costs'!$DU$12:$DU$25,MATCH(DB734,'Resource use and costs'!$DS$12:$DS$25,0)),0))</f>
        <v>197.25</v>
      </c>
      <c r="DO734" s="921">
        <f>_xlfn.IFNA(INDEX('Resource use and costs'!$DY$12:$DY$25,MATCH(CZ734,'Resource use and costs'!$DS$12:$DS$25,0)),0)*_xlfn.IFNA(INDEX(DY$10:DY$23,MATCH($CZ734,$DX$10:$DX$23,0)),0)</f>
        <v>82.971428571428561</v>
      </c>
      <c r="DP734" s="921">
        <f>IF(dd_PartSA_2_lines = "Yes",0,_xlfn.IFNA(INDEX('Resource use and costs'!$DZ$12:$DZ$25,MATCH(DA734,'Resource use and costs'!$DS$12:$DS$25,0)),0)*_xlfn.IFNA(INDEX(EA$10:EA$23,MATCH($DA734,$DX$10:$DX$23,0)),0))</f>
        <v>0</v>
      </c>
      <c r="DQ734" s="921">
        <f>IF(dd_PartSA_2_lines = "Yes",0,_xlfn.IFNA(INDEX('Resource use and costs'!$EA$12:$EA$25,MATCH(DB734,'Resource use and costs'!$DS$12:$DS$25,0)),0)*_xlfn.IFNA(INDEX(EC$10:EC$23,MATCH($DB734,$DX$10:$DX$23,0)),0))</f>
        <v>0</v>
      </c>
      <c r="DR734" s="921">
        <f t="shared" si="325"/>
        <v>280.22142857142853</v>
      </c>
      <c r="DS734" s="1004">
        <f>SUMIFS('Safety parameters'!$DM$6:$DM$18,'Safety parameters'!$DK$6:$DK$18,CZ734,'Safety parameters'!$DL$6:$DL$18,1)+IF(dd_PartSA_2_lines = "Yes",0,SUMIFS('Safety parameters'!$DM$6:$DM$18,'Safety parameters'!$DK$6:$DK$18,DA734,'Safety parameters'!$DL$6:$DL$18,2)+SUMIFS('Safety parameters'!$DM$6:$DM$18,'Safety parameters'!$DK$6:$DK$18,DB734,'Safety parameters'!$DL$6:$DL$18,2))</f>
        <v>0</v>
      </c>
      <c r="DT734" s="910">
        <f>SUMIFS('Safety parameters'!$DO$6:$DO$18,'Safety parameters'!$DK$6:$DK$18,CZ734,'Safety parameters'!$DL$6:$DL$18,1)+IF(dd_PartSA_2_lines = "Yes",0,SUMIFS('Safety parameters'!$DO$6:$DO$18,'Safety parameters'!$DK$6:$DK$18,DA734,'Safety parameters'!$DL$6:$DL$18,2)+SUMIFS('Safety parameters'!$DO$6:$DO$18,'Safety parameters'!$DK$6:$DK$18,DB734,'Safety parameters'!$DL$6:$DL$18,2))</f>
        <v>0</v>
      </c>
    </row>
    <row r="735" spans="99:124" x14ac:dyDescent="0.2">
      <c r="CU735" s="1123">
        <f>MATCH(CZ742,'Resource use and costs'!$BA$11:$BA$53,0)</f>
        <v>43</v>
      </c>
      <c r="CV735" s="1223"/>
      <c r="CW735" s="1241">
        <f t="shared" si="320"/>
        <v>1</v>
      </c>
      <c r="CX735" s="899" t="s">
        <v>794</v>
      </c>
      <c r="CY735" s="899" t="s">
        <v>319</v>
      </c>
      <c r="CZ735" s="899" t="s">
        <v>119</v>
      </c>
      <c r="DA735" s="899" t="s">
        <v>118</v>
      </c>
      <c r="DB735" s="899" t="s">
        <v>327</v>
      </c>
      <c r="DC735" s="899" cm="1">
        <f t="array" aca="1" ref="DC735" ca="1">_xlfn.IFNA(OFFSET($I$49,MATCH(CY735,$I$50:$I$63,0),MATCH(CZ735,TRANSPOSE($J$49:$W$49),0)),0)</f>
        <v>0</v>
      </c>
      <c r="DD735" s="899" cm="1">
        <f t="array" aca="1" ref="DD735" ca="1">_xlfn.IFNA(OFFSET($Y$49,MATCH($CZ735,$Y$50:$Y$63,0),MATCH($DA735,TRANSPOSE($Z$49:$AM$49),0)),0)</f>
        <v>0</v>
      </c>
      <c r="DE735" s="899">
        <f ca="1">1-DE736</f>
        <v>0.56859999999999999</v>
      </c>
      <c r="DF735" s="881">
        <f t="shared" ca="1" si="322"/>
        <v>0</v>
      </c>
      <c r="DG735" s="910">
        <f t="shared" ca="1" si="319"/>
        <v>0.98859556831386541</v>
      </c>
      <c r="DH735" s="881">
        <f t="shared" ca="1" si="323"/>
        <v>0</v>
      </c>
      <c r="DI735" s="1460">
        <f t="shared" ca="1" si="321"/>
        <v>0</v>
      </c>
      <c r="DJ735" s="909">
        <f>_xlfn.IFNA(INDEX('Resource use and costs'!$CQ$11:$CQ$53,MATCH($CZ735,'Resource use and costs'!$BA$11:$BA$53,0)),0)*_xlfn.IFNA(INDEX(DY$10:DY$23,MATCH($CZ735,$DX$10:$DX$23,0)),0)</f>
        <v>944.50399999999979</v>
      </c>
      <c r="DK735" s="909">
        <f>IF(dd_PartSA_2_lines = "Yes",0,_xlfn.IFNA(INDEX('Resource use and costs'!$CR$11:$CR$53,MATCH(DA735,'Resource use and costs'!$BA$11:$BA$53,0)),0)*_xlfn.IFNA(INDEX(EA$10:EA$23,MATCH($DA735,$DX$10:$DX$23,0)),0))</f>
        <v>50308.075122000002</v>
      </c>
      <c r="DL735" s="909">
        <f>IF(dd_PartSA_2_lines = "Yes",0,_xlfn.IFNA(INDEX('Resource use and costs'!$CS$11:$CS$53,MATCH(DB735,'Resource use and costs'!$BA$11:$BA$53,0)),0)*_xlfn.IFNA(INDEX(EC$10:EC$23,MATCH($DB735,$DX$10:$DX$23,0)),0))</f>
        <v>18438.751749999999</v>
      </c>
      <c r="DM735" s="909">
        <f t="shared" si="324"/>
        <v>69691.330872000006</v>
      </c>
      <c r="DN735" s="909">
        <f>SUM(_xlfn.IFNA(INDEX('Resource use and costs'!$DU$12:$DU$25,MATCH(CZ735,'Resource use and costs'!$DS$12:$DS$25,0)),0),_xlfn.IFNA(INDEX('Resource use and costs'!$DU$12:$DU$25,MATCH(DA735,'Resource use and costs'!$DS$12:$DS$25,0)),0),_xlfn.IFNA(INDEX('Resource use and costs'!$DU$12:$DU$25,MATCH(DB735,'Resource use and costs'!$DS$12:$DS$25,0)),0))</f>
        <v>591.75</v>
      </c>
      <c r="DO735" s="921">
        <f>_xlfn.IFNA(INDEX('Resource use and costs'!$DY$12:$DY$25,MATCH(CZ735,'Resource use and costs'!$DS$12:$DS$25,0)),0)*_xlfn.IFNA(INDEX(DY$10:DY$23,MATCH($CZ735,$DX$10:$DX$23,0)),0)</f>
        <v>82.971428571428561</v>
      </c>
      <c r="DP735" s="921">
        <f>IF(dd_PartSA_2_lines = "Yes",0,_xlfn.IFNA(INDEX('Resource use and costs'!$DZ$12:$DZ$25,MATCH(DA735,'Resource use and costs'!$DS$12:$DS$25,0)),0)*_xlfn.IFNA(INDEX(EA$10:EA$23,MATCH($DA735,$DX$10:$DX$23,0)),0))</f>
        <v>461.1445457142857</v>
      </c>
      <c r="DQ735" s="921">
        <f>IF(dd_PartSA_2_lines = "Yes",0,_xlfn.IFNA(INDEX('Resource use and costs'!$EA$12:$EA$25,MATCH(DB735,'Resource use and costs'!$DS$12:$DS$25,0)),0)*_xlfn.IFNA(INDEX(EC$10:EC$23,MATCH($DB735,$DX$10:$DX$23,0)),0))</f>
        <v>230.68099999999998</v>
      </c>
      <c r="DR735" s="921">
        <f t="shared" si="325"/>
        <v>1366.5469742857142</v>
      </c>
      <c r="DS735" s="1004">
        <f ca="1">SUMIFS('Safety parameters'!$DM$6:$DM$18,'Safety parameters'!$DK$6:$DK$18,CZ735,'Safety parameters'!$DL$6:$DL$18,1)+IF(dd_PartSA_2_lines = "Yes",0,SUMIFS('Safety parameters'!$DM$6:$DM$18,'Safety parameters'!$DK$6:$DK$18,DA735,'Safety parameters'!$DL$6:$DL$18,2)+SUMIFS('Safety parameters'!$DM$6:$DM$18,'Safety parameters'!$DK$6:$DK$18,DB735,'Safety parameters'!$DL$6:$DL$18,2))</f>
        <v>2377.8779733688434</v>
      </c>
      <c r="DT735" s="910">
        <f ca="1">SUMIFS('Safety parameters'!$DO$6:$DO$18,'Safety parameters'!$DK$6:$DK$18,CZ735,'Safety parameters'!$DL$6:$DL$18,1)+IF(dd_PartSA_2_lines = "Yes",0,SUMIFS('Safety parameters'!$DO$6:$DO$18,'Safety parameters'!$DK$6:$DK$18,DA735,'Safety parameters'!$DL$6:$DL$18,2)+SUMIFS('Safety parameters'!$DO$6:$DO$18,'Safety parameters'!$DK$6:$DK$18,DB735,'Safety parameters'!$DL$6:$DL$18,2))</f>
        <v>-2.1764250363717368E-2</v>
      </c>
    </row>
    <row r="736" spans="99:124" x14ac:dyDescent="0.2">
      <c r="CU736" s="1123">
        <f>MATCH(CZ743,'Resource use and costs'!$BA$11:$BA$53,0)</f>
        <v>43</v>
      </c>
      <c r="CV736" s="1223"/>
      <c r="CW736" s="1241">
        <f t="shared" si="320"/>
        <v>1</v>
      </c>
      <c r="CX736" s="899" t="s">
        <v>794</v>
      </c>
      <c r="CY736" s="899" t="s">
        <v>319</v>
      </c>
      <c r="CZ736" s="899" t="s">
        <v>119</v>
      </c>
      <c r="DA736" s="899" t="s">
        <v>118</v>
      </c>
      <c r="DB736" s="899" t="s">
        <v>765</v>
      </c>
      <c r="DC736" s="899" cm="1">
        <f t="array" aca="1" ref="DC736" ca="1">_xlfn.IFNA(OFFSET($I$49,MATCH(CY736,$I$50:$I$63,0),MATCH(CZ736,TRANSPOSE($J$49:$W$49),0)),0)</f>
        <v>0</v>
      </c>
      <c r="DD736" s="899" cm="1">
        <f t="array" aca="1" ref="DD736" ca="1">_xlfn.IFNA(OFFSET($Y$49,MATCH($CZ736,$Y$50:$Y$63,0),MATCH($DA736,TRANSPOSE($Z$49:$AM$49),0)),0)</f>
        <v>0</v>
      </c>
      <c r="DE736" s="899" cm="1">
        <f t="array" aca="1" ref="DE736" ca="1">_xlfn.IFNA(OFFSET($AO$49,MATCH($DA736,$AO$50:$AO$63,0),MATCH($DB736,TRANSPOSE($AP$49:$BC$49),0)),0)</f>
        <v>0.43140000000000001</v>
      </c>
      <c r="DF736" s="881">
        <f t="shared" ca="1" si="322"/>
        <v>0</v>
      </c>
      <c r="DG736" s="910">
        <f t="shared" ca="1" si="319"/>
        <v>0.98859556831386541</v>
      </c>
      <c r="DH736" s="881">
        <f t="shared" ca="1" si="323"/>
        <v>0</v>
      </c>
      <c r="DI736" s="1460">
        <f t="shared" ca="1" si="321"/>
        <v>0</v>
      </c>
      <c r="DJ736" s="909">
        <f>_xlfn.IFNA(INDEX('Resource use and costs'!$CQ$11:$CQ$53,MATCH($CZ736,'Resource use and costs'!$BA$11:$BA$53,0)),0)*_xlfn.IFNA(INDEX(DY$10:DY$23,MATCH($CZ736,$DX$10:$DX$23,0)),0)</f>
        <v>944.50399999999979</v>
      </c>
      <c r="DK736" s="909">
        <f>IF(dd_PartSA_2_lines = "Yes",0,_xlfn.IFNA(INDEX('Resource use and costs'!$CR$11:$CR$53,MATCH(DA736,'Resource use and costs'!$BA$11:$BA$53,0)),0)*_xlfn.IFNA(INDEX(EA$10:EA$23,MATCH($DA736,$DX$10:$DX$23,0)),0))</f>
        <v>50308.075122000002</v>
      </c>
      <c r="DL736" s="909">
        <f>IF(dd_PartSA_2_lines = "Yes",0,_xlfn.IFNA(INDEX('Resource use and costs'!$CS$11:$CS$53,MATCH(DB736,'Resource use and costs'!$BA$11:$BA$53,0)),0)*_xlfn.IFNA(INDEX(EC$10:EC$23,MATCH($DB736,$DX$10:$DX$23,0)),0))</f>
        <v>0</v>
      </c>
      <c r="DM736" s="909">
        <f t="shared" si="324"/>
        <v>51252.579122000003</v>
      </c>
      <c r="DN736" s="909">
        <f>SUM(_xlfn.IFNA(INDEX('Resource use and costs'!$DU$12:$DU$25,MATCH(CZ736,'Resource use and costs'!$DS$12:$DS$25,0)),0),_xlfn.IFNA(INDEX('Resource use and costs'!$DU$12:$DU$25,MATCH(DA736,'Resource use and costs'!$DS$12:$DS$25,0)),0),_xlfn.IFNA(INDEX('Resource use and costs'!$DU$12:$DU$25,MATCH(DB736,'Resource use and costs'!$DS$12:$DS$25,0)),0))</f>
        <v>394.5</v>
      </c>
      <c r="DO736" s="921">
        <f>_xlfn.IFNA(INDEX('Resource use and costs'!$DY$12:$DY$25,MATCH(CZ736,'Resource use and costs'!$DS$12:$DS$25,0)),0)*_xlfn.IFNA(INDEX(DY$10:DY$23,MATCH($CZ736,$DX$10:$DX$23,0)),0)</f>
        <v>82.971428571428561</v>
      </c>
      <c r="DP736" s="921">
        <f>IF(dd_PartSA_2_lines = "Yes",0,_xlfn.IFNA(INDEX('Resource use and costs'!$DZ$12:$DZ$25,MATCH(DA736,'Resource use and costs'!$DS$12:$DS$25,0)),0)*_xlfn.IFNA(INDEX(EA$10:EA$23,MATCH($DA736,$DX$10:$DX$23,0)),0))</f>
        <v>461.1445457142857</v>
      </c>
      <c r="DQ736" s="921">
        <f>IF(dd_PartSA_2_lines = "Yes",0,_xlfn.IFNA(INDEX('Resource use and costs'!$EA$12:$EA$25,MATCH(DB736,'Resource use and costs'!$DS$12:$DS$25,0)),0)*_xlfn.IFNA(INDEX(EC$10:EC$23,MATCH($DB736,$DX$10:$DX$23,0)),0))</f>
        <v>0</v>
      </c>
      <c r="DR736" s="921">
        <f t="shared" si="325"/>
        <v>938.61597428571417</v>
      </c>
      <c r="DS736" s="1004">
        <f ca="1">SUMIFS('Safety parameters'!$DM$6:$DM$18,'Safety parameters'!$DK$6:$DK$18,CZ736,'Safety parameters'!$DL$6:$DL$18,1)+IF(dd_PartSA_2_lines = "Yes",0,SUMIFS('Safety parameters'!$DM$6:$DM$18,'Safety parameters'!$DK$6:$DK$18,DA736,'Safety parameters'!$DL$6:$DL$18,2)+SUMIFS('Safety parameters'!$DM$6:$DM$18,'Safety parameters'!$DK$6:$DK$18,DB736,'Safety parameters'!$DL$6:$DL$18,2))</f>
        <v>743.64929980338343</v>
      </c>
      <c r="DT736" s="910">
        <f ca="1">SUMIFS('Safety parameters'!$DO$6:$DO$18,'Safety parameters'!$DK$6:$DK$18,CZ736,'Safety parameters'!$DL$6:$DL$18,1)+IF(dd_PartSA_2_lines = "Yes",0,SUMIFS('Safety parameters'!$DO$6:$DO$18,'Safety parameters'!$DK$6:$DK$18,DA736,'Safety parameters'!$DL$6:$DL$18,2)+SUMIFS('Safety parameters'!$DO$6:$DO$18,'Safety parameters'!$DK$6:$DK$18,DB736,'Safety parameters'!$DL$6:$DL$18,2))</f>
        <v>-7.0223263562359372E-3</v>
      </c>
    </row>
    <row r="737" spans="99:124" x14ac:dyDescent="0.2">
      <c r="CU737" s="1123">
        <f>MATCH(CZ744,'Resource use and costs'!$BA$11:$BA$53,0)</f>
        <v>43</v>
      </c>
      <c r="CV737" s="1223"/>
      <c r="CW737" s="1241">
        <f t="shared" si="320"/>
        <v>1</v>
      </c>
      <c r="CX737" s="899" t="s">
        <v>794</v>
      </c>
      <c r="CY737" s="899" t="s">
        <v>319</v>
      </c>
      <c r="CZ737" s="899" t="s">
        <v>119</v>
      </c>
      <c r="DA737" s="899" t="s">
        <v>579</v>
      </c>
      <c r="DB737" s="899" t="s">
        <v>327</v>
      </c>
      <c r="DC737" s="899" cm="1">
        <f t="array" aca="1" ref="DC737" ca="1">_xlfn.IFNA(OFFSET($I$49,MATCH(CY737,$I$50:$I$63,0),MATCH(CZ737,TRANSPOSE($J$49:$W$49),0)),0)</f>
        <v>0</v>
      </c>
      <c r="DD737" s="899" cm="1">
        <f t="array" aca="1" ref="DD737" ca="1">_xlfn.IFNA(OFFSET($Y$49,MATCH($CZ737,$Y$50:$Y$63,0),MATCH($DA737,TRANSPOSE($Z$49:$AM$49),0)),0)</f>
        <v>0</v>
      </c>
      <c r="DE737" s="899" cm="1">
        <f t="array" aca="1" ref="DE737" ca="1">_xlfn.IFNA(OFFSET($AO$49,MATCH($DA737,$AO$50:$AO$63,0),MATCH($DB737,TRANSPOSE($AP$49:$BC$49),0)),0)</f>
        <v>0.56859999999999999</v>
      </c>
      <c r="DF737" s="881">
        <f t="shared" ca="1" si="322"/>
        <v>0</v>
      </c>
      <c r="DG737" s="910">
        <f t="shared" ca="1" si="319"/>
        <v>0.98859556831386541</v>
      </c>
      <c r="DH737" s="881">
        <f t="shared" ca="1" si="323"/>
        <v>0</v>
      </c>
      <c r="DI737" s="1460">
        <f t="shared" ca="1" si="321"/>
        <v>0</v>
      </c>
      <c r="DJ737" s="909">
        <f>_xlfn.IFNA(INDEX('Resource use and costs'!$CQ$11:$CQ$53,MATCH($CZ737,'Resource use and costs'!$BA$11:$BA$53,0)),0)*_xlfn.IFNA(INDEX(DY$10:DY$23,MATCH($CZ737,$DX$10:$DX$23,0)),0)</f>
        <v>944.50399999999979</v>
      </c>
      <c r="DK737" s="909">
        <f>IF(dd_PartSA_2_lines = "Yes",0,_xlfn.IFNA(INDEX('Resource use and costs'!$CR$11:$CR$53,MATCH(DA737,'Resource use and costs'!$BA$11:$BA$53,0)),0)*_xlfn.IFNA(INDEX(EA$10:EA$23,MATCH($DA737,$DX$10:$DX$23,0)),0))</f>
        <v>26054.50921</v>
      </c>
      <c r="DL737" s="909">
        <f>IF(dd_PartSA_2_lines = "Yes",0,_xlfn.IFNA(INDEX('Resource use and costs'!$CS$11:$CS$53,MATCH(DB737,'Resource use and costs'!$BA$11:$BA$53,0)),0)*_xlfn.IFNA(INDEX(EC$10:EC$23,MATCH($DB737,$DX$10:$DX$23,0)),0))</f>
        <v>18438.751749999999</v>
      </c>
      <c r="DM737" s="909">
        <f t="shared" si="324"/>
        <v>45437.76496</v>
      </c>
      <c r="DN737" s="909">
        <f>SUM(_xlfn.IFNA(INDEX('Resource use and costs'!$DU$12:$DU$25,MATCH(CZ737,'Resource use and costs'!$DS$12:$DS$25,0)),0),_xlfn.IFNA(INDEX('Resource use and costs'!$DU$12:$DU$25,MATCH(DA737,'Resource use and costs'!$DS$12:$DS$25,0)),0),_xlfn.IFNA(INDEX('Resource use and costs'!$DU$12:$DU$25,MATCH(DB737,'Resource use and costs'!$DS$12:$DS$25,0)),0))</f>
        <v>394.5</v>
      </c>
      <c r="DO737" s="921">
        <f>_xlfn.IFNA(INDEX('Resource use and costs'!$DY$12:$DY$25,MATCH(CZ737,'Resource use and costs'!$DS$12:$DS$25,0)),0)*_xlfn.IFNA(INDEX(DY$10:DY$23,MATCH($CZ737,$DX$10:$DX$23,0)),0)</f>
        <v>82.971428571428561</v>
      </c>
      <c r="DP737" s="921">
        <f>IF(dd_PartSA_2_lines = "Yes",0,_xlfn.IFNA(INDEX('Resource use and costs'!$DZ$12:$DZ$25,MATCH(DA737,'Resource use and costs'!$DS$12:$DS$25,0)),0)*_xlfn.IFNA(INDEX(EA$10:EA$23,MATCH($DA737,$DX$10:$DX$23,0)),0))</f>
        <v>4108.3597166</v>
      </c>
      <c r="DQ737" s="921">
        <f>IF(dd_PartSA_2_lines = "Yes",0,_xlfn.IFNA(INDEX('Resource use and costs'!$EA$12:$EA$25,MATCH(DB737,'Resource use and costs'!$DS$12:$DS$25,0)),0)*_xlfn.IFNA(INDEX(EC$10:EC$23,MATCH($DB737,$DX$10:$DX$23,0)),0))</f>
        <v>230.68099999999998</v>
      </c>
      <c r="DR737" s="921">
        <f t="shared" si="325"/>
        <v>4816.5121451714285</v>
      </c>
      <c r="DS737" s="1004">
        <f ca="1">SUMIFS('Safety parameters'!$DM$6:$DM$18,'Safety parameters'!$DK$6:$DK$18,CZ737,'Safety parameters'!$DL$6:$DL$18,1)+IF(dd_PartSA_2_lines = "Yes",0,SUMIFS('Safety parameters'!$DM$6:$DM$18,'Safety parameters'!$DK$6:$DK$18,DA737,'Safety parameters'!$DL$6:$DL$18,2)+SUMIFS('Safety parameters'!$DM$6:$DM$18,'Safety parameters'!$DK$6:$DK$18,DB737,'Safety parameters'!$DL$6:$DL$18,2))</f>
        <v>1795.3624225558742</v>
      </c>
      <c r="DT737" s="910">
        <f ca="1">SUMIFS('Safety parameters'!$DO$6:$DO$18,'Safety parameters'!$DK$6:$DK$18,CZ737,'Safety parameters'!$DL$6:$DL$18,1)+IF(dd_PartSA_2_lines = "Yes",0,SUMIFS('Safety parameters'!$DO$6:$DO$18,'Safety parameters'!$DK$6:$DK$18,DA737,'Safety parameters'!$DL$6:$DL$18,2)+SUMIFS('Safety parameters'!$DO$6:$DO$18,'Safety parameters'!$DK$6:$DK$18,DB737,'Safety parameters'!$DL$6:$DL$18,2))</f>
        <v>-1.6339008205166216E-2</v>
      </c>
    </row>
    <row r="738" spans="99:124" x14ac:dyDescent="0.2">
      <c r="CU738" s="1123">
        <f>MATCH(CZ745,'Resource use and costs'!$BA$11:$BA$53,0)</f>
        <v>1</v>
      </c>
      <c r="CV738" s="1223"/>
      <c r="CW738" s="1241">
        <f t="shared" si="320"/>
        <v>1</v>
      </c>
      <c r="CX738" s="899" t="s">
        <v>794</v>
      </c>
      <c r="CY738" s="899" t="s">
        <v>319</v>
      </c>
      <c r="CZ738" s="899" t="s">
        <v>119</v>
      </c>
      <c r="DA738" s="899" t="s">
        <v>579</v>
      </c>
      <c r="DB738" s="899" t="s">
        <v>765</v>
      </c>
      <c r="DC738" s="899" cm="1">
        <f t="array" aca="1" ref="DC738" ca="1">_xlfn.IFNA(OFFSET($I$49,MATCH(CY738,$I$50:$I$63,0),MATCH(CZ738,TRANSPOSE($J$49:$W$49),0)),0)</f>
        <v>0</v>
      </c>
      <c r="DD738" s="899" cm="1">
        <f t="array" aca="1" ref="DD738" ca="1">_xlfn.IFNA(OFFSET($Y$49,MATCH($CZ738,$Y$50:$Y$63,0),MATCH($DA738,TRANSPOSE($Z$49:$AM$49),0)),0)</f>
        <v>0</v>
      </c>
      <c r="DE738" s="899" cm="1">
        <f t="array" aca="1" ref="DE738" ca="1">_xlfn.IFNA(OFFSET($AO$49,MATCH($DA738,$AO$50:$AO$63,0),MATCH($DB738,TRANSPOSE($AP$49:$BC$49),0)),0)</f>
        <v>0.43140000000000001</v>
      </c>
      <c r="DF738" s="881">
        <f t="shared" ca="1" si="322"/>
        <v>0</v>
      </c>
      <c r="DG738" s="910">
        <f t="shared" ca="1" si="319"/>
        <v>0.98859556831386541</v>
      </c>
      <c r="DH738" s="881">
        <f t="shared" ca="1" si="323"/>
        <v>0</v>
      </c>
      <c r="DI738" s="1460">
        <f t="shared" ca="1" si="321"/>
        <v>0</v>
      </c>
      <c r="DJ738" s="909">
        <f>_xlfn.IFNA(INDEX('Resource use and costs'!$CQ$11:$CQ$53,MATCH($CZ738,'Resource use and costs'!$BA$11:$BA$53,0)),0)*_xlfn.IFNA(INDEX(DY$10:DY$23,MATCH($CZ738,$DX$10:$DX$23,0)),0)</f>
        <v>944.50399999999979</v>
      </c>
      <c r="DK738" s="909">
        <f>IF(dd_PartSA_2_lines = "Yes",0,_xlfn.IFNA(INDEX('Resource use and costs'!$CR$11:$CR$53,MATCH(DA738,'Resource use and costs'!$BA$11:$BA$53,0)),0)*_xlfn.IFNA(INDEX(EA$10:EA$23,MATCH($DA738,$DX$10:$DX$23,0)),0))</f>
        <v>26054.50921</v>
      </c>
      <c r="DL738" s="909">
        <f>IF(dd_PartSA_2_lines = "Yes",0,_xlfn.IFNA(INDEX('Resource use and costs'!$CS$11:$CS$53,MATCH(DB738,'Resource use and costs'!$BA$11:$BA$53,0)),0)*_xlfn.IFNA(INDEX(EC$10:EC$23,MATCH($DB738,$DX$10:$DX$23,0)),0))</f>
        <v>0</v>
      </c>
      <c r="DM738" s="909">
        <f t="shared" si="324"/>
        <v>26999.013210000001</v>
      </c>
      <c r="DN738" s="909">
        <f>SUM(_xlfn.IFNA(INDEX('Resource use and costs'!$DU$12:$DU$25,MATCH(CZ738,'Resource use and costs'!$DS$12:$DS$25,0)),0),_xlfn.IFNA(INDEX('Resource use and costs'!$DU$12:$DU$25,MATCH(DA738,'Resource use and costs'!$DS$12:$DS$25,0)),0),_xlfn.IFNA(INDEX('Resource use and costs'!$DU$12:$DU$25,MATCH(DB738,'Resource use and costs'!$DS$12:$DS$25,0)),0))</f>
        <v>197.25</v>
      </c>
      <c r="DO738" s="921">
        <f>_xlfn.IFNA(INDEX('Resource use and costs'!$DY$12:$DY$25,MATCH(CZ738,'Resource use and costs'!$DS$12:$DS$25,0)),0)*_xlfn.IFNA(INDEX(DY$10:DY$23,MATCH($CZ738,$DX$10:$DX$23,0)),0)</f>
        <v>82.971428571428561</v>
      </c>
      <c r="DP738" s="921">
        <f>IF(dd_PartSA_2_lines = "Yes",0,_xlfn.IFNA(INDEX('Resource use and costs'!$DZ$12:$DZ$25,MATCH(DA738,'Resource use and costs'!$DS$12:$DS$25,0)),0)*_xlfn.IFNA(INDEX(EA$10:EA$23,MATCH($DA738,$DX$10:$DX$23,0)),0))</f>
        <v>4108.3597166</v>
      </c>
      <c r="DQ738" s="921">
        <f>IF(dd_PartSA_2_lines = "Yes",0,_xlfn.IFNA(INDEX('Resource use and costs'!$EA$12:$EA$25,MATCH(DB738,'Resource use and costs'!$DS$12:$DS$25,0)),0)*_xlfn.IFNA(INDEX(EC$10:EC$23,MATCH($DB738,$DX$10:$DX$23,0)),0))</f>
        <v>0</v>
      </c>
      <c r="DR738" s="921">
        <f t="shared" si="325"/>
        <v>4388.5811451714289</v>
      </c>
      <c r="DS738" s="1004">
        <f ca="1">SUMIFS('Safety parameters'!$DM$6:$DM$18,'Safety parameters'!$DK$6:$DK$18,CZ738,'Safety parameters'!$DL$6:$DL$18,1)+IF(dd_PartSA_2_lines = "Yes",0,SUMIFS('Safety parameters'!$DM$6:$DM$18,'Safety parameters'!$DK$6:$DK$18,DA738,'Safety parameters'!$DL$6:$DL$18,2)+SUMIFS('Safety parameters'!$DM$6:$DM$18,'Safety parameters'!$DK$6:$DK$18,DB738,'Safety parameters'!$DL$6:$DL$18,2))</f>
        <v>161.1337489904144</v>
      </c>
      <c r="DT738" s="910">
        <f ca="1">SUMIFS('Safety parameters'!$DO$6:$DO$18,'Safety parameters'!$DK$6:$DK$18,CZ738,'Safety parameters'!$DL$6:$DL$18,1)+IF(dd_PartSA_2_lines = "Yes",0,SUMIFS('Safety parameters'!$DO$6:$DO$18,'Safety parameters'!$DK$6:$DK$18,DA738,'Safety parameters'!$DL$6:$DL$18,2)+SUMIFS('Safety parameters'!$DO$6:$DO$18,'Safety parameters'!$DK$6:$DK$18,DB738,'Safety parameters'!$DL$6:$DL$18,2))</f>
        <v>-1.5970841976847864E-3</v>
      </c>
    </row>
    <row r="739" spans="99:124" x14ac:dyDescent="0.2">
      <c r="CU739" s="1123">
        <f>MATCH(CZ746,'Resource use and costs'!$BA$11:$BA$53,0)</f>
        <v>1</v>
      </c>
      <c r="CV739" s="1223"/>
      <c r="CW739" s="1241">
        <f t="shared" si="320"/>
        <v>1</v>
      </c>
      <c r="CX739" s="899" t="s">
        <v>794</v>
      </c>
      <c r="CY739" s="899" t="s">
        <v>319</v>
      </c>
      <c r="CZ739" s="899" t="s">
        <v>333</v>
      </c>
      <c r="DA739" s="899" t="s">
        <v>327</v>
      </c>
      <c r="DB739" s="899" t="s">
        <v>765</v>
      </c>
      <c r="DC739" s="899" cm="1">
        <f t="array" aca="1" ref="DC739" ca="1">_xlfn.IFNA(OFFSET($I$49,MATCH(CY739,$I$50:$I$63,0),MATCH(CZ739,TRANSPOSE($J$49:$W$49),0)),0)</f>
        <v>1.6065749508665357E-2</v>
      </c>
      <c r="DD739" s="899" cm="1">
        <f t="array" aca="1" ref="DD739" ca="1">_xlfn.IFNA(OFFSET($Y$49,MATCH($CZ739,$Y$50:$Y$63,0),MATCH($DA739,TRANSPOSE($Z$49:$AM$49),0)),0)</f>
        <v>0</v>
      </c>
      <c r="DE739" s="899">
        <v>1</v>
      </c>
      <c r="DF739" s="881">
        <f t="shared" ca="1" si="322"/>
        <v>0</v>
      </c>
      <c r="DG739" s="910">
        <f t="shared" ca="1" si="319"/>
        <v>0.98859556831386541</v>
      </c>
      <c r="DH739" s="881">
        <f t="shared" ca="1" si="323"/>
        <v>0</v>
      </c>
      <c r="DI739" s="1460">
        <f t="shared" ca="1" si="321"/>
        <v>0</v>
      </c>
      <c r="DJ739" s="909">
        <f>_xlfn.IFNA(INDEX('Resource use and costs'!$CQ$11:$CQ$53,MATCH($CZ739,'Resource use and costs'!$BA$11:$BA$53,0)),0)*_xlfn.IFNA(INDEX(DY$10:DY$23,MATCH($CZ739,$DX$10:$DX$23,0)),0)</f>
        <v>54336.641519999976</v>
      </c>
      <c r="DK739" s="909">
        <f>IF(dd_PartSA_2_lines = "Yes",0,_xlfn.IFNA(INDEX('Resource use and costs'!$CR$11:$CR$53,MATCH(DA739,'Resource use and costs'!$BA$11:$BA$53,0)),0)*_xlfn.IFNA(INDEX(EA$10:EA$23,MATCH($DA739,$DX$10:$DX$23,0)),0))</f>
        <v>21421.066008214286</v>
      </c>
      <c r="DL739" s="909">
        <f>IF(dd_PartSA_2_lines = "Yes",0,_xlfn.IFNA(INDEX('Resource use and costs'!$CS$11:$CS$53,MATCH(DB739,'Resource use and costs'!$BA$11:$BA$53,0)),0)*_xlfn.IFNA(INDEX(EC$10:EC$23,MATCH($DB739,$DX$10:$DX$23,0)),0))</f>
        <v>0</v>
      </c>
      <c r="DM739" s="909">
        <f t="shared" si="324"/>
        <v>75757.707528214261</v>
      </c>
      <c r="DN739" s="909">
        <f>SUM(_xlfn.IFNA(INDEX('Resource use and costs'!$DU$12:$DU$25,MATCH(CZ739,'Resource use and costs'!$DS$12:$DS$25,0)),0),_xlfn.IFNA(INDEX('Resource use and costs'!$DU$12:$DU$25,MATCH(DA739,'Resource use and costs'!$DS$12:$DS$25,0)),0),_xlfn.IFNA(INDEX('Resource use and costs'!$DU$12:$DU$25,MATCH(DB739,'Resource use and costs'!$DS$12:$DS$25,0)),0))</f>
        <v>394.5</v>
      </c>
      <c r="DO739" s="921">
        <f>_xlfn.IFNA(INDEX('Resource use and costs'!$DY$12:$DY$25,MATCH(CZ739,'Resource use and costs'!$DS$12:$DS$25,0)),0)*_xlfn.IFNA(INDEX(DY$10:DY$23,MATCH($CZ739,$DX$10:$DX$23,0)),0)</f>
        <v>810.54285714285697</v>
      </c>
      <c r="DP739" s="921">
        <f>IF(dd_PartSA_2_lines = "Yes",0,_xlfn.IFNA(INDEX('Resource use and costs'!$DZ$12:$DZ$25,MATCH(DA739,'Resource use and costs'!$DS$12:$DS$25,0)),0)*_xlfn.IFNA(INDEX(EA$10:EA$23,MATCH($DA739,$DX$10:$DX$23,0)),0))</f>
        <v>267.99172714285714</v>
      </c>
      <c r="DQ739" s="921">
        <f>IF(dd_PartSA_2_lines = "Yes",0,_xlfn.IFNA(INDEX('Resource use and costs'!$EA$12:$EA$25,MATCH(DB739,'Resource use and costs'!$DS$12:$DS$25,0)),0)*_xlfn.IFNA(INDEX(EC$10:EC$23,MATCH($DB739,$DX$10:$DX$23,0)),0))</f>
        <v>0</v>
      </c>
      <c r="DR739" s="921">
        <f t="shared" si="325"/>
        <v>1473.0345842857141</v>
      </c>
      <c r="DS739" s="1004">
        <f ca="1">SUMIFS('Safety parameters'!$DM$6:$DM$18,'Safety parameters'!$DK$6:$DK$18,CZ739,'Safety parameters'!$DL$6:$DL$18,1)+IF(dd_PartSA_2_lines = "Yes",0,SUMIFS('Safety parameters'!$DM$6:$DM$18,'Safety parameters'!$DK$6:$DK$18,DA739,'Safety parameters'!$DL$6:$DL$18,2)+SUMIFS('Safety parameters'!$DM$6:$DM$18,'Safety parameters'!$DK$6:$DK$18,DB739,'Safety parameters'!$DL$6:$DL$18,2))</f>
        <v>1634.2286735654598</v>
      </c>
      <c r="DT739" s="910">
        <f ca="1">SUMIFS('Safety parameters'!$DO$6:$DO$18,'Safety parameters'!$DK$6:$DK$18,CZ739,'Safety parameters'!$DL$6:$DL$18,1)+IF(dd_PartSA_2_lines = "Yes",0,SUMIFS('Safety parameters'!$DO$6:$DO$18,'Safety parameters'!$DK$6:$DK$18,DA739,'Safety parameters'!$DL$6:$DL$18,2)+SUMIFS('Safety parameters'!$DO$6:$DO$18,'Safety parameters'!$DK$6:$DK$18,DB739,'Safety parameters'!$DL$6:$DL$18,2))</f>
        <v>-1.4741924007481429E-2</v>
      </c>
    </row>
    <row r="740" spans="99:124" x14ac:dyDescent="0.2">
      <c r="CU740" s="1123">
        <f>MATCH(CZ747,'Resource use and costs'!$BA$11:$BA$53,0)</f>
        <v>1</v>
      </c>
      <c r="CV740" s="1223"/>
      <c r="CW740" s="1241">
        <f t="shared" si="320"/>
        <v>1</v>
      </c>
      <c r="CX740" s="899" t="s">
        <v>794</v>
      </c>
      <c r="CY740" s="899" t="s">
        <v>319</v>
      </c>
      <c r="CZ740" s="899" t="s">
        <v>333</v>
      </c>
      <c r="DA740" s="899" t="s">
        <v>765</v>
      </c>
      <c r="DB740" s="899"/>
      <c r="DC740" s="899" cm="1">
        <f t="array" aca="1" ref="DC740" ca="1">_xlfn.IFNA(OFFSET($I$49,MATCH(CY740,$I$50:$I$63,0),MATCH(CZ740,TRANSPOSE($J$49:$W$49),0)),0)</f>
        <v>1.6065749508665357E-2</v>
      </c>
      <c r="DD740" s="899" cm="1">
        <f t="array" aca="1" ref="DD740" ca="1">_xlfn.IFNA(OFFSET($Y$49,MATCH($CZ740,$Y$50:$Y$63,0),MATCH($DA740,TRANSPOSE($Z$49:$AM$49),0)),0)</f>
        <v>0.34300000000000003</v>
      </c>
      <c r="DE740" s="899" cm="1">
        <f t="array" aca="1" ref="DE740" ca="1">_xlfn.IFNA(OFFSET($AO$49,MATCH($DA740,$AO$50:$AO$63,0),MATCH($DB740,TRANSPOSE($AP$49:$BC$49),0)),0)</f>
        <v>0</v>
      </c>
      <c r="DF740" s="881">
        <f t="shared" ca="1" si="322"/>
        <v>5.510552081472218E-3</v>
      </c>
      <c r="DG740" s="910">
        <f t="shared" ca="1" si="319"/>
        <v>0.98859556831386541</v>
      </c>
      <c r="DH740" s="881">
        <f t="shared" ca="1" si="323"/>
        <v>5.4477073667061815E-3</v>
      </c>
      <c r="DI740" s="1460">
        <f t="shared" ca="1" si="321"/>
        <v>0.56656156613744291</v>
      </c>
      <c r="DJ740" s="909">
        <f>_xlfn.IFNA(INDEX('Resource use and costs'!$CQ$11:$CQ$53,MATCH($CZ740,'Resource use and costs'!$BA$11:$BA$53,0)),0)*_xlfn.IFNA(INDEX(DY$10:DY$23,MATCH($CZ740,$DX$10:$DX$23,0)),0)</f>
        <v>54336.641519999976</v>
      </c>
      <c r="DK740" s="909">
        <f>IF(dd_PartSA_2_lines = "Yes",0,_xlfn.IFNA(INDEX('Resource use and costs'!$CR$11:$CR$53,MATCH(DA740,'Resource use and costs'!$BA$11:$BA$53,0)),0)*_xlfn.IFNA(INDEX(EA$10:EA$23,MATCH($DA740,$DX$10:$DX$23,0)),0))</f>
        <v>0</v>
      </c>
      <c r="DL740" s="909">
        <f>IF(dd_PartSA_2_lines = "Yes",0,_xlfn.IFNA(INDEX('Resource use and costs'!$CS$11:$CS$53,MATCH(DB740,'Resource use and costs'!$BA$11:$BA$53,0)),0)*_xlfn.IFNA(INDEX(EC$10:EC$23,MATCH($DB740,$DX$10:$DX$23,0)),0))</f>
        <v>0</v>
      </c>
      <c r="DM740" s="909">
        <f t="shared" si="324"/>
        <v>54336.641519999976</v>
      </c>
      <c r="DN740" s="909">
        <f>SUM(_xlfn.IFNA(INDEX('Resource use and costs'!$DU$12:$DU$25,MATCH(CZ740,'Resource use and costs'!$DS$12:$DS$25,0)),0),_xlfn.IFNA(INDEX('Resource use and costs'!$DU$12:$DU$25,MATCH(DA740,'Resource use and costs'!$DS$12:$DS$25,0)),0),_xlfn.IFNA(INDEX('Resource use and costs'!$DU$12:$DU$25,MATCH(DB740,'Resource use and costs'!$DS$12:$DS$25,0)),0))</f>
        <v>197.25</v>
      </c>
      <c r="DO740" s="921">
        <f>_xlfn.IFNA(INDEX('Resource use and costs'!$DY$12:$DY$25,MATCH(CZ740,'Resource use and costs'!$DS$12:$DS$25,0)),0)*_xlfn.IFNA(INDEX(DY$10:DY$23,MATCH($CZ740,$DX$10:$DX$23,0)),0)</f>
        <v>810.54285714285697</v>
      </c>
      <c r="DP740" s="921">
        <f>IF(dd_PartSA_2_lines = "Yes",0,_xlfn.IFNA(INDEX('Resource use and costs'!$DZ$12:$DZ$25,MATCH(DA740,'Resource use and costs'!$DS$12:$DS$25,0)),0)*_xlfn.IFNA(INDEX(EA$10:EA$23,MATCH($DA740,$DX$10:$DX$23,0)),0))</f>
        <v>0</v>
      </c>
      <c r="DQ740" s="921">
        <f>IF(dd_PartSA_2_lines = "Yes",0,_xlfn.IFNA(INDEX('Resource use and costs'!$EA$12:$EA$25,MATCH(DB740,'Resource use and costs'!$DS$12:$DS$25,0)),0)*_xlfn.IFNA(INDEX(EC$10:EC$23,MATCH($DB740,$DX$10:$DX$23,0)),0))</f>
        <v>0</v>
      </c>
      <c r="DR740" s="921">
        <f t="shared" si="325"/>
        <v>1007.792857142857</v>
      </c>
      <c r="DS740" s="1004">
        <f>SUMIFS('Safety parameters'!$DM$6:$DM$18,'Safety parameters'!$DK$6:$DK$18,CZ740,'Safety parameters'!$DL$6:$DL$18,1)+IF(dd_PartSA_2_lines = "Yes",0,SUMIFS('Safety parameters'!$DM$6:$DM$18,'Safety parameters'!$DK$6:$DK$18,DA740,'Safety parameters'!$DL$6:$DL$18,2)+SUMIFS('Safety parameters'!$DM$6:$DM$18,'Safety parameters'!$DK$6:$DK$18,DB740,'Safety parameters'!$DL$6:$DL$18,2))</f>
        <v>0</v>
      </c>
      <c r="DT740" s="910">
        <f>SUMIFS('Safety parameters'!$DO$6:$DO$18,'Safety parameters'!$DK$6:$DK$18,CZ740,'Safety parameters'!$DL$6:$DL$18,1)+IF(dd_PartSA_2_lines = "Yes",0,SUMIFS('Safety parameters'!$DO$6:$DO$18,'Safety parameters'!$DK$6:$DK$18,DA740,'Safety parameters'!$DL$6:$DL$18,2)+SUMIFS('Safety parameters'!$DO$6:$DO$18,'Safety parameters'!$DK$6:$DK$18,DB740,'Safety parameters'!$DL$6:$DL$18,2))</f>
        <v>0</v>
      </c>
    </row>
    <row r="741" spans="99:124" x14ac:dyDescent="0.2">
      <c r="CU741" s="1123">
        <f>MATCH(CZ748,'Resource use and costs'!$BA$11:$BA$53,0)</f>
        <v>1</v>
      </c>
      <c r="CV741" s="1223"/>
      <c r="CW741" s="1241">
        <f t="shared" si="320"/>
        <v>1</v>
      </c>
      <c r="CX741" s="899" t="s">
        <v>794</v>
      </c>
      <c r="CY741" s="899" t="s">
        <v>319</v>
      </c>
      <c r="CZ741" s="899" t="s">
        <v>333</v>
      </c>
      <c r="DA741" s="899" t="s">
        <v>118</v>
      </c>
      <c r="DB741" s="899" t="s">
        <v>327</v>
      </c>
      <c r="DC741" s="899" cm="1">
        <f t="array" aca="1" ref="DC741" ca="1">_xlfn.IFNA(OFFSET($I$49,MATCH(CY741,$I$50:$I$63,0),MATCH(CZ741,TRANSPOSE($J$49:$W$49),0)),0)</f>
        <v>1.6065749508665357E-2</v>
      </c>
      <c r="DD741" s="899">
        <f ca="1">1-DD743-DD740</f>
        <v>0.57489999999999997</v>
      </c>
      <c r="DE741" s="899">
        <f ca="1">1-DE742</f>
        <v>0.56859999999999999</v>
      </c>
      <c r="DF741" s="881">
        <f t="shared" ca="1" si="322"/>
        <v>5.2517029745935313E-3</v>
      </c>
      <c r="DG741" s="910">
        <f t="shared" ca="1" si="319"/>
        <v>0.98859556831386541</v>
      </c>
      <c r="DH741" s="881">
        <f t="shared" ca="1" si="323"/>
        <v>5.1918102867839098E-3</v>
      </c>
      <c r="DI741" s="1460">
        <f t="shared" ca="1" si="321"/>
        <v>0.53994826982552657</v>
      </c>
      <c r="DJ741" s="909">
        <f>_xlfn.IFNA(INDEX('Resource use and costs'!$CQ$11:$CQ$53,MATCH($CZ741,'Resource use and costs'!$BA$11:$BA$53,0)),0)*_xlfn.IFNA(INDEX(DY$10:DY$23,MATCH($CZ741,$DX$10:$DX$23,0)),0)</f>
        <v>54336.641519999976</v>
      </c>
      <c r="DK741" s="909">
        <f>IF(dd_PartSA_2_lines = "Yes",0,_xlfn.IFNA(INDEX('Resource use and costs'!$CR$11:$CR$53,MATCH(DA741,'Resource use and costs'!$BA$11:$BA$53,0)),0)*_xlfn.IFNA(INDEX(EA$10:EA$23,MATCH($DA741,$DX$10:$DX$23,0)),0))</f>
        <v>50308.075122000002</v>
      </c>
      <c r="DL741" s="909">
        <f>IF(dd_PartSA_2_lines = "Yes",0,_xlfn.IFNA(INDEX('Resource use and costs'!$CS$11:$CS$53,MATCH(DB741,'Resource use and costs'!$BA$11:$BA$53,0)),0)*_xlfn.IFNA(INDEX(EC$10:EC$23,MATCH($DB741,$DX$10:$DX$23,0)),0))</f>
        <v>18438.751749999999</v>
      </c>
      <c r="DM741" s="909">
        <f t="shared" si="324"/>
        <v>123083.46839199998</v>
      </c>
      <c r="DN741" s="909">
        <f>SUM(_xlfn.IFNA(INDEX('Resource use and costs'!$DU$12:$DU$25,MATCH(CZ741,'Resource use and costs'!$DS$12:$DS$25,0)),0),_xlfn.IFNA(INDEX('Resource use and costs'!$DU$12:$DU$25,MATCH(DA741,'Resource use and costs'!$DS$12:$DS$25,0)),0),_xlfn.IFNA(INDEX('Resource use and costs'!$DU$12:$DU$25,MATCH(DB741,'Resource use and costs'!$DS$12:$DS$25,0)),0))</f>
        <v>591.75</v>
      </c>
      <c r="DO741" s="921">
        <f>_xlfn.IFNA(INDEX('Resource use and costs'!$DY$12:$DY$25,MATCH(CZ741,'Resource use and costs'!$DS$12:$DS$25,0)),0)*_xlfn.IFNA(INDEX(DY$10:DY$23,MATCH($CZ741,$DX$10:$DX$23,0)),0)</f>
        <v>810.54285714285697</v>
      </c>
      <c r="DP741" s="921">
        <f>IF(dd_PartSA_2_lines = "Yes",0,_xlfn.IFNA(INDEX('Resource use and costs'!$DZ$12:$DZ$25,MATCH(DA741,'Resource use and costs'!$DS$12:$DS$25,0)),0)*_xlfn.IFNA(INDEX(EA$10:EA$23,MATCH($DA741,$DX$10:$DX$23,0)),0))</f>
        <v>461.1445457142857</v>
      </c>
      <c r="DQ741" s="921">
        <f>IF(dd_PartSA_2_lines = "Yes",0,_xlfn.IFNA(INDEX('Resource use and costs'!$EA$12:$EA$25,MATCH(DB741,'Resource use and costs'!$DS$12:$DS$25,0)),0)*_xlfn.IFNA(INDEX(EC$10:EC$23,MATCH($DB741,$DX$10:$DX$23,0)),0))</f>
        <v>230.68099999999998</v>
      </c>
      <c r="DR741" s="921">
        <f t="shared" si="325"/>
        <v>2094.1184028571424</v>
      </c>
      <c r="DS741" s="1004">
        <f ca="1">SUMIFS('Safety parameters'!$DM$6:$DM$18,'Safety parameters'!$DK$6:$DK$18,CZ741,'Safety parameters'!$DL$6:$DL$18,1)+IF(dd_PartSA_2_lines = "Yes",0,SUMIFS('Safety parameters'!$DM$6:$DM$18,'Safety parameters'!$DK$6:$DK$18,DA741,'Safety parameters'!$DL$6:$DL$18,2)+SUMIFS('Safety parameters'!$DM$6:$DM$18,'Safety parameters'!$DK$6:$DK$18,DB741,'Safety parameters'!$DL$6:$DL$18,2))</f>
        <v>2377.8779733688434</v>
      </c>
      <c r="DT741" s="910">
        <f ca="1">SUMIFS('Safety parameters'!$DO$6:$DO$18,'Safety parameters'!$DK$6:$DK$18,CZ741,'Safety parameters'!$DL$6:$DL$18,1)+IF(dd_PartSA_2_lines = "Yes",0,SUMIFS('Safety parameters'!$DO$6:$DO$18,'Safety parameters'!$DK$6:$DK$18,DA741,'Safety parameters'!$DL$6:$DL$18,2)+SUMIFS('Safety parameters'!$DO$6:$DO$18,'Safety parameters'!$DK$6:$DK$18,DB741,'Safety parameters'!$DL$6:$DL$18,2))</f>
        <v>-2.1764250363717368E-2</v>
      </c>
    </row>
    <row r="742" spans="99:124" x14ac:dyDescent="0.2">
      <c r="CU742" s="1123">
        <f>MATCH(CZ749,'Resource use and costs'!$BA$11:$BA$53,0)</f>
        <v>1</v>
      </c>
      <c r="CV742" s="1223"/>
      <c r="CW742" s="1241">
        <f t="shared" si="320"/>
        <v>1</v>
      </c>
      <c r="CX742" s="899" t="s">
        <v>794</v>
      </c>
      <c r="CY742" s="899" t="s">
        <v>319</v>
      </c>
      <c r="CZ742" s="899" t="s">
        <v>333</v>
      </c>
      <c r="DA742" s="899" t="s">
        <v>118</v>
      </c>
      <c r="DB742" s="899" t="s">
        <v>765</v>
      </c>
      <c r="DC742" s="899" cm="1">
        <f t="array" aca="1" ref="DC742" ca="1">_xlfn.IFNA(OFFSET($I$49,MATCH(CY742,$I$50:$I$63,0),MATCH(CZ742,TRANSPOSE($J$49:$W$49),0)),0)</f>
        <v>1.6065749508665357E-2</v>
      </c>
      <c r="DD742" s="899">
        <f ca="1">DD741</f>
        <v>0.57489999999999997</v>
      </c>
      <c r="DE742" s="899" cm="1">
        <f t="array" aca="1" ref="DE742" ca="1">_xlfn.IFNA(OFFSET($AO$49,MATCH($DA742,$AO$50:$AO$63,0),MATCH($DB742,TRANSPOSE($AP$49:$BC$49),0)),0)</f>
        <v>0.43140000000000001</v>
      </c>
      <c r="DF742" s="881">
        <f t="shared" ca="1" si="322"/>
        <v>3.9844964179381812E-3</v>
      </c>
      <c r="DG742" s="910">
        <f t="shared" ca="1" si="319"/>
        <v>0.98859556831386541</v>
      </c>
      <c r="DH742" s="881">
        <f t="shared" ca="1" si="323"/>
        <v>3.9390555007361569E-3</v>
      </c>
      <c r="DI742" s="1460">
        <f t="shared" ca="1" si="321"/>
        <v>0.40966177207656029</v>
      </c>
      <c r="DJ742" s="909">
        <f>_xlfn.IFNA(INDEX('Resource use and costs'!$CQ$11:$CQ$53,MATCH($CZ742,'Resource use and costs'!$BA$11:$BA$53,0)),0)*_xlfn.IFNA(INDEX(DY$10:DY$23,MATCH($CZ742,$DX$10:$DX$23,0)),0)</f>
        <v>54336.641519999976</v>
      </c>
      <c r="DK742" s="909">
        <f>IF(dd_PartSA_2_lines = "Yes",0,_xlfn.IFNA(INDEX('Resource use and costs'!$CR$11:$CR$53,MATCH(DA742,'Resource use and costs'!$BA$11:$BA$53,0)),0)*_xlfn.IFNA(INDEX(EA$10:EA$23,MATCH($DA742,$DX$10:$DX$23,0)),0))</f>
        <v>50308.075122000002</v>
      </c>
      <c r="DL742" s="909">
        <f>IF(dd_PartSA_2_lines = "Yes",0,_xlfn.IFNA(INDEX('Resource use and costs'!$CS$11:$CS$53,MATCH(DB742,'Resource use and costs'!$BA$11:$BA$53,0)),0)*_xlfn.IFNA(INDEX(EC$10:EC$23,MATCH($DB742,$DX$10:$DX$23,0)),0))</f>
        <v>0</v>
      </c>
      <c r="DM742" s="909">
        <f t="shared" si="324"/>
        <v>104644.71664199998</v>
      </c>
      <c r="DN742" s="909">
        <f>SUM(_xlfn.IFNA(INDEX('Resource use and costs'!$DU$12:$DU$25,MATCH(CZ742,'Resource use and costs'!$DS$12:$DS$25,0)),0),_xlfn.IFNA(INDEX('Resource use and costs'!$DU$12:$DU$25,MATCH(DA742,'Resource use and costs'!$DS$12:$DS$25,0)),0),_xlfn.IFNA(INDEX('Resource use and costs'!$DU$12:$DU$25,MATCH(DB742,'Resource use and costs'!$DS$12:$DS$25,0)),0))</f>
        <v>394.5</v>
      </c>
      <c r="DO742" s="921">
        <f>_xlfn.IFNA(INDEX('Resource use and costs'!$DY$12:$DY$25,MATCH(CZ742,'Resource use and costs'!$DS$12:$DS$25,0)),0)*_xlfn.IFNA(INDEX(DY$10:DY$23,MATCH($CZ742,$DX$10:$DX$23,0)),0)</f>
        <v>810.54285714285697</v>
      </c>
      <c r="DP742" s="921">
        <f>IF(dd_PartSA_2_lines = "Yes",0,_xlfn.IFNA(INDEX('Resource use and costs'!$DZ$12:$DZ$25,MATCH(DA742,'Resource use and costs'!$DS$12:$DS$25,0)),0)*_xlfn.IFNA(INDEX(EA$10:EA$23,MATCH($DA742,$DX$10:$DX$23,0)),0))</f>
        <v>461.1445457142857</v>
      </c>
      <c r="DQ742" s="921">
        <f>IF(dd_PartSA_2_lines = "Yes",0,_xlfn.IFNA(INDEX('Resource use and costs'!$EA$12:$EA$25,MATCH(DB742,'Resource use and costs'!$DS$12:$DS$25,0)),0)*_xlfn.IFNA(INDEX(EC$10:EC$23,MATCH($DB742,$DX$10:$DX$23,0)),0))</f>
        <v>0</v>
      </c>
      <c r="DR742" s="921">
        <f t="shared" si="325"/>
        <v>1666.1874028571426</v>
      </c>
      <c r="DS742" s="1004">
        <f ca="1">SUMIFS('Safety parameters'!$DM$6:$DM$18,'Safety parameters'!$DK$6:$DK$18,CZ742,'Safety parameters'!$DL$6:$DL$18,1)+IF(dd_PartSA_2_lines = "Yes",0,SUMIFS('Safety parameters'!$DM$6:$DM$18,'Safety parameters'!$DK$6:$DK$18,DA742,'Safety parameters'!$DL$6:$DL$18,2)+SUMIFS('Safety parameters'!$DM$6:$DM$18,'Safety parameters'!$DK$6:$DK$18,DB742,'Safety parameters'!$DL$6:$DL$18,2))</f>
        <v>743.64929980338343</v>
      </c>
      <c r="DT742" s="910">
        <f ca="1">SUMIFS('Safety parameters'!$DO$6:$DO$18,'Safety parameters'!$DK$6:$DK$18,CZ742,'Safety parameters'!$DL$6:$DL$18,1)+IF(dd_PartSA_2_lines = "Yes",0,SUMIFS('Safety parameters'!$DO$6:$DO$18,'Safety parameters'!$DK$6:$DK$18,DA742,'Safety parameters'!$DL$6:$DL$18,2)+SUMIFS('Safety parameters'!$DO$6:$DO$18,'Safety parameters'!$DK$6:$DK$18,DB742,'Safety parameters'!$DL$6:$DL$18,2))</f>
        <v>-7.0223263562359372E-3</v>
      </c>
    </row>
    <row r="743" spans="99:124" x14ac:dyDescent="0.2">
      <c r="CU743" s="1123">
        <f>MATCH(CZ750,'Resource use and costs'!$BA$11:$BA$53,0)</f>
        <v>1</v>
      </c>
      <c r="CV743" s="1223"/>
      <c r="CW743" s="1241">
        <f t="shared" si="320"/>
        <v>1</v>
      </c>
      <c r="CX743" s="899" t="s">
        <v>794</v>
      </c>
      <c r="CY743" s="899" t="s">
        <v>319</v>
      </c>
      <c r="CZ743" s="899" t="s">
        <v>333</v>
      </c>
      <c r="DA743" s="899" t="s">
        <v>579</v>
      </c>
      <c r="DB743" s="899" t="s">
        <v>327</v>
      </c>
      <c r="DC743" s="899" cm="1">
        <f t="array" aca="1" ref="DC743" ca="1">_xlfn.IFNA(OFFSET($I$49,MATCH(CY743,$I$50:$I$63,0),MATCH(CZ743,TRANSPOSE($J$49:$W$49),0)),0)</f>
        <v>1.6065749508665357E-2</v>
      </c>
      <c r="DD743" s="899" cm="1">
        <f t="array" aca="1" ref="DD743" ca="1">_xlfn.IFNA(OFFSET($Y$49,MATCH($CZ743,$Y$50:$Y$63,0),MATCH($DA743,TRANSPOSE($Z$49:$AM$49),0)),0)</f>
        <v>8.2100000000000006E-2</v>
      </c>
      <c r="DE743" s="899" cm="1">
        <f t="array" aca="1" ref="DE743" ca="1">_xlfn.IFNA(OFFSET($AO$49,MATCH($DA743,$AO$50:$AO$63,0),MATCH($DB743,TRANSPOSE($AP$49:$BC$49),0)),0)</f>
        <v>0.56859999999999999</v>
      </c>
      <c r="DF743" s="881">
        <f t="shared" ca="1" si="322"/>
        <v>7.4998228250848671E-4</v>
      </c>
      <c r="DG743" s="910">
        <f t="shared" ca="1" si="319"/>
        <v>0.98859556831386541</v>
      </c>
      <c r="DH743" s="881">
        <f t="shared" ca="1" si="323"/>
        <v>7.4142916080180735E-4</v>
      </c>
      <c r="DI743" s="1460">
        <f t="shared" ca="1" si="321"/>
        <v>7.7108632723387971E-2</v>
      </c>
      <c r="DJ743" s="909">
        <f>_xlfn.IFNA(INDEX('Resource use and costs'!$CQ$11:$CQ$53,MATCH($CZ743,'Resource use and costs'!$BA$11:$BA$53,0)),0)*_xlfn.IFNA(INDEX(DY$10:DY$23,MATCH($CZ743,$DX$10:$DX$23,0)),0)</f>
        <v>54336.641519999976</v>
      </c>
      <c r="DK743" s="909">
        <f>IF(dd_PartSA_2_lines = "Yes",0,_xlfn.IFNA(INDEX('Resource use and costs'!$CR$11:$CR$53,MATCH(DA743,'Resource use and costs'!$BA$11:$BA$53,0)),0)*_xlfn.IFNA(INDEX(EA$10:EA$23,MATCH($DA743,$DX$10:$DX$23,0)),0))</f>
        <v>26054.50921</v>
      </c>
      <c r="DL743" s="909">
        <f>IF(dd_PartSA_2_lines = "Yes",0,_xlfn.IFNA(INDEX('Resource use and costs'!$CS$11:$CS$53,MATCH(DB743,'Resource use and costs'!$BA$11:$BA$53,0)),0)*_xlfn.IFNA(INDEX(EC$10:EC$23,MATCH($DB743,$DX$10:$DX$23,0)),0))</f>
        <v>18438.751749999999</v>
      </c>
      <c r="DM743" s="909">
        <f t="shared" si="324"/>
        <v>98829.902479999975</v>
      </c>
      <c r="DN743" s="909">
        <f>SUM(_xlfn.IFNA(INDEX('Resource use and costs'!$DU$12:$DU$25,MATCH(CZ743,'Resource use and costs'!$DS$12:$DS$25,0)),0),_xlfn.IFNA(INDEX('Resource use and costs'!$DU$12:$DU$25,MATCH(DA743,'Resource use and costs'!$DS$12:$DS$25,0)),0),_xlfn.IFNA(INDEX('Resource use and costs'!$DU$12:$DU$25,MATCH(DB743,'Resource use and costs'!$DS$12:$DS$25,0)),0))</f>
        <v>394.5</v>
      </c>
      <c r="DO743" s="921">
        <f>_xlfn.IFNA(INDEX('Resource use and costs'!$DY$12:$DY$25,MATCH(CZ743,'Resource use and costs'!$DS$12:$DS$25,0)),0)*_xlfn.IFNA(INDEX(DY$10:DY$23,MATCH($CZ743,$DX$10:$DX$23,0)),0)</f>
        <v>810.54285714285697</v>
      </c>
      <c r="DP743" s="921">
        <f>IF(dd_PartSA_2_lines = "Yes",0,_xlfn.IFNA(INDEX('Resource use and costs'!$DZ$12:$DZ$25,MATCH(DA743,'Resource use and costs'!$DS$12:$DS$25,0)),0)*_xlfn.IFNA(INDEX(EA$10:EA$23,MATCH($DA743,$DX$10:$DX$23,0)),0))</f>
        <v>4108.3597166</v>
      </c>
      <c r="DQ743" s="921">
        <f>IF(dd_PartSA_2_lines = "Yes",0,_xlfn.IFNA(INDEX('Resource use and costs'!$EA$12:$EA$25,MATCH(DB743,'Resource use and costs'!$DS$12:$DS$25,0)),0)*_xlfn.IFNA(INDEX(EC$10:EC$23,MATCH($DB743,$DX$10:$DX$23,0)),0))</f>
        <v>230.68099999999998</v>
      </c>
      <c r="DR743" s="921">
        <f t="shared" si="325"/>
        <v>5544.0835737428561</v>
      </c>
      <c r="DS743" s="1004">
        <f ca="1">SUMIFS('Safety parameters'!$DM$6:$DM$18,'Safety parameters'!$DK$6:$DK$18,CZ743,'Safety parameters'!$DL$6:$DL$18,1)+IF(dd_PartSA_2_lines = "Yes",0,SUMIFS('Safety parameters'!$DM$6:$DM$18,'Safety parameters'!$DK$6:$DK$18,DA743,'Safety parameters'!$DL$6:$DL$18,2)+SUMIFS('Safety parameters'!$DM$6:$DM$18,'Safety parameters'!$DK$6:$DK$18,DB743,'Safety parameters'!$DL$6:$DL$18,2))</f>
        <v>1795.3624225558742</v>
      </c>
      <c r="DT743" s="910">
        <f ca="1">SUMIFS('Safety parameters'!$DO$6:$DO$18,'Safety parameters'!$DK$6:$DK$18,CZ743,'Safety parameters'!$DL$6:$DL$18,1)+IF(dd_PartSA_2_lines = "Yes",0,SUMIFS('Safety parameters'!$DO$6:$DO$18,'Safety parameters'!$DK$6:$DK$18,DA743,'Safety parameters'!$DL$6:$DL$18,2)+SUMIFS('Safety parameters'!$DO$6:$DO$18,'Safety parameters'!$DK$6:$DK$18,DB743,'Safety parameters'!$DL$6:$DL$18,2))</f>
        <v>-1.6339008205166216E-2</v>
      </c>
    </row>
    <row r="744" spans="99:124" x14ac:dyDescent="0.2">
      <c r="CU744" s="1123">
        <f>MATCH(CZ751,'Resource use and costs'!$BA$11:$BA$53,0)</f>
        <v>1</v>
      </c>
      <c r="CV744" s="1223"/>
      <c r="CW744" s="1241">
        <f t="shared" si="320"/>
        <v>1</v>
      </c>
      <c r="CX744" s="899" t="s">
        <v>794</v>
      </c>
      <c r="CY744" s="899" t="s">
        <v>319</v>
      </c>
      <c r="CZ744" s="899" t="s">
        <v>333</v>
      </c>
      <c r="DA744" s="899" t="s">
        <v>579</v>
      </c>
      <c r="DB744" s="899" t="s">
        <v>765</v>
      </c>
      <c r="DC744" s="899" cm="1">
        <f t="array" aca="1" ref="DC744" ca="1">_xlfn.IFNA(OFFSET($I$49,MATCH(CY744,$I$50:$I$63,0),MATCH(CZ744,TRANSPOSE($J$49:$W$49),0)),0)</f>
        <v>1.6065749508665357E-2</v>
      </c>
      <c r="DD744" s="899" cm="1">
        <f t="array" aca="1" ref="DD744" ca="1">_xlfn.IFNA(OFFSET($Y$49,MATCH($CZ744,$Y$50:$Y$63,0),MATCH($DA744,TRANSPOSE($Z$49:$AM$49),0)),0)</f>
        <v>8.2100000000000006E-2</v>
      </c>
      <c r="DE744" s="899" cm="1">
        <f t="array" aca="1" ref="DE744" ca="1">_xlfn.IFNA(OFFSET($AO$49,MATCH($DA744,$AO$50:$AO$63,0),MATCH($DB744,TRANSPOSE($AP$49:$BC$49),0)),0)</f>
        <v>0.43140000000000001</v>
      </c>
      <c r="DF744" s="881">
        <f t="shared" ca="1" si="322"/>
        <v>5.6901575215293919E-4</v>
      </c>
      <c r="DG744" s="910">
        <f t="shared" ca="1" si="319"/>
        <v>0.98859556831386541</v>
      </c>
      <c r="DH744" s="881">
        <f t="shared" ca="1" si="323"/>
        <v>5.6252645087917648E-4</v>
      </c>
      <c r="DI744" s="1460">
        <f t="shared" ca="1" si="321"/>
        <v>5.8502750891434356E-2</v>
      </c>
      <c r="DJ744" s="909">
        <f>_xlfn.IFNA(INDEX('Resource use and costs'!$CQ$11:$CQ$53,MATCH($CZ744,'Resource use and costs'!$BA$11:$BA$53,0)),0)*_xlfn.IFNA(INDEX(DY$10:DY$23,MATCH($CZ744,$DX$10:$DX$23,0)),0)</f>
        <v>54336.641519999976</v>
      </c>
      <c r="DK744" s="909">
        <f>IF(dd_PartSA_2_lines = "Yes",0,_xlfn.IFNA(INDEX('Resource use and costs'!$CR$11:$CR$53,MATCH(DA744,'Resource use and costs'!$BA$11:$BA$53,0)),0)*_xlfn.IFNA(INDEX(EA$10:EA$23,MATCH($DA744,$DX$10:$DX$23,0)),0))</f>
        <v>26054.50921</v>
      </c>
      <c r="DL744" s="909">
        <f>IF(dd_PartSA_2_lines = "Yes",0,_xlfn.IFNA(INDEX('Resource use and costs'!$CS$11:$CS$53,MATCH(DB744,'Resource use and costs'!$BA$11:$BA$53,0)),0)*_xlfn.IFNA(INDEX(EC$10:EC$23,MATCH($DB744,$DX$10:$DX$23,0)),0))</f>
        <v>0</v>
      </c>
      <c r="DM744" s="909">
        <f t="shared" si="324"/>
        <v>80391.150729999979</v>
      </c>
      <c r="DN744" s="909">
        <f>SUM(_xlfn.IFNA(INDEX('Resource use and costs'!$DU$12:$DU$25,MATCH(CZ744,'Resource use and costs'!$DS$12:$DS$25,0)),0),_xlfn.IFNA(INDEX('Resource use and costs'!$DU$12:$DU$25,MATCH(DA744,'Resource use and costs'!$DS$12:$DS$25,0)),0),_xlfn.IFNA(INDEX('Resource use and costs'!$DU$12:$DU$25,MATCH(DB744,'Resource use and costs'!$DS$12:$DS$25,0)),0))</f>
        <v>197.25</v>
      </c>
      <c r="DO744" s="921">
        <f>_xlfn.IFNA(INDEX('Resource use and costs'!$DY$12:$DY$25,MATCH(CZ744,'Resource use and costs'!$DS$12:$DS$25,0)),0)*_xlfn.IFNA(INDEX(DY$10:DY$23,MATCH($CZ744,$DX$10:$DX$23,0)),0)</f>
        <v>810.54285714285697</v>
      </c>
      <c r="DP744" s="921">
        <f>IF(dd_PartSA_2_lines = "Yes",0,_xlfn.IFNA(INDEX('Resource use and costs'!$DZ$12:$DZ$25,MATCH(DA744,'Resource use and costs'!$DS$12:$DS$25,0)),0)*_xlfn.IFNA(INDEX(EA$10:EA$23,MATCH($DA744,$DX$10:$DX$23,0)),0))</f>
        <v>4108.3597166</v>
      </c>
      <c r="DQ744" s="921">
        <f>IF(dd_PartSA_2_lines = "Yes",0,_xlfn.IFNA(INDEX('Resource use and costs'!$EA$12:$EA$25,MATCH(DB744,'Resource use and costs'!$DS$12:$DS$25,0)),0)*_xlfn.IFNA(INDEX(EC$10:EC$23,MATCH($DB744,$DX$10:$DX$23,0)),0))</f>
        <v>0</v>
      </c>
      <c r="DR744" s="921">
        <f t="shared" si="325"/>
        <v>5116.1525737428565</v>
      </c>
      <c r="DS744" s="1004">
        <f ca="1">SUMIFS('Safety parameters'!$DM$6:$DM$18,'Safety parameters'!$DK$6:$DK$18,CZ744,'Safety parameters'!$DL$6:$DL$18,1)+IF(dd_PartSA_2_lines = "Yes",0,SUMIFS('Safety parameters'!$DM$6:$DM$18,'Safety parameters'!$DK$6:$DK$18,DA744,'Safety parameters'!$DL$6:$DL$18,2)+SUMIFS('Safety parameters'!$DM$6:$DM$18,'Safety parameters'!$DK$6:$DK$18,DB744,'Safety parameters'!$DL$6:$DL$18,2))</f>
        <v>161.1337489904144</v>
      </c>
      <c r="DT744" s="910">
        <f ca="1">SUMIFS('Safety parameters'!$DO$6:$DO$18,'Safety parameters'!$DK$6:$DK$18,CZ744,'Safety parameters'!$DL$6:$DL$18,1)+IF(dd_PartSA_2_lines = "Yes",0,SUMIFS('Safety parameters'!$DO$6:$DO$18,'Safety parameters'!$DK$6:$DK$18,DA744,'Safety parameters'!$DL$6:$DL$18,2)+SUMIFS('Safety parameters'!$DO$6:$DO$18,'Safety parameters'!$DK$6:$DK$18,DB744,'Safety parameters'!$DL$6:$DL$18,2))</f>
        <v>-1.5970841976847864E-3</v>
      </c>
    </row>
    <row r="745" spans="99:124" x14ac:dyDescent="0.2">
      <c r="CU745" s="1123">
        <f>MATCH(CZ752,'Resource use and costs'!$BA$11:$BA$53,0)</f>
        <v>1</v>
      </c>
      <c r="CV745" s="1223"/>
      <c r="CW745" s="1241">
        <f t="shared" si="320"/>
        <v>1</v>
      </c>
      <c r="CX745" s="899" t="s">
        <v>794</v>
      </c>
      <c r="CY745" s="899" t="s">
        <v>319</v>
      </c>
      <c r="CZ745" s="899" t="s">
        <v>579</v>
      </c>
      <c r="DA745" s="899" t="s">
        <v>327</v>
      </c>
      <c r="DB745" s="899" t="s">
        <v>765</v>
      </c>
      <c r="DC745" s="899" cm="1">
        <f t="array" aca="1" ref="DC745" ca="1">_xlfn.IFNA(OFFSET($I$49,MATCH(CY745,$I$50:$I$63,0),MATCH(CZ745,TRANSPOSE($J$49:$W$49),0)),0)</f>
        <v>0.49974522065392168</v>
      </c>
      <c r="DD745" s="899" cm="1">
        <f t="array" aca="1" ref="DD745" ca="1">_xlfn.IFNA(OFFSET($Y$49,MATCH($CZ745,$Y$50:$Y$63,0),MATCH($DA745,TRANSPOSE($Z$49:$AM$49),0)),0)</f>
        <v>5.2400000000000002E-2</v>
      </c>
      <c r="DE745" s="899" cm="1">
        <f t="array" aca="1" ref="DE745" ca="1">_xlfn.IFNA(OFFSET($AO$49,MATCH($DA745,$AO$50:$AO$63,0),MATCH($DB745,TRANSPOSE($AP$49:$BC$49),0)),0)</f>
        <v>0.43140000000000001</v>
      </c>
      <c r="DF745" s="881">
        <f t="shared" ca="1" si="322"/>
        <v>1.1296920621161336E-2</v>
      </c>
      <c r="DG745" s="910">
        <f t="shared" ca="1" si="319"/>
        <v>0.98859556831386541</v>
      </c>
      <c r="DH745" s="881">
        <f t="shared" ca="1" si="323"/>
        <v>1.1168085661673616E-2</v>
      </c>
      <c r="DI745" s="1460">
        <f t="shared" ca="1" si="321"/>
        <v>1.1614809088140561</v>
      </c>
      <c r="DJ745" s="909">
        <f>_xlfn.IFNA(INDEX('Resource use and costs'!$CQ$11:$CQ$53,MATCH($CZ745,'Resource use and costs'!$BA$11:$BA$53,0)),0)*_xlfn.IFNA(INDEX(DY$10:DY$23,MATCH($CZ745,$DX$10:$DX$23,0)),0)</f>
        <v>56693.786091428577</v>
      </c>
      <c r="DK745" s="909">
        <f>IF(dd_PartSA_2_lines = "Yes",0,_xlfn.IFNA(INDEX('Resource use and costs'!$CR$11:$CR$53,MATCH(DA745,'Resource use and costs'!$BA$11:$BA$53,0)),0)*_xlfn.IFNA(INDEX(EA$10:EA$23,MATCH($DA745,$DX$10:$DX$23,0)),0))</f>
        <v>21421.066008214286</v>
      </c>
      <c r="DL745" s="909">
        <f>IF(dd_PartSA_2_lines = "Yes",0,_xlfn.IFNA(INDEX('Resource use and costs'!$CS$11:$CS$53,MATCH(DB745,'Resource use and costs'!$BA$11:$BA$53,0)),0)*_xlfn.IFNA(INDEX(EC$10:EC$23,MATCH($DB745,$DX$10:$DX$23,0)),0))</f>
        <v>0</v>
      </c>
      <c r="DM745" s="909">
        <f t="shared" si="324"/>
        <v>78114.852099642856</v>
      </c>
      <c r="DN745" s="909">
        <f>SUM(_xlfn.IFNA(INDEX('Resource use and costs'!$DU$12:$DU$25,MATCH(CZ745,'Resource use and costs'!$DS$12:$DS$25,0)),0),_xlfn.IFNA(INDEX('Resource use and costs'!$DU$12:$DU$25,MATCH(DA745,'Resource use and costs'!$DS$12:$DS$25,0)),0),_xlfn.IFNA(INDEX('Resource use and costs'!$DU$12:$DU$25,MATCH(DB745,'Resource use and costs'!$DS$12:$DS$25,0)),0))</f>
        <v>197.25</v>
      </c>
      <c r="DO745" s="921">
        <f>_xlfn.IFNA(INDEX('Resource use and costs'!$DY$12:$DY$25,MATCH(CZ745,'Resource use and costs'!$DS$12:$DS$25,0)),0)*_xlfn.IFNA(INDEX(DY$10:DY$23,MATCH($CZ745,$DX$10:$DX$23,0)),0)</f>
        <v>8939.6605049142872</v>
      </c>
      <c r="DP745" s="921">
        <f>IF(dd_PartSA_2_lines = "Yes",0,_xlfn.IFNA(INDEX('Resource use and costs'!$DZ$12:$DZ$25,MATCH(DA745,'Resource use and costs'!$DS$12:$DS$25,0)),0)*_xlfn.IFNA(INDEX(EA$10:EA$23,MATCH($DA745,$DX$10:$DX$23,0)),0))</f>
        <v>267.99172714285714</v>
      </c>
      <c r="DQ745" s="921">
        <f>IF(dd_PartSA_2_lines = "Yes",0,_xlfn.IFNA(INDEX('Resource use and costs'!$EA$12:$EA$25,MATCH(DB745,'Resource use and costs'!$DS$12:$DS$25,0)),0)*_xlfn.IFNA(INDEX(EC$10:EC$23,MATCH($DB745,$DX$10:$DX$23,0)),0))</f>
        <v>0</v>
      </c>
      <c r="DR745" s="921">
        <f t="shared" si="325"/>
        <v>9404.9022320571439</v>
      </c>
      <c r="DS745" s="1004">
        <f ca="1">SUMIFS('Safety parameters'!$DM$6:$DM$18,'Safety parameters'!$DK$6:$DK$18,CZ745,'Safety parameters'!$DL$6:$DL$18,1)+IF(dd_PartSA_2_lines = "Yes",0,SUMIFS('Safety parameters'!$DM$6:$DM$18,'Safety parameters'!$DK$6:$DK$18,DA745,'Safety parameters'!$DL$6:$DL$18,2)+SUMIFS('Safety parameters'!$DM$6:$DM$18,'Safety parameters'!$DK$6:$DK$18,DB745,'Safety parameters'!$DL$6:$DL$18,2))</f>
        <v>1634.2286735654598</v>
      </c>
      <c r="DT745" s="910">
        <f ca="1">SUMIFS('Safety parameters'!$DO$6:$DO$18,'Safety parameters'!$DK$6:$DK$18,CZ745,'Safety parameters'!$DL$6:$DL$18,1)+IF(dd_PartSA_2_lines = "Yes",0,SUMIFS('Safety parameters'!$DO$6:$DO$18,'Safety parameters'!$DK$6:$DK$18,DA745,'Safety parameters'!$DL$6:$DL$18,2)+SUMIFS('Safety parameters'!$DO$6:$DO$18,'Safety parameters'!$DK$6:$DK$18,DB745,'Safety parameters'!$DL$6:$DL$18,2))</f>
        <v>-1.4741924007481429E-2</v>
      </c>
    </row>
    <row r="746" spans="99:124" x14ac:dyDescent="0.2">
      <c r="CU746" s="1123">
        <f>MATCH(CZ753,'Resource use and costs'!$BA$11:$BA$53,0)</f>
        <v>1</v>
      </c>
      <c r="CV746" s="1223"/>
      <c r="CW746" s="1241">
        <f t="shared" si="320"/>
        <v>1</v>
      </c>
      <c r="CX746" s="899" t="s">
        <v>794</v>
      </c>
      <c r="CY746" s="899" t="s">
        <v>319</v>
      </c>
      <c r="CZ746" s="899" t="s">
        <v>579</v>
      </c>
      <c r="DA746" s="899" t="s">
        <v>327</v>
      </c>
      <c r="DB746" s="899" t="s">
        <v>119</v>
      </c>
      <c r="DC746" s="899" cm="1">
        <f t="array" aca="1" ref="DC746" ca="1">_xlfn.IFNA(OFFSET($I$49,MATCH(CY746,$I$50:$I$63,0),MATCH(CZ746,TRANSPOSE($J$49:$W$49),0)),0)</f>
        <v>0.49974522065392168</v>
      </c>
      <c r="DD746" s="899" cm="1">
        <f t="array" aca="1" ref="DD746" ca="1">_xlfn.IFNA(OFFSET($Y$49,MATCH($CZ746,$Y$50:$Y$63,0),MATCH($DA746,TRANSPOSE($Z$49:$AM$49),0)),0)</f>
        <v>5.2400000000000002E-2</v>
      </c>
      <c r="DE746" s="899" cm="1">
        <f t="array" aca="1" ref="DE746" ca="1">_xlfn.IFNA(OFFSET($AO$49,MATCH($DA746,$AO$50:$AO$63,0),MATCH($DB746,TRANSPOSE($AP$49:$BC$49),0)),0)</f>
        <v>0.56859999999999999</v>
      </c>
      <c r="DF746" s="881">
        <f t="shared" ca="1" si="322"/>
        <v>1.4889728941104161E-2</v>
      </c>
      <c r="DG746" s="910">
        <f t="shared" ca="1" si="319"/>
        <v>0.98859556831386541</v>
      </c>
      <c r="DH746" s="881">
        <f t="shared" ca="1" si="323"/>
        <v>1.4719920044570277E-2</v>
      </c>
      <c r="DI746" s="1460">
        <f t="shared" ca="1" si="321"/>
        <v>1.5308716846353088</v>
      </c>
      <c r="DJ746" s="909">
        <f>_xlfn.IFNA(INDEX('Resource use and costs'!$CQ$11:$CQ$53,MATCH($CZ746,'Resource use and costs'!$BA$11:$BA$53,0)),0)*_xlfn.IFNA(INDEX(DY$10:DY$23,MATCH($CZ746,$DX$10:$DX$23,0)),0)</f>
        <v>56693.786091428577</v>
      </c>
      <c r="DK746" s="909">
        <f>IF(dd_PartSA_2_lines = "Yes",0,_xlfn.IFNA(INDEX('Resource use and costs'!$CR$11:$CR$53,MATCH(DA746,'Resource use and costs'!$BA$11:$BA$53,0)),0)*_xlfn.IFNA(INDEX(EA$10:EA$23,MATCH($DA746,$DX$10:$DX$23,0)),0))</f>
        <v>21421.066008214286</v>
      </c>
      <c r="DL746" s="909">
        <f>IF(dd_PartSA_2_lines = "Yes",0,_xlfn.IFNA(INDEX('Resource use and costs'!$CS$11:$CS$53,MATCH(DB746,'Resource use and costs'!$BA$11:$BA$53,0)),0)*_xlfn.IFNA(INDEX(EC$10:EC$23,MATCH($DB746,$DX$10:$DX$23,0)),0))</f>
        <v>2915.4763433333328</v>
      </c>
      <c r="DM746" s="909">
        <f t="shared" si="324"/>
        <v>81030.328442976184</v>
      </c>
      <c r="DN746" s="909">
        <f>SUM(_xlfn.IFNA(INDEX('Resource use and costs'!$DU$12:$DU$25,MATCH(CZ746,'Resource use and costs'!$DS$12:$DS$25,0)),0),_xlfn.IFNA(INDEX('Resource use and costs'!$DU$12:$DU$25,MATCH(DA746,'Resource use and costs'!$DS$12:$DS$25,0)),0),_xlfn.IFNA(INDEX('Resource use and costs'!$DU$12:$DU$25,MATCH(DB746,'Resource use and costs'!$DS$12:$DS$25,0)),0))</f>
        <v>394.5</v>
      </c>
      <c r="DO746" s="921">
        <f>_xlfn.IFNA(INDEX('Resource use and costs'!$DY$12:$DY$25,MATCH(CZ746,'Resource use and costs'!$DS$12:$DS$25,0)),0)*_xlfn.IFNA(INDEX(DY$10:DY$23,MATCH($CZ746,$DX$10:$DX$23,0)),0)</f>
        <v>8939.6605049142872</v>
      </c>
      <c r="DP746" s="921">
        <f>IF(dd_PartSA_2_lines = "Yes",0,_xlfn.IFNA(INDEX('Resource use and costs'!$DZ$12:$DZ$25,MATCH(DA746,'Resource use and costs'!$DS$12:$DS$25,0)),0)*_xlfn.IFNA(INDEX(EA$10:EA$23,MATCH($DA746,$DX$10:$DX$23,0)),0))</f>
        <v>267.99172714285714</v>
      </c>
      <c r="DQ746" s="921">
        <f>IF(dd_PartSA_2_lines = "Yes",0,_xlfn.IFNA(INDEX('Resource use and costs'!$EA$12:$EA$25,MATCH(DB746,'Resource use and costs'!$DS$12:$DS$25,0)),0)*_xlfn.IFNA(INDEX(EC$10:EC$23,MATCH($DB746,$DX$10:$DX$23,0)),0))</f>
        <v>256.11457142857142</v>
      </c>
      <c r="DR746" s="921">
        <f t="shared" si="325"/>
        <v>9858.2668034857161</v>
      </c>
      <c r="DS746" s="1004">
        <f ca="1">SUMIFS('Safety parameters'!$DM$6:$DM$18,'Safety parameters'!$DK$6:$DK$18,CZ746,'Safety parameters'!$DL$6:$DL$18,1)+IF(dd_PartSA_2_lines = "Yes",0,SUMIFS('Safety parameters'!$DM$6:$DM$18,'Safety parameters'!$DK$6:$DK$18,DA746,'Safety parameters'!$DL$6:$DL$18,2)+SUMIFS('Safety parameters'!$DM$6:$DM$18,'Safety parameters'!$DK$6:$DK$18,DB746,'Safety parameters'!$DL$6:$DL$18,2))</f>
        <v>1967.1040569407746</v>
      </c>
      <c r="DT746" s="910">
        <f ca="1">SUMIFS('Safety parameters'!$DO$6:$DO$18,'Safety parameters'!$DK$6:$DK$18,CZ746,'Safety parameters'!$DL$6:$DL$18,1)+IF(dd_PartSA_2_lines = "Yes",0,SUMIFS('Safety parameters'!$DO$6:$DO$18,'Safety parameters'!$DK$6:$DK$18,DA746,'Safety parameters'!$DL$6:$DL$18,2)+SUMIFS('Safety parameters'!$DO$6:$DO$18,'Safety parameters'!$DK$6:$DK$18,DB746,'Safety parameters'!$DL$6:$DL$18,2))</f>
        <v>-1.7409497544119149E-2</v>
      </c>
    </row>
    <row r="747" spans="99:124" x14ac:dyDescent="0.2">
      <c r="CU747" s="1123">
        <f>MATCH(CZ754,'Resource use and costs'!$BA$11:$BA$53,0)</f>
        <v>1</v>
      </c>
      <c r="CV747" s="1223"/>
      <c r="CW747" s="1241">
        <f t="shared" si="320"/>
        <v>1</v>
      </c>
      <c r="CX747" s="899" t="s">
        <v>794</v>
      </c>
      <c r="CY747" s="899" t="s">
        <v>319</v>
      </c>
      <c r="CZ747" s="899" t="s">
        <v>579</v>
      </c>
      <c r="DA747" s="899" t="s">
        <v>765</v>
      </c>
      <c r="DB747" s="899"/>
      <c r="DC747" s="899" cm="1">
        <f t="array" aca="1" ref="DC747" ca="1">_xlfn.IFNA(OFFSET($I$49,MATCH(CY747,$I$50:$I$63,0),MATCH(CZ747,TRANSPOSE($J$49:$W$49),0)),0)</f>
        <v>0.49974522065392168</v>
      </c>
      <c r="DD747" s="899" cm="1">
        <f t="array" aca="1" ref="DD747" ca="1">_xlfn.IFNA(OFFSET($Y$49,MATCH($CZ747,$Y$50:$Y$63,0),MATCH($DA747,TRANSPOSE($Z$49:$AM$49),0)),0)</f>
        <v>0.3453</v>
      </c>
      <c r="DE747" s="899" cm="1">
        <f t="array" aca="1" ref="DE747" ca="1">_xlfn.IFNA(OFFSET($AO$49,MATCH($DA747,$AO$50:$AO$63,0),MATCH($DB747,TRANSPOSE($AP$49:$BC$49),0)),0)</f>
        <v>0</v>
      </c>
      <c r="DF747" s="881">
        <f t="shared" ca="1" si="322"/>
        <v>0.17256202469179915</v>
      </c>
      <c r="DG747" s="910">
        <f t="shared" ca="1" si="319"/>
        <v>0.98859556831386541</v>
      </c>
      <c r="DH747" s="881">
        <f t="shared" ca="1" si="323"/>
        <v>0.17059405286958046</v>
      </c>
      <c r="DI747" s="1460">
        <f t="shared" ca="1" si="321"/>
        <v>17.741781498436367</v>
      </c>
      <c r="DJ747" s="909">
        <f>_xlfn.IFNA(INDEX('Resource use and costs'!$CQ$11:$CQ$53,MATCH($CZ747,'Resource use and costs'!$BA$11:$BA$53,0)),0)*_xlfn.IFNA(INDEX(DY$10:DY$23,MATCH($CZ747,$DX$10:$DX$23,0)),0)</f>
        <v>56693.786091428577</v>
      </c>
      <c r="DK747" s="909">
        <f>IF(dd_PartSA_2_lines = "Yes",0,_xlfn.IFNA(INDEX('Resource use and costs'!$CR$11:$CR$53,MATCH(DA747,'Resource use and costs'!$BA$11:$BA$53,0)),0)*_xlfn.IFNA(INDEX(EA$10:EA$23,MATCH($DA747,$DX$10:$DX$23,0)),0))</f>
        <v>0</v>
      </c>
      <c r="DL747" s="909">
        <f>IF(dd_PartSA_2_lines = "Yes",0,_xlfn.IFNA(INDEX('Resource use and costs'!$CS$11:$CS$53,MATCH(DB747,'Resource use and costs'!$BA$11:$BA$53,0)),0)*_xlfn.IFNA(INDEX(EC$10:EC$23,MATCH($DB747,$DX$10:$DX$23,0)),0))</f>
        <v>0</v>
      </c>
      <c r="DM747" s="909">
        <f t="shared" si="324"/>
        <v>56693.786091428577</v>
      </c>
      <c r="DN747" s="909">
        <f>SUM(_xlfn.IFNA(INDEX('Resource use and costs'!$DU$12:$DU$25,MATCH(CZ747,'Resource use and costs'!$DS$12:$DS$25,0)),0),_xlfn.IFNA(INDEX('Resource use and costs'!$DU$12:$DU$25,MATCH(DA747,'Resource use and costs'!$DS$12:$DS$25,0)),0),_xlfn.IFNA(INDEX('Resource use and costs'!$DU$12:$DU$25,MATCH(DB747,'Resource use and costs'!$DS$12:$DS$25,0)),0))</f>
        <v>0</v>
      </c>
      <c r="DO747" s="921">
        <f>_xlfn.IFNA(INDEX('Resource use and costs'!$DY$12:$DY$25,MATCH(CZ747,'Resource use and costs'!$DS$12:$DS$25,0)),0)*_xlfn.IFNA(INDEX(DY$10:DY$23,MATCH($CZ747,$DX$10:$DX$23,0)),0)</f>
        <v>8939.6605049142872</v>
      </c>
      <c r="DP747" s="921">
        <f>IF(dd_PartSA_2_lines = "Yes",0,_xlfn.IFNA(INDEX('Resource use and costs'!$DZ$12:$DZ$25,MATCH(DA747,'Resource use and costs'!$DS$12:$DS$25,0)),0)*_xlfn.IFNA(INDEX(EA$10:EA$23,MATCH($DA747,$DX$10:$DX$23,0)),0))</f>
        <v>0</v>
      </c>
      <c r="DQ747" s="921">
        <f>IF(dd_PartSA_2_lines = "Yes",0,_xlfn.IFNA(INDEX('Resource use and costs'!$EA$12:$EA$25,MATCH(DB747,'Resource use and costs'!$DS$12:$DS$25,0)),0)*_xlfn.IFNA(INDEX(EC$10:EC$23,MATCH($DB747,$DX$10:$DX$23,0)),0))</f>
        <v>0</v>
      </c>
      <c r="DR747" s="921">
        <f t="shared" si="325"/>
        <v>8939.6605049142872</v>
      </c>
      <c r="DS747" s="1004">
        <f>SUMIFS('Safety parameters'!$DM$6:$DM$18,'Safety parameters'!$DK$6:$DK$18,CZ747,'Safety parameters'!$DL$6:$DL$18,1)+IF(dd_PartSA_2_lines = "Yes",0,SUMIFS('Safety parameters'!$DM$6:$DM$18,'Safety parameters'!$DK$6:$DK$18,DA747,'Safety parameters'!$DL$6:$DL$18,2)+SUMIFS('Safety parameters'!$DM$6:$DM$18,'Safety parameters'!$DK$6:$DK$18,DB747,'Safety parameters'!$DL$6:$DL$18,2))</f>
        <v>0</v>
      </c>
      <c r="DT747" s="910">
        <f>SUMIFS('Safety parameters'!$DO$6:$DO$18,'Safety parameters'!$DK$6:$DK$18,CZ747,'Safety parameters'!$DL$6:$DL$18,1)+IF(dd_PartSA_2_lines = "Yes",0,SUMIFS('Safety parameters'!$DO$6:$DO$18,'Safety parameters'!$DK$6:$DK$18,DA747,'Safety parameters'!$DL$6:$DL$18,2)+SUMIFS('Safety parameters'!$DO$6:$DO$18,'Safety parameters'!$DK$6:$DK$18,DB747,'Safety parameters'!$DL$6:$DL$18,2))</f>
        <v>0</v>
      </c>
    </row>
    <row r="748" spans="99:124" x14ac:dyDescent="0.2">
      <c r="CV748" s="1223"/>
      <c r="CW748" s="1241">
        <f t="shared" si="320"/>
        <v>1</v>
      </c>
      <c r="CX748" s="899" t="s">
        <v>794</v>
      </c>
      <c r="CY748" s="899" t="s">
        <v>319</v>
      </c>
      <c r="CZ748" s="899" t="s">
        <v>579</v>
      </c>
      <c r="DA748" s="899" t="s">
        <v>118</v>
      </c>
      <c r="DB748" s="899" t="s">
        <v>327</v>
      </c>
      <c r="DC748" s="899" cm="1">
        <f t="array" aca="1" ref="DC748" ca="1">_xlfn.IFNA(OFFSET($I$49,MATCH(CY748,$I$50:$I$63,0),MATCH(CZ748,TRANSPOSE($J$49:$W$49),0)),0)</f>
        <v>0.49974522065392168</v>
      </c>
      <c r="DD748" s="899">
        <f ca="1">1-DD745-DD747-DD751-DD753</f>
        <v>0.54340000000000011</v>
      </c>
      <c r="DE748" s="899" cm="1">
        <f t="array" aca="1" ref="DE748" ca="1">_xlfn.IFNA(OFFSET($AO$49,MATCH($DA748,$AO$50:$AO$63,0),MATCH($DB748,TRANSPOSE($AP$49:$BC$49),0)),0)</f>
        <v>0.38769999999999999</v>
      </c>
      <c r="DF748" s="881">
        <f t="shared" ca="1" si="322"/>
        <v>0.10528441406062534</v>
      </c>
      <c r="DG748" s="910">
        <f t="shared" ca="1" si="319"/>
        <v>0.98859556831386541</v>
      </c>
      <c r="DH748" s="881">
        <f t="shared" ca="1" si="323"/>
        <v>0.10408370515285624</v>
      </c>
      <c r="DI748" s="1460">
        <f t="shared" ca="1" si="321"/>
        <v>10.824705335897049</v>
      </c>
      <c r="DJ748" s="909">
        <f>_xlfn.IFNA(INDEX('Resource use and costs'!$CQ$11:$CQ$53,MATCH($CZ748,'Resource use and costs'!$BA$11:$BA$53,0)),0)*_xlfn.IFNA(INDEX(DY$10:DY$23,MATCH($CZ748,$DX$10:$DX$23,0)),0)</f>
        <v>56693.786091428577</v>
      </c>
      <c r="DK748" s="909">
        <f>IF(dd_PartSA_2_lines = "Yes",0,_xlfn.IFNA(INDEX('Resource use and costs'!$CR$11:$CR$53,MATCH(DA748,'Resource use and costs'!$BA$11:$BA$53,0)),0)*_xlfn.IFNA(INDEX(EA$10:EA$23,MATCH($DA748,$DX$10:$DX$23,0)),0))</f>
        <v>50308.075122000002</v>
      </c>
      <c r="DL748" s="909">
        <f>IF(dd_PartSA_2_lines = "Yes",0,_xlfn.IFNA(INDEX('Resource use and costs'!$CS$11:$CS$53,MATCH(DB748,'Resource use and costs'!$BA$11:$BA$53,0)),0)*_xlfn.IFNA(INDEX(EC$10:EC$23,MATCH($DB748,$DX$10:$DX$23,0)),0))</f>
        <v>18438.751749999999</v>
      </c>
      <c r="DM748" s="909">
        <f t="shared" si="324"/>
        <v>125440.61296342858</v>
      </c>
      <c r="DN748" s="909">
        <f>SUM(_xlfn.IFNA(INDEX('Resource use and costs'!$DU$12:$DU$25,MATCH(CZ748,'Resource use and costs'!$DS$12:$DS$25,0)),0),_xlfn.IFNA(INDEX('Resource use and costs'!$DU$12:$DU$25,MATCH(DA748,'Resource use and costs'!$DS$12:$DS$25,0)),0),_xlfn.IFNA(INDEX('Resource use and costs'!$DU$12:$DU$25,MATCH(DB748,'Resource use and costs'!$DS$12:$DS$25,0)),0))</f>
        <v>394.5</v>
      </c>
      <c r="DO748" s="921">
        <f>_xlfn.IFNA(INDEX('Resource use and costs'!$DY$12:$DY$25,MATCH(CZ748,'Resource use and costs'!$DS$12:$DS$25,0)),0)*_xlfn.IFNA(INDEX(DY$10:DY$23,MATCH($CZ748,$DX$10:$DX$23,0)),0)</f>
        <v>8939.6605049142872</v>
      </c>
      <c r="DP748" s="921">
        <f>IF(dd_PartSA_2_lines = "Yes",0,_xlfn.IFNA(INDEX('Resource use and costs'!$DZ$12:$DZ$25,MATCH(DA748,'Resource use and costs'!$DS$12:$DS$25,0)),0)*_xlfn.IFNA(INDEX(EA$10:EA$23,MATCH($DA748,$DX$10:$DX$23,0)),0))</f>
        <v>461.1445457142857</v>
      </c>
      <c r="DQ748" s="921">
        <f>IF(dd_PartSA_2_lines = "Yes",0,_xlfn.IFNA(INDEX('Resource use and costs'!$EA$12:$EA$25,MATCH(DB748,'Resource use and costs'!$DS$12:$DS$25,0)),0)*_xlfn.IFNA(INDEX(EC$10:EC$23,MATCH($DB748,$DX$10:$DX$23,0)),0))</f>
        <v>230.68099999999998</v>
      </c>
      <c r="DR748" s="921">
        <f t="shared" si="325"/>
        <v>10025.986050628573</v>
      </c>
      <c r="DS748" s="1004">
        <f ca="1">SUMIFS('Safety parameters'!$DM$6:$DM$18,'Safety parameters'!$DK$6:$DK$18,CZ748,'Safety parameters'!$DL$6:$DL$18,1)+IF(dd_PartSA_2_lines = "Yes",0,SUMIFS('Safety parameters'!$DM$6:$DM$18,'Safety parameters'!$DK$6:$DK$18,DA748,'Safety parameters'!$DL$6:$DL$18,2)+SUMIFS('Safety parameters'!$DM$6:$DM$18,'Safety parameters'!$DK$6:$DK$18,DB748,'Safety parameters'!$DL$6:$DL$18,2))</f>
        <v>2377.8779733688434</v>
      </c>
      <c r="DT748" s="910">
        <f ca="1">SUMIFS('Safety parameters'!$DO$6:$DO$18,'Safety parameters'!$DK$6:$DK$18,CZ748,'Safety parameters'!$DL$6:$DL$18,1)+IF(dd_PartSA_2_lines = "Yes",0,SUMIFS('Safety parameters'!$DO$6:$DO$18,'Safety parameters'!$DK$6:$DK$18,DA748,'Safety parameters'!$DL$6:$DL$18,2)+SUMIFS('Safety parameters'!$DO$6:$DO$18,'Safety parameters'!$DK$6:$DK$18,DB748,'Safety parameters'!$DL$6:$DL$18,2))</f>
        <v>-2.1764250363717368E-2</v>
      </c>
    </row>
    <row r="749" spans="99:124" x14ac:dyDescent="0.2">
      <c r="CV749" s="1223"/>
      <c r="CW749" s="1241">
        <f t="shared" si="320"/>
        <v>1</v>
      </c>
      <c r="CX749" s="899" t="s">
        <v>794</v>
      </c>
      <c r="CY749" s="899" t="s">
        <v>319</v>
      </c>
      <c r="CZ749" s="899" t="s">
        <v>579</v>
      </c>
      <c r="DA749" s="899" t="s">
        <v>118</v>
      </c>
      <c r="DB749" s="899" t="s">
        <v>765</v>
      </c>
      <c r="DC749" s="899" cm="1">
        <f t="array" aca="1" ref="DC749" ca="1">_xlfn.IFNA(OFFSET($I$49,MATCH(CY749,$I$50:$I$63,0),MATCH(CZ749,TRANSPOSE($J$49:$W$49),0)),0)</f>
        <v>0.49974522065392168</v>
      </c>
      <c r="DD749" s="899">
        <f ca="1">DD748</f>
        <v>0.54340000000000011</v>
      </c>
      <c r="DE749" s="899" cm="1">
        <f t="array" aca="1" ref="DE749" ca="1">_xlfn.IFNA(OFFSET($AO$49,MATCH($DA749,$AO$50:$AO$63,0),MATCH($DB749,TRANSPOSE($AP$49:$BC$49),0)),0)</f>
        <v>0.43140000000000001</v>
      </c>
      <c r="DF749" s="881">
        <f t="shared" ca="1" si="322"/>
        <v>0.11715165392250136</v>
      </c>
      <c r="DG749" s="910">
        <f t="shared" ca="1" si="319"/>
        <v>0.98859556831386541</v>
      </c>
      <c r="DH749" s="881">
        <f t="shared" ca="1" si="323"/>
        <v>0.11581560588842452</v>
      </c>
      <c r="DI749" s="1460">
        <f t="shared" ca="1" si="321"/>
        <v>12.044823012396149</v>
      </c>
      <c r="DJ749" s="909">
        <f>_xlfn.IFNA(INDEX('Resource use and costs'!$CQ$11:$CQ$53,MATCH($CZ749,'Resource use and costs'!$BA$11:$BA$53,0)),0)*_xlfn.IFNA(INDEX(DY$10:DY$23,MATCH($CZ749,$DX$10:$DX$23,0)),0)</f>
        <v>56693.786091428577</v>
      </c>
      <c r="DK749" s="909">
        <f>IF(dd_PartSA_2_lines = "Yes",0,_xlfn.IFNA(INDEX('Resource use and costs'!$CR$11:$CR$53,MATCH(DA749,'Resource use and costs'!$BA$11:$BA$53,0)),0)*_xlfn.IFNA(INDEX(EA$10:EA$23,MATCH($DA749,$DX$10:$DX$23,0)),0))</f>
        <v>50308.075122000002</v>
      </c>
      <c r="DL749" s="909">
        <f>IF(dd_PartSA_2_lines = "Yes",0,_xlfn.IFNA(INDEX('Resource use and costs'!$CS$11:$CS$53,MATCH(DB749,'Resource use and costs'!$BA$11:$BA$53,0)),0)*_xlfn.IFNA(INDEX(EC$10:EC$23,MATCH($DB749,$DX$10:$DX$23,0)),0))</f>
        <v>0</v>
      </c>
      <c r="DM749" s="909">
        <f t="shared" si="324"/>
        <v>107001.86121342858</v>
      </c>
      <c r="DN749" s="909">
        <f>SUM(_xlfn.IFNA(INDEX('Resource use and costs'!$DU$12:$DU$25,MATCH(CZ749,'Resource use and costs'!$DS$12:$DS$25,0)),0),_xlfn.IFNA(INDEX('Resource use and costs'!$DU$12:$DU$25,MATCH(DA749,'Resource use and costs'!$DS$12:$DS$25,0)),0),_xlfn.IFNA(INDEX('Resource use and costs'!$DU$12:$DU$25,MATCH(DB749,'Resource use and costs'!$DS$12:$DS$25,0)),0))</f>
        <v>197.25</v>
      </c>
      <c r="DO749" s="921">
        <f>_xlfn.IFNA(INDEX('Resource use and costs'!$DY$12:$DY$25,MATCH(CZ749,'Resource use and costs'!$DS$12:$DS$25,0)),0)*_xlfn.IFNA(INDEX(DY$10:DY$23,MATCH($CZ749,$DX$10:$DX$23,0)),0)</f>
        <v>8939.6605049142872</v>
      </c>
      <c r="DP749" s="921">
        <f>IF(dd_PartSA_2_lines = "Yes",0,_xlfn.IFNA(INDEX('Resource use and costs'!$DZ$12:$DZ$25,MATCH(DA749,'Resource use and costs'!$DS$12:$DS$25,0)),0)*_xlfn.IFNA(INDEX(EA$10:EA$23,MATCH($DA749,$DX$10:$DX$23,0)),0))</f>
        <v>461.1445457142857</v>
      </c>
      <c r="DQ749" s="921">
        <f>IF(dd_PartSA_2_lines = "Yes",0,_xlfn.IFNA(INDEX('Resource use and costs'!$EA$12:$EA$25,MATCH(DB749,'Resource use and costs'!$DS$12:$DS$25,0)),0)*_xlfn.IFNA(INDEX(EC$10:EC$23,MATCH($DB749,$DX$10:$DX$23,0)),0))</f>
        <v>0</v>
      </c>
      <c r="DR749" s="921">
        <f t="shared" si="325"/>
        <v>9598.0550506285726</v>
      </c>
      <c r="DS749" s="1004">
        <f ca="1">SUMIFS('Safety parameters'!$DM$6:$DM$18,'Safety parameters'!$DK$6:$DK$18,CZ749,'Safety parameters'!$DL$6:$DL$18,1)+IF(dd_PartSA_2_lines = "Yes",0,SUMIFS('Safety parameters'!$DM$6:$DM$18,'Safety parameters'!$DK$6:$DK$18,DA749,'Safety parameters'!$DL$6:$DL$18,2)+SUMIFS('Safety parameters'!$DM$6:$DM$18,'Safety parameters'!$DK$6:$DK$18,DB749,'Safety parameters'!$DL$6:$DL$18,2))</f>
        <v>743.64929980338343</v>
      </c>
      <c r="DT749" s="910">
        <f ca="1">SUMIFS('Safety parameters'!$DO$6:$DO$18,'Safety parameters'!$DK$6:$DK$18,CZ749,'Safety parameters'!$DL$6:$DL$18,1)+IF(dd_PartSA_2_lines = "Yes",0,SUMIFS('Safety parameters'!$DO$6:$DO$18,'Safety parameters'!$DK$6:$DK$18,DA749,'Safety parameters'!$DL$6:$DL$18,2)+SUMIFS('Safety parameters'!$DO$6:$DO$18,'Safety parameters'!$DK$6:$DK$18,DB749,'Safety parameters'!$DL$6:$DL$18,2))</f>
        <v>-7.0223263562359372E-3</v>
      </c>
    </row>
    <row r="750" spans="99:124" x14ac:dyDescent="0.2">
      <c r="CV750" s="1223"/>
      <c r="CW750" s="1241">
        <f t="shared" si="320"/>
        <v>1</v>
      </c>
      <c r="CX750" s="899" t="s">
        <v>794</v>
      </c>
      <c r="CY750" s="899" t="s">
        <v>319</v>
      </c>
      <c r="CZ750" s="899" t="s">
        <v>579</v>
      </c>
      <c r="DA750" s="899" t="s">
        <v>118</v>
      </c>
      <c r="DB750" s="899" t="s">
        <v>119</v>
      </c>
      <c r="DC750" s="899" cm="1">
        <f t="array" aca="1" ref="DC750" ca="1">_xlfn.IFNA(OFFSET($I$49,MATCH(CY750,$I$50:$I$63,0),MATCH(CZ750,TRANSPOSE($J$49:$W$49),0)),0)</f>
        <v>0.49974522065392168</v>
      </c>
      <c r="DD750" s="899" cm="1">
        <f t="array" aca="1" ref="DD750" ca="1">_xlfn.IFNA(OFFSET($Y$49,MATCH($CZ750,$Y$50:$Y$63,0),MATCH($DA750,TRANSPOSE($Z$49:$AM$49),0)),0)</f>
        <v>0.51729999999999998</v>
      </c>
      <c r="DE750" s="899" cm="1">
        <f t="array" aca="1" ref="DE750" ca="1">_xlfn.IFNA(OFFSET($AO$49,MATCH($DA750,$AO$50:$AO$63,0),MATCH($DB750,TRANSPOSE($AP$49:$BC$49),0)),0)</f>
        <v>0.18090000000000001</v>
      </c>
      <c r="DF750" s="881">
        <f t="shared" ca="1" si="322"/>
        <v>4.6765942858349105E-2</v>
      </c>
      <c r="DG750" s="910">
        <f t="shared" ca="1" si="319"/>
        <v>0.98859556831386541</v>
      </c>
      <c r="DH750" s="881">
        <f t="shared" ca="1" si="323"/>
        <v>4.623260385778339E-2</v>
      </c>
      <c r="DI750" s="1460">
        <f t="shared" ca="1" si="321"/>
        <v>4.8081908012094727</v>
      </c>
      <c r="DJ750" s="909">
        <f>_xlfn.IFNA(INDEX('Resource use and costs'!$CQ$11:$CQ$53,MATCH($CZ750,'Resource use and costs'!$BA$11:$BA$53,0)),0)*_xlfn.IFNA(INDEX(DY$10:DY$23,MATCH($CZ750,$DX$10:$DX$23,0)),0)</f>
        <v>56693.786091428577</v>
      </c>
      <c r="DK750" s="909">
        <f>IF(dd_PartSA_2_lines = "Yes",0,_xlfn.IFNA(INDEX('Resource use and costs'!$CR$11:$CR$53,MATCH(DA750,'Resource use and costs'!$BA$11:$BA$53,0)),0)*_xlfn.IFNA(INDEX(EA$10:EA$23,MATCH($DA750,$DX$10:$DX$23,0)),0))</f>
        <v>50308.075122000002</v>
      </c>
      <c r="DL750" s="909">
        <f>IF(dd_PartSA_2_lines = "Yes",0,_xlfn.IFNA(INDEX('Resource use and costs'!$CS$11:$CS$53,MATCH(DB750,'Resource use and costs'!$BA$11:$BA$53,0)),0)*_xlfn.IFNA(INDEX(EC$10:EC$23,MATCH($DB750,$DX$10:$DX$23,0)),0))</f>
        <v>2915.4763433333328</v>
      </c>
      <c r="DM750" s="909">
        <f t="shared" si="324"/>
        <v>109917.33755676191</v>
      </c>
      <c r="DN750" s="909">
        <f>SUM(_xlfn.IFNA(INDEX('Resource use and costs'!$DU$12:$DU$25,MATCH(CZ750,'Resource use and costs'!$DS$12:$DS$25,0)),0),_xlfn.IFNA(INDEX('Resource use and costs'!$DU$12:$DU$25,MATCH(DA750,'Resource use and costs'!$DS$12:$DS$25,0)),0),_xlfn.IFNA(INDEX('Resource use and costs'!$DU$12:$DU$25,MATCH(DB750,'Resource use and costs'!$DS$12:$DS$25,0)),0))</f>
        <v>394.5</v>
      </c>
      <c r="DO750" s="921">
        <f>_xlfn.IFNA(INDEX('Resource use and costs'!$DY$12:$DY$25,MATCH(CZ750,'Resource use and costs'!$DS$12:$DS$25,0)),0)*_xlfn.IFNA(INDEX(DY$10:DY$23,MATCH($CZ750,$DX$10:$DX$23,0)),0)</f>
        <v>8939.6605049142872</v>
      </c>
      <c r="DP750" s="921">
        <f>IF(dd_PartSA_2_lines = "Yes",0,_xlfn.IFNA(INDEX('Resource use and costs'!$DZ$12:$DZ$25,MATCH(DA750,'Resource use and costs'!$DS$12:$DS$25,0)),0)*_xlfn.IFNA(INDEX(EA$10:EA$23,MATCH($DA750,$DX$10:$DX$23,0)),0))</f>
        <v>461.1445457142857</v>
      </c>
      <c r="DQ750" s="921">
        <f>IF(dd_PartSA_2_lines = "Yes",0,_xlfn.IFNA(INDEX('Resource use and costs'!$EA$12:$EA$25,MATCH(DB750,'Resource use and costs'!$DS$12:$DS$25,0)),0)*_xlfn.IFNA(INDEX(EC$10:EC$23,MATCH($DB750,$DX$10:$DX$23,0)),0))</f>
        <v>256.11457142857142</v>
      </c>
      <c r="DR750" s="921">
        <f t="shared" si="325"/>
        <v>10051.419622057145</v>
      </c>
      <c r="DS750" s="1004">
        <f ca="1">SUMIFS('Safety parameters'!$DM$6:$DM$18,'Safety parameters'!$DK$6:$DK$18,CZ750,'Safety parameters'!$DL$6:$DL$18,1)+IF(dd_PartSA_2_lines = "Yes",0,SUMIFS('Safety parameters'!$DM$6:$DM$18,'Safety parameters'!$DK$6:$DK$18,DA750,'Safety parameters'!$DL$6:$DL$18,2)+SUMIFS('Safety parameters'!$DM$6:$DM$18,'Safety parameters'!$DK$6:$DK$18,DB750,'Safety parameters'!$DL$6:$DL$18,2))</f>
        <v>1076.5246831786983</v>
      </c>
      <c r="DT750" s="910">
        <f ca="1">SUMIFS('Safety parameters'!$DO$6:$DO$18,'Safety parameters'!$DK$6:$DK$18,CZ750,'Safety parameters'!$DL$6:$DL$18,1)+IF(dd_PartSA_2_lines = "Yes",0,SUMIFS('Safety parameters'!$DO$6:$DO$18,'Safety parameters'!$DK$6:$DK$18,DA750,'Safety parameters'!$DL$6:$DL$18,2)+SUMIFS('Safety parameters'!$DO$6:$DO$18,'Safety parameters'!$DK$6:$DK$18,DB750,'Safety parameters'!$DL$6:$DL$18,2))</f>
        <v>-9.689899892873657E-3</v>
      </c>
    </row>
    <row r="751" spans="99:124" x14ac:dyDescent="0.2">
      <c r="CV751" s="1223"/>
      <c r="CW751" s="1241">
        <f t="shared" si="320"/>
        <v>1</v>
      </c>
      <c r="CX751" s="899" t="s">
        <v>794</v>
      </c>
      <c r="CY751" s="899" t="s">
        <v>319</v>
      </c>
      <c r="CZ751" s="899" t="s">
        <v>579</v>
      </c>
      <c r="DA751" s="899" t="s">
        <v>119</v>
      </c>
      <c r="DB751" s="899" t="s">
        <v>327</v>
      </c>
      <c r="DC751" s="899" cm="1">
        <f t="array" aca="1" ref="DC751" ca="1">_xlfn.IFNA(OFFSET($I$49,MATCH(CY751,$I$50:$I$63,0),MATCH(CZ751,TRANSPOSE($J$49:$W$49),0)),0)</f>
        <v>0.49974522065392168</v>
      </c>
      <c r="DD751" s="899" cm="1">
        <f t="array" aca="1" ref="DD751" ca="1">_xlfn.IFNA(OFFSET($Y$49,MATCH($CZ751,$Y$50:$Y$63,0),MATCH($DA751,TRANSPOSE($Z$49:$AM$49),0)),0)</f>
        <v>6.4999999999999997E-3</v>
      </c>
      <c r="DE751" s="899" cm="1">
        <f t="array" aca="1" ref="DE751" ca="1">_xlfn.IFNA(OFFSET($AO$49,MATCH($DA751,$AO$50:$AO$63,0),MATCH($DB751,TRANSPOSE($AP$49:$BC$49),0)),0)</f>
        <v>0</v>
      </c>
      <c r="DF751" s="881">
        <f t="shared" ca="1" si="322"/>
        <v>0</v>
      </c>
      <c r="DG751" s="910">
        <f t="shared" ca="1" si="319"/>
        <v>0.98859556831386541</v>
      </c>
      <c r="DH751" s="881">
        <f t="shared" ca="1" si="323"/>
        <v>0</v>
      </c>
      <c r="DI751" s="1460">
        <f t="shared" ca="1" si="321"/>
        <v>0</v>
      </c>
      <c r="DJ751" s="909">
        <f>_xlfn.IFNA(INDEX('Resource use and costs'!$CQ$11:$CQ$53,MATCH($CZ751,'Resource use and costs'!$BA$11:$BA$53,0)),0)*_xlfn.IFNA(INDEX(DY$10:DY$23,MATCH($CZ751,$DX$10:$DX$23,0)),0)</f>
        <v>56693.786091428577</v>
      </c>
      <c r="DK751" s="909">
        <f>IF(dd_PartSA_2_lines = "Yes",0,_xlfn.IFNA(INDEX('Resource use and costs'!$CR$11:$CR$53,MATCH(DA751,'Resource use and costs'!$BA$11:$BA$53,0)),0)*_xlfn.IFNA(INDEX(EA$10:EA$23,MATCH($DA751,$DX$10:$DX$23,0)),0))</f>
        <v>848.17532499999982</v>
      </c>
      <c r="DL751" s="909">
        <f>IF(dd_PartSA_2_lines = "Yes",0,_xlfn.IFNA(INDEX('Resource use and costs'!$CS$11:$CS$53,MATCH(DB751,'Resource use and costs'!$BA$11:$BA$53,0)),0)*_xlfn.IFNA(INDEX(EC$10:EC$23,MATCH($DB751,$DX$10:$DX$23,0)),0))</f>
        <v>18438.751749999999</v>
      </c>
      <c r="DM751" s="909">
        <f t="shared" si="324"/>
        <v>75980.71316642857</v>
      </c>
      <c r="DN751" s="909">
        <f>SUM(_xlfn.IFNA(INDEX('Resource use and costs'!$DU$12:$DU$25,MATCH(CZ751,'Resource use and costs'!$DS$12:$DS$25,0)),0),_xlfn.IFNA(INDEX('Resource use and costs'!$DU$12:$DU$25,MATCH(DA751,'Resource use and costs'!$DS$12:$DS$25,0)),0),_xlfn.IFNA(INDEX('Resource use and costs'!$DU$12:$DU$25,MATCH(DB751,'Resource use and costs'!$DS$12:$DS$25,0)),0))</f>
        <v>394.5</v>
      </c>
      <c r="DO751" s="921">
        <f>_xlfn.IFNA(INDEX('Resource use and costs'!$DY$12:$DY$25,MATCH(CZ751,'Resource use and costs'!$DS$12:$DS$25,0)),0)*_xlfn.IFNA(INDEX(DY$10:DY$23,MATCH($CZ751,$DX$10:$DX$23,0)),0)</f>
        <v>8939.6605049142872</v>
      </c>
      <c r="DP751" s="921">
        <f>IF(dd_PartSA_2_lines = "Yes",0,_xlfn.IFNA(INDEX('Resource use and costs'!$DZ$12:$DZ$25,MATCH(DA751,'Resource use and costs'!$DS$12:$DS$25,0)),0)*_xlfn.IFNA(INDEX(EA$10:EA$23,MATCH($DA751,$DX$10:$DX$23,0)),0))</f>
        <v>74.50928571428571</v>
      </c>
      <c r="DQ751" s="921">
        <f>IF(dd_PartSA_2_lines = "Yes",0,_xlfn.IFNA(INDEX('Resource use and costs'!$EA$12:$EA$25,MATCH(DB751,'Resource use and costs'!$DS$12:$DS$25,0)),0)*_xlfn.IFNA(INDEX(EC$10:EC$23,MATCH($DB751,$DX$10:$DX$23,0)),0))</f>
        <v>230.68099999999998</v>
      </c>
      <c r="DR751" s="921">
        <f t="shared" si="325"/>
        <v>9639.350790628574</v>
      </c>
      <c r="DS751" s="1004">
        <f ca="1">SUMIFS('Safety parameters'!$DM$6:$DM$18,'Safety parameters'!$DK$6:$DK$18,CZ751,'Safety parameters'!$DL$6:$DL$18,1)+IF(dd_PartSA_2_lines = "Yes",0,SUMIFS('Safety parameters'!$DM$6:$DM$18,'Safety parameters'!$DK$6:$DK$18,DA751,'Safety parameters'!$DL$6:$DL$18,2)+SUMIFS('Safety parameters'!$DM$6:$DM$18,'Safety parameters'!$DK$6:$DK$18,DB751,'Safety parameters'!$DL$6:$DL$18,2))</f>
        <v>1967.1040569407746</v>
      </c>
      <c r="DT751" s="910">
        <f ca="1">SUMIFS('Safety parameters'!$DO$6:$DO$18,'Safety parameters'!$DK$6:$DK$18,CZ751,'Safety parameters'!$DL$6:$DL$18,1)+IF(dd_PartSA_2_lines = "Yes",0,SUMIFS('Safety parameters'!$DO$6:$DO$18,'Safety parameters'!$DK$6:$DK$18,DA751,'Safety parameters'!$DL$6:$DL$18,2)+SUMIFS('Safety parameters'!$DO$6:$DO$18,'Safety parameters'!$DK$6:$DK$18,DB751,'Safety parameters'!$DL$6:$DL$18,2))</f>
        <v>-1.7409497544119149E-2</v>
      </c>
    </row>
    <row r="752" spans="99:124" x14ac:dyDescent="0.2">
      <c r="CV752" s="1223"/>
      <c r="CW752" s="1241">
        <f t="shared" si="320"/>
        <v>1</v>
      </c>
      <c r="CX752" s="899" t="s">
        <v>794</v>
      </c>
      <c r="CY752" s="899" t="s">
        <v>319</v>
      </c>
      <c r="CZ752" s="899" t="s">
        <v>579</v>
      </c>
      <c r="DA752" s="899" t="s">
        <v>119</v>
      </c>
      <c r="DB752" s="899" t="s">
        <v>765</v>
      </c>
      <c r="DC752" s="899" cm="1">
        <f t="array" aca="1" ref="DC752" ca="1">_xlfn.IFNA(OFFSET($I$49,MATCH(CY752,$I$50:$I$63,0),MATCH(CZ752,TRANSPOSE($J$49:$W$49),0)),0)</f>
        <v>0.49974522065392168</v>
      </c>
      <c r="DD752" s="899" cm="1">
        <f t="array" aca="1" ref="DD752" ca="1">_xlfn.IFNA(OFFSET($Y$49,MATCH($CZ752,$Y$50:$Y$63,0),MATCH($DA752,TRANSPOSE($Z$49:$AM$49),0)),0)</f>
        <v>6.4999999999999997E-3</v>
      </c>
      <c r="DE752" s="899" cm="1">
        <f t="array" aca="1" ref="DE752" ca="1">_xlfn.IFNA(OFFSET($AO$49,MATCH($DA752,$AO$50:$AO$63,0),MATCH($DB752,TRANSPOSE($AP$49:$BC$49),0)),0)</f>
        <v>1</v>
      </c>
      <c r="DF752" s="881">
        <f t="shared" ca="1" si="322"/>
        <v>3.2483439342504907E-3</v>
      </c>
      <c r="DG752" s="910">
        <f t="shared" ca="1" si="319"/>
        <v>0.98859556831386541</v>
      </c>
      <c r="DH752" s="881">
        <f t="shared" ca="1" si="323"/>
        <v>3.2112984177592612E-3</v>
      </c>
      <c r="DI752" s="1460">
        <f t="shared" ca="1" si="321"/>
        <v>0.33397503544696316</v>
      </c>
      <c r="DJ752" s="909">
        <f>_xlfn.IFNA(INDEX('Resource use and costs'!$CQ$11:$CQ$53,MATCH($CZ752,'Resource use and costs'!$BA$11:$BA$53,0)),0)*_xlfn.IFNA(INDEX(DY$10:DY$23,MATCH($CZ752,$DX$10:$DX$23,0)),0)</f>
        <v>56693.786091428577</v>
      </c>
      <c r="DK752" s="909">
        <f>IF(dd_PartSA_2_lines = "Yes",0,_xlfn.IFNA(INDEX('Resource use and costs'!$CR$11:$CR$53,MATCH(DA752,'Resource use and costs'!$BA$11:$BA$53,0)),0)*_xlfn.IFNA(INDEX(EA$10:EA$23,MATCH($DA752,$DX$10:$DX$23,0)),0))</f>
        <v>848.17532499999982</v>
      </c>
      <c r="DL752" s="909">
        <f>IF(dd_PartSA_2_lines = "Yes",0,_xlfn.IFNA(INDEX('Resource use and costs'!$CS$11:$CS$53,MATCH(DB752,'Resource use and costs'!$BA$11:$BA$53,0)),0)*_xlfn.IFNA(INDEX(EC$10:EC$23,MATCH($DB752,$DX$10:$DX$23,0)),0))</f>
        <v>0</v>
      </c>
      <c r="DM752" s="909">
        <f t="shared" si="324"/>
        <v>57541.961416428574</v>
      </c>
      <c r="DN752" s="909">
        <f>SUM(_xlfn.IFNA(INDEX('Resource use and costs'!$DU$12:$DU$25,MATCH(CZ752,'Resource use and costs'!$DS$12:$DS$25,0)),0),_xlfn.IFNA(INDEX('Resource use and costs'!$DU$12:$DU$25,MATCH(DA752,'Resource use and costs'!$DS$12:$DS$25,0)),0),_xlfn.IFNA(INDEX('Resource use and costs'!$DU$12:$DU$25,MATCH(DB752,'Resource use and costs'!$DS$12:$DS$25,0)),0))</f>
        <v>197.25</v>
      </c>
      <c r="DO752" s="921">
        <f>_xlfn.IFNA(INDEX('Resource use and costs'!$DY$12:$DY$25,MATCH(CZ752,'Resource use and costs'!$DS$12:$DS$25,0)),0)*_xlfn.IFNA(INDEX(DY$10:DY$23,MATCH($CZ752,$DX$10:$DX$23,0)),0)</f>
        <v>8939.6605049142872</v>
      </c>
      <c r="DP752" s="921">
        <f>IF(dd_PartSA_2_lines = "Yes",0,_xlfn.IFNA(INDEX('Resource use and costs'!$DZ$12:$DZ$25,MATCH(DA752,'Resource use and costs'!$DS$12:$DS$25,0)),0)*_xlfn.IFNA(INDEX(EA$10:EA$23,MATCH($DA752,$DX$10:$DX$23,0)),0))</f>
        <v>74.50928571428571</v>
      </c>
      <c r="DQ752" s="921">
        <f>IF(dd_PartSA_2_lines = "Yes",0,_xlfn.IFNA(INDEX('Resource use and costs'!$EA$12:$EA$25,MATCH(DB752,'Resource use and costs'!$DS$12:$DS$25,0)),0)*_xlfn.IFNA(INDEX(EC$10:EC$23,MATCH($DB752,$DX$10:$DX$23,0)),0))</f>
        <v>0</v>
      </c>
      <c r="DR752" s="921">
        <f t="shared" si="325"/>
        <v>9211.4197906285735</v>
      </c>
      <c r="DS752" s="1004">
        <f ca="1">SUMIFS('Safety parameters'!$DM$6:$DM$18,'Safety parameters'!$DK$6:$DK$18,CZ752,'Safety parameters'!$DL$6:$DL$18,1)+IF(dd_PartSA_2_lines = "Yes",0,SUMIFS('Safety parameters'!$DM$6:$DM$18,'Safety parameters'!$DK$6:$DK$18,DA752,'Safety parameters'!$DL$6:$DL$18,2)+SUMIFS('Safety parameters'!$DM$6:$DM$18,'Safety parameters'!$DK$6:$DK$18,DB752,'Safety parameters'!$DL$6:$DL$18,2))</f>
        <v>332.87538337531487</v>
      </c>
      <c r="DT752" s="910">
        <f ca="1">SUMIFS('Safety parameters'!$DO$6:$DO$18,'Safety parameters'!$DK$6:$DK$18,CZ752,'Safety parameters'!$DL$6:$DL$18,1)+IF(dd_PartSA_2_lines = "Yes",0,SUMIFS('Safety parameters'!$DO$6:$DO$18,'Safety parameters'!$DK$6:$DK$18,DA752,'Safety parameters'!$DL$6:$DL$18,2)+SUMIFS('Safety parameters'!$DO$6:$DO$18,'Safety parameters'!$DK$6:$DK$18,DB752,'Safety parameters'!$DL$6:$DL$18,2))</f>
        <v>-2.6675735366377194E-3</v>
      </c>
    </row>
    <row r="753" spans="100:124" x14ac:dyDescent="0.2">
      <c r="CV753" s="1223"/>
      <c r="CW753" s="1241">
        <f t="shared" si="320"/>
        <v>1</v>
      </c>
      <c r="CX753" s="899" t="s">
        <v>794</v>
      </c>
      <c r="CY753" s="899" t="s">
        <v>319</v>
      </c>
      <c r="CZ753" s="899" t="s">
        <v>579</v>
      </c>
      <c r="DA753" s="899" t="s">
        <v>333</v>
      </c>
      <c r="DB753" s="899" t="s">
        <v>327</v>
      </c>
      <c r="DC753" s="899" cm="1">
        <f t="array" aca="1" ref="DC753" ca="1">_xlfn.IFNA(OFFSET($I$49,MATCH(CY753,$I$50:$I$63,0),MATCH(CZ753,TRANSPOSE($J$49:$W$49),0)),0)</f>
        <v>0.49974522065392168</v>
      </c>
      <c r="DD753" s="899" cm="1">
        <f t="array" aca="1" ref="DD753" ca="1">_xlfn.IFNA(OFFSET($Y$49,MATCH($CZ753,$Y$50:$Y$63,0),MATCH($DA753,TRANSPOSE($Z$49:$AM$49),0)),0)</f>
        <v>5.2400000000000002E-2</v>
      </c>
      <c r="DE753" s="899" cm="1">
        <f t="array" aca="1" ref="DE753" ca="1">_xlfn.IFNA(OFFSET($AO$49,MATCH($DA753,$AO$50:$AO$63,0),MATCH($DB753,TRANSPOSE($AP$49:$BC$49),0)),0)</f>
        <v>0.56859999999999999</v>
      </c>
      <c r="DF753" s="881">
        <f t="shared" ca="1" si="322"/>
        <v>1.4889728941104161E-2</v>
      </c>
      <c r="DG753" s="910">
        <f t="shared" ca="1" si="319"/>
        <v>0.98859556831386541</v>
      </c>
      <c r="DH753" s="881">
        <f t="shared" ca="1" si="323"/>
        <v>1.4719920044570277E-2</v>
      </c>
      <c r="DI753" s="1460">
        <f t="shared" ca="1" si="321"/>
        <v>1.5308716846353088</v>
      </c>
      <c r="DJ753" s="909">
        <f>_xlfn.IFNA(INDEX('Resource use and costs'!$CQ$11:$CQ$53,MATCH($CZ753,'Resource use and costs'!$BA$11:$BA$53,0)),0)*_xlfn.IFNA(INDEX(DY$10:DY$23,MATCH($CZ753,$DX$10:$DX$23,0)),0)</f>
        <v>56693.786091428577</v>
      </c>
      <c r="DK753" s="909">
        <f>IF(dd_PartSA_2_lines = "Yes",0,_xlfn.IFNA(INDEX('Resource use and costs'!$CR$11:$CR$53,MATCH(DA753,'Resource use and costs'!$BA$11:$BA$53,0)),0)*_xlfn.IFNA(INDEX(EA$10:EA$23,MATCH($DA753,$DX$10:$DX$23,0)),0))</f>
        <v>24337.716731999997</v>
      </c>
      <c r="DL753" s="909">
        <f>IF(dd_PartSA_2_lines = "Yes",0,_xlfn.IFNA(INDEX('Resource use and costs'!$CS$11:$CS$53,MATCH(DB753,'Resource use and costs'!$BA$11:$BA$53,0)),0)*_xlfn.IFNA(INDEX(EC$10:EC$23,MATCH($DB753,$DX$10:$DX$23,0)),0))</f>
        <v>18438.751749999999</v>
      </c>
      <c r="DM753" s="909">
        <f t="shared" si="324"/>
        <v>99470.254573428567</v>
      </c>
      <c r="DN753" s="909">
        <f>SUM(_xlfn.IFNA(INDEX('Resource use and costs'!$DU$12:$DU$25,MATCH(CZ753,'Resource use and costs'!$DS$12:$DS$25,0)),0),_xlfn.IFNA(INDEX('Resource use and costs'!$DU$12:$DU$25,MATCH(DA753,'Resource use and costs'!$DS$12:$DS$25,0)),0),_xlfn.IFNA(INDEX('Resource use and costs'!$DU$12:$DU$25,MATCH(DB753,'Resource use and costs'!$DS$12:$DS$25,0)),0))</f>
        <v>394.5</v>
      </c>
      <c r="DO753" s="921">
        <f>_xlfn.IFNA(INDEX('Resource use and costs'!$DY$12:$DY$25,MATCH(CZ753,'Resource use and costs'!$DS$12:$DS$25,0)),0)*_xlfn.IFNA(INDEX(DY$10:DY$23,MATCH($CZ753,$DX$10:$DX$23,0)),0)</f>
        <v>8939.6605049142872</v>
      </c>
      <c r="DP753" s="921">
        <f>IF(dd_PartSA_2_lines = "Yes",0,_xlfn.IFNA(INDEX('Resource use and costs'!$DZ$12:$DZ$25,MATCH(DA753,'Resource use and costs'!$DS$12:$DS$25,0)),0)*_xlfn.IFNA(INDEX(EA$10:EA$23,MATCH($DA753,$DX$10:$DX$23,0)),0))</f>
        <v>363.04714285714283</v>
      </c>
      <c r="DQ753" s="921">
        <f>IF(dd_PartSA_2_lines = "Yes",0,_xlfn.IFNA(INDEX('Resource use and costs'!$EA$12:$EA$25,MATCH(DB753,'Resource use and costs'!$DS$12:$DS$25,0)),0)*_xlfn.IFNA(INDEX(EC$10:EC$23,MATCH($DB753,$DX$10:$DX$23,0)),0))</f>
        <v>230.68099999999998</v>
      </c>
      <c r="DR753" s="921">
        <f t="shared" si="325"/>
        <v>9927.8886477714314</v>
      </c>
      <c r="DS753" s="1004">
        <f ca="1">SUMIFS('Safety parameters'!$DM$6:$DM$18,'Safety parameters'!$DK$6:$DK$18,CZ753,'Safety parameters'!$DL$6:$DL$18,1)+IF(dd_PartSA_2_lines = "Yes",0,SUMIFS('Safety parameters'!$DM$6:$DM$18,'Safety parameters'!$DK$6:$DK$18,DA753,'Safety parameters'!$DL$6:$DL$18,2)+SUMIFS('Safety parameters'!$DM$6:$DM$18,'Safety parameters'!$DK$6:$DK$18,DB753,'Safety parameters'!$DL$6:$DL$18,2))</f>
        <v>2577.0992943484653</v>
      </c>
      <c r="DT753" s="910">
        <f ca="1">SUMIFS('Safety parameters'!$DO$6:$DO$18,'Safety parameters'!$DK$6:$DK$18,CZ753,'Safety parameters'!$DL$6:$DL$18,1)+IF(dd_PartSA_2_lines = "Yes",0,SUMIFS('Safety parameters'!$DO$6:$DO$18,'Safety parameters'!$DK$6:$DK$18,DA753,'Safety parameters'!$DL$6:$DL$18,2)+SUMIFS('Safety parameters'!$DO$6:$DO$18,'Safety parameters'!$DK$6:$DK$18,DB753,'Safety parameters'!$DL$6:$DL$18,2))</f>
        <v>-2.4384674689096917E-2</v>
      </c>
    </row>
    <row r="754" spans="100:124" x14ac:dyDescent="0.2">
      <c r="CV754" s="1223"/>
      <c r="CW754" s="1241">
        <f t="shared" si="320"/>
        <v>1</v>
      </c>
      <c r="CX754" s="899" t="s">
        <v>794</v>
      </c>
      <c r="CY754" s="899" t="s">
        <v>319</v>
      </c>
      <c r="CZ754" s="899" t="s">
        <v>579</v>
      </c>
      <c r="DA754" s="899" t="s">
        <v>333</v>
      </c>
      <c r="DB754" s="899" t="s">
        <v>765</v>
      </c>
      <c r="DC754" s="899" cm="1">
        <f t="array" aca="1" ref="DC754" ca="1">_xlfn.IFNA(OFFSET($I$49,MATCH(CY754,$I$50:$I$63,0),MATCH(CZ754,TRANSPOSE($J$49:$W$49),0)),0)</f>
        <v>0.49974522065392168</v>
      </c>
      <c r="DD754" s="899" cm="1">
        <f t="array" aca="1" ref="DD754" ca="1">_xlfn.IFNA(OFFSET($Y$49,MATCH($CZ754,$Y$50:$Y$63,0),MATCH($DA754,TRANSPOSE($Z$49:$AM$49),0)),0)</f>
        <v>5.2400000000000002E-2</v>
      </c>
      <c r="DE754" s="899" cm="1">
        <f t="array" aca="1" ref="DE754" ca="1">_xlfn.IFNA(OFFSET($AO$49,MATCH($DA754,$AO$50:$AO$63,0),MATCH($DB754,TRANSPOSE($AP$49:$BC$49),0)),0)</f>
        <v>0.43140000000000001</v>
      </c>
      <c r="DF754" s="881">
        <f t="shared" ca="1" si="322"/>
        <v>1.1296920621161336E-2</v>
      </c>
      <c r="DG754" s="910">
        <f t="shared" ca="1" si="319"/>
        <v>0.98859556831386541</v>
      </c>
      <c r="DH754" s="881">
        <f t="shared" ca="1" si="323"/>
        <v>1.1168085661673616E-2</v>
      </c>
      <c r="DI754" s="1460">
        <f t="shared" ca="1" si="321"/>
        <v>1.1614809088140561</v>
      </c>
      <c r="DJ754" s="909">
        <f>_xlfn.IFNA(INDEX('Resource use and costs'!$CQ$11:$CQ$53,MATCH($CZ754,'Resource use and costs'!$BA$11:$BA$53,0)),0)*_xlfn.IFNA(INDEX(DY$10:DY$23,MATCH($CZ754,$DX$10:$DX$23,0)),0)</f>
        <v>56693.786091428577</v>
      </c>
      <c r="DK754" s="909">
        <f>IF(dd_PartSA_2_lines = "Yes",0,_xlfn.IFNA(INDEX('Resource use and costs'!$CR$11:$CR$53,MATCH(DA754,'Resource use and costs'!$BA$11:$BA$53,0)),0)*_xlfn.IFNA(INDEX(EA$10:EA$23,MATCH($DA754,$DX$10:$DX$23,0)),0))</f>
        <v>24337.716731999997</v>
      </c>
      <c r="DL754" s="909">
        <f>IF(dd_PartSA_2_lines = "Yes",0,_xlfn.IFNA(INDEX('Resource use and costs'!$CS$11:$CS$53,MATCH(DB754,'Resource use and costs'!$BA$11:$BA$53,0)),0)*_xlfn.IFNA(INDEX(EC$10:EC$23,MATCH($DB754,$DX$10:$DX$23,0)),0))</f>
        <v>0</v>
      </c>
      <c r="DM754" s="909">
        <f t="shared" si="324"/>
        <v>81031.502823428571</v>
      </c>
      <c r="DN754" s="909">
        <f>SUM(_xlfn.IFNA(INDEX('Resource use and costs'!$DU$12:$DU$25,MATCH(CZ754,'Resource use and costs'!$DS$12:$DS$25,0)),0),_xlfn.IFNA(INDEX('Resource use and costs'!$DU$12:$DU$25,MATCH(DA754,'Resource use and costs'!$DS$12:$DS$25,0)),0),_xlfn.IFNA(INDEX('Resource use and costs'!$DU$12:$DU$25,MATCH(DB754,'Resource use and costs'!$DS$12:$DS$25,0)),0))</f>
        <v>197.25</v>
      </c>
      <c r="DO754" s="921">
        <f>_xlfn.IFNA(INDEX('Resource use and costs'!$DY$12:$DY$25,MATCH(CZ754,'Resource use and costs'!$DS$12:$DS$25,0)),0)*_xlfn.IFNA(INDEX(DY$10:DY$23,MATCH($CZ754,$DX$10:$DX$23,0)),0)</f>
        <v>8939.6605049142872</v>
      </c>
      <c r="DP754" s="921">
        <f>IF(dd_PartSA_2_lines = "Yes",0,_xlfn.IFNA(INDEX('Resource use and costs'!$DZ$12:$DZ$25,MATCH(DA754,'Resource use and costs'!$DS$12:$DS$25,0)),0)*_xlfn.IFNA(INDEX(EA$10:EA$23,MATCH($DA754,$DX$10:$DX$23,0)),0))</f>
        <v>363.04714285714283</v>
      </c>
      <c r="DQ754" s="921">
        <f>IF(dd_PartSA_2_lines = "Yes",0,_xlfn.IFNA(INDEX('Resource use and costs'!$EA$12:$EA$25,MATCH(DB754,'Resource use and costs'!$DS$12:$DS$25,0)),0)*_xlfn.IFNA(INDEX(EC$10:EC$23,MATCH($DB754,$DX$10:$DX$23,0)),0))</f>
        <v>0</v>
      </c>
      <c r="DR754" s="921">
        <f t="shared" si="325"/>
        <v>9499.9576477714309</v>
      </c>
      <c r="DS754" s="1004">
        <f ca="1">SUMIFS('Safety parameters'!$DM$6:$DM$18,'Safety parameters'!$DK$6:$DK$18,CZ754,'Safety parameters'!$DL$6:$DL$18,1)+IF(dd_PartSA_2_lines = "Yes",0,SUMIFS('Safety parameters'!$DM$6:$DM$18,'Safety parameters'!$DK$6:$DK$18,DA754,'Safety parameters'!$DL$6:$DL$18,2)+SUMIFS('Safety parameters'!$DM$6:$DM$18,'Safety parameters'!$DK$6:$DK$18,DB754,'Safety parameters'!$DL$6:$DL$18,2))</f>
        <v>942.87062078300573</v>
      </c>
      <c r="DT754" s="910">
        <f ca="1">SUMIFS('Safety parameters'!$DO$6:$DO$18,'Safety parameters'!$DK$6:$DK$18,CZ754,'Safety parameters'!$DL$6:$DL$18,1)+IF(dd_PartSA_2_lines = "Yes",0,SUMIFS('Safety parameters'!$DO$6:$DO$18,'Safety parameters'!$DK$6:$DK$18,DA754,'Safety parameters'!$DL$6:$DL$18,2)+SUMIFS('Safety parameters'!$DO$6:$DO$18,'Safety parameters'!$DK$6:$DK$18,DB754,'Safety parameters'!$DL$6:$DL$18,2))</f>
        <v>-9.6427506816154883E-3</v>
      </c>
    </row>
    <row r="755" spans="100:124" x14ac:dyDescent="0.2">
      <c r="CV755" s="1223"/>
      <c r="CX755" s="899"/>
      <c r="CY755" s="899"/>
      <c r="CZ755" s="899"/>
      <c r="DA755" s="899"/>
      <c r="DB755" s="899"/>
      <c r="DC755" s="899"/>
      <c r="DD755" s="899"/>
      <c r="DE755" s="899"/>
      <c r="DF755" s="881"/>
      <c r="DG755" s="910"/>
      <c r="DH755" s="881"/>
      <c r="DI755" s="910"/>
      <c r="DJ755" s="909"/>
      <c r="DK755" s="909"/>
      <c r="DL755" s="909"/>
      <c r="DM755" s="909"/>
      <c r="DN755" s="909"/>
      <c r="DO755" s="921"/>
      <c r="DP755" s="5"/>
      <c r="DQ755" s="5"/>
      <c r="DR755" s="921">
        <f>SUM(DN755:DQ755)</f>
        <v>0</v>
      </c>
      <c r="DS755" s="1004">
        <f>SUMIFS('Safety parameters'!$DM$6:$DM$18,'Safety parameters'!$DK$6:$DK$18,CZ755,'Safety parameters'!$DL$6:$DL$18,1)+IF(dd_PartSA_2_lines = "Yes",0,SUMIFS('Safety parameters'!$DM$6:$DM$18,'Safety parameters'!$DK$6:$DK$18,DA755,'Safety parameters'!$DL$6:$DL$18,2)+SUMIFS('Safety parameters'!$DM$6:$DM$18,'Safety parameters'!$DK$6:$DK$18,DB755,'Safety parameters'!$DL$6:$DL$18,2))</f>
        <v>0</v>
      </c>
      <c r="DT755" s="910">
        <f>SUMIFS('Safety parameters'!$DO$6:$DO$18,'Safety parameters'!$DK$6:$DK$18,CZ755,'Safety parameters'!$DL$6:$DL$18,1)+IF(dd_PartSA_2_lines = "Yes",0,SUMIFS('Safety parameters'!$DO$6:$DO$18,'Safety parameters'!$DK$6:$DK$18,DA755,'Safety parameters'!$DL$6:$DL$18,2)+SUMIFS('Safety parameters'!$DO$6:$DO$18,'Safety parameters'!$DK$6:$DK$18,DB755,'Safety parameters'!$DL$6:$DL$18,2))</f>
        <v>0</v>
      </c>
    </row>
    <row r="756" spans="100:124" x14ac:dyDescent="0.2">
      <c r="CV756" s="1223"/>
      <c r="CX756" s="899"/>
      <c r="CY756" s="899"/>
      <c r="CZ756" s="899"/>
      <c r="DA756" s="899"/>
      <c r="DB756" s="899"/>
      <c r="DC756" s="899"/>
      <c r="DD756" s="899"/>
      <c r="DE756" s="899"/>
      <c r="DF756" s="881"/>
      <c r="DG756" s="910"/>
      <c r="DH756" s="881"/>
      <c r="DI756" s="910"/>
      <c r="DJ756" s="909"/>
      <c r="DK756" s="909"/>
      <c r="DL756" s="909"/>
      <c r="DM756" s="909"/>
      <c r="DN756" s="909"/>
      <c r="DO756" s="921"/>
      <c r="DP756" s="5"/>
      <c r="DQ756" s="5"/>
      <c r="DR756" s="921">
        <f t="shared" ref="DR756:DR779" si="326">SUM(DN756:DQ756)</f>
        <v>0</v>
      </c>
      <c r="DS756" s="1004">
        <f>SUMIFS('Safety parameters'!$DM$6:$DM$18,'Safety parameters'!$DK$6:$DK$18,CZ756,'Safety parameters'!$DL$6:$DL$18,1)+IF(dd_PartSA_2_lines = "Yes",0,SUMIFS('Safety parameters'!$DM$6:$DM$18,'Safety parameters'!$DK$6:$DK$18,DA756,'Safety parameters'!$DL$6:$DL$18,2)+SUMIFS('Safety parameters'!$DM$6:$DM$18,'Safety parameters'!$DK$6:$DK$18,DB756,'Safety parameters'!$DL$6:$DL$18,2))</f>
        <v>0</v>
      </c>
      <c r="DT756" s="910">
        <f>SUMIFS('Safety parameters'!$DO$6:$DO$18,'Safety parameters'!$DK$6:$DK$18,CZ756,'Safety parameters'!$DL$6:$DL$18,1)+IF(dd_PartSA_2_lines = "Yes",0,SUMIFS('Safety parameters'!$DO$6:$DO$18,'Safety parameters'!$DK$6:$DK$18,DA756,'Safety parameters'!$DL$6:$DL$18,2)+SUMIFS('Safety parameters'!$DO$6:$DO$18,'Safety parameters'!$DK$6:$DK$18,DB756,'Safety parameters'!$DL$6:$DL$18,2))</f>
        <v>0</v>
      </c>
    </row>
    <row r="757" spans="100:124" x14ac:dyDescent="0.2">
      <c r="CV757" s="1223"/>
      <c r="CX757" s="899"/>
      <c r="CY757" s="899"/>
      <c r="CZ757" s="899"/>
      <c r="DA757" s="899"/>
      <c r="DB757" s="899"/>
      <c r="DC757" s="899"/>
      <c r="DD757" s="899"/>
      <c r="DE757" s="899"/>
      <c r="DF757" s="881"/>
      <c r="DG757" s="910"/>
      <c r="DH757" s="881"/>
      <c r="DI757" s="910"/>
      <c r="DJ757" s="909"/>
      <c r="DK757" s="909"/>
      <c r="DL757" s="909"/>
      <c r="DM757" s="909"/>
      <c r="DN757" s="909"/>
      <c r="DO757" s="921"/>
      <c r="DP757" s="5"/>
      <c r="DQ757" s="5"/>
      <c r="DR757" s="921">
        <f t="shared" si="326"/>
        <v>0</v>
      </c>
      <c r="DS757" s="1004">
        <f>SUMIFS('Safety parameters'!$DM$6:$DM$18,'Safety parameters'!$DK$6:$DK$18,CZ757,'Safety parameters'!$DL$6:$DL$18,1)+IF(dd_PartSA_2_lines = "Yes",0,SUMIFS('Safety parameters'!$DM$6:$DM$18,'Safety parameters'!$DK$6:$DK$18,DA757,'Safety parameters'!$DL$6:$DL$18,2)+SUMIFS('Safety parameters'!$DM$6:$DM$18,'Safety parameters'!$DK$6:$DK$18,DB757,'Safety parameters'!$DL$6:$DL$18,2))</f>
        <v>0</v>
      </c>
      <c r="DT757" s="910">
        <f>SUMIFS('Safety parameters'!$DO$6:$DO$18,'Safety parameters'!$DK$6:$DK$18,CZ757,'Safety parameters'!$DL$6:$DL$18,1)+IF(dd_PartSA_2_lines = "Yes",0,SUMIFS('Safety parameters'!$DO$6:$DO$18,'Safety parameters'!$DK$6:$DK$18,DA757,'Safety parameters'!$DL$6:$DL$18,2)+SUMIFS('Safety parameters'!$DO$6:$DO$18,'Safety parameters'!$DK$6:$DK$18,DB757,'Safety parameters'!$DL$6:$DL$18,2))</f>
        <v>0</v>
      </c>
    </row>
    <row r="758" spans="100:124" x14ac:dyDescent="0.2">
      <c r="CV758" s="1223"/>
      <c r="CX758" s="899"/>
      <c r="CY758" s="899"/>
      <c r="CZ758" s="899"/>
      <c r="DA758" s="899"/>
      <c r="DB758" s="899"/>
      <c r="DC758" s="899"/>
      <c r="DD758" s="899"/>
      <c r="DE758" s="899"/>
      <c r="DF758" s="881"/>
      <c r="DG758" s="910"/>
      <c r="DH758" s="881"/>
      <c r="DI758" s="910"/>
      <c r="DJ758" s="909"/>
      <c r="DK758" s="909"/>
      <c r="DL758" s="909"/>
      <c r="DM758" s="909"/>
      <c r="DN758" s="909"/>
      <c r="DO758" s="921"/>
      <c r="DP758" s="5"/>
      <c r="DQ758" s="5"/>
      <c r="DR758" s="921">
        <f t="shared" si="326"/>
        <v>0</v>
      </c>
      <c r="DS758" s="1004">
        <f>SUMIFS('Safety parameters'!$DM$6:$DM$18,'Safety parameters'!$DK$6:$DK$18,CZ758,'Safety parameters'!$DL$6:$DL$18,1)+IF(dd_PartSA_2_lines = "Yes",0,SUMIFS('Safety parameters'!$DM$6:$DM$18,'Safety parameters'!$DK$6:$DK$18,DA758,'Safety parameters'!$DL$6:$DL$18,2)+SUMIFS('Safety parameters'!$DM$6:$DM$18,'Safety parameters'!$DK$6:$DK$18,DB758,'Safety parameters'!$DL$6:$DL$18,2))</f>
        <v>0</v>
      </c>
      <c r="DT758" s="910">
        <f>SUMIFS('Safety parameters'!$DO$6:$DO$18,'Safety parameters'!$DK$6:$DK$18,CZ758,'Safety parameters'!$DL$6:$DL$18,1)+IF(dd_PartSA_2_lines = "Yes",0,SUMIFS('Safety parameters'!$DO$6:$DO$18,'Safety parameters'!$DK$6:$DK$18,DA758,'Safety parameters'!$DL$6:$DL$18,2)+SUMIFS('Safety parameters'!$DO$6:$DO$18,'Safety parameters'!$DK$6:$DK$18,DB758,'Safety parameters'!$DL$6:$DL$18,2))</f>
        <v>0</v>
      </c>
    </row>
    <row r="759" spans="100:124" x14ac:dyDescent="0.2">
      <c r="CV759" s="1223"/>
      <c r="CX759" s="899"/>
      <c r="CY759" s="899"/>
      <c r="CZ759" s="899"/>
      <c r="DA759" s="899"/>
      <c r="DB759" s="899"/>
      <c r="DC759" s="899"/>
      <c r="DD759" s="899"/>
      <c r="DE759" s="899"/>
      <c r="DF759" s="881"/>
      <c r="DG759" s="910"/>
      <c r="DH759" s="881"/>
      <c r="DI759" s="910"/>
      <c r="DJ759" s="909"/>
      <c r="DK759" s="909"/>
      <c r="DL759" s="909"/>
      <c r="DM759" s="909"/>
      <c r="DN759" s="909"/>
      <c r="DO759" s="921"/>
      <c r="DP759" s="5"/>
      <c r="DQ759" s="5"/>
      <c r="DR759" s="921">
        <f t="shared" si="326"/>
        <v>0</v>
      </c>
      <c r="DS759" s="1004">
        <f>SUMIFS('Safety parameters'!$DM$6:$DM$18,'Safety parameters'!$DK$6:$DK$18,CZ759,'Safety parameters'!$DL$6:$DL$18,1)+IF(dd_PartSA_2_lines = "Yes",0,SUMIFS('Safety parameters'!$DM$6:$DM$18,'Safety parameters'!$DK$6:$DK$18,DA759,'Safety parameters'!$DL$6:$DL$18,2)+SUMIFS('Safety parameters'!$DM$6:$DM$18,'Safety parameters'!$DK$6:$DK$18,DB759,'Safety parameters'!$DL$6:$DL$18,2))</f>
        <v>0</v>
      </c>
      <c r="DT759" s="910">
        <f>SUMIFS('Safety parameters'!$DO$6:$DO$18,'Safety parameters'!$DK$6:$DK$18,CZ759,'Safety parameters'!$DL$6:$DL$18,1)+IF(dd_PartSA_2_lines = "Yes",0,SUMIFS('Safety parameters'!$DO$6:$DO$18,'Safety parameters'!$DK$6:$DK$18,DA759,'Safety parameters'!$DL$6:$DL$18,2)+SUMIFS('Safety parameters'!$DO$6:$DO$18,'Safety parameters'!$DK$6:$DK$18,DB759,'Safety parameters'!$DL$6:$DL$18,2))</f>
        <v>0</v>
      </c>
    </row>
    <row r="760" spans="100:124" x14ac:dyDescent="0.2">
      <c r="CV760" s="1223"/>
      <c r="CX760" s="899"/>
      <c r="CY760" s="899"/>
      <c r="CZ760" s="899"/>
      <c r="DA760" s="899"/>
      <c r="DB760" s="899"/>
      <c r="DC760" s="899"/>
      <c r="DD760" s="899"/>
      <c r="DE760" s="899"/>
      <c r="DF760" s="881"/>
      <c r="DG760" s="910"/>
      <c r="DH760" s="881"/>
      <c r="DI760" s="910"/>
      <c r="DJ760" s="909"/>
      <c r="DK760" s="909"/>
      <c r="DL760" s="909"/>
      <c r="DM760" s="909"/>
      <c r="DN760" s="909"/>
      <c r="DO760" s="921"/>
      <c r="DP760" s="5"/>
      <c r="DQ760" s="5"/>
      <c r="DR760" s="921">
        <f t="shared" si="326"/>
        <v>0</v>
      </c>
      <c r="DS760" s="1004">
        <f>SUMIFS('Safety parameters'!$DM$6:$DM$18,'Safety parameters'!$DK$6:$DK$18,CZ760,'Safety parameters'!$DL$6:$DL$18,1)+IF(dd_PartSA_2_lines = "Yes",0,SUMIFS('Safety parameters'!$DM$6:$DM$18,'Safety parameters'!$DK$6:$DK$18,DA760,'Safety parameters'!$DL$6:$DL$18,2)+SUMIFS('Safety parameters'!$DM$6:$DM$18,'Safety parameters'!$DK$6:$DK$18,DB760,'Safety parameters'!$DL$6:$DL$18,2))</f>
        <v>0</v>
      </c>
      <c r="DT760" s="910">
        <f>SUMIFS('Safety parameters'!$DO$6:$DO$18,'Safety parameters'!$DK$6:$DK$18,CZ760,'Safety parameters'!$DL$6:$DL$18,1)+IF(dd_PartSA_2_lines = "Yes",0,SUMIFS('Safety parameters'!$DO$6:$DO$18,'Safety parameters'!$DK$6:$DK$18,DA760,'Safety parameters'!$DL$6:$DL$18,2)+SUMIFS('Safety parameters'!$DO$6:$DO$18,'Safety parameters'!$DK$6:$DK$18,DB760,'Safety parameters'!$DL$6:$DL$18,2))</f>
        <v>0</v>
      </c>
    </row>
    <row r="761" spans="100:124" x14ac:dyDescent="0.2">
      <c r="CV761" s="1223"/>
      <c r="CX761" s="899"/>
      <c r="CY761" s="899"/>
      <c r="CZ761" s="899"/>
      <c r="DA761" s="899"/>
      <c r="DB761" s="899"/>
      <c r="DC761" s="899"/>
      <c r="DD761" s="899"/>
      <c r="DE761" s="899"/>
      <c r="DF761" s="881"/>
      <c r="DG761" s="910"/>
      <c r="DH761" s="881"/>
      <c r="DI761" s="910"/>
      <c r="DJ761" s="909"/>
      <c r="DK761" s="909"/>
      <c r="DL761" s="909"/>
      <c r="DM761" s="909"/>
      <c r="DN761" s="909"/>
      <c r="DO761" s="921"/>
      <c r="DP761" s="5"/>
      <c r="DQ761" s="5"/>
      <c r="DR761" s="921">
        <f t="shared" si="326"/>
        <v>0</v>
      </c>
      <c r="DS761" s="1004">
        <f>SUMIFS('Safety parameters'!$DM$6:$DM$18,'Safety parameters'!$DK$6:$DK$18,CZ761,'Safety parameters'!$DL$6:$DL$18,1)+IF(dd_PartSA_2_lines = "Yes",0,SUMIFS('Safety parameters'!$DM$6:$DM$18,'Safety parameters'!$DK$6:$DK$18,DA761,'Safety parameters'!$DL$6:$DL$18,2)+SUMIFS('Safety parameters'!$DM$6:$DM$18,'Safety parameters'!$DK$6:$DK$18,DB761,'Safety parameters'!$DL$6:$DL$18,2))</f>
        <v>0</v>
      </c>
      <c r="DT761" s="910">
        <f>SUMIFS('Safety parameters'!$DO$6:$DO$18,'Safety parameters'!$DK$6:$DK$18,CZ761,'Safety parameters'!$DL$6:$DL$18,1)+IF(dd_PartSA_2_lines = "Yes",0,SUMIFS('Safety parameters'!$DO$6:$DO$18,'Safety parameters'!$DK$6:$DK$18,DA761,'Safety parameters'!$DL$6:$DL$18,2)+SUMIFS('Safety parameters'!$DO$6:$DO$18,'Safety parameters'!$DK$6:$DK$18,DB761,'Safety parameters'!$DL$6:$DL$18,2))</f>
        <v>0</v>
      </c>
    </row>
    <row r="762" spans="100:124" x14ac:dyDescent="0.2">
      <c r="CV762" s="1223"/>
      <c r="CX762" s="899"/>
      <c r="CY762" s="899"/>
      <c r="CZ762" s="899"/>
      <c r="DA762" s="899"/>
      <c r="DB762" s="899"/>
      <c r="DC762" s="899"/>
      <c r="DD762" s="899"/>
      <c r="DE762" s="899"/>
      <c r="DF762" s="881"/>
      <c r="DG762" s="910"/>
      <c r="DH762" s="881"/>
      <c r="DI762" s="910"/>
      <c r="DJ762" s="909"/>
      <c r="DK762" s="909"/>
      <c r="DL762" s="909"/>
      <c r="DM762" s="909"/>
      <c r="DN762" s="909"/>
      <c r="DO762" s="921"/>
      <c r="DP762" s="5"/>
      <c r="DQ762" s="5"/>
      <c r="DR762" s="921">
        <f t="shared" si="326"/>
        <v>0</v>
      </c>
      <c r="DS762" s="1004">
        <f>SUMIFS('Safety parameters'!$DM$6:$DM$18,'Safety parameters'!$DK$6:$DK$18,CZ762,'Safety parameters'!$DL$6:$DL$18,1)+IF(dd_PartSA_2_lines = "Yes",0,SUMIFS('Safety parameters'!$DM$6:$DM$18,'Safety parameters'!$DK$6:$DK$18,DA762,'Safety parameters'!$DL$6:$DL$18,2)+SUMIFS('Safety parameters'!$DM$6:$DM$18,'Safety parameters'!$DK$6:$DK$18,DB762,'Safety parameters'!$DL$6:$DL$18,2))</f>
        <v>0</v>
      </c>
      <c r="DT762" s="910">
        <f>SUMIFS('Safety parameters'!$DO$6:$DO$18,'Safety parameters'!$DK$6:$DK$18,CZ762,'Safety parameters'!$DL$6:$DL$18,1)+IF(dd_PartSA_2_lines = "Yes",0,SUMIFS('Safety parameters'!$DO$6:$DO$18,'Safety parameters'!$DK$6:$DK$18,DA762,'Safety parameters'!$DL$6:$DL$18,2)+SUMIFS('Safety parameters'!$DO$6:$DO$18,'Safety parameters'!$DK$6:$DK$18,DB762,'Safety parameters'!$DL$6:$DL$18,2))</f>
        <v>0</v>
      </c>
    </row>
    <row r="763" spans="100:124" x14ac:dyDescent="0.2">
      <c r="CV763" s="1223"/>
      <c r="CX763" s="899"/>
      <c r="CY763" s="899"/>
      <c r="CZ763" s="899"/>
      <c r="DA763" s="899"/>
      <c r="DB763" s="899"/>
      <c r="DC763" s="899"/>
      <c r="DD763" s="899"/>
      <c r="DE763" s="899"/>
      <c r="DF763" s="881"/>
      <c r="DG763" s="910"/>
      <c r="DH763" s="881"/>
      <c r="DI763" s="910"/>
      <c r="DJ763" s="909"/>
      <c r="DK763" s="909"/>
      <c r="DL763" s="909"/>
      <c r="DM763" s="909"/>
      <c r="DN763" s="909"/>
      <c r="DO763" s="921"/>
      <c r="DP763" s="5"/>
      <c r="DQ763" s="5"/>
      <c r="DR763" s="921">
        <f t="shared" si="326"/>
        <v>0</v>
      </c>
      <c r="DS763" s="1004">
        <f>SUMIFS('Safety parameters'!$DM$6:$DM$18,'Safety parameters'!$DK$6:$DK$18,CZ763,'Safety parameters'!$DL$6:$DL$18,1)+IF(dd_PartSA_2_lines = "Yes",0,SUMIFS('Safety parameters'!$DM$6:$DM$18,'Safety parameters'!$DK$6:$DK$18,DA763,'Safety parameters'!$DL$6:$DL$18,2)+SUMIFS('Safety parameters'!$DM$6:$DM$18,'Safety parameters'!$DK$6:$DK$18,DB763,'Safety parameters'!$DL$6:$DL$18,2))</f>
        <v>0</v>
      </c>
      <c r="DT763" s="910">
        <f>SUMIFS('Safety parameters'!$DO$6:$DO$18,'Safety parameters'!$DK$6:$DK$18,CZ763,'Safety parameters'!$DL$6:$DL$18,1)+IF(dd_PartSA_2_lines = "Yes",0,SUMIFS('Safety parameters'!$DO$6:$DO$18,'Safety parameters'!$DK$6:$DK$18,DA763,'Safety parameters'!$DL$6:$DL$18,2)+SUMIFS('Safety parameters'!$DO$6:$DO$18,'Safety parameters'!$DK$6:$DK$18,DB763,'Safety parameters'!$DL$6:$DL$18,2))</f>
        <v>0</v>
      </c>
    </row>
    <row r="764" spans="100:124" x14ac:dyDescent="0.2">
      <c r="CV764" s="1223"/>
      <c r="CX764" s="899"/>
      <c r="CY764" s="899"/>
      <c r="CZ764" s="899"/>
      <c r="DA764" s="899"/>
      <c r="DB764" s="899"/>
      <c r="DC764" s="899"/>
      <c r="DD764" s="899"/>
      <c r="DE764" s="899"/>
      <c r="DF764" s="881"/>
      <c r="DG764" s="910"/>
      <c r="DH764" s="881"/>
      <c r="DI764" s="910"/>
      <c r="DJ764" s="909"/>
      <c r="DK764" s="909"/>
      <c r="DL764" s="909"/>
      <c r="DM764" s="909"/>
      <c r="DN764" s="909"/>
      <c r="DO764" s="921"/>
      <c r="DP764" s="5"/>
      <c r="DQ764" s="5"/>
      <c r="DR764" s="921">
        <f t="shared" si="326"/>
        <v>0</v>
      </c>
      <c r="DS764" s="1004">
        <f>SUMIFS('Safety parameters'!$DM$6:$DM$18,'Safety parameters'!$DK$6:$DK$18,CZ764,'Safety parameters'!$DL$6:$DL$18,1)+IF(dd_PartSA_2_lines = "Yes",0,SUMIFS('Safety parameters'!$DM$6:$DM$18,'Safety parameters'!$DK$6:$DK$18,DA764,'Safety parameters'!$DL$6:$DL$18,2)+SUMIFS('Safety parameters'!$DM$6:$DM$18,'Safety parameters'!$DK$6:$DK$18,DB764,'Safety parameters'!$DL$6:$DL$18,2))</f>
        <v>0</v>
      </c>
      <c r="DT764" s="910">
        <f>SUMIFS('Safety parameters'!$DO$6:$DO$18,'Safety parameters'!$DK$6:$DK$18,CZ764,'Safety parameters'!$DL$6:$DL$18,1)+IF(dd_PartSA_2_lines = "Yes",0,SUMIFS('Safety parameters'!$DO$6:$DO$18,'Safety parameters'!$DK$6:$DK$18,DA764,'Safety parameters'!$DL$6:$DL$18,2)+SUMIFS('Safety parameters'!$DO$6:$DO$18,'Safety parameters'!$DK$6:$DK$18,DB764,'Safety parameters'!$DL$6:$DL$18,2))</f>
        <v>0</v>
      </c>
    </row>
    <row r="765" spans="100:124" x14ac:dyDescent="0.2">
      <c r="CV765" s="1223"/>
      <c r="CX765" s="899"/>
      <c r="CY765" s="899"/>
      <c r="CZ765" s="899"/>
      <c r="DA765" s="899"/>
      <c r="DB765" s="899"/>
      <c r="DC765" s="899"/>
      <c r="DD765" s="899"/>
      <c r="DE765" s="899"/>
      <c r="DF765" s="881"/>
      <c r="DG765" s="910"/>
      <c r="DH765" s="881"/>
      <c r="DI765" s="910"/>
      <c r="DJ765" s="909"/>
      <c r="DK765" s="909"/>
      <c r="DL765" s="909"/>
      <c r="DM765" s="909"/>
      <c r="DN765" s="909"/>
      <c r="DO765" s="921"/>
      <c r="DP765" s="5"/>
      <c r="DQ765" s="5"/>
      <c r="DR765" s="921">
        <f t="shared" si="326"/>
        <v>0</v>
      </c>
      <c r="DS765" s="1004">
        <f>SUMIFS('Safety parameters'!$DM$6:$DM$18,'Safety parameters'!$DK$6:$DK$18,CZ765,'Safety parameters'!$DL$6:$DL$18,1)+IF(dd_PartSA_2_lines = "Yes",0,SUMIFS('Safety parameters'!$DM$6:$DM$18,'Safety parameters'!$DK$6:$DK$18,DA765,'Safety parameters'!$DL$6:$DL$18,2)+SUMIFS('Safety parameters'!$DM$6:$DM$18,'Safety parameters'!$DK$6:$DK$18,DB765,'Safety parameters'!$DL$6:$DL$18,2))</f>
        <v>0</v>
      </c>
      <c r="DT765" s="910">
        <f>SUMIFS('Safety parameters'!$DO$6:$DO$18,'Safety parameters'!$DK$6:$DK$18,CZ765,'Safety parameters'!$DL$6:$DL$18,1)+IF(dd_PartSA_2_lines = "Yes",0,SUMIFS('Safety parameters'!$DO$6:$DO$18,'Safety parameters'!$DK$6:$DK$18,DA765,'Safety parameters'!$DL$6:$DL$18,2)+SUMIFS('Safety parameters'!$DO$6:$DO$18,'Safety parameters'!$DK$6:$DK$18,DB765,'Safety parameters'!$DL$6:$DL$18,2))</f>
        <v>0</v>
      </c>
    </row>
    <row r="766" spans="100:124" x14ac:dyDescent="0.2">
      <c r="CV766" s="1223"/>
      <c r="CX766" s="899"/>
      <c r="CY766" s="899"/>
      <c r="CZ766" s="899"/>
      <c r="DA766" s="899"/>
      <c r="DB766" s="899"/>
      <c r="DC766" s="899"/>
      <c r="DD766" s="899"/>
      <c r="DE766" s="899"/>
      <c r="DF766" s="881"/>
      <c r="DG766" s="910"/>
      <c r="DH766" s="881"/>
      <c r="DI766" s="910"/>
      <c r="DJ766" s="909"/>
      <c r="DK766" s="909"/>
      <c r="DL766" s="909"/>
      <c r="DM766" s="909"/>
      <c r="DN766" s="909"/>
      <c r="DO766" s="921"/>
      <c r="DP766" s="5"/>
      <c r="DQ766" s="5"/>
      <c r="DR766" s="921">
        <f t="shared" si="326"/>
        <v>0</v>
      </c>
      <c r="DS766" s="1004">
        <f>SUMIFS('Safety parameters'!$DM$6:$DM$18,'Safety parameters'!$DK$6:$DK$18,CZ766,'Safety parameters'!$DL$6:$DL$18,1)+IF(dd_PartSA_2_lines = "Yes",0,SUMIFS('Safety parameters'!$DM$6:$DM$18,'Safety parameters'!$DK$6:$DK$18,DA766,'Safety parameters'!$DL$6:$DL$18,2)+SUMIFS('Safety parameters'!$DM$6:$DM$18,'Safety parameters'!$DK$6:$DK$18,DB766,'Safety parameters'!$DL$6:$DL$18,2))</f>
        <v>0</v>
      </c>
      <c r="DT766" s="910">
        <f>SUMIFS('Safety parameters'!$DO$6:$DO$18,'Safety parameters'!$DK$6:$DK$18,CZ766,'Safety parameters'!$DL$6:$DL$18,1)+IF(dd_PartSA_2_lines = "Yes",0,SUMIFS('Safety parameters'!$DO$6:$DO$18,'Safety parameters'!$DK$6:$DK$18,DA766,'Safety parameters'!$DL$6:$DL$18,2)+SUMIFS('Safety parameters'!$DO$6:$DO$18,'Safety parameters'!$DK$6:$DK$18,DB766,'Safety parameters'!$DL$6:$DL$18,2))</f>
        <v>0</v>
      </c>
    </row>
    <row r="767" spans="100:124" x14ac:dyDescent="0.2">
      <c r="CV767" s="1223"/>
      <c r="CX767" s="899"/>
      <c r="CY767" s="899"/>
      <c r="CZ767" s="899"/>
      <c r="DA767" s="899"/>
      <c r="DB767" s="899"/>
      <c r="DC767" s="899"/>
      <c r="DD767" s="899"/>
      <c r="DE767" s="899"/>
      <c r="DF767" s="881"/>
      <c r="DG767" s="910"/>
      <c r="DH767" s="881"/>
      <c r="DI767" s="910"/>
      <c r="DJ767" s="909"/>
      <c r="DK767" s="909"/>
      <c r="DL767" s="909"/>
      <c r="DM767" s="909"/>
      <c r="DN767" s="909"/>
      <c r="DO767" s="921"/>
      <c r="DP767" s="5"/>
      <c r="DQ767" s="5"/>
      <c r="DR767" s="921">
        <f t="shared" si="326"/>
        <v>0</v>
      </c>
      <c r="DS767" s="1004">
        <f>SUMIFS('Safety parameters'!$DM$6:$DM$18,'Safety parameters'!$DK$6:$DK$18,CZ767,'Safety parameters'!$DL$6:$DL$18,1)+IF(dd_PartSA_2_lines = "Yes",0,SUMIFS('Safety parameters'!$DM$6:$DM$18,'Safety parameters'!$DK$6:$DK$18,DA767,'Safety parameters'!$DL$6:$DL$18,2)+SUMIFS('Safety parameters'!$DM$6:$DM$18,'Safety parameters'!$DK$6:$DK$18,DB767,'Safety parameters'!$DL$6:$DL$18,2))</f>
        <v>0</v>
      </c>
      <c r="DT767" s="910">
        <f>SUMIFS('Safety parameters'!$DO$6:$DO$18,'Safety parameters'!$DK$6:$DK$18,CZ767,'Safety parameters'!$DL$6:$DL$18,1)+IF(dd_PartSA_2_lines = "Yes",0,SUMIFS('Safety parameters'!$DO$6:$DO$18,'Safety parameters'!$DK$6:$DK$18,DA767,'Safety parameters'!$DL$6:$DL$18,2)+SUMIFS('Safety parameters'!$DO$6:$DO$18,'Safety parameters'!$DK$6:$DK$18,DB767,'Safety parameters'!$DL$6:$DL$18,2))</f>
        <v>0</v>
      </c>
    </row>
    <row r="768" spans="100:124" x14ac:dyDescent="0.2">
      <c r="CV768" s="1223"/>
      <c r="CX768" s="899"/>
      <c r="CY768" s="899"/>
      <c r="CZ768" s="899"/>
      <c r="DA768" s="899"/>
      <c r="DB768" s="899"/>
      <c r="DC768" s="899"/>
      <c r="DD768" s="899"/>
      <c r="DE768" s="899"/>
      <c r="DF768" s="881"/>
      <c r="DG768" s="910"/>
      <c r="DH768" s="881"/>
      <c r="DI768" s="910"/>
      <c r="DJ768" s="909"/>
      <c r="DK768" s="909"/>
      <c r="DL768" s="909"/>
      <c r="DM768" s="909"/>
      <c r="DN768" s="909"/>
      <c r="DO768" s="921"/>
      <c r="DP768" s="5"/>
      <c r="DQ768" s="5"/>
      <c r="DR768" s="921">
        <f t="shared" si="326"/>
        <v>0</v>
      </c>
      <c r="DS768" s="1004">
        <f>SUMIFS('Safety parameters'!$DM$6:$DM$18,'Safety parameters'!$DK$6:$DK$18,CZ768,'Safety parameters'!$DL$6:$DL$18,1)+IF(dd_PartSA_2_lines = "Yes",0,SUMIFS('Safety parameters'!$DM$6:$DM$18,'Safety parameters'!$DK$6:$DK$18,DA768,'Safety parameters'!$DL$6:$DL$18,2)+SUMIFS('Safety parameters'!$DM$6:$DM$18,'Safety parameters'!$DK$6:$DK$18,DB768,'Safety parameters'!$DL$6:$DL$18,2))</f>
        <v>0</v>
      </c>
      <c r="DT768" s="910">
        <f>SUMIFS('Safety parameters'!$DO$6:$DO$18,'Safety parameters'!$DK$6:$DK$18,CZ768,'Safety parameters'!$DL$6:$DL$18,1)+IF(dd_PartSA_2_lines = "Yes",0,SUMIFS('Safety parameters'!$DO$6:$DO$18,'Safety parameters'!$DK$6:$DK$18,DA768,'Safety parameters'!$DL$6:$DL$18,2)+SUMIFS('Safety parameters'!$DO$6:$DO$18,'Safety parameters'!$DK$6:$DK$18,DB768,'Safety parameters'!$DL$6:$DL$18,2))</f>
        <v>0</v>
      </c>
    </row>
    <row r="769" spans="100:124" x14ac:dyDescent="0.2">
      <c r="CV769" s="1223"/>
      <c r="CX769" s="899"/>
      <c r="CY769" s="899"/>
      <c r="CZ769" s="899"/>
      <c r="DA769" s="899"/>
      <c r="DB769" s="899"/>
      <c r="DC769" s="899"/>
      <c r="DD769" s="899"/>
      <c r="DE769" s="899"/>
      <c r="DF769" s="881"/>
      <c r="DG769" s="910"/>
      <c r="DH769" s="881"/>
      <c r="DI769" s="910"/>
      <c r="DJ769" s="909"/>
      <c r="DK769" s="909"/>
      <c r="DL769" s="909"/>
      <c r="DM769" s="909"/>
      <c r="DN769" s="909"/>
      <c r="DO769" s="921"/>
      <c r="DP769" s="5"/>
      <c r="DQ769" s="5"/>
      <c r="DR769" s="921">
        <f t="shared" si="326"/>
        <v>0</v>
      </c>
      <c r="DS769" s="1004">
        <f>SUMIFS('Safety parameters'!$DM$6:$DM$18,'Safety parameters'!$DK$6:$DK$18,CZ769,'Safety parameters'!$DL$6:$DL$18,1)+IF(dd_PartSA_2_lines = "Yes",0,SUMIFS('Safety parameters'!$DM$6:$DM$18,'Safety parameters'!$DK$6:$DK$18,DA769,'Safety parameters'!$DL$6:$DL$18,2)+SUMIFS('Safety parameters'!$DM$6:$DM$18,'Safety parameters'!$DK$6:$DK$18,DB769,'Safety parameters'!$DL$6:$DL$18,2))</f>
        <v>0</v>
      </c>
      <c r="DT769" s="910">
        <f>SUMIFS('Safety parameters'!$DO$6:$DO$18,'Safety parameters'!$DK$6:$DK$18,CZ769,'Safety parameters'!$DL$6:$DL$18,1)+IF(dd_PartSA_2_lines = "Yes",0,SUMIFS('Safety parameters'!$DO$6:$DO$18,'Safety parameters'!$DK$6:$DK$18,DA769,'Safety parameters'!$DL$6:$DL$18,2)+SUMIFS('Safety parameters'!$DO$6:$DO$18,'Safety parameters'!$DK$6:$DK$18,DB769,'Safety parameters'!$DL$6:$DL$18,2))</f>
        <v>0</v>
      </c>
    </row>
    <row r="770" spans="100:124" x14ac:dyDescent="0.2">
      <c r="CV770" s="1223"/>
      <c r="CX770" s="899"/>
      <c r="CY770" s="899"/>
      <c r="CZ770" s="899"/>
      <c r="DA770" s="899"/>
      <c r="DB770" s="899"/>
      <c r="DC770" s="899"/>
      <c r="DD770" s="899"/>
      <c r="DE770" s="899"/>
      <c r="DF770" s="881"/>
      <c r="DG770" s="910"/>
      <c r="DH770" s="881"/>
      <c r="DI770" s="910"/>
      <c r="DJ770" s="909"/>
      <c r="DK770" s="909"/>
      <c r="DL770" s="909"/>
      <c r="DM770" s="909"/>
      <c r="DN770" s="909"/>
      <c r="DO770" s="921"/>
      <c r="DP770" s="5"/>
      <c r="DQ770" s="5"/>
      <c r="DR770" s="921">
        <f t="shared" si="326"/>
        <v>0</v>
      </c>
      <c r="DS770" s="1004">
        <f>SUMIFS('Safety parameters'!$DM$6:$DM$18,'Safety parameters'!$DK$6:$DK$18,CZ770,'Safety parameters'!$DL$6:$DL$18,1)+IF(dd_PartSA_2_lines = "Yes",0,SUMIFS('Safety parameters'!$DM$6:$DM$18,'Safety parameters'!$DK$6:$DK$18,DA770,'Safety parameters'!$DL$6:$DL$18,2)+SUMIFS('Safety parameters'!$DM$6:$DM$18,'Safety parameters'!$DK$6:$DK$18,DB770,'Safety parameters'!$DL$6:$DL$18,2))</f>
        <v>0</v>
      </c>
      <c r="DT770" s="910">
        <f>SUMIFS('Safety parameters'!$DO$6:$DO$18,'Safety parameters'!$DK$6:$DK$18,CZ770,'Safety parameters'!$DL$6:$DL$18,1)+IF(dd_PartSA_2_lines = "Yes",0,SUMIFS('Safety parameters'!$DO$6:$DO$18,'Safety parameters'!$DK$6:$DK$18,DA770,'Safety parameters'!$DL$6:$DL$18,2)+SUMIFS('Safety parameters'!$DO$6:$DO$18,'Safety parameters'!$DK$6:$DK$18,DB770,'Safety parameters'!$DL$6:$DL$18,2))</f>
        <v>0</v>
      </c>
    </row>
    <row r="771" spans="100:124" x14ac:dyDescent="0.2">
      <c r="CV771" s="1223"/>
      <c r="CX771" s="899"/>
      <c r="CY771" s="899"/>
      <c r="CZ771" s="899"/>
      <c r="DA771" s="899"/>
      <c r="DB771" s="899"/>
      <c r="DC771" s="899"/>
      <c r="DD771" s="899"/>
      <c r="DE771" s="899"/>
      <c r="DF771" s="881"/>
      <c r="DG771" s="910"/>
      <c r="DH771" s="881"/>
      <c r="DI771" s="910"/>
      <c r="DJ771" s="909"/>
      <c r="DK771" s="909"/>
      <c r="DL771" s="909"/>
      <c r="DM771" s="909"/>
      <c r="DN771" s="909"/>
      <c r="DO771" s="921"/>
      <c r="DP771" s="5"/>
      <c r="DQ771" s="5"/>
      <c r="DR771" s="921">
        <f t="shared" si="326"/>
        <v>0</v>
      </c>
      <c r="DS771" s="1004">
        <f>SUMIFS('Safety parameters'!$DM$6:$DM$18,'Safety parameters'!$DK$6:$DK$18,CZ771,'Safety parameters'!$DL$6:$DL$18,1)+IF(dd_PartSA_2_lines = "Yes",0,SUMIFS('Safety parameters'!$DM$6:$DM$18,'Safety parameters'!$DK$6:$DK$18,DA771,'Safety parameters'!$DL$6:$DL$18,2)+SUMIFS('Safety parameters'!$DM$6:$DM$18,'Safety parameters'!$DK$6:$DK$18,DB771,'Safety parameters'!$DL$6:$DL$18,2))</f>
        <v>0</v>
      </c>
      <c r="DT771" s="910">
        <f>SUMIFS('Safety parameters'!$DO$6:$DO$18,'Safety parameters'!$DK$6:$DK$18,CZ771,'Safety parameters'!$DL$6:$DL$18,1)+IF(dd_PartSA_2_lines = "Yes",0,SUMIFS('Safety parameters'!$DO$6:$DO$18,'Safety parameters'!$DK$6:$DK$18,DA771,'Safety parameters'!$DL$6:$DL$18,2)+SUMIFS('Safety parameters'!$DO$6:$DO$18,'Safety parameters'!$DK$6:$DK$18,DB771,'Safety parameters'!$DL$6:$DL$18,2))</f>
        <v>0</v>
      </c>
    </row>
    <row r="772" spans="100:124" x14ac:dyDescent="0.2">
      <c r="CV772" s="1223"/>
      <c r="CX772" s="899"/>
      <c r="CY772" s="899"/>
      <c r="CZ772" s="899"/>
      <c r="DA772" s="899"/>
      <c r="DB772" s="899"/>
      <c r="DC772" s="899"/>
      <c r="DD772" s="899"/>
      <c r="DE772" s="899"/>
      <c r="DF772" s="881"/>
      <c r="DG772" s="910"/>
      <c r="DH772" s="881"/>
      <c r="DI772" s="910"/>
      <c r="DJ772" s="909"/>
      <c r="DK772" s="909"/>
      <c r="DL772" s="909"/>
      <c r="DM772" s="909"/>
      <c r="DN772" s="909"/>
      <c r="DO772" s="921"/>
      <c r="DP772" s="5"/>
      <c r="DQ772" s="5"/>
      <c r="DR772" s="921">
        <f t="shared" si="326"/>
        <v>0</v>
      </c>
      <c r="DS772" s="1004">
        <f>SUMIFS('Safety parameters'!$DM$6:$DM$18,'Safety parameters'!$DK$6:$DK$18,CZ772,'Safety parameters'!$DL$6:$DL$18,1)+IF(dd_PartSA_2_lines = "Yes",0,SUMIFS('Safety parameters'!$DM$6:$DM$18,'Safety parameters'!$DK$6:$DK$18,DA772,'Safety parameters'!$DL$6:$DL$18,2)+SUMIFS('Safety parameters'!$DM$6:$DM$18,'Safety parameters'!$DK$6:$DK$18,DB772,'Safety parameters'!$DL$6:$DL$18,2))</f>
        <v>0</v>
      </c>
      <c r="DT772" s="910">
        <f>SUMIFS('Safety parameters'!$DO$6:$DO$18,'Safety parameters'!$DK$6:$DK$18,CZ772,'Safety parameters'!$DL$6:$DL$18,1)+IF(dd_PartSA_2_lines = "Yes",0,SUMIFS('Safety parameters'!$DO$6:$DO$18,'Safety parameters'!$DK$6:$DK$18,DA772,'Safety parameters'!$DL$6:$DL$18,2)+SUMIFS('Safety parameters'!$DO$6:$DO$18,'Safety parameters'!$DK$6:$DK$18,DB772,'Safety parameters'!$DL$6:$DL$18,2))</f>
        <v>0</v>
      </c>
    </row>
    <row r="773" spans="100:124" x14ac:dyDescent="0.2">
      <c r="CX773" s="899"/>
      <c r="CY773" s="899"/>
      <c r="CZ773" s="899"/>
      <c r="DA773" s="899"/>
      <c r="DB773" s="899"/>
      <c r="DC773" s="899"/>
      <c r="DD773" s="899"/>
      <c r="DE773" s="899"/>
      <c r="DF773" s="881"/>
      <c r="DG773" s="910"/>
      <c r="DH773" s="881"/>
      <c r="DI773" s="910"/>
      <c r="DJ773" s="909"/>
      <c r="DK773" s="909"/>
      <c r="DL773" s="909"/>
      <c r="DM773" s="909"/>
      <c r="DN773" s="909"/>
      <c r="DO773" s="921"/>
      <c r="DP773" s="5"/>
      <c r="DQ773" s="5"/>
      <c r="DR773" s="921">
        <f t="shared" si="326"/>
        <v>0</v>
      </c>
      <c r="DS773" s="1004">
        <f>SUMIFS('Safety parameters'!$DM$6:$DM$18,'Safety parameters'!$DK$6:$DK$18,CZ773,'Safety parameters'!$DL$6:$DL$18,1)+IF(dd_PartSA_2_lines = "Yes",0,SUMIFS('Safety parameters'!$DM$6:$DM$18,'Safety parameters'!$DK$6:$DK$18,DA773,'Safety parameters'!$DL$6:$DL$18,2)+SUMIFS('Safety parameters'!$DM$6:$DM$18,'Safety parameters'!$DK$6:$DK$18,DB773,'Safety parameters'!$DL$6:$DL$18,2))</f>
        <v>0</v>
      </c>
      <c r="DT773" s="910">
        <f>SUMIFS('Safety parameters'!$DO$6:$DO$18,'Safety parameters'!$DK$6:$DK$18,CZ773,'Safety parameters'!$DL$6:$DL$18,1)+IF(dd_PartSA_2_lines = "Yes",0,SUMIFS('Safety parameters'!$DO$6:$DO$18,'Safety parameters'!$DK$6:$DK$18,DA773,'Safety parameters'!$DL$6:$DL$18,2)+SUMIFS('Safety parameters'!$DO$6:$DO$18,'Safety parameters'!$DK$6:$DK$18,DB773,'Safety parameters'!$DL$6:$DL$18,2))</f>
        <v>0</v>
      </c>
    </row>
    <row r="774" spans="100:124" x14ac:dyDescent="0.2">
      <c r="CX774" s="899"/>
      <c r="CY774" s="899"/>
      <c r="CZ774" s="899"/>
      <c r="DA774" s="899"/>
      <c r="DB774" s="899"/>
      <c r="DC774" s="899"/>
      <c r="DD774" s="899"/>
      <c r="DE774" s="899"/>
      <c r="DF774" s="881"/>
      <c r="DG774" s="910"/>
      <c r="DH774" s="881"/>
      <c r="DI774" s="910"/>
      <c r="DJ774" s="909"/>
      <c r="DK774" s="909"/>
      <c r="DL774" s="909"/>
      <c r="DM774" s="909"/>
      <c r="DN774" s="909"/>
      <c r="DO774" s="921"/>
      <c r="DP774" s="5"/>
      <c r="DQ774" s="5"/>
      <c r="DR774" s="921">
        <f t="shared" si="326"/>
        <v>0</v>
      </c>
      <c r="DS774" s="1004">
        <f>SUMIFS('Safety parameters'!$DM$6:$DM$18,'Safety parameters'!$DK$6:$DK$18,CZ774,'Safety parameters'!$DL$6:$DL$18,1)+IF(dd_PartSA_2_lines = "Yes",0,SUMIFS('Safety parameters'!$DM$6:$DM$18,'Safety parameters'!$DK$6:$DK$18,DA774,'Safety parameters'!$DL$6:$DL$18,2)+SUMIFS('Safety parameters'!$DM$6:$DM$18,'Safety parameters'!$DK$6:$DK$18,DB774,'Safety parameters'!$DL$6:$DL$18,2))</f>
        <v>0</v>
      </c>
      <c r="DT774" s="910">
        <f>SUMIFS('Safety parameters'!$DO$6:$DO$18,'Safety parameters'!$DK$6:$DK$18,CZ774,'Safety parameters'!$DL$6:$DL$18,1)+IF(dd_PartSA_2_lines = "Yes",0,SUMIFS('Safety parameters'!$DO$6:$DO$18,'Safety parameters'!$DK$6:$DK$18,DA774,'Safety parameters'!$DL$6:$DL$18,2)+SUMIFS('Safety parameters'!$DO$6:$DO$18,'Safety parameters'!$DK$6:$DK$18,DB774,'Safety parameters'!$DL$6:$DL$18,2))</f>
        <v>0</v>
      </c>
    </row>
    <row r="775" spans="100:124" x14ac:dyDescent="0.2">
      <c r="CX775" s="899"/>
      <c r="CY775" s="899"/>
      <c r="CZ775" s="899"/>
      <c r="DA775" s="899"/>
      <c r="DB775" s="899"/>
      <c r="DC775" s="899"/>
      <c r="DD775" s="899"/>
      <c r="DE775" s="899"/>
      <c r="DF775" s="881"/>
      <c r="DG775" s="910"/>
      <c r="DH775" s="881"/>
      <c r="DI775" s="910"/>
      <c r="DJ775" s="909"/>
      <c r="DK775" s="909"/>
      <c r="DL775" s="909"/>
      <c r="DM775" s="909"/>
      <c r="DN775" s="909"/>
      <c r="DO775" s="921"/>
      <c r="DP775" s="5"/>
      <c r="DQ775" s="5"/>
      <c r="DR775" s="921">
        <f t="shared" si="326"/>
        <v>0</v>
      </c>
      <c r="DS775" s="1004">
        <f>SUMIFS('Safety parameters'!$DM$6:$DM$18,'Safety parameters'!$DK$6:$DK$18,CZ775,'Safety parameters'!$DL$6:$DL$18,1)+IF(dd_PartSA_2_lines = "Yes",0,SUMIFS('Safety parameters'!$DM$6:$DM$18,'Safety parameters'!$DK$6:$DK$18,DA775,'Safety parameters'!$DL$6:$DL$18,2)+SUMIFS('Safety parameters'!$DM$6:$DM$18,'Safety parameters'!$DK$6:$DK$18,DB775,'Safety parameters'!$DL$6:$DL$18,2))</f>
        <v>0</v>
      </c>
      <c r="DT775" s="910">
        <f>SUMIFS('Safety parameters'!$DO$6:$DO$18,'Safety parameters'!$DK$6:$DK$18,CZ775,'Safety parameters'!$DL$6:$DL$18,1)+IF(dd_PartSA_2_lines = "Yes",0,SUMIFS('Safety parameters'!$DO$6:$DO$18,'Safety parameters'!$DK$6:$DK$18,DA775,'Safety parameters'!$DL$6:$DL$18,2)+SUMIFS('Safety parameters'!$DO$6:$DO$18,'Safety parameters'!$DK$6:$DK$18,DB775,'Safety parameters'!$DL$6:$DL$18,2))</f>
        <v>0</v>
      </c>
    </row>
    <row r="776" spans="100:124" x14ac:dyDescent="0.2">
      <c r="CX776" s="899"/>
      <c r="CY776" s="899"/>
      <c r="CZ776" s="899"/>
      <c r="DA776" s="899"/>
      <c r="DB776" s="899"/>
      <c r="DC776" s="899"/>
      <c r="DD776" s="899"/>
      <c r="DE776" s="899"/>
      <c r="DF776" s="881"/>
      <c r="DG776" s="910"/>
      <c r="DH776" s="881"/>
      <c r="DI776" s="910"/>
      <c r="DJ776" s="909"/>
      <c r="DK776" s="909"/>
      <c r="DL776" s="909"/>
      <c r="DM776" s="909"/>
      <c r="DN776" s="909"/>
      <c r="DO776" s="921"/>
      <c r="DP776" s="5"/>
      <c r="DQ776" s="5"/>
      <c r="DR776" s="921">
        <f t="shared" si="326"/>
        <v>0</v>
      </c>
      <c r="DS776" s="1004">
        <f>SUMIFS('Safety parameters'!$DM$6:$DM$18,'Safety parameters'!$DK$6:$DK$18,CZ776,'Safety parameters'!$DL$6:$DL$18,1)+IF(dd_PartSA_2_lines = "Yes",0,SUMIFS('Safety parameters'!$DM$6:$DM$18,'Safety parameters'!$DK$6:$DK$18,DA776,'Safety parameters'!$DL$6:$DL$18,2)+SUMIFS('Safety parameters'!$DM$6:$DM$18,'Safety parameters'!$DK$6:$DK$18,DB776,'Safety parameters'!$DL$6:$DL$18,2))</f>
        <v>0</v>
      </c>
      <c r="DT776" s="910">
        <f>SUMIFS('Safety parameters'!$DO$6:$DO$18,'Safety parameters'!$DK$6:$DK$18,CZ776,'Safety parameters'!$DL$6:$DL$18,1)+IF(dd_PartSA_2_lines = "Yes",0,SUMIFS('Safety parameters'!$DO$6:$DO$18,'Safety parameters'!$DK$6:$DK$18,DA776,'Safety parameters'!$DL$6:$DL$18,2)+SUMIFS('Safety parameters'!$DO$6:$DO$18,'Safety parameters'!$DK$6:$DK$18,DB776,'Safety parameters'!$DL$6:$DL$18,2))</f>
        <v>0</v>
      </c>
    </row>
    <row r="777" spans="100:124" x14ac:dyDescent="0.2">
      <c r="CX777" s="899"/>
      <c r="CY777" s="899"/>
      <c r="CZ777" s="899"/>
      <c r="DA777" s="899"/>
      <c r="DB777" s="899"/>
      <c r="DC777" s="899"/>
      <c r="DD777" s="899"/>
      <c r="DE777" s="899"/>
      <c r="DF777" s="881"/>
      <c r="DG777" s="910"/>
      <c r="DH777" s="881"/>
      <c r="DI777" s="910"/>
      <c r="DJ777" s="909"/>
      <c r="DK777" s="909"/>
      <c r="DL777" s="909"/>
      <c r="DM777" s="909"/>
      <c r="DN777" s="909"/>
      <c r="DO777" s="921"/>
      <c r="DP777" s="5"/>
      <c r="DQ777" s="5"/>
      <c r="DR777" s="921">
        <f t="shared" si="326"/>
        <v>0</v>
      </c>
      <c r="DS777" s="1004">
        <f>SUMIFS('Safety parameters'!$DM$6:$DM$18,'Safety parameters'!$DK$6:$DK$18,CZ777,'Safety parameters'!$DL$6:$DL$18,1)+IF(dd_PartSA_2_lines = "Yes",0,SUMIFS('Safety parameters'!$DM$6:$DM$18,'Safety parameters'!$DK$6:$DK$18,DA777,'Safety parameters'!$DL$6:$DL$18,2)+SUMIFS('Safety parameters'!$DM$6:$DM$18,'Safety parameters'!$DK$6:$DK$18,DB777,'Safety parameters'!$DL$6:$DL$18,2))</f>
        <v>0</v>
      </c>
      <c r="DT777" s="910">
        <f>SUMIFS('Safety parameters'!$DO$6:$DO$18,'Safety parameters'!$DK$6:$DK$18,CZ777,'Safety parameters'!$DL$6:$DL$18,1)+IF(dd_PartSA_2_lines = "Yes",0,SUMIFS('Safety parameters'!$DO$6:$DO$18,'Safety parameters'!$DK$6:$DK$18,DA777,'Safety parameters'!$DL$6:$DL$18,2)+SUMIFS('Safety parameters'!$DO$6:$DO$18,'Safety parameters'!$DK$6:$DK$18,DB777,'Safety parameters'!$DL$6:$DL$18,2))</f>
        <v>0</v>
      </c>
    </row>
    <row r="778" spans="100:124" x14ac:dyDescent="0.2">
      <c r="CX778" s="899"/>
      <c r="CY778" s="899"/>
      <c r="CZ778" s="899"/>
      <c r="DA778" s="899"/>
      <c r="DB778" s="899"/>
      <c r="DC778" s="899"/>
      <c r="DD778" s="899"/>
      <c r="DE778" s="899"/>
      <c r="DF778" s="881"/>
      <c r="DG778" s="910"/>
      <c r="DH778" s="881"/>
      <c r="DI778" s="910"/>
      <c r="DJ778" s="909"/>
      <c r="DK778" s="909"/>
      <c r="DL778" s="909"/>
      <c r="DM778" s="909"/>
      <c r="DN778" s="909"/>
      <c r="DO778" s="921"/>
      <c r="DP778" s="5"/>
      <c r="DQ778" s="5"/>
      <c r="DR778" s="921">
        <f t="shared" si="326"/>
        <v>0</v>
      </c>
      <c r="DS778" s="1004">
        <f>SUMIFS('Safety parameters'!$DM$6:$DM$18,'Safety parameters'!$DK$6:$DK$18,CZ778,'Safety parameters'!$DL$6:$DL$18,1)+IF(dd_PartSA_2_lines = "Yes",0,SUMIFS('Safety parameters'!$DM$6:$DM$18,'Safety parameters'!$DK$6:$DK$18,DA778,'Safety parameters'!$DL$6:$DL$18,2)+SUMIFS('Safety parameters'!$DM$6:$DM$18,'Safety parameters'!$DK$6:$DK$18,DB778,'Safety parameters'!$DL$6:$DL$18,2))</f>
        <v>0</v>
      </c>
      <c r="DT778" s="910">
        <f>SUMIFS('Safety parameters'!$DO$6:$DO$18,'Safety parameters'!$DK$6:$DK$18,CZ778,'Safety parameters'!$DL$6:$DL$18,1)+IF(dd_PartSA_2_lines = "Yes",0,SUMIFS('Safety parameters'!$DO$6:$DO$18,'Safety parameters'!$DK$6:$DK$18,DA778,'Safety parameters'!$DL$6:$DL$18,2)+SUMIFS('Safety parameters'!$DO$6:$DO$18,'Safety parameters'!$DK$6:$DK$18,DB778,'Safety parameters'!$DL$6:$DL$18,2))</f>
        <v>0</v>
      </c>
    </row>
    <row r="779" spans="100:124" x14ac:dyDescent="0.2">
      <c r="CX779" s="899"/>
      <c r="CY779" s="899"/>
      <c r="CZ779" s="899"/>
      <c r="DA779" s="899"/>
      <c r="DB779" s="899"/>
      <c r="DC779" s="899"/>
      <c r="DD779" s="899"/>
      <c r="DE779" s="899"/>
      <c r="DF779" s="881"/>
      <c r="DG779" s="910"/>
      <c r="DH779" s="881"/>
      <c r="DI779" s="910"/>
      <c r="DJ779" s="909"/>
      <c r="DK779" s="909"/>
      <c r="DL779" s="909"/>
      <c r="DM779" s="909"/>
      <c r="DN779" s="909"/>
      <c r="DO779" s="921"/>
      <c r="DP779" s="5"/>
      <c r="DQ779" s="5"/>
      <c r="DR779" s="921">
        <f t="shared" si="326"/>
        <v>0</v>
      </c>
      <c r="DS779" s="1004">
        <f>SUMIFS('Safety parameters'!$DM$6:$DM$18,'Safety parameters'!$DK$6:$DK$18,CZ779,'Safety parameters'!$DL$6:$DL$18,1)+IF(dd_PartSA_2_lines = "Yes",0,SUMIFS('Safety parameters'!$DM$6:$DM$18,'Safety parameters'!$DK$6:$DK$18,DA779,'Safety parameters'!$DL$6:$DL$18,2)+SUMIFS('Safety parameters'!$DM$6:$DM$18,'Safety parameters'!$DK$6:$DK$18,DB779,'Safety parameters'!$DL$6:$DL$18,2))</f>
        <v>0</v>
      </c>
      <c r="DT779" s="910">
        <f>SUMIFS('Safety parameters'!$DO$6:$DO$18,'Safety parameters'!$DK$6:$DK$18,CZ779,'Safety parameters'!$DL$6:$DL$18,1)+IF(dd_PartSA_2_lines = "Yes",0,SUMIFS('Safety parameters'!$DO$6:$DO$18,'Safety parameters'!$DK$6:$DK$18,DA779,'Safety parameters'!$DL$6:$DL$18,2)+SUMIFS('Safety parameters'!$DO$6:$DO$18,'Safety parameters'!$DK$6:$DK$18,DB779,'Safety parameters'!$DL$6:$DL$18,2))</f>
        <v>0</v>
      </c>
    </row>
  </sheetData>
  <sortState xmlns:xlrd2="http://schemas.microsoft.com/office/spreadsheetml/2017/richdata2" ref="CX10:DF779">
    <sortCondition ref="CX11:CX779"/>
    <sortCondition ref="CY11:CY779"/>
    <sortCondition ref="CZ11:CZ779"/>
    <sortCondition ref="DA11:DA779"/>
    <sortCondition ref="DB11:DB779"/>
  </sortState>
  <mergeCells count="11">
    <mergeCell ref="G48:H48"/>
    <mergeCell ref="AP7:BC7"/>
    <mergeCell ref="BF7:BS7"/>
    <mergeCell ref="G27:G28"/>
    <mergeCell ref="I27:Q27"/>
    <mergeCell ref="I39:M39"/>
    <mergeCell ref="J7:W7"/>
    <mergeCell ref="Z7:AM7"/>
    <mergeCell ref="G11:H11"/>
    <mergeCell ref="G29:H29"/>
    <mergeCell ref="G7:H7"/>
  </mergeCells>
  <phoneticPr fontId="41" type="noConversion"/>
  <conditionalFormatting sqref="BU50:BW63">
    <cfRule type="cellIs" dxfId="89" priority="419" operator="equal">
      <formula>1</formula>
    </cfRule>
  </conditionalFormatting>
  <conditionalFormatting sqref="J133">
    <cfRule type="expression" dxfId="88" priority="214">
      <formula>$G$9&lt;&gt;"RWE"</formula>
    </cfRule>
    <cfRule type="expression" dxfId="87" priority="215">
      <formula>$G$9="RWE"</formula>
    </cfRule>
  </conditionalFormatting>
  <conditionalFormatting sqref="Q133 S133 U133">
    <cfRule type="expression" dxfId="86" priority="206">
      <formula>$G$9&lt;&gt;"RWE"</formula>
    </cfRule>
    <cfRule type="expression" dxfId="85" priority="207">
      <formula>$G$9="RWE"</formula>
    </cfRule>
  </conditionalFormatting>
  <conditionalFormatting sqref="J58">
    <cfRule type="expression" dxfId="84" priority="178">
      <formula>$G$9&lt;&gt;"RWE"</formula>
    </cfRule>
    <cfRule type="expression" dxfId="83" priority="179">
      <formula>$G$9="RWE"</formula>
    </cfRule>
  </conditionalFormatting>
  <conditionalFormatting sqref="Q58 S58 U58">
    <cfRule type="expression" dxfId="82" priority="170">
      <formula>$G$9&lt;&gt;"RWE"</formula>
    </cfRule>
    <cfRule type="expression" dxfId="81" priority="171">
      <formula>$G$9="RWE"</formula>
    </cfRule>
  </conditionalFormatting>
  <conditionalFormatting sqref="W58">
    <cfRule type="expression" dxfId="80" priority="172">
      <formula>$G$9&lt;&gt;"RWE"</formula>
    </cfRule>
    <cfRule type="expression" dxfId="79" priority="173">
      <formula>$G$9="RWE"</formula>
    </cfRule>
  </conditionalFormatting>
  <conditionalFormatting sqref="J126">
    <cfRule type="expression" dxfId="78" priority="88">
      <formula>$G$9="RWE"</formula>
    </cfRule>
    <cfRule type="expression" dxfId="77" priority="89">
      <formula>$G$9="trial data"</formula>
    </cfRule>
  </conditionalFormatting>
  <conditionalFormatting sqref="J128:J131">
    <cfRule type="expression" dxfId="76" priority="96">
      <formula>$G$9&lt;&gt;"RWE"</formula>
    </cfRule>
    <cfRule type="expression" dxfId="75" priority="97">
      <formula>$G$9="RWE"</formula>
    </cfRule>
  </conditionalFormatting>
  <conditionalFormatting sqref="J132">
    <cfRule type="expression" dxfId="74" priority="84">
      <formula>$G$9="RWE"</formula>
    </cfRule>
    <cfRule type="expression" dxfId="73" priority="85">
      <formula>$G$9="trial data"</formula>
    </cfRule>
  </conditionalFormatting>
  <conditionalFormatting sqref="O127:R127 U127 P128:R128 P129:S130 U130:U131 R131:S131">
    <cfRule type="expression" dxfId="72" priority="94">
      <formula>$G$9&lt;&gt;"RWE"</formula>
    </cfRule>
    <cfRule type="expression" dxfId="71" priority="95">
      <formula>$G$9="RWE"</formula>
    </cfRule>
  </conditionalFormatting>
  <conditionalFormatting sqref="O132:S132 U132">
    <cfRule type="expression" dxfId="70" priority="86">
      <formula>$G$9="RWE"</formula>
    </cfRule>
    <cfRule type="expression" dxfId="69" priority="87">
      <formula>$G$9="trial data"</formula>
    </cfRule>
  </conditionalFormatting>
  <conditionalFormatting sqref="P126:Q126 S126 W126">
    <cfRule type="expression" dxfId="68" priority="90">
      <formula>$G$9="RWE"</formula>
    </cfRule>
    <cfRule type="expression" dxfId="67" priority="91">
      <formula>$G$9="trial data"</formula>
    </cfRule>
  </conditionalFormatting>
  <conditionalFormatting sqref="J51">
    <cfRule type="expression" dxfId="66" priority="74">
      <formula>$G$9="RWE"</formula>
    </cfRule>
    <cfRule type="expression" dxfId="65" priority="75">
      <formula>$G$9="trial data"</formula>
    </cfRule>
  </conditionalFormatting>
  <conditionalFormatting sqref="J53:J56">
    <cfRule type="expression" dxfId="64" priority="82">
      <formula>$G$9&lt;&gt;"RWE"</formula>
    </cfRule>
    <cfRule type="expression" dxfId="63" priority="83">
      <formula>$G$9="RWE"</formula>
    </cfRule>
  </conditionalFormatting>
  <conditionalFormatting sqref="J57">
    <cfRule type="expression" dxfId="62" priority="70">
      <formula>$G$9="RWE"</formula>
    </cfRule>
    <cfRule type="expression" dxfId="61" priority="71">
      <formula>$G$9="trial data"</formula>
    </cfRule>
  </conditionalFormatting>
  <conditionalFormatting sqref="O52:R52 U52 P53:R53 P54:S55 U55:U56 R56:S56">
    <cfRule type="expression" dxfId="60" priority="80">
      <formula>$G$9&lt;&gt;"RWE"</formula>
    </cfRule>
    <cfRule type="expression" dxfId="59" priority="81">
      <formula>$G$9="RWE"</formula>
    </cfRule>
  </conditionalFormatting>
  <conditionalFormatting sqref="O51:U51 W51">
    <cfRule type="expression" dxfId="58" priority="76">
      <formula>$G$9="RWE"</formula>
    </cfRule>
    <cfRule type="expression" dxfId="57" priority="77">
      <formula>$G$9="trial data"</formula>
    </cfRule>
  </conditionalFormatting>
  <conditionalFormatting sqref="O57:U57 W57">
    <cfRule type="expression" dxfId="56" priority="72">
      <formula>$G$9="RWE"</formula>
    </cfRule>
    <cfRule type="expression" dxfId="55" priority="73">
      <formula>$G$9="trial data"</formula>
    </cfRule>
  </conditionalFormatting>
  <conditionalFormatting sqref="W52:W56">
    <cfRule type="expression" dxfId="54" priority="78">
      <formula>$G$9&lt;&gt;"RWE"</formula>
    </cfRule>
    <cfRule type="expression" dxfId="53" priority="79">
      <formula>$G$9="RWE"</formula>
    </cfRule>
  </conditionalFormatting>
  <conditionalFormatting sqref="J81:J92">
    <cfRule type="expression" dxfId="52" priority="68">
      <formula>$G$9="RWE"</formula>
    </cfRule>
    <cfRule type="expression" dxfId="51" priority="69">
      <formula>$G$9="trial data"</formula>
    </cfRule>
  </conditionalFormatting>
  <conditionalFormatting sqref="O81:O92">
    <cfRule type="expression" dxfId="50" priority="66">
      <formula>$G$9="RWE"</formula>
    </cfRule>
    <cfRule type="expression" dxfId="49" priority="67">
      <formula>$G$9="trial data"</formula>
    </cfRule>
  </conditionalFormatting>
  <conditionalFormatting sqref="Q81:S92">
    <cfRule type="expression" dxfId="48" priority="62">
      <formula>$G$9="RWE"</formula>
    </cfRule>
    <cfRule type="expression" dxfId="47" priority="63">
      <formula>$G$9="trial data"</formula>
    </cfRule>
  </conditionalFormatting>
  <conditionalFormatting sqref="U81:U92">
    <cfRule type="expression" dxfId="46" priority="64">
      <formula>$G$9="RWE"</formula>
    </cfRule>
    <cfRule type="expression" dxfId="45" priority="65">
      <formula>$G$9="trial data"</formula>
    </cfRule>
  </conditionalFormatting>
  <conditionalFormatting sqref="W132">
    <cfRule type="expression" dxfId="44" priority="40">
      <formula>$G$9="RWE"</formula>
    </cfRule>
    <cfRule type="expression" dxfId="43" priority="41">
      <formula>$G$9="trial data"</formula>
    </cfRule>
  </conditionalFormatting>
  <conditionalFormatting sqref="W127:W131">
    <cfRule type="expression" dxfId="42" priority="44">
      <formula>$G$9&lt;&gt;"RWE"</formula>
    </cfRule>
    <cfRule type="expression" dxfId="41" priority="45">
      <formula>$G$9="RWE"</formula>
    </cfRule>
  </conditionalFormatting>
  <conditionalFormatting sqref="W133:W138">
    <cfRule type="expression" dxfId="40" priority="42">
      <formula>$G$9&lt;&gt;"RWE"</formula>
    </cfRule>
    <cfRule type="expression" dxfId="39" priority="43">
      <formula>$G$9="RWE"</formula>
    </cfRule>
  </conditionalFormatting>
  <conditionalFormatting sqref="Z56 Z58:Z59">
    <cfRule type="expression" dxfId="38" priority="38">
      <formula>$G$9&lt;&gt;"RWE"</formula>
    </cfRule>
    <cfRule type="expression" dxfId="37" priority="39">
      <formula>$G$9="RWE"</formula>
    </cfRule>
  </conditionalFormatting>
  <conditionalFormatting sqref="Z57">
    <cfRule type="expression" dxfId="36" priority="34">
      <formula>$G$9="RWE"</formula>
    </cfRule>
    <cfRule type="expression" dxfId="35" priority="35">
      <formula>$G$9="trial data"</formula>
    </cfRule>
  </conditionalFormatting>
  <conditionalFormatting sqref="Z61">
    <cfRule type="expression" dxfId="34" priority="36">
      <formula>$G$9&lt;&gt;"RWE"</formula>
    </cfRule>
    <cfRule type="expression" dxfId="33" priority="37">
      <formula>$G$9="RWE"</formula>
    </cfRule>
  </conditionalFormatting>
  <conditionalFormatting sqref="AE57:AK57">
    <cfRule type="expression" dxfId="32" priority="28">
      <formula>$G$9="RWE"</formula>
    </cfRule>
    <cfRule type="expression" dxfId="31" priority="29">
      <formula>$G$9="trial data"</formula>
    </cfRule>
  </conditionalFormatting>
  <conditionalFormatting sqref="AG55:AI55">
    <cfRule type="expression" dxfId="30" priority="30">
      <formula>$G$9&lt;&gt;"RWE"</formula>
    </cfRule>
  </conditionalFormatting>
  <conditionalFormatting sqref="AH56 AJ56:AK56 AF58 AI58:AK58 AE59 AH59">
    <cfRule type="expression" dxfId="29" priority="31">
      <formula>$G$9&lt;&gt;"RWE"</formula>
    </cfRule>
  </conditionalFormatting>
  <conditionalFormatting sqref="AH61">
    <cfRule type="expression" dxfId="28" priority="32">
      <formula>$G$9&lt;&gt;"RWE"</formula>
    </cfRule>
    <cfRule type="expression" dxfId="27" priority="33">
      <formula>$G$9="RWE"</formula>
    </cfRule>
  </conditionalFormatting>
  <conditionalFormatting sqref="AG50:AK50">
    <cfRule type="expression" dxfId="26" priority="27">
      <formula>$G$9&lt;&gt;"RWE"</formula>
    </cfRule>
  </conditionalFormatting>
  <conditionalFormatting sqref="AM57">
    <cfRule type="expression" dxfId="25" priority="22">
      <formula>$G$9="RWE"</formula>
    </cfRule>
    <cfRule type="expression" dxfId="24" priority="23">
      <formula>$G$9="trial data"</formula>
    </cfRule>
  </conditionalFormatting>
  <conditionalFormatting sqref="AM50">
    <cfRule type="expression" dxfId="23" priority="24">
      <formula>$G$9&lt;&gt;"RWE"</formula>
    </cfRule>
  </conditionalFormatting>
  <conditionalFormatting sqref="AM55:AM56 AM58:AM59">
    <cfRule type="expression" dxfId="22" priority="26">
      <formula>$G$9&lt;&gt;"RWE"</formula>
    </cfRule>
  </conditionalFormatting>
  <conditionalFormatting sqref="AM61">
    <cfRule type="expression" dxfId="21" priority="25">
      <formula>$G$9&lt;&gt;"RWE"</formula>
    </cfRule>
  </conditionalFormatting>
  <conditionalFormatting sqref="Z81:Z92">
    <cfRule type="expression" dxfId="20" priority="20">
      <formula>$G$9="RWE"</formula>
    </cfRule>
    <cfRule type="expression" dxfId="19" priority="21">
      <formula>$G$9="trial data"</formula>
    </cfRule>
  </conditionalFormatting>
  <conditionalFormatting sqref="AE81:AK92">
    <cfRule type="expression" dxfId="18" priority="18">
      <formula>$G$9="RWE"</formula>
    </cfRule>
    <cfRule type="expression" dxfId="17" priority="19">
      <formula>$G$9="trial data"</formula>
    </cfRule>
  </conditionalFormatting>
  <conditionalFormatting sqref="AP81:AP92">
    <cfRule type="expression" dxfId="16" priority="14">
      <formula>$G$9="RWE"</formula>
    </cfRule>
    <cfRule type="expression" dxfId="15" priority="15">
      <formula>$G$9="trial data"</formula>
    </cfRule>
  </conditionalFormatting>
  <conditionalFormatting sqref="AU81:BA92">
    <cfRule type="expression" dxfId="14" priority="16">
      <formula>$G$9="RWE"</formula>
    </cfRule>
    <cfRule type="expression" dxfId="13" priority="17">
      <formula>$G$9="trial data"</formula>
    </cfRule>
  </conditionalFormatting>
  <conditionalFormatting sqref="AP55:AP57">
    <cfRule type="expression" dxfId="12" priority="6">
      <formula>$G$9="RWE"</formula>
    </cfRule>
    <cfRule type="expression" dxfId="11" priority="7">
      <formula>$G$9="trial data"</formula>
    </cfRule>
  </conditionalFormatting>
  <conditionalFormatting sqref="AU55:BA57">
    <cfRule type="expression" dxfId="10" priority="8">
      <formula>$G$9="RWE"</formula>
    </cfRule>
    <cfRule type="expression" dxfId="9" priority="9">
      <formula>$G$9="trial data"</formula>
    </cfRule>
  </conditionalFormatting>
  <conditionalFormatting sqref="AZ58">
    <cfRule type="expression" dxfId="8" priority="11">
      <formula>$G$9&lt;&gt;"RWE"</formula>
    </cfRule>
  </conditionalFormatting>
  <conditionalFormatting sqref="AZ61">
    <cfRule type="expression" dxfId="7" priority="10">
      <formula>$G$9&lt;&gt;"RWE"</formula>
    </cfRule>
  </conditionalFormatting>
  <conditionalFormatting sqref="BA50">
    <cfRule type="expression" dxfId="6" priority="13">
      <formula>$G$9&lt;&gt;"RWE"</formula>
    </cfRule>
  </conditionalFormatting>
  <conditionalFormatting sqref="BA58:BA59">
    <cfRule type="expression" dxfId="5" priority="12">
      <formula>$G$9&lt;&gt;"RWE"</formula>
    </cfRule>
  </conditionalFormatting>
  <conditionalFormatting sqref="BC55:BC57">
    <cfRule type="expression" dxfId="4" priority="1">
      <formula>$G$9="RWE"</formula>
    </cfRule>
    <cfRule type="expression" dxfId="3" priority="2">
      <formula>$G$9="trial data"</formula>
    </cfRule>
  </conditionalFormatting>
  <conditionalFormatting sqref="BC50">
    <cfRule type="expression" dxfId="2" priority="4">
      <formula>$G$9&lt;&gt;"RWE"</formula>
    </cfRule>
  </conditionalFormatting>
  <conditionalFormatting sqref="BC58:BC59">
    <cfRule type="expression" dxfId="1" priority="5">
      <formula>$G$9&lt;&gt;"RWE"</formula>
    </cfRule>
  </conditionalFormatting>
  <conditionalFormatting sqref="BC61">
    <cfRule type="expression" dxfId="0" priority="3">
      <formula>$G$9&lt;&gt;"RWE"</formula>
    </cfRule>
  </conditionalFormatting>
  <dataValidations count="1">
    <dataValidation type="list" allowBlank="1" showInputMessage="1" showErrorMessage="1" sqref="G9" xr:uid="{7D53AEE3-FAD5-4AA4-BB01-FB759D3845AC}">
      <formula1>source_pc</formula1>
    </dataValidation>
  </dataValidations>
  <hyperlinks>
    <hyperlink ref="D2" location="'Navigation control'!A1" display="Navigation control" xr:uid="{06F193BB-D3E8-4D4D-B737-62FA9A8A376E}"/>
  </hyperlinks>
  <pageMargins left="0.7" right="0.7" top="0.75" bottom="0.75" header="0.511811023622047" footer="0.511811023622047"/>
  <pageSetup orientation="portrait" horizontalDpi="300" verticalDpi="3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5F99CA"/>
  </sheetPr>
  <dimension ref="B1:BO389"/>
  <sheetViews>
    <sheetView showGridLines="0" topLeftCell="O1" zoomScale="80" zoomScaleNormal="80" workbookViewId="0">
      <pane ySplit="8" topLeftCell="A9" activePane="bottomLeft" state="frozen"/>
      <selection pane="bottomLeft" activeCell="AP9" sqref="AP9"/>
    </sheetView>
  </sheetViews>
  <sheetFormatPr defaultColWidth="8.7109375" defaultRowHeight="15" x14ac:dyDescent="0.2"/>
  <cols>
    <col min="1" max="2" width="8.7109375" style="6"/>
    <col min="3" max="3" width="8.7109375" style="16"/>
    <col min="4" max="4" width="10.5703125" style="6" bestFit="1" customWidth="1"/>
    <col min="5" max="5" width="10.42578125" style="6" customWidth="1"/>
    <col min="6" max="6" width="12" style="6" customWidth="1"/>
    <col min="7" max="7" width="12.28515625" style="6" customWidth="1"/>
    <col min="8" max="8" width="10.7109375" style="6" customWidth="1"/>
    <col min="9" max="9" width="8.7109375" style="6"/>
    <col min="10" max="10" width="25.85546875" style="6" customWidth="1"/>
    <col min="11" max="11" width="10" style="6" customWidth="1"/>
    <col min="12" max="12" width="8.7109375" style="6"/>
    <col min="13" max="13" width="6" style="6" customWidth="1"/>
    <col min="14" max="15" width="8.7109375" style="6"/>
    <col min="16" max="16" width="7.28515625" style="6" customWidth="1"/>
    <col min="17" max="17" width="8.7109375" style="6" bestFit="1" customWidth="1"/>
    <col min="18" max="18" width="8.7109375" style="6"/>
    <col min="19" max="19" width="6.42578125" style="6" customWidth="1"/>
    <col min="20" max="20" width="10.42578125" style="6" bestFit="1" customWidth="1"/>
    <col min="21" max="21" width="8.7109375" style="6"/>
    <col min="22" max="22" width="7.5703125" style="6" customWidth="1"/>
    <col min="23" max="23" width="11.7109375" style="6" customWidth="1"/>
    <col min="24" max="24" width="10.5703125" style="6" customWidth="1"/>
    <col min="25" max="35" width="8.7109375" style="6"/>
    <col min="36" max="36" width="14.7109375" style="6" customWidth="1"/>
    <col min="37" max="43" width="8.7109375" style="6"/>
    <col min="44" max="44" width="11" style="6" bestFit="1" customWidth="1"/>
    <col min="45" max="52" width="8.7109375" style="6"/>
    <col min="53" max="53" width="55.5703125" style="6" bestFit="1" customWidth="1"/>
    <col min="54" max="54" width="32.7109375" style="6" bestFit="1" customWidth="1"/>
    <col min="55" max="55" width="15.5703125" style="6" customWidth="1"/>
    <col min="56" max="56" width="17.42578125" style="6" customWidth="1"/>
    <col min="57" max="57" width="34" style="6" bestFit="1" customWidth="1"/>
    <col min="58" max="58" width="14.28515625" style="6" bestFit="1" customWidth="1"/>
    <col min="59" max="59" width="12.5703125" style="6" bestFit="1" customWidth="1"/>
    <col min="60" max="60" width="17.42578125" style="6" bestFit="1" customWidth="1"/>
    <col min="61" max="61" width="17.5703125" style="6" bestFit="1" customWidth="1"/>
    <col min="62" max="64" width="17.5703125" style="6" customWidth="1"/>
    <col min="65" max="65" width="17.42578125" style="6" bestFit="1" customWidth="1"/>
    <col min="66" max="16384" width="8.7109375" style="6"/>
  </cols>
  <sheetData>
    <row r="1" spans="2:67" s="37" customFormat="1" x14ac:dyDescent="0.2"/>
    <row r="2" spans="2:67" s="41" customFormat="1" ht="18" x14ac:dyDescent="0.25">
      <c r="B2" s="38"/>
      <c r="C2" s="39"/>
      <c r="D2" s="40" t="s">
        <v>11</v>
      </c>
      <c r="E2" s="39"/>
      <c r="F2" s="39"/>
      <c r="G2" s="38"/>
      <c r="H2" s="39"/>
      <c r="I2" s="39"/>
      <c r="J2" s="38"/>
      <c r="K2" s="39"/>
      <c r="L2" s="39"/>
      <c r="M2" s="38"/>
      <c r="N2" s="39"/>
      <c r="O2" s="38"/>
      <c r="P2" s="38"/>
      <c r="Q2" s="39"/>
      <c r="R2" s="39"/>
      <c r="S2" s="38"/>
      <c r="T2" s="39"/>
    </row>
    <row r="3" spans="2:67" s="41" customFormat="1" ht="15.75" x14ac:dyDescent="0.25"/>
    <row r="4" spans="2:67" s="21" customFormat="1" ht="15.75" x14ac:dyDescent="0.25"/>
    <row r="5" spans="2:67" s="21" customFormat="1" ht="15.75" x14ac:dyDescent="0.25">
      <c r="D5" s="12" t="s">
        <v>23</v>
      </c>
    </row>
    <row r="6" spans="2:67" ht="16.5" thickBot="1" x14ac:dyDescent="0.3">
      <c r="K6" s="1496" t="s">
        <v>151</v>
      </c>
      <c r="L6" s="1496"/>
      <c r="N6" s="1496" t="s">
        <v>152</v>
      </c>
      <c r="O6" s="1496"/>
      <c r="Q6" s="1496" t="s">
        <v>153</v>
      </c>
      <c r="R6" s="1496"/>
      <c r="T6" s="1496" t="s">
        <v>154</v>
      </c>
      <c r="U6" s="1496"/>
      <c r="W6" s="1496" t="s">
        <v>807</v>
      </c>
      <c r="X6" s="1496"/>
    </row>
    <row r="7" spans="2:67" x14ac:dyDescent="0.2">
      <c r="BE7" s="1733" t="s">
        <v>23</v>
      </c>
      <c r="BF7" s="1734"/>
      <c r="BG7" s="1734"/>
      <c r="BH7" s="1734"/>
      <c r="BI7" s="1734"/>
      <c r="BJ7" s="1734"/>
      <c r="BK7" s="1734"/>
      <c r="BL7" s="1734"/>
      <c r="BM7" s="1735"/>
    </row>
    <row r="8" spans="2:67" ht="15.75" x14ac:dyDescent="0.25">
      <c r="D8" s="12"/>
      <c r="K8" s="1" t="s">
        <v>158</v>
      </c>
      <c r="L8" s="406" t="s">
        <v>161</v>
      </c>
      <c r="N8" s="1" t="s">
        <v>158</v>
      </c>
      <c r="O8" s="407" t="s">
        <v>161</v>
      </c>
      <c r="Q8" s="1" t="s">
        <v>158</v>
      </c>
      <c r="R8" s="407" t="s">
        <v>161</v>
      </c>
      <c r="T8" s="1" t="s">
        <v>158</v>
      </c>
      <c r="U8" s="407" t="s">
        <v>161</v>
      </c>
      <c r="W8" s="1" t="s">
        <v>158</v>
      </c>
      <c r="X8" s="407" t="s">
        <v>161</v>
      </c>
      <c r="AA8" s="6" t="s">
        <v>162</v>
      </c>
      <c r="BA8" s="17" t="s">
        <v>30</v>
      </c>
      <c r="BB8" s="17" t="s">
        <v>139</v>
      </c>
      <c r="BC8" s="17" t="s">
        <v>129</v>
      </c>
      <c r="BD8" s="17" t="s">
        <v>202</v>
      </c>
      <c r="BE8" s="17" t="s">
        <v>140</v>
      </c>
      <c r="BF8" s="17" t="s">
        <v>808</v>
      </c>
      <c r="BG8" s="17" t="s">
        <v>809</v>
      </c>
      <c r="BH8" s="17" t="s">
        <v>810</v>
      </c>
      <c r="BI8" s="17" t="s">
        <v>811</v>
      </c>
      <c r="BJ8" s="17" t="s">
        <v>812</v>
      </c>
      <c r="BK8" s="17" t="s">
        <v>813</v>
      </c>
      <c r="BL8" s="17" t="s">
        <v>814</v>
      </c>
      <c r="BM8" s="17" t="s">
        <v>815</v>
      </c>
      <c r="BO8" s="6" t="s">
        <v>162</v>
      </c>
    </row>
    <row r="9" spans="2:67" ht="17.649999999999999" customHeight="1" thickBot="1" x14ac:dyDescent="0.25">
      <c r="C9" s="16">
        <v>1</v>
      </c>
      <c r="AP9" s="954" t="s">
        <v>816</v>
      </c>
      <c r="BA9" s="17">
        <v>0</v>
      </c>
      <c r="BB9" s="17" t="s">
        <v>31</v>
      </c>
      <c r="BC9" s="17">
        <v>1</v>
      </c>
      <c r="BD9" s="17">
        <v>0</v>
      </c>
      <c r="BE9" s="17" t="str" cm="1">
        <f t="array" ref="BE9:BE22">List_comparators</f>
        <v>nivolumab_monotherapy</v>
      </c>
      <c r="BF9" s="17">
        <f t="shared" ref="BF9:BF21" si="0">K115</f>
        <v>0.753</v>
      </c>
      <c r="BG9" s="17">
        <f>K165</f>
        <v>0.753</v>
      </c>
      <c r="BH9" s="17">
        <f t="shared" ref="BH9:BH21" si="1">K15</f>
        <v>0.753</v>
      </c>
      <c r="BI9" s="17">
        <f t="shared" ref="BI9:BI21" si="2">K65</f>
        <v>0.68300000000000005</v>
      </c>
      <c r="BJ9" s="17">
        <f>L115</f>
        <v>7.5300000000000006E-2</v>
      </c>
      <c r="BK9" s="17">
        <f>L165</f>
        <v>7.5300000000000006E-2</v>
      </c>
      <c r="BL9" s="415">
        <f t="shared" ref="BL9:BL21" si="3">L15</f>
        <v>7.5300000000000006E-2</v>
      </c>
      <c r="BM9" s="415">
        <f t="shared" ref="BM9:BM21" si="4">L65</f>
        <v>6.8300000000000013E-2</v>
      </c>
    </row>
    <row r="10" spans="2:67" ht="15" customHeight="1" x14ac:dyDescent="0.25">
      <c r="C10" s="16">
        <v>2</v>
      </c>
      <c r="G10" s="15" t="s">
        <v>817</v>
      </c>
      <c r="H10" s="1729" t="s">
        <v>103</v>
      </c>
      <c r="I10" s="1729"/>
      <c r="J10" s="1729"/>
      <c r="N10" s="59" t="s">
        <v>818</v>
      </c>
      <c r="Q10" s="1729" t="s">
        <v>819</v>
      </c>
      <c r="R10" s="1729"/>
      <c r="S10" s="1729"/>
      <c r="AP10" s="432"/>
      <c r="AQ10" s="433"/>
      <c r="AR10" s="434" t="s">
        <v>820</v>
      </c>
      <c r="AS10" s="433"/>
      <c r="AT10" s="433"/>
      <c r="AU10" s="433"/>
      <c r="AV10" s="433"/>
      <c r="AW10" s="435"/>
      <c r="BA10" s="17">
        <v>0</v>
      </c>
      <c r="BB10" s="17" t="s">
        <v>31</v>
      </c>
      <c r="BC10" s="17">
        <v>1</v>
      </c>
      <c r="BD10" s="17">
        <v>1</v>
      </c>
      <c r="BE10" s="17" t="str">
        <v>cabozantinib_plus_nivolumab</v>
      </c>
      <c r="BF10" s="17">
        <f t="shared" si="0"/>
        <v>0.753</v>
      </c>
      <c r="BG10" s="17">
        <f t="shared" ref="BG10:BG21" si="5">K166</f>
        <v>0.753</v>
      </c>
      <c r="BH10" s="17">
        <f t="shared" si="1"/>
        <v>0.753</v>
      </c>
      <c r="BI10" s="17">
        <f t="shared" si="2"/>
        <v>0.68300000000000005</v>
      </c>
      <c r="BJ10" s="17">
        <f t="shared" ref="BJ10:BJ21" si="6">L116</f>
        <v>7.5300000000000006E-2</v>
      </c>
      <c r="BK10" s="17">
        <f t="shared" ref="BK10:BK21" si="7">L166</f>
        <v>7.5300000000000006E-2</v>
      </c>
      <c r="BL10" s="416">
        <f t="shared" si="3"/>
        <v>7.5300000000000006E-2</v>
      </c>
      <c r="BM10" s="416">
        <f t="shared" si="4"/>
        <v>6.8300000000000013E-2</v>
      </c>
    </row>
    <row r="11" spans="2:67" x14ac:dyDescent="0.2">
      <c r="H11" s="420">
        <f>MATCH(dd_util_scenarios,List_sc_util,0)</f>
        <v>6</v>
      </c>
      <c r="Q11" s="420">
        <f>MATCH(dd_BSC_util_scenarios,List_BSC_util_options,0)</f>
        <v>2</v>
      </c>
      <c r="R11" s="274" t="s">
        <v>821</v>
      </c>
      <c r="AP11" s="436"/>
      <c r="AR11" s="6" t="s">
        <v>822</v>
      </c>
      <c r="AW11" s="437"/>
      <c r="BA11" s="17">
        <v>0</v>
      </c>
      <c r="BB11" s="17" t="s">
        <v>31</v>
      </c>
      <c r="BC11" s="17">
        <v>1</v>
      </c>
      <c r="BD11" s="17">
        <v>2</v>
      </c>
      <c r="BE11" s="17" t="str">
        <v>nivolumab_plus_ipilimumab</v>
      </c>
      <c r="BF11" s="17">
        <f t="shared" si="0"/>
        <v>0.753</v>
      </c>
      <c r="BG11" s="17">
        <f t="shared" si="5"/>
        <v>0.753</v>
      </c>
      <c r="BH11" s="17">
        <f t="shared" si="1"/>
        <v>0.753</v>
      </c>
      <c r="BI11" s="17">
        <f t="shared" si="2"/>
        <v>0.68300000000000005</v>
      </c>
      <c r="BJ11" s="17">
        <f t="shared" si="6"/>
        <v>7.5300000000000006E-2</v>
      </c>
      <c r="BK11" s="17">
        <f t="shared" si="7"/>
        <v>7.5300000000000006E-2</v>
      </c>
      <c r="BL11" s="416">
        <f t="shared" si="3"/>
        <v>7.5300000000000006E-2</v>
      </c>
      <c r="BM11" s="416">
        <f t="shared" si="4"/>
        <v>6.8300000000000013E-2</v>
      </c>
    </row>
    <row r="12" spans="2:67" ht="16.5" thickBot="1" x14ac:dyDescent="0.3">
      <c r="C12" s="16">
        <v>3</v>
      </c>
      <c r="D12" s="52" t="s">
        <v>823</v>
      </c>
      <c r="E12" s="22"/>
      <c r="F12" s="22"/>
      <c r="G12" s="22"/>
      <c r="H12" s="22"/>
      <c r="I12" s="22"/>
      <c r="J12" s="22"/>
      <c r="K12" s="22"/>
      <c r="L12" s="22"/>
      <c r="M12" s="22"/>
      <c r="N12" s="22"/>
      <c r="O12" s="22"/>
      <c r="P12" s="22"/>
      <c r="Q12" s="22"/>
      <c r="R12" s="22"/>
      <c r="S12" s="22"/>
      <c r="T12" s="22"/>
      <c r="U12" s="22"/>
      <c r="V12" s="22"/>
      <c r="W12" s="22"/>
      <c r="X12" s="22"/>
      <c r="AP12" s="436"/>
      <c r="AS12" s="6" t="s">
        <v>616</v>
      </c>
      <c r="AT12" s="6" t="s">
        <v>824</v>
      </c>
      <c r="AW12" s="437"/>
      <c r="BA12" s="17">
        <v>0</v>
      </c>
      <c r="BB12" s="17" t="s">
        <v>31</v>
      </c>
      <c r="BC12" s="17">
        <v>1</v>
      </c>
      <c r="BD12" s="17">
        <v>3</v>
      </c>
      <c r="BE12" s="17" t="str">
        <v>lenvatinib_plus_pembrolizumab</v>
      </c>
      <c r="BF12" s="17">
        <f t="shared" si="0"/>
        <v>0.753</v>
      </c>
      <c r="BG12" s="17">
        <f t="shared" si="5"/>
        <v>0.753</v>
      </c>
      <c r="BH12" s="17">
        <f t="shared" si="1"/>
        <v>0.753</v>
      </c>
      <c r="BI12" s="17">
        <f t="shared" si="2"/>
        <v>0.68300000000000005</v>
      </c>
      <c r="BJ12" s="17">
        <f t="shared" si="6"/>
        <v>7.5300000000000006E-2</v>
      </c>
      <c r="BK12" s="17">
        <f t="shared" si="7"/>
        <v>7.5300000000000006E-2</v>
      </c>
      <c r="BL12" s="416">
        <f t="shared" si="3"/>
        <v>7.5300000000000006E-2</v>
      </c>
      <c r="BM12" s="416">
        <f t="shared" si="4"/>
        <v>6.8300000000000013E-2</v>
      </c>
      <c r="BO12" s="12" t="str">
        <f>AA14 &amp; " PFS"</f>
        <v>Mean utility PFS</v>
      </c>
    </row>
    <row r="13" spans="2:67" ht="15.75" x14ac:dyDescent="0.25">
      <c r="D13" s="12"/>
      <c r="AP13" s="436"/>
      <c r="AR13" s="6" t="s">
        <v>825</v>
      </c>
      <c r="AS13" s="1444">
        <v>0.8</v>
      </c>
      <c r="AT13" s="1444">
        <v>0.7</v>
      </c>
      <c r="AW13" s="437"/>
      <c r="BA13" s="17">
        <v>0</v>
      </c>
      <c r="BB13" s="17" t="s">
        <v>31</v>
      </c>
      <c r="BC13" s="17">
        <v>1</v>
      </c>
      <c r="BD13" s="17">
        <v>4</v>
      </c>
      <c r="BE13" s="17" t="str">
        <v>avelumab_plus_axitinib</v>
      </c>
      <c r="BF13" s="17">
        <f t="shared" si="0"/>
        <v>0.753</v>
      </c>
      <c r="BG13" s="17">
        <f t="shared" si="5"/>
        <v>0.753</v>
      </c>
      <c r="BH13" s="17">
        <f t="shared" si="1"/>
        <v>0.753</v>
      </c>
      <c r="BI13" s="17">
        <f t="shared" si="2"/>
        <v>0.68300000000000005</v>
      </c>
      <c r="BJ13" s="17">
        <f t="shared" si="6"/>
        <v>7.5300000000000006E-2</v>
      </c>
      <c r="BK13" s="17">
        <f t="shared" si="7"/>
        <v>7.5300000000000006E-2</v>
      </c>
      <c r="BL13" s="416">
        <f t="shared" si="3"/>
        <v>7.5300000000000006E-2</v>
      </c>
      <c r="BM13" s="416">
        <f t="shared" si="4"/>
        <v>6.8300000000000013E-2</v>
      </c>
      <c r="BO13" s="6" t="str">
        <f>AA15</f>
        <v>First line: JAVELIN Renal 101(TA645)</v>
      </c>
    </row>
    <row r="14" spans="2:67" ht="15.75" x14ac:dyDescent="0.25">
      <c r="D14" s="70" t="str">
        <f t="array" ref="D14">INDEX(Lists!$D$11:$D$13,$C$9)</f>
        <v>All</v>
      </c>
      <c r="H14" s="1497"/>
      <c r="I14" s="1497"/>
      <c r="J14" s="1497"/>
      <c r="AA14" s="59" t="s">
        <v>826</v>
      </c>
      <c r="AP14" s="436"/>
      <c r="AR14" s="6" t="s">
        <v>827</v>
      </c>
      <c r="AS14" s="1444">
        <v>0.8</v>
      </c>
      <c r="AT14" s="1444">
        <v>0.7</v>
      </c>
      <c r="AW14" s="437"/>
      <c r="BA14" s="17">
        <v>0</v>
      </c>
      <c r="BB14" s="17" t="s">
        <v>31</v>
      </c>
      <c r="BC14" s="17">
        <v>1</v>
      </c>
      <c r="BD14" s="17">
        <v>5</v>
      </c>
      <c r="BE14" s="17" t="str">
        <v>pazopanib</v>
      </c>
      <c r="BF14" s="17">
        <f t="shared" si="0"/>
        <v>0.753</v>
      </c>
      <c r="BG14" s="17">
        <f t="shared" si="5"/>
        <v>0.753</v>
      </c>
      <c r="BH14" s="17">
        <f t="shared" si="1"/>
        <v>0.753</v>
      </c>
      <c r="BI14" s="17">
        <f t="shared" si="2"/>
        <v>0.68300000000000005</v>
      </c>
      <c r="BJ14" s="17">
        <f t="shared" si="6"/>
        <v>7.5300000000000006E-2</v>
      </c>
      <c r="BK14" s="17">
        <f t="shared" si="7"/>
        <v>7.5300000000000006E-2</v>
      </c>
      <c r="BL14" s="416">
        <f t="shared" si="3"/>
        <v>7.5300000000000006E-2</v>
      </c>
      <c r="BM14" s="416">
        <f t="shared" si="4"/>
        <v>6.8300000000000013E-2</v>
      </c>
      <c r="BO14" s="6" t="str">
        <f>AA16</f>
        <v xml:space="preserve">Second line: PFS utility assumed to reflect PD in 1st line. </v>
      </c>
    </row>
    <row r="15" spans="2:67" x14ac:dyDescent="0.2">
      <c r="D15" s="14" t="str" cm="1">
        <f t="array" ref="D15:D28">List_comparators</f>
        <v>nivolumab_monotherapy</v>
      </c>
      <c r="H15" s="1"/>
      <c r="I15" s="1"/>
      <c r="J15" s="1"/>
      <c r="K15" s="410">
        <f t="shared" ref="K15:K27" si="8">IF(OR(i_sc_util_num=1,i_sc_util_num=2,i_sc_util_num=7),$AS$15,0.753)</f>
        <v>0.753</v>
      </c>
      <c r="L15" s="408">
        <f t="shared" ref="L15:L27" si="9">i_SE_util*K15</f>
        <v>7.5300000000000006E-2</v>
      </c>
      <c r="N15" s="410">
        <f t="shared" ref="N15:N27" si="10">IF(i_sc_util_num=2,K65,0.683)</f>
        <v>0.68300000000000005</v>
      </c>
      <c r="O15" s="409">
        <f t="shared" ref="O15:O27" si="11">i_SE_util*N15</f>
        <v>6.8300000000000013E-2</v>
      </c>
      <c r="Q15" s="408">
        <f t="shared" ref="Q15:Q27" si="12">CHOOSE(i_sc_util_num,N65,N65,N65,N65,N65,N65,N65)</f>
        <v>0.61625183016105411</v>
      </c>
      <c r="R15" s="409">
        <f t="shared" ref="R15:R27" si="13">i_SE_util*Q15</f>
        <v>6.1625183016105416E-2</v>
      </c>
      <c r="T15" s="408">
        <f t="shared" ref="T15:T27" si="14">CHOOSE(i_sc_util_num,Q65,N65,N65,Q65,Q65,Q65,Q65)</f>
        <v>0.54480234260614935</v>
      </c>
      <c r="U15" s="409">
        <f t="shared" ref="U15:U27" si="15">i_SE_util*T15</f>
        <v>5.4480234260614935E-2</v>
      </c>
      <c r="AA15" s="274" t="s">
        <v>828</v>
      </c>
      <c r="AP15" s="436"/>
      <c r="AR15" s="6" t="s">
        <v>829</v>
      </c>
      <c r="AS15" s="1444">
        <v>0.8</v>
      </c>
      <c r="AT15" s="1444">
        <v>0.7</v>
      </c>
      <c r="AW15" s="437"/>
      <c r="BA15" s="17">
        <v>0</v>
      </c>
      <c r="BB15" s="17" t="s">
        <v>31</v>
      </c>
      <c r="BC15" s="17">
        <v>1</v>
      </c>
      <c r="BD15" s="17">
        <v>6</v>
      </c>
      <c r="BE15" s="17" t="str">
        <v>tivozanib</v>
      </c>
      <c r="BF15" s="17">
        <f t="shared" si="0"/>
        <v>0.753</v>
      </c>
      <c r="BG15" s="17">
        <f t="shared" si="5"/>
        <v>0.753</v>
      </c>
      <c r="BH15" s="17">
        <f t="shared" si="1"/>
        <v>0.753</v>
      </c>
      <c r="BI15" s="17">
        <f t="shared" si="2"/>
        <v>0.68300000000000005</v>
      </c>
      <c r="BJ15" s="17">
        <f t="shared" si="6"/>
        <v>7.5300000000000006E-2</v>
      </c>
      <c r="BK15" s="17">
        <f t="shared" si="7"/>
        <v>7.5300000000000006E-2</v>
      </c>
      <c r="BL15" s="416">
        <f t="shared" si="3"/>
        <v>7.5300000000000006E-2</v>
      </c>
      <c r="BM15" s="416">
        <f t="shared" si="4"/>
        <v>6.8300000000000013E-2</v>
      </c>
      <c r="BO15" s="6" t="str">
        <f>AA17</f>
        <v>Third and Fourth line: Estimated based on % reduction from the AXIS trial (TA498)</v>
      </c>
    </row>
    <row r="16" spans="2:67" ht="15.75" x14ac:dyDescent="0.25">
      <c r="D16" s="14" t="str">
        <v>cabozantinib_plus_nivolumab</v>
      </c>
      <c r="H16" s="1"/>
      <c r="I16" s="1"/>
      <c r="J16" s="1"/>
      <c r="K16" s="410">
        <f t="shared" si="8"/>
        <v>0.753</v>
      </c>
      <c r="L16" s="408">
        <f t="shared" si="9"/>
        <v>7.5300000000000006E-2</v>
      </c>
      <c r="N16" s="410">
        <f t="shared" si="10"/>
        <v>0.68300000000000005</v>
      </c>
      <c r="O16" s="409">
        <f t="shared" si="11"/>
        <v>6.8300000000000013E-2</v>
      </c>
      <c r="Q16" s="408">
        <f t="shared" si="12"/>
        <v>0.61625183016105411</v>
      </c>
      <c r="R16" s="409">
        <f t="shared" si="13"/>
        <v>6.1625183016105416E-2</v>
      </c>
      <c r="T16" s="408">
        <f t="shared" si="14"/>
        <v>0.54480234260614935</v>
      </c>
      <c r="U16" s="409">
        <f t="shared" si="15"/>
        <v>5.4480234260614935E-2</v>
      </c>
      <c r="AA16" s="6" t="s">
        <v>830</v>
      </c>
      <c r="AP16" s="436"/>
      <c r="AW16" s="437"/>
      <c r="BA16" s="17">
        <v>0</v>
      </c>
      <c r="BB16" s="17" t="s">
        <v>31</v>
      </c>
      <c r="BC16" s="17">
        <v>1</v>
      </c>
      <c r="BD16" s="17">
        <v>7</v>
      </c>
      <c r="BE16" s="17" t="str">
        <v>sunitinib</v>
      </c>
      <c r="BF16" s="17">
        <f t="shared" si="0"/>
        <v>0.753</v>
      </c>
      <c r="BG16" s="17">
        <f t="shared" si="5"/>
        <v>0.753</v>
      </c>
      <c r="BH16" s="17">
        <f t="shared" si="1"/>
        <v>0.753</v>
      </c>
      <c r="BI16" s="17">
        <f t="shared" si="2"/>
        <v>0.68300000000000005</v>
      </c>
      <c r="BJ16" s="17">
        <f t="shared" si="6"/>
        <v>7.5300000000000006E-2</v>
      </c>
      <c r="BK16" s="17">
        <f t="shared" si="7"/>
        <v>7.5300000000000006E-2</v>
      </c>
      <c r="BL16" s="416">
        <f t="shared" si="3"/>
        <v>7.5300000000000006E-2</v>
      </c>
      <c r="BM16" s="416">
        <f t="shared" si="4"/>
        <v>6.8300000000000013E-2</v>
      </c>
      <c r="BO16" s="12" t="str">
        <f>AA18</f>
        <v>SE</v>
      </c>
    </row>
    <row r="17" spans="4:67" x14ac:dyDescent="0.2">
      <c r="D17" s="14" t="str">
        <v>nivolumab_plus_ipilimumab</v>
      </c>
      <c r="H17" s="1"/>
      <c r="I17" s="1"/>
      <c r="J17" s="1"/>
      <c r="K17" s="410">
        <f t="shared" si="8"/>
        <v>0.753</v>
      </c>
      <c r="L17" s="408">
        <f t="shared" si="9"/>
        <v>7.5300000000000006E-2</v>
      </c>
      <c r="N17" s="410">
        <f t="shared" si="10"/>
        <v>0.68300000000000005</v>
      </c>
      <c r="O17" s="409">
        <f t="shared" si="11"/>
        <v>6.8300000000000013E-2</v>
      </c>
      <c r="Q17" s="408">
        <f t="shared" si="12"/>
        <v>0.61625183016105411</v>
      </c>
      <c r="R17" s="409">
        <f t="shared" si="13"/>
        <v>6.1625183016105416E-2</v>
      </c>
      <c r="T17" s="408">
        <f t="shared" si="14"/>
        <v>0.54480234260614935</v>
      </c>
      <c r="U17" s="409">
        <f t="shared" si="15"/>
        <v>5.4480234260614935E-2</v>
      </c>
      <c r="AA17" s="6" t="s">
        <v>831</v>
      </c>
      <c r="AP17" s="436"/>
      <c r="AW17" s="437"/>
      <c r="BA17" s="17">
        <v>0</v>
      </c>
      <c r="BB17" s="17" t="s">
        <v>31</v>
      </c>
      <c r="BC17" s="17">
        <v>1</v>
      </c>
      <c r="BD17" s="17">
        <v>8</v>
      </c>
      <c r="BE17" s="17" t="str">
        <v>cabozantinib</v>
      </c>
      <c r="BF17" s="17">
        <f t="shared" si="0"/>
        <v>0.753</v>
      </c>
      <c r="BG17" s="17">
        <f t="shared" si="5"/>
        <v>0.753</v>
      </c>
      <c r="BH17" s="17">
        <f t="shared" si="1"/>
        <v>0.753</v>
      </c>
      <c r="BI17" s="17">
        <f t="shared" si="2"/>
        <v>0.68300000000000005</v>
      </c>
      <c r="BJ17" s="17">
        <f t="shared" si="6"/>
        <v>7.5300000000000006E-2</v>
      </c>
      <c r="BK17" s="17">
        <f t="shared" si="7"/>
        <v>7.5300000000000006E-2</v>
      </c>
      <c r="BL17" s="416">
        <f t="shared" si="3"/>
        <v>7.5300000000000006E-2</v>
      </c>
      <c r="BM17" s="416">
        <f t="shared" si="4"/>
        <v>6.8300000000000013E-2</v>
      </c>
      <c r="BO17" s="6" t="str">
        <f>AA19</f>
        <v>Assumption</v>
      </c>
    </row>
    <row r="18" spans="4:67" ht="15.75" x14ac:dyDescent="0.25">
      <c r="D18" s="14" t="str">
        <v>lenvatinib_plus_pembrolizumab</v>
      </c>
      <c r="H18" s="1"/>
      <c r="I18" s="1"/>
      <c r="J18" s="1"/>
      <c r="K18" s="410">
        <f t="shared" si="8"/>
        <v>0.753</v>
      </c>
      <c r="L18" s="408">
        <f t="shared" si="9"/>
        <v>7.5300000000000006E-2</v>
      </c>
      <c r="N18" s="410">
        <f t="shared" si="10"/>
        <v>0.68300000000000005</v>
      </c>
      <c r="O18" s="409">
        <f t="shared" si="11"/>
        <v>6.8300000000000013E-2</v>
      </c>
      <c r="Q18" s="408">
        <f t="shared" si="12"/>
        <v>0.61625183016105411</v>
      </c>
      <c r="R18" s="409">
        <f t="shared" si="13"/>
        <v>6.1625183016105416E-2</v>
      </c>
      <c r="T18" s="408">
        <f t="shared" si="14"/>
        <v>0.54480234260614935</v>
      </c>
      <c r="U18" s="409">
        <f t="shared" si="15"/>
        <v>5.4480234260614935E-2</v>
      </c>
      <c r="AA18" s="59" t="s">
        <v>161</v>
      </c>
      <c r="AP18" s="436"/>
      <c r="AW18" s="437"/>
      <c r="BA18" s="17">
        <v>0</v>
      </c>
      <c r="BB18" s="17" t="s">
        <v>31</v>
      </c>
      <c r="BC18" s="17">
        <v>1</v>
      </c>
      <c r="BD18" s="17">
        <v>9</v>
      </c>
      <c r="BE18" s="17" t="str">
        <v>lenvatinib_plus_everolimus</v>
      </c>
      <c r="BF18" s="17">
        <f t="shared" si="0"/>
        <v>0.753</v>
      </c>
      <c r="BG18" s="17">
        <f t="shared" si="5"/>
        <v>0.753</v>
      </c>
      <c r="BH18" s="17">
        <f t="shared" si="1"/>
        <v>0.753</v>
      </c>
      <c r="BI18" s="17">
        <f t="shared" si="2"/>
        <v>0.68300000000000005</v>
      </c>
      <c r="BJ18" s="17">
        <f t="shared" si="6"/>
        <v>7.5300000000000006E-2</v>
      </c>
      <c r="BK18" s="17">
        <f t="shared" si="7"/>
        <v>7.5300000000000006E-2</v>
      </c>
      <c r="BL18" s="416">
        <f t="shared" si="3"/>
        <v>7.5300000000000006E-2</v>
      </c>
      <c r="BM18" s="416">
        <f t="shared" si="4"/>
        <v>6.8300000000000013E-2</v>
      </c>
    </row>
    <row r="19" spans="4:67" ht="15.75" x14ac:dyDescent="0.25">
      <c r="D19" s="14" t="str">
        <v>avelumab_plus_axitinib</v>
      </c>
      <c r="H19" s="1"/>
      <c r="I19" s="1"/>
      <c r="J19" s="1"/>
      <c r="K19" s="410">
        <f t="shared" si="8"/>
        <v>0.753</v>
      </c>
      <c r="L19" s="408">
        <f t="shared" si="9"/>
        <v>7.5300000000000006E-2</v>
      </c>
      <c r="N19" s="410">
        <f t="shared" si="10"/>
        <v>0.68300000000000005</v>
      </c>
      <c r="O19" s="409">
        <f t="shared" si="11"/>
        <v>6.8300000000000013E-2</v>
      </c>
      <c r="Q19" s="408">
        <f t="shared" si="12"/>
        <v>0.61625183016105411</v>
      </c>
      <c r="R19" s="409">
        <f t="shared" si="13"/>
        <v>6.1625183016105416E-2</v>
      </c>
      <c r="T19" s="408">
        <f t="shared" si="14"/>
        <v>0.54480234260614935</v>
      </c>
      <c r="U19" s="409">
        <f t="shared" si="15"/>
        <v>5.4480234260614935E-2</v>
      </c>
      <c r="AA19" s="6" t="s">
        <v>694</v>
      </c>
      <c r="AP19" s="436"/>
      <c r="AR19" s="12" t="s">
        <v>832</v>
      </c>
      <c r="AW19" s="437"/>
      <c r="BA19" s="17">
        <v>0</v>
      </c>
      <c r="BB19" s="17" t="s">
        <v>31</v>
      </c>
      <c r="BC19" s="17">
        <v>1</v>
      </c>
      <c r="BD19" s="17">
        <v>10</v>
      </c>
      <c r="BE19" s="17" t="str">
        <v>everolimus</v>
      </c>
      <c r="BF19" s="17">
        <f t="shared" si="0"/>
        <v>0.753</v>
      </c>
      <c r="BG19" s="17">
        <f t="shared" si="5"/>
        <v>0.753</v>
      </c>
      <c r="BH19" s="17">
        <f t="shared" si="1"/>
        <v>0.753</v>
      </c>
      <c r="BI19" s="17">
        <f t="shared" si="2"/>
        <v>0.68300000000000005</v>
      </c>
      <c r="BJ19" s="17">
        <f t="shared" si="6"/>
        <v>7.5300000000000006E-2</v>
      </c>
      <c r="BK19" s="17">
        <f t="shared" si="7"/>
        <v>7.5300000000000006E-2</v>
      </c>
      <c r="BL19" s="416">
        <f t="shared" si="3"/>
        <v>7.5300000000000006E-2</v>
      </c>
      <c r="BM19" s="416">
        <f t="shared" si="4"/>
        <v>6.8300000000000013E-2</v>
      </c>
      <c r="BO19" s="12" t="str">
        <f>AA64 &amp; " PD"</f>
        <v>Mean utility PD</v>
      </c>
    </row>
    <row r="20" spans="4:67" x14ac:dyDescent="0.2">
      <c r="D20" s="14" t="str">
        <v>pazopanib</v>
      </c>
      <c r="H20" s="1"/>
      <c r="I20" s="1"/>
      <c r="J20" s="1"/>
      <c r="K20" s="410">
        <f t="shared" si="8"/>
        <v>0.753</v>
      </c>
      <c r="L20" s="408">
        <f t="shared" si="9"/>
        <v>7.5300000000000006E-2</v>
      </c>
      <c r="N20" s="410">
        <f t="shared" si="10"/>
        <v>0.68300000000000005</v>
      </c>
      <c r="O20" s="409">
        <f t="shared" si="11"/>
        <v>6.8300000000000013E-2</v>
      </c>
      <c r="Q20" s="408">
        <f t="shared" si="12"/>
        <v>0.61625183016105411</v>
      </c>
      <c r="R20" s="409">
        <f t="shared" si="13"/>
        <v>6.1625183016105416E-2</v>
      </c>
      <c r="T20" s="408">
        <f t="shared" si="14"/>
        <v>0.54480234260614935</v>
      </c>
      <c r="U20" s="409">
        <f t="shared" si="15"/>
        <v>5.4480234260614935E-2</v>
      </c>
      <c r="AP20" s="436"/>
      <c r="AQ20" s="6" t="s">
        <v>153</v>
      </c>
      <c r="AR20" s="6">
        <v>0.61599999999999999</v>
      </c>
      <c r="AS20" s="6">
        <f>AT23</f>
        <v>0.81171303074670564</v>
      </c>
      <c r="AT20" s="431">
        <f>AR20*AS20</f>
        <v>0.50001522693997069</v>
      </c>
      <c r="AW20" s="661">
        <f>0.61/0.683*0.61</f>
        <v>0.54480234260614924</v>
      </c>
      <c r="BA20" s="17">
        <v>0</v>
      </c>
      <c r="BB20" s="17" t="s">
        <v>31</v>
      </c>
      <c r="BC20" s="17">
        <v>1</v>
      </c>
      <c r="BD20" s="17">
        <v>11</v>
      </c>
      <c r="BE20" s="17" t="str">
        <v>axitinib</v>
      </c>
      <c r="BF20" s="17">
        <f t="shared" si="0"/>
        <v>0.753</v>
      </c>
      <c r="BG20" s="17">
        <f t="shared" si="5"/>
        <v>0.753</v>
      </c>
      <c r="BH20" s="17">
        <f t="shared" si="1"/>
        <v>0.753</v>
      </c>
      <c r="BI20" s="17">
        <f t="shared" si="2"/>
        <v>0.68300000000000005</v>
      </c>
      <c r="BJ20" s="17">
        <f t="shared" si="6"/>
        <v>7.5300000000000006E-2</v>
      </c>
      <c r="BK20" s="17">
        <f t="shared" si="7"/>
        <v>7.5300000000000006E-2</v>
      </c>
      <c r="BL20" s="416">
        <f t="shared" si="3"/>
        <v>7.5300000000000006E-2</v>
      </c>
      <c r="BM20" s="416">
        <f t="shared" si="4"/>
        <v>6.8300000000000013E-2</v>
      </c>
      <c r="BO20" s="6" t="str">
        <f>AA65</f>
        <v>First line: JAVELIN Renal 101(TA645)</v>
      </c>
    </row>
    <row r="21" spans="4:67" x14ac:dyDescent="0.2">
      <c r="D21" s="14" t="str">
        <v>tivozanib</v>
      </c>
      <c r="H21" s="1"/>
      <c r="I21" s="1"/>
      <c r="J21" s="1"/>
      <c r="K21" s="410">
        <f t="shared" si="8"/>
        <v>0.753</v>
      </c>
      <c r="L21" s="408">
        <f t="shared" si="9"/>
        <v>7.5300000000000006E-2</v>
      </c>
      <c r="N21" s="410">
        <f t="shared" si="10"/>
        <v>0.68300000000000005</v>
      </c>
      <c r="O21" s="409">
        <f t="shared" si="11"/>
        <v>6.8300000000000013E-2</v>
      </c>
      <c r="Q21" s="408">
        <f t="shared" si="12"/>
        <v>0.61625183016105411</v>
      </c>
      <c r="R21" s="409">
        <f t="shared" si="13"/>
        <v>6.1625183016105416E-2</v>
      </c>
      <c r="T21" s="408">
        <f t="shared" si="14"/>
        <v>0.54480234260614935</v>
      </c>
      <c r="U21" s="409">
        <f t="shared" si="15"/>
        <v>5.4480234260614935E-2</v>
      </c>
      <c r="AE21" s="431"/>
      <c r="AF21" s="431"/>
      <c r="AP21" s="436"/>
      <c r="AQ21" s="6" t="s">
        <v>154</v>
      </c>
      <c r="AR21" s="431">
        <f>AT20</f>
        <v>0.50001522693997069</v>
      </c>
      <c r="AS21" s="6">
        <f>AT24</f>
        <v>0.6493704245973646</v>
      </c>
      <c r="AT21" s="431">
        <f>AR21*AS21</f>
        <v>0.3246951002231564</v>
      </c>
      <c r="AW21" s="437"/>
      <c r="BA21" s="17">
        <v>0</v>
      </c>
      <c r="BB21" s="17" t="s">
        <v>31</v>
      </c>
      <c r="BC21" s="17">
        <v>1</v>
      </c>
      <c r="BD21" s="17">
        <v>12</v>
      </c>
      <c r="BE21" s="17" t="str">
        <v>sorafenib</v>
      </c>
      <c r="BF21" s="17">
        <f t="shared" si="0"/>
        <v>0.753</v>
      </c>
      <c r="BG21" s="17">
        <f t="shared" si="5"/>
        <v>0.753</v>
      </c>
      <c r="BH21" s="17">
        <f t="shared" si="1"/>
        <v>0.753</v>
      </c>
      <c r="BI21" s="17">
        <f t="shared" si="2"/>
        <v>0.68300000000000005</v>
      </c>
      <c r="BJ21" s="17">
        <f t="shared" si="6"/>
        <v>7.5300000000000006E-2</v>
      </c>
      <c r="BK21" s="17">
        <f t="shared" si="7"/>
        <v>7.5300000000000006E-2</v>
      </c>
      <c r="BL21" s="416">
        <f t="shared" si="3"/>
        <v>7.5300000000000006E-2</v>
      </c>
      <c r="BM21" s="416">
        <f t="shared" si="4"/>
        <v>6.8300000000000013E-2</v>
      </c>
      <c r="BO21" s="6" t="str">
        <f>AA66</f>
        <v>Second line: PD value estimated based on % reduction from the AXIS trial (TA498)</v>
      </c>
    </row>
    <row r="22" spans="4:67" ht="15.75" thickBot="1" x14ac:dyDescent="0.25">
      <c r="D22" s="14" t="str">
        <v>sunitinib</v>
      </c>
      <c r="H22" s="1"/>
      <c r="I22" s="1"/>
      <c r="J22" s="1"/>
      <c r="K22" s="410">
        <f t="shared" si="8"/>
        <v>0.753</v>
      </c>
      <c r="L22" s="408">
        <f t="shared" si="9"/>
        <v>7.5300000000000006E-2</v>
      </c>
      <c r="N22" s="410">
        <f t="shared" si="10"/>
        <v>0.68300000000000005</v>
      </c>
      <c r="O22" s="409">
        <f t="shared" si="11"/>
        <v>6.8300000000000013E-2</v>
      </c>
      <c r="Q22" s="408">
        <f t="shared" si="12"/>
        <v>0.61625183016105411</v>
      </c>
      <c r="R22" s="409">
        <f t="shared" si="13"/>
        <v>6.1625183016105416E-2</v>
      </c>
      <c r="T22" s="408">
        <f t="shared" si="14"/>
        <v>0.54480234260614935</v>
      </c>
      <c r="U22" s="409">
        <f t="shared" si="15"/>
        <v>5.4480234260614935E-2</v>
      </c>
      <c r="AP22" s="436"/>
      <c r="AW22" s="437"/>
      <c r="BA22" s="19">
        <v>0</v>
      </c>
      <c r="BB22" s="19" t="s">
        <v>31</v>
      </c>
      <c r="BC22" s="19">
        <v>1</v>
      </c>
      <c r="BD22" s="19">
        <v>999</v>
      </c>
      <c r="BE22" s="19" t="str">
        <v>placebo_BSC</v>
      </c>
      <c r="BF22" s="19">
        <f>IF(i_bsc_util_num=1,$BH21,IF(i_bsc_util_num=2,$BI21,$W$28))</f>
        <v>0.68300000000000005</v>
      </c>
      <c r="BG22" s="19">
        <f>IF(i_bsc_util_num=1,$BH21,IF(i_bsc_util_num=2,$BI21,$W$28))</f>
        <v>0.68300000000000005</v>
      </c>
      <c r="BH22" s="19">
        <f>IF(i_bsc_util_num=1,$BH21,IF(i_bsc_util_num=2,$BI21,$W$28))</f>
        <v>0.68300000000000005</v>
      </c>
      <c r="BI22" s="19">
        <f>IF(i_bsc_util_num=1,$BH21,IF(i_bsc_util_num=2,$BI21,$W$28))</f>
        <v>0.68300000000000005</v>
      </c>
      <c r="BJ22" s="19">
        <f>IF(i_bsc_util_num=1,$BL21,IF(i_bsc_util_num=2,$BM21,$X$28))</f>
        <v>6.8300000000000013E-2</v>
      </c>
      <c r="BK22" s="19">
        <f>IF(i_bsc_util_num=1,$BL21,IF(i_bsc_util_num=2,$BM21,$X$28))</f>
        <v>6.8300000000000013E-2</v>
      </c>
      <c r="BL22" s="19">
        <f>IF(i_bsc_util_num=1,$BL21,IF(i_bsc_util_num=2,$BM21,$X$28))</f>
        <v>6.8300000000000013E-2</v>
      </c>
      <c r="BM22" s="19">
        <f>IF(i_bsc_util_num=1,$BL21,IF(i_bsc_util_num=2,$BM21,$X$28))</f>
        <v>6.8300000000000013E-2</v>
      </c>
      <c r="BO22" s="6" t="str">
        <f>AA67</f>
        <v>Third and Fourth line: Estimated based on % reduction from the AXIS trial (TA498)</v>
      </c>
    </row>
    <row r="23" spans="4:67" ht="15.75" x14ac:dyDescent="0.25">
      <c r="D23" s="14" t="str">
        <v>cabozantinib</v>
      </c>
      <c r="H23" s="1"/>
      <c r="I23" s="1"/>
      <c r="J23" s="1"/>
      <c r="K23" s="410">
        <f t="shared" si="8"/>
        <v>0.753</v>
      </c>
      <c r="L23" s="408">
        <f t="shared" si="9"/>
        <v>7.5300000000000006E-2</v>
      </c>
      <c r="N23" s="410">
        <f t="shared" si="10"/>
        <v>0.68300000000000005</v>
      </c>
      <c r="O23" s="409">
        <f t="shared" si="11"/>
        <v>6.8300000000000013E-2</v>
      </c>
      <c r="Q23" s="408">
        <f t="shared" si="12"/>
        <v>0.61625183016105411</v>
      </c>
      <c r="R23" s="409">
        <f t="shared" si="13"/>
        <v>6.1625183016105416E-2</v>
      </c>
      <c r="T23" s="408">
        <f t="shared" si="14"/>
        <v>0.54480234260614935</v>
      </c>
      <c r="U23" s="409">
        <f t="shared" si="15"/>
        <v>5.4480234260614935E-2</v>
      </c>
      <c r="AP23" s="436"/>
      <c r="AS23" s="6">
        <f>0.616/0.683</f>
        <v>0.90190336749633959</v>
      </c>
      <c r="AT23" s="6">
        <f>AS23*(1-0.1)</f>
        <v>0.81171303074670564</v>
      </c>
      <c r="AW23" s="437"/>
      <c r="BA23" s="252">
        <v>1</v>
      </c>
      <c r="BB23" s="252" t="s">
        <v>549</v>
      </c>
      <c r="BC23" s="252">
        <v>1</v>
      </c>
      <c r="BD23" s="17">
        <v>0</v>
      </c>
      <c r="BE23" s="252" t="str" cm="1">
        <f t="array" ref="BE23:BE36">List_comparators</f>
        <v>nivolumab_monotherapy</v>
      </c>
      <c r="BF23" s="252">
        <f t="shared" ref="BF23:BF35" si="16">K131</f>
        <v>0.753</v>
      </c>
      <c r="BG23" s="252">
        <f>K181</f>
        <v>0.753</v>
      </c>
      <c r="BH23" s="414">
        <f t="shared" ref="BH23:BH35" si="17">K31</f>
        <v>0.753</v>
      </c>
      <c r="BI23" s="414">
        <f t="shared" ref="BI23:BI35" si="18">K81</f>
        <v>0.68300000000000005</v>
      </c>
      <c r="BJ23" s="252">
        <f>L131</f>
        <v>7.5300000000000006E-2</v>
      </c>
      <c r="BK23" s="252">
        <f>L181</f>
        <v>7.5300000000000006E-2</v>
      </c>
      <c r="BL23" s="414">
        <f t="shared" ref="BL23:BL35" si="19">L31</f>
        <v>7.5300000000000006E-2</v>
      </c>
      <c r="BM23" s="414">
        <f t="shared" ref="BM23:BM35" si="20">L81</f>
        <v>6.8300000000000013E-2</v>
      </c>
      <c r="BO23" s="59" t="str">
        <f>AA68</f>
        <v>SE</v>
      </c>
    </row>
    <row r="24" spans="4:67" ht="15.75" thickBot="1" x14ac:dyDescent="0.25">
      <c r="D24" s="14" t="str">
        <v>lenvatinib_plus_everolimus</v>
      </c>
      <c r="H24" s="1"/>
      <c r="I24" s="1"/>
      <c r="J24" s="1"/>
      <c r="K24" s="410">
        <f t="shared" si="8"/>
        <v>0.753</v>
      </c>
      <c r="L24" s="408">
        <f t="shared" si="9"/>
        <v>7.5300000000000006E-2</v>
      </c>
      <c r="N24" s="410">
        <f t="shared" si="10"/>
        <v>0.68300000000000005</v>
      </c>
      <c r="O24" s="409">
        <f t="shared" si="11"/>
        <v>6.8300000000000013E-2</v>
      </c>
      <c r="Q24" s="408">
        <f t="shared" si="12"/>
        <v>0.61625183016105411</v>
      </c>
      <c r="R24" s="409">
        <f t="shared" si="13"/>
        <v>6.1625183016105416E-2</v>
      </c>
      <c r="T24" s="408">
        <f t="shared" si="14"/>
        <v>0.54480234260614935</v>
      </c>
      <c r="U24" s="409">
        <f t="shared" si="15"/>
        <v>5.4480234260614935E-2</v>
      </c>
      <c r="AP24" s="438"/>
      <c r="AQ24" s="22"/>
      <c r="AR24" s="22"/>
      <c r="AS24" s="22">
        <f>AT20/0.616</f>
        <v>0.81171303074670564</v>
      </c>
      <c r="AT24" s="22">
        <f>AS24*(1-0.2)</f>
        <v>0.6493704245973646</v>
      </c>
      <c r="AU24" s="22"/>
      <c r="AV24" s="22"/>
      <c r="AW24" s="439"/>
      <c r="BA24" s="17">
        <v>1</v>
      </c>
      <c r="BB24" s="17" t="s">
        <v>549</v>
      </c>
      <c r="BC24" s="17">
        <v>1</v>
      </c>
      <c r="BD24" s="17">
        <v>1</v>
      </c>
      <c r="BE24" s="17" t="str">
        <v>cabozantinib_plus_nivolumab</v>
      </c>
      <c r="BF24" s="17">
        <f t="shared" si="16"/>
        <v>0.753</v>
      </c>
      <c r="BG24" s="252">
        <f t="shared" ref="BG24:BG35" si="21">K182</f>
        <v>0.753</v>
      </c>
      <c r="BH24" s="415">
        <f t="shared" si="17"/>
        <v>0.753</v>
      </c>
      <c r="BI24" s="415">
        <f t="shared" si="18"/>
        <v>0.68300000000000005</v>
      </c>
      <c r="BJ24" s="252">
        <f t="shared" ref="BJ24:BJ35" si="22">L132</f>
        <v>7.5300000000000006E-2</v>
      </c>
      <c r="BK24" s="252">
        <f t="shared" ref="BK24:BK35" si="23">L182</f>
        <v>7.5300000000000006E-2</v>
      </c>
      <c r="BL24" s="415">
        <f t="shared" si="19"/>
        <v>7.5300000000000006E-2</v>
      </c>
      <c r="BM24" s="415">
        <f t="shared" si="20"/>
        <v>6.8300000000000013E-2</v>
      </c>
      <c r="BO24" s="6" t="str">
        <f>AA69</f>
        <v>Assumption</v>
      </c>
    </row>
    <row r="25" spans="4:67" x14ac:dyDescent="0.2">
      <c r="D25" s="14" t="str">
        <v>everolimus</v>
      </c>
      <c r="H25" s="1"/>
      <c r="I25" s="1"/>
      <c r="J25" s="1"/>
      <c r="K25" s="410">
        <f t="shared" si="8"/>
        <v>0.753</v>
      </c>
      <c r="L25" s="408">
        <f t="shared" si="9"/>
        <v>7.5300000000000006E-2</v>
      </c>
      <c r="N25" s="410">
        <f t="shared" si="10"/>
        <v>0.68300000000000005</v>
      </c>
      <c r="O25" s="409">
        <f t="shared" si="11"/>
        <v>6.8300000000000013E-2</v>
      </c>
      <c r="Q25" s="408">
        <f t="shared" si="12"/>
        <v>0.61625183016105411</v>
      </c>
      <c r="R25" s="409">
        <f t="shared" si="13"/>
        <v>6.1625183016105416E-2</v>
      </c>
      <c r="T25" s="408">
        <f t="shared" si="14"/>
        <v>0.54480234260614935</v>
      </c>
      <c r="U25" s="409">
        <f t="shared" si="15"/>
        <v>5.4480234260614935E-2</v>
      </c>
      <c r="BA25" s="17">
        <v>1</v>
      </c>
      <c r="BB25" s="17" t="s">
        <v>549</v>
      </c>
      <c r="BC25" s="17">
        <v>1</v>
      </c>
      <c r="BD25" s="17">
        <v>2</v>
      </c>
      <c r="BE25" s="17" t="str">
        <v>nivolumab_plus_ipilimumab</v>
      </c>
      <c r="BF25" s="17">
        <f t="shared" si="16"/>
        <v>0.753</v>
      </c>
      <c r="BG25" s="252">
        <f t="shared" si="21"/>
        <v>0.753</v>
      </c>
      <c r="BH25" s="416">
        <f t="shared" si="17"/>
        <v>0.753</v>
      </c>
      <c r="BI25" s="416">
        <f t="shared" si="18"/>
        <v>0.68300000000000005</v>
      </c>
      <c r="BJ25" s="252">
        <f t="shared" si="22"/>
        <v>7.5300000000000006E-2</v>
      </c>
      <c r="BK25" s="252">
        <f t="shared" si="23"/>
        <v>7.5300000000000006E-2</v>
      </c>
      <c r="BL25" s="416">
        <f t="shared" si="19"/>
        <v>7.5300000000000006E-2</v>
      </c>
      <c r="BM25" s="416">
        <f t="shared" si="20"/>
        <v>6.8300000000000013E-2</v>
      </c>
    </row>
    <row r="26" spans="4:67" x14ac:dyDescent="0.2">
      <c r="D26" s="14" t="str">
        <v>axitinib</v>
      </c>
      <c r="H26" s="1"/>
      <c r="I26" s="1"/>
      <c r="J26" s="1"/>
      <c r="K26" s="410">
        <f t="shared" si="8"/>
        <v>0.753</v>
      </c>
      <c r="L26" s="408">
        <f t="shared" si="9"/>
        <v>7.5300000000000006E-2</v>
      </c>
      <c r="N26" s="410">
        <f t="shared" si="10"/>
        <v>0.68300000000000005</v>
      </c>
      <c r="O26" s="409">
        <f t="shared" si="11"/>
        <v>6.8300000000000013E-2</v>
      </c>
      <c r="Q26" s="408">
        <f t="shared" si="12"/>
        <v>0.61625183016105411</v>
      </c>
      <c r="R26" s="409">
        <f t="shared" si="13"/>
        <v>6.1625183016105416E-2</v>
      </c>
      <c r="T26" s="408">
        <f t="shared" si="14"/>
        <v>0.54480234260614935</v>
      </c>
      <c r="U26" s="409">
        <f t="shared" si="15"/>
        <v>5.4480234260614935E-2</v>
      </c>
      <c r="BA26" s="17">
        <v>1</v>
      </c>
      <c r="BB26" s="17" t="s">
        <v>549</v>
      </c>
      <c r="BC26" s="17">
        <v>1</v>
      </c>
      <c r="BD26" s="17">
        <v>3</v>
      </c>
      <c r="BE26" s="17" t="str">
        <v>lenvatinib_plus_pembrolizumab</v>
      </c>
      <c r="BF26" s="17">
        <f t="shared" si="16"/>
        <v>0.753</v>
      </c>
      <c r="BG26" s="252">
        <f t="shared" si="21"/>
        <v>0.753</v>
      </c>
      <c r="BH26" s="416">
        <f t="shared" si="17"/>
        <v>0.753</v>
      </c>
      <c r="BI26" s="416">
        <f t="shared" si="18"/>
        <v>0.68300000000000005</v>
      </c>
      <c r="BJ26" s="252">
        <f t="shared" si="22"/>
        <v>7.5300000000000006E-2</v>
      </c>
      <c r="BK26" s="252">
        <f t="shared" si="23"/>
        <v>7.5300000000000006E-2</v>
      </c>
      <c r="BL26" s="416">
        <f t="shared" si="19"/>
        <v>7.5300000000000006E-2</v>
      </c>
      <c r="BM26" s="416">
        <f t="shared" si="20"/>
        <v>6.8300000000000013E-2</v>
      </c>
    </row>
    <row r="27" spans="4:67" ht="15.75" customHeight="1" x14ac:dyDescent="0.2">
      <c r="D27" s="14" t="str">
        <v>sorafenib</v>
      </c>
      <c r="H27" s="1"/>
      <c r="I27" s="1"/>
      <c r="J27" s="1"/>
      <c r="K27" s="410">
        <f t="shared" si="8"/>
        <v>0.753</v>
      </c>
      <c r="L27" s="408">
        <f t="shared" si="9"/>
        <v>7.5300000000000006E-2</v>
      </c>
      <c r="N27" s="410">
        <f t="shared" si="10"/>
        <v>0.68300000000000005</v>
      </c>
      <c r="O27" s="409">
        <f t="shared" si="11"/>
        <v>6.8300000000000013E-2</v>
      </c>
      <c r="Q27" s="408">
        <f t="shared" si="12"/>
        <v>0.61625183016105411</v>
      </c>
      <c r="R27" s="409">
        <f t="shared" si="13"/>
        <v>6.1625183016105416E-2</v>
      </c>
      <c r="T27" s="408">
        <f t="shared" si="14"/>
        <v>0.54480234260614935</v>
      </c>
      <c r="U27" s="409">
        <f t="shared" si="15"/>
        <v>5.4480234260614935E-2</v>
      </c>
      <c r="BA27" s="17">
        <v>1</v>
      </c>
      <c r="BB27" s="17" t="s">
        <v>549</v>
      </c>
      <c r="BC27" s="17">
        <v>1</v>
      </c>
      <c r="BD27" s="17">
        <v>4</v>
      </c>
      <c r="BE27" s="17" t="str">
        <v>avelumab_plus_axitinib</v>
      </c>
      <c r="BF27" s="17">
        <f t="shared" si="16"/>
        <v>0.753</v>
      </c>
      <c r="BG27" s="252">
        <f t="shared" si="21"/>
        <v>0.753</v>
      </c>
      <c r="BH27" s="416">
        <f t="shared" si="17"/>
        <v>0.753</v>
      </c>
      <c r="BI27" s="416">
        <f t="shared" si="18"/>
        <v>0.68300000000000005</v>
      </c>
      <c r="BJ27" s="252">
        <f t="shared" si="22"/>
        <v>7.5300000000000006E-2</v>
      </c>
      <c r="BK27" s="252">
        <f t="shared" si="23"/>
        <v>7.5300000000000006E-2</v>
      </c>
      <c r="BL27" s="416">
        <f t="shared" si="19"/>
        <v>7.5300000000000006E-2</v>
      </c>
      <c r="BM27" s="416">
        <f t="shared" si="20"/>
        <v>6.8300000000000013E-2</v>
      </c>
    </row>
    <row r="28" spans="4:67" ht="15.75" customHeight="1" x14ac:dyDescent="0.2">
      <c r="D28" s="14" t="str">
        <v>placebo_BSC</v>
      </c>
      <c r="H28" s="1"/>
      <c r="I28" s="1"/>
      <c r="J28" s="1"/>
      <c r="W28" s="408">
        <f>T65</f>
        <v>0.48163685360833497</v>
      </c>
      <c r="X28" s="409">
        <f>i_SE_util*W28</f>
        <v>4.81636853608335E-2</v>
      </c>
      <c r="BA28" s="17">
        <v>1</v>
      </c>
      <c r="BB28" s="17" t="s">
        <v>549</v>
      </c>
      <c r="BC28" s="17">
        <v>1</v>
      </c>
      <c r="BD28" s="17">
        <v>5</v>
      </c>
      <c r="BE28" s="17" t="str">
        <v>pazopanib</v>
      </c>
      <c r="BF28" s="17">
        <f t="shared" si="16"/>
        <v>0.753</v>
      </c>
      <c r="BG28" s="252">
        <f t="shared" si="21"/>
        <v>0.753</v>
      </c>
      <c r="BH28" s="416">
        <f t="shared" si="17"/>
        <v>0.753</v>
      </c>
      <c r="BI28" s="416">
        <f t="shared" si="18"/>
        <v>0.68300000000000005</v>
      </c>
      <c r="BJ28" s="252">
        <f t="shared" si="22"/>
        <v>7.5300000000000006E-2</v>
      </c>
      <c r="BK28" s="252">
        <f t="shared" si="23"/>
        <v>7.5300000000000006E-2</v>
      </c>
      <c r="BL28" s="416">
        <f t="shared" si="19"/>
        <v>7.5300000000000006E-2</v>
      </c>
      <c r="BM28" s="416">
        <f t="shared" si="20"/>
        <v>6.8300000000000013E-2</v>
      </c>
    </row>
    <row r="29" spans="4:67" ht="15.75" customHeight="1" x14ac:dyDescent="0.2">
      <c r="D29" s="14"/>
      <c r="H29" s="1"/>
      <c r="I29" s="1"/>
      <c r="J29" s="1"/>
      <c r="BA29" s="17">
        <v>1</v>
      </c>
      <c r="BB29" s="17" t="s">
        <v>549</v>
      </c>
      <c r="BC29" s="17">
        <v>1</v>
      </c>
      <c r="BD29" s="17">
        <v>6</v>
      </c>
      <c r="BE29" s="17" t="str">
        <v>tivozanib</v>
      </c>
      <c r="BF29" s="17">
        <f t="shared" si="16"/>
        <v>0.753</v>
      </c>
      <c r="BG29" s="252">
        <f t="shared" si="21"/>
        <v>0.753</v>
      </c>
      <c r="BH29" s="416">
        <f t="shared" si="17"/>
        <v>0.753</v>
      </c>
      <c r="BI29" s="416">
        <f t="shared" si="18"/>
        <v>0.68300000000000005</v>
      </c>
      <c r="BJ29" s="252">
        <f t="shared" si="22"/>
        <v>7.5300000000000006E-2</v>
      </c>
      <c r="BK29" s="252">
        <f t="shared" si="23"/>
        <v>7.5300000000000006E-2</v>
      </c>
      <c r="BL29" s="416">
        <f t="shared" si="19"/>
        <v>7.5300000000000006E-2</v>
      </c>
      <c r="BM29" s="416">
        <f t="shared" si="20"/>
        <v>6.8300000000000013E-2</v>
      </c>
    </row>
    <row r="30" spans="4:67" ht="15.75" customHeight="1" x14ac:dyDescent="0.25">
      <c r="D30" s="70" t="str">
        <f t="array" ref="D30">INDEX(Lists!$D$11:$D$13,$C$10)</f>
        <v>Poor / intermediate risk</v>
      </c>
      <c r="H30" s="1497"/>
      <c r="I30" s="1497"/>
      <c r="J30" s="1497"/>
      <c r="BA30" s="17">
        <v>1</v>
      </c>
      <c r="BB30" s="17" t="s">
        <v>549</v>
      </c>
      <c r="BC30" s="17">
        <v>1</v>
      </c>
      <c r="BD30" s="17">
        <v>7</v>
      </c>
      <c r="BE30" s="17" t="str">
        <v>sunitinib</v>
      </c>
      <c r="BF30" s="17">
        <f t="shared" si="16"/>
        <v>0.753</v>
      </c>
      <c r="BG30" s="252">
        <f t="shared" si="21"/>
        <v>0.753</v>
      </c>
      <c r="BH30" s="416">
        <f t="shared" si="17"/>
        <v>0.753</v>
      </c>
      <c r="BI30" s="416">
        <f t="shared" si="18"/>
        <v>0.68300000000000005</v>
      </c>
      <c r="BJ30" s="252">
        <f t="shared" si="22"/>
        <v>7.5300000000000006E-2</v>
      </c>
      <c r="BK30" s="252">
        <f t="shared" si="23"/>
        <v>7.5300000000000006E-2</v>
      </c>
      <c r="BL30" s="416">
        <f t="shared" si="19"/>
        <v>7.5300000000000006E-2</v>
      </c>
      <c r="BM30" s="416">
        <f t="shared" si="20"/>
        <v>6.8300000000000013E-2</v>
      </c>
    </row>
    <row r="31" spans="4:67" ht="15.75" customHeight="1" x14ac:dyDescent="0.2">
      <c r="D31" s="14" t="str" cm="1">
        <f t="array" ref="D31:D44">List_comparators</f>
        <v>nivolumab_monotherapy</v>
      </c>
      <c r="H31" s="1"/>
      <c r="I31" s="1"/>
      <c r="J31" s="1"/>
      <c r="K31" s="408">
        <f t="shared" ref="K31:K43" si="24">IF(OR(i_sc_util_num=1,i_sc_util_num=2,i_sc_util_num=7),$AS$14,K15)</f>
        <v>0.753</v>
      </c>
      <c r="L31" s="408">
        <f t="shared" ref="L31:L43" si="25">L15</f>
        <v>7.5300000000000006E-2</v>
      </c>
      <c r="BA31" s="17">
        <v>1</v>
      </c>
      <c r="BB31" s="17" t="s">
        <v>549</v>
      </c>
      <c r="BC31" s="17">
        <v>1</v>
      </c>
      <c r="BD31" s="17">
        <v>8</v>
      </c>
      <c r="BE31" s="17" t="str">
        <v>cabozantinib</v>
      </c>
      <c r="BF31" s="17">
        <f t="shared" si="16"/>
        <v>0.753</v>
      </c>
      <c r="BG31" s="252">
        <f t="shared" si="21"/>
        <v>0.753</v>
      </c>
      <c r="BH31" s="416">
        <f t="shared" si="17"/>
        <v>0.753</v>
      </c>
      <c r="BI31" s="416">
        <f t="shared" si="18"/>
        <v>0.68300000000000005</v>
      </c>
      <c r="BJ31" s="252">
        <f t="shared" si="22"/>
        <v>7.5300000000000006E-2</v>
      </c>
      <c r="BK31" s="252">
        <f t="shared" si="23"/>
        <v>7.5300000000000006E-2</v>
      </c>
      <c r="BL31" s="416">
        <f t="shared" si="19"/>
        <v>7.5300000000000006E-2</v>
      </c>
      <c r="BM31" s="416">
        <f t="shared" si="20"/>
        <v>6.8300000000000013E-2</v>
      </c>
    </row>
    <row r="32" spans="4:67" ht="15.75" customHeight="1" x14ac:dyDescent="0.2">
      <c r="D32" s="14" t="str">
        <v>cabozantinib_plus_nivolumab</v>
      </c>
      <c r="H32" s="1"/>
      <c r="I32" s="1"/>
      <c r="J32" s="1"/>
      <c r="K32" s="408">
        <f t="shared" si="24"/>
        <v>0.753</v>
      </c>
      <c r="L32" s="408">
        <f t="shared" si="25"/>
        <v>7.5300000000000006E-2</v>
      </c>
      <c r="BA32" s="17">
        <v>1</v>
      </c>
      <c r="BB32" s="17" t="s">
        <v>549</v>
      </c>
      <c r="BC32" s="17">
        <v>1</v>
      </c>
      <c r="BD32" s="17">
        <v>9</v>
      </c>
      <c r="BE32" s="17" t="str">
        <v>lenvatinib_plus_everolimus</v>
      </c>
      <c r="BF32" s="17">
        <f t="shared" si="16"/>
        <v>0.753</v>
      </c>
      <c r="BG32" s="252">
        <f t="shared" si="21"/>
        <v>0.753</v>
      </c>
      <c r="BH32" s="416">
        <f t="shared" si="17"/>
        <v>0.753</v>
      </c>
      <c r="BI32" s="416">
        <f t="shared" si="18"/>
        <v>0.68300000000000005</v>
      </c>
      <c r="BJ32" s="252">
        <f t="shared" si="22"/>
        <v>7.5300000000000006E-2</v>
      </c>
      <c r="BK32" s="252">
        <f t="shared" si="23"/>
        <v>7.5300000000000006E-2</v>
      </c>
      <c r="BL32" s="416">
        <f t="shared" si="19"/>
        <v>7.5300000000000006E-2</v>
      </c>
      <c r="BM32" s="416">
        <f t="shared" si="20"/>
        <v>6.8300000000000013E-2</v>
      </c>
    </row>
    <row r="33" spans="4:65" ht="15.75" customHeight="1" x14ac:dyDescent="0.2">
      <c r="D33" s="14" t="str">
        <v>nivolumab_plus_ipilimumab</v>
      </c>
      <c r="H33" s="1"/>
      <c r="I33" s="1"/>
      <c r="J33" s="1"/>
      <c r="K33" s="408">
        <f t="shared" si="24"/>
        <v>0.753</v>
      </c>
      <c r="L33" s="408">
        <f t="shared" si="25"/>
        <v>7.5300000000000006E-2</v>
      </c>
      <c r="BA33" s="17">
        <v>1</v>
      </c>
      <c r="BB33" s="17" t="s">
        <v>549</v>
      </c>
      <c r="BC33" s="17">
        <v>1</v>
      </c>
      <c r="BD33" s="17">
        <v>10</v>
      </c>
      <c r="BE33" s="17" t="str">
        <v>everolimus</v>
      </c>
      <c r="BF33" s="17">
        <f t="shared" si="16"/>
        <v>0.753</v>
      </c>
      <c r="BG33" s="252">
        <f t="shared" si="21"/>
        <v>0.753</v>
      </c>
      <c r="BH33" s="416">
        <f t="shared" si="17"/>
        <v>0.753</v>
      </c>
      <c r="BI33" s="416">
        <f t="shared" si="18"/>
        <v>0.68300000000000005</v>
      </c>
      <c r="BJ33" s="252">
        <f t="shared" si="22"/>
        <v>7.5300000000000006E-2</v>
      </c>
      <c r="BK33" s="252">
        <f t="shared" si="23"/>
        <v>7.5300000000000006E-2</v>
      </c>
      <c r="BL33" s="416">
        <f t="shared" si="19"/>
        <v>7.5300000000000006E-2</v>
      </c>
      <c r="BM33" s="416">
        <f t="shared" si="20"/>
        <v>6.8300000000000013E-2</v>
      </c>
    </row>
    <row r="34" spans="4:65" ht="15.75" customHeight="1" x14ac:dyDescent="0.2">
      <c r="D34" s="14" t="str">
        <v>lenvatinib_plus_pembrolizumab</v>
      </c>
      <c r="H34" s="1"/>
      <c r="I34" s="1"/>
      <c r="J34" s="1"/>
      <c r="K34" s="408">
        <f t="shared" si="24"/>
        <v>0.753</v>
      </c>
      <c r="L34" s="408">
        <f t="shared" si="25"/>
        <v>7.5300000000000006E-2</v>
      </c>
      <c r="BA34" s="17">
        <v>1</v>
      </c>
      <c r="BB34" s="17" t="s">
        <v>549</v>
      </c>
      <c r="BC34" s="17">
        <v>1</v>
      </c>
      <c r="BD34" s="17">
        <v>11</v>
      </c>
      <c r="BE34" s="17" t="str">
        <v>axitinib</v>
      </c>
      <c r="BF34" s="17">
        <f t="shared" si="16"/>
        <v>0.753</v>
      </c>
      <c r="BG34" s="252">
        <f t="shared" si="21"/>
        <v>0.753</v>
      </c>
      <c r="BH34" s="416">
        <f t="shared" si="17"/>
        <v>0.753</v>
      </c>
      <c r="BI34" s="416">
        <f t="shared" si="18"/>
        <v>0.68300000000000005</v>
      </c>
      <c r="BJ34" s="252">
        <f t="shared" si="22"/>
        <v>7.5300000000000006E-2</v>
      </c>
      <c r="BK34" s="252">
        <f t="shared" si="23"/>
        <v>7.5300000000000006E-2</v>
      </c>
      <c r="BL34" s="416">
        <f t="shared" si="19"/>
        <v>7.5300000000000006E-2</v>
      </c>
      <c r="BM34" s="416">
        <f t="shared" si="20"/>
        <v>6.8300000000000013E-2</v>
      </c>
    </row>
    <row r="35" spans="4:65" ht="15.75" customHeight="1" x14ac:dyDescent="0.2">
      <c r="D35" s="14" t="str">
        <v>avelumab_plus_axitinib</v>
      </c>
      <c r="H35" s="1"/>
      <c r="I35" s="1"/>
      <c r="J35" s="1"/>
      <c r="K35" s="408">
        <f t="shared" si="24"/>
        <v>0.753</v>
      </c>
      <c r="L35" s="408">
        <f t="shared" si="25"/>
        <v>7.5300000000000006E-2</v>
      </c>
      <c r="BA35" s="17">
        <v>1</v>
      </c>
      <c r="BB35" s="17" t="s">
        <v>549</v>
      </c>
      <c r="BC35" s="17">
        <v>1</v>
      </c>
      <c r="BD35" s="17">
        <v>12</v>
      </c>
      <c r="BE35" s="17" t="str">
        <v>sorafenib</v>
      </c>
      <c r="BF35" s="17">
        <f t="shared" si="16"/>
        <v>0.753</v>
      </c>
      <c r="BG35" s="252">
        <f t="shared" si="21"/>
        <v>0.753</v>
      </c>
      <c r="BH35" s="416">
        <f t="shared" si="17"/>
        <v>0.753</v>
      </c>
      <c r="BI35" s="416">
        <f t="shared" si="18"/>
        <v>0.68300000000000005</v>
      </c>
      <c r="BJ35" s="252">
        <f t="shared" si="22"/>
        <v>7.5300000000000006E-2</v>
      </c>
      <c r="BK35" s="252">
        <f t="shared" si="23"/>
        <v>7.5300000000000006E-2</v>
      </c>
      <c r="BL35" s="416">
        <f t="shared" si="19"/>
        <v>7.5300000000000006E-2</v>
      </c>
      <c r="BM35" s="416">
        <f t="shared" si="20"/>
        <v>6.8300000000000013E-2</v>
      </c>
    </row>
    <row r="36" spans="4:65" ht="15.75" customHeight="1" thickBot="1" x14ac:dyDescent="0.25">
      <c r="D36" s="14" t="str">
        <v>pazopanib</v>
      </c>
      <c r="H36" s="1"/>
      <c r="I36" s="1"/>
      <c r="J36" s="1"/>
      <c r="K36" s="408">
        <f t="shared" si="24"/>
        <v>0.753</v>
      </c>
      <c r="L36" s="408">
        <f t="shared" si="25"/>
        <v>7.5300000000000006E-2</v>
      </c>
      <c r="BA36" s="19">
        <v>1</v>
      </c>
      <c r="BB36" s="19" t="s">
        <v>549</v>
      </c>
      <c r="BC36" s="19">
        <v>1</v>
      </c>
      <c r="BD36" s="19">
        <v>999</v>
      </c>
      <c r="BE36" s="19" t="str">
        <v>placebo_BSC</v>
      </c>
      <c r="BF36" s="19">
        <f>IF(i_bsc_util_num=1,$BH35,IF(i_bsc_util_num=2,$BI35,$W$28))</f>
        <v>0.68300000000000005</v>
      </c>
      <c r="BG36" s="19">
        <f>IF(i_bsc_util_num=1,$BH35,IF(i_bsc_util_num=2,$BI35,$W$28))</f>
        <v>0.68300000000000005</v>
      </c>
      <c r="BH36" s="19">
        <f>IF(i_bsc_util_num=1,$BH35,IF(i_bsc_util_num=2,$BI35,$W$28))</f>
        <v>0.68300000000000005</v>
      </c>
      <c r="BI36" s="19">
        <f>IF(i_bsc_util_num=1,$BH35,IF(i_bsc_util_num=2,$BI35,$W$28))</f>
        <v>0.68300000000000005</v>
      </c>
      <c r="BJ36" s="19">
        <f>IF(i_bsc_util_num=1,$BL35,IF(i_bsc_util_num=2,$BM35,$X$28))</f>
        <v>6.8300000000000013E-2</v>
      </c>
      <c r="BK36" s="19">
        <f>IF(i_bsc_util_num=1,$BL35,IF(i_bsc_util_num=2,$BM35,$X$28))</f>
        <v>6.8300000000000013E-2</v>
      </c>
      <c r="BL36" s="19">
        <f>IF(i_bsc_util_num=1,$BL35,IF(i_bsc_util_num=2,$BM35,$X$28))</f>
        <v>6.8300000000000013E-2</v>
      </c>
      <c r="BM36" s="19">
        <f>IF(i_bsc_util_num=1,$BL35,IF(i_bsc_util_num=2,$BM35,$X$28))</f>
        <v>6.8300000000000013E-2</v>
      </c>
    </row>
    <row r="37" spans="4:65" ht="15.75" customHeight="1" x14ac:dyDescent="0.2">
      <c r="D37" s="14" t="str">
        <v>tivozanib</v>
      </c>
      <c r="H37" s="1"/>
      <c r="I37" s="1"/>
      <c r="J37" s="1"/>
      <c r="K37" s="408">
        <f t="shared" si="24"/>
        <v>0.753</v>
      </c>
      <c r="L37" s="408">
        <f t="shared" si="25"/>
        <v>7.5300000000000006E-2</v>
      </c>
      <c r="BA37" s="252">
        <v>2</v>
      </c>
      <c r="BB37" s="252" t="s">
        <v>833</v>
      </c>
      <c r="BC37" s="252">
        <v>1</v>
      </c>
      <c r="BD37" s="17">
        <v>0</v>
      </c>
      <c r="BE37" s="252" t="str" cm="1">
        <f t="array" ref="BE37:BE50">List_comparators</f>
        <v>nivolumab_monotherapy</v>
      </c>
      <c r="BF37" s="252">
        <f>K147</f>
        <v>0.753</v>
      </c>
      <c r="BG37" s="252">
        <f>K197</f>
        <v>0.753</v>
      </c>
      <c r="BH37" s="414">
        <f t="shared" ref="BH37:BH49" si="26">K47</f>
        <v>0.753</v>
      </c>
      <c r="BI37" s="414">
        <f t="shared" ref="BI37:BI49" si="27">K97</f>
        <v>0.68300000000000005</v>
      </c>
      <c r="BJ37" s="252">
        <f>L147</f>
        <v>7.5300000000000006E-2</v>
      </c>
      <c r="BK37" s="252">
        <f>L197</f>
        <v>7.5300000000000006E-2</v>
      </c>
      <c r="BL37" s="414">
        <f t="shared" ref="BL37:BL49" si="28">L47</f>
        <v>7.5300000000000006E-2</v>
      </c>
      <c r="BM37" s="414">
        <f t="shared" ref="BM37:BM49" si="29">L97</f>
        <v>6.8300000000000013E-2</v>
      </c>
    </row>
    <row r="38" spans="4:65" ht="15.75" customHeight="1" x14ac:dyDescent="0.2">
      <c r="D38" s="14" t="str">
        <v>sunitinib</v>
      </c>
      <c r="H38" s="1"/>
      <c r="I38" s="1"/>
      <c r="J38" s="1"/>
      <c r="K38" s="408">
        <f t="shared" si="24"/>
        <v>0.753</v>
      </c>
      <c r="L38" s="408">
        <f t="shared" si="25"/>
        <v>7.5300000000000006E-2</v>
      </c>
      <c r="BA38" s="17">
        <v>2</v>
      </c>
      <c r="BB38" s="17" t="s">
        <v>833</v>
      </c>
      <c r="BC38" s="17">
        <v>1</v>
      </c>
      <c r="BD38" s="17">
        <v>1</v>
      </c>
      <c r="BE38" s="17" t="str">
        <v>cabozantinib_plus_nivolumab</v>
      </c>
      <c r="BF38" s="252">
        <f t="shared" ref="BF38:BF49" si="30">K148</f>
        <v>0.753</v>
      </c>
      <c r="BG38" s="252">
        <f t="shared" ref="BG38:BG49" si="31">K198</f>
        <v>0.753</v>
      </c>
      <c r="BH38" s="415">
        <f t="shared" si="26"/>
        <v>0.753</v>
      </c>
      <c r="BI38" s="415">
        <f t="shared" si="27"/>
        <v>0.68300000000000005</v>
      </c>
      <c r="BJ38" s="252">
        <f t="shared" ref="BJ38:BJ49" si="32">L148</f>
        <v>7.5300000000000006E-2</v>
      </c>
      <c r="BK38" s="252">
        <f t="shared" ref="BK38:BK49" si="33">L198</f>
        <v>7.5300000000000006E-2</v>
      </c>
      <c r="BL38" s="415">
        <f t="shared" si="28"/>
        <v>7.5300000000000006E-2</v>
      </c>
      <c r="BM38" s="415">
        <f t="shared" si="29"/>
        <v>6.8300000000000013E-2</v>
      </c>
    </row>
    <row r="39" spans="4:65" ht="15.75" customHeight="1" x14ac:dyDescent="0.2">
      <c r="D39" s="14" t="str">
        <v>cabozantinib</v>
      </c>
      <c r="H39" s="1"/>
      <c r="I39" s="1"/>
      <c r="J39" s="1"/>
      <c r="K39" s="408">
        <f t="shared" si="24"/>
        <v>0.753</v>
      </c>
      <c r="L39" s="408">
        <f t="shared" si="25"/>
        <v>7.5300000000000006E-2</v>
      </c>
      <c r="BA39" s="17">
        <v>2</v>
      </c>
      <c r="BB39" s="17" t="s">
        <v>833</v>
      </c>
      <c r="BC39" s="17">
        <v>1</v>
      </c>
      <c r="BD39" s="17">
        <v>2</v>
      </c>
      <c r="BE39" s="17" t="str">
        <v>nivolumab_plus_ipilimumab</v>
      </c>
      <c r="BF39" s="252">
        <f t="shared" si="30"/>
        <v>0.753</v>
      </c>
      <c r="BG39" s="252">
        <f t="shared" si="31"/>
        <v>0.753</v>
      </c>
      <c r="BH39" s="416">
        <f t="shared" si="26"/>
        <v>0.753</v>
      </c>
      <c r="BI39" s="416">
        <f t="shared" si="27"/>
        <v>0.68300000000000005</v>
      </c>
      <c r="BJ39" s="252">
        <f t="shared" si="32"/>
        <v>7.5300000000000006E-2</v>
      </c>
      <c r="BK39" s="252">
        <f t="shared" si="33"/>
        <v>7.5300000000000006E-2</v>
      </c>
      <c r="BL39" s="416">
        <f t="shared" si="28"/>
        <v>7.5300000000000006E-2</v>
      </c>
      <c r="BM39" s="416">
        <f t="shared" si="29"/>
        <v>6.8300000000000013E-2</v>
      </c>
    </row>
    <row r="40" spans="4:65" ht="15.75" customHeight="1" x14ac:dyDescent="0.2">
      <c r="D40" s="14" t="str">
        <v>lenvatinib_plus_everolimus</v>
      </c>
      <c r="H40" s="1"/>
      <c r="I40" s="1"/>
      <c r="J40" s="1"/>
      <c r="K40" s="408">
        <f t="shared" si="24"/>
        <v>0.753</v>
      </c>
      <c r="L40" s="408">
        <f t="shared" si="25"/>
        <v>7.5300000000000006E-2</v>
      </c>
      <c r="BA40" s="17">
        <v>2</v>
      </c>
      <c r="BB40" s="17" t="s">
        <v>833</v>
      </c>
      <c r="BC40" s="17">
        <v>1</v>
      </c>
      <c r="BD40" s="17">
        <v>3</v>
      </c>
      <c r="BE40" s="17" t="str">
        <v>lenvatinib_plus_pembrolizumab</v>
      </c>
      <c r="BF40" s="252">
        <f t="shared" si="30"/>
        <v>0.753</v>
      </c>
      <c r="BG40" s="252">
        <f t="shared" si="31"/>
        <v>0.753</v>
      </c>
      <c r="BH40" s="416">
        <f t="shared" si="26"/>
        <v>0.753</v>
      </c>
      <c r="BI40" s="416">
        <f t="shared" si="27"/>
        <v>0.68300000000000005</v>
      </c>
      <c r="BJ40" s="252">
        <f t="shared" si="32"/>
        <v>7.5300000000000006E-2</v>
      </c>
      <c r="BK40" s="252">
        <f t="shared" si="33"/>
        <v>7.5300000000000006E-2</v>
      </c>
      <c r="BL40" s="416">
        <f t="shared" si="28"/>
        <v>7.5300000000000006E-2</v>
      </c>
      <c r="BM40" s="416">
        <f t="shared" si="29"/>
        <v>6.8300000000000013E-2</v>
      </c>
    </row>
    <row r="41" spans="4:65" ht="15.75" customHeight="1" x14ac:dyDescent="0.2">
      <c r="D41" s="14" t="str">
        <v>everolimus</v>
      </c>
      <c r="H41" s="1"/>
      <c r="I41" s="1"/>
      <c r="J41" s="1"/>
      <c r="K41" s="408">
        <f t="shared" si="24"/>
        <v>0.753</v>
      </c>
      <c r="L41" s="408">
        <f t="shared" si="25"/>
        <v>7.5300000000000006E-2</v>
      </c>
      <c r="BA41" s="17">
        <v>2</v>
      </c>
      <c r="BB41" s="17" t="s">
        <v>833</v>
      </c>
      <c r="BC41" s="17">
        <v>1</v>
      </c>
      <c r="BD41" s="17">
        <v>4</v>
      </c>
      <c r="BE41" s="17" t="str">
        <v>avelumab_plus_axitinib</v>
      </c>
      <c r="BF41" s="252">
        <f t="shared" si="30"/>
        <v>0.753</v>
      </c>
      <c r="BG41" s="252">
        <f t="shared" si="31"/>
        <v>0.753</v>
      </c>
      <c r="BH41" s="416">
        <f t="shared" si="26"/>
        <v>0.753</v>
      </c>
      <c r="BI41" s="416">
        <f t="shared" si="27"/>
        <v>0.68300000000000005</v>
      </c>
      <c r="BJ41" s="252">
        <f t="shared" si="32"/>
        <v>7.5300000000000006E-2</v>
      </c>
      <c r="BK41" s="252">
        <f t="shared" si="33"/>
        <v>7.5300000000000006E-2</v>
      </c>
      <c r="BL41" s="416">
        <f t="shared" si="28"/>
        <v>7.5300000000000006E-2</v>
      </c>
      <c r="BM41" s="416">
        <f t="shared" si="29"/>
        <v>6.8300000000000013E-2</v>
      </c>
    </row>
    <row r="42" spans="4:65" ht="15.75" customHeight="1" x14ac:dyDescent="0.2">
      <c r="D42" s="14" t="str">
        <v>axitinib</v>
      </c>
      <c r="H42" s="1"/>
      <c r="I42" s="1"/>
      <c r="J42" s="1"/>
      <c r="K42" s="408">
        <f t="shared" si="24"/>
        <v>0.753</v>
      </c>
      <c r="L42" s="408">
        <f t="shared" si="25"/>
        <v>7.5300000000000006E-2</v>
      </c>
      <c r="BA42" s="17">
        <v>2</v>
      </c>
      <c r="BB42" s="17" t="s">
        <v>833</v>
      </c>
      <c r="BC42" s="17">
        <v>1</v>
      </c>
      <c r="BD42" s="17">
        <v>5</v>
      </c>
      <c r="BE42" s="17" t="str">
        <v>pazopanib</v>
      </c>
      <c r="BF42" s="252">
        <f t="shared" si="30"/>
        <v>0.753</v>
      </c>
      <c r="BG42" s="252">
        <f t="shared" si="31"/>
        <v>0.753</v>
      </c>
      <c r="BH42" s="416">
        <f t="shared" si="26"/>
        <v>0.753</v>
      </c>
      <c r="BI42" s="416">
        <f t="shared" si="27"/>
        <v>0.68300000000000005</v>
      </c>
      <c r="BJ42" s="252">
        <f t="shared" si="32"/>
        <v>7.5300000000000006E-2</v>
      </c>
      <c r="BK42" s="252">
        <f t="shared" si="33"/>
        <v>7.5300000000000006E-2</v>
      </c>
      <c r="BL42" s="416">
        <f t="shared" si="28"/>
        <v>7.5300000000000006E-2</v>
      </c>
      <c r="BM42" s="416">
        <f t="shared" si="29"/>
        <v>6.8300000000000013E-2</v>
      </c>
    </row>
    <row r="43" spans="4:65" ht="15.75" customHeight="1" x14ac:dyDescent="0.2">
      <c r="D43" s="14" t="str">
        <v>sorafenib</v>
      </c>
      <c r="H43" s="1"/>
      <c r="I43" s="1"/>
      <c r="J43" s="1"/>
      <c r="K43" s="408">
        <f t="shared" si="24"/>
        <v>0.753</v>
      </c>
      <c r="L43" s="408">
        <f t="shared" si="25"/>
        <v>7.5300000000000006E-2</v>
      </c>
      <c r="BA43" s="17">
        <v>2</v>
      </c>
      <c r="BB43" s="17" t="s">
        <v>833</v>
      </c>
      <c r="BC43" s="17">
        <v>1</v>
      </c>
      <c r="BD43" s="17">
        <v>6</v>
      </c>
      <c r="BE43" s="17" t="str">
        <v>tivozanib</v>
      </c>
      <c r="BF43" s="252">
        <f t="shared" si="30"/>
        <v>0.753</v>
      </c>
      <c r="BG43" s="252">
        <f t="shared" si="31"/>
        <v>0.753</v>
      </c>
      <c r="BH43" s="416">
        <f t="shared" si="26"/>
        <v>0.753</v>
      </c>
      <c r="BI43" s="416">
        <f t="shared" si="27"/>
        <v>0.68300000000000005</v>
      </c>
      <c r="BJ43" s="252">
        <f t="shared" si="32"/>
        <v>7.5300000000000006E-2</v>
      </c>
      <c r="BK43" s="252">
        <f t="shared" si="33"/>
        <v>7.5300000000000006E-2</v>
      </c>
      <c r="BL43" s="416">
        <f t="shared" si="28"/>
        <v>7.5300000000000006E-2</v>
      </c>
      <c r="BM43" s="416">
        <f t="shared" si="29"/>
        <v>6.8300000000000013E-2</v>
      </c>
    </row>
    <row r="44" spans="4:65" ht="15.75" customHeight="1" x14ac:dyDescent="0.2">
      <c r="D44" s="14" t="str">
        <v>placebo_BSC</v>
      </c>
      <c r="H44" s="1"/>
      <c r="I44" s="1"/>
      <c r="J44" s="1"/>
      <c r="W44" s="408">
        <f>W28</f>
        <v>0.48163685360833497</v>
      </c>
      <c r="X44" s="408">
        <f>X28</f>
        <v>4.81636853608335E-2</v>
      </c>
      <c r="BA44" s="17">
        <v>2</v>
      </c>
      <c r="BB44" s="17" t="s">
        <v>833</v>
      </c>
      <c r="BC44" s="17">
        <v>1</v>
      </c>
      <c r="BD44" s="17">
        <v>7</v>
      </c>
      <c r="BE44" s="17" t="str">
        <v>sunitinib</v>
      </c>
      <c r="BF44" s="252">
        <f t="shared" si="30"/>
        <v>0.753</v>
      </c>
      <c r="BG44" s="252">
        <f t="shared" si="31"/>
        <v>0.753</v>
      </c>
      <c r="BH44" s="416">
        <f t="shared" si="26"/>
        <v>0.753</v>
      </c>
      <c r="BI44" s="416">
        <f t="shared" si="27"/>
        <v>0.68300000000000005</v>
      </c>
      <c r="BJ44" s="252">
        <f t="shared" si="32"/>
        <v>7.5300000000000006E-2</v>
      </c>
      <c r="BK44" s="252">
        <f t="shared" si="33"/>
        <v>7.5300000000000006E-2</v>
      </c>
      <c r="BL44" s="416">
        <f t="shared" si="28"/>
        <v>7.5300000000000006E-2</v>
      </c>
      <c r="BM44" s="416">
        <f t="shared" si="29"/>
        <v>6.8300000000000013E-2</v>
      </c>
    </row>
    <row r="45" spans="4:65" ht="15.75" customHeight="1" x14ac:dyDescent="0.2">
      <c r="D45" s="14"/>
      <c r="H45" s="1"/>
      <c r="I45" s="1"/>
      <c r="J45" s="1"/>
      <c r="BA45" s="17">
        <v>2</v>
      </c>
      <c r="BB45" s="17" t="s">
        <v>833</v>
      </c>
      <c r="BC45" s="17">
        <v>1</v>
      </c>
      <c r="BD45" s="17">
        <v>8</v>
      </c>
      <c r="BE45" s="17" t="str">
        <v>cabozantinib</v>
      </c>
      <c r="BF45" s="252">
        <f t="shared" si="30"/>
        <v>0.753</v>
      </c>
      <c r="BG45" s="252">
        <f t="shared" si="31"/>
        <v>0.753</v>
      </c>
      <c r="BH45" s="416">
        <f t="shared" si="26"/>
        <v>0.753</v>
      </c>
      <c r="BI45" s="416">
        <f t="shared" si="27"/>
        <v>0.68300000000000005</v>
      </c>
      <c r="BJ45" s="252">
        <f t="shared" si="32"/>
        <v>7.5300000000000006E-2</v>
      </c>
      <c r="BK45" s="252">
        <f t="shared" si="33"/>
        <v>7.5300000000000006E-2</v>
      </c>
      <c r="BL45" s="416">
        <f t="shared" si="28"/>
        <v>7.5300000000000006E-2</v>
      </c>
      <c r="BM45" s="416">
        <f t="shared" si="29"/>
        <v>6.8300000000000013E-2</v>
      </c>
    </row>
    <row r="46" spans="4:65" ht="15.75" customHeight="1" x14ac:dyDescent="0.25">
      <c r="D46" s="70" t="str">
        <f t="array" ref="D46">INDEX(Lists!$D$11:$D$13,$C$12)</f>
        <v>Favourable risk</v>
      </c>
      <c r="H46" s="1497"/>
      <c r="I46" s="1497"/>
      <c r="J46" s="1497"/>
      <c r="BA46" s="17">
        <v>2</v>
      </c>
      <c r="BB46" s="17" t="s">
        <v>833</v>
      </c>
      <c r="BC46" s="17">
        <v>1</v>
      </c>
      <c r="BD46" s="17">
        <v>9</v>
      </c>
      <c r="BE46" s="17" t="str">
        <v>lenvatinib_plus_everolimus</v>
      </c>
      <c r="BF46" s="252">
        <f t="shared" si="30"/>
        <v>0.753</v>
      </c>
      <c r="BG46" s="252">
        <f t="shared" si="31"/>
        <v>0.753</v>
      </c>
      <c r="BH46" s="416">
        <f t="shared" si="26"/>
        <v>0.753</v>
      </c>
      <c r="BI46" s="416">
        <f t="shared" si="27"/>
        <v>0.68300000000000005</v>
      </c>
      <c r="BJ46" s="252">
        <f t="shared" si="32"/>
        <v>7.5300000000000006E-2</v>
      </c>
      <c r="BK46" s="252">
        <f t="shared" si="33"/>
        <v>7.5300000000000006E-2</v>
      </c>
      <c r="BL46" s="416">
        <f t="shared" si="28"/>
        <v>7.5300000000000006E-2</v>
      </c>
      <c r="BM46" s="416">
        <f t="shared" si="29"/>
        <v>6.8300000000000013E-2</v>
      </c>
    </row>
    <row r="47" spans="4:65" ht="15.75" customHeight="1" x14ac:dyDescent="0.2">
      <c r="D47" s="14" t="str" cm="1">
        <f t="array" ref="D47:D60">List_comparators</f>
        <v>nivolumab_monotherapy</v>
      </c>
      <c r="H47" s="1"/>
      <c r="I47" s="1"/>
      <c r="J47" s="1"/>
      <c r="K47" s="408">
        <f t="shared" ref="K47:K59" si="34">IF(OR(i_sc_util_num=1,i_sc_util_num=2,i_sc_util_num=7),$AS$13,K15)</f>
        <v>0.753</v>
      </c>
      <c r="L47" s="408">
        <f t="shared" ref="L47:L59" si="35">L15</f>
        <v>7.5300000000000006E-2</v>
      </c>
      <c r="BA47" s="17">
        <v>2</v>
      </c>
      <c r="BB47" s="17" t="s">
        <v>833</v>
      </c>
      <c r="BC47" s="17">
        <v>1</v>
      </c>
      <c r="BD47" s="17">
        <v>10</v>
      </c>
      <c r="BE47" s="17" t="str">
        <v>everolimus</v>
      </c>
      <c r="BF47" s="252">
        <f t="shared" si="30"/>
        <v>0.753</v>
      </c>
      <c r="BG47" s="252">
        <f t="shared" si="31"/>
        <v>0.753</v>
      </c>
      <c r="BH47" s="416">
        <f t="shared" si="26"/>
        <v>0.753</v>
      </c>
      <c r="BI47" s="416">
        <f t="shared" si="27"/>
        <v>0.68300000000000005</v>
      </c>
      <c r="BJ47" s="252">
        <f t="shared" si="32"/>
        <v>7.5300000000000006E-2</v>
      </c>
      <c r="BK47" s="252">
        <f t="shared" si="33"/>
        <v>7.5300000000000006E-2</v>
      </c>
      <c r="BL47" s="416">
        <f t="shared" si="28"/>
        <v>7.5300000000000006E-2</v>
      </c>
      <c r="BM47" s="416">
        <f t="shared" si="29"/>
        <v>6.8300000000000013E-2</v>
      </c>
    </row>
    <row r="48" spans="4:65" ht="15.75" customHeight="1" x14ac:dyDescent="0.2">
      <c r="D48" s="14" t="str">
        <v>cabozantinib_plus_nivolumab</v>
      </c>
      <c r="H48" s="1"/>
      <c r="I48" s="1"/>
      <c r="J48" s="1"/>
      <c r="K48" s="408">
        <f t="shared" si="34"/>
        <v>0.753</v>
      </c>
      <c r="L48" s="408">
        <f t="shared" si="35"/>
        <v>7.5300000000000006E-2</v>
      </c>
      <c r="BA48" s="17">
        <v>2</v>
      </c>
      <c r="BB48" s="17" t="s">
        <v>833</v>
      </c>
      <c r="BC48" s="17">
        <v>1</v>
      </c>
      <c r="BD48" s="17">
        <v>11</v>
      </c>
      <c r="BE48" s="17" t="str">
        <v>axitinib</v>
      </c>
      <c r="BF48" s="252">
        <f t="shared" si="30"/>
        <v>0.753</v>
      </c>
      <c r="BG48" s="252">
        <f t="shared" si="31"/>
        <v>0.753</v>
      </c>
      <c r="BH48" s="416">
        <f t="shared" si="26"/>
        <v>0.753</v>
      </c>
      <c r="BI48" s="416">
        <f t="shared" si="27"/>
        <v>0.68300000000000005</v>
      </c>
      <c r="BJ48" s="252">
        <f t="shared" si="32"/>
        <v>7.5300000000000006E-2</v>
      </c>
      <c r="BK48" s="252">
        <f t="shared" si="33"/>
        <v>7.5300000000000006E-2</v>
      </c>
      <c r="BL48" s="416">
        <f t="shared" si="28"/>
        <v>7.5300000000000006E-2</v>
      </c>
      <c r="BM48" s="416">
        <f t="shared" si="29"/>
        <v>6.8300000000000013E-2</v>
      </c>
    </row>
    <row r="49" spans="4:65" ht="15.75" customHeight="1" x14ac:dyDescent="0.2">
      <c r="D49" s="14" t="str">
        <v>nivolumab_plus_ipilimumab</v>
      </c>
      <c r="H49" s="1"/>
      <c r="I49" s="1"/>
      <c r="J49" s="1"/>
      <c r="K49" s="408">
        <f t="shared" si="34"/>
        <v>0.753</v>
      </c>
      <c r="L49" s="408">
        <f t="shared" si="35"/>
        <v>7.5300000000000006E-2</v>
      </c>
      <c r="BA49" s="17">
        <v>2</v>
      </c>
      <c r="BB49" s="17" t="s">
        <v>833</v>
      </c>
      <c r="BC49" s="17">
        <v>1</v>
      </c>
      <c r="BD49" s="17">
        <v>12</v>
      </c>
      <c r="BE49" s="17" t="str">
        <v>sorafenib</v>
      </c>
      <c r="BF49" s="252">
        <f t="shared" si="30"/>
        <v>0.753</v>
      </c>
      <c r="BG49" s="252">
        <f t="shared" si="31"/>
        <v>0.753</v>
      </c>
      <c r="BH49" s="416">
        <f t="shared" si="26"/>
        <v>0.753</v>
      </c>
      <c r="BI49" s="416">
        <f t="shared" si="27"/>
        <v>0.68300000000000005</v>
      </c>
      <c r="BJ49" s="252">
        <f t="shared" si="32"/>
        <v>7.5300000000000006E-2</v>
      </c>
      <c r="BK49" s="252">
        <f t="shared" si="33"/>
        <v>7.5300000000000006E-2</v>
      </c>
      <c r="BL49" s="416">
        <f t="shared" si="28"/>
        <v>7.5300000000000006E-2</v>
      </c>
      <c r="BM49" s="416">
        <f t="shared" si="29"/>
        <v>6.8300000000000013E-2</v>
      </c>
    </row>
    <row r="50" spans="4:65" ht="15.75" customHeight="1" thickBot="1" x14ac:dyDescent="0.25">
      <c r="D50" s="14" t="str">
        <v>lenvatinib_plus_pembrolizumab</v>
      </c>
      <c r="H50" s="1"/>
      <c r="I50" s="1"/>
      <c r="J50" s="1"/>
      <c r="K50" s="408">
        <f t="shared" si="34"/>
        <v>0.753</v>
      </c>
      <c r="L50" s="408">
        <f t="shared" si="35"/>
        <v>7.5300000000000006E-2</v>
      </c>
      <c r="BA50" s="19">
        <v>2</v>
      </c>
      <c r="BB50" s="19" t="s">
        <v>833</v>
      </c>
      <c r="BC50" s="19">
        <v>1</v>
      </c>
      <c r="BD50" s="19">
        <v>999</v>
      </c>
      <c r="BE50" s="19" t="str">
        <v>placebo_BSC</v>
      </c>
      <c r="BF50" s="19">
        <f>IF(i_bsc_util_num=1,$BH49,IF(i_bsc_util_num=2,$BI49,$W$28))</f>
        <v>0.68300000000000005</v>
      </c>
      <c r="BG50" s="19">
        <f>IF(i_bsc_util_num=1,$BH49,IF(i_bsc_util_num=2,$BI49,$W$28))</f>
        <v>0.68300000000000005</v>
      </c>
      <c r="BH50" s="19">
        <f>IF(i_bsc_util_num=1,$BH49,IF(i_bsc_util_num=2,$BI49,$W$28))</f>
        <v>0.68300000000000005</v>
      </c>
      <c r="BI50" s="19">
        <f>IF(i_bsc_util_num=1,$BH49,IF(i_bsc_util_num=2,$BI49,$W$28))</f>
        <v>0.68300000000000005</v>
      </c>
      <c r="BJ50" s="19">
        <f>IF(i_bsc_util_num=1,$BL49,IF(i_bsc_util_num=2,$BM49,$X$28))</f>
        <v>6.8300000000000013E-2</v>
      </c>
      <c r="BK50" s="19">
        <f>IF(i_bsc_util_num=1,$BL49,IF(i_bsc_util_num=2,$BM49,$X$28))</f>
        <v>6.8300000000000013E-2</v>
      </c>
      <c r="BL50" s="19">
        <f>IF(i_bsc_util_num=1,$BL49,IF(i_bsc_util_num=2,$BM49,$X$28))</f>
        <v>6.8300000000000013E-2</v>
      </c>
      <c r="BM50" s="19">
        <f>IF(i_bsc_util_num=1,$BL49,IF(i_bsc_util_num=2,$BM49,$X$28))</f>
        <v>6.8300000000000013E-2</v>
      </c>
    </row>
    <row r="51" spans="4:65" ht="15.75" customHeight="1" x14ac:dyDescent="0.2">
      <c r="D51" s="14" t="str">
        <v>avelumab_plus_axitinib</v>
      </c>
      <c r="H51" s="1"/>
      <c r="I51" s="1"/>
      <c r="J51" s="1"/>
      <c r="K51" s="408">
        <f t="shared" si="34"/>
        <v>0.753</v>
      </c>
      <c r="L51" s="408">
        <f t="shared" si="35"/>
        <v>7.5300000000000006E-2</v>
      </c>
      <c r="BA51" s="252">
        <v>0</v>
      </c>
      <c r="BB51" s="252" t="s">
        <v>31</v>
      </c>
      <c r="BC51" s="252">
        <v>2</v>
      </c>
      <c r="BD51" s="17">
        <v>0</v>
      </c>
      <c r="BE51" s="252" t="str" cm="1">
        <f t="array" ref="BE51:BE64">List_comparators</f>
        <v>nivolumab_monotherapy</v>
      </c>
      <c r="BF51" s="252">
        <f>N115</f>
        <v>0.68300000000000005</v>
      </c>
      <c r="BG51" s="252">
        <f>N165</f>
        <v>0.68300000000000005</v>
      </c>
      <c r="BH51" s="252">
        <f t="shared" ref="BH51:BH63" si="36">N15</f>
        <v>0.68300000000000005</v>
      </c>
      <c r="BI51" s="414">
        <f t="shared" ref="BI51:BI63" si="37">N65</f>
        <v>0.61625183016105411</v>
      </c>
      <c r="BJ51" s="252">
        <f>O115</f>
        <v>6.8300000000000013E-2</v>
      </c>
      <c r="BK51" s="252">
        <f>O165</f>
        <v>6.8300000000000013E-2</v>
      </c>
      <c r="BL51" s="414">
        <f t="shared" ref="BL51:BL63" si="38">O15</f>
        <v>6.8300000000000013E-2</v>
      </c>
      <c r="BM51" s="414">
        <f t="shared" ref="BM51:BM63" si="39">O65</f>
        <v>6.1625183016105416E-2</v>
      </c>
    </row>
    <row r="52" spans="4:65" ht="15.75" customHeight="1" x14ac:dyDescent="0.2">
      <c r="D52" s="14" t="str">
        <v>pazopanib</v>
      </c>
      <c r="H52" s="1"/>
      <c r="I52" s="1"/>
      <c r="J52" s="1"/>
      <c r="K52" s="408">
        <f t="shared" si="34"/>
        <v>0.753</v>
      </c>
      <c r="L52" s="408">
        <f t="shared" si="35"/>
        <v>7.5300000000000006E-2</v>
      </c>
      <c r="BA52" s="17">
        <v>0</v>
      </c>
      <c r="BB52" s="17" t="s">
        <v>31</v>
      </c>
      <c r="BC52" s="17">
        <v>2</v>
      </c>
      <c r="BD52" s="17">
        <v>1</v>
      </c>
      <c r="BE52" s="17" t="str">
        <v>cabozantinib_plus_nivolumab</v>
      </c>
      <c r="BF52" s="252">
        <f t="shared" ref="BF52:BF63" si="40">N116</f>
        <v>0.68300000000000005</v>
      </c>
      <c r="BG52" s="252">
        <f t="shared" ref="BG52:BG63" si="41">N166</f>
        <v>0.68300000000000005</v>
      </c>
      <c r="BH52" s="17">
        <f t="shared" si="36"/>
        <v>0.68300000000000005</v>
      </c>
      <c r="BI52" s="415">
        <f t="shared" si="37"/>
        <v>0.61625183016105411</v>
      </c>
      <c r="BJ52" s="252">
        <f t="shared" ref="BJ52:BJ63" si="42">O116</f>
        <v>6.8300000000000013E-2</v>
      </c>
      <c r="BK52" s="252">
        <f t="shared" ref="BK52:BK63" si="43">O166</f>
        <v>6.8300000000000013E-2</v>
      </c>
      <c r="BL52" s="414">
        <f t="shared" si="38"/>
        <v>6.8300000000000013E-2</v>
      </c>
      <c r="BM52" s="414">
        <f t="shared" si="39"/>
        <v>6.1625183016105416E-2</v>
      </c>
    </row>
    <row r="53" spans="4:65" ht="15.75" customHeight="1" x14ac:dyDescent="0.2">
      <c r="D53" s="14" t="str">
        <v>tivozanib</v>
      </c>
      <c r="H53" s="1"/>
      <c r="I53" s="1"/>
      <c r="J53" s="1"/>
      <c r="K53" s="408">
        <f t="shared" si="34"/>
        <v>0.753</v>
      </c>
      <c r="L53" s="408">
        <f t="shared" si="35"/>
        <v>7.5300000000000006E-2</v>
      </c>
      <c r="BA53" s="17">
        <v>0</v>
      </c>
      <c r="BB53" s="17" t="s">
        <v>31</v>
      </c>
      <c r="BC53" s="17">
        <v>2</v>
      </c>
      <c r="BD53" s="17">
        <v>2</v>
      </c>
      <c r="BE53" s="17" t="str">
        <v>nivolumab_plus_ipilimumab</v>
      </c>
      <c r="BF53" s="252">
        <f t="shared" si="40"/>
        <v>0.68300000000000005</v>
      </c>
      <c r="BG53" s="252">
        <f t="shared" si="41"/>
        <v>0.68300000000000005</v>
      </c>
      <c r="BH53" s="17">
        <f t="shared" si="36"/>
        <v>0.68300000000000005</v>
      </c>
      <c r="BI53" s="416">
        <f t="shared" si="37"/>
        <v>0.61625183016105411</v>
      </c>
      <c r="BJ53" s="252">
        <f t="shared" si="42"/>
        <v>6.8300000000000013E-2</v>
      </c>
      <c r="BK53" s="252">
        <f t="shared" si="43"/>
        <v>6.8300000000000013E-2</v>
      </c>
      <c r="BL53" s="418">
        <f t="shared" si="38"/>
        <v>6.8300000000000013E-2</v>
      </c>
      <c r="BM53" s="418">
        <f t="shared" si="39"/>
        <v>6.1625183016105416E-2</v>
      </c>
    </row>
    <row r="54" spans="4:65" ht="15.75" customHeight="1" x14ac:dyDescent="0.2">
      <c r="D54" s="14" t="str">
        <v>sunitinib</v>
      </c>
      <c r="H54" s="1"/>
      <c r="I54" s="1"/>
      <c r="J54" s="1"/>
      <c r="K54" s="408">
        <f t="shared" si="34"/>
        <v>0.753</v>
      </c>
      <c r="L54" s="408">
        <f t="shared" si="35"/>
        <v>7.5300000000000006E-2</v>
      </c>
      <c r="BA54" s="17">
        <v>0</v>
      </c>
      <c r="BB54" s="17" t="s">
        <v>31</v>
      </c>
      <c r="BC54" s="17">
        <v>2</v>
      </c>
      <c r="BD54" s="17">
        <v>3</v>
      </c>
      <c r="BE54" s="17" t="str">
        <v>lenvatinib_plus_pembrolizumab</v>
      </c>
      <c r="BF54" s="252">
        <f t="shared" si="40"/>
        <v>0.68300000000000005</v>
      </c>
      <c r="BG54" s="252">
        <f t="shared" si="41"/>
        <v>0.68300000000000005</v>
      </c>
      <c r="BH54" s="17">
        <f t="shared" si="36"/>
        <v>0.68300000000000005</v>
      </c>
      <c r="BI54" s="416">
        <f t="shared" si="37"/>
        <v>0.61625183016105411</v>
      </c>
      <c r="BJ54" s="252">
        <f t="shared" si="42"/>
        <v>6.8300000000000013E-2</v>
      </c>
      <c r="BK54" s="252">
        <f t="shared" si="43"/>
        <v>6.8300000000000013E-2</v>
      </c>
      <c r="BL54" s="418">
        <f t="shared" si="38"/>
        <v>6.8300000000000013E-2</v>
      </c>
      <c r="BM54" s="418">
        <f t="shared" si="39"/>
        <v>6.1625183016105416E-2</v>
      </c>
    </row>
    <row r="55" spans="4:65" ht="15.75" customHeight="1" x14ac:dyDescent="0.2">
      <c r="D55" s="14" t="str">
        <v>cabozantinib</v>
      </c>
      <c r="H55" s="1"/>
      <c r="I55" s="1"/>
      <c r="J55" s="1"/>
      <c r="K55" s="408">
        <f t="shared" si="34"/>
        <v>0.753</v>
      </c>
      <c r="L55" s="408">
        <f t="shared" si="35"/>
        <v>7.5300000000000006E-2</v>
      </c>
      <c r="BA55" s="17">
        <v>0</v>
      </c>
      <c r="BB55" s="17" t="s">
        <v>31</v>
      </c>
      <c r="BC55" s="17">
        <v>2</v>
      </c>
      <c r="BD55" s="17">
        <v>4</v>
      </c>
      <c r="BE55" s="17" t="str">
        <v>avelumab_plus_axitinib</v>
      </c>
      <c r="BF55" s="252">
        <f t="shared" si="40"/>
        <v>0.68300000000000005</v>
      </c>
      <c r="BG55" s="252">
        <f t="shared" si="41"/>
        <v>0.68300000000000005</v>
      </c>
      <c r="BH55" s="17">
        <f t="shared" si="36"/>
        <v>0.68300000000000005</v>
      </c>
      <c r="BI55" s="416">
        <f t="shared" si="37"/>
        <v>0.61625183016105411</v>
      </c>
      <c r="BJ55" s="252">
        <f t="shared" si="42"/>
        <v>6.8300000000000013E-2</v>
      </c>
      <c r="BK55" s="252">
        <f t="shared" si="43"/>
        <v>6.8300000000000013E-2</v>
      </c>
      <c r="BL55" s="418">
        <f t="shared" si="38"/>
        <v>6.8300000000000013E-2</v>
      </c>
      <c r="BM55" s="418">
        <f t="shared" si="39"/>
        <v>6.1625183016105416E-2</v>
      </c>
    </row>
    <row r="56" spans="4:65" ht="15.75" customHeight="1" x14ac:dyDescent="0.2">
      <c r="D56" s="14" t="str">
        <v>lenvatinib_plus_everolimus</v>
      </c>
      <c r="H56" s="1"/>
      <c r="I56" s="1"/>
      <c r="J56" s="1"/>
      <c r="K56" s="408">
        <f t="shared" si="34"/>
        <v>0.753</v>
      </c>
      <c r="L56" s="408">
        <f t="shared" si="35"/>
        <v>7.5300000000000006E-2</v>
      </c>
      <c r="BA56" s="17">
        <v>0</v>
      </c>
      <c r="BB56" s="17" t="s">
        <v>31</v>
      </c>
      <c r="BC56" s="17">
        <v>2</v>
      </c>
      <c r="BD56" s="17">
        <v>5</v>
      </c>
      <c r="BE56" s="17" t="str">
        <v>pazopanib</v>
      </c>
      <c r="BF56" s="252">
        <f t="shared" si="40"/>
        <v>0.68300000000000005</v>
      </c>
      <c r="BG56" s="252">
        <f t="shared" si="41"/>
        <v>0.68300000000000005</v>
      </c>
      <c r="BH56" s="17">
        <f t="shared" si="36"/>
        <v>0.68300000000000005</v>
      </c>
      <c r="BI56" s="416">
        <f t="shared" si="37"/>
        <v>0.61625183016105411</v>
      </c>
      <c r="BJ56" s="252">
        <f t="shared" si="42"/>
        <v>6.8300000000000013E-2</v>
      </c>
      <c r="BK56" s="252">
        <f t="shared" si="43"/>
        <v>6.8300000000000013E-2</v>
      </c>
      <c r="BL56" s="418">
        <f t="shared" si="38"/>
        <v>6.8300000000000013E-2</v>
      </c>
      <c r="BM56" s="418">
        <f t="shared" si="39"/>
        <v>6.1625183016105416E-2</v>
      </c>
    </row>
    <row r="57" spans="4:65" x14ac:dyDescent="0.2">
      <c r="D57" s="14" t="str">
        <v>everolimus</v>
      </c>
      <c r="H57" s="1"/>
      <c r="I57" s="1"/>
      <c r="J57" s="1"/>
      <c r="K57" s="408">
        <f t="shared" si="34"/>
        <v>0.753</v>
      </c>
      <c r="L57" s="408">
        <f t="shared" si="35"/>
        <v>7.5300000000000006E-2</v>
      </c>
      <c r="BA57" s="17">
        <v>0</v>
      </c>
      <c r="BB57" s="17" t="s">
        <v>31</v>
      </c>
      <c r="BC57" s="17">
        <v>2</v>
      </c>
      <c r="BD57" s="17">
        <v>6</v>
      </c>
      <c r="BE57" s="17" t="str">
        <v>tivozanib</v>
      </c>
      <c r="BF57" s="252">
        <f t="shared" si="40"/>
        <v>0.68300000000000005</v>
      </c>
      <c r="BG57" s="252">
        <f t="shared" si="41"/>
        <v>0.68300000000000005</v>
      </c>
      <c r="BH57" s="17">
        <f t="shared" si="36"/>
        <v>0.68300000000000005</v>
      </c>
      <c r="BI57" s="416">
        <f t="shared" si="37"/>
        <v>0.61625183016105411</v>
      </c>
      <c r="BJ57" s="252">
        <f t="shared" si="42"/>
        <v>6.8300000000000013E-2</v>
      </c>
      <c r="BK57" s="252">
        <f t="shared" si="43"/>
        <v>6.8300000000000013E-2</v>
      </c>
      <c r="BL57" s="418">
        <f t="shared" si="38"/>
        <v>6.8300000000000013E-2</v>
      </c>
      <c r="BM57" s="418">
        <f t="shared" si="39"/>
        <v>6.1625183016105416E-2</v>
      </c>
    </row>
    <row r="58" spans="4:65" x14ac:dyDescent="0.2">
      <c r="D58" s="14" t="str">
        <v>axitinib</v>
      </c>
      <c r="H58" s="1"/>
      <c r="I58" s="1"/>
      <c r="J58" s="1"/>
      <c r="K58" s="408">
        <f t="shared" si="34"/>
        <v>0.753</v>
      </c>
      <c r="L58" s="408">
        <f t="shared" si="35"/>
        <v>7.5300000000000006E-2</v>
      </c>
      <c r="BA58" s="17">
        <v>0</v>
      </c>
      <c r="BB58" s="17" t="s">
        <v>31</v>
      </c>
      <c r="BC58" s="17">
        <v>2</v>
      </c>
      <c r="BD58" s="17">
        <v>7</v>
      </c>
      <c r="BE58" s="17" t="str">
        <v>sunitinib</v>
      </c>
      <c r="BF58" s="252">
        <f t="shared" si="40"/>
        <v>0.68300000000000005</v>
      </c>
      <c r="BG58" s="252">
        <f t="shared" si="41"/>
        <v>0.68300000000000005</v>
      </c>
      <c r="BH58" s="17">
        <f t="shared" si="36"/>
        <v>0.68300000000000005</v>
      </c>
      <c r="BI58" s="416">
        <f t="shared" si="37"/>
        <v>0.61625183016105411</v>
      </c>
      <c r="BJ58" s="252">
        <f t="shared" si="42"/>
        <v>6.8300000000000013E-2</v>
      </c>
      <c r="BK58" s="252">
        <f t="shared" si="43"/>
        <v>6.8300000000000013E-2</v>
      </c>
      <c r="BL58" s="418">
        <f t="shared" si="38"/>
        <v>6.8300000000000013E-2</v>
      </c>
      <c r="BM58" s="418">
        <f t="shared" si="39"/>
        <v>6.1625183016105416E-2</v>
      </c>
    </row>
    <row r="59" spans="4:65" x14ac:dyDescent="0.2">
      <c r="D59" s="14" t="str">
        <v>sorafenib</v>
      </c>
      <c r="K59" s="408">
        <f t="shared" si="34"/>
        <v>0.753</v>
      </c>
      <c r="L59" s="408">
        <f t="shared" si="35"/>
        <v>7.5300000000000006E-2</v>
      </c>
      <c r="BA59" s="17">
        <v>0</v>
      </c>
      <c r="BB59" s="17" t="s">
        <v>31</v>
      </c>
      <c r="BC59" s="17">
        <v>2</v>
      </c>
      <c r="BD59" s="17">
        <v>8</v>
      </c>
      <c r="BE59" s="17" t="str">
        <v>cabozantinib</v>
      </c>
      <c r="BF59" s="252">
        <f t="shared" si="40"/>
        <v>0.68300000000000005</v>
      </c>
      <c r="BG59" s="252">
        <f t="shared" si="41"/>
        <v>0.68300000000000005</v>
      </c>
      <c r="BH59" s="17">
        <f t="shared" si="36"/>
        <v>0.68300000000000005</v>
      </c>
      <c r="BI59" s="416">
        <f t="shared" si="37"/>
        <v>0.61625183016105411</v>
      </c>
      <c r="BJ59" s="252">
        <f t="shared" si="42"/>
        <v>6.8300000000000013E-2</v>
      </c>
      <c r="BK59" s="252">
        <f t="shared" si="43"/>
        <v>6.8300000000000013E-2</v>
      </c>
      <c r="BL59" s="418">
        <f t="shared" si="38"/>
        <v>6.8300000000000013E-2</v>
      </c>
      <c r="BM59" s="418">
        <f t="shared" si="39"/>
        <v>6.1625183016105416E-2</v>
      </c>
    </row>
    <row r="60" spans="4:65" x14ac:dyDescent="0.2">
      <c r="D60" s="14" t="str">
        <v>placebo_BSC</v>
      </c>
      <c r="W60" s="409">
        <f>W28</f>
        <v>0.48163685360833497</v>
      </c>
      <c r="X60" s="409">
        <f>X28</f>
        <v>4.81636853608335E-2</v>
      </c>
      <c r="BA60" s="17">
        <v>0</v>
      </c>
      <c r="BB60" s="17" t="s">
        <v>31</v>
      </c>
      <c r="BC60" s="17">
        <v>2</v>
      </c>
      <c r="BD60" s="17">
        <v>9</v>
      </c>
      <c r="BE60" s="17" t="str">
        <v>lenvatinib_plus_everolimus</v>
      </c>
      <c r="BF60" s="252">
        <f t="shared" si="40"/>
        <v>0.68300000000000005</v>
      </c>
      <c r="BG60" s="252">
        <f t="shared" si="41"/>
        <v>0.68300000000000005</v>
      </c>
      <c r="BH60" s="17">
        <f t="shared" si="36"/>
        <v>0.68300000000000005</v>
      </c>
      <c r="BI60" s="416">
        <f t="shared" si="37"/>
        <v>0.61625183016105411</v>
      </c>
      <c r="BJ60" s="252">
        <f t="shared" si="42"/>
        <v>6.8300000000000013E-2</v>
      </c>
      <c r="BK60" s="252">
        <f t="shared" si="43"/>
        <v>6.8300000000000013E-2</v>
      </c>
      <c r="BL60" s="418">
        <f t="shared" si="38"/>
        <v>6.8300000000000013E-2</v>
      </c>
      <c r="BM60" s="418">
        <f t="shared" si="39"/>
        <v>6.1625183016105416E-2</v>
      </c>
    </row>
    <row r="61" spans="4:65" x14ac:dyDescent="0.2">
      <c r="BA61" s="17">
        <v>0</v>
      </c>
      <c r="BB61" s="17" t="s">
        <v>31</v>
      </c>
      <c r="BC61" s="17">
        <v>2</v>
      </c>
      <c r="BD61" s="17">
        <v>10</v>
      </c>
      <c r="BE61" s="17" t="str">
        <v>everolimus</v>
      </c>
      <c r="BF61" s="252">
        <f t="shared" si="40"/>
        <v>0.68300000000000005</v>
      </c>
      <c r="BG61" s="252">
        <f t="shared" si="41"/>
        <v>0.68300000000000005</v>
      </c>
      <c r="BH61" s="17">
        <f t="shared" si="36"/>
        <v>0.68300000000000005</v>
      </c>
      <c r="BI61" s="416">
        <f t="shared" si="37"/>
        <v>0.61625183016105411</v>
      </c>
      <c r="BJ61" s="252">
        <f t="shared" si="42"/>
        <v>6.8300000000000013E-2</v>
      </c>
      <c r="BK61" s="252">
        <f t="shared" si="43"/>
        <v>6.8300000000000013E-2</v>
      </c>
      <c r="BL61" s="418">
        <f t="shared" si="38"/>
        <v>6.8300000000000013E-2</v>
      </c>
      <c r="BM61" s="418">
        <f t="shared" si="39"/>
        <v>6.1625183016105416E-2</v>
      </c>
    </row>
    <row r="62" spans="4:65" ht="16.5" thickBot="1" x14ac:dyDescent="0.3">
      <c r="D62" s="52" t="s">
        <v>834</v>
      </c>
      <c r="E62" s="22"/>
      <c r="F62" s="22"/>
      <c r="G62" s="22"/>
      <c r="H62" s="22"/>
      <c r="I62" s="22"/>
      <c r="J62" s="22"/>
      <c r="K62" s="22"/>
      <c r="L62" s="22"/>
      <c r="M62" s="22"/>
      <c r="N62" s="22"/>
      <c r="O62" s="22"/>
      <c r="P62" s="22"/>
      <c r="Q62" s="22"/>
      <c r="R62" s="22"/>
      <c r="S62" s="22"/>
      <c r="T62" s="22"/>
      <c r="U62" s="22"/>
      <c r="V62" s="22"/>
      <c r="W62" s="22"/>
      <c r="X62" s="22"/>
      <c r="BA62" s="17">
        <v>0</v>
      </c>
      <c r="BB62" s="17" t="s">
        <v>31</v>
      </c>
      <c r="BC62" s="17">
        <v>2</v>
      </c>
      <c r="BD62" s="17">
        <v>11</v>
      </c>
      <c r="BE62" s="17" t="str">
        <v>axitinib</v>
      </c>
      <c r="BF62" s="252">
        <f t="shared" si="40"/>
        <v>0.68300000000000005</v>
      </c>
      <c r="BG62" s="252">
        <f t="shared" si="41"/>
        <v>0.68300000000000005</v>
      </c>
      <c r="BH62" s="17">
        <f t="shared" si="36"/>
        <v>0.68300000000000005</v>
      </c>
      <c r="BI62" s="416">
        <f t="shared" si="37"/>
        <v>0.61625183016105411</v>
      </c>
      <c r="BJ62" s="252">
        <f t="shared" si="42"/>
        <v>6.8300000000000013E-2</v>
      </c>
      <c r="BK62" s="252">
        <f t="shared" si="43"/>
        <v>6.8300000000000013E-2</v>
      </c>
      <c r="BL62" s="418">
        <f t="shared" si="38"/>
        <v>6.8300000000000013E-2</v>
      </c>
      <c r="BM62" s="418">
        <f t="shared" si="39"/>
        <v>6.1625183016105416E-2</v>
      </c>
    </row>
    <row r="63" spans="4:65" ht="15.75" x14ac:dyDescent="0.25">
      <c r="D63" s="12"/>
      <c r="BA63" s="17">
        <v>0</v>
      </c>
      <c r="BB63" s="17" t="s">
        <v>31</v>
      </c>
      <c r="BC63" s="17">
        <v>2</v>
      </c>
      <c r="BD63" s="17">
        <v>12</v>
      </c>
      <c r="BE63" s="17" t="str">
        <v>sorafenib</v>
      </c>
      <c r="BF63" s="252">
        <f t="shared" si="40"/>
        <v>0.68300000000000005</v>
      </c>
      <c r="BG63" s="252">
        <f t="shared" si="41"/>
        <v>0.68300000000000005</v>
      </c>
      <c r="BH63" s="17">
        <f t="shared" si="36"/>
        <v>0.68300000000000005</v>
      </c>
      <c r="BI63" s="416">
        <f t="shared" si="37"/>
        <v>0.61625183016105411</v>
      </c>
      <c r="BJ63" s="252">
        <f t="shared" si="42"/>
        <v>6.8300000000000013E-2</v>
      </c>
      <c r="BK63" s="252">
        <f t="shared" si="43"/>
        <v>6.8300000000000013E-2</v>
      </c>
      <c r="BL63" s="418">
        <f t="shared" si="38"/>
        <v>6.8300000000000013E-2</v>
      </c>
      <c r="BM63" s="418">
        <f t="shared" si="39"/>
        <v>6.1625183016105416E-2</v>
      </c>
    </row>
    <row r="64" spans="4:65" ht="16.5" thickBot="1" x14ac:dyDescent="0.3">
      <c r="D64" s="70" t="str">
        <f t="array" ref="D64">INDEX(Lists!$D$11:$D$13,$C$9)</f>
        <v>All</v>
      </c>
      <c r="H64" s="1497"/>
      <c r="I64" s="1497"/>
      <c r="J64" s="1497"/>
      <c r="AA64" s="59" t="s">
        <v>826</v>
      </c>
      <c r="BA64" s="19">
        <v>0</v>
      </c>
      <c r="BB64" s="19" t="s">
        <v>31</v>
      </c>
      <c r="BC64" s="19">
        <v>2</v>
      </c>
      <c r="BD64" s="19">
        <v>999</v>
      </c>
      <c r="BE64" s="19" t="str">
        <v>placebo_BSC</v>
      </c>
      <c r="BF64" s="19">
        <f>IF(i_bsc_util_num=1,$BH63,IF(i_bsc_util_num=2,$BI63,$W$28))</f>
        <v>0.61625183016105411</v>
      </c>
      <c r="BG64" s="19">
        <f>IF(i_bsc_util_num=1,$BH63,IF(i_bsc_util_num=2,$BI63,$W$28))</f>
        <v>0.61625183016105411</v>
      </c>
      <c r="BH64" s="19">
        <f>IF(i_bsc_util_num=1,$BH63,IF(i_bsc_util_num=2,$BI63,$W$28))</f>
        <v>0.61625183016105411</v>
      </c>
      <c r="BI64" s="19">
        <f>IF(i_bsc_util_num=1,$BH63,IF(i_bsc_util_num=2,$BI63,$W$28))</f>
        <v>0.61625183016105411</v>
      </c>
      <c r="BJ64" s="19">
        <f>IF(i_bsc_util_num=1,$BL63,IF(i_bsc_util_num=2,$BM63,$X$28))</f>
        <v>6.1625183016105416E-2</v>
      </c>
      <c r="BK64" s="19">
        <f>IF(i_bsc_util_num=1,$BL63,IF(i_bsc_util_num=2,$BM63,$X$28))</f>
        <v>6.1625183016105416E-2</v>
      </c>
      <c r="BL64" s="19">
        <f>IF(i_bsc_util_num=1,$BL63,IF(i_bsc_util_num=2,$BM63,$X$28))</f>
        <v>6.1625183016105416E-2</v>
      </c>
      <c r="BM64" s="19">
        <f>IF(i_bsc_util_num=1,$BL63,IF(i_bsc_util_num=2,$BM63,$X$28))</f>
        <v>6.1625183016105416E-2</v>
      </c>
    </row>
    <row r="65" spans="4:65" x14ac:dyDescent="0.2">
      <c r="D65" s="14" t="str" cm="1">
        <f t="array" ref="D65:D78">List_comparators</f>
        <v>nivolumab_monotherapy</v>
      </c>
      <c r="H65" s="1"/>
      <c r="I65" s="1"/>
      <c r="J65" s="51"/>
      <c r="K65" s="408">
        <f t="shared" ref="K65:K77" si="44">IF(OR(i_sc_util_num=1,i_sc_util_num=2),$AT$15,IF(i_sc_util_num=7,$AS$15*(0.683/0.753),0.683))</f>
        <v>0.68300000000000005</v>
      </c>
      <c r="L65" s="409">
        <f t="shared" ref="L65:L77" si="45">i_SE_util*K65</f>
        <v>6.8300000000000013E-2</v>
      </c>
      <c r="N65" s="408">
        <f t="shared" ref="N65:N77" si="46">IF(i_sc_util_num=2,$AT$15,0.69/0.683*0.61)</f>
        <v>0.61625183016105411</v>
      </c>
      <c r="O65" s="409">
        <f t="shared" ref="O65:O77" si="47">i_SE_util*N65</f>
        <v>6.1625183016105416E-2</v>
      </c>
      <c r="Q65" s="408">
        <f t="shared" ref="Q65:Q77" si="48">CHOOSE(i_sc_util_num,0.61/0.69*N65,$AT$15,N65,$AT$20,0.61/0.69*N65,0.61/0.69*N65,0.61/0.69*N65)</f>
        <v>0.54480234260614935</v>
      </c>
      <c r="R65" s="409">
        <f t="shared" ref="R65:R77" si="49">i_SE_util*Q65</f>
        <v>5.4480234260614935E-2</v>
      </c>
      <c r="T65" s="408">
        <f t="shared" ref="T65:T77" si="50">CHOOSE(i_sc_util_num,0.61/0.69*Q65,$AT$15,N65,$AT$21,0.61/0.69*Q65,0.61/0.69*Q65,0.61/0.69*Q65)</f>
        <v>0.48163685360833497</v>
      </c>
      <c r="U65" s="409">
        <f t="shared" ref="U65:U77" si="51">i_SE_util*T65</f>
        <v>4.81636853608335E-2</v>
      </c>
      <c r="AA65" s="274" t="s">
        <v>828</v>
      </c>
      <c r="BA65" s="252">
        <v>0</v>
      </c>
      <c r="BB65" s="252" t="s">
        <v>31</v>
      </c>
      <c r="BC65" s="252">
        <v>3</v>
      </c>
      <c r="BD65" s="17">
        <v>0</v>
      </c>
      <c r="BE65" s="252" t="str" cm="1">
        <f t="array" ref="BE65:BE78">List_comparators</f>
        <v>nivolumab_monotherapy</v>
      </c>
      <c r="BF65" s="252">
        <f>Q115</f>
        <v>0.61625183016105411</v>
      </c>
      <c r="BG65" s="252">
        <f>Q165</f>
        <v>0.61625183016105411</v>
      </c>
      <c r="BH65" s="414">
        <f t="shared" ref="BH65:BH77" si="52">Q15</f>
        <v>0.61625183016105411</v>
      </c>
      <c r="BI65" s="414">
        <f t="shared" ref="BI65:BI77" si="53">Q65</f>
        <v>0.54480234260614935</v>
      </c>
      <c r="BJ65" s="252">
        <f>R115</f>
        <v>6.1625183016105416E-2</v>
      </c>
      <c r="BK65" s="252">
        <f>R165</f>
        <v>6.1625183016105416E-2</v>
      </c>
      <c r="BL65" s="414">
        <f t="shared" ref="BL65:BL77" si="54">R15</f>
        <v>6.1625183016105416E-2</v>
      </c>
      <c r="BM65" s="414">
        <f t="shared" ref="BM65:BM77" si="55">R65</f>
        <v>5.4480234260614935E-2</v>
      </c>
    </row>
    <row r="66" spans="4:65" x14ac:dyDescent="0.2">
      <c r="D66" s="14" t="str">
        <v>cabozantinib_plus_nivolumab</v>
      </c>
      <c r="H66" s="1"/>
      <c r="I66" s="1"/>
      <c r="J66" s="51"/>
      <c r="K66" s="1281">
        <f t="shared" si="44"/>
        <v>0.68300000000000005</v>
      </c>
      <c r="L66" s="409">
        <f t="shared" si="45"/>
        <v>6.8300000000000013E-2</v>
      </c>
      <c r="N66" s="409">
        <f t="shared" si="46"/>
        <v>0.61625183016105411</v>
      </c>
      <c r="O66" s="409">
        <f t="shared" si="47"/>
        <v>6.1625183016105416E-2</v>
      </c>
      <c r="Q66" s="408">
        <f t="shared" si="48"/>
        <v>0.54480234260614935</v>
      </c>
      <c r="R66" s="409">
        <f t="shared" si="49"/>
        <v>5.4480234260614935E-2</v>
      </c>
      <c r="T66" s="408">
        <f t="shared" si="50"/>
        <v>0.48163685360833497</v>
      </c>
      <c r="U66" s="409">
        <f t="shared" si="51"/>
        <v>4.81636853608335E-2</v>
      </c>
      <c r="AA66" s="6" t="s">
        <v>835</v>
      </c>
      <c r="BA66" s="17">
        <v>0</v>
      </c>
      <c r="BB66" s="17" t="s">
        <v>31</v>
      </c>
      <c r="BC66" s="17">
        <v>3</v>
      </c>
      <c r="BD66" s="17">
        <v>1</v>
      </c>
      <c r="BE66" s="17" t="str">
        <v>cabozantinib_plus_nivolumab</v>
      </c>
      <c r="BF66" s="252">
        <f t="shared" ref="BF66:BF77" si="56">Q116</f>
        <v>0.61625183016105411</v>
      </c>
      <c r="BG66" s="252">
        <f t="shared" ref="BG66:BG77" si="57">Q166</f>
        <v>0.61625183016105411</v>
      </c>
      <c r="BH66" s="415">
        <f t="shared" si="52"/>
        <v>0.61625183016105411</v>
      </c>
      <c r="BI66" s="415">
        <f t="shared" si="53"/>
        <v>0.54480234260614935</v>
      </c>
      <c r="BJ66" s="252">
        <f t="shared" ref="BJ66:BJ77" si="58">R116</f>
        <v>6.1625183016105416E-2</v>
      </c>
      <c r="BK66" s="252">
        <f t="shared" ref="BK66:BK77" si="59">R166</f>
        <v>6.1625183016105416E-2</v>
      </c>
      <c r="BL66" s="414">
        <f t="shared" si="54"/>
        <v>6.1625183016105416E-2</v>
      </c>
      <c r="BM66" s="414">
        <f t="shared" si="55"/>
        <v>5.4480234260614935E-2</v>
      </c>
    </row>
    <row r="67" spans="4:65" x14ac:dyDescent="0.2">
      <c r="D67" s="14" t="str">
        <v>nivolumab_plus_ipilimumab</v>
      </c>
      <c r="H67" s="1"/>
      <c r="I67" s="1"/>
      <c r="J67" s="51"/>
      <c r="K67" s="1281">
        <f t="shared" si="44"/>
        <v>0.68300000000000005</v>
      </c>
      <c r="L67" s="409">
        <f t="shared" si="45"/>
        <v>6.8300000000000013E-2</v>
      </c>
      <c r="N67" s="409">
        <f t="shared" si="46"/>
        <v>0.61625183016105411</v>
      </c>
      <c r="O67" s="409">
        <f t="shared" si="47"/>
        <v>6.1625183016105416E-2</v>
      </c>
      <c r="Q67" s="408">
        <f t="shared" si="48"/>
        <v>0.54480234260614935</v>
      </c>
      <c r="R67" s="409">
        <f t="shared" si="49"/>
        <v>5.4480234260614935E-2</v>
      </c>
      <c r="T67" s="408">
        <f t="shared" si="50"/>
        <v>0.48163685360833497</v>
      </c>
      <c r="U67" s="409">
        <f t="shared" si="51"/>
        <v>4.81636853608335E-2</v>
      </c>
      <c r="AA67" s="6" t="s">
        <v>831</v>
      </c>
      <c r="BA67" s="17">
        <v>0</v>
      </c>
      <c r="BB67" s="17" t="s">
        <v>31</v>
      </c>
      <c r="BC67" s="17">
        <v>3</v>
      </c>
      <c r="BD67" s="17">
        <v>2</v>
      </c>
      <c r="BE67" s="17" t="str">
        <v>nivolumab_plus_ipilimumab</v>
      </c>
      <c r="BF67" s="252">
        <f t="shared" si="56"/>
        <v>0.61625183016105411</v>
      </c>
      <c r="BG67" s="252">
        <f t="shared" si="57"/>
        <v>0.61625183016105411</v>
      </c>
      <c r="BH67" s="416">
        <f t="shared" si="52"/>
        <v>0.61625183016105411</v>
      </c>
      <c r="BI67" s="415">
        <f t="shared" si="53"/>
        <v>0.54480234260614935</v>
      </c>
      <c r="BJ67" s="252">
        <f t="shared" si="58"/>
        <v>6.1625183016105416E-2</v>
      </c>
      <c r="BK67" s="252">
        <f t="shared" si="59"/>
        <v>6.1625183016105416E-2</v>
      </c>
      <c r="BL67" s="418">
        <f t="shared" si="54"/>
        <v>6.1625183016105416E-2</v>
      </c>
      <c r="BM67" s="418">
        <f t="shared" si="55"/>
        <v>5.4480234260614935E-2</v>
      </c>
    </row>
    <row r="68" spans="4:65" ht="15.75" x14ac:dyDescent="0.25">
      <c r="D68" s="14" t="str">
        <v>lenvatinib_plus_pembrolizumab</v>
      </c>
      <c r="H68" s="1"/>
      <c r="I68" s="1"/>
      <c r="J68" s="51"/>
      <c r="K68" s="1281">
        <f t="shared" si="44"/>
        <v>0.68300000000000005</v>
      </c>
      <c r="L68" s="409">
        <f t="shared" si="45"/>
        <v>6.8300000000000013E-2</v>
      </c>
      <c r="N68" s="409">
        <f t="shared" si="46"/>
        <v>0.61625183016105411</v>
      </c>
      <c r="O68" s="409">
        <f t="shared" si="47"/>
        <v>6.1625183016105416E-2</v>
      </c>
      <c r="Q68" s="408">
        <f t="shared" si="48"/>
        <v>0.54480234260614935</v>
      </c>
      <c r="R68" s="409">
        <f t="shared" si="49"/>
        <v>5.4480234260614935E-2</v>
      </c>
      <c r="T68" s="408">
        <f t="shared" si="50"/>
        <v>0.48163685360833497</v>
      </c>
      <c r="U68" s="409">
        <f t="shared" si="51"/>
        <v>4.81636853608335E-2</v>
      </c>
      <c r="AA68" s="59" t="s">
        <v>161</v>
      </c>
      <c r="BA68" s="17">
        <v>0</v>
      </c>
      <c r="BB68" s="17" t="s">
        <v>31</v>
      </c>
      <c r="BC68" s="17">
        <v>3</v>
      </c>
      <c r="BD68" s="17">
        <v>3</v>
      </c>
      <c r="BE68" s="17" t="str">
        <v>lenvatinib_plus_pembrolizumab</v>
      </c>
      <c r="BF68" s="252">
        <f t="shared" si="56"/>
        <v>0.61625183016105411</v>
      </c>
      <c r="BG68" s="252">
        <f t="shared" si="57"/>
        <v>0.61625183016105411</v>
      </c>
      <c r="BH68" s="416">
        <f t="shared" si="52"/>
        <v>0.61625183016105411</v>
      </c>
      <c r="BI68" s="415">
        <f t="shared" si="53"/>
        <v>0.54480234260614935</v>
      </c>
      <c r="BJ68" s="252">
        <f t="shared" si="58"/>
        <v>6.1625183016105416E-2</v>
      </c>
      <c r="BK68" s="252">
        <f t="shared" si="59"/>
        <v>6.1625183016105416E-2</v>
      </c>
      <c r="BL68" s="418">
        <f t="shared" si="54"/>
        <v>6.1625183016105416E-2</v>
      </c>
      <c r="BM68" s="418">
        <f t="shared" si="55"/>
        <v>5.4480234260614935E-2</v>
      </c>
    </row>
    <row r="69" spans="4:65" x14ac:dyDescent="0.2">
      <c r="D69" s="14" t="str">
        <v>avelumab_plus_axitinib</v>
      </c>
      <c r="H69" s="1"/>
      <c r="I69" s="1"/>
      <c r="J69" s="51"/>
      <c r="K69" s="1281">
        <f t="shared" si="44"/>
        <v>0.68300000000000005</v>
      </c>
      <c r="L69" s="409">
        <f t="shared" si="45"/>
        <v>6.8300000000000013E-2</v>
      </c>
      <c r="N69" s="409">
        <f t="shared" si="46"/>
        <v>0.61625183016105411</v>
      </c>
      <c r="O69" s="409">
        <f t="shared" si="47"/>
        <v>6.1625183016105416E-2</v>
      </c>
      <c r="Q69" s="408">
        <f t="shared" si="48"/>
        <v>0.54480234260614935</v>
      </c>
      <c r="R69" s="409">
        <f t="shared" si="49"/>
        <v>5.4480234260614935E-2</v>
      </c>
      <c r="T69" s="408">
        <f t="shared" si="50"/>
        <v>0.48163685360833497</v>
      </c>
      <c r="U69" s="409">
        <f t="shared" si="51"/>
        <v>4.81636853608335E-2</v>
      </c>
      <c r="AA69" s="6" t="s">
        <v>694</v>
      </c>
      <c r="BA69" s="17">
        <v>0</v>
      </c>
      <c r="BB69" s="17" t="s">
        <v>31</v>
      </c>
      <c r="BC69" s="17">
        <v>3</v>
      </c>
      <c r="BD69" s="17">
        <v>4</v>
      </c>
      <c r="BE69" s="17" t="str">
        <v>avelumab_plus_axitinib</v>
      </c>
      <c r="BF69" s="252">
        <f t="shared" si="56"/>
        <v>0.61625183016105411</v>
      </c>
      <c r="BG69" s="252">
        <f t="shared" si="57"/>
        <v>0.61625183016105411</v>
      </c>
      <c r="BH69" s="416">
        <f t="shared" si="52"/>
        <v>0.61625183016105411</v>
      </c>
      <c r="BI69" s="415">
        <f t="shared" si="53"/>
        <v>0.54480234260614935</v>
      </c>
      <c r="BJ69" s="252">
        <f t="shared" si="58"/>
        <v>6.1625183016105416E-2</v>
      </c>
      <c r="BK69" s="252">
        <f t="shared" si="59"/>
        <v>6.1625183016105416E-2</v>
      </c>
      <c r="BL69" s="418">
        <f t="shared" si="54"/>
        <v>6.1625183016105416E-2</v>
      </c>
      <c r="BM69" s="418">
        <f t="shared" si="55"/>
        <v>5.4480234260614935E-2</v>
      </c>
    </row>
    <row r="70" spans="4:65" x14ac:dyDescent="0.2">
      <c r="D70" s="14" t="str">
        <v>pazopanib</v>
      </c>
      <c r="H70" s="1"/>
      <c r="I70" s="1"/>
      <c r="J70" s="51"/>
      <c r="K70" s="1281">
        <f t="shared" si="44"/>
        <v>0.68300000000000005</v>
      </c>
      <c r="L70" s="409">
        <f t="shared" si="45"/>
        <v>6.8300000000000013E-2</v>
      </c>
      <c r="N70" s="409">
        <f t="shared" si="46"/>
        <v>0.61625183016105411</v>
      </c>
      <c r="O70" s="409">
        <f t="shared" si="47"/>
        <v>6.1625183016105416E-2</v>
      </c>
      <c r="Q70" s="408">
        <f t="shared" si="48"/>
        <v>0.54480234260614935</v>
      </c>
      <c r="R70" s="409">
        <f t="shared" si="49"/>
        <v>5.4480234260614935E-2</v>
      </c>
      <c r="T70" s="408">
        <f t="shared" si="50"/>
        <v>0.48163685360833497</v>
      </c>
      <c r="U70" s="409">
        <f t="shared" si="51"/>
        <v>4.81636853608335E-2</v>
      </c>
      <c r="BA70" s="17">
        <v>0</v>
      </c>
      <c r="BB70" s="17" t="s">
        <v>31</v>
      </c>
      <c r="BC70" s="17">
        <v>3</v>
      </c>
      <c r="BD70" s="17">
        <v>5</v>
      </c>
      <c r="BE70" s="17" t="str">
        <v>pazopanib</v>
      </c>
      <c r="BF70" s="252">
        <f t="shared" si="56"/>
        <v>0.61625183016105411</v>
      </c>
      <c r="BG70" s="252">
        <f t="shared" si="57"/>
        <v>0.61625183016105411</v>
      </c>
      <c r="BH70" s="416">
        <f t="shared" si="52"/>
        <v>0.61625183016105411</v>
      </c>
      <c r="BI70" s="415">
        <f t="shared" si="53"/>
        <v>0.54480234260614935</v>
      </c>
      <c r="BJ70" s="252">
        <f t="shared" si="58"/>
        <v>6.1625183016105416E-2</v>
      </c>
      <c r="BK70" s="252">
        <f t="shared" si="59"/>
        <v>6.1625183016105416E-2</v>
      </c>
      <c r="BL70" s="418">
        <f t="shared" si="54"/>
        <v>6.1625183016105416E-2</v>
      </c>
      <c r="BM70" s="418">
        <f t="shared" si="55"/>
        <v>5.4480234260614935E-2</v>
      </c>
    </row>
    <row r="71" spans="4:65" x14ac:dyDescent="0.2">
      <c r="D71" s="14" t="str">
        <v>tivozanib</v>
      </c>
      <c r="H71" s="1"/>
      <c r="I71" s="1"/>
      <c r="J71" s="51"/>
      <c r="K71" s="1281">
        <f t="shared" si="44"/>
        <v>0.68300000000000005</v>
      </c>
      <c r="L71" s="409">
        <f t="shared" si="45"/>
        <v>6.8300000000000013E-2</v>
      </c>
      <c r="N71" s="409">
        <f t="shared" si="46"/>
        <v>0.61625183016105411</v>
      </c>
      <c r="O71" s="409">
        <f t="shared" si="47"/>
        <v>6.1625183016105416E-2</v>
      </c>
      <c r="Q71" s="408">
        <f t="shared" si="48"/>
        <v>0.54480234260614935</v>
      </c>
      <c r="R71" s="409">
        <f t="shared" si="49"/>
        <v>5.4480234260614935E-2</v>
      </c>
      <c r="T71" s="408">
        <f t="shared" si="50"/>
        <v>0.48163685360833497</v>
      </c>
      <c r="U71" s="409">
        <f t="shared" si="51"/>
        <v>4.81636853608335E-2</v>
      </c>
      <c r="BA71" s="17">
        <v>0</v>
      </c>
      <c r="BB71" s="17" t="s">
        <v>31</v>
      </c>
      <c r="BC71" s="17">
        <v>3</v>
      </c>
      <c r="BD71" s="17">
        <v>6</v>
      </c>
      <c r="BE71" s="17" t="str">
        <v>tivozanib</v>
      </c>
      <c r="BF71" s="252">
        <f t="shared" si="56"/>
        <v>0.61625183016105411</v>
      </c>
      <c r="BG71" s="252">
        <f t="shared" si="57"/>
        <v>0.61625183016105411</v>
      </c>
      <c r="BH71" s="416">
        <f t="shared" si="52"/>
        <v>0.61625183016105411</v>
      </c>
      <c r="BI71" s="415">
        <f t="shared" si="53"/>
        <v>0.54480234260614935</v>
      </c>
      <c r="BJ71" s="252">
        <f t="shared" si="58"/>
        <v>6.1625183016105416E-2</v>
      </c>
      <c r="BK71" s="252">
        <f t="shared" si="59"/>
        <v>6.1625183016105416E-2</v>
      </c>
      <c r="BL71" s="418">
        <f t="shared" si="54"/>
        <v>6.1625183016105416E-2</v>
      </c>
      <c r="BM71" s="418">
        <f t="shared" si="55"/>
        <v>5.4480234260614935E-2</v>
      </c>
    </row>
    <row r="72" spans="4:65" x14ac:dyDescent="0.2">
      <c r="D72" s="14" t="str">
        <v>sunitinib</v>
      </c>
      <c r="H72" s="1"/>
      <c r="I72" s="1"/>
      <c r="J72" s="51"/>
      <c r="K72" s="1281">
        <f t="shared" si="44"/>
        <v>0.68300000000000005</v>
      </c>
      <c r="L72" s="409">
        <f t="shared" si="45"/>
        <v>6.8300000000000013E-2</v>
      </c>
      <c r="N72" s="409">
        <f t="shared" si="46"/>
        <v>0.61625183016105411</v>
      </c>
      <c r="O72" s="409">
        <f t="shared" si="47"/>
        <v>6.1625183016105416E-2</v>
      </c>
      <c r="Q72" s="408">
        <f t="shared" si="48"/>
        <v>0.54480234260614935</v>
      </c>
      <c r="R72" s="409">
        <f t="shared" si="49"/>
        <v>5.4480234260614935E-2</v>
      </c>
      <c r="T72" s="408">
        <f t="shared" si="50"/>
        <v>0.48163685360833497</v>
      </c>
      <c r="U72" s="409">
        <f t="shared" si="51"/>
        <v>4.81636853608335E-2</v>
      </c>
      <c r="BA72" s="17">
        <v>0</v>
      </c>
      <c r="BB72" s="17" t="s">
        <v>31</v>
      </c>
      <c r="BC72" s="17">
        <v>3</v>
      </c>
      <c r="BD72" s="17">
        <v>7</v>
      </c>
      <c r="BE72" s="17" t="str">
        <v>sunitinib</v>
      </c>
      <c r="BF72" s="252">
        <f t="shared" si="56"/>
        <v>0.61625183016105411</v>
      </c>
      <c r="BG72" s="252">
        <f t="shared" si="57"/>
        <v>0.61625183016105411</v>
      </c>
      <c r="BH72" s="416">
        <f t="shared" si="52"/>
        <v>0.61625183016105411</v>
      </c>
      <c r="BI72" s="415">
        <f t="shared" si="53"/>
        <v>0.54480234260614935</v>
      </c>
      <c r="BJ72" s="252">
        <f t="shared" si="58"/>
        <v>6.1625183016105416E-2</v>
      </c>
      <c r="BK72" s="252">
        <f t="shared" si="59"/>
        <v>6.1625183016105416E-2</v>
      </c>
      <c r="BL72" s="418">
        <f t="shared" si="54"/>
        <v>6.1625183016105416E-2</v>
      </c>
      <c r="BM72" s="418">
        <f t="shared" si="55"/>
        <v>5.4480234260614935E-2</v>
      </c>
    </row>
    <row r="73" spans="4:65" x14ac:dyDescent="0.2">
      <c r="D73" s="14" t="str">
        <v>cabozantinib</v>
      </c>
      <c r="H73" s="1"/>
      <c r="I73" s="1"/>
      <c r="J73" s="51"/>
      <c r="K73" s="1281">
        <f t="shared" si="44"/>
        <v>0.68300000000000005</v>
      </c>
      <c r="L73" s="409">
        <f t="shared" si="45"/>
        <v>6.8300000000000013E-2</v>
      </c>
      <c r="N73" s="409">
        <f t="shared" si="46"/>
        <v>0.61625183016105411</v>
      </c>
      <c r="O73" s="409">
        <f t="shared" si="47"/>
        <v>6.1625183016105416E-2</v>
      </c>
      <c r="Q73" s="408">
        <f t="shared" si="48"/>
        <v>0.54480234260614935</v>
      </c>
      <c r="R73" s="409">
        <f t="shared" si="49"/>
        <v>5.4480234260614935E-2</v>
      </c>
      <c r="T73" s="408">
        <f t="shared" si="50"/>
        <v>0.48163685360833497</v>
      </c>
      <c r="U73" s="409">
        <f t="shared" si="51"/>
        <v>4.81636853608335E-2</v>
      </c>
      <c r="AC73" s="431"/>
      <c r="AD73" s="431"/>
      <c r="BA73" s="17">
        <v>0</v>
      </c>
      <c r="BB73" s="17" t="s">
        <v>31</v>
      </c>
      <c r="BC73" s="17">
        <v>3</v>
      </c>
      <c r="BD73" s="17">
        <v>8</v>
      </c>
      <c r="BE73" s="17" t="str">
        <v>cabozantinib</v>
      </c>
      <c r="BF73" s="252">
        <f t="shared" si="56"/>
        <v>0.61625183016105411</v>
      </c>
      <c r="BG73" s="252">
        <f t="shared" si="57"/>
        <v>0.61625183016105411</v>
      </c>
      <c r="BH73" s="416">
        <f t="shared" si="52"/>
        <v>0.61625183016105411</v>
      </c>
      <c r="BI73" s="415">
        <f t="shared" si="53"/>
        <v>0.54480234260614935</v>
      </c>
      <c r="BJ73" s="252">
        <f t="shared" si="58"/>
        <v>6.1625183016105416E-2</v>
      </c>
      <c r="BK73" s="252">
        <f t="shared" si="59"/>
        <v>6.1625183016105416E-2</v>
      </c>
      <c r="BL73" s="418">
        <f t="shared" si="54"/>
        <v>6.1625183016105416E-2</v>
      </c>
      <c r="BM73" s="418">
        <f t="shared" si="55"/>
        <v>5.4480234260614935E-2</v>
      </c>
    </row>
    <row r="74" spans="4:65" x14ac:dyDescent="0.2">
      <c r="D74" s="14" t="str">
        <v>lenvatinib_plus_everolimus</v>
      </c>
      <c r="H74" s="1"/>
      <c r="I74" s="1"/>
      <c r="J74" s="51"/>
      <c r="K74" s="1281">
        <f t="shared" si="44"/>
        <v>0.68300000000000005</v>
      </c>
      <c r="L74" s="409">
        <f t="shared" si="45"/>
        <v>6.8300000000000013E-2</v>
      </c>
      <c r="N74" s="409">
        <f t="shared" si="46"/>
        <v>0.61625183016105411</v>
      </c>
      <c r="O74" s="409">
        <f t="shared" si="47"/>
        <v>6.1625183016105416E-2</v>
      </c>
      <c r="Q74" s="408">
        <f t="shared" si="48"/>
        <v>0.54480234260614935</v>
      </c>
      <c r="R74" s="409">
        <f t="shared" si="49"/>
        <v>5.4480234260614935E-2</v>
      </c>
      <c r="T74" s="408">
        <f t="shared" si="50"/>
        <v>0.48163685360833497</v>
      </c>
      <c r="U74" s="409">
        <f t="shared" si="51"/>
        <v>4.81636853608335E-2</v>
      </c>
      <c r="BA74" s="17">
        <v>0</v>
      </c>
      <c r="BB74" s="17" t="s">
        <v>31</v>
      </c>
      <c r="BC74" s="17">
        <v>3</v>
      </c>
      <c r="BD74" s="17">
        <v>9</v>
      </c>
      <c r="BE74" s="17" t="str">
        <v>lenvatinib_plus_everolimus</v>
      </c>
      <c r="BF74" s="252">
        <f t="shared" si="56"/>
        <v>0.61625183016105411</v>
      </c>
      <c r="BG74" s="252">
        <f t="shared" si="57"/>
        <v>0.61625183016105411</v>
      </c>
      <c r="BH74" s="416">
        <f t="shared" si="52"/>
        <v>0.61625183016105411</v>
      </c>
      <c r="BI74" s="415">
        <f t="shared" si="53"/>
        <v>0.54480234260614935</v>
      </c>
      <c r="BJ74" s="252">
        <f t="shared" si="58"/>
        <v>6.1625183016105416E-2</v>
      </c>
      <c r="BK74" s="252">
        <f t="shared" si="59"/>
        <v>6.1625183016105416E-2</v>
      </c>
      <c r="BL74" s="418">
        <f t="shared" si="54"/>
        <v>6.1625183016105416E-2</v>
      </c>
      <c r="BM74" s="418">
        <f t="shared" si="55"/>
        <v>5.4480234260614935E-2</v>
      </c>
    </row>
    <row r="75" spans="4:65" x14ac:dyDescent="0.2">
      <c r="D75" s="14" t="str">
        <v>everolimus</v>
      </c>
      <c r="H75" s="1"/>
      <c r="I75" s="1"/>
      <c r="J75" s="51"/>
      <c r="K75" s="1281">
        <f t="shared" si="44"/>
        <v>0.68300000000000005</v>
      </c>
      <c r="L75" s="409">
        <f t="shared" si="45"/>
        <v>6.8300000000000013E-2</v>
      </c>
      <c r="N75" s="409">
        <f t="shared" si="46"/>
        <v>0.61625183016105411</v>
      </c>
      <c r="O75" s="409">
        <f t="shared" si="47"/>
        <v>6.1625183016105416E-2</v>
      </c>
      <c r="Q75" s="408">
        <f t="shared" si="48"/>
        <v>0.54480234260614935</v>
      </c>
      <c r="R75" s="409">
        <f t="shared" si="49"/>
        <v>5.4480234260614935E-2</v>
      </c>
      <c r="T75" s="408">
        <f t="shared" si="50"/>
        <v>0.48163685360833497</v>
      </c>
      <c r="U75" s="409">
        <f t="shared" si="51"/>
        <v>4.81636853608335E-2</v>
      </c>
      <c r="BA75" s="17">
        <v>0</v>
      </c>
      <c r="BB75" s="17" t="s">
        <v>31</v>
      </c>
      <c r="BC75" s="17">
        <v>3</v>
      </c>
      <c r="BD75" s="17">
        <v>10</v>
      </c>
      <c r="BE75" s="17" t="str">
        <v>everolimus</v>
      </c>
      <c r="BF75" s="252">
        <f t="shared" si="56"/>
        <v>0.61625183016105411</v>
      </c>
      <c r="BG75" s="252">
        <f t="shared" si="57"/>
        <v>0.61625183016105411</v>
      </c>
      <c r="BH75" s="416">
        <f t="shared" si="52"/>
        <v>0.61625183016105411</v>
      </c>
      <c r="BI75" s="415">
        <f t="shared" si="53"/>
        <v>0.54480234260614935</v>
      </c>
      <c r="BJ75" s="252">
        <f t="shared" si="58"/>
        <v>6.1625183016105416E-2</v>
      </c>
      <c r="BK75" s="252">
        <f t="shared" si="59"/>
        <v>6.1625183016105416E-2</v>
      </c>
      <c r="BL75" s="418">
        <f t="shared" si="54"/>
        <v>6.1625183016105416E-2</v>
      </c>
      <c r="BM75" s="418">
        <f t="shared" si="55"/>
        <v>5.4480234260614935E-2</v>
      </c>
    </row>
    <row r="76" spans="4:65" x14ac:dyDescent="0.2">
      <c r="D76" s="14" t="str">
        <v>axitinib</v>
      </c>
      <c r="H76" s="1"/>
      <c r="I76" s="1"/>
      <c r="J76" s="51"/>
      <c r="K76" s="1281">
        <f t="shared" si="44"/>
        <v>0.68300000000000005</v>
      </c>
      <c r="L76" s="409">
        <f t="shared" si="45"/>
        <v>6.8300000000000013E-2</v>
      </c>
      <c r="N76" s="409">
        <f t="shared" si="46"/>
        <v>0.61625183016105411</v>
      </c>
      <c r="O76" s="409">
        <f t="shared" si="47"/>
        <v>6.1625183016105416E-2</v>
      </c>
      <c r="Q76" s="408">
        <f t="shared" si="48"/>
        <v>0.54480234260614935</v>
      </c>
      <c r="R76" s="409">
        <f t="shared" si="49"/>
        <v>5.4480234260614935E-2</v>
      </c>
      <c r="T76" s="408">
        <f t="shared" si="50"/>
        <v>0.48163685360833497</v>
      </c>
      <c r="U76" s="409">
        <f t="shared" si="51"/>
        <v>4.81636853608335E-2</v>
      </c>
      <c r="BA76" s="17">
        <v>0</v>
      </c>
      <c r="BB76" s="17" t="s">
        <v>31</v>
      </c>
      <c r="BC76" s="17">
        <v>3</v>
      </c>
      <c r="BD76" s="17">
        <v>11</v>
      </c>
      <c r="BE76" s="17" t="str">
        <v>axitinib</v>
      </c>
      <c r="BF76" s="252">
        <f t="shared" si="56"/>
        <v>0.61625183016105411</v>
      </c>
      <c r="BG76" s="252">
        <f t="shared" si="57"/>
        <v>0.61625183016105411</v>
      </c>
      <c r="BH76" s="416">
        <f t="shared" si="52"/>
        <v>0.61625183016105411</v>
      </c>
      <c r="BI76" s="415">
        <f t="shared" si="53"/>
        <v>0.54480234260614935</v>
      </c>
      <c r="BJ76" s="252">
        <f t="shared" si="58"/>
        <v>6.1625183016105416E-2</v>
      </c>
      <c r="BK76" s="252">
        <f t="shared" si="59"/>
        <v>6.1625183016105416E-2</v>
      </c>
      <c r="BL76" s="418">
        <f t="shared" si="54"/>
        <v>6.1625183016105416E-2</v>
      </c>
      <c r="BM76" s="418">
        <f t="shared" si="55"/>
        <v>5.4480234260614935E-2</v>
      </c>
    </row>
    <row r="77" spans="4:65" x14ac:dyDescent="0.2">
      <c r="D77" s="14" t="str">
        <v>sorafenib</v>
      </c>
      <c r="H77" s="1"/>
      <c r="I77" s="1"/>
      <c r="J77" s="51"/>
      <c r="K77" s="1281">
        <f t="shared" si="44"/>
        <v>0.68300000000000005</v>
      </c>
      <c r="L77" s="409">
        <f t="shared" si="45"/>
        <v>6.8300000000000013E-2</v>
      </c>
      <c r="N77" s="409">
        <f t="shared" si="46"/>
        <v>0.61625183016105411</v>
      </c>
      <c r="O77" s="409">
        <f t="shared" si="47"/>
        <v>6.1625183016105416E-2</v>
      </c>
      <c r="Q77" s="408">
        <f t="shared" si="48"/>
        <v>0.54480234260614935</v>
      </c>
      <c r="R77" s="409">
        <f t="shared" si="49"/>
        <v>5.4480234260614935E-2</v>
      </c>
      <c r="T77" s="408">
        <f t="shared" si="50"/>
        <v>0.48163685360833497</v>
      </c>
      <c r="U77" s="409">
        <f t="shared" si="51"/>
        <v>4.81636853608335E-2</v>
      </c>
      <c r="BA77" s="17">
        <v>0</v>
      </c>
      <c r="BB77" s="17" t="s">
        <v>31</v>
      </c>
      <c r="BC77" s="17">
        <v>3</v>
      </c>
      <c r="BD77" s="17">
        <v>12</v>
      </c>
      <c r="BE77" s="17" t="str">
        <v>sorafenib</v>
      </c>
      <c r="BF77" s="252">
        <f t="shared" si="56"/>
        <v>0.61625183016105411</v>
      </c>
      <c r="BG77" s="252">
        <f t="shared" si="57"/>
        <v>0.61625183016105411</v>
      </c>
      <c r="BH77" s="416">
        <f t="shared" si="52"/>
        <v>0.61625183016105411</v>
      </c>
      <c r="BI77" s="415">
        <f t="shared" si="53"/>
        <v>0.54480234260614935</v>
      </c>
      <c r="BJ77" s="252">
        <f t="shared" si="58"/>
        <v>6.1625183016105416E-2</v>
      </c>
      <c r="BK77" s="252">
        <f t="shared" si="59"/>
        <v>6.1625183016105416E-2</v>
      </c>
      <c r="BL77" s="418">
        <f t="shared" si="54"/>
        <v>6.1625183016105416E-2</v>
      </c>
      <c r="BM77" s="418">
        <f t="shared" si="55"/>
        <v>5.4480234260614935E-2</v>
      </c>
    </row>
    <row r="78" spans="4:65" ht="15.75" thickBot="1" x14ac:dyDescent="0.25">
      <c r="D78" s="14" t="str">
        <v>placebo_BSC</v>
      </c>
      <c r="H78" s="1"/>
      <c r="I78" s="1"/>
      <c r="J78" s="1"/>
      <c r="W78" s="408">
        <f>T65</f>
        <v>0.48163685360833497</v>
      </c>
      <c r="X78" s="409">
        <f>U65</f>
        <v>4.81636853608335E-2</v>
      </c>
      <c r="BA78" s="19">
        <v>0</v>
      </c>
      <c r="BB78" s="19" t="s">
        <v>31</v>
      </c>
      <c r="BC78" s="19">
        <v>3</v>
      </c>
      <c r="BD78" s="19">
        <v>999</v>
      </c>
      <c r="BE78" s="19" t="str">
        <v>placebo_BSC</v>
      </c>
      <c r="BF78" s="19">
        <f>IF(i_bsc_util_num=1,$BH77,IF(i_bsc_util_num=2,$BI77,$W$28))</f>
        <v>0.54480234260614935</v>
      </c>
      <c r="BG78" s="19">
        <f>IF(i_bsc_util_num=1,$BH77,IF(i_bsc_util_num=2,$BI77,$W$28))</f>
        <v>0.54480234260614935</v>
      </c>
      <c r="BH78" s="19">
        <f>IF(i_bsc_util_num=1,$BH77,IF(i_bsc_util_num=2,$BI77,$W$28))</f>
        <v>0.54480234260614935</v>
      </c>
      <c r="BI78" s="19">
        <f>IF(i_bsc_util_num=1,$BH77,IF(i_bsc_util_num=2,$BI77,$W$28))</f>
        <v>0.54480234260614935</v>
      </c>
      <c r="BJ78" s="19">
        <f>IF(i_bsc_util_num=1,$BL77,IF(i_bsc_util_num=2,$BM77,$X$28))</f>
        <v>5.4480234260614935E-2</v>
      </c>
      <c r="BK78" s="19">
        <f>IF(i_bsc_util_num=1,$BL77,IF(i_bsc_util_num=2,$BM77,$X$28))</f>
        <v>5.4480234260614935E-2</v>
      </c>
      <c r="BL78" s="19">
        <f>IF(i_bsc_util_num=1,$BL77,IF(i_bsc_util_num=2,$BM77,$X$28))</f>
        <v>5.4480234260614935E-2</v>
      </c>
      <c r="BM78" s="19">
        <f>IF(i_bsc_util_num=1,$BL77,IF(i_bsc_util_num=2,$BM77,$X$28))</f>
        <v>5.4480234260614935E-2</v>
      </c>
    </row>
    <row r="79" spans="4:65" x14ac:dyDescent="0.2">
      <c r="D79" s="14"/>
      <c r="H79" s="1"/>
      <c r="I79" s="1"/>
      <c r="J79" s="1"/>
      <c r="BA79" s="252">
        <v>0</v>
      </c>
      <c r="BB79" s="252" t="s">
        <v>31</v>
      </c>
      <c r="BC79" s="252">
        <v>4</v>
      </c>
      <c r="BD79" s="17">
        <v>0</v>
      </c>
      <c r="BE79" s="252" t="str" cm="1">
        <f t="array" ref="BE79:BE92">List_comparators</f>
        <v>nivolumab_monotherapy</v>
      </c>
      <c r="BF79" s="252">
        <f>T115</f>
        <v>0.54480234260614935</v>
      </c>
      <c r="BG79" s="252">
        <f>T165</f>
        <v>0.54480234260614935</v>
      </c>
      <c r="BH79" s="414">
        <f t="shared" ref="BH79:BH91" si="60">T15</f>
        <v>0.54480234260614935</v>
      </c>
      <c r="BI79" s="414">
        <f t="shared" ref="BI79:BI91" si="61">T65</f>
        <v>0.48163685360833497</v>
      </c>
      <c r="BJ79" s="252">
        <f>U115</f>
        <v>5.4480234260614935E-2</v>
      </c>
      <c r="BK79" s="252">
        <f>U165</f>
        <v>5.4480234260614935E-2</v>
      </c>
      <c r="BL79" s="414">
        <f t="shared" ref="BL79:BL91" si="62">U15</f>
        <v>5.4480234260614935E-2</v>
      </c>
      <c r="BM79" s="414">
        <f t="shared" ref="BM79:BM91" si="63">U65</f>
        <v>4.81636853608335E-2</v>
      </c>
    </row>
    <row r="80" spans="4:65" ht="15.75" x14ac:dyDescent="0.25">
      <c r="D80" s="70" t="str">
        <f t="array" ref="D80">INDEX(Lists!$D$11:$D$13,$C$10)</f>
        <v>Poor / intermediate risk</v>
      </c>
      <c r="H80" s="1497"/>
      <c r="I80" s="1497"/>
      <c r="J80" s="1497"/>
      <c r="BA80" s="17">
        <v>0</v>
      </c>
      <c r="BB80" s="17" t="s">
        <v>31</v>
      </c>
      <c r="BC80" s="17">
        <v>4</v>
      </c>
      <c r="BD80" s="17">
        <v>1</v>
      </c>
      <c r="BE80" s="17" t="str">
        <v>cabozantinib_plus_nivolumab</v>
      </c>
      <c r="BF80" s="252">
        <f t="shared" ref="BF80:BF91" si="64">T116</f>
        <v>0.54480234260614935</v>
      </c>
      <c r="BG80" s="252">
        <f t="shared" ref="BG80:BG91" si="65">T166</f>
        <v>0.54480234260614935</v>
      </c>
      <c r="BH80" s="415">
        <f t="shared" si="60"/>
        <v>0.54480234260614935</v>
      </c>
      <c r="BI80" s="415">
        <f t="shared" si="61"/>
        <v>0.48163685360833497</v>
      </c>
      <c r="BJ80" s="252">
        <f t="shared" ref="BJ80:BJ91" si="66">U116</f>
        <v>5.4480234260614935E-2</v>
      </c>
      <c r="BK80" s="252">
        <f t="shared" ref="BK80:BK91" si="67">U166</f>
        <v>5.4480234260614935E-2</v>
      </c>
      <c r="BL80" s="414">
        <f t="shared" si="62"/>
        <v>5.4480234260614935E-2</v>
      </c>
      <c r="BM80" s="414">
        <f t="shared" si="63"/>
        <v>4.81636853608335E-2</v>
      </c>
    </row>
    <row r="81" spans="4:65" x14ac:dyDescent="0.2">
      <c r="D81" s="14" t="str" cm="1">
        <f t="array" ref="D81:D94">List_comparators</f>
        <v>nivolumab_monotherapy</v>
      </c>
      <c r="H81" s="1"/>
      <c r="I81" s="1"/>
      <c r="J81" s="51"/>
      <c r="K81" s="408">
        <f t="shared" ref="K81:K93" si="68">IF(OR(i_sc_util_num=1,i_sc_util_num=2),$AT$14,IF(i_sc_util_num=7,$AS$14*(0.683/0.753),K65))</f>
        <v>0.68300000000000005</v>
      </c>
      <c r="L81" s="408">
        <f t="shared" ref="L81:L93" si="69">L65</f>
        <v>6.8300000000000013E-2</v>
      </c>
      <c r="BA81" s="17">
        <v>0</v>
      </c>
      <c r="BB81" s="17" t="s">
        <v>31</v>
      </c>
      <c r="BC81" s="17">
        <v>4</v>
      </c>
      <c r="BD81" s="17">
        <v>2</v>
      </c>
      <c r="BE81" s="17" t="str">
        <v>nivolumab_plus_ipilimumab</v>
      </c>
      <c r="BF81" s="252">
        <f t="shared" si="64"/>
        <v>0.54480234260614935</v>
      </c>
      <c r="BG81" s="252">
        <f t="shared" si="65"/>
        <v>0.54480234260614935</v>
      </c>
      <c r="BH81" s="415">
        <f t="shared" si="60"/>
        <v>0.54480234260614935</v>
      </c>
      <c r="BI81" s="415">
        <f t="shared" si="61"/>
        <v>0.48163685360833497</v>
      </c>
      <c r="BJ81" s="252">
        <f t="shared" si="66"/>
        <v>5.4480234260614935E-2</v>
      </c>
      <c r="BK81" s="252">
        <f t="shared" si="67"/>
        <v>5.4480234260614935E-2</v>
      </c>
      <c r="BL81" s="418">
        <f t="shared" si="62"/>
        <v>5.4480234260614935E-2</v>
      </c>
      <c r="BM81" s="418">
        <f t="shared" si="63"/>
        <v>4.81636853608335E-2</v>
      </c>
    </row>
    <row r="82" spans="4:65" x14ac:dyDescent="0.2">
      <c r="D82" s="14" t="str">
        <v>cabozantinib_plus_nivolumab</v>
      </c>
      <c r="H82" s="1"/>
      <c r="I82" s="1"/>
      <c r="J82" s="51"/>
      <c r="K82" s="408">
        <f t="shared" si="68"/>
        <v>0.68300000000000005</v>
      </c>
      <c r="L82" s="408">
        <f t="shared" si="69"/>
        <v>6.8300000000000013E-2</v>
      </c>
      <c r="BA82" s="17">
        <v>0</v>
      </c>
      <c r="BB82" s="17" t="s">
        <v>31</v>
      </c>
      <c r="BC82" s="17">
        <v>4</v>
      </c>
      <c r="BD82" s="17">
        <v>3</v>
      </c>
      <c r="BE82" s="17" t="str">
        <v>lenvatinib_plus_pembrolizumab</v>
      </c>
      <c r="BF82" s="252">
        <f t="shared" si="64"/>
        <v>0.54480234260614935</v>
      </c>
      <c r="BG82" s="252">
        <f t="shared" si="65"/>
        <v>0.54480234260614935</v>
      </c>
      <c r="BH82" s="415">
        <f t="shared" si="60"/>
        <v>0.54480234260614935</v>
      </c>
      <c r="BI82" s="415">
        <f t="shared" si="61"/>
        <v>0.48163685360833497</v>
      </c>
      <c r="BJ82" s="252">
        <f t="shared" si="66"/>
        <v>5.4480234260614935E-2</v>
      </c>
      <c r="BK82" s="252">
        <f t="shared" si="67"/>
        <v>5.4480234260614935E-2</v>
      </c>
      <c r="BL82" s="418">
        <f t="shared" si="62"/>
        <v>5.4480234260614935E-2</v>
      </c>
      <c r="BM82" s="418">
        <f t="shared" si="63"/>
        <v>4.81636853608335E-2</v>
      </c>
    </row>
    <row r="83" spans="4:65" x14ac:dyDescent="0.2">
      <c r="D83" s="14" t="str">
        <v>nivolumab_plus_ipilimumab</v>
      </c>
      <c r="H83" s="1"/>
      <c r="I83" s="1"/>
      <c r="J83" s="51"/>
      <c r="K83" s="408">
        <f t="shared" si="68"/>
        <v>0.68300000000000005</v>
      </c>
      <c r="L83" s="408">
        <f t="shared" si="69"/>
        <v>6.8300000000000013E-2</v>
      </c>
      <c r="BA83" s="17">
        <v>0</v>
      </c>
      <c r="BB83" s="17" t="s">
        <v>31</v>
      </c>
      <c r="BC83" s="17">
        <v>4</v>
      </c>
      <c r="BD83" s="17">
        <v>4</v>
      </c>
      <c r="BE83" s="17" t="str">
        <v>avelumab_plus_axitinib</v>
      </c>
      <c r="BF83" s="252">
        <f t="shared" si="64"/>
        <v>0.54480234260614935</v>
      </c>
      <c r="BG83" s="252">
        <f t="shared" si="65"/>
        <v>0.54480234260614935</v>
      </c>
      <c r="BH83" s="415">
        <f t="shared" si="60"/>
        <v>0.54480234260614935</v>
      </c>
      <c r="BI83" s="415">
        <f t="shared" si="61"/>
        <v>0.48163685360833497</v>
      </c>
      <c r="BJ83" s="252">
        <f t="shared" si="66"/>
        <v>5.4480234260614935E-2</v>
      </c>
      <c r="BK83" s="252">
        <f t="shared" si="67"/>
        <v>5.4480234260614935E-2</v>
      </c>
      <c r="BL83" s="418">
        <f t="shared" si="62"/>
        <v>5.4480234260614935E-2</v>
      </c>
      <c r="BM83" s="418">
        <f t="shared" si="63"/>
        <v>4.81636853608335E-2</v>
      </c>
    </row>
    <row r="84" spans="4:65" x14ac:dyDescent="0.2">
      <c r="D84" s="14" t="str">
        <v>lenvatinib_plus_pembrolizumab</v>
      </c>
      <c r="H84" s="1"/>
      <c r="I84" s="1"/>
      <c r="J84" s="51"/>
      <c r="K84" s="408">
        <f t="shared" si="68"/>
        <v>0.68300000000000005</v>
      </c>
      <c r="L84" s="408">
        <f t="shared" si="69"/>
        <v>6.8300000000000013E-2</v>
      </c>
      <c r="BA84" s="17">
        <v>0</v>
      </c>
      <c r="BB84" s="17" t="s">
        <v>31</v>
      </c>
      <c r="BC84" s="17">
        <v>4</v>
      </c>
      <c r="BD84" s="17">
        <v>5</v>
      </c>
      <c r="BE84" s="17" t="str">
        <v>pazopanib</v>
      </c>
      <c r="BF84" s="252">
        <f t="shared" si="64"/>
        <v>0.54480234260614935</v>
      </c>
      <c r="BG84" s="252">
        <f t="shared" si="65"/>
        <v>0.54480234260614935</v>
      </c>
      <c r="BH84" s="415">
        <f t="shared" si="60"/>
        <v>0.54480234260614935</v>
      </c>
      <c r="BI84" s="415">
        <f t="shared" si="61"/>
        <v>0.48163685360833497</v>
      </c>
      <c r="BJ84" s="252">
        <f t="shared" si="66"/>
        <v>5.4480234260614935E-2</v>
      </c>
      <c r="BK84" s="252">
        <f t="shared" si="67"/>
        <v>5.4480234260614935E-2</v>
      </c>
      <c r="BL84" s="418">
        <f t="shared" si="62"/>
        <v>5.4480234260614935E-2</v>
      </c>
      <c r="BM84" s="418">
        <f t="shared" si="63"/>
        <v>4.81636853608335E-2</v>
      </c>
    </row>
    <row r="85" spans="4:65" x14ac:dyDescent="0.2">
      <c r="D85" s="14" t="str">
        <v>avelumab_plus_axitinib</v>
      </c>
      <c r="H85" s="1"/>
      <c r="I85" s="1"/>
      <c r="J85" s="51"/>
      <c r="K85" s="408">
        <f t="shared" si="68"/>
        <v>0.68300000000000005</v>
      </c>
      <c r="L85" s="408">
        <f t="shared" si="69"/>
        <v>6.8300000000000013E-2</v>
      </c>
      <c r="BA85" s="17">
        <v>0</v>
      </c>
      <c r="BB85" s="17" t="s">
        <v>31</v>
      </c>
      <c r="BC85" s="17">
        <v>4</v>
      </c>
      <c r="BD85" s="17">
        <v>6</v>
      </c>
      <c r="BE85" s="17" t="str">
        <v>tivozanib</v>
      </c>
      <c r="BF85" s="252">
        <f t="shared" si="64"/>
        <v>0.54480234260614935</v>
      </c>
      <c r="BG85" s="252">
        <f t="shared" si="65"/>
        <v>0.54480234260614935</v>
      </c>
      <c r="BH85" s="415">
        <f t="shared" si="60"/>
        <v>0.54480234260614935</v>
      </c>
      <c r="BI85" s="415">
        <f t="shared" si="61"/>
        <v>0.48163685360833497</v>
      </c>
      <c r="BJ85" s="252">
        <f t="shared" si="66"/>
        <v>5.4480234260614935E-2</v>
      </c>
      <c r="BK85" s="252">
        <f t="shared" si="67"/>
        <v>5.4480234260614935E-2</v>
      </c>
      <c r="BL85" s="418">
        <f t="shared" si="62"/>
        <v>5.4480234260614935E-2</v>
      </c>
      <c r="BM85" s="418">
        <f t="shared" si="63"/>
        <v>4.81636853608335E-2</v>
      </c>
    </row>
    <row r="86" spans="4:65" x14ac:dyDescent="0.2">
      <c r="D86" s="14" t="str">
        <v>pazopanib</v>
      </c>
      <c r="H86" s="1"/>
      <c r="I86" s="1"/>
      <c r="J86" s="51"/>
      <c r="K86" s="408">
        <f t="shared" si="68"/>
        <v>0.68300000000000005</v>
      </c>
      <c r="L86" s="408">
        <f t="shared" si="69"/>
        <v>6.8300000000000013E-2</v>
      </c>
      <c r="BA86" s="17">
        <v>0</v>
      </c>
      <c r="BB86" s="17" t="s">
        <v>31</v>
      </c>
      <c r="BC86" s="17">
        <v>4</v>
      </c>
      <c r="BD86" s="17">
        <v>7</v>
      </c>
      <c r="BE86" s="17" t="str">
        <v>sunitinib</v>
      </c>
      <c r="BF86" s="252">
        <f t="shared" si="64"/>
        <v>0.54480234260614935</v>
      </c>
      <c r="BG86" s="252">
        <f t="shared" si="65"/>
        <v>0.54480234260614935</v>
      </c>
      <c r="BH86" s="415">
        <f t="shared" si="60"/>
        <v>0.54480234260614935</v>
      </c>
      <c r="BI86" s="415">
        <f t="shared" si="61"/>
        <v>0.48163685360833497</v>
      </c>
      <c r="BJ86" s="252">
        <f t="shared" si="66"/>
        <v>5.4480234260614935E-2</v>
      </c>
      <c r="BK86" s="252">
        <f t="shared" si="67"/>
        <v>5.4480234260614935E-2</v>
      </c>
      <c r="BL86" s="418">
        <f t="shared" si="62"/>
        <v>5.4480234260614935E-2</v>
      </c>
      <c r="BM86" s="418">
        <f t="shared" si="63"/>
        <v>4.81636853608335E-2</v>
      </c>
    </row>
    <row r="87" spans="4:65" x14ac:dyDescent="0.2">
      <c r="D87" s="14" t="str">
        <v>tivozanib</v>
      </c>
      <c r="H87" s="1"/>
      <c r="I87" s="1"/>
      <c r="J87" s="51"/>
      <c r="K87" s="408">
        <f t="shared" si="68"/>
        <v>0.68300000000000005</v>
      </c>
      <c r="L87" s="408">
        <f t="shared" si="69"/>
        <v>6.8300000000000013E-2</v>
      </c>
      <c r="BA87" s="17">
        <v>0</v>
      </c>
      <c r="BB87" s="17" t="s">
        <v>31</v>
      </c>
      <c r="BC87" s="17">
        <v>4</v>
      </c>
      <c r="BD87" s="17">
        <v>8</v>
      </c>
      <c r="BE87" s="17" t="str">
        <v>cabozantinib</v>
      </c>
      <c r="BF87" s="252">
        <f t="shared" si="64"/>
        <v>0.54480234260614935</v>
      </c>
      <c r="BG87" s="252">
        <f t="shared" si="65"/>
        <v>0.54480234260614935</v>
      </c>
      <c r="BH87" s="415">
        <f t="shared" si="60"/>
        <v>0.54480234260614935</v>
      </c>
      <c r="BI87" s="415">
        <f t="shared" si="61"/>
        <v>0.48163685360833497</v>
      </c>
      <c r="BJ87" s="252">
        <f t="shared" si="66"/>
        <v>5.4480234260614935E-2</v>
      </c>
      <c r="BK87" s="252">
        <f t="shared" si="67"/>
        <v>5.4480234260614935E-2</v>
      </c>
      <c r="BL87" s="418">
        <f t="shared" si="62"/>
        <v>5.4480234260614935E-2</v>
      </c>
      <c r="BM87" s="418">
        <f t="shared" si="63"/>
        <v>4.81636853608335E-2</v>
      </c>
    </row>
    <row r="88" spans="4:65" x14ac:dyDescent="0.2">
      <c r="D88" s="14" t="str">
        <v>sunitinib</v>
      </c>
      <c r="H88" s="1"/>
      <c r="I88" s="1"/>
      <c r="J88" s="51"/>
      <c r="K88" s="408">
        <f t="shared" si="68"/>
        <v>0.68300000000000005</v>
      </c>
      <c r="L88" s="408">
        <f t="shared" si="69"/>
        <v>6.8300000000000013E-2</v>
      </c>
      <c r="BA88" s="17">
        <v>0</v>
      </c>
      <c r="BB88" s="17" t="s">
        <v>31</v>
      </c>
      <c r="BC88" s="17">
        <v>4</v>
      </c>
      <c r="BD88" s="17">
        <v>9</v>
      </c>
      <c r="BE88" s="17" t="str">
        <v>lenvatinib_plus_everolimus</v>
      </c>
      <c r="BF88" s="252">
        <f t="shared" si="64"/>
        <v>0.54480234260614935</v>
      </c>
      <c r="BG88" s="252">
        <f t="shared" si="65"/>
        <v>0.54480234260614935</v>
      </c>
      <c r="BH88" s="415">
        <f t="shared" si="60"/>
        <v>0.54480234260614935</v>
      </c>
      <c r="BI88" s="415">
        <f t="shared" si="61"/>
        <v>0.48163685360833497</v>
      </c>
      <c r="BJ88" s="252">
        <f t="shared" si="66"/>
        <v>5.4480234260614935E-2</v>
      </c>
      <c r="BK88" s="252">
        <f t="shared" si="67"/>
        <v>5.4480234260614935E-2</v>
      </c>
      <c r="BL88" s="418">
        <f t="shared" si="62"/>
        <v>5.4480234260614935E-2</v>
      </c>
      <c r="BM88" s="418">
        <f t="shared" si="63"/>
        <v>4.81636853608335E-2</v>
      </c>
    </row>
    <row r="89" spans="4:65" x14ac:dyDescent="0.2">
      <c r="D89" s="14" t="str">
        <v>cabozantinib</v>
      </c>
      <c r="H89" s="1"/>
      <c r="I89" s="1"/>
      <c r="J89" s="51"/>
      <c r="K89" s="408">
        <f t="shared" si="68"/>
        <v>0.68300000000000005</v>
      </c>
      <c r="L89" s="408">
        <f t="shared" si="69"/>
        <v>6.8300000000000013E-2</v>
      </c>
      <c r="BA89" s="17">
        <v>0</v>
      </c>
      <c r="BB89" s="17" t="s">
        <v>31</v>
      </c>
      <c r="BC89" s="17">
        <v>4</v>
      </c>
      <c r="BD89" s="17">
        <v>10</v>
      </c>
      <c r="BE89" s="17" t="str">
        <v>everolimus</v>
      </c>
      <c r="BF89" s="252">
        <f t="shared" si="64"/>
        <v>0.54480234260614935</v>
      </c>
      <c r="BG89" s="252">
        <f t="shared" si="65"/>
        <v>0.54480234260614935</v>
      </c>
      <c r="BH89" s="415">
        <f t="shared" si="60"/>
        <v>0.54480234260614935</v>
      </c>
      <c r="BI89" s="415">
        <f t="shared" si="61"/>
        <v>0.48163685360833497</v>
      </c>
      <c r="BJ89" s="252">
        <f t="shared" si="66"/>
        <v>5.4480234260614935E-2</v>
      </c>
      <c r="BK89" s="252">
        <f t="shared" si="67"/>
        <v>5.4480234260614935E-2</v>
      </c>
      <c r="BL89" s="418">
        <f t="shared" si="62"/>
        <v>5.4480234260614935E-2</v>
      </c>
      <c r="BM89" s="418">
        <f t="shared" si="63"/>
        <v>4.81636853608335E-2</v>
      </c>
    </row>
    <row r="90" spans="4:65" x14ac:dyDescent="0.2">
      <c r="D90" s="14" t="str">
        <v>lenvatinib_plus_everolimus</v>
      </c>
      <c r="H90" s="1"/>
      <c r="I90" s="1"/>
      <c r="J90" s="51"/>
      <c r="K90" s="408">
        <f t="shared" si="68"/>
        <v>0.68300000000000005</v>
      </c>
      <c r="L90" s="408">
        <f t="shared" si="69"/>
        <v>6.8300000000000013E-2</v>
      </c>
      <c r="BA90" s="17">
        <v>0</v>
      </c>
      <c r="BB90" s="17" t="s">
        <v>31</v>
      </c>
      <c r="BC90" s="17">
        <v>4</v>
      </c>
      <c r="BD90" s="17">
        <v>11</v>
      </c>
      <c r="BE90" s="17" t="str">
        <v>axitinib</v>
      </c>
      <c r="BF90" s="252">
        <f t="shared" si="64"/>
        <v>0.54480234260614935</v>
      </c>
      <c r="BG90" s="252">
        <f t="shared" si="65"/>
        <v>0.54480234260614935</v>
      </c>
      <c r="BH90" s="415">
        <f t="shared" si="60"/>
        <v>0.54480234260614935</v>
      </c>
      <c r="BI90" s="415">
        <f t="shared" si="61"/>
        <v>0.48163685360833497</v>
      </c>
      <c r="BJ90" s="252">
        <f t="shared" si="66"/>
        <v>5.4480234260614935E-2</v>
      </c>
      <c r="BK90" s="252">
        <f t="shared" si="67"/>
        <v>5.4480234260614935E-2</v>
      </c>
      <c r="BL90" s="418">
        <f t="shared" si="62"/>
        <v>5.4480234260614935E-2</v>
      </c>
      <c r="BM90" s="418">
        <f t="shared" si="63"/>
        <v>4.81636853608335E-2</v>
      </c>
    </row>
    <row r="91" spans="4:65" x14ac:dyDescent="0.2">
      <c r="D91" s="14" t="str">
        <v>everolimus</v>
      </c>
      <c r="H91" s="1"/>
      <c r="I91" s="1"/>
      <c r="J91" s="51"/>
      <c r="K91" s="408">
        <f t="shared" si="68"/>
        <v>0.68300000000000005</v>
      </c>
      <c r="L91" s="408">
        <f t="shared" si="69"/>
        <v>6.8300000000000013E-2</v>
      </c>
      <c r="BA91" s="17">
        <v>0</v>
      </c>
      <c r="BB91" s="17" t="s">
        <v>31</v>
      </c>
      <c r="BC91" s="17">
        <v>4</v>
      </c>
      <c r="BD91" s="17">
        <v>12</v>
      </c>
      <c r="BE91" s="17" t="str">
        <v>sorafenib</v>
      </c>
      <c r="BF91" s="252">
        <f t="shared" si="64"/>
        <v>0.54480234260614935</v>
      </c>
      <c r="BG91" s="252">
        <f t="shared" si="65"/>
        <v>0.54480234260614935</v>
      </c>
      <c r="BH91" s="415">
        <f t="shared" si="60"/>
        <v>0.54480234260614935</v>
      </c>
      <c r="BI91" s="415">
        <f t="shared" si="61"/>
        <v>0.48163685360833497</v>
      </c>
      <c r="BJ91" s="252">
        <f t="shared" si="66"/>
        <v>5.4480234260614935E-2</v>
      </c>
      <c r="BK91" s="252">
        <f t="shared" si="67"/>
        <v>5.4480234260614935E-2</v>
      </c>
      <c r="BL91" s="418">
        <f t="shared" si="62"/>
        <v>5.4480234260614935E-2</v>
      </c>
      <c r="BM91" s="418">
        <f t="shared" si="63"/>
        <v>4.81636853608335E-2</v>
      </c>
    </row>
    <row r="92" spans="4:65" ht="15.75" thickBot="1" x14ac:dyDescent="0.25">
      <c r="D92" s="14" t="str">
        <v>axitinib</v>
      </c>
      <c r="H92" s="1"/>
      <c r="I92" s="1"/>
      <c r="J92" s="51"/>
      <c r="K92" s="408">
        <f t="shared" si="68"/>
        <v>0.68300000000000005</v>
      </c>
      <c r="L92" s="408">
        <f t="shared" si="69"/>
        <v>6.8300000000000013E-2</v>
      </c>
      <c r="BA92" s="19">
        <v>0</v>
      </c>
      <c r="BB92" s="19" t="s">
        <v>31</v>
      </c>
      <c r="BC92" s="19">
        <v>4</v>
      </c>
      <c r="BD92" s="19">
        <v>999</v>
      </c>
      <c r="BE92" s="19" t="str">
        <v>placebo_BSC</v>
      </c>
      <c r="BF92" s="19">
        <f>IF(i_bsc_util_num=1,$BH91,IF(i_bsc_util_num=2,$BI91,$W$28))</f>
        <v>0.48163685360833497</v>
      </c>
      <c r="BG92" s="19">
        <f>IF(i_bsc_util_num=1,$BH91,IF(i_bsc_util_num=2,$BI91,$W$28))</f>
        <v>0.48163685360833497</v>
      </c>
      <c r="BH92" s="19">
        <f>IF(i_bsc_util_num=1,$BH91,IF(i_bsc_util_num=2,$BI91,$W$28))</f>
        <v>0.48163685360833497</v>
      </c>
      <c r="BI92" s="19">
        <f>IF(i_bsc_util_num=1,$BH91,IF(i_bsc_util_num=2,$BI91,$W$28))</f>
        <v>0.48163685360833497</v>
      </c>
      <c r="BJ92" s="19">
        <f>IF(i_bsc_util_num=1,$BL91,IF(i_bsc_util_num=2,$BM91,$X$28))</f>
        <v>4.81636853608335E-2</v>
      </c>
      <c r="BK92" s="19">
        <f>IF(i_bsc_util_num=1,$BL91,IF(i_bsc_util_num=2,$BM91,$X$28))</f>
        <v>4.81636853608335E-2</v>
      </c>
      <c r="BL92" s="19">
        <f>IF(i_bsc_util_num=1,$BL91,IF(i_bsc_util_num=2,$BM91,$X$28))</f>
        <v>4.81636853608335E-2</v>
      </c>
      <c r="BM92" s="19">
        <f>IF(i_bsc_util_num=1,$BL91,IF(i_bsc_util_num=2,$BM91,$X$28))</f>
        <v>4.81636853608335E-2</v>
      </c>
    </row>
    <row r="93" spans="4:65" x14ac:dyDescent="0.2">
      <c r="D93" s="14" t="str">
        <v>sorafenib</v>
      </c>
      <c r="H93" s="1"/>
      <c r="I93" s="1"/>
      <c r="J93" s="1"/>
      <c r="K93" s="408">
        <f t="shared" si="68"/>
        <v>0.68300000000000005</v>
      </c>
      <c r="L93" s="408">
        <f t="shared" si="69"/>
        <v>6.8300000000000013E-2</v>
      </c>
      <c r="BA93" s="252">
        <v>0</v>
      </c>
      <c r="BB93" s="252" t="s">
        <v>31</v>
      </c>
      <c r="BC93" s="252">
        <v>5</v>
      </c>
      <c r="BD93" s="252">
        <v>999</v>
      </c>
      <c r="BE93" s="252" t="s">
        <v>765</v>
      </c>
      <c r="BF93" s="252">
        <f>W128</f>
        <v>0.48163685360833497</v>
      </c>
      <c r="BG93" s="252">
        <f>W178</f>
        <v>0.48163685360833497</v>
      </c>
      <c r="BH93" s="414">
        <f>W28</f>
        <v>0.48163685360833497</v>
      </c>
      <c r="BI93" s="414">
        <f>W78</f>
        <v>0.48163685360833497</v>
      </c>
      <c r="BJ93" s="252">
        <f>X128</f>
        <v>4.81636853608335E-2</v>
      </c>
      <c r="BK93" s="252">
        <f>X178</f>
        <v>4.81636853608335E-2</v>
      </c>
      <c r="BL93" s="414">
        <f>X28</f>
        <v>4.81636853608335E-2</v>
      </c>
      <c r="BM93" s="414">
        <f>X78</f>
        <v>4.81636853608335E-2</v>
      </c>
    </row>
    <row r="94" spans="4:65" x14ac:dyDescent="0.2">
      <c r="D94" s="14" t="str">
        <v>placebo_BSC</v>
      </c>
      <c r="H94" s="1"/>
      <c r="I94" s="1"/>
      <c r="J94" s="1"/>
      <c r="W94" s="409">
        <f>W78</f>
        <v>0.48163685360833497</v>
      </c>
      <c r="X94" s="409">
        <f>X78</f>
        <v>4.81636853608335E-2</v>
      </c>
      <c r="BA94" s="17">
        <v>1</v>
      </c>
      <c r="BB94" s="17" t="s">
        <v>549</v>
      </c>
      <c r="BC94" s="17">
        <v>5</v>
      </c>
      <c r="BD94" s="17">
        <v>999</v>
      </c>
      <c r="BE94" s="17" t="s">
        <v>765</v>
      </c>
      <c r="BF94" s="17">
        <f>W144</f>
        <v>0.48163685360833497</v>
      </c>
      <c r="BG94" s="17">
        <f>W194</f>
        <v>0.48163685360833497</v>
      </c>
      <c r="BH94" s="415">
        <f>W44</f>
        <v>0.48163685360833497</v>
      </c>
      <c r="BI94" s="415">
        <f>W94</f>
        <v>0.48163685360833497</v>
      </c>
      <c r="BJ94" s="17">
        <f>X144</f>
        <v>4.81636853608335E-2</v>
      </c>
      <c r="BK94" s="17">
        <f>X194</f>
        <v>4.81636853608335E-2</v>
      </c>
      <c r="BL94" s="415">
        <f>X44</f>
        <v>4.81636853608335E-2</v>
      </c>
      <c r="BM94" s="415">
        <f>X94</f>
        <v>4.81636853608335E-2</v>
      </c>
    </row>
    <row r="95" spans="4:65" ht="15.75" thickBot="1" x14ac:dyDescent="0.25">
      <c r="D95" s="14"/>
      <c r="H95" s="1"/>
      <c r="I95" s="1"/>
      <c r="J95" s="1"/>
      <c r="BA95" s="19">
        <v>2</v>
      </c>
      <c r="BB95" s="19" t="s">
        <v>833</v>
      </c>
      <c r="BC95" s="19">
        <v>5</v>
      </c>
      <c r="BD95" s="19">
        <v>999</v>
      </c>
      <c r="BE95" s="19" t="s">
        <v>765</v>
      </c>
      <c r="BF95" s="19">
        <f>W160</f>
        <v>0.48163685360833497</v>
      </c>
      <c r="BG95" s="19">
        <f>BF95</f>
        <v>0.48163685360833497</v>
      </c>
      <c r="BH95" s="417">
        <f>W60</f>
        <v>0.48163685360833497</v>
      </c>
      <c r="BI95" s="417">
        <f>W110</f>
        <v>0.48163685360833497</v>
      </c>
      <c r="BJ95" s="19">
        <f>X160</f>
        <v>4.81636853608335E-2</v>
      </c>
      <c r="BK95" s="19">
        <f>BJ95</f>
        <v>4.81636853608335E-2</v>
      </c>
      <c r="BL95" s="417">
        <f>X60</f>
        <v>4.81636853608335E-2</v>
      </c>
      <c r="BM95" s="417">
        <f>X110</f>
        <v>4.81636853608335E-2</v>
      </c>
    </row>
    <row r="96" spans="4:65" ht="15.75" x14ac:dyDescent="0.25">
      <c r="D96" s="70" t="str">
        <f t="array" ref="D96">INDEX(Lists!$D$11:$D$13,$C$12)</f>
        <v>Favourable risk</v>
      </c>
      <c r="H96" s="1497"/>
      <c r="I96" s="1497"/>
      <c r="J96" s="1497"/>
      <c r="BA96" s="252"/>
      <c r="BB96" s="252"/>
      <c r="BC96" s="252"/>
      <c r="BD96" s="252"/>
      <c r="BE96" s="252"/>
      <c r="BF96" s="252"/>
      <c r="BG96" s="252"/>
      <c r="BH96" s="252"/>
      <c r="BI96" s="252"/>
      <c r="BJ96" s="252"/>
      <c r="BK96" s="252"/>
      <c r="BL96" s="252"/>
      <c r="BM96" s="252"/>
    </row>
    <row r="97" spans="4:65" x14ac:dyDescent="0.2">
      <c r="D97" s="14" t="str" cm="1">
        <f t="array" ref="D97:D110">List_comparators</f>
        <v>nivolumab_monotherapy</v>
      </c>
      <c r="H97" s="1"/>
      <c r="I97" s="1"/>
      <c r="J97" s="1"/>
      <c r="K97" s="408">
        <f t="shared" ref="K97:K109" si="70">IF(OR(i_sc_util_num=1,i_sc_util_num=2),$AT$13,IF(i_sc_util_num=7,$AS$13*(0.683/0.753),K65))</f>
        <v>0.68300000000000005</v>
      </c>
      <c r="L97" s="408">
        <f t="shared" ref="L97:L109" si="71">L65</f>
        <v>6.8300000000000013E-2</v>
      </c>
      <c r="BA97" s="17"/>
      <c r="BB97" s="17"/>
      <c r="BC97" s="17"/>
      <c r="BD97" s="17"/>
      <c r="BE97" s="17"/>
      <c r="BF97" s="17"/>
      <c r="BG97" s="17"/>
      <c r="BH97" s="17"/>
      <c r="BI97" s="17"/>
      <c r="BJ97" s="17"/>
      <c r="BK97" s="17"/>
      <c r="BL97" s="17"/>
      <c r="BM97" s="17"/>
    </row>
    <row r="98" spans="4:65" x14ac:dyDescent="0.2">
      <c r="D98" s="14" t="str">
        <v>cabozantinib_plus_nivolumab</v>
      </c>
      <c r="H98" s="1"/>
      <c r="I98" s="1"/>
      <c r="J98" s="1"/>
      <c r="K98" s="408">
        <f t="shared" si="70"/>
        <v>0.68300000000000005</v>
      </c>
      <c r="L98" s="408">
        <f t="shared" si="71"/>
        <v>6.8300000000000013E-2</v>
      </c>
      <c r="BA98" s="17"/>
      <c r="BB98" s="17"/>
      <c r="BC98" s="17"/>
      <c r="BD98" s="17"/>
      <c r="BE98" s="17"/>
      <c r="BF98" s="17"/>
      <c r="BG98" s="17"/>
      <c r="BH98" s="17"/>
      <c r="BI98" s="17"/>
      <c r="BJ98" s="17"/>
      <c r="BK98" s="17"/>
      <c r="BL98" s="17"/>
      <c r="BM98" s="17"/>
    </row>
    <row r="99" spans="4:65" x14ac:dyDescent="0.2">
      <c r="D99" s="14" t="str">
        <v>nivolumab_plus_ipilimumab</v>
      </c>
      <c r="H99" s="1"/>
      <c r="I99" s="1"/>
      <c r="J99" s="1"/>
      <c r="K99" s="408">
        <f t="shared" si="70"/>
        <v>0.68300000000000005</v>
      </c>
      <c r="L99" s="408">
        <f t="shared" si="71"/>
        <v>6.8300000000000013E-2</v>
      </c>
      <c r="BA99" s="17"/>
      <c r="BB99" s="17"/>
      <c r="BC99" s="17"/>
      <c r="BD99" s="17"/>
      <c r="BE99" s="17"/>
      <c r="BF99" s="17"/>
      <c r="BG99" s="17"/>
      <c r="BH99" s="17"/>
      <c r="BI99" s="17"/>
      <c r="BJ99" s="17"/>
      <c r="BK99" s="17"/>
      <c r="BL99" s="17"/>
      <c r="BM99" s="17"/>
    </row>
    <row r="100" spans="4:65" x14ac:dyDescent="0.2">
      <c r="D100" s="14" t="str">
        <v>lenvatinib_plus_pembrolizumab</v>
      </c>
      <c r="H100" s="1"/>
      <c r="I100" s="1"/>
      <c r="J100" s="1"/>
      <c r="K100" s="408">
        <f t="shared" si="70"/>
        <v>0.68300000000000005</v>
      </c>
      <c r="L100" s="408">
        <f t="shared" si="71"/>
        <v>6.8300000000000013E-2</v>
      </c>
      <c r="BA100" s="17"/>
      <c r="BB100" s="17"/>
      <c r="BC100" s="17"/>
      <c r="BD100" s="17"/>
      <c r="BE100" s="17"/>
      <c r="BF100" s="17"/>
      <c r="BG100" s="17"/>
      <c r="BH100" s="17"/>
      <c r="BI100" s="17"/>
      <c r="BJ100" s="17"/>
      <c r="BK100" s="17"/>
      <c r="BL100" s="17"/>
      <c r="BM100" s="17"/>
    </row>
    <row r="101" spans="4:65" x14ac:dyDescent="0.2">
      <c r="D101" s="14" t="str">
        <v>avelumab_plus_axitinib</v>
      </c>
      <c r="H101" s="1"/>
      <c r="I101" s="1"/>
      <c r="J101" s="1"/>
      <c r="K101" s="408">
        <f t="shared" si="70"/>
        <v>0.68300000000000005</v>
      </c>
      <c r="L101" s="408">
        <f t="shared" si="71"/>
        <v>6.8300000000000013E-2</v>
      </c>
      <c r="BA101" s="17"/>
      <c r="BB101" s="17"/>
      <c r="BC101" s="17"/>
      <c r="BD101" s="17"/>
      <c r="BE101" s="17"/>
      <c r="BF101" s="17"/>
      <c r="BG101" s="17"/>
      <c r="BH101" s="17"/>
      <c r="BI101" s="17"/>
      <c r="BJ101" s="17"/>
      <c r="BK101" s="17"/>
      <c r="BL101" s="17"/>
      <c r="BM101" s="17"/>
    </row>
    <row r="102" spans="4:65" x14ac:dyDescent="0.2">
      <c r="D102" s="14" t="str">
        <v>pazopanib</v>
      </c>
      <c r="H102" s="1"/>
      <c r="I102" s="1"/>
      <c r="J102" s="1"/>
      <c r="K102" s="408">
        <f t="shared" si="70"/>
        <v>0.68300000000000005</v>
      </c>
      <c r="L102" s="408">
        <f t="shared" si="71"/>
        <v>6.8300000000000013E-2</v>
      </c>
      <c r="BA102" s="17"/>
      <c r="BB102" s="17"/>
      <c r="BC102" s="17"/>
      <c r="BD102" s="17"/>
      <c r="BE102" s="17"/>
      <c r="BF102" s="17"/>
      <c r="BG102" s="17"/>
      <c r="BH102" s="17"/>
      <c r="BI102" s="17"/>
      <c r="BJ102" s="17"/>
      <c r="BK102" s="17"/>
      <c r="BL102" s="17"/>
      <c r="BM102" s="17"/>
    </row>
    <row r="103" spans="4:65" x14ac:dyDescent="0.2">
      <c r="D103" s="14" t="str">
        <v>tivozanib</v>
      </c>
      <c r="H103" s="1"/>
      <c r="I103" s="1"/>
      <c r="J103" s="1"/>
      <c r="K103" s="408">
        <f t="shared" si="70"/>
        <v>0.68300000000000005</v>
      </c>
      <c r="L103" s="408">
        <f t="shared" si="71"/>
        <v>6.8300000000000013E-2</v>
      </c>
      <c r="BA103" s="17"/>
      <c r="BB103" s="17"/>
      <c r="BC103" s="17"/>
      <c r="BD103" s="17"/>
      <c r="BE103" s="17"/>
      <c r="BF103" s="17"/>
      <c r="BG103" s="17"/>
      <c r="BH103" s="17"/>
      <c r="BI103" s="17"/>
      <c r="BJ103" s="17"/>
      <c r="BK103" s="17"/>
      <c r="BL103" s="17"/>
      <c r="BM103" s="17"/>
    </row>
    <row r="104" spans="4:65" x14ac:dyDescent="0.2">
      <c r="D104" s="14" t="str">
        <v>sunitinib</v>
      </c>
      <c r="H104" s="1"/>
      <c r="I104" s="1"/>
      <c r="J104" s="1"/>
      <c r="K104" s="408">
        <f t="shared" si="70"/>
        <v>0.68300000000000005</v>
      </c>
      <c r="L104" s="408">
        <f t="shared" si="71"/>
        <v>6.8300000000000013E-2</v>
      </c>
      <c r="BA104" s="17"/>
      <c r="BB104" s="17"/>
      <c r="BC104" s="17"/>
      <c r="BD104" s="17"/>
      <c r="BE104" s="17"/>
      <c r="BF104" s="17"/>
      <c r="BG104" s="17"/>
      <c r="BH104" s="17"/>
      <c r="BI104" s="17"/>
      <c r="BJ104" s="17"/>
      <c r="BK104" s="17"/>
      <c r="BL104" s="17"/>
      <c r="BM104" s="17"/>
    </row>
    <row r="105" spans="4:65" x14ac:dyDescent="0.2">
      <c r="D105" s="14" t="str">
        <v>cabozantinib</v>
      </c>
      <c r="H105" s="1"/>
      <c r="I105" s="1"/>
      <c r="J105" s="1"/>
      <c r="K105" s="408">
        <f t="shared" si="70"/>
        <v>0.68300000000000005</v>
      </c>
      <c r="L105" s="408">
        <f t="shared" si="71"/>
        <v>6.8300000000000013E-2</v>
      </c>
      <c r="BA105" s="17"/>
      <c r="BB105" s="17"/>
      <c r="BC105" s="17"/>
      <c r="BD105" s="17"/>
      <c r="BE105" s="17"/>
      <c r="BF105" s="17"/>
      <c r="BG105" s="17"/>
      <c r="BH105" s="17"/>
      <c r="BI105" s="17"/>
      <c r="BJ105" s="17"/>
      <c r="BK105" s="17"/>
      <c r="BL105" s="17"/>
      <c r="BM105" s="17"/>
    </row>
    <row r="106" spans="4:65" x14ac:dyDescent="0.2">
      <c r="D106" s="14" t="str">
        <v>lenvatinib_plus_everolimus</v>
      </c>
      <c r="H106" s="1"/>
      <c r="I106" s="1"/>
      <c r="J106" s="1"/>
      <c r="K106" s="408">
        <f t="shared" si="70"/>
        <v>0.68300000000000005</v>
      </c>
      <c r="L106" s="408">
        <f t="shared" si="71"/>
        <v>6.8300000000000013E-2</v>
      </c>
      <c r="BA106" s="17"/>
      <c r="BB106" s="17"/>
      <c r="BC106" s="17"/>
      <c r="BD106" s="17"/>
      <c r="BE106" s="17"/>
      <c r="BF106" s="17"/>
      <c r="BG106" s="17"/>
      <c r="BH106" s="17"/>
      <c r="BI106" s="17"/>
      <c r="BJ106" s="17"/>
      <c r="BK106" s="17"/>
      <c r="BL106" s="17"/>
      <c r="BM106" s="17"/>
    </row>
    <row r="107" spans="4:65" x14ac:dyDescent="0.2">
      <c r="D107" s="14" t="str">
        <v>everolimus</v>
      </c>
      <c r="H107" s="1"/>
      <c r="I107" s="1"/>
      <c r="J107" s="1"/>
      <c r="K107" s="408">
        <f t="shared" si="70"/>
        <v>0.68300000000000005</v>
      </c>
      <c r="L107" s="408">
        <f t="shared" si="71"/>
        <v>6.8300000000000013E-2</v>
      </c>
      <c r="BA107" s="17"/>
      <c r="BB107" s="17"/>
      <c r="BC107" s="17"/>
      <c r="BD107" s="17"/>
      <c r="BE107" s="17"/>
      <c r="BF107" s="17"/>
      <c r="BG107" s="17"/>
      <c r="BH107" s="17"/>
      <c r="BI107" s="17"/>
      <c r="BJ107" s="17"/>
      <c r="BK107" s="17"/>
      <c r="BL107" s="17"/>
      <c r="BM107" s="17"/>
    </row>
    <row r="108" spans="4:65" x14ac:dyDescent="0.2">
      <c r="D108" s="14" t="str">
        <v>axitinib</v>
      </c>
      <c r="H108" s="1"/>
      <c r="I108" s="1"/>
      <c r="J108" s="1"/>
      <c r="K108" s="408">
        <f t="shared" si="70"/>
        <v>0.68300000000000005</v>
      </c>
      <c r="L108" s="408">
        <f t="shared" si="71"/>
        <v>6.8300000000000013E-2</v>
      </c>
      <c r="BA108" s="17"/>
      <c r="BB108" s="17"/>
      <c r="BC108" s="17"/>
      <c r="BD108" s="17"/>
      <c r="BE108" s="17"/>
      <c r="BF108" s="17"/>
      <c r="BG108" s="17"/>
      <c r="BH108" s="17"/>
      <c r="BI108" s="17"/>
      <c r="BJ108" s="17"/>
      <c r="BK108" s="17"/>
      <c r="BL108" s="17"/>
      <c r="BM108" s="17"/>
    </row>
    <row r="109" spans="4:65" x14ac:dyDescent="0.2">
      <c r="D109" s="14" t="str">
        <v>sorafenib</v>
      </c>
      <c r="K109" s="408">
        <f t="shared" si="70"/>
        <v>0.68300000000000005</v>
      </c>
      <c r="L109" s="408">
        <f t="shared" si="71"/>
        <v>6.8300000000000013E-2</v>
      </c>
      <c r="BA109" s="17"/>
      <c r="BB109" s="17"/>
      <c r="BC109" s="17"/>
      <c r="BD109" s="17"/>
      <c r="BE109" s="17"/>
      <c r="BF109" s="17"/>
      <c r="BG109" s="17"/>
      <c r="BH109" s="17"/>
      <c r="BI109" s="17"/>
      <c r="BJ109" s="17"/>
      <c r="BK109" s="17"/>
      <c r="BL109" s="17"/>
      <c r="BM109" s="17"/>
    </row>
    <row r="110" spans="4:65" x14ac:dyDescent="0.2">
      <c r="D110" s="14" t="str">
        <v>placebo_BSC</v>
      </c>
      <c r="W110" s="409">
        <f>W94</f>
        <v>0.48163685360833497</v>
      </c>
      <c r="X110" s="409">
        <f>X94</f>
        <v>4.81636853608335E-2</v>
      </c>
      <c r="BA110" s="17"/>
      <c r="BB110" s="17"/>
      <c r="BC110" s="17"/>
      <c r="BD110" s="17"/>
      <c r="BE110" s="17"/>
      <c r="BF110" s="17"/>
      <c r="BG110" s="17"/>
      <c r="BH110" s="17"/>
      <c r="BI110" s="17"/>
      <c r="BJ110" s="17"/>
      <c r="BK110" s="17"/>
      <c r="BL110" s="17"/>
      <c r="BM110" s="17"/>
    </row>
    <row r="111" spans="4:65" x14ac:dyDescent="0.2">
      <c r="BA111" s="17"/>
      <c r="BB111" s="17"/>
      <c r="BC111" s="17"/>
      <c r="BD111" s="17"/>
      <c r="BE111" s="17"/>
      <c r="BF111" s="17"/>
      <c r="BG111" s="17"/>
      <c r="BH111" s="17"/>
      <c r="BI111" s="17"/>
      <c r="BJ111" s="17"/>
      <c r="BK111" s="17"/>
      <c r="BL111" s="17"/>
      <c r="BM111" s="17"/>
    </row>
    <row r="112" spans="4:65" ht="16.5" thickBot="1" x14ac:dyDescent="0.3">
      <c r="D112" s="52" t="s">
        <v>836</v>
      </c>
      <c r="E112" s="22"/>
      <c r="F112" s="22"/>
      <c r="G112" s="22"/>
      <c r="H112" s="22"/>
      <c r="I112" s="22"/>
      <c r="J112" s="22"/>
      <c r="K112" s="22"/>
      <c r="L112" s="22"/>
      <c r="M112" s="22"/>
      <c r="N112" s="22"/>
      <c r="O112" s="22"/>
      <c r="P112" s="22"/>
      <c r="Q112" s="22"/>
      <c r="R112" s="22"/>
      <c r="S112" s="22"/>
      <c r="T112" s="22"/>
      <c r="U112" s="22"/>
      <c r="V112" s="22"/>
      <c r="W112" s="22"/>
      <c r="X112" s="22"/>
      <c r="BA112" s="17"/>
      <c r="BB112" s="17"/>
      <c r="BC112" s="17"/>
      <c r="BD112" s="17"/>
      <c r="BE112" s="17"/>
      <c r="BF112" s="17"/>
      <c r="BG112" s="17"/>
      <c r="BH112" s="17"/>
      <c r="BI112" s="17"/>
      <c r="BJ112" s="17"/>
      <c r="BK112" s="17"/>
      <c r="BL112" s="17"/>
      <c r="BM112" s="17"/>
    </row>
    <row r="113" spans="4:65" ht="15.75" x14ac:dyDescent="0.25">
      <c r="D113" s="12"/>
      <c r="BA113" s="17"/>
      <c r="BB113" s="17"/>
      <c r="BC113" s="17"/>
      <c r="BD113" s="17"/>
      <c r="BE113" s="17"/>
      <c r="BF113" s="17"/>
      <c r="BG113" s="17"/>
      <c r="BH113" s="17"/>
      <c r="BI113" s="17"/>
      <c r="BJ113" s="17"/>
      <c r="BK113" s="17"/>
      <c r="BL113" s="17"/>
      <c r="BM113" s="17"/>
    </row>
    <row r="114" spans="4:65" ht="15.75" x14ac:dyDescent="0.25">
      <c r="D114" s="70" t="str">
        <f t="array" ref="D114">INDEX(Lists!$D$11:$D$13,$C$9)</f>
        <v>All</v>
      </c>
      <c r="BA114" s="17"/>
      <c r="BB114" s="17"/>
      <c r="BC114" s="17"/>
      <c r="BD114" s="17"/>
      <c r="BE114" s="17"/>
      <c r="BF114" s="17"/>
      <c r="BG114" s="17"/>
      <c r="BH114" s="17"/>
      <c r="BI114" s="17"/>
      <c r="BJ114" s="17"/>
      <c r="BK114" s="17"/>
      <c r="BL114" s="17"/>
      <c r="BM114" s="17"/>
    </row>
    <row r="115" spans="4:65" x14ac:dyDescent="0.2">
      <c r="D115" s="14" t="str" cm="1">
        <f t="array" ref="D115:D128">List_comparators</f>
        <v>nivolumab_monotherapy</v>
      </c>
      <c r="K115" s="410">
        <f t="shared" ref="K115:L127" si="72">K15</f>
        <v>0.753</v>
      </c>
      <c r="L115" s="408">
        <f>L15</f>
        <v>7.5300000000000006E-2</v>
      </c>
      <c r="N115" s="410">
        <f t="shared" ref="N115:O127" si="73">N15</f>
        <v>0.68300000000000005</v>
      </c>
      <c r="O115" s="410">
        <f t="shared" si="73"/>
        <v>6.8300000000000013E-2</v>
      </c>
      <c r="Q115" s="408">
        <f t="shared" ref="Q115:R127" si="74">Q15</f>
        <v>0.61625183016105411</v>
      </c>
      <c r="R115" s="408">
        <f t="shared" si="74"/>
        <v>6.1625183016105416E-2</v>
      </c>
      <c r="T115" s="410">
        <f t="shared" ref="T115:U127" si="75">T15</f>
        <v>0.54480234260614935</v>
      </c>
      <c r="U115" s="410">
        <f t="shared" si="75"/>
        <v>5.4480234260614935E-2</v>
      </c>
      <c r="BA115" s="17"/>
      <c r="BB115" s="17"/>
      <c r="BC115" s="17"/>
      <c r="BD115" s="17"/>
      <c r="BE115" s="17"/>
      <c r="BF115" s="17"/>
      <c r="BG115" s="17"/>
      <c r="BH115" s="17"/>
      <c r="BI115" s="17"/>
      <c r="BJ115" s="17"/>
      <c r="BK115" s="17"/>
      <c r="BL115" s="17"/>
      <c r="BM115" s="17"/>
    </row>
    <row r="116" spans="4:65" x14ac:dyDescent="0.2">
      <c r="D116" s="14" t="str">
        <v>cabozantinib_plus_nivolumab</v>
      </c>
      <c r="K116" s="410">
        <f t="shared" si="72"/>
        <v>0.753</v>
      </c>
      <c r="L116" s="410">
        <f t="shared" si="72"/>
        <v>7.5300000000000006E-2</v>
      </c>
      <c r="N116" s="410">
        <f t="shared" si="73"/>
        <v>0.68300000000000005</v>
      </c>
      <c r="O116" s="410">
        <f t="shared" si="73"/>
        <v>6.8300000000000013E-2</v>
      </c>
      <c r="Q116" s="408">
        <f t="shared" si="74"/>
        <v>0.61625183016105411</v>
      </c>
      <c r="R116" s="408">
        <f t="shared" si="74"/>
        <v>6.1625183016105416E-2</v>
      </c>
      <c r="T116" s="410">
        <f t="shared" si="75"/>
        <v>0.54480234260614935</v>
      </c>
      <c r="U116" s="410">
        <f t="shared" si="75"/>
        <v>5.4480234260614935E-2</v>
      </c>
      <c r="BA116" s="17"/>
      <c r="BB116" s="17"/>
      <c r="BC116" s="17"/>
      <c r="BD116" s="17"/>
      <c r="BE116" s="17"/>
      <c r="BF116" s="17"/>
      <c r="BG116" s="17"/>
      <c r="BH116" s="17"/>
      <c r="BI116" s="17"/>
      <c r="BJ116" s="17"/>
      <c r="BK116" s="17"/>
      <c r="BL116" s="17"/>
      <c r="BM116" s="17"/>
    </row>
    <row r="117" spans="4:65" x14ac:dyDescent="0.2">
      <c r="D117" s="14" t="str">
        <v>nivolumab_plus_ipilimumab</v>
      </c>
      <c r="K117" s="410">
        <f t="shared" si="72"/>
        <v>0.753</v>
      </c>
      <c r="L117" s="410">
        <f t="shared" si="72"/>
        <v>7.5300000000000006E-2</v>
      </c>
      <c r="N117" s="410">
        <f t="shared" si="73"/>
        <v>0.68300000000000005</v>
      </c>
      <c r="O117" s="410">
        <f t="shared" si="73"/>
        <v>6.8300000000000013E-2</v>
      </c>
      <c r="Q117" s="408">
        <f t="shared" si="74"/>
        <v>0.61625183016105411</v>
      </c>
      <c r="R117" s="408">
        <f t="shared" si="74"/>
        <v>6.1625183016105416E-2</v>
      </c>
      <c r="T117" s="410">
        <f t="shared" si="75"/>
        <v>0.54480234260614935</v>
      </c>
      <c r="U117" s="410">
        <f t="shared" si="75"/>
        <v>5.4480234260614935E-2</v>
      </c>
      <c r="BA117" s="17"/>
      <c r="BB117" s="17"/>
      <c r="BC117" s="17"/>
      <c r="BD117" s="17"/>
      <c r="BE117" s="17"/>
      <c r="BF117" s="17"/>
      <c r="BG117" s="17"/>
      <c r="BH117" s="17"/>
      <c r="BI117" s="17"/>
      <c r="BJ117" s="17"/>
      <c r="BK117" s="17"/>
      <c r="BL117" s="17"/>
      <c r="BM117" s="17"/>
    </row>
    <row r="118" spans="4:65" x14ac:dyDescent="0.2">
      <c r="D118" s="14" t="str">
        <v>lenvatinib_plus_pembrolizumab</v>
      </c>
      <c r="K118" s="410">
        <f t="shared" si="72"/>
        <v>0.753</v>
      </c>
      <c r="L118" s="410">
        <f t="shared" si="72"/>
        <v>7.5300000000000006E-2</v>
      </c>
      <c r="N118" s="410">
        <f t="shared" si="73"/>
        <v>0.68300000000000005</v>
      </c>
      <c r="O118" s="410">
        <f t="shared" si="73"/>
        <v>6.8300000000000013E-2</v>
      </c>
      <c r="Q118" s="408">
        <f t="shared" si="74"/>
        <v>0.61625183016105411</v>
      </c>
      <c r="R118" s="408">
        <f t="shared" si="74"/>
        <v>6.1625183016105416E-2</v>
      </c>
      <c r="T118" s="410">
        <f t="shared" si="75"/>
        <v>0.54480234260614935</v>
      </c>
      <c r="U118" s="410">
        <f t="shared" si="75"/>
        <v>5.4480234260614935E-2</v>
      </c>
      <c r="BA118" s="17"/>
      <c r="BB118" s="17"/>
      <c r="BC118" s="17"/>
      <c r="BD118" s="17"/>
      <c r="BE118" s="17"/>
      <c r="BF118" s="17"/>
      <c r="BG118" s="17"/>
      <c r="BH118" s="17"/>
      <c r="BI118" s="17"/>
      <c r="BJ118" s="17"/>
      <c r="BK118" s="17"/>
      <c r="BL118" s="17"/>
      <c r="BM118" s="17"/>
    </row>
    <row r="119" spans="4:65" x14ac:dyDescent="0.2">
      <c r="D119" s="14" t="str">
        <v>avelumab_plus_axitinib</v>
      </c>
      <c r="K119" s="410">
        <f t="shared" si="72"/>
        <v>0.753</v>
      </c>
      <c r="L119" s="410">
        <f t="shared" si="72"/>
        <v>7.5300000000000006E-2</v>
      </c>
      <c r="N119" s="410">
        <f t="shared" si="73"/>
        <v>0.68300000000000005</v>
      </c>
      <c r="O119" s="410">
        <f t="shared" si="73"/>
        <v>6.8300000000000013E-2</v>
      </c>
      <c r="Q119" s="408">
        <f t="shared" si="74"/>
        <v>0.61625183016105411</v>
      </c>
      <c r="R119" s="408">
        <f t="shared" si="74"/>
        <v>6.1625183016105416E-2</v>
      </c>
      <c r="T119" s="410">
        <f t="shared" si="75"/>
        <v>0.54480234260614935</v>
      </c>
      <c r="U119" s="410">
        <f t="shared" si="75"/>
        <v>5.4480234260614935E-2</v>
      </c>
      <c r="BA119" s="17"/>
      <c r="BB119" s="17"/>
      <c r="BC119" s="17"/>
      <c r="BD119" s="17"/>
      <c r="BE119" s="17"/>
      <c r="BF119" s="17"/>
      <c r="BG119" s="17"/>
      <c r="BH119" s="17"/>
      <c r="BI119" s="17"/>
      <c r="BJ119" s="17"/>
      <c r="BK119" s="17"/>
      <c r="BL119" s="17"/>
      <c r="BM119" s="17"/>
    </row>
    <row r="120" spans="4:65" x14ac:dyDescent="0.2">
      <c r="D120" s="14" t="str">
        <v>pazopanib</v>
      </c>
      <c r="K120" s="410">
        <f t="shared" si="72"/>
        <v>0.753</v>
      </c>
      <c r="L120" s="410">
        <f t="shared" si="72"/>
        <v>7.5300000000000006E-2</v>
      </c>
      <c r="N120" s="410">
        <f t="shared" si="73"/>
        <v>0.68300000000000005</v>
      </c>
      <c r="O120" s="410">
        <f t="shared" si="73"/>
        <v>6.8300000000000013E-2</v>
      </c>
      <c r="Q120" s="408">
        <f t="shared" si="74"/>
        <v>0.61625183016105411</v>
      </c>
      <c r="R120" s="408">
        <f t="shared" si="74"/>
        <v>6.1625183016105416E-2</v>
      </c>
      <c r="T120" s="410">
        <f t="shared" si="75"/>
        <v>0.54480234260614935</v>
      </c>
      <c r="U120" s="410">
        <f t="shared" si="75"/>
        <v>5.4480234260614935E-2</v>
      </c>
      <c r="BA120" s="17"/>
      <c r="BB120" s="17"/>
      <c r="BC120" s="17"/>
      <c r="BD120" s="17"/>
      <c r="BE120" s="17"/>
      <c r="BF120" s="17"/>
      <c r="BG120" s="17"/>
      <c r="BH120" s="17"/>
      <c r="BI120" s="17"/>
      <c r="BJ120" s="17"/>
      <c r="BK120" s="17"/>
      <c r="BL120" s="17"/>
      <c r="BM120" s="17"/>
    </row>
    <row r="121" spans="4:65" x14ac:dyDescent="0.2">
      <c r="D121" s="14" t="str">
        <v>tivozanib</v>
      </c>
      <c r="K121" s="410">
        <f t="shared" si="72"/>
        <v>0.753</v>
      </c>
      <c r="L121" s="410">
        <f t="shared" si="72"/>
        <v>7.5300000000000006E-2</v>
      </c>
      <c r="N121" s="410">
        <f t="shared" si="73"/>
        <v>0.68300000000000005</v>
      </c>
      <c r="O121" s="410">
        <f t="shared" si="73"/>
        <v>6.8300000000000013E-2</v>
      </c>
      <c r="Q121" s="408">
        <f t="shared" si="74"/>
        <v>0.61625183016105411</v>
      </c>
      <c r="R121" s="408">
        <f t="shared" si="74"/>
        <v>6.1625183016105416E-2</v>
      </c>
      <c r="T121" s="410">
        <f t="shared" si="75"/>
        <v>0.54480234260614935</v>
      </c>
      <c r="U121" s="410">
        <f t="shared" si="75"/>
        <v>5.4480234260614935E-2</v>
      </c>
      <c r="BA121" s="17"/>
      <c r="BB121" s="17"/>
      <c r="BC121" s="17"/>
      <c r="BD121" s="17"/>
      <c r="BE121" s="17"/>
      <c r="BF121" s="17"/>
      <c r="BG121" s="17"/>
      <c r="BH121" s="17"/>
      <c r="BI121" s="17"/>
      <c r="BJ121" s="17"/>
      <c r="BK121" s="17"/>
      <c r="BL121" s="17"/>
      <c r="BM121" s="17"/>
    </row>
    <row r="122" spans="4:65" x14ac:dyDescent="0.2">
      <c r="D122" s="14" t="str">
        <v>sunitinib</v>
      </c>
      <c r="K122" s="410">
        <f t="shared" si="72"/>
        <v>0.753</v>
      </c>
      <c r="L122" s="410">
        <f t="shared" si="72"/>
        <v>7.5300000000000006E-2</v>
      </c>
      <c r="N122" s="410">
        <f t="shared" si="73"/>
        <v>0.68300000000000005</v>
      </c>
      <c r="O122" s="410">
        <f t="shared" si="73"/>
        <v>6.8300000000000013E-2</v>
      </c>
      <c r="Q122" s="408">
        <f t="shared" si="74"/>
        <v>0.61625183016105411</v>
      </c>
      <c r="R122" s="408">
        <f t="shared" si="74"/>
        <v>6.1625183016105416E-2</v>
      </c>
      <c r="T122" s="410">
        <f t="shared" si="75"/>
        <v>0.54480234260614935</v>
      </c>
      <c r="U122" s="410">
        <f t="shared" si="75"/>
        <v>5.4480234260614935E-2</v>
      </c>
      <c r="BA122" s="17"/>
      <c r="BB122" s="17"/>
      <c r="BC122" s="17"/>
      <c r="BD122" s="17"/>
      <c r="BE122" s="17"/>
      <c r="BF122" s="17"/>
      <c r="BG122" s="17"/>
      <c r="BH122" s="17"/>
      <c r="BI122" s="17"/>
      <c r="BJ122" s="17"/>
      <c r="BK122" s="17"/>
      <c r="BL122" s="17"/>
      <c r="BM122" s="17"/>
    </row>
    <row r="123" spans="4:65" x14ac:dyDescent="0.2">
      <c r="D123" s="14" t="str">
        <v>cabozantinib</v>
      </c>
      <c r="K123" s="410">
        <f t="shared" si="72"/>
        <v>0.753</v>
      </c>
      <c r="L123" s="410">
        <f t="shared" si="72"/>
        <v>7.5300000000000006E-2</v>
      </c>
      <c r="N123" s="410">
        <f t="shared" si="73"/>
        <v>0.68300000000000005</v>
      </c>
      <c r="O123" s="410">
        <f t="shared" si="73"/>
        <v>6.8300000000000013E-2</v>
      </c>
      <c r="Q123" s="408">
        <f t="shared" si="74"/>
        <v>0.61625183016105411</v>
      </c>
      <c r="R123" s="408">
        <f t="shared" si="74"/>
        <v>6.1625183016105416E-2</v>
      </c>
      <c r="T123" s="410">
        <f t="shared" si="75"/>
        <v>0.54480234260614935</v>
      </c>
      <c r="U123" s="410">
        <f t="shared" si="75"/>
        <v>5.4480234260614935E-2</v>
      </c>
      <c r="BA123" s="17"/>
      <c r="BB123" s="17"/>
      <c r="BC123" s="17"/>
      <c r="BD123" s="17"/>
      <c r="BE123" s="17"/>
      <c r="BF123" s="17"/>
      <c r="BG123" s="17"/>
      <c r="BH123" s="17"/>
      <c r="BI123" s="17"/>
      <c r="BJ123" s="17"/>
      <c r="BK123" s="17"/>
      <c r="BL123" s="17"/>
      <c r="BM123" s="17"/>
    </row>
    <row r="124" spans="4:65" x14ac:dyDescent="0.2">
      <c r="D124" s="14" t="str">
        <v>lenvatinib_plus_everolimus</v>
      </c>
      <c r="K124" s="410">
        <f t="shared" si="72"/>
        <v>0.753</v>
      </c>
      <c r="L124" s="410">
        <f t="shared" si="72"/>
        <v>7.5300000000000006E-2</v>
      </c>
      <c r="N124" s="410">
        <f t="shared" si="73"/>
        <v>0.68300000000000005</v>
      </c>
      <c r="O124" s="410">
        <f t="shared" si="73"/>
        <v>6.8300000000000013E-2</v>
      </c>
      <c r="Q124" s="408">
        <f t="shared" si="74"/>
        <v>0.61625183016105411</v>
      </c>
      <c r="R124" s="408">
        <f t="shared" si="74"/>
        <v>6.1625183016105416E-2</v>
      </c>
      <c r="T124" s="410">
        <f t="shared" si="75"/>
        <v>0.54480234260614935</v>
      </c>
      <c r="U124" s="410">
        <f t="shared" si="75"/>
        <v>5.4480234260614935E-2</v>
      </c>
      <c r="BA124" s="17"/>
      <c r="BB124" s="17"/>
      <c r="BC124" s="17"/>
      <c r="BD124" s="17"/>
      <c r="BE124" s="17"/>
      <c r="BF124" s="17"/>
      <c r="BG124" s="17"/>
      <c r="BH124" s="17"/>
      <c r="BI124" s="17"/>
      <c r="BJ124" s="17"/>
      <c r="BK124" s="17"/>
      <c r="BL124" s="17"/>
      <c r="BM124" s="17"/>
    </row>
    <row r="125" spans="4:65" x14ac:dyDescent="0.2">
      <c r="D125" s="14" t="str">
        <v>everolimus</v>
      </c>
      <c r="K125" s="410">
        <f t="shared" si="72"/>
        <v>0.753</v>
      </c>
      <c r="L125" s="410">
        <f t="shared" si="72"/>
        <v>7.5300000000000006E-2</v>
      </c>
      <c r="N125" s="410">
        <f t="shared" si="73"/>
        <v>0.68300000000000005</v>
      </c>
      <c r="O125" s="410">
        <f t="shared" si="73"/>
        <v>6.8300000000000013E-2</v>
      </c>
      <c r="Q125" s="408">
        <f t="shared" si="74"/>
        <v>0.61625183016105411</v>
      </c>
      <c r="R125" s="408">
        <f t="shared" si="74"/>
        <v>6.1625183016105416E-2</v>
      </c>
      <c r="T125" s="410">
        <f t="shared" si="75"/>
        <v>0.54480234260614935</v>
      </c>
      <c r="U125" s="410">
        <f t="shared" si="75"/>
        <v>5.4480234260614935E-2</v>
      </c>
      <c r="BA125" s="17"/>
      <c r="BB125" s="17"/>
      <c r="BC125" s="17"/>
      <c r="BD125" s="17"/>
      <c r="BE125" s="17"/>
      <c r="BF125" s="17"/>
      <c r="BG125" s="17"/>
      <c r="BH125" s="17"/>
      <c r="BI125" s="17"/>
      <c r="BJ125" s="17"/>
      <c r="BK125" s="17"/>
      <c r="BL125" s="17"/>
      <c r="BM125" s="17"/>
    </row>
    <row r="126" spans="4:65" x14ac:dyDescent="0.2">
      <c r="D126" s="14" t="str">
        <v>axitinib</v>
      </c>
      <c r="K126" s="410">
        <f t="shared" si="72"/>
        <v>0.753</v>
      </c>
      <c r="L126" s="410">
        <f t="shared" si="72"/>
        <v>7.5300000000000006E-2</v>
      </c>
      <c r="N126" s="410">
        <f t="shared" si="73"/>
        <v>0.68300000000000005</v>
      </c>
      <c r="O126" s="410">
        <f t="shared" si="73"/>
        <v>6.8300000000000013E-2</v>
      </c>
      <c r="Q126" s="408">
        <f t="shared" si="74"/>
        <v>0.61625183016105411</v>
      </c>
      <c r="R126" s="408">
        <f t="shared" si="74"/>
        <v>6.1625183016105416E-2</v>
      </c>
      <c r="T126" s="410">
        <f t="shared" si="75"/>
        <v>0.54480234260614935</v>
      </c>
      <c r="U126" s="410">
        <f t="shared" si="75"/>
        <v>5.4480234260614935E-2</v>
      </c>
      <c r="BA126" s="17"/>
      <c r="BB126" s="17"/>
      <c r="BC126" s="17"/>
      <c r="BD126" s="17"/>
      <c r="BE126" s="17"/>
      <c r="BF126" s="17"/>
      <c r="BG126" s="17"/>
      <c r="BH126" s="17"/>
      <c r="BI126" s="17"/>
      <c r="BJ126" s="17"/>
      <c r="BK126" s="17"/>
      <c r="BL126" s="17"/>
      <c r="BM126" s="17"/>
    </row>
    <row r="127" spans="4:65" x14ac:dyDescent="0.2">
      <c r="D127" s="14" t="str">
        <v>sorafenib</v>
      </c>
      <c r="K127" s="410">
        <f t="shared" si="72"/>
        <v>0.753</v>
      </c>
      <c r="L127" s="410">
        <f t="shared" si="72"/>
        <v>7.5300000000000006E-2</v>
      </c>
      <c r="N127" s="410">
        <f t="shared" si="73"/>
        <v>0.68300000000000005</v>
      </c>
      <c r="O127" s="410">
        <f t="shared" si="73"/>
        <v>6.8300000000000013E-2</v>
      </c>
      <c r="Q127" s="408">
        <f t="shared" si="74"/>
        <v>0.61625183016105411</v>
      </c>
      <c r="R127" s="408">
        <f t="shared" si="74"/>
        <v>6.1625183016105416E-2</v>
      </c>
      <c r="T127" s="410">
        <f t="shared" si="75"/>
        <v>0.54480234260614935</v>
      </c>
      <c r="U127" s="410">
        <f t="shared" si="75"/>
        <v>5.4480234260614935E-2</v>
      </c>
      <c r="BA127" s="17"/>
      <c r="BB127" s="17"/>
      <c r="BC127" s="17"/>
      <c r="BD127" s="17"/>
      <c r="BE127" s="17"/>
      <c r="BF127" s="17"/>
      <c r="BG127" s="17"/>
      <c r="BH127" s="17"/>
      <c r="BI127" s="17"/>
      <c r="BJ127" s="17"/>
      <c r="BK127" s="17"/>
      <c r="BL127" s="17"/>
      <c r="BM127" s="17"/>
    </row>
    <row r="128" spans="4:65" x14ac:dyDescent="0.2">
      <c r="D128" s="14" t="str">
        <v>placebo_BSC</v>
      </c>
      <c r="W128" s="408">
        <f>W28</f>
        <v>0.48163685360833497</v>
      </c>
      <c r="X128" s="408">
        <f>X28</f>
        <v>4.81636853608335E-2</v>
      </c>
      <c r="BA128" s="17"/>
      <c r="BB128" s="17"/>
      <c r="BC128" s="17"/>
      <c r="BD128" s="17"/>
      <c r="BE128" s="17"/>
      <c r="BF128" s="17"/>
      <c r="BG128" s="17"/>
      <c r="BH128" s="17"/>
      <c r="BI128" s="17"/>
      <c r="BJ128" s="17"/>
      <c r="BK128" s="17"/>
      <c r="BL128" s="17"/>
      <c r="BM128" s="17"/>
    </row>
    <row r="129" spans="4:65" x14ac:dyDescent="0.2">
      <c r="D129" s="14"/>
      <c r="BA129" s="17"/>
      <c r="BB129" s="17"/>
      <c r="BC129" s="17"/>
      <c r="BD129" s="17"/>
      <c r="BE129" s="17"/>
      <c r="BF129" s="17"/>
      <c r="BG129" s="17"/>
      <c r="BH129" s="17"/>
      <c r="BI129" s="17"/>
      <c r="BJ129" s="17"/>
      <c r="BK129" s="17"/>
      <c r="BL129" s="17"/>
      <c r="BM129" s="17"/>
    </row>
    <row r="130" spans="4:65" ht="15.75" x14ac:dyDescent="0.25">
      <c r="D130" s="70" t="str">
        <f t="array" ref="D130">INDEX(Lists!$D$11:$D$13,$C$10)</f>
        <v>Poor / intermediate risk</v>
      </c>
      <c r="BA130" s="17"/>
      <c r="BB130" s="17"/>
      <c r="BC130" s="17"/>
      <c r="BD130" s="17"/>
      <c r="BE130" s="17"/>
      <c r="BF130" s="17"/>
      <c r="BG130" s="17"/>
      <c r="BH130" s="17"/>
      <c r="BI130" s="17"/>
      <c r="BJ130" s="17"/>
      <c r="BK130" s="17"/>
      <c r="BL130" s="17"/>
      <c r="BM130" s="17"/>
    </row>
    <row r="131" spans="4:65" x14ac:dyDescent="0.2">
      <c r="D131" s="14" t="str" cm="1">
        <f t="array" ref="D131:D144">List_comparators</f>
        <v>nivolumab_monotherapy</v>
      </c>
      <c r="K131" s="1151">
        <f t="shared" ref="K131:L143" si="76">K31</f>
        <v>0.753</v>
      </c>
      <c r="L131" s="1151">
        <f t="shared" si="76"/>
        <v>7.5300000000000006E-2</v>
      </c>
      <c r="BA131" s="17"/>
      <c r="BB131" s="17"/>
      <c r="BC131" s="17"/>
      <c r="BD131" s="17"/>
      <c r="BE131" s="17"/>
      <c r="BF131" s="17"/>
      <c r="BG131" s="17"/>
      <c r="BH131" s="17"/>
      <c r="BI131" s="17"/>
      <c r="BJ131" s="17"/>
      <c r="BK131" s="17"/>
      <c r="BL131" s="17"/>
      <c r="BM131" s="17"/>
    </row>
    <row r="132" spans="4:65" x14ac:dyDescent="0.2">
      <c r="D132" s="14" t="str">
        <v>cabozantinib_plus_nivolumab</v>
      </c>
      <c r="K132" s="1151">
        <f t="shared" si="76"/>
        <v>0.753</v>
      </c>
      <c r="L132" s="1151">
        <f t="shared" si="76"/>
        <v>7.5300000000000006E-2</v>
      </c>
      <c r="BA132" s="17"/>
      <c r="BB132" s="17"/>
      <c r="BC132" s="17"/>
      <c r="BD132" s="17"/>
      <c r="BE132" s="17"/>
      <c r="BF132" s="17"/>
      <c r="BG132" s="17"/>
      <c r="BH132" s="17"/>
      <c r="BI132" s="17"/>
      <c r="BJ132" s="17"/>
      <c r="BK132" s="17"/>
      <c r="BL132" s="17"/>
      <c r="BM132" s="17"/>
    </row>
    <row r="133" spans="4:65" x14ac:dyDescent="0.2">
      <c r="D133" s="14" t="str">
        <v>nivolumab_plus_ipilimumab</v>
      </c>
      <c r="K133" s="1151">
        <f t="shared" si="76"/>
        <v>0.753</v>
      </c>
      <c r="L133" s="1151">
        <f t="shared" si="76"/>
        <v>7.5300000000000006E-2</v>
      </c>
      <c r="BA133" s="17"/>
      <c r="BB133" s="17"/>
      <c r="BC133" s="17"/>
      <c r="BD133" s="17"/>
      <c r="BE133" s="17"/>
      <c r="BF133" s="17"/>
      <c r="BG133" s="17"/>
      <c r="BH133" s="17"/>
      <c r="BI133" s="17"/>
      <c r="BJ133" s="17"/>
      <c r="BK133" s="17"/>
      <c r="BL133" s="17"/>
      <c r="BM133" s="17"/>
    </row>
    <row r="134" spans="4:65" x14ac:dyDescent="0.2">
      <c r="D134" s="14" t="str">
        <v>lenvatinib_plus_pembrolizumab</v>
      </c>
      <c r="K134" s="1151">
        <f t="shared" si="76"/>
        <v>0.753</v>
      </c>
      <c r="L134" s="1151">
        <f t="shared" si="76"/>
        <v>7.5300000000000006E-2</v>
      </c>
      <c r="BA134" s="17"/>
      <c r="BB134" s="17"/>
      <c r="BC134" s="17"/>
      <c r="BD134" s="17"/>
      <c r="BE134" s="17"/>
      <c r="BF134" s="17"/>
      <c r="BG134" s="17"/>
      <c r="BH134" s="17"/>
      <c r="BI134" s="17"/>
      <c r="BJ134" s="17"/>
      <c r="BK134" s="17"/>
      <c r="BL134" s="17"/>
      <c r="BM134" s="17"/>
    </row>
    <row r="135" spans="4:65" x14ac:dyDescent="0.2">
      <c r="D135" s="14" t="str">
        <v>avelumab_plus_axitinib</v>
      </c>
      <c r="K135" s="1151">
        <f t="shared" si="76"/>
        <v>0.753</v>
      </c>
      <c r="L135" s="1151">
        <f t="shared" si="76"/>
        <v>7.5300000000000006E-2</v>
      </c>
      <c r="BA135" s="17"/>
      <c r="BB135" s="17"/>
      <c r="BC135" s="17"/>
      <c r="BD135" s="17"/>
      <c r="BE135" s="17"/>
      <c r="BF135" s="17"/>
      <c r="BG135" s="17"/>
      <c r="BH135" s="17"/>
      <c r="BI135" s="17"/>
      <c r="BJ135" s="17"/>
      <c r="BK135" s="17"/>
      <c r="BL135" s="17"/>
      <c r="BM135" s="17"/>
    </row>
    <row r="136" spans="4:65" x14ac:dyDescent="0.2">
      <c r="D136" s="14" t="str">
        <v>pazopanib</v>
      </c>
      <c r="K136" s="1151">
        <f t="shared" si="76"/>
        <v>0.753</v>
      </c>
      <c r="L136" s="1151">
        <f t="shared" si="76"/>
        <v>7.5300000000000006E-2</v>
      </c>
      <c r="BA136" s="17"/>
      <c r="BB136" s="17"/>
      <c r="BC136" s="17"/>
      <c r="BD136" s="17"/>
      <c r="BE136" s="17"/>
      <c r="BF136" s="17"/>
      <c r="BG136" s="17"/>
      <c r="BH136" s="17"/>
      <c r="BI136" s="17"/>
      <c r="BJ136" s="17"/>
      <c r="BK136" s="17"/>
      <c r="BL136" s="17"/>
      <c r="BM136" s="17"/>
    </row>
    <row r="137" spans="4:65" x14ac:dyDescent="0.2">
      <c r="D137" s="14" t="str">
        <v>tivozanib</v>
      </c>
      <c r="K137" s="1151">
        <f t="shared" si="76"/>
        <v>0.753</v>
      </c>
      <c r="L137" s="1151">
        <f t="shared" si="76"/>
        <v>7.5300000000000006E-2</v>
      </c>
      <c r="BA137" s="17"/>
      <c r="BB137" s="17"/>
      <c r="BC137" s="17"/>
      <c r="BD137" s="17"/>
      <c r="BE137" s="17"/>
      <c r="BF137" s="17"/>
      <c r="BG137" s="17"/>
      <c r="BH137" s="17"/>
      <c r="BI137" s="17"/>
      <c r="BJ137" s="17"/>
      <c r="BK137" s="17"/>
      <c r="BL137" s="17"/>
      <c r="BM137" s="17"/>
    </row>
    <row r="138" spans="4:65" x14ac:dyDescent="0.2">
      <c r="D138" s="14" t="str">
        <v>sunitinib</v>
      </c>
      <c r="K138" s="1151">
        <f t="shared" si="76"/>
        <v>0.753</v>
      </c>
      <c r="L138" s="1151">
        <f t="shared" si="76"/>
        <v>7.5300000000000006E-2</v>
      </c>
      <c r="BA138" s="17"/>
      <c r="BB138" s="17"/>
      <c r="BC138" s="17"/>
      <c r="BD138" s="17"/>
      <c r="BE138" s="17"/>
      <c r="BF138" s="17"/>
      <c r="BG138" s="17"/>
      <c r="BH138" s="17"/>
      <c r="BI138" s="17"/>
      <c r="BJ138" s="17"/>
      <c r="BK138" s="17"/>
      <c r="BL138" s="17"/>
      <c r="BM138" s="17"/>
    </row>
    <row r="139" spans="4:65" x14ac:dyDescent="0.2">
      <c r="D139" s="14" t="str">
        <v>cabozantinib</v>
      </c>
      <c r="K139" s="1151">
        <f t="shared" si="76"/>
        <v>0.753</v>
      </c>
      <c r="L139" s="1151">
        <f t="shared" si="76"/>
        <v>7.5300000000000006E-2</v>
      </c>
      <c r="BA139" s="17"/>
      <c r="BB139" s="17"/>
      <c r="BC139" s="17"/>
      <c r="BD139" s="17"/>
      <c r="BE139" s="17"/>
      <c r="BF139" s="17"/>
      <c r="BG139" s="17"/>
      <c r="BH139" s="17"/>
      <c r="BI139" s="17"/>
      <c r="BJ139" s="17"/>
      <c r="BK139" s="17"/>
      <c r="BL139" s="17"/>
      <c r="BM139" s="17"/>
    </row>
    <row r="140" spans="4:65" x14ac:dyDescent="0.2">
      <c r="D140" s="14" t="str">
        <v>lenvatinib_plus_everolimus</v>
      </c>
      <c r="K140" s="1151">
        <f t="shared" si="76"/>
        <v>0.753</v>
      </c>
      <c r="L140" s="1151">
        <f t="shared" si="76"/>
        <v>7.5300000000000006E-2</v>
      </c>
      <c r="BA140" s="17"/>
      <c r="BB140" s="17"/>
      <c r="BC140" s="17"/>
      <c r="BD140" s="17"/>
      <c r="BE140" s="17"/>
      <c r="BF140" s="17"/>
      <c r="BG140" s="17"/>
      <c r="BH140" s="17"/>
      <c r="BI140" s="17"/>
      <c r="BJ140" s="17"/>
      <c r="BK140" s="17"/>
      <c r="BL140" s="17"/>
      <c r="BM140" s="17"/>
    </row>
    <row r="141" spans="4:65" x14ac:dyDescent="0.2">
      <c r="D141" s="14" t="str">
        <v>everolimus</v>
      </c>
      <c r="K141" s="1151">
        <f t="shared" si="76"/>
        <v>0.753</v>
      </c>
      <c r="L141" s="1151">
        <f t="shared" si="76"/>
        <v>7.5300000000000006E-2</v>
      </c>
      <c r="BA141" s="17"/>
      <c r="BB141" s="17"/>
      <c r="BC141" s="17"/>
      <c r="BD141" s="17"/>
      <c r="BE141" s="17"/>
      <c r="BF141" s="17"/>
      <c r="BG141" s="17"/>
      <c r="BH141" s="17"/>
      <c r="BI141" s="17"/>
      <c r="BJ141" s="17"/>
      <c r="BK141" s="17"/>
      <c r="BL141" s="17"/>
      <c r="BM141" s="17"/>
    </row>
    <row r="142" spans="4:65" x14ac:dyDescent="0.2">
      <c r="D142" s="14" t="str">
        <v>axitinib</v>
      </c>
      <c r="K142" s="1151">
        <f t="shared" si="76"/>
        <v>0.753</v>
      </c>
      <c r="L142" s="1151">
        <f t="shared" si="76"/>
        <v>7.5300000000000006E-2</v>
      </c>
      <c r="BA142" s="17"/>
      <c r="BB142" s="17"/>
      <c r="BC142" s="17"/>
      <c r="BD142" s="17"/>
      <c r="BE142" s="17"/>
      <c r="BF142" s="17"/>
      <c r="BG142" s="17"/>
      <c r="BH142" s="17"/>
      <c r="BI142" s="17"/>
      <c r="BJ142" s="17"/>
      <c r="BK142" s="17"/>
      <c r="BL142" s="17"/>
      <c r="BM142" s="17"/>
    </row>
    <row r="143" spans="4:65" x14ac:dyDescent="0.2">
      <c r="D143" s="14" t="str">
        <v>sorafenib</v>
      </c>
      <c r="K143" s="1151">
        <f t="shared" si="76"/>
        <v>0.753</v>
      </c>
      <c r="L143" s="1151">
        <f t="shared" si="76"/>
        <v>7.5300000000000006E-2</v>
      </c>
      <c r="BA143" s="17"/>
      <c r="BB143" s="17"/>
      <c r="BC143" s="17"/>
      <c r="BD143" s="17"/>
      <c r="BE143" s="17"/>
      <c r="BF143" s="17"/>
      <c r="BG143" s="17"/>
      <c r="BH143" s="17"/>
      <c r="BI143" s="17"/>
      <c r="BJ143" s="17"/>
      <c r="BK143" s="17"/>
      <c r="BL143" s="17"/>
      <c r="BM143" s="17"/>
    </row>
    <row r="144" spans="4:65" x14ac:dyDescent="0.2">
      <c r="D144" s="14" t="str">
        <v>placebo_BSC</v>
      </c>
      <c r="W144" s="409">
        <f>W44</f>
        <v>0.48163685360833497</v>
      </c>
      <c r="X144" s="409">
        <f>X44</f>
        <v>4.81636853608335E-2</v>
      </c>
      <c r="BA144" s="17"/>
      <c r="BB144" s="17"/>
      <c r="BC144" s="17"/>
      <c r="BD144" s="17"/>
      <c r="BE144" s="17"/>
      <c r="BF144" s="17"/>
      <c r="BG144" s="17"/>
      <c r="BH144" s="17"/>
      <c r="BI144" s="17"/>
      <c r="BJ144" s="17"/>
      <c r="BK144" s="17"/>
      <c r="BL144" s="17"/>
      <c r="BM144" s="17"/>
    </row>
    <row r="145" spans="4:65" x14ac:dyDescent="0.2">
      <c r="D145" s="14"/>
      <c r="BA145" s="17"/>
      <c r="BB145" s="17"/>
      <c r="BC145" s="17"/>
      <c r="BD145" s="17"/>
      <c r="BE145" s="17"/>
      <c r="BF145" s="17"/>
      <c r="BG145" s="17"/>
      <c r="BH145" s="17"/>
      <c r="BI145" s="17"/>
      <c r="BJ145" s="17"/>
      <c r="BK145" s="17"/>
      <c r="BL145" s="17"/>
      <c r="BM145" s="17"/>
    </row>
    <row r="146" spans="4:65" ht="15.75" x14ac:dyDescent="0.25">
      <c r="D146" s="70" t="str">
        <f t="array" ref="D146">INDEX(Lists!$D$11:$D$13,$C$12)</f>
        <v>Favourable risk</v>
      </c>
      <c r="BA146" s="17"/>
      <c r="BB146" s="17"/>
      <c r="BC146" s="17"/>
      <c r="BD146" s="17"/>
      <c r="BE146" s="17"/>
      <c r="BF146" s="17"/>
      <c r="BG146" s="17"/>
      <c r="BH146" s="17"/>
      <c r="BI146" s="17"/>
      <c r="BJ146" s="17"/>
      <c r="BK146" s="17"/>
      <c r="BL146" s="17"/>
      <c r="BM146" s="17"/>
    </row>
    <row r="147" spans="4:65" x14ac:dyDescent="0.2">
      <c r="D147" s="14" t="str" cm="1">
        <f t="array" ref="D147:D160">List_comparators</f>
        <v>nivolumab_monotherapy</v>
      </c>
      <c r="K147" s="1151">
        <f t="shared" ref="K147:L159" si="77">K47</f>
        <v>0.753</v>
      </c>
      <c r="L147" s="1151">
        <f t="shared" si="77"/>
        <v>7.5300000000000006E-2</v>
      </c>
      <c r="BA147" s="17"/>
      <c r="BB147" s="17"/>
      <c r="BC147" s="17"/>
      <c r="BD147" s="17"/>
      <c r="BE147" s="17"/>
      <c r="BF147" s="17"/>
      <c r="BG147" s="17"/>
      <c r="BH147" s="17"/>
      <c r="BI147" s="17"/>
      <c r="BJ147" s="17"/>
      <c r="BK147" s="17"/>
      <c r="BL147" s="17"/>
      <c r="BM147" s="17"/>
    </row>
    <row r="148" spans="4:65" x14ac:dyDescent="0.2">
      <c r="D148" s="14" t="str">
        <v>cabozantinib_plus_nivolumab</v>
      </c>
      <c r="K148" s="1151">
        <f t="shared" si="77"/>
        <v>0.753</v>
      </c>
      <c r="L148" s="1151">
        <f t="shared" si="77"/>
        <v>7.5300000000000006E-2</v>
      </c>
      <c r="BA148" s="17"/>
      <c r="BB148" s="17"/>
      <c r="BC148" s="17"/>
      <c r="BD148" s="17"/>
      <c r="BE148" s="17"/>
      <c r="BF148" s="17"/>
      <c r="BG148" s="17"/>
      <c r="BH148" s="17"/>
      <c r="BI148" s="17"/>
      <c r="BJ148" s="17"/>
      <c r="BK148" s="17"/>
      <c r="BL148" s="17"/>
      <c r="BM148" s="17"/>
    </row>
    <row r="149" spans="4:65" x14ac:dyDescent="0.2">
      <c r="D149" s="14" t="str">
        <v>nivolumab_plus_ipilimumab</v>
      </c>
      <c r="K149" s="1151">
        <f t="shared" si="77"/>
        <v>0.753</v>
      </c>
      <c r="L149" s="1151">
        <f t="shared" si="77"/>
        <v>7.5300000000000006E-2</v>
      </c>
      <c r="BA149" s="17"/>
      <c r="BB149" s="17"/>
      <c r="BC149" s="17"/>
      <c r="BD149" s="17"/>
      <c r="BE149" s="17"/>
      <c r="BF149" s="17"/>
      <c r="BG149" s="17"/>
      <c r="BH149" s="17"/>
      <c r="BI149" s="17"/>
      <c r="BJ149" s="17"/>
      <c r="BK149" s="17"/>
      <c r="BL149" s="17"/>
      <c r="BM149" s="17"/>
    </row>
    <row r="150" spans="4:65" x14ac:dyDescent="0.2">
      <c r="D150" s="14" t="str">
        <v>lenvatinib_plus_pembrolizumab</v>
      </c>
      <c r="K150" s="1151">
        <f t="shared" si="77"/>
        <v>0.753</v>
      </c>
      <c r="L150" s="1151">
        <f t="shared" si="77"/>
        <v>7.5300000000000006E-2</v>
      </c>
      <c r="BA150" s="17"/>
      <c r="BB150" s="17"/>
      <c r="BC150" s="17"/>
      <c r="BD150" s="17"/>
      <c r="BE150" s="17"/>
      <c r="BF150" s="17"/>
      <c r="BG150" s="17"/>
      <c r="BH150" s="17"/>
      <c r="BI150" s="17"/>
      <c r="BJ150" s="17"/>
      <c r="BK150" s="17"/>
      <c r="BL150" s="17"/>
      <c r="BM150" s="17"/>
    </row>
    <row r="151" spans="4:65" x14ac:dyDescent="0.2">
      <c r="D151" s="14" t="str">
        <v>avelumab_plus_axitinib</v>
      </c>
      <c r="K151" s="1151">
        <f t="shared" si="77"/>
        <v>0.753</v>
      </c>
      <c r="L151" s="1151">
        <f t="shared" si="77"/>
        <v>7.5300000000000006E-2</v>
      </c>
      <c r="BA151" s="17"/>
      <c r="BB151" s="17"/>
      <c r="BC151" s="17"/>
      <c r="BD151" s="17"/>
      <c r="BE151" s="17"/>
      <c r="BF151" s="17"/>
      <c r="BG151" s="17"/>
      <c r="BH151" s="17"/>
      <c r="BI151" s="17"/>
      <c r="BJ151" s="17"/>
      <c r="BK151" s="17"/>
      <c r="BL151" s="17"/>
      <c r="BM151" s="17"/>
    </row>
    <row r="152" spans="4:65" x14ac:dyDescent="0.2">
      <c r="D152" s="14" t="str">
        <v>pazopanib</v>
      </c>
      <c r="K152" s="1151">
        <f t="shared" si="77"/>
        <v>0.753</v>
      </c>
      <c r="L152" s="1151">
        <f t="shared" si="77"/>
        <v>7.5300000000000006E-2</v>
      </c>
      <c r="BA152" s="17"/>
      <c r="BB152" s="17"/>
      <c r="BC152" s="17"/>
      <c r="BD152" s="17"/>
      <c r="BE152" s="17"/>
      <c r="BF152" s="17"/>
      <c r="BG152" s="17"/>
      <c r="BH152" s="17"/>
      <c r="BI152" s="17"/>
      <c r="BJ152" s="17"/>
      <c r="BK152" s="17"/>
      <c r="BL152" s="17"/>
      <c r="BM152" s="17"/>
    </row>
    <row r="153" spans="4:65" x14ac:dyDescent="0.2">
      <c r="D153" s="14" t="str">
        <v>tivozanib</v>
      </c>
      <c r="K153" s="1151">
        <f t="shared" si="77"/>
        <v>0.753</v>
      </c>
      <c r="L153" s="1151">
        <f t="shared" si="77"/>
        <v>7.5300000000000006E-2</v>
      </c>
      <c r="BA153" s="17"/>
      <c r="BB153" s="17"/>
      <c r="BC153" s="17"/>
      <c r="BD153" s="17"/>
      <c r="BE153" s="17"/>
      <c r="BF153" s="17"/>
      <c r="BG153" s="17"/>
      <c r="BH153" s="17"/>
      <c r="BI153" s="17"/>
      <c r="BJ153" s="17"/>
      <c r="BK153" s="17"/>
      <c r="BL153" s="17"/>
      <c r="BM153" s="17"/>
    </row>
    <row r="154" spans="4:65" x14ac:dyDescent="0.2">
      <c r="D154" s="14" t="str">
        <v>sunitinib</v>
      </c>
      <c r="K154" s="1151">
        <f t="shared" si="77"/>
        <v>0.753</v>
      </c>
      <c r="L154" s="1151">
        <f t="shared" si="77"/>
        <v>7.5300000000000006E-2</v>
      </c>
      <c r="BA154" s="17"/>
      <c r="BB154" s="17"/>
      <c r="BC154" s="17"/>
      <c r="BD154" s="17"/>
      <c r="BE154" s="17"/>
      <c r="BF154" s="17"/>
      <c r="BG154" s="17"/>
      <c r="BH154" s="17"/>
      <c r="BI154" s="17"/>
      <c r="BJ154" s="17"/>
      <c r="BK154" s="17"/>
      <c r="BL154" s="17"/>
      <c r="BM154" s="17"/>
    </row>
    <row r="155" spans="4:65" x14ac:dyDescent="0.2">
      <c r="D155" s="14" t="str">
        <v>cabozantinib</v>
      </c>
      <c r="K155" s="1151">
        <f t="shared" si="77"/>
        <v>0.753</v>
      </c>
      <c r="L155" s="1151">
        <f t="shared" si="77"/>
        <v>7.5300000000000006E-2</v>
      </c>
      <c r="BA155" s="17"/>
      <c r="BB155" s="17"/>
      <c r="BC155" s="17"/>
      <c r="BD155" s="17"/>
      <c r="BE155" s="17"/>
      <c r="BF155" s="17"/>
      <c r="BG155" s="17"/>
      <c r="BH155" s="17"/>
      <c r="BI155" s="17"/>
      <c r="BJ155" s="17"/>
      <c r="BK155" s="17"/>
      <c r="BL155" s="17"/>
      <c r="BM155" s="17"/>
    </row>
    <row r="156" spans="4:65" x14ac:dyDescent="0.2">
      <c r="D156" s="14" t="str">
        <v>lenvatinib_plus_everolimus</v>
      </c>
      <c r="K156" s="1151">
        <f t="shared" si="77"/>
        <v>0.753</v>
      </c>
      <c r="L156" s="1151">
        <f t="shared" si="77"/>
        <v>7.5300000000000006E-2</v>
      </c>
      <c r="BA156" s="17"/>
      <c r="BB156" s="17"/>
      <c r="BC156" s="17"/>
      <c r="BD156" s="17"/>
      <c r="BE156" s="17"/>
      <c r="BF156" s="17"/>
      <c r="BG156" s="17"/>
      <c r="BH156" s="17"/>
      <c r="BI156" s="17"/>
      <c r="BJ156" s="17"/>
      <c r="BK156" s="17"/>
      <c r="BL156" s="17"/>
      <c r="BM156" s="17"/>
    </row>
    <row r="157" spans="4:65" x14ac:dyDescent="0.2">
      <c r="D157" s="14" t="str">
        <v>everolimus</v>
      </c>
      <c r="K157" s="1151">
        <f t="shared" si="77"/>
        <v>0.753</v>
      </c>
      <c r="L157" s="1151">
        <f t="shared" si="77"/>
        <v>7.5300000000000006E-2</v>
      </c>
      <c r="BA157" s="17"/>
      <c r="BB157" s="17"/>
      <c r="BC157" s="17"/>
      <c r="BD157" s="17"/>
      <c r="BE157" s="17"/>
      <c r="BF157" s="17"/>
      <c r="BG157" s="17"/>
      <c r="BH157" s="17"/>
      <c r="BI157" s="17"/>
      <c r="BJ157" s="17"/>
      <c r="BK157" s="17"/>
      <c r="BL157" s="17"/>
      <c r="BM157" s="17"/>
    </row>
    <row r="158" spans="4:65" x14ac:dyDescent="0.2">
      <c r="D158" s="14" t="str">
        <v>axitinib</v>
      </c>
      <c r="K158" s="1151">
        <f t="shared" si="77"/>
        <v>0.753</v>
      </c>
      <c r="L158" s="1151">
        <f t="shared" si="77"/>
        <v>7.5300000000000006E-2</v>
      </c>
      <c r="BA158" s="17"/>
      <c r="BB158" s="17"/>
      <c r="BC158" s="17"/>
      <c r="BD158" s="17"/>
      <c r="BE158" s="17"/>
      <c r="BF158" s="17"/>
      <c r="BG158" s="17"/>
      <c r="BH158" s="17"/>
      <c r="BI158" s="17"/>
      <c r="BJ158" s="17"/>
      <c r="BK158" s="17"/>
      <c r="BL158" s="17"/>
      <c r="BM158" s="17"/>
    </row>
    <row r="159" spans="4:65" x14ac:dyDescent="0.2">
      <c r="D159" s="14" t="str">
        <v>sorafenib</v>
      </c>
      <c r="K159" s="1151">
        <f t="shared" si="77"/>
        <v>0.753</v>
      </c>
      <c r="L159" s="1151">
        <f t="shared" si="77"/>
        <v>7.5300000000000006E-2</v>
      </c>
      <c r="BA159" s="17"/>
      <c r="BB159" s="17"/>
      <c r="BC159" s="17"/>
      <c r="BD159" s="17"/>
      <c r="BE159" s="17"/>
      <c r="BF159" s="17"/>
      <c r="BG159" s="17"/>
      <c r="BH159" s="17"/>
      <c r="BI159" s="17"/>
      <c r="BJ159" s="17"/>
      <c r="BK159" s="17"/>
      <c r="BL159" s="17"/>
      <c r="BM159" s="17"/>
    </row>
    <row r="160" spans="4:65" x14ac:dyDescent="0.2">
      <c r="D160" s="14" t="str">
        <v>placebo_BSC</v>
      </c>
      <c r="W160" s="409">
        <f>W60</f>
        <v>0.48163685360833497</v>
      </c>
      <c r="X160" s="409">
        <f>X60</f>
        <v>4.81636853608335E-2</v>
      </c>
      <c r="BA160" s="17"/>
      <c r="BB160" s="17"/>
      <c r="BC160" s="17"/>
      <c r="BD160" s="17"/>
      <c r="BE160" s="17"/>
      <c r="BF160" s="17"/>
      <c r="BG160" s="17"/>
      <c r="BH160" s="17"/>
      <c r="BI160" s="17"/>
      <c r="BJ160" s="17"/>
      <c r="BK160" s="17"/>
      <c r="BL160" s="17"/>
      <c r="BM160" s="17"/>
    </row>
    <row r="161" spans="4:65" x14ac:dyDescent="0.2">
      <c r="D161" s="14"/>
      <c r="BA161" s="17"/>
      <c r="BB161" s="17"/>
      <c r="BC161" s="17"/>
      <c r="BD161" s="17"/>
      <c r="BE161" s="17"/>
      <c r="BF161" s="17"/>
      <c r="BG161" s="17"/>
      <c r="BH161" s="17"/>
      <c r="BI161" s="17"/>
      <c r="BJ161" s="17"/>
      <c r="BK161" s="17"/>
      <c r="BL161" s="17"/>
      <c r="BM161" s="17"/>
    </row>
    <row r="162" spans="4:65" ht="16.5" thickBot="1" x14ac:dyDescent="0.3">
      <c r="D162" s="52" t="s">
        <v>837</v>
      </c>
      <c r="E162" s="22"/>
      <c r="F162" s="22"/>
      <c r="G162" s="22"/>
      <c r="H162" s="22"/>
      <c r="I162" s="22"/>
      <c r="J162" s="22"/>
      <c r="K162" s="22"/>
      <c r="L162" s="22"/>
      <c r="M162" s="22"/>
      <c r="N162" s="22"/>
      <c r="O162" s="22"/>
      <c r="P162" s="22"/>
      <c r="Q162" s="22"/>
      <c r="R162" s="22"/>
      <c r="S162" s="22"/>
      <c r="T162" s="22"/>
      <c r="U162" s="22"/>
      <c r="V162" s="22"/>
      <c r="W162" s="22"/>
      <c r="X162" s="22"/>
      <c r="BA162" s="17"/>
      <c r="BB162" s="17"/>
      <c r="BC162" s="17"/>
      <c r="BD162" s="17"/>
      <c r="BE162" s="17"/>
      <c r="BF162" s="17"/>
      <c r="BG162" s="17"/>
      <c r="BH162" s="17"/>
      <c r="BI162" s="17"/>
      <c r="BJ162" s="17"/>
      <c r="BK162" s="17"/>
      <c r="BL162" s="17"/>
      <c r="BM162" s="17"/>
    </row>
    <row r="163" spans="4:65" ht="15.75" x14ac:dyDescent="0.25">
      <c r="D163" s="12"/>
      <c r="BA163" s="17"/>
      <c r="BB163" s="17"/>
      <c r="BC163" s="17"/>
      <c r="BD163" s="17"/>
      <c r="BE163" s="17"/>
      <c r="BF163" s="17"/>
      <c r="BG163" s="17"/>
      <c r="BH163" s="17"/>
      <c r="BI163" s="17"/>
      <c r="BJ163" s="17"/>
      <c r="BK163" s="17"/>
      <c r="BL163" s="17"/>
      <c r="BM163" s="17"/>
    </row>
    <row r="164" spans="4:65" ht="15.75" x14ac:dyDescent="0.25">
      <c r="D164" s="70" t="str">
        <f t="array" ref="D164">INDEX(Lists!$D$11:$D$13,$C$9)</f>
        <v>All</v>
      </c>
      <c r="BA164" s="17"/>
      <c r="BB164" s="17"/>
      <c r="BC164" s="17"/>
      <c r="BD164" s="17"/>
      <c r="BE164" s="17"/>
      <c r="BF164" s="17"/>
      <c r="BG164" s="17"/>
      <c r="BH164" s="17"/>
      <c r="BI164" s="17"/>
      <c r="BJ164" s="17"/>
      <c r="BK164" s="17"/>
      <c r="BL164" s="17"/>
      <c r="BM164" s="17"/>
    </row>
    <row r="165" spans="4:65" x14ac:dyDescent="0.2">
      <c r="D165" s="14" t="str" cm="1">
        <f t="array" ref="D165:D178">List_comparators</f>
        <v>nivolumab_monotherapy</v>
      </c>
      <c r="K165" s="410">
        <f t="shared" ref="K165:L177" si="78">K15</f>
        <v>0.753</v>
      </c>
      <c r="L165" s="410">
        <f t="shared" si="78"/>
        <v>7.5300000000000006E-2</v>
      </c>
      <c r="N165" s="410">
        <f t="shared" ref="N165:O177" si="79">N15</f>
        <v>0.68300000000000005</v>
      </c>
      <c r="O165" s="410">
        <f t="shared" si="79"/>
        <v>6.8300000000000013E-2</v>
      </c>
      <c r="Q165" s="408">
        <f t="shared" ref="Q165:R177" si="80">Q15</f>
        <v>0.61625183016105411</v>
      </c>
      <c r="R165" s="408">
        <f t="shared" si="80"/>
        <v>6.1625183016105416E-2</v>
      </c>
      <c r="T165" s="408">
        <f t="shared" ref="T165:U177" si="81">T15</f>
        <v>0.54480234260614935</v>
      </c>
      <c r="U165" s="408">
        <f t="shared" si="81"/>
        <v>5.4480234260614935E-2</v>
      </c>
      <c r="BA165" s="17"/>
      <c r="BB165" s="17"/>
      <c r="BC165" s="17"/>
      <c r="BD165" s="17"/>
      <c r="BE165" s="17"/>
      <c r="BF165" s="17"/>
      <c r="BG165" s="17"/>
      <c r="BH165" s="17"/>
      <c r="BI165" s="17"/>
      <c r="BJ165" s="17"/>
      <c r="BK165" s="17"/>
      <c r="BL165" s="17"/>
      <c r="BM165" s="17"/>
    </row>
    <row r="166" spans="4:65" x14ac:dyDescent="0.2">
      <c r="D166" s="14" t="str">
        <v>cabozantinib_plus_nivolumab</v>
      </c>
      <c r="K166" s="410">
        <f t="shared" si="78"/>
        <v>0.753</v>
      </c>
      <c r="L166" s="410">
        <f t="shared" si="78"/>
        <v>7.5300000000000006E-2</v>
      </c>
      <c r="N166" s="410">
        <f t="shared" si="79"/>
        <v>0.68300000000000005</v>
      </c>
      <c r="O166" s="410">
        <f t="shared" si="79"/>
        <v>6.8300000000000013E-2</v>
      </c>
      <c r="Q166" s="408">
        <f t="shared" si="80"/>
        <v>0.61625183016105411</v>
      </c>
      <c r="R166" s="408">
        <f t="shared" si="80"/>
        <v>6.1625183016105416E-2</v>
      </c>
      <c r="T166" s="408">
        <f t="shared" si="81"/>
        <v>0.54480234260614935</v>
      </c>
      <c r="U166" s="408">
        <f t="shared" si="81"/>
        <v>5.4480234260614935E-2</v>
      </c>
      <c r="BA166" s="17"/>
      <c r="BB166" s="17"/>
      <c r="BC166" s="17"/>
      <c r="BD166" s="17"/>
      <c r="BE166" s="17"/>
      <c r="BF166" s="17"/>
      <c r="BG166" s="17"/>
      <c r="BH166" s="17"/>
      <c r="BI166" s="17"/>
      <c r="BJ166" s="17"/>
      <c r="BK166" s="17"/>
      <c r="BL166" s="17"/>
      <c r="BM166" s="17"/>
    </row>
    <row r="167" spans="4:65" x14ac:dyDescent="0.2">
      <c r="D167" s="14" t="str">
        <v>nivolumab_plus_ipilimumab</v>
      </c>
      <c r="K167" s="410">
        <f t="shared" si="78"/>
        <v>0.753</v>
      </c>
      <c r="L167" s="410">
        <f t="shared" si="78"/>
        <v>7.5300000000000006E-2</v>
      </c>
      <c r="N167" s="410">
        <f t="shared" si="79"/>
        <v>0.68300000000000005</v>
      </c>
      <c r="O167" s="410">
        <f t="shared" si="79"/>
        <v>6.8300000000000013E-2</v>
      </c>
      <c r="Q167" s="408">
        <f t="shared" si="80"/>
        <v>0.61625183016105411</v>
      </c>
      <c r="R167" s="408">
        <f t="shared" si="80"/>
        <v>6.1625183016105416E-2</v>
      </c>
      <c r="T167" s="408">
        <f t="shared" si="81"/>
        <v>0.54480234260614935</v>
      </c>
      <c r="U167" s="408">
        <f t="shared" si="81"/>
        <v>5.4480234260614935E-2</v>
      </c>
      <c r="BA167" s="17"/>
      <c r="BB167" s="17"/>
      <c r="BC167" s="17"/>
      <c r="BD167" s="17"/>
      <c r="BE167" s="17"/>
      <c r="BF167" s="17"/>
      <c r="BG167" s="17"/>
      <c r="BH167" s="17"/>
      <c r="BI167" s="17"/>
      <c r="BJ167" s="17"/>
      <c r="BK167" s="17"/>
      <c r="BL167" s="17"/>
      <c r="BM167" s="17"/>
    </row>
    <row r="168" spans="4:65" x14ac:dyDescent="0.2">
      <c r="D168" s="14" t="str">
        <v>lenvatinib_plus_pembrolizumab</v>
      </c>
      <c r="K168" s="410">
        <f t="shared" si="78"/>
        <v>0.753</v>
      </c>
      <c r="L168" s="410">
        <f t="shared" si="78"/>
        <v>7.5300000000000006E-2</v>
      </c>
      <c r="N168" s="410">
        <f t="shared" si="79"/>
        <v>0.68300000000000005</v>
      </c>
      <c r="O168" s="410">
        <f t="shared" si="79"/>
        <v>6.8300000000000013E-2</v>
      </c>
      <c r="Q168" s="408">
        <f t="shared" si="80"/>
        <v>0.61625183016105411</v>
      </c>
      <c r="R168" s="408">
        <f t="shared" si="80"/>
        <v>6.1625183016105416E-2</v>
      </c>
      <c r="T168" s="408">
        <f t="shared" si="81"/>
        <v>0.54480234260614935</v>
      </c>
      <c r="U168" s="408">
        <f t="shared" si="81"/>
        <v>5.4480234260614935E-2</v>
      </c>
      <c r="BA168" s="17"/>
      <c r="BB168" s="17"/>
      <c r="BC168" s="17"/>
      <c r="BD168" s="17"/>
      <c r="BE168" s="17"/>
      <c r="BF168" s="17"/>
      <c r="BG168" s="17"/>
      <c r="BH168" s="17"/>
      <c r="BI168" s="17"/>
      <c r="BJ168" s="17"/>
      <c r="BK168" s="17"/>
      <c r="BL168" s="17"/>
      <c r="BM168" s="17"/>
    </row>
    <row r="169" spans="4:65" x14ac:dyDescent="0.2">
      <c r="D169" s="14" t="str">
        <v>avelumab_plus_axitinib</v>
      </c>
      <c r="K169" s="410">
        <f t="shared" si="78"/>
        <v>0.753</v>
      </c>
      <c r="L169" s="410">
        <f t="shared" si="78"/>
        <v>7.5300000000000006E-2</v>
      </c>
      <c r="N169" s="410">
        <f t="shared" si="79"/>
        <v>0.68300000000000005</v>
      </c>
      <c r="O169" s="410">
        <f t="shared" si="79"/>
        <v>6.8300000000000013E-2</v>
      </c>
      <c r="Q169" s="408">
        <f t="shared" si="80"/>
        <v>0.61625183016105411</v>
      </c>
      <c r="R169" s="408">
        <f t="shared" si="80"/>
        <v>6.1625183016105416E-2</v>
      </c>
      <c r="T169" s="408">
        <f t="shared" si="81"/>
        <v>0.54480234260614935</v>
      </c>
      <c r="U169" s="408">
        <f t="shared" si="81"/>
        <v>5.4480234260614935E-2</v>
      </c>
      <c r="BA169" s="17"/>
      <c r="BB169" s="17"/>
      <c r="BC169" s="17"/>
      <c r="BD169" s="17"/>
      <c r="BE169" s="17"/>
      <c r="BF169" s="17"/>
      <c r="BG169" s="17"/>
      <c r="BH169" s="17"/>
      <c r="BI169" s="17"/>
      <c r="BJ169" s="17"/>
      <c r="BK169" s="17"/>
      <c r="BL169" s="17"/>
      <c r="BM169" s="17"/>
    </row>
    <row r="170" spans="4:65" x14ac:dyDescent="0.2">
      <c r="D170" s="14" t="str">
        <v>pazopanib</v>
      </c>
      <c r="K170" s="410">
        <f t="shared" si="78"/>
        <v>0.753</v>
      </c>
      <c r="L170" s="410">
        <f t="shared" si="78"/>
        <v>7.5300000000000006E-2</v>
      </c>
      <c r="N170" s="410">
        <f t="shared" si="79"/>
        <v>0.68300000000000005</v>
      </c>
      <c r="O170" s="410">
        <f t="shared" si="79"/>
        <v>6.8300000000000013E-2</v>
      </c>
      <c r="Q170" s="408">
        <f t="shared" si="80"/>
        <v>0.61625183016105411</v>
      </c>
      <c r="R170" s="408">
        <f t="shared" si="80"/>
        <v>6.1625183016105416E-2</v>
      </c>
      <c r="T170" s="408">
        <f t="shared" si="81"/>
        <v>0.54480234260614935</v>
      </c>
      <c r="U170" s="408">
        <f t="shared" si="81"/>
        <v>5.4480234260614935E-2</v>
      </c>
      <c r="BA170" s="17"/>
      <c r="BB170" s="17"/>
      <c r="BC170" s="17"/>
      <c r="BD170" s="17"/>
      <c r="BE170" s="17"/>
      <c r="BF170" s="17"/>
      <c r="BG170" s="17"/>
      <c r="BH170" s="17"/>
      <c r="BI170" s="17"/>
      <c r="BJ170" s="17"/>
      <c r="BK170" s="17"/>
      <c r="BL170" s="17"/>
      <c r="BM170" s="17"/>
    </row>
    <row r="171" spans="4:65" x14ac:dyDescent="0.2">
      <c r="D171" s="14" t="str">
        <v>tivozanib</v>
      </c>
      <c r="K171" s="410">
        <f t="shared" si="78"/>
        <v>0.753</v>
      </c>
      <c r="L171" s="410">
        <f t="shared" si="78"/>
        <v>7.5300000000000006E-2</v>
      </c>
      <c r="N171" s="410">
        <f t="shared" si="79"/>
        <v>0.68300000000000005</v>
      </c>
      <c r="O171" s="410">
        <f t="shared" si="79"/>
        <v>6.8300000000000013E-2</v>
      </c>
      <c r="Q171" s="408">
        <f t="shared" si="80"/>
        <v>0.61625183016105411</v>
      </c>
      <c r="R171" s="408">
        <f t="shared" si="80"/>
        <v>6.1625183016105416E-2</v>
      </c>
      <c r="T171" s="408">
        <f t="shared" si="81"/>
        <v>0.54480234260614935</v>
      </c>
      <c r="U171" s="408">
        <f t="shared" si="81"/>
        <v>5.4480234260614935E-2</v>
      </c>
      <c r="BA171" s="17"/>
      <c r="BB171" s="17"/>
      <c r="BC171" s="17"/>
      <c r="BD171" s="17"/>
      <c r="BE171" s="17"/>
      <c r="BF171" s="17"/>
      <c r="BG171" s="17"/>
      <c r="BH171" s="17"/>
      <c r="BI171" s="17"/>
      <c r="BJ171" s="17"/>
      <c r="BK171" s="17"/>
      <c r="BL171" s="17"/>
      <c r="BM171" s="17"/>
    </row>
    <row r="172" spans="4:65" x14ac:dyDescent="0.2">
      <c r="D172" s="14" t="str">
        <v>sunitinib</v>
      </c>
      <c r="K172" s="410">
        <f t="shared" si="78"/>
        <v>0.753</v>
      </c>
      <c r="L172" s="410">
        <f t="shared" si="78"/>
        <v>7.5300000000000006E-2</v>
      </c>
      <c r="N172" s="410">
        <f t="shared" si="79"/>
        <v>0.68300000000000005</v>
      </c>
      <c r="O172" s="410">
        <f t="shared" si="79"/>
        <v>6.8300000000000013E-2</v>
      </c>
      <c r="Q172" s="408">
        <f t="shared" si="80"/>
        <v>0.61625183016105411</v>
      </c>
      <c r="R172" s="408">
        <f t="shared" si="80"/>
        <v>6.1625183016105416E-2</v>
      </c>
      <c r="T172" s="408">
        <f t="shared" si="81"/>
        <v>0.54480234260614935</v>
      </c>
      <c r="U172" s="408">
        <f t="shared" si="81"/>
        <v>5.4480234260614935E-2</v>
      </c>
      <c r="BA172" s="17"/>
      <c r="BB172" s="17"/>
      <c r="BC172" s="17"/>
      <c r="BD172" s="17"/>
      <c r="BE172" s="17"/>
      <c r="BF172" s="17"/>
      <c r="BG172" s="17"/>
      <c r="BH172" s="17"/>
      <c r="BI172" s="17"/>
      <c r="BJ172" s="17"/>
      <c r="BK172" s="17"/>
      <c r="BL172" s="17"/>
      <c r="BM172" s="17"/>
    </row>
    <row r="173" spans="4:65" x14ac:dyDescent="0.2">
      <c r="D173" s="14" t="str">
        <v>cabozantinib</v>
      </c>
      <c r="K173" s="410">
        <f t="shared" si="78"/>
        <v>0.753</v>
      </c>
      <c r="L173" s="410">
        <f t="shared" si="78"/>
        <v>7.5300000000000006E-2</v>
      </c>
      <c r="N173" s="410">
        <f t="shared" si="79"/>
        <v>0.68300000000000005</v>
      </c>
      <c r="O173" s="410">
        <f t="shared" si="79"/>
        <v>6.8300000000000013E-2</v>
      </c>
      <c r="Q173" s="408">
        <f t="shared" si="80"/>
        <v>0.61625183016105411</v>
      </c>
      <c r="R173" s="408">
        <f t="shared" si="80"/>
        <v>6.1625183016105416E-2</v>
      </c>
      <c r="T173" s="408">
        <f t="shared" si="81"/>
        <v>0.54480234260614935</v>
      </c>
      <c r="U173" s="408">
        <f t="shared" si="81"/>
        <v>5.4480234260614935E-2</v>
      </c>
      <c r="BA173" s="17"/>
      <c r="BB173" s="17"/>
      <c r="BC173" s="17"/>
      <c r="BD173" s="17"/>
      <c r="BE173" s="17"/>
      <c r="BF173" s="17"/>
      <c r="BG173" s="17"/>
      <c r="BH173" s="17"/>
      <c r="BI173" s="17"/>
      <c r="BJ173" s="17"/>
      <c r="BK173" s="17"/>
      <c r="BL173" s="17"/>
      <c r="BM173" s="17"/>
    </row>
    <row r="174" spans="4:65" x14ac:dyDescent="0.2">
      <c r="D174" s="14" t="str">
        <v>lenvatinib_plus_everolimus</v>
      </c>
      <c r="K174" s="410">
        <f t="shared" si="78"/>
        <v>0.753</v>
      </c>
      <c r="L174" s="410">
        <f t="shared" si="78"/>
        <v>7.5300000000000006E-2</v>
      </c>
      <c r="N174" s="410">
        <f t="shared" si="79"/>
        <v>0.68300000000000005</v>
      </c>
      <c r="O174" s="410">
        <f t="shared" si="79"/>
        <v>6.8300000000000013E-2</v>
      </c>
      <c r="Q174" s="408">
        <f t="shared" si="80"/>
        <v>0.61625183016105411</v>
      </c>
      <c r="R174" s="408">
        <f t="shared" si="80"/>
        <v>6.1625183016105416E-2</v>
      </c>
      <c r="T174" s="408">
        <f t="shared" si="81"/>
        <v>0.54480234260614935</v>
      </c>
      <c r="U174" s="408">
        <f t="shared" si="81"/>
        <v>5.4480234260614935E-2</v>
      </c>
      <c r="BA174" s="17"/>
      <c r="BB174" s="17"/>
      <c r="BC174" s="17"/>
      <c r="BD174" s="17"/>
      <c r="BE174" s="17"/>
      <c r="BF174" s="17"/>
      <c r="BG174" s="17"/>
      <c r="BH174" s="17"/>
      <c r="BI174" s="17"/>
      <c r="BJ174" s="17"/>
      <c r="BK174" s="17"/>
      <c r="BL174" s="17"/>
      <c r="BM174" s="17"/>
    </row>
    <row r="175" spans="4:65" x14ac:dyDescent="0.2">
      <c r="D175" s="14" t="str">
        <v>everolimus</v>
      </c>
      <c r="K175" s="410">
        <f t="shared" si="78"/>
        <v>0.753</v>
      </c>
      <c r="L175" s="410">
        <f t="shared" si="78"/>
        <v>7.5300000000000006E-2</v>
      </c>
      <c r="N175" s="410">
        <f t="shared" si="79"/>
        <v>0.68300000000000005</v>
      </c>
      <c r="O175" s="410">
        <f t="shared" si="79"/>
        <v>6.8300000000000013E-2</v>
      </c>
      <c r="Q175" s="408">
        <f t="shared" si="80"/>
        <v>0.61625183016105411</v>
      </c>
      <c r="R175" s="408">
        <f t="shared" si="80"/>
        <v>6.1625183016105416E-2</v>
      </c>
      <c r="T175" s="408">
        <f t="shared" si="81"/>
        <v>0.54480234260614935</v>
      </c>
      <c r="U175" s="408">
        <f t="shared" si="81"/>
        <v>5.4480234260614935E-2</v>
      </c>
      <c r="BA175" s="17"/>
      <c r="BB175" s="17"/>
      <c r="BC175" s="17"/>
      <c r="BD175" s="17"/>
      <c r="BE175" s="17"/>
      <c r="BF175" s="17"/>
      <c r="BG175" s="17"/>
      <c r="BH175" s="17"/>
      <c r="BI175" s="17"/>
      <c r="BJ175" s="17"/>
      <c r="BK175" s="17"/>
      <c r="BL175" s="17"/>
      <c r="BM175" s="17"/>
    </row>
    <row r="176" spans="4:65" x14ac:dyDescent="0.2">
      <c r="D176" s="14" t="str">
        <v>axitinib</v>
      </c>
      <c r="K176" s="410">
        <f t="shared" si="78"/>
        <v>0.753</v>
      </c>
      <c r="L176" s="410">
        <f t="shared" si="78"/>
        <v>7.5300000000000006E-2</v>
      </c>
      <c r="N176" s="410">
        <f t="shared" si="79"/>
        <v>0.68300000000000005</v>
      </c>
      <c r="O176" s="410">
        <f t="shared" si="79"/>
        <v>6.8300000000000013E-2</v>
      </c>
      <c r="Q176" s="408">
        <f t="shared" si="80"/>
        <v>0.61625183016105411</v>
      </c>
      <c r="R176" s="408">
        <f t="shared" si="80"/>
        <v>6.1625183016105416E-2</v>
      </c>
      <c r="T176" s="408">
        <f t="shared" si="81"/>
        <v>0.54480234260614935</v>
      </c>
      <c r="U176" s="408">
        <f t="shared" si="81"/>
        <v>5.4480234260614935E-2</v>
      </c>
      <c r="BA176" s="17"/>
      <c r="BB176" s="17"/>
      <c r="BC176" s="17"/>
      <c r="BD176" s="17"/>
      <c r="BE176" s="17"/>
      <c r="BF176" s="17"/>
      <c r="BG176" s="17"/>
      <c r="BH176" s="17"/>
      <c r="BI176" s="17"/>
      <c r="BJ176" s="17"/>
      <c r="BK176" s="17"/>
      <c r="BL176" s="17"/>
      <c r="BM176" s="17"/>
    </row>
    <row r="177" spans="4:65" x14ac:dyDescent="0.2">
      <c r="D177" s="14" t="str">
        <v>sorafenib</v>
      </c>
      <c r="K177" s="410">
        <f t="shared" si="78"/>
        <v>0.753</v>
      </c>
      <c r="L177" s="410">
        <f t="shared" si="78"/>
        <v>7.5300000000000006E-2</v>
      </c>
      <c r="N177" s="410">
        <f t="shared" si="79"/>
        <v>0.68300000000000005</v>
      </c>
      <c r="O177" s="410">
        <f t="shared" si="79"/>
        <v>6.8300000000000013E-2</v>
      </c>
      <c r="Q177" s="408">
        <f t="shared" si="80"/>
        <v>0.61625183016105411</v>
      </c>
      <c r="R177" s="408">
        <f t="shared" si="80"/>
        <v>6.1625183016105416E-2</v>
      </c>
      <c r="T177" s="408">
        <f t="shared" si="81"/>
        <v>0.54480234260614935</v>
      </c>
      <c r="U177" s="408">
        <f t="shared" si="81"/>
        <v>5.4480234260614935E-2</v>
      </c>
      <c r="BA177" s="17"/>
      <c r="BB177" s="17"/>
      <c r="BC177" s="17"/>
      <c r="BD177" s="17"/>
      <c r="BE177" s="17"/>
      <c r="BF177" s="17"/>
      <c r="BG177" s="17"/>
      <c r="BH177" s="17"/>
      <c r="BI177" s="17"/>
      <c r="BJ177" s="17"/>
      <c r="BK177" s="17"/>
      <c r="BL177" s="17"/>
      <c r="BM177" s="17"/>
    </row>
    <row r="178" spans="4:65" x14ac:dyDescent="0.2">
      <c r="D178" s="14" t="str">
        <v>placebo_BSC</v>
      </c>
      <c r="W178" s="409">
        <f>W28</f>
        <v>0.48163685360833497</v>
      </c>
      <c r="X178" s="409">
        <f>X28</f>
        <v>4.81636853608335E-2</v>
      </c>
      <c r="BA178" s="17"/>
      <c r="BB178" s="17"/>
      <c r="BC178" s="17"/>
      <c r="BD178" s="17"/>
      <c r="BE178" s="17"/>
      <c r="BF178" s="17"/>
      <c r="BG178" s="17"/>
      <c r="BH178" s="17"/>
      <c r="BI178" s="17"/>
      <c r="BJ178" s="17"/>
      <c r="BK178" s="17"/>
      <c r="BL178" s="17"/>
      <c r="BM178" s="17"/>
    </row>
    <row r="179" spans="4:65" x14ac:dyDescent="0.2">
      <c r="D179" s="14"/>
      <c r="BA179" s="17"/>
      <c r="BB179" s="17"/>
      <c r="BC179" s="17"/>
      <c r="BD179" s="17"/>
      <c r="BE179" s="17"/>
      <c r="BF179" s="17"/>
      <c r="BG179" s="17"/>
      <c r="BH179" s="17"/>
      <c r="BI179" s="17"/>
      <c r="BJ179" s="17"/>
      <c r="BK179" s="17"/>
      <c r="BL179" s="17"/>
      <c r="BM179" s="17"/>
    </row>
    <row r="180" spans="4:65" ht="15.75" x14ac:dyDescent="0.25">
      <c r="D180" s="70" t="str">
        <f t="array" ref="D180">INDEX(Lists!$D$11:$D$13,$C$10)</f>
        <v>Poor / intermediate risk</v>
      </c>
      <c r="BA180" s="17"/>
      <c r="BB180" s="17"/>
      <c r="BC180" s="17"/>
      <c r="BD180" s="17"/>
      <c r="BE180" s="17"/>
      <c r="BF180" s="17"/>
      <c r="BG180" s="17"/>
      <c r="BH180" s="17"/>
      <c r="BI180" s="17"/>
      <c r="BJ180" s="17"/>
      <c r="BK180" s="17"/>
      <c r="BL180" s="17"/>
      <c r="BM180" s="17"/>
    </row>
    <row r="181" spans="4:65" x14ac:dyDescent="0.2">
      <c r="D181" s="14" t="str" cm="1">
        <f t="array" ref="D181:D194">List_comparators</f>
        <v>nivolumab_monotherapy</v>
      </c>
      <c r="K181" s="1151">
        <f t="shared" ref="K181:L193" si="82">K31</f>
        <v>0.753</v>
      </c>
      <c r="L181" s="1151">
        <f t="shared" si="82"/>
        <v>7.5300000000000006E-2</v>
      </c>
      <c r="BA181" s="17"/>
      <c r="BB181" s="17"/>
      <c r="BC181" s="17"/>
      <c r="BD181" s="17"/>
      <c r="BE181" s="17"/>
      <c r="BF181" s="17"/>
      <c r="BG181" s="17"/>
      <c r="BH181" s="17"/>
      <c r="BI181" s="17"/>
      <c r="BJ181" s="17"/>
      <c r="BK181" s="17"/>
      <c r="BL181" s="17"/>
      <c r="BM181" s="17"/>
    </row>
    <row r="182" spans="4:65" x14ac:dyDescent="0.2">
      <c r="D182" s="14" t="str">
        <v>cabozantinib_plus_nivolumab</v>
      </c>
      <c r="K182" s="1151">
        <f t="shared" si="82"/>
        <v>0.753</v>
      </c>
      <c r="L182" s="1151">
        <f t="shared" si="82"/>
        <v>7.5300000000000006E-2</v>
      </c>
      <c r="BA182" s="17"/>
      <c r="BB182" s="17"/>
      <c r="BC182" s="17"/>
      <c r="BD182" s="17"/>
      <c r="BE182" s="17"/>
      <c r="BF182" s="17"/>
      <c r="BG182" s="17"/>
      <c r="BH182" s="17"/>
      <c r="BI182" s="17"/>
      <c r="BJ182" s="17"/>
      <c r="BK182" s="17"/>
      <c r="BL182" s="17"/>
      <c r="BM182" s="17"/>
    </row>
    <row r="183" spans="4:65" x14ac:dyDescent="0.2">
      <c r="D183" s="14" t="str">
        <v>nivolumab_plus_ipilimumab</v>
      </c>
      <c r="K183" s="1151">
        <f t="shared" si="82"/>
        <v>0.753</v>
      </c>
      <c r="L183" s="1151">
        <f t="shared" si="82"/>
        <v>7.5300000000000006E-2</v>
      </c>
      <c r="BA183" s="17"/>
      <c r="BB183" s="17"/>
      <c r="BC183" s="17"/>
      <c r="BD183" s="17"/>
      <c r="BE183" s="17"/>
      <c r="BF183" s="17"/>
      <c r="BG183" s="17"/>
      <c r="BH183" s="17"/>
      <c r="BI183" s="17"/>
      <c r="BJ183" s="17"/>
      <c r="BK183" s="17"/>
      <c r="BL183" s="17"/>
      <c r="BM183" s="17"/>
    </row>
    <row r="184" spans="4:65" x14ac:dyDescent="0.2">
      <c r="D184" s="14" t="str">
        <v>lenvatinib_plus_pembrolizumab</v>
      </c>
      <c r="K184" s="1151">
        <f t="shared" si="82"/>
        <v>0.753</v>
      </c>
      <c r="L184" s="1151">
        <f t="shared" si="82"/>
        <v>7.5300000000000006E-2</v>
      </c>
      <c r="BA184" s="17"/>
      <c r="BB184" s="17"/>
      <c r="BC184" s="17"/>
      <c r="BD184" s="17"/>
      <c r="BE184" s="17"/>
      <c r="BF184" s="17"/>
      <c r="BG184" s="17"/>
      <c r="BH184" s="17"/>
      <c r="BI184" s="17"/>
      <c r="BJ184" s="17"/>
      <c r="BK184" s="17"/>
      <c r="BL184" s="17"/>
      <c r="BM184" s="17"/>
    </row>
    <row r="185" spans="4:65" x14ac:dyDescent="0.2">
      <c r="D185" s="14" t="str">
        <v>avelumab_plus_axitinib</v>
      </c>
      <c r="K185" s="1151">
        <f t="shared" si="82"/>
        <v>0.753</v>
      </c>
      <c r="L185" s="1151">
        <f t="shared" si="82"/>
        <v>7.5300000000000006E-2</v>
      </c>
      <c r="BA185" s="17"/>
      <c r="BB185" s="17"/>
      <c r="BC185" s="17"/>
      <c r="BD185" s="17"/>
      <c r="BE185" s="17"/>
      <c r="BF185" s="17"/>
      <c r="BG185" s="17"/>
      <c r="BH185" s="17"/>
      <c r="BI185" s="17"/>
      <c r="BJ185" s="17"/>
      <c r="BK185" s="17"/>
      <c r="BL185" s="17"/>
      <c r="BM185" s="17"/>
    </row>
    <row r="186" spans="4:65" x14ac:dyDescent="0.2">
      <c r="D186" s="14" t="str">
        <v>pazopanib</v>
      </c>
      <c r="K186" s="1151">
        <f t="shared" si="82"/>
        <v>0.753</v>
      </c>
      <c r="L186" s="1151">
        <f t="shared" si="82"/>
        <v>7.5300000000000006E-2</v>
      </c>
      <c r="BA186" s="17"/>
      <c r="BB186" s="17"/>
      <c r="BC186" s="17"/>
      <c r="BD186" s="17"/>
      <c r="BE186" s="17"/>
      <c r="BF186" s="17"/>
      <c r="BG186" s="17"/>
      <c r="BH186" s="17"/>
      <c r="BI186" s="17"/>
      <c r="BJ186" s="17"/>
      <c r="BK186" s="17"/>
      <c r="BL186" s="17"/>
      <c r="BM186" s="17"/>
    </row>
    <row r="187" spans="4:65" x14ac:dyDescent="0.2">
      <c r="D187" s="14" t="str">
        <v>tivozanib</v>
      </c>
      <c r="K187" s="1151">
        <f t="shared" si="82"/>
        <v>0.753</v>
      </c>
      <c r="L187" s="1151">
        <f t="shared" si="82"/>
        <v>7.5300000000000006E-2</v>
      </c>
      <c r="BA187" s="17"/>
      <c r="BB187" s="17"/>
      <c r="BC187" s="17"/>
      <c r="BD187" s="17"/>
      <c r="BE187" s="17"/>
      <c r="BF187" s="17"/>
      <c r="BG187" s="17"/>
      <c r="BH187" s="17"/>
      <c r="BI187" s="17"/>
      <c r="BJ187" s="17"/>
      <c r="BK187" s="17"/>
      <c r="BL187" s="17"/>
      <c r="BM187" s="17"/>
    </row>
    <row r="188" spans="4:65" x14ac:dyDescent="0.2">
      <c r="D188" s="14" t="str">
        <v>sunitinib</v>
      </c>
      <c r="K188" s="1151">
        <f t="shared" si="82"/>
        <v>0.753</v>
      </c>
      <c r="L188" s="1151">
        <f t="shared" si="82"/>
        <v>7.5300000000000006E-2</v>
      </c>
      <c r="BA188" s="17"/>
      <c r="BB188" s="17"/>
      <c r="BC188" s="17"/>
      <c r="BD188" s="17"/>
      <c r="BE188" s="17"/>
      <c r="BF188" s="17"/>
      <c r="BG188" s="17"/>
      <c r="BH188" s="17"/>
      <c r="BI188" s="17"/>
      <c r="BJ188" s="17"/>
      <c r="BK188" s="17"/>
      <c r="BL188" s="17"/>
      <c r="BM188" s="17"/>
    </row>
    <row r="189" spans="4:65" x14ac:dyDescent="0.2">
      <c r="D189" s="14" t="str">
        <v>cabozantinib</v>
      </c>
      <c r="K189" s="1151">
        <f t="shared" si="82"/>
        <v>0.753</v>
      </c>
      <c r="L189" s="1151">
        <f t="shared" si="82"/>
        <v>7.5300000000000006E-2</v>
      </c>
      <c r="BA189" s="17"/>
      <c r="BB189" s="17"/>
      <c r="BC189" s="17"/>
      <c r="BD189" s="17"/>
      <c r="BE189" s="17"/>
      <c r="BF189" s="17"/>
      <c r="BG189" s="17"/>
      <c r="BH189" s="17"/>
      <c r="BI189" s="17"/>
      <c r="BJ189" s="17"/>
      <c r="BK189" s="17"/>
      <c r="BL189" s="17"/>
      <c r="BM189" s="17"/>
    </row>
    <row r="190" spans="4:65" x14ac:dyDescent="0.2">
      <c r="D190" s="14" t="str">
        <v>lenvatinib_plus_everolimus</v>
      </c>
      <c r="K190" s="1151">
        <f t="shared" si="82"/>
        <v>0.753</v>
      </c>
      <c r="L190" s="1151">
        <f t="shared" si="82"/>
        <v>7.5300000000000006E-2</v>
      </c>
      <c r="BA190" s="17"/>
      <c r="BB190" s="17"/>
      <c r="BC190" s="17"/>
      <c r="BD190" s="17"/>
      <c r="BE190" s="17"/>
      <c r="BF190" s="17"/>
      <c r="BG190" s="17"/>
      <c r="BH190" s="17"/>
      <c r="BI190" s="17"/>
      <c r="BJ190" s="17"/>
      <c r="BK190" s="17"/>
      <c r="BL190" s="17"/>
      <c r="BM190" s="17"/>
    </row>
    <row r="191" spans="4:65" x14ac:dyDescent="0.2">
      <c r="D191" s="14" t="str">
        <v>everolimus</v>
      </c>
      <c r="K191" s="1151">
        <f t="shared" si="82"/>
        <v>0.753</v>
      </c>
      <c r="L191" s="1151">
        <f t="shared" si="82"/>
        <v>7.5300000000000006E-2</v>
      </c>
      <c r="BA191" s="17"/>
      <c r="BB191" s="17"/>
      <c r="BC191" s="17"/>
      <c r="BD191" s="17"/>
      <c r="BE191" s="17"/>
      <c r="BF191" s="17"/>
      <c r="BG191" s="17"/>
      <c r="BH191" s="17"/>
      <c r="BI191" s="17"/>
      <c r="BJ191" s="17"/>
      <c r="BK191" s="17"/>
      <c r="BL191" s="17"/>
      <c r="BM191" s="17"/>
    </row>
    <row r="192" spans="4:65" x14ac:dyDescent="0.2">
      <c r="D192" s="14" t="str">
        <v>axitinib</v>
      </c>
      <c r="K192" s="1151">
        <f t="shared" si="82"/>
        <v>0.753</v>
      </c>
      <c r="L192" s="1151">
        <f t="shared" si="82"/>
        <v>7.5300000000000006E-2</v>
      </c>
      <c r="BA192" s="17"/>
      <c r="BB192" s="17"/>
      <c r="BC192" s="17"/>
      <c r="BD192" s="17"/>
      <c r="BE192" s="17"/>
      <c r="BF192" s="17"/>
      <c r="BG192" s="17"/>
      <c r="BH192" s="17"/>
      <c r="BI192" s="17"/>
      <c r="BJ192" s="17"/>
      <c r="BK192" s="17"/>
      <c r="BL192" s="17"/>
      <c r="BM192" s="17"/>
    </row>
    <row r="193" spans="4:65" x14ac:dyDescent="0.2">
      <c r="D193" s="14" t="str">
        <v>sorafenib</v>
      </c>
      <c r="K193" s="1151">
        <f t="shared" si="82"/>
        <v>0.753</v>
      </c>
      <c r="L193" s="1151">
        <f t="shared" si="82"/>
        <v>7.5300000000000006E-2</v>
      </c>
      <c r="BA193" s="17"/>
      <c r="BB193" s="17"/>
      <c r="BC193" s="17"/>
      <c r="BD193" s="17"/>
      <c r="BE193" s="17"/>
      <c r="BF193" s="17"/>
      <c r="BG193" s="17"/>
      <c r="BH193" s="17"/>
      <c r="BI193" s="17"/>
      <c r="BJ193" s="17"/>
      <c r="BK193" s="17"/>
      <c r="BL193" s="17"/>
      <c r="BM193" s="17"/>
    </row>
    <row r="194" spans="4:65" x14ac:dyDescent="0.2">
      <c r="D194" s="14" t="str">
        <v>placebo_BSC</v>
      </c>
      <c r="W194" s="409">
        <f>W44</f>
        <v>0.48163685360833497</v>
      </c>
      <c r="X194" s="409">
        <f>X44</f>
        <v>4.81636853608335E-2</v>
      </c>
      <c r="BA194" s="17"/>
      <c r="BB194" s="17"/>
      <c r="BC194" s="17"/>
      <c r="BD194" s="17"/>
      <c r="BE194" s="17"/>
      <c r="BF194" s="17"/>
      <c r="BG194" s="17"/>
      <c r="BH194" s="17"/>
      <c r="BI194" s="17"/>
      <c r="BJ194" s="17"/>
      <c r="BK194" s="17"/>
      <c r="BL194" s="17"/>
      <c r="BM194" s="17"/>
    </row>
    <row r="195" spans="4:65" x14ac:dyDescent="0.2">
      <c r="D195" s="50"/>
      <c r="BA195" s="17"/>
      <c r="BB195" s="17"/>
      <c r="BC195" s="17"/>
      <c r="BD195" s="17"/>
      <c r="BE195" s="17"/>
      <c r="BF195" s="17"/>
      <c r="BG195" s="17"/>
      <c r="BH195" s="17"/>
      <c r="BI195" s="17"/>
      <c r="BJ195" s="17"/>
      <c r="BK195" s="17"/>
      <c r="BL195" s="17"/>
      <c r="BM195" s="17"/>
    </row>
    <row r="196" spans="4:65" ht="15.75" x14ac:dyDescent="0.25">
      <c r="D196" s="70" t="str">
        <f t="array" ref="D196">INDEX(Lists!$D$11:$D$13,$C$12)</f>
        <v>Favourable risk</v>
      </c>
      <c r="BA196" s="17"/>
      <c r="BB196" s="17"/>
      <c r="BC196" s="17"/>
      <c r="BD196" s="17"/>
      <c r="BE196" s="17"/>
      <c r="BF196" s="17"/>
      <c r="BG196" s="17"/>
      <c r="BH196" s="17"/>
      <c r="BI196" s="17"/>
      <c r="BJ196" s="17"/>
      <c r="BK196" s="17"/>
      <c r="BL196" s="17"/>
      <c r="BM196" s="17"/>
    </row>
    <row r="197" spans="4:65" x14ac:dyDescent="0.2">
      <c r="D197" s="14" t="str" cm="1">
        <f t="array" ref="D197:D210">List_comparators</f>
        <v>nivolumab_monotherapy</v>
      </c>
      <c r="K197" s="1151">
        <f t="shared" ref="K197:L209" si="83">K47</f>
        <v>0.753</v>
      </c>
      <c r="L197" s="1151">
        <f t="shared" si="83"/>
        <v>7.5300000000000006E-2</v>
      </c>
      <c r="BA197" s="17"/>
      <c r="BB197" s="17"/>
      <c r="BC197" s="17"/>
      <c r="BD197" s="17"/>
      <c r="BE197" s="17"/>
      <c r="BF197" s="17"/>
      <c r="BG197" s="17"/>
      <c r="BH197" s="17"/>
      <c r="BI197" s="17"/>
      <c r="BJ197" s="17"/>
      <c r="BK197" s="17"/>
      <c r="BL197" s="17"/>
      <c r="BM197" s="17"/>
    </row>
    <row r="198" spans="4:65" x14ac:dyDescent="0.2">
      <c r="D198" s="14" t="str">
        <v>cabozantinib_plus_nivolumab</v>
      </c>
      <c r="K198" s="1151">
        <f t="shared" si="83"/>
        <v>0.753</v>
      </c>
      <c r="L198" s="1151">
        <f t="shared" si="83"/>
        <v>7.5300000000000006E-2</v>
      </c>
      <c r="BA198" s="17"/>
      <c r="BB198" s="17"/>
      <c r="BC198" s="17"/>
      <c r="BD198" s="17"/>
      <c r="BE198" s="17"/>
      <c r="BF198" s="17"/>
      <c r="BG198" s="17"/>
      <c r="BH198" s="17"/>
      <c r="BI198" s="17"/>
      <c r="BJ198" s="17"/>
      <c r="BK198" s="17"/>
      <c r="BL198" s="17"/>
      <c r="BM198" s="17"/>
    </row>
    <row r="199" spans="4:65" x14ac:dyDescent="0.2">
      <c r="D199" s="14" t="str">
        <v>nivolumab_plus_ipilimumab</v>
      </c>
      <c r="K199" s="1151">
        <f t="shared" si="83"/>
        <v>0.753</v>
      </c>
      <c r="L199" s="1151">
        <f t="shared" si="83"/>
        <v>7.5300000000000006E-2</v>
      </c>
      <c r="BA199" s="17"/>
      <c r="BB199" s="17"/>
      <c r="BC199" s="17"/>
      <c r="BD199" s="17"/>
      <c r="BE199" s="17"/>
      <c r="BF199" s="17"/>
      <c r="BG199" s="17"/>
      <c r="BH199" s="17"/>
      <c r="BI199" s="17"/>
      <c r="BJ199" s="17"/>
      <c r="BK199" s="17"/>
      <c r="BL199" s="17"/>
      <c r="BM199" s="17"/>
    </row>
    <row r="200" spans="4:65" x14ac:dyDescent="0.2">
      <c r="D200" s="14" t="str">
        <v>lenvatinib_plus_pembrolizumab</v>
      </c>
      <c r="K200" s="1151">
        <f t="shared" si="83"/>
        <v>0.753</v>
      </c>
      <c r="L200" s="1151">
        <f t="shared" si="83"/>
        <v>7.5300000000000006E-2</v>
      </c>
      <c r="BA200" s="17"/>
      <c r="BB200" s="17"/>
      <c r="BC200" s="17"/>
      <c r="BD200" s="17"/>
      <c r="BE200" s="17"/>
      <c r="BF200" s="17"/>
      <c r="BG200" s="17"/>
      <c r="BH200" s="17"/>
      <c r="BI200" s="17"/>
      <c r="BJ200" s="17"/>
      <c r="BK200" s="17"/>
      <c r="BL200" s="17"/>
      <c r="BM200" s="17"/>
    </row>
    <row r="201" spans="4:65" x14ac:dyDescent="0.2">
      <c r="D201" s="14" t="str">
        <v>avelumab_plus_axitinib</v>
      </c>
      <c r="K201" s="1151">
        <f t="shared" si="83"/>
        <v>0.753</v>
      </c>
      <c r="L201" s="1151">
        <f t="shared" si="83"/>
        <v>7.5300000000000006E-2</v>
      </c>
      <c r="BA201" s="17"/>
      <c r="BB201" s="17"/>
      <c r="BC201" s="17"/>
      <c r="BD201" s="17"/>
      <c r="BE201" s="17"/>
      <c r="BF201" s="17"/>
      <c r="BG201" s="17"/>
      <c r="BH201" s="17"/>
      <c r="BI201" s="17"/>
      <c r="BJ201" s="17"/>
      <c r="BK201" s="17"/>
      <c r="BL201" s="17"/>
      <c r="BM201" s="17"/>
    </row>
    <row r="202" spans="4:65" x14ac:dyDescent="0.2">
      <c r="D202" s="14" t="str">
        <v>pazopanib</v>
      </c>
      <c r="K202" s="1151">
        <f t="shared" si="83"/>
        <v>0.753</v>
      </c>
      <c r="L202" s="1151">
        <f t="shared" si="83"/>
        <v>7.5300000000000006E-2</v>
      </c>
      <c r="BA202" s="17"/>
      <c r="BB202" s="17"/>
      <c r="BC202" s="17"/>
      <c r="BD202" s="17"/>
      <c r="BE202" s="17"/>
      <c r="BF202" s="17"/>
      <c r="BG202" s="17"/>
      <c r="BH202" s="17"/>
      <c r="BI202" s="17"/>
      <c r="BJ202" s="17"/>
      <c r="BK202" s="17"/>
      <c r="BL202" s="17"/>
      <c r="BM202" s="17"/>
    </row>
    <row r="203" spans="4:65" x14ac:dyDescent="0.2">
      <c r="D203" s="14" t="str">
        <v>tivozanib</v>
      </c>
      <c r="K203" s="1151">
        <f t="shared" si="83"/>
        <v>0.753</v>
      </c>
      <c r="L203" s="1151">
        <f t="shared" si="83"/>
        <v>7.5300000000000006E-2</v>
      </c>
      <c r="BA203" s="17"/>
      <c r="BB203" s="17"/>
      <c r="BC203" s="17"/>
      <c r="BD203" s="17"/>
      <c r="BE203" s="17"/>
      <c r="BF203" s="17"/>
      <c r="BG203" s="17"/>
      <c r="BH203" s="17"/>
      <c r="BI203" s="17"/>
      <c r="BJ203" s="17"/>
      <c r="BK203" s="17"/>
      <c r="BL203" s="17"/>
      <c r="BM203" s="17"/>
    </row>
    <row r="204" spans="4:65" x14ac:dyDescent="0.2">
      <c r="D204" s="14" t="str">
        <v>sunitinib</v>
      </c>
      <c r="K204" s="1151">
        <f t="shared" si="83"/>
        <v>0.753</v>
      </c>
      <c r="L204" s="1151">
        <f t="shared" si="83"/>
        <v>7.5300000000000006E-2</v>
      </c>
      <c r="BA204" s="17"/>
      <c r="BB204" s="17"/>
      <c r="BC204" s="17"/>
      <c r="BD204" s="17"/>
      <c r="BE204" s="17"/>
      <c r="BF204" s="17"/>
      <c r="BG204" s="17"/>
      <c r="BH204" s="17"/>
      <c r="BI204" s="17"/>
      <c r="BJ204" s="17"/>
      <c r="BK204" s="17"/>
      <c r="BL204" s="17"/>
      <c r="BM204" s="17"/>
    </row>
    <row r="205" spans="4:65" x14ac:dyDescent="0.2">
      <c r="D205" s="14" t="str">
        <v>cabozantinib</v>
      </c>
      <c r="K205" s="1151">
        <f t="shared" si="83"/>
        <v>0.753</v>
      </c>
      <c r="L205" s="1151">
        <f t="shared" si="83"/>
        <v>7.5300000000000006E-2</v>
      </c>
      <c r="BA205" s="17"/>
      <c r="BB205" s="17"/>
      <c r="BC205" s="17"/>
      <c r="BD205" s="17"/>
      <c r="BE205" s="17"/>
      <c r="BF205" s="17"/>
      <c r="BG205" s="17"/>
      <c r="BH205" s="17"/>
      <c r="BI205" s="17"/>
      <c r="BJ205" s="17"/>
      <c r="BK205" s="17"/>
      <c r="BL205" s="17"/>
      <c r="BM205" s="17"/>
    </row>
    <row r="206" spans="4:65" x14ac:dyDescent="0.2">
      <c r="D206" s="14" t="str">
        <v>lenvatinib_plus_everolimus</v>
      </c>
      <c r="K206" s="1151">
        <f t="shared" si="83"/>
        <v>0.753</v>
      </c>
      <c r="L206" s="1151">
        <f t="shared" si="83"/>
        <v>7.5300000000000006E-2</v>
      </c>
      <c r="BA206" s="17"/>
      <c r="BB206" s="17"/>
      <c r="BC206" s="17"/>
      <c r="BD206" s="17"/>
      <c r="BE206" s="17"/>
      <c r="BF206" s="17"/>
      <c r="BG206" s="17"/>
      <c r="BH206" s="17"/>
      <c r="BI206" s="17"/>
      <c r="BJ206" s="17"/>
      <c r="BK206" s="17"/>
      <c r="BL206" s="17"/>
      <c r="BM206" s="17"/>
    </row>
    <row r="207" spans="4:65" x14ac:dyDescent="0.2">
      <c r="D207" s="14" t="str">
        <v>everolimus</v>
      </c>
      <c r="K207" s="1151">
        <f t="shared" si="83"/>
        <v>0.753</v>
      </c>
      <c r="L207" s="1151">
        <f t="shared" si="83"/>
        <v>7.5300000000000006E-2</v>
      </c>
      <c r="BA207" s="17"/>
      <c r="BB207" s="17"/>
      <c r="BC207" s="17"/>
      <c r="BD207" s="17"/>
      <c r="BE207" s="17"/>
      <c r="BF207" s="17"/>
      <c r="BG207" s="17"/>
      <c r="BH207" s="17"/>
      <c r="BI207" s="17"/>
      <c r="BJ207" s="17"/>
      <c r="BK207" s="17"/>
      <c r="BL207" s="17"/>
      <c r="BM207" s="17"/>
    </row>
    <row r="208" spans="4:65" x14ac:dyDescent="0.2">
      <c r="D208" s="14" t="str">
        <v>axitinib</v>
      </c>
      <c r="K208" s="1151">
        <f t="shared" si="83"/>
        <v>0.753</v>
      </c>
      <c r="L208" s="1151">
        <f t="shared" si="83"/>
        <v>7.5300000000000006E-2</v>
      </c>
      <c r="BA208" s="17"/>
      <c r="BB208" s="17"/>
      <c r="BC208" s="17"/>
      <c r="BD208" s="17"/>
      <c r="BE208" s="17"/>
      <c r="BF208" s="17"/>
      <c r="BG208" s="17"/>
      <c r="BH208" s="17"/>
      <c r="BI208" s="17"/>
      <c r="BJ208" s="17"/>
      <c r="BK208" s="17"/>
      <c r="BL208" s="17"/>
      <c r="BM208" s="17"/>
    </row>
    <row r="209" spans="4:65" x14ac:dyDescent="0.2">
      <c r="D209" s="14" t="str">
        <v>sorafenib</v>
      </c>
      <c r="K209" s="1151">
        <f t="shared" si="83"/>
        <v>0.753</v>
      </c>
      <c r="L209" s="1151">
        <f t="shared" si="83"/>
        <v>7.5300000000000006E-2</v>
      </c>
      <c r="BA209" s="17"/>
      <c r="BB209" s="17"/>
      <c r="BC209" s="17"/>
      <c r="BD209" s="17"/>
      <c r="BE209" s="17"/>
      <c r="BF209" s="17"/>
      <c r="BG209" s="17"/>
      <c r="BH209" s="17"/>
      <c r="BI209" s="17"/>
      <c r="BJ209" s="17"/>
      <c r="BK209" s="17"/>
      <c r="BL209" s="17"/>
      <c r="BM209" s="17"/>
    </row>
    <row r="210" spans="4:65" hidden="1" x14ac:dyDescent="0.2">
      <c r="D210" s="14" t="str">
        <v>placebo_BSC</v>
      </c>
      <c r="W210" s="43"/>
      <c r="X210" s="43"/>
      <c r="BA210" s="17"/>
      <c r="BB210" s="17"/>
      <c r="BC210" s="17"/>
      <c r="BD210" s="17"/>
      <c r="BE210" s="17"/>
      <c r="BF210" s="17"/>
      <c r="BG210" s="17"/>
      <c r="BH210" s="17"/>
      <c r="BI210" s="17"/>
      <c r="BJ210" s="17"/>
      <c r="BK210" s="17"/>
      <c r="BL210" s="17"/>
      <c r="BM210" s="17"/>
    </row>
    <row r="211" spans="4:65" ht="15.75" hidden="1" x14ac:dyDescent="0.25">
      <c r="D211" s="12"/>
      <c r="BA211" s="17"/>
      <c r="BB211" s="17"/>
      <c r="BC211" s="17"/>
      <c r="BD211" s="17"/>
      <c r="BE211" s="17"/>
      <c r="BF211" s="17"/>
      <c r="BG211" s="17"/>
      <c r="BH211" s="17"/>
      <c r="BI211" s="17"/>
      <c r="BJ211" s="17"/>
      <c r="BK211" s="17"/>
      <c r="BL211" s="17"/>
      <c r="BM211" s="17"/>
    </row>
    <row r="212" spans="4:65" ht="15.75" hidden="1" x14ac:dyDescent="0.25">
      <c r="D212" s="12"/>
      <c r="BA212" s="17"/>
      <c r="BB212" s="17"/>
      <c r="BC212" s="17"/>
      <c r="BD212" s="17"/>
      <c r="BE212" s="17"/>
      <c r="BF212" s="17"/>
      <c r="BG212" s="17"/>
      <c r="BH212" s="17"/>
      <c r="BI212" s="17"/>
      <c r="BJ212" s="17"/>
      <c r="BK212" s="17"/>
      <c r="BL212" s="17"/>
      <c r="BM212" s="17"/>
    </row>
    <row r="213" spans="4:65" ht="15.75" hidden="1" x14ac:dyDescent="0.25">
      <c r="D213" s="70"/>
      <c r="BA213" s="17"/>
      <c r="BB213" s="17"/>
      <c r="BC213" s="17"/>
      <c r="BD213" s="17"/>
      <c r="BE213" s="17"/>
      <c r="BF213" s="17"/>
      <c r="BG213" s="17"/>
      <c r="BH213" s="17"/>
      <c r="BI213" s="17"/>
      <c r="BJ213" s="17"/>
      <c r="BK213" s="17"/>
      <c r="BL213" s="17"/>
      <c r="BM213" s="17"/>
    </row>
    <row r="214" spans="4:65" hidden="1" x14ac:dyDescent="0.2">
      <c r="D214" s="14"/>
      <c r="BA214" s="17"/>
      <c r="BB214" s="17"/>
      <c r="BC214" s="17"/>
      <c r="BD214" s="17"/>
      <c r="BE214" s="17"/>
      <c r="BF214" s="17"/>
      <c r="BG214" s="17"/>
      <c r="BH214" s="17"/>
      <c r="BI214" s="17"/>
      <c r="BJ214" s="17"/>
      <c r="BK214" s="17"/>
      <c r="BL214" s="17"/>
      <c r="BM214" s="17"/>
    </row>
    <row r="215" spans="4:65" hidden="1" x14ac:dyDescent="0.2">
      <c r="D215" s="14"/>
      <c r="BA215" s="17"/>
      <c r="BB215" s="17"/>
      <c r="BC215" s="17"/>
      <c r="BD215" s="17"/>
      <c r="BE215" s="17"/>
      <c r="BF215" s="17"/>
      <c r="BG215" s="17"/>
      <c r="BH215" s="17"/>
      <c r="BI215" s="17"/>
      <c r="BJ215" s="17"/>
      <c r="BK215" s="17"/>
      <c r="BL215" s="17"/>
      <c r="BM215" s="17"/>
    </row>
    <row r="216" spans="4:65" hidden="1" x14ac:dyDescent="0.2">
      <c r="D216" s="14"/>
      <c r="BA216" s="17"/>
      <c r="BB216" s="17"/>
      <c r="BC216" s="17"/>
      <c r="BD216" s="17"/>
      <c r="BE216" s="17"/>
      <c r="BF216" s="17"/>
      <c r="BG216" s="17"/>
      <c r="BH216" s="17"/>
      <c r="BI216" s="17"/>
      <c r="BJ216" s="17"/>
      <c r="BK216" s="17"/>
      <c r="BL216" s="17"/>
      <c r="BM216" s="17"/>
    </row>
    <row r="217" spans="4:65" hidden="1" x14ac:dyDescent="0.2">
      <c r="D217" s="14"/>
      <c r="BA217" s="17"/>
      <c r="BB217" s="17"/>
      <c r="BC217" s="17"/>
      <c r="BD217" s="17"/>
      <c r="BE217" s="17"/>
      <c r="BF217" s="17"/>
      <c r="BG217" s="17"/>
      <c r="BH217" s="17"/>
      <c r="BI217" s="17"/>
      <c r="BJ217" s="17"/>
      <c r="BK217" s="17"/>
      <c r="BL217" s="17"/>
      <c r="BM217" s="17"/>
    </row>
    <row r="218" spans="4:65" hidden="1" x14ac:dyDescent="0.2">
      <c r="D218" s="14"/>
      <c r="BA218" s="17"/>
      <c r="BB218" s="17"/>
      <c r="BC218" s="17"/>
      <c r="BD218" s="17"/>
      <c r="BE218" s="17"/>
      <c r="BF218" s="17"/>
      <c r="BG218" s="17"/>
      <c r="BH218" s="17"/>
      <c r="BI218" s="17"/>
      <c r="BJ218" s="17"/>
      <c r="BK218" s="17"/>
      <c r="BL218" s="17"/>
      <c r="BM218" s="17"/>
    </row>
    <row r="219" spans="4:65" hidden="1" x14ac:dyDescent="0.2">
      <c r="D219" s="14"/>
      <c r="BA219" s="17"/>
      <c r="BB219" s="17"/>
      <c r="BC219" s="17"/>
      <c r="BD219" s="17"/>
      <c r="BE219" s="17"/>
      <c r="BF219" s="17"/>
      <c r="BG219" s="17"/>
      <c r="BH219" s="17"/>
      <c r="BI219" s="17"/>
      <c r="BJ219" s="17"/>
      <c r="BK219" s="17"/>
      <c r="BL219" s="17"/>
      <c r="BM219" s="17"/>
    </row>
    <row r="220" spans="4:65" hidden="1" x14ac:dyDescent="0.2">
      <c r="D220" s="14"/>
      <c r="BA220" s="17"/>
      <c r="BB220" s="17"/>
      <c r="BC220" s="17"/>
      <c r="BD220" s="17"/>
      <c r="BE220" s="17"/>
      <c r="BF220" s="17"/>
      <c r="BG220" s="17"/>
      <c r="BH220" s="17"/>
      <c r="BI220" s="17"/>
      <c r="BJ220" s="17"/>
      <c r="BK220" s="17"/>
      <c r="BL220" s="17"/>
      <c r="BM220" s="17"/>
    </row>
    <row r="221" spans="4:65" hidden="1" x14ac:dyDescent="0.2">
      <c r="D221" s="14"/>
      <c r="BA221" s="17"/>
      <c r="BB221" s="17"/>
      <c r="BC221" s="17"/>
      <c r="BD221" s="17"/>
      <c r="BE221" s="17"/>
      <c r="BF221" s="17"/>
      <c r="BG221" s="17"/>
      <c r="BH221" s="17"/>
      <c r="BI221" s="17"/>
      <c r="BJ221" s="17"/>
      <c r="BK221" s="17"/>
      <c r="BL221" s="17"/>
      <c r="BM221" s="17"/>
    </row>
    <row r="222" spans="4:65" hidden="1" x14ac:dyDescent="0.2">
      <c r="D222" s="14"/>
      <c r="BA222" s="17"/>
      <c r="BB222" s="17"/>
      <c r="BC222" s="17"/>
      <c r="BD222" s="17"/>
      <c r="BE222" s="17"/>
      <c r="BF222" s="17"/>
      <c r="BG222" s="17"/>
      <c r="BH222" s="17"/>
      <c r="BI222" s="17"/>
      <c r="BJ222" s="17"/>
      <c r="BK222" s="17"/>
      <c r="BL222" s="17"/>
      <c r="BM222" s="17"/>
    </row>
    <row r="223" spans="4:65" hidden="1" x14ac:dyDescent="0.2">
      <c r="D223" s="14"/>
      <c r="BA223" s="17"/>
      <c r="BB223" s="17"/>
      <c r="BC223" s="17"/>
      <c r="BD223" s="17"/>
      <c r="BE223" s="17"/>
      <c r="BF223" s="17"/>
      <c r="BG223" s="17"/>
      <c r="BH223" s="17"/>
      <c r="BI223" s="17"/>
      <c r="BJ223" s="17"/>
      <c r="BK223" s="17"/>
      <c r="BL223" s="17"/>
      <c r="BM223" s="17"/>
    </row>
    <row r="224" spans="4:65" hidden="1" x14ac:dyDescent="0.2">
      <c r="D224" s="14"/>
      <c r="BA224" s="17"/>
      <c r="BB224" s="17"/>
      <c r="BC224" s="17"/>
      <c r="BD224" s="17"/>
      <c r="BE224" s="17"/>
      <c r="BF224" s="17"/>
      <c r="BG224" s="17"/>
      <c r="BH224" s="17"/>
      <c r="BI224" s="17"/>
      <c r="BJ224" s="17"/>
      <c r="BK224" s="17"/>
      <c r="BL224" s="17"/>
      <c r="BM224" s="17"/>
    </row>
    <row r="225" spans="4:65" hidden="1" x14ac:dyDescent="0.2">
      <c r="D225" s="14"/>
      <c r="BA225" s="17"/>
      <c r="BB225" s="17"/>
      <c r="BC225" s="17"/>
      <c r="BD225" s="17"/>
      <c r="BE225" s="17"/>
      <c r="BF225" s="17"/>
      <c r="BG225" s="17"/>
      <c r="BH225" s="17"/>
      <c r="BI225" s="17"/>
      <c r="BJ225" s="17"/>
      <c r="BK225" s="17"/>
      <c r="BL225" s="17"/>
      <c r="BM225" s="17"/>
    </row>
    <row r="226" spans="4:65" hidden="1" x14ac:dyDescent="0.2">
      <c r="D226" s="14"/>
      <c r="BA226" s="17"/>
      <c r="BB226" s="17"/>
      <c r="BC226" s="17"/>
      <c r="BD226" s="17"/>
      <c r="BE226" s="17"/>
      <c r="BF226" s="17"/>
      <c r="BG226" s="17"/>
      <c r="BH226" s="17"/>
      <c r="BI226" s="17"/>
      <c r="BJ226" s="17"/>
      <c r="BK226" s="17"/>
      <c r="BL226" s="17"/>
      <c r="BM226" s="17"/>
    </row>
    <row r="227" spans="4:65" hidden="1" x14ac:dyDescent="0.2">
      <c r="D227" s="50"/>
      <c r="BA227" s="17"/>
      <c r="BB227" s="17"/>
      <c r="BC227" s="17"/>
      <c r="BD227" s="17"/>
      <c r="BE227" s="17"/>
      <c r="BF227" s="17"/>
      <c r="BG227" s="17"/>
      <c r="BH227" s="17"/>
      <c r="BI227" s="17"/>
      <c r="BJ227" s="17"/>
      <c r="BK227" s="17"/>
      <c r="BL227" s="17"/>
      <c r="BM227" s="17"/>
    </row>
    <row r="228" spans="4:65" ht="15.75" hidden="1" x14ac:dyDescent="0.25">
      <c r="D228" s="70"/>
      <c r="BA228" s="17"/>
      <c r="BB228" s="17"/>
      <c r="BC228" s="17"/>
      <c r="BD228" s="17"/>
      <c r="BE228" s="17"/>
      <c r="BF228" s="17"/>
      <c r="BG228" s="17"/>
      <c r="BH228" s="17"/>
      <c r="BI228" s="17"/>
      <c r="BJ228" s="17"/>
      <c r="BK228" s="17"/>
      <c r="BL228" s="17"/>
      <c r="BM228" s="17"/>
    </row>
    <row r="229" spans="4:65" hidden="1" x14ac:dyDescent="0.2">
      <c r="D229" s="14"/>
      <c r="BA229" s="17"/>
      <c r="BB229" s="17"/>
      <c r="BC229" s="17"/>
      <c r="BD229" s="17"/>
      <c r="BE229" s="17"/>
      <c r="BF229" s="17"/>
      <c r="BG229" s="17"/>
      <c r="BH229" s="17"/>
      <c r="BI229" s="17"/>
      <c r="BJ229" s="17"/>
      <c r="BK229" s="17"/>
      <c r="BL229" s="17"/>
      <c r="BM229" s="17"/>
    </row>
    <row r="230" spans="4:65" hidden="1" x14ac:dyDescent="0.2">
      <c r="D230" s="14"/>
      <c r="BA230" s="17"/>
      <c r="BB230" s="17"/>
      <c r="BC230" s="17"/>
      <c r="BD230" s="17"/>
      <c r="BE230" s="17"/>
      <c r="BF230" s="17"/>
      <c r="BG230" s="17"/>
      <c r="BH230" s="17"/>
      <c r="BI230" s="17"/>
      <c r="BJ230" s="17"/>
      <c r="BK230" s="17"/>
      <c r="BL230" s="17"/>
      <c r="BM230" s="17"/>
    </row>
    <row r="231" spans="4:65" hidden="1" x14ac:dyDescent="0.2">
      <c r="D231" s="14"/>
      <c r="BA231" s="17"/>
      <c r="BB231" s="17"/>
      <c r="BC231" s="17"/>
      <c r="BD231" s="17"/>
      <c r="BE231" s="17"/>
      <c r="BF231" s="17"/>
      <c r="BG231" s="17"/>
      <c r="BH231" s="17"/>
      <c r="BI231" s="17"/>
      <c r="BJ231" s="17"/>
      <c r="BK231" s="17"/>
      <c r="BL231" s="17"/>
      <c r="BM231" s="17"/>
    </row>
    <row r="232" spans="4:65" hidden="1" x14ac:dyDescent="0.2">
      <c r="D232" s="14"/>
      <c r="BA232" s="17"/>
      <c r="BB232" s="17"/>
      <c r="BC232" s="17"/>
      <c r="BD232" s="17"/>
      <c r="BE232" s="17"/>
      <c r="BF232" s="17"/>
      <c r="BG232" s="17"/>
      <c r="BH232" s="17"/>
      <c r="BI232" s="17"/>
      <c r="BJ232" s="17"/>
      <c r="BK232" s="17"/>
      <c r="BL232" s="17"/>
      <c r="BM232" s="17"/>
    </row>
    <row r="233" spans="4:65" hidden="1" x14ac:dyDescent="0.2">
      <c r="D233" s="14"/>
      <c r="BA233" s="17"/>
      <c r="BB233" s="17"/>
      <c r="BC233" s="17"/>
      <c r="BD233" s="17"/>
      <c r="BE233" s="17"/>
      <c r="BF233" s="17"/>
      <c r="BG233" s="17"/>
      <c r="BH233" s="17"/>
      <c r="BI233" s="17"/>
      <c r="BJ233" s="17"/>
      <c r="BK233" s="17"/>
      <c r="BL233" s="17"/>
      <c r="BM233" s="17"/>
    </row>
    <row r="234" spans="4:65" hidden="1" x14ac:dyDescent="0.2">
      <c r="D234" s="14"/>
      <c r="BA234" s="17"/>
      <c r="BB234" s="17"/>
      <c r="BC234" s="17"/>
      <c r="BD234" s="17"/>
      <c r="BE234" s="17"/>
      <c r="BF234" s="17"/>
      <c r="BG234" s="17"/>
      <c r="BH234" s="17"/>
      <c r="BI234" s="17"/>
      <c r="BJ234" s="17"/>
      <c r="BK234" s="17"/>
      <c r="BL234" s="17"/>
      <c r="BM234" s="17"/>
    </row>
    <row r="235" spans="4:65" hidden="1" x14ac:dyDescent="0.2">
      <c r="D235" s="14"/>
      <c r="BA235" s="17"/>
      <c r="BB235" s="17"/>
      <c r="BC235" s="17"/>
      <c r="BD235" s="17"/>
      <c r="BE235" s="17"/>
      <c r="BF235" s="17"/>
      <c r="BG235" s="17"/>
      <c r="BH235" s="17"/>
      <c r="BI235" s="17"/>
      <c r="BJ235" s="17"/>
      <c r="BK235" s="17"/>
      <c r="BL235" s="17"/>
      <c r="BM235" s="17"/>
    </row>
    <row r="236" spans="4:65" hidden="1" x14ac:dyDescent="0.2">
      <c r="D236" s="14"/>
      <c r="BA236" s="17"/>
      <c r="BB236" s="17"/>
      <c r="BC236" s="17"/>
      <c r="BD236" s="17"/>
      <c r="BE236" s="17"/>
      <c r="BF236" s="17"/>
      <c r="BG236" s="17"/>
      <c r="BH236" s="17"/>
      <c r="BI236" s="17"/>
      <c r="BJ236" s="17"/>
      <c r="BK236" s="17"/>
      <c r="BL236" s="17"/>
      <c r="BM236" s="17"/>
    </row>
    <row r="237" spans="4:65" hidden="1" x14ac:dyDescent="0.2">
      <c r="D237" s="14"/>
      <c r="BA237" s="17"/>
      <c r="BB237" s="17"/>
      <c r="BC237" s="17"/>
      <c r="BD237" s="17"/>
      <c r="BE237" s="17"/>
      <c r="BF237" s="17"/>
      <c r="BG237" s="17"/>
      <c r="BH237" s="17"/>
      <c r="BI237" s="17"/>
      <c r="BJ237" s="17"/>
      <c r="BK237" s="17"/>
      <c r="BL237" s="17"/>
      <c r="BM237" s="17"/>
    </row>
    <row r="238" spans="4:65" hidden="1" x14ac:dyDescent="0.2">
      <c r="D238" s="14"/>
      <c r="BA238" s="17"/>
      <c r="BB238" s="17"/>
      <c r="BC238" s="17"/>
      <c r="BD238" s="17"/>
      <c r="BE238" s="17"/>
      <c r="BF238" s="17"/>
      <c r="BG238" s="17"/>
      <c r="BH238" s="17"/>
      <c r="BI238" s="17"/>
      <c r="BJ238" s="17"/>
      <c r="BK238" s="17"/>
      <c r="BL238" s="17"/>
      <c r="BM238" s="17"/>
    </row>
    <row r="239" spans="4:65" hidden="1" x14ac:dyDescent="0.2">
      <c r="D239" s="14"/>
      <c r="BA239" s="17"/>
      <c r="BB239" s="17"/>
      <c r="BC239" s="17"/>
      <c r="BD239" s="17"/>
      <c r="BE239" s="17"/>
      <c r="BF239" s="17"/>
      <c r="BG239" s="17"/>
      <c r="BH239" s="17"/>
      <c r="BI239" s="17"/>
      <c r="BJ239" s="17"/>
      <c r="BK239" s="17"/>
      <c r="BL239" s="17"/>
      <c r="BM239" s="17"/>
    </row>
    <row r="240" spans="4:65" hidden="1" x14ac:dyDescent="0.2">
      <c r="D240" s="14"/>
      <c r="BA240" s="17"/>
      <c r="BB240" s="17"/>
      <c r="BC240" s="17"/>
      <c r="BD240" s="17"/>
      <c r="BE240" s="17"/>
      <c r="BF240" s="17"/>
      <c r="BG240" s="17"/>
      <c r="BH240" s="17"/>
      <c r="BI240" s="17"/>
      <c r="BJ240" s="17"/>
      <c r="BK240" s="17"/>
      <c r="BL240" s="17"/>
      <c r="BM240" s="17"/>
    </row>
    <row r="241" spans="4:65" hidden="1" x14ac:dyDescent="0.2">
      <c r="D241" s="14"/>
      <c r="BA241" s="17"/>
      <c r="BB241" s="17"/>
      <c r="BC241" s="17"/>
      <c r="BD241" s="17"/>
      <c r="BE241" s="17"/>
      <c r="BF241" s="17"/>
      <c r="BG241" s="17"/>
      <c r="BH241" s="17"/>
      <c r="BI241" s="17"/>
      <c r="BJ241" s="17"/>
      <c r="BK241" s="17"/>
      <c r="BL241" s="17"/>
      <c r="BM241" s="17"/>
    </row>
    <row r="242" spans="4:65" hidden="1" x14ac:dyDescent="0.2">
      <c r="D242" s="14"/>
      <c r="BA242" s="17"/>
      <c r="BB242" s="17"/>
      <c r="BC242" s="17"/>
      <c r="BD242" s="17"/>
      <c r="BE242" s="17"/>
      <c r="BF242" s="17"/>
      <c r="BG242" s="17"/>
      <c r="BH242" s="17"/>
      <c r="BI242" s="17"/>
      <c r="BJ242" s="17"/>
      <c r="BK242" s="17"/>
      <c r="BL242" s="17"/>
      <c r="BM242" s="17"/>
    </row>
    <row r="243" spans="4:65" ht="15.75" hidden="1" x14ac:dyDescent="0.25">
      <c r="D243" s="70"/>
      <c r="BA243" s="17"/>
      <c r="BB243" s="17"/>
      <c r="BC243" s="17"/>
      <c r="BD243" s="17"/>
      <c r="BE243" s="17"/>
      <c r="BF243" s="17"/>
      <c r="BG243" s="17"/>
      <c r="BH243" s="17"/>
      <c r="BI243" s="17"/>
      <c r="BJ243" s="17"/>
      <c r="BK243" s="17"/>
      <c r="BL243" s="17"/>
      <c r="BM243" s="17"/>
    </row>
    <row r="244" spans="4:65" hidden="1" x14ac:dyDescent="0.2">
      <c r="D244" s="14"/>
      <c r="BA244" s="17"/>
      <c r="BB244" s="17"/>
      <c r="BC244" s="17"/>
      <c r="BD244" s="17"/>
      <c r="BE244" s="17"/>
      <c r="BF244" s="17"/>
      <c r="BG244" s="17"/>
      <c r="BH244" s="17"/>
      <c r="BI244" s="17"/>
      <c r="BJ244" s="17"/>
      <c r="BK244" s="17"/>
      <c r="BL244" s="17"/>
      <c r="BM244" s="17"/>
    </row>
    <row r="245" spans="4:65" hidden="1" x14ac:dyDescent="0.2">
      <c r="D245" s="14"/>
      <c r="BA245" s="17"/>
      <c r="BB245" s="17"/>
      <c r="BC245" s="17"/>
      <c r="BD245" s="17"/>
      <c r="BE245" s="17"/>
      <c r="BF245" s="17"/>
      <c r="BG245" s="17"/>
      <c r="BH245" s="17"/>
      <c r="BI245" s="17"/>
      <c r="BJ245" s="17"/>
      <c r="BK245" s="17"/>
      <c r="BL245" s="17"/>
      <c r="BM245" s="17"/>
    </row>
    <row r="246" spans="4:65" hidden="1" x14ac:dyDescent="0.2">
      <c r="D246" s="14"/>
      <c r="BA246" s="17"/>
      <c r="BB246" s="17"/>
      <c r="BC246" s="17"/>
      <c r="BD246" s="17"/>
      <c r="BE246" s="17"/>
      <c r="BF246" s="17"/>
      <c r="BG246" s="17"/>
      <c r="BH246" s="17"/>
      <c r="BI246" s="17"/>
      <c r="BJ246" s="17"/>
      <c r="BK246" s="17"/>
      <c r="BL246" s="17"/>
      <c r="BM246" s="17"/>
    </row>
    <row r="247" spans="4:65" hidden="1" x14ac:dyDescent="0.2">
      <c r="D247" s="14"/>
      <c r="BA247" s="17"/>
      <c r="BB247" s="17"/>
      <c r="BC247" s="17"/>
      <c r="BD247" s="17"/>
      <c r="BE247" s="17"/>
      <c r="BF247" s="17"/>
      <c r="BG247" s="17"/>
      <c r="BH247" s="17"/>
      <c r="BI247" s="17"/>
      <c r="BJ247" s="17"/>
      <c r="BK247" s="17"/>
      <c r="BL247" s="17"/>
      <c r="BM247" s="17"/>
    </row>
    <row r="248" spans="4:65" hidden="1" x14ac:dyDescent="0.2">
      <c r="D248" s="14"/>
      <c r="BA248" s="17"/>
      <c r="BB248" s="17"/>
      <c r="BC248" s="17"/>
      <c r="BD248" s="17"/>
      <c r="BE248" s="17"/>
      <c r="BF248" s="17"/>
      <c r="BG248" s="17"/>
      <c r="BH248" s="17"/>
      <c r="BI248" s="17"/>
      <c r="BJ248" s="17"/>
      <c r="BK248" s="17"/>
      <c r="BL248" s="17"/>
      <c r="BM248" s="17"/>
    </row>
    <row r="249" spans="4:65" hidden="1" x14ac:dyDescent="0.2">
      <c r="D249" s="14"/>
      <c r="BA249" s="17"/>
      <c r="BB249" s="17"/>
      <c r="BC249" s="17"/>
      <c r="BD249" s="17"/>
      <c r="BE249" s="17"/>
      <c r="BF249" s="17"/>
      <c r="BG249" s="17"/>
      <c r="BH249" s="17"/>
      <c r="BI249" s="17"/>
      <c r="BJ249" s="17"/>
      <c r="BK249" s="17"/>
      <c r="BL249" s="17"/>
      <c r="BM249" s="17"/>
    </row>
    <row r="250" spans="4:65" hidden="1" x14ac:dyDescent="0.2">
      <c r="D250" s="14"/>
      <c r="BA250" s="17"/>
      <c r="BB250" s="17"/>
      <c r="BC250" s="17"/>
      <c r="BD250" s="17"/>
      <c r="BE250" s="17"/>
      <c r="BF250" s="17"/>
      <c r="BG250" s="17"/>
      <c r="BH250" s="17"/>
      <c r="BI250" s="17"/>
      <c r="BJ250" s="17"/>
      <c r="BK250" s="17"/>
      <c r="BL250" s="17"/>
      <c r="BM250" s="17"/>
    </row>
    <row r="251" spans="4:65" hidden="1" x14ac:dyDescent="0.2">
      <c r="D251" s="14"/>
      <c r="BA251" s="17"/>
      <c r="BB251" s="17"/>
      <c r="BC251" s="17"/>
      <c r="BD251" s="17"/>
      <c r="BE251" s="17"/>
      <c r="BF251" s="17"/>
      <c r="BG251" s="17"/>
      <c r="BH251" s="17"/>
      <c r="BI251" s="17"/>
      <c r="BJ251" s="17"/>
      <c r="BK251" s="17"/>
      <c r="BL251" s="17"/>
      <c r="BM251" s="17"/>
    </row>
    <row r="252" spans="4:65" hidden="1" x14ac:dyDescent="0.2">
      <c r="D252" s="14"/>
      <c r="BA252" s="17"/>
      <c r="BB252" s="17"/>
      <c r="BC252" s="17"/>
      <c r="BD252" s="17"/>
      <c r="BE252" s="17"/>
      <c r="BF252" s="17"/>
      <c r="BG252" s="17"/>
      <c r="BH252" s="17"/>
      <c r="BI252" s="17"/>
      <c r="BJ252" s="17"/>
      <c r="BK252" s="17"/>
      <c r="BL252" s="17"/>
      <c r="BM252" s="17"/>
    </row>
    <row r="253" spans="4:65" hidden="1" x14ac:dyDescent="0.2">
      <c r="D253" s="14"/>
      <c r="BA253" s="17"/>
      <c r="BB253" s="17"/>
      <c r="BC253" s="17"/>
      <c r="BD253" s="17"/>
      <c r="BE253" s="17"/>
      <c r="BF253" s="17"/>
      <c r="BG253" s="17"/>
      <c r="BH253" s="17"/>
      <c r="BI253" s="17"/>
      <c r="BJ253" s="17"/>
      <c r="BK253" s="17"/>
      <c r="BL253" s="17"/>
      <c r="BM253" s="17"/>
    </row>
    <row r="254" spans="4:65" hidden="1" x14ac:dyDescent="0.2">
      <c r="D254" s="14"/>
      <c r="BA254" s="17"/>
      <c r="BB254" s="17"/>
      <c r="BC254" s="17"/>
      <c r="BD254" s="17"/>
      <c r="BE254" s="17"/>
      <c r="BF254" s="17"/>
      <c r="BG254" s="17"/>
      <c r="BH254" s="17"/>
      <c r="BI254" s="17"/>
      <c r="BJ254" s="17"/>
      <c r="BK254" s="17"/>
      <c r="BL254" s="17"/>
      <c r="BM254" s="17"/>
    </row>
    <row r="255" spans="4:65" hidden="1" x14ac:dyDescent="0.2">
      <c r="D255" s="14"/>
      <c r="BA255" s="17"/>
      <c r="BB255" s="17"/>
      <c r="BC255" s="17"/>
      <c r="BD255" s="17"/>
      <c r="BE255" s="17"/>
      <c r="BF255" s="17"/>
      <c r="BG255" s="17"/>
      <c r="BH255" s="17"/>
      <c r="BI255" s="17"/>
      <c r="BJ255" s="17"/>
      <c r="BK255" s="17"/>
      <c r="BL255" s="17"/>
      <c r="BM255" s="17"/>
    </row>
    <row r="256" spans="4:65" hidden="1" x14ac:dyDescent="0.2">
      <c r="D256" s="14"/>
      <c r="BA256" s="17"/>
      <c r="BB256" s="17"/>
      <c r="BC256" s="17"/>
      <c r="BD256" s="17"/>
      <c r="BE256" s="17"/>
      <c r="BF256" s="17"/>
      <c r="BG256" s="17"/>
      <c r="BH256" s="17"/>
      <c r="BI256" s="17"/>
      <c r="BJ256" s="17"/>
      <c r="BK256" s="17"/>
      <c r="BL256" s="17"/>
      <c r="BM256" s="17"/>
    </row>
    <row r="257" spans="4:65" hidden="1" x14ac:dyDescent="0.2">
      <c r="D257" s="14"/>
      <c r="BA257" s="17"/>
      <c r="BB257" s="17"/>
      <c r="BC257" s="17"/>
      <c r="BD257" s="17"/>
      <c r="BE257" s="17"/>
      <c r="BF257" s="17"/>
      <c r="BG257" s="17"/>
      <c r="BH257" s="17"/>
      <c r="BI257" s="17"/>
      <c r="BJ257" s="17"/>
      <c r="BK257" s="17"/>
      <c r="BL257" s="17"/>
      <c r="BM257" s="17"/>
    </row>
    <row r="258" spans="4:65" ht="15.75" hidden="1" x14ac:dyDescent="0.25">
      <c r="D258" s="12"/>
      <c r="BA258" s="17"/>
      <c r="BB258" s="17"/>
      <c r="BC258" s="17"/>
      <c r="BD258" s="17"/>
      <c r="BE258" s="17"/>
      <c r="BF258" s="17"/>
      <c r="BG258" s="17"/>
      <c r="BH258" s="17"/>
      <c r="BI258" s="17"/>
      <c r="BJ258" s="17"/>
      <c r="BK258" s="17"/>
      <c r="BL258" s="17"/>
      <c r="BM258" s="17"/>
    </row>
    <row r="259" spans="4:65" ht="15.75" hidden="1" x14ac:dyDescent="0.25">
      <c r="D259" s="12"/>
      <c r="BA259" s="17"/>
      <c r="BB259" s="17"/>
      <c r="BC259" s="17"/>
      <c r="BD259" s="17"/>
      <c r="BE259" s="17"/>
      <c r="BF259" s="17"/>
      <c r="BG259" s="17"/>
      <c r="BH259" s="17"/>
      <c r="BI259" s="17"/>
      <c r="BJ259" s="17"/>
      <c r="BK259" s="17"/>
      <c r="BL259" s="17"/>
      <c r="BM259" s="17"/>
    </row>
    <row r="260" spans="4:65" ht="15.75" hidden="1" x14ac:dyDescent="0.25">
      <c r="D260" s="70"/>
      <c r="BA260" s="17"/>
      <c r="BB260" s="17"/>
      <c r="BC260" s="17"/>
      <c r="BD260" s="17"/>
      <c r="BE260" s="17"/>
      <c r="BF260" s="17"/>
      <c r="BG260" s="17"/>
      <c r="BH260" s="17"/>
      <c r="BI260" s="17"/>
      <c r="BJ260" s="17"/>
      <c r="BK260" s="17"/>
      <c r="BL260" s="17"/>
      <c r="BM260" s="17"/>
    </row>
    <row r="261" spans="4:65" hidden="1" x14ac:dyDescent="0.2">
      <c r="D261" s="14"/>
      <c r="BA261" s="17"/>
      <c r="BB261" s="17"/>
      <c r="BC261" s="17"/>
      <c r="BD261" s="17"/>
      <c r="BE261" s="17"/>
      <c r="BF261" s="17"/>
      <c r="BG261" s="17"/>
      <c r="BH261" s="17"/>
      <c r="BI261" s="17"/>
      <c r="BJ261" s="17"/>
      <c r="BK261" s="17"/>
      <c r="BL261" s="17"/>
      <c r="BM261" s="17"/>
    </row>
    <row r="262" spans="4:65" hidden="1" x14ac:dyDescent="0.2">
      <c r="D262" s="14"/>
      <c r="BA262" s="17"/>
      <c r="BB262" s="17"/>
      <c r="BC262" s="17"/>
      <c r="BD262" s="17"/>
      <c r="BE262" s="17"/>
      <c r="BF262" s="17"/>
      <c r="BG262" s="17"/>
      <c r="BH262" s="17"/>
      <c r="BI262" s="17"/>
      <c r="BJ262" s="17"/>
      <c r="BK262" s="17"/>
      <c r="BL262" s="17"/>
      <c r="BM262" s="17"/>
    </row>
    <row r="263" spans="4:65" hidden="1" x14ac:dyDescent="0.2">
      <c r="D263" s="14"/>
      <c r="BA263" s="17"/>
      <c r="BB263" s="17"/>
      <c r="BC263" s="17"/>
      <c r="BD263" s="17"/>
      <c r="BE263" s="17"/>
      <c r="BF263" s="17"/>
      <c r="BG263" s="17"/>
      <c r="BH263" s="17"/>
      <c r="BI263" s="17"/>
      <c r="BJ263" s="17"/>
      <c r="BK263" s="17"/>
      <c r="BL263" s="17"/>
      <c r="BM263" s="17"/>
    </row>
    <row r="264" spans="4:65" hidden="1" x14ac:dyDescent="0.2">
      <c r="D264" s="14"/>
      <c r="BA264" s="17"/>
      <c r="BB264" s="17"/>
      <c r="BC264" s="17"/>
      <c r="BD264" s="17"/>
      <c r="BE264" s="17"/>
      <c r="BF264" s="17"/>
      <c r="BG264" s="17"/>
      <c r="BH264" s="17"/>
      <c r="BI264" s="17"/>
      <c r="BJ264" s="17"/>
      <c r="BK264" s="17"/>
      <c r="BL264" s="17"/>
      <c r="BM264" s="17"/>
    </row>
    <row r="265" spans="4:65" hidden="1" x14ac:dyDescent="0.2">
      <c r="D265" s="14"/>
      <c r="BA265" s="17"/>
      <c r="BB265" s="17"/>
      <c r="BC265" s="17"/>
      <c r="BD265" s="17"/>
      <c r="BE265" s="17"/>
      <c r="BF265" s="17"/>
      <c r="BG265" s="17"/>
      <c r="BH265" s="17"/>
      <c r="BI265" s="17"/>
      <c r="BJ265" s="17"/>
      <c r="BK265" s="17"/>
      <c r="BL265" s="17"/>
      <c r="BM265" s="17"/>
    </row>
    <row r="266" spans="4:65" hidden="1" x14ac:dyDescent="0.2">
      <c r="D266" s="14"/>
      <c r="BA266" s="17"/>
      <c r="BB266" s="17"/>
      <c r="BC266" s="17"/>
      <c r="BD266" s="17"/>
      <c r="BE266" s="17"/>
      <c r="BF266" s="17"/>
      <c r="BG266" s="17"/>
      <c r="BH266" s="17"/>
      <c r="BI266" s="17"/>
      <c r="BJ266" s="17"/>
      <c r="BK266" s="17"/>
      <c r="BL266" s="17"/>
      <c r="BM266" s="17"/>
    </row>
    <row r="267" spans="4:65" hidden="1" x14ac:dyDescent="0.2">
      <c r="D267" s="14"/>
      <c r="BA267" s="17"/>
      <c r="BB267" s="17"/>
      <c r="BC267" s="17"/>
      <c r="BD267" s="17"/>
      <c r="BE267" s="17"/>
      <c r="BF267" s="17"/>
      <c r="BG267" s="17"/>
      <c r="BH267" s="17"/>
      <c r="BI267" s="17"/>
      <c r="BJ267" s="17"/>
      <c r="BK267" s="17"/>
      <c r="BL267" s="17"/>
      <c r="BM267" s="17"/>
    </row>
    <row r="268" spans="4:65" hidden="1" x14ac:dyDescent="0.2">
      <c r="D268" s="14"/>
      <c r="BA268" s="17"/>
      <c r="BB268" s="17"/>
      <c r="BC268" s="17"/>
      <c r="BD268" s="17"/>
      <c r="BE268" s="17"/>
      <c r="BF268" s="17"/>
      <c r="BG268" s="17"/>
      <c r="BH268" s="17"/>
      <c r="BI268" s="17"/>
      <c r="BJ268" s="17"/>
      <c r="BK268" s="17"/>
      <c r="BL268" s="17"/>
      <c r="BM268" s="17"/>
    </row>
    <row r="269" spans="4:65" hidden="1" x14ac:dyDescent="0.2">
      <c r="D269" s="14"/>
      <c r="BA269" s="17"/>
      <c r="BB269" s="17"/>
      <c r="BC269" s="17"/>
      <c r="BD269" s="17"/>
      <c r="BE269" s="17"/>
      <c r="BF269" s="17"/>
      <c r="BG269" s="17"/>
      <c r="BH269" s="17"/>
      <c r="BI269" s="17"/>
      <c r="BJ269" s="17"/>
      <c r="BK269" s="17"/>
      <c r="BL269" s="17"/>
      <c r="BM269" s="17"/>
    </row>
    <row r="270" spans="4:65" hidden="1" x14ac:dyDescent="0.2">
      <c r="D270" s="14"/>
      <c r="BA270" s="17"/>
      <c r="BB270" s="17"/>
      <c r="BC270" s="17"/>
      <c r="BD270" s="17"/>
      <c r="BE270" s="17"/>
      <c r="BF270" s="17"/>
      <c r="BG270" s="17"/>
      <c r="BH270" s="17"/>
      <c r="BI270" s="17"/>
      <c r="BJ270" s="17"/>
      <c r="BK270" s="17"/>
      <c r="BL270" s="17"/>
      <c r="BM270" s="17"/>
    </row>
    <row r="271" spans="4:65" hidden="1" x14ac:dyDescent="0.2">
      <c r="D271" s="14"/>
      <c r="BA271" s="17"/>
      <c r="BB271" s="17"/>
      <c r="BC271" s="17"/>
      <c r="BD271" s="17"/>
      <c r="BE271" s="17"/>
      <c r="BF271" s="17"/>
      <c r="BG271" s="17"/>
      <c r="BH271" s="17"/>
      <c r="BI271" s="17"/>
      <c r="BJ271" s="17"/>
      <c r="BK271" s="17"/>
      <c r="BL271" s="17"/>
      <c r="BM271" s="17"/>
    </row>
    <row r="272" spans="4:65" hidden="1" x14ac:dyDescent="0.2">
      <c r="D272" s="14"/>
      <c r="BA272" s="17"/>
      <c r="BB272" s="17"/>
      <c r="BC272" s="17"/>
      <c r="BD272" s="17"/>
      <c r="BE272" s="17"/>
      <c r="BF272" s="17"/>
      <c r="BG272" s="17"/>
      <c r="BH272" s="17"/>
      <c r="BI272" s="17"/>
      <c r="BJ272" s="17"/>
      <c r="BK272" s="17"/>
      <c r="BL272" s="17"/>
      <c r="BM272" s="17"/>
    </row>
    <row r="273" spans="4:65" hidden="1" x14ac:dyDescent="0.2">
      <c r="D273" s="14"/>
      <c r="BA273" s="17"/>
      <c r="BB273" s="17"/>
      <c r="BC273" s="17"/>
      <c r="BD273" s="17"/>
      <c r="BE273" s="17"/>
      <c r="BF273" s="17"/>
      <c r="BG273" s="17"/>
      <c r="BH273" s="17"/>
      <c r="BI273" s="17"/>
      <c r="BJ273" s="17"/>
      <c r="BK273" s="17"/>
      <c r="BL273" s="17"/>
      <c r="BM273" s="17"/>
    </row>
    <row r="274" spans="4:65" hidden="1" x14ac:dyDescent="0.2">
      <c r="D274" s="14"/>
      <c r="BA274" s="17"/>
      <c r="BB274" s="17"/>
      <c r="BC274" s="17"/>
      <c r="BD274" s="17"/>
      <c r="BE274" s="17"/>
      <c r="BF274" s="17"/>
      <c r="BG274" s="17"/>
      <c r="BH274" s="17"/>
      <c r="BI274" s="17"/>
      <c r="BJ274" s="17"/>
      <c r="BK274" s="17"/>
      <c r="BL274" s="17"/>
      <c r="BM274" s="17"/>
    </row>
    <row r="275" spans="4:65" ht="15.75" hidden="1" x14ac:dyDescent="0.25">
      <c r="D275" s="70"/>
      <c r="BA275" s="17"/>
      <c r="BB275" s="17"/>
      <c r="BC275" s="17"/>
      <c r="BD275" s="17"/>
      <c r="BE275" s="17"/>
      <c r="BF275" s="17"/>
      <c r="BG275" s="17"/>
      <c r="BH275" s="17"/>
      <c r="BI275" s="17"/>
      <c r="BJ275" s="17"/>
      <c r="BK275" s="17"/>
      <c r="BL275" s="17"/>
      <c r="BM275" s="17"/>
    </row>
    <row r="276" spans="4:65" hidden="1" x14ac:dyDescent="0.2">
      <c r="D276" s="14"/>
      <c r="BA276" s="17"/>
      <c r="BB276" s="17"/>
      <c r="BC276" s="17"/>
      <c r="BD276" s="17"/>
      <c r="BE276" s="17"/>
      <c r="BF276" s="17"/>
      <c r="BG276" s="17"/>
      <c r="BH276" s="17"/>
      <c r="BI276" s="17"/>
      <c r="BJ276" s="17"/>
      <c r="BK276" s="17"/>
      <c r="BL276" s="17"/>
      <c r="BM276" s="17"/>
    </row>
    <row r="277" spans="4:65" hidden="1" x14ac:dyDescent="0.2">
      <c r="D277" s="14"/>
      <c r="BA277" s="17"/>
      <c r="BB277" s="17"/>
      <c r="BC277" s="17"/>
      <c r="BD277" s="17"/>
      <c r="BE277" s="17"/>
      <c r="BF277" s="17"/>
      <c r="BG277" s="17"/>
      <c r="BH277" s="17"/>
      <c r="BI277" s="17"/>
      <c r="BJ277" s="17"/>
      <c r="BK277" s="17"/>
      <c r="BL277" s="17"/>
      <c r="BM277" s="17"/>
    </row>
    <row r="278" spans="4:65" hidden="1" x14ac:dyDescent="0.2">
      <c r="D278" s="14"/>
      <c r="BA278" s="17"/>
      <c r="BB278" s="17"/>
      <c r="BC278" s="17"/>
      <c r="BD278" s="17"/>
      <c r="BE278" s="17"/>
      <c r="BF278" s="17"/>
      <c r="BG278" s="17"/>
      <c r="BH278" s="17"/>
      <c r="BI278" s="17"/>
      <c r="BJ278" s="17"/>
      <c r="BK278" s="17"/>
      <c r="BL278" s="17"/>
      <c r="BM278" s="17"/>
    </row>
    <row r="279" spans="4:65" hidden="1" x14ac:dyDescent="0.2">
      <c r="D279" s="14"/>
      <c r="BA279" s="17"/>
      <c r="BB279" s="17"/>
      <c r="BC279" s="17"/>
      <c r="BD279" s="17"/>
      <c r="BE279" s="17"/>
      <c r="BF279" s="17"/>
      <c r="BG279" s="17"/>
      <c r="BH279" s="17"/>
      <c r="BI279" s="17"/>
      <c r="BJ279" s="17"/>
      <c r="BK279" s="17"/>
      <c r="BL279" s="17"/>
      <c r="BM279" s="17"/>
    </row>
    <row r="280" spans="4:65" hidden="1" x14ac:dyDescent="0.2">
      <c r="D280" s="14"/>
      <c r="BA280" s="17"/>
      <c r="BB280" s="17"/>
      <c r="BC280" s="17"/>
      <c r="BD280" s="17"/>
      <c r="BE280" s="17"/>
      <c r="BF280" s="17"/>
      <c r="BG280" s="17"/>
      <c r="BH280" s="17"/>
      <c r="BI280" s="17"/>
      <c r="BJ280" s="17"/>
      <c r="BK280" s="17"/>
      <c r="BL280" s="17"/>
      <c r="BM280" s="17"/>
    </row>
    <row r="281" spans="4:65" hidden="1" x14ac:dyDescent="0.2">
      <c r="D281" s="14"/>
      <c r="BA281" s="17"/>
      <c r="BB281" s="17"/>
      <c r="BC281" s="17"/>
      <c r="BD281" s="17"/>
      <c r="BE281" s="17"/>
      <c r="BF281" s="17"/>
      <c r="BG281" s="17"/>
      <c r="BH281" s="17"/>
      <c r="BI281" s="17"/>
      <c r="BJ281" s="17"/>
      <c r="BK281" s="17"/>
      <c r="BL281" s="17"/>
      <c r="BM281" s="17"/>
    </row>
    <row r="282" spans="4:65" hidden="1" x14ac:dyDescent="0.2">
      <c r="D282" s="14"/>
      <c r="BA282" s="17"/>
      <c r="BB282" s="17"/>
      <c r="BC282" s="17"/>
      <c r="BD282" s="17"/>
      <c r="BE282" s="17"/>
      <c r="BF282" s="17"/>
      <c r="BG282" s="17"/>
      <c r="BH282" s="17"/>
      <c r="BI282" s="17"/>
      <c r="BJ282" s="17"/>
      <c r="BK282" s="17"/>
      <c r="BL282" s="17"/>
      <c r="BM282" s="17"/>
    </row>
    <row r="283" spans="4:65" hidden="1" x14ac:dyDescent="0.2">
      <c r="D283" s="14"/>
      <c r="BA283" s="17"/>
      <c r="BB283" s="17"/>
      <c r="BC283" s="17"/>
      <c r="BD283" s="17"/>
      <c r="BE283" s="17"/>
      <c r="BF283" s="17"/>
      <c r="BG283" s="17"/>
      <c r="BH283" s="17"/>
      <c r="BI283" s="17"/>
      <c r="BJ283" s="17"/>
      <c r="BK283" s="17"/>
      <c r="BL283" s="17"/>
      <c r="BM283" s="17"/>
    </row>
    <row r="284" spans="4:65" hidden="1" x14ac:dyDescent="0.2">
      <c r="D284" s="14"/>
      <c r="BA284" s="17"/>
      <c r="BB284" s="17"/>
      <c r="BC284" s="17"/>
      <c r="BD284" s="17"/>
      <c r="BE284" s="17"/>
      <c r="BF284" s="17"/>
      <c r="BG284" s="17"/>
      <c r="BH284" s="17"/>
      <c r="BI284" s="17"/>
      <c r="BJ284" s="17"/>
      <c r="BK284" s="17"/>
      <c r="BL284" s="17"/>
      <c r="BM284" s="17"/>
    </row>
    <row r="285" spans="4:65" hidden="1" x14ac:dyDescent="0.2">
      <c r="D285" s="14"/>
      <c r="BA285" s="17"/>
      <c r="BB285" s="17"/>
      <c r="BC285" s="17"/>
      <c r="BD285" s="17"/>
      <c r="BE285" s="17"/>
      <c r="BF285" s="17"/>
      <c r="BG285" s="17"/>
      <c r="BH285" s="17"/>
      <c r="BI285" s="17"/>
      <c r="BJ285" s="17"/>
      <c r="BK285" s="17"/>
      <c r="BL285" s="17"/>
      <c r="BM285" s="17"/>
    </row>
    <row r="286" spans="4:65" hidden="1" x14ac:dyDescent="0.2">
      <c r="D286" s="14"/>
      <c r="BA286" s="17"/>
      <c r="BB286" s="17"/>
      <c r="BC286" s="17"/>
      <c r="BD286" s="17"/>
      <c r="BE286" s="17"/>
      <c r="BF286" s="17"/>
      <c r="BG286" s="17"/>
      <c r="BH286" s="17"/>
      <c r="BI286" s="17"/>
      <c r="BJ286" s="17"/>
      <c r="BK286" s="17"/>
      <c r="BL286" s="17"/>
      <c r="BM286" s="17"/>
    </row>
    <row r="287" spans="4:65" hidden="1" x14ac:dyDescent="0.2">
      <c r="D287" s="14"/>
      <c r="BA287" s="17"/>
      <c r="BB287" s="17"/>
      <c r="BC287" s="17"/>
      <c r="BD287" s="17"/>
      <c r="BE287" s="17"/>
      <c r="BF287" s="17"/>
      <c r="BG287" s="17"/>
      <c r="BH287" s="17"/>
      <c r="BI287" s="17"/>
      <c r="BJ287" s="17"/>
      <c r="BK287" s="17"/>
      <c r="BL287" s="17"/>
      <c r="BM287" s="17"/>
    </row>
    <row r="288" spans="4:65" hidden="1" x14ac:dyDescent="0.2">
      <c r="D288" s="14"/>
      <c r="BA288" s="17"/>
      <c r="BB288" s="17"/>
      <c r="BC288" s="17"/>
      <c r="BD288" s="17"/>
      <c r="BE288" s="17"/>
      <c r="BF288" s="17"/>
      <c r="BG288" s="17"/>
      <c r="BH288" s="17"/>
      <c r="BI288" s="17"/>
      <c r="BJ288" s="17"/>
      <c r="BK288" s="17"/>
      <c r="BL288" s="17"/>
      <c r="BM288" s="17"/>
    </row>
    <row r="289" spans="4:65" hidden="1" x14ac:dyDescent="0.2">
      <c r="D289" s="50"/>
      <c r="BA289" s="17"/>
      <c r="BB289" s="17"/>
      <c r="BC289" s="17"/>
      <c r="BD289" s="17"/>
      <c r="BE289" s="17"/>
      <c r="BF289" s="17"/>
      <c r="BG289" s="17"/>
      <c r="BH289" s="17"/>
      <c r="BI289" s="17"/>
      <c r="BJ289" s="17"/>
      <c r="BK289" s="17"/>
      <c r="BL289" s="17"/>
      <c r="BM289" s="17"/>
    </row>
    <row r="290" spans="4:65" ht="15.75" hidden="1" x14ac:dyDescent="0.25">
      <c r="D290" s="70"/>
      <c r="BA290" s="17"/>
      <c r="BB290" s="17"/>
      <c r="BC290" s="17"/>
      <c r="BD290" s="17"/>
      <c r="BE290" s="17"/>
      <c r="BF290" s="17"/>
      <c r="BG290" s="17"/>
      <c r="BH290" s="17"/>
      <c r="BI290" s="17"/>
      <c r="BJ290" s="17"/>
      <c r="BK290" s="17"/>
      <c r="BL290" s="17"/>
      <c r="BM290" s="17"/>
    </row>
    <row r="291" spans="4:65" hidden="1" x14ac:dyDescent="0.2">
      <c r="D291" s="14"/>
      <c r="BA291" s="17"/>
      <c r="BB291" s="17"/>
      <c r="BC291" s="17"/>
      <c r="BD291" s="17"/>
      <c r="BE291" s="17"/>
      <c r="BF291" s="17"/>
      <c r="BG291" s="17"/>
      <c r="BH291" s="17"/>
      <c r="BI291" s="17"/>
      <c r="BJ291" s="17"/>
      <c r="BK291" s="17"/>
      <c r="BL291" s="17"/>
      <c r="BM291" s="17"/>
    </row>
    <row r="292" spans="4:65" hidden="1" x14ac:dyDescent="0.2">
      <c r="D292" s="14"/>
      <c r="BA292" s="17"/>
      <c r="BB292" s="17"/>
      <c r="BC292" s="17"/>
      <c r="BD292" s="17"/>
      <c r="BE292" s="17"/>
      <c r="BF292" s="17"/>
      <c r="BG292" s="17"/>
      <c r="BH292" s="17"/>
      <c r="BI292" s="17"/>
      <c r="BJ292" s="17"/>
      <c r="BK292" s="17"/>
      <c r="BL292" s="17"/>
      <c r="BM292" s="17"/>
    </row>
    <row r="293" spans="4:65" hidden="1" x14ac:dyDescent="0.2">
      <c r="D293" s="14"/>
      <c r="BA293" s="17"/>
      <c r="BB293" s="17"/>
      <c r="BC293" s="17"/>
      <c r="BD293" s="17"/>
      <c r="BE293" s="17"/>
      <c r="BF293" s="17"/>
      <c r="BG293" s="17"/>
      <c r="BH293" s="17"/>
      <c r="BI293" s="17"/>
      <c r="BJ293" s="17"/>
      <c r="BK293" s="17"/>
      <c r="BL293" s="17"/>
      <c r="BM293" s="17"/>
    </row>
    <row r="294" spans="4:65" hidden="1" x14ac:dyDescent="0.2">
      <c r="D294" s="14"/>
      <c r="BA294" s="17"/>
      <c r="BB294" s="17"/>
      <c r="BC294" s="17"/>
      <c r="BD294" s="17"/>
      <c r="BE294" s="17"/>
      <c r="BF294" s="17"/>
      <c r="BG294" s="17"/>
      <c r="BH294" s="17"/>
      <c r="BI294" s="17"/>
      <c r="BJ294" s="17"/>
      <c r="BK294" s="17"/>
      <c r="BL294" s="17"/>
      <c r="BM294" s="17"/>
    </row>
    <row r="295" spans="4:65" hidden="1" x14ac:dyDescent="0.2">
      <c r="D295" s="14"/>
      <c r="BA295" s="17"/>
      <c r="BB295" s="17"/>
      <c r="BC295" s="17"/>
      <c r="BD295" s="17"/>
      <c r="BE295" s="17"/>
      <c r="BF295" s="17"/>
      <c r="BG295" s="17"/>
      <c r="BH295" s="17"/>
      <c r="BI295" s="17"/>
      <c r="BJ295" s="17"/>
      <c r="BK295" s="17"/>
      <c r="BL295" s="17"/>
      <c r="BM295" s="17"/>
    </row>
    <row r="296" spans="4:65" ht="15" hidden="1" customHeight="1" x14ac:dyDescent="0.2">
      <c r="D296" s="14"/>
      <c r="BA296" s="17"/>
      <c r="BB296" s="17"/>
      <c r="BC296" s="17"/>
      <c r="BD296" s="17"/>
      <c r="BE296" s="17"/>
      <c r="BF296" s="17"/>
      <c r="BG296" s="17"/>
      <c r="BH296" s="17"/>
      <c r="BI296" s="17"/>
      <c r="BJ296" s="17"/>
      <c r="BK296" s="17"/>
      <c r="BL296" s="17"/>
      <c r="BM296" s="17"/>
    </row>
    <row r="297" spans="4:65" hidden="1" x14ac:dyDescent="0.2">
      <c r="D297" s="14"/>
      <c r="BA297" s="17"/>
      <c r="BB297" s="17"/>
      <c r="BC297" s="17"/>
      <c r="BD297" s="17"/>
      <c r="BE297" s="17"/>
      <c r="BF297" s="17"/>
      <c r="BG297" s="17"/>
      <c r="BH297" s="17"/>
      <c r="BI297" s="17"/>
      <c r="BJ297" s="17"/>
      <c r="BK297" s="17"/>
      <c r="BL297" s="17"/>
      <c r="BM297" s="17"/>
    </row>
    <row r="298" spans="4:65" hidden="1" x14ac:dyDescent="0.2">
      <c r="D298" s="14"/>
      <c r="BA298" s="17"/>
      <c r="BB298" s="17"/>
      <c r="BC298" s="17"/>
      <c r="BD298" s="17"/>
      <c r="BE298" s="17"/>
      <c r="BF298" s="17"/>
      <c r="BG298" s="17"/>
      <c r="BH298" s="17"/>
      <c r="BI298" s="17"/>
      <c r="BJ298" s="17"/>
      <c r="BK298" s="17"/>
      <c r="BL298" s="17"/>
      <c r="BM298" s="17"/>
    </row>
    <row r="299" spans="4:65" hidden="1" x14ac:dyDescent="0.2">
      <c r="D299" s="14"/>
      <c r="BA299" s="17"/>
      <c r="BB299" s="17"/>
      <c r="BC299" s="17"/>
      <c r="BD299" s="17"/>
      <c r="BE299" s="17"/>
      <c r="BF299" s="17"/>
      <c r="BG299" s="17"/>
      <c r="BH299" s="17"/>
      <c r="BI299" s="17"/>
      <c r="BJ299" s="17"/>
      <c r="BK299" s="17"/>
      <c r="BL299" s="17"/>
      <c r="BM299" s="17"/>
    </row>
    <row r="300" spans="4:65" hidden="1" x14ac:dyDescent="0.2">
      <c r="D300" s="14"/>
      <c r="BA300" s="17"/>
      <c r="BB300" s="17"/>
      <c r="BC300" s="17"/>
      <c r="BD300" s="17"/>
      <c r="BE300" s="17"/>
      <c r="BF300" s="17"/>
      <c r="BG300" s="17"/>
      <c r="BH300" s="17"/>
      <c r="BI300" s="17"/>
      <c r="BJ300" s="17"/>
      <c r="BK300" s="17"/>
      <c r="BL300" s="17"/>
      <c r="BM300" s="17"/>
    </row>
    <row r="301" spans="4:65" hidden="1" x14ac:dyDescent="0.2">
      <c r="D301" s="14"/>
      <c r="BA301" s="17"/>
      <c r="BB301" s="17"/>
      <c r="BC301" s="17"/>
      <c r="BD301" s="17"/>
      <c r="BE301" s="17"/>
      <c r="BF301" s="17"/>
      <c r="BG301" s="17"/>
      <c r="BH301" s="17"/>
      <c r="BI301" s="17"/>
      <c r="BJ301" s="17"/>
      <c r="BK301" s="17"/>
      <c r="BL301" s="17"/>
      <c r="BM301" s="17"/>
    </row>
    <row r="302" spans="4:65" hidden="1" x14ac:dyDescent="0.2">
      <c r="D302" s="14"/>
      <c r="BA302" s="17"/>
      <c r="BB302" s="17"/>
      <c r="BC302" s="17"/>
      <c r="BD302" s="17"/>
      <c r="BE302" s="17"/>
      <c r="BF302" s="17"/>
      <c r="BG302" s="17"/>
      <c r="BH302" s="17"/>
      <c r="BI302" s="17"/>
      <c r="BJ302" s="17"/>
      <c r="BK302" s="17"/>
      <c r="BL302" s="17"/>
      <c r="BM302" s="17"/>
    </row>
    <row r="303" spans="4:65" x14ac:dyDescent="0.2">
      <c r="D303" s="14"/>
      <c r="BA303" s="17"/>
      <c r="BB303" s="17"/>
      <c r="BC303" s="17"/>
      <c r="BD303" s="17"/>
      <c r="BE303" s="17"/>
      <c r="BF303" s="17"/>
      <c r="BG303" s="17"/>
      <c r="BH303" s="17"/>
      <c r="BI303" s="17"/>
      <c r="BJ303" s="17"/>
      <c r="BK303" s="17"/>
      <c r="BL303" s="17"/>
      <c r="BM303" s="17"/>
    </row>
    <row r="304" spans="4:65" x14ac:dyDescent="0.2">
      <c r="D304" s="14"/>
      <c r="BA304" s="17"/>
      <c r="BB304" s="17"/>
      <c r="BC304" s="17"/>
      <c r="BD304" s="17"/>
      <c r="BE304" s="17"/>
      <c r="BF304" s="17"/>
      <c r="BG304" s="17"/>
      <c r="BH304" s="17"/>
      <c r="BI304" s="17"/>
      <c r="BJ304" s="17"/>
      <c r="BK304" s="17"/>
      <c r="BL304" s="17"/>
      <c r="BM304" s="17"/>
    </row>
    <row r="305" spans="4:65" x14ac:dyDescent="0.2">
      <c r="BA305" s="17"/>
      <c r="BB305" s="17"/>
      <c r="BC305" s="17"/>
      <c r="BD305" s="17"/>
      <c r="BE305" s="17"/>
      <c r="BF305" s="17"/>
      <c r="BG305" s="17"/>
      <c r="BH305" s="17"/>
      <c r="BI305" s="17"/>
      <c r="BJ305" s="17"/>
      <c r="BK305" s="17"/>
      <c r="BL305" s="17"/>
      <c r="BM305" s="17"/>
    </row>
    <row r="306" spans="4:65" ht="16.5" thickBot="1" x14ac:dyDescent="0.3">
      <c r="D306" s="52" t="s">
        <v>838</v>
      </c>
      <c r="E306" s="22"/>
      <c r="F306" s="22"/>
      <c r="G306" s="22"/>
      <c r="H306" s="22"/>
      <c r="I306" s="22"/>
      <c r="J306" s="22"/>
      <c r="K306" s="22"/>
      <c r="L306" s="22"/>
      <c r="M306" s="22"/>
      <c r="N306" s="22"/>
      <c r="O306" s="22"/>
      <c r="P306" s="22"/>
      <c r="Q306" s="22"/>
      <c r="R306" s="22"/>
      <c r="S306" s="22"/>
      <c r="T306" s="22"/>
      <c r="U306" s="22"/>
      <c r="V306" s="22"/>
      <c r="W306" s="22"/>
      <c r="X306" s="22"/>
      <c r="BA306" s="17"/>
      <c r="BB306" s="17"/>
      <c r="BC306" s="17"/>
      <c r="BD306" s="17"/>
      <c r="BE306" s="17"/>
      <c r="BF306" s="17"/>
      <c r="BG306" s="17"/>
      <c r="BH306" s="17"/>
      <c r="BI306" s="17"/>
      <c r="BJ306" s="17"/>
      <c r="BK306" s="17"/>
      <c r="BL306" s="17"/>
      <c r="BM306" s="17"/>
    </row>
    <row r="307" spans="4:65" ht="16.5" thickBot="1" x14ac:dyDescent="0.3">
      <c r="D307" s="12"/>
      <c r="BA307" s="17"/>
      <c r="BB307" s="17"/>
      <c r="BC307" s="17"/>
      <c r="BD307" s="17"/>
      <c r="BE307" s="17"/>
      <c r="BF307" s="17"/>
      <c r="BG307" s="17"/>
      <c r="BH307" s="17"/>
      <c r="BI307" s="17"/>
      <c r="BJ307" s="17"/>
      <c r="BK307" s="17"/>
      <c r="BL307" s="17"/>
      <c r="BM307" s="17"/>
    </row>
    <row r="308" spans="4:65" ht="15.75" x14ac:dyDescent="0.25">
      <c r="D308" s="423" t="s">
        <v>422</v>
      </c>
      <c r="E308" s="424"/>
      <c r="F308" s="424"/>
      <c r="G308" s="427" t="s">
        <v>428</v>
      </c>
      <c r="H308" s="428" t="s">
        <v>161</v>
      </c>
      <c r="I308" s="593" t="s">
        <v>424</v>
      </c>
      <c r="J308" s="23"/>
      <c r="K308" s="12"/>
      <c r="BA308" s="17"/>
      <c r="BB308" s="17"/>
      <c r="BC308" s="17"/>
      <c r="BD308" s="17"/>
      <c r="BE308" s="17"/>
      <c r="BF308" s="17"/>
      <c r="BG308" s="17"/>
      <c r="BH308" s="17"/>
      <c r="BI308" s="17"/>
      <c r="BJ308" s="17"/>
      <c r="BK308" s="17"/>
      <c r="BL308" s="17"/>
      <c r="BM308" s="17"/>
    </row>
    <row r="309" spans="4:65" ht="16.5" thickBot="1" x14ac:dyDescent="0.25">
      <c r="D309" s="425"/>
      <c r="E309" s="426"/>
      <c r="F309" s="426"/>
      <c r="G309" s="421"/>
      <c r="H309" s="422"/>
      <c r="I309" s="594" t="s">
        <v>428</v>
      </c>
      <c r="J309" s="20" t="s">
        <v>161</v>
      </c>
      <c r="N309" s="6" t="s">
        <v>839</v>
      </c>
      <c r="BA309" s="17"/>
      <c r="BB309" s="17"/>
      <c r="BC309" s="17"/>
      <c r="BD309" s="17"/>
      <c r="BE309" s="17"/>
      <c r="BF309" s="17"/>
      <c r="BG309" s="17"/>
      <c r="BH309" s="17"/>
      <c r="BI309" s="17"/>
      <c r="BJ309" s="17"/>
      <c r="BK309" s="17"/>
      <c r="BL309" s="17"/>
      <c r="BM309" s="17"/>
    </row>
    <row r="310" spans="4:65" ht="15" customHeight="1" x14ac:dyDescent="0.2">
      <c r="D310" s="1736" t="s">
        <v>676</v>
      </c>
      <c r="E310" s="1737"/>
      <c r="F310" s="1737"/>
      <c r="G310" s="1419">
        <f>IF(i_sc_util_num=5,0,-0.1)</f>
        <v>-0.1</v>
      </c>
      <c r="H310" s="1420">
        <f>ABS(i_SE_util*G310)</f>
        <v>1.0000000000000002E-2</v>
      </c>
      <c r="I310" s="1421">
        <v>3</v>
      </c>
      <c r="J310" s="1422">
        <v>0.6</v>
      </c>
      <c r="N310" s="6" t="s">
        <v>840</v>
      </c>
    </row>
    <row r="311" spans="4:65" ht="15" customHeight="1" x14ac:dyDescent="0.2">
      <c r="D311" s="1738" t="s">
        <v>841</v>
      </c>
      <c r="E311" s="1739"/>
      <c r="F311" s="1739"/>
      <c r="G311" s="1423"/>
      <c r="H311" s="1424"/>
      <c r="I311" s="1425"/>
      <c r="J311" s="1426"/>
    </row>
    <row r="312" spans="4:65" x14ac:dyDescent="0.2">
      <c r="D312" s="272" t="str">
        <f t="array" ref="D312:D333">List_AEs_g3</f>
        <v>ALT increased</v>
      </c>
      <c r="E312" s="273"/>
      <c r="F312" s="273"/>
      <c r="G312" s="1427">
        <f t="shared" ref="G312:G323" si="84">IF(i_sc_util_num=5,0,-0.1)</f>
        <v>-0.1</v>
      </c>
      <c r="H312" s="1420">
        <f>ABS(i_SE_util*G312)</f>
        <v>1.0000000000000002E-2</v>
      </c>
      <c r="I312" s="1428">
        <v>3</v>
      </c>
      <c r="J312" s="1429">
        <v>0.6</v>
      </c>
      <c r="N312" s="6" t="s">
        <v>842</v>
      </c>
    </row>
    <row r="313" spans="4:65" x14ac:dyDescent="0.2">
      <c r="D313" s="1227" t="str">
        <v>Anaemia</v>
      </c>
      <c r="E313" s="273"/>
      <c r="F313" s="273"/>
      <c r="G313" s="1427">
        <f t="shared" si="84"/>
        <v>-0.1</v>
      </c>
      <c r="H313" s="1420">
        <f>ABS(i_SE_util*G313)</f>
        <v>1.0000000000000002E-2</v>
      </c>
      <c r="I313" s="1428">
        <v>3</v>
      </c>
      <c r="J313" s="1429">
        <v>0.6</v>
      </c>
      <c r="N313" s="6" t="s">
        <v>843</v>
      </c>
    </row>
    <row r="314" spans="4:65" x14ac:dyDescent="0.2">
      <c r="D314" s="1227" t="str">
        <v>Decreased appetite</v>
      </c>
      <c r="E314" s="273"/>
      <c r="F314" s="273"/>
      <c r="G314" s="1427">
        <f t="shared" si="84"/>
        <v>-0.1</v>
      </c>
      <c r="H314" s="1420">
        <f>ABS(i_SE_util*G314)</f>
        <v>1.0000000000000002E-2</v>
      </c>
      <c r="I314" s="1428">
        <v>3</v>
      </c>
      <c r="J314" s="1429">
        <v>0.6</v>
      </c>
      <c r="N314" s="6" t="s">
        <v>844</v>
      </c>
    </row>
    <row r="315" spans="4:65" x14ac:dyDescent="0.2">
      <c r="D315" s="1227" t="str">
        <v>Diarrhoea _TKI induced</v>
      </c>
      <c r="E315" s="273"/>
      <c r="F315" s="273"/>
      <c r="G315" s="1427">
        <f t="shared" si="84"/>
        <v>-0.1</v>
      </c>
      <c r="H315" s="1420">
        <f>ABS(i_SE_util*G315)</f>
        <v>1.0000000000000002E-2</v>
      </c>
      <c r="I315" s="1428">
        <v>3</v>
      </c>
      <c r="J315" s="1429">
        <v>0.6</v>
      </c>
      <c r="N315" s="6" t="s">
        <v>845</v>
      </c>
    </row>
    <row r="316" spans="4:65" x14ac:dyDescent="0.2">
      <c r="D316" s="1227" t="str">
        <v>Diarrhoea _IO induced</v>
      </c>
      <c r="E316" s="273"/>
      <c r="F316" s="273"/>
      <c r="G316" s="1427">
        <f t="shared" si="84"/>
        <v>-0.1</v>
      </c>
      <c r="H316" s="1420">
        <f t="shared" ref="H316:H333" si="85">ABS(i_SE_util*G316)</f>
        <v>1.0000000000000002E-2</v>
      </c>
      <c r="I316" s="1428">
        <v>3</v>
      </c>
      <c r="J316" s="1429">
        <v>0.6</v>
      </c>
      <c r="N316" s="6" t="s">
        <v>845</v>
      </c>
    </row>
    <row r="317" spans="4:65" x14ac:dyDescent="0.2">
      <c r="D317" s="1227" t="str">
        <v>Fatigue</v>
      </c>
      <c r="E317" s="273"/>
      <c r="F317" s="273"/>
      <c r="G317" s="1427">
        <f t="shared" si="84"/>
        <v>-0.1</v>
      </c>
      <c r="H317" s="1420">
        <f t="shared" si="85"/>
        <v>1.0000000000000002E-2</v>
      </c>
      <c r="I317" s="1428">
        <v>3</v>
      </c>
      <c r="J317" s="1429">
        <v>0.6</v>
      </c>
      <c r="N317" s="6" t="s">
        <v>846</v>
      </c>
    </row>
    <row r="318" spans="4:65" x14ac:dyDescent="0.2">
      <c r="D318" s="1227" t="str">
        <v>HFS</v>
      </c>
      <c r="E318" s="273"/>
      <c r="F318" s="273"/>
      <c r="G318" s="1427">
        <f t="shared" si="84"/>
        <v>-0.1</v>
      </c>
      <c r="H318" s="1420">
        <f t="shared" si="85"/>
        <v>1.0000000000000002E-2</v>
      </c>
      <c r="I318" s="1428">
        <v>3</v>
      </c>
      <c r="J318" s="1429">
        <v>0.6</v>
      </c>
      <c r="N318" s="6" t="s">
        <v>843</v>
      </c>
    </row>
    <row r="319" spans="4:65" x14ac:dyDescent="0.2">
      <c r="D319" s="1227" t="str">
        <v>Hypertension</v>
      </c>
      <c r="E319" s="273"/>
      <c r="F319" s="273"/>
      <c r="G319" s="1427">
        <f t="shared" si="84"/>
        <v>-0.1</v>
      </c>
      <c r="H319" s="1420">
        <f t="shared" si="85"/>
        <v>1.0000000000000002E-2</v>
      </c>
      <c r="I319" s="1428">
        <v>3</v>
      </c>
      <c r="J319" s="1429">
        <v>0.6</v>
      </c>
      <c r="N319" s="6" t="s">
        <v>843</v>
      </c>
      <c r="BA319" s="1006" t="s">
        <v>451</v>
      </c>
      <c r="BB319" s="1006" t="s">
        <v>847</v>
      </c>
      <c r="BC319" s="1006" t="s">
        <v>848</v>
      </c>
      <c r="BE319" s="1228" t="s">
        <v>451</v>
      </c>
      <c r="BF319" s="1228" t="s">
        <v>455</v>
      </c>
      <c r="BG319" s="1228" t="s">
        <v>456</v>
      </c>
    </row>
    <row r="320" spans="4:65" ht="15" customHeight="1" x14ac:dyDescent="0.2">
      <c r="D320" s="1227" t="str">
        <v>Hypertriglyceridemia</v>
      </c>
      <c r="E320" s="273"/>
      <c r="F320" s="273"/>
      <c r="G320" s="1427">
        <f t="shared" si="84"/>
        <v>-0.1</v>
      </c>
      <c r="H320" s="1420">
        <f t="shared" si="85"/>
        <v>1.0000000000000002E-2</v>
      </c>
      <c r="I320" s="1428">
        <v>3</v>
      </c>
      <c r="J320" s="1429">
        <v>0.6</v>
      </c>
      <c r="N320" s="6" t="s">
        <v>842</v>
      </c>
      <c r="BA320" s="17" t="str">
        <f>"G3+ "&amp;D312</f>
        <v>G3+ ALT increased</v>
      </c>
      <c r="BB320" s="17">
        <f t="shared" ref="BB320:BB341" si="86">IF(i_double_AE_impact=1,2*G312,G312)</f>
        <v>-0.1</v>
      </c>
      <c r="BC320" s="17">
        <f t="shared" ref="BC320:BC341" si="87">IF(ABS(i_SE_util*BB320)&lt;&gt;ABS(H312),ABS(H312),ABS(i_SE_util*BB320))</f>
        <v>1.0000000000000002E-2</v>
      </c>
      <c r="BE320" s="950" t="str">
        <f t="shared" ref="BE320:BE341" si="88">BA320</f>
        <v>G3+ ALT increased</v>
      </c>
      <c r="BF320" s="951">
        <f t="shared" ref="BF320:BF341" si="89">I312</f>
        <v>3</v>
      </c>
      <c r="BG320" s="951">
        <f t="shared" ref="BG320:BG341" si="90">J312</f>
        <v>0.6</v>
      </c>
    </row>
    <row r="321" spans="4:59" ht="15" customHeight="1" x14ac:dyDescent="0.2">
      <c r="D321" s="1227" t="str">
        <v>Hyponatraemia</v>
      </c>
      <c r="E321" s="1229"/>
      <c r="F321" s="273"/>
      <c r="G321" s="1427">
        <f t="shared" si="84"/>
        <v>-0.1</v>
      </c>
      <c r="H321" s="1420">
        <f t="shared" si="85"/>
        <v>1.0000000000000002E-2</v>
      </c>
      <c r="I321" s="1428">
        <v>3</v>
      </c>
      <c r="J321" s="1429">
        <v>0.6</v>
      </c>
      <c r="N321" s="6" t="s">
        <v>843</v>
      </c>
      <c r="BA321" s="17" t="str">
        <f t="shared" ref="BA321:BA341" si="91">"G3+ "&amp;D313</f>
        <v>G3+ Anaemia</v>
      </c>
      <c r="BB321" s="17">
        <f t="shared" si="86"/>
        <v>-0.1</v>
      </c>
      <c r="BC321" s="17">
        <f t="shared" si="87"/>
        <v>1.0000000000000002E-2</v>
      </c>
      <c r="BE321" s="950" t="str">
        <f t="shared" si="88"/>
        <v>G3+ Anaemia</v>
      </c>
      <c r="BF321" s="951">
        <f t="shared" si="89"/>
        <v>3</v>
      </c>
      <c r="BG321" s="951">
        <f t="shared" si="90"/>
        <v>0.6</v>
      </c>
    </row>
    <row r="322" spans="4:59" ht="15" customHeight="1" x14ac:dyDescent="0.2">
      <c r="D322" s="1227" t="str">
        <v>Hypophosphatemia</v>
      </c>
      <c r="E322" s="273"/>
      <c r="F322" s="273"/>
      <c r="G322" s="1427">
        <f t="shared" si="84"/>
        <v>-0.1</v>
      </c>
      <c r="H322" s="1420">
        <f t="shared" ref="H322" si="92">ABS(i_SE_util*G322)</f>
        <v>1.0000000000000002E-2</v>
      </c>
      <c r="I322" s="1428">
        <v>3</v>
      </c>
      <c r="J322" s="1429">
        <v>0.6</v>
      </c>
      <c r="N322" s="6" t="s">
        <v>849</v>
      </c>
      <c r="BA322" s="17" t="str">
        <f t="shared" si="91"/>
        <v>G3+ Decreased appetite</v>
      </c>
      <c r="BB322" s="17">
        <f t="shared" si="86"/>
        <v>-0.1</v>
      </c>
      <c r="BC322" s="17">
        <f t="shared" si="87"/>
        <v>1.0000000000000002E-2</v>
      </c>
      <c r="BE322" s="950" t="str">
        <f t="shared" si="88"/>
        <v>G3+ Decreased appetite</v>
      </c>
      <c r="BF322" s="951">
        <f t="shared" si="89"/>
        <v>3</v>
      </c>
      <c r="BG322" s="951">
        <f t="shared" si="90"/>
        <v>0.6</v>
      </c>
    </row>
    <row r="323" spans="4:59" ht="15" customHeight="1" x14ac:dyDescent="0.2">
      <c r="D323" s="1230" t="str">
        <v>Increase in lipase</v>
      </c>
      <c r="E323" s="762"/>
      <c r="F323" s="762"/>
      <c r="G323" s="1427">
        <f t="shared" si="84"/>
        <v>-0.1</v>
      </c>
      <c r="H323" s="1420">
        <f t="shared" si="85"/>
        <v>1.0000000000000002E-2</v>
      </c>
      <c r="I323" s="1428">
        <v>3</v>
      </c>
      <c r="J323" s="1429">
        <v>0.6</v>
      </c>
      <c r="N323" s="6" t="s">
        <v>842</v>
      </c>
      <c r="BA323" s="17" t="str">
        <f t="shared" si="91"/>
        <v>G3+ Diarrhoea _TKI induced</v>
      </c>
      <c r="BB323" s="17">
        <f t="shared" si="86"/>
        <v>-0.1</v>
      </c>
      <c r="BC323" s="17">
        <f t="shared" si="87"/>
        <v>1.0000000000000002E-2</v>
      </c>
      <c r="BE323" s="950" t="str">
        <f t="shared" si="88"/>
        <v>G3+ Diarrhoea _TKI induced</v>
      </c>
      <c r="BF323" s="951">
        <f t="shared" si="89"/>
        <v>3</v>
      </c>
      <c r="BG323" s="951">
        <f t="shared" si="90"/>
        <v>0.6</v>
      </c>
    </row>
    <row r="324" spans="4:59" ht="15" customHeight="1" x14ac:dyDescent="0.2">
      <c r="D324" s="1230" t="str">
        <v>Increased AST</v>
      </c>
      <c r="E324" s="762"/>
      <c r="F324" s="762"/>
      <c r="G324" s="1430">
        <f>G323</f>
        <v>-0.1</v>
      </c>
      <c r="H324" s="1420">
        <f t="shared" si="85"/>
        <v>1.0000000000000002E-2</v>
      </c>
      <c r="I324" s="1428">
        <v>3</v>
      </c>
      <c r="J324" s="1429">
        <v>0.6</v>
      </c>
      <c r="N324" s="6" t="s">
        <v>842</v>
      </c>
      <c r="BA324" s="17" t="str">
        <f t="shared" si="91"/>
        <v>G3+ Diarrhoea _IO induced</v>
      </c>
      <c r="BB324" s="17">
        <f t="shared" si="86"/>
        <v>-0.1</v>
      </c>
      <c r="BC324" s="17">
        <f t="shared" si="87"/>
        <v>1.0000000000000002E-2</v>
      </c>
      <c r="BE324" s="950" t="str">
        <f t="shared" si="88"/>
        <v>G3+ Diarrhoea _IO induced</v>
      </c>
      <c r="BF324" s="951">
        <f t="shared" si="89"/>
        <v>3</v>
      </c>
      <c r="BG324" s="951">
        <f t="shared" si="90"/>
        <v>0.6</v>
      </c>
    </row>
    <row r="325" spans="4:59" ht="15" customHeight="1" x14ac:dyDescent="0.2">
      <c r="D325" s="1230" t="str">
        <v>Leukopenia</v>
      </c>
      <c r="E325" s="762"/>
      <c r="F325" s="762"/>
      <c r="G325" s="1430">
        <f>G329</f>
        <v>-0.1</v>
      </c>
      <c r="H325" s="1420">
        <f t="shared" si="85"/>
        <v>1.0000000000000002E-2</v>
      </c>
      <c r="I325" s="1428">
        <v>3</v>
      </c>
      <c r="J325" s="1429">
        <v>0.6</v>
      </c>
      <c r="N325" s="6" t="s">
        <v>850</v>
      </c>
      <c r="BA325" s="17" t="str">
        <f t="shared" si="91"/>
        <v>G3+ Fatigue</v>
      </c>
      <c r="BB325" s="17">
        <f t="shared" si="86"/>
        <v>-0.1</v>
      </c>
      <c r="BC325" s="17">
        <f t="shared" si="87"/>
        <v>1.0000000000000002E-2</v>
      </c>
      <c r="BE325" s="950" t="str">
        <f t="shared" si="88"/>
        <v>G3+ Fatigue</v>
      </c>
      <c r="BF325" s="951">
        <f t="shared" si="89"/>
        <v>3</v>
      </c>
      <c r="BG325" s="951">
        <f t="shared" si="90"/>
        <v>0.6</v>
      </c>
    </row>
    <row r="326" spans="4:59" ht="15" customHeight="1" x14ac:dyDescent="0.2">
      <c r="D326" s="1230" t="str">
        <v>Lymphopenia</v>
      </c>
      <c r="E326" s="762"/>
      <c r="F326" s="762"/>
      <c r="G326" s="1430">
        <f>G329</f>
        <v>-0.1</v>
      </c>
      <c r="H326" s="1420">
        <f t="shared" si="85"/>
        <v>1.0000000000000002E-2</v>
      </c>
      <c r="I326" s="1428">
        <v>3</v>
      </c>
      <c r="J326" s="1429">
        <v>0.6</v>
      </c>
      <c r="N326" s="6" t="s">
        <v>850</v>
      </c>
      <c r="BA326" s="17" t="str">
        <f t="shared" si="91"/>
        <v>G3+ HFS</v>
      </c>
      <c r="BB326" s="17">
        <f t="shared" si="86"/>
        <v>-0.1</v>
      </c>
      <c r="BC326" s="17">
        <f t="shared" si="87"/>
        <v>1.0000000000000002E-2</v>
      </c>
      <c r="BE326" s="950" t="str">
        <f t="shared" si="88"/>
        <v>G3+ HFS</v>
      </c>
      <c r="BF326" s="951">
        <f t="shared" si="89"/>
        <v>3</v>
      </c>
      <c r="BG326" s="951">
        <f t="shared" si="90"/>
        <v>0.6</v>
      </c>
    </row>
    <row r="327" spans="4:59" ht="15" customHeight="1" x14ac:dyDescent="0.2">
      <c r="D327" s="1230" t="str">
        <v>Nausea</v>
      </c>
      <c r="E327" s="762"/>
      <c r="F327" s="762"/>
      <c r="G327" s="1430">
        <f>G317</f>
        <v>-0.1</v>
      </c>
      <c r="H327" s="1420">
        <f t="shared" si="85"/>
        <v>1.0000000000000002E-2</v>
      </c>
      <c r="I327" s="1428">
        <v>3</v>
      </c>
      <c r="J327" s="1429">
        <v>0.6</v>
      </c>
      <c r="N327" s="6" t="s">
        <v>844</v>
      </c>
      <c r="BA327" s="17" t="str">
        <f t="shared" si="91"/>
        <v>G3+ Hypertension</v>
      </c>
      <c r="BB327" s="17">
        <f t="shared" si="86"/>
        <v>-0.1</v>
      </c>
      <c r="BC327" s="17">
        <f t="shared" si="87"/>
        <v>1.0000000000000002E-2</v>
      </c>
      <c r="BE327" s="950" t="str">
        <f t="shared" si="88"/>
        <v>G3+ Hypertension</v>
      </c>
      <c r="BF327" s="951">
        <f t="shared" si="89"/>
        <v>3</v>
      </c>
      <c r="BG327" s="951">
        <f t="shared" si="90"/>
        <v>0.6</v>
      </c>
    </row>
    <row r="328" spans="4:59" ht="15" customHeight="1" x14ac:dyDescent="0.2">
      <c r="D328" s="1230" t="str">
        <v>Neutropenia</v>
      </c>
      <c r="E328" s="762"/>
      <c r="F328" s="762"/>
      <c r="G328" s="1430">
        <f>G318</f>
        <v>-0.1</v>
      </c>
      <c r="H328" s="1420">
        <f t="shared" si="85"/>
        <v>1.0000000000000002E-2</v>
      </c>
      <c r="I328" s="1428">
        <v>3</v>
      </c>
      <c r="J328" s="1429">
        <v>0.6</v>
      </c>
      <c r="N328" s="6" t="s">
        <v>849</v>
      </c>
      <c r="BA328" s="17" t="str">
        <f t="shared" si="91"/>
        <v>G3+ Hypertriglyceridemia</v>
      </c>
      <c r="BB328" s="17">
        <f t="shared" si="86"/>
        <v>-0.1</v>
      </c>
      <c r="BC328" s="17">
        <f t="shared" si="87"/>
        <v>1.0000000000000002E-2</v>
      </c>
      <c r="BE328" s="950" t="str">
        <f t="shared" si="88"/>
        <v>G3+ Hypertriglyceridemia</v>
      </c>
      <c r="BF328" s="951">
        <f t="shared" si="89"/>
        <v>3</v>
      </c>
      <c r="BG328" s="951">
        <f t="shared" si="90"/>
        <v>0.6</v>
      </c>
    </row>
    <row r="329" spans="4:59" ht="15" customHeight="1" x14ac:dyDescent="0.2">
      <c r="D329" s="1230" t="str">
        <v>Platelets count decreased</v>
      </c>
      <c r="E329" s="762"/>
      <c r="F329" s="762"/>
      <c r="G329" s="1430">
        <v>-0.1</v>
      </c>
      <c r="H329" s="1420">
        <f t="shared" si="85"/>
        <v>1.0000000000000002E-2</v>
      </c>
      <c r="I329" s="1428">
        <v>3</v>
      </c>
      <c r="J329" s="1429">
        <v>0.6</v>
      </c>
      <c r="N329" s="6" t="s">
        <v>851</v>
      </c>
      <c r="BA329" s="17" t="str">
        <f t="shared" si="91"/>
        <v>G3+ Hyponatraemia</v>
      </c>
      <c r="BB329" s="17">
        <f t="shared" si="86"/>
        <v>-0.1</v>
      </c>
      <c r="BC329" s="17">
        <f t="shared" si="87"/>
        <v>1.0000000000000002E-2</v>
      </c>
      <c r="BE329" s="950" t="str">
        <f t="shared" si="88"/>
        <v>G3+ Hyponatraemia</v>
      </c>
      <c r="BF329" s="951">
        <f t="shared" si="89"/>
        <v>3</v>
      </c>
      <c r="BG329" s="951">
        <f t="shared" si="90"/>
        <v>0.6</v>
      </c>
    </row>
    <row r="330" spans="4:59" ht="15" customHeight="1" x14ac:dyDescent="0.2">
      <c r="D330" s="1230" t="str">
        <v>Proteinuria</v>
      </c>
      <c r="E330" s="762"/>
      <c r="F330" s="762"/>
      <c r="G330" s="1430">
        <f>G323</f>
        <v>-0.1</v>
      </c>
      <c r="H330" s="1420">
        <f t="shared" si="85"/>
        <v>1.0000000000000002E-2</v>
      </c>
      <c r="I330" s="1428">
        <v>3</v>
      </c>
      <c r="J330" s="1429">
        <v>0.6</v>
      </c>
      <c r="N330" s="6" t="s">
        <v>842</v>
      </c>
      <c r="BA330" s="17" t="str">
        <f t="shared" si="91"/>
        <v>G3+ Hypophosphatemia</v>
      </c>
      <c r="BB330" s="17">
        <f t="shared" si="86"/>
        <v>-0.1</v>
      </c>
      <c r="BC330" s="17">
        <f t="shared" si="87"/>
        <v>1.0000000000000002E-2</v>
      </c>
      <c r="BE330" s="950" t="str">
        <f t="shared" si="88"/>
        <v>G3+ Hypophosphatemia</v>
      </c>
      <c r="BF330" s="951">
        <f t="shared" si="89"/>
        <v>3</v>
      </c>
      <c r="BG330" s="951">
        <f t="shared" si="90"/>
        <v>0.6</v>
      </c>
    </row>
    <row r="331" spans="4:59" ht="15" customHeight="1" x14ac:dyDescent="0.2">
      <c r="D331" s="1230" t="str">
        <v>Stomatitis</v>
      </c>
      <c r="E331" s="762"/>
      <c r="F331" s="762"/>
      <c r="G331" s="1430">
        <f>G317</f>
        <v>-0.1</v>
      </c>
      <c r="H331" s="1420">
        <f t="shared" si="85"/>
        <v>1.0000000000000002E-2</v>
      </c>
      <c r="I331" s="1428">
        <v>3</v>
      </c>
      <c r="J331" s="1429">
        <v>0.6</v>
      </c>
      <c r="N331" s="6" t="s">
        <v>844</v>
      </c>
      <c r="BA331" s="17" t="str">
        <f t="shared" si="91"/>
        <v>G3+ Increase in lipase</v>
      </c>
      <c r="BB331" s="17">
        <f t="shared" si="86"/>
        <v>-0.1</v>
      </c>
      <c r="BC331" s="17">
        <f t="shared" si="87"/>
        <v>1.0000000000000002E-2</v>
      </c>
      <c r="BE331" s="950" t="str">
        <f t="shared" si="88"/>
        <v>G3+ Increase in lipase</v>
      </c>
      <c r="BF331" s="951">
        <f t="shared" si="89"/>
        <v>3</v>
      </c>
      <c r="BG331" s="951">
        <f t="shared" si="90"/>
        <v>0.6</v>
      </c>
    </row>
    <row r="332" spans="4:59" ht="15" customHeight="1" x14ac:dyDescent="0.2">
      <c r="D332" s="1230" t="str">
        <v>Vomiting</v>
      </c>
      <c r="E332" s="762"/>
      <c r="F332" s="762"/>
      <c r="G332" s="1430">
        <f>G315</f>
        <v>-0.1</v>
      </c>
      <c r="H332" s="1431">
        <f>H315</f>
        <v>1.0000000000000002E-2</v>
      </c>
      <c r="I332" s="1432">
        <f>I315</f>
        <v>3</v>
      </c>
      <c r="J332" s="1429">
        <f>J315</f>
        <v>0.6</v>
      </c>
      <c r="N332" s="6" t="s">
        <v>852</v>
      </c>
      <c r="BA332" s="17" t="str">
        <f t="shared" si="91"/>
        <v>G3+ Increased AST</v>
      </c>
      <c r="BB332" s="17">
        <f t="shared" si="86"/>
        <v>-0.1</v>
      </c>
      <c r="BC332" s="17">
        <f t="shared" si="87"/>
        <v>1.0000000000000002E-2</v>
      </c>
      <c r="BE332" s="950" t="str">
        <f t="shared" si="88"/>
        <v>G3+ Increased AST</v>
      </c>
      <c r="BF332" s="951">
        <f t="shared" si="89"/>
        <v>3</v>
      </c>
      <c r="BG332" s="951">
        <f t="shared" si="90"/>
        <v>0.6</v>
      </c>
    </row>
    <row r="333" spans="4:59" ht="15" customHeight="1" x14ac:dyDescent="0.2">
      <c r="D333" s="1230" t="str">
        <v>Weight loss</v>
      </c>
      <c r="E333" s="762"/>
      <c r="F333" s="762"/>
      <c r="G333" s="1430">
        <f>G317</f>
        <v>-0.1</v>
      </c>
      <c r="H333" s="1420">
        <f t="shared" si="85"/>
        <v>1.0000000000000002E-2</v>
      </c>
      <c r="I333" s="1428">
        <v>3</v>
      </c>
      <c r="J333" s="1429">
        <v>0.6</v>
      </c>
      <c r="N333" s="6" t="s">
        <v>844</v>
      </c>
      <c r="BA333" s="17" t="str">
        <f t="shared" si="91"/>
        <v>G3+ Leukopenia</v>
      </c>
      <c r="BB333" s="17">
        <f t="shared" si="86"/>
        <v>-0.1</v>
      </c>
      <c r="BC333" s="17">
        <f t="shared" si="87"/>
        <v>1.0000000000000002E-2</v>
      </c>
      <c r="BE333" s="950" t="str">
        <f t="shared" si="88"/>
        <v>G3+ Leukopenia</v>
      </c>
      <c r="BF333" s="951">
        <f t="shared" si="89"/>
        <v>3</v>
      </c>
      <c r="BG333" s="951">
        <f t="shared" si="90"/>
        <v>0.6</v>
      </c>
    </row>
    <row r="334" spans="4:59" ht="15" customHeight="1" x14ac:dyDescent="0.2">
      <c r="D334" s="1740" t="s">
        <v>853</v>
      </c>
      <c r="E334" s="1741"/>
      <c r="F334" s="1741"/>
      <c r="G334" s="1433"/>
      <c r="H334" s="1434"/>
      <c r="I334" s="1435"/>
      <c r="J334" s="1436"/>
      <c r="BA334" s="17" t="str">
        <f t="shared" si="91"/>
        <v>G3+ Lymphopenia</v>
      </c>
      <c r="BB334" s="17">
        <f t="shared" si="86"/>
        <v>-0.1</v>
      </c>
      <c r="BC334" s="17">
        <f t="shared" si="87"/>
        <v>1.0000000000000002E-2</v>
      </c>
      <c r="BE334" s="950" t="str">
        <f t="shared" si="88"/>
        <v>G3+ Lymphopenia</v>
      </c>
      <c r="BF334" s="951">
        <f t="shared" si="89"/>
        <v>3</v>
      </c>
      <c r="BG334" s="951">
        <f t="shared" si="90"/>
        <v>0.6</v>
      </c>
    </row>
    <row r="335" spans="4:59" ht="15" customHeight="1" x14ac:dyDescent="0.2">
      <c r="D335" s="721" t="str" cm="1">
        <f t="array" ref="D335:D337">List_AEs_all_grade</f>
        <v>Diarrhoea</v>
      </c>
      <c r="E335" s="762"/>
      <c r="F335" s="762"/>
      <c r="G335" s="1437">
        <f>IF(i_sc_util_num=5,0,0.5*G315)</f>
        <v>-0.05</v>
      </c>
      <c r="H335" s="1438">
        <f>ABS(i_SE_util*G335)</f>
        <v>5.000000000000001E-3</v>
      </c>
      <c r="I335" s="1439">
        <v>3</v>
      </c>
      <c r="J335" s="1440">
        <v>0.6</v>
      </c>
      <c r="N335" s="6" t="s">
        <v>854</v>
      </c>
      <c r="W335" s="6" t="s">
        <v>855</v>
      </c>
      <c r="BA335" s="17" t="str">
        <f t="shared" si="91"/>
        <v>G3+ Nausea</v>
      </c>
      <c r="BB335" s="17">
        <f t="shared" si="86"/>
        <v>-0.1</v>
      </c>
      <c r="BC335" s="17">
        <f t="shared" si="87"/>
        <v>1.0000000000000002E-2</v>
      </c>
      <c r="BE335" s="950" t="str">
        <f t="shared" si="88"/>
        <v>G3+ Nausea</v>
      </c>
      <c r="BF335" s="951">
        <f t="shared" si="89"/>
        <v>3</v>
      </c>
      <c r="BG335" s="951">
        <f t="shared" si="90"/>
        <v>0.6</v>
      </c>
    </row>
    <row r="336" spans="4:59" ht="15" customHeight="1" x14ac:dyDescent="0.2">
      <c r="D336" s="721" t="str">
        <v>Fatigue</v>
      </c>
      <c r="E336" s="762"/>
      <c r="F336" s="762"/>
      <c r="G336" s="1437">
        <f>IF(i_sc_util_num=5,0,0.5*G317)</f>
        <v>-0.05</v>
      </c>
      <c r="H336" s="1420">
        <f>ABS(i_SE_util*G336)</f>
        <v>5.000000000000001E-3</v>
      </c>
      <c r="I336" s="1439">
        <v>3</v>
      </c>
      <c r="J336" s="1440">
        <v>0.6</v>
      </c>
      <c r="N336" s="6" t="s">
        <v>854</v>
      </c>
      <c r="W336" s="6" t="s">
        <v>855</v>
      </c>
      <c r="BA336" s="17" t="str">
        <f t="shared" si="91"/>
        <v>G3+ Neutropenia</v>
      </c>
      <c r="BB336" s="17">
        <f t="shared" si="86"/>
        <v>-0.1</v>
      </c>
      <c r="BC336" s="17">
        <f t="shared" si="87"/>
        <v>1.0000000000000002E-2</v>
      </c>
      <c r="BE336" s="950" t="str">
        <f t="shared" si="88"/>
        <v>G3+ Neutropenia</v>
      </c>
      <c r="BF336" s="951">
        <f t="shared" si="89"/>
        <v>3</v>
      </c>
      <c r="BG336" s="951">
        <f t="shared" si="90"/>
        <v>0.6</v>
      </c>
    </row>
    <row r="337" spans="4:59" ht="15" customHeight="1" x14ac:dyDescent="0.2">
      <c r="D337" s="721" t="str">
        <v>Palmar-plantar erythrodysaesthesia syndrome</v>
      </c>
      <c r="E337" s="762"/>
      <c r="F337" s="762"/>
      <c r="G337" s="1437">
        <f>IF(i_sc_util_num=5,0,0.5*G318)</f>
        <v>-0.05</v>
      </c>
      <c r="H337" s="1420">
        <f>ABS(i_SE_util*G337)</f>
        <v>5.000000000000001E-3</v>
      </c>
      <c r="I337" s="1439">
        <v>3</v>
      </c>
      <c r="J337" s="1440">
        <v>0.6</v>
      </c>
      <c r="N337" s="6" t="s">
        <v>854</v>
      </c>
      <c r="W337" s="6" t="s">
        <v>855</v>
      </c>
      <c r="BA337" s="17" t="str">
        <f t="shared" si="91"/>
        <v>G3+ Platelets count decreased</v>
      </c>
      <c r="BB337" s="17">
        <f t="shared" si="86"/>
        <v>-0.1</v>
      </c>
      <c r="BC337" s="17">
        <f t="shared" si="87"/>
        <v>1.0000000000000002E-2</v>
      </c>
      <c r="BE337" s="950" t="str">
        <f t="shared" si="88"/>
        <v>G3+ Platelets count decreased</v>
      </c>
      <c r="BF337" s="951">
        <f t="shared" si="89"/>
        <v>3</v>
      </c>
      <c r="BG337" s="951">
        <f t="shared" si="90"/>
        <v>0.6</v>
      </c>
    </row>
    <row r="338" spans="4:59" ht="15" customHeight="1" x14ac:dyDescent="0.2">
      <c r="D338" s="721"/>
      <c r="E338" s="762"/>
      <c r="F338" s="762"/>
      <c r="G338" s="763"/>
      <c r="H338" s="764"/>
      <c r="I338" s="765"/>
      <c r="J338" s="766"/>
      <c r="BA338" s="17" t="str">
        <f t="shared" si="91"/>
        <v>G3+ Proteinuria</v>
      </c>
      <c r="BB338" s="17">
        <f t="shared" si="86"/>
        <v>-0.1</v>
      </c>
      <c r="BC338" s="17">
        <f t="shared" si="87"/>
        <v>1.0000000000000002E-2</v>
      </c>
      <c r="BE338" s="950" t="str">
        <f t="shared" si="88"/>
        <v>G3+ Proteinuria</v>
      </c>
      <c r="BF338" s="951">
        <f t="shared" si="89"/>
        <v>3</v>
      </c>
      <c r="BG338" s="951">
        <f t="shared" si="90"/>
        <v>0.6</v>
      </c>
    </row>
    <row r="339" spans="4:59" ht="15" customHeight="1" x14ac:dyDescent="0.2">
      <c r="D339" s="721"/>
      <c r="E339" s="762"/>
      <c r="F339" s="762"/>
      <c r="G339" s="763"/>
      <c r="H339" s="764"/>
      <c r="I339" s="765"/>
      <c r="J339" s="766"/>
      <c r="BA339" s="17" t="str">
        <f t="shared" si="91"/>
        <v>G3+ Stomatitis</v>
      </c>
      <c r="BB339" s="17">
        <f t="shared" si="86"/>
        <v>-0.1</v>
      </c>
      <c r="BC339" s="17">
        <f t="shared" si="87"/>
        <v>1.0000000000000002E-2</v>
      </c>
      <c r="BE339" s="950" t="str">
        <f t="shared" si="88"/>
        <v>G3+ Stomatitis</v>
      </c>
      <c r="BF339" s="951">
        <f t="shared" si="89"/>
        <v>3</v>
      </c>
      <c r="BG339" s="951">
        <f t="shared" si="90"/>
        <v>0.6</v>
      </c>
    </row>
    <row r="340" spans="4:59" ht="15" customHeight="1" x14ac:dyDescent="0.2">
      <c r="D340" s="721"/>
      <c r="E340" s="762"/>
      <c r="F340" s="762"/>
      <c r="G340" s="763"/>
      <c r="H340" s="764"/>
      <c r="I340" s="765"/>
      <c r="J340" s="766"/>
      <c r="BA340" s="17" t="str">
        <f t="shared" si="91"/>
        <v>G3+ Vomiting</v>
      </c>
      <c r="BB340" s="17">
        <f t="shared" si="86"/>
        <v>-0.1</v>
      </c>
      <c r="BC340" s="17">
        <f t="shared" si="87"/>
        <v>1.0000000000000002E-2</v>
      </c>
      <c r="BE340" s="950" t="str">
        <f t="shared" si="88"/>
        <v>G3+ Vomiting</v>
      </c>
      <c r="BF340" s="951">
        <f t="shared" si="89"/>
        <v>3</v>
      </c>
      <c r="BG340" s="951">
        <f t="shared" si="90"/>
        <v>0.6</v>
      </c>
    </row>
    <row r="341" spans="4:59" ht="15.75" thickBot="1" x14ac:dyDescent="0.25">
      <c r="D341" s="1731"/>
      <c r="E341" s="1731"/>
      <c r="F341" s="1732"/>
      <c r="G341" s="429"/>
      <c r="H341" s="430"/>
      <c r="I341" s="595"/>
      <c r="J341" s="412"/>
      <c r="BA341" s="17" t="str">
        <f t="shared" si="91"/>
        <v>G3+ Weight loss</v>
      </c>
      <c r="BB341" s="17">
        <f t="shared" si="86"/>
        <v>-0.1</v>
      </c>
      <c r="BC341" s="17">
        <f t="shared" si="87"/>
        <v>1.0000000000000002E-2</v>
      </c>
      <c r="BE341" s="950" t="str">
        <f t="shared" si="88"/>
        <v>G3+ Weight loss</v>
      </c>
      <c r="BF341" s="951">
        <f t="shared" si="89"/>
        <v>3</v>
      </c>
      <c r="BG341" s="951">
        <f t="shared" si="90"/>
        <v>0.6</v>
      </c>
    </row>
    <row r="342" spans="4:59" x14ac:dyDescent="0.2">
      <c r="BA342" s="17" t="str">
        <f>"G1&amp;2 "&amp;D335</f>
        <v>G1&amp;2 Diarrhoea</v>
      </c>
      <c r="BB342" s="17">
        <f>IF(i_double_AE_impact=1,2*G335,G335)</f>
        <v>-0.05</v>
      </c>
      <c r="BC342" s="17">
        <f>IF(ABS(i_SE_util*BB342)&lt;&gt;ABS(H335),ABS(H335),ABS(i_SE_util*BB342))</f>
        <v>5.000000000000001E-3</v>
      </c>
      <c r="BE342" s="950" t="str">
        <f>BA342</f>
        <v>G1&amp;2 Diarrhoea</v>
      </c>
      <c r="BF342" s="951">
        <f t="shared" ref="BF342:BG344" si="93">I335</f>
        <v>3</v>
      </c>
      <c r="BG342" s="951">
        <f t="shared" si="93"/>
        <v>0.6</v>
      </c>
    </row>
    <row r="343" spans="4:59" x14ac:dyDescent="0.2">
      <c r="BA343" s="17" t="str">
        <f>"G1&amp;2 "&amp;D336</f>
        <v>G1&amp;2 Fatigue</v>
      </c>
      <c r="BB343" s="17">
        <f>IF(i_double_AE_impact=1,2*G336,G336)</f>
        <v>-0.05</v>
      </c>
      <c r="BC343" s="17">
        <f>IF(ABS(i_SE_util*BB343)&lt;&gt;ABS(H336),ABS(H336),ABS(i_SE_util*BB343))</f>
        <v>5.000000000000001E-3</v>
      </c>
      <c r="BE343" s="950" t="str">
        <f>BA343</f>
        <v>G1&amp;2 Fatigue</v>
      </c>
      <c r="BF343" s="951">
        <f t="shared" si="93"/>
        <v>3</v>
      </c>
      <c r="BG343" s="951">
        <f t="shared" si="93"/>
        <v>0.6</v>
      </c>
    </row>
    <row r="344" spans="4:59" x14ac:dyDescent="0.2">
      <c r="BA344" s="17" t="str">
        <f>"G1&amp;2 "&amp;D337</f>
        <v>G1&amp;2 Palmar-plantar erythrodysaesthesia syndrome</v>
      </c>
      <c r="BB344" s="17">
        <f>IF(i_double_AE_impact=1,2*G337,G337)</f>
        <v>-0.05</v>
      </c>
      <c r="BC344" s="17">
        <f>IF(ABS(i_SE_util*BB344)&lt;&gt;ABS(H337),ABS(H337),ABS(i_SE_util*BB344))</f>
        <v>5.000000000000001E-3</v>
      </c>
      <c r="BE344" s="950" t="str">
        <f>BA344</f>
        <v>G1&amp;2 Palmar-plantar erythrodysaesthesia syndrome</v>
      </c>
      <c r="BF344" s="951">
        <f t="shared" si="93"/>
        <v>3</v>
      </c>
      <c r="BG344" s="951">
        <f t="shared" si="93"/>
        <v>0.6</v>
      </c>
    </row>
    <row r="345" spans="4:59" ht="16.5" thickBot="1" x14ac:dyDescent="0.3">
      <c r="D345" s="52" t="s">
        <v>856</v>
      </c>
      <c r="E345" s="22"/>
      <c r="F345" s="22"/>
      <c r="G345" s="22"/>
      <c r="H345" s="22"/>
      <c r="I345" s="22"/>
      <c r="J345" s="22"/>
      <c r="K345" s="22"/>
      <c r="L345" s="22"/>
      <c r="M345" s="22"/>
      <c r="N345" s="22"/>
      <c r="O345" s="22"/>
      <c r="P345" s="22"/>
      <c r="Q345" s="22"/>
      <c r="R345" s="22"/>
      <c r="S345" s="22"/>
      <c r="T345" s="22"/>
      <c r="U345" s="22"/>
      <c r="V345" s="22"/>
      <c r="W345" s="22"/>
      <c r="X345" s="22"/>
    </row>
    <row r="348" spans="4:59" x14ac:dyDescent="0.2">
      <c r="D348" s="24" t="s">
        <v>857</v>
      </c>
      <c r="I348" s="42" t="s">
        <v>74</v>
      </c>
    </row>
    <row r="351" spans="4:59" ht="15" customHeight="1" x14ac:dyDescent="0.25">
      <c r="D351" s="12" t="s">
        <v>858</v>
      </c>
      <c r="E351" s="12"/>
      <c r="F351" s="12"/>
      <c r="G351" s="12"/>
    </row>
    <row r="352" spans="4:59" x14ac:dyDescent="0.2">
      <c r="E352" s="1730" t="s">
        <v>859</v>
      </c>
      <c r="F352" s="1730" t="s">
        <v>860</v>
      </c>
      <c r="G352" s="1730" t="s">
        <v>861</v>
      </c>
      <c r="H352" s="1470" t="s">
        <v>862</v>
      </c>
      <c r="I352" s="1470"/>
      <c r="J352" s="1470"/>
      <c r="K352" s="1470" t="s">
        <v>863</v>
      </c>
      <c r="L352" s="1470"/>
      <c r="M352" s="1470"/>
      <c r="N352" s="1470" t="s">
        <v>864</v>
      </c>
      <c r="O352" s="1470"/>
      <c r="P352" s="1470"/>
      <c r="Q352" s="17" t="s">
        <v>865</v>
      </c>
      <c r="R352" s="17" t="s">
        <v>862</v>
      </c>
      <c r="S352" s="17" t="s">
        <v>865</v>
      </c>
      <c r="T352" s="17" t="s">
        <v>863</v>
      </c>
      <c r="U352" s="1470" t="s">
        <v>866</v>
      </c>
      <c r="V352" s="1470"/>
      <c r="W352" s="1470"/>
    </row>
    <row r="353" spans="5:27" x14ac:dyDescent="0.2">
      <c r="E353" s="1730"/>
      <c r="F353" s="1730"/>
      <c r="G353" s="1730"/>
      <c r="H353" s="17" t="s">
        <v>867</v>
      </c>
      <c r="I353" s="17" t="s">
        <v>868</v>
      </c>
      <c r="J353" s="17" t="s">
        <v>869</v>
      </c>
      <c r="K353" s="17" t="s">
        <v>867</v>
      </c>
      <c r="L353" s="17" t="s">
        <v>868</v>
      </c>
      <c r="M353" s="17" t="s">
        <v>869</v>
      </c>
      <c r="N353" s="17" t="s">
        <v>867</v>
      </c>
      <c r="O353" s="17" t="s">
        <v>868</v>
      </c>
      <c r="P353" s="17" t="s">
        <v>869</v>
      </c>
      <c r="Q353" s="17" t="s">
        <v>867</v>
      </c>
      <c r="R353" s="17" t="s">
        <v>869</v>
      </c>
      <c r="S353" s="17" t="s">
        <v>867</v>
      </c>
      <c r="T353" s="17" t="s">
        <v>869</v>
      </c>
      <c r="U353" s="17" t="s">
        <v>870</v>
      </c>
      <c r="V353" s="17" t="s">
        <v>871</v>
      </c>
      <c r="W353" s="17" t="s">
        <v>872</v>
      </c>
    </row>
    <row r="354" spans="5:27" x14ac:dyDescent="0.2">
      <c r="E354" s="17" t="s">
        <v>862</v>
      </c>
      <c r="F354" s="17" t="s">
        <v>867</v>
      </c>
      <c r="G354" s="25">
        <v>-7.7399999999999997E-2</v>
      </c>
      <c r="H354" s="25">
        <v>1.81392505720311E-3</v>
      </c>
      <c r="I354" s="25">
        <v>-1.42821693113575E-4</v>
      </c>
      <c r="J354" s="25">
        <v>-5.5479120716094999E-3</v>
      </c>
      <c r="K354" s="25">
        <v>-8.4075743945901204E-5</v>
      </c>
      <c r="L354" s="25">
        <v>7.6897478842864698E-6</v>
      </c>
      <c r="M354" s="25">
        <v>1.90677927101904E-4</v>
      </c>
      <c r="N354" s="25">
        <v>7.6302791281554998E-5</v>
      </c>
      <c r="O354" s="25">
        <v>2.6877954695699701E-6</v>
      </c>
      <c r="P354" s="25">
        <v>-1.8854459260393701E-3</v>
      </c>
      <c r="Q354" s="25">
        <v>5.8715282472609901E-4</v>
      </c>
      <c r="R354" s="25">
        <v>-4.8141164961417503E-3</v>
      </c>
      <c r="S354" s="25">
        <v>8.6460875110737004E-5</v>
      </c>
      <c r="T354" s="25">
        <v>-1.66767866848402E-3</v>
      </c>
      <c r="U354" s="25">
        <v>-1.5651489363557201E-3</v>
      </c>
      <c r="V354" s="25">
        <v>-6.6341032568314302E-4</v>
      </c>
      <c r="W354" s="25">
        <v>-9.7253045596916302E-4</v>
      </c>
      <c r="AA354" s="6" t="s">
        <v>162</v>
      </c>
    </row>
    <row r="355" spans="5:27" x14ac:dyDescent="0.2">
      <c r="E355" s="17"/>
      <c r="F355" s="17" t="s">
        <v>868</v>
      </c>
      <c r="G355" s="25">
        <v>6.4000000000000003E-3</v>
      </c>
      <c r="H355" s="25">
        <v>-1.42821693113575E-4</v>
      </c>
      <c r="I355" s="25">
        <v>1.16455508725469E-5</v>
      </c>
      <c r="J355" s="25">
        <v>4.1837132437185198E-4</v>
      </c>
      <c r="K355" s="25">
        <v>7.8209579877485496E-6</v>
      </c>
      <c r="L355" s="25">
        <v>-7.1222626627306397E-7</v>
      </c>
      <c r="M355" s="25">
        <v>-1.8006216221405401E-5</v>
      </c>
      <c r="N355" s="25">
        <v>-2.2687871641107898E-5</v>
      </c>
      <c r="O355" s="25">
        <v>1.48733633962288E-6</v>
      </c>
      <c r="P355" s="25">
        <v>1.8620178004986901E-4</v>
      </c>
      <c r="Q355" s="25">
        <v>-3.19362611056718E-5</v>
      </c>
      <c r="R355" s="25">
        <v>2.6820060576857502E-4</v>
      </c>
      <c r="S355" s="25">
        <v>-3.5981762682916398E-6</v>
      </c>
      <c r="T355" s="25">
        <v>1.0775012001056501E-4</v>
      </c>
      <c r="U355" s="25">
        <v>1.00070484970427E-4</v>
      </c>
      <c r="V355" s="25">
        <v>4.9678357122556402E-5</v>
      </c>
      <c r="W355" s="25">
        <v>9.3754534593676995E-5</v>
      </c>
      <c r="AA355" s="6" t="s">
        <v>873</v>
      </c>
    </row>
    <row r="356" spans="5:27" x14ac:dyDescent="0.2">
      <c r="E356" s="17"/>
      <c r="F356" s="17" t="s">
        <v>869</v>
      </c>
      <c r="G356" s="25">
        <v>0.29899999999999999</v>
      </c>
      <c r="H356" s="25">
        <v>-5.5479120716094999E-3</v>
      </c>
      <c r="I356" s="25">
        <v>4.1837132437185198E-4</v>
      </c>
      <c r="J356" s="25">
        <v>1.7929999114245001E-2</v>
      </c>
      <c r="K356" s="25">
        <v>2.04381130695266E-4</v>
      </c>
      <c r="L356" s="25">
        <v>-1.8890588893658701E-5</v>
      </c>
      <c r="M356" s="25">
        <v>-4.48400461518393E-4</v>
      </c>
      <c r="N356" s="25">
        <v>7.2681359208013403E-4</v>
      </c>
      <c r="O356" s="25">
        <v>-1.05482348999307E-4</v>
      </c>
      <c r="P356" s="25">
        <v>3.9208606490346602E-3</v>
      </c>
      <c r="Q356" s="25">
        <v>-2.5018003640413901E-3</v>
      </c>
      <c r="R356" s="25">
        <v>2.0339890843711E-2</v>
      </c>
      <c r="S356" s="25">
        <v>-4.2200399038120598E-4</v>
      </c>
      <c r="T356" s="25">
        <v>6.52323274561575E-3</v>
      </c>
      <c r="U356" s="25">
        <v>5.91937681079903E-3</v>
      </c>
      <c r="V356" s="25">
        <v>2.29152315171725E-3</v>
      </c>
      <c r="W356" s="25">
        <v>2.4323513480532799E-3</v>
      </c>
    </row>
    <row r="357" spans="5:27" x14ac:dyDescent="0.2">
      <c r="E357" s="17" t="s">
        <v>863</v>
      </c>
      <c r="F357" s="17" t="s">
        <v>867</v>
      </c>
      <c r="G357" s="25">
        <v>-1.47E-2</v>
      </c>
      <c r="H357" s="25">
        <v>-8.4075743945901204E-5</v>
      </c>
      <c r="I357" s="25">
        <v>7.8209579877485496E-6</v>
      </c>
      <c r="J357" s="25">
        <v>2.04381130695266E-4</v>
      </c>
      <c r="K357" s="25">
        <v>1.29215443937247E-4</v>
      </c>
      <c r="L357" s="25">
        <v>-1.17793555804664E-5</v>
      </c>
      <c r="M357" s="25">
        <v>-3.0406510541246203E-4</v>
      </c>
      <c r="N357" s="25">
        <v>-4.7546787570563098E-4</v>
      </c>
      <c r="O357" s="25">
        <v>4.1912377420638099E-5</v>
      </c>
      <c r="P357" s="25">
        <v>2.3043581014767799E-3</v>
      </c>
      <c r="Q357" s="25">
        <v>1.4221534550676101E-4</v>
      </c>
      <c r="R357" s="25">
        <v>-8.0036853253015396E-4</v>
      </c>
      <c r="S357" s="25">
        <v>1.28042740613655E-5</v>
      </c>
      <c r="T357" s="25">
        <v>5.9985224486753597E-4</v>
      </c>
      <c r="U357" s="25">
        <v>-1.6384837041776999E-4</v>
      </c>
      <c r="V357" s="25">
        <v>3.3277520259747601E-4</v>
      </c>
      <c r="W357" s="25">
        <v>1.37953646923537E-3</v>
      </c>
    </row>
    <row r="358" spans="5:27" x14ac:dyDescent="0.2">
      <c r="E358" s="17"/>
      <c r="F358" s="17" t="s">
        <v>868</v>
      </c>
      <c r="G358" s="25">
        <v>-2.9999999999999997E-4</v>
      </c>
      <c r="H358" s="25">
        <v>7.6897478842864698E-6</v>
      </c>
      <c r="I358" s="25">
        <v>-7.1222626627306397E-7</v>
      </c>
      <c r="J358" s="25">
        <v>-1.8890588893658701E-5</v>
      </c>
      <c r="K358" s="25">
        <v>-1.17793555804664E-5</v>
      </c>
      <c r="L358" s="25">
        <v>1.1076026642282101E-6</v>
      </c>
      <c r="M358" s="25">
        <v>2.6387843214222201E-5</v>
      </c>
      <c r="N358" s="25">
        <v>4.2881263482688201E-5</v>
      </c>
      <c r="O358" s="25">
        <v>-3.8581793236574596E-6</v>
      </c>
      <c r="P358" s="25">
        <v>-2.07192172603296E-4</v>
      </c>
      <c r="Q358" s="25">
        <v>-1.3812015217996199E-5</v>
      </c>
      <c r="R358" s="25">
        <v>7.6148485119520106E-5</v>
      </c>
      <c r="S358" s="25">
        <v>-3.80182641717489E-7</v>
      </c>
      <c r="T358" s="25">
        <v>-6.4054991622268802E-5</v>
      </c>
      <c r="U358" s="25">
        <v>1.4217663458352399E-5</v>
      </c>
      <c r="V358" s="25">
        <v>-3.3159632445635398E-5</v>
      </c>
      <c r="W358" s="25">
        <v>-1.2687200276440301E-4</v>
      </c>
    </row>
    <row r="359" spans="5:27" x14ac:dyDescent="0.2">
      <c r="E359" s="17"/>
      <c r="F359" s="17" t="s">
        <v>869</v>
      </c>
      <c r="G359" s="25">
        <v>0.87080000000000002</v>
      </c>
      <c r="H359" s="25">
        <v>1.90677927101904E-4</v>
      </c>
      <c r="I359" s="25">
        <v>-1.8006216221405401E-5</v>
      </c>
      <c r="J359" s="25">
        <v>-4.48400461518393E-4</v>
      </c>
      <c r="K359" s="25">
        <v>-3.0406510541246203E-4</v>
      </c>
      <c r="L359" s="25">
        <v>2.6387843214222201E-5</v>
      </c>
      <c r="M359" s="25">
        <v>7.8115417407352799E-4</v>
      </c>
      <c r="N359" s="25">
        <v>1.1415210731847299E-3</v>
      </c>
      <c r="O359" s="25">
        <v>-9.7299710984583102E-5</v>
      </c>
      <c r="P359" s="25">
        <v>-5.5098373374259197E-3</v>
      </c>
      <c r="Q359" s="25">
        <v>-2.9161628947608798E-4</v>
      </c>
      <c r="R359" s="25">
        <v>1.70190898250888E-3</v>
      </c>
      <c r="S359" s="25">
        <v>-6.8520640989788294E-5</v>
      </c>
      <c r="T359" s="25">
        <v>-8.8842987081702704E-4</v>
      </c>
      <c r="U359" s="25">
        <v>4.0828714941079598E-4</v>
      </c>
      <c r="V359" s="25">
        <v>-6.1462673994417999E-4</v>
      </c>
      <c r="W359" s="25">
        <v>-3.1260941850842698E-3</v>
      </c>
    </row>
    <row r="360" spans="5:27" x14ac:dyDescent="0.2">
      <c r="E360" s="17" t="s">
        <v>864</v>
      </c>
      <c r="F360" s="17" t="s">
        <v>867</v>
      </c>
      <c r="G360" s="25">
        <v>0.20430000000000001</v>
      </c>
      <c r="H360" s="25">
        <v>7.6302791281554998E-5</v>
      </c>
      <c r="I360" s="25">
        <v>-2.2687871641107898E-5</v>
      </c>
      <c r="J360" s="25">
        <v>7.2681359208013403E-4</v>
      </c>
      <c r="K360" s="25">
        <v>-4.7546787570563098E-4</v>
      </c>
      <c r="L360" s="25">
        <v>4.2881263482688201E-5</v>
      </c>
      <c r="M360" s="25">
        <v>1.1415210731847299E-3</v>
      </c>
      <c r="N360" s="25">
        <v>8.0616026285799999E-3</v>
      </c>
      <c r="O360" s="25">
        <v>-7.6469431834242296E-4</v>
      </c>
      <c r="P360" s="25">
        <v>-2.0867341805404799E-2</v>
      </c>
      <c r="Q360" s="25">
        <v>-1.58080633547213E-3</v>
      </c>
      <c r="R360" s="25">
        <v>1.2247397012213701E-2</v>
      </c>
      <c r="S360" s="25">
        <v>-4.4102513003918399E-6</v>
      </c>
      <c r="T360" s="25">
        <v>-8.7145560246823305E-5</v>
      </c>
      <c r="U360" s="25">
        <v>2.5829372895750801E-3</v>
      </c>
      <c r="V360" s="25">
        <v>1.1646647410324101E-4</v>
      </c>
      <c r="W360" s="25">
        <v>-5.0546389421760101E-3</v>
      </c>
    </row>
    <row r="361" spans="5:27" x14ac:dyDescent="0.2">
      <c r="E361" s="17"/>
      <c r="F361" s="17" t="s">
        <v>868</v>
      </c>
      <c r="G361" s="25">
        <v>-2.41E-2</v>
      </c>
      <c r="H361" s="25">
        <v>2.6877954695699701E-6</v>
      </c>
      <c r="I361" s="25">
        <v>1.48733633962288E-6</v>
      </c>
      <c r="J361" s="25">
        <v>-1.05482348999307E-4</v>
      </c>
      <c r="K361" s="25">
        <v>4.1912377420638099E-5</v>
      </c>
      <c r="L361" s="25">
        <v>-3.8581793236574596E-6</v>
      </c>
      <c r="M361" s="25">
        <v>-9.7299710984583102E-5</v>
      </c>
      <c r="N361" s="25">
        <v>-7.6469431834242296E-4</v>
      </c>
      <c r="O361" s="25">
        <v>7.5493603505478993E-5</v>
      </c>
      <c r="P361" s="25">
        <v>1.8115903307767199E-3</v>
      </c>
      <c r="Q361" s="25">
        <v>1.8566016771488599E-4</v>
      </c>
      <c r="R361" s="25">
        <v>-1.3642274339952299E-3</v>
      </c>
      <c r="S361" s="25">
        <v>2.5592492735612801E-5</v>
      </c>
      <c r="T361" s="25">
        <v>-1.58988348362669E-4</v>
      </c>
      <c r="U361" s="25">
        <v>-2.56232307785368E-4</v>
      </c>
      <c r="V361" s="25">
        <v>-2.4374052739607001E-5</v>
      </c>
      <c r="W361" s="25">
        <v>3.9093627129048897E-4</v>
      </c>
    </row>
    <row r="362" spans="5:27" x14ac:dyDescent="0.2">
      <c r="E362" s="17"/>
      <c r="F362" s="17" t="s">
        <v>869</v>
      </c>
      <c r="G362" s="25">
        <v>1.1658999999999999</v>
      </c>
      <c r="H362" s="25">
        <v>-1.8854459260393701E-3</v>
      </c>
      <c r="I362" s="25">
        <v>1.8620178004986901E-4</v>
      </c>
      <c r="J362" s="25">
        <v>3.9208606490346602E-3</v>
      </c>
      <c r="K362" s="25">
        <v>2.3043581014767799E-3</v>
      </c>
      <c r="L362" s="25">
        <v>-2.07192172603296E-4</v>
      </c>
      <c r="M362" s="25">
        <v>-5.5098373374259197E-3</v>
      </c>
      <c r="N362" s="25">
        <v>-2.0867341805404799E-2</v>
      </c>
      <c r="O362" s="25">
        <v>1.8115903307767199E-3</v>
      </c>
      <c r="P362" s="25">
        <v>9.2333651177145398E-2</v>
      </c>
      <c r="Q362" s="25">
        <v>5.5237652798336302E-3</v>
      </c>
      <c r="R362" s="25">
        <v>-3.6126556172706499E-2</v>
      </c>
      <c r="S362" s="25">
        <v>-6.7446530513856303E-4</v>
      </c>
      <c r="T362" s="25">
        <v>2.3043690461186001E-2</v>
      </c>
      <c r="U362" s="25">
        <v>-7.89090909426419E-3</v>
      </c>
      <c r="V362" s="25">
        <v>8.1272227108793605E-3</v>
      </c>
      <c r="W362" s="25">
        <v>5.0883699496529301E-2</v>
      </c>
    </row>
    <row r="363" spans="5:27" x14ac:dyDescent="0.2">
      <c r="E363" s="17" t="s">
        <v>865</v>
      </c>
      <c r="F363" s="17" t="s">
        <v>867</v>
      </c>
      <c r="G363" s="25">
        <v>0.40279999999999999</v>
      </c>
      <c r="H363" s="25">
        <v>5.8715282472609901E-4</v>
      </c>
      <c r="I363" s="25">
        <v>-3.19362611056718E-5</v>
      </c>
      <c r="J363" s="25">
        <v>-2.5018003640413901E-3</v>
      </c>
      <c r="K363" s="25">
        <v>1.4221534550676101E-4</v>
      </c>
      <c r="L363" s="25">
        <v>-1.3812015217996199E-5</v>
      </c>
      <c r="M363" s="25">
        <v>-2.9161628947608798E-4</v>
      </c>
      <c r="N363" s="25">
        <v>-1.58080633547213E-3</v>
      </c>
      <c r="O363" s="25">
        <v>1.8566016771488599E-4</v>
      </c>
      <c r="P363" s="25">
        <v>5.5237652798336302E-3</v>
      </c>
      <c r="Q363" s="25">
        <v>3.7472047697207399E-3</v>
      </c>
      <c r="R363" s="25">
        <v>-2.35409197342492E-2</v>
      </c>
      <c r="S363" s="25">
        <v>8.1371135985994203E-4</v>
      </c>
      <c r="T363" s="25">
        <v>-3.1597677650538301E-3</v>
      </c>
      <c r="U363" s="25">
        <v>-2.7898875475182599E-3</v>
      </c>
      <c r="V363" s="25">
        <v>3.7135987149018197E-4</v>
      </c>
      <c r="W363" s="25">
        <v>4.9723966315152E-3</v>
      </c>
    </row>
    <row r="364" spans="5:27" x14ac:dyDescent="0.2">
      <c r="E364" s="17" t="s">
        <v>862</v>
      </c>
      <c r="F364" s="17" t="s">
        <v>869</v>
      </c>
      <c r="G364" s="25">
        <v>-4.4767000000000001</v>
      </c>
      <c r="H364" s="25">
        <v>-4.8141164961417503E-3</v>
      </c>
      <c r="I364" s="25">
        <v>2.6820060576857502E-4</v>
      </c>
      <c r="J364" s="25">
        <v>2.0339890843711E-2</v>
      </c>
      <c r="K364" s="25">
        <v>-8.0036853253015396E-4</v>
      </c>
      <c r="L364" s="25">
        <v>7.6148485119520106E-5</v>
      </c>
      <c r="M364" s="25">
        <v>1.70190898250888E-3</v>
      </c>
      <c r="N364" s="25">
        <v>1.2247397012213701E-2</v>
      </c>
      <c r="O364" s="25">
        <v>-1.3642274339952299E-3</v>
      </c>
      <c r="P364" s="25">
        <v>-3.6126556172706499E-2</v>
      </c>
      <c r="Q364" s="25">
        <v>-2.35409197342492E-2</v>
      </c>
      <c r="R364" s="25">
        <v>0.16096497647636701</v>
      </c>
      <c r="S364" s="25">
        <v>-4.5625709230077399E-3</v>
      </c>
      <c r="T364" s="25">
        <v>2.3524814892738902E-2</v>
      </c>
      <c r="U364" s="25">
        <v>2.06457263706382E-2</v>
      </c>
      <c r="V364" s="25">
        <v>7.6581512066883201E-4</v>
      </c>
      <c r="W364" s="25">
        <v>-2.95522138203499E-2</v>
      </c>
    </row>
    <row r="365" spans="5:27" x14ac:dyDescent="0.2">
      <c r="E365" s="17" t="s">
        <v>865</v>
      </c>
      <c r="F365" s="17" t="s">
        <v>867</v>
      </c>
      <c r="G365" s="25">
        <v>0.19370000000000001</v>
      </c>
      <c r="H365" s="25">
        <v>8.6460875110737004E-5</v>
      </c>
      <c r="I365" s="25">
        <v>-3.5981762682916398E-6</v>
      </c>
      <c r="J365" s="25">
        <v>-4.2200399038120598E-4</v>
      </c>
      <c r="K365" s="25">
        <v>1.28042740613655E-5</v>
      </c>
      <c r="L365" s="25">
        <v>-3.80182641717489E-7</v>
      </c>
      <c r="M365" s="25">
        <v>-6.8520640989788294E-5</v>
      </c>
      <c r="N365" s="25">
        <v>-4.4102513003918399E-6</v>
      </c>
      <c r="O365" s="25">
        <v>2.5592492735612801E-5</v>
      </c>
      <c r="P365" s="25">
        <v>-6.7446530513856303E-4</v>
      </c>
      <c r="Q365" s="25">
        <v>8.1371135985994203E-4</v>
      </c>
      <c r="R365" s="25">
        <v>-4.5625709230077399E-3</v>
      </c>
      <c r="S365" s="25">
        <v>1.1909374445187701E-3</v>
      </c>
      <c r="T365" s="25">
        <v>-6.4416550224959497E-3</v>
      </c>
      <c r="U365" s="25">
        <v>-5.9041657947686804E-4</v>
      </c>
      <c r="V365" s="25">
        <v>-8.8611228256233897E-5</v>
      </c>
      <c r="W365" s="25">
        <v>2.5147762852973602E-4</v>
      </c>
    </row>
    <row r="366" spans="5:27" x14ac:dyDescent="0.2">
      <c r="E366" s="17" t="s">
        <v>863</v>
      </c>
      <c r="F366" s="17" t="s">
        <v>869</v>
      </c>
      <c r="G366" s="25">
        <v>-1.3549</v>
      </c>
      <c r="H366" s="25">
        <v>-1.66767866848402E-3</v>
      </c>
      <c r="I366" s="25">
        <v>1.0775012001056501E-4</v>
      </c>
      <c r="J366" s="25">
        <v>6.52323274561575E-3</v>
      </c>
      <c r="K366" s="25">
        <v>5.9985224486753597E-4</v>
      </c>
      <c r="L366" s="25">
        <v>-6.4054991622268802E-5</v>
      </c>
      <c r="M366" s="25">
        <v>-8.8842987081702704E-4</v>
      </c>
      <c r="N366" s="25">
        <v>-8.7145560246823305E-5</v>
      </c>
      <c r="O366" s="25">
        <v>-1.58988348362669E-4</v>
      </c>
      <c r="P366" s="25">
        <v>2.3043690461186001E-2</v>
      </c>
      <c r="Q366" s="25">
        <v>-3.1597677650538301E-3</v>
      </c>
      <c r="R366" s="25">
        <v>2.3524814892738902E-2</v>
      </c>
      <c r="S366" s="25">
        <v>-6.4416550224959497E-3</v>
      </c>
      <c r="T366" s="25">
        <v>5.0417988971356603E-2</v>
      </c>
      <c r="U366" s="25">
        <v>3.20982232761227E-3</v>
      </c>
      <c r="V366" s="25">
        <v>7.5319947376729802E-3</v>
      </c>
      <c r="W366" s="25">
        <v>1.80944191956392E-2</v>
      </c>
    </row>
    <row r="367" spans="5:27" x14ac:dyDescent="0.2">
      <c r="E367" s="17"/>
      <c r="F367" s="17" t="s">
        <v>870</v>
      </c>
      <c r="G367" s="25">
        <v>0.12820000000000001</v>
      </c>
      <c r="H367" s="25">
        <v>-1.5651489363557201E-3</v>
      </c>
      <c r="I367" s="25">
        <v>1.00070484970427E-4</v>
      </c>
      <c r="J367" s="25">
        <v>5.91937681079903E-3</v>
      </c>
      <c r="K367" s="25">
        <v>-1.6384837041776999E-4</v>
      </c>
      <c r="L367" s="25">
        <v>1.4217663458352399E-5</v>
      </c>
      <c r="M367" s="25">
        <v>4.0828714941079598E-4</v>
      </c>
      <c r="N367" s="25">
        <v>2.5829372895750801E-3</v>
      </c>
      <c r="O367" s="25">
        <v>-2.56232307785368E-4</v>
      </c>
      <c r="P367" s="25">
        <v>-7.89090909426419E-3</v>
      </c>
      <c r="Q367" s="25">
        <v>-2.7898875475182599E-3</v>
      </c>
      <c r="R367" s="25">
        <v>2.06457263706382E-2</v>
      </c>
      <c r="S367" s="25">
        <v>-5.9041657947686804E-4</v>
      </c>
      <c r="T367" s="25">
        <v>3.20982232761227E-3</v>
      </c>
      <c r="U367" s="25">
        <v>7.0543360434504399E-3</v>
      </c>
      <c r="V367" s="25">
        <v>3.3762106075379102E-4</v>
      </c>
      <c r="W367" s="25">
        <v>-5.4527099357347796E-3</v>
      </c>
    </row>
    <row r="368" spans="5:27" x14ac:dyDescent="0.2">
      <c r="E368" s="17"/>
      <c r="F368" s="17" t="s">
        <v>871</v>
      </c>
      <c r="G368" s="25">
        <v>8.3099999999999993E-2</v>
      </c>
      <c r="H368" s="25">
        <v>-6.6341032568314302E-4</v>
      </c>
      <c r="I368" s="25">
        <v>4.9678357122556402E-5</v>
      </c>
      <c r="J368" s="25">
        <v>2.29152315171725E-3</v>
      </c>
      <c r="K368" s="25">
        <v>3.3277520259747601E-4</v>
      </c>
      <c r="L368" s="25">
        <v>-3.3159632445635398E-5</v>
      </c>
      <c r="M368" s="25">
        <v>-6.1462673994417999E-4</v>
      </c>
      <c r="N368" s="25">
        <v>1.1646647410324101E-4</v>
      </c>
      <c r="O368" s="25">
        <v>-2.4374052739607001E-5</v>
      </c>
      <c r="P368" s="25">
        <v>8.1272227108793605E-3</v>
      </c>
      <c r="Q368" s="25">
        <v>3.7135987149018197E-4</v>
      </c>
      <c r="R368" s="25">
        <v>7.6581512066883201E-4</v>
      </c>
      <c r="S368" s="25">
        <v>-8.8611228256233897E-5</v>
      </c>
      <c r="T368" s="25">
        <v>7.5319947376729802E-3</v>
      </c>
      <c r="U368" s="25">
        <v>3.3762106075379102E-4</v>
      </c>
      <c r="V368" s="25">
        <v>4.40694744795823E-3</v>
      </c>
      <c r="W368" s="25">
        <v>8.2165942093333205E-3</v>
      </c>
    </row>
    <row r="369" spans="4:23" x14ac:dyDescent="0.2">
      <c r="E369" s="17"/>
      <c r="F369" s="17" t="s">
        <v>872</v>
      </c>
      <c r="G369" s="25">
        <v>0.52300000000000002</v>
      </c>
      <c r="H369" s="25">
        <v>-9.7253045596916302E-4</v>
      </c>
      <c r="I369" s="25">
        <v>9.3754534593676995E-5</v>
      </c>
      <c r="J369" s="25">
        <v>2.4323513480532799E-3</v>
      </c>
      <c r="K369" s="25">
        <v>1.37953646923537E-3</v>
      </c>
      <c r="L369" s="25">
        <v>-1.2687200276440301E-4</v>
      </c>
      <c r="M369" s="25">
        <v>-3.1260941850842698E-3</v>
      </c>
      <c r="N369" s="25">
        <v>-5.0546389421760101E-3</v>
      </c>
      <c r="O369" s="25">
        <v>3.9093627129048897E-4</v>
      </c>
      <c r="P369" s="25">
        <v>5.0883699496529301E-2</v>
      </c>
      <c r="Q369" s="25">
        <v>4.9723966315152E-3</v>
      </c>
      <c r="R369" s="25">
        <v>-2.95522138203499E-2</v>
      </c>
      <c r="S369" s="25">
        <v>2.5147762852973602E-4</v>
      </c>
      <c r="T369" s="25">
        <v>1.80944191956392E-2</v>
      </c>
      <c r="U369" s="25">
        <v>-5.4527099357347796E-3</v>
      </c>
      <c r="V369" s="25">
        <v>8.2165942093333205E-3</v>
      </c>
      <c r="W369" s="25">
        <v>4.6054090524706798E-2</v>
      </c>
    </row>
    <row r="371" spans="4:23" ht="15" customHeight="1" x14ac:dyDescent="0.25">
      <c r="D371" s="12" t="s">
        <v>874</v>
      </c>
    </row>
    <row r="372" spans="4:23" x14ac:dyDescent="0.2">
      <c r="E372" s="1730" t="s">
        <v>859</v>
      </c>
      <c r="F372" s="1730" t="s">
        <v>860</v>
      </c>
      <c r="G372" s="1730" t="s">
        <v>875</v>
      </c>
      <c r="H372" s="1470" t="s">
        <v>862</v>
      </c>
      <c r="I372" s="1470"/>
      <c r="J372" s="1470"/>
      <c r="K372" s="1470" t="s">
        <v>863</v>
      </c>
      <c r="L372" s="1470"/>
      <c r="M372" s="1470"/>
      <c r="N372" s="1470" t="s">
        <v>864</v>
      </c>
      <c r="O372" s="1470"/>
      <c r="P372" s="1470"/>
      <c r="Q372" s="17" t="s">
        <v>865</v>
      </c>
      <c r="R372" s="17" t="s">
        <v>862</v>
      </c>
      <c r="S372" s="17" t="s">
        <v>865</v>
      </c>
      <c r="T372" s="17" t="s">
        <v>863</v>
      </c>
      <c r="U372" s="1470" t="s">
        <v>866</v>
      </c>
      <c r="V372" s="1470"/>
      <c r="W372" s="1470"/>
    </row>
    <row r="373" spans="4:23" x14ac:dyDescent="0.2">
      <c r="E373" s="1730"/>
      <c r="F373" s="1730"/>
      <c r="G373" s="1730"/>
      <c r="H373" s="17" t="s">
        <v>867</v>
      </c>
      <c r="I373" s="17" t="s">
        <v>868</v>
      </c>
      <c r="J373" s="17" t="s">
        <v>869</v>
      </c>
      <c r="K373" s="17" t="s">
        <v>867</v>
      </c>
      <c r="L373" s="17" t="s">
        <v>868</v>
      </c>
      <c r="M373" s="17" t="s">
        <v>869</v>
      </c>
      <c r="N373" s="17" t="s">
        <v>867</v>
      </c>
      <c r="O373" s="17" t="s">
        <v>868</v>
      </c>
      <c r="P373" s="17" t="s">
        <v>869</v>
      </c>
      <c r="Q373" s="17" t="s">
        <v>867</v>
      </c>
      <c r="R373" s="17" t="s">
        <v>869</v>
      </c>
      <c r="S373" s="17" t="s">
        <v>867</v>
      </c>
      <c r="T373" s="17" t="s">
        <v>869</v>
      </c>
      <c r="U373" s="17" t="s">
        <v>870</v>
      </c>
      <c r="V373" s="17" t="s">
        <v>871</v>
      </c>
      <c r="W373" s="17" t="s">
        <v>872</v>
      </c>
    </row>
    <row r="374" spans="4:23" x14ac:dyDescent="0.2">
      <c r="E374" s="17" t="s">
        <v>862</v>
      </c>
      <c r="F374" s="17" t="s">
        <v>867</v>
      </c>
      <c r="G374" s="25">
        <v>-0.16089999999999999</v>
      </c>
      <c r="H374" s="25">
        <v>1.8080571846737601E-3</v>
      </c>
      <c r="I374" s="25">
        <v>-1.55394881440412E-4</v>
      </c>
      <c r="J374" s="25">
        <v>-4.69913686058501E-3</v>
      </c>
      <c r="K374" s="25">
        <v>-2.0495231573180299E-5</v>
      </c>
      <c r="L374" s="25">
        <v>1.7692323905734601E-6</v>
      </c>
      <c r="M374" s="25">
        <v>4.1383236735034198E-5</v>
      </c>
      <c r="N374" s="25">
        <v>7.2498544523041096E-4</v>
      </c>
      <c r="O374" s="25">
        <v>-4.2994570840074397E-5</v>
      </c>
      <c r="P374" s="25">
        <v>-4.1916332286830102E-3</v>
      </c>
      <c r="Q374" s="25">
        <v>2.43660127142515E-4</v>
      </c>
      <c r="R374" s="25">
        <v>5.5641644029335202E-4</v>
      </c>
      <c r="S374" s="25">
        <v>8.6880145330191893E-6</v>
      </c>
      <c r="T374" s="25">
        <v>-7.5336125427727895E-4</v>
      </c>
      <c r="U374" s="25">
        <v>1.40970939608021E-3</v>
      </c>
      <c r="V374" s="25">
        <v>-3.0592183178307998E-4</v>
      </c>
      <c r="W374" s="25">
        <v>-2.4633262831391198E-3</v>
      </c>
    </row>
    <row r="375" spans="4:23" x14ac:dyDescent="0.2">
      <c r="E375" s="17"/>
      <c r="F375" s="17" t="s">
        <v>868</v>
      </c>
      <c r="G375" s="25">
        <v>1.29E-2</v>
      </c>
      <c r="H375" s="25">
        <v>-1.55394881440412E-4</v>
      </c>
      <c r="I375" s="25">
        <v>1.3729334033206501E-5</v>
      </c>
      <c r="J375" s="25">
        <v>3.8998905487688698E-4</v>
      </c>
      <c r="K375" s="25">
        <v>1.15986392145827E-6</v>
      </c>
      <c r="L375" s="25">
        <v>-9.6203795448617994E-8</v>
      </c>
      <c r="M375" s="25">
        <v>-2.2847078619997699E-6</v>
      </c>
      <c r="N375" s="25">
        <v>-5.6485066546029997E-5</v>
      </c>
      <c r="O375" s="25">
        <v>3.2865312911684701E-6</v>
      </c>
      <c r="P375" s="25">
        <v>3.31297591343349E-4</v>
      </c>
      <c r="Q375" s="25">
        <v>-1.7312550482045899E-5</v>
      </c>
      <c r="R375" s="25">
        <v>-6.9386351073845697E-5</v>
      </c>
      <c r="S375" s="25">
        <v>3.5886203784782498E-7</v>
      </c>
      <c r="T375" s="25">
        <v>4.9570186920048302E-5</v>
      </c>
      <c r="U375" s="25">
        <v>-1.09852868343991E-4</v>
      </c>
      <c r="V375" s="25">
        <v>1.8626205438212101E-5</v>
      </c>
      <c r="W375" s="25">
        <v>1.9643371793750901E-4</v>
      </c>
    </row>
    <row r="376" spans="4:23" x14ac:dyDescent="0.2">
      <c r="E376" s="17"/>
      <c r="F376" s="17" t="s">
        <v>869</v>
      </c>
      <c r="G376" s="25">
        <v>0.56599999999999995</v>
      </c>
      <c r="H376" s="25">
        <v>-4.69913686058501E-3</v>
      </c>
      <c r="I376" s="25">
        <v>3.8998905487688698E-4</v>
      </c>
      <c r="J376" s="25">
        <v>1.2922076450502499E-2</v>
      </c>
      <c r="K376" s="25">
        <v>1.1009363782216E-4</v>
      </c>
      <c r="L376" s="25">
        <v>-1.0402590684109501E-5</v>
      </c>
      <c r="M376" s="25">
        <v>-2.1221368996536999E-4</v>
      </c>
      <c r="N376" s="25">
        <v>-2.35626079994355E-3</v>
      </c>
      <c r="O376" s="25">
        <v>1.4555552535820899E-4</v>
      </c>
      <c r="P376" s="25">
        <v>1.39005433706322E-2</v>
      </c>
      <c r="Q376" s="25">
        <v>-6.6678518867941804E-4</v>
      </c>
      <c r="R376" s="25">
        <v>-9.7429201963720698E-4</v>
      </c>
      <c r="S376" s="25">
        <v>5.0683379737912802E-5</v>
      </c>
      <c r="T376" s="25">
        <v>2.8541928119202699E-3</v>
      </c>
      <c r="U376" s="25">
        <v>-4.3197977493822501E-3</v>
      </c>
      <c r="V376" s="25">
        <v>1.7716366211835101E-3</v>
      </c>
      <c r="W376" s="25">
        <v>8.2152338918358003E-3</v>
      </c>
    </row>
    <row r="377" spans="4:23" x14ac:dyDescent="0.2">
      <c r="E377" s="17" t="s">
        <v>863</v>
      </c>
      <c r="F377" s="17" t="s">
        <v>867</v>
      </c>
      <c r="G377" s="25">
        <v>-8.0000000000000002E-3</v>
      </c>
      <c r="H377" s="25">
        <v>-2.0495231573180299E-5</v>
      </c>
      <c r="I377" s="25">
        <v>1.15986392145827E-6</v>
      </c>
      <c r="J377" s="25">
        <v>1.1009363782216E-4</v>
      </c>
      <c r="K377" s="25">
        <v>1.5398396603995499E-4</v>
      </c>
      <c r="L377" s="25">
        <v>-1.36488145264166E-5</v>
      </c>
      <c r="M377" s="25">
        <v>-3.8417429566630398E-4</v>
      </c>
      <c r="N377" s="25">
        <v>-6.7887830010997696E-4</v>
      </c>
      <c r="O377" s="25">
        <v>5.38490308619695E-5</v>
      </c>
      <c r="P377" s="25">
        <v>3.03714645783587E-3</v>
      </c>
      <c r="Q377" s="25">
        <v>9.2890859246708005E-5</v>
      </c>
      <c r="R377" s="25">
        <v>-4.1686641888641303E-4</v>
      </c>
      <c r="S377" s="25">
        <v>1.35744870622466E-4</v>
      </c>
      <c r="T377" s="25">
        <v>1.70340333384842E-4</v>
      </c>
      <c r="U377" s="25">
        <v>-2.5758118822060203E-4</v>
      </c>
      <c r="V377" s="25">
        <v>7.1096339125569798E-4</v>
      </c>
      <c r="W377" s="25">
        <v>1.24117311711967E-3</v>
      </c>
    </row>
    <row r="378" spans="4:23" x14ac:dyDescent="0.2">
      <c r="E378" s="17"/>
      <c r="F378" s="17" t="s">
        <v>868</v>
      </c>
      <c r="G378" s="25">
        <v>-6.9999999999999999E-4</v>
      </c>
      <c r="H378" s="25">
        <v>1.7692323905734601E-6</v>
      </c>
      <c r="I378" s="25">
        <v>-9.6203795448617994E-8</v>
      </c>
      <c r="J378" s="25">
        <v>-1.0402590684109501E-5</v>
      </c>
      <c r="K378" s="25">
        <v>-1.36488145264166E-5</v>
      </c>
      <c r="L378" s="25">
        <v>1.24910273084314E-6</v>
      </c>
      <c r="M378" s="25">
        <v>3.2643159353158502E-5</v>
      </c>
      <c r="N378" s="25">
        <v>6.4439408960344604E-5</v>
      </c>
      <c r="O378" s="25">
        <v>-5.1622040645119897E-6</v>
      </c>
      <c r="P378" s="25">
        <v>-2.9380927250621097E-4</v>
      </c>
      <c r="Q378" s="25">
        <v>-9.3762880018346403E-6</v>
      </c>
      <c r="R378" s="25">
        <v>3.9964540563623098E-5</v>
      </c>
      <c r="S378" s="25">
        <v>-1.1841706886419E-5</v>
      </c>
      <c r="T378" s="25">
        <v>-3.1713033390998299E-5</v>
      </c>
      <c r="U378" s="25">
        <v>2.3729404294287999E-5</v>
      </c>
      <c r="V378" s="25">
        <v>-7.5703498485861994E-5</v>
      </c>
      <c r="W378" s="25">
        <v>-1.2460815121457101E-4</v>
      </c>
    </row>
    <row r="379" spans="4:23" x14ac:dyDescent="0.2">
      <c r="E379" s="17"/>
      <c r="F379" s="17" t="s">
        <v>869</v>
      </c>
      <c r="G379" s="25">
        <v>0.85019999999999996</v>
      </c>
      <c r="H379" s="25">
        <v>4.1383236735034198E-5</v>
      </c>
      <c r="I379" s="25">
        <v>-2.2847078619997699E-6</v>
      </c>
      <c r="J379" s="25">
        <v>-2.1221368996536999E-4</v>
      </c>
      <c r="K379" s="25">
        <v>-3.8417429566630398E-4</v>
      </c>
      <c r="L379" s="25">
        <v>3.2643159353158502E-5</v>
      </c>
      <c r="M379" s="25">
        <v>1.0195866403982299E-3</v>
      </c>
      <c r="N379" s="25">
        <v>1.5219765139650101E-3</v>
      </c>
      <c r="O379" s="25">
        <v>-1.1974717149201399E-4</v>
      </c>
      <c r="P379" s="25">
        <v>-6.5404523917107302E-3</v>
      </c>
      <c r="Q379" s="25">
        <v>-2.01913638339085E-4</v>
      </c>
      <c r="R379" s="25">
        <v>9.1935163967210305E-4</v>
      </c>
      <c r="S379" s="25">
        <v>-3.5444877190104302E-4</v>
      </c>
      <c r="T379" s="25">
        <v>3.1166800090718901E-4</v>
      </c>
      <c r="U379" s="25">
        <v>5.5802053815186302E-4</v>
      </c>
      <c r="V379" s="25">
        <v>-1.25776941422995E-3</v>
      </c>
      <c r="W379" s="25">
        <v>-2.4528365237587498E-3</v>
      </c>
    </row>
    <row r="380" spans="4:23" x14ac:dyDescent="0.2">
      <c r="E380" s="17" t="s">
        <v>864</v>
      </c>
      <c r="F380" s="17" t="s">
        <v>867</v>
      </c>
      <c r="G380" s="25">
        <v>-3.1600000000000003E-2</v>
      </c>
      <c r="H380" s="25">
        <v>7.2498544523041096E-4</v>
      </c>
      <c r="I380" s="25">
        <v>-5.6485066546029997E-5</v>
      </c>
      <c r="J380" s="25">
        <v>-2.35626079994355E-3</v>
      </c>
      <c r="K380" s="25">
        <v>-6.7887830010997696E-4</v>
      </c>
      <c r="L380" s="25">
        <v>6.4439408960344604E-5</v>
      </c>
      <c r="M380" s="25">
        <v>1.5219765139650101E-3</v>
      </c>
      <c r="N380" s="25">
        <v>1.13858914551752E-2</v>
      </c>
      <c r="O380" s="25">
        <v>-9.3192723857060602E-4</v>
      </c>
      <c r="P380" s="25">
        <v>-4.5727711856731197E-2</v>
      </c>
      <c r="Q380" s="25">
        <v>-4.7085296099238399E-4</v>
      </c>
      <c r="R380" s="25">
        <v>4.5059996437656E-3</v>
      </c>
      <c r="S380" s="25">
        <v>-3.8789136821902999E-4</v>
      </c>
      <c r="T380" s="25">
        <v>-8.6029963342016298E-3</v>
      </c>
      <c r="U380" s="25">
        <v>4.6062922930584296E-3</v>
      </c>
      <c r="V380" s="25">
        <v>-7.6831281682289802E-3</v>
      </c>
      <c r="W380" s="25">
        <v>-1.73519590055757E-2</v>
      </c>
    </row>
    <row r="381" spans="4:23" x14ac:dyDescent="0.2">
      <c r="E381" s="17"/>
      <c r="F381" s="17" t="s">
        <v>868</v>
      </c>
      <c r="G381" s="25">
        <v>-5.1000000000000004E-3</v>
      </c>
      <c r="H381" s="25">
        <v>-4.2994570840074397E-5</v>
      </c>
      <c r="I381" s="25">
        <v>3.2865312911684701E-6</v>
      </c>
      <c r="J381" s="25">
        <v>1.4555552535820899E-4</v>
      </c>
      <c r="K381" s="25">
        <v>5.38490308619695E-5</v>
      </c>
      <c r="L381" s="25">
        <v>-5.1622040645119897E-6</v>
      </c>
      <c r="M381" s="25">
        <v>-1.1974717149201399E-4</v>
      </c>
      <c r="N381" s="25">
        <v>-9.3192723857060602E-4</v>
      </c>
      <c r="O381" s="25">
        <v>7.9730590942627606E-5</v>
      </c>
      <c r="P381" s="25">
        <v>3.4831447961371398E-3</v>
      </c>
      <c r="Q381" s="25">
        <v>6.6826562961507801E-5</v>
      </c>
      <c r="R381" s="25">
        <v>-4.82915286976749E-4</v>
      </c>
      <c r="S381" s="25">
        <v>4.4417772321426198E-5</v>
      </c>
      <c r="T381" s="25">
        <v>5.4994532308373395E-4</v>
      </c>
      <c r="U381" s="25">
        <v>-3.2138487239015699E-4</v>
      </c>
      <c r="V381" s="25">
        <v>5.7332860014150703E-4</v>
      </c>
      <c r="W381" s="25">
        <v>1.2390458326798899E-3</v>
      </c>
    </row>
    <row r="382" spans="4:23" x14ac:dyDescent="0.2">
      <c r="E382" s="17"/>
      <c r="F382" s="17" t="s">
        <v>869</v>
      </c>
      <c r="G382" s="25">
        <v>1.8193999999999999</v>
      </c>
      <c r="H382" s="25">
        <v>-4.1916332286830102E-3</v>
      </c>
      <c r="I382" s="25">
        <v>3.31297591343349E-4</v>
      </c>
      <c r="J382" s="25">
        <v>1.39005433706322E-2</v>
      </c>
      <c r="K382" s="25">
        <v>3.03714645783587E-3</v>
      </c>
      <c r="L382" s="25">
        <v>-2.9380927250621097E-4</v>
      </c>
      <c r="M382" s="25">
        <v>-6.5404523917107302E-3</v>
      </c>
      <c r="N382" s="25">
        <v>-4.5727711856731197E-2</v>
      </c>
      <c r="O382" s="25">
        <v>3.4831447961371398E-3</v>
      </c>
      <c r="P382" s="25">
        <v>0.22092026381993499</v>
      </c>
      <c r="Q382" s="25">
        <v>2.62782787645511E-3</v>
      </c>
      <c r="R382" s="25">
        <v>-2.2972883924965701E-2</v>
      </c>
      <c r="S382" s="25">
        <v>2.27885855505096E-3</v>
      </c>
      <c r="T382" s="25">
        <v>5.1694503049017203E-2</v>
      </c>
      <c r="U382" s="25">
        <v>-2.4660474962010001E-2</v>
      </c>
      <c r="V382" s="25">
        <v>4.5108773351574399E-2</v>
      </c>
      <c r="W382" s="25">
        <v>0.102106928289112</v>
      </c>
    </row>
    <row r="383" spans="4:23" x14ac:dyDescent="0.2">
      <c r="E383" s="17" t="s">
        <v>865</v>
      </c>
      <c r="F383" s="17" t="s">
        <v>867</v>
      </c>
      <c r="G383" s="25">
        <v>0.28039999999999998</v>
      </c>
      <c r="H383" s="25">
        <v>2.43660127142515E-4</v>
      </c>
      <c r="I383" s="25">
        <v>-1.7312550482045899E-5</v>
      </c>
      <c r="J383" s="25">
        <v>-6.6678518867941804E-4</v>
      </c>
      <c r="K383" s="25">
        <v>9.2890859246708005E-5</v>
      </c>
      <c r="L383" s="25">
        <v>-9.3762880018346403E-6</v>
      </c>
      <c r="M383" s="25">
        <v>-2.01913638339085E-4</v>
      </c>
      <c r="N383" s="25">
        <v>-4.7085296099238399E-4</v>
      </c>
      <c r="O383" s="25">
        <v>6.6826562961507801E-5</v>
      </c>
      <c r="P383" s="25">
        <v>2.62782787645511E-3</v>
      </c>
      <c r="Q383" s="25">
        <v>3.75620898511979E-3</v>
      </c>
      <c r="R383" s="25">
        <v>-2.0564068084976701E-2</v>
      </c>
      <c r="S383" s="25">
        <v>9.8761301789045E-4</v>
      </c>
      <c r="T383" s="25">
        <v>-3.1936508494494502E-3</v>
      </c>
      <c r="U383" s="25">
        <v>7.8281145299139603E-7</v>
      </c>
      <c r="V383" s="25">
        <v>1.29025173814629E-3</v>
      </c>
      <c r="W383" s="25">
        <v>2.43439635247922E-3</v>
      </c>
    </row>
    <row r="384" spans="4:23" x14ac:dyDescent="0.2">
      <c r="E384" s="17" t="s">
        <v>862</v>
      </c>
      <c r="F384" s="17" t="s">
        <v>869</v>
      </c>
      <c r="G384" s="25">
        <v>-4.3365999999999998</v>
      </c>
      <c r="H384" s="25">
        <v>5.5641644029335202E-4</v>
      </c>
      <c r="I384" s="25">
        <v>-6.9386351073845697E-5</v>
      </c>
      <c r="J384" s="25">
        <v>-9.7429201963720698E-4</v>
      </c>
      <c r="K384" s="25">
        <v>-4.1686641888641303E-4</v>
      </c>
      <c r="L384" s="25">
        <v>3.9964540563623098E-5</v>
      </c>
      <c r="M384" s="25">
        <v>9.1935163967210305E-4</v>
      </c>
      <c r="N384" s="25">
        <v>4.5059996437656E-3</v>
      </c>
      <c r="O384" s="25">
        <v>-4.82915286976749E-4</v>
      </c>
      <c r="P384" s="25">
        <v>-2.2972883924965701E-2</v>
      </c>
      <c r="Q384" s="25">
        <v>-2.0564068084976701E-2</v>
      </c>
      <c r="R384" s="25">
        <v>0.13527770771985301</v>
      </c>
      <c r="S384" s="25">
        <v>-5.2016997864494704E-3</v>
      </c>
      <c r="T384" s="25">
        <v>2.1670031323066101E-2</v>
      </c>
      <c r="U384" s="25">
        <v>7.3658674209258401E-3</v>
      </c>
      <c r="V384" s="25">
        <v>-2.92680780215841E-3</v>
      </c>
      <c r="W384" s="25">
        <v>-2.05436877294718E-2</v>
      </c>
    </row>
    <row r="385" spans="5:23" x14ac:dyDescent="0.2">
      <c r="E385" s="17" t="s">
        <v>865</v>
      </c>
      <c r="F385" s="17" t="s">
        <v>867</v>
      </c>
      <c r="G385" s="25">
        <v>0.14449999999999999</v>
      </c>
      <c r="H385" s="25">
        <v>8.6880145330191893E-6</v>
      </c>
      <c r="I385" s="25">
        <v>3.5886203784782498E-7</v>
      </c>
      <c r="J385" s="25">
        <v>5.0683379737912802E-5</v>
      </c>
      <c r="K385" s="25">
        <v>1.35744870622466E-4</v>
      </c>
      <c r="L385" s="25">
        <v>-1.1841706886419E-5</v>
      </c>
      <c r="M385" s="25">
        <v>-3.5444877190104302E-4</v>
      </c>
      <c r="N385" s="25">
        <v>-3.8789136821902999E-4</v>
      </c>
      <c r="O385" s="25">
        <v>4.4417772321426198E-5</v>
      </c>
      <c r="P385" s="25">
        <v>2.27885855505096E-3</v>
      </c>
      <c r="Q385" s="25">
        <v>9.8761301789045E-4</v>
      </c>
      <c r="R385" s="25">
        <v>-5.2016997864494704E-3</v>
      </c>
      <c r="S385" s="25">
        <v>1.2857708004176201E-3</v>
      </c>
      <c r="T385" s="25">
        <v>-5.6697948200504899E-3</v>
      </c>
      <c r="U385" s="25">
        <v>-3.4503983174851701E-4</v>
      </c>
      <c r="V385" s="25">
        <v>8.1045988234981303E-4</v>
      </c>
      <c r="W385" s="25">
        <v>1.83133956149149E-3</v>
      </c>
    </row>
    <row r="386" spans="5:23" x14ac:dyDescent="0.2">
      <c r="E386" s="17" t="s">
        <v>863</v>
      </c>
      <c r="F386" s="17" t="s">
        <v>869</v>
      </c>
      <c r="G386" s="25">
        <v>-1.5277000000000001</v>
      </c>
      <c r="H386" s="25">
        <v>-7.5336125427727895E-4</v>
      </c>
      <c r="I386" s="25">
        <v>4.9570186920048302E-5</v>
      </c>
      <c r="J386" s="25">
        <v>2.8541928119202699E-3</v>
      </c>
      <c r="K386" s="25">
        <v>1.70340333384842E-4</v>
      </c>
      <c r="L386" s="25">
        <v>-3.1713033390998299E-5</v>
      </c>
      <c r="M386" s="25">
        <v>3.1166800090718901E-4</v>
      </c>
      <c r="N386" s="25">
        <v>-8.6029963342016298E-3</v>
      </c>
      <c r="O386" s="25">
        <v>5.4994532308373395E-4</v>
      </c>
      <c r="P386" s="25">
        <v>5.1694503049017203E-2</v>
      </c>
      <c r="Q386" s="25">
        <v>-3.1936508494494502E-3</v>
      </c>
      <c r="R386" s="25">
        <v>2.1670031323066101E-2</v>
      </c>
      <c r="S386" s="25">
        <v>-5.6697948200504899E-3</v>
      </c>
      <c r="T386" s="25">
        <v>5.43623781150663E-2</v>
      </c>
      <c r="U386" s="25">
        <v>-3.09975120152338E-3</v>
      </c>
      <c r="V386" s="25">
        <v>1.66892820314486E-2</v>
      </c>
      <c r="W386" s="25">
        <v>2.4409628846908501E-2</v>
      </c>
    </row>
    <row r="387" spans="5:23" x14ac:dyDescent="0.2">
      <c r="E387" s="17"/>
      <c r="F387" s="17" t="s">
        <v>870</v>
      </c>
      <c r="G387" s="25">
        <v>0.114</v>
      </c>
      <c r="H387" s="25">
        <v>1.40970939608021E-3</v>
      </c>
      <c r="I387" s="25">
        <v>-1.09852868343991E-4</v>
      </c>
      <c r="J387" s="25">
        <v>-4.3197977493822501E-3</v>
      </c>
      <c r="K387" s="25">
        <v>-2.5758118822060203E-4</v>
      </c>
      <c r="L387" s="25">
        <v>2.3729404294287999E-5</v>
      </c>
      <c r="M387" s="25">
        <v>5.5802053815186302E-4</v>
      </c>
      <c r="N387" s="25">
        <v>4.6062922930584296E-3</v>
      </c>
      <c r="O387" s="25">
        <v>-3.2138487239015699E-4</v>
      </c>
      <c r="P387" s="25">
        <v>-2.4660474962010001E-2</v>
      </c>
      <c r="Q387" s="25">
        <v>7.8281145299139603E-7</v>
      </c>
      <c r="R387" s="25">
        <v>7.3658674209258401E-3</v>
      </c>
      <c r="S387" s="25">
        <v>-3.4503983174851701E-4</v>
      </c>
      <c r="T387" s="25">
        <v>-3.09975120152338E-3</v>
      </c>
      <c r="U387" s="25">
        <v>1.3271590649783199E-2</v>
      </c>
      <c r="V387" s="25">
        <v>-2.9432939805351999E-3</v>
      </c>
      <c r="W387" s="25">
        <v>-1.4526821389652601E-2</v>
      </c>
    </row>
    <row r="388" spans="5:23" x14ac:dyDescent="0.2">
      <c r="E388" s="17"/>
      <c r="F388" s="17" t="s">
        <v>871</v>
      </c>
      <c r="G388" s="25">
        <v>6.9400000000000003E-2</v>
      </c>
      <c r="H388" s="25">
        <v>-3.0592183178307998E-4</v>
      </c>
      <c r="I388" s="25">
        <v>1.8626205438212101E-5</v>
      </c>
      <c r="J388" s="25">
        <v>1.7716366211835101E-3</v>
      </c>
      <c r="K388" s="25">
        <v>7.1096339125569798E-4</v>
      </c>
      <c r="L388" s="25">
        <v>-7.5703498485861994E-5</v>
      </c>
      <c r="M388" s="25">
        <v>-1.25776941422995E-3</v>
      </c>
      <c r="N388" s="25">
        <v>-7.6831281682289802E-3</v>
      </c>
      <c r="O388" s="25">
        <v>5.7332860014150703E-4</v>
      </c>
      <c r="P388" s="25">
        <v>4.5108773351574399E-2</v>
      </c>
      <c r="Q388" s="25">
        <v>1.29025173814629E-3</v>
      </c>
      <c r="R388" s="25">
        <v>-2.92680780215841E-3</v>
      </c>
      <c r="S388" s="25">
        <v>8.1045988234981303E-4</v>
      </c>
      <c r="T388" s="25">
        <v>1.66892820314486E-2</v>
      </c>
      <c r="U388" s="25">
        <v>-2.9432939805351999E-3</v>
      </c>
      <c r="V388" s="25">
        <v>1.72254773943738E-2</v>
      </c>
      <c r="W388" s="25">
        <v>2.35021382458683E-2</v>
      </c>
    </row>
    <row r="389" spans="5:23" x14ac:dyDescent="0.2">
      <c r="E389" s="17"/>
      <c r="F389" s="17" t="s">
        <v>872</v>
      </c>
      <c r="G389" s="25">
        <v>0.54020000000000001</v>
      </c>
      <c r="H389" s="25">
        <v>-2.4633262831391198E-3</v>
      </c>
      <c r="I389" s="25">
        <v>1.9643371793750901E-4</v>
      </c>
      <c r="J389" s="25">
        <v>8.2152338918358003E-3</v>
      </c>
      <c r="K389" s="25">
        <v>1.24117311711967E-3</v>
      </c>
      <c r="L389" s="25">
        <v>-1.2460815121457101E-4</v>
      </c>
      <c r="M389" s="25">
        <v>-2.4528365237587498E-3</v>
      </c>
      <c r="N389" s="25">
        <v>-1.73519590055757E-2</v>
      </c>
      <c r="O389" s="25">
        <v>1.2390458326798899E-3</v>
      </c>
      <c r="P389" s="25">
        <v>0.102106928289112</v>
      </c>
      <c r="Q389" s="25">
        <v>2.43439635247922E-3</v>
      </c>
      <c r="R389" s="25">
        <v>-2.05436877294718E-2</v>
      </c>
      <c r="S389" s="25">
        <v>1.83133956149149E-3</v>
      </c>
      <c r="T389" s="25">
        <v>2.4409628846908501E-2</v>
      </c>
      <c r="U389" s="25">
        <v>-1.4526821389652601E-2</v>
      </c>
      <c r="V389" s="25">
        <v>2.35021382458683E-2</v>
      </c>
      <c r="W389" s="25">
        <v>5.8401293379959897E-2</v>
      </c>
    </row>
  </sheetData>
  <mergeCells count="32">
    <mergeCell ref="D341:F341"/>
    <mergeCell ref="E352:E353"/>
    <mergeCell ref="F352:F353"/>
    <mergeCell ref="BE7:BM7"/>
    <mergeCell ref="G352:G353"/>
    <mergeCell ref="H352:J352"/>
    <mergeCell ref="K352:M352"/>
    <mergeCell ref="N352:P352"/>
    <mergeCell ref="U352:W352"/>
    <mergeCell ref="H96:J96"/>
    <mergeCell ref="D310:F310"/>
    <mergeCell ref="D311:F311"/>
    <mergeCell ref="H14:J14"/>
    <mergeCell ref="H30:J30"/>
    <mergeCell ref="H46:J46"/>
    <mergeCell ref="D334:F334"/>
    <mergeCell ref="N372:P372"/>
    <mergeCell ref="U372:W372"/>
    <mergeCell ref="E372:E373"/>
    <mergeCell ref="F372:F373"/>
    <mergeCell ref="G372:G373"/>
    <mergeCell ref="H372:J372"/>
    <mergeCell ref="K372:M372"/>
    <mergeCell ref="T6:U6"/>
    <mergeCell ref="W6:X6"/>
    <mergeCell ref="H64:J64"/>
    <mergeCell ref="H80:J80"/>
    <mergeCell ref="K6:L6"/>
    <mergeCell ref="N6:O6"/>
    <mergeCell ref="Q6:R6"/>
    <mergeCell ref="H10:J10"/>
    <mergeCell ref="Q10:S10"/>
  </mergeCells>
  <dataValidations count="2">
    <dataValidation type="list" allowBlank="1" showInputMessage="1" showErrorMessage="1" sqref="H10:J10" xr:uid="{9999F763-4CD1-4363-894A-F06EBA2831D6}">
      <formula1>List_sc_util</formula1>
    </dataValidation>
    <dataValidation type="list" allowBlank="1" showInputMessage="1" showErrorMessage="1" sqref="Q10:S10" xr:uid="{3A6F9E98-7266-46EA-AF07-BE0287F26111}">
      <formula1>List_BSC_util_options</formula1>
    </dataValidation>
  </dataValidations>
  <hyperlinks>
    <hyperlink ref="D2" location="'Navigation control'!A1" display="Navigation control" xr:uid="{8571F050-6A2B-4DEC-A951-92EAB64892D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Lists!$H$11:$H$12</xm:f>
          </x14:formula1>
          <x14:formula2>
            <xm:f>0</xm:f>
          </x14:formula2>
          <xm:sqref>I348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0" tint="-0.249977111117893"/>
  </sheetPr>
  <dimension ref="B1:AT104"/>
  <sheetViews>
    <sheetView showGridLines="0" zoomScale="90" zoomScaleNormal="90" workbookViewId="0">
      <pane xSplit="4" topLeftCell="E1" activePane="topRight" state="frozen"/>
      <selection pane="topRight" activeCell="F107" sqref="F107"/>
    </sheetView>
  </sheetViews>
  <sheetFormatPr defaultColWidth="8.5703125" defaultRowHeight="15" x14ac:dyDescent="0.25"/>
  <cols>
    <col min="2" max="2" width="29.28515625" style="31" customWidth="1"/>
    <col min="3" max="3" width="16.5703125" bestFit="1" customWidth="1"/>
    <col min="4" max="4" width="93.28515625" bestFit="1" customWidth="1"/>
    <col min="5" max="5" width="16.7109375" customWidth="1"/>
    <col min="6" max="6" width="23.7109375" bestFit="1" customWidth="1"/>
    <col min="7" max="7" width="35.28515625" bestFit="1" customWidth="1"/>
    <col min="8" max="8" width="42.42578125" style="30" bestFit="1" customWidth="1"/>
    <col min="9" max="10" width="25.42578125" customWidth="1"/>
    <col min="11" max="11" width="25.42578125" style="30" customWidth="1"/>
    <col min="12" max="13" width="25.42578125" customWidth="1"/>
    <col min="14" max="14" width="25.42578125" style="30" customWidth="1"/>
    <col min="15" max="16" width="25.42578125" customWidth="1"/>
    <col min="17" max="17" width="25.42578125" style="30" customWidth="1"/>
    <col min="18" max="19" width="25.42578125" customWidth="1"/>
    <col min="20" max="26" width="25.42578125" style="30" customWidth="1"/>
    <col min="27" max="27" width="23.7109375" bestFit="1" customWidth="1"/>
    <col min="28" max="28" width="34.28515625" bestFit="1" customWidth="1"/>
    <col min="29" max="29" width="36.5703125" style="30" bestFit="1" customWidth="1"/>
    <col min="30" max="30" width="21.28515625" bestFit="1" customWidth="1"/>
    <col min="31" max="31" width="23.28515625" bestFit="1" customWidth="1"/>
    <col min="32" max="32" width="36.5703125" bestFit="1" customWidth="1"/>
    <col min="33" max="36" width="21.42578125" customWidth="1"/>
    <col min="37" max="37" width="23.28515625" bestFit="1" customWidth="1"/>
    <col min="38" max="39" width="21.42578125" customWidth="1"/>
    <col min="40" max="40" width="23.28515625" bestFit="1" customWidth="1"/>
    <col min="41" max="42" width="21.42578125" customWidth="1"/>
    <col min="43" max="43" width="28" bestFit="1" customWidth="1"/>
    <col min="44" max="45" width="21.42578125" customWidth="1"/>
    <col min="46" max="46" width="33.5703125" style="30" customWidth="1"/>
    <col min="2003" max="2003" width="2.5703125" customWidth="1"/>
  </cols>
  <sheetData>
    <row r="1" spans="2:46" s="37" customFormat="1" ht="15.75" x14ac:dyDescent="0.25">
      <c r="B1" s="1032"/>
      <c r="H1" s="498"/>
      <c r="K1" s="498"/>
      <c r="N1" s="498"/>
      <c r="Q1" s="498"/>
      <c r="R1" s="53"/>
      <c r="S1" s="53"/>
      <c r="T1" s="507"/>
      <c r="U1" s="507"/>
      <c r="V1" s="507"/>
      <c r="W1" s="507"/>
      <c r="X1" s="507"/>
      <c r="Y1" s="507"/>
      <c r="Z1" s="507"/>
      <c r="AC1" s="498"/>
      <c r="AM1" s="53"/>
      <c r="AN1" s="53"/>
      <c r="AO1" s="53"/>
      <c r="AP1" s="53"/>
      <c r="AQ1" s="53"/>
      <c r="AR1" s="53"/>
      <c r="AS1" s="53"/>
      <c r="AT1" s="498"/>
    </row>
    <row r="2" spans="2:46" s="41" customFormat="1" ht="18" x14ac:dyDescent="0.25">
      <c r="B2" s="38"/>
      <c r="C2" s="39"/>
      <c r="D2" s="40" t="s">
        <v>11</v>
      </c>
      <c r="E2" s="39"/>
      <c r="F2" s="38"/>
      <c r="G2" s="39"/>
      <c r="H2" s="499"/>
      <c r="I2" s="38"/>
      <c r="J2" s="39"/>
      <c r="K2" s="499"/>
      <c r="L2" s="38"/>
      <c r="M2" s="39"/>
      <c r="N2" s="499"/>
      <c r="O2" s="38"/>
      <c r="P2" s="39"/>
      <c r="Q2" s="499"/>
      <c r="R2" s="1062"/>
      <c r="S2" s="55"/>
      <c r="T2" s="509"/>
      <c r="U2" s="509"/>
      <c r="V2" s="509"/>
      <c r="W2" s="509"/>
      <c r="X2" s="509"/>
      <c r="Y2" s="509"/>
      <c r="Z2" s="509"/>
      <c r="AA2" s="38"/>
      <c r="AB2" s="39"/>
      <c r="AC2" s="499"/>
      <c r="AD2" s="38"/>
      <c r="AE2" s="39"/>
      <c r="AF2" s="38"/>
      <c r="AG2" s="38"/>
      <c r="AH2" s="39"/>
      <c r="AI2" s="39"/>
      <c r="AJ2" s="38"/>
      <c r="AK2" s="39"/>
      <c r="AM2" s="1062"/>
      <c r="AN2" s="55"/>
      <c r="AO2" s="57"/>
      <c r="AP2" s="57"/>
      <c r="AQ2" s="57"/>
      <c r="AR2" s="57"/>
      <c r="AS2" s="57"/>
      <c r="AT2" s="500"/>
    </row>
    <row r="3" spans="2:46" s="41" customFormat="1" ht="15.75" x14ac:dyDescent="0.25">
      <c r="H3" s="500"/>
      <c r="K3" s="500"/>
      <c r="N3" s="500"/>
      <c r="Q3" s="500"/>
      <c r="R3" s="57"/>
      <c r="S3" s="57"/>
      <c r="T3" s="510"/>
      <c r="U3" s="510"/>
      <c r="V3" s="510"/>
      <c r="W3" s="510"/>
      <c r="X3" s="510"/>
      <c r="Y3" s="510"/>
      <c r="Z3" s="510"/>
      <c r="AC3" s="500"/>
      <c r="AM3" s="57"/>
      <c r="AN3" s="57"/>
      <c r="AO3" s="57"/>
      <c r="AP3" s="57"/>
      <c r="AQ3" s="57"/>
      <c r="AR3" s="57"/>
      <c r="AS3" s="57"/>
      <c r="AT3" s="500"/>
    </row>
    <row r="8" spans="2:46" ht="45" x14ac:dyDescent="0.25">
      <c r="F8" s="1747" t="s">
        <v>876</v>
      </c>
      <c r="G8" s="1747"/>
      <c r="H8" s="1747"/>
      <c r="I8" s="1747" t="s">
        <v>877</v>
      </c>
      <c r="J8" s="1747"/>
      <c r="K8" s="1747"/>
      <c r="L8" s="1747" t="s">
        <v>878</v>
      </c>
      <c r="M8" s="1747"/>
      <c r="N8" s="1747"/>
      <c r="O8" s="1747" t="s">
        <v>879</v>
      </c>
      <c r="P8" s="1747"/>
      <c r="Q8" s="1747"/>
      <c r="R8" s="1750" t="s">
        <v>880</v>
      </c>
      <c r="S8" s="1750"/>
      <c r="T8" s="1750"/>
      <c r="U8" s="1750" t="s">
        <v>881</v>
      </c>
      <c r="V8" s="1750"/>
      <c r="W8" s="1750"/>
      <c r="X8" s="1750" t="s">
        <v>1769</v>
      </c>
      <c r="Y8" s="1750"/>
      <c r="Z8" s="1750"/>
      <c r="AA8" s="1747" t="s">
        <v>882</v>
      </c>
      <c r="AB8" s="1747"/>
      <c r="AC8" s="1747"/>
      <c r="AD8" s="1747" t="s">
        <v>883</v>
      </c>
      <c r="AE8" s="1747"/>
      <c r="AF8" s="1747"/>
      <c r="AG8" s="1747" t="s">
        <v>884</v>
      </c>
      <c r="AH8" s="1747"/>
      <c r="AI8" s="1747"/>
      <c r="AJ8" s="1747" t="s">
        <v>885</v>
      </c>
      <c r="AK8" s="1747"/>
      <c r="AL8" s="1747"/>
      <c r="AM8" s="1750" t="s">
        <v>886</v>
      </c>
      <c r="AN8" s="1750"/>
      <c r="AO8" s="1750"/>
      <c r="AP8" s="1750" t="s">
        <v>887</v>
      </c>
      <c r="AQ8" s="1750"/>
      <c r="AR8" s="1750"/>
      <c r="AS8" s="1106" t="s">
        <v>888</v>
      </c>
      <c r="AT8" s="1106" t="s">
        <v>889</v>
      </c>
    </row>
    <row r="9" spans="2:46" x14ac:dyDescent="0.25">
      <c r="C9" s="1093">
        <v>0</v>
      </c>
      <c r="D9" s="1094" t="s">
        <v>890</v>
      </c>
      <c r="E9" s="26" t="s">
        <v>891</v>
      </c>
      <c r="F9" s="501" t="s">
        <v>892</v>
      </c>
      <c r="G9" s="501" t="s">
        <v>893</v>
      </c>
      <c r="H9" s="501" t="s">
        <v>894</v>
      </c>
      <c r="I9" s="501" t="s">
        <v>892</v>
      </c>
      <c r="J9" s="501" t="s">
        <v>893</v>
      </c>
      <c r="K9" s="501" t="s">
        <v>894</v>
      </c>
      <c r="L9" s="501" t="s">
        <v>892</v>
      </c>
      <c r="M9" s="501" t="s">
        <v>893</v>
      </c>
      <c r="N9" s="501" t="s">
        <v>894</v>
      </c>
      <c r="O9" s="501" t="s">
        <v>892</v>
      </c>
      <c r="P9" s="501" t="s">
        <v>893</v>
      </c>
      <c r="Q9" s="501" t="s">
        <v>894</v>
      </c>
      <c r="R9" s="501" t="s">
        <v>892</v>
      </c>
      <c r="S9" s="501" t="s">
        <v>893</v>
      </c>
      <c r="T9" s="501" t="s">
        <v>894</v>
      </c>
      <c r="U9" s="501" t="s">
        <v>892</v>
      </c>
      <c r="V9" s="501" t="s">
        <v>893</v>
      </c>
      <c r="W9" s="501" t="s">
        <v>894</v>
      </c>
      <c r="X9" s="501" t="s">
        <v>892</v>
      </c>
      <c r="Y9" s="501" t="s">
        <v>893</v>
      </c>
      <c r="Z9" s="501" t="s">
        <v>894</v>
      </c>
      <c r="AA9" s="501" t="s">
        <v>892</v>
      </c>
      <c r="AB9" s="501" t="s">
        <v>893</v>
      </c>
      <c r="AC9" s="501" t="s">
        <v>894</v>
      </c>
      <c r="AD9" s="501" t="s">
        <v>892</v>
      </c>
      <c r="AE9" s="501" t="s">
        <v>893</v>
      </c>
      <c r="AF9" s="501" t="s">
        <v>894</v>
      </c>
      <c r="AG9" s="501" t="s">
        <v>892</v>
      </c>
      <c r="AH9" s="501" t="s">
        <v>893</v>
      </c>
      <c r="AI9" s="501" t="s">
        <v>894</v>
      </c>
      <c r="AJ9" s="501" t="s">
        <v>892</v>
      </c>
      <c r="AK9" s="501" t="s">
        <v>893</v>
      </c>
      <c r="AL9" s="501" t="s">
        <v>894</v>
      </c>
      <c r="AM9" s="501" t="s">
        <v>892</v>
      </c>
      <c r="AN9" s="501" t="s">
        <v>893</v>
      </c>
      <c r="AO9" s="501" t="s">
        <v>894</v>
      </c>
      <c r="AP9" s="501"/>
      <c r="AQ9" s="501"/>
      <c r="AR9" s="501"/>
      <c r="AS9" s="501" t="s">
        <v>895</v>
      </c>
      <c r="AT9" s="501" t="s">
        <v>896</v>
      </c>
    </row>
    <row r="10" spans="2:46" x14ac:dyDescent="0.25">
      <c r="B10" s="1748" t="s">
        <v>897</v>
      </c>
      <c r="C10" s="26">
        <v>1</v>
      </c>
      <c r="D10" s="26" t="s">
        <v>898</v>
      </c>
      <c r="E10" s="26">
        <f>COUNTA($F10:$Z10)/3</f>
        <v>2</v>
      </c>
      <c r="F10" s="26" t="s">
        <v>17</v>
      </c>
      <c r="G10" s="26" t="s">
        <v>899</v>
      </c>
      <c r="H10" s="501" t="s">
        <v>900</v>
      </c>
      <c r="I10" s="26" t="s">
        <v>17</v>
      </c>
      <c r="J10" s="26" t="s">
        <v>901</v>
      </c>
      <c r="K10" s="501">
        <v>4</v>
      </c>
      <c r="L10" s="26"/>
      <c r="M10" s="26"/>
      <c r="N10" s="501"/>
      <c r="O10" s="26"/>
      <c r="P10" s="26"/>
      <c r="Q10" s="501"/>
      <c r="R10" s="26"/>
      <c r="S10" s="26"/>
      <c r="T10" s="501"/>
      <c r="U10" s="501"/>
      <c r="V10" s="501"/>
      <c r="W10" s="501"/>
      <c r="X10" s="501"/>
      <c r="Y10" s="501"/>
      <c r="Z10" s="501"/>
      <c r="AA10" s="26" t="s">
        <v>17</v>
      </c>
      <c r="AB10" s="26" t="s">
        <v>899</v>
      </c>
      <c r="AC10" s="501" t="s">
        <v>54</v>
      </c>
      <c r="AD10" s="26" t="s">
        <v>17</v>
      </c>
      <c r="AE10" s="26" t="s">
        <v>901</v>
      </c>
      <c r="AF10" s="501">
        <v>4</v>
      </c>
      <c r="AG10" s="26"/>
      <c r="AH10" s="26"/>
      <c r="AI10" s="501"/>
      <c r="AJ10" s="26"/>
      <c r="AK10" s="26"/>
      <c r="AL10" s="501"/>
      <c r="AM10" s="26"/>
      <c r="AN10" s="26"/>
      <c r="AO10" s="501"/>
      <c r="AP10" s="501"/>
      <c r="AQ10" s="501"/>
      <c r="AR10" s="501"/>
      <c r="AS10" s="501" t="s">
        <v>74</v>
      </c>
      <c r="AT10" s="501" t="s">
        <v>58</v>
      </c>
    </row>
    <row r="11" spans="2:46" x14ac:dyDescent="0.25">
      <c r="B11" s="1749"/>
      <c r="C11" s="26">
        <v>2</v>
      </c>
      <c r="D11" s="26" t="s">
        <v>902</v>
      </c>
      <c r="E11" s="26">
        <f t="shared" ref="E11:E74" si="0">COUNTA($F11:$Z11)/3</f>
        <v>2</v>
      </c>
      <c r="F11" s="26" t="s">
        <v>17</v>
      </c>
      <c r="G11" s="26" t="s">
        <v>899</v>
      </c>
      <c r="H11" s="501" t="s">
        <v>54</v>
      </c>
      <c r="I11" s="26" t="s">
        <v>17</v>
      </c>
      <c r="J11" s="26" t="s">
        <v>901</v>
      </c>
      <c r="K11" s="501">
        <v>3</v>
      </c>
      <c r="L11" s="26"/>
      <c r="M11" s="26"/>
      <c r="N11" s="501"/>
      <c r="O11" s="26"/>
      <c r="P11" s="26"/>
      <c r="Q11" s="501"/>
      <c r="R11" s="26"/>
      <c r="S11" s="26"/>
      <c r="T11" s="501"/>
      <c r="U11" s="501"/>
      <c r="V11" s="501"/>
      <c r="W11" s="501"/>
      <c r="X11" s="501"/>
      <c r="Y11" s="501"/>
      <c r="Z11" s="501"/>
      <c r="AA11" s="26" t="s">
        <v>17</v>
      </c>
      <c r="AB11" s="26" t="s">
        <v>899</v>
      </c>
      <c r="AC11" s="501" t="s">
        <v>54</v>
      </c>
      <c r="AD11" s="26" t="s">
        <v>17</v>
      </c>
      <c r="AE11" s="26" t="s">
        <v>901</v>
      </c>
      <c r="AF11" s="501">
        <v>4</v>
      </c>
      <c r="AG11" s="26"/>
      <c r="AH11" s="26"/>
      <c r="AI11" s="501"/>
      <c r="AJ11" s="26"/>
      <c r="AK11" s="26"/>
      <c r="AL11" s="501"/>
      <c r="AM11" s="26"/>
      <c r="AN11" s="26"/>
      <c r="AO11" s="501"/>
      <c r="AP11" s="501"/>
      <c r="AQ11" s="501"/>
      <c r="AR11" s="501"/>
      <c r="AS11" s="501" t="s">
        <v>74</v>
      </c>
      <c r="AT11" s="501" t="s">
        <v>58</v>
      </c>
    </row>
    <row r="12" spans="2:46" x14ac:dyDescent="0.25">
      <c r="B12" s="1752"/>
      <c r="C12" s="26">
        <v>3</v>
      </c>
      <c r="D12" s="26" t="s">
        <v>903</v>
      </c>
      <c r="E12" s="26">
        <f t="shared" si="0"/>
        <v>2</v>
      </c>
      <c r="F12" s="26" t="s">
        <v>17</v>
      </c>
      <c r="G12" s="26" t="s">
        <v>899</v>
      </c>
      <c r="H12" s="501" t="s">
        <v>54</v>
      </c>
      <c r="I12" s="26" t="s">
        <v>17</v>
      </c>
      <c r="J12" s="26" t="s">
        <v>901</v>
      </c>
      <c r="K12" s="501">
        <v>2</v>
      </c>
      <c r="L12" s="26"/>
      <c r="M12" s="26"/>
      <c r="N12" s="501"/>
      <c r="O12" s="26"/>
      <c r="P12" s="26"/>
      <c r="Q12" s="501"/>
      <c r="R12" s="26"/>
      <c r="S12" s="26"/>
      <c r="T12" s="501"/>
      <c r="U12" s="501"/>
      <c r="V12" s="501"/>
      <c r="W12" s="501"/>
      <c r="X12" s="501"/>
      <c r="Y12" s="501"/>
      <c r="Z12" s="501"/>
      <c r="AA12" s="26" t="s">
        <v>17</v>
      </c>
      <c r="AB12" s="26" t="s">
        <v>899</v>
      </c>
      <c r="AC12" s="501" t="s">
        <v>54</v>
      </c>
      <c r="AD12" s="26" t="s">
        <v>17</v>
      </c>
      <c r="AE12" s="26" t="s">
        <v>901</v>
      </c>
      <c r="AF12" s="501">
        <v>4</v>
      </c>
      <c r="AG12" s="26"/>
      <c r="AH12" s="26"/>
      <c r="AI12" s="501"/>
      <c r="AJ12" s="26"/>
      <c r="AK12" s="26"/>
      <c r="AL12" s="501"/>
      <c r="AM12" s="26"/>
      <c r="AN12" s="26"/>
      <c r="AO12" s="501"/>
      <c r="AP12" s="501"/>
      <c r="AQ12" s="501"/>
      <c r="AR12" s="501"/>
      <c r="AS12" s="501" t="s">
        <v>74</v>
      </c>
      <c r="AT12" s="501" t="s">
        <v>58</v>
      </c>
    </row>
    <row r="13" spans="2:46" x14ac:dyDescent="0.25">
      <c r="B13" s="1748" t="s">
        <v>38</v>
      </c>
      <c r="C13" s="26">
        <v>4</v>
      </c>
      <c r="D13" s="26" t="str">
        <f>$B$13&amp;"-"&amp;H13&amp;"%"</f>
        <v>Discount rate-0%</v>
      </c>
      <c r="E13" s="26">
        <f t="shared" si="0"/>
        <v>2</v>
      </c>
      <c r="F13" s="26" t="s">
        <v>17</v>
      </c>
      <c r="G13" s="26" t="s">
        <v>904</v>
      </c>
      <c r="H13" s="948">
        <v>0</v>
      </c>
      <c r="I13" s="26" t="s">
        <v>17</v>
      </c>
      <c r="J13" s="26" t="s">
        <v>905</v>
      </c>
      <c r="K13" s="948">
        <v>0</v>
      </c>
      <c r="L13" s="26"/>
      <c r="M13" s="26"/>
      <c r="N13" s="948"/>
      <c r="O13" s="26"/>
      <c r="P13" s="26"/>
      <c r="Q13" s="948"/>
      <c r="R13" s="26"/>
      <c r="S13" s="26"/>
      <c r="T13" s="948"/>
      <c r="U13" s="948"/>
      <c r="V13" s="948"/>
      <c r="W13" s="948"/>
      <c r="X13" s="948"/>
      <c r="Y13" s="948"/>
      <c r="Z13" s="948"/>
      <c r="AA13" s="26" t="s">
        <v>17</v>
      </c>
      <c r="AB13" s="26" t="s">
        <v>904</v>
      </c>
      <c r="AC13" s="949">
        <v>3.5000000000000003E-2</v>
      </c>
      <c r="AD13" s="26" t="s">
        <v>17</v>
      </c>
      <c r="AE13" s="26" t="s">
        <v>905</v>
      </c>
      <c r="AF13" s="949">
        <v>3.5000000000000003E-2</v>
      </c>
      <c r="AG13" s="26"/>
      <c r="AH13" s="26"/>
      <c r="AI13" s="949"/>
      <c r="AJ13" s="26"/>
      <c r="AK13" s="26"/>
      <c r="AL13" s="949"/>
      <c r="AM13" s="26"/>
      <c r="AN13" s="26"/>
      <c r="AO13" s="949"/>
      <c r="AP13" s="949"/>
      <c r="AQ13" s="949"/>
      <c r="AR13" s="949"/>
      <c r="AS13" s="501" t="s">
        <v>58</v>
      </c>
      <c r="AT13" s="501" t="s">
        <v>58</v>
      </c>
    </row>
    <row r="14" spans="2:46" x14ac:dyDescent="0.25">
      <c r="B14" s="1752"/>
      <c r="C14" s="26">
        <v>5</v>
      </c>
      <c r="D14" s="26" t="str">
        <f>$B$13&amp;"-"&amp;H14*100&amp;"%"</f>
        <v>Discount rate-6%</v>
      </c>
      <c r="E14" s="26">
        <f t="shared" si="0"/>
        <v>2</v>
      </c>
      <c r="F14" s="26" t="s">
        <v>17</v>
      </c>
      <c r="G14" s="26" t="s">
        <v>904</v>
      </c>
      <c r="H14" s="948">
        <v>0.06</v>
      </c>
      <c r="I14" s="26" t="s">
        <v>17</v>
      </c>
      <c r="J14" s="26" t="s">
        <v>905</v>
      </c>
      <c r="K14" s="948">
        <v>0.06</v>
      </c>
      <c r="L14" s="26"/>
      <c r="M14" s="26"/>
      <c r="N14" s="948"/>
      <c r="O14" s="26"/>
      <c r="P14" s="26"/>
      <c r="Q14" s="948"/>
      <c r="R14" s="26"/>
      <c r="S14" s="26"/>
      <c r="T14" s="948"/>
      <c r="U14" s="948"/>
      <c r="V14" s="948"/>
      <c r="W14" s="948"/>
      <c r="X14" s="948"/>
      <c r="Y14" s="948"/>
      <c r="Z14" s="948"/>
      <c r="AA14" s="26" t="s">
        <v>17</v>
      </c>
      <c r="AB14" s="26" t="s">
        <v>904</v>
      </c>
      <c r="AC14" s="949">
        <v>3.5000000000000003E-2</v>
      </c>
      <c r="AD14" s="26" t="s">
        <v>17</v>
      </c>
      <c r="AE14" s="26" t="s">
        <v>905</v>
      </c>
      <c r="AF14" s="949">
        <v>3.5000000000000003E-2</v>
      </c>
      <c r="AG14" s="26"/>
      <c r="AH14" s="26"/>
      <c r="AI14" s="949"/>
      <c r="AJ14" s="26"/>
      <c r="AK14" s="26"/>
      <c r="AL14" s="949"/>
      <c r="AM14" s="26"/>
      <c r="AN14" s="26"/>
      <c r="AO14" s="949"/>
      <c r="AP14" s="949"/>
      <c r="AQ14" s="949"/>
      <c r="AR14" s="949"/>
      <c r="AS14" s="501" t="s">
        <v>74</v>
      </c>
      <c r="AT14" s="501" t="s">
        <v>74</v>
      </c>
    </row>
    <row r="15" spans="2:46" ht="28.9" customHeight="1" x14ac:dyDescent="0.25">
      <c r="B15" s="1748" t="s">
        <v>906</v>
      </c>
      <c r="C15" s="26">
        <v>6</v>
      </c>
      <c r="D15" s="26" t="s">
        <v>907</v>
      </c>
      <c r="E15" s="26">
        <f t="shared" si="0"/>
        <v>5</v>
      </c>
      <c r="F15" s="26" t="s">
        <v>17</v>
      </c>
      <c r="G15" s="26" t="s">
        <v>908</v>
      </c>
      <c r="H15" s="501" t="s">
        <v>909</v>
      </c>
      <c r="I15" s="26" t="s">
        <v>18</v>
      </c>
      <c r="J15" s="26" t="s">
        <v>910</v>
      </c>
      <c r="K15" s="501" t="s">
        <v>909</v>
      </c>
      <c r="L15" s="26" t="s">
        <v>25</v>
      </c>
      <c r="M15" s="26" t="s">
        <v>911</v>
      </c>
      <c r="N15" s="501" t="s">
        <v>909</v>
      </c>
      <c r="O15" s="26" t="s">
        <v>17</v>
      </c>
      <c r="P15" s="26" t="s">
        <v>899</v>
      </c>
      <c r="Q15" s="501" t="s">
        <v>54</v>
      </c>
      <c r="R15" s="26" t="s">
        <v>17</v>
      </c>
      <c r="S15" s="26" t="s">
        <v>912</v>
      </c>
      <c r="T15" s="501" t="s">
        <v>158</v>
      </c>
      <c r="U15" s="26"/>
      <c r="V15" s="501"/>
      <c r="W15" s="501"/>
      <c r="X15" s="501"/>
      <c r="Y15" s="501"/>
      <c r="Z15" s="501"/>
      <c r="AA15" s="26" t="s">
        <v>17</v>
      </c>
      <c r="AB15" s="26" t="s">
        <v>908</v>
      </c>
      <c r="AC15" s="501" t="s">
        <v>61</v>
      </c>
      <c r="AD15" s="26" t="s">
        <v>17</v>
      </c>
      <c r="AE15" s="26" t="s">
        <v>899</v>
      </c>
      <c r="AF15" s="501" t="s">
        <v>54</v>
      </c>
      <c r="AG15" s="26" t="s">
        <v>18</v>
      </c>
      <c r="AH15" s="26" t="s">
        <v>910</v>
      </c>
      <c r="AI15" s="501" t="s">
        <v>61</v>
      </c>
      <c r="AJ15" s="26" t="s">
        <v>25</v>
      </c>
      <c r="AK15" s="26" t="s">
        <v>911</v>
      </c>
      <c r="AL15" s="501" t="s">
        <v>61</v>
      </c>
      <c r="AM15" s="26" t="s">
        <v>17</v>
      </c>
      <c r="AN15" s="26" t="s">
        <v>912</v>
      </c>
      <c r="AO15" s="501" t="s">
        <v>88</v>
      </c>
      <c r="AP15" s="26"/>
      <c r="AQ15" s="501"/>
      <c r="AR15" s="501"/>
      <c r="AS15" s="501" t="s">
        <v>74</v>
      </c>
      <c r="AT15" s="501" t="s">
        <v>74</v>
      </c>
    </row>
    <row r="16" spans="2:46" x14ac:dyDescent="0.25">
      <c r="B16" s="1752" t="s">
        <v>906</v>
      </c>
      <c r="C16" s="26">
        <v>7</v>
      </c>
      <c r="D16" s="596" t="s">
        <v>913</v>
      </c>
      <c r="E16" s="26">
        <f t="shared" si="0"/>
        <v>5</v>
      </c>
      <c r="F16" s="596" t="s">
        <v>17</v>
      </c>
      <c r="G16" s="596" t="s">
        <v>908</v>
      </c>
      <c r="H16" s="1011" t="s">
        <v>909</v>
      </c>
      <c r="I16" s="596" t="s">
        <v>18</v>
      </c>
      <c r="J16" s="596" t="s">
        <v>910</v>
      </c>
      <c r="K16" s="1011" t="s">
        <v>909</v>
      </c>
      <c r="L16" s="596" t="s">
        <v>25</v>
      </c>
      <c r="M16" s="596" t="s">
        <v>911</v>
      </c>
      <c r="N16" s="1011" t="s">
        <v>909</v>
      </c>
      <c r="O16" s="596" t="s">
        <v>17</v>
      </c>
      <c r="P16" s="596" t="s">
        <v>899</v>
      </c>
      <c r="Q16" s="1011" t="s">
        <v>900</v>
      </c>
      <c r="R16" s="26" t="s">
        <v>17</v>
      </c>
      <c r="S16" s="26" t="s">
        <v>912</v>
      </c>
      <c r="T16" s="501" t="s">
        <v>158</v>
      </c>
      <c r="U16" s="26"/>
      <c r="V16" s="501"/>
      <c r="W16" s="1011"/>
      <c r="X16" s="1011"/>
      <c r="Y16" s="1011"/>
      <c r="Z16" s="1011"/>
      <c r="AA16" s="596" t="s">
        <v>17</v>
      </c>
      <c r="AB16" s="596" t="s">
        <v>908</v>
      </c>
      <c r="AC16" s="1011" t="s">
        <v>61</v>
      </c>
      <c r="AD16" s="596" t="s">
        <v>17</v>
      </c>
      <c r="AE16" s="596" t="s">
        <v>899</v>
      </c>
      <c r="AF16" s="1011" t="s">
        <v>54</v>
      </c>
      <c r="AG16" s="596" t="s">
        <v>18</v>
      </c>
      <c r="AH16" s="596" t="s">
        <v>910</v>
      </c>
      <c r="AI16" s="1011" t="s">
        <v>61</v>
      </c>
      <c r="AJ16" s="596" t="s">
        <v>25</v>
      </c>
      <c r="AK16" s="596" t="s">
        <v>911</v>
      </c>
      <c r="AL16" s="1011" t="s">
        <v>61</v>
      </c>
      <c r="AM16" s="26" t="s">
        <v>17</v>
      </c>
      <c r="AN16" s="26" t="s">
        <v>912</v>
      </c>
      <c r="AO16" s="501" t="s">
        <v>88</v>
      </c>
      <c r="AP16" s="26"/>
      <c r="AQ16" s="501"/>
      <c r="AR16" s="501"/>
      <c r="AS16" s="501" t="s">
        <v>74</v>
      </c>
      <c r="AT16" s="501" t="s">
        <v>58</v>
      </c>
    </row>
    <row r="17" spans="2:46" x14ac:dyDescent="0.25">
      <c r="B17" s="1748" t="s">
        <v>914</v>
      </c>
      <c r="C17" s="26">
        <v>8</v>
      </c>
      <c r="D17" s="26" t="s">
        <v>915</v>
      </c>
      <c r="E17" s="26">
        <f t="shared" si="0"/>
        <v>2</v>
      </c>
      <c r="F17" s="26" t="s">
        <v>18</v>
      </c>
      <c r="G17" s="26" t="s">
        <v>910</v>
      </c>
      <c r="H17" s="501" t="s">
        <v>909</v>
      </c>
      <c r="I17" s="596" t="s">
        <v>18</v>
      </c>
      <c r="J17" s="26" t="s">
        <v>912</v>
      </c>
      <c r="K17" s="501" t="s">
        <v>158</v>
      </c>
      <c r="L17" s="26"/>
      <c r="M17" s="26"/>
      <c r="N17" s="501"/>
      <c r="O17" s="26"/>
      <c r="P17" s="26"/>
      <c r="Q17" s="501"/>
      <c r="R17" s="26"/>
      <c r="S17" s="26"/>
      <c r="T17" s="501"/>
      <c r="U17" s="501"/>
      <c r="V17" s="501"/>
      <c r="W17" s="501"/>
      <c r="X17" s="501"/>
      <c r="Y17" s="501"/>
      <c r="Z17" s="501"/>
      <c r="AA17" s="26" t="s">
        <v>18</v>
      </c>
      <c r="AB17" s="26" t="s">
        <v>910</v>
      </c>
      <c r="AC17" s="501" t="s">
        <v>61</v>
      </c>
      <c r="AD17" s="596" t="s">
        <v>18</v>
      </c>
      <c r="AE17" s="26" t="s">
        <v>912</v>
      </c>
      <c r="AF17" s="501" t="s">
        <v>88</v>
      </c>
      <c r="AG17" s="26"/>
      <c r="AH17" s="26"/>
      <c r="AI17" s="501"/>
      <c r="AJ17" s="26"/>
      <c r="AK17" s="26"/>
      <c r="AL17" s="501"/>
      <c r="AM17" s="26"/>
      <c r="AN17" s="26"/>
      <c r="AO17" s="501"/>
      <c r="AP17" s="501"/>
      <c r="AQ17" s="501"/>
      <c r="AR17" s="501"/>
      <c r="AS17" s="501" t="s">
        <v>74</v>
      </c>
      <c r="AT17" s="501" t="s">
        <v>74</v>
      </c>
    </row>
    <row r="18" spans="2:46" x14ac:dyDescent="0.25">
      <c r="B18" s="1752" t="s">
        <v>914</v>
      </c>
      <c r="C18" s="26">
        <v>9</v>
      </c>
      <c r="D18" s="26" t="s">
        <v>916</v>
      </c>
      <c r="E18" s="26">
        <f t="shared" si="0"/>
        <v>1</v>
      </c>
      <c r="F18" s="26" t="s">
        <v>17</v>
      </c>
      <c r="G18" s="26" t="s">
        <v>912</v>
      </c>
      <c r="H18" s="501" t="s">
        <v>158</v>
      </c>
      <c r="I18" s="26"/>
      <c r="J18" s="26"/>
      <c r="K18" s="501"/>
      <c r="L18" s="26"/>
      <c r="M18" s="26"/>
      <c r="N18" s="501"/>
      <c r="O18" s="26"/>
      <c r="P18" s="26"/>
      <c r="Q18" s="501"/>
      <c r="R18" s="26"/>
      <c r="S18" s="26"/>
      <c r="T18" s="501"/>
      <c r="U18" s="501"/>
      <c r="V18" s="501"/>
      <c r="W18" s="501"/>
      <c r="X18" s="501"/>
      <c r="Y18" s="501"/>
      <c r="Z18" s="501"/>
      <c r="AA18" s="26" t="s">
        <v>17</v>
      </c>
      <c r="AB18" s="26" t="s">
        <v>912</v>
      </c>
      <c r="AC18" s="501" t="s">
        <v>88</v>
      </c>
      <c r="AD18" s="26"/>
      <c r="AE18" s="26"/>
      <c r="AF18" s="501"/>
      <c r="AG18" s="26"/>
      <c r="AH18" s="26"/>
      <c r="AI18" s="501"/>
      <c r="AJ18" s="26"/>
      <c r="AK18" s="26"/>
      <c r="AL18" s="501"/>
      <c r="AM18" s="26"/>
      <c r="AN18" s="26"/>
      <c r="AO18" s="501"/>
      <c r="AP18" s="501"/>
      <c r="AQ18" s="501"/>
      <c r="AR18" s="501"/>
      <c r="AS18" s="501" t="s">
        <v>74</v>
      </c>
      <c r="AT18" s="501" t="s">
        <v>74</v>
      </c>
    </row>
    <row r="19" spans="2:46" x14ac:dyDescent="0.25">
      <c r="B19" s="1748" t="s">
        <v>917</v>
      </c>
      <c r="C19" s="26">
        <v>10</v>
      </c>
      <c r="D19" s="26" t="s">
        <v>918</v>
      </c>
      <c r="E19" s="26">
        <f t="shared" si="0"/>
        <v>1</v>
      </c>
      <c r="F19" s="26" t="s">
        <v>17</v>
      </c>
      <c r="G19" s="26" t="s">
        <v>908</v>
      </c>
      <c r="H19" s="501" t="s">
        <v>909</v>
      </c>
      <c r="I19" s="26"/>
      <c r="J19" s="26"/>
      <c r="K19" s="948"/>
      <c r="L19" s="26"/>
      <c r="M19" s="26"/>
      <c r="N19" s="948"/>
      <c r="O19" s="26"/>
      <c r="P19" s="26"/>
      <c r="Q19" s="948"/>
      <c r="R19" s="26"/>
      <c r="S19" s="26"/>
      <c r="T19" s="948"/>
      <c r="U19" s="948"/>
      <c r="V19" s="948"/>
      <c r="W19" s="948"/>
      <c r="X19" s="948"/>
      <c r="Y19" s="948"/>
      <c r="Z19" s="948"/>
      <c r="AA19" s="26" t="s">
        <v>17</v>
      </c>
      <c r="AB19" s="26" t="s">
        <v>908</v>
      </c>
      <c r="AC19" s="501" t="s">
        <v>61</v>
      </c>
      <c r="AD19" s="26"/>
      <c r="AE19" s="26"/>
      <c r="AF19" s="949"/>
      <c r="AG19" s="26"/>
      <c r="AH19" s="26"/>
      <c r="AI19" s="949"/>
      <c r="AJ19" s="26"/>
      <c r="AK19" s="26"/>
      <c r="AL19" s="949"/>
      <c r="AM19" s="26"/>
      <c r="AN19" s="26"/>
      <c r="AO19" s="949"/>
      <c r="AP19" s="949"/>
      <c r="AQ19" s="949"/>
      <c r="AR19" s="949"/>
      <c r="AS19" s="501" t="s">
        <v>74</v>
      </c>
      <c r="AT19" s="501" t="s">
        <v>74</v>
      </c>
    </row>
    <row r="20" spans="2:46" x14ac:dyDescent="0.25">
      <c r="B20" s="1749"/>
      <c r="C20" s="26">
        <v>11</v>
      </c>
      <c r="D20" s="26" t="s">
        <v>919</v>
      </c>
      <c r="E20" s="26">
        <f t="shared" si="0"/>
        <v>1</v>
      </c>
      <c r="F20" s="26" t="s">
        <v>17</v>
      </c>
      <c r="G20" s="26" t="s">
        <v>920</v>
      </c>
      <c r="H20" s="948" t="s">
        <v>74</v>
      </c>
      <c r="I20" s="26"/>
      <c r="J20" s="26"/>
      <c r="K20" s="948"/>
      <c r="L20" s="26"/>
      <c r="M20" s="26"/>
      <c r="N20" s="948"/>
      <c r="O20" s="26"/>
      <c r="P20" s="26"/>
      <c r="Q20" s="948"/>
      <c r="R20" s="26"/>
      <c r="S20" s="26"/>
      <c r="T20" s="948"/>
      <c r="U20" s="948"/>
      <c r="V20" s="948"/>
      <c r="W20" s="948"/>
      <c r="X20" s="948"/>
      <c r="Y20" s="948"/>
      <c r="Z20" s="948"/>
      <c r="AA20" s="26" t="s">
        <v>17</v>
      </c>
      <c r="AB20" s="26" t="s">
        <v>920</v>
      </c>
      <c r="AC20" s="948" t="s">
        <v>58</v>
      </c>
      <c r="AD20" s="26"/>
      <c r="AE20" s="26"/>
      <c r="AF20" s="949"/>
      <c r="AG20" s="26"/>
      <c r="AH20" s="26"/>
      <c r="AI20" s="949"/>
      <c r="AJ20" s="26"/>
      <c r="AK20" s="26"/>
      <c r="AL20" s="949"/>
      <c r="AM20" s="26"/>
      <c r="AN20" s="26"/>
      <c r="AO20" s="949"/>
      <c r="AP20" s="949"/>
      <c r="AQ20" s="949"/>
      <c r="AR20" s="949"/>
      <c r="AS20" s="501" t="s">
        <v>74</v>
      </c>
      <c r="AT20" s="501" t="s">
        <v>74</v>
      </c>
    </row>
    <row r="21" spans="2:46" x14ac:dyDescent="0.25">
      <c r="B21" s="1749"/>
      <c r="C21" s="26">
        <v>12</v>
      </c>
      <c r="D21" s="26" t="s">
        <v>921</v>
      </c>
      <c r="E21" s="26">
        <f t="shared" si="0"/>
        <v>1</v>
      </c>
      <c r="F21" s="26" t="s">
        <v>17</v>
      </c>
      <c r="G21" s="26" t="s">
        <v>922</v>
      </c>
      <c r="H21" s="948" t="s">
        <v>63</v>
      </c>
      <c r="I21" s="26"/>
      <c r="J21" s="26"/>
      <c r="K21" s="948"/>
      <c r="L21" s="26"/>
      <c r="M21" s="26"/>
      <c r="N21" s="948"/>
      <c r="O21" s="26"/>
      <c r="P21" s="26"/>
      <c r="Q21" s="948"/>
      <c r="R21" s="26"/>
      <c r="S21" s="26"/>
      <c r="T21" s="948"/>
      <c r="U21" s="948"/>
      <c r="V21" s="948"/>
      <c r="W21" s="948"/>
      <c r="X21" s="948"/>
      <c r="Y21" s="948"/>
      <c r="Z21" s="948"/>
      <c r="AA21" s="26" t="s">
        <v>17</v>
      </c>
      <c r="AB21" s="26" t="s">
        <v>922</v>
      </c>
      <c r="AC21" s="948" t="s">
        <v>67</v>
      </c>
      <c r="AD21" s="26"/>
      <c r="AE21" s="26"/>
      <c r="AF21" s="949"/>
      <c r="AG21" s="26"/>
      <c r="AH21" s="26"/>
      <c r="AI21" s="949"/>
      <c r="AJ21" s="26"/>
      <c r="AK21" s="26"/>
      <c r="AL21" s="949"/>
      <c r="AM21" s="26"/>
      <c r="AN21" s="26"/>
      <c r="AO21" s="949"/>
      <c r="AP21" s="949"/>
      <c r="AQ21" s="949"/>
      <c r="AR21" s="949"/>
      <c r="AS21" s="501" t="s">
        <v>74</v>
      </c>
      <c r="AT21" s="501" t="s">
        <v>74</v>
      </c>
    </row>
    <row r="22" spans="2:46" x14ac:dyDescent="0.25">
      <c r="B22" s="1749"/>
      <c r="C22" s="26">
        <v>13</v>
      </c>
      <c r="D22" s="26" t="s">
        <v>923</v>
      </c>
      <c r="E22" s="26">
        <f t="shared" si="0"/>
        <v>1</v>
      </c>
      <c r="F22" s="26" t="s">
        <v>17</v>
      </c>
      <c r="G22" s="26" t="s">
        <v>924</v>
      </c>
      <c r="H22" s="948" t="s">
        <v>63</v>
      </c>
      <c r="I22" s="26"/>
      <c r="J22" s="26"/>
      <c r="K22" s="948"/>
      <c r="L22" s="26"/>
      <c r="M22" s="26"/>
      <c r="N22" s="948"/>
      <c r="O22" s="26"/>
      <c r="P22" s="26"/>
      <c r="Q22" s="948"/>
      <c r="R22" s="26"/>
      <c r="S22" s="26"/>
      <c r="T22" s="948"/>
      <c r="U22" s="948"/>
      <c r="V22" s="948"/>
      <c r="W22" s="948"/>
      <c r="X22" s="948"/>
      <c r="Y22" s="948"/>
      <c r="Z22" s="948"/>
      <c r="AA22" s="26" t="s">
        <v>17</v>
      </c>
      <c r="AB22" s="26" t="s">
        <v>924</v>
      </c>
      <c r="AC22" s="948" t="s">
        <v>67</v>
      </c>
      <c r="AD22" s="26"/>
      <c r="AE22" s="26"/>
      <c r="AF22" s="949"/>
      <c r="AG22" s="26"/>
      <c r="AH22" s="26"/>
      <c r="AI22" s="949"/>
      <c r="AJ22" s="26"/>
      <c r="AK22" s="26"/>
      <c r="AL22" s="949"/>
      <c r="AM22" s="26"/>
      <c r="AN22" s="26"/>
      <c r="AO22" s="949"/>
      <c r="AP22" s="949"/>
      <c r="AQ22" s="949"/>
      <c r="AR22" s="949"/>
      <c r="AS22" s="501" t="s">
        <v>74</v>
      </c>
      <c r="AT22" s="501" t="s">
        <v>74</v>
      </c>
    </row>
    <row r="23" spans="2:46" x14ac:dyDescent="0.25">
      <c r="B23" s="1749"/>
      <c r="C23" s="26">
        <v>14</v>
      </c>
      <c r="D23" s="26" t="s">
        <v>925</v>
      </c>
      <c r="E23" s="26">
        <f t="shared" si="0"/>
        <v>1</v>
      </c>
      <c r="F23" s="26" t="s">
        <v>17</v>
      </c>
      <c r="G23" s="26" t="s">
        <v>926</v>
      </c>
      <c r="H23" s="948" t="s">
        <v>927</v>
      </c>
      <c r="I23" s="26"/>
      <c r="J23" s="26"/>
      <c r="K23" s="948"/>
      <c r="L23" s="26"/>
      <c r="M23" s="26"/>
      <c r="N23" s="948"/>
      <c r="O23" s="26"/>
      <c r="P23" s="26"/>
      <c r="Q23" s="948"/>
      <c r="R23" s="26"/>
      <c r="S23" s="26"/>
      <c r="T23" s="948"/>
      <c r="U23" s="948"/>
      <c r="V23" s="948"/>
      <c r="W23" s="948"/>
      <c r="X23" s="948"/>
      <c r="Y23" s="948"/>
      <c r="Z23" s="948"/>
      <c r="AA23" s="26" t="s">
        <v>17</v>
      </c>
      <c r="AB23" s="26" t="s">
        <v>926</v>
      </c>
      <c r="AC23" s="948" t="s">
        <v>70</v>
      </c>
      <c r="AD23" s="26"/>
      <c r="AE23" s="26"/>
      <c r="AF23" s="949"/>
      <c r="AG23" s="26"/>
      <c r="AH23" s="26"/>
      <c r="AI23" s="949"/>
      <c r="AJ23" s="26"/>
      <c r="AK23" s="26"/>
      <c r="AL23" s="949"/>
      <c r="AM23" s="26"/>
      <c r="AN23" s="26"/>
      <c r="AO23" s="949"/>
      <c r="AP23" s="949"/>
      <c r="AQ23" s="949"/>
      <c r="AR23" s="949"/>
      <c r="AS23" s="501" t="s">
        <v>74</v>
      </c>
      <c r="AT23" s="501" t="s">
        <v>74</v>
      </c>
    </row>
    <row r="24" spans="2:46" x14ac:dyDescent="0.25">
      <c r="B24" s="1749"/>
      <c r="C24" s="26">
        <v>15</v>
      </c>
      <c r="D24" s="26" t="s">
        <v>928</v>
      </c>
      <c r="E24" s="26">
        <f t="shared" si="0"/>
        <v>1</v>
      </c>
      <c r="F24" s="26" t="s">
        <v>17</v>
      </c>
      <c r="G24" s="26" t="s">
        <v>929</v>
      </c>
      <c r="H24" s="948" t="s">
        <v>58</v>
      </c>
      <c r="I24" s="26"/>
      <c r="J24" s="26"/>
      <c r="K24" s="948"/>
      <c r="L24" s="26"/>
      <c r="M24" s="26"/>
      <c r="N24" s="948"/>
      <c r="O24" s="26"/>
      <c r="P24" s="26"/>
      <c r="Q24" s="948"/>
      <c r="R24" s="26"/>
      <c r="S24" s="26"/>
      <c r="T24" s="948"/>
      <c r="U24" s="948"/>
      <c r="V24" s="948"/>
      <c r="W24" s="948"/>
      <c r="X24" s="948"/>
      <c r="Y24" s="948"/>
      <c r="Z24" s="948"/>
      <c r="AA24" s="26" t="s">
        <v>17</v>
      </c>
      <c r="AB24" s="26" t="s">
        <v>929</v>
      </c>
      <c r="AC24" s="948" t="s">
        <v>74</v>
      </c>
      <c r="AD24" s="26"/>
      <c r="AE24" s="26"/>
      <c r="AF24" s="949"/>
      <c r="AG24" s="26"/>
      <c r="AH24" s="26"/>
      <c r="AI24" s="949"/>
      <c r="AJ24" s="26"/>
      <c r="AK24" s="26"/>
      <c r="AL24" s="949"/>
      <c r="AM24" s="26"/>
      <c r="AN24" s="26"/>
      <c r="AO24" s="949"/>
      <c r="AP24" s="949"/>
      <c r="AQ24" s="949"/>
      <c r="AR24" s="949"/>
      <c r="AS24" s="501" t="s">
        <v>74</v>
      </c>
      <c r="AT24" s="501" t="s">
        <v>74</v>
      </c>
    </row>
    <row r="25" spans="2:46" x14ac:dyDescent="0.25">
      <c r="B25" s="1749"/>
      <c r="C25" s="26">
        <v>16</v>
      </c>
      <c r="D25" s="26" t="s">
        <v>930</v>
      </c>
      <c r="E25" s="26">
        <f t="shared" si="0"/>
        <v>1</v>
      </c>
      <c r="F25" s="26" t="s">
        <v>17</v>
      </c>
      <c r="G25" s="26" t="s">
        <v>931</v>
      </c>
      <c r="H25" s="948" t="s">
        <v>58</v>
      </c>
      <c r="I25" s="26"/>
      <c r="J25" s="26"/>
      <c r="K25" s="948"/>
      <c r="L25" s="26"/>
      <c r="M25" s="26"/>
      <c r="N25" s="948"/>
      <c r="O25" s="26"/>
      <c r="P25" s="26"/>
      <c r="Q25" s="948"/>
      <c r="R25" s="26"/>
      <c r="S25" s="26"/>
      <c r="T25" s="948"/>
      <c r="U25" s="948"/>
      <c r="V25" s="948"/>
      <c r="W25" s="948"/>
      <c r="X25" s="948"/>
      <c r="Y25" s="948"/>
      <c r="Z25" s="948"/>
      <c r="AA25" s="26" t="s">
        <v>17</v>
      </c>
      <c r="AB25" s="26" t="s">
        <v>931</v>
      </c>
      <c r="AC25" s="948" t="s">
        <v>74</v>
      </c>
      <c r="AD25" s="26"/>
      <c r="AE25" s="26"/>
      <c r="AF25" s="949"/>
      <c r="AG25" s="26"/>
      <c r="AH25" s="26"/>
      <c r="AI25" s="949"/>
      <c r="AJ25" s="26"/>
      <c r="AK25" s="26"/>
      <c r="AL25" s="949"/>
      <c r="AM25" s="26"/>
      <c r="AN25" s="26"/>
      <c r="AO25" s="949"/>
      <c r="AP25" s="949"/>
      <c r="AQ25" s="949"/>
      <c r="AR25" s="949"/>
      <c r="AS25" s="501" t="s">
        <v>74</v>
      </c>
      <c r="AT25" s="501" t="s">
        <v>74</v>
      </c>
    </row>
    <row r="26" spans="2:46" x14ac:dyDescent="0.25">
      <c r="B26" s="1749"/>
      <c r="C26" s="26">
        <v>17</v>
      </c>
      <c r="D26" s="26" t="s">
        <v>932</v>
      </c>
      <c r="E26" s="26">
        <f t="shared" si="0"/>
        <v>1</v>
      </c>
      <c r="F26" s="26" t="s">
        <v>17</v>
      </c>
      <c r="G26" s="26" t="s">
        <v>933</v>
      </c>
      <c r="H26" s="948" t="s">
        <v>74</v>
      </c>
      <c r="I26" s="26"/>
      <c r="J26" s="26"/>
      <c r="K26" s="948"/>
      <c r="L26" s="26"/>
      <c r="M26" s="26"/>
      <c r="N26" s="948"/>
      <c r="O26" s="26"/>
      <c r="P26" s="26"/>
      <c r="Q26" s="948"/>
      <c r="R26" s="26"/>
      <c r="S26" s="26"/>
      <c r="T26" s="948"/>
      <c r="U26" s="948"/>
      <c r="V26" s="948"/>
      <c r="W26" s="948"/>
      <c r="X26" s="948"/>
      <c r="Y26" s="948"/>
      <c r="Z26" s="948"/>
      <c r="AA26" s="26" t="s">
        <v>17</v>
      </c>
      <c r="AB26" s="26" t="s">
        <v>933</v>
      </c>
      <c r="AC26" s="948" t="s">
        <v>58</v>
      </c>
      <c r="AD26" s="26"/>
      <c r="AE26" s="26"/>
      <c r="AF26" s="949"/>
      <c r="AG26" s="26"/>
      <c r="AH26" s="26"/>
      <c r="AI26" s="949"/>
      <c r="AJ26" s="26"/>
      <c r="AK26" s="26"/>
      <c r="AL26" s="949"/>
      <c r="AM26" s="26"/>
      <c r="AN26" s="26"/>
      <c r="AO26" s="949"/>
      <c r="AP26" s="949"/>
      <c r="AQ26" s="949"/>
      <c r="AR26" s="949"/>
      <c r="AS26" s="501" t="s">
        <v>74</v>
      </c>
      <c r="AT26" s="501" t="s">
        <v>74</v>
      </c>
    </row>
    <row r="27" spans="2:46" x14ac:dyDescent="0.25">
      <c r="B27" s="1749"/>
      <c r="C27" s="26">
        <v>18</v>
      </c>
      <c r="D27" s="26" t="s">
        <v>934</v>
      </c>
      <c r="E27" s="26">
        <f t="shared" si="0"/>
        <v>1</v>
      </c>
      <c r="F27" s="26" t="s">
        <v>17</v>
      </c>
      <c r="G27" s="26" t="s">
        <v>935</v>
      </c>
      <c r="H27" s="948" t="s">
        <v>74</v>
      </c>
      <c r="I27" s="26"/>
      <c r="J27" s="26"/>
      <c r="K27" s="501"/>
      <c r="L27" s="26"/>
      <c r="M27" s="26"/>
      <c r="N27" s="501"/>
      <c r="O27" s="26"/>
      <c r="P27" s="26"/>
      <c r="Q27" s="948"/>
      <c r="R27" s="26"/>
      <c r="S27" s="26"/>
      <c r="T27" s="948"/>
      <c r="U27" s="948"/>
      <c r="V27" s="948"/>
      <c r="W27" s="948"/>
      <c r="X27" s="948"/>
      <c r="Y27" s="948"/>
      <c r="Z27" s="948"/>
      <c r="AA27" s="26" t="s">
        <v>17</v>
      </c>
      <c r="AB27" s="26" t="s">
        <v>935</v>
      </c>
      <c r="AC27" s="948" t="s">
        <v>58</v>
      </c>
      <c r="AD27" s="26"/>
      <c r="AE27" s="26"/>
      <c r="AF27" s="949"/>
      <c r="AG27" s="26"/>
      <c r="AH27" s="26"/>
      <c r="AI27" s="949"/>
      <c r="AJ27" s="26"/>
      <c r="AK27" s="26"/>
      <c r="AL27" s="949"/>
      <c r="AM27" s="26"/>
      <c r="AN27" s="26"/>
      <c r="AO27" s="949"/>
      <c r="AP27" s="949"/>
      <c r="AQ27" s="949"/>
      <c r="AR27" s="949"/>
      <c r="AS27" s="501" t="s">
        <v>74</v>
      </c>
      <c r="AT27" s="501" t="s">
        <v>74</v>
      </c>
    </row>
    <row r="28" spans="2:46" x14ac:dyDescent="0.25">
      <c r="B28" s="1749"/>
      <c r="C28" s="26">
        <v>19</v>
      </c>
      <c r="D28" s="26" t="s">
        <v>936</v>
      </c>
      <c r="E28" s="26">
        <f t="shared" si="0"/>
        <v>2</v>
      </c>
      <c r="F28" s="26" t="s">
        <v>17</v>
      </c>
      <c r="G28" s="26" t="s">
        <v>935</v>
      </c>
      <c r="H28" s="948" t="s">
        <v>74</v>
      </c>
      <c r="I28" s="26" t="s">
        <v>17</v>
      </c>
      <c r="J28" s="26" t="s">
        <v>899</v>
      </c>
      <c r="K28" s="501" t="s">
        <v>900</v>
      </c>
      <c r="L28" s="26"/>
      <c r="M28" s="26"/>
      <c r="N28" s="948"/>
      <c r="O28" s="26"/>
      <c r="P28" s="26"/>
      <c r="Q28" s="948"/>
      <c r="R28" s="26"/>
      <c r="S28" s="26"/>
      <c r="T28" s="948"/>
      <c r="U28" s="948"/>
      <c r="V28" s="948"/>
      <c r="W28" s="948"/>
      <c r="X28" s="948"/>
      <c r="Y28" s="948"/>
      <c r="Z28" s="948"/>
      <c r="AA28" s="26"/>
      <c r="AB28" s="26"/>
      <c r="AC28" s="948"/>
      <c r="AD28" s="26"/>
      <c r="AE28" s="26"/>
      <c r="AF28" s="949"/>
      <c r="AG28" s="26"/>
      <c r="AH28" s="26"/>
      <c r="AI28" s="949"/>
      <c r="AJ28" s="26"/>
      <c r="AK28" s="26"/>
      <c r="AL28" s="949"/>
      <c r="AM28" s="26"/>
      <c r="AN28" s="26"/>
      <c r="AO28" s="949"/>
      <c r="AP28" s="949"/>
      <c r="AQ28" s="949"/>
      <c r="AR28" s="949"/>
      <c r="AS28" s="501"/>
      <c r="AT28" s="501"/>
    </row>
    <row r="29" spans="2:46" x14ac:dyDescent="0.25">
      <c r="B29" s="1749"/>
      <c r="C29" s="26">
        <v>20</v>
      </c>
      <c r="D29" s="26" t="s">
        <v>937</v>
      </c>
      <c r="E29" s="26">
        <f t="shared" si="0"/>
        <v>1</v>
      </c>
      <c r="F29" s="26" t="s">
        <v>17</v>
      </c>
      <c r="G29" s="26" t="s">
        <v>938</v>
      </c>
      <c r="H29" s="948" t="s">
        <v>74</v>
      </c>
      <c r="I29" s="26"/>
      <c r="J29" s="26"/>
      <c r="K29" s="948"/>
      <c r="L29" s="26"/>
      <c r="M29" s="26"/>
      <c r="N29" s="948"/>
      <c r="O29" s="26"/>
      <c r="P29" s="26"/>
      <c r="Q29" s="948"/>
      <c r="R29" s="26"/>
      <c r="S29" s="26"/>
      <c r="T29" s="948"/>
      <c r="U29" s="948"/>
      <c r="V29" s="948"/>
      <c r="W29" s="948"/>
      <c r="X29" s="948"/>
      <c r="Y29" s="948"/>
      <c r="Z29" s="948"/>
      <c r="AA29" s="26" t="s">
        <v>17</v>
      </c>
      <c r="AB29" s="26" t="s">
        <v>938</v>
      </c>
      <c r="AC29" s="948" t="s">
        <v>58</v>
      </c>
      <c r="AD29" s="26"/>
      <c r="AE29" s="26"/>
      <c r="AF29" s="949"/>
      <c r="AG29" s="26"/>
      <c r="AH29" s="26"/>
      <c r="AI29" s="949"/>
      <c r="AJ29" s="26"/>
      <c r="AK29" s="26"/>
      <c r="AL29" s="949"/>
      <c r="AM29" s="26"/>
      <c r="AN29" s="26"/>
      <c r="AO29" s="949"/>
      <c r="AP29" s="949"/>
      <c r="AQ29" s="949"/>
      <c r="AR29" s="949"/>
      <c r="AS29" s="501" t="s">
        <v>74</v>
      </c>
      <c r="AT29" s="501" t="s">
        <v>74</v>
      </c>
    </row>
    <row r="30" spans="2:46" x14ac:dyDescent="0.25">
      <c r="B30" s="1749"/>
      <c r="C30" s="26">
        <v>21</v>
      </c>
      <c r="D30" s="26" t="s">
        <v>939</v>
      </c>
      <c r="E30" s="26">
        <f t="shared" si="0"/>
        <v>5</v>
      </c>
      <c r="F30" s="26" t="s">
        <v>17</v>
      </c>
      <c r="G30" s="26" t="s">
        <v>899</v>
      </c>
      <c r="H30" s="501" t="s">
        <v>900</v>
      </c>
      <c r="I30" s="26" t="s">
        <v>17</v>
      </c>
      <c r="J30" s="26" t="s">
        <v>940</v>
      </c>
      <c r="K30" s="501" t="s">
        <v>67</v>
      </c>
      <c r="L30" s="26" t="s">
        <v>17</v>
      </c>
      <c r="M30" s="26" t="s">
        <v>920</v>
      </c>
      <c r="N30" s="948" t="s">
        <v>74</v>
      </c>
      <c r="O30" s="26" t="s">
        <v>17</v>
      </c>
      <c r="P30" s="26" t="s">
        <v>922</v>
      </c>
      <c r="Q30" s="948" t="s">
        <v>67</v>
      </c>
      <c r="R30" s="26" t="s">
        <v>17</v>
      </c>
      <c r="S30" s="26" t="s">
        <v>924</v>
      </c>
      <c r="T30" s="948" t="s">
        <v>67</v>
      </c>
      <c r="U30" s="948"/>
      <c r="V30" s="948"/>
      <c r="W30" s="948"/>
      <c r="X30" s="948"/>
      <c r="Y30" s="948"/>
      <c r="Z30" s="948"/>
      <c r="AA30" s="26" t="s">
        <v>17</v>
      </c>
      <c r="AB30" s="26" t="s">
        <v>899</v>
      </c>
      <c r="AC30" s="501" t="s">
        <v>54</v>
      </c>
      <c r="AD30" s="26" t="s">
        <v>17</v>
      </c>
      <c r="AE30" s="26" t="s">
        <v>940</v>
      </c>
      <c r="AF30" s="501" t="s">
        <v>63</v>
      </c>
      <c r="AG30" s="26" t="s">
        <v>17</v>
      </c>
      <c r="AH30" s="26" t="s">
        <v>920</v>
      </c>
      <c r="AI30" s="948" t="s">
        <v>58</v>
      </c>
      <c r="AJ30" s="26" t="s">
        <v>17</v>
      </c>
      <c r="AK30" s="26" t="s">
        <v>922</v>
      </c>
      <c r="AL30" s="948" t="s">
        <v>67</v>
      </c>
      <c r="AM30" s="26" t="s">
        <v>17</v>
      </c>
      <c r="AN30" s="26" t="s">
        <v>924</v>
      </c>
      <c r="AO30" s="948" t="s">
        <v>67</v>
      </c>
      <c r="AP30" s="948"/>
      <c r="AQ30" s="948"/>
      <c r="AR30" s="948"/>
      <c r="AS30" s="501" t="s">
        <v>74</v>
      </c>
      <c r="AT30" s="501" t="s">
        <v>58</v>
      </c>
    </row>
    <row r="31" spans="2:46" ht="14.45" customHeight="1" x14ac:dyDescent="0.25">
      <c r="B31" s="1748" t="s">
        <v>120</v>
      </c>
      <c r="C31" s="26">
        <v>22</v>
      </c>
      <c r="D31" s="26" t="s">
        <v>941</v>
      </c>
      <c r="E31" s="26">
        <f t="shared" si="0"/>
        <v>1</v>
      </c>
      <c r="F31" s="26" t="s">
        <v>17</v>
      </c>
      <c r="G31" s="26" t="s">
        <v>942</v>
      </c>
      <c r="H31" s="501" t="s">
        <v>74</v>
      </c>
      <c r="I31" s="26"/>
      <c r="J31" s="26"/>
      <c r="K31" s="501"/>
      <c r="L31" s="26"/>
      <c r="M31" s="26"/>
      <c r="N31" s="501"/>
      <c r="O31" s="26"/>
      <c r="P31" s="26"/>
      <c r="Q31" s="501"/>
      <c r="R31" s="26"/>
      <c r="S31" s="26"/>
      <c r="T31" s="501"/>
      <c r="U31" s="501"/>
      <c r="V31" s="501"/>
      <c r="W31" s="501"/>
      <c r="X31" s="501"/>
      <c r="Y31" s="501"/>
      <c r="Z31" s="501"/>
      <c r="AA31" s="26"/>
      <c r="AB31" s="26"/>
      <c r="AC31" s="501"/>
      <c r="AD31" s="26"/>
      <c r="AE31" s="26"/>
      <c r="AF31" s="26"/>
      <c r="AG31" s="26"/>
      <c r="AH31" s="26"/>
      <c r="AI31" s="26"/>
      <c r="AJ31" s="26"/>
      <c r="AK31" s="26"/>
      <c r="AL31" s="26"/>
      <c r="AM31" s="26"/>
      <c r="AN31" s="26"/>
      <c r="AO31" s="26"/>
      <c r="AP31" s="26"/>
      <c r="AQ31" s="26"/>
      <c r="AR31" s="26"/>
      <c r="AS31" s="501" t="s">
        <v>74</v>
      </c>
      <c r="AT31" s="501" t="s">
        <v>74</v>
      </c>
    </row>
    <row r="32" spans="2:46" ht="14.45" customHeight="1" x14ac:dyDescent="0.25">
      <c r="B32" s="1749"/>
      <c r="C32" s="26">
        <v>23</v>
      </c>
      <c r="D32" s="26" t="s">
        <v>943</v>
      </c>
      <c r="E32" s="26">
        <f t="shared" si="0"/>
        <v>1</v>
      </c>
      <c r="F32" s="26" t="s">
        <v>17</v>
      </c>
      <c r="G32" s="26" t="s">
        <v>944</v>
      </c>
      <c r="H32" s="501" t="s">
        <v>74</v>
      </c>
      <c r="I32" s="26"/>
      <c r="J32" s="26"/>
      <c r="K32" s="501"/>
      <c r="L32" s="26"/>
      <c r="M32" s="26"/>
      <c r="N32" s="501"/>
      <c r="O32" s="26"/>
      <c r="P32" s="26"/>
      <c r="Q32" s="501"/>
      <c r="R32" s="26"/>
      <c r="S32" s="26"/>
      <c r="T32" s="501"/>
      <c r="U32" s="501"/>
      <c r="V32" s="501"/>
      <c r="W32" s="501"/>
      <c r="X32" s="501"/>
      <c r="Y32" s="501"/>
      <c r="Z32" s="501"/>
      <c r="AA32" s="26"/>
      <c r="AB32" s="26"/>
      <c r="AC32" s="501"/>
      <c r="AD32" s="26"/>
      <c r="AE32" s="26"/>
      <c r="AF32" s="26"/>
      <c r="AG32" s="26"/>
      <c r="AH32" s="26"/>
      <c r="AI32" s="26"/>
      <c r="AJ32" s="26"/>
      <c r="AK32" s="26"/>
      <c r="AL32" s="26"/>
      <c r="AM32" s="26"/>
      <c r="AN32" s="26"/>
      <c r="AO32" s="26"/>
      <c r="AP32" s="26"/>
      <c r="AQ32" s="26"/>
      <c r="AR32" s="26"/>
      <c r="AS32" s="501" t="s">
        <v>74</v>
      </c>
      <c r="AT32" s="501" t="s">
        <v>74</v>
      </c>
    </row>
    <row r="33" spans="2:46" ht="14.45" customHeight="1" x14ac:dyDescent="0.25">
      <c r="B33" s="1749"/>
      <c r="C33" s="26">
        <v>24</v>
      </c>
      <c r="D33" s="26" t="s">
        <v>945</v>
      </c>
      <c r="E33" s="26">
        <f t="shared" si="0"/>
        <v>1</v>
      </c>
      <c r="F33" s="26" t="s">
        <v>17</v>
      </c>
      <c r="G33" s="26" t="s">
        <v>946</v>
      </c>
      <c r="H33" s="501" t="s">
        <v>74</v>
      </c>
      <c r="I33" s="26"/>
      <c r="J33" s="26"/>
      <c r="K33" s="501"/>
      <c r="L33" s="26"/>
      <c r="M33" s="26"/>
      <c r="N33" s="501"/>
      <c r="O33" s="26"/>
      <c r="P33" s="26"/>
      <c r="Q33" s="501"/>
      <c r="R33" s="26"/>
      <c r="S33" s="26"/>
      <c r="T33" s="501"/>
      <c r="U33" s="501"/>
      <c r="V33" s="501"/>
      <c r="W33" s="501"/>
      <c r="X33" s="501"/>
      <c r="Y33" s="501"/>
      <c r="Z33" s="501"/>
      <c r="AA33" s="26"/>
      <c r="AB33" s="26"/>
      <c r="AC33" s="501"/>
      <c r="AD33" s="26"/>
      <c r="AE33" s="26"/>
      <c r="AF33" s="26"/>
      <c r="AG33" s="26"/>
      <c r="AH33" s="26"/>
      <c r="AI33" s="26"/>
      <c r="AJ33" s="26"/>
      <c r="AK33" s="26"/>
      <c r="AL33" s="26"/>
      <c r="AM33" s="26"/>
      <c r="AN33" s="26"/>
      <c r="AO33" s="26"/>
      <c r="AP33" s="26"/>
      <c r="AQ33" s="26"/>
      <c r="AR33" s="26"/>
      <c r="AS33" s="501" t="s">
        <v>74</v>
      </c>
      <c r="AT33" s="501" t="s">
        <v>74</v>
      </c>
    </row>
    <row r="34" spans="2:46" ht="14.45" customHeight="1" x14ac:dyDescent="0.25">
      <c r="B34" s="1749"/>
      <c r="C34" s="26">
        <v>25</v>
      </c>
      <c r="D34" s="26" t="s">
        <v>947</v>
      </c>
      <c r="E34" s="26">
        <f t="shared" si="0"/>
        <v>1</v>
      </c>
      <c r="F34" s="26" t="s">
        <v>17</v>
      </c>
      <c r="G34" s="26" t="s">
        <v>948</v>
      </c>
      <c r="H34" s="501" t="s">
        <v>74</v>
      </c>
      <c r="I34" s="26"/>
      <c r="J34" s="26"/>
      <c r="K34" s="501"/>
      <c r="L34" s="26"/>
      <c r="M34" s="26"/>
      <c r="N34" s="501"/>
      <c r="O34" s="26"/>
      <c r="P34" s="26"/>
      <c r="Q34" s="501"/>
      <c r="R34" s="26"/>
      <c r="S34" s="26"/>
      <c r="T34" s="501"/>
      <c r="U34" s="501"/>
      <c r="V34" s="501"/>
      <c r="W34" s="501"/>
      <c r="X34" s="501"/>
      <c r="Y34" s="501"/>
      <c r="Z34" s="501"/>
      <c r="AA34" s="26"/>
      <c r="AB34" s="26"/>
      <c r="AC34" s="501"/>
      <c r="AD34" s="26"/>
      <c r="AE34" s="26"/>
      <c r="AF34" s="26"/>
      <c r="AG34" s="26"/>
      <c r="AH34" s="26"/>
      <c r="AI34" s="26"/>
      <c r="AJ34" s="26"/>
      <c r="AK34" s="26"/>
      <c r="AL34" s="26"/>
      <c r="AM34" s="26"/>
      <c r="AN34" s="26"/>
      <c r="AO34" s="26"/>
      <c r="AP34" s="26"/>
      <c r="AQ34" s="26"/>
      <c r="AR34" s="26"/>
      <c r="AS34" s="501" t="s">
        <v>74</v>
      </c>
      <c r="AT34" s="501" t="s">
        <v>74</v>
      </c>
    </row>
    <row r="35" spans="2:46" ht="14.45" customHeight="1" x14ac:dyDescent="0.25">
      <c r="B35" s="1749"/>
      <c r="C35" s="26">
        <v>26</v>
      </c>
      <c r="D35" s="26" t="s">
        <v>125</v>
      </c>
      <c r="E35" s="26">
        <f t="shared" si="0"/>
        <v>1</v>
      </c>
      <c r="F35" s="26" t="s">
        <v>17</v>
      </c>
      <c r="G35" s="26" t="s">
        <v>949</v>
      </c>
      <c r="H35" s="501" t="s">
        <v>74</v>
      </c>
      <c r="I35" s="26"/>
      <c r="J35" s="26"/>
      <c r="K35" s="501"/>
      <c r="L35" s="26"/>
      <c r="M35" s="26"/>
      <c r="N35" s="501"/>
      <c r="O35" s="26"/>
      <c r="P35" s="26"/>
      <c r="Q35" s="501"/>
      <c r="R35" s="26"/>
      <c r="S35" s="26"/>
      <c r="T35" s="501"/>
      <c r="U35" s="501"/>
      <c r="V35" s="501"/>
      <c r="W35" s="501"/>
      <c r="X35" s="501"/>
      <c r="Y35" s="501"/>
      <c r="Z35" s="501"/>
      <c r="AA35" s="26"/>
      <c r="AB35" s="26"/>
      <c r="AC35" s="501"/>
      <c r="AD35" s="26"/>
      <c r="AE35" s="26"/>
      <c r="AF35" s="26"/>
      <c r="AG35" s="26"/>
      <c r="AH35" s="26"/>
      <c r="AI35" s="26"/>
      <c r="AJ35" s="26"/>
      <c r="AK35" s="26"/>
      <c r="AL35" s="26"/>
      <c r="AM35" s="26"/>
      <c r="AN35" s="26"/>
      <c r="AO35" s="26"/>
      <c r="AP35" s="26"/>
      <c r="AQ35" s="26"/>
      <c r="AR35" s="26"/>
      <c r="AS35" s="501" t="s">
        <v>74</v>
      </c>
      <c r="AT35" s="501" t="s">
        <v>74</v>
      </c>
    </row>
    <row r="36" spans="2:46" ht="14.45" customHeight="1" x14ac:dyDescent="0.25">
      <c r="B36" s="1749"/>
      <c r="C36" s="26">
        <v>27</v>
      </c>
      <c r="D36" s="26" t="s">
        <v>950</v>
      </c>
      <c r="E36" s="26">
        <f t="shared" si="0"/>
        <v>2</v>
      </c>
      <c r="F36" s="26" t="s">
        <v>17</v>
      </c>
      <c r="G36" s="26" t="s">
        <v>951</v>
      </c>
      <c r="H36" s="501" t="s">
        <v>74</v>
      </c>
      <c r="I36" s="26" t="s">
        <v>17</v>
      </c>
      <c r="J36" s="26" t="s">
        <v>899</v>
      </c>
      <c r="K36" s="501" t="s">
        <v>900</v>
      </c>
      <c r="L36" s="26"/>
      <c r="M36" s="26"/>
      <c r="N36" s="501"/>
      <c r="O36" s="26"/>
      <c r="P36" s="26"/>
      <c r="Q36" s="501"/>
      <c r="R36" s="26"/>
      <c r="S36" s="26"/>
      <c r="T36" s="501"/>
      <c r="U36" s="501"/>
      <c r="V36" s="501"/>
      <c r="W36" s="501"/>
      <c r="X36" s="501"/>
      <c r="Y36" s="501"/>
      <c r="Z36" s="501"/>
      <c r="AA36" s="26" t="s">
        <v>17</v>
      </c>
      <c r="AB36" s="26" t="s">
        <v>951</v>
      </c>
      <c r="AC36" s="501" t="s">
        <v>58</v>
      </c>
      <c r="AD36" s="26" t="s">
        <v>17</v>
      </c>
      <c r="AE36" s="26" t="s">
        <v>899</v>
      </c>
      <c r="AF36" s="501" t="s">
        <v>54</v>
      </c>
      <c r="AG36" s="26"/>
      <c r="AH36" s="26"/>
      <c r="AI36" s="26"/>
      <c r="AJ36" s="26"/>
      <c r="AK36" s="26"/>
      <c r="AL36" s="26"/>
      <c r="AM36" s="26"/>
      <c r="AN36" s="26"/>
      <c r="AO36" s="26"/>
      <c r="AP36" s="26"/>
      <c r="AQ36" s="26"/>
      <c r="AR36" s="26"/>
      <c r="AS36" s="501" t="s">
        <v>74</v>
      </c>
      <c r="AT36" s="501" t="s">
        <v>74</v>
      </c>
    </row>
    <row r="37" spans="2:46" ht="14.45" customHeight="1" x14ac:dyDescent="0.25">
      <c r="B37" s="1752"/>
      <c r="C37" s="26">
        <v>28</v>
      </c>
      <c r="D37" s="26" t="s">
        <v>952</v>
      </c>
      <c r="E37" s="26">
        <f t="shared" si="0"/>
        <v>2</v>
      </c>
      <c r="F37" s="26" t="s">
        <v>17</v>
      </c>
      <c r="G37" s="26" t="s">
        <v>953</v>
      </c>
      <c r="H37" s="501" t="s">
        <v>74</v>
      </c>
      <c r="I37" s="26" t="s">
        <v>17</v>
      </c>
      <c r="J37" s="26" t="s">
        <v>899</v>
      </c>
      <c r="K37" s="501" t="s">
        <v>900</v>
      </c>
      <c r="L37" s="26"/>
      <c r="M37" s="26"/>
      <c r="N37" s="501"/>
      <c r="O37" s="26"/>
      <c r="P37" s="26"/>
      <c r="Q37" s="501"/>
      <c r="R37" s="26"/>
      <c r="S37" s="26"/>
      <c r="T37" s="501"/>
      <c r="U37" s="501"/>
      <c r="V37" s="501"/>
      <c r="W37" s="501"/>
      <c r="X37" s="501"/>
      <c r="Y37" s="501"/>
      <c r="Z37" s="501"/>
      <c r="AA37" s="26" t="s">
        <v>17</v>
      </c>
      <c r="AB37" s="26" t="s">
        <v>953</v>
      </c>
      <c r="AC37" s="501" t="s">
        <v>58</v>
      </c>
      <c r="AD37" s="26"/>
      <c r="AE37" s="26"/>
      <c r="AF37" s="26"/>
      <c r="AG37" s="26"/>
      <c r="AH37" s="26"/>
      <c r="AI37" s="26"/>
      <c r="AJ37" s="26"/>
      <c r="AK37" s="26"/>
      <c r="AL37" s="26"/>
      <c r="AM37" s="26"/>
      <c r="AN37" s="26"/>
      <c r="AO37" s="26"/>
      <c r="AP37" s="26"/>
      <c r="AQ37" s="26"/>
      <c r="AR37" s="26"/>
      <c r="AS37" s="501" t="s">
        <v>74</v>
      </c>
      <c r="AT37" s="501" t="s">
        <v>74</v>
      </c>
    </row>
    <row r="38" spans="2:46" x14ac:dyDescent="0.25">
      <c r="B38" s="1745" t="s">
        <v>954</v>
      </c>
      <c r="C38" s="26">
        <v>29</v>
      </c>
      <c r="D38" s="26" t="s">
        <v>955</v>
      </c>
      <c r="E38" s="26">
        <f t="shared" si="0"/>
        <v>2</v>
      </c>
      <c r="F38" s="26" t="s">
        <v>17</v>
      </c>
      <c r="G38" s="26" t="s">
        <v>956</v>
      </c>
      <c r="H38" s="501" t="s">
        <v>957</v>
      </c>
      <c r="I38" s="26" t="s">
        <v>19</v>
      </c>
      <c r="J38" s="26" t="s">
        <v>958</v>
      </c>
      <c r="K38" s="501" t="s">
        <v>959</v>
      </c>
      <c r="L38" s="26"/>
      <c r="M38" s="26"/>
      <c r="N38" s="501"/>
      <c r="O38" s="26"/>
      <c r="P38" s="26"/>
      <c r="Q38" s="501"/>
      <c r="R38" s="26"/>
      <c r="S38" s="26"/>
      <c r="T38" s="501"/>
      <c r="U38" s="501"/>
      <c r="V38" s="501"/>
      <c r="W38" s="501"/>
      <c r="X38" s="501"/>
      <c r="Y38" s="501"/>
      <c r="Z38" s="501"/>
      <c r="AA38" s="26" t="s">
        <v>17</v>
      </c>
      <c r="AB38" s="26" t="s">
        <v>956</v>
      </c>
      <c r="AC38" s="501" t="s">
        <v>103</v>
      </c>
      <c r="AD38" s="26" t="s">
        <v>19</v>
      </c>
      <c r="AE38" s="26" t="s">
        <v>958</v>
      </c>
      <c r="AF38" s="501" t="s">
        <v>103</v>
      </c>
      <c r="AG38" s="26"/>
      <c r="AH38" s="26"/>
      <c r="AI38" s="26"/>
      <c r="AJ38" s="26"/>
      <c r="AK38" s="26"/>
      <c r="AL38" s="26"/>
      <c r="AM38" s="26"/>
      <c r="AN38" s="26"/>
      <c r="AO38" s="26"/>
      <c r="AP38" s="26"/>
      <c r="AQ38" s="26"/>
      <c r="AR38" s="26"/>
      <c r="AS38" s="501" t="s">
        <v>74</v>
      </c>
      <c r="AT38" s="501" t="s">
        <v>74</v>
      </c>
    </row>
    <row r="39" spans="2:46" x14ac:dyDescent="0.25">
      <c r="B39" s="1751"/>
      <c r="C39" s="26">
        <v>30</v>
      </c>
      <c r="D39" s="26" t="s">
        <v>960</v>
      </c>
      <c r="E39" s="26">
        <f t="shared" si="0"/>
        <v>4</v>
      </c>
      <c r="F39" s="26" t="s">
        <v>17</v>
      </c>
      <c r="G39" s="26" t="s">
        <v>956</v>
      </c>
      <c r="H39" s="501" t="s">
        <v>957</v>
      </c>
      <c r="I39" s="26" t="s">
        <v>19</v>
      </c>
      <c r="J39" s="26" t="s">
        <v>961</v>
      </c>
      <c r="K39" s="501" t="s">
        <v>959</v>
      </c>
      <c r="L39" s="26" t="s">
        <v>19</v>
      </c>
      <c r="M39" s="26" t="s">
        <v>962</v>
      </c>
      <c r="N39" s="501" t="s">
        <v>959</v>
      </c>
      <c r="O39" s="26" t="s">
        <v>19</v>
      </c>
      <c r="P39" s="26" t="s">
        <v>963</v>
      </c>
      <c r="Q39" s="501" t="s">
        <v>959</v>
      </c>
      <c r="R39" s="26"/>
      <c r="S39" s="26"/>
      <c r="T39" s="501"/>
      <c r="U39" s="501"/>
      <c r="V39" s="501"/>
      <c r="W39" s="501"/>
      <c r="X39" s="501"/>
      <c r="Y39" s="501"/>
      <c r="Z39" s="501"/>
      <c r="AA39" s="26" t="s">
        <v>17</v>
      </c>
      <c r="AB39" s="26" t="s">
        <v>956</v>
      </c>
      <c r="AC39" s="501" t="s">
        <v>103</v>
      </c>
      <c r="AD39" s="26" t="s">
        <v>19</v>
      </c>
      <c r="AE39" s="26" t="s">
        <v>961</v>
      </c>
      <c r="AF39" s="501" t="s">
        <v>103</v>
      </c>
      <c r="AG39" s="26"/>
      <c r="AH39" s="26"/>
      <c r="AI39" s="26"/>
      <c r="AJ39" s="26"/>
      <c r="AK39" s="26"/>
      <c r="AL39" s="26"/>
      <c r="AM39" s="26"/>
      <c r="AN39" s="26"/>
      <c r="AO39" s="26"/>
      <c r="AP39" s="26"/>
      <c r="AQ39" s="26"/>
      <c r="AR39" s="26"/>
      <c r="AS39" s="501" t="s">
        <v>74</v>
      </c>
      <c r="AT39" s="501" t="s">
        <v>74</v>
      </c>
    </row>
    <row r="40" spans="2:46" x14ac:dyDescent="0.25">
      <c r="B40" s="1751"/>
      <c r="C40" s="26">
        <v>31</v>
      </c>
      <c r="D40" s="26" t="s">
        <v>964</v>
      </c>
      <c r="E40" s="26">
        <f t="shared" si="0"/>
        <v>2</v>
      </c>
      <c r="F40" s="26" t="s">
        <v>17</v>
      </c>
      <c r="G40" s="26" t="s">
        <v>956</v>
      </c>
      <c r="H40" s="501" t="s">
        <v>957</v>
      </c>
      <c r="I40" s="26" t="s">
        <v>19</v>
      </c>
      <c r="J40" s="26" t="s">
        <v>965</v>
      </c>
      <c r="K40" s="501" t="s">
        <v>959</v>
      </c>
      <c r="L40" s="26"/>
      <c r="M40" s="26"/>
      <c r="N40" s="501"/>
      <c r="O40" s="26"/>
      <c r="P40" s="26"/>
      <c r="Q40" s="501"/>
      <c r="R40" s="26"/>
      <c r="S40" s="26"/>
      <c r="T40" s="501"/>
      <c r="U40" s="501"/>
      <c r="V40" s="501"/>
      <c r="W40" s="501"/>
      <c r="X40" s="501"/>
      <c r="Y40" s="501"/>
      <c r="Z40" s="501"/>
      <c r="AA40" s="26" t="s">
        <v>17</v>
      </c>
      <c r="AB40" s="26" t="s">
        <v>956</v>
      </c>
      <c r="AC40" s="501" t="s">
        <v>103</v>
      </c>
      <c r="AD40" s="26" t="s">
        <v>19</v>
      </c>
      <c r="AE40" s="26" t="s">
        <v>965</v>
      </c>
      <c r="AF40" s="501" t="s">
        <v>103</v>
      </c>
      <c r="AG40" s="26"/>
      <c r="AH40" s="26"/>
      <c r="AI40" s="26"/>
      <c r="AJ40" s="26"/>
      <c r="AK40" s="26"/>
      <c r="AL40" s="26"/>
      <c r="AM40" s="26"/>
      <c r="AN40" s="26"/>
      <c r="AO40" s="26"/>
      <c r="AP40" s="26"/>
      <c r="AQ40" s="26"/>
      <c r="AR40" s="26"/>
      <c r="AS40" s="501" t="s">
        <v>74</v>
      </c>
      <c r="AT40" s="501" t="s">
        <v>74</v>
      </c>
    </row>
    <row r="41" spans="2:46" x14ac:dyDescent="0.25">
      <c r="B41" s="1751"/>
      <c r="C41" s="26">
        <v>32</v>
      </c>
      <c r="D41" s="26" t="s">
        <v>966</v>
      </c>
      <c r="E41" s="26">
        <f t="shared" si="0"/>
        <v>2</v>
      </c>
      <c r="F41" s="26" t="s">
        <v>17</v>
      </c>
      <c r="G41" s="26" t="s">
        <v>956</v>
      </c>
      <c r="H41" s="501" t="s">
        <v>957</v>
      </c>
      <c r="I41" s="26" t="s">
        <v>19</v>
      </c>
      <c r="J41" s="26" t="s">
        <v>967</v>
      </c>
      <c r="K41" s="501" t="s">
        <v>959</v>
      </c>
      <c r="L41" s="26"/>
      <c r="M41" s="26"/>
      <c r="N41" s="501"/>
      <c r="O41" s="26"/>
      <c r="P41" s="26"/>
      <c r="Q41" s="501"/>
      <c r="R41" s="26"/>
      <c r="S41" s="26"/>
      <c r="T41" s="501"/>
      <c r="U41" s="501"/>
      <c r="V41" s="501"/>
      <c r="W41" s="501"/>
      <c r="X41" s="501"/>
      <c r="Y41" s="501"/>
      <c r="Z41" s="501"/>
      <c r="AA41" s="26" t="s">
        <v>17</v>
      </c>
      <c r="AB41" s="26" t="s">
        <v>956</v>
      </c>
      <c r="AC41" s="501" t="s">
        <v>103</v>
      </c>
      <c r="AD41" s="26" t="s">
        <v>19</v>
      </c>
      <c r="AE41" s="26" t="s">
        <v>967</v>
      </c>
      <c r="AF41" s="501" t="s">
        <v>103</v>
      </c>
      <c r="AG41" s="26"/>
      <c r="AH41" s="26"/>
      <c r="AI41" s="26"/>
      <c r="AJ41" s="26"/>
      <c r="AK41" s="26"/>
      <c r="AL41" s="26"/>
      <c r="AM41" s="26"/>
      <c r="AN41" s="26"/>
      <c r="AO41" s="26"/>
      <c r="AP41" s="26"/>
      <c r="AQ41" s="26"/>
      <c r="AR41" s="26"/>
      <c r="AS41" s="501" t="s">
        <v>74</v>
      </c>
      <c r="AT41" s="501" t="s">
        <v>74</v>
      </c>
    </row>
    <row r="42" spans="2:46" x14ac:dyDescent="0.25">
      <c r="B42" s="1751"/>
      <c r="C42" s="26">
        <v>33</v>
      </c>
      <c r="D42" s="26" t="s">
        <v>968</v>
      </c>
      <c r="E42" s="26">
        <f t="shared" si="0"/>
        <v>2</v>
      </c>
      <c r="F42" s="26" t="s">
        <v>17</v>
      </c>
      <c r="G42" s="26" t="s">
        <v>956</v>
      </c>
      <c r="H42" s="501" t="s">
        <v>957</v>
      </c>
      <c r="I42" s="26" t="s">
        <v>19</v>
      </c>
      <c r="J42" s="26" t="s">
        <v>967</v>
      </c>
      <c r="K42" s="501" t="s">
        <v>969</v>
      </c>
      <c r="L42" s="26"/>
      <c r="M42" s="26"/>
      <c r="N42" s="501"/>
      <c r="O42" s="26"/>
      <c r="P42" s="26"/>
      <c r="Q42" s="501"/>
      <c r="R42" s="26"/>
      <c r="S42" s="26"/>
      <c r="T42" s="501"/>
      <c r="U42" s="501"/>
      <c r="V42" s="501"/>
      <c r="W42" s="501"/>
      <c r="X42" s="501"/>
      <c r="Y42" s="501"/>
      <c r="Z42" s="501"/>
      <c r="AA42" s="26" t="s">
        <v>17</v>
      </c>
      <c r="AB42" s="26" t="s">
        <v>956</v>
      </c>
      <c r="AC42" s="501" t="s">
        <v>103</v>
      </c>
      <c r="AD42" s="26" t="s">
        <v>19</v>
      </c>
      <c r="AE42" s="26" t="s">
        <v>967</v>
      </c>
      <c r="AF42" s="501" t="s">
        <v>103</v>
      </c>
      <c r="AG42" s="26"/>
      <c r="AH42" s="26"/>
      <c r="AI42" s="26"/>
      <c r="AJ42" s="26"/>
      <c r="AK42" s="26"/>
      <c r="AL42" s="26"/>
      <c r="AM42" s="26"/>
      <c r="AN42" s="26"/>
      <c r="AO42" s="26"/>
      <c r="AP42" s="26"/>
      <c r="AQ42" s="26"/>
      <c r="AR42" s="26"/>
      <c r="AS42" s="501" t="s">
        <v>74</v>
      </c>
      <c r="AT42" s="501" t="s">
        <v>74</v>
      </c>
    </row>
    <row r="43" spans="2:46" x14ac:dyDescent="0.25">
      <c r="B43" s="1751"/>
      <c r="C43" s="26">
        <v>34</v>
      </c>
      <c r="D43" s="26" t="s">
        <v>970</v>
      </c>
      <c r="E43" s="26">
        <f t="shared" si="0"/>
        <v>2</v>
      </c>
      <c r="F43" s="26" t="s">
        <v>17</v>
      </c>
      <c r="G43" s="26" t="s">
        <v>956</v>
      </c>
      <c r="H43" s="501" t="s">
        <v>957</v>
      </c>
      <c r="I43" s="26" t="s">
        <v>19</v>
      </c>
      <c r="J43" s="26" t="s">
        <v>971</v>
      </c>
      <c r="K43" s="501" t="s">
        <v>959</v>
      </c>
      <c r="L43" s="26"/>
      <c r="M43" s="26"/>
      <c r="N43" s="501"/>
      <c r="O43" s="26"/>
      <c r="P43" s="26"/>
      <c r="Q43" s="501"/>
      <c r="R43" s="26"/>
      <c r="S43" s="26"/>
      <c r="T43" s="501"/>
      <c r="U43" s="501"/>
      <c r="V43" s="501"/>
      <c r="W43" s="501"/>
      <c r="X43" s="501"/>
      <c r="Y43" s="501"/>
      <c r="Z43" s="501"/>
      <c r="AA43" s="26" t="s">
        <v>17</v>
      </c>
      <c r="AB43" s="26" t="s">
        <v>956</v>
      </c>
      <c r="AC43" s="501" t="s">
        <v>103</v>
      </c>
      <c r="AD43" s="26" t="s">
        <v>19</v>
      </c>
      <c r="AE43" s="26" t="s">
        <v>971</v>
      </c>
      <c r="AF43" s="501" t="s">
        <v>103</v>
      </c>
      <c r="AG43" s="26"/>
      <c r="AH43" s="26"/>
      <c r="AI43" s="26"/>
      <c r="AJ43" s="26"/>
      <c r="AK43" s="26"/>
      <c r="AL43" s="26"/>
      <c r="AM43" s="26"/>
      <c r="AN43" s="26"/>
      <c r="AO43" s="26"/>
      <c r="AP43" s="26"/>
      <c r="AQ43" s="26"/>
      <c r="AR43" s="26"/>
      <c r="AS43" s="501" t="s">
        <v>74</v>
      </c>
      <c r="AT43" s="501" t="s">
        <v>74</v>
      </c>
    </row>
    <row r="44" spans="2:46" x14ac:dyDescent="0.25">
      <c r="B44" s="1751"/>
      <c r="C44" s="26">
        <v>35</v>
      </c>
      <c r="D44" s="26" t="s">
        <v>972</v>
      </c>
      <c r="E44" s="26">
        <f t="shared" si="0"/>
        <v>2</v>
      </c>
      <c r="F44" s="26" t="s">
        <v>17</v>
      </c>
      <c r="G44" s="26" t="s">
        <v>956</v>
      </c>
      <c r="H44" s="501" t="s">
        <v>957</v>
      </c>
      <c r="I44" s="26" t="s">
        <v>19</v>
      </c>
      <c r="J44" s="26" t="s">
        <v>973</v>
      </c>
      <c r="K44" s="501" t="s">
        <v>959</v>
      </c>
      <c r="L44" s="26"/>
      <c r="M44" s="26"/>
      <c r="N44" s="501"/>
      <c r="O44" s="26"/>
      <c r="P44" s="26"/>
      <c r="Q44" s="501"/>
      <c r="R44" s="26"/>
      <c r="S44" s="26"/>
      <c r="T44" s="501"/>
      <c r="U44" s="501"/>
      <c r="V44" s="501"/>
      <c r="W44" s="501"/>
      <c r="X44" s="501"/>
      <c r="Y44" s="501"/>
      <c r="Z44" s="501"/>
      <c r="AA44" s="26" t="s">
        <v>17</v>
      </c>
      <c r="AB44" s="26" t="s">
        <v>956</v>
      </c>
      <c r="AC44" s="501" t="s">
        <v>103</v>
      </c>
      <c r="AD44" s="26" t="s">
        <v>19</v>
      </c>
      <c r="AE44" s="26" t="s">
        <v>973</v>
      </c>
      <c r="AF44" s="501" t="s">
        <v>103</v>
      </c>
      <c r="AG44" s="26"/>
      <c r="AH44" s="26"/>
      <c r="AI44" s="26"/>
      <c r="AJ44" s="26"/>
      <c r="AK44" s="26"/>
      <c r="AL44" s="26"/>
      <c r="AM44" s="26"/>
      <c r="AN44" s="26"/>
      <c r="AO44" s="26"/>
      <c r="AP44" s="26"/>
      <c r="AQ44" s="26"/>
      <c r="AR44" s="26"/>
      <c r="AS44" s="501" t="s">
        <v>74</v>
      </c>
      <c r="AT44" s="501" t="s">
        <v>74</v>
      </c>
    </row>
    <row r="45" spans="2:46" x14ac:dyDescent="0.25">
      <c r="B45" s="1751"/>
      <c r="C45" s="26">
        <v>36</v>
      </c>
      <c r="D45" s="26" t="s">
        <v>974</v>
      </c>
      <c r="E45" s="26">
        <f t="shared" si="0"/>
        <v>2</v>
      </c>
      <c r="F45" s="26" t="s">
        <v>17</v>
      </c>
      <c r="G45" s="26" t="s">
        <v>956</v>
      </c>
      <c r="H45" s="501" t="s">
        <v>957</v>
      </c>
      <c r="I45" s="26" t="s">
        <v>19</v>
      </c>
      <c r="J45" s="26" t="s">
        <v>973</v>
      </c>
      <c r="K45" s="501" t="s">
        <v>969</v>
      </c>
      <c r="L45" s="26"/>
      <c r="M45" s="26"/>
      <c r="N45" s="501"/>
      <c r="O45" s="26"/>
      <c r="P45" s="26"/>
      <c r="Q45" s="501"/>
      <c r="R45" s="26"/>
      <c r="S45" s="26"/>
      <c r="T45" s="501"/>
      <c r="U45" s="501"/>
      <c r="V45" s="501"/>
      <c r="W45" s="501"/>
      <c r="X45" s="501"/>
      <c r="Y45" s="501"/>
      <c r="Z45" s="501"/>
      <c r="AA45" s="26" t="s">
        <v>17</v>
      </c>
      <c r="AB45" s="26" t="s">
        <v>956</v>
      </c>
      <c r="AC45" s="501" t="s">
        <v>103</v>
      </c>
      <c r="AD45" s="26" t="s">
        <v>19</v>
      </c>
      <c r="AE45" s="26" t="s">
        <v>973</v>
      </c>
      <c r="AF45" s="501" t="s">
        <v>103</v>
      </c>
      <c r="AG45" s="26"/>
      <c r="AH45" s="26"/>
      <c r="AI45" s="26"/>
      <c r="AJ45" s="26"/>
      <c r="AK45" s="26"/>
      <c r="AL45" s="26"/>
      <c r="AM45" s="26"/>
      <c r="AN45" s="26"/>
      <c r="AO45" s="26"/>
      <c r="AP45" s="26"/>
      <c r="AQ45" s="26"/>
      <c r="AR45" s="26"/>
      <c r="AS45" s="501" t="s">
        <v>74</v>
      </c>
      <c r="AT45" s="501" t="s">
        <v>74</v>
      </c>
    </row>
    <row r="46" spans="2:46" x14ac:dyDescent="0.25">
      <c r="B46" s="1751"/>
      <c r="C46" s="26">
        <v>37</v>
      </c>
      <c r="D46" s="26" t="s">
        <v>975</v>
      </c>
      <c r="E46" s="26">
        <f t="shared" si="0"/>
        <v>2</v>
      </c>
      <c r="F46" s="26" t="s">
        <v>17</v>
      </c>
      <c r="G46" s="26" t="s">
        <v>956</v>
      </c>
      <c r="H46" s="501" t="s">
        <v>957</v>
      </c>
      <c r="I46" s="26" t="s">
        <v>19</v>
      </c>
      <c r="J46" s="26" t="s">
        <v>976</v>
      </c>
      <c r="K46" s="501" t="s">
        <v>959</v>
      </c>
      <c r="L46" s="26"/>
      <c r="M46" s="26"/>
      <c r="N46" s="501"/>
      <c r="O46" s="26"/>
      <c r="P46" s="26"/>
      <c r="Q46" s="501"/>
      <c r="R46" s="26"/>
      <c r="S46" s="26"/>
      <c r="T46" s="501"/>
      <c r="U46" s="501"/>
      <c r="V46" s="501"/>
      <c r="W46" s="501"/>
      <c r="X46" s="501"/>
      <c r="Y46" s="501"/>
      <c r="Z46" s="501"/>
      <c r="AA46" s="26" t="s">
        <v>17</v>
      </c>
      <c r="AB46" s="26" t="s">
        <v>956</v>
      </c>
      <c r="AC46" s="501" t="s">
        <v>103</v>
      </c>
      <c r="AD46" s="26" t="s">
        <v>19</v>
      </c>
      <c r="AE46" s="26" t="s">
        <v>976</v>
      </c>
      <c r="AF46" s="501" t="s">
        <v>103</v>
      </c>
      <c r="AG46" s="26"/>
      <c r="AH46" s="26"/>
      <c r="AI46" s="26"/>
      <c r="AJ46" s="26"/>
      <c r="AK46" s="26"/>
      <c r="AL46" s="26"/>
      <c r="AM46" s="26"/>
      <c r="AN46" s="26"/>
      <c r="AO46" s="26"/>
      <c r="AP46" s="26"/>
      <c r="AQ46" s="26"/>
      <c r="AR46" s="26"/>
      <c r="AS46" s="501" t="s">
        <v>74</v>
      </c>
      <c r="AT46" s="501" t="s">
        <v>74</v>
      </c>
    </row>
    <row r="47" spans="2:46" x14ac:dyDescent="0.25">
      <c r="B47" s="1751"/>
      <c r="C47" s="26">
        <v>38</v>
      </c>
      <c r="D47" s="26" t="s">
        <v>977</v>
      </c>
      <c r="E47" s="26">
        <f t="shared" si="0"/>
        <v>2</v>
      </c>
      <c r="F47" s="26" t="s">
        <v>17</v>
      </c>
      <c r="G47" s="26" t="s">
        <v>956</v>
      </c>
      <c r="H47" s="501" t="s">
        <v>957</v>
      </c>
      <c r="I47" s="26" t="s">
        <v>19</v>
      </c>
      <c r="J47" s="26" t="s">
        <v>976</v>
      </c>
      <c r="K47" s="501" t="s">
        <v>969</v>
      </c>
      <c r="L47" s="26"/>
      <c r="M47" s="26"/>
      <c r="N47" s="501"/>
      <c r="O47" s="26"/>
      <c r="P47" s="26"/>
      <c r="Q47" s="501"/>
      <c r="R47" s="26"/>
      <c r="S47" s="26"/>
      <c r="T47" s="501"/>
      <c r="U47" s="501"/>
      <c r="V47" s="501"/>
      <c r="W47" s="501"/>
      <c r="X47" s="501"/>
      <c r="Y47" s="501"/>
      <c r="Z47" s="501"/>
      <c r="AA47" s="26" t="s">
        <v>17</v>
      </c>
      <c r="AB47" s="26" t="s">
        <v>956</v>
      </c>
      <c r="AC47" s="501" t="s">
        <v>103</v>
      </c>
      <c r="AD47" s="26" t="s">
        <v>19</v>
      </c>
      <c r="AE47" s="26" t="s">
        <v>976</v>
      </c>
      <c r="AF47" s="501" t="s">
        <v>103</v>
      </c>
      <c r="AG47" s="26"/>
      <c r="AH47" s="26"/>
      <c r="AI47" s="26"/>
      <c r="AJ47" s="26"/>
      <c r="AK47" s="26"/>
      <c r="AL47" s="26"/>
      <c r="AM47" s="26"/>
      <c r="AN47" s="26"/>
      <c r="AO47" s="26"/>
      <c r="AP47" s="26"/>
      <c r="AQ47" s="26"/>
      <c r="AR47" s="26"/>
      <c r="AS47" s="501" t="s">
        <v>74</v>
      </c>
      <c r="AT47" s="501" t="s">
        <v>74</v>
      </c>
    </row>
    <row r="48" spans="2:46" x14ac:dyDescent="0.25">
      <c r="B48" s="1751"/>
      <c r="C48" s="26">
        <v>39</v>
      </c>
      <c r="D48" s="26" t="s">
        <v>978</v>
      </c>
      <c r="E48" s="26">
        <f t="shared" si="0"/>
        <v>2</v>
      </c>
      <c r="F48" s="26" t="s">
        <v>17</v>
      </c>
      <c r="G48" s="26" t="s">
        <v>956</v>
      </c>
      <c r="H48" s="501" t="s">
        <v>957</v>
      </c>
      <c r="I48" s="26" t="s">
        <v>19</v>
      </c>
      <c r="J48" s="26" t="s">
        <v>979</v>
      </c>
      <c r="K48" s="501" t="s">
        <v>959</v>
      </c>
      <c r="L48" s="26"/>
      <c r="M48" s="26"/>
      <c r="N48" s="501"/>
      <c r="O48" s="26"/>
      <c r="P48" s="26"/>
      <c r="Q48" s="501"/>
      <c r="R48" s="26"/>
      <c r="S48" s="26"/>
      <c r="T48" s="501"/>
      <c r="U48" s="501"/>
      <c r="V48" s="501"/>
      <c r="W48" s="501"/>
      <c r="X48" s="501"/>
      <c r="Y48" s="501"/>
      <c r="Z48" s="501"/>
      <c r="AA48" s="26" t="s">
        <v>17</v>
      </c>
      <c r="AB48" s="26" t="s">
        <v>956</v>
      </c>
      <c r="AC48" s="501" t="s">
        <v>103</v>
      </c>
      <c r="AD48" s="26" t="s">
        <v>19</v>
      </c>
      <c r="AE48" s="26" t="s">
        <v>979</v>
      </c>
      <c r="AF48" s="501" t="s">
        <v>103</v>
      </c>
      <c r="AG48" s="26"/>
      <c r="AH48" s="26"/>
      <c r="AI48" s="26"/>
      <c r="AJ48" s="26"/>
      <c r="AK48" s="26"/>
      <c r="AL48" s="26"/>
      <c r="AM48" s="26"/>
      <c r="AN48" s="26"/>
      <c r="AO48" s="26"/>
      <c r="AP48" s="26"/>
      <c r="AQ48" s="26"/>
      <c r="AR48" s="26"/>
      <c r="AS48" s="501" t="s">
        <v>74</v>
      </c>
      <c r="AT48" s="501" t="s">
        <v>74</v>
      </c>
    </row>
    <row r="49" spans="2:46" x14ac:dyDescent="0.25">
      <c r="B49" s="1748" t="s">
        <v>980</v>
      </c>
      <c r="C49" s="26">
        <v>40</v>
      </c>
      <c r="D49" s="26" t="s">
        <v>981</v>
      </c>
      <c r="E49" s="26">
        <f t="shared" si="0"/>
        <v>1</v>
      </c>
      <c r="F49" s="26" t="s">
        <v>17</v>
      </c>
      <c r="G49" s="26" t="s">
        <v>982</v>
      </c>
      <c r="H49" s="501" t="s">
        <v>983</v>
      </c>
      <c r="I49" s="26"/>
      <c r="J49" s="26"/>
      <c r="K49" s="501"/>
      <c r="L49" s="26"/>
      <c r="M49" s="26"/>
      <c r="N49" s="501"/>
      <c r="O49" s="26"/>
      <c r="P49" s="26"/>
      <c r="Q49" s="501"/>
      <c r="R49" s="26"/>
      <c r="S49" s="26"/>
      <c r="T49" s="501"/>
      <c r="U49" s="501"/>
      <c r="V49" s="501"/>
      <c r="W49" s="501"/>
      <c r="X49" s="501"/>
      <c r="Y49" s="501"/>
      <c r="Z49" s="501"/>
      <c r="AA49" s="26" t="s">
        <v>17</v>
      </c>
      <c r="AB49" s="26" t="s">
        <v>982</v>
      </c>
      <c r="AC49" s="501" t="s">
        <v>92</v>
      </c>
      <c r="AD49" s="26"/>
      <c r="AE49" s="26"/>
      <c r="AF49" s="501"/>
      <c r="AG49" s="26"/>
      <c r="AH49" s="26"/>
      <c r="AI49" s="501"/>
      <c r="AJ49" s="26"/>
      <c r="AK49" s="26"/>
      <c r="AL49" s="501"/>
      <c r="AM49" s="26"/>
      <c r="AN49" s="26"/>
      <c r="AO49" s="501"/>
      <c r="AP49" s="501"/>
      <c r="AQ49" s="501"/>
      <c r="AR49" s="501"/>
      <c r="AS49" s="501" t="s">
        <v>74</v>
      </c>
      <c r="AT49" s="501" t="s">
        <v>74</v>
      </c>
    </row>
    <row r="50" spans="2:46" x14ac:dyDescent="0.25">
      <c r="B50" s="1749"/>
      <c r="C50" s="26">
        <v>41</v>
      </c>
      <c r="D50" s="26" t="s">
        <v>984</v>
      </c>
      <c r="E50" s="26">
        <f t="shared" si="0"/>
        <v>3</v>
      </c>
      <c r="F50" s="26" t="s">
        <v>24</v>
      </c>
      <c r="G50" s="26" t="s">
        <v>985</v>
      </c>
      <c r="H50" s="501" t="s">
        <v>986</v>
      </c>
      <c r="I50" s="26" t="s">
        <v>24</v>
      </c>
      <c r="J50" s="26" t="s">
        <v>987</v>
      </c>
      <c r="K50" s="501" t="s">
        <v>152</v>
      </c>
      <c r="L50" s="26" t="s">
        <v>17</v>
      </c>
      <c r="M50" s="26" t="s">
        <v>1833</v>
      </c>
      <c r="N50" s="501" t="s">
        <v>74</v>
      </c>
      <c r="O50" s="26"/>
      <c r="P50" s="26"/>
      <c r="Q50" s="501"/>
      <c r="R50" s="26"/>
      <c r="S50" s="26"/>
      <c r="T50" s="501"/>
      <c r="U50" s="501"/>
      <c r="V50" s="501"/>
      <c r="W50" s="501"/>
      <c r="X50" s="501"/>
      <c r="Y50" s="501"/>
      <c r="Z50" s="501"/>
      <c r="AA50" s="26" t="s">
        <v>24</v>
      </c>
      <c r="AB50" s="26" t="s">
        <v>985</v>
      </c>
      <c r="AC50" s="501" t="s">
        <v>103</v>
      </c>
      <c r="AD50" s="26" t="s">
        <v>24</v>
      </c>
      <c r="AE50" s="26" t="s">
        <v>987</v>
      </c>
      <c r="AF50" s="501" t="s">
        <v>152</v>
      </c>
      <c r="AG50" s="26" t="s">
        <v>17</v>
      </c>
      <c r="AH50" s="26" t="s">
        <v>1833</v>
      </c>
      <c r="AI50" s="501" t="s">
        <v>58</v>
      </c>
      <c r="AJ50" s="26"/>
      <c r="AK50" s="26"/>
      <c r="AL50" s="501"/>
      <c r="AM50" s="26"/>
      <c r="AN50" s="26"/>
      <c r="AO50" s="501"/>
      <c r="AP50" s="501"/>
      <c r="AQ50" s="501"/>
      <c r="AR50" s="501"/>
      <c r="AS50" s="501" t="s">
        <v>74</v>
      </c>
      <c r="AT50" s="501" t="s">
        <v>74</v>
      </c>
    </row>
    <row r="51" spans="2:46" x14ac:dyDescent="0.25">
      <c r="B51" s="1749"/>
      <c r="C51" s="26">
        <v>42</v>
      </c>
      <c r="D51" s="26" t="s">
        <v>988</v>
      </c>
      <c r="E51" s="26">
        <f t="shared" si="0"/>
        <v>2</v>
      </c>
      <c r="F51" s="26" t="s">
        <v>24</v>
      </c>
      <c r="G51" s="26" t="s">
        <v>985</v>
      </c>
      <c r="H51" s="501" t="s">
        <v>989</v>
      </c>
      <c r="I51" s="26" t="s">
        <v>24</v>
      </c>
      <c r="J51" s="26" t="s">
        <v>987</v>
      </c>
      <c r="K51" s="501" t="s">
        <v>152</v>
      </c>
      <c r="L51" s="26"/>
      <c r="M51" s="26"/>
      <c r="N51" s="501"/>
      <c r="O51" s="26"/>
      <c r="P51" s="26"/>
      <c r="Q51" s="501"/>
      <c r="R51" s="26"/>
      <c r="S51" s="26"/>
      <c r="T51" s="501"/>
      <c r="U51" s="501"/>
      <c r="V51" s="501"/>
      <c r="W51" s="501"/>
      <c r="X51" s="501"/>
      <c r="Y51" s="501"/>
      <c r="Z51" s="501"/>
      <c r="AA51" s="26" t="s">
        <v>24</v>
      </c>
      <c r="AB51" s="26" t="s">
        <v>985</v>
      </c>
      <c r="AC51" s="501" t="s">
        <v>103</v>
      </c>
      <c r="AD51" s="26" t="s">
        <v>24</v>
      </c>
      <c r="AE51" s="26" t="s">
        <v>987</v>
      </c>
      <c r="AF51" s="501" t="s">
        <v>152</v>
      </c>
      <c r="AG51" s="26"/>
      <c r="AH51" s="26"/>
      <c r="AI51" s="26"/>
      <c r="AJ51" s="26"/>
      <c r="AK51" s="26"/>
      <c r="AL51" s="26"/>
      <c r="AM51" s="26"/>
      <c r="AN51" s="26"/>
      <c r="AO51" s="26"/>
      <c r="AP51" s="26"/>
      <c r="AQ51" s="26"/>
      <c r="AR51" s="26"/>
      <c r="AS51" s="501" t="s">
        <v>74</v>
      </c>
      <c r="AT51" s="501" t="s">
        <v>74</v>
      </c>
    </row>
    <row r="52" spans="2:46" x14ac:dyDescent="0.25">
      <c r="B52" s="1749"/>
      <c r="C52" s="26">
        <v>43</v>
      </c>
      <c r="D52" s="26" t="s">
        <v>990</v>
      </c>
      <c r="E52" s="26">
        <f t="shared" si="0"/>
        <v>2</v>
      </c>
      <c r="F52" s="26" t="s">
        <v>17</v>
      </c>
      <c r="G52" s="26" t="s">
        <v>991</v>
      </c>
      <c r="H52" s="501" t="s">
        <v>74</v>
      </c>
      <c r="I52" s="26" t="s">
        <v>24</v>
      </c>
      <c r="J52" s="26" t="s">
        <v>985</v>
      </c>
      <c r="K52" s="501" t="s">
        <v>992</v>
      </c>
      <c r="L52" s="26"/>
      <c r="M52" s="26"/>
      <c r="N52" s="501"/>
      <c r="O52" s="26"/>
      <c r="P52" s="26"/>
      <c r="Q52" s="501"/>
      <c r="R52" s="26"/>
      <c r="S52" s="26"/>
      <c r="T52" s="501"/>
      <c r="U52" s="501"/>
      <c r="V52" s="501"/>
      <c r="W52" s="501"/>
      <c r="X52" s="501"/>
      <c r="Y52" s="501"/>
      <c r="Z52" s="501"/>
      <c r="AA52" s="26" t="s">
        <v>17</v>
      </c>
      <c r="AB52" s="26" t="s">
        <v>899</v>
      </c>
      <c r="AC52" s="501" t="s">
        <v>54</v>
      </c>
      <c r="AD52" s="26" t="s">
        <v>17</v>
      </c>
      <c r="AE52" s="26" t="s">
        <v>993</v>
      </c>
      <c r="AF52" s="501" t="s">
        <v>58</v>
      </c>
      <c r="AG52" s="26"/>
      <c r="AH52" s="26"/>
      <c r="AI52" s="26"/>
      <c r="AJ52" s="26"/>
      <c r="AK52" s="26"/>
      <c r="AL52" s="26"/>
      <c r="AM52" s="26"/>
      <c r="AN52" s="26"/>
      <c r="AO52" s="26"/>
      <c r="AP52" s="26"/>
      <c r="AQ52" s="26"/>
      <c r="AR52" s="26"/>
      <c r="AS52" s="501" t="s">
        <v>74</v>
      </c>
      <c r="AT52" s="501" t="s">
        <v>74</v>
      </c>
    </row>
    <row r="53" spans="2:46" s="87" customFormat="1" x14ac:dyDescent="0.25">
      <c r="B53" s="1749"/>
      <c r="C53" s="1094">
        <v>44</v>
      </c>
      <c r="D53" s="26" t="s">
        <v>994</v>
      </c>
      <c r="E53" s="26">
        <f t="shared" si="0"/>
        <v>1</v>
      </c>
      <c r="F53" s="26" t="s">
        <v>17</v>
      </c>
      <c r="G53" s="26" t="s">
        <v>991</v>
      </c>
      <c r="H53" s="501" t="s">
        <v>74</v>
      </c>
      <c r="I53" s="26"/>
      <c r="J53" s="26"/>
      <c r="K53" s="501"/>
      <c r="L53" s="1094"/>
      <c r="M53" s="1094"/>
      <c r="N53" s="1136"/>
      <c r="O53" s="1094"/>
      <c r="P53" s="1094"/>
      <c r="Q53" s="1136"/>
      <c r="R53" s="1094"/>
      <c r="S53" s="1094"/>
      <c r="T53" s="1136"/>
      <c r="U53" s="1136"/>
      <c r="V53" s="1136"/>
      <c r="W53" s="1136"/>
      <c r="X53" s="1136"/>
      <c r="Y53" s="1136"/>
      <c r="Z53" s="1136"/>
      <c r="AA53" s="1094" t="s">
        <v>17</v>
      </c>
      <c r="AB53" s="1094" t="s">
        <v>899</v>
      </c>
      <c r="AC53" s="1136" t="s">
        <v>54</v>
      </c>
      <c r="AD53" s="1094" t="s">
        <v>17</v>
      </c>
      <c r="AE53" s="1094" t="s">
        <v>995</v>
      </c>
      <c r="AF53" s="1136" t="s">
        <v>58</v>
      </c>
      <c r="AG53" s="1094"/>
      <c r="AH53" s="1094"/>
      <c r="AI53" s="1094"/>
      <c r="AJ53" s="1094"/>
      <c r="AK53" s="1094"/>
      <c r="AL53" s="1094"/>
      <c r="AM53" s="1094"/>
      <c r="AN53" s="1094"/>
      <c r="AO53" s="1094"/>
      <c r="AP53" s="1094"/>
      <c r="AQ53" s="1094"/>
      <c r="AR53" s="1094"/>
      <c r="AS53" s="1136" t="s">
        <v>74</v>
      </c>
      <c r="AT53" s="1136" t="s">
        <v>74</v>
      </c>
    </row>
    <row r="54" spans="2:46" x14ac:dyDescent="0.25">
      <c r="B54" s="1749"/>
      <c r="C54" s="26">
        <v>45</v>
      </c>
      <c r="D54" s="26" t="s">
        <v>996</v>
      </c>
      <c r="E54" s="26">
        <f t="shared" si="0"/>
        <v>3</v>
      </c>
      <c r="F54" s="26" t="s">
        <v>24</v>
      </c>
      <c r="G54" s="26" t="s">
        <v>985</v>
      </c>
      <c r="H54" s="501" t="s">
        <v>992</v>
      </c>
      <c r="I54" s="26" t="s">
        <v>24</v>
      </c>
      <c r="J54" s="26" t="s">
        <v>987</v>
      </c>
      <c r="K54" s="501" t="s">
        <v>152</v>
      </c>
      <c r="L54" s="26" t="s">
        <v>17</v>
      </c>
      <c r="M54" s="26" t="s">
        <v>899</v>
      </c>
      <c r="N54" s="501" t="s">
        <v>54</v>
      </c>
      <c r="O54" s="26"/>
      <c r="P54" s="26"/>
      <c r="Q54" s="501"/>
      <c r="R54" s="26"/>
      <c r="S54" s="26"/>
      <c r="T54" s="501"/>
      <c r="U54" s="501"/>
      <c r="V54" s="501"/>
      <c r="W54" s="501"/>
      <c r="X54" s="501"/>
      <c r="Y54" s="501"/>
      <c r="Z54" s="501"/>
      <c r="AA54" s="26" t="s">
        <v>24</v>
      </c>
      <c r="AB54" s="26" t="s">
        <v>985</v>
      </c>
      <c r="AC54" s="501" t="s">
        <v>103</v>
      </c>
      <c r="AD54" s="26" t="s">
        <v>24</v>
      </c>
      <c r="AE54" s="26" t="s">
        <v>987</v>
      </c>
      <c r="AF54" s="501" t="s">
        <v>152</v>
      </c>
      <c r="AG54" s="26" t="s">
        <v>17</v>
      </c>
      <c r="AH54" s="26" t="s">
        <v>899</v>
      </c>
      <c r="AI54" s="501" t="s">
        <v>54</v>
      </c>
      <c r="AJ54" s="26"/>
      <c r="AK54" s="26"/>
      <c r="AL54" s="26"/>
      <c r="AM54" s="26"/>
      <c r="AN54" s="26"/>
      <c r="AO54" s="26"/>
      <c r="AP54" s="26"/>
      <c r="AQ54" s="26"/>
      <c r="AR54" s="26"/>
      <c r="AS54" s="501"/>
      <c r="AT54" s="501"/>
    </row>
    <row r="55" spans="2:46" x14ac:dyDescent="0.25">
      <c r="B55" s="1749"/>
      <c r="C55" s="26">
        <v>46</v>
      </c>
      <c r="D55" s="26" t="s">
        <v>997</v>
      </c>
      <c r="E55" s="26">
        <f t="shared" si="0"/>
        <v>3</v>
      </c>
      <c r="F55" s="26" t="s">
        <v>24</v>
      </c>
      <c r="G55" s="26" t="s">
        <v>985</v>
      </c>
      <c r="H55" s="501" t="s">
        <v>998</v>
      </c>
      <c r="I55" s="26" t="s">
        <v>24</v>
      </c>
      <c r="J55" s="26" t="s">
        <v>987</v>
      </c>
      <c r="K55" s="501" t="s">
        <v>152</v>
      </c>
      <c r="L55" s="26" t="s">
        <v>17</v>
      </c>
      <c r="M55" s="26" t="s">
        <v>899</v>
      </c>
      <c r="N55" s="501" t="s">
        <v>54</v>
      </c>
      <c r="O55" s="596"/>
      <c r="P55" s="596"/>
      <c r="Q55" s="1011"/>
      <c r="R55" s="26"/>
      <c r="S55" s="26"/>
      <c r="T55" s="501"/>
      <c r="U55" s="501"/>
      <c r="V55" s="501"/>
      <c r="W55" s="501"/>
      <c r="X55" s="501"/>
      <c r="Y55" s="501"/>
      <c r="Z55" s="501"/>
      <c r="AA55" s="26" t="s">
        <v>24</v>
      </c>
      <c r="AB55" s="26" t="s">
        <v>985</v>
      </c>
      <c r="AC55" s="501" t="s">
        <v>103</v>
      </c>
      <c r="AD55" s="26" t="s">
        <v>24</v>
      </c>
      <c r="AE55" s="26" t="s">
        <v>987</v>
      </c>
      <c r="AF55" s="501" t="s">
        <v>152</v>
      </c>
      <c r="AG55" s="26" t="s">
        <v>17</v>
      </c>
      <c r="AH55" s="26" t="s">
        <v>899</v>
      </c>
      <c r="AI55" s="501" t="s">
        <v>54</v>
      </c>
      <c r="AJ55" s="26"/>
      <c r="AK55" s="26"/>
      <c r="AL55" s="26"/>
      <c r="AM55" s="26"/>
      <c r="AN55" s="26"/>
      <c r="AO55" s="26"/>
      <c r="AP55" s="26"/>
      <c r="AQ55" s="26"/>
      <c r="AR55" s="26"/>
      <c r="AS55" s="501"/>
      <c r="AT55" s="501"/>
    </row>
    <row r="56" spans="2:46" x14ac:dyDescent="0.25">
      <c r="B56" s="1749"/>
      <c r="C56" s="26">
        <v>47</v>
      </c>
      <c r="D56" s="26" t="s">
        <v>999</v>
      </c>
      <c r="E56" s="26">
        <f t="shared" si="0"/>
        <v>3</v>
      </c>
      <c r="F56" s="26" t="s">
        <v>24</v>
      </c>
      <c r="G56" s="26" t="s">
        <v>985</v>
      </c>
      <c r="H56" s="501" t="s">
        <v>992</v>
      </c>
      <c r="I56" s="26" t="s">
        <v>24</v>
      </c>
      <c r="J56" s="26" t="s">
        <v>987</v>
      </c>
      <c r="K56" s="501" t="s">
        <v>152</v>
      </c>
      <c r="L56" s="26" t="s">
        <v>17</v>
      </c>
      <c r="M56" s="26" t="s">
        <v>899</v>
      </c>
      <c r="N56" s="501" t="s">
        <v>900</v>
      </c>
      <c r="O56" s="26"/>
      <c r="P56" s="26"/>
      <c r="Q56" s="501"/>
      <c r="R56" s="26"/>
      <c r="S56" s="26"/>
      <c r="T56" s="501"/>
      <c r="U56" s="501"/>
      <c r="V56" s="501"/>
      <c r="W56" s="501"/>
      <c r="X56" s="501"/>
      <c r="Y56" s="501"/>
      <c r="Z56" s="501"/>
      <c r="AA56" s="26" t="s">
        <v>24</v>
      </c>
      <c r="AB56" s="26" t="s">
        <v>985</v>
      </c>
      <c r="AC56" s="501" t="s">
        <v>103</v>
      </c>
      <c r="AD56" s="26" t="s">
        <v>24</v>
      </c>
      <c r="AE56" s="26" t="s">
        <v>987</v>
      </c>
      <c r="AF56" s="501" t="s">
        <v>152</v>
      </c>
      <c r="AG56" s="26" t="s">
        <v>17</v>
      </c>
      <c r="AH56" s="26" t="s">
        <v>899</v>
      </c>
      <c r="AI56" s="501" t="s">
        <v>54</v>
      </c>
      <c r="AJ56" s="26"/>
      <c r="AK56" s="26"/>
      <c r="AL56" s="26"/>
      <c r="AM56" s="26"/>
      <c r="AN56" s="26"/>
      <c r="AO56" s="26"/>
      <c r="AP56" s="26"/>
      <c r="AQ56" s="26"/>
      <c r="AR56" s="26"/>
      <c r="AS56" s="501"/>
      <c r="AT56" s="501"/>
    </row>
    <row r="57" spans="2:46" x14ac:dyDescent="0.25">
      <c r="B57" s="1752"/>
      <c r="C57" s="26">
        <v>48</v>
      </c>
      <c r="D57" s="26" t="s">
        <v>1000</v>
      </c>
      <c r="E57" s="26">
        <f t="shared" si="0"/>
        <v>3</v>
      </c>
      <c r="F57" s="26" t="s">
        <v>24</v>
      </c>
      <c r="G57" s="26" t="s">
        <v>985</v>
      </c>
      <c r="H57" s="501" t="s">
        <v>998</v>
      </c>
      <c r="I57" s="26" t="s">
        <v>24</v>
      </c>
      <c r="J57" s="26" t="s">
        <v>987</v>
      </c>
      <c r="K57" s="501" t="s">
        <v>152</v>
      </c>
      <c r="L57" s="26" t="s">
        <v>17</v>
      </c>
      <c r="M57" s="26" t="s">
        <v>899</v>
      </c>
      <c r="N57" s="501" t="s">
        <v>900</v>
      </c>
      <c r="O57" s="596"/>
      <c r="P57" s="596"/>
      <c r="Q57" s="1011"/>
      <c r="R57" s="26"/>
      <c r="S57" s="26"/>
      <c r="T57" s="501"/>
      <c r="U57" s="501"/>
      <c r="V57" s="501"/>
      <c r="W57" s="501"/>
      <c r="X57" s="501"/>
      <c r="Y57" s="501"/>
      <c r="Z57" s="501"/>
      <c r="AA57" s="26" t="s">
        <v>24</v>
      </c>
      <c r="AB57" s="26" t="s">
        <v>985</v>
      </c>
      <c r="AC57" s="501" t="s">
        <v>103</v>
      </c>
      <c r="AD57" s="26" t="s">
        <v>24</v>
      </c>
      <c r="AE57" s="26" t="s">
        <v>987</v>
      </c>
      <c r="AF57" s="501" t="s">
        <v>152</v>
      </c>
      <c r="AG57" s="26" t="s">
        <v>17</v>
      </c>
      <c r="AH57" s="26" t="s">
        <v>899</v>
      </c>
      <c r="AI57" s="501" t="s">
        <v>54</v>
      </c>
      <c r="AJ57" s="26"/>
      <c r="AK57" s="26"/>
      <c r="AL57" s="26"/>
      <c r="AM57" s="26"/>
      <c r="AN57" s="26"/>
      <c r="AO57" s="26"/>
      <c r="AP57" s="26"/>
      <c r="AQ57" s="26"/>
      <c r="AR57" s="26"/>
      <c r="AS57" s="501"/>
      <c r="AT57" s="501"/>
    </row>
    <row r="58" spans="2:46" x14ac:dyDescent="0.25">
      <c r="B58" s="1748" t="s">
        <v>23</v>
      </c>
      <c r="C58" s="26">
        <v>49</v>
      </c>
      <c r="D58" s="26" t="s">
        <v>1001</v>
      </c>
      <c r="E58" s="26">
        <f t="shared" si="0"/>
        <v>1</v>
      </c>
      <c r="F58" s="26" t="s">
        <v>23</v>
      </c>
      <c r="G58" s="26" t="s">
        <v>1002</v>
      </c>
      <c r="H58" s="501" t="s">
        <v>1003</v>
      </c>
      <c r="I58" s="26"/>
      <c r="J58" s="26"/>
      <c r="K58" s="501"/>
      <c r="L58" s="26"/>
      <c r="M58" s="26"/>
      <c r="N58" s="501"/>
      <c r="O58" s="26"/>
      <c r="P58" s="26"/>
      <c r="Q58" s="501"/>
      <c r="R58" s="26"/>
      <c r="S58" s="26"/>
      <c r="T58" s="501"/>
      <c r="U58" s="501"/>
      <c r="V58" s="501"/>
      <c r="W58" s="501"/>
      <c r="X58" s="501"/>
      <c r="Y58" s="501"/>
      <c r="Z58" s="501"/>
      <c r="AA58" s="26" t="s">
        <v>23</v>
      </c>
      <c r="AB58" s="26" t="s">
        <v>1002</v>
      </c>
      <c r="AC58" s="501" t="s">
        <v>103</v>
      </c>
      <c r="AD58" s="26"/>
      <c r="AE58" s="26"/>
      <c r="AF58" s="501"/>
      <c r="AG58" s="26"/>
      <c r="AH58" s="26"/>
      <c r="AI58" s="501"/>
      <c r="AJ58" s="26"/>
      <c r="AK58" s="26"/>
      <c r="AL58" s="501"/>
      <c r="AM58" s="26"/>
      <c r="AN58" s="26"/>
      <c r="AO58" s="501"/>
      <c r="AP58" s="501"/>
      <c r="AQ58" s="501"/>
      <c r="AR58" s="501"/>
      <c r="AS58" s="501" t="s">
        <v>74</v>
      </c>
      <c r="AT58" s="501" t="s">
        <v>58</v>
      </c>
    </row>
    <row r="59" spans="2:46" x14ac:dyDescent="0.25">
      <c r="B59" s="1749"/>
      <c r="C59" s="26">
        <v>50</v>
      </c>
      <c r="D59" s="26" t="s">
        <v>1004</v>
      </c>
      <c r="E59" s="26">
        <f t="shared" si="0"/>
        <v>3</v>
      </c>
      <c r="F59" s="26" t="s">
        <v>23</v>
      </c>
      <c r="G59" s="26" t="s">
        <v>1002</v>
      </c>
      <c r="H59" s="501" t="s">
        <v>1005</v>
      </c>
      <c r="I59" s="26" t="s">
        <v>17</v>
      </c>
      <c r="J59" s="26" t="s">
        <v>1006</v>
      </c>
      <c r="K59" s="501" t="s">
        <v>74</v>
      </c>
      <c r="L59" s="26" t="s">
        <v>17</v>
      </c>
      <c r="M59" s="26" t="s">
        <v>899</v>
      </c>
      <c r="N59" s="501" t="s">
        <v>54</v>
      </c>
      <c r="O59" s="26"/>
      <c r="P59" s="26"/>
      <c r="Q59" s="501"/>
      <c r="R59" s="26"/>
      <c r="S59" s="26"/>
      <c r="T59" s="501"/>
      <c r="U59" s="501"/>
      <c r="V59" s="501"/>
      <c r="W59" s="501"/>
      <c r="X59" s="501"/>
      <c r="Y59" s="501"/>
      <c r="Z59" s="501"/>
      <c r="AA59" s="26" t="s">
        <v>23</v>
      </c>
      <c r="AB59" s="26" t="s">
        <v>1002</v>
      </c>
      <c r="AC59" s="501" t="s">
        <v>103</v>
      </c>
      <c r="AD59" s="26" t="s">
        <v>17</v>
      </c>
      <c r="AE59" s="26" t="s">
        <v>1006</v>
      </c>
      <c r="AF59" s="501" t="s">
        <v>74</v>
      </c>
      <c r="AG59" s="26"/>
      <c r="AH59" s="26"/>
      <c r="AI59" s="501"/>
      <c r="AJ59" s="26"/>
      <c r="AK59" s="26"/>
      <c r="AL59" s="501"/>
      <c r="AM59" s="26"/>
      <c r="AN59" s="26"/>
      <c r="AO59" s="501"/>
      <c r="AP59" s="501"/>
      <c r="AQ59" s="501"/>
      <c r="AR59" s="501"/>
      <c r="AS59" s="501" t="s">
        <v>74</v>
      </c>
      <c r="AT59" s="501" t="s">
        <v>58</v>
      </c>
    </row>
    <row r="60" spans="2:46" x14ac:dyDescent="0.25">
      <c r="B60" s="1749"/>
      <c r="C60" s="26">
        <v>51</v>
      </c>
      <c r="D60" s="26" t="s">
        <v>1007</v>
      </c>
      <c r="E60" s="26">
        <f t="shared" si="0"/>
        <v>3</v>
      </c>
      <c r="F60" s="26" t="s">
        <v>23</v>
      </c>
      <c r="G60" s="26" t="s">
        <v>1002</v>
      </c>
      <c r="H60" s="501" t="s">
        <v>1005</v>
      </c>
      <c r="I60" s="26" t="s">
        <v>17</v>
      </c>
      <c r="J60" s="26" t="s">
        <v>1006</v>
      </c>
      <c r="K60" s="501" t="s">
        <v>74</v>
      </c>
      <c r="L60" s="26" t="s">
        <v>17</v>
      </c>
      <c r="M60" s="26" t="s">
        <v>899</v>
      </c>
      <c r="N60" s="501" t="s">
        <v>900</v>
      </c>
      <c r="O60" s="26"/>
      <c r="P60" s="26"/>
      <c r="Q60" s="501"/>
      <c r="R60" s="26"/>
      <c r="S60" s="26"/>
      <c r="T60" s="501"/>
      <c r="U60" s="501"/>
      <c r="V60" s="501"/>
      <c r="W60" s="501"/>
      <c r="X60" s="501"/>
      <c r="Y60" s="501"/>
      <c r="Z60" s="501"/>
      <c r="AA60" s="26"/>
      <c r="AB60" s="26"/>
      <c r="AC60" s="501"/>
      <c r="AD60" s="26"/>
      <c r="AE60" s="26"/>
      <c r="AF60" s="501"/>
      <c r="AG60" s="26"/>
      <c r="AH60" s="26"/>
      <c r="AI60" s="501"/>
      <c r="AJ60" s="26"/>
      <c r="AK60" s="26"/>
      <c r="AL60" s="501"/>
      <c r="AM60" s="26"/>
      <c r="AN60" s="26"/>
      <c r="AO60" s="501"/>
      <c r="AP60" s="501"/>
      <c r="AQ60" s="501"/>
      <c r="AR60" s="501"/>
      <c r="AS60" s="501"/>
      <c r="AT60" s="501"/>
    </row>
    <row r="61" spans="2:46" x14ac:dyDescent="0.25">
      <c r="B61" s="1749"/>
      <c r="C61" s="26">
        <v>52</v>
      </c>
      <c r="D61" s="26" t="s">
        <v>1008</v>
      </c>
      <c r="E61" s="26">
        <f t="shared" si="0"/>
        <v>3</v>
      </c>
      <c r="F61" s="26" t="s">
        <v>23</v>
      </c>
      <c r="G61" s="26" t="s">
        <v>1002</v>
      </c>
      <c r="H61" s="501" t="s">
        <v>1005</v>
      </c>
      <c r="I61" s="26" t="s">
        <v>17</v>
      </c>
      <c r="J61" s="26" t="s">
        <v>1006</v>
      </c>
      <c r="K61" s="501" t="s">
        <v>58</v>
      </c>
      <c r="L61" s="26" t="s">
        <v>17</v>
      </c>
      <c r="M61" s="26" t="s">
        <v>899</v>
      </c>
      <c r="N61" s="501" t="s">
        <v>54</v>
      </c>
      <c r="O61" s="26"/>
      <c r="P61" s="26"/>
      <c r="Q61" s="501"/>
      <c r="R61" s="26"/>
      <c r="S61" s="26"/>
      <c r="T61" s="501"/>
      <c r="U61" s="501"/>
      <c r="V61" s="501"/>
      <c r="W61" s="501"/>
      <c r="X61" s="501"/>
      <c r="Y61" s="501"/>
      <c r="Z61" s="501"/>
      <c r="AA61" s="26" t="s">
        <v>23</v>
      </c>
      <c r="AB61" s="26" t="s">
        <v>1002</v>
      </c>
      <c r="AC61" s="501" t="s">
        <v>103</v>
      </c>
      <c r="AD61" s="26" t="s">
        <v>17</v>
      </c>
      <c r="AE61" s="26" t="s">
        <v>1006</v>
      </c>
      <c r="AF61" s="501" t="s">
        <v>74</v>
      </c>
      <c r="AG61" s="26"/>
      <c r="AH61" s="26"/>
      <c r="AI61" s="501"/>
      <c r="AJ61" s="26"/>
      <c r="AK61" s="26"/>
      <c r="AL61" s="501"/>
      <c r="AM61" s="26"/>
      <c r="AN61" s="26"/>
      <c r="AO61" s="501"/>
      <c r="AP61" s="501"/>
      <c r="AQ61" s="501"/>
      <c r="AR61" s="501"/>
      <c r="AS61" s="501"/>
      <c r="AT61" s="501"/>
    </row>
    <row r="62" spans="2:46" x14ac:dyDescent="0.25">
      <c r="B62" s="1749"/>
      <c r="C62" s="26">
        <v>53</v>
      </c>
      <c r="D62" s="26" t="s">
        <v>1009</v>
      </c>
      <c r="E62" s="26">
        <f t="shared" si="0"/>
        <v>3</v>
      </c>
      <c r="F62" s="26" t="s">
        <v>23</v>
      </c>
      <c r="G62" s="26" t="s">
        <v>1002</v>
      </c>
      <c r="H62" s="501" t="s">
        <v>1005</v>
      </c>
      <c r="I62" s="26" t="s">
        <v>17</v>
      </c>
      <c r="J62" s="26" t="s">
        <v>1006</v>
      </c>
      <c r="K62" s="501" t="s">
        <v>58</v>
      </c>
      <c r="L62" s="26" t="s">
        <v>17</v>
      </c>
      <c r="M62" s="26" t="s">
        <v>899</v>
      </c>
      <c r="N62" s="501" t="s">
        <v>900</v>
      </c>
      <c r="O62" s="26"/>
      <c r="P62" s="26"/>
      <c r="Q62" s="501"/>
      <c r="R62" s="26"/>
      <c r="S62" s="26"/>
      <c r="T62" s="501"/>
      <c r="U62" s="501"/>
      <c r="V62" s="501"/>
      <c r="W62" s="501"/>
      <c r="X62" s="501"/>
      <c r="Y62" s="501"/>
      <c r="Z62" s="501"/>
      <c r="AA62" s="26"/>
      <c r="AB62" s="26"/>
      <c r="AC62" s="501"/>
      <c r="AD62" s="26"/>
      <c r="AE62" s="26"/>
      <c r="AF62" s="501"/>
      <c r="AG62" s="26"/>
      <c r="AH62" s="26"/>
      <c r="AI62" s="501"/>
      <c r="AJ62" s="26"/>
      <c r="AK62" s="26"/>
      <c r="AL62" s="501"/>
      <c r="AM62" s="26"/>
      <c r="AN62" s="26"/>
      <c r="AO62" s="501"/>
      <c r="AP62" s="501"/>
      <c r="AQ62" s="501"/>
      <c r="AR62" s="501"/>
      <c r="AS62" s="501"/>
      <c r="AT62" s="501"/>
    </row>
    <row r="63" spans="2:46" x14ac:dyDescent="0.25">
      <c r="B63" s="1749"/>
      <c r="C63" s="26">
        <v>54</v>
      </c>
      <c r="D63" s="26" t="s">
        <v>1010</v>
      </c>
      <c r="E63" s="26">
        <f t="shared" si="0"/>
        <v>1</v>
      </c>
      <c r="F63" s="26" t="s">
        <v>23</v>
      </c>
      <c r="G63" s="26" t="s">
        <v>1002</v>
      </c>
      <c r="H63" s="501" t="s">
        <v>1010</v>
      </c>
      <c r="I63" s="26"/>
      <c r="J63" s="26"/>
      <c r="K63" s="501"/>
      <c r="L63" s="26"/>
      <c r="M63" s="26"/>
      <c r="N63" s="501"/>
      <c r="O63" s="26"/>
      <c r="P63" s="26"/>
      <c r="Q63" s="501"/>
      <c r="R63" s="26"/>
      <c r="S63" s="26"/>
      <c r="T63" s="501"/>
      <c r="U63" s="501"/>
      <c r="V63" s="501"/>
      <c r="W63" s="501"/>
      <c r="X63" s="501"/>
      <c r="Y63" s="501"/>
      <c r="Z63" s="501"/>
      <c r="AA63" s="26" t="s">
        <v>23</v>
      </c>
      <c r="AB63" s="26" t="s">
        <v>1002</v>
      </c>
      <c r="AC63" s="501" t="s">
        <v>103</v>
      </c>
      <c r="AD63" s="26"/>
      <c r="AE63" s="26"/>
      <c r="AF63" s="501"/>
      <c r="AG63" s="26"/>
      <c r="AH63" s="26"/>
      <c r="AI63" s="501"/>
      <c r="AJ63" s="26"/>
      <c r="AK63" s="26"/>
      <c r="AL63" s="501"/>
      <c r="AM63" s="26"/>
      <c r="AN63" s="26"/>
      <c r="AO63" s="501"/>
      <c r="AP63" s="501"/>
      <c r="AQ63" s="501"/>
      <c r="AR63" s="501"/>
      <c r="AS63" s="501" t="s">
        <v>74</v>
      </c>
      <c r="AT63" s="501" t="s">
        <v>58</v>
      </c>
    </row>
    <row r="64" spans="2:46" x14ac:dyDescent="0.25">
      <c r="B64" s="1749"/>
      <c r="C64" s="26">
        <v>55</v>
      </c>
      <c r="D64" s="26" t="s">
        <v>1011</v>
      </c>
      <c r="E64" s="26">
        <f t="shared" si="0"/>
        <v>1</v>
      </c>
      <c r="F64" s="26" t="s">
        <v>23</v>
      </c>
      <c r="G64" s="26" t="s">
        <v>1002</v>
      </c>
      <c r="H64" s="501" t="s">
        <v>1011</v>
      </c>
      <c r="I64" s="26"/>
      <c r="J64" s="26"/>
      <c r="K64" s="501"/>
      <c r="L64" s="26"/>
      <c r="M64" s="26"/>
      <c r="N64" s="501"/>
      <c r="O64" s="26"/>
      <c r="P64" s="26"/>
      <c r="Q64" s="501"/>
      <c r="R64" s="26"/>
      <c r="S64" s="26"/>
      <c r="T64" s="501"/>
      <c r="U64" s="501"/>
      <c r="V64" s="501"/>
      <c r="W64" s="501"/>
      <c r="X64" s="501"/>
      <c r="Y64" s="501"/>
      <c r="Z64" s="501"/>
      <c r="AA64" s="26" t="s">
        <v>23</v>
      </c>
      <c r="AB64" s="26" t="s">
        <v>1002</v>
      </c>
      <c r="AC64" s="501" t="s">
        <v>103</v>
      </c>
      <c r="AD64" s="26"/>
      <c r="AE64" s="26"/>
      <c r="AF64" s="501"/>
      <c r="AG64" s="26"/>
      <c r="AH64" s="26"/>
      <c r="AI64" s="501"/>
      <c r="AJ64" s="26"/>
      <c r="AK64" s="26"/>
      <c r="AL64" s="501"/>
      <c r="AM64" s="26"/>
      <c r="AN64" s="26"/>
      <c r="AO64" s="501"/>
      <c r="AP64" s="501"/>
      <c r="AQ64" s="501"/>
      <c r="AR64" s="501"/>
      <c r="AS64" s="501" t="s">
        <v>74</v>
      </c>
      <c r="AT64" s="501" t="s">
        <v>58</v>
      </c>
    </row>
    <row r="65" spans="2:46" x14ac:dyDescent="0.25">
      <c r="B65" s="1749"/>
      <c r="C65" s="26">
        <v>56</v>
      </c>
      <c r="D65" s="26" t="s">
        <v>1012</v>
      </c>
      <c r="E65" s="26">
        <f t="shared" si="0"/>
        <v>1</v>
      </c>
      <c r="F65" s="26" t="s">
        <v>23</v>
      </c>
      <c r="G65" s="26" t="s">
        <v>1013</v>
      </c>
      <c r="H65" s="501" t="s">
        <v>1014</v>
      </c>
      <c r="I65" s="26"/>
      <c r="J65" s="26"/>
      <c r="K65" s="501"/>
      <c r="L65" s="26"/>
      <c r="M65" s="26"/>
      <c r="N65" s="501"/>
      <c r="O65" s="26"/>
      <c r="P65" s="26"/>
      <c r="Q65" s="501"/>
      <c r="R65" s="26"/>
      <c r="S65" s="26"/>
      <c r="T65" s="501"/>
      <c r="U65" s="501"/>
      <c r="V65" s="501"/>
      <c r="W65" s="501"/>
      <c r="X65" s="501"/>
      <c r="Y65" s="501"/>
      <c r="Z65" s="501"/>
      <c r="AA65" s="26" t="s">
        <v>23</v>
      </c>
      <c r="AB65" s="26" t="s">
        <v>1013</v>
      </c>
      <c r="AC65" s="501" t="s">
        <v>819</v>
      </c>
      <c r="AD65" s="26"/>
      <c r="AE65" s="26"/>
      <c r="AF65" s="501"/>
      <c r="AG65" s="26"/>
      <c r="AH65" s="26"/>
      <c r="AI65" s="501"/>
      <c r="AJ65" s="26"/>
      <c r="AK65" s="26"/>
      <c r="AL65" s="501"/>
      <c r="AM65" s="26"/>
      <c r="AN65" s="26"/>
      <c r="AO65" s="501"/>
      <c r="AP65" s="501"/>
      <c r="AQ65" s="501"/>
      <c r="AR65" s="501"/>
      <c r="AS65" s="501" t="s">
        <v>74</v>
      </c>
      <c r="AT65" s="501" t="s">
        <v>58</v>
      </c>
    </row>
    <row r="66" spans="2:46" x14ac:dyDescent="0.25">
      <c r="B66" s="1752"/>
      <c r="C66" s="26">
        <v>57</v>
      </c>
      <c r="D66" s="26" t="s">
        <v>1015</v>
      </c>
      <c r="E66" s="26">
        <f t="shared" si="0"/>
        <v>1</v>
      </c>
      <c r="F66" s="26" t="s">
        <v>23</v>
      </c>
      <c r="G66" s="26" t="s">
        <v>1013</v>
      </c>
      <c r="H66" s="501" t="s">
        <v>1016</v>
      </c>
      <c r="I66" s="26"/>
      <c r="J66" s="26"/>
      <c r="K66" s="501"/>
      <c r="L66" s="26"/>
      <c r="M66" s="26"/>
      <c r="N66" s="501"/>
      <c r="O66" s="26"/>
      <c r="P66" s="26"/>
      <c r="Q66" s="501"/>
      <c r="R66" s="26"/>
      <c r="S66" s="26"/>
      <c r="T66" s="501"/>
      <c r="U66" s="501"/>
      <c r="V66" s="501"/>
      <c r="W66" s="501"/>
      <c r="X66" s="501"/>
      <c r="Y66" s="501"/>
      <c r="Z66" s="501"/>
      <c r="AA66" s="26" t="s">
        <v>23</v>
      </c>
      <c r="AB66" s="26" t="s">
        <v>1013</v>
      </c>
      <c r="AC66" s="501" t="s">
        <v>819</v>
      </c>
      <c r="AD66" s="26"/>
      <c r="AE66" s="26"/>
      <c r="AF66" s="501"/>
      <c r="AG66" s="26"/>
      <c r="AH66" s="26"/>
      <c r="AI66" s="501"/>
      <c r="AJ66" s="26"/>
      <c r="AK66" s="26"/>
      <c r="AL66" s="501"/>
      <c r="AM66" s="26"/>
      <c r="AN66" s="26"/>
      <c r="AO66" s="501"/>
      <c r="AP66" s="501"/>
      <c r="AQ66" s="501"/>
      <c r="AR66" s="501"/>
      <c r="AS66" s="501" t="s">
        <v>74</v>
      </c>
      <c r="AT66" s="501" t="s">
        <v>58</v>
      </c>
    </row>
    <row r="67" spans="2:46" x14ac:dyDescent="0.25">
      <c r="B67" s="1748" t="s">
        <v>1017</v>
      </c>
      <c r="C67" s="26">
        <v>58</v>
      </c>
      <c r="D67" s="26" t="s">
        <v>1018</v>
      </c>
      <c r="E67" s="26">
        <f t="shared" si="0"/>
        <v>1</v>
      </c>
      <c r="F67" s="26" t="s">
        <v>22</v>
      </c>
      <c r="G67" s="26" t="s">
        <v>1019</v>
      </c>
      <c r="H67" s="501" t="s">
        <v>58</v>
      </c>
      <c r="I67" s="26"/>
      <c r="J67" s="26"/>
      <c r="K67" s="501"/>
      <c r="L67" s="26"/>
      <c r="M67" s="26"/>
      <c r="N67" s="501"/>
      <c r="O67" s="26"/>
      <c r="P67" s="26"/>
      <c r="Q67" s="501"/>
      <c r="R67" s="26"/>
      <c r="S67" s="26"/>
      <c r="T67" s="501"/>
      <c r="U67" s="501"/>
      <c r="V67" s="501"/>
      <c r="W67" s="501"/>
      <c r="X67" s="501"/>
      <c r="Y67" s="501"/>
      <c r="Z67" s="501"/>
      <c r="AA67" s="26" t="s">
        <v>22</v>
      </c>
      <c r="AB67" s="26" t="s">
        <v>1019</v>
      </c>
      <c r="AC67" s="501" t="s">
        <v>74</v>
      </c>
      <c r="AD67" s="26"/>
      <c r="AE67" s="26"/>
      <c r="AF67" s="501"/>
      <c r="AG67" s="26"/>
      <c r="AH67" s="26"/>
      <c r="AI67" s="501"/>
      <c r="AJ67" s="26"/>
      <c r="AK67" s="26"/>
      <c r="AL67" s="501"/>
      <c r="AM67" s="26"/>
      <c r="AN67" s="26"/>
      <c r="AO67" s="501"/>
      <c r="AP67" s="501"/>
      <c r="AQ67" s="501"/>
      <c r="AR67" s="501"/>
      <c r="AS67" s="501" t="s">
        <v>74</v>
      </c>
      <c r="AT67" s="501" t="s">
        <v>74</v>
      </c>
    </row>
    <row r="68" spans="2:46" x14ac:dyDescent="0.25">
      <c r="B68" s="1749"/>
      <c r="C68" s="26">
        <v>59</v>
      </c>
      <c r="D68" s="26" t="s">
        <v>1020</v>
      </c>
      <c r="E68" s="26">
        <f t="shared" si="0"/>
        <v>1</v>
      </c>
      <c r="F68" s="26" t="s">
        <v>22</v>
      </c>
      <c r="G68" s="26" t="s">
        <v>1021</v>
      </c>
      <c r="H68" s="501" t="s">
        <v>1022</v>
      </c>
      <c r="I68" s="26"/>
      <c r="J68" s="26"/>
      <c r="K68" s="501"/>
      <c r="L68" s="26"/>
      <c r="M68" s="26"/>
      <c r="N68" s="501"/>
      <c r="O68" s="26"/>
      <c r="P68" s="26"/>
      <c r="Q68" s="501"/>
      <c r="R68" s="26"/>
      <c r="S68" s="26"/>
      <c r="T68" s="501"/>
      <c r="U68" s="501"/>
      <c r="V68" s="501"/>
      <c r="W68" s="501"/>
      <c r="X68" s="501"/>
      <c r="Y68" s="501"/>
      <c r="Z68" s="501"/>
      <c r="AA68" s="26" t="s">
        <v>22</v>
      </c>
      <c r="AB68" s="26" t="s">
        <v>1021</v>
      </c>
      <c r="AC68" s="501" t="s">
        <v>287</v>
      </c>
      <c r="AD68" s="26"/>
      <c r="AE68" s="26"/>
      <c r="AF68" s="501"/>
      <c r="AG68" s="26"/>
      <c r="AH68" s="26"/>
      <c r="AI68" s="501"/>
      <c r="AJ68" s="26"/>
      <c r="AK68" s="26"/>
      <c r="AL68" s="501"/>
      <c r="AM68" s="26"/>
      <c r="AN68" s="26"/>
      <c r="AO68" s="501"/>
      <c r="AP68" s="501"/>
      <c r="AQ68" s="501"/>
      <c r="AR68" s="501"/>
      <c r="AS68" s="501" t="s">
        <v>74</v>
      </c>
      <c r="AT68" s="501" t="s">
        <v>74</v>
      </c>
    </row>
    <row r="69" spans="2:46" x14ac:dyDescent="0.25">
      <c r="B69" s="1749"/>
      <c r="C69" s="26">
        <v>60</v>
      </c>
      <c r="D69" s="26" t="s">
        <v>1023</v>
      </c>
      <c r="E69" s="26">
        <f t="shared" si="0"/>
        <v>1</v>
      </c>
      <c r="F69" s="26" t="s">
        <v>23</v>
      </c>
      <c r="G69" s="26" t="s">
        <v>1002</v>
      </c>
      <c r="H69" s="501" t="s">
        <v>1023</v>
      </c>
      <c r="I69" s="26"/>
      <c r="J69" s="26"/>
      <c r="K69" s="501"/>
      <c r="L69" s="26"/>
      <c r="M69" s="26"/>
      <c r="N69" s="501"/>
      <c r="O69" s="26"/>
      <c r="P69" s="26"/>
      <c r="Q69" s="501"/>
      <c r="R69" s="26"/>
      <c r="S69" s="26"/>
      <c r="T69" s="501"/>
      <c r="U69" s="501"/>
      <c r="V69" s="501"/>
      <c r="W69" s="501"/>
      <c r="X69" s="501"/>
      <c r="Y69" s="501"/>
      <c r="Z69" s="501"/>
      <c r="AA69" s="26" t="s">
        <v>23</v>
      </c>
      <c r="AB69" s="26" t="s">
        <v>1002</v>
      </c>
      <c r="AC69" s="501" t="s">
        <v>103</v>
      </c>
      <c r="AD69" s="26"/>
      <c r="AE69" s="26"/>
      <c r="AF69" s="501"/>
      <c r="AG69" s="26"/>
      <c r="AH69" s="26"/>
      <c r="AI69" s="501"/>
      <c r="AJ69" s="26"/>
      <c r="AK69" s="26"/>
      <c r="AL69" s="501"/>
      <c r="AM69" s="26"/>
      <c r="AN69" s="26"/>
      <c r="AO69" s="501"/>
      <c r="AP69" s="501"/>
      <c r="AQ69" s="501"/>
      <c r="AR69" s="501"/>
      <c r="AS69" s="501" t="s">
        <v>74</v>
      </c>
      <c r="AT69" s="501" t="s">
        <v>58</v>
      </c>
    </row>
    <row r="70" spans="2:46" x14ac:dyDescent="0.25">
      <c r="B70" s="1749"/>
      <c r="C70" s="26">
        <v>61</v>
      </c>
      <c r="D70" s="596" t="s">
        <v>1024</v>
      </c>
      <c r="E70" s="26">
        <f t="shared" si="0"/>
        <v>1</v>
      </c>
      <c r="F70" s="596" t="s">
        <v>17</v>
      </c>
      <c r="G70" s="596" t="s">
        <v>1025</v>
      </c>
      <c r="H70" s="1011" t="s">
        <v>74</v>
      </c>
      <c r="I70" s="596"/>
      <c r="J70" s="596"/>
      <c r="K70" s="1011"/>
      <c r="L70" s="596"/>
      <c r="M70" s="596"/>
      <c r="N70" s="1011"/>
      <c r="O70" s="596"/>
      <c r="P70" s="596"/>
      <c r="Q70" s="1011"/>
      <c r="R70" s="596"/>
      <c r="S70" s="596"/>
      <c r="T70" s="1011"/>
      <c r="U70" s="1011"/>
      <c r="V70" s="1011"/>
      <c r="W70" s="1011"/>
      <c r="X70" s="1011"/>
      <c r="Y70" s="1011"/>
      <c r="Z70" s="1011"/>
      <c r="AA70" s="596" t="s">
        <v>17</v>
      </c>
      <c r="AB70" s="596" t="s">
        <v>1025</v>
      </c>
      <c r="AC70" s="1011" t="s">
        <v>58</v>
      </c>
      <c r="AD70" s="596"/>
      <c r="AE70" s="596"/>
      <c r="AF70" s="596"/>
      <c r="AG70" s="596"/>
      <c r="AH70" s="596"/>
      <c r="AI70" s="596"/>
      <c r="AJ70" s="596"/>
      <c r="AK70" s="596"/>
      <c r="AL70" s="596"/>
      <c r="AM70" s="596"/>
      <c r="AN70" s="596"/>
      <c r="AO70" s="596"/>
      <c r="AP70" s="596"/>
      <c r="AQ70" s="596"/>
      <c r="AR70" s="596"/>
      <c r="AS70" s="501" t="s">
        <v>74</v>
      </c>
      <c r="AT70" s="501" t="s">
        <v>74</v>
      </c>
    </row>
    <row r="71" spans="2:46" x14ac:dyDescent="0.25">
      <c r="B71" s="1752"/>
      <c r="C71" s="26">
        <v>62</v>
      </c>
      <c r="D71" s="596" t="s">
        <v>101</v>
      </c>
      <c r="E71" s="26">
        <f t="shared" si="0"/>
        <v>1</v>
      </c>
      <c r="F71" s="596" t="s">
        <v>17</v>
      </c>
      <c r="G71" s="596" t="s">
        <v>1026</v>
      </c>
      <c r="H71" s="1011" t="s">
        <v>74</v>
      </c>
      <c r="I71" s="596"/>
      <c r="J71" s="596"/>
      <c r="K71" s="1011"/>
      <c r="L71" s="596"/>
      <c r="M71" s="596"/>
      <c r="N71" s="1011"/>
      <c r="O71" s="596"/>
      <c r="P71" s="596"/>
      <c r="Q71" s="1011"/>
      <c r="R71" s="596"/>
      <c r="S71" s="596"/>
      <c r="T71" s="1011"/>
      <c r="U71" s="1011"/>
      <c r="V71" s="1011"/>
      <c r="W71" s="1011"/>
      <c r="X71" s="1011"/>
      <c r="Y71" s="1011"/>
      <c r="Z71" s="1011"/>
      <c r="AA71" s="596" t="s">
        <v>17</v>
      </c>
      <c r="AB71" s="596" t="s">
        <v>1026</v>
      </c>
      <c r="AC71" s="1011" t="s">
        <v>58</v>
      </c>
      <c r="AD71" s="596"/>
      <c r="AE71" s="596"/>
      <c r="AF71" s="596"/>
      <c r="AG71" s="596"/>
      <c r="AH71" s="596"/>
      <c r="AI71" s="596"/>
      <c r="AJ71" s="596"/>
      <c r="AK71" s="596"/>
      <c r="AL71" s="596"/>
      <c r="AM71" s="596"/>
      <c r="AN71" s="596"/>
      <c r="AO71" s="596"/>
      <c r="AP71" s="596"/>
      <c r="AQ71" s="596"/>
      <c r="AR71" s="596"/>
      <c r="AS71" s="501" t="s">
        <v>74</v>
      </c>
      <c r="AT71" s="501" t="s">
        <v>74</v>
      </c>
    </row>
    <row r="72" spans="2:46" x14ac:dyDescent="0.25">
      <c r="B72" s="1033" t="s">
        <v>1027</v>
      </c>
      <c r="C72" s="26">
        <v>63</v>
      </c>
      <c r="D72" s="26" t="s">
        <v>1028</v>
      </c>
      <c r="E72" s="26">
        <f t="shared" si="0"/>
        <v>1</v>
      </c>
      <c r="F72" s="26" t="s">
        <v>25</v>
      </c>
      <c r="G72" s="26" t="s">
        <v>911</v>
      </c>
      <c r="H72" s="501" t="s">
        <v>909</v>
      </c>
      <c r="I72" s="26"/>
      <c r="J72" s="26"/>
      <c r="K72" s="501"/>
      <c r="L72" s="26"/>
      <c r="M72" s="26"/>
      <c r="N72" s="501"/>
      <c r="O72" s="26"/>
      <c r="P72" s="26"/>
      <c r="Q72" s="501"/>
      <c r="R72" s="26"/>
      <c r="S72" s="26"/>
      <c r="T72" s="501"/>
      <c r="U72" s="501"/>
      <c r="V72" s="501"/>
      <c r="W72" s="501"/>
      <c r="X72" s="501"/>
      <c r="Y72" s="501"/>
      <c r="Z72" s="501"/>
      <c r="AA72" s="26" t="s">
        <v>25</v>
      </c>
      <c r="AB72" s="26" t="s">
        <v>911</v>
      </c>
      <c r="AC72" s="501" t="s">
        <v>61</v>
      </c>
      <c r="AD72" s="26"/>
      <c r="AE72" s="26"/>
      <c r="AF72" s="501"/>
      <c r="AG72" s="26"/>
      <c r="AH72" s="26"/>
      <c r="AI72" s="501"/>
      <c r="AJ72" s="26"/>
      <c r="AK72" s="26"/>
      <c r="AL72" s="501"/>
      <c r="AM72" s="26"/>
      <c r="AN72" s="26"/>
      <c r="AO72" s="501"/>
      <c r="AP72" s="501"/>
      <c r="AQ72" s="501"/>
      <c r="AR72" s="501"/>
      <c r="AS72" s="501" t="s">
        <v>58</v>
      </c>
      <c r="AT72" s="501" t="s">
        <v>58</v>
      </c>
    </row>
    <row r="73" spans="2:46" x14ac:dyDescent="0.25">
      <c r="B73" s="1745" t="s">
        <v>1029</v>
      </c>
      <c r="C73" s="26">
        <v>64</v>
      </c>
      <c r="D73" s="26" t="s">
        <v>1030</v>
      </c>
      <c r="E73" s="26">
        <f t="shared" si="0"/>
        <v>3</v>
      </c>
      <c r="F73" s="26" t="s">
        <v>18</v>
      </c>
      <c r="G73" s="26" t="s">
        <v>1031</v>
      </c>
      <c r="H73" s="501" t="s">
        <v>74</v>
      </c>
      <c r="I73" s="26" t="s">
        <v>18</v>
      </c>
      <c r="J73" s="26" t="s">
        <v>1032</v>
      </c>
      <c r="K73" s="948">
        <v>0.2</v>
      </c>
      <c r="L73" s="26" t="s">
        <v>17</v>
      </c>
      <c r="M73" s="26" t="s">
        <v>1033</v>
      </c>
      <c r="N73" s="501" t="s">
        <v>74</v>
      </c>
      <c r="O73" s="26"/>
      <c r="P73" s="26"/>
      <c r="Q73" s="501"/>
      <c r="R73" s="26"/>
      <c r="S73" s="26"/>
      <c r="T73" s="501"/>
      <c r="U73" s="501"/>
      <c r="V73" s="501"/>
      <c r="W73" s="501"/>
      <c r="X73" s="501"/>
      <c r="Y73" s="501"/>
      <c r="Z73" s="501"/>
      <c r="AA73" s="26" t="s">
        <v>18</v>
      </c>
      <c r="AB73" s="26" t="s">
        <v>1031</v>
      </c>
      <c r="AC73" s="501" t="s">
        <v>58</v>
      </c>
      <c r="AD73" s="26" t="s">
        <v>18</v>
      </c>
      <c r="AE73" s="26" t="s">
        <v>1032</v>
      </c>
      <c r="AF73" s="948">
        <v>0</v>
      </c>
      <c r="AG73" s="26" t="s">
        <v>17</v>
      </c>
      <c r="AH73" s="26" t="s">
        <v>1033</v>
      </c>
      <c r="AI73" s="501" t="s">
        <v>58</v>
      </c>
      <c r="AJ73" s="26"/>
      <c r="AK73" s="26"/>
      <c r="AL73" s="26"/>
      <c r="AM73" s="26"/>
      <c r="AN73" s="26"/>
      <c r="AO73" s="26"/>
      <c r="AP73" s="26"/>
      <c r="AQ73" s="26"/>
      <c r="AR73" s="26"/>
      <c r="AS73" s="501" t="s">
        <v>74</v>
      </c>
      <c r="AT73" s="501" t="s">
        <v>74</v>
      </c>
    </row>
    <row r="74" spans="2:46" x14ac:dyDescent="0.25">
      <c r="B74" s="1751"/>
      <c r="C74" s="26">
        <v>65</v>
      </c>
      <c r="D74" s="26" t="s">
        <v>1034</v>
      </c>
      <c r="E74" s="26">
        <f t="shared" si="0"/>
        <v>3</v>
      </c>
      <c r="F74" s="26" t="s">
        <v>18</v>
      </c>
      <c r="G74" s="26" t="s">
        <v>1031</v>
      </c>
      <c r="H74" s="501" t="s">
        <v>74</v>
      </c>
      <c r="I74" s="26" t="s">
        <v>18</v>
      </c>
      <c r="J74" s="26" t="s">
        <v>1032</v>
      </c>
      <c r="K74" s="948">
        <v>0.65</v>
      </c>
      <c r="L74" s="26" t="s">
        <v>17</v>
      </c>
      <c r="M74" s="26" t="s">
        <v>1033</v>
      </c>
      <c r="N74" s="501" t="s">
        <v>74</v>
      </c>
      <c r="O74" s="26"/>
      <c r="P74" s="26"/>
      <c r="Q74" s="501"/>
      <c r="R74" s="26"/>
      <c r="S74" s="26"/>
      <c r="T74" s="501"/>
      <c r="U74" s="501"/>
      <c r="V74" s="501"/>
      <c r="W74" s="501"/>
      <c r="X74" s="501"/>
      <c r="Y74" s="501"/>
      <c r="Z74" s="501"/>
      <c r="AA74" s="26" t="s">
        <v>18</v>
      </c>
      <c r="AB74" s="26" t="s">
        <v>1031</v>
      </c>
      <c r="AC74" s="501" t="s">
        <v>58</v>
      </c>
      <c r="AD74" s="26" t="s">
        <v>18</v>
      </c>
      <c r="AE74" s="26" t="s">
        <v>1032</v>
      </c>
      <c r="AF74" s="948">
        <v>0</v>
      </c>
      <c r="AG74" s="26" t="s">
        <v>17</v>
      </c>
      <c r="AH74" s="26" t="s">
        <v>1033</v>
      </c>
      <c r="AI74" s="501" t="s">
        <v>58</v>
      </c>
      <c r="AJ74" s="26"/>
      <c r="AK74" s="26"/>
      <c r="AL74" s="26"/>
      <c r="AM74" s="26"/>
      <c r="AN74" s="26"/>
      <c r="AO74" s="26"/>
      <c r="AP74" s="26"/>
      <c r="AQ74" s="26"/>
      <c r="AR74" s="26"/>
      <c r="AS74" s="501" t="s">
        <v>74</v>
      </c>
      <c r="AT74" s="501" t="s">
        <v>74</v>
      </c>
    </row>
    <row r="75" spans="2:46" ht="30" x14ac:dyDescent="0.25">
      <c r="B75" s="1091" t="s">
        <v>1035</v>
      </c>
      <c r="C75" s="26">
        <v>66</v>
      </c>
      <c r="D75" s="29" t="s">
        <v>1036</v>
      </c>
      <c r="E75" s="26">
        <f t="shared" ref="E75:E98" si="1">COUNTA($F75:$Z75)/3</f>
        <v>2</v>
      </c>
      <c r="F75" s="26" t="s">
        <v>17</v>
      </c>
      <c r="G75" s="26" t="s">
        <v>1037</v>
      </c>
      <c r="H75" s="501" t="s">
        <v>74</v>
      </c>
      <c r="I75" s="26" t="s">
        <v>17</v>
      </c>
      <c r="J75" s="26" t="s">
        <v>920</v>
      </c>
      <c r="K75" s="501" t="s">
        <v>74</v>
      </c>
      <c r="L75" s="26"/>
      <c r="M75" s="26"/>
      <c r="N75" s="501"/>
      <c r="O75" s="26"/>
      <c r="P75" s="26"/>
      <c r="Q75" s="501"/>
      <c r="R75" s="26"/>
      <c r="S75" s="26"/>
      <c r="T75" s="501"/>
      <c r="U75" s="501"/>
      <c r="V75" s="501"/>
      <c r="W75" s="501"/>
      <c r="X75" s="501"/>
      <c r="Y75" s="501"/>
      <c r="Z75" s="501"/>
      <c r="AA75" s="26" t="s">
        <v>17</v>
      </c>
      <c r="AB75" s="26" t="s">
        <v>1037</v>
      </c>
      <c r="AC75" s="501" t="s">
        <v>58</v>
      </c>
      <c r="AD75" s="26" t="s">
        <v>17</v>
      </c>
      <c r="AE75" s="26" t="s">
        <v>920</v>
      </c>
      <c r="AF75" s="501" t="s">
        <v>58</v>
      </c>
      <c r="AG75" s="26"/>
      <c r="AH75" s="26"/>
      <c r="AI75" s="26"/>
      <c r="AJ75" s="26"/>
      <c r="AK75" s="26"/>
      <c r="AL75" s="26"/>
      <c r="AM75" s="26"/>
      <c r="AN75" s="26"/>
      <c r="AO75" s="26"/>
      <c r="AP75" s="26"/>
      <c r="AQ75" s="26"/>
      <c r="AR75" s="26"/>
      <c r="AS75" s="501" t="s">
        <v>74</v>
      </c>
      <c r="AT75" s="501" t="s">
        <v>74</v>
      </c>
    </row>
    <row r="76" spans="2:46" x14ac:dyDescent="0.25">
      <c r="B76" s="1745" t="s">
        <v>1038</v>
      </c>
      <c r="C76" s="26">
        <v>67</v>
      </c>
      <c r="D76" s="26" t="s">
        <v>1039</v>
      </c>
      <c r="E76" s="26">
        <f t="shared" si="1"/>
        <v>3</v>
      </c>
      <c r="F76" s="26" t="s">
        <v>17</v>
      </c>
      <c r="G76" s="26" t="s">
        <v>1040</v>
      </c>
      <c r="H76" s="501">
        <v>5</v>
      </c>
      <c r="I76" s="26" t="s">
        <v>17</v>
      </c>
      <c r="J76" s="26" t="s">
        <v>899</v>
      </c>
      <c r="K76" s="501" t="s">
        <v>54</v>
      </c>
      <c r="L76" s="26" t="s">
        <v>17</v>
      </c>
      <c r="M76" s="26" t="s">
        <v>901</v>
      </c>
      <c r="N76" s="501">
        <v>4</v>
      </c>
      <c r="O76" s="26"/>
      <c r="P76" s="26"/>
      <c r="Q76" s="501"/>
      <c r="R76" s="26"/>
      <c r="S76" s="26"/>
      <c r="T76" s="501"/>
      <c r="U76" s="501"/>
      <c r="V76" s="501"/>
      <c r="W76" s="501"/>
      <c r="X76" s="501"/>
      <c r="Y76" s="501"/>
      <c r="Z76" s="501"/>
      <c r="AA76" s="26" t="s">
        <v>17</v>
      </c>
      <c r="AB76" s="26" t="s">
        <v>1040</v>
      </c>
      <c r="AC76" s="501">
        <v>40</v>
      </c>
      <c r="AD76" s="26" t="s">
        <v>17</v>
      </c>
      <c r="AE76" s="26" t="s">
        <v>899</v>
      </c>
      <c r="AF76" s="501" t="s">
        <v>54</v>
      </c>
      <c r="AG76" s="26" t="s">
        <v>17</v>
      </c>
      <c r="AH76" s="26" t="s">
        <v>901</v>
      </c>
      <c r="AI76" s="501">
        <v>4</v>
      </c>
      <c r="AJ76" s="26"/>
      <c r="AK76" s="26"/>
      <c r="AL76" s="26"/>
      <c r="AM76" s="26"/>
      <c r="AN76" s="26"/>
      <c r="AO76" s="26"/>
      <c r="AP76" s="26"/>
      <c r="AQ76" s="26"/>
      <c r="AR76" s="26"/>
      <c r="AS76" s="501" t="s">
        <v>58</v>
      </c>
      <c r="AT76" s="501" t="s">
        <v>58</v>
      </c>
    </row>
    <row r="77" spans="2:46" x14ac:dyDescent="0.25">
      <c r="B77" s="1751"/>
      <c r="C77" s="26">
        <v>68</v>
      </c>
      <c r="D77" s="26" t="s">
        <v>1041</v>
      </c>
      <c r="E77" s="26">
        <f t="shared" si="1"/>
        <v>3</v>
      </c>
      <c r="F77" s="26" t="s">
        <v>17</v>
      </c>
      <c r="G77" s="26" t="s">
        <v>1040</v>
      </c>
      <c r="H77" s="501">
        <v>10</v>
      </c>
      <c r="I77" s="26" t="s">
        <v>17</v>
      </c>
      <c r="J77" s="26" t="s">
        <v>899</v>
      </c>
      <c r="K77" s="501" t="s">
        <v>54</v>
      </c>
      <c r="L77" s="26" t="s">
        <v>17</v>
      </c>
      <c r="M77" s="26" t="s">
        <v>901</v>
      </c>
      <c r="N77" s="501">
        <v>4</v>
      </c>
      <c r="O77" s="26"/>
      <c r="P77" s="26"/>
      <c r="Q77" s="501"/>
      <c r="R77" s="26"/>
      <c r="S77" s="26"/>
      <c r="T77" s="501"/>
      <c r="U77" s="501"/>
      <c r="V77" s="501"/>
      <c r="W77" s="501"/>
      <c r="X77" s="501"/>
      <c r="Y77" s="501"/>
      <c r="Z77" s="501"/>
      <c r="AA77" s="26" t="s">
        <v>17</v>
      </c>
      <c r="AB77" s="26" t="s">
        <v>1040</v>
      </c>
      <c r="AC77" s="501">
        <v>40</v>
      </c>
      <c r="AD77" s="26" t="s">
        <v>17</v>
      </c>
      <c r="AE77" s="26" t="s">
        <v>899</v>
      </c>
      <c r="AF77" s="501" t="s">
        <v>54</v>
      </c>
      <c r="AG77" s="26" t="s">
        <v>17</v>
      </c>
      <c r="AH77" s="26" t="s">
        <v>901</v>
      </c>
      <c r="AI77" s="501">
        <v>4</v>
      </c>
      <c r="AJ77" s="26"/>
      <c r="AK77" s="26"/>
      <c r="AL77" s="26"/>
      <c r="AM77" s="26"/>
      <c r="AN77" s="26"/>
      <c r="AO77" s="26"/>
      <c r="AP77" s="26"/>
      <c r="AQ77" s="26"/>
      <c r="AR77" s="26"/>
      <c r="AS77" s="501" t="s">
        <v>58</v>
      </c>
      <c r="AT77" s="501" t="s">
        <v>58</v>
      </c>
    </row>
    <row r="78" spans="2:46" x14ac:dyDescent="0.25">
      <c r="B78" s="1751"/>
      <c r="C78" s="26">
        <v>69</v>
      </c>
      <c r="D78" s="26" t="s">
        <v>1042</v>
      </c>
      <c r="E78" s="26">
        <f t="shared" si="1"/>
        <v>3</v>
      </c>
      <c r="F78" s="26" t="s">
        <v>17</v>
      </c>
      <c r="G78" s="26" t="s">
        <v>1040</v>
      </c>
      <c r="H78" s="501">
        <v>20</v>
      </c>
      <c r="I78" s="26" t="s">
        <v>17</v>
      </c>
      <c r="J78" s="26" t="s">
        <v>899</v>
      </c>
      <c r="K78" s="501" t="s">
        <v>54</v>
      </c>
      <c r="L78" s="26" t="s">
        <v>17</v>
      </c>
      <c r="M78" s="26" t="s">
        <v>901</v>
      </c>
      <c r="N78" s="501">
        <v>4</v>
      </c>
      <c r="O78" s="26"/>
      <c r="P78" s="26"/>
      <c r="Q78" s="501"/>
      <c r="R78" s="26"/>
      <c r="S78" s="26"/>
      <c r="T78" s="501"/>
      <c r="U78" s="501"/>
      <c r="V78" s="501"/>
      <c r="W78" s="501"/>
      <c r="X78" s="501"/>
      <c r="Y78" s="501"/>
      <c r="Z78" s="501"/>
      <c r="AA78" s="26" t="s">
        <v>17</v>
      </c>
      <c r="AB78" s="26" t="s">
        <v>1040</v>
      </c>
      <c r="AC78" s="501">
        <v>40</v>
      </c>
      <c r="AD78" s="26" t="s">
        <v>17</v>
      </c>
      <c r="AE78" s="26" t="s">
        <v>899</v>
      </c>
      <c r="AF78" s="501" t="s">
        <v>54</v>
      </c>
      <c r="AG78" s="26" t="s">
        <v>17</v>
      </c>
      <c r="AH78" s="26" t="s">
        <v>901</v>
      </c>
      <c r="AI78" s="501">
        <v>4</v>
      </c>
      <c r="AJ78" s="26"/>
      <c r="AK78" s="26"/>
      <c r="AL78" s="26"/>
      <c r="AM78" s="26"/>
      <c r="AN78" s="26"/>
      <c r="AO78" s="26"/>
      <c r="AP78" s="26"/>
      <c r="AQ78" s="26"/>
      <c r="AR78" s="26"/>
      <c r="AS78" s="501" t="s">
        <v>58</v>
      </c>
      <c r="AT78" s="501" t="s">
        <v>58</v>
      </c>
    </row>
    <row r="79" spans="2:46" x14ac:dyDescent="0.25">
      <c r="B79" s="1751"/>
      <c r="C79" s="26">
        <v>70</v>
      </c>
      <c r="D79" s="26" t="s">
        <v>1043</v>
      </c>
      <c r="E79" s="26">
        <f t="shared" si="1"/>
        <v>3</v>
      </c>
      <c r="F79" s="26" t="s">
        <v>17</v>
      </c>
      <c r="G79" s="26" t="s">
        <v>1040</v>
      </c>
      <c r="H79" s="501">
        <v>5</v>
      </c>
      <c r="I79" s="26" t="s">
        <v>17</v>
      </c>
      <c r="J79" s="26" t="s">
        <v>899</v>
      </c>
      <c r="K79" s="501" t="s">
        <v>900</v>
      </c>
      <c r="L79" s="26" t="s">
        <v>17</v>
      </c>
      <c r="M79" s="26" t="s">
        <v>901</v>
      </c>
      <c r="N79" s="501">
        <v>4</v>
      </c>
      <c r="O79" s="26"/>
      <c r="P79" s="26"/>
      <c r="Q79" s="501"/>
      <c r="R79" s="26"/>
      <c r="S79" s="26"/>
      <c r="T79" s="501"/>
      <c r="U79" s="501"/>
      <c r="V79" s="501"/>
      <c r="W79" s="501"/>
      <c r="X79" s="501"/>
      <c r="Y79" s="501"/>
      <c r="Z79" s="501"/>
      <c r="AA79" s="26" t="s">
        <v>17</v>
      </c>
      <c r="AB79" s="26" t="s">
        <v>1040</v>
      </c>
      <c r="AC79" s="501">
        <v>40</v>
      </c>
      <c r="AD79" s="26" t="s">
        <v>17</v>
      </c>
      <c r="AE79" s="26" t="s">
        <v>899</v>
      </c>
      <c r="AF79" s="501" t="s">
        <v>54</v>
      </c>
      <c r="AG79" s="26" t="s">
        <v>17</v>
      </c>
      <c r="AH79" s="26" t="s">
        <v>901</v>
      </c>
      <c r="AI79" s="501">
        <v>4</v>
      </c>
      <c r="AJ79" s="26"/>
      <c r="AK79" s="26"/>
      <c r="AL79" s="26"/>
      <c r="AM79" s="26"/>
      <c r="AN79" s="26"/>
      <c r="AO79" s="26"/>
      <c r="AP79" s="26"/>
      <c r="AQ79" s="26"/>
      <c r="AR79" s="26"/>
      <c r="AS79" s="501" t="s">
        <v>58</v>
      </c>
      <c r="AT79" s="501" t="s">
        <v>58</v>
      </c>
    </row>
    <row r="80" spans="2:46" x14ac:dyDescent="0.25">
      <c r="B80" s="1751"/>
      <c r="C80" s="26">
        <v>71</v>
      </c>
      <c r="D80" s="26" t="s">
        <v>1044</v>
      </c>
      <c r="E80" s="26">
        <f t="shared" si="1"/>
        <v>3</v>
      </c>
      <c r="F80" s="26" t="s">
        <v>17</v>
      </c>
      <c r="G80" s="26" t="s">
        <v>1040</v>
      </c>
      <c r="H80" s="501">
        <v>10</v>
      </c>
      <c r="I80" s="26" t="s">
        <v>17</v>
      </c>
      <c r="J80" s="26" t="s">
        <v>899</v>
      </c>
      <c r="K80" s="501" t="s">
        <v>900</v>
      </c>
      <c r="L80" s="26" t="s">
        <v>17</v>
      </c>
      <c r="M80" s="26" t="s">
        <v>901</v>
      </c>
      <c r="N80" s="501">
        <v>4</v>
      </c>
      <c r="O80" s="26"/>
      <c r="P80" s="26"/>
      <c r="Q80" s="501"/>
      <c r="R80" s="26"/>
      <c r="S80" s="26"/>
      <c r="T80" s="501"/>
      <c r="U80" s="501"/>
      <c r="V80" s="501"/>
      <c r="W80" s="501"/>
      <c r="X80" s="501"/>
      <c r="Y80" s="501"/>
      <c r="Z80" s="501"/>
      <c r="AA80" s="26" t="s">
        <v>17</v>
      </c>
      <c r="AB80" s="26" t="s">
        <v>1040</v>
      </c>
      <c r="AC80" s="501">
        <v>40</v>
      </c>
      <c r="AD80" s="26" t="s">
        <v>17</v>
      </c>
      <c r="AE80" s="26" t="s">
        <v>899</v>
      </c>
      <c r="AF80" s="501" t="s">
        <v>54</v>
      </c>
      <c r="AG80" s="26" t="s">
        <v>17</v>
      </c>
      <c r="AH80" s="26" t="s">
        <v>901</v>
      </c>
      <c r="AI80" s="501">
        <v>4</v>
      </c>
      <c r="AJ80" s="26"/>
      <c r="AK80" s="26"/>
      <c r="AL80" s="26"/>
      <c r="AM80" s="26"/>
      <c r="AN80" s="26"/>
      <c r="AO80" s="26"/>
      <c r="AP80" s="26"/>
      <c r="AQ80" s="26"/>
      <c r="AR80" s="26"/>
      <c r="AS80" s="501" t="s">
        <v>58</v>
      </c>
      <c r="AT80" s="501" t="s">
        <v>58</v>
      </c>
    </row>
    <row r="81" spans="2:46" x14ac:dyDescent="0.25">
      <c r="B81" s="1746"/>
      <c r="C81" s="26">
        <v>72</v>
      </c>
      <c r="D81" s="26" t="s">
        <v>1045</v>
      </c>
      <c r="E81" s="26">
        <f t="shared" si="1"/>
        <v>3</v>
      </c>
      <c r="F81" s="26" t="s">
        <v>17</v>
      </c>
      <c r="G81" s="26" t="s">
        <v>1040</v>
      </c>
      <c r="H81" s="501">
        <v>20</v>
      </c>
      <c r="I81" s="26" t="s">
        <v>17</v>
      </c>
      <c r="J81" s="26" t="s">
        <v>899</v>
      </c>
      <c r="K81" s="501" t="s">
        <v>900</v>
      </c>
      <c r="L81" s="26" t="s">
        <v>17</v>
      </c>
      <c r="M81" s="26" t="s">
        <v>901</v>
      </c>
      <c r="N81" s="501">
        <v>4</v>
      </c>
      <c r="O81" s="26"/>
      <c r="P81" s="26"/>
      <c r="Q81" s="501"/>
      <c r="R81" s="26"/>
      <c r="S81" s="26"/>
      <c r="T81" s="501"/>
      <c r="U81" s="501"/>
      <c r="V81" s="501"/>
      <c r="W81" s="501"/>
      <c r="X81" s="501"/>
      <c r="Y81" s="501"/>
      <c r="Z81" s="501"/>
      <c r="AA81" s="26" t="s">
        <v>17</v>
      </c>
      <c r="AB81" s="26" t="s">
        <v>1040</v>
      </c>
      <c r="AC81" s="501">
        <v>40</v>
      </c>
      <c r="AD81" s="26" t="s">
        <v>17</v>
      </c>
      <c r="AE81" s="26" t="s">
        <v>899</v>
      </c>
      <c r="AF81" s="501" t="s">
        <v>54</v>
      </c>
      <c r="AG81" s="26" t="s">
        <v>17</v>
      </c>
      <c r="AH81" s="26" t="s">
        <v>901</v>
      </c>
      <c r="AI81" s="501">
        <v>4</v>
      </c>
      <c r="AJ81" s="26"/>
      <c r="AK81" s="26"/>
      <c r="AL81" s="26"/>
      <c r="AM81" s="26"/>
      <c r="AN81" s="26"/>
      <c r="AO81" s="26"/>
      <c r="AP81" s="26"/>
      <c r="AQ81" s="26"/>
      <c r="AR81" s="26"/>
      <c r="AS81" s="501" t="s">
        <v>58</v>
      </c>
      <c r="AT81" s="501" t="s">
        <v>58</v>
      </c>
    </row>
    <row r="82" spans="2:46" x14ac:dyDescent="0.25">
      <c r="B82" s="1745" t="s">
        <v>1788</v>
      </c>
      <c r="C82" s="26">
        <v>73</v>
      </c>
      <c r="D82" s="26" t="s">
        <v>1782</v>
      </c>
      <c r="E82" s="26">
        <f t="shared" si="1"/>
        <v>1</v>
      </c>
      <c r="F82" s="26" t="s">
        <v>17</v>
      </c>
      <c r="G82" s="26" t="s">
        <v>1784</v>
      </c>
      <c r="H82" s="501" t="s">
        <v>1785</v>
      </c>
      <c r="I82" s="26"/>
      <c r="J82" s="26"/>
      <c r="K82" s="501"/>
      <c r="L82" s="26"/>
      <c r="M82" s="26"/>
      <c r="N82" s="501"/>
      <c r="O82" s="26"/>
      <c r="P82" s="26"/>
      <c r="Q82" s="501"/>
      <c r="R82" s="26"/>
      <c r="S82" s="26"/>
      <c r="T82" s="501"/>
      <c r="U82" s="501"/>
      <c r="V82" s="501"/>
      <c r="W82" s="501"/>
      <c r="X82" s="501"/>
      <c r="Y82" s="501"/>
      <c r="Z82" s="501"/>
      <c r="AA82" s="26"/>
      <c r="AB82" s="26"/>
      <c r="AC82" s="501"/>
      <c r="AD82" s="26"/>
      <c r="AE82" s="26"/>
      <c r="AF82" s="501"/>
      <c r="AG82" s="26"/>
      <c r="AH82" s="26"/>
      <c r="AI82" s="501"/>
      <c r="AJ82" s="26"/>
      <c r="AK82" s="26"/>
      <c r="AL82" s="26"/>
      <c r="AM82" s="26"/>
      <c r="AN82" s="26"/>
      <c r="AO82" s="26"/>
      <c r="AP82" s="26"/>
      <c r="AQ82" s="26"/>
      <c r="AR82" s="26"/>
      <c r="AS82" s="501"/>
      <c r="AT82" s="501"/>
    </row>
    <row r="83" spans="2:46" x14ac:dyDescent="0.25">
      <c r="B83" s="1746"/>
      <c r="C83" s="26">
        <v>74</v>
      </c>
      <c r="D83" s="26" t="s">
        <v>1795</v>
      </c>
      <c r="E83" s="26">
        <f t="shared" si="1"/>
        <v>2</v>
      </c>
      <c r="F83" s="26" t="s">
        <v>17</v>
      </c>
      <c r="G83" s="26" t="s">
        <v>1784</v>
      </c>
      <c r="H83" s="501" t="s">
        <v>1785</v>
      </c>
      <c r="I83" s="26" t="s">
        <v>17</v>
      </c>
      <c r="J83" s="26" t="s">
        <v>920</v>
      </c>
      <c r="K83" s="948" t="s">
        <v>74</v>
      </c>
      <c r="L83" s="26"/>
      <c r="M83" s="26"/>
      <c r="N83" s="501"/>
      <c r="O83" s="26"/>
      <c r="P83" s="26"/>
      <c r="Q83" s="501"/>
      <c r="R83" s="26"/>
      <c r="S83" s="26"/>
      <c r="T83" s="501"/>
      <c r="U83" s="501"/>
      <c r="V83" s="501"/>
      <c r="W83" s="501"/>
      <c r="X83" s="501"/>
      <c r="Y83" s="501"/>
      <c r="Z83" s="501"/>
      <c r="AA83" s="26"/>
      <c r="AB83" s="26"/>
      <c r="AC83" s="501"/>
      <c r="AD83" s="26"/>
      <c r="AE83" s="26"/>
      <c r="AF83" s="501"/>
      <c r="AG83" s="26"/>
      <c r="AH83" s="26"/>
      <c r="AI83" s="501"/>
      <c r="AJ83" s="26"/>
      <c r="AK83" s="26"/>
      <c r="AL83" s="26"/>
      <c r="AM83" s="26"/>
      <c r="AN83" s="26"/>
      <c r="AO83" s="26"/>
      <c r="AP83" s="26"/>
      <c r="AQ83" s="26"/>
      <c r="AR83" s="26"/>
      <c r="AS83" s="501"/>
      <c r="AT83" s="501"/>
    </row>
    <row r="84" spans="2:46" ht="30" x14ac:dyDescent="0.25">
      <c r="B84" s="1255" t="s">
        <v>1794</v>
      </c>
      <c r="C84" s="26">
        <v>75</v>
      </c>
      <c r="D84" s="29" t="s">
        <v>1783</v>
      </c>
      <c r="E84" s="26">
        <f t="shared" si="1"/>
        <v>1</v>
      </c>
      <c r="F84" s="26" t="s">
        <v>17</v>
      </c>
      <c r="G84" s="26" t="s">
        <v>1786</v>
      </c>
      <c r="H84" s="501" t="s">
        <v>1787</v>
      </c>
      <c r="I84" s="26"/>
      <c r="J84" s="26"/>
      <c r="K84" s="501"/>
      <c r="L84" s="26"/>
      <c r="M84" s="26"/>
      <c r="N84" s="501"/>
      <c r="O84" s="26"/>
      <c r="P84" s="26"/>
      <c r="Q84" s="501"/>
      <c r="R84" s="26"/>
      <c r="S84" s="26"/>
      <c r="T84" s="501"/>
      <c r="U84" s="26"/>
      <c r="V84" s="26"/>
      <c r="W84" s="501"/>
      <c r="X84" s="501"/>
      <c r="Y84" s="501"/>
      <c r="Z84" s="501"/>
      <c r="AA84" s="26"/>
      <c r="AB84" s="26"/>
      <c r="AC84" s="501"/>
      <c r="AD84" s="26"/>
      <c r="AE84" s="26"/>
      <c r="AF84" s="26"/>
      <c r="AG84" s="26"/>
      <c r="AH84" s="26"/>
      <c r="AI84" s="26"/>
      <c r="AJ84" s="26"/>
      <c r="AK84" s="26"/>
      <c r="AL84" s="26"/>
      <c r="AM84" s="26"/>
      <c r="AN84" s="26"/>
      <c r="AO84" s="26"/>
      <c r="AP84" s="26"/>
      <c r="AQ84" s="26"/>
      <c r="AR84" s="26"/>
      <c r="AS84" s="26"/>
      <c r="AT84" s="501"/>
    </row>
    <row r="85" spans="2:46" x14ac:dyDescent="0.25">
      <c r="B85" s="1255" t="s">
        <v>1796</v>
      </c>
      <c r="C85" s="26">
        <v>76</v>
      </c>
      <c r="D85" s="29" t="s">
        <v>1797</v>
      </c>
      <c r="E85" s="26">
        <f t="shared" si="1"/>
        <v>1</v>
      </c>
      <c r="F85" s="26" t="s">
        <v>17</v>
      </c>
      <c r="G85" s="26" t="s">
        <v>1798</v>
      </c>
      <c r="H85" s="501" t="s">
        <v>74</v>
      </c>
      <c r="I85" s="26"/>
      <c r="J85" s="26"/>
      <c r="K85" s="501"/>
      <c r="L85" s="26"/>
      <c r="M85" s="26"/>
      <c r="N85" s="501"/>
      <c r="O85" s="26"/>
      <c r="P85" s="26"/>
      <c r="Q85" s="501"/>
      <c r="R85" s="26"/>
      <c r="S85" s="26"/>
      <c r="T85" s="501"/>
      <c r="U85" s="26"/>
      <c r="V85" s="26"/>
      <c r="W85" s="501"/>
      <c r="X85" s="501"/>
      <c r="Y85" s="501"/>
      <c r="Z85" s="501"/>
      <c r="AA85" s="26"/>
      <c r="AB85" s="26"/>
      <c r="AC85" s="501"/>
      <c r="AD85" s="26"/>
      <c r="AE85" s="26"/>
      <c r="AF85" s="26"/>
      <c r="AG85" s="26"/>
      <c r="AH85" s="26"/>
      <c r="AI85" s="26"/>
      <c r="AJ85" s="26"/>
      <c r="AK85" s="26"/>
      <c r="AL85" s="26"/>
      <c r="AM85" s="26"/>
      <c r="AN85" s="26"/>
      <c r="AO85" s="26"/>
      <c r="AP85" s="26"/>
      <c r="AQ85" s="26"/>
      <c r="AR85" s="26"/>
      <c r="AS85" s="26"/>
      <c r="AT85" s="501"/>
    </row>
    <row r="86" spans="2:46" x14ac:dyDescent="0.25">
      <c r="B86" s="1742" t="s">
        <v>1771</v>
      </c>
      <c r="C86" s="26">
        <v>77</v>
      </c>
      <c r="D86" s="26" t="s">
        <v>1772</v>
      </c>
      <c r="E86" s="26">
        <f t="shared" si="1"/>
        <v>1</v>
      </c>
      <c r="F86" s="26" t="s">
        <v>17</v>
      </c>
      <c r="G86" s="26" t="s">
        <v>940</v>
      </c>
      <c r="H86" s="501" t="s">
        <v>67</v>
      </c>
      <c r="I86" s="26"/>
      <c r="J86" s="26"/>
      <c r="K86" s="501"/>
      <c r="L86" s="26"/>
      <c r="M86" s="26"/>
      <c r="N86" s="501"/>
      <c r="O86" s="26"/>
      <c r="P86" s="26"/>
      <c r="Q86" s="501"/>
      <c r="R86" s="26"/>
      <c r="S86" s="26"/>
      <c r="T86" s="501"/>
      <c r="U86" s="26"/>
      <c r="V86" s="26"/>
      <c r="W86" s="501"/>
      <c r="X86" s="501"/>
      <c r="Y86" s="501"/>
      <c r="Z86" s="501"/>
      <c r="AA86" s="26"/>
      <c r="AB86" s="26"/>
      <c r="AC86" s="501"/>
      <c r="AD86" s="26"/>
      <c r="AE86" s="26"/>
      <c r="AF86" s="26"/>
      <c r="AG86" s="26"/>
      <c r="AH86" s="26"/>
      <c r="AI86" s="26"/>
      <c r="AJ86" s="26"/>
      <c r="AK86" s="26"/>
      <c r="AL86" s="26"/>
      <c r="AM86" s="26"/>
      <c r="AN86" s="26"/>
      <c r="AO86" s="26"/>
      <c r="AP86" s="26"/>
      <c r="AQ86" s="26"/>
      <c r="AR86" s="26"/>
      <c r="AS86" s="26"/>
      <c r="AT86" s="501"/>
    </row>
    <row r="87" spans="2:46" x14ac:dyDescent="0.25">
      <c r="B87" s="1743"/>
      <c r="C87" s="26">
        <v>78</v>
      </c>
      <c r="D87" s="26" t="s">
        <v>1773</v>
      </c>
      <c r="E87" s="26">
        <f t="shared" si="1"/>
        <v>3</v>
      </c>
      <c r="F87" s="26" t="s">
        <v>17</v>
      </c>
      <c r="G87" s="26" t="s">
        <v>940</v>
      </c>
      <c r="H87" s="501" t="s">
        <v>67</v>
      </c>
      <c r="I87" s="26" t="s">
        <v>17</v>
      </c>
      <c r="J87" s="26" t="s">
        <v>899</v>
      </c>
      <c r="K87" s="501" t="s">
        <v>54</v>
      </c>
      <c r="L87" s="26" t="s">
        <v>17</v>
      </c>
      <c r="M87" s="26" t="s">
        <v>901</v>
      </c>
      <c r="N87" s="501">
        <v>2</v>
      </c>
      <c r="O87" s="26"/>
      <c r="P87" s="26"/>
      <c r="Q87" s="501"/>
      <c r="R87" s="26"/>
      <c r="S87" s="26"/>
      <c r="T87" s="501"/>
      <c r="U87" s="26"/>
      <c r="V87" s="26"/>
      <c r="W87" s="501"/>
      <c r="X87" s="501"/>
      <c r="Y87" s="501"/>
      <c r="Z87" s="501"/>
      <c r="AA87" s="26"/>
      <c r="AB87" s="26"/>
      <c r="AC87" s="501"/>
      <c r="AD87" s="26"/>
      <c r="AE87" s="26"/>
      <c r="AF87" s="26"/>
      <c r="AG87" s="26"/>
      <c r="AH87" s="26"/>
      <c r="AI87" s="26"/>
      <c r="AJ87" s="26"/>
      <c r="AK87" s="26"/>
      <c r="AL87" s="26"/>
      <c r="AM87" s="26"/>
      <c r="AN87" s="26"/>
      <c r="AO87" s="26"/>
      <c r="AP87" s="26"/>
      <c r="AQ87" s="26"/>
      <c r="AR87" s="26"/>
      <c r="AS87" s="26"/>
      <c r="AT87" s="501"/>
    </row>
    <row r="88" spans="2:46" x14ac:dyDescent="0.25">
      <c r="B88" s="1743"/>
      <c r="C88" s="26">
        <v>79</v>
      </c>
      <c r="D88" s="26" t="s">
        <v>1774</v>
      </c>
      <c r="E88" s="26">
        <f t="shared" si="1"/>
        <v>4</v>
      </c>
      <c r="F88" s="26" t="s">
        <v>17</v>
      </c>
      <c r="G88" s="26" t="s">
        <v>940</v>
      </c>
      <c r="H88" s="501" t="s">
        <v>67</v>
      </c>
      <c r="I88" s="26" t="s">
        <v>17</v>
      </c>
      <c r="J88" s="26" t="s">
        <v>899</v>
      </c>
      <c r="K88" s="501" t="s">
        <v>54</v>
      </c>
      <c r="L88" s="26" t="s">
        <v>17</v>
      </c>
      <c r="M88" s="26" t="s">
        <v>901</v>
      </c>
      <c r="N88" s="501">
        <v>2</v>
      </c>
      <c r="O88" s="26" t="s">
        <v>17</v>
      </c>
      <c r="P88" s="26" t="s">
        <v>935</v>
      </c>
      <c r="Q88" s="948" t="s">
        <v>74</v>
      </c>
      <c r="R88" s="26"/>
      <c r="S88" s="26"/>
      <c r="T88" s="501"/>
      <c r="U88" s="26"/>
      <c r="V88" s="26"/>
      <c r="W88" s="501"/>
      <c r="X88" s="501"/>
      <c r="Y88" s="501"/>
      <c r="Z88" s="501"/>
      <c r="AA88" s="26"/>
      <c r="AB88" s="26"/>
      <c r="AC88" s="501"/>
      <c r="AD88" s="26"/>
      <c r="AE88" s="26"/>
      <c r="AF88" s="26"/>
      <c r="AG88" s="26"/>
      <c r="AH88" s="26"/>
      <c r="AI88" s="26"/>
      <c r="AJ88" s="26"/>
      <c r="AK88" s="26"/>
      <c r="AL88" s="26"/>
      <c r="AM88" s="26"/>
      <c r="AN88" s="26"/>
      <c r="AO88" s="26"/>
      <c r="AP88" s="26"/>
      <c r="AQ88" s="26"/>
      <c r="AR88" s="26"/>
      <c r="AS88" s="26"/>
      <c r="AT88" s="501"/>
    </row>
    <row r="89" spans="2:46" x14ac:dyDescent="0.25">
      <c r="B89" s="1743"/>
      <c r="C89" s="26">
        <v>80</v>
      </c>
      <c r="D89" s="26" t="s">
        <v>1775</v>
      </c>
      <c r="E89" s="26">
        <f t="shared" si="1"/>
        <v>5</v>
      </c>
      <c r="F89" s="26" t="s">
        <v>17</v>
      </c>
      <c r="G89" s="26" t="s">
        <v>940</v>
      </c>
      <c r="H89" s="501" t="s">
        <v>67</v>
      </c>
      <c r="I89" s="26" t="s">
        <v>17</v>
      </c>
      <c r="J89" s="26" t="s">
        <v>899</v>
      </c>
      <c r="K89" s="501" t="s">
        <v>54</v>
      </c>
      <c r="L89" s="26" t="s">
        <v>17</v>
      </c>
      <c r="M89" s="26" t="s">
        <v>901</v>
      </c>
      <c r="N89" s="501">
        <v>2</v>
      </c>
      <c r="O89" s="26" t="s">
        <v>17</v>
      </c>
      <c r="P89" s="26" t="s">
        <v>935</v>
      </c>
      <c r="Q89" s="948" t="s">
        <v>74</v>
      </c>
      <c r="R89" s="26" t="s">
        <v>22</v>
      </c>
      <c r="S89" s="26" t="s">
        <v>1019</v>
      </c>
      <c r="T89" s="501" t="s">
        <v>58</v>
      </c>
      <c r="U89" s="26"/>
      <c r="V89" s="26"/>
      <c r="W89" s="501"/>
      <c r="X89" s="501"/>
      <c r="Y89" s="501"/>
      <c r="Z89" s="501"/>
      <c r="AA89" s="26"/>
      <c r="AB89" s="26"/>
      <c r="AC89" s="501"/>
      <c r="AD89" s="26"/>
      <c r="AE89" s="26"/>
      <c r="AF89" s="26"/>
      <c r="AG89" s="26"/>
      <c r="AH89" s="26"/>
      <c r="AI89" s="26"/>
      <c r="AJ89" s="26"/>
      <c r="AK89" s="26"/>
      <c r="AL89" s="26"/>
      <c r="AM89" s="26"/>
      <c r="AN89" s="26"/>
      <c r="AO89" s="26"/>
      <c r="AP89" s="26"/>
      <c r="AQ89" s="26"/>
      <c r="AR89" s="26"/>
      <c r="AS89" s="26"/>
      <c r="AT89" s="501"/>
    </row>
    <row r="90" spans="2:46" x14ac:dyDescent="0.25">
      <c r="B90" s="1743"/>
      <c r="C90" s="26">
        <v>81</v>
      </c>
      <c r="D90" s="26" t="s">
        <v>1776</v>
      </c>
      <c r="E90" s="26">
        <f t="shared" si="1"/>
        <v>6</v>
      </c>
      <c r="F90" s="26" t="s">
        <v>17</v>
      </c>
      <c r="G90" s="26" t="s">
        <v>940</v>
      </c>
      <c r="H90" s="501" t="s">
        <v>67</v>
      </c>
      <c r="I90" s="26" t="s">
        <v>17</v>
      </c>
      <c r="J90" s="26" t="s">
        <v>899</v>
      </c>
      <c r="K90" s="501" t="s">
        <v>54</v>
      </c>
      <c r="L90" s="26" t="s">
        <v>17</v>
      </c>
      <c r="M90" s="26" t="s">
        <v>901</v>
      </c>
      <c r="N90" s="501">
        <v>2</v>
      </c>
      <c r="O90" s="26" t="s">
        <v>17</v>
      </c>
      <c r="P90" s="26" t="s">
        <v>935</v>
      </c>
      <c r="Q90" s="948" t="s">
        <v>74</v>
      </c>
      <c r="R90" s="26" t="s">
        <v>22</v>
      </c>
      <c r="S90" s="26" t="s">
        <v>1019</v>
      </c>
      <c r="T90" s="501" t="s">
        <v>58</v>
      </c>
      <c r="U90" s="26" t="s">
        <v>17</v>
      </c>
      <c r="V90" s="26" t="s">
        <v>1768</v>
      </c>
      <c r="W90" s="501" t="s">
        <v>1751</v>
      </c>
      <c r="X90" s="501"/>
      <c r="Y90" s="501"/>
      <c r="Z90" s="501"/>
      <c r="AA90" s="26"/>
      <c r="AB90" s="26"/>
      <c r="AC90" s="501"/>
      <c r="AD90" s="26"/>
      <c r="AE90" s="26"/>
      <c r="AF90" s="26"/>
      <c r="AG90" s="26"/>
      <c r="AH90" s="26"/>
      <c r="AI90" s="26"/>
      <c r="AJ90" s="26"/>
      <c r="AK90" s="26"/>
      <c r="AL90" s="26"/>
      <c r="AM90" s="26"/>
      <c r="AN90" s="26"/>
      <c r="AO90" s="26"/>
      <c r="AP90" s="26"/>
      <c r="AQ90" s="26"/>
      <c r="AR90" s="26"/>
      <c r="AS90" s="26"/>
      <c r="AT90" s="501"/>
    </row>
    <row r="91" spans="2:46" x14ac:dyDescent="0.25">
      <c r="B91" s="1743"/>
      <c r="C91" s="26">
        <v>82</v>
      </c>
      <c r="D91" s="26" t="s">
        <v>1777</v>
      </c>
      <c r="E91" s="26">
        <f t="shared" si="1"/>
        <v>2</v>
      </c>
      <c r="F91" s="26" t="s">
        <v>17</v>
      </c>
      <c r="G91" s="26" t="s">
        <v>940</v>
      </c>
      <c r="H91" s="501" t="s">
        <v>67</v>
      </c>
      <c r="I91" s="26" t="s">
        <v>17</v>
      </c>
      <c r="J91" s="26" t="s">
        <v>899</v>
      </c>
      <c r="K91" s="501" t="s">
        <v>900</v>
      </c>
      <c r="L91" s="26"/>
      <c r="M91" s="26"/>
      <c r="N91" s="501"/>
      <c r="O91" s="26"/>
      <c r="P91" s="26"/>
      <c r="Q91" s="501"/>
      <c r="R91" s="26"/>
      <c r="S91" s="26"/>
      <c r="T91" s="501"/>
      <c r="U91" s="26"/>
      <c r="V91" s="26"/>
      <c r="W91" s="501"/>
      <c r="X91" s="501"/>
      <c r="Y91" s="501"/>
      <c r="Z91" s="501"/>
      <c r="AA91" s="26"/>
      <c r="AB91" s="26"/>
      <c r="AC91" s="501"/>
      <c r="AD91" s="26"/>
      <c r="AE91" s="26"/>
      <c r="AF91" s="26"/>
      <c r="AG91" s="26"/>
      <c r="AH91" s="26"/>
      <c r="AI91" s="26"/>
      <c r="AJ91" s="26"/>
      <c r="AK91" s="26"/>
      <c r="AL91" s="26"/>
      <c r="AM91" s="26"/>
      <c r="AN91" s="26"/>
      <c r="AO91" s="26"/>
      <c r="AP91" s="26"/>
      <c r="AQ91" s="26"/>
      <c r="AR91" s="26"/>
      <c r="AS91" s="26"/>
      <c r="AT91" s="501"/>
    </row>
    <row r="92" spans="2:46" x14ac:dyDescent="0.25">
      <c r="B92" s="1743"/>
      <c r="C92" s="26">
        <v>83</v>
      </c>
      <c r="D92" s="26" t="s">
        <v>1778</v>
      </c>
      <c r="E92" s="26">
        <f t="shared" si="1"/>
        <v>3</v>
      </c>
      <c r="F92" s="26" t="s">
        <v>17</v>
      </c>
      <c r="G92" s="26" t="s">
        <v>940</v>
      </c>
      <c r="H92" s="501" t="s">
        <v>67</v>
      </c>
      <c r="I92" s="26" t="s">
        <v>17</v>
      </c>
      <c r="J92" s="26" t="s">
        <v>899</v>
      </c>
      <c r="K92" s="501" t="s">
        <v>900</v>
      </c>
      <c r="L92" s="26" t="s">
        <v>17</v>
      </c>
      <c r="M92" s="26" t="s">
        <v>1770</v>
      </c>
      <c r="N92" s="501" t="s">
        <v>74</v>
      </c>
      <c r="O92" s="26"/>
      <c r="P92" s="26"/>
      <c r="Q92" s="501"/>
      <c r="R92" s="26"/>
      <c r="S92" s="26"/>
      <c r="T92" s="501"/>
      <c r="U92" s="26"/>
      <c r="V92" s="26"/>
      <c r="W92" s="501"/>
      <c r="X92" s="501"/>
      <c r="Y92" s="501"/>
      <c r="Z92" s="501"/>
      <c r="AA92" s="26"/>
      <c r="AB92" s="26"/>
      <c r="AC92" s="501"/>
      <c r="AD92" s="26"/>
      <c r="AE92" s="26"/>
      <c r="AF92" s="26"/>
      <c r="AG92" s="26"/>
      <c r="AH92" s="26"/>
      <c r="AI92" s="26"/>
      <c r="AJ92" s="26"/>
      <c r="AK92" s="26"/>
      <c r="AL92" s="26"/>
      <c r="AM92" s="26"/>
      <c r="AN92" s="26"/>
      <c r="AO92" s="26"/>
      <c r="AP92" s="26"/>
      <c r="AQ92" s="26"/>
      <c r="AR92" s="26"/>
      <c r="AS92" s="26"/>
      <c r="AT92" s="501"/>
    </row>
    <row r="93" spans="2:46" x14ac:dyDescent="0.25">
      <c r="B93" s="1743"/>
      <c r="C93" s="26">
        <v>84</v>
      </c>
      <c r="D93" s="26" t="s">
        <v>1779</v>
      </c>
      <c r="E93" s="26">
        <f t="shared" si="1"/>
        <v>4</v>
      </c>
      <c r="F93" s="26" t="s">
        <v>17</v>
      </c>
      <c r="G93" s="26" t="s">
        <v>940</v>
      </c>
      <c r="H93" s="501" t="s">
        <v>67</v>
      </c>
      <c r="I93" s="26" t="s">
        <v>17</v>
      </c>
      <c r="J93" s="26" t="s">
        <v>899</v>
      </c>
      <c r="K93" s="501" t="s">
        <v>900</v>
      </c>
      <c r="L93" s="26" t="s">
        <v>17</v>
      </c>
      <c r="M93" s="26" t="s">
        <v>1770</v>
      </c>
      <c r="N93" s="501" t="s">
        <v>74</v>
      </c>
      <c r="O93" s="26" t="s">
        <v>17</v>
      </c>
      <c r="P93" s="26" t="s">
        <v>935</v>
      </c>
      <c r="Q93" s="948" t="s">
        <v>74</v>
      </c>
      <c r="R93" s="26"/>
      <c r="S93" s="26"/>
      <c r="T93" s="501"/>
      <c r="U93" s="26"/>
      <c r="V93" s="26"/>
      <c r="W93" s="501"/>
      <c r="X93" s="501"/>
      <c r="Y93" s="501"/>
      <c r="Z93" s="501"/>
      <c r="AA93" s="26"/>
      <c r="AB93" s="26"/>
      <c r="AC93" s="501"/>
      <c r="AD93" s="26"/>
      <c r="AE93" s="26"/>
      <c r="AF93" s="26"/>
      <c r="AG93" s="26"/>
      <c r="AH93" s="26"/>
      <c r="AI93" s="26"/>
      <c r="AJ93" s="26"/>
      <c r="AK93" s="26"/>
      <c r="AL93" s="26"/>
      <c r="AM93" s="26"/>
      <c r="AN93" s="26"/>
      <c r="AO93" s="26"/>
      <c r="AP93" s="26"/>
      <c r="AQ93" s="26"/>
      <c r="AR93" s="26"/>
      <c r="AS93" s="26"/>
      <c r="AT93" s="501"/>
    </row>
    <row r="94" spans="2:46" x14ac:dyDescent="0.25">
      <c r="B94" s="1743"/>
      <c r="C94" s="26">
        <v>85</v>
      </c>
      <c r="D94" s="26" t="s">
        <v>1780</v>
      </c>
      <c r="E94" s="26">
        <f t="shared" si="1"/>
        <v>5</v>
      </c>
      <c r="F94" s="26" t="s">
        <v>17</v>
      </c>
      <c r="G94" s="26" t="s">
        <v>940</v>
      </c>
      <c r="H94" s="501" t="s">
        <v>67</v>
      </c>
      <c r="I94" s="26" t="s">
        <v>17</v>
      </c>
      <c r="J94" s="26" t="s">
        <v>899</v>
      </c>
      <c r="K94" s="501" t="s">
        <v>900</v>
      </c>
      <c r="L94" s="26" t="s">
        <v>17</v>
      </c>
      <c r="M94" s="26" t="s">
        <v>1770</v>
      </c>
      <c r="N94" s="501" t="s">
        <v>74</v>
      </c>
      <c r="O94" s="26" t="s">
        <v>17</v>
      </c>
      <c r="P94" s="26" t="s">
        <v>935</v>
      </c>
      <c r="Q94" s="948" t="s">
        <v>74</v>
      </c>
      <c r="R94" s="26" t="s">
        <v>22</v>
      </c>
      <c r="S94" s="26" t="s">
        <v>1019</v>
      </c>
      <c r="T94" s="501" t="s">
        <v>58</v>
      </c>
      <c r="U94" s="26"/>
      <c r="V94" s="26"/>
      <c r="W94" s="501"/>
      <c r="X94" s="501"/>
      <c r="Y94" s="501"/>
      <c r="Z94" s="501"/>
      <c r="AA94" s="26"/>
      <c r="AB94" s="26"/>
      <c r="AC94" s="501"/>
      <c r="AD94" s="26"/>
      <c r="AE94" s="26"/>
      <c r="AF94" s="26"/>
      <c r="AG94" s="26"/>
      <c r="AH94" s="26"/>
      <c r="AI94" s="26"/>
      <c r="AJ94" s="26"/>
      <c r="AK94" s="26"/>
      <c r="AL94" s="26"/>
      <c r="AM94" s="26"/>
      <c r="AN94" s="26"/>
      <c r="AO94" s="26"/>
      <c r="AP94" s="26"/>
      <c r="AQ94" s="26"/>
      <c r="AR94" s="26"/>
      <c r="AS94" s="26"/>
      <c r="AT94" s="501"/>
    </row>
    <row r="95" spans="2:46" x14ac:dyDescent="0.25">
      <c r="B95" s="1744"/>
      <c r="C95" s="26">
        <v>86</v>
      </c>
      <c r="D95" s="26" t="s">
        <v>1781</v>
      </c>
      <c r="E95" s="26">
        <f t="shared" si="1"/>
        <v>6</v>
      </c>
      <c r="F95" s="26" t="s">
        <v>17</v>
      </c>
      <c r="G95" s="26" t="s">
        <v>940</v>
      </c>
      <c r="H95" s="501" t="s">
        <v>67</v>
      </c>
      <c r="I95" s="26" t="s">
        <v>17</v>
      </c>
      <c r="J95" s="26" t="s">
        <v>899</v>
      </c>
      <c r="K95" s="501" t="s">
        <v>900</v>
      </c>
      <c r="L95" s="26" t="s">
        <v>17</v>
      </c>
      <c r="M95" s="26" t="s">
        <v>1770</v>
      </c>
      <c r="N95" s="501" t="s">
        <v>74</v>
      </c>
      <c r="O95" s="26" t="s">
        <v>17</v>
      </c>
      <c r="P95" s="26" t="s">
        <v>935</v>
      </c>
      <c r="Q95" s="948" t="s">
        <v>74</v>
      </c>
      <c r="R95" s="26" t="s">
        <v>22</v>
      </c>
      <c r="S95" s="26" t="s">
        <v>1019</v>
      </c>
      <c r="T95" s="501" t="s">
        <v>58</v>
      </c>
      <c r="U95" s="26" t="s">
        <v>17</v>
      </c>
      <c r="V95" s="26" t="s">
        <v>1768</v>
      </c>
      <c r="W95" s="501" t="s">
        <v>1751</v>
      </c>
      <c r="X95" s="501"/>
      <c r="Y95" s="501"/>
      <c r="Z95" s="501"/>
      <c r="AA95" s="26"/>
      <c r="AB95" s="26"/>
      <c r="AC95" s="501"/>
      <c r="AD95" s="26"/>
      <c r="AE95" s="26"/>
      <c r="AF95" s="26"/>
      <c r="AG95" s="26"/>
      <c r="AH95" s="26"/>
      <c r="AI95" s="26"/>
      <c r="AJ95" s="26"/>
      <c r="AK95" s="26"/>
      <c r="AL95" s="26"/>
      <c r="AM95" s="26"/>
      <c r="AN95" s="26"/>
      <c r="AO95" s="26"/>
      <c r="AP95" s="26"/>
      <c r="AQ95" s="26"/>
      <c r="AR95" s="26"/>
      <c r="AS95" s="26"/>
      <c r="AT95" s="501"/>
    </row>
    <row r="96" spans="2:46" x14ac:dyDescent="0.25">
      <c r="B96" s="1742" t="s">
        <v>1835</v>
      </c>
      <c r="C96" s="26">
        <v>87</v>
      </c>
      <c r="D96" s="26" t="s">
        <v>1836</v>
      </c>
      <c r="E96" s="26">
        <f t="shared" si="1"/>
        <v>1</v>
      </c>
      <c r="F96" s="26" t="s">
        <v>17</v>
      </c>
      <c r="G96" s="26" t="s">
        <v>1833</v>
      </c>
      <c r="H96" s="501" t="s">
        <v>74</v>
      </c>
      <c r="I96" s="26"/>
      <c r="J96" s="26"/>
      <c r="K96" s="501"/>
      <c r="L96" s="26"/>
      <c r="M96" s="26"/>
      <c r="N96" s="501"/>
      <c r="O96" s="26"/>
      <c r="P96" s="26"/>
      <c r="Q96" s="948"/>
      <c r="R96" s="26"/>
      <c r="S96" s="26"/>
      <c r="T96" s="501"/>
      <c r="U96" s="26"/>
      <c r="V96" s="26"/>
      <c r="W96" s="501"/>
      <c r="X96" s="501"/>
      <c r="Y96" s="501"/>
      <c r="Z96" s="501"/>
      <c r="AA96" s="26" t="s">
        <v>17</v>
      </c>
      <c r="AB96" s="26" t="s">
        <v>1833</v>
      </c>
      <c r="AC96" s="501" t="s">
        <v>58</v>
      </c>
      <c r="AD96" s="26"/>
      <c r="AE96" s="26"/>
      <c r="AF96" s="26"/>
      <c r="AG96" s="26"/>
      <c r="AH96" s="26"/>
      <c r="AI96" s="26"/>
      <c r="AJ96" s="26"/>
      <c r="AK96" s="26"/>
      <c r="AL96" s="26"/>
      <c r="AM96" s="26"/>
      <c r="AN96" s="26"/>
      <c r="AO96" s="26"/>
      <c r="AP96" s="26"/>
      <c r="AQ96" s="26"/>
      <c r="AR96" s="26"/>
      <c r="AS96" s="26"/>
      <c r="AT96" s="501"/>
    </row>
    <row r="97" spans="2:46" x14ac:dyDescent="0.25">
      <c r="B97" s="1743"/>
      <c r="C97" s="26">
        <v>88</v>
      </c>
      <c r="D97" s="26" t="s">
        <v>1838</v>
      </c>
      <c r="E97" s="26">
        <f t="shared" si="1"/>
        <v>1</v>
      </c>
      <c r="F97" s="26" t="s">
        <v>17</v>
      </c>
      <c r="G97" s="26" t="s">
        <v>1834</v>
      </c>
      <c r="H97" s="501" t="s">
        <v>74</v>
      </c>
      <c r="I97" s="26"/>
      <c r="J97" s="26"/>
      <c r="K97" s="501"/>
      <c r="L97" s="26"/>
      <c r="M97" s="26"/>
      <c r="N97" s="501"/>
      <c r="O97" s="26"/>
      <c r="P97" s="26"/>
      <c r="Q97" s="948"/>
      <c r="R97" s="26"/>
      <c r="S97" s="26"/>
      <c r="T97" s="501"/>
      <c r="U97" s="26"/>
      <c r="V97" s="26"/>
      <c r="W97" s="501"/>
      <c r="X97" s="501"/>
      <c r="Y97" s="501"/>
      <c r="Z97" s="501"/>
      <c r="AA97" s="26" t="s">
        <v>17</v>
      </c>
      <c r="AB97" s="26" t="s">
        <v>1834</v>
      </c>
      <c r="AC97" s="501" t="s">
        <v>58</v>
      </c>
      <c r="AD97" s="26"/>
      <c r="AE97" s="26"/>
      <c r="AF97" s="26"/>
      <c r="AG97" s="26"/>
      <c r="AH97" s="26"/>
      <c r="AI97" s="26"/>
      <c r="AJ97" s="26"/>
      <c r="AK97" s="26"/>
      <c r="AL97" s="26"/>
      <c r="AM97" s="26"/>
      <c r="AN97" s="26"/>
      <c r="AO97" s="26"/>
      <c r="AP97" s="26"/>
      <c r="AQ97" s="26"/>
      <c r="AR97" s="26"/>
      <c r="AS97" s="26"/>
      <c r="AT97" s="501"/>
    </row>
    <row r="98" spans="2:46" x14ac:dyDescent="0.25">
      <c r="B98" s="1744"/>
      <c r="C98" s="26">
        <v>89</v>
      </c>
      <c r="D98" s="26" t="s">
        <v>1837</v>
      </c>
      <c r="E98" s="26">
        <f t="shared" si="1"/>
        <v>1</v>
      </c>
      <c r="F98" s="26" t="s">
        <v>23</v>
      </c>
      <c r="G98" s="26" t="s">
        <v>1002</v>
      </c>
      <c r="H98" s="501" t="s">
        <v>1827</v>
      </c>
      <c r="I98" s="26"/>
      <c r="J98" s="26"/>
      <c r="K98" s="501"/>
      <c r="L98" s="26"/>
      <c r="M98" s="26"/>
      <c r="N98" s="501"/>
      <c r="O98" s="26"/>
      <c r="P98" s="26"/>
      <c r="Q98" s="948"/>
      <c r="R98" s="26"/>
      <c r="S98" s="26"/>
      <c r="T98" s="501"/>
      <c r="U98" s="26"/>
      <c r="V98" s="26"/>
      <c r="W98" s="501"/>
      <c r="X98" s="501"/>
      <c r="Y98" s="501"/>
      <c r="Z98" s="501"/>
      <c r="AA98" s="26" t="s">
        <v>23</v>
      </c>
      <c r="AB98" s="26" t="s">
        <v>1002</v>
      </c>
      <c r="AC98" s="501" t="s">
        <v>103</v>
      </c>
      <c r="AD98" s="26"/>
      <c r="AE98" s="26"/>
      <c r="AF98" s="26"/>
      <c r="AG98" s="26"/>
      <c r="AH98" s="26"/>
      <c r="AI98" s="26"/>
      <c r="AJ98" s="26"/>
      <c r="AK98" s="26"/>
      <c r="AL98" s="26"/>
      <c r="AM98" s="26"/>
      <c r="AN98" s="26"/>
      <c r="AO98" s="26"/>
      <c r="AP98" s="26"/>
      <c r="AQ98" s="26"/>
      <c r="AR98" s="26"/>
      <c r="AS98" s="26"/>
      <c r="AT98" s="501"/>
    </row>
    <row r="99" spans="2:46" x14ac:dyDescent="0.25">
      <c r="B99" s="1304"/>
      <c r="C99" s="26"/>
      <c r="D99" s="26"/>
      <c r="E99" s="26"/>
      <c r="F99" s="26"/>
      <c r="G99" s="26"/>
      <c r="H99" s="501"/>
      <c r="I99" s="26"/>
      <c r="J99" s="26"/>
      <c r="K99" s="501"/>
      <c r="L99" s="26"/>
      <c r="M99" s="26"/>
      <c r="N99" s="501"/>
      <c r="O99" s="26"/>
      <c r="P99" s="26"/>
      <c r="Q99" s="948"/>
      <c r="R99" s="26"/>
      <c r="S99" s="26"/>
      <c r="T99" s="501"/>
      <c r="U99" s="26"/>
      <c r="V99" s="26"/>
      <c r="W99" s="501"/>
      <c r="X99" s="501"/>
      <c r="Y99" s="501"/>
      <c r="Z99" s="501"/>
      <c r="AA99" s="26"/>
      <c r="AB99" s="26"/>
      <c r="AC99" s="501"/>
      <c r="AD99" s="26"/>
      <c r="AE99" s="26"/>
      <c r="AF99" s="26"/>
      <c r="AG99" s="26"/>
      <c r="AH99" s="26"/>
      <c r="AI99" s="26"/>
      <c r="AJ99" s="26"/>
      <c r="AK99" s="26"/>
      <c r="AL99" s="26"/>
      <c r="AM99" s="26"/>
      <c r="AN99" s="26"/>
      <c r="AO99" s="26"/>
      <c r="AP99" s="26"/>
      <c r="AQ99" s="26"/>
      <c r="AR99" s="26"/>
      <c r="AS99" s="26"/>
      <c r="AT99" s="501"/>
    </row>
    <row r="100" spans="2:46" x14ac:dyDescent="0.25">
      <c r="B100" s="1304"/>
      <c r="C100" s="26"/>
      <c r="D100" s="26"/>
      <c r="E100" s="26"/>
      <c r="F100" s="26"/>
      <c r="G100" s="26"/>
      <c r="H100" s="501"/>
      <c r="I100" s="26"/>
      <c r="J100" s="26"/>
      <c r="K100" s="501"/>
      <c r="L100" s="26"/>
      <c r="M100" s="26"/>
      <c r="N100" s="501"/>
      <c r="O100" s="26"/>
      <c r="P100" s="26"/>
      <c r="Q100" s="948"/>
      <c r="R100" s="26"/>
      <c r="S100" s="26"/>
      <c r="T100" s="501"/>
      <c r="U100" s="26"/>
      <c r="V100" s="26"/>
      <c r="W100" s="501"/>
      <c r="X100" s="501"/>
      <c r="Y100" s="501"/>
      <c r="Z100" s="501"/>
      <c r="AA100" s="26"/>
      <c r="AB100" s="26"/>
      <c r="AC100" s="501"/>
      <c r="AD100" s="26"/>
      <c r="AE100" s="26"/>
      <c r="AF100" s="26"/>
      <c r="AG100" s="26"/>
      <c r="AH100" s="26"/>
      <c r="AI100" s="26"/>
      <c r="AJ100" s="26"/>
      <c r="AK100" s="26"/>
      <c r="AL100" s="26"/>
      <c r="AM100" s="26"/>
      <c r="AN100" s="26"/>
      <c r="AO100" s="26"/>
      <c r="AP100" s="26"/>
      <c r="AQ100" s="26"/>
      <c r="AR100" s="26"/>
      <c r="AS100" s="26"/>
      <c r="AT100" s="501"/>
    </row>
    <row r="101" spans="2:46" x14ac:dyDescent="0.25">
      <c r="B101" s="1304"/>
      <c r="C101" s="26"/>
      <c r="D101" s="26"/>
      <c r="E101" s="26"/>
      <c r="F101" s="26"/>
      <c r="G101" s="26"/>
      <c r="H101" s="501"/>
      <c r="I101" s="26"/>
      <c r="J101" s="26"/>
      <c r="K101" s="501"/>
      <c r="L101" s="26"/>
      <c r="M101" s="26"/>
      <c r="N101" s="501"/>
      <c r="O101" s="26"/>
      <c r="P101" s="26"/>
      <c r="Q101" s="948"/>
      <c r="R101" s="26"/>
      <c r="S101" s="26"/>
      <c r="T101" s="501"/>
      <c r="U101" s="26"/>
      <c r="V101" s="26"/>
      <c r="W101" s="501"/>
      <c r="X101" s="501"/>
      <c r="Y101" s="501"/>
      <c r="Z101" s="501"/>
      <c r="AA101" s="26"/>
      <c r="AB101" s="26"/>
      <c r="AC101" s="501"/>
      <c r="AD101" s="26"/>
      <c r="AE101" s="26"/>
      <c r="AF101" s="26"/>
      <c r="AG101" s="26"/>
      <c r="AH101" s="26"/>
      <c r="AI101" s="26"/>
      <c r="AJ101" s="26"/>
      <c r="AK101" s="26"/>
      <c r="AL101" s="26"/>
      <c r="AM101" s="26"/>
      <c r="AN101" s="26"/>
      <c r="AO101" s="26"/>
      <c r="AP101" s="26"/>
      <c r="AQ101" s="26"/>
      <c r="AR101" s="26"/>
      <c r="AS101" s="26"/>
      <c r="AT101" s="501"/>
    </row>
    <row r="102" spans="2:46" x14ac:dyDescent="0.25">
      <c r="B102" s="1107"/>
      <c r="C102" s="26"/>
      <c r="D102" s="26"/>
      <c r="E102" s="26"/>
      <c r="F102" s="26"/>
      <c r="G102" s="26"/>
      <c r="H102" s="501"/>
      <c r="I102" s="26"/>
      <c r="J102" s="26"/>
      <c r="K102" s="501"/>
      <c r="L102" s="26"/>
      <c r="M102" s="26"/>
      <c r="N102" s="501"/>
      <c r="O102" s="26"/>
      <c r="P102" s="26"/>
      <c r="Q102" s="501"/>
      <c r="R102" s="26"/>
      <c r="S102" s="26"/>
      <c r="T102" s="501"/>
      <c r="U102" s="501"/>
      <c r="V102" s="501"/>
      <c r="W102" s="501"/>
      <c r="X102" s="501"/>
      <c r="Y102" s="501"/>
      <c r="Z102" s="501"/>
      <c r="AA102" s="26"/>
      <c r="AB102" s="26"/>
      <c r="AC102" s="501"/>
      <c r="AD102" s="26"/>
      <c r="AE102" s="26"/>
      <c r="AF102" s="26"/>
      <c r="AG102" s="26"/>
      <c r="AH102" s="26"/>
      <c r="AI102" s="26"/>
      <c r="AJ102" s="26"/>
      <c r="AK102" s="26"/>
      <c r="AL102" s="26"/>
      <c r="AM102" s="26"/>
      <c r="AN102" s="26"/>
      <c r="AO102" s="26"/>
      <c r="AP102" s="26"/>
      <c r="AQ102" s="26"/>
      <c r="AR102" s="26"/>
      <c r="AS102" s="26"/>
      <c r="AT102" s="501"/>
    </row>
    <row r="104" spans="2:46" x14ac:dyDescent="0.25">
      <c r="C104" s="1034" t="s">
        <v>1046</v>
      </c>
      <c r="E104" s="1035" t="s">
        <v>1047</v>
      </c>
    </row>
  </sheetData>
  <mergeCells count="28">
    <mergeCell ref="AP8:AR8"/>
    <mergeCell ref="B76:B81"/>
    <mergeCell ref="B73:B74"/>
    <mergeCell ref="R8:T8"/>
    <mergeCell ref="B49:B57"/>
    <mergeCell ref="I8:K8"/>
    <mergeCell ref="AM8:AO8"/>
    <mergeCell ref="B58:B66"/>
    <mergeCell ref="B67:B71"/>
    <mergeCell ref="B17:B18"/>
    <mergeCell ref="B38:B48"/>
    <mergeCell ref="B13:B14"/>
    <mergeCell ref="B10:B12"/>
    <mergeCell ref="B31:B37"/>
    <mergeCell ref="B15:B16"/>
    <mergeCell ref="B96:B98"/>
    <mergeCell ref="B82:B83"/>
    <mergeCell ref="B86:B95"/>
    <mergeCell ref="AJ8:AL8"/>
    <mergeCell ref="O8:Q8"/>
    <mergeCell ref="L8:N8"/>
    <mergeCell ref="B19:B30"/>
    <mergeCell ref="AA8:AC8"/>
    <mergeCell ref="AD8:AF8"/>
    <mergeCell ref="X8:Z8"/>
    <mergeCell ref="F8:H8"/>
    <mergeCell ref="AG8:AI8"/>
    <mergeCell ref="U8:W8"/>
  </mergeCells>
  <phoneticPr fontId="41" type="noConversion"/>
  <hyperlinks>
    <hyperlink ref="D2" location="'Navigation control'!A1" display="Navigation control" xr:uid="{9A5E9480-D6F3-409F-9BDF-66CD38B0803D}"/>
    <hyperlink ref="E104" location="i_sur_cur_sc_sel_range" display="i_surv_cur_sc_sel_range" xr:uid="{ED4937E2-BBA6-4924-BD0B-9A944547F387}"/>
  </hyperlinks>
  <pageMargins left="0.7" right="0.7" top="0.75" bottom="0.75" header="0.511811023622047" footer="0.511811023622047"/>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8914D-CA68-40C7-89AB-ABC3DB6DBD0E}">
  <sheetPr codeName="Sheet19">
    <tabColor theme="0" tint="-0.249977111117893"/>
  </sheetPr>
  <dimension ref="B1:AB123"/>
  <sheetViews>
    <sheetView showGridLines="0" topLeftCell="A3" zoomScale="80" zoomScaleNormal="80" workbookViewId="0">
      <selection activeCell="E10" sqref="E10:E123"/>
    </sheetView>
  </sheetViews>
  <sheetFormatPr defaultRowHeight="15" x14ac:dyDescent="0.25"/>
  <cols>
    <col min="8" max="8" width="18.28515625" bestFit="1" customWidth="1"/>
    <col min="11" max="11" width="10" customWidth="1"/>
    <col min="13" max="13" width="10.28515625" bestFit="1" customWidth="1"/>
    <col min="14" max="16" width="10.28515625" customWidth="1"/>
    <col min="18" max="18" width="11.42578125" bestFit="1" customWidth="1"/>
    <col min="19" max="19" width="10" bestFit="1" customWidth="1"/>
    <col min="20" max="21" width="9.5703125" bestFit="1" customWidth="1"/>
    <col min="22" max="22" width="10.28515625" bestFit="1" customWidth="1"/>
    <col min="24" max="24" width="12.42578125" bestFit="1" customWidth="1"/>
    <col min="25" max="25" width="15.28515625" customWidth="1"/>
    <col min="26" max="26" width="10.5703125" bestFit="1" customWidth="1"/>
  </cols>
  <sheetData>
    <row r="1" spans="2:28" s="37" customFormat="1" ht="15.75" x14ac:dyDescent="0.25">
      <c r="B1" s="1032"/>
      <c r="H1" s="498"/>
      <c r="K1" s="498"/>
      <c r="N1" s="498"/>
      <c r="Q1" s="498"/>
      <c r="T1" s="498"/>
    </row>
    <row r="2" spans="2:28" s="41" customFormat="1" ht="18" x14ac:dyDescent="0.25">
      <c r="B2" s="38"/>
      <c r="C2" s="39"/>
      <c r="D2" s="40" t="s">
        <v>11</v>
      </c>
      <c r="E2" s="39"/>
      <c r="F2" s="38"/>
      <c r="G2" s="39"/>
      <c r="H2" s="499"/>
      <c r="I2" s="38"/>
      <c r="J2" s="39"/>
      <c r="K2" s="499"/>
      <c r="L2" s="38"/>
      <c r="M2" s="39"/>
      <c r="N2" s="499"/>
      <c r="O2" s="38"/>
      <c r="P2" s="39"/>
      <c r="Q2" s="499"/>
      <c r="R2" s="38"/>
      <c r="S2" s="39"/>
      <c r="T2" s="499"/>
      <c r="U2" s="38"/>
      <c r="V2" s="39"/>
      <c r="W2" s="38"/>
      <c r="X2" s="38"/>
      <c r="Y2" s="39"/>
      <c r="Z2" s="39"/>
      <c r="AA2" s="38"/>
      <c r="AB2" s="39"/>
    </row>
    <row r="3" spans="2:28" s="41" customFormat="1" ht="15.75" x14ac:dyDescent="0.25">
      <c r="H3" s="500"/>
      <c r="K3" s="500"/>
      <c r="N3" s="500"/>
      <c r="Q3" s="500"/>
      <c r="T3" s="500"/>
    </row>
    <row r="4" spans="2:28" x14ac:dyDescent="0.25">
      <c r="B4" s="97" t="s">
        <v>1048</v>
      </c>
      <c r="M4" s="31" t="s">
        <v>1048</v>
      </c>
      <c r="U4" s="31" t="s">
        <v>1049</v>
      </c>
    </row>
    <row r="5" spans="2:28" x14ac:dyDescent="0.25">
      <c r="B5" t="s">
        <v>1050</v>
      </c>
      <c r="C5" s="26">
        <v>3</v>
      </c>
      <c r="D5" t="s">
        <v>1051</v>
      </c>
      <c r="M5">
        <v>0</v>
      </c>
      <c r="N5">
        <v>1</v>
      </c>
      <c r="O5">
        <v>2</v>
      </c>
      <c r="P5">
        <v>3</v>
      </c>
      <c r="U5">
        <v>0</v>
      </c>
      <c r="V5">
        <v>1</v>
      </c>
    </row>
    <row r="6" spans="2:28" x14ac:dyDescent="0.25">
      <c r="B6" t="s">
        <v>1052</v>
      </c>
      <c r="C6" s="26">
        <v>40</v>
      </c>
      <c r="D6" t="s">
        <v>281</v>
      </c>
      <c r="L6" t="s">
        <v>1053</v>
      </c>
      <c r="M6" s="1379">
        <f ca="1">OFFSET('Resource use and costs'!$S$11,M$5,0)</f>
        <v>439</v>
      </c>
      <c r="N6" s="1379">
        <f ca="1">OFFSET('Resource use and costs'!$S$11,N$5,0)</f>
        <v>1097</v>
      </c>
      <c r="O6" s="1379">
        <f ca="1">OFFSET('Resource use and costs'!$S$11,O$5,0)</f>
        <v>1317</v>
      </c>
      <c r="P6" s="1379">
        <f ca="1">OFFSET('Resource use and costs'!$S$11,P$5,0)</f>
        <v>2633</v>
      </c>
      <c r="U6" s="1379">
        <f ca="1">OFFSET('Resource use and costs'!$S$21,U$5,0)</f>
        <v>3750</v>
      </c>
      <c r="V6" s="1379">
        <f ca="1">OFFSET('Resource use and costs'!$S$21,V$5,0)</f>
        <v>15000</v>
      </c>
    </row>
    <row r="7" spans="2:28" x14ac:dyDescent="0.25">
      <c r="B7" t="s">
        <v>1052</v>
      </c>
      <c r="C7" s="26">
        <v>100</v>
      </c>
      <c r="D7" t="s">
        <v>281</v>
      </c>
      <c r="E7" s="87" t="s">
        <v>1054</v>
      </c>
      <c r="L7" t="s">
        <v>1055</v>
      </c>
      <c r="M7" s="1441">
        <f ca="1">OFFSET('Resource use and costs'!$K$11,M$5,0)</f>
        <v>439</v>
      </c>
      <c r="N7" s="1441">
        <f ca="1">OFFSET('Resource use and costs'!$K$11,N$5,0)</f>
        <v>1097</v>
      </c>
      <c r="O7" s="1441">
        <f ca="1">OFFSET('Resource use and costs'!$K$11,O$5,0)</f>
        <v>1317</v>
      </c>
      <c r="P7" s="1441">
        <f ca="1">OFFSET('Resource use and costs'!$K$11,P$5,0)</f>
        <v>2633</v>
      </c>
      <c r="R7" s="776"/>
      <c r="U7" s="1379">
        <f ca="1">OFFSET('Resource use and costs'!$K$21,U$5,0)</f>
        <v>3750</v>
      </c>
      <c r="V7" s="1379">
        <f ca="1">OFFSET('Resource use and costs'!$K$21,V$5,0)</f>
        <v>15000</v>
      </c>
    </row>
    <row r="8" spans="2:28" x14ac:dyDescent="0.25">
      <c r="B8" t="s">
        <v>1052</v>
      </c>
      <c r="C8" s="26">
        <v>120</v>
      </c>
      <c r="D8" t="s">
        <v>281</v>
      </c>
      <c r="L8" t="s">
        <v>281</v>
      </c>
      <c r="M8">
        <f>C6</f>
        <v>40</v>
      </c>
      <c r="N8">
        <f>C7</f>
        <v>100</v>
      </c>
      <c r="O8">
        <f>C8</f>
        <v>120</v>
      </c>
      <c r="P8">
        <f>C9</f>
        <v>240</v>
      </c>
      <c r="U8">
        <f>C13</f>
        <v>50</v>
      </c>
      <c r="V8">
        <f>C14</f>
        <v>200</v>
      </c>
    </row>
    <row r="9" spans="2:28" ht="45" x14ac:dyDescent="0.25">
      <c r="B9" t="s">
        <v>1052</v>
      </c>
      <c r="C9" s="26">
        <v>240</v>
      </c>
      <c r="D9" t="s">
        <v>281</v>
      </c>
      <c r="E9" s="29" t="s">
        <v>1056</v>
      </c>
      <c r="F9" s="29" t="s">
        <v>1057</v>
      </c>
      <c r="H9" t="s">
        <v>1058</v>
      </c>
      <c r="M9" t="s">
        <v>1059</v>
      </c>
      <c r="N9" t="s">
        <v>1060</v>
      </c>
      <c r="O9" t="s">
        <v>1061</v>
      </c>
      <c r="P9" t="s">
        <v>1062</v>
      </c>
      <c r="Q9" t="s">
        <v>1063</v>
      </c>
      <c r="R9" t="s">
        <v>1064</v>
      </c>
      <c r="S9" t="s">
        <v>1055</v>
      </c>
      <c r="T9" t="s">
        <v>1053</v>
      </c>
      <c r="U9" t="s">
        <v>1059</v>
      </c>
      <c r="V9" t="s">
        <v>1060</v>
      </c>
      <c r="W9" t="s">
        <v>1063</v>
      </c>
      <c r="X9" t="s">
        <v>1064</v>
      </c>
      <c r="Y9" t="s">
        <v>1055</v>
      </c>
      <c r="Z9" t="s">
        <v>1053</v>
      </c>
    </row>
    <row r="10" spans="2:28" x14ac:dyDescent="0.25">
      <c r="E10" s="1465">
        <v>44.583333333333329</v>
      </c>
      <c r="F10" s="1050">
        <f t="shared" ref="F10:F73" si="0">E10^2</f>
        <v>1987.6736111111106</v>
      </c>
      <c r="H10" s="26" t="s">
        <v>428</v>
      </c>
      <c r="I10" s="1051">
        <f>AVERAGE(E:E)</f>
        <v>83.38377192982459</v>
      </c>
      <c r="L10" s="26"/>
      <c r="M10" s="26">
        <v>1</v>
      </c>
      <c r="N10" s="26">
        <v>0</v>
      </c>
      <c r="O10" s="26">
        <v>0</v>
      </c>
      <c r="P10" s="26">
        <v>0</v>
      </c>
      <c r="Q10" s="26">
        <f t="shared" ref="Q10:Q31" si="1">M10*$C$6+N10*$C$7+O10*$C$8+P10*$C$9</f>
        <v>40</v>
      </c>
      <c r="R10" s="1053">
        <f>_xlfn.LOGNORM.DIST(Q10/$C$5,$I$20,$K$20,TRUE)</f>
        <v>8.199883412665123E-18</v>
      </c>
      <c r="S10" s="1441">
        <f t="shared" ref="S10:S31" ca="1" si="2">M10*M$7+N10*N$7+O10*O$7+P10*P$7</f>
        <v>439</v>
      </c>
      <c r="T10" s="1379">
        <f ca="1">M10*M$6+N10*N$6+O10*O$6+P10*P$6</f>
        <v>439</v>
      </c>
      <c r="U10" s="26">
        <v>1</v>
      </c>
      <c r="V10" s="26">
        <v>0</v>
      </c>
      <c r="W10" s="26">
        <f t="shared" ref="W10:W27" si="3">U10*$C$13+$C$14*V10</f>
        <v>50</v>
      </c>
      <c r="X10" s="1053">
        <f>_xlfn.LOGNORM.DIST(W10/$C$12,$I$20,$K$20,TRUE)</f>
        <v>1.0740547807722546E-2</v>
      </c>
      <c r="Y10" s="1379">
        <f t="shared" ref="Y10:Y27" ca="1" si="4">U10*U$7+V10*V$7</f>
        <v>3750</v>
      </c>
      <c r="Z10" s="1379">
        <f ca="1">U10*U$6+V10*V$6</f>
        <v>3750</v>
      </c>
    </row>
    <row r="11" spans="2:28" x14ac:dyDescent="0.25">
      <c r="B11" s="97" t="s">
        <v>1049</v>
      </c>
      <c r="E11" s="1465">
        <v>48.333333333333329</v>
      </c>
      <c r="F11" s="1050">
        <f t="shared" si="0"/>
        <v>2336.1111111111109</v>
      </c>
      <c r="H11" s="26" t="s">
        <v>159</v>
      </c>
      <c r="I11" s="1051">
        <f>STDEV(E:E)</f>
        <v>18.007887141868906</v>
      </c>
      <c r="L11" s="26">
        <v>1</v>
      </c>
      <c r="M11" s="26">
        <v>2</v>
      </c>
      <c r="N11" s="26">
        <v>0</v>
      </c>
      <c r="O11" s="26">
        <v>0</v>
      </c>
      <c r="P11" s="26">
        <v>0</v>
      </c>
      <c r="Q11" s="26">
        <f t="shared" si="1"/>
        <v>80</v>
      </c>
      <c r="R11" s="1053">
        <f>_xlfn.LOGNORM.DIST(Q11/$C$5,$I$20,$K$20,TRUE)-SUM(R$10:R10)</f>
        <v>7.3480183752193456E-8</v>
      </c>
      <c r="S11" s="1441">
        <f t="shared" ca="1" si="2"/>
        <v>878</v>
      </c>
      <c r="T11" s="1379">
        <f t="shared" ref="T11:T32" ca="1" si="5">M11*M$6+N11*N$6+O11*O$6+P11*P$6</f>
        <v>878</v>
      </c>
      <c r="U11" s="26">
        <v>2</v>
      </c>
      <c r="V11" s="26">
        <v>0</v>
      </c>
      <c r="W11" s="26">
        <f t="shared" si="3"/>
        <v>100</v>
      </c>
      <c r="X11" s="1053">
        <f>_xlfn.LOGNORM.DIST(W11/$C$12,$I$20,$K$20,TRUE)-SUM(X$10:X10)</f>
        <v>0.82100089465157955</v>
      </c>
      <c r="Y11" s="1379">
        <f t="shared" ca="1" si="4"/>
        <v>7500</v>
      </c>
      <c r="Z11" s="1379">
        <f t="shared" ref="Z11:Z27" ca="1" si="6">U11*U$6+V11*V$6</f>
        <v>7500</v>
      </c>
    </row>
    <row r="12" spans="2:28" x14ac:dyDescent="0.25">
      <c r="B12" t="s">
        <v>1050</v>
      </c>
      <c r="C12" s="26">
        <v>1</v>
      </c>
      <c r="D12" t="s">
        <v>1051</v>
      </c>
      <c r="E12" s="1465">
        <v>48.333333333333329</v>
      </c>
      <c r="F12" s="1050">
        <f t="shared" si="0"/>
        <v>2336.1111111111109</v>
      </c>
      <c r="L12" s="26">
        <v>2</v>
      </c>
      <c r="M12" s="26">
        <v>0</v>
      </c>
      <c r="N12" s="26">
        <v>1</v>
      </c>
      <c r="O12" s="26">
        <v>0</v>
      </c>
      <c r="P12" s="26">
        <v>0</v>
      </c>
      <c r="Q12" s="26">
        <f t="shared" si="1"/>
        <v>100</v>
      </c>
      <c r="R12" s="1053">
        <f>_xlfn.LOGNORM.DIST(Q12/$C$5,$I$20,$K$20,TRUE)-SUM(R$10:R11)</f>
        <v>1.2883753189418798E-5</v>
      </c>
      <c r="S12" s="1441">
        <f t="shared" ca="1" si="2"/>
        <v>1097</v>
      </c>
      <c r="T12" s="1379">
        <f t="shared" ca="1" si="5"/>
        <v>1097</v>
      </c>
      <c r="U12" s="26">
        <v>3</v>
      </c>
      <c r="V12" s="26">
        <v>0</v>
      </c>
      <c r="W12" s="26">
        <f t="shared" si="3"/>
        <v>150</v>
      </c>
      <c r="X12" s="1053">
        <f>_xlfn.LOGNORM.DIST(W12/$C$12,$I$20,$K$20,TRUE)-SUM(X$10:X11)</f>
        <v>0.16619535915081318</v>
      </c>
      <c r="Y12" s="1379">
        <f t="shared" ca="1" si="4"/>
        <v>11250</v>
      </c>
      <c r="Z12" s="1379">
        <f t="shared" ca="1" si="6"/>
        <v>11250</v>
      </c>
    </row>
    <row r="13" spans="2:28" x14ac:dyDescent="0.25">
      <c r="B13" t="s">
        <v>1052</v>
      </c>
      <c r="C13" s="26">
        <v>50</v>
      </c>
      <c r="D13" t="s">
        <v>281</v>
      </c>
      <c r="E13" s="1465">
        <v>54.166666666666671</v>
      </c>
      <c r="F13" s="1050">
        <f t="shared" si="0"/>
        <v>2934.0277777777783</v>
      </c>
      <c r="L13" s="26">
        <v>3</v>
      </c>
      <c r="M13" s="26">
        <v>0</v>
      </c>
      <c r="N13" s="26">
        <v>0</v>
      </c>
      <c r="O13" s="26">
        <v>1</v>
      </c>
      <c r="P13" s="26">
        <v>0</v>
      </c>
      <c r="Q13" s="26">
        <f t="shared" si="1"/>
        <v>120</v>
      </c>
      <c r="R13" s="1053">
        <f>_xlfn.LOGNORM.DIST(Q13/$C$5,$I$20,$K$20,TRUE)-SUM(R$10:R12)</f>
        <v>3.9246899614889458E-4</v>
      </c>
      <c r="S13" s="1441">
        <f t="shared" ca="1" si="2"/>
        <v>1317</v>
      </c>
      <c r="T13" s="1379">
        <f t="shared" ca="1" si="5"/>
        <v>1317</v>
      </c>
      <c r="U13" s="26">
        <v>0</v>
      </c>
      <c r="V13" s="26">
        <v>1</v>
      </c>
      <c r="W13" s="26">
        <f t="shared" si="3"/>
        <v>200</v>
      </c>
      <c r="X13" s="1053">
        <f>_xlfn.LOGNORM.DIST(W13/$C$12,$I$20,$K$20,TRUE)-SUM(X$10:X12)</f>
        <v>2.0510674971199183E-3</v>
      </c>
      <c r="Y13" s="1379">
        <f t="shared" ca="1" si="4"/>
        <v>15000</v>
      </c>
      <c r="Z13" s="1379">
        <f t="shared" ca="1" si="6"/>
        <v>15000</v>
      </c>
    </row>
    <row r="14" spans="2:28" x14ac:dyDescent="0.25">
      <c r="B14" t="s">
        <v>1052</v>
      </c>
      <c r="C14" s="26">
        <v>200</v>
      </c>
      <c r="D14" t="s">
        <v>281</v>
      </c>
      <c r="E14" s="1465">
        <v>54.166666666666671</v>
      </c>
      <c r="F14" s="1050">
        <f t="shared" si="0"/>
        <v>2934.0277777777783</v>
      </c>
      <c r="H14" t="s">
        <v>1065</v>
      </c>
      <c r="L14" s="26">
        <v>4</v>
      </c>
      <c r="M14" s="26">
        <v>1</v>
      </c>
      <c r="N14" s="26">
        <v>1</v>
      </c>
      <c r="O14" s="26">
        <v>0</v>
      </c>
      <c r="P14" s="26">
        <v>0</v>
      </c>
      <c r="Q14" s="26">
        <f t="shared" si="1"/>
        <v>140</v>
      </c>
      <c r="R14" s="1053">
        <f>_xlfn.LOGNORM.DIST(Q14/$C$5,$I$20,$K$20,TRUE)-SUM(R$10:R13)</f>
        <v>3.9403352300533658E-3</v>
      </c>
      <c r="S14" s="1441">
        <f t="shared" ca="1" si="2"/>
        <v>1536</v>
      </c>
      <c r="T14" s="1379">
        <f t="shared" ca="1" si="5"/>
        <v>1536</v>
      </c>
      <c r="U14" s="26">
        <v>1</v>
      </c>
      <c r="V14" s="26">
        <v>1</v>
      </c>
      <c r="W14" s="26">
        <f t="shared" si="3"/>
        <v>250</v>
      </c>
      <c r="X14" s="1053">
        <f>_xlfn.LOGNORM.DIST(W14/$C$12,$I$20,$K$20,TRUE)-SUM(X$10:X13)</f>
        <v>1.206312646206964E-5</v>
      </c>
      <c r="Y14" s="1379">
        <f t="shared" ca="1" si="4"/>
        <v>18750</v>
      </c>
      <c r="Z14" s="1379">
        <f t="shared" ca="1" si="6"/>
        <v>18750</v>
      </c>
    </row>
    <row r="15" spans="2:28" x14ac:dyDescent="0.25">
      <c r="E15" s="1465">
        <v>60</v>
      </c>
      <c r="F15" s="1050">
        <f t="shared" si="0"/>
        <v>3600</v>
      </c>
      <c r="H15" s="26"/>
      <c r="I15" s="26" t="s">
        <v>158</v>
      </c>
      <c r="J15" s="26" t="s">
        <v>1066</v>
      </c>
      <c r="L15" s="26">
        <v>5</v>
      </c>
      <c r="M15" s="26">
        <v>1</v>
      </c>
      <c r="N15" s="26">
        <v>0</v>
      </c>
      <c r="O15" s="26">
        <v>1</v>
      </c>
      <c r="P15" s="26">
        <v>0</v>
      </c>
      <c r="Q15" s="26">
        <f t="shared" si="1"/>
        <v>160</v>
      </c>
      <c r="R15" s="1053">
        <f>_xlfn.LOGNORM.DIST(Q15/$C$5,$I$20,$K$20,TRUE)-SUM(R$10:R14)</f>
        <v>1.8630027020405733E-2</v>
      </c>
      <c r="S15" s="1441">
        <f t="shared" ca="1" si="2"/>
        <v>1756</v>
      </c>
      <c r="T15" s="1379">
        <f t="shared" ca="1" si="5"/>
        <v>1756</v>
      </c>
      <c r="U15" s="26">
        <v>2</v>
      </c>
      <c r="V15" s="26">
        <v>1</v>
      </c>
      <c r="W15" s="26">
        <f t="shared" si="3"/>
        <v>300</v>
      </c>
      <c r="X15" s="1053">
        <f>_xlfn.LOGNORM.DIST(W15/$C$12,$I$20,$K$20,TRUE)-SUM(X$10:X14)</f>
        <v>6.7323647212624849E-8</v>
      </c>
      <c r="Y15" s="1379">
        <f t="shared" ca="1" si="4"/>
        <v>22500</v>
      </c>
      <c r="Z15" s="1379">
        <f t="shared" ca="1" si="6"/>
        <v>22500</v>
      </c>
    </row>
    <row r="16" spans="2:28" x14ac:dyDescent="0.25">
      <c r="E16" s="1465">
        <v>62.5</v>
      </c>
      <c r="F16" s="1050">
        <f t="shared" si="0"/>
        <v>3906.25</v>
      </c>
      <c r="H16" s="26" t="s">
        <v>1067</v>
      </c>
      <c r="I16" s="1051">
        <f>I10</f>
        <v>83.38377192982459</v>
      </c>
      <c r="J16" s="1051">
        <f>LN(I16)</f>
        <v>4.4234537092541641</v>
      </c>
      <c r="L16" s="26">
        <v>6</v>
      </c>
      <c r="M16" s="26">
        <v>2</v>
      </c>
      <c r="N16" s="26">
        <v>1</v>
      </c>
      <c r="O16" s="26">
        <v>0</v>
      </c>
      <c r="P16" s="26">
        <v>0</v>
      </c>
      <c r="Q16" s="26">
        <f t="shared" si="1"/>
        <v>180</v>
      </c>
      <c r="R16" s="1053">
        <f>_xlfn.LOGNORM.DIST(Q16/$C$5,$I$20,$K$20,TRUE)-SUM(R$10:R15)</f>
        <v>5.1703740104796808E-2</v>
      </c>
      <c r="S16" s="1441">
        <f t="shared" ca="1" si="2"/>
        <v>1975</v>
      </c>
      <c r="T16" s="1379">
        <f t="shared" ca="1" si="5"/>
        <v>1975</v>
      </c>
      <c r="U16" s="26">
        <v>3</v>
      </c>
      <c r="V16" s="26">
        <v>1</v>
      </c>
      <c r="W16" s="26">
        <f t="shared" si="3"/>
        <v>350</v>
      </c>
      <c r="X16" s="1053">
        <f>_xlfn.LOGNORM.DIST(W16/$C$12,$I$20,$K$20,TRUE)-SUM(X$10:X15)</f>
        <v>4.3906311919528207E-10</v>
      </c>
      <c r="Y16" s="1379">
        <f t="shared" ca="1" si="4"/>
        <v>26250</v>
      </c>
      <c r="Z16" s="1379">
        <f t="shared" ca="1" si="6"/>
        <v>26250</v>
      </c>
    </row>
    <row r="17" spans="5:26" x14ac:dyDescent="0.25">
      <c r="E17" s="1465">
        <v>62.5</v>
      </c>
      <c r="F17" s="1050">
        <f t="shared" si="0"/>
        <v>3906.25</v>
      </c>
      <c r="H17" s="26" t="s">
        <v>1068</v>
      </c>
      <c r="I17" s="1051">
        <f>AVERAGE(F:F)</f>
        <v>7274.2928240740785</v>
      </c>
      <c r="J17" s="1051">
        <f>LN(I17)</f>
        <v>8.8921018810020112</v>
      </c>
      <c r="L17" s="26">
        <v>7</v>
      </c>
      <c r="M17" s="26">
        <v>0</v>
      </c>
      <c r="N17" s="26">
        <v>2</v>
      </c>
      <c r="O17" s="26">
        <v>0</v>
      </c>
      <c r="P17" s="26">
        <v>0</v>
      </c>
      <c r="Q17" s="26">
        <f t="shared" si="1"/>
        <v>200</v>
      </c>
      <c r="R17" s="1053">
        <f>_xlfn.LOGNORM.DIST(Q17/$C$5,$I$20,$K$20,TRUE)-SUM(R$10:R16)</f>
        <v>9.7345151440583741E-2</v>
      </c>
      <c r="S17" s="1441">
        <f t="shared" ca="1" si="2"/>
        <v>2194</v>
      </c>
      <c r="T17" s="1379">
        <f t="shared" ca="1" si="5"/>
        <v>2194</v>
      </c>
      <c r="U17" s="26">
        <v>0</v>
      </c>
      <c r="V17" s="26">
        <v>2</v>
      </c>
      <c r="W17" s="26">
        <f t="shared" si="3"/>
        <v>400</v>
      </c>
      <c r="X17" s="1053">
        <f>_xlfn.LOGNORM.DIST(W17/$C$12,$I$20,$K$20,TRUE)-SUM(X$10:X16)</f>
        <v>3.5557112809669889E-12</v>
      </c>
      <c r="Y17" s="1379">
        <f t="shared" ca="1" si="4"/>
        <v>30000</v>
      </c>
      <c r="Z17" s="1379">
        <f t="shared" ca="1" si="6"/>
        <v>30000</v>
      </c>
    </row>
    <row r="18" spans="5:26" x14ac:dyDescent="0.25">
      <c r="E18" s="1465">
        <v>62.5</v>
      </c>
      <c r="F18" s="1050">
        <f t="shared" si="0"/>
        <v>3906.25</v>
      </c>
      <c r="L18" s="26">
        <v>8</v>
      </c>
      <c r="M18" s="26">
        <v>3</v>
      </c>
      <c r="N18" s="26">
        <v>1</v>
      </c>
      <c r="O18" s="26">
        <v>0</v>
      </c>
      <c r="P18" s="26">
        <v>0</v>
      </c>
      <c r="Q18" s="26">
        <f t="shared" si="1"/>
        <v>220</v>
      </c>
      <c r="R18" s="1053">
        <f>_xlfn.LOGNORM.DIST(Q18/$C$5,$I$20,$K$20,TRUE)-SUM(R$10:R17)</f>
        <v>0.1372646646698549</v>
      </c>
      <c r="S18" s="1441">
        <f t="shared" ca="1" si="2"/>
        <v>2414</v>
      </c>
      <c r="T18" s="1379">
        <f t="shared" ca="1" si="5"/>
        <v>2414</v>
      </c>
      <c r="U18" s="26">
        <v>1</v>
      </c>
      <c r="V18" s="26">
        <v>2</v>
      </c>
      <c r="W18" s="26">
        <f t="shared" si="3"/>
        <v>450</v>
      </c>
      <c r="X18" s="1053">
        <f>_xlfn.LOGNORM.DIST(W18/$C$12,$I$20,$K$20,TRUE)-SUM(X$10:X17)</f>
        <v>3.6193270602780103E-14</v>
      </c>
      <c r="Y18" s="1379">
        <f t="shared" ca="1" si="4"/>
        <v>33750</v>
      </c>
      <c r="Z18" s="1379">
        <f t="shared" ca="1" si="6"/>
        <v>33750</v>
      </c>
    </row>
    <row r="19" spans="5:26" x14ac:dyDescent="0.25">
      <c r="E19" s="1465">
        <v>62.5</v>
      </c>
      <c r="F19" s="1050">
        <f t="shared" si="0"/>
        <v>3906.25</v>
      </c>
      <c r="H19" s="774"/>
      <c r="I19" s="26" t="s">
        <v>1069</v>
      </c>
      <c r="J19" s="26" t="s">
        <v>1070</v>
      </c>
      <c r="K19" s="537" t="s">
        <v>159</v>
      </c>
      <c r="L19" s="26">
        <v>9</v>
      </c>
      <c r="M19" s="26">
        <v>0</v>
      </c>
      <c r="N19" s="26">
        <v>0</v>
      </c>
      <c r="O19" s="26">
        <v>0</v>
      </c>
      <c r="P19" s="26">
        <v>1</v>
      </c>
      <c r="Q19" s="26">
        <f t="shared" si="1"/>
        <v>240</v>
      </c>
      <c r="R19" s="1053">
        <f>_xlfn.LOGNORM.DIST(Q19/$C$5,$I$20,$K$20,TRUE)-SUM(R$10:R18)</f>
        <v>0.15542106660962707</v>
      </c>
      <c r="S19" s="1441">
        <f t="shared" ca="1" si="2"/>
        <v>2633</v>
      </c>
      <c r="T19" s="1379">
        <f t="shared" ca="1" si="5"/>
        <v>2633</v>
      </c>
      <c r="U19" s="26">
        <v>2</v>
      </c>
      <c r="V19" s="26">
        <v>2</v>
      </c>
      <c r="W19" s="26">
        <f t="shared" si="3"/>
        <v>500</v>
      </c>
      <c r="X19" s="1053">
        <f>_xlfn.LOGNORM.DIST(W19/$C$12,$I$20,$K$20,TRUE)-SUM(X$10:X18)</f>
        <v>0</v>
      </c>
      <c r="Y19" s="1379">
        <f t="shared" ca="1" si="4"/>
        <v>37500</v>
      </c>
      <c r="Z19" s="1379">
        <f t="shared" ca="1" si="6"/>
        <v>37500</v>
      </c>
    </row>
    <row r="20" spans="5:26" x14ac:dyDescent="0.25">
      <c r="E20" s="1465">
        <v>62.5</v>
      </c>
      <c r="F20" s="1050">
        <f t="shared" si="0"/>
        <v>3906.25</v>
      </c>
      <c r="H20" s="775" t="s">
        <v>1071</v>
      </c>
      <c r="I20" s="1050">
        <f>J16*2-J17/2</f>
        <v>4.4008564780073227</v>
      </c>
      <c r="J20" s="1050">
        <f>J17-2*J16</f>
        <v>4.5194462493682863E-2</v>
      </c>
      <c r="K20" s="1052">
        <f>SQRT(J20)</f>
        <v>0.2125898927364207</v>
      </c>
      <c r="L20" s="26">
        <v>10</v>
      </c>
      <c r="M20" s="26">
        <v>1</v>
      </c>
      <c r="N20" s="26">
        <v>1</v>
      </c>
      <c r="O20" s="26">
        <v>1</v>
      </c>
      <c r="P20" s="26">
        <v>0</v>
      </c>
      <c r="Q20" s="26">
        <f t="shared" si="1"/>
        <v>260</v>
      </c>
      <c r="R20" s="1053">
        <f>_xlfn.LOGNORM.DIST(Q20/$C$5,$I$20,$K$20,TRUE)-SUM(R$10:R19)</f>
        <v>0.14859277004341531</v>
      </c>
      <c r="S20" s="1441">
        <f t="shared" ca="1" si="2"/>
        <v>2853</v>
      </c>
      <c r="T20" s="1379">
        <f t="shared" ca="1" si="5"/>
        <v>2853</v>
      </c>
      <c r="U20" s="26">
        <v>3</v>
      </c>
      <c r="V20" s="26">
        <v>2</v>
      </c>
      <c r="W20" s="26">
        <f t="shared" si="3"/>
        <v>550</v>
      </c>
      <c r="X20" s="1053">
        <f>_xlfn.LOGNORM.DIST(W20/$C$12,$I$20,$K$20,TRUE)-SUM(X$10:X19)</f>
        <v>0</v>
      </c>
      <c r="Y20" s="1379">
        <f t="shared" ca="1" si="4"/>
        <v>41250</v>
      </c>
      <c r="Z20" s="1379">
        <f t="shared" ca="1" si="6"/>
        <v>41250</v>
      </c>
    </row>
    <row r="21" spans="5:26" x14ac:dyDescent="0.25">
      <c r="E21" s="1465">
        <v>65.333333333333343</v>
      </c>
      <c r="F21" s="1050">
        <f t="shared" si="0"/>
        <v>4268.4444444444453</v>
      </c>
      <c r="L21" s="26">
        <v>11</v>
      </c>
      <c r="M21" s="26">
        <v>1</v>
      </c>
      <c r="N21" s="26">
        <v>0</v>
      </c>
      <c r="O21" s="26">
        <v>0</v>
      </c>
      <c r="P21" s="26">
        <v>1</v>
      </c>
      <c r="Q21" s="26">
        <f t="shared" si="1"/>
        <v>280</v>
      </c>
      <c r="R21" s="1053">
        <f>_xlfn.LOGNORM.DIST(Q21/$C$5,$I$20,$K$20,TRUE)-SUM(R$10:R20)</f>
        <v>0.12448282204281014</v>
      </c>
      <c r="S21" s="1441">
        <f t="shared" ca="1" si="2"/>
        <v>3072</v>
      </c>
      <c r="T21" s="1379">
        <f t="shared" ca="1" si="5"/>
        <v>3072</v>
      </c>
      <c r="U21" s="26">
        <v>0</v>
      </c>
      <c r="V21" s="26">
        <v>3</v>
      </c>
      <c r="W21" s="26">
        <f t="shared" si="3"/>
        <v>600</v>
      </c>
      <c r="X21" s="1053">
        <f>_xlfn.LOGNORM.DIST(W21/$C$12,$I$20,$K$20,TRUE)-SUM(X$10:X20)</f>
        <v>0</v>
      </c>
      <c r="Y21" s="1379">
        <f t="shared" ca="1" si="4"/>
        <v>45000</v>
      </c>
      <c r="Z21" s="1379">
        <f t="shared" ca="1" si="6"/>
        <v>45000</v>
      </c>
    </row>
    <row r="22" spans="5:26" x14ac:dyDescent="0.25">
      <c r="E22" s="1465">
        <v>65.833333333333343</v>
      </c>
      <c r="F22" s="1050">
        <f t="shared" si="0"/>
        <v>4334.0277777777792</v>
      </c>
      <c r="L22" s="26">
        <v>12</v>
      </c>
      <c r="M22" s="26">
        <v>0</v>
      </c>
      <c r="N22" s="26">
        <v>3</v>
      </c>
      <c r="O22" s="26">
        <v>0</v>
      </c>
      <c r="P22" s="26">
        <v>0</v>
      </c>
      <c r="Q22" s="26">
        <f t="shared" si="1"/>
        <v>300</v>
      </c>
      <c r="R22" s="1053">
        <f>_xlfn.LOGNORM.DIST(Q22/$C$5,$I$20,$K$20,TRUE)-SUM(R$10:R21)</f>
        <v>9.3955439068233004E-2</v>
      </c>
      <c r="S22" s="1441">
        <f t="shared" ca="1" si="2"/>
        <v>3291</v>
      </c>
      <c r="T22" s="1379">
        <f t="shared" ca="1" si="5"/>
        <v>3291</v>
      </c>
      <c r="U22" s="26">
        <v>1</v>
      </c>
      <c r="V22" s="26">
        <v>3</v>
      </c>
      <c r="W22" s="26">
        <f t="shared" si="3"/>
        <v>650</v>
      </c>
      <c r="X22" s="1053">
        <f>_xlfn.LOGNORM.DIST(W22/$C$12,$I$20,$K$20,TRUE)-SUM(X$10:X21)</f>
        <v>0</v>
      </c>
      <c r="Y22" s="1379">
        <f t="shared" ca="1" si="4"/>
        <v>48750</v>
      </c>
      <c r="Z22" s="1379">
        <f t="shared" ca="1" si="6"/>
        <v>48750</v>
      </c>
    </row>
    <row r="23" spans="5:26" x14ac:dyDescent="0.25">
      <c r="E23" s="1465">
        <v>65.833333333333343</v>
      </c>
      <c r="F23" s="1050">
        <f t="shared" si="0"/>
        <v>4334.0277777777792</v>
      </c>
      <c r="L23" s="26">
        <v>13</v>
      </c>
      <c r="M23" s="26">
        <v>2</v>
      </c>
      <c r="N23" s="26">
        <v>0</v>
      </c>
      <c r="O23" s="26">
        <v>0</v>
      </c>
      <c r="P23" s="26">
        <v>1</v>
      </c>
      <c r="Q23" s="26">
        <f t="shared" si="1"/>
        <v>320</v>
      </c>
      <c r="R23" s="1053">
        <f>_xlfn.LOGNORM.DIST(Q23/$C$5,$I$20,$K$20,TRUE)-SUM(R$10:R22)</f>
        <v>6.5260502395260156E-2</v>
      </c>
      <c r="S23" s="1441">
        <f t="shared" ca="1" si="2"/>
        <v>3511</v>
      </c>
      <c r="T23" s="1379">
        <f t="shared" ca="1" si="5"/>
        <v>3511</v>
      </c>
      <c r="U23" s="26">
        <v>2</v>
      </c>
      <c r="V23" s="26">
        <v>3</v>
      </c>
      <c r="W23" s="26">
        <f t="shared" si="3"/>
        <v>700</v>
      </c>
      <c r="X23" s="1053">
        <f>_xlfn.LOGNORM.DIST(W23/$C$12,$I$20,$K$20,TRUE)-SUM(X$10:X22)</f>
        <v>0</v>
      </c>
      <c r="Y23" s="1379">
        <f t="shared" ca="1" si="4"/>
        <v>52500</v>
      </c>
      <c r="Z23" s="1379">
        <f t="shared" ca="1" si="6"/>
        <v>52500</v>
      </c>
    </row>
    <row r="24" spans="5:26" x14ac:dyDescent="0.25">
      <c r="E24" s="1465">
        <v>67.5</v>
      </c>
      <c r="F24" s="1050">
        <f t="shared" si="0"/>
        <v>4556.25</v>
      </c>
      <c r="L24" s="26">
        <v>14</v>
      </c>
      <c r="M24" s="26">
        <v>0</v>
      </c>
      <c r="N24" s="26">
        <v>1</v>
      </c>
      <c r="O24" s="26">
        <v>0</v>
      </c>
      <c r="P24" s="26">
        <v>1</v>
      </c>
      <c r="Q24" s="26">
        <f t="shared" si="1"/>
        <v>340</v>
      </c>
      <c r="R24" s="1053">
        <f>_xlfn.LOGNORM.DIST(Q24/$C$5,$I$20,$K$20,TRUE)-SUM(R$10:R23)</f>
        <v>4.2406134853814947E-2</v>
      </c>
      <c r="S24" s="1441">
        <f t="shared" ca="1" si="2"/>
        <v>3730</v>
      </c>
      <c r="T24" s="1379">
        <f t="shared" ca="1" si="5"/>
        <v>3730</v>
      </c>
      <c r="U24" s="26">
        <v>3</v>
      </c>
      <c r="V24" s="26">
        <v>3</v>
      </c>
      <c r="W24" s="26">
        <f t="shared" si="3"/>
        <v>750</v>
      </c>
      <c r="X24" s="1053">
        <f>_xlfn.LOGNORM.DIST(W24/$C$12,$I$20,$K$20,TRUE)-SUM(X$10:X23)</f>
        <v>0</v>
      </c>
      <c r="Y24" s="1379">
        <f t="shared" ca="1" si="4"/>
        <v>56250</v>
      </c>
      <c r="Z24" s="1379">
        <f t="shared" ca="1" si="6"/>
        <v>56250</v>
      </c>
    </row>
    <row r="25" spans="5:26" x14ac:dyDescent="0.25">
      <c r="E25" s="1465">
        <v>68.333333333333343</v>
      </c>
      <c r="F25" s="1050">
        <f t="shared" si="0"/>
        <v>4669.4444444444462</v>
      </c>
      <c r="L25" s="26">
        <v>15</v>
      </c>
      <c r="M25" s="1049">
        <v>3</v>
      </c>
      <c r="N25" s="1049">
        <v>0</v>
      </c>
      <c r="O25" s="1049">
        <v>0</v>
      </c>
      <c r="P25" s="1049">
        <v>1</v>
      </c>
      <c r="Q25" s="26">
        <f t="shared" si="1"/>
        <v>360</v>
      </c>
      <c r="R25" s="1053">
        <f>_xlfn.LOGNORM.DIST(Q25/$C$5,$I$20,$K$20,TRUE)-SUM(R$10:R24)</f>
        <v>2.6112606024348617E-2</v>
      </c>
      <c r="S25" s="1441">
        <f t="shared" ca="1" si="2"/>
        <v>3950</v>
      </c>
      <c r="T25" s="1379">
        <f t="shared" ca="1" si="5"/>
        <v>3950</v>
      </c>
      <c r="U25" s="26">
        <v>0</v>
      </c>
      <c r="V25" s="26">
        <v>4</v>
      </c>
      <c r="W25" s="26">
        <f t="shared" si="3"/>
        <v>800</v>
      </c>
      <c r="X25" s="1053">
        <f>_xlfn.LOGNORM.DIST(W25/$C$12,$I$20,$K$20,TRUE)-SUM(X$10:X24)</f>
        <v>0</v>
      </c>
      <c r="Y25" s="1379">
        <f t="shared" ca="1" si="4"/>
        <v>60000</v>
      </c>
      <c r="Z25" s="1379">
        <f t="shared" ca="1" si="6"/>
        <v>60000</v>
      </c>
    </row>
    <row r="26" spans="5:26" x14ac:dyDescent="0.25">
      <c r="E26" s="1465">
        <v>68.333333333333343</v>
      </c>
      <c r="F26" s="1050">
        <f t="shared" si="0"/>
        <v>4669.4444444444462</v>
      </c>
      <c r="L26" s="26">
        <v>16</v>
      </c>
      <c r="M26" s="26">
        <v>1</v>
      </c>
      <c r="N26" s="26">
        <v>1</v>
      </c>
      <c r="O26" s="1049">
        <v>0</v>
      </c>
      <c r="P26" s="26">
        <v>1</v>
      </c>
      <c r="Q26" s="26">
        <f t="shared" si="1"/>
        <v>380</v>
      </c>
      <c r="R26" s="1053">
        <f>_xlfn.LOGNORM.DIST(Q26/$C$5,$I$20,$K$20,TRUE)-SUM(R$10:R25)</f>
        <v>1.5393970858950667E-2</v>
      </c>
      <c r="S26" s="1441">
        <f t="shared" ca="1" si="2"/>
        <v>4169</v>
      </c>
      <c r="T26" s="1379">
        <f t="shared" ca="1" si="5"/>
        <v>4169</v>
      </c>
      <c r="U26" s="26">
        <v>1</v>
      </c>
      <c r="V26" s="26">
        <v>4</v>
      </c>
      <c r="W26" s="26">
        <f t="shared" si="3"/>
        <v>850</v>
      </c>
      <c r="X26" s="1053">
        <f>_xlfn.LOGNORM.DIST(W26/$C$12,$I$20,$K$20,TRUE)-SUM(X$10:X25)</f>
        <v>0</v>
      </c>
      <c r="Y26" s="1379">
        <f t="shared" ca="1" si="4"/>
        <v>63750</v>
      </c>
      <c r="Z26" s="1379">
        <f t="shared" ca="1" si="6"/>
        <v>63750</v>
      </c>
    </row>
    <row r="27" spans="5:26" x14ac:dyDescent="0.25">
      <c r="E27" s="1465">
        <v>68.333333333333343</v>
      </c>
      <c r="F27" s="1050">
        <f t="shared" si="0"/>
        <v>4669.4444444444462</v>
      </c>
      <c r="L27" s="26">
        <v>17</v>
      </c>
      <c r="M27" s="26">
        <v>4</v>
      </c>
      <c r="N27" s="26">
        <v>0</v>
      </c>
      <c r="O27" s="1049">
        <v>0</v>
      </c>
      <c r="P27" s="26">
        <v>1</v>
      </c>
      <c r="Q27" s="26">
        <f t="shared" si="1"/>
        <v>400</v>
      </c>
      <c r="R27" s="1053">
        <f>_xlfn.LOGNORM.DIST(Q27/$C$5,$I$20,$K$20,TRUE)-SUM(R$10:R26)</f>
        <v>8.7595775101172446E-3</v>
      </c>
      <c r="S27" s="1441">
        <f t="shared" ca="1" si="2"/>
        <v>4389</v>
      </c>
      <c r="T27" s="1379">
        <f t="shared" ca="1" si="5"/>
        <v>4389</v>
      </c>
      <c r="U27" s="26">
        <v>2</v>
      </c>
      <c r="V27" s="26">
        <v>4</v>
      </c>
      <c r="W27" s="26">
        <f t="shared" si="3"/>
        <v>900</v>
      </c>
      <c r="X27" s="1053">
        <f>_xlfn.LOGNORM.DIST(W27/$C$12,$I$20,$K$20,TRUE)-SUM(X$10:X26)</f>
        <v>0</v>
      </c>
      <c r="Y27" s="1379">
        <f t="shared" ca="1" si="4"/>
        <v>67500</v>
      </c>
      <c r="Z27" s="1379">
        <f t="shared" ca="1" si="6"/>
        <v>67500</v>
      </c>
    </row>
    <row r="28" spans="5:26" x14ac:dyDescent="0.25">
      <c r="E28" s="1465">
        <v>68.333333333333343</v>
      </c>
      <c r="F28" s="1050">
        <f t="shared" si="0"/>
        <v>4669.4444444444462</v>
      </c>
      <c r="L28" s="26">
        <v>18</v>
      </c>
      <c r="M28" s="26">
        <v>2</v>
      </c>
      <c r="N28" s="26">
        <v>1</v>
      </c>
      <c r="O28" s="1049">
        <v>0</v>
      </c>
      <c r="P28" s="26">
        <v>1</v>
      </c>
      <c r="Q28" s="26">
        <f t="shared" si="1"/>
        <v>420</v>
      </c>
      <c r="R28" s="1053">
        <f>_xlfn.LOGNORM.DIST(Q28/$C$5,$I$20,$K$20,TRUE)-SUM(R$10:R27)</f>
        <v>4.8430568411467201E-3</v>
      </c>
      <c r="S28" s="1441">
        <f t="shared" ca="1" si="2"/>
        <v>4608</v>
      </c>
      <c r="T28" s="1379">
        <f t="shared" ca="1" si="5"/>
        <v>4608</v>
      </c>
    </row>
    <row r="29" spans="5:26" x14ac:dyDescent="0.25">
      <c r="E29" s="1465">
        <v>68.333333333333343</v>
      </c>
      <c r="F29" s="1050">
        <f t="shared" si="0"/>
        <v>4669.4444444444462</v>
      </c>
      <c r="L29" s="26">
        <v>19</v>
      </c>
      <c r="M29" s="26">
        <v>0</v>
      </c>
      <c r="N29" s="26">
        <v>2</v>
      </c>
      <c r="O29" s="1049">
        <v>0</v>
      </c>
      <c r="P29" s="26">
        <v>1</v>
      </c>
      <c r="Q29" s="26">
        <f t="shared" si="1"/>
        <v>440</v>
      </c>
      <c r="R29" s="1053">
        <f>_xlfn.LOGNORM.DIST(Q29/$C$5,$I$20,$K$20,TRUE)-SUM(R$10:R28)</f>
        <v>2.6157710388390321E-3</v>
      </c>
      <c r="S29" s="1441">
        <f t="shared" ca="1" si="2"/>
        <v>4827</v>
      </c>
      <c r="T29" s="1379">
        <f t="shared" ca="1" si="5"/>
        <v>4827</v>
      </c>
    </row>
    <row r="30" spans="5:26" x14ac:dyDescent="0.25">
      <c r="E30" s="1465">
        <v>68.333333333333343</v>
      </c>
      <c r="F30" s="1050">
        <f t="shared" si="0"/>
        <v>4669.4444444444462</v>
      </c>
      <c r="L30" s="26">
        <v>20</v>
      </c>
      <c r="M30" s="26">
        <v>0</v>
      </c>
      <c r="N30" s="26">
        <v>1</v>
      </c>
      <c r="O30" s="1049">
        <v>1</v>
      </c>
      <c r="P30" s="26">
        <v>1</v>
      </c>
      <c r="Q30" s="26">
        <f t="shared" si="1"/>
        <v>460</v>
      </c>
      <c r="R30" s="1053">
        <f>_xlfn.LOGNORM.DIST(Q30/$C$5,$I$20,$K$20,TRUE)-SUM(R$10:R29)</f>
        <v>1.3862568757503357E-3</v>
      </c>
      <c r="S30" s="1441">
        <f t="shared" ca="1" si="2"/>
        <v>5047</v>
      </c>
      <c r="T30" s="1379">
        <f t="shared" ca="1" si="5"/>
        <v>5047</v>
      </c>
    </row>
    <row r="31" spans="5:26" x14ac:dyDescent="0.25">
      <c r="E31" s="1465">
        <v>68.333333333333343</v>
      </c>
      <c r="F31" s="1050">
        <f t="shared" si="0"/>
        <v>4669.4444444444462</v>
      </c>
      <c r="L31" s="26">
        <v>21</v>
      </c>
      <c r="M31" s="26">
        <v>0</v>
      </c>
      <c r="N31" s="26">
        <v>0</v>
      </c>
      <c r="O31" s="1049">
        <v>0</v>
      </c>
      <c r="P31" s="26">
        <v>2</v>
      </c>
      <c r="Q31" s="26">
        <f t="shared" si="1"/>
        <v>480</v>
      </c>
      <c r="R31" s="1054">
        <f>_xlfn.LOGNORM.DIST(Q31/$C$5,$I$20,$K$20,TRUE)-SUM(R$10:R30)</f>
        <v>7.2349780342029213E-4</v>
      </c>
      <c r="S31" s="1441">
        <f t="shared" ca="1" si="2"/>
        <v>5266</v>
      </c>
      <c r="T31" s="1379">
        <f t="shared" ca="1" si="5"/>
        <v>5266</v>
      </c>
    </row>
    <row r="32" spans="5:26" ht="15.75" thickBot="1" x14ac:dyDescent="0.3">
      <c r="E32" s="1465">
        <v>70</v>
      </c>
      <c r="F32" s="1050">
        <f t="shared" si="0"/>
        <v>4900</v>
      </c>
      <c r="K32" s="845" t="s">
        <v>1072</v>
      </c>
      <c r="L32" s="846"/>
      <c r="M32" s="1055">
        <f>SUMPRODUCT(M10:M31,$R$10:$R$31)</f>
        <v>1.0798247929614895</v>
      </c>
      <c r="N32" s="1055">
        <f>SUMPRODUCT(N10:N31,$R$10:$R$31)</f>
        <v>0.88733197539451703</v>
      </c>
      <c r="O32" s="1055">
        <f>SUMPRODUCT(O10:O31,$R$10:$R$31)</f>
        <v>0.16900152293572027</v>
      </c>
      <c r="P32" s="1055">
        <f>SUMPRODUCT(P10:P31,$R$10:$R$31)</f>
        <v>0.44812876065750551</v>
      </c>
      <c r="Q32" s="846"/>
      <c r="R32" s="846"/>
      <c r="S32" s="1442">
        <f ca="1">(M32*M$7+N32*N$7+O32*O$7+P32*P$7)</f>
        <v>2849.9442936354344</v>
      </c>
      <c r="T32" s="1380">
        <f t="shared" ca="1" si="5"/>
        <v>2849.9442936354344</v>
      </c>
      <c r="U32" s="1055">
        <f>SUMPRODUCT(U10:U27,$X$10:$X$27)</f>
        <v>2.1513406136543027</v>
      </c>
      <c r="V32" s="1055">
        <f>SUMPRODUCT(V10:V27,$X$10:$X$27)</f>
        <v>2.0631983934761289E-3</v>
      </c>
      <c r="W32" s="846"/>
      <c r="X32" s="846"/>
      <c r="Y32" s="1381">
        <f ca="1">(U32*U$7+V32*V$7)</f>
        <v>8098.4752771057774</v>
      </c>
      <c r="Z32" s="1380">
        <f ca="1">(U32*U$6+V32*V$6)</f>
        <v>8098.4752771057774</v>
      </c>
    </row>
    <row r="33" spans="5:25" ht="15.75" thickTop="1" x14ac:dyDescent="0.25">
      <c r="E33" s="1465">
        <v>70.833333333333343</v>
      </c>
      <c r="F33" s="1050">
        <f t="shared" si="0"/>
        <v>5017.3611111111122</v>
      </c>
      <c r="K33" s="559" t="s">
        <v>1073</v>
      </c>
      <c r="L33" s="559"/>
      <c r="M33" s="777">
        <f>i_nivo_40mg_vials*M8+i_nivo_100mg_vials*N8+O8*i_nivo_120mg_vials+i_nivo_240mg_vials*P8</f>
        <v>259.75727456799905</v>
      </c>
      <c r="N33" s="777">
        <f>(M33/P8)*480</f>
        <v>519.5145491359981</v>
      </c>
      <c r="O33" s="559"/>
      <c r="P33" s="559"/>
      <c r="Q33" s="87" t="s">
        <v>1074</v>
      </c>
      <c r="R33" s="87"/>
      <c r="S33" s="1050">
        <f>'Resource use and costs'!V85*'Resource use and costs'!AE85</f>
        <v>2744.2442499999997</v>
      </c>
      <c r="T33" s="776"/>
      <c r="U33" s="777">
        <f>U32*U8+V32*V8</f>
        <v>107.97967036141037</v>
      </c>
      <c r="W33" s="87" t="s">
        <v>1074</v>
      </c>
      <c r="Y33" s="1050">
        <f>'Resource use and costs'!V87*'Resource use and costs'!AE87</f>
        <v>6253.5</v>
      </c>
    </row>
    <row r="34" spans="5:25" x14ac:dyDescent="0.25">
      <c r="E34" s="1465">
        <v>70.833333333333343</v>
      </c>
      <c r="F34" s="1050">
        <f t="shared" si="0"/>
        <v>5017.3611111111122</v>
      </c>
      <c r="Q34" t="s">
        <v>1075</v>
      </c>
      <c r="S34" s="1056">
        <f ca="1">S32/S33-1</f>
        <v>3.8516995575534008E-2</v>
      </c>
      <c r="W34" t="s">
        <v>1075</v>
      </c>
      <c r="Y34" s="1056">
        <f ca="1">Y32/Y33-1</f>
        <v>0.29503082707376316</v>
      </c>
    </row>
    <row r="35" spans="5:25" x14ac:dyDescent="0.25">
      <c r="E35" s="1465">
        <v>70.833333333333343</v>
      </c>
      <c r="F35" s="1050">
        <f t="shared" si="0"/>
        <v>5017.3611111111122</v>
      </c>
    </row>
    <row r="36" spans="5:25" x14ac:dyDescent="0.25">
      <c r="E36" s="1465">
        <v>70.833333333333343</v>
      </c>
      <c r="F36" s="1050">
        <f t="shared" si="0"/>
        <v>5017.3611111111122</v>
      </c>
    </row>
    <row r="37" spans="5:25" x14ac:dyDescent="0.25">
      <c r="E37" s="1465">
        <v>72.083333333333343</v>
      </c>
      <c r="F37" s="1050">
        <f t="shared" si="0"/>
        <v>5196.0069444444462</v>
      </c>
    </row>
    <row r="38" spans="5:25" x14ac:dyDescent="0.25">
      <c r="E38" s="1465">
        <v>74</v>
      </c>
      <c r="F38" s="1050">
        <f t="shared" si="0"/>
        <v>5476</v>
      </c>
    </row>
    <row r="39" spans="5:25" x14ac:dyDescent="0.25">
      <c r="E39" s="1465">
        <v>74.166666666666657</v>
      </c>
      <c r="F39" s="1050">
        <f t="shared" si="0"/>
        <v>5500.6944444444434</v>
      </c>
    </row>
    <row r="40" spans="5:25" x14ac:dyDescent="0.25">
      <c r="E40" s="1465">
        <v>74.166666666666657</v>
      </c>
      <c r="F40" s="1050">
        <f t="shared" si="0"/>
        <v>5500.6944444444434</v>
      </c>
    </row>
    <row r="41" spans="5:25" x14ac:dyDescent="0.25">
      <c r="E41" s="1465">
        <v>74.166666666666657</v>
      </c>
      <c r="F41" s="1050">
        <f t="shared" si="0"/>
        <v>5500.6944444444434</v>
      </c>
    </row>
    <row r="42" spans="5:25" x14ac:dyDescent="0.25">
      <c r="E42" s="1465">
        <v>74.166666666666657</v>
      </c>
      <c r="F42" s="1050">
        <f t="shared" si="0"/>
        <v>5500.6944444444434</v>
      </c>
    </row>
    <row r="43" spans="5:25" x14ac:dyDescent="0.25">
      <c r="E43" s="1465">
        <v>74.166666666666657</v>
      </c>
      <c r="F43" s="1050">
        <f t="shared" si="0"/>
        <v>5500.6944444444434</v>
      </c>
    </row>
    <row r="44" spans="5:25" x14ac:dyDescent="0.25">
      <c r="E44" s="1465">
        <v>74.166666666666657</v>
      </c>
      <c r="F44" s="1050">
        <f t="shared" si="0"/>
        <v>5500.6944444444434</v>
      </c>
    </row>
    <row r="45" spans="5:25" x14ac:dyDescent="0.25">
      <c r="E45" s="1465">
        <v>74.166666666666657</v>
      </c>
      <c r="F45" s="1050">
        <f t="shared" si="0"/>
        <v>5500.6944444444434</v>
      </c>
    </row>
    <row r="46" spans="5:25" x14ac:dyDescent="0.25">
      <c r="E46" s="1465">
        <v>74.166666666666657</v>
      </c>
      <c r="F46" s="1050">
        <f t="shared" si="0"/>
        <v>5500.6944444444434</v>
      </c>
    </row>
    <row r="47" spans="5:25" x14ac:dyDescent="0.25">
      <c r="E47" s="1465">
        <v>75</v>
      </c>
      <c r="F47" s="1050">
        <f t="shared" si="0"/>
        <v>5625</v>
      </c>
    </row>
    <row r="48" spans="5:25" x14ac:dyDescent="0.25">
      <c r="E48" s="1465">
        <v>75.833333333333343</v>
      </c>
      <c r="F48" s="1050">
        <f t="shared" si="0"/>
        <v>5750.6944444444462</v>
      </c>
    </row>
    <row r="49" spans="5:6" x14ac:dyDescent="0.25">
      <c r="E49" s="1465">
        <v>76.25</v>
      </c>
      <c r="F49" s="1050">
        <f t="shared" si="0"/>
        <v>5814.0625</v>
      </c>
    </row>
    <row r="50" spans="5:6" x14ac:dyDescent="0.25">
      <c r="E50" s="1465">
        <v>77.5</v>
      </c>
      <c r="F50" s="1050">
        <f t="shared" si="0"/>
        <v>6006.25</v>
      </c>
    </row>
    <row r="51" spans="5:6" x14ac:dyDescent="0.25">
      <c r="E51" s="1465">
        <v>77.5</v>
      </c>
      <c r="F51" s="1050">
        <f t="shared" si="0"/>
        <v>6006.25</v>
      </c>
    </row>
    <row r="52" spans="5:6" x14ac:dyDescent="0.25">
      <c r="E52" s="1465">
        <v>77.5</v>
      </c>
      <c r="F52" s="1050">
        <f t="shared" si="0"/>
        <v>6006.25</v>
      </c>
    </row>
    <row r="53" spans="5:6" x14ac:dyDescent="0.25">
      <c r="E53" s="1465">
        <v>77.5</v>
      </c>
      <c r="F53" s="1050">
        <f t="shared" si="0"/>
        <v>6006.25</v>
      </c>
    </row>
    <row r="54" spans="5:6" x14ac:dyDescent="0.25">
      <c r="E54" s="1465">
        <v>80</v>
      </c>
      <c r="F54" s="1050">
        <f t="shared" si="0"/>
        <v>6400</v>
      </c>
    </row>
    <row r="55" spans="5:6" x14ac:dyDescent="0.25">
      <c r="E55" s="1465">
        <v>80</v>
      </c>
      <c r="F55" s="1050">
        <f t="shared" si="0"/>
        <v>6400</v>
      </c>
    </row>
    <row r="56" spans="5:6" x14ac:dyDescent="0.25">
      <c r="E56" s="1465">
        <v>80</v>
      </c>
      <c r="F56" s="1050">
        <f t="shared" si="0"/>
        <v>6400</v>
      </c>
    </row>
    <row r="57" spans="5:6" x14ac:dyDescent="0.25">
      <c r="E57" s="1465">
        <v>80</v>
      </c>
      <c r="F57" s="1050">
        <f t="shared" si="0"/>
        <v>6400</v>
      </c>
    </row>
    <row r="58" spans="5:6" x14ac:dyDescent="0.25">
      <c r="E58" s="1465">
        <v>80</v>
      </c>
      <c r="F58" s="1050">
        <f t="shared" si="0"/>
        <v>6400</v>
      </c>
    </row>
    <row r="59" spans="5:6" x14ac:dyDescent="0.25">
      <c r="E59" s="1465">
        <v>80</v>
      </c>
      <c r="F59" s="1050">
        <f t="shared" si="0"/>
        <v>6400</v>
      </c>
    </row>
    <row r="60" spans="5:6" x14ac:dyDescent="0.25">
      <c r="E60" s="1465">
        <v>80</v>
      </c>
      <c r="F60" s="1050">
        <f t="shared" si="0"/>
        <v>6400</v>
      </c>
    </row>
    <row r="61" spans="5:6" x14ac:dyDescent="0.25">
      <c r="E61" s="1465">
        <v>80</v>
      </c>
      <c r="F61" s="1050">
        <f t="shared" si="0"/>
        <v>6400</v>
      </c>
    </row>
    <row r="62" spans="5:6" x14ac:dyDescent="0.25">
      <c r="E62" s="1465">
        <v>81.25</v>
      </c>
      <c r="F62" s="1050">
        <f t="shared" si="0"/>
        <v>6601.5625</v>
      </c>
    </row>
    <row r="63" spans="5:6" x14ac:dyDescent="0.25">
      <c r="E63" s="1465">
        <v>81.25</v>
      </c>
      <c r="F63" s="1050">
        <f t="shared" si="0"/>
        <v>6601.5625</v>
      </c>
    </row>
    <row r="64" spans="5:6" x14ac:dyDescent="0.25">
      <c r="E64" s="1465">
        <v>81.25</v>
      </c>
      <c r="F64" s="1050">
        <f t="shared" si="0"/>
        <v>6601.5625</v>
      </c>
    </row>
    <row r="65" spans="5:6" x14ac:dyDescent="0.25">
      <c r="E65" s="1465">
        <v>82</v>
      </c>
      <c r="F65" s="1050">
        <f t="shared" si="0"/>
        <v>6724</v>
      </c>
    </row>
    <row r="66" spans="5:6" x14ac:dyDescent="0.25">
      <c r="E66" s="1465">
        <v>82.5</v>
      </c>
      <c r="F66" s="1050">
        <f t="shared" si="0"/>
        <v>6806.25</v>
      </c>
    </row>
    <row r="67" spans="5:6" x14ac:dyDescent="0.25">
      <c r="E67" s="1465">
        <v>82.5</v>
      </c>
      <c r="F67" s="1050">
        <f t="shared" si="0"/>
        <v>6806.25</v>
      </c>
    </row>
    <row r="68" spans="5:6" x14ac:dyDescent="0.25">
      <c r="E68" s="1465">
        <v>82.5</v>
      </c>
      <c r="F68" s="1050">
        <f t="shared" si="0"/>
        <v>6806.25</v>
      </c>
    </row>
    <row r="69" spans="5:6" x14ac:dyDescent="0.25">
      <c r="E69" s="1465">
        <v>82.5</v>
      </c>
      <c r="F69" s="1050">
        <f t="shared" si="0"/>
        <v>6806.25</v>
      </c>
    </row>
    <row r="70" spans="5:6" x14ac:dyDescent="0.25">
      <c r="E70" s="1465">
        <v>82.5</v>
      </c>
      <c r="F70" s="1050">
        <f t="shared" si="0"/>
        <v>6806.25</v>
      </c>
    </row>
    <row r="71" spans="5:6" x14ac:dyDescent="0.25">
      <c r="E71" s="1465">
        <v>82.5</v>
      </c>
      <c r="F71" s="1050">
        <f t="shared" si="0"/>
        <v>6806.25</v>
      </c>
    </row>
    <row r="72" spans="5:6" x14ac:dyDescent="0.25">
      <c r="E72" s="1465">
        <v>82.5</v>
      </c>
      <c r="F72" s="1050">
        <f t="shared" si="0"/>
        <v>6806.25</v>
      </c>
    </row>
    <row r="73" spans="5:6" x14ac:dyDescent="0.25">
      <c r="E73" s="1465">
        <v>82.5</v>
      </c>
      <c r="F73" s="1050">
        <f t="shared" si="0"/>
        <v>6806.25</v>
      </c>
    </row>
    <row r="74" spans="5:6" x14ac:dyDescent="0.25">
      <c r="E74" s="1465">
        <v>82.5</v>
      </c>
      <c r="F74" s="1050">
        <f t="shared" ref="F74:F123" si="7">E74^2</f>
        <v>6806.25</v>
      </c>
    </row>
    <row r="75" spans="5:6" x14ac:dyDescent="0.25">
      <c r="E75" s="1465">
        <v>82.5</v>
      </c>
      <c r="F75" s="1050">
        <f t="shared" si="7"/>
        <v>6806.25</v>
      </c>
    </row>
    <row r="76" spans="5:6" x14ac:dyDescent="0.25">
      <c r="E76" s="1465">
        <v>82.5</v>
      </c>
      <c r="F76" s="1050">
        <f t="shared" si="7"/>
        <v>6806.25</v>
      </c>
    </row>
    <row r="77" spans="5:6" x14ac:dyDescent="0.25">
      <c r="E77" s="1465">
        <v>82.5</v>
      </c>
      <c r="F77" s="1050">
        <f t="shared" si="7"/>
        <v>6806.25</v>
      </c>
    </row>
    <row r="78" spans="5:6" x14ac:dyDescent="0.25">
      <c r="E78" s="1465">
        <v>82.5</v>
      </c>
      <c r="F78" s="1050">
        <f t="shared" si="7"/>
        <v>6806.25</v>
      </c>
    </row>
    <row r="79" spans="5:6" x14ac:dyDescent="0.25">
      <c r="E79" s="1465">
        <v>82.5</v>
      </c>
      <c r="F79" s="1050">
        <f t="shared" si="7"/>
        <v>6806.25</v>
      </c>
    </row>
    <row r="80" spans="5:6" x14ac:dyDescent="0.25">
      <c r="E80" s="1465">
        <v>85</v>
      </c>
      <c r="F80" s="1050">
        <f t="shared" si="7"/>
        <v>7225</v>
      </c>
    </row>
    <row r="81" spans="5:6" x14ac:dyDescent="0.25">
      <c r="E81" s="1465">
        <v>85</v>
      </c>
      <c r="F81" s="1050">
        <f t="shared" si="7"/>
        <v>7225</v>
      </c>
    </row>
    <row r="82" spans="5:6" x14ac:dyDescent="0.25">
      <c r="E82" s="1465">
        <v>85</v>
      </c>
      <c r="F82" s="1050">
        <f t="shared" si="7"/>
        <v>7225</v>
      </c>
    </row>
    <row r="83" spans="5:6" x14ac:dyDescent="0.25">
      <c r="E83" s="1465">
        <v>85.833333333333343</v>
      </c>
      <c r="F83" s="1050">
        <f t="shared" si="7"/>
        <v>7367.3611111111131</v>
      </c>
    </row>
    <row r="84" spans="5:6" x14ac:dyDescent="0.25">
      <c r="E84" s="1465">
        <v>85.833333333333343</v>
      </c>
      <c r="F84" s="1050">
        <f t="shared" si="7"/>
        <v>7367.3611111111131</v>
      </c>
    </row>
    <row r="85" spans="5:6" x14ac:dyDescent="0.25">
      <c r="E85" s="1465">
        <v>85.833333333333343</v>
      </c>
      <c r="F85" s="1050">
        <f t="shared" si="7"/>
        <v>7367.3611111111131</v>
      </c>
    </row>
    <row r="86" spans="5:6" x14ac:dyDescent="0.25">
      <c r="E86" s="1465">
        <v>85.833333333333343</v>
      </c>
      <c r="F86" s="1050">
        <f t="shared" si="7"/>
        <v>7367.3611111111131</v>
      </c>
    </row>
    <row r="87" spans="5:6" x14ac:dyDescent="0.25">
      <c r="E87" s="1465">
        <v>85.833333333333343</v>
      </c>
      <c r="F87" s="1050">
        <f t="shared" si="7"/>
        <v>7367.3611111111131</v>
      </c>
    </row>
    <row r="88" spans="5:6" x14ac:dyDescent="0.25">
      <c r="E88" s="1465">
        <v>85.833333333333343</v>
      </c>
      <c r="F88" s="1050">
        <f t="shared" si="7"/>
        <v>7367.3611111111131</v>
      </c>
    </row>
    <row r="89" spans="5:6" x14ac:dyDescent="0.25">
      <c r="E89" s="1465">
        <v>85.833333333333343</v>
      </c>
      <c r="F89" s="1050">
        <f t="shared" si="7"/>
        <v>7367.3611111111131</v>
      </c>
    </row>
    <row r="90" spans="5:6" x14ac:dyDescent="0.25">
      <c r="E90" s="1465">
        <v>88.333333333333343</v>
      </c>
      <c r="F90" s="1050">
        <f t="shared" si="7"/>
        <v>7802.7777777777792</v>
      </c>
    </row>
    <row r="91" spans="5:6" x14ac:dyDescent="0.25">
      <c r="E91" s="1465">
        <v>88.333333333333343</v>
      </c>
      <c r="F91" s="1050">
        <f t="shared" si="7"/>
        <v>7802.7777777777792</v>
      </c>
    </row>
    <row r="92" spans="5:6" x14ac:dyDescent="0.25">
      <c r="E92" s="1465">
        <v>90.416666666666657</v>
      </c>
      <c r="F92" s="1050">
        <f t="shared" si="7"/>
        <v>8175.1736111111095</v>
      </c>
    </row>
    <row r="93" spans="5:6" x14ac:dyDescent="0.25">
      <c r="E93" s="1465">
        <v>91.666666666666657</v>
      </c>
      <c r="F93" s="1050">
        <f t="shared" si="7"/>
        <v>8402.7777777777756</v>
      </c>
    </row>
    <row r="94" spans="5:6" x14ac:dyDescent="0.25">
      <c r="E94" s="1465">
        <v>91.666666666666657</v>
      </c>
      <c r="F94" s="1050">
        <f t="shared" si="7"/>
        <v>8402.7777777777756</v>
      </c>
    </row>
    <row r="95" spans="5:6" x14ac:dyDescent="0.25">
      <c r="E95" s="1465">
        <v>91.666666666666657</v>
      </c>
      <c r="F95" s="1050">
        <f t="shared" si="7"/>
        <v>8402.7777777777756</v>
      </c>
    </row>
    <row r="96" spans="5:6" x14ac:dyDescent="0.25">
      <c r="E96" s="1465">
        <v>91.666666666666657</v>
      </c>
      <c r="F96" s="1050">
        <f t="shared" si="7"/>
        <v>8402.7777777777756</v>
      </c>
    </row>
    <row r="97" spans="5:6" x14ac:dyDescent="0.25">
      <c r="E97" s="1465">
        <v>93.333333333333343</v>
      </c>
      <c r="F97" s="1050">
        <f t="shared" si="7"/>
        <v>8711.1111111111131</v>
      </c>
    </row>
    <row r="98" spans="5:6" x14ac:dyDescent="0.25">
      <c r="E98" s="1465">
        <v>96.666666666666657</v>
      </c>
      <c r="F98" s="1050">
        <f t="shared" si="7"/>
        <v>9344.4444444444434</v>
      </c>
    </row>
    <row r="99" spans="5:6" x14ac:dyDescent="0.25">
      <c r="E99" s="1465">
        <v>96.666666666666657</v>
      </c>
      <c r="F99" s="1050">
        <f t="shared" si="7"/>
        <v>9344.4444444444434</v>
      </c>
    </row>
    <row r="100" spans="5:6" x14ac:dyDescent="0.25">
      <c r="E100" s="1465">
        <v>96.666666666666657</v>
      </c>
      <c r="F100" s="1050">
        <f t="shared" si="7"/>
        <v>9344.4444444444434</v>
      </c>
    </row>
    <row r="101" spans="5:6" x14ac:dyDescent="0.25">
      <c r="E101" s="1465">
        <v>96.666666666666657</v>
      </c>
      <c r="F101" s="1050">
        <f t="shared" si="7"/>
        <v>9344.4444444444434</v>
      </c>
    </row>
    <row r="102" spans="5:6" x14ac:dyDescent="0.25">
      <c r="E102" s="1465">
        <v>96.666666666666657</v>
      </c>
      <c r="F102" s="1050">
        <f t="shared" si="7"/>
        <v>9344.4444444444434</v>
      </c>
    </row>
    <row r="103" spans="5:6" x14ac:dyDescent="0.25">
      <c r="E103" s="1465">
        <v>96.666666666666657</v>
      </c>
      <c r="F103" s="1050">
        <f t="shared" si="7"/>
        <v>9344.4444444444434</v>
      </c>
    </row>
    <row r="104" spans="5:6" x14ac:dyDescent="0.25">
      <c r="E104" s="1465">
        <v>96.666666666666657</v>
      </c>
      <c r="F104" s="1050">
        <f t="shared" si="7"/>
        <v>9344.4444444444434</v>
      </c>
    </row>
    <row r="105" spans="5:6" x14ac:dyDescent="0.25">
      <c r="E105" s="1465">
        <v>96.666666666666657</v>
      </c>
      <c r="F105" s="1050">
        <f t="shared" si="7"/>
        <v>9344.4444444444434</v>
      </c>
    </row>
    <row r="106" spans="5:6" x14ac:dyDescent="0.25">
      <c r="E106" s="1465">
        <v>96.666666666666657</v>
      </c>
      <c r="F106" s="1050">
        <f t="shared" si="7"/>
        <v>9344.4444444444434</v>
      </c>
    </row>
    <row r="107" spans="5:6" x14ac:dyDescent="0.25">
      <c r="E107" s="1465">
        <v>96.666666666666657</v>
      </c>
      <c r="F107" s="1050">
        <f t="shared" si="7"/>
        <v>9344.4444444444434</v>
      </c>
    </row>
    <row r="108" spans="5:6" x14ac:dyDescent="0.25">
      <c r="E108" s="1465">
        <v>96.666666666666657</v>
      </c>
      <c r="F108" s="1050">
        <f t="shared" si="7"/>
        <v>9344.4444444444434</v>
      </c>
    </row>
    <row r="109" spans="5:6" x14ac:dyDescent="0.25">
      <c r="E109" s="1465">
        <v>100</v>
      </c>
      <c r="F109" s="1050">
        <f t="shared" si="7"/>
        <v>10000</v>
      </c>
    </row>
    <row r="110" spans="5:6" x14ac:dyDescent="0.25">
      <c r="E110" s="1465">
        <v>100</v>
      </c>
      <c r="F110" s="1050">
        <f t="shared" si="7"/>
        <v>10000</v>
      </c>
    </row>
    <row r="111" spans="5:6" x14ac:dyDescent="0.25">
      <c r="E111" s="1465">
        <v>100</v>
      </c>
      <c r="F111" s="1050">
        <f t="shared" si="7"/>
        <v>10000</v>
      </c>
    </row>
    <row r="112" spans="5:6" x14ac:dyDescent="0.25">
      <c r="E112" s="1465">
        <v>100</v>
      </c>
      <c r="F112" s="1050">
        <f t="shared" si="7"/>
        <v>10000</v>
      </c>
    </row>
    <row r="113" spans="5:6" x14ac:dyDescent="0.25">
      <c r="E113" s="1465">
        <v>100</v>
      </c>
      <c r="F113" s="1050">
        <f t="shared" si="7"/>
        <v>10000</v>
      </c>
    </row>
    <row r="114" spans="5:6" x14ac:dyDescent="0.25">
      <c r="E114" s="1465">
        <v>103</v>
      </c>
      <c r="F114" s="1050">
        <f t="shared" si="7"/>
        <v>10609</v>
      </c>
    </row>
    <row r="115" spans="5:6" x14ac:dyDescent="0.25">
      <c r="E115" s="1465">
        <v>108.33333333333334</v>
      </c>
      <c r="F115" s="1050">
        <f t="shared" si="7"/>
        <v>11736.111111111113</v>
      </c>
    </row>
    <row r="116" spans="5:6" x14ac:dyDescent="0.25">
      <c r="E116" s="1465">
        <v>108.33333333333334</v>
      </c>
      <c r="F116" s="1050">
        <f t="shared" si="7"/>
        <v>11736.111111111113</v>
      </c>
    </row>
    <row r="117" spans="5:6" x14ac:dyDescent="0.25">
      <c r="E117" s="1465">
        <v>108.33333333333334</v>
      </c>
      <c r="F117" s="1050">
        <f t="shared" si="7"/>
        <v>11736.111111111113</v>
      </c>
    </row>
    <row r="118" spans="5:6" x14ac:dyDescent="0.25">
      <c r="E118" s="1465">
        <v>120</v>
      </c>
      <c r="F118" s="1050">
        <f t="shared" si="7"/>
        <v>14400</v>
      </c>
    </row>
    <row r="119" spans="5:6" x14ac:dyDescent="0.25">
      <c r="E119" s="1465">
        <v>127.5</v>
      </c>
      <c r="F119" s="1050">
        <f t="shared" si="7"/>
        <v>16256.25</v>
      </c>
    </row>
    <row r="120" spans="5:6" x14ac:dyDescent="0.25">
      <c r="E120" s="1465">
        <v>135.83333333333331</v>
      </c>
      <c r="F120" s="1050">
        <f t="shared" si="7"/>
        <v>18450.694444444438</v>
      </c>
    </row>
    <row r="121" spans="5:6" x14ac:dyDescent="0.25">
      <c r="E121" s="1465">
        <v>136.83333333333331</v>
      </c>
      <c r="F121" s="1050">
        <f t="shared" si="7"/>
        <v>18723.361111111106</v>
      </c>
    </row>
    <row r="122" spans="5:6" x14ac:dyDescent="0.25">
      <c r="E122" s="1465">
        <v>145.83333333333331</v>
      </c>
      <c r="F122" s="1050">
        <f t="shared" si="7"/>
        <v>21267.361111111106</v>
      </c>
    </row>
    <row r="123" spans="5:6" x14ac:dyDescent="0.25">
      <c r="E123" s="1465">
        <v>150</v>
      </c>
      <c r="F123" s="1050">
        <f t="shared" si="7"/>
        <v>22500</v>
      </c>
    </row>
  </sheetData>
  <hyperlinks>
    <hyperlink ref="D2" location="'Navigation control'!A1" display="Navigation control" xr:uid="{56ED813C-97A1-4AAE-8DDB-BA81A3E634B7}"/>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B40B-8881-4918-9625-91509CA25CCB}">
  <sheetPr codeName="Sheet7">
    <tabColor theme="0" tint="-0.249977111117893"/>
  </sheetPr>
  <dimension ref="B1:T2200"/>
  <sheetViews>
    <sheetView showGridLines="0" zoomScale="80" zoomScaleNormal="80" workbookViewId="0">
      <selection activeCell="I9" sqref="I9"/>
    </sheetView>
  </sheetViews>
  <sheetFormatPr defaultRowHeight="15" x14ac:dyDescent="0.25"/>
  <cols>
    <col min="5" max="5" width="12.28515625" customWidth="1"/>
    <col min="10" max="10" width="14" bestFit="1" customWidth="1"/>
    <col min="11" max="11" width="9" bestFit="1" customWidth="1"/>
  </cols>
  <sheetData>
    <row r="1" spans="2:20" s="37" customFormat="1" x14ac:dyDescent="0.2"/>
    <row r="2" spans="2:20" s="41" customFormat="1" ht="18" x14ac:dyDescent="0.25">
      <c r="B2" s="38"/>
      <c r="C2" s="39"/>
      <c r="D2" s="40" t="s">
        <v>11</v>
      </c>
      <c r="E2" s="39"/>
      <c r="F2" s="39"/>
      <c r="G2" s="38"/>
      <c r="H2" s="39"/>
      <c r="I2" s="39"/>
      <c r="J2" s="38"/>
      <c r="K2" s="39"/>
      <c r="L2" s="39"/>
      <c r="M2" s="38"/>
      <c r="N2" s="39"/>
      <c r="O2" s="38"/>
      <c r="P2" s="38"/>
      <c r="Q2" s="39"/>
      <c r="R2" s="39"/>
      <c r="S2" s="38"/>
      <c r="T2" s="39"/>
    </row>
    <row r="3" spans="2:20" s="41" customFormat="1" ht="15.75" x14ac:dyDescent="0.25"/>
    <row r="7" spans="2:20" x14ac:dyDescent="0.25">
      <c r="B7" s="735" t="s">
        <v>1076</v>
      </c>
    </row>
    <row r="9" spans="2:20" ht="30" x14ac:dyDescent="0.25">
      <c r="B9" s="733" t="s">
        <v>1077</v>
      </c>
      <c r="C9" s="733" t="s">
        <v>1078</v>
      </c>
      <c r="D9" s="733" t="s">
        <v>1079</v>
      </c>
      <c r="E9" s="733" t="s">
        <v>115</v>
      </c>
    </row>
    <row r="10" spans="2:20" x14ac:dyDescent="0.25">
      <c r="B10" s="1382" t="s">
        <v>1840</v>
      </c>
      <c r="C10" s="733" t="s">
        <v>1080</v>
      </c>
      <c r="D10" s="733">
        <v>46.3641357421875</v>
      </c>
      <c r="E10" s="733">
        <v>1</v>
      </c>
    </row>
    <row r="11" spans="2:20" x14ac:dyDescent="0.25">
      <c r="B11" s="1382" t="s">
        <v>1840</v>
      </c>
      <c r="C11" s="733" t="s">
        <v>1080</v>
      </c>
      <c r="D11" s="733">
        <v>74.0958251953125</v>
      </c>
      <c r="E11" s="733">
        <v>1</v>
      </c>
    </row>
    <row r="12" spans="2:20" x14ac:dyDescent="0.25">
      <c r="B12" s="1382" t="s">
        <v>1840</v>
      </c>
      <c r="C12" s="733" t="s">
        <v>1081</v>
      </c>
      <c r="D12" s="733">
        <v>55.180698394775391</v>
      </c>
      <c r="E12" s="733">
        <v>1</v>
      </c>
    </row>
    <row r="13" spans="2:20" x14ac:dyDescent="0.25">
      <c r="B13" s="1382" t="s">
        <v>1840</v>
      </c>
      <c r="C13" s="733" t="s">
        <v>1080</v>
      </c>
      <c r="D13" s="733">
        <v>69.147842407226563</v>
      </c>
      <c r="E13" s="733">
        <v>1</v>
      </c>
    </row>
    <row r="14" spans="2:20" x14ac:dyDescent="0.25">
      <c r="B14" s="1382" t="s">
        <v>1840</v>
      </c>
      <c r="C14" s="733" t="s">
        <v>1080</v>
      </c>
      <c r="D14" s="733">
        <v>78.158798217773438</v>
      </c>
      <c r="E14" s="733">
        <v>1</v>
      </c>
    </row>
    <row r="15" spans="2:20" x14ac:dyDescent="0.25">
      <c r="B15" s="1382" t="s">
        <v>1840</v>
      </c>
      <c r="C15" s="733" t="s">
        <v>1080</v>
      </c>
      <c r="D15" s="733">
        <v>79.328544616699219</v>
      </c>
      <c r="E15" s="733">
        <v>1</v>
      </c>
    </row>
    <row r="16" spans="2:20" x14ac:dyDescent="0.25">
      <c r="B16" s="1382" t="s">
        <v>1840</v>
      </c>
      <c r="C16" s="733" t="s">
        <v>1080</v>
      </c>
      <c r="D16" s="733">
        <v>67.5941162109375</v>
      </c>
      <c r="E16" s="733">
        <v>1</v>
      </c>
    </row>
    <row r="17" spans="2:5" x14ac:dyDescent="0.25">
      <c r="B17" s="1382" t="s">
        <v>1840</v>
      </c>
      <c r="C17" s="733" t="s">
        <v>1080</v>
      </c>
      <c r="D17" s="733">
        <v>67.312118530273438</v>
      </c>
      <c r="E17" s="733">
        <v>1</v>
      </c>
    </row>
    <row r="18" spans="2:5" x14ac:dyDescent="0.25">
      <c r="B18" s="1382" t="s">
        <v>1840</v>
      </c>
      <c r="C18" s="733" t="s">
        <v>1080</v>
      </c>
      <c r="D18" s="733">
        <v>57.788501739501953</v>
      </c>
      <c r="E18" s="733">
        <v>1</v>
      </c>
    </row>
    <row r="19" spans="2:5" x14ac:dyDescent="0.25">
      <c r="B19" s="1382" t="s">
        <v>1840</v>
      </c>
      <c r="C19" s="733" t="s">
        <v>1080</v>
      </c>
      <c r="D19" s="733">
        <v>66.309379577636719</v>
      </c>
      <c r="E19" s="733">
        <v>1</v>
      </c>
    </row>
    <row r="20" spans="2:5" x14ac:dyDescent="0.25">
      <c r="B20" s="1382" t="s">
        <v>1840</v>
      </c>
      <c r="C20" s="733" t="s">
        <v>1081</v>
      </c>
      <c r="D20" s="733">
        <v>73.071182250976563</v>
      </c>
      <c r="E20" s="733">
        <v>1</v>
      </c>
    </row>
    <row r="21" spans="2:5" x14ac:dyDescent="0.25">
      <c r="B21" s="1382" t="s">
        <v>1840</v>
      </c>
      <c r="C21" s="733" t="s">
        <v>1080</v>
      </c>
      <c r="D21" s="733">
        <v>88.525665283203125</v>
      </c>
      <c r="E21" s="733">
        <v>1</v>
      </c>
    </row>
    <row r="22" spans="2:5" x14ac:dyDescent="0.25">
      <c r="B22" s="1382" t="s">
        <v>1840</v>
      </c>
      <c r="C22" s="733" t="s">
        <v>1080</v>
      </c>
      <c r="D22" s="733">
        <v>72.350448608398438</v>
      </c>
      <c r="E22" s="733">
        <v>1</v>
      </c>
    </row>
    <row r="23" spans="2:5" x14ac:dyDescent="0.25">
      <c r="B23" s="1382" t="s">
        <v>1840</v>
      </c>
      <c r="C23" s="733" t="s">
        <v>1080</v>
      </c>
      <c r="D23" s="733">
        <v>72.539360046386719</v>
      </c>
      <c r="E23" s="733">
        <v>1</v>
      </c>
    </row>
    <row r="24" spans="2:5" x14ac:dyDescent="0.25">
      <c r="B24" s="1382" t="s">
        <v>1840</v>
      </c>
      <c r="C24" s="733" t="s">
        <v>1080</v>
      </c>
      <c r="D24" s="733">
        <v>79.323066711425781</v>
      </c>
      <c r="E24" s="733">
        <v>1</v>
      </c>
    </row>
    <row r="25" spans="2:5" x14ac:dyDescent="0.25">
      <c r="B25" s="1382" t="s">
        <v>1840</v>
      </c>
      <c r="C25" s="733" t="s">
        <v>1081</v>
      </c>
      <c r="D25" s="733">
        <v>79.219024658203125</v>
      </c>
      <c r="E25" s="733">
        <v>1</v>
      </c>
    </row>
    <row r="26" spans="2:5" x14ac:dyDescent="0.25">
      <c r="B26" s="1382" t="s">
        <v>1840</v>
      </c>
      <c r="C26" s="733" t="s">
        <v>1081</v>
      </c>
      <c r="D26" s="733">
        <v>67.939079284667969</v>
      </c>
      <c r="E26" s="733">
        <v>1</v>
      </c>
    </row>
    <row r="27" spans="2:5" x14ac:dyDescent="0.25">
      <c r="B27" s="1382" t="s">
        <v>1840</v>
      </c>
      <c r="C27" s="733" t="s">
        <v>1081</v>
      </c>
      <c r="D27" s="733">
        <v>61.329910278320313</v>
      </c>
      <c r="E27" s="733">
        <v>1</v>
      </c>
    </row>
    <row r="28" spans="2:5" x14ac:dyDescent="0.25">
      <c r="B28" s="1382" t="s">
        <v>1840</v>
      </c>
      <c r="C28" s="733" t="s">
        <v>1080</v>
      </c>
      <c r="D28" s="733">
        <v>53.183437347412109</v>
      </c>
      <c r="E28" s="733">
        <v>1</v>
      </c>
    </row>
    <row r="29" spans="2:5" x14ac:dyDescent="0.25">
      <c r="B29" s="1382" t="s">
        <v>1840</v>
      </c>
      <c r="C29" s="733" t="s">
        <v>1081</v>
      </c>
      <c r="D29" s="733">
        <v>68.109512329101563</v>
      </c>
      <c r="E29" s="733">
        <v>1</v>
      </c>
    </row>
    <row r="30" spans="2:5" x14ac:dyDescent="0.25">
      <c r="B30" s="1382" t="s">
        <v>1840</v>
      </c>
      <c r="C30" s="733" t="s">
        <v>1080</v>
      </c>
      <c r="D30" s="733">
        <v>51.0574951171875</v>
      </c>
      <c r="E30" s="733">
        <v>1</v>
      </c>
    </row>
    <row r="31" spans="2:5" x14ac:dyDescent="0.25">
      <c r="B31" s="1382" t="s">
        <v>1840</v>
      </c>
      <c r="C31" s="733" t="s">
        <v>1081</v>
      </c>
      <c r="D31" s="733">
        <v>79.495552062988281</v>
      </c>
      <c r="E31" s="733">
        <v>1</v>
      </c>
    </row>
    <row r="32" spans="2:5" x14ac:dyDescent="0.25">
      <c r="B32" s="1382" t="s">
        <v>1840</v>
      </c>
      <c r="C32" s="733" t="s">
        <v>1080</v>
      </c>
      <c r="D32" s="733">
        <v>61.030117034912109</v>
      </c>
      <c r="E32" s="733">
        <v>1</v>
      </c>
    </row>
    <row r="33" spans="2:5" x14ac:dyDescent="0.25">
      <c r="B33" s="1382" t="s">
        <v>1840</v>
      </c>
      <c r="C33" s="733" t="s">
        <v>1080</v>
      </c>
      <c r="D33" s="733">
        <v>85.279258728027344</v>
      </c>
      <c r="E33" s="733">
        <v>1</v>
      </c>
    </row>
    <row r="34" spans="2:5" x14ac:dyDescent="0.25">
      <c r="B34" s="1382" t="s">
        <v>1840</v>
      </c>
      <c r="C34" s="733" t="s">
        <v>1080</v>
      </c>
      <c r="D34" s="733">
        <v>64.164268493652344</v>
      </c>
      <c r="E34" s="733">
        <v>1</v>
      </c>
    </row>
    <row r="35" spans="2:5" x14ac:dyDescent="0.25">
      <c r="B35" s="1382" t="s">
        <v>1840</v>
      </c>
      <c r="C35" s="733" t="s">
        <v>1081</v>
      </c>
      <c r="D35" s="733">
        <v>64.685829162597656</v>
      </c>
      <c r="E35" s="733">
        <v>1</v>
      </c>
    </row>
    <row r="36" spans="2:5" x14ac:dyDescent="0.25">
      <c r="B36" s="1382" t="s">
        <v>1840</v>
      </c>
      <c r="C36" s="733" t="s">
        <v>1080</v>
      </c>
      <c r="D36" s="733">
        <v>77.774810791015625</v>
      </c>
      <c r="E36" s="733">
        <v>1</v>
      </c>
    </row>
    <row r="37" spans="2:5" x14ac:dyDescent="0.25">
      <c r="B37" s="1382" t="s">
        <v>1840</v>
      </c>
      <c r="C37" s="733" t="s">
        <v>1080</v>
      </c>
      <c r="D37" s="733">
        <v>76.331283569335938</v>
      </c>
      <c r="E37" s="733">
        <v>1</v>
      </c>
    </row>
    <row r="38" spans="2:5" x14ac:dyDescent="0.25">
      <c r="B38" s="1382" t="s">
        <v>1840</v>
      </c>
      <c r="C38" s="733" t="s">
        <v>1080</v>
      </c>
      <c r="D38" s="733">
        <v>58.922657012939453</v>
      </c>
      <c r="E38" s="733">
        <v>1</v>
      </c>
    </row>
    <row r="39" spans="2:5" x14ac:dyDescent="0.25">
      <c r="B39" s="1382" t="s">
        <v>1840</v>
      </c>
      <c r="C39" s="733" t="s">
        <v>1080</v>
      </c>
      <c r="D39" s="733">
        <v>78.208076477050781</v>
      </c>
      <c r="E39" s="733">
        <v>1</v>
      </c>
    </row>
    <row r="40" spans="2:5" x14ac:dyDescent="0.25">
      <c r="B40" s="1382" t="s">
        <v>1840</v>
      </c>
      <c r="C40" s="733" t="s">
        <v>1080</v>
      </c>
      <c r="D40" s="733">
        <v>79.657768249511719</v>
      </c>
      <c r="E40" s="733">
        <v>1</v>
      </c>
    </row>
    <row r="41" spans="2:5" x14ac:dyDescent="0.25">
      <c r="B41" s="1382" t="s">
        <v>1840</v>
      </c>
      <c r="C41" s="733" t="s">
        <v>1080</v>
      </c>
      <c r="D41" s="733">
        <v>70.903488159179688</v>
      </c>
      <c r="E41" s="733">
        <v>1</v>
      </c>
    </row>
    <row r="42" spans="2:5" x14ac:dyDescent="0.25">
      <c r="B42" s="1382" t="s">
        <v>1840</v>
      </c>
      <c r="C42" s="733" t="s">
        <v>1080</v>
      </c>
      <c r="D42" s="733">
        <v>80.147842407226563</v>
      </c>
      <c r="E42" s="733">
        <v>1</v>
      </c>
    </row>
    <row r="43" spans="2:5" x14ac:dyDescent="0.25">
      <c r="B43" s="1382" t="s">
        <v>1840</v>
      </c>
      <c r="C43" s="733" t="s">
        <v>1080</v>
      </c>
      <c r="D43" s="733">
        <v>64.1724853515625</v>
      </c>
      <c r="E43" s="733">
        <v>1</v>
      </c>
    </row>
    <row r="44" spans="2:5" x14ac:dyDescent="0.25">
      <c r="B44" s="1382" t="s">
        <v>1840</v>
      </c>
      <c r="C44" s="733" t="s">
        <v>1080</v>
      </c>
      <c r="D44" s="733">
        <v>60.114990234375</v>
      </c>
      <c r="E44" s="733">
        <v>1</v>
      </c>
    </row>
    <row r="45" spans="2:5" x14ac:dyDescent="0.25">
      <c r="B45" s="1382" t="s">
        <v>1840</v>
      </c>
      <c r="C45" s="733" t="s">
        <v>1080</v>
      </c>
      <c r="D45" s="733">
        <v>54.840518951416016</v>
      </c>
      <c r="E45" s="733">
        <v>1</v>
      </c>
    </row>
    <row r="46" spans="2:5" x14ac:dyDescent="0.25">
      <c r="B46" s="1382" t="s">
        <v>1840</v>
      </c>
      <c r="C46" s="733" t="s">
        <v>1081</v>
      </c>
      <c r="D46" s="733">
        <v>77.580421447753906</v>
      </c>
      <c r="E46" s="733">
        <v>1</v>
      </c>
    </row>
    <row r="47" spans="2:5" x14ac:dyDescent="0.25">
      <c r="B47" s="1382" t="s">
        <v>1840</v>
      </c>
      <c r="C47" s="733" t="s">
        <v>1080</v>
      </c>
      <c r="D47" s="733">
        <v>52.082134246826172</v>
      </c>
      <c r="E47" s="733">
        <v>1</v>
      </c>
    </row>
    <row r="48" spans="2:5" x14ac:dyDescent="0.25">
      <c r="B48" s="1382" t="s">
        <v>1840</v>
      </c>
      <c r="C48" s="733" t="s">
        <v>1080</v>
      </c>
      <c r="D48" s="733">
        <v>65.925392150878906</v>
      </c>
      <c r="E48" s="733">
        <v>1</v>
      </c>
    </row>
    <row r="49" spans="2:5" x14ac:dyDescent="0.25">
      <c r="B49" s="1382" t="s">
        <v>1840</v>
      </c>
      <c r="C49" s="733" t="s">
        <v>1081</v>
      </c>
      <c r="D49" s="733">
        <v>70.024642944335938</v>
      </c>
      <c r="E49" s="733">
        <v>1</v>
      </c>
    </row>
    <row r="50" spans="2:5" x14ac:dyDescent="0.25">
      <c r="B50" s="1382" t="s">
        <v>1840</v>
      </c>
      <c r="C50" s="733" t="s">
        <v>1080</v>
      </c>
      <c r="D50" s="733">
        <v>66.035591125488281</v>
      </c>
      <c r="E50" s="733">
        <v>1</v>
      </c>
    </row>
    <row r="51" spans="2:5" x14ac:dyDescent="0.25">
      <c r="B51" s="1382" t="s">
        <v>1840</v>
      </c>
      <c r="C51" s="733" t="s">
        <v>1081</v>
      </c>
      <c r="D51" s="733">
        <v>58.038330078125</v>
      </c>
      <c r="E51" s="733">
        <v>1</v>
      </c>
    </row>
    <row r="52" spans="2:5" x14ac:dyDescent="0.25">
      <c r="B52" s="1382" t="s">
        <v>1840</v>
      </c>
      <c r="C52" s="733" t="s">
        <v>1080</v>
      </c>
      <c r="D52" s="733">
        <v>64.569473266601563</v>
      </c>
      <c r="E52" s="733">
        <v>1</v>
      </c>
    </row>
    <row r="53" spans="2:5" x14ac:dyDescent="0.25">
      <c r="B53" s="1382" t="s">
        <v>1840</v>
      </c>
      <c r="C53" s="733" t="s">
        <v>1080</v>
      </c>
      <c r="D53" s="733">
        <v>52.136894226074219</v>
      </c>
      <c r="E53" s="733">
        <v>1</v>
      </c>
    </row>
    <row r="54" spans="2:5" x14ac:dyDescent="0.25">
      <c r="B54" s="1382" t="s">
        <v>1840</v>
      </c>
      <c r="C54" s="733" t="s">
        <v>1080</v>
      </c>
      <c r="D54" s="733">
        <v>75.024642944335938</v>
      </c>
      <c r="E54" s="733">
        <v>1</v>
      </c>
    </row>
    <row r="55" spans="2:5" x14ac:dyDescent="0.25">
      <c r="B55" s="1382" t="s">
        <v>1840</v>
      </c>
      <c r="C55" s="733" t="s">
        <v>1080</v>
      </c>
      <c r="D55" s="733">
        <v>75.065711975097656</v>
      </c>
      <c r="E55" s="733">
        <v>1</v>
      </c>
    </row>
    <row r="56" spans="2:5" x14ac:dyDescent="0.25">
      <c r="B56" s="1382" t="s">
        <v>1840</v>
      </c>
      <c r="C56" s="733" t="s">
        <v>1080</v>
      </c>
      <c r="D56" s="733">
        <v>50.38330078125</v>
      </c>
      <c r="E56" s="733">
        <v>1</v>
      </c>
    </row>
    <row r="57" spans="2:5" x14ac:dyDescent="0.25">
      <c r="B57" s="1382" t="s">
        <v>1840</v>
      </c>
      <c r="C57" s="733" t="s">
        <v>1080</v>
      </c>
      <c r="D57" s="733">
        <v>45.937713623046875</v>
      </c>
      <c r="E57" s="733">
        <v>1</v>
      </c>
    </row>
    <row r="58" spans="2:5" x14ac:dyDescent="0.25">
      <c r="B58" s="1382" t="s">
        <v>1840</v>
      </c>
      <c r="C58" s="733" t="s">
        <v>1080</v>
      </c>
      <c r="D58" s="733">
        <v>68.455848693847656</v>
      </c>
      <c r="E58" s="733">
        <v>1</v>
      </c>
    </row>
    <row r="59" spans="2:5" x14ac:dyDescent="0.25">
      <c r="B59" s="1382" t="s">
        <v>1840</v>
      </c>
      <c r="C59" s="733" t="s">
        <v>1081</v>
      </c>
      <c r="D59" s="733">
        <v>71.123207092285156</v>
      </c>
      <c r="E59" s="733">
        <v>1</v>
      </c>
    </row>
    <row r="60" spans="2:5" x14ac:dyDescent="0.25">
      <c r="B60" s="1382" t="s">
        <v>1840</v>
      </c>
      <c r="C60" s="733" t="s">
        <v>1080</v>
      </c>
      <c r="D60" s="733">
        <v>71.449005126953125</v>
      </c>
      <c r="E60" s="733">
        <v>1</v>
      </c>
    </row>
    <row r="61" spans="2:5" x14ac:dyDescent="0.25">
      <c r="B61" s="1382" t="s">
        <v>1840</v>
      </c>
      <c r="C61" s="733" t="s">
        <v>1081</v>
      </c>
      <c r="D61" s="733">
        <v>52.169746398925781</v>
      </c>
      <c r="E61" s="733">
        <v>1</v>
      </c>
    </row>
    <row r="62" spans="2:5" x14ac:dyDescent="0.25">
      <c r="B62" s="1382" t="s">
        <v>1840</v>
      </c>
      <c r="C62" s="733" t="s">
        <v>1081</v>
      </c>
      <c r="D62" s="733">
        <v>51.062969207763672</v>
      </c>
      <c r="E62" s="733">
        <v>1</v>
      </c>
    </row>
    <row r="63" spans="2:5" x14ac:dyDescent="0.25">
      <c r="B63" s="1382" t="s">
        <v>1840</v>
      </c>
      <c r="C63" s="733" t="s">
        <v>1080</v>
      </c>
      <c r="D63" s="733">
        <v>62.101299285888672</v>
      </c>
      <c r="E63" s="733">
        <v>1</v>
      </c>
    </row>
    <row r="64" spans="2:5" x14ac:dyDescent="0.25">
      <c r="B64" s="1382" t="s">
        <v>1840</v>
      </c>
      <c r="C64" s="733" t="s">
        <v>1081</v>
      </c>
      <c r="D64" s="733">
        <v>69.257354736328125</v>
      </c>
      <c r="E64" s="733">
        <v>1</v>
      </c>
    </row>
    <row r="65" spans="2:5" x14ac:dyDescent="0.25">
      <c r="B65" s="1382" t="s">
        <v>1840</v>
      </c>
      <c r="C65" s="733" t="s">
        <v>1081</v>
      </c>
      <c r="D65" s="733">
        <v>60.1533203125</v>
      </c>
      <c r="E65" s="733">
        <v>1</v>
      </c>
    </row>
    <row r="66" spans="2:5" x14ac:dyDescent="0.25">
      <c r="B66" s="1382" t="s">
        <v>1840</v>
      </c>
      <c r="C66" s="733" t="s">
        <v>1080</v>
      </c>
      <c r="D66" s="733">
        <v>74.221763610839844</v>
      </c>
      <c r="E66" s="733">
        <v>1</v>
      </c>
    </row>
    <row r="67" spans="2:5" x14ac:dyDescent="0.25">
      <c r="B67" s="1382" t="s">
        <v>1840</v>
      </c>
      <c r="C67" s="733" t="s">
        <v>1081</v>
      </c>
      <c r="D67" s="733">
        <v>72.188911437988281</v>
      </c>
      <c r="E67" s="733">
        <v>1</v>
      </c>
    </row>
    <row r="68" spans="2:5" x14ac:dyDescent="0.25">
      <c r="B68" s="1382" t="s">
        <v>1840</v>
      </c>
      <c r="C68" s="733" t="s">
        <v>1081</v>
      </c>
      <c r="D68" s="733">
        <v>57.054756164550781</v>
      </c>
      <c r="E68" s="733">
        <v>1</v>
      </c>
    </row>
    <row r="69" spans="2:5" x14ac:dyDescent="0.25">
      <c r="B69" s="1382" t="s">
        <v>1840</v>
      </c>
      <c r="C69" s="733" t="s">
        <v>1080</v>
      </c>
      <c r="D69" s="733">
        <v>79.1341552734375</v>
      </c>
      <c r="E69" s="733">
        <v>1</v>
      </c>
    </row>
    <row r="70" spans="2:5" x14ac:dyDescent="0.25">
      <c r="B70" s="1382" t="s">
        <v>1840</v>
      </c>
      <c r="C70" s="733" t="s">
        <v>1080</v>
      </c>
      <c r="D70" s="733">
        <v>58.062969207763672</v>
      </c>
      <c r="E70" s="733">
        <v>1</v>
      </c>
    </row>
    <row r="71" spans="2:5" x14ac:dyDescent="0.25">
      <c r="B71" s="1382" t="s">
        <v>1840</v>
      </c>
      <c r="C71" s="733" t="s">
        <v>1081</v>
      </c>
      <c r="D71" s="733">
        <v>63.043804168701172</v>
      </c>
      <c r="E71" s="733">
        <v>1</v>
      </c>
    </row>
    <row r="72" spans="2:5" x14ac:dyDescent="0.25">
      <c r="B72" s="1382" t="s">
        <v>1840</v>
      </c>
      <c r="C72" s="733" t="s">
        <v>1080</v>
      </c>
      <c r="D72" s="733">
        <v>59.0574951171875</v>
      </c>
      <c r="E72" s="733">
        <v>1</v>
      </c>
    </row>
    <row r="73" spans="2:5" x14ac:dyDescent="0.25">
      <c r="B73" s="1382" t="s">
        <v>1840</v>
      </c>
      <c r="C73" s="733" t="s">
        <v>1080</v>
      </c>
      <c r="D73" s="733">
        <v>60.0958251953125</v>
      </c>
      <c r="E73" s="733">
        <v>1</v>
      </c>
    </row>
    <row r="74" spans="2:5" x14ac:dyDescent="0.25">
      <c r="B74" s="1382" t="s">
        <v>1840</v>
      </c>
      <c r="C74" s="733" t="s">
        <v>1080</v>
      </c>
      <c r="D74" s="733">
        <v>72.58453369140625</v>
      </c>
      <c r="E74" s="733">
        <v>1</v>
      </c>
    </row>
    <row r="75" spans="2:5" x14ac:dyDescent="0.25">
      <c r="B75" s="1382" t="s">
        <v>1840</v>
      </c>
      <c r="C75" s="733" t="s">
        <v>1080</v>
      </c>
      <c r="D75" s="733">
        <v>73.118415832519531</v>
      </c>
      <c r="E75" s="733">
        <v>1</v>
      </c>
    </row>
    <row r="76" spans="2:5" x14ac:dyDescent="0.25">
      <c r="B76" s="1382" t="s">
        <v>1840</v>
      </c>
      <c r="C76" s="733" t="s">
        <v>1080</v>
      </c>
      <c r="D76" s="733">
        <v>50.213550567626953</v>
      </c>
      <c r="E76" s="733">
        <v>1</v>
      </c>
    </row>
    <row r="77" spans="2:5" x14ac:dyDescent="0.25">
      <c r="B77" s="1382" t="s">
        <v>1840</v>
      </c>
      <c r="C77" s="733" t="s">
        <v>1080</v>
      </c>
      <c r="D77" s="733">
        <v>60.098564147949219</v>
      </c>
      <c r="E77" s="733">
        <v>1</v>
      </c>
    </row>
    <row r="78" spans="2:5" x14ac:dyDescent="0.25">
      <c r="B78" s="1382" t="s">
        <v>1840</v>
      </c>
      <c r="C78" s="733" t="s">
        <v>1080</v>
      </c>
      <c r="D78" s="733">
        <v>71.150581359863281</v>
      </c>
      <c r="E78" s="733">
        <v>1</v>
      </c>
    </row>
    <row r="79" spans="2:5" x14ac:dyDescent="0.25">
      <c r="B79" s="1382" t="s">
        <v>1840</v>
      </c>
      <c r="C79" s="733" t="s">
        <v>1081</v>
      </c>
      <c r="D79" s="733">
        <v>69.1533203125</v>
      </c>
      <c r="E79" s="733">
        <v>1</v>
      </c>
    </row>
    <row r="80" spans="2:5" x14ac:dyDescent="0.25">
      <c r="B80" s="1382" t="s">
        <v>1840</v>
      </c>
      <c r="C80" s="733" t="s">
        <v>1081</v>
      </c>
      <c r="D80" s="733">
        <v>79.714576721191406</v>
      </c>
      <c r="E80" s="733">
        <v>1</v>
      </c>
    </row>
    <row r="81" spans="2:5" x14ac:dyDescent="0.25">
      <c r="B81" s="1382" t="s">
        <v>1840</v>
      </c>
      <c r="C81" s="733" t="s">
        <v>1080</v>
      </c>
      <c r="D81" s="733">
        <v>66.470909118652344</v>
      </c>
      <c r="E81" s="733">
        <v>1</v>
      </c>
    </row>
    <row r="82" spans="2:5" x14ac:dyDescent="0.25">
      <c r="B82" s="1382" t="s">
        <v>1840</v>
      </c>
      <c r="C82" s="733" t="s">
        <v>1080</v>
      </c>
      <c r="D82" s="733">
        <v>71.1341552734375</v>
      </c>
      <c r="E82" s="733">
        <v>1</v>
      </c>
    </row>
    <row r="83" spans="2:5" x14ac:dyDescent="0.25">
      <c r="B83" s="1382" t="s">
        <v>1840</v>
      </c>
      <c r="C83" s="733" t="s">
        <v>1080</v>
      </c>
      <c r="D83" s="733">
        <v>74.112251281738281</v>
      </c>
      <c r="E83" s="733">
        <v>1</v>
      </c>
    </row>
    <row r="84" spans="2:5" x14ac:dyDescent="0.25">
      <c r="B84" s="1382" t="s">
        <v>1840</v>
      </c>
      <c r="C84" s="733" t="s">
        <v>1080</v>
      </c>
      <c r="D84" s="733">
        <v>63.169746398925781</v>
      </c>
      <c r="E84" s="733">
        <v>1</v>
      </c>
    </row>
    <row r="85" spans="2:5" x14ac:dyDescent="0.25">
      <c r="B85" s="1382" t="s">
        <v>1840</v>
      </c>
      <c r="C85" s="733" t="s">
        <v>1080</v>
      </c>
      <c r="D85" s="733">
        <v>66.1341552734375</v>
      </c>
      <c r="E85" s="733">
        <v>1</v>
      </c>
    </row>
    <row r="86" spans="2:5" x14ac:dyDescent="0.25">
      <c r="B86" s="1382" t="s">
        <v>1840</v>
      </c>
      <c r="C86" s="733" t="s">
        <v>1081</v>
      </c>
      <c r="D86" s="733">
        <v>59.109512329101563</v>
      </c>
      <c r="E86" s="733">
        <v>1</v>
      </c>
    </row>
    <row r="87" spans="2:5" x14ac:dyDescent="0.25">
      <c r="B87" s="1382" t="s">
        <v>1840</v>
      </c>
      <c r="C87" s="733" t="s">
        <v>1080</v>
      </c>
      <c r="D87" s="733">
        <v>59.084873199462891</v>
      </c>
      <c r="E87" s="733">
        <v>1</v>
      </c>
    </row>
    <row r="88" spans="2:5" x14ac:dyDescent="0.25">
      <c r="B88" s="1382" t="s">
        <v>1840</v>
      </c>
      <c r="C88" s="733" t="s">
        <v>1080</v>
      </c>
      <c r="D88" s="733">
        <v>67.369613647460938</v>
      </c>
      <c r="E88" s="733">
        <v>1</v>
      </c>
    </row>
    <row r="89" spans="2:5" x14ac:dyDescent="0.25">
      <c r="B89" s="1382" t="s">
        <v>1840</v>
      </c>
      <c r="C89" s="733" t="s">
        <v>1080</v>
      </c>
      <c r="D89" s="733">
        <v>52.385353088378906</v>
      </c>
      <c r="E89" s="733">
        <v>1</v>
      </c>
    </row>
    <row r="90" spans="2:5" x14ac:dyDescent="0.25">
      <c r="B90" s="1382" t="s">
        <v>1840</v>
      </c>
      <c r="C90" s="733" t="s">
        <v>1081</v>
      </c>
      <c r="D90" s="733">
        <v>68</v>
      </c>
      <c r="E90" s="733">
        <v>1</v>
      </c>
    </row>
    <row r="91" spans="2:5" x14ac:dyDescent="0.25">
      <c r="B91" s="1382" t="s">
        <v>1840</v>
      </c>
      <c r="C91" s="733" t="s">
        <v>1080</v>
      </c>
      <c r="D91" s="733">
        <v>56.060234069824219</v>
      </c>
      <c r="E91" s="733">
        <v>1</v>
      </c>
    </row>
    <row r="92" spans="2:5" x14ac:dyDescent="0.25">
      <c r="B92" s="1382" t="s">
        <v>1840</v>
      </c>
      <c r="C92" s="733" t="s">
        <v>1081</v>
      </c>
      <c r="D92" s="733">
        <v>55.087612152099609</v>
      </c>
      <c r="E92" s="733">
        <v>1</v>
      </c>
    </row>
    <row r="93" spans="2:5" x14ac:dyDescent="0.25">
      <c r="B93" s="1382" t="s">
        <v>1840</v>
      </c>
      <c r="C93" s="733" t="s">
        <v>1080</v>
      </c>
      <c r="D93" s="733">
        <v>74.027381896972656</v>
      </c>
      <c r="E93" s="733">
        <v>1</v>
      </c>
    </row>
    <row r="94" spans="2:5" x14ac:dyDescent="0.25">
      <c r="B94" s="1382" t="s">
        <v>1840</v>
      </c>
      <c r="C94" s="733" t="s">
        <v>1080</v>
      </c>
      <c r="D94" s="733">
        <v>72.082138061523438</v>
      </c>
      <c r="E94" s="733">
        <v>1</v>
      </c>
    </row>
    <row r="95" spans="2:5" x14ac:dyDescent="0.25">
      <c r="B95" s="1382" t="s">
        <v>1840</v>
      </c>
      <c r="C95" s="733" t="s">
        <v>1080</v>
      </c>
      <c r="D95" s="733">
        <v>56.024639129638672</v>
      </c>
      <c r="E95" s="733">
        <v>1</v>
      </c>
    </row>
    <row r="96" spans="2:5" x14ac:dyDescent="0.25">
      <c r="B96" s="1382" t="s">
        <v>1840</v>
      </c>
      <c r="C96" s="733" t="s">
        <v>1081</v>
      </c>
      <c r="D96" s="733">
        <v>76.298423767089844</v>
      </c>
      <c r="E96" s="733">
        <v>1</v>
      </c>
    </row>
    <row r="97" spans="2:5" x14ac:dyDescent="0.25">
      <c r="B97" s="1382" t="s">
        <v>1840</v>
      </c>
      <c r="C97" s="733" t="s">
        <v>1080</v>
      </c>
      <c r="D97" s="733">
        <v>55.156059265136719</v>
      </c>
      <c r="E97" s="733">
        <v>1</v>
      </c>
    </row>
    <row r="98" spans="2:5" x14ac:dyDescent="0.25">
      <c r="B98" s="1382" t="s">
        <v>1840</v>
      </c>
      <c r="C98" s="733" t="s">
        <v>1081</v>
      </c>
      <c r="D98" s="733">
        <v>80.314849853515625</v>
      </c>
      <c r="E98" s="733">
        <v>1</v>
      </c>
    </row>
    <row r="99" spans="2:5" x14ac:dyDescent="0.25">
      <c r="B99" s="1382" t="s">
        <v>1840</v>
      </c>
      <c r="C99" s="733" t="s">
        <v>1081</v>
      </c>
      <c r="D99" s="733">
        <v>81.424369812011719</v>
      </c>
      <c r="E99" s="733">
        <v>1</v>
      </c>
    </row>
    <row r="100" spans="2:5" x14ac:dyDescent="0.25">
      <c r="B100" s="1382" t="s">
        <v>1840</v>
      </c>
      <c r="C100" s="733" t="s">
        <v>1081</v>
      </c>
      <c r="D100" s="733">
        <v>75.5557861328125</v>
      </c>
      <c r="E100" s="733">
        <v>1</v>
      </c>
    </row>
    <row r="101" spans="2:5" x14ac:dyDescent="0.25">
      <c r="B101" s="1382" t="s">
        <v>1840</v>
      </c>
      <c r="C101" s="733" t="s">
        <v>1080</v>
      </c>
      <c r="D101" s="733">
        <v>59.213550567626953</v>
      </c>
      <c r="E101" s="733">
        <v>1</v>
      </c>
    </row>
    <row r="102" spans="2:5" x14ac:dyDescent="0.25">
      <c r="B102" s="1382" t="s">
        <v>1840</v>
      </c>
      <c r="C102" s="733" t="s">
        <v>1081</v>
      </c>
      <c r="D102" s="733">
        <v>67.035591125488281</v>
      </c>
      <c r="E102" s="733">
        <v>1</v>
      </c>
    </row>
    <row r="103" spans="2:5" x14ac:dyDescent="0.25">
      <c r="B103" s="1382" t="s">
        <v>1840</v>
      </c>
      <c r="C103" s="733" t="s">
        <v>1081</v>
      </c>
      <c r="D103" s="733">
        <v>64.191650390625</v>
      </c>
      <c r="E103" s="733">
        <v>1</v>
      </c>
    </row>
    <row r="104" spans="2:5" x14ac:dyDescent="0.25">
      <c r="B104" s="1382" t="s">
        <v>1840</v>
      </c>
      <c r="C104" s="733" t="s">
        <v>1080</v>
      </c>
      <c r="D104" s="733">
        <v>53.1533203125</v>
      </c>
      <c r="E104" s="733">
        <v>1</v>
      </c>
    </row>
    <row r="105" spans="2:5" x14ac:dyDescent="0.25">
      <c r="B105" s="1382" t="s">
        <v>1840</v>
      </c>
      <c r="C105" s="733" t="s">
        <v>1080</v>
      </c>
      <c r="D105" s="733">
        <v>66.084877014160156</v>
      </c>
      <c r="E105" s="733">
        <v>1</v>
      </c>
    </row>
    <row r="106" spans="2:5" x14ac:dyDescent="0.25">
      <c r="B106" s="1382" t="s">
        <v>1840</v>
      </c>
      <c r="C106" s="733" t="s">
        <v>1081</v>
      </c>
      <c r="D106" s="733">
        <v>71.268310546875</v>
      </c>
      <c r="E106" s="733">
        <v>1</v>
      </c>
    </row>
    <row r="107" spans="2:5" x14ac:dyDescent="0.25">
      <c r="B107" s="1382" t="s">
        <v>1840</v>
      </c>
      <c r="C107" s="733" t="s">
        <v>1080</v>
      </c>
      <c r="D107" s="733">
        <v>85.010948181152344</v>
      </c>
      <c r="E107" s="733">
        <v>1</v>
      </c>
    </row>
    <row r="108" spans="2:5" x14ac:dyDescent="0.25">
      <c r="B108" s="1382" t="s">
        <v>1840</v>
      </c>
      <c r="C108" s="733" t="s">
        <v>1081</v>
      </c>
      <c r="D108" s="733">
        <v>75.167007446289063</v>
      </c>
      <c r="E108" s="733">
        <v>1</v>
      </c>
    </row>
    <row r="109" spans="2:5" x14ac:dyDescent="0.25">
      <c r="B109" s="1382" t="s">
        <v>1840</v>
      </c>
      <c r="C109" s="733" t="s">
        <v>1080</v>
      </c>
      <c r="D109" s="733">
        <v>64.145103454589844</v>
      </c>
      <c r="E109" s="733">
        <v>1</v>
      </c>
    </row>
    <row r="110" spans="2:5" x14ac:dyDescent="0.25">
      <c r="B110" s="1382" t="s">
        <v>1840</v>
      </c>
      <c r="C110" s="733" t="s">
        <v>1081</v>
      </c>
      <c r="D110" s="733">
        <v>62.068447113037109</v>
      </c>
      <c r="E110" s="733">
        <v>1</v>
      </c>
    </row>
    <row r="111" spans="2:5" x14ac:dyDescent="0.25">
      <c r="B111" s="1382" t="s">
        <v>1840</v>
      </c>
      <c r="C111" s="733" t="s">
        <v>1081</v>
      </c>
      <c r="D111" s="733">
        <v>76.104042053222656</v>
      </c>
      <c r="E111" s="733">
        <v>1</v>
      </c>
    </row>
    <row r="112" spans="2:5" x14ac:dyDescent="0.25">
      <c r="B112" s="1382" t="s">
        <v>1840</v>
      </c>
      <c r="C112" s="733" t="s">
        <v>1080</v>
      </c>
      <c r="D112" s="733">
        <v>52.005474090576172</v>
      </c>
      <c r="E112" s="733">
        <v>1</v>
      </c>
    </row>
    <row r="113" spans="2:5" x14ac:dyDescent="0.25">
      <c r="B113" s="1382" t="s">
        <v>1840</v>
      </c>
      <c r="C113" s="733" t="s">
        <v>1080</v>
      </c>
      <c r="D113" s="733">
        <v>66</v>
      </c>
      <c r="E113" s="733">
        <v>1</v>
      </c>
    </row>
    <row r="114" spans="2:5" x14ac:dyDescent="0.25">
      <c r="B114" s="1382" t="s">
        <v>1840</v>
      </c>
      <c r="C114" s="733" t="s">
        <v>1080</v>
      </c>
      <c r="D114" s="733">
        <v>72</v>
      </c>
      <c r="E114" s="733">
        <v>1</v>
      </c>
    </row>
    <row r="115" spans="2:5" x14ac:dyDescent="0.25">
      <c r="B115" s="1382" t="s">
        <v>1840</v>
      </c>
      <c r="C115" s="733" t="s">
        <v>1080</v>
      </c>
      <c r="D115" s="733">
        <v>64.098564147949219</v>
      </c>
      <c r="E115" s="733">
        <v>1</v>
      </c>
    </row>
    <row r="116" spans="2:5" x14ac:dyDescent="0.25">
      <c r="B116" s="1382" t="s">
        <v>1840</v>
      </c>
      <c r="C116" s="733" t="s">
        <v>1081</v>
      </c>
      <c r="D116" s="733">
        <v>81.142364501953125</v>
      </c>
      <c r="E116" s="733">
        <v>1</v>
      </c>
    </row>
    <row r="117" spans="2:5" x14ac:dyDescent="0.25">
      <c r="B117" s="1382" t="s">
        <v>1840</v>
      </c>
      <c r="C117" s="733" t="s">
        <v>1081</v>
      </c>
      <c r="D117" s="733">
        <v>81.188911437988281</v>
      </c>
      <c r="E117" s="733">
        <v>1</v>
      </c>
    </row>
    <row r="118" spans="2:5" x14ac:dyDescent="0.25">
      <c r="B118" s="1382" t="s">
        <v>1840</v>
      </c>
      <c r="C118" s="733" t="s">
        <v>1080</v>
      </c>
      <c r="D118" s="733">
        <v>67.191650390625</v>
      </c>
      <c r="E118" s="733">
        <v>1</v>
      </c>
    </row>
    <row r="119" spans="2:5" x14ac:dyDescent="0.25">
      <c r="B119" s="1382" t="s">
        <v>1840</v>
      </c>
      <c r="C119" s="733" t="s">
        <v>1081</v>
      </c>
      <c r="D119" s="733">
        <v>81.068443298339844</v>
      </c>
      <c r="E119" s="733">
        <v>1</v>
      </c>
    </row>
    <row r="120" spans="2:5" x14ac:dyDescent="0.25">
      <c r="B120" s="1382" t="s">
        <v>1840</v>
      </c>
      <c r="C120" s="733" t="s">
        <v>1080</v>
      </c>
      <c r="D120" s="733">
        <v>55.104038238525391</v>
      </c>
      <c r="E120" s="733">
        <v>1</v>
      </c>
    </row>
    <row r="121" spans="2:5" x14ac:dyDescent="0.25">
      <c r="B121" s="1382" t="s">
        <v>1840</v>
      </c>
      <c r="C121" s="733" t="s">
        <v>1080</v>
      </c>
      <c r="D121" s="733">
        <v>77.429840087890625</v>
      </c>
      <c r="E121" s="733">
        <v>1</v>
      </c>
    </row>
    <row r="122" spans="2:5" x14ac:dyDescent="0.25">
      <c r="B122" s="1382" t="s">
        <v>1840</v>
      </c>
      <c r="C122" s="733" t="s">
        <v>1080</v>
      </c>
      <c r="D122" s="733">
        <v>59.098564147949219</v>
      </c>
      <c r="E122" s="733">
        <v>1</v>
      </c>
    </row>
    <row r="123" spans="2:5" x14ac:dyDescent="0.25">
      <c r="B123" s="1382" t="s">
        <v>1840</v>
      </c>
      <c r="C123" s="733" t="s">
        <v>1080</v>
      </c>
      <c r="D123" s="733">
        <v>82.621490478515625</v>
      </c>
      <c r="E123" s="733">
        <v>1</v>
      </c>
    </row>
    <row r="124" spans="2:5" x14ac:dyDescent="0.25">
      <c r="B124" s="1382" t="s">
        <v>1840</v>
      </c>
      <c r="C124" s="733" t="s">
        <v>1081</v>
      </c>
      <c r="D124" s="733">
        <v>60.02874755859375</v>
      </c>
      <c r="E124" s="733">
        <v>1</v>
      </c>
    </row>
    <row r="125" spans="2:5" x14ac:dyDescent="0.25">
      <c r="B125" s="1382" t="s">
        <v>1840</v>
      </c>
      <c r="C125" s="733" t="s">
        <v>1081</v>
      </c>
      <c r="D125" s="733">
        <v>74.106094360351563</v>
      </c>
      <c r="E125" s="733">
        <v>1</v>
      </c>
    </row>
    <row r="126" spans="2:5" x14ac:dyDescent="0.25">
      <c r="B126" s="1382" t="s">
        <v>1840</v>
      </c>
      <c r="C126" s="733" t="s">
        <v>1081</v>
      </c>
      <c r="D126" s="733">
        <v>70.060234069824219</v>
      </c>
      <c r="E126" s="733">
        <v>1</v>
      </c>
    </row>
    <row r="127" spans="2:5" x14ac:dyDescent="0.25">
      <c r="B127" s="1382" t="s">
        <v>1840</v>
      </c>
      <c r="C127" s="733" t="s">
        <v>1080</v>
      </c>
      <c r="D127" s="733">
        <v>55.670089721679688</v>
      </c>
      <c r="E127" s="733">
        <v>1</v>
      </c>
    </row>
    <row r="128" spans="2:5" x14ac:dyDescent="0.25">
      <c r="B128" s="1382" t="s">
        <v>1840</v>
      </c>
      <c r="C128" s="733" t="s">
        <v>1081</v>
      </c>
      <c r="D128" s="733">
        <v>77.298423767089844</v>
      </c>
      <c r="E128" s="733">
        <v>1</v>
      </c>
    </row>
    <row r="129" spans="2:5" x14ac:dyDescent="0.25">
      <c r="B129" s="1382" t="s">
        <v>1840</v>
      </c>
      <c r="C129" s="733" t="s">
        <v>1080</v>
      </c>
      <c r="D129" s="733">
        <v>64.421630859375</v>
      </c>
      <c r="E129" s="733">
        <v>1</v>
      </c>
    </row>
    <row r="130" spans="2:5" x14ac:dyDescent="0.25">
      <c r="B130" s="1382" t="s">
        <v>1840</v>
      </c>
      <c r="C130" s="733" t="s">
        <v>1080</v>
      </c>
      <c r="D130" s="733">
        <v>74.034225463867188</v>
      </c>
      <c r="E130" s="733">
        <v>1</v>
      </c>
    </row>
    <row r="131" spans="2:5" x14ac:dyDescent="0.25">
      <c r="B131" s="1382" t="s">
        <v>1840</v>
      </c>
      <c r="C131" s="733" t="s">
        <v>1080</v>
      </c>
      <c r="D131" s="733">
        <v>81.098564147949219</v>
      </c>
      <c r="E131" s="733">
        <v>1</v>
      </c>
    </row>
    <row r="132" spans="2:5" x14ac:dyDescent="0.25">
      <c r="B132" s="1382" t="s">
        <v>1840</v>
      </c>
      <c r="C132" s="733" t="s">
        <v>1080</v>
      </c>
      <c r="D132" s="733">
        <v>78.038330078125</v>
      </c>
      <c r="E132" s="733">
        <v>1</v>
      </c>
    </row>
    <row r="133" spans="2:5" x14ac:dyDescent="0.25">
      <c r="B133" s="1382" t="s">
        <v>1840</v>
      </c>
      <c r="C133" s="733" t="s">
        <v>1080</v>
      </c>
      <c r="D133" s="733">
        <v>60.07666015625</v>
      </c>
      <c r="E133" s="733">
        <v>1</v>
      </c>
    </row>
    <row r="134" spans="2:5" x14ac:dyDescent="0.25">
      <c r="B134" s="1382" t="s">
        <v>1840</v>
      </c>
      <c r="C134" s="733" t="s">
        <v>1080</v>
      </c>
      <c r="D134" s="733">
        <v>94.29705810546875</v>
      </c>
      <c r="E134" s="733">
        <v>1</v>
      </c>
    </row>
    <row r="135" spans="2:5" x14ac:dyDescent="0.25">
      <c r="B135" s="1382" t="s">
        <v>1840</v>
      </c>
      <c r="C135" s="733" t="s">
        <v>1080</v>
      </c>
      <c r="D135" s="733">
        <v>72.049278259277344</v>
      </c>
      <c r="E135" s="733">
        <v>1</v>
      </c>
    </row>
    <row r="136" spans="2:5" x14ac:dyDescent="0.25">
      <c r="B136" s="1382" t="s">
        <v>1840</v>
      </c>
      <c r="C136" s="733" t="s">
        <v>1080</v>
      </c>
      <c r="D136" s="733">
        <v>53.035591125488281</v>
      </c>
      <c r="E136" s="733">
        <v>1</v>
      </c>
    </row>
    <row r="137" spans="2:5" x14ac:dyDescent="0.25">
      <c r="B137" s="1382" t="s">
        <v>1840</v>
      </c>
      <c r="C137" s="733" t="s">
        <v>1080</v>
      </c>
      <c r="D137" s="733">
        <v>69.476387023925781</v>
      </c>
      <c r="E137" s="733">
        <v>1</v>
      </c>
    </row>
    <row r="138" spans="2:5" x14ac:dyDescent="0.25">
      <c r="B138" s="1382" t="s">
        <v>1840</v>
      </c>
      <c r="C138" s="733" t="s">
        <v>1080</v>
      </c>
      <c r="D138" s="733">
        <v>64.038330078125</v>
      </c>
      <c r="E138" s="733">
        <v>1</v>
      </c>
    </row>
    <row r="139" spans="2:5" x14ac:dyDescent="0.25">
      <c r="B139" s="1382" t="s">
        <v>1840</v>
      </c>
      <c r="C139" s="733" t="s">
        <v>1080</v>
      </c>
      <c r="D139" s="733">
        <v>61.101299285888672</v>
      </c>
      <c r="E139" s="733">
        <v>1</v>
      </c>
    </row>
    <row r="140" spans="2:5" x14ac:dyDescent="0.25">
      <c r="B140" s="1382" t="s">
        <v>1840</v>
      </c>
      <c r="C140" s="733" t="s">
        <v>1080</v>
      </c>
      <c r="D140" s="733">
        <v>70.087608337402344</v>
      </c>
      <c r="E140" s="733">
        <v>1</v>
      </c>
    </row>
    <row r="141" spans="2:5" x14ac:dyDescent="0.25">
      <c r="B141" s="1382" t="s">
        <v>1840</v>
      </c>
      <c r="C141" s="733" t="s">
        <v>1080</v>
      </c>
      <c r="D141" s="733">
        <v>75.489387512207031</v>
      </c>
      <c r="E141" s="733">
        <v>1</v>
      </c>
    </row>
    <row r="142" spans="2:5" x14ac:dyDescent="0.25">
      <c r="B142" s="1382" t="s">
        <v>1840</v>
      </c>
      <c r="C142" s="733" t="s">
        <v>1080</v>
      </c>
      <c r="D142" s="733">
        <v>48.566734313964844</v>
      </c>
      <c r="E142" s="733">
        <v>1</v>
      </c>
    </row>
    <row r="143" spans="2:5" x14ac:dyDescent="0.25">
      <c r="B143" s="1382" t="s">
        <v>1840</v>
      </c>
      <c r="C143" s="733" t="s">
        <v>1080</v>
      </c>
      <c r="D143" s="733">
        <v>58.320327758789063</v>
      </c>
      <c r="E143" s="733">
        <v>1</v>
      </c>
    </row>
    <row r="144" spans="2:5" x14ac:dyDescent="0.25">
      <c r="B144" s="1382" t="s">
        <v>1840</v>
      </c>
      <c r="C144" s="733" t="s">
        <v>1081</v>
      </c>
      <c r="D144" s="733">
        <v>66.07666015625</v>
      </c>
      <c r="E144" s="733">
        <v>1</v>
      </c>
    </row>
    <row r="145" spans="2:5" x14ac:dyDescent="0.25">
      <c r="B145" s="1382" t="s">
        <v>1840</v>
      </c>
      <c r="C145" s="733" t="s">
        <v>1081</v>
      </c>
      <c r="D145" s="733">
        <v>76.432579040527344</v>
      </c>
      <c r="E145" s="733">
        <v>1</v>
      </c>
    </row>
    <row r="146" spans="2:5" x14ac:dyDescent="0.25">
      <c r="B146" s="1382" t="s">
        <v>1840</v>
      </c>
      <c r="C146" s="733" t="s">
        <v>1080</v>
      </c>
      <c r="D146" s="733">
        <v>64.5174560546875</v>
      </c>
      <c r="E146" s="733">
        <v>1</v>
      </c>
    </row>
    <row r="147" spans="2:5" x14ac:dyDescent="0.25">
      <c r="B147" s="1382" t="s">
        <v>1840</v>
      </c>
      <c r="C147" s="733" t="s">
        <v>1080</v>
      </c>
      <c r="D147" s="733">
        <v>60.610542297363281</v>
      </c>
      <c r="E147" s="733">
        <v>1</v>
      </c>
    </row>
    <row r="148" spans="2:5" x14ac:dyDescent="0.25">
      <c r="B148" s="1382" t="s">
        <v>1840</v>
      </c>
      <c r="C148" s="733" t="s">
        <v>1080</v>
      </c>
      <c r="D148" s="733">
        <v>67.449005126953125</v>
      </c>
      <c r="E148" s="733">
        <v>1</v>
      </c>
    </row>
    <row r="149" spans="2:5" x14ac:dyDescent="0.25">
      <c r="B149" s="1382" t="s">
        <v>1840</v>
      </c>
      <c r="C149" s="733" t="s">
        <v>1081</v>
      </c>
      <c r="D149" s="733">
        <v>68.024642944335938</v>
      </c>
      <c r="E149" s="733">
        <v>1</v>
      </c>
    </row>
    <row r="150" spans="2:5" x14ac:dyDescent="0.25">
      <c r="B150" s="1382" t="s">
        <v>1840</v>
      </c>
      <c r="C150" s="733" t="s">
        <v>1081</v>
      </c>
      <c r="D150" s="733">
        <v>62.079399108886719</v>
      </c>
      <c r="E150" s="733">
        <v>1</v>
      </c>
    </row>
    <row r="151" spans="2:5" x14ac:dyDescent="0.25">
      <c r="B151" s="1382" t="s">
        <v>1840</v>
      </c>
      <c r="C151" s="733" t="s">
        <v>1080</v>
      </c>
      <c r="D151" s="733">
        <v>50.123203277587891</v>
      </c>
      <c r="E151" s="733">
        <v>1</v>
      </c>
    </row>
    <row r="152" spans="2:5" x14ac:dyDescent="0.25">
      <c r="B152" s="1382" t="s">
        <v>1840</v>
      </c>
      <c r="C152" s="733" t="s">
        <v>1081</v>
      </c>
      <c r="D152" s="733">
        <v>58.128677368164063</v>
      </c>
      <c r="E152" s="733">
        <v>1</v>
      </c>
    </row>
    <row r="153" spans="2:5" x14ac:dyDescent="0.25">
      <c r="B153" s="1382" t="s">
        <v>1840</v>
      </c>
      <c r="C153" s="733" t="s">
        <v>1080</v>
      </c>
      <c r="D153" s="733">
        <v>54.131416320800781</v>
      </c>
      <c r="E153" s="733">
        <v>1</v>
      </c>
    </row>
    <row r="154" spans="2:5" x14ac:dyDescent="0.25">
      <c r="B154" s="1382" t="s">
        <v>1840</v>
      </c>
      <c r="C154" s="733" t="s">
        <v>1080</v>
      </c>
      <c r="D154" s="733">
        <v>67.139633178710938</v>
      </c>
      <c r="E154" s="733">
        <v>1</v>
      </c>
    </row>
    <row r="155" spans="2:5" x14ac:dyDescent="0.25">
      <c r="B155" s="1382" t="s">
        <v>1840</v>
      </c>
      <c r="C155" s="733" t="s">
        <v>1080</v>
      </c>
      <c r="D155" s="733">
        <v>76.963722229003906</v>
      </c>
      <c r="E155" s="733">
        <v>1</v>
      </c>
    </row>
    <row r="156" spans="2:5" x14ac:dyDescent="0.25">
      <c r="B156" s="1382" t="s">
        <v>1840</v>
      </c>
      <c r="C156" s="733" t="s">
        <v>1080</v>
      </c>
      <c r="D156" s="733">
        <v>71.139633178710938</v>
      </c>
      <c r="E156" s="733">
        <v>1</v>
      </c>
    </row>
    <row r="157" spans="2:5" x14ac:dyDescent="0.25">
      <c r="B157" s="1382" t="s">
        <v>1840</v>
      </c>
      <c r="C157" s="733" t="s">
        <v>1080</v>
      </c>
      <c r="D157" s="733">
        <v>69.021903991699219</v>
      </c>
      <c r="E157" s="733">
        <v>1</v>
      </c>
    </row>
    <row r="158" spans="2:5" x14ac:dyDescent="0.25">
      <c r="B158" s="1382" t="s">
        <v>1840</v>
      </c>
      <c r="C158" s="733" t="s">
        <v>1080</v>
      </c>
      <c r="D158" s="733">
        <v>86.132102966308594</v>
      </c>
      <c r="E158" s="733">
        <v>1</v>
      </c>
    </row>
    <row r="159" spans="2:5" x14ac:dyDescent="0.25">
      <c r="B159" s="1382" t="s">
        <v>1840</v>
      </c>
      <c r="C159" s="733" t="s">
        <v>1080</v>
      </c>
      <c r="D159" s="733">
        <v>59.140316009521484</v>
      </c>
      <c r="E159" s="733">
        <v>1</v>
      </c>
    </row>
    <row r="160" spans="2:5" x14ac:dyDescent="0.25">
      <c r="B160" s="1382" t="s">
        <v>1840</v>
      </c>
      <c r="C160" s="733" t="s">
        <v>1081</v>
      </c>
      <c r="D160" s="733">
        <v>38.114990234375</v>
      </c>
      <c r="E160" s="733">
        <v>1</v>
      </c>
    </row>
    <row r="161" spans="2:5" x14ac:dyDescent="0.25">
      <c r="B161" s="1382" t="s">
        <v>1840</v>
      </c>
      <c r="C161" s="733" t="s">
        <v>1081</v>
      </c>
      <c r="D161" s="733">
        <v>46.475017547607422</v>
      </c>
      <c r="E161" s="733">
        <v>1</v>
      </c>
    </row>
    <row r="162" spans="2:5" x14ac:dyDescent="0.25">
      <c r="B162" s="1382" t="s">
        <v>1840</v>
      </c>
      <c r="C162" s="733" t="s">
        <v>1080</v>
      </c>
      <c r="D162" s="733">
        <v>48.917179107666016</v>
      </c>
      <c r="E162" s="733">
        <v>1</v>
      </c>
    </row>
    <row r="163" spans="2:5" x14ac:dyDescent="0.25">
      <c r="B163" s="1382" t="s">
        <v>1840</v>
      </c>
      <c r="C163" s="733" t="s">
        <v>1080</v>
      </c>
      <c r="D163" s="733">
        <v>54.0574951171875</v>
      </c>
      <c r="E163" s="733">
        <v>1</v>
      </c>
    </row>
    <row r="164" spans="2:5" x14ac:dyDescent="0.25">
      <c r="B164" s="1382" t="s">
        <v>1840</v>
      </c>
      <c r="C164" s="733" t="s">
        <v>1080</v>
      </c>
      <c r="D164" s="733">
        <v>77.4407958984375</v>
      </c>
      <c r="E164" s="733">
        <v>1</v>
      </c>
    </row>
    <row r="165" spans="2:5" x14ac:dyDescent="0.25">
      <c r="B165" s="1382" t="s">
        <v>1840</v>
      </c>
      <c r="C165" s="733" t="s">
        <v>1081</v>
      </c>
      <c r="D165" s="733">
        <v>57.112251281738281</v>
      </c>
      <c r="E165" s="733">
        <v>1</v>
      </c>
    </row>
    <row r="166" spans="2:5" x14ac:dyDescent="0.25">
      <c r="B166" s="1382" t="s">
        <v>1840</v>
      </c>
      <c r="C166" s="733" t="s">
        <v>1081</v>
      </c>
      <c r="D166" s="733">
        <v>59.07666015625</v>
      </c>
      <c r="E166" s="733">
        <v>1</v>
      </c>
    </row>
    <row r="167" spans="2:5" x14ac:dyDescent="0.25">
      <c r="B167" s="1382" t="s">
        <v>1840</v>
      </c>
      <c r="C167" s="733" t="s">
        <v>1080</v>
      </c>
      <c r="D167" s="733">
        <v>81.588638305664063</v>
      </c>
      <c r="E167" s="733">
        <v>1</v>
      </c>
    </row>
    <row r="168" spans="2:5" x14ac:dyDescent="0.25">
      <c r="B168" s="1382" t="s">
        <v>1840</v>
      </c>
      <c r="C168" s="733" t="s">
        <v>1081</v>
      </c>
      <c r="D168" s="733">
        <v>66.191650390625</v>
      </c>
      <c r="E168" s="733">
        <v>1</v>
      </c>
    </row>
    <row r="169" spans="2:5" x14ac:dyDescent="0.25">
      <c r="B169" s="1382" t="s">
        <v>1840</v>
      </c>
      <c r="C169" s="733" t="s">
        <v>1081</v>
      </c>
      <c r="D169" s="733">
        <v>72.424369812011719</v>
      </c>
      <c r="E169" s="733">
        <v>1</v>
      </c>
    </row>
    <row r="170" spans="2:5" x14ac:dyDescent="0.25">
      <c r="B170" s="1382" t="s">
        <v>1840</v>
      </c>
      <c r="C170" s="733" t="s">
        <v>1081</v>
      </c>
      <c r="D170" s="733">
        <v>63.183437347412109</v>
      </c>
      <c r="E170" s="733">
        <v>1</v>
      </c>
    </row>
    <row r="171" spans="2:5" x14ac:dyDescent="0.25">
      <c r="B171" s="1382" t="s">
        <v>1840</v>
      </c>
      <c r="C171" s="733" t="s">
        <v>1080</v>
      </c>
      <c r="D171" s="733">
        <v>48.598903656005859</v>
      </c>
      <c r="E171" s="733">
        <v>1</v>
      </c>
    </row>
    <row r="172" spans="2:5" x14ac:dyDescent="0.25">
      <c r="B172" s="1382" t="s">
        <v>1840</v>
      </c>
      <c r="C172" s="733" t="s">
        <v>1080</v>
      </c>
      <c r="D172" s="733">
        <v>72.120468139648438</v>
      </c>
      <c r="E172" s="733">
        <v>1</v>
      </c>
    </row>
    <row r="173" spans="2:5" x14ac:dyDescent="0.25">
      <c r="B173" s="1382" t="s">
        <v>1840</v>
      </c>
      <c r="C173" s="733" t="s">
        <v>1080</v>
      </c>
      <c r="D173" s="733">
        <v>70.188911437988281</v>
      </c>
      <c r="E173" s="733">
        <v>1</v>
      </c>
    </row>
    <row r="174" spans="2:5" x14ac:dyDescent="0.25">
      <c r="B174" s="1382" t="s">
        <v>1840</v>
      </c>
      <c r="C174" s="733" t="s">
        <v>1080</v>
      </c>
      <c r="D174" s="733">
        <v>51.114990234375</v>
      </c>
      <c r="E174" s="733">
        <v>1</v>
      </c>
    </row>
    <row r="175" spans="2:5" x14ac:dyDescent="0.25">
      <c r="B175" s="1382" t="s">
        <v>1840</v>
      </c>
      <c r="C175" s="733" t="s">
        <v>1080</v>
      </c>
      <c r="D175" s="733">
        <v>54.1341552734375</v>
      </c>
      <c r="E175" s="733">
        <v>1</v>
      </c>
    </row>
    <row r="176" spans="2:5" x14ac:dyDescent="0.25">
      <c r="B176" s="1382" t="s">
        <v>1840</v>
      </c>
      <c r="C176" s="733" t="s">
        <v>1080</v>
      </c>
      <c r="D176" s="733">
        <v>62.590007781982422</v>
      </c>
      <c r="E176" s="733">
        <v>1</v>
      </c>
    </row>
    <row r="177" spans="2:5" x14ac:dyDescent="0.25">
      <c r="B177" s="1382" t="s">
        <v>1840</v>
      </c>
      <c r="C177" s="733" t="s">
        <v>1080</v>
      </c>
      <c r="D177" s="733">
        <v>76.2108154296875</v>
      </c>
      <c r="E177" s="733">
        <v>1</v>
      </c>
    </row>
    <row r="178" spans="2:5" x14ac:dyDescent="0.25">
      <c r="B178" s="1382" t="s">
        <v>1840</v>
      </c>
      <c r="C178" s="733" t="s">
        <v>1080</v>
      </c>
      <c r="D178" s="733">
        <v>73.169746398925781</v>
      </c>
      <c r="E178" s="733">
        <v>1</v>
      </c>
    </row>
    <row r="179" spans="2:5" x14ac:dyDescent="0.25">
      <c r="B179" s="1382" t="s">
        <v>1840</v>
      </c>
      <c r="C179" s="733" t="s">
        <v>1080</v>
      </c>
      <c r="D179" s="733">
        <v>77.240928649902344</v>
      </c>
      <c r="E179" s="733">
        <v>1</v>
      </c>
    </row>
    <row r="180" spans="2:5" x14ac:dyDescent="0.25">
      <c r="B180" s="1382" t="s">
        <v>1840</v>
      </c>
      <c r="C180" s="733" t="s">
        <v>1080</v>
      </c>
      <c r="D180" s="733">
        <v>54.208076477050781</v>
      </c>
      <c r="E180" s="733">
        <v>1</v>
      </c>
    </row>
    <row r="181" spans="2:5" x14ac:dyDescent="0.25">
      <c r="B181" s="1382" t="s">
        <v>1840</v>
      </c>
      <c r="C181" s="733" t="s">
        <v>1080</v>
      </c>
      <c r="D181" s="733">
        <v>79.309379577636719</v>
      </c>
      <c r="E181" s="733">
        <v>1</v>
      </c>
    </row>
    <row r="182" spans="2:5" x14ac:dyDescent="0.25">
      <c r="B182" s="1382" t="s">
        <v>1840</v>
      </c>
      <c r="C182" s="733" t="s">
        <v>1081</v>
      </c>
      <c r="D182" s="733">
        <v>67.232719421386719</v>
      </c>
      <c r="E182" s="733">
        <v>1</v>
      </c>
    </row>
    <row r="183" spans="2:5" x14ac:dyDescent="0.25">
      <c r="B183" s="1382" t="s">
        <v>1840</v>
      </c>
      <c r="C183" s="733" t="s">
        <v>1080</v>
      </c>
      <c r="D183" s="733">
        <v>81.785079956054688</v>
      </c>
      <c r="E183" s="733">
        <v>1</v>
      </c>
    </row>
    <row r="184" spans="2:5" x14ac:dyDescent="0.25">
      <c r="B184" s="1382" t="s">
        <v>1840</v>
      </c>
      <c r="C184" s="733" t="s">
        <v>1081</v>
      </c>
      <c r="D184" s="733">
        <v>78.6707763671875</v>
      </c>
      <c r="E184" s="733">
        <v>1</v>
      </c>
    </row>
    <row r="185" spans="2:5" x14ac:dyDescent="0.25">
      <c r="B185" s="1382" t="s">
        <v>1840</v>
      </c>
      <c r="C185" s="733" t="s">
        <v>1080</v>
      </c>
      <c r="D185" s="733">
        <v>56.073921203613281</v>
      </c>
      <c r="E185" s="733">
        <v>1</v>
      </c>
    </row>
    <row r="186" spans="2:5" x14ac:dyDescent="0.25">
      <c r="B186" s="1382" t="s">
        <v>1840</v>
      </c>
      <c r="C186" s="733" t="s">
        <v>1080</v>
      </c>
      <c r="D186" s="733">
        <v>64.119781494140625</v>
      </c>
      <c r="E186" s="733">
        <v>1</v>
      </c>
    </row>
    <row r="187" spans="2:5" x14ac:dyDescent="0.25">
      <c r="B187" s="1382" t="s">
        <v>1840</v>
      </c>
      <c r="C187" s="733" t="s">
        <v>1080</v>
      </c>
      <c r="D187" s="733">
        <v>78.136894226074219</v>
      </c>
      <c r="E187" s="733">
        <v>1</v>
      </c>
    </row>
    <row r="188" spans="2:5" x14ac:dyDescent="0.25">
      <c r="B188" s="1382" t="s">
        <v>1840</v>
      </c>
      <c r="C188" s="733" t="s">
        <v>1080</v>
      </c>
      <c r="D188" s="733">
        <v>55.127311706542969</v>
      </c>
      <c r="E188" s="733">
        <v>1</v>
      </c>
    </row>
    <row r="189" spans="2:5" x14ac:dyDescent="0.25">
      <c r="B189" s="1382" t="s">
        <v>1840</v>
      </c>
      <c r="C189" s="733" t="s">
        <v>1080</v>
      </c>
      <c r="D189" s="733">
        <v>79.328544616699219</v>
      </c>
      <c r="E189" s="733">
        <v>1</v>
      </c>
    </row>
    <row r="190" spans="2:5" x14ac:dyDescent="0.25">
      <c r="B190" s="1382" t="s">
        <v>1840</v>
      </c>
      <c r="C190" s="733" t="s">
        <v>1080</v>
      </c>
      <c r="D190" s="733">
        <v>85.353179931640625</v>
      </c>
      <c r="E190" s="733">
        <v>1</v>
      </c>
    </row>
    <row r="191" spans="2:5" x14ac:dyDescent="0.25">
      <c r="B191" s="1382" t="s">
        <v>1840</v>
      </c>
      <c r="C191" s="733" t="s">
        <v>1081</v>
      </c>
      <c r="D191" s="733">
        <v>51.117729187011719</v>
      </c>
      <c r="E191" s="733">
        <v>1</v>
      </c>
    </row>
    <row r="192" spans="2:5" x14ac:dyDescent="0.25">
      <c r="B192" s="1382" t="s">
        <v>1840</v>
      </c>
      <c r="C192" s="733" t="s">
        <v>1081</v>
      </c>
      <c r="D192" s="733">
        <v>75.191650390625</v>
      </c>
      <c r="E192" s="733">
        <v>1</v>
      </c>
    </row>
    <row r="193" spans="2:5" x14ac:dyDescent="0.25">
      <c r="B193" s="1382" t="s">
        <v>1840</v>
      </c>
      <c r="C193" s="733" t="s">
        <v>1080</v>
      </c>
      <c r="D193" s="733">
        <v>46.093086242675781</v>
      </c>
      <c r="E193" s="733">
        <v>1</v>
      </c>
    </row>
    <row r="194" spans="2:5" x14ac:dyDescent="0.25">
      <c r="B194" s="1382" t="s">
        <v>1840</v>
      </c>
      <c r="C194" s="733" t="s">
        <v>1080</v>
      </c>
      <c r="D194" s="733">
        <v>57.147842407226563</v>
      </c>
      <c r="E194" s="733">
        <v>1</v>
      </c>
    </row>
    <row r="195" spans="2:5" x14ac:dyDescent="0.25">
      <c r="B195" s="1382" t="s">
        <v>1840</v>
      </c>
      <c r="C195" s="733" t="s">
        <v>1080</v>
      </c>
      <c r="D195" s="733">
        <v>54.273784637451172</v>
      </c>
      <c r="E195" s="733">
        <v>1</v>
      </c>
    </row>
    <row r="196" spans="2:5" x14ac:dyDescent="0.25">
      <c r="B196" s="1382" t="s">
        <v>1840</v>
      </c>
      <c r="C196" s="733" t="s">
        <v>1080</v>
      </c>
      <c r="D196" s="733">
        <v>72.145103454589844</v>
      </c>
      <c r="E196" s="733">
        <v>1</v>
      </c>
    </row>
    <row r="197" spans="2:5" x14ac:dyDescent="0.25">
      <c r="B197" s="1382" t="s">
        <v>1840</v>
      </c>
      <c r="C197" s="733" t="s">
        <v>1080</v>
      </c>
      <c r="D197" s="733">
        <v>71.188911437988281</v>
      </c>
      <c r="E197" s="733">
        <v>1</v>
      </c>
    </row>
    <row r="198" spans="2:5" x14ac:dyDescent="0.25">
      <c r="B198" s="1382" t="s">
        <v>1840</v>
      </c>
      <c r="C198" s="733" t="s">
        <v>1081</v>
      </c>
      <c r="D198" s="733">
        <v>73.199859619140625</v>
      </c>
      <c r="E198" s="733">
        <v>1</v>
      </c>
    </row>
    <row r="199" spans="2:5" x14ac:dyDescent="0.25">
      <c r="B199" s="1382" t="s">
        <v>1840</v>
      </c>
      <c r="C199" s="733" t="s">
        <v>1080</v>
      </c>
      <c r="D199" s="733">
        <v>73.073921203613281</v>
      </c>
      <c r="E199" s="733">
        <v>1</v>
      </c>
    </row>
    <row r="200" spans="2:5" x14ac:dyDescent="0.25">
      <c r="B200" s="1382" t="s">
        <v>1840</v>
      </c>
      <c r="C200" s="733" t="s">
        <v>1080</v>
      </c>
      <c r="D200" s="733">
        <v>68.2491455078125</v>
      </c>
      <c r="E200" s="733">
        <v>1</v>
      </c>
    </row>
    <row r="201" spans="2:5" x14ac:dyDescent="0.25">
      <c r="B201" s="1382" t="s">
        <v>1840</v>
      </c>
      <c r="C201" s="733" t="s">
        <v>1080</v>
      </c>
      <c r="D201" s="733">
        <v>72.188911437988281</v>
      </c>
      <c r="E201" s="733">
        <v>1</v>
      </c>
    </row>
    <row r="202" spans="2:5" x14ac:dyDescent="0.25">
      <c r="B202" s="1382" t="s">
        <v>1840</v>
      </c>
      <c r="C202" s="733" t="s">
        <v>1080</v>
      </c>
      <c r="D202" s="733">
        <v>60.158794403076172</v>
      </c>
      <c r="E202" s="733">
        <v>1</v>
      </c>
    </row>
    <row r="203" spans="2:5" x14ac:dyDescent="0.25">
      <c r="B203" s="1382" t="s">
        <v>1840</v>
      </c>
      <c r="C203" s="733" t="s">
        <v>1080</v>
      </c>
      <c r="D203" s="733">
        <v>63.139629364013672</v>
      </c>
      <c r="E203" s="733">
        <v>1</v>
      </c>
    </row>
    <row r="204" spans="2:5" x14ac:dyDescent="0.25">
      <c r="B204" s="1382" t="s">
        <v>1840</v>
      </c>
      <c r="C204" s="733" t="s">
        <v>1080</v>
      </c>
      <c r="D204" s="733">
        <v>69.164268493652344</v>
      </c>
      <c r="E204" s="733">
        <v>1</v>
      </c>
    </row>
    <row r="205" spans="2:5" x14ac:dyDescent="0.25">
      <c r="B205" s="1382" t="s">
        <v>1840</v>
      </c>
      <c r="C205" s="733" t="s">
        <v>1080</v>
      </c>
      <c r="D205" s="733">
        <v>54.046543121337891</v>
      </c>
      <c r="E205" s="733">
        <v>1</v>
      </c>
    </row>
    <row r="206" spans="2:5" x14ac:dyDescent="0.25">
      <c r="B206" s="1382" t="s">
        <v>1840</v>
      </c>
      <c r="C206" s="733" t="s">
        <v>1080</v>
      </c>
      <c r="D206" s="733">
        <v>72.082138061523438</v>
      </c>
      <c r="E206" s="733">
        <v>1</v>
      </c>
    </row>
    <row r="207" spans="2:5" x14ac:dyDescent="0.25">
      <c r="B207" s="1382" t="s">
        <v>1840</v>
      </c>
      <c r="C207" s="733" t="s">
        <v>1081</v>
      </c>
      <c r="D207" s="733">
        <v>71.052017211914063</v>
      </c>
      <c r="E207" s="733">
        <v>1</v>
      </c>
    </row>
    <row r="208" spans="2:5" x14ac:dyDescent="0.25">
      <c r="B208" s="1382" t="s">
        <v>1840</v>
      </c>
      <c r="C208" s="733" t="s">
        <v>1080</v>
      </c>
      <c r="D208" s="733">
        <v>44.114990234375</v>
      </c>
      <c r="E208" s="733">
        <v>1</v>
      </c>
    </row>
    <row r="209" spans="2:5" x14ac:dyDescent="0.25">
      <c r="B209" s="1382" t="s">
        <v>1840</v>
      </c>
      <c r="C209" s="733" t="s">
        <v>1080</v>
      </c>
      <c r="D209" s="733">
        <v>64.257354736328125</v>
      </c>
      <c r="E209" s="733">
        <v>1</v>
      </c>
    </row>
    <row r="210" spans="2:5" x14ac:dyDescent="0.25">
      <c r="B210" s="1382" t="s">
        <v>1840</v>
      </c>
      <c r="C210" s="733" t="s">
        <v>1080</v>
      </c>
      <c r="D210" s="733">
        <v>79.114990234375</v>
      </c>
      <c r="E210" s="733">
        <v>1</v>
      </c>
    </row>
    <row r="211" spans="2:5" x14ac:dyDescent="0.25">
      <c r="B211" s="1382" t="s">
        <v>1840</v>
      </c>
      <c r="C211" s="733" t="s">
        <v>1080</v>
      </c>
      <c r="D211" s="733">
        <v>75.765914916992188</v>
      </c>
      <c r="E211" s="733">
        <v>1</v>
      </c>
    </row>
    <row r="212" spans="2:5" x14ac:dyDescent="0.25">
      <c r="B212" s="1382" t="s">
        <v>1840</v>
      </c>
      <c r="C212" s="733" t="s">
        <v>1080</v>
      </c>
      <c r="D212" s="733">
        <v>66.835502624511719</v>
      </c>
      <c r="E212" s="733">
        <v>1</v>
      </c>
    </row>
    <row r="213" spans="2:5" x14ac:dyDescent="0.25">
      <c r="B213" s="1382" t="s">
        <v>1840</v>
      </c>
      <c r="C213" s="733" t="s">
        <v>1080</v>
      </c>
      <c r="D213" s="733">
        <v>73.206184387207031</v>
      </c>
      <c r="E213" s="733">
        <v>1</v>
      </c>
    </row>
    <row r="214" spans="2:5" x14ac:dyDescent="0.25">
      <c r="B214" s="1382" t="s">
        <v>1840</v>
      </c>
      <c r="C214" s="733" t="s">
        <v>1080</v>
      </c>
      <c r="D214" s="733">
        <v>67.142066955566406</v>
      </c>
      <c r="E214" s="733">
        <v>1</v>
      </c>
    </row>
    <row r="215" spans="2:5" x14ac:dyDescent="0.25">
      <c r="B215" s="1382" t="s">
        <v>1840</v>
      </c>
      <c r="C215" s="733" t="s">
        <v>1080</v>
      </c>
      <c r="D215" s="733">
        <v>66.725990295410156</v>
      </c>
      <c r="E215" s="733">
        <v>1</v>
      </c>
    </row>
    <row r="216" spans="2:5" x14ac:dyDescent="0.25">
      <c r="B216" s="1382" t="s">
        <v>1840</v>
      </c>
      <c r="C216" s="733" t="s">
        <v>1080</v>
      </c>
      <c r="D216" s="733">
        <v>62.257389068603516</v>
      </c>
      <c r="E216" s="733">
        <v>1</v>
      </c>
    </row>
    <row r="217" spans="2:5" x14ac:dyDescent="0.25">
      <c r="B217" s="1382" t="s">
        <v>1840</v>
      </c>
      <c r="C217" s="733" t="s">
        <v>1081</v>
      </c>
      <c r="D217" s="733">
        <v>52.978000640869141</v>
      </c>
      <c r="E217" s="733">
        <v>1</v>
      </c>
    </row>
    <row r="218" spans="2:5" x14ac:dyDescent="0.25">
      <c r="B218" s="1382" t="s">
        <v>1840</v>
      </c>
      <c r="C218" s="733" t="s">
        <v>1081</v>
      </c>
      <c r="D218" s="733">
        <v>75.076713562011719</v>
      </c>
      <c r="E218" s="733">
        <v>1</v>
      </c>
    </row>
    <row r="219" spans="2:5" x14ac:dyDescent="0.25">
      <c r="B219" s="1382" t="s">
        <v>1840</v>
      </c>
      <c r="C219" s="733" t="s">
        <v>1080</v>
      </c>
      <c r="D219" s="733">
        <v>58.739540100097656</v>
      </c>
      <c r="E219" s="733">
        <v>1</v>
      </c>
    </row>
    <row r="220" spans="2:5" x14ac:dyDescent="0.25">
      <c r="B220" s="1382" t="s">
        <v>1840</v>
      </c>
      <c r="C220" s="733" t="s">
        <v>1081</v>
      </c>
      <c r="D220" s="733">
        <v>57.630100250244141</v>
      </c>
      <c r="E220" s="733">
        <v>1</v>
      </c>
    </row>
    <row r="221" spans="2:5" x14ac:dyDescent="0.25">
      <c r="B221" s="1382" t="s">
        <v>1840</v>
      </c>
      <c r="C221" s="733" t="s">
        <v>1080</v>
      </c>
      <c r="D221" s="733">
        <v>49.241062164306641</v>
      </c>
      <c r="E221" s="733">
        <v>1</v>
      </c>
    </row>
    <row r="222" spans="2:5" x14ac:dyDescent="0.25">
      <c r="B222" s="1382" t="s">
        <v>1840</v>
      </c>
      <c r="C222" s="733" t="s">
        <v>1081</v>
      </c>
      <c r="D222" s="733">
        <v>69.221244812011719</v>
      </c>
      <c r="E222" s="733">
        <v>1</v>
      </c>
    </row>
    <row r="223" spans="2:5" x14ac:dyDescent="0.25">
      <c r="B223" s="1382" t="s">
        <v>1840</v>
      </c>
      <c r="C223" s="733" t="s">
        <v>1081</v>
      </c>
      <c r="D223" s="733">
        <v>68.936798095703125</v>
      </c>
      <c r="E223" s="733">
        <v>1</v>
      </c>
    </row>
    <row r="224" spans="2:5" x14ac:dyDescent="0.25">
      <c r="B224" s="1382" t="s">
        <v>1840</v>
      </c>
      <c r="C224" s="733" t="s">
        <v>1080</v>
      </c>
      <c r="D224" s="733">
        <v>59.298450469970703</v>
      </c>
      <c r="E224" s="733">
        <v>1</v>
      </c>
    </row>
    <row r="225" spans="2:5" x14ac:dyDescent="0.25">
      <c r="B225" s="1382" t="s">
        <v>1840</v>
      </c>
      <c r="C225" s="733" t="s">
        <v>1080</v>
      </c>
      <c r="D225" s="733">
        <v>49.495742797851563</v>
      </c>
      <c r="E225" s="733">
        <v>1</v>
      </c>
    </row>
    <row r="226" spans="2:5" x14ac:dyDescent="0.25">
      <c r="B226" s="1382" t="s">
        <v>1840</v>
      </c>
      <c r="C226" s="733" t="s">
        <v>1081</v>
      </c>
      <c r="D226" s="733">
        <v>75.421730041503906</v>
      </c>
      <c r="E226" s="733">
        <v>1</v>
      </c>
    </row>
    <row r="227" spans="2:5" x14ac:dyDescent="0.25">
      <c r="B227" s="1382" t="s">
        <v>1840</v>
      </c>
      <c r="C227" s="733" t="s">
        <v>1080</v>
      </c>
      <c r="D227" s="733">
        <v>67.662887573242188</v>
      </c>
      <c r="E227" s="733">
        <v>1</v>
      </c>
    </row>
    <row r="228" spans="2:5" x14ac:dyDescent="0.25">
      <c r="B228" s="1382" t="s">
        <v>1840</v>
      </c>
      <c r="C228" s="733" t="s">
        <v>1080</v>
      </c>
      <c r="D228" s="733">
        <v>56.509037017822266</v>
      </c>
      <c r="E228" s="733">
        <v>1</v>
      </c>
    </row>
    <row r="229" spans="2:5" x14ac:dyDescent="0.25">
      <c r="B229" s="1382" t="s">
        <v>1840</v>
      </c>
      <c r="C229" s="733" t="s">
        <v>1080</v>
      </c>
      <c r="D229" s="733">
        <v>61.265678405761719</v>
      </c>
      <c r="E229" s="733">
        <v>1</v>
      </c>
    </row>
    <row r="230" spans="2:5" x14ac:dyDescent="0.25">
      <c r="B230" s="1382" t="s">
        <v>1840</v>
      </c>
      <c r="C230" s="733" t="s">
        <v>1080</v>
      </c>
      <c r="D230" s="733">
        <v>57.046451568603516</v>
      </c>
      <c r="E230" s="733">
        <v>1</v>
      </c>
    </row>
    <row r="231" spans="2:5" x14ac:dyDescent="0.25">
      <c r="B231" s="1382" t="s">
        <v>1840</v>
      </c>
      <c r="C231" s="733" t="s">
        <v>1081</v>
      </c>
      <c r="D231" s="733">
        <v>57.492965698242188</v>
      </c>
      <c r="E231" s="733">
        <v>1</v>
      </c>
    </row>
    <row r="232" spans="2:5" x14ac:dyDescent="0.25">
      <c r="B232" s="1382" t="s">
        <v>1840</v>
      </c>
      <c r="C232" s="733" t="s">
        <v>1080</v>
      </c>
      <c r="D232" s="733">
        <v>60.111507415771484</v>
      </c>
      <c r="E232" s="733">
        <v>1</v>
      </c>
    </row>
    <row r="233" spans="2:5" x14ac:dyDescent="0.25">
      <c r="B233" s="1382" t="s">
        <v>1840</v>
      </c>
      <c r="C233" s="733" t="s">
        <v>1080</v>
      </c>
      <c r="D233" s="733">
        <v>67.188758850097656</v>
      </c>
      <c r="E233" s="733">
        <v>1</v>
      </c>
    </row>
    <row r="234" spans="2:5" x14ac:dyDescent="0.25">
      <c r="B234" s="1382" t="s">
        <v>1840</v>
      </c>
      <c r="C234" s="733" t="s">
        <v>1080</v>
      </c>
      <c r="D234" s="733">
        <v>56.322856903076172</v>
      </c>
      <c r="E234" s="733">
        <v>1</v>
      </c>
    </row>
    <row r="235" spans="2:5" x14ac:dyDescent="0.25">
      <c r="B235" s="1382" t="s">
        <v>1840</v>
      </c>
      <c r="C235" s="733" t="s">
        <v>1080</v>
      </c>
      <c r="D235" s="733">
        <v>71.982322692871094</v>
      </c>
      <c r="E235" s="733">
        <v>1</v>
      </c>
    </row>
    <row r="236" spans="2:5" x14ac:dyDescent="0.25">
      <c r="B236" s="1382" t="s">
        <v>1840</v>
      </c>
      <c r="C236" s="733" t="s">
        <v>1081</v>
      </c>
      <c r="D236" s="733">
        <v>74.246452331542969</v>
      </c>
      <c r="E236" s="733">
        <v>1</v>
      </c>
    </row>
    <row r="237" spans="2:5" x14ac:dyDescent="0.25">
      <c r="B237" s="1382" t="s">
        <v>1840</v>
      </c>
      <c r="C237" s="733" t="s">
        <v>1080</v>
      </c>
      <c r="D237" s="733">
        <v>65.851753234863281</v>
      </c>
      <c r="E237" s="733">
        <v>1</v>
      </c>
    </row>
    <row r="238" spans="2:5" x14ac:dyDescent="0.25">
      <c r="B238" s="1382" t="s">
        <v>1840</v>
      </c>
      <c r="C238" s="733" t="s">
        <v>1080</v>
      </c>
      <c r="D238" s="733">
        <v>58.884845733642578</v>
      </c>
      <c r="E238" s="733">
        <v>1</v>
      </c>
    </row>
    <row r="239" spans="2:5" x14ac:dyDescent="0.25">
      <c r="B239" s="1382" t="s">
        <v>1840</v>
      </c>
      <c r="C239" s="733" t="s">
        <v>1080</v>
      </c>
      <c r="D239" s="733">
        <v>40.273910522460938</v>
      </c>
      <c r="E239" s="733">
        <v>1</v>
      </c>
    </row>
    <row r="240" spans="2:5" x14ac:dyDescent="0.25">
      <c r="B240" s="1382" t="s">
        <v>1840</v>
      </c>
      <c r="C240" s="733" t="s">
        <v>1080</v>
      </c>
      <c r="D240" s="733">
        <v>70.136825561523438</v>
      </c>
      <c r="E240" s="733">
        <v>1</v>
      </c>
    </row>
    <row r="241" spans="2:5" x14ac:dyDescent="0.25">
      <c r="B241" s="1382" t="s">
        <v>1840</v>
      </c>
      <c r="C241" s="733" t="s">
        <v>1080</v>
      </c>
      <c r="D241" s="733">
        <v>59.561397552490234</v>
      </c>
      <c r="E241" s="733">
        <v>1</v>
      </c>
    </row>
    <row r="242" spans="2:5" x14ac:dyDescent="0.25">
      <c r="B242" s="1382" t="s">
        <v>1840</v>
      </c>
      <c r="C242" s="733" t="s">
        <v>1081</v>
      </c>
      <c r="D242" s="733">
        <v>72.928627014160156</v>
      </c>
      <c r="E242" s="733">
        <v>1</v>
      </c>
    </row>
    <row r="243" spans="2:5" x14ac:dyDescent="0.25">
      <c r="B243" s="1382" t="s">
        <v>1840</v>
      </c>
      <c r="C243" s="733" t="s">
        <v>1080</v>
      </c>
      <c r="D243" s="733">
        <v>59.635505676269531</v>
      </c>
      <c r="E243" s="733">
        <v>1</v>
      </c>
    </row>
    <row r="244" spans="2:5" x14ac:dyDescent="0.25">
      <c r="B244" s="1382" t="s">
        <v>1840</v>
      </c>
      <c r="C244" s="733" t="s">
        <v>1081</v>
      </c>
      <c r="D244" s="733">
        <v>73.7176513671875</v>
      </c>
      <c r="E244" s="733">
        <v>1</v>
      </c>
    </row>
    <row r="245" spans="2:5" x14ac:dyDescent="0.25">
      <c r="B245" s="1382" t="s">
        <v>1840</v>
      </c>
      <c r="C245" s="733" t="s">
        <v>1080</v>
      </c>
      <c r="D245" s="733">
        <v>62.607612609863281</v>
      </c>
      <c r="E245" s="733">
        <v>1</v>
      </c>
    </row>
    <row r="246" spans="2:5" x14ac:dyDescent="0.25">
      <c r="B246" s="1382" t="s">
        <v>1840</v>
      </c>
      <c r="C246" s="733" t="s">
        <v>1080</v>
      </c>
      <c r="D246" s="733">
        <v>53.465679168701172</v>
      </c>
      <c r="E246" s="733">
        <v>1</v>
      </c>
    </row>
    <row r="247" spans="2:5" x14ac:dyDescent="0.25">
      <c r="B247" s="1382" t="s">
        <v>1840</v>
      </c>
      <c r="C247" s="733" t="s">
        <v>1080</v>
      </c>
      <c r="D247" s="733">
        <v>71.179901123046875</v>
      </c>
      <c r="E247" s="733">
        <v>1</v>
      </c>
    </row>
    <row r="248" spans="2:5" x14ac:dyDescent="0.25">
      <c r="B248" s="1382" t="s">
        <v>1840</v>
      </c>
      <c r="C248" s="733" t="s">
        <v>1080</v>
      </c>
      <c r="D248" s="733">
        <v>34.739700317382813</v>
      </c>
      <c r="E248" s="733">
        <v>1</v>
      </c>
    </row>
    <row r="249" spans="2:5" x14ac:dyDescent="0.25">
      <c r="B249" s="1382" t="s">
        <v>1840</v>
      </c>
      <c r="C249" s="733" t="s">
        <v>1081</v>
      </c>
      <c r="D249" s="733">
        <v>76.323158264160156</v>
      </c>
      <c r="E249" s="733">
        <v>1</v>
      </c>
    </row>
    <row r="250" spans="2:5" x14ac:dyDescent="0.25">
      <c r="B250" s="1382" t="s">
        <v>1840</v>
      </c>
      <c r="C250" s="733" t="s">
        <v>1081</v>
      </c>
      <c r="D250" s="733">
        <v>48.728691101074219</v>
      </c>
      <c r="E250" s="733">
        <v>1</v>
      </c>
    </row>
    <row r="251" spans="2:5" x14ac:dyDescent="0.25">
      <c r="B251" s="1382" t="s">
        <v>1840</v>
      </c>
      <c r="C251" s="733" t="s">
        <v>1080</v>
      </c>
      <c r="D251" s="733">
        <v>43.046215057373047</v>
      </c>
      <c r="E251" s="733">
        <v>1</v>
      </c>
    </row>
    <row r="252" spans="2:5" x14ac:dyDescent="0.25">
      <c r="B252" s="1382" t="s">
        <v>1840</v>
      </c>
      <c r="C252" s="733" t="s">
        <v>1080</v>
      </c>
      <c r="D252" s="733">
        <v>64.569595336914063</v>
      </c>
      <c r="E252" s="733">
        <v>1</v>
      </c>
    </row>
    <row r="253" spans="2:5" x14ac:dyDescent="0.25">
      <c r="B253" s="1382" t="s">
        <v>1840</v>
      </c>
      <c r="C253" s="733" t="s">
        <v>1080</v>
      </c>
      <c r="D253" s="733">
        <v>61.684772491455078</v>
      </c>
      <c r="E253" s="733">
        <v>1</v>
      </c>
    </row>
    <row r="254" spans="2:5" x14ac:dyDescent="0.25">
      <c r="B254" s="1382" t="s">
        <v>1840</v>
      </c>
      <c r="C254" s="733" t="s">
        <v>1080</v>
      </c>
      <c r="D254" s="733">
        <v>66.542152404785156</v>
      </c>
      <c r="E254" s="733">
        <v>1</v>
      </c>
    </row>
    <row r="255" spans="2:5" x14ac:dyDescent="0.25">
      <c r="B255" s="1382" t="s">
        <v>1840</v>
      </c>
      <c r="C255" s="733" t="s">
        <v>1080</v>
      </c>
      <c r="D255" s="733">
        <v>73.703384399414063</v>
      </c>
      <c r="E255" s="733">
        <v>1</v>
      </c>
    </row>
    <row r="256" spans="2:5" x14ac:dyDescent="0.25">
      <c r="B256" s="1382" t="s">
        <v>1840</v>
      </c>
      <c r="C256" s="733" t="s">
        <v>1080</v>
      </c>
      <c r="D256" s="733">
        <v>54.273460388183594</v>
      </c>
      <c r="E256" s="733">
        <v>1</v>
      </c>
    </row>
    <row r="257" spans="2:5" x14ac:dyDescent="0.25">
      <c r="B257" s="1382" t="s">
        <v>1840</v>
      </c>
      <c r="C257" s="733" t="s">
        <v>1080</v>
      </c>
      <c r="D257" s="733">
        <v>58.725883483886719</v>
      </c>
      <c r="E257" s="733">
        <v>1</v>
      </c>
    </row>
    <row r="258" spans="2:5" x14ac:dyDescent="0.25">
      <c r="B258" s="1382" t="s">
        <v>1840</v>
      </c>
      <c r="C258" s="733" t="s">
        <v>1080</v>
      </c>
      <c r="D258" s="733">
        <v>60.9827880859375</v>
      </c>
      <c r="E258" s="733">
        <v>1</v>
      </c>
    </row>
    <row r="259" spans="2:5" x14ac:dyDescent="0.25">
      <c r="B259" s="1382" t="s">
        <v>1840</v>
      </c>
      <c r="C259" s="733" t="s">
        <v>1080</v>
      </c>
      <c r="D259" s="733">
        <v>55.060203552246094</v>
      </c>
      <c r="E259" s="733">
        <v>1</v>
      </c>
    </row>
    <row r="260" spans="2:5" x14ac:dyDescent="0.25">
      <c r="B260" s="1382" t="s">
        <v>1840</v>
      </c>
      <c r="C260" s="733" t="s">
        <v>1080</v>
      </c>
      <c r="D260" s="733">
        <v>51.227321624755859</v>
      </c>
      <c r="E260" s="733">
        <v>1</v>
      </c>
    </row>
    <row r="261" spans="2:5" x14ac:dyDescent="0.25">
      <c r="B261" s="1382" t="s">
        <v>1840</v>
      </c>
      <c r="C261" s="733" t="s">
        <v>1080</v>
      </c>
      <c r="D261" s="733">
        <v>59.034492492675781</v>
      </c>
      <c r="E261" s="733">
        <v>1</v>
      </c>
    </row>
    <row r="262" spans="2:5" x14ac:dyDescent="0.25">
      <c r="B262" s="1382" t="s">
        <v>1840</v>
      </c>
      <c r="C262" s="733" t="s">
        <v>1080</v>
      </c>
      <c r="D262" s="733">
        <v>52.731414794921875</v>
      </c>
      <c r="E262" s="733">
        <v>1</v>
      </c>
    </row>
    <row r="263" spans="2:5" x14ac:dyDescent="0.25">
      <c r="B263" s="1382" t="s">
        <v>1840</v>
      </c>
      <c r="C263" s="733" t="s">
        <v>1080</v>
      </c>
      <c r="D263" s="733">
        <v>74.191642761230469</v>
      </c>
      <c r="E263" s="733">
        <v>1</v>
      </c>
    </row>
    <row r="264" spans="2:5" x14ac:dyDescent="0.25">
      <c r="B264" s="1382" t="s">
        <v>1840</v>
      </c>
      <c r="C264" s="733" t="s">
        <v>1080</v>
      </c>
      <c r="D264" s="733">
        <v>72.071037292480469</v>
      </c>
      <c r="E264" s="733">
        <v>1</v>
      </c>
    </row>
    <row r="265" spans="2:5" x14ac:dyDescent="0.25">
      <c r="B265" s="1382" t="s">
        <v>1840</v>
      </c>
      <c r="C265" s="733" t="s">
        <v>1081</v>
      </c>
      <c r="D265" s="733">
        <v>60.188899993896484</v>
      </c>
      <c r="E265" s="733">
        <v>1</v>
      </c>
    </row>
    <row r="266" spans="2:5" x14ac:dyDescent="0.25">
      <c r="B266" s="1382" t="s">
        <v>1840</v>
      </c>
      <c r="C266" s="733" t="s">
        <v>1080</v>
      </c>
      <c r="D266" s="733">
        <v>62.320308685302734</v>
      </c>
      <c r="E266" s="733">
        <v>1</v>
      </c>
    </row>
    <row r="267" spans="2:5" x14ac:dyDescent="0.25">
      <c r="B267" s="1382" t="s">
        <v>1840</v>
      </c>
      <c r="C267" s="733" t="s">
        <v>1080</v>
      </c>
      <c r="D267" s="733">
        <v>80.500808715820313</v>
      </c>
      <c r="E267" s="733">
        <v>1</v>
      </c>
    </row>
    <row r="268" spans="2:5" x14ac:dyDescent="0.25">
      <c r="B268" s="1382" t="s">
        <v>1840</v>
      </c>
      <c r="C268" s="733" t="s">
        <v>1080</v>
      </c>
      <c r="D268" s="733">
        <v>38.884738922119141</v>
      </c>
      <c r="E268" s="733">
        <v>1</v>
      </c>
    </row>
    <row r="269" spans="2:5" x14ac:dyDescent="0.25">
      <c r="B269" s="1382" t="s">
        <v>1840</v>
      </c>
      <c r="C269" s="733" t="s">
        <v>1080</v>
      </c>
      <c r="D269" s="733">
        <v>39.531387329101563</v>
      </c>
      <c r="E269" s="733">
        <v>1</v>
      </c>
    </row>
    <row r="270" spans="2:5" x14ac:dyDescent="0.25">
      <c r="B270" s="1382" t="s">
        <v>1840</v>
      </c>
      <c r="C270" s="733" t="s">
        <v>1080</v>
      </c>
      <c r="D270" s="733">
        <v>60.665725708007813</v>
      </c>
      <c r="E270" s="733">
        <v>1</v>
      </c>
    </row>
    <row r="271" spans="2:5" x14ac:dyDescent="0.25">
      <c r="B271" s="1382" t="s">
        <v>1840</v>
      </c>
      <c r="C271" s="733" t="s">
        <v>1080</v>
      </c>
      <c r="D271" s="733">
        <v>68.454727172851563</v>
      </c>
      <c r="E271" s="733">
        <v>1</v>
      </c>
    </row>
    <row r="272" spans="2:5" x14ac:dyDescent="0.25">
      <c r="B272" s="1382" t="s">
        <v>1840</v>
      </c>
      <c r="C272" s="733" t="s">
        <v>1081</v>
      </c>
      <c r="D272" s="733">
        <v>74.035560607910156</v>
      </c>
      <c r="E272" s="733">
        <v>1</v>
      </c>
    </row>
    <row r="273" spans="2:5" x14ac:dyDescent="0.25">
      <c r="B273" s="1382" t="s">
        <v>1840</v>
      </c>
      <c r="C273" s="733" t="s">
        <v>1080</v>
      </c>
      <c r="D273" s="733">
        <v>83.027336120605469</v>
      </c>
      <c r="E273" s="733">
        <v>1</v>
      </c>
    </row>
    <row r="274" spans="2:5" x14ac:dyDescent="0.25">
      <c r="B274" s="1382" t="s">
        <v>1840</v>
      </c>
      <c r="C274" s="733" t="s">
        <v>1080</v>
      </c>
      <c r="D274" s="733">
        <v>49.887615203857422</v>
      </c>
      <c r="E274" s="733">
        <v>1</v>
      </c>
    </row>
    <row r="275" spans="2:5" x14ac:dyDescent="0.25">
      <c r="B275" s="1382" t="s">
        <v>1840</v>
      </c>
      <c r="C275" s="733" t="s">
        <v>1080</v>
      </c>
      <c r="D275" s="733">
        <v>48.711997985839844</v>
      </c>
      <c r="E275" s="733">
        <v>1</v>
      </c>
    </row>
    <row r="276" spans="2:5" x14ac:dyDescent="0.25">
      <c r="B276" s="1382" t="s">
        <v>1840</v>
      </c>
      <c r="C276" s="733" t="s">
        <v>1080</v>
      </c>
      <c r="D276" s="733">
        <v>52.857444763183594</v>
      </c>
      <c r="E276" s="733">
        <v>1</v>
      </c>
    </row>
    <row r="277" spans="2:5" x14ac:dyDescent="0.25">
      <c r="B277" s="1382" t="s">
        <v>1840</v>
      </c>
      <c r="C277" s="733" t="s">
        <v>1080</v>
      </c>
      <c r="D277" s="733">
        <v>65.873748779296875</v>
      </c>
      <c r="E277" s="733">
        <v>1</v>
      </c>
    </row>
    <row r="278" spans="2:5" x14ac:dyDescent="0.25">
      <c r="B278" s="1382" t="s">
        <v>1840</v>
      </c>
      <c r="C278" s="733" t="s">
        <v>1081</v>
      </c>
      <c r="D278" s="733">
        <v>54.073848724365234</v>
      </c>
      <c r="E278" s="733">
        <v>1</v>
      </c>
    </row>
    <row r="279" spans="2:5" x14ac:dyDescent="0.25">
      <c r="B279" s="1382" t="s">
        <v>1840</v>
      </c>
      <c r="C279" s="733" t="s">
        <v>1080</v>
      </c>
      <c r="D279" s="733">
        <v>72.66845703125</v>
      </c>
      <c r="E279" s="733">
        <v>1</v>
      </c>
    </row>
    <row r="280" spans="2:5" x14ac:dyDescent="0.25">
      <c r="B280" s="1382" t="s">
        <v>1840</v>
      </c>
      <c r="C280" s="733" t="s">
        <v>1080</v>
      </c>
      <c r="D280" s="733">
        <v>67.877510070800781</v>
      </c>
      <c r="E280" s="733">
        <v>1</v>
      </c>
    </row>
    <row r="281" spans="2:5" x14ac:dyDescent="0.25">
      <c r="B281" s="1382" t="s">
        <v>1840</v>
      </c>
      <c r="C281" s="733" t="s">
        <v>1080</v>
      </c>
      <c r="D281" s="733">
        <v>71.745025634765625</v>
      </c>
      <c r="E281" s="733">
        <v>1</v>
      </c>
    </row>
    <row r="282" spans="2:5" x14ac:dyDescent="0.25">
      <c r="B282" s="1382" t="s">
        <v>1840</v>
      </c>
      <c r="C282" s="733" t="s">
        <v>1080</v>
      </c>
      <c r="D282" s="733">
        <v>60.802524566650391</v>
      </c>
      <c r="E282" s="733">
        <v>1</v>
      </c>
    </row>
    <row r="283" spans="2:5" x14ac:dyDescent="0.25">
      <c r="B283" s="1382" t="s">
        <v>1840</v>
      </c>
      <c r="C283" s="733" t="s">
        <v>1081</v>
      </c>
      <c r="D283" s="733">
        <v>63.226985931396484</v>
      </c>
      <c r="E283" s="733">
        <v>1</v>
      </c>
    </row>
    <row r="284" spans="2:5" x14ac:dyDescent="0.25">
      <c r="B284" s="1382" t="s">
        <v>1840</v>
      </c>
      <c r="C284" s="733" t="s">
        <v>1081</v>
      </c>
      <c r="D284" s="733">
        <v>55.301288604736328</v>
      </c>
      <c r="E284" s="733">
        <v>1</v>
      </c>
    </row>
    <row r="285" spans="2:5" x14ac:dyDescent="0.25">
      <c r="B285" s="1382" t="s">
        <v>1840</v>
      </c>
      <c r="C285" s="733" t="s">
        <v>1081</v>
      </c>
      <c r="D285" s="733">
        <v>65.106773376464844</v>
      </c>
      <c r="E285" s="733">
        <v>1</v>
      </c>
    </row>
    <row r="286" spans="2:5" x14ac:dyDescent="0.25">
      <c r="B286" s="1382" t="s">
        <v>1840</v>
      </c>
      <c r="C286" s="733" t="s">
        <v>1081</v>
      </c>
      <c r="D286" s="733">
        <v>70.80267333984375</v>
      </c>
      <c r="E286" s="733">
        <v>1</v>
      </c>
    </row>
    <row r="287" spans="2:5" x14ac:dyDescent="0.25">
      <c r="B287" s="1382" t="s">
        <v>1840</v>
      </c>
      <c r="C287" s="733" t="s">
        <v>1081</v>
      </c>
      <c r="D287" s="733">
        <v>58.372512817382813</v>
      </c>
      <c r="E287" s="733">
        <v>1</v>
      </c>
    </row>
    <row r="288" spans="2:5" x14ac:dyDescent="0.25">
      <c r="B288" s="1382" t="s">
        <v>1840</v>
      </c>
      <c r="C288" s="733" t="s">
        <v>1080</v>
      </c>
      <c r="D288" s="733">
        <v>66.528694152832031</v>
      </c>
      <c r="E288" s="733">
        <v>1</v>
      </c>
    </row>
    <row r="289" spans="2:5" x14ac:dyDescent="0.25">
      <c r="B289" s="1382" t="s">
        <v>1840</v>
      </c>
      <c r="C289" s="733" t="s">
        <v>1080</v>
      </c>
      <c r="D289" s="733">
        <v>67.545059204101563</v>
      </c>
      <c r="E289" s="733">
        <v>1</v>
      </c>
    </row>
    <row r="290" spans="2:5" x14ac:dyDescent="0.25">
      <c r="B290" s="1382" t="s">
        <v>1840</v>
      </c>
      <c r="C290" s="733" t="s">
        <v>1080</v>
      </c>
      <c r="D290" s="733">
        <v>75.533950805664063</v>
      </c>
      <c r="E290" s="733">
        <v>1</v>
      </c>
    </row>
    <row r="291" spans="2:5" x14ac:dyDescent="0.25">
      <c r="B291" s="1382" t="s">
        <v>1840</v>
      </c>
      <c r="C291" s="733" t="s">
        <v>1080</v>
      </c>
      <c r="D291" s="733">
        <v>61.772510528564453</v>
      </c>
      <c r="E291" s="733">
        <v>1</v>
      </c>
    </row>
    <row r="292" spans="2:5" x14ac:dyDescent="0.25">
      <c r="B292" s="1382" t="s">
        <v>1840</v>
      </c>
      <c r="C292" s="733" t="s">
        <v>1080</v>
      </c>
      <c r="D292" s="733">
        <v>48.887317657470703</v>
      </c>
      <c r="E292" s="733">
        <v>1</v>
      </c>
    </row>
    <row r="293" spans="2:5" x14ac:dyDescent="0.25">
      <c r="B293" s="1382" t="s">
        <v>1840</v>
      </c>
      <c r="C293" s="733" t="s">
        <v>1080</v>
      </c>
      <c r="D293" s="733">
        <v>75.194374084472656</v>
      </c>
      <c r="E293" s="733">
        <v>1</v>
      </c>
    </row>
    <row r="294" spans="2:5" x14ac:dyDescent="0.25">
      <c r="B294" s="1382" t="s">
        <v>1840</v>
      </c>
      <c r="C294" s="733" t="s">
        <v>1080</v>
      </c>
      <c r="D294" s="733">
        <v>86.098526000976563</v>
      </c>
      <c r="E294" s="733">
        <v>1</v>
      </c>
    </row>
    <row r="295" spans="2:5" x14ac:dyDescent="0.25">
      <c r="B295" s="1382" t="s">
        <v>1840</v>
      </c>
      <c r="C295" s="733" t="s">
        <v>1081</v>
      </c>
      <c r="D295" s="733">
        <v>55.284519195556641</v>
      </c>
      <c r="E295" s="733">
        <v>1</v>
      </c>
    </row>
    <row r="296" spans="2:5" x14ac:dyDescent="0.25">
      <c r="B296" s="1382" t="s">
        <v>1840</v>
      </c>
      <c r="C296" s="733" t="s">
        <v>1081</v>
      </c>
      <c r="D296" s="733">
        <v>70.679267883300781</v>
      </c>
      <c r="E296" s="733">
        <v>1</v>
      </c>
    </row>
    <row r="297" spans="2:5" x14ac:dyDescent="0.25">
      <c r="B297" s="1382" t="s">
        <v>1840</v>
      </c>
      <c r="C297" s="733" t="s">
        <v>1081</v>
      </c>
      <c r="D297" s="733">
        <v>78.648300170898438</v>
      </c>
      <c r="E297" s="733">
        <v>1</v>
      </c>
    </row>
    <row r="298" spans="2:5" x14ac:dyDescent="0.25">
      <c r="B298" s="1382" t="s">
        <v>1840</v>
      </c>
      <c r="C298" s="733" t="s">
        <v>1080</v>
      </c>
      <c r="D298" s="733">
        <v>52.261493682861328</v>
      </c>
      <c r="E298" s="733">
        <v>1</v>
      </c>
    </row>
    <row r="299" spans="2:5" x14ac:dyDescent="0.25">
      <c r="B299" s="1382" t="s">
        <v>1840</v>
      </c>
      <c r="C299" s="733" t="s">
        <v>1081</v>
      </c>
      <c r="D299" s="733">
        <v>60.290355682373047</v>
      </c>
      <c r="E299" s="733">
        <v>1</v>
      </c>
    </row>
    <row r="300" spans="2:5" x14ac:dyDescent="0.25">
      <c r="B300" s="1382" t="s">
        <v>1840</v>
      </c>
      <c r="C300" s="733" t="s">
        <v>1080</v>
      </c>
      <c r="D300" s="733">
        <v>71.868377685546875</v>
      </c>
      <c r="E300" s="733">
        <v>1</v>
      </c>
    </row>
    <row r="301" spans="2:5" x14ac:dyDescent="0.25">
      <c r="B301" s="1382" t="s">
        <v>1840</v>
      </c>
      <c r="C301" s="733" t="s">
        <v>1081</v>
      </c>
      <c r="D301" s="733">
        <v>75.517166137695313</v>
      </c>
      <c r="E301" s="733">
        <v>1</v>
      </c>
    </row>
    <row r="302" spans="2:5" x14ac:dyDescent="0.25">
      <c r="B302" s="1382" t="s">
        <v>1840</v>
      </c>
      <c r="C302" s="733" t="s">
        <v>1080</v>
      </c>
      <c r="D302" s="733">
        <v>49.035549163818359</v>
      </c>
      <c r="E302" s="733">
        <v>1</v>
      </c>
    </row>
    <row r="303" spans="2:5" x14ac:dyDescent="0.25">
      <c r="B303" s="1382" t="s">
        <v>1840</v>
      </c>
      <c r="C303" s="733" t="s">
        <v>1080</v>
      </c>
      <c r="D303" s="733">
        <v>56.408042907714844</v>
      </c>
      <c r="E303" s="733">
        <v>1</v>
      </c>
    </row>
    <row r="304" spans="2:5" x14ac:dyDescent="0.25">
      <c r="B304" s="1382" t="s">
        <v>1840</v>
      </c>
      <c r="C304" s="733" t="s">
        <v>1080</v>
      </c>
      <c r="D304" s="733">
        <v>82.706695556640625</v>
      </c>
      <c r="E304" s="733">
        <v>1</v>
      </c>
    </row>
    <row r="305" spans="2:5" x14ac:dyDescent="0.25">
      <c r="B305" s="1382" t="s">
        <v>1840</v>
      </c>
      <c r="C305" s="733" t="s">
        <v>1080</v>
      </c>
      <c r="D305" s="733">
        <v>74.371307373046875</v>
      </c>
      <c r="E305" s="733">
        <v>1</v>
      </c>
    </row>
    <row r="306" spans="2:5" x14ac:dyDescent="0.25">
      <c r="B306" s="1382" t="s">
        <v>1840</v>
      </c>
      <c r="C306" s="733" t="s">
        <v>1080</v>
      </c>
      <c r="D306" s="733">
        <v>55.597606658935547</v>
      </c>
      <c r="E306" s="733">
        <v>1</v>
      </c>
    </row>
    <row r="307" spans="2:5" x14ac:dyDescent="0.25">
      <c r="B307" s="1382" t="s">
        <v>1840</v>
      </c>
      <c r="C307" s="733" t="s">
        <v>1080</v>
      </c>
      <c r="D307" s="733">
        <v>69.413536071777344</v>
      </c>
      <c r="E307" s="733">
        <v>1</v>
      </c>
    </row>
    <row r="308" spans="2:5" x14ac:dyDescent="0.25">
      <c r="B308" s="1382" t="s">
        <v>1840</v>
      </c>
      <c r="C308" s="733" t="s">
        <v>1080</v>
      </c>
      <c r="D308" s="733">
        <v>53.427257537841797</v>
      </c>
      <c r="E308" s="733">
        <v>1</v>
      </c>
    </row>
    <row r="309" spans="2:5" x14ac:dyDescent="0.25">
      <c r="B309" s="1382" t="s">
        <v>1840</v>
      </c>
      <c r="C309" s="733" t="s">
        <v>1080</v>
      </c>
      <c r="D309" s="733">
        <v>63.150402069091797</v>
      </c>
      <c r="E309" s="733">
        <v>1</v>
      </c>
    </row>
    <row r="310" spans="2:5" x14ac:dyDescent="0.25">
      <c r="B310" s="1382" t="s">
        <v>1840</v>
      </c>
      <c r="C310" s="733" t="s">
        <v>1080</v>
      </c>
      <c r="D310" s="733">
        <v>62.886058807373047</v>
      </c>
      <c r="E310" s="733">
        <v>1</v>
      </c>
    </row>
    <row r="311" spans="2:5" x14ac:dyDescent="0.25">
      <c r="B311" s="1382" t="s">
        <v>1840</v>
      </c>
      <c r="C311" s="733" t="s">
        <v>1081</v>
      </c>
      <c r="D311" s="733">
        <v>73.77801513671875</v>
      </c>
      <c r="E311" s="733">
        <v>1</v>
      </c>
    </row>
    <row r="312" spans="2:5" x14ac:dyDescent="0.25">
      <c r="B312" s="1382" t="s">
        <v>1840</v>
      </c>
      <c r="C312" s="733" t="s">
        <v>1081</v>
      </c>
      <c r="D312" s="733">
        <v>53.571681976318359</v>
      </c>
      <c r="E312" s="733">
        <v>1</v>
      </c>
    </row>
    <row r="313" spans="2:5" x14ac:dyDescent="0.25">
      <c r="B313" s="1382" t="s">
        <v>1840</v>
      </c>
      <c r="C313" s="733" t="s">
        <v>1080</v>
      </c>
      <c r="D313" s="733">
        <v>86.316177368164063</v>
      </c>
      <c r="E313" s="733">
        <v>1</v>
      </c>
    </row>
    <row r="314" spans="2:5" x14ac:dyDescent="0.25">
      <c r="B314" s="1382" t="s">
        <v>1840</v>
      </c>
      <c r="C314" s="733" t="s">
        <v>1080</v>
      </c>
      <c r="D314" s="733">
        <v>63.767009735107422</v>
      </c>
      <c r="E314" s="733">
        <v>1</v>
      </c>
    </row>
    <row r="315" spans="2:5" x14ac:dyDescent="0.25">
      <c r="B315" s="1382" t="s">
        <v>1840</v>
      </c>
      <c r="C315" s="733" t="s">
        <v>1080</v>
      </c>
      <c r="D315" s="733">
        <v>75.440742492675781</v>
      </c>
      <c r="E315" s="733">
        <v>1</v>
      </c>
    </row>
    <row r="316" spans="2:5" x14ac:dyDescent="0.25">
      <c r="B316" s="1382" t="s">
        <v>1840</v>
      </c>
      <c r="C316" s="733" t="s">
        <v>1080</v>
      </c>
      <c r="D316" s="733">
        <v>49.542346954345703</v>
      </c>
      <c r="E316" s="733">
        <v>1</v>
      </c>
    </row>
    <row r="317" spans="2:5" x14ac:dyDescent="0.25">
      <c r="B317" s="1382" t="s">
        <v>1840</v>
      </c>
      <c r="C317" s="733" t="s">
        <v>1080</v>
      </c>
      <c r="D317" s="733">
        <v>80.799362182617188</v>
      </c>
      <c r="E317" s="733">
        <v>1</v>
      </c>
    </row>
    <row r="318" spans="2:5" x14ac:dyDescent="0.25">
      <c r="B318" s="1382" t="s">
        <v>1840</v>
      </c>
      <c r="C318" s="733" t="s">
        <v>1081</v>
      </c>
      <c r="D318" s="733">
        <v>53.901088714599609</v>
      </c>
      <c r="E318" s="733">
        <v>1</v>
      </c>
    </row>
    <row r="319" spans="2:5" x14ac:dyDescent="0.25">
      <c r="B319" s="1382" t="s">
        <v>1840</v>
      </c>
      <c r="C319" s="733" t="s">
        <v>1080</v>
      </c>
      <c r="D319" s="733">
        <v>50.317745208740234</v>
      </c>
      <c r="E319" s="733">
        <v>1</v>
      </c>
    </row>
    <row r="320" spans="2:5" x14ac:dyDescent="0.25">
      <c r="B320" s="1382" t="s">
        <v>1840</v>
      </c>
      <c r="C320" s="733" t="s">
        <v>1081</v>
      </c>
      <c r="D320" s="733">
        <v>79.591697692871094</v>
      </c>
      <c r="E320" s="733">
        <v>1</v>
      </c>
    </row>
    <row r="321" spans="2:5" x14ac:dyDescent="0.25">
      <c r="B321" s="1382" t="s">
        <v>1840</v>
      </c>
      <c r="C321" s="733" t="s">
        <v>1080</v>
      </c>
      <c r="D321" s="733">
        <v>64.073860168457031</v>
      </c>
      <c r="E321" s="733">
        <v>1</v>
      </c>
    </row>
    <row r="322" spans="2:5" x14ac:dyDescent="0.25">
      <c r="B322" s="1382" t="s">
        <v>1840</v>
      </c>
      <c r="C322" s="733" t="s">
        <v>1080</v>
      </c>
      <c r="D322" s="733">
        <v>60.588718414306641</v>
      </c>
      <c r="E322" s="733">
        <v>1</v>
      </c>
    </row>
    <row r="323" spans="2:5" x14ac:dyDescent="0.25">
      <c r="B323" s="1382" t="s">
        <v>1840</v>
      </c>
      <c r="C323" s="733" t="s">
        <v>1080</v>
      </c>
      <c r="D323" s="733">
        <v>75.797256469726563</v>
      </c>
      <c r="E323" s="733">
        <v>1</v>
      </c>
    </row>
    <row r="324" spans="2:5" x14ac:dyDescent="0.25">
      <c r="B324" s="1382" t="s">
        <v>1840</v>
      </c>
      <c r="C324" s="733" t="s">
        <v>1080</v>
      </c>
      <c r="D324" s="733">
        <v>52.051971435546875</v>
      </c>
      <c r="E324" s="733">
        <v>1</v>
      </c>
    </row>
    <row r="325" spans="2:5" x14ac:dyDescent="0.25">
      <c r="B325" s="1382" t="s">
        <v>1840</v>
      </c>
      <c r="C325" s="733" t="s">
        <v>1080</v>
      </c>
      <c r="D325" s="733">
        <v>55.235374450683594</v>
      </c>
      <c r="E325" s="733">
        <v>1</v>
      </c>
    </row>
    <row r="326" spans="2:5" x14ac:dyDescent="0.25">
      <c r="B326" s="1382" t="s">
        <v>1840</v>
      </c>
      <c r="C326" s="733" t="s">
        <v>1081</v>
      </c>
      <c r="D326" s="733">
        <v>46.016345977783203</v>
      </c>
      <c r="E326" s="733">
        <v>1</v>
      </c>
    </row>
    <row r="327" spans="2:5" x14ac:dyDescent="0.25">
      <c r="B327" s="1382" t="s">
        <v>1840</v>
      </c>
      <c r="C327" s="733" t="s">
        <v>1080</v>
      </c>
      <c r="D327" s="733">
        <v>61.906742095947266</v>
      </c>
      <c r="E327" s="733">
        <v>1</v>
      </c>
    </row>
    <row r="328" spans="2:5" x14ac:dyDescent="0.25">
      <c r="B328" s="1382" t="s">
        <v>1840</v>
      </c>
      <c r="C328" s="733" t="s">
        <v>1080</v>
      </c>
      <c r="D328" s="733">
        <v>57.831691741943359</v>
      </c>
      <c r="E328" s="733">
        <v>1</v>
      </c>
    </row>
    <row r="329" spans="2:5" x14ac:dyDescent="0.25">
      <c r="B329" s="1382" t="s">
        <v>1840</v>
      </c>
      <c r="C329" s="733" t="s">
        <v>1081</v>
      </c>
      <c r="D329" s="733">
        <v>31.52049446105957</v>
      </c>
      <c r="E329" s="733">
        <v>1</v>
      </c>
    </row>
    <row r="330" spans="2:5" x14ac:dyDescent="0.25">
      <c r="B330" s="1382" t="s">
        <v>1840</v>
      </c>
      <c r="C330" s="733" t="s">
        <v>1080</v>
      </c>
      <c r="D330" s="733">
        <v>65.316017150878906</v>
      </c>
      <c r="E330" s="733">
        <v>1</v>
      </c>
    </row>
    <row r="331" spans="2:5" x14ac:dyDescent="0.25">
      <c r="B331" s="1382" t="s">
        <v>1840</v>
      </c>
      <c r="C331" s="733" t="s">
        <v>1080</v>
      </c>
      <c r="D331" s="733">
        <v>77.251686096191406</v>
      </c>
      <c r="E331" s="733">
        <v>1</v>
      </c>
    </row>
    <row r="332" spans="2:5" x14ac:dyDescent="0.25">
      <c r="B332" s="1382" t="s">
        <v>1840</v>
      </c>
      <c r="C332" s="733" t="s">
        <v>1080</v>
      </c>
      <c r="D332" s="733">
        <v>61.702781677246094</v>
      </c>
      <c r="E332" s="733">
        <v>1</v>
      </c>
    </row>
    <row r="333" spans="2:5" x14ac:dyDescent="0.25">
      <c r="B333" s="1382" t="s">
        <v>1840</v>
      </c>
      <c r="C333" s="733" t="s">
        <v>1080</v>
      </c>
      <c r="D333" s="733">
        <v>68.376441955566406</v>
      </c>
      <c r="E333" s="733">
        <v>1</v>
      </c>
    </row>
    <row r="334" spans="2:5" x14ac:dyDescent="0.25">
      <c r="B334" s="1382" t="s">
        <v>1840</v>
      </c>
      <c r="C334" s="733" t="s">
        <v>1081</v>
      </c>
      <c r="D334" s="733">
        <v>39.810894012451172</v>
      </c>
      <c r="E334" s="733">
        <v>1</v>
      </c>
    </row>
    <row r="335" spans="2:5" x14ac:dyDescent="0.25">
      <c r="B335" s="1382" t="s">
        <v>1840</v>
      </c>
      <c r="C335" s="733" t="s">
        <v>1080</v>
      </c>
      <c r="D335" s="733">
        <v>56.495849609375</v>
      </c>
      <c r="E335" s="733">
        <v>1</v>
      </c>
    </row>
    <row r="336" spans="2:5" x14ac:dyDescent="0.25">
      <c r="B336" s="1382" t="s">
        <v>1840</v>
      </c>
      <c r="C336" s="733" t="s">
        <v>1080</v>
      </c>
      <c r="D336" s="733">
        <v>53.727783203125</v>
      </c>
      <c r="E336" s="733">
        <v>1</v>
      </c>
    </row>
    <row r="337" spans="2:5" x14ac:dyDescent="0.25">
      <c r="B337" s="1382" t="s">
        <v>1840</v>
      </c>
      <c r="C337" s="733" t="s">
        <v>1081</v>
      </c>
      <c r="D337" s="733">
        <v>65.185615539550781</v>
      </c>
      <c r="E337" s="733">
        <v>1</v>
      </c>
    </row>
    <row r="338" spans="2:5" x14ac:dyDescent="0.25">
      <c r="B338" s="1382" t="s">
        <v>1840</v>
      </c>
      <c r="C338" s="733" t="s">
        <v>1080</v>
      </c>
      <c r="D338" s="733">
        <v>77.520500183105469</v>
      </c>
      <c r="E338" s="733">
        <v>1</v>
      </c>
    </row>
    <row r="339" spans="2:5" x14ac:dyDescent="0.25">
      <c r="B339" s="1382" t="s">
        <v>1840</v>
      </c>
      <c r="C339" s="733" t="s">
        <v>1080</v>
      </c>
      <c r="D339" s="733">
        <v>84.349678039550781</v>
      </c>
      <c r="E339" s="733">
        <v>1</v>
      </c>
    </row>
    <row r="340" spans="2:5" x14ac:dyDescent="0.25">
      <c r="B340" s="1382" t="s">
        <v>1840</v>
      </c>
      <c r="C340" s="733" t="s">
        <v>1080</v>
      </c>
      <c r="D340" s="733">
        <v>68.641059875488281</v>
      </c>
      <c r="E340" s="733">
        <v>1</v>
      </c>
    </row>
    <row r="341" spans="2:5" x14ac:dyDescent="0.25">
      <c r="B341" s="1382" t="s">
        <v>1840</v>
      </c>
      <c r="C341" s="733" t="s">
        <v>1080</v>
      </c>
      <c r="D341" s="733">
        <v>50.988643646240234</v>
      </c>
      <c r="E341" s="733">
        <v>1</v>
      </c>
    </row>
    <row r="342" spans="2:5" x14ac:dyDescent="0.25">
      <c r="B342" s="1382" t="s">
        <v>1840</v>
      </c>
      <c r="C342" s="733" t="s">
        <v>1080</v>
      </c>
      <c r="D342" s="733">
        <v>68.677963256835938</v>
      </c>
      <c r="E342" s="733">
        <v>1</v>
      </c>
    </row>
    <row r="343" spans="2:5" x14ac:dyDescent="0.25">
      <c r="B343" s="1382" t="s">
        <v>1840</v>
      </c>
      <c r="C343" s="733" t="s">
        <v>1080</v>
      </c>
      <c r="D343" s="733">
        <v>54.484813690185547</v>
      </c>
      <c r="E343" s="733">
        <v>1</v>
      </c>
    </row>
    <row r="344" spans="2:5" x14ac:dyDescent="0.25">
      <c r="B344" s="1382" t="s">
        <v>1840</v>
      </c>
      <c r="C344" s="733" t="s">
        <v>1080</v>
      </c>
      <c r="D344" s="733">
        <v>66.952224731445313</v>
      </c>
      <c r="E344" s="733">
        <v>1</v>
      </c>
    </row>
    <row r="345" spans="2:5" x14ac:dyDescent="0.25">
      <c r="B345" s="1382" t="s">
        <v>1840</v>
      </c>
      <c r="C345" s="733" t="s">
        <v>1080</v>
      </c>
      <c r="D345" s="733">
        <v>69.026657104492188</v>
      </c>
      <c r="E345" s="733">
        <v>1</v>
      </c>
    </row>
    <row r="346" spans="2:5" x14ac:dyDescent="0.25">
      <c r="B346" s="1382" t="s">
        <v>1840</v>
      </c>
      <c r="C346" s="733" t="s">
        <v>1080</v>
      </c>
      <c r="D346" s="733">
        <v>80.483711242675781</v>
      </c>
      <c r="E346" s="733">
        <v>1</v>
      </c>
    </row>
    <row r="347" spans="2:5" x14ac:dyDescent="0.25">
      <c r="B347" s="1382" t="s">
        <v>1840</v>
      </c>
      <c r="C347" s="733" t="s">
        <v>1081</v>
      </c>
      <c r="D347" s="733">
        <v>63.703994750976563</v>
      </c>
      <c r="E347" s="733">
        <v>1</v>
      </c>
    </row>
    <row r="348" spans="2:5" x14ac:dyDescent="0.25">
      <c r="B348" s="1382" t="s">
        <v>1840</v>
      </c>
      <c r="C348" s="733" t="s">
        <v>1081</v>
      </c>
      <c r="D348" s="733">
        <v>62.369819641113281</v>
      </c>
      <c r="E348" s="733">
        <v>1</v>
      </c>
    </row>
    <row r="349" spans="2:5" x14ac:dyDescent="0.25">
      <c r="B349" s="1382" t="s">
        <v>1840</v>
      </c>
      <c r="C349" s="733" t="s">
        <v>1080</v>
      </c>
      <c r="D349" s="733">
        <v>69.426780700683594</v>
      </c>
      <c r="E349" s="733">
        <v>1</v>
      </c>
    </row>
    <row r="350" spans="2:5" x14ac:dyDescent="0.25">
      <c r="B350" s="1382" t="s">
        <v>1840</v>
      </c>
      <c r="C350" s="733" t="s">
        <v>1080</v>
      </c>
      <c r="D350" s="733">
        <v>80.890060424804688</v>
      </c>
      <c r="E350" s="733">
        <v>1</v>
      </c>
    </row>
    <row r="351" spans="2:5" x14ac:dyDescent="0.25">
      <c r="B351" s="1382" t="s">
        <v>1840</v>
      </c>
      <c r="C351" s="733" t="s">
        <v>1081</v>
      </c>
      <c r="D351" s="733">
        <v>71.440963745117188</v>
      </c>
      <c r="E351" s="733">
        <v>1</v>
      </c>
    </row>
    <row r="352" spans="2:5" x14ac:dyDescent="0.25">
      <c r="B352" s="1382" t="s">
        <v>1840</v>
      </c>
      <c r="C352" s="733" t="s">
        <v>1080</v>
      </c>
      <c r="D352" s="733">
        <v>73.997184753417969</v>
      </c>
      <c r="E352" s="733">
        <v>1</v>
      </c>
    </row>
    <row r="353" spans="2:5" x14ac:dyDescent="0.25">
      <c r="B353" s="1382" t="s">
        <v>1840</v>
      </c>
      <c r="C353" s="733" t="s">
        <v>1080</v>
      </c>
      <c r="D353" s="733">
        <v>60.275264739990234</v>
      </c>
      <c r="E353" s="733">
        <v>1</v>
      </c>
    </row>
    <row r="354" spans="2:5" x14ac:dyDescent="0.25">
      <c r="B354" s="1382" t="s">
        <v>1840</v>
      </c>
      <c r="C354" s="733" t="s">
        <v>1080</v>
      </c>
      <c r="D354" s="733">
        <v>66.230056762695313</v>
      </c>
      <c r="E354" s="733">
        <v>1</v>
      </c>
    </row>
    <row r="355" spans="2:5" x14ac:dyDescent="0.25">
      <c r="B355" s="1382" t="s">
        <v>1840</v>
      </c>
      <c r="C355" s="733" t="s">
        <v>1081</v>
      </c>
      <c r="D355" s="733">
        <v>51.150531768798828</v>
      </c>
      <c r="E355" s="733">
        <v>1</v>
      </c>
    </row>
    <row r="356" spans="2:5" x14ac:dyDescent="0.25">
      <c r="B356" s="1382" t="s">
        <v>1840</v>
      </c>
      <c r="C356" s="733" t="s">
        <v>1080</v>
      </c>
      <c r="D356" s="733">
        <v>77.462852478027344</v>
      </c>
      <c r="E356" s="733">
        <v>1</v>
      </c>
    </row>
    <row r="357" spans="2:5" x14ac:dyDescent="0.25">
      <c r="B357" s="1382" t="s">
        <v>1840</v>
      </c>
      <c r="C357" s="733" t="s">
        <v>1081</v>
      </c>
      <c r="D357" s="733">
        <v>65.643669128417969</v>
      </c>
      <c r="E357" s="733">
        <v>1</v>
      </c>
    </row>
    <row r="358" spans="2:5" x14ac:dyDescent="0.25">
      <c r="B358" s="1382" t="s">
        <v>1840</v>
      </c>
      <c r="C358" s="733" t="s">
        <v>1080</v>
      </c>
      <c r="D358" s="733">
        <v>55.654792785644531</v>
      </c>
      <c r="E358" s="733">
        <v>1</v>
      </c>
    </row>
    <row r="359" spans="2:5" x14ac:dyDescent="0.25">
      <c r="B359" s="1382" t="s">
        <v>1840</v>
      </c>
      <c r="C359" s="733" t="s">
        <v>1080</v>
      </c>
      <c r="D359" s="733">
        <v>50.185836791992188</v>
      </c>
      <c r="E359" s="733">
        <v>1</v>
      </c>
    </row>
    <row r="360" spans="2:5" x14ac:dyDescent="0.25">
      <c r="B360" s="1382" t="s">
        <v>1840</v>
      </c>
      <c r="C360" s="733" t="s">
        <v>1080</v>
      </c>
      <c r="D360" s="733">
        <v>70.470039367675781</v>
      </c>
      <c r="E360" s="733">
        <v>1</v>
      </c>
    </row>
    <row r="361" spans="2:5" x14ac:dyDescent="0.25">
      <c r="B361" s="1382" t="s">
        <v>1840</v>
      </c>
      <c r="C361" s="733" t="s">
        <v>1081</v>
      </c>
      <c r="D361" s="733">
        <v>70.213638305664063</v>
      </c>
      <c r="E361" s="733">
        <v>1</v>
      </c>
    </row>
    <row r="362" spans="2:5" x14ac:dyDescent="0.25">
      <c r="B362" s="1382" t="s">
        <v>1840</v>
      </c>
      <c r="C362" s="733" t="s">
        <v>1081</v>
      </c>
      <c r="D362" s="733">
        <v>60.438304901123047</v>
      </c>
      <c r="E362" s="733">
        <v>1</v>
      </c>
    </row>
    <row r="363" spans="2:5" x14ac:dyDescent="0.25">
      <c r="B363" s="1382" t="s">
        <v>1840</v>
      </c>
      <c r="C363" s="733" t="s">
        <v>1080</v>
      </c>
      <c r="D363" s="733">
        <v>51.503959655761719</v>
      </c>
      <c r="E363" s="733">
        <v>1</v>
      </c>
    </row>
    <row r="364" spans="2:5" x14ac:dyDescent="0.25">
      <c r="B364" s="1382" t="s">
        <v>1840</v>
      </c>
      <c r="C364" s="733" t="s">
        <v>1081</v>
      </c>
      <c r="D364" s="733">
        <v>70.857009887695313</v>
      </c>
      <c r="E364" s="733">
        <v>1</v>
      </c>
    </row>
    <row r="365" spans="2:5" x14ac:dyDescent="0.25">
      <c r="B365" s="1382" t="s">
        <v>1840</v>
      </c>
      <c r="C365" s="733" t="s">
        <v>1080</v>
      </c>
      <c r="D365" s="733">
        <v>75.358612060546875</v>
      </c>
      <c r="E365" s="733">
        <v>1</v>
      </c>
    </row>
    <row r="366" spans="2:5" x14ac:dyDescent="0.25">
      <c r="B366" s="1382" t="s">
        <v>1840</v>
      </c>
      <c r="C366" s="733" t="s">
        <v>1080</v>
      </c>
      <c r="D366" s="733">
        <v>72.882133483886719</v>
      </c>
      <c r="E366" s="733">
        <v>1</v>
      </c>
    </row>
    <row r="367" spans="2:5" x14ac:dyDescent="0.25">
      <c r="B367" s="1382" t="s">
        <v>1840</v>
      </c>
      <c r="C367" s="733" t="s">
        <v>1080</v>
      </c>
      <c r="D367" s="733">
        <v>78.196807861328125</v>
      </c>
      <c r="E367" s="733">
        <v>1</v>
      </c>
    </row>
    <row r="368" spans="2:5" x14ac:dyDescent="0.25">
      <c r="B368" s="1382" t="s">
        <v>1840</v>
      </c>
      <c r="C368" s="733" t="s">
        <v>1080</v>
      </c>
      <c r="D368" s="733">
        <v>76.071060180664063</v>
      </c>
      <c r="E368" s="733">
        <v>1</v>
      </c>
    </row>
    <row r="369" spans="2:5" x14ac:dyDescent="0.25">
      <c r="B369" s="1382" t="s">
        <v>1840</v>
      </c>
      <c r="C369" s="733" t="s">
        <v>1080</v>
      </c>
      <c r="D369" s="733">
        <v>80.617919921875</v>
      </c>
      <c r="E369" s="733">
        <v>1</v>
      </c>
    </row>
    <row r="370" spans="2:5" x14ac:dyDescent="0.25">
      <c r="B370" s="1382" t="s">
        <v>1840</v>
      </c>
      <c r="C370" s="733" t="s">
        <v>1080</v>
      </c>
      <c r="D370" s="733">
        <v>42.742347717285156</v>
      </c>
      <c r="E370" s="733">
        <v>1</v>
      </c>
    </row>
    <row r="371" spans="2:5" x14ac:dyDescent="0.25">
      <c r="B371" s="1382" t="s">
        <v>1840</v>
      </c>
      <c r="C371" s="733" t="s">
        <v>1080</v>
      </c>
      <c r="D371" s="733">
        <v>57.147846221923828</v>
      </c>
      <c r="E371" s="733">
        <v>1</v>
      </c>
    </row>
    <row r="372" spans="2:5" x14ac:dyDescent="0.25">
      <c r="B372" s="1382" t="s">
        <v>1840</v>
      </c>
      <c r="C372" s="733" t="s">
        <v>1080</v>
      </c>
      <c r="D372" s="733">
        <v>71.101211547851563</v>
      </c>
      <c r="E372" s="733">
        <v>1</v>
      </c>
    </row>
    <row r="373" spans="2:5" x14ac:dyDescent="0.25">
      <c r="B373" s="1382" t="s">
        <v>1840</v>
      </c>
      <c r="C373" s="733" t="s">
        <v>1080</v>
      </c>
      <c r="D373" s="733">
        <v>46.988727569580078</v>
      </c>
      <c r="E373" s="733">
        <v>1</v>
      </c>
    </row>
    <row r="374" spans="2:5" x14ac:dyDescent="0.25">
      <c r="B374" s="1382" t="s">
        <v>1840</v>
      </c>
      <c r="C374" s="733" t="s">
        <v>1080</v>
      </c>
      <c r="D374" s="733">
        <v>56.357975006103516</v>
      </c>
      <c r="E374" s="733">
        <v>1</v>
      </c>
    </row>
    <row r="375" spans="2:5" x14ac:dyDescent="0.25">
      <c r="B375" s="1382" t="s">
        <v>1840</v>
      </c>
      <c r="C375" s="733" t="s">
        <v>1081</v>
      </c>
      <c r="D375" s="733">
        <v>54.731006622314453</v>
      </c>
      <c r="E375" s="733">
        <v>1</v>
      </c>
    </row>
    <row r="376" spans="2:5" x14ac:dyDescent="0.25">
      <c r="B376" s="1382" t="s">
        <v>1840</v>
      </c>
      <c r="C376" s="733" t="s">
        <v>1081</v>
      </c>
      <c r="D376" s="733">
        <v>58.763175964355469</v>
      </c>
      <c r="E376" s="733">
        <v>1</v>
      </c>
    </row>
    <row r="377" spans="2:5" x14ac:dyDescent="0.25">
      <c r="B377" s="1382" t="s">
        <v>1840</v>
      </c>
      <c r="C377" s="733" t="s">
        <v>1080</v>
      </c>
      <c r="D377" s="733">
        <v>72.158798217773438</v>
      </c>
      <c r="E377" s="733">
        <v>1</v>
      </c>
    </row>
    <row r="378" spans="2:5" x14ac:dyDescent="0.25">
      <c r="B378" s="1382" t="s">
        <v>1840</v>
      </c>
      <c r="C378" s="733" t="s">
        <v>1081</v>
      </c>
      <c r="D378" s="733">
        <v>64.1533203125</v>
      </c>
      <c r="E378" s="733">
        <v>1</v>
      </c>
    </row>
    <row r="379" spans="2:5" x14ac:dyDescent="0.25">
      <c r="B379" s="1382" t="s">
        <v>1840</v>
      </c>
      <c r="C379" s="733" t="s">
        <v>1080</v>
      </c>
      <c r="D379" s="733">
        <v>61.566051483154297</v>
      </c>
      <c r="E379" s="733">
        <v>1</v>
      </c>
    </row>
    <row r="380" spans="2:5" x14ac:dyDescent="0.25">
      <c r="B380" s="1382" t="s">
        <v>1840</v>
      </c>
      <c r="C380" s="733" t="s">
        <v>1080</v>
      </c>
      <c r="D380" s="733">
        <v>67.224502563476563</v>
      </c>
      <c r="E380" s="733">
        <v>1</v>
      </c>
    </row>
    <row r="381" spans="2:5" x14ac:dyDescent="0.25">
      <c r="B381" s="1382" t="s">
        <v>1840</v>
      </c>
      <c r="C381" s="733" t="s">
        <v>1081</v>
      </c>
      <c r="D381" s="733">
        <v>76.361396789550781</v>
      </c>
      <c r="E381" s="733">
        <v>1</v>
      </c>
    </row>
    <row r="382" spans="2:5" x14ac:dyDescent="0.25">
      <c r="B382" s="1382" t="s">
        <v>1840</v>
      </c>
      <c r="C382" s="733" t="s">
        <v>1081</v>
      </c>
      <c r="D382" s="733">
        <v>70.314849853515625</v>
      </c>
      <c r="E382" s="733">
        <v>1</v>
      </c>
    </row>
    <row r="383" spans="2:5" x14ac:dyDescent="0.25">
      <c r="B383" s="1382" t="s">
        <v>1840</v>
      </c>
      <c r="C383" s="733" t="s">
        <v>1081</v>
      </c>
      <c r="D383" s="733">
        <v>48.988365173339844</v>
      </c>
      <c r="E383" s="733">
        <v>1</v>
      </c>
    </row>
    <row r="384" spans="2:5" x14ac:dyDescent="0.25">
      <c r="B384" s="1382" t="s">
        <v>1840</v>
      </c>
      <c r="C384" s="733" t="s">
        <v>1081</v>
      </c>
      <c r="D384" s="733">
        <v>59.191650390625</v>
      </c>
      <c r="E384" s="733">
        <v>1</v>
      </c>
    </row>
    <row r="385" spans="2:5" x14ac:dyDescent="0.25">
      <c r="B385" s="1382" t="s">
        <v>1840</v>
      </c>
      <c r="C385" s="733" t="s">
        <v>1081</v>
      </c>
      <c r="D385" s="733">
        <v>73.298423767089844</v>
      </c>
      <c r="E385" s="733">
        <v>1</v>
      </c>
    </row>
    <row r="386" spans="2:5" x14ac:dyDescent="0.25">
      <c r="B386" s="1382" t="s">
        <v>1840</v>
      </c>
      <c r="C386" s="733" t="s">
        <v>1081</v>
      </c>
      <c r="D386" s="733">
        <v>56.052021026611328</v>
      </c>
      <c r="E386" s="733">
        <v>1</v>
      </c>
    </row>
    <row r="387" spans="2:5" x14ac:dyDescent="0.25">
      <c r="B387" s="1382" t="s">
        <v>1840</v>
      </c>
      <c r="C387" s="733" t="s">
        <v>1081</v>
      </c>
      <c r="D387" s="733">
        <v>54.142368316650391</v>
      </c>
      <c r="E387" s="733">
        <v>1</v>
      </c>
    </row>
    <row r="388" spans="2:5" x14ac:dyDescent="0.25">
      <c r="B388" s="1382" t="s">
        <v>1840</v>
      </c>
      <c r="C388" s="733" t="s">
        <v>1080</v>
      </c>
      <c r="D388" s="733">
        <v>56.320327758789063</v>
      </c>
      <c r="E388" s="733">
        <v>1</v>
      </c>
    </row>
    <row r="389" spans="2:5" x14ac:dyDescent="0.25">
      <c r="B389" s="1382" t="s">
        <v>1840</v>
      </c>
      <c r="C389" s="733" t="s">
        <v>1081</v>
      </c>
      <c r="D389" s="733">
        <v>62.555782318115234</v>
      </c>
      <c r="E389" s="733">
        <v>1</v>
      </c>
    </row>
    <row r="390" spans="2:5" x14ac:dyDescent="0.25">
      <c r="B390" s="1382" t="s">
        <v>1840</v>
      </c>
      <c r="C390" s="733" t="s">
        <v>1080</v>
      </c>
      <c r="D390" s="733">
        <v>49.320327758789063</v>
      </c>
      <c r="E390" s="733">
        <v>1</v>
      </c>
    </row>
    <row r="391" spans="2:5" x14ac:dyDescent="0.25">
      <c r="B391" s="1382" t="s">
        <v>1840</v>
      </c>
      <c r="C391" s="733" t="s">
        <v>1081</v>
      </c>
      <c r="D391" s="733">
        <v>61.501026153564453</v>
      </c>
      <c r="E391" s="733">
        <v>1</v>
      </c>
    </row>
    <row r="392" spans="2:5" x14ac:dyDescent="0.25">
      <c r="B392" s="1382" t="s">
        <v>1840</v>
      </c>
      <c r="C392" s="733" t="s">
        <v>1080</v>
      </c>
      <c r="D392" s="733">
        <v>51.479122161865234</v>
      </c>
      <c r="E392" s="733">
        <v>1</v>
      </c>
    </row>
    <row r="393" spans="2:5" x14ac:dyDescent="0.25">
      <c r="B393" s="1382" t="s">
        <v>1840</v>
      </c>
      <c r="C393" s="733" t="s">
        <v>1080</v>
      </c>
      <c r="D393" s="733">
        <v>63.197124481201172</v>
      </c>
      <c r="E393" s="733">
        <v>1</v>
      </c>
    </row>
    <row r="394" spans="2:5" x14ac:dyDescent="0.25">
      <c r="B394" s="1382" t="s">
        <v>1840</v>
      </c>
      <c r="C394" s="733" t="s">
        <v>1081</v>
      </c>
      <c r="D394" s="733">
        <v>69.202598571777344</v>
      </c>
      <c r="E394" s="733">
        <v>1</v>
      </c>
    </row>
    <row r="395" spans="2:5" x14ac:dyDescent="0.25">
      <c r="B395" s="1382" t="s">
        <v>1840</v>
      </c>
      <c r="C395" s="733" t="s">
        <v>1080</v>
      </c>
      <c r="D395" s="733">
        <v>53.273784637451172</v>
      </c>
      <c r="E395" s="733">
        <v>1</v>
      </c>
    </row>
    <row r="396" spans="2:5" x14ac:dyDescent="0.25">
      <c r="B396" s="1382" t="s">
        <v>1840</v>
      </c>
      <c r="C396" s="733" t="s">
        <v>1081</v>
      </c>
      <c r="D396" s="733">
        <v>74.004791259765625</v>
      </c>
      <c r="E396" s="733">
        <v>1</v>
      </c>
    </row>
    <row r="397" spans="2:5" x14ac:dyDescent="0.25">
      <c r="B397" s="1382" t="s">
        <v>1840</v>
      </c>
      <c r="C397" s="733" t="s">
        <v>1081</v>
      </c>
      <c r="D397" s="733">
        <v>79.366874694824219</v>
      </c>
      <c r="E397" s="733">
        <v>1</v>
      </c>
    </row>
    <row r="398" spans="2:5" x14ac:dyDescent="0.25">
      <c r="B398" s="1382" t="s">
        <v>1840</v>
      </c>
      <c r="C398" s="733" t="s">
        <v>1080</v>
      </c>
      <c r="D398" s="733">
        <v>59.048595428466797</v>
      </c>
      <c r="E398" s="733">
        <v>1</v>
      </c>
    </row>
    <row r="399" spans="2:5" x14ac:dyDescent="0.25">
      <c r="B399" s="1382" t="s">
        <v>1840</v>
      </c>
      <c r="C399" s="733" t="s">
        <v>1081</v>
      </c>
      <c r="D399" s="733">
        <v>78</v>
      </c>
      <c r="E399" s="733">
        <v>1</v>
      </c>
    </row>
    <row r="400" spans="2:5" x14ac:dyDescent="0.25">
      <c r="B400" s="1382" t="s">
        <v>1840</v>
      </c>
      <c r="C400" s="733" t="s">
        <v>1080</v>
      </c>
      <c r="D400" s="733">
        <v>68.169746398925781</v>
      </c>
      <c r="E400" s="733">
        <v>1</v>
      </c>
    </row>
    <row r="401" spans="2:5" x14ac:dyDescent="0.25">
      <c r="B401" s="1382" t="s">
        <v>1840</v>
      </c>
      <c r="C401" s="733" t="s">
        <v>1080</v>
      </c>
      <c r="D401" s="733">
        <v>85.801506042480469</v>
      </c>
      <c r="E401" s="733">
        <v>1</v>
      </c>
    </row>
    <row r="402" spans="2:5" x14ac:dyDescent="0.25">
      <c r="B402" s="1382" t="s">
        <v>1840</v>
      </c>
      <c r="C402" s="733" t="s">
        <v>1080</v>
      </c>
      <c r="D402" s="733">
        <v>63</v>
      </c>
      <c r="E402" s="733">
        <v>1</v>
      </c>
    </row>
    <row r="403" spans="2:5" x14ac:dyDescent="0.25">
      <c r="B403" s="1382" t="s">
        <v>1840</v>
      </c>
      <c r="C403" s="733" t="s">
        <v>1081</v>
      </c>
      <c r="D403" s="733">
        <v>73.104042053222656</v>
      </c>
      <c r="E403" s="733">
        <v>1</v>
      </c>
    </row>
    <row r="404" spans="2:5" x14ac:dyDescent="0.25">
      <c r="B404" s="1382" t="s">
        <v>1840</v>
      </c>
      <c r="C404" s="733" t="s">
        <v>1081</v>
      </c>
      <c r="D404" s="733">
        <v>62.531143188476563</v>
      </c>
      <c r="E404" s="733">
        <v>1</v>
      </c>
    </row>
    <row r="405" spans="2:5" x14ac:dyDescent="0.25">
      <c r="B405" s="1382" t="s">
        <v>1840</v>
      </c>
      <c r="C405" s="733" t="s">
        <v>1081</v>
      </c>
      <c r="D405" s="733">
        <v>76</v>
      </c>
      <c r="E405" s="733">
        <v>1</v>
      </c>
    </row>
    <row r="406" spans="2:5" x14ac:dyDescent="0.25">
      <c r="B406" s="1382" t="s">
        <v>1840</v>
      </c>
      <c r="C406" s="733" t="s">
        <v>1080</v>
      </c>
      <c r="D406" s="733">
        <v>75.339492797851563</v>
      </c>
      <c r="E406" s="733">
        <v>1</v>
      </c>
    </row>
    <row r="407" spans="2:5" x14ac:dyDescent="0.25">
      <c r="B407" s="1382" t="s">
        <v>1840</v>
      </c>
      <c r="C407" s="733" t="s">
        <v>1080</v>
      </c>
      <c r="D407" s="733">
        <v>70.047225952148438</v>
      </c>
      <c r="E407" s="733">
        <v>1</v>
      </c>
    </row>
    <row r="408" spans="2:5" x14ac:dyDescent="0.25">
      <c r="B408" s="1382" t="s">
        <v>1840</v>
      </c>
      <c r="C408" s="733" t="s">
        <v>1080</v>
      </c>
      <c r="D408" s="733">
        <v>48.054756164550781</v>
      </c>
      <c r="E408" s="733">
        <v>1</v>
      </c>
    </row>
    <row r="409" spans="2:5" x14ac:dyDescent="0.25">
      <c r="B409" s="1382" t="s">
        <v>1840</v>
      </c>
      <c r="C409" s="733" t="s">
        <v>1081</v>
      </c>
      <c r="D409" s="733">
        <v>83.84326171875</v>
      </c>
      <c r="E409" s="733">
        <v>1</v>
      </c>
    </row>
    <row r="410" spans="2:5" x14ac:dyDescent="0.25">
      <c r="B410" s="1382" t="s">
        <v>1840</v>
      </c>
      <c r="C410" s="733" t="s">
        <v>1080</v>
      </c>
      <c r="D410" s="733">
        <v>70.317588806152344</v>
      </c>
      <c r="E410" s="733">
        <v>1</v>
      </c>
    </row>
    <row r="411" spans="2:5" x14ac:dyDescent="0.25">
      <c r="B411" s="1382" t="s">
        <v>1840</v>
      </c>
      <c r="C411" s="733" t="s">
        <v>1080</v>
      </c>
      <c r="D411" s="733">
        <v>55.035591125488281</v>
      </c>
      <c r="E411" s="733">
        <v>1</v>
      </c>
    </row>
    <row r="412" spans="2:5" x14ac:dyDescent="0.25">
      <c r="B412" s="1382" t="s">
        <v>1840</v>
      </c>
      <c r="C412" s="733" t="s">
        <v>1080</v>
      </c>
      <c r="D412" s="733">
        <v>63</v>
      </c>
      <c r="E412" s="733">
        <v>1</v>
      </c>
    </row>
    <row r="413" spans="2:5" x14ac:dyDescent="0.25">
      <c r="B413" s="1382" t="s">
        <v>1840</v>
      </c>
      <c r="C413" s="733" t="s">
        <v>1080</v>
      </c>
      <c r="D413" s="733">
        <v>58.341545104980469</v>
      </c>
      <c r="E413" s="733">
        <v>1</v>
      </c>
    </row>
    <row r="414" spans="2:5" x14ac:dyDescent="0.25">
      <c r="B414" s="1382" t="s">
        <v>1840</v>
      </c>
      <c r="C414" s="733" t="s">
        <v>1080</v>
      </c>
      <c r="D414" s="733">
        <v>53.456535339355469</v>
      </c>
      <c r="E414" s="733">
        <v>1</v>
      </c>
    </row>
    <row r="415" spans="2:5" x14ac:dyDescent="0.25">
      <c r="B415" s="1382" t="s">
        <v>1840</v>
      </c>
      <c r="C415" s="733" t="s">
        <v>1080</v>
      </c>
      <c r="D415" s="733">
        <v>52.082134246826172</v>
      </c>
      <c r="E415" s="733">
        <v>1</v>
      </c>
    </row>
    <row r="416" spans="2:5" x14ac:dyDescent="0.25">
      <c r="B416" s="1382" t="s">
        <v>1840</v>
      </c>
      <c r="C416" s="733" t="s">
        <v>1081</v>
      </c>
      <c r="D416" s="733">
        <v>53.123203277587891</v>
      </c>
      <c r="E416" s="733">
        <v>1</v>
      </c>
    </row>
    <row r="417" spans="2:5" x14ac:dyDescent="0.25">
      <c r="B417" s="1382" t="s">
        <v>1840</v>
      </c>
      <c r="C417" s="733" t="s">
        <v>1080</v>
      </c>
      <c r="D417" s="733">
        <v>71.083503723144531</v>
      </c>
      <c r="E417" s="733">
        <v>1</v>
      </c>
    </row>
    <row r="418" spans="2:5" x14ac:dyDescent="0.25">
      <c r="B418" s="1382" t="s">
        <v>1840</v>
      </c>
      <c r="C418" s="733" t="s">
        <v>1080</v>
      </c>
      <c r="D418" s="733">
        <v>58.314853668212891</v>
      </c>
      <c r="E418" s="733">
        <v>1</v>
      </c>
    </row>
    <row r="419" spans="2:5" x14ac:dyDescent="0.25">
      <c r="B419" s="1382" t="s">
        <v>1840</v>
      </c>
      <c r="C419" s="733" t="s">
        <v>1080</v>
      </c>
      <c r="D419" s="733">
        <v>58.191650390625</v>
      </c>
      <c r="E419" s="733">
        <v>1</v>
      </c>
    </row>
    <row r="420" spans="2:5" x14ac:dyDescent="0.25">
      <c r="B420" s="1382" t="s">
        <v>1840</v>
      </c>
      <c r="C420" s="733" t="s">
        <v>1081</v>
      </c>
      <c r="D420" s="733">
        <v>45.106777191162109</v>
      </c>
      <c r="E420" s="733">
        <v>1</v>
      </c>
    </row>
    <row r="421" spans="2:5" x14ac:dyDescent="0.25">
      <c r="B421" s="1382" t="s">
        <v>1840</v>
      </c>
      <c r="C421" s="733" t="s">
        <v>1080</v>
      </c>
      <c r="D421" s="733">
        <v>51.328540802001953</v>
      </c>
      <c r="E421" s="733">
        <v>1</v>
      </c>
    </row>
    <row r="422" spans="2:5" x14ac:dyDescent="0.25">
      <c r="B422" s="1382" t="s">
        <v>1840</v>
      </c>
      <c r="C422" s="733" t="s">
        <v>1080</v>
      </c>
      <c r="D422" s="733">
        <v>54.2108154296875</v>
      </c>
      <c r="E422" s="733">
        <v>1</v>
      </c>
    </row>
    <row r="423" spans="2:5" x14ac:dyDescent="0.25">
      <c r="B423" s="1382" t="s">
        <v>1840</v>
      </c>
      <c r="C423" s="733" t="s">
        <v>1081</v>
      </c>
      <c r="D423" s="733">
        <v>58.128677368164063</v>
      </c>
      <c r="E423" s="733">
        <v>1</v>
      </c>
    </row>
    <row r="424" spans="2:5" x14ac:dyDescent="0.25">
      <c r="B424" s="1382" t="s">
        <v>1840</v>
      </c>
      <c r="C424" s="733" t="s">
        <v>1080</v>
      </c>
      <c r="D424" s="733">
        <v>71.221763610839844</v>
      </c>
      <c r="E424" s="733">
        <v>1</v>
      </c>
    </row>
    <row r="425" spans="2:5" x14ac:dyDescent="0.25">
      <c r="B425" s="1382" t="s">
        <v>1840</v>
      </c>
      <c r="C425" s="733" t="s">
        <v>1081</v>
      </c>
      <c r="D425" s="733">
        <v>69.1533203125</v>
      </c>
      <c r="E425" s="733">
        <v>1</v>
      </c>
    </row>
    <row r="426" spans="2:5" x14ac:dyDescent="0.25">
      <c r="B426" s="1382" t="s">
        <v>1840</v>
      </c>
      <c r="C426" s="733" t="s">
        <v>1080</v>
      </c>
      <c r="D426" s="733">
        <v>72.914443969726563</v>
      </c>
      <c r="E426" s="733">
        <v>1</v>
      </c>
    </row>
    <row r="427" spans="2:5" x14ac:dyDescent="0.25">
      <c r="B427" s="1382" t="s">
        <v>1840</v>
      </c>
      <c r="C427" s="733" t="s">
        <v>1080</v>
      </c>
      <c r="D427" s="733">
        <v>81.128677368164063</v>
      </c>
      <c r="E427" s="733">
        <v>1</v>
      </c>
    </row>
    <row r="428" spans="2:5" x14ac:dyDescent="0.25">
      <c r="B428" s="1382" t="s">
        <v>1840</v>
      </c>
      <c r="C428" s="733" t="s">
        <v>1080</v>
      </c>
      <c r="D428" s="733">
        <v>64.084877014160156</v>
      </c>
      <c r="E428" s="733">
        <v>1</v>
      </c>
    </row>
    <row r="429" spans="2:5" x14ac:dyDescent="0.25">
      <c r="B429" s="1382" t="s">
        <v>1840</v>
      </c>
      <c r="C429" s="733" t="s">
        <v>1080</v>
      </c>
      <c r="D429" s="733">
        <v>72.131416320800781</v>
      </c>
      <c r="E429" s="733">
        <v>1</v>
      </c>
    </row>
    <row r="430" spans="2:5" x14ac:dyDescent="0.25">
      <c r="B430" s="1382" t="s">
        <v>1840</v>
      </c>
      <c r="C430" s="733" t="s">
        <v>1080</v>
      </c>
      <c r="D430" s="733">
        <v>48.049282073974609</v>
      </c>
      <c r="E430" s="733">
        <v>1</v>
      </c>
    </row>
    <row r="431" spans="2:5" x14ac:dyDescent="0.25">
      <c r="B431" s="1382" t="s">
        <v>1840</v>
      </c>
      <c r="C431" s="733" t="s">
        <v>1080</v>
      </c>
      <c r="D431" s="733">
        <v>77.109512329101563</v>
      </c>
      <c r="E431" s="733">
        <v>1</v>
      </c>
    </row>
    <row r="432" spans="2:5" x14ac:dyDescent="0.25">
      <c r="B432" s="1382" t="s">
        <v>1840</v>
      </c>
      <c r="C432" s="733" t="s">
        <v>1080</v>
      </c>
      <c r="D432" s="733">
        <v>48.073921203613281</v>
      </c>
      <c r="E432" s="733">
        <v>1</v>
      </c>
    </row>
    <row r="433" spans="2:5" x14ac:dyDescent="0.25">
      <c r="B433" s="1382" t="s">
        <v>1840</v>
      </c>
      <c r="C433" s="733" t="s">
        <v>1080</v>
      </c>
      <c r="D433" s="733">
        <v>53.150581359863281</v>
      </c>
      <c r="E433" s="733">
        <v>1</v>
      </c>
    </row>
    <row r="434" spans="2:5" x14ac:dyDescent="0.25">
      <c r="B434" s="1382" t="s">
        <v>1840</v>
      </c>
      <c r="C434" s="733" t="s">
        <v>1080</v>
      </c>
      <c r="D434" s="733">
        <v>63.208076477050781</v>
      </c>
      <c r="E434" s="733">
        <v>1</v>
      </c>
    </row>
    <row r="435" spans="2:5" x14ac:dyDescent="0.25">
      <c r="B435" s="1382" t="s">
        <v>1840</v>
      </c>
      <c r="C435" s="733" t="s">
        <v>1080</v>
      </c>
      <c r="D435" s="733">
        <v>65.492813110351563</v>
      </c>
      <c r="E435" s="733">
        <v>1</v>
      </c>
    </row>
    <row r="436" spans="2:5" x14ac:dyDescent="0.25">
      <c r="B436" s="1382" t="s">
        <v>1840</v>
      </c>
      <c r="C436" s="733" t="s">
        <v>1081</v>
      </c>
      <c r="D436" s="733">
        <v>65.270362854003906</v>
      </c>
      <c r="E436" s="733">
        <v>1</v>
      </c>
    </row>
    <row r="437" spans="2:5" x14ac:dyDescent="0.25">
      <c r="B437" s="1382" t="s">
        <v>1840</v>
      </c>
      <c r="C437" s="733" t="s">
        <v>1080</v>
      </c>
      <c r="D437" s="733">
        <v>69.175224304199219</v>
      </c>
      <c r="E437" s="733">
        <v>1</v>
      </c>
    </row>
    <row r="438" spans="2:5" x14ac:dyDescent="0.25">
      <c r="B438" s="1382" t="s">
        <v>1840</v>
      </c>
      <c r="C438" s="733" t="s">
        <v>1080</v>
      </c>
      <c r="D438" s="733">
        <v>47.366870880126953</v>
      </c>
      <c r="E438" s="733">
        <v>1</v>
      </c>
    </row>
    <row r="439" spans="2:5" x14ac:dyDescent="0.25">
      <c r="B439" s="1382" t="s">
        <v>1840</v>
      </c>
      <c r="C439" s="733" t="s">
        <v>1080</v>
      </c>
      <c r="D439" s="733">
        <v>50.802188873291016</v>
      </c>
      <c r="E439" s="733">
        <v>1</v>
      </c>
    </row>
    <row r="440" spans="2:5" x14ac:dyDescent="0.25">
      <c r="B440" s="1382" t="s">
        <v>1840</v>
      </c>
      <c r="C440" s="733" t="s">
        <v>1081</v>
      </c>
      <c r="D440" s="733">
        <v>59.205337524414063</v>
      </c>
      <c r="E440" s="733">
        <v>1</v>
      </c>
    </row>
    <row r="441" spans="2:5" x14ac:dyDescent="0.25">
      <c r="B441" s="1382" t="s">
        <v>1840</v>
      </c>
      <c r="C441" s="733" t="s">
        <v>1080</v>
      </c>
      <c r="D441" s="733">
        <v>71.251884460449219</v>
      </c>
      <c r="E441" s="733">
        <v>1</v>
      </c>
    </row>
    <row r="442" spans="2:5" x14ac:dyDescent="0.25">
      <c r="B442" s="1382" t="s">
        <v>1840</v>
      </c>
      <c r="C442" s="733" t="s">
        <v>1080</v>
      </c>
      <c r="D442" s="733">
        <v>63.194385528564453</v>
      </c>
      <c r="E442" s="733">
        <v>1</v>
      </c>
    </row>
    <row r="443" spans="2:5" x14ac:dyDescent="0.25">
      <c r="B443" s="1382" t="s">
        <v>1840</v>
      </c>
      <c r="C443" s="733" t="s">
        <v>1080</v>
      </c>
      <c r="D443" s="733">
        <v>82.205337524414063</v>
      </c>
      <c r="E443" s="733">
        <v>1</v>
      </c>
    </row>
    <row r="444" spans="2:5" x14ac:dyDescent="0.25">
      <c r="B444" s="1382" t="s">
        <v>1840</v>
      </c>
      <c r="C444" s="733" t="s">
        <v>1080</v>
      </c>
      <c r="D444" s="733">
        <v>51.459274291992188</v>
      </c>
      <c r="E444" s="733">
        <v>1</v>
      </c>
    </row>
    <row r="445" spans="2:5" x14ac:dyDescent="0.25">
      <c r="B445" s="1382" t="s">
        <v>1840</v>
      </c>
      <c r="C445" s="733" t="s">
        <v>1080</v>
      </c>
      <c r="D445" s="733">
        <v>80.257354736328125</v>
      </c>
      <c r="E445" s="733">
        <v>1</v>
      </c>
    </row>
    <row r="446" spans="2:5" x14ac:dyDescent="0.25">
      <c r="B446" s="1382" t="s">
        <v>1840</v>
      </c>
      <c r="C446" s="733" t="s">
        <v>1081</v>
      </c>
      <c r="D446" s="733">
        <v>71.150581359863281</v>
      </c>
      <c r="E446" s="733">
        <v>1</v>
      </c>
    </row>
    <row r="447" spans="2:5" x14ac:dyDescent="0.25">
      <c r="B447" s="1382" t="s">
        <v>1840</v>
      </c>
      <c r="C447" s="733" t="s">
        <v>1081</v>
      </c>
      <c r="D447" s="733">
        <v>59.090347290039063</v>
      </c>
      <c r="E447" s="733">
        <v>1</v>
      </c>
    </row>
    <row r="448" spans="2:5" x14ac:dyDescent="0.25">
      <c r="B448" s="1382" t="s">
        <v>1840</v>
      </c>
      <c r="C448" s="733" t="s">
        <v>1080</v>
      </c>
      <c r="D448" s="733">
        <v>66.114990234375</v>
      </c>
      <c r="E448" s="733">
        <v>1</v>
      </c>
    </row>
    <row r="449" spans="2:5" x14ac:dyDescent="0.25">
      <c r="B449" s="1382" t="s">
        <v>1840</v>
      </c>
      <c r="C449" s="733" t="s">
        <v>1080</v>
      </c>
      <c r="D449" s="733">
        <v>71.131416320800781</v>
      </c>
      <c r="E449" s="733">
        <v>1</v>
      </c>
    </row>
    <row r="450" spans="2:5" x14ac:dyDescent="0.25">
      <c r="B450" s="1382" t="s">
        <v>1840</v>
      </c>
      <c r="C450" s="733" t="s">
        <v>1080</v>
      </c>
      <c r="D450" s="733">
        <v>74.109512329101563</v>
      </c>
      <c r="E450" s="733">
        <v>1</v>
      </c>
    </row>
    <row r="451" spans="2:5" x14ac:dyDescent="0.25">
      <c r="B451" s="1382" t="s">
        <v>1840</v>
      </c>
      <c r="C451" s="733" t="s">
        <v>1080</v>
      </c>
      <c r="D451" s="733">
        <v>47.191650390625</v>
      </c>
      <c r="E451" s="733">
        <v>1</v>
      </c>
    </row>
    <row r="452" spans="2:5" x14ac:dyDescent="0.25">
      <c r="B452" s="1382" t="s">
        <v>1840</v>
      </c>
      <c r="C452" s="733" t="s">
        <v>1080</v>
      </c>
      <c r="D452" s="733">
        <v>83.167007446289063</v>
      </c>
      <c r="E452" s="733">
        <v>1</v>
      </c>
    </row>
    <row r="453" spans="2:5" x14ac:dyDescent="0.25">
      <c r="B453" s="1382" t="s">
        <v>1840</v>
      </c>
      <c r="C453" s="733" t="s">
        <v>1080</v>
      </c>
      <c r="D453" s="733">
        <v>75.1724853515625</v>
      </c>
      <c r="E453" s="733">
        <v>1</v>
      </c>
    </row>
    <row r="454" spans="2:5" x14ac:dyDescent="0.25">
      <c r="B454" s="1382" t="s">
        <v>1840</v>
      </c>
      <c r="C454" s="733" t="s">
        <v>1081</v>
      </c>
      <c r="D454" s="733">
        <v>56.205337524414063</v>
      </c>
      <c r="E454" s="733">
        <v>1</v>
      </c>
    </row>
    <row r="455" spans="2:5" x14ac:dyDescent="0.25">
      <c r="B455" s="1382" t="s">
        <v>1840</v>
      </c>
      <c r="C455" s="733" t="s">
        <v>1080</v>
      </c>
      <c r="D455" s="733">
        <v>63.167007446289063</v>
      </c>
      <c r="E455" s="733">
        <v>1</v>
      </c>
    </row>
    <row r="456" spans="2:5" x14ac:dyDescent="0.25">
      <c r="B456" s="1382" t="s">
        <v>1840</v>
      </c>
      <c r="C456" s="733" t="s">
        <v>1081</v>
      </c>
      <c r="D456" s="733">
        <v>53.183437347412109</v>
      </c>
      <c r="E456" s="733">
        <v>1</v>
      </c>
    </row>
    <row r="457" spans="2:5" x14ac:dyDescent="0.25">
      <c r="B457" s="1382" t="s">
        <v>1840</v>
      </c>
      <c r="C457" s="733" t="s">
        <v>1080</v>
      </c>
      <c r="D457" s="733">
        <v>69.194389343261719</v>
      </c>
      <c r="E457" s="733">
        <v>1</v>
      </c>
    </row>
    <row r="458" spans="2:5" x14ac:dyDescent="0.25">
      <c r="B458" s="1382" t="s">
        <v>1840</v>
      </c>
      <c r="C458" s="733" t="s">
        <v>1081</v>
      </c>
      <c r="D458" s="733">
        <v>79.537986755371094</v>
      </c>
      <c r="E458" s="733">
        <v>1</v>
      </c>
    </row>
    <row r="459" spans="2:5" x14ac:dyDescent="0.25">
      <c r="B459" s="1382" t="s">
        <v>1840</v>
      </c>
      <c r="C459" s="733" t="s">
        <v>1080</v>
      </c>
      <c r="D459" s="733">
        <v>53.741958618164063</v>
      </c>
      <c r="E459" s="733">
        <v>1</v>
      </c>
    </row>
    <row r="460" spans="2:5" x14ac:dyDescent="0.25">
      <c r="B460" s="1382" t="s">
        <v>1840</v>
      </c>
      <c r="C460" s="733" t="s">
        <v>1080</v>
      </c>
      <c r="D460" s="733">
        <v>49.0958251953125</v>
      </c>
      <c r="E460" s="733">
        <v>1</v>
      </c>
    </row>
    <row r="461" spans="2:5" x14ac:dyDescent="0.25">
      <c r="B461" s="1382" t="s">
        <v>1840</v>
      </c>
      <c r="C461" s="733" t="s">
        <v>1080</v>
      </c>
      <c r="D461" s="733">
        <v>46.097877502441406</v>
      </c>
      <c r="E461" s="733">
        <v>1</v>
      </c>
    </row>
    <row r="462" spans="2:5" x14ac:dyDescent="0.25">
      <c r="B462" s="1382" t="s">
        <v>1840</v>
      </c>
      <c r="C462" s="733" t="s">
        <v>1080</v>
      </c>
      <c r="D462" s="733">
        <v>65.700889587402344</v>
      </c>
      <c r="E462" s="733">
        <v>1</v>
      </c>
    </row>
    <row r="463" spans="2:5" x14ac:dyDescent="0.25">
      <c r="B463" s="1382" t="s">
        <v>1840</v>
      </c>
      <c r="C463" s="733" t="s">
        <v>1080</v>
      </c>
      <c r="D463" s="733">
        <v>63.068447113037109</v>
      </c>
      <c r="E463" s="733">
        <v>1</v>
      </c>
    </row>
    <row r="464" spans="2:5" x14ac:dyDescent="0.25">
      <c r="B464" s="1382" t="s">
        <v>1840</v>
      </c>
      <c r="C464" s="733" t="s">
        <v>1080</v>
      </c>
      <c r="D464" s="733">
        <v>57.120464324951172</v>
      </c>
      <c r="E464" s="733">
        <v>1</v>
      </c>
    </row>
    <row r="465" spans="2:5" x14ac:dyDescent="0.25">
      <c r="B465" s="1382" t="s">
        <v>1840</v>
      </c>
      <c r="C465" s="733" t="s">
        <v>1080</v>
      </c>
      <c r="D465" s="733">
        <v>75.146476745605469</v>
      </c>
      <c r="E465" s="733">
        <v>1</v>
      </c>
    </row>
    <row r="466" spans="2:5" x14ac:dyDescent="0.25">
      <c r="B466" s="1382" t="s">
        <v>1840</v>
      </c>
      <c r="C466" s="733" t="s">
        <v>1080</v>
      </c>
      <c r="D466" s="733">
        <v>81.908279418945313</v>
      </c>
      <c r="E466" s="733">
        <v>1</v>
      </c>
    </row>
    <row r="467" spans="2:5" x14ac:dyDescent="0.25">
      <c r="B467" s="1382" t="s">
        <v>1840</v>
      </c>
      <c r="C467" s="733" t="s">
        <v>1081</v>
      </c>
      <c r="D467" s="733">
        <v>56</v>
      </c>
      <c r="E467" s="733">
        <v>1</v>
      </c>
    </row>
    <row r="468" spans="2:5" x14ac:dyDescent="0.25">
      <c r="B468" s="1382" t="s">
        <v>1840</v>
      </c>
      <c r="C468" s="733" t="s">
        <v>1080</v>
      </c>
      <c r="D468" s="733">
        <v>61</v>
      </c>
      <c r="E468" s="733">
        <v>1</v>
      </c>
    </row>
    <row r="469" spans="2:5" x14ac:dyDescent="0.25">
      <c r="B469" s="1382" t="s">
        <v>1840</v>
      </c>
      <c r="C469" s="733" t="s">
        <v>1081</v>
      </c>
      <c r="D469" s="733">
        <v>76.001365661621094</v>
      </c>
      <c r="E469" s="733">
        <v>1</v>
      </c>
    </row>
    <row r="470" spans="2:5" x14ac:dyDescent="0.25">
      <c r="B470" s="1382" t="s">
        <v>1840</v>
      </c>
      <c r="C470" s="733" t="s">
        <v>1080</v>
      </c>
      <c r="D470" s="733">
        <v>61</v>
      </c>
      <c r="E470" s="733">
        <v>1</v>
      </c>
    </row>
    <row r="471" spans="2:5" x14ac:dyDescent="0.25">
      <c r="B471" s="1382" t="s">
        <v>1840</v>
      </c>
      <c r="C471" s="733" t="s">
        <v>1081</v>
      </c>
      <c r="D471" s="733">
        <v>21</v>
      </c>
      <c r="E471" s="733">
        <v>1</v>
      </c>
    </row>
    <row r="472" spans="2:5" x14ac:dyDescent="0.25">
      <c r="B472" s="1382" t="s">
        <v>1840</v>
      </c>
      <c r="C472" s="733" t="s">
        <v>1081</v>
      </c>
      <c r="D472" s="733">
        <v>89</v>
      </c>
      <c r="E472" s="733">
        <v>1</v>
      </c>
    </row>
    <row r="473" spans="2:5" x14ac:dyDescent="0.25">
      <c r="B473" s="1382" t="s">
        <v>1840</v>
      </c>
      <c r="C473" s="733" t="s">
        <v>1081</v>
      </c>
      <c r="D473" s="733">
        <v>71.580421447753906</v>
      </c>
      <c r="E473" s="733">
        <v>1</v>
      </c>
    </row>
    <row r="474" spans="2:5" x14ac:dyDescent="0.25">
      <c r="B474" s="1382" t="s">
        <v>1840</v>
      </c>
      <c r="C474" s="733" t="s">
        <v>1081</v>
      </c>
      <c r="D474" s="733">
        <v>78.013687133789063</v>
      </c>
      <c r="E474" s="733">
        <v>1</v>
      </c>
    </row>
    <row r="475" spans="2:5" x14ac:dyDescent="0.25">
      <c r="B475" s="1382" t="s">
        <v>1840</v>
      </c>
      <c r="C475" s="733" t="s">
        <v>1080</v>
      </c>
      <c r="D475" s="733">
        <v>57</v>
      </c>
      <c r="E475" s="733">
        <v>1</v>
      </c>
    </row>
    <row r="476" spans="2:5" x14ac:dyDescent="0.25">
      <c r="B476" s="1382" t="s">
        <v>1840</v>
      </c>
      <c r="C476" s="733" t="s">
        <v>1081</v>
      </c>
      <c r="D476" s="733">
        <v>69</v>
      </c>
      <c r="E476" s="733">
        <v>1</v>
      </c>
    </row>
    <row r="477" spans="2:5" x14ac:dyDescent="0.25">
      <c r="B477" s="1382" t="s">
        <v>1840</v>
      </c>
      <c r="C477" s="733" t="s">
        <v>1081</v>
      </c>
      <c r="D477" s="733">
        <v>51.898014068603516</v>
      </c>
      <c r="E477" s="733">
        <v>1</v>
      </c>
    </row>
    <row r="478" spans="2:5" x14ac:dyDescent="0.25">
      <c r="B478" s="1382" t="s">
        <v>1840</v>
      </c>
      <c r="C478" s="733" t="s">
        <v>1081</v>
      </c>
      <c r="D478" s="733">
        <v>67</v>
      </c>
      <c r="E478" s="733">
        <v>1</v>
      </c>
    </row>
    <row r="479" spans="2:5" x14ac:dyDescent="0.25">
      <c r="B479" s="1382" t="s">
        <v>1840</v>
      </c>
      <c r="C479" s="733" t="s">
        <v>1080</v>
      </c>
      <c r="D479" s="733">
        <v>65.85626220703125</v>
      </c>
      <c r="E479" s="733">
        <v>1</v>
      </c>
    </row>
    <row r="480" spans="2:5" x14ac:dyDescent="0.25">
      <c r="B480" s="1382" t="s">
        <v>1840</v>
      </c>
      <c r="C480" s="733" t="s">
        <v>1081</v>
      </c>
      <c r="D480" s="733">
        <v>62.035591125488281</v>
      </c>
      <c r="E480" s="733">
        <v>1</v>
      </c>
    </row>
    <row r="481" spans="2:5" x14ac:dyDescent="0.25">
      <c r="B481" s="1382" t="s">
        <v>1840</v>
      </c>
      <c r="C481" s="733" t="s">
        <v>1080</v>
      </c>
      <c r="D481" s="733">
        <v>68.249832153320313</v>
      </c>
      <c r="E481" s="733">
        <v>1</v>
      </c>
    </row>
    <row r="482" spans="2:5" x14ac:dyDescent="0.25">
      <c r="B482" s="1382" t="s">
        <v>1840</v>
      </c>
      <c r="C482" s="733" t="s">
        <v>1081</v>
      </c>
      <c r="D482" s="733">
        <v>70.112251281738281</v>
      </c>
      <c r="E482" s="733">
        <v>1</v>
      </c>
    </row>
    <row r="483" spans="2:5" x14ac:dyDescent="0.25">
      <c r="B483" s="1382" t="s">
        <v>1840</v>
      </c>
      <c r="C483" s="733" t="s">
        <v>1080</v>
      </c>
      <c r="D483" s="733">
        <v>55.169746398925781</v>
      </c>
      <c r="E483" s="733">
        <v>1</v>
      </c>
    </row>
    <row r="484" spans="2:5" x14ac:dyDescent="0.25">
      <c r="B484" s="1382" t="s">
        <v>1840</v>
      </c>
      <c r="C484" s="733" t="s">
        <v>1080</v>
      </c>
      <c r="D484" s="733">
        <v>67.101303100585938</v>
      </c>
      <c r="E484" s="733">
        <v>1</v>
      </c>
    </row>
    <row r="485" spans="2:5" x14ac:dyDescent="0.25">
      <c r="B485" s="1382" t="s">
        <v>1840</v>
      </c>
      <c r="C485" s="733" t="s">
        <v>1080</v>
      </c>
      <c r="D485" s="733">
        <v>72.065711975097656</v>
      </c>
      <c r="E485" s="733">
        <v>1</v>
      </c>
    </row>
    <row r="486" spans="2:5" x14ac:dyDescent="0.25">
      <c r="B486" s="1382" t="s">
        <v>1840</v>
      </c>
      <c r="C486" s="733" t="s">
        <v>1080</v>
      </c>
      <c r="D486" s="733">
        <v>67.201919555664063</v>
      </c>
      <c r="E486" s="733">
        <v>1</v>
      </c>
    </row>
    <row r="487" spans="2:5" x14ac:dyDescent="0.25">
      <c r="B487" s="1382" t="s">
        <v>1840</v>
      </c>
      <c r="C487" s="733" t="s">
        <v>1080</v>
      </c>
      <c r="D487" s="733">
        <v>72.620811462402344</v>
      </c>
      <c r="E487" s="733">
        <v>1</v>
      </c>
    </row>
    <row r="488" spans="2:5" x14ac:dyDescent="0.25">
      <c r="B488" s="1382" t="s">
        <v>1840</v>
      </c>
      <c r="C488" s="733" t="s">
        <v>1080</v>
      </c>
      <c r="D488" s="733">
        <v>66.054756164550781</v>
      </c>
      <c r="E488" s="733">
        <v>1</v>
      </c>
    </row>
    <row r="489" spans="2:5" x14ac:dyDescent="0.25">
      <c r="B489" s="1382" t="s">
        <v>1840</v>
      </c>
      <c r="C489" s="733" t="s">
        <v>1081</v>
      </c>
      <c r="D489" s="733">
        <v>71.125938415527344</v>
      </c>
      <c r="E489" s="733">
        <v>1</v>
      </c>
    </row>
    <row r="490" spans="2:5" x14ac:dyDescent="0.25">
      <c r="B490" s="1382" t="s">
        <v>1840</v>
      </c>
      <c r="C490" s="733" t="s">
        <v>1080</v>
      </c>
      <c r="D490" s="733">
        <v>64.1533203125</v>
      </c>
      <c r="E490" s="733">
        <v>1</v>
      </c>
    </row>
    <row r="491" spans="2:5" x14ac:dyDescent="0.25">
      <c r="B491" s="1382" t="s">
        <v>1840</v>
      </c>
      <c r="C491" s="733" t="s">
        <v>1080</v>
      </c>
      <c r="D491" s="733">
        <v>50.579738616943359</v>
      </c>
      <c r="E491" s="733">
        <v>1</v>
      </c>
    </row>
    <row r="492" spans="2:5" x14ac:dyDescent="0.25">
      <c r="B492" s="1382" t="s">
        <v>1840</v>
      </c>
      <c r="C492" s="733" t="s">
        <v>1080</v>
      </c>
      <c r="D492" s="733">
        <v>72.081451416015625</v>
      </c>
      <c r="E492" s="733">
        <v>1</v>
      </c>
    </row>
    <row r="493" spans="2:5" x14ac:dyDescent="0.25">
      <c r="B493" s="1382" t="s">
        <v>1840</v>
      </c>
      <c r="C493" s="733" t="s">
        <v>1080</v>
      </c>
      <c r="D493" s="733">
        <v>61.174537658691406</v>
      </c>
      <c r="E493" s="733">
        <v>1</v>
      </c>
    </row>
    <row r="494" spans="2:5" x14ac:dyDescent="0.25">
      <c r="B494" s="1382" t="s">
        <v>1840</v>
      </c>
      <c r="C494" s="733" t="s">
        <v>1080</v>
      </c>
      <c r="D494" s="733">
        <v>58.563995361328125</v>
      </c>
      <c r="E494" s="733">
        <v>1</v>
      </c>
    </row>
    <row r="495" spans="2:5" x14ac:dyDescent="0.25">
      <c r="B495" s="1382" t="s">
        <v>1840</v>
      </c>
      <c r="C495" s="733" t="s">
        <v>1080</v>
      </c>
      <c r="D495" s="733">
        <v>60.128677368164063</v>
      </c>
      <c r="E495" s="733">
        <v>1</v>
      </c>
    </row>
    <row r="496" spans="2:5" x14ac:dyDescent="0.25">
      <c r="B496" s="1382" t="s">
        <v>1840</v>
      </c>
      <c r="C496" s="733" t="s">
        <v>1080</v>
      </c>
      <c r="D496" s="733">
        <v>59.881587982177734</v>
      </c>
      <c r="E496" s="733">
        <v>1</v>
      </c>
    </row>
    <row r="497" spans="2:5" x14ac:dyDescent="0.25">
      <c r="B497" s="1382" t="s">
        <v>1840</v>
      </c>
      <c r="C497" s="733" t="s">
        <v>1081</v>
      </c>
      <c r="D497" s="733">
        <v>76.150581359863281</v>
      </c>
      <c r="E497" s="733">
        <v>1</v>
      </c>
    </row>
    <row r="498" spans="2:5" x14ac:dyDescent="0.25">
      <c r="B498" s="1382" t="s">
        <v>1840</v>
      </c>
      <c r="C498" s="733" t="s">
        <v>1081</v>
      </c>
      <c r="D498" s="733">
        <v>73.034225463867188</v>
      </c>
      <c r="E498" s="733">
        <v>1</v>
      </c>
    </row>
    <row r="499" spans="2:5" x14ac:dyDescent="0.25">
      <c r="B499" s="1382" t="s">
        <v>1840</v>
      </c>
      <c r="C499" s="733" t="s">
        <v>1081</v>
      </c>
      <c r="D499" s="733">
        <v>86.407936096191406</v>
      </c>
      <c r="E499" s="733">
        <v>1</v>
      </c>
    </row>
    <row r="500" spans="2:5" x14ac:dyDescent="0.25">
      <c r="B500" s="1382" t="s">
        <v>1840</v>
      </c>
      <c r="C500" s="733" t="s">
        <v>1080</v>
      </c>
      <c r="D500" s="733">
        <v>53.197124481201172</v>
      </c>
      <c r="E500" s="733">
        <v>1</v>
      </c>
    </row>
    <row r="501" spans="2:5" x14ac:dyDescent="0.25">
      <c r="B501" s="1382" t="s">
        <v>1840</v>
      </c>
      <c r="C501" s="733" t="s">
        <v>1080</v>
      </c>
      <c r="D501" s="733">
        <v>84.160850524902344</v>
      </c>
      <c r="E501" s="733">
        <v>1</v>
      </c>
    </row>
    <row r="502" spans="2:5" x14ac:dyDescent="0.25">
      <c r="B502" s="1382" t="s">
        <v>1840</v>
      </c>
      <c r="C502" s="733" t="s">
        <v>1080</v>
      </c>
      <c r="D502" s="733">
        <v>66.666664123535156</v>
      </c>
      <c r="E502" s="733">
        <v>1</v>
      </c>
    </row>
    <row r="503" spans="2:5" x14ac:dyDescent="0.25">
      <c r="B503" s="1382" t="s">
        <v>1840</v>
      </c>
      <c r="C503" s="733" t="s">
        <v>1080</v>
      </c>
      <c r="D503" s="733">
        <v>80.0574951171875</v>
      </c>
      <c r="E503" s="733">
        <v>1</v>
      </c>
    </row>
    <row r="504" spans="2:5" x14ac:dyDescent="0.25">
      <c r="B504" s="1382" t="s">
        <v>1840</v>
      </c>
      <c r="C504" s="733" t="s">
        <v>1080</v>
      </c>
      <c r="D504" s="733">
        <v>62.254619598388672</v>
      </c>
      <c r="E504" s="733">
        <v>1</v>
      </c>
    </row>
    <row r="505" spans="2:5" x14ac:dyDescent="0.25">
      <c r="B505" s="1382" t="s">
        <v>1840</v>
      </c>
      <c r="C505" s="733" t="s">
        <v>1080</v>
      </c>
      <c r="D505" s="733">
        <v>73.691993713378906</v>
      </c>
      <c r="E505" s="733">
        <v>1</v>
      </c>
    </row>
    <row r="506" spans="2:5" x14ac:dyDescent="0.25">
      <c r="B506" s="1382" t="s">
        <v>1840</v>
      </c>
      <c r="C506" s="733" t="s">
        <v>1080</v>
      </c>
      <c r="D506" s="733">
        <v>76.041069030761719</v>
      </c>
      <c r="E506" s="733">
        <v>1</v>
      </c>
    </row>
    <row r="507" spans="2:5" x14ac:dyDescent="0.25">
      <c r="B507" s="1382" t="s">
        <v>1840</v>
      </c>
      <c r="C507" s="733" t="s">
        <v>1080</v>
      </c>
      <c r="D507" s="733">
        <v>56.644763946533203</v>
      </c>
      <c r="E507" s="733">
        <v>1</v>
      </c>
    </row>
    <row r="508" spans="2:5" x14ac:dyDescent="0.25">
      <c r="B508" s="1382" t="s">
        <v>1840</v>
      </c>
      <c r="C508" s="733" t="s">
        <v>1080</v>
      </c>
      <c r="D508" s="733">
        <v>56.522930145263672</v>
      </c>
      <c r="E508" s="733">
        <v>1</v>
      </c>
    </row>
    <row r="509" spans="2:5" x14ac:dyDescent="0.25">
      <c r="B509" s="1382" t="s">
        <v>1840</v>
      </c>
      <c r="C509" s="733" t="s">
        <v>1081</v>
      </c>
      <c r="D509" s="733">
        <v>75.131416320800781</v>
      </c>
      <c r="E509" s="733">
        <v>1</v>
      </c>
    </row>
    <row r="510" spans="2:5" x14ac:dyDescent="0.25">
      <c r="B510" s="1382" t="s">
        <v>1840</v>
      </c>
      <c r="C510" s="733" t="s">
        <v>1080</v>
      </c>
      <c r="D510" s="733">
        <v>45.415470123291016</v>
      </c>
      <c r="E510" s="733">
        <v>1</v>
      </c>
    </row>
    <row r="511" spans="2:5" x14ac:dyDescent="0.25">
      <c r="B511" s="1382" t="s">
        <v>1840</v>
      </c>
      <c r="C511" s="733" t="s">
        <v>1080</v>
      </c>
      <c r="D511" s="733">
        <v>58.457221984863281</v>
      </c>
      <c r="E511" s="733">
        <v>1</v>
      </c>
    </row>
    <row r="512" spans="2:5" x14ac:dyDescent="0.25">
      <c r="B512" s="1382" t="s">
        <v>1840</v>
      </c>
      <c r="C512" s="733" t="s">
        <v>1081</v>
      </c>
      <c r="D512" s="733">
        <v>57.148529052734375</v>
      </c>
      <c r="E512" s="733">
        <v>1</v>
      </c>
    </row>
    <row r="513" spans="2:5" x14ac:dyDescent="0.25">
      <c r="B513" s="1382" t="s">
        <v>1840</v>
      </c>
      <c r="C513" s="733" t="s">
        <v>1080</v>
      </c>
      <c r="D513" s="733">
        <v>57.508556365966797</v>
      </c>
      <c r="E513" s="733">
        <v>1</v>
      </c>
    </row>
    <row r="514" spans="2:5" x14ac:dyDescent="0.25">
      <c r="B514" s="1382" t="s">
        <v>1840</v>
      </c>
      <c r="C514" s="733" t="s">
        <v>1081</v>
      </c>
      <c r="D514" s="733">
        <v>61</v>
      </c>
      <c r="E514" s="733">
        <v>1</v>
      </c>
    </row>
    <row r="515" spans="2:5" x14ac:dyDescent="0.25">
      <c r="B515" s="1382" t="s">
        <v>1840</v>
      </c>
      <c r="C515" s="733" t="s">
        <v>1080</v>
      </c>
      <c r="D515" s="733">
        <v>31</v>
      </c>
      <c r="E515" s="733">
        <v>1</v>
      </c>
    </row>
    <row r="516" spans="2:5" x14ac:dyDescent="0.25">
      <c r="B516" s="1382" t="s">
        <v>1840</v>
      </c>
      <c r="C516" s="733" t="s">
        <v>1080</v>
      </c>
      <c r="D516" s="733">
        <v>67.0191650390625</v>
      </c>
      <c r="E516" s="733">
        <v>1</v>
      </c>
    </row>
    <row r="517" spans="2:5" x14ac:dyDescent="0.25">
      <c r="B517" s="1382" t="s">
        <v>1840</v>
      </c>
      <c r="C517" s="733" t="s">
        <v>1080</v>
      </c>
      <c r="D517" s="733">
        <v>72</v>
      </c>
      <c r="E517" s="733">
        <v>1</v>
      </c>
    </row>
    <row r="518" spans="2:5" x14ac:dyDescent="0.25">
      <c r="B518" s="1382" t="s">
        <v>1840</v>
      </c>
      <c r="C518" s="733" t="s">
        <v>1080</v>
      </c>
      <c r="D518" s="733">
        <v>77</v>
      </c>
      <c r="E518" s="733">
        <v>1</v>
      </c>
    </row>
    <row r="519" spans="2:5" x14ac:dyDescent="0.25">
      <c r="B519" s="1382" t="s">
        <v>1840</v>
      </c>
      <c r="C519" s="733" t="s">
        <v>1080</v>
      </c>
      <c r="D519" s="733">
        <v>62</v>
      </c>
      <c r="E519" s="733">
        <v>1</v>
      </c>
    </row>
    <row r="520" spans="2:5" x14ac:dyDescent="0.25">
      <c r="B520" s="1382" t="s">
        <v>1840</v>
      </c>
      <c r="C520" s="733" t="s">
        <v>1080</v>
      </c>
      <c r="D520" s="733">
        <v>78.446266174316406</v>
      </c>
      <c r="E520" s="733">
        <v>1</v>
      </c>
    </row>
    <row r="521" spans="2:5" x14ac:dyDescent="0.25">
      <c r="B521" s="1382" t="s">
        <v>1840</v>
      </c>
      <c r="C521" s="733" t="s">
        <v>1080</v>
      </c>
      <c r="D521" s="733">
        <v>75</v>
      </c>
      <c r="E521" s="733">
        <v>1</v>
      </c>
    </row>
    <row r="522" spans="2:5" x14ac:dyDescent="0.25">
      <c r="B522" s="1382" t="s">
        <v>1840</v>
      </c>
      <c r="C522" s="733" t="s">
        <v>1080</v>
      </c>
      <c r="D522" s="733">
        <v>78</v>
      </c>
      <c r="E522" s="733">
        <v>1</v>
      </c>
    </row>
    <row r="523" spans="2:5" x14ac:dyDescent="0.25">
      <c r="B523" s="1382" t="s">
        <v>1840</v>
      </c>
      <c r="C523" s="733" t="s">
        <v>1081</v>
      </c>
      <c r="D523" s="733">
        <v>58</v>
      </c>
      <c r="E523" s="733">
        <v>1</v>
      </c>
    </row>
    <row r="524" spans="2:5" x14ac:dyDescent="0.25">
      <c r="B524" s="1382" t="s">
        <v>1840</v>
      </c>
      <c r="C524" s="733" t="s">
        <v>1080</v>
      </c>
      <c r="D524" s="733">
        <v>85.002738952636719</v>
      </c>
      <c r="E524" s="733">
        <v>1</v>
      </c>
    </row>
    <row r="525" spans="2:5" x14ac:dyDescent="0.25">
      <c r="B525" s="1382" t="s">
        <v>1840</v>
      </c>
      <c r="C525" s="733" t="s">
        <v>1080</v>
      </c>
      <c r="D525" s="733">
        <v>65</v>
      </c>
      <c r="E525" s="733">
        <v>1</v>
      </c>
    </row>
    <row r="526" spans="2:5" x14ac:dyDescent="0.25">
      <c r="B526" s="1382" t="s">
        <v>1840</v>
      </c>
      <c r="C526" s="733" t="s">
        <v>1081</v>
      </c>
      <c r="D526" s="733">
        <v>81</v>
      </c>
      <c r="E526" s="733">
        <v>1</v>
      </c>
    </row>
    <row r="527" spans="2:5" x14ac:dyDescent="0.25">
      <c r="B527" s="1382" t="s">
        <v>1840</v>
      </c>
      <c r="C527" s="733" t="s">
        <v>1080</v>
      </c>
      <c r="D527" s="733">
        <v>76.391510009765625</v>
      </c>
      <c r="E527" s="733">
        <v>1</v>
      </c>
    </row>
    <row r="528" spans="2:5" x14ac:dyDescent="0.25">
      <c r="B528" s="1382" t="s">
        <v>1840</v>
      </c>
      <c r="C528" s="733" t="s">
        <v>1080</v>
      </c>
      <c r="D528" s="733">
        <v>58</v>
      </c>
      <c r="E528" s="733">
        <v>1</v>
      </c>
    </row>
    <row r="529" spans="2:5" x14ac:dyDescent="0.25">
      <c r="B529" s="1382" t="s">
        <v>1840</v>
      </c>
      <c r="C529" s="733" t="s">
        <v>1081</v>
      </c>
      <c r="D529" s="733">
        <v>66.005477905273438</v>
      </c>
      <c r="E529" s="733">
        <v>1</v>
      </c>
    </row>
    <row r="530" spans="2:5" x14ac:dyDescent="0.25">
      <c r="B530" s="1382" t="s">
        <v>1840</v>
      </c>
      <c r="C530" s="733" t="s">
        <v>1080</v>
      </c>
      <c r="D530" s="733">
        <v>76.145103454589844</v>
      </c>
      <c r="E530" s="733">
        <v>1</v>
      </c>
    </row>
    <row r="531" spans="2:5" x14ac:dyDescent="0.25">
      <c r="B531" s="1382" t="s">
        <v>1840</v>
      </c>
      <c r="C531" s="733" t="s">
        <v>1080</v>
      </c>
      <c r="D531" s="733">
        <v>71.002738952636719</v>
      </c>
      <c r="E531" s="733">
        <v>1</v>
      </c>
    </row>
    <row r="532" spans="2:5" x14ac:dyDescent="0.25">
      <c r="B532" s="1382" t="s">
        <v>1840</v>
      </c>
      <c r="C532" s="733" t="s">
        <v>1081</v>
      </c>
      <c r="D532" s="733">
        <v>86.106773376464844</v>
      </c>
      <c r="E532" s="733">
        <v>1</v>
      </c>
    </row>
    <row r="533" spans="2:5" x14ac:dyDescent="0.25">
      <c r="B533" s="1382" t="s">
        <v>1840</v>
      </c>
      <c r="C533" s="733" t="s">
        <v>1080</v>
      </c>
      <c r="D533" s="733">
        <v>53.999317169189453</v>
      </c>
      <c r="E533" s="733">
        <v>1</v>
      </c>
    </row>
    <row r="534" spans="2:5" x14ac:dyDescent="0.25">
      <c r="B534" s="1382" t="s">
        <v>1840</v>
      </c>
      <c r="C534" s="733" t="s">
        <v>1080</v>
      </c>
      <c r="D534" s="733">
        <v>69</v>
      </c>
      <c r="E534" s="733">
        <v>1</v>
      </c>
    </row>
    <row r="535" spans="2:5" x14ac:dyDescent="0.25">
      <c r="B535" s="1382" t="s">
        <v>1840</v>
      </c>
      <c r="C535" s="733" t="s">
        <v>1081</v>
      </c>
      <c r="D535" s="733">
        <v>59</v>
      </c>
      <c r="E535" s="733">
        <v>1</v>
      </c>
    </row>
    <row r="536" spans="2:5" x14ac:dyDescent="0.25">
      <c r="B536" s="1382" t="s">
        <v>1840</v>
      </c>
      <c r="C536" s="733" t="s">
        <v>1080</v>
      </c>
      <c r="D536" s="733">
        <v>70</v>
      </c>
      <c r="E536" s="733">
        <v>1</v>
      </c>
    </row>
    <row r="537" spans="2:5" x14ac:dyDescent="0.25">
      <c r="B537" s="1382" t="s">
        <v>1840</v>
      </c>
      <c r="C537" s="733" t="s">
        <v>1080</v>
      </c>
      <c r="D537" s="733">
        <v>65</v>
      </c>
      <c r="E537" s="733">
        <v>1</v>
      </c>
    </row>
    <row r="538" spans="2:5" x14ac:dyDescent="0.25">
      <c r="B538" s="1382" t="s">
        <v>1840</v>
      </c>
      <c r="C538" s="733" t="s">
        <v>1080</v>
      </c>
      <c r="D538" s="733">
        <v>58</v>
      </c>
      <c r="E538" s="733">
        <v>1</v>
      </c>
    </row>
    <row r="539" spans="2:5" x14ac:dyDescent="0.25">
      <c r="B539" s="1382" t="s">
        <v>1840</v>
      </c>
      <c r="C539" s="733" t="s">
        <v>1080</v>
      </c>
      <c r="D539" s="733">
        <v>73.369613647460938</v>
      </c>
      <c r="E539" s="733">
        <v>1</v>
      </c>
    </row>
    <row r="540" spans="2:5" x14ac:dyDescent="0.25">
      <c r="B540" s="1382" t="s">
        <v>1840</v>
      </c>
      <c r="C540" s="733" t="s">
        <v>1081</v>
      </c>
      <c r="D540" s="733">
        <v>73</v>
      </c>
      <c r="E540" s="733">
        <v>1</v>
      </c>
    </row>
    <row r="541" spans="2:5" x14ac:dyDescent="0.25">
      <c r="B541" s="1382" t="s">
        <v>1840</v>
      </c>
      <c r="C541" s="733" t="s">
        <v>1080</v>
      </c>
      <c r="D541" s="733">
        <v>66</v>
      </c>
      <c r="E541" s="733">
        <v>1</v>
      </c>
    </row>
    <row r="542" spans="2:5" x14ac:dyDescent="0.25">
      <c r="B542" s="1382" t="s">
        <v>1840</v>
      </c>
      <c r="C542" s="733" t="s">
        <v>1080</v>
      </c>
      <c r="D542" s="733">
        <v>54</v>
      </c>
      <c r="E542" s="733">
        <v>1</v>
      </c>
    </row>
    <row r="543" spans="2:5" x14ac:dyDescent="0.25">
      <c r="B543" s="1382" t="s">
        <v>1840</v>
      </c>
      <c r="C543" s="733" t="s">
        <v>1081</v>
      </c>
      <c r="D543" s="733">
        <v>63</v>
      </c>
      <c r="E543" s="733">
        <v>1</v>
      </c>
    </row>
    <row r="544" spans="2:5" x14ac:dyDescent="0.25">
      <c r="B544" s="1382" t="s">
        <v>1840</v>
      </c>
      <c r="C544" s="733" t="s">
        <v>1080</v>
      </c>
      <c r="D544" s="733">
        <v>70</v>
      </c>
      <c r="E544" s="733">
        <v>1</v>
      </c>
    </row>
    <row r="545" spans="2:5" x14ac:dyDescent="0.25">
      <c r="B545" s="1382" t="s">
        <v>1840</v>
      </c>
      <c r="C545" s="733" t="s">
        <v>1080</v>
      </c>
      <c r="D545" s="733">
        <v>82</v>
      </c>
      <c r="E545" s="733">
        <v>1</v>
      </c>
    </row>
    <row r="546" spans="2:5" x14ac:dyDescent="0.25">
      <c r="B546" s="1382" t="s">
        <v>1840</v>
      </c>
      <c r="C546" s="733" t="s">
        <v>1080</v>
      </c>
      <c r="D546" s="733">
        <v>77.005477905273438</v>
      </c>
      <c r="E546" s="733">
        <v>1</v>
      </c>
    </row>
    <row r="547" spans="2:5" x14ac:dyDescent="0.25">
      <c r="B547" s="1382" t="s">
        <v>1840</v>
      </c>
      <c r="C547" s="733" t="s">
        <v>1080</v>
      </c>
      <c r="D547" s="733">
        <v>71</v>
      </c>
      <c r="E547" s="733">
        <v>1</v>
      </c>
    </row>
    <row r="548" spans="2:5" x14ac:dyDescent="0.25">
      <c r="B548" s="1382" t="s">
        <v>1840</v>
      </c>
      <c r="C548" s="733" t="s">
        <v>1080</v>
      </c>
      <c r="D548" s="733">
        <v>73.279258728027344</v>
      </c>
      <c r="E548" s="733">
        <v>1</v>
      </c>
    </row>
    <row r="549" spans="2:5" x14ac:dyDescent="0.25">
      <c r="B549" s="1382" t="s">
        <v>1840</v>
      </c>
      <c r="C549" s="733" t="s">
        <v>1080</v>
      </c>
      <c r="D549" s="733">
        <v>49</v>
      </c>
      <c r="E549" s="733">
        <v>1</v>
      </c>
    </row>
    <row r="550" spans="2:5" x14ac:dyDescent="0.25">
      <c r="B550" s="1382" t="s">
        <v>1840</v>
      </c>
      <c r="C550" s="733" t="s">
        <v>1081</v>
      </c>
      <c r="D550" s="733">
        <v>55.002738952636719</v>
      </c>
      <c r="E550" s="733">
        <v>1</v>
      </c>
    </row>
    <row r="551" spans="2:5" x14ac:dyDescent="0.25">
      <c r="B551" s="1382" t="s">
        <v>1840</v>
      </c>
      <c r="C551" s="733" t="s">
        <v>1080</v>
      </c>
      <c r="D551" s="733">
        <v>65</v>
      </c>
      <c r="E551" s="733">
        <v>1</v>
      </c>
    </row>
    <row r="552" spans="2:5" x14ac:dyDescent="0.25">
      <c r="B552" s="1382" t="s">
        <v>1840</v>
      </c>
      <c r="C552" s="733" t="s">
        <v>1080</v>
      </c>
      <c r="D552" s="733">
        <v>59</v>
      </c>
      <c r="E552" s="733">
        <v>1</v>
      </c>
    </row>
    <row r="553" spans="2:5" x14ac:dyDescent="0.25">
      <c r="B553" s="1382" t="s">
        <v>1840</v>
      </c>
      <c r="C553" s="733" t="s">
        <v>1080</v>
      </c>
      <c r="D553" s="733">
        <v>65.002738952636719</v>
      </c>
      <c r="E553" s="733">
        <v>1</v>
      </c>
    </row>
    <row r="554" spans="2:5" x14ac:dyDescent="0.25">
      <c r="B554" s="1382" t="s">
        <v>1840</v>
      </c>
      <c r="C554" s="733" t="s">
        <v>1080</v>
      </c>
      <c r="D554" s="733">
        <v>76</v>
      </c>
      <c r="E554" s="733">
        <v>1</v>
      </c>
    </row>
    <row r="555" spans="2:5" x14ac:dyDescent="0.25">
      <c r="B555" s="1382" t="s">
        <v>1840</v>
      </c>
      <c r="C555" s="733" t="s">
        <v>1081</v>
      </c>
      <c r="D555" s="733">
        <v>62.027378082275391</v>
      </c>
      <c r="E555" s="733">
        <v>1</v>
      </c>
    </row>
    <row r="556" spans="2:5" x14ac:dyDescent="0.25">
      <c r="B556" s="1382" t="s">
        <v>1840</v>
      </c>
      <c r="C556" s="733" t="s">
        <v>1080</v>
      </c>
      <c r="D556" s="733">
        <v>57</v>
      </c>
      <c r="E556" s="733">
        <v>1</v>
      </c>
    </row>
    <row r="557" spans="2:5" x14ac:dyDescent="0.25">
      <c r="B557" s="1382" t="s">
        <v>1840</v>
      </c>
      <c r="C557" s="733" t="s">
        <v>1081</v>
      </c>
      <c r="D557" s="733">
        <v>76</v>
      </c>
      <c r="E557" s="733">
        <v>1</v>
      </c>
    </row>
    <row r="558" spans="2:5" x14ac:dyDescent="0.25">
      <c r="B558" s="1382" t="s">
        <v>1840</v>
      </c>
      <c r="C558" s="733" t="s">
        <v>1080</v>
      </c>
      <c r="D558" s="733">
        <v>77</v>
      </c>
      <c r="E558" s="733">
        <v>1</v>
      </c>
    </row>
    <row r="559" spans="2:5" x14ac:dyDescent="0.25">
      <c r="B559" s="1382" t="s">
        <v>1840</v>
      </c>
      <c r="C559" s="733" t="s">
        <v>1081</v>
      </c>
      <c r="D559" s="733">
        <v>72.139633178710938</v>
      </c>
      <c r="E559" s="733">
        <v>1</v>
      </c>
    </row>
    <row r="560" spans="2:5" x14ac:dyDescent="0.25">
      <c r="B560" s="1382" t="s">
        <v>1840</v>
      </c>
      <c r="C560" s="733" t="s">
        <v>1080</v>
      </c>
      <c r="D560" s="733">
        <v>64</v>
      </c>
      <c r="E560" s="733">
        <v>1</v>
      </c>
    </row>
    <row r="561" spans="2:5" x14ac:dyDescent="0.25">
      <c r="B561" s="1382" t="s">
        <v>1840</v>
      </c>
      <c r="C561" s="733" t="s">
        <v>1080</v>
      </c>
      <c r="D561" s="733">
        <v>74</v>
      </c>
      <c r="E561" s="733">
        <v>1</v>
      </c>
    </row>
    <row r="562" spans="2:5" x14ac:dyDescent="0.25">
      <c r="B562" s="1382" t="s">
        <v>1840</v>
      </c>
      <c r="C562" s="733" t="s">
        <v>1081</v>
      </c>
      <c r="D562" s="733">
        <v>68</v>
      </c>
      <c r="E562" s="733">
        <v>1</v>
      </c>
    </row>
    <row r="563" spans="2:5" x14ac:dyDescent="0.25">
      <c r="B563" s="1382" t="s">
        <v>1840</v>
      </c>
      <c r="C563" s="733" t="s">
        <v>1080</v>
      </c>
      <c r="D563" s="733">
        <v>65</v>
      </c>
      <c r="E563" s="733">
        <v>1</v>
      </c>
    </row>
    <row r="564" spans="2:5" x14ac:dyDescent="0.25">
      <c r="B564" s="1382" t="s">
        <v>1840</v>
      </c>
      <c r="C564" s="733" t="s">
        <v>1080</v>
      </c>
      <c r="D564" s="733">
        <v>72</v>
      </c>
      <c r="E564" s="733">
        <v>1</v>
      </c>
    </row>
    <row r="565" spans="2:5" x14ac:dyDescent="0.25">
      <c r="B565" s="1382" t="s">
        <v>1840</v>
      </c>
      <c r="C565" s="733" t="s">
        <v>1081</v>
      </c>
      <c r="D565" s="733">
        <v>73</v>
      </c>
      <c r="E565" s="733">
        <v>1</v>
      </c>
    </row>
    <row r="566" spans="2:5" x14ac:dyDescent="0.25">
      <c r="B566" s="1382" t="s">
        <v>1840</v>
      </c>
      <c r="C566" s="733" t="s">
        <v>1081</v>
      </c>
      <c r="D566" s="733">
        <v>69</v>
      </c>
      <c r="E566" s="733">
        <v>1</v>
      </c>
    </row>
    <row r="567" spans="2:5" x14ac:dyDescent="0.25">
      <c r="B567" s="1382" t="s">
        <v>1840</v>
      </c>
      <c r="C567" s="733" t="s">
        <v>1080</v>
      </c>
      <c r="D567" s="733">
        <v>54</v>
      </c>
      <c r="E567" s="733">
        <v>1</v>
      </c>
    </row>
    <row r="568" spans="2:5" x14ac:dyDescent="0.25">
      <c r="B568" s="1382" t="s">
        <v>1840</v>
      </c>
      <c r="C568" s="733" t="s">
        <v>1080</v>
      </c>
      <c r="D568" s="733">
        <v>67.07666015625</v>
      </c>
      <c r="E568" s="733">
        <v>1</v>
      </c>
    </row>
    <row r="569" spans="2:5" x14ac:dyDescent="0.25">
      <c r="B569" s="1382" t="s">
        <v>1840</v>
      </c>
      <c r="C569" s="733" t="s">
        <v>1080</v>
      </c>
      <c r="D569" s="733">
        <v>81</v>
      </c>
      <c r="E569" s="733">
        <v>1</v>
      </c>
    </row>
    <row r="570" spans="2:5" x14ac:dyDescent="0.25">
      <c r="B570" s="1382" t="s">
        <v>1840</v>
      </c>
      <c r="C570" s="733" t="s">
        <v>1080</v>
      </c>
      <c r="D570" s="733">
        <v>76.147842407226563</v>
      </c>
      <c r="E570" s="733">
        <v>1</v>
      </c>
    </row>
    <row r="571" spans="2:5" x14ac:dyDescent="0.25">
      <c r="B571" s="1382" t="s">
        <v>1840</v>
      </c>
      <c r="C571" s="733" t="s">
        <v>1080</v>
      </c>
      <c r="D571" s="733">
        <v>55.136894226074219</v>
      </c>
      <c r="E571" s="733">
        <v>1</v>
      </c>
    </row>
    <row r="572" spans="2:5" x14ac:dyDescent="0.25">
      <c r="B572" s="1382" t="s">
        <v>1840</v>
      </c>
      <c r="C572" s="733" t="s">
        <v>1080</v>
      </c>
      <c r="D572" s="733">
        <v>53.098564147949219</v>
      </c>
      <c r="E572" s="733">
        <v>1</v>
      </c>
    </row>
    <row r="573" spans="2:5" x14ac:dyDescent="0.25">
      <c r="B573" s="1382" t="s">
        <v>1840</v>
      </c>
      <c r="C573" s="733" t="s">
        <v>1080</v>
      </c>
      <c r="D573" s="733">
        <v>70.246406555175781</v>
      </c>
      <c r="E573" s="733">
        <v>1</v>
      </c>
    </row>
    <row r="574" spans="2:5" x14ac:dyDescent="0.25">
      <c r="B574" s="1382" t="s">
        <v>1840</v>
      </c>
      <c r="C574" s="733" t="s">
        <v>1081</v>
      </c>
      <c r="D574" s="733">
        <v>54.139629364013672</v>
      </c>
      <c r="E574" s="733">
        <v>1</v>
      </c>
    </row>
    <row r="575" spans="2:5" x14ac:dyDescent="0.25">
      <c r="B575" s="1382" t="s">
        <v>1840</v>
      </c>
      <c r="C575" s="733" t="s">
        <v>1081</v>
      </c>
      <c r="D575" s="733">
        <v>75.188911437988281</v>
      </c>
      <c r="E575" s="733">
        <v>1</v>
      </c>
    </row>
    <row r="576" spans="2:5" x14ac:dyDescent="0.25">
      <c r="B576" s="1382" t="s">
        <v>1840</v>
      </c>
      <c r="C576" s="733" t="s">
        <v>1080</v>
      </c>
      <c r="D576" s="733">
        <v>51.114990234375</v>
      </c>
      <c r="E576" s="733">
        <v>1</v>
      </c>
    </row>
    <row r="577" spans="2:5" x14ac:dyDescent="0.25">
      <c r="B577" s="1382" t="s">
        <v>1840</v>
      </c>
      <c r="C577" s="733" t="s">
        <v>1081</v>
      </c>
      <c r="D577" s="733">
        <v>70.763862609863281</v>
      </c>
      <c r="E577" s="733">
        <v>1</v>
      </c>
    </row>
    <row r="578" spans="2:5" x14ac:dyDescent="0.25">
      <c r="B578" s="1382" t="s">
        <v>1840</v>
      </c>
      <c r="C578" s="733" t="s">
        <v>1080</v>
      </c>
      <c r="D578" s="733">
        <v>72.131416320800781</v>
      </c>
      <c r="E578" s="733">
        <v>1</v>
      </c>
    </row>
    <row r="579" spans="2:5" x14ac:dyDescent="0.25">
      <c r="B579" s="1382" t="s">
        <v>1840</v>
      </c>
      <c r="C579" s="733" t="s">
        <v>1081</v>
      </c>
      <c r="D579" s="733">
        <v>63.131416320800781</v>
      </c>
      <c r="E579" s="733">
        <v>1</v>
      </c>
    </row>
    <row r="580" spans="2:5" x14ac:dyDescent="0.25">
      <c r="B580" s="1382" t="s">
        <v>1840</v>
      </c>
      <c r="C580" s="733" t="s">
        <v>1080</v>
      </c>
      <c r="D580" s="733">
        <v>82</v>
      </c>
      <c r="E580" s="733">
        <v>1</v>
      </c>
    </row>
    <row r="581" spans="2:5" x14ac:dyDescent="0.25">
      <c r="B581" s="1382" t="s">
        <v>1840</v>
      </c>
      <c r="C581" s="733" t="s">
        <v>1080</v>
      </c>
      <c r="D581" s="733">
        <v>77.344284057617188</v>
      </c>
      <c r="E581" s="733">
        <v>1</v>
      </c>
    </row>
    <row r="582" spans="2:5" x14ac:dyDescent="0.25">
      <c r="B582" s="1382" t="s">
        <v>1840</v>
      </c>
      <c r="C582" s="733" t="s">
        <v>1080</v>
      </c>
      <c r="D582" s="733">
        <v>67.041069030761719</v>
      </c>
      <c r="E582" s="733">
        <v>1</v>
      </c>
    </row>
    <row r="583" spans="2:5" x14ac:dyDescent="0.25">
      <c r="B583" s="1382" t="s">
        <v>1840</v>
      </c>
      <c r="C583" s="733" t="s">
        <v>1081</v>
      </c>
      <c r="D583" s="733">
        <v>54</v>
      </c>
      <c r="E583" s="733">
        <v>1</v>
      </c>
    </row>
    <row r="584" spans="2:5" x14ac:dyDescent="0.25">
      <c r="B584" s="1382" t="s">
        <v>1840</v>
      </c>
      <c r="C584" s="733" t="s">
        <v>1080</v>
      </c>
      <c r="D584" s="733">
        <v>68.306640625</v>
      </c>
      <c r="E584" s="733">
        <v>1</v>
      </c>
    </row>
    <row r="585" spans="2:5" x14ac:dyDescent="0.25">
      <c r="B585" s="1382" t="s">
        <v>1840</v>
      </c>
      <c r="C585" s="733" t="s">
        <v>1080</v>
      </c>
      <c r="D585" s="733">
        <v>72.366874694824219</v>
      </c>
      <c r="E585" s="733">
        <v>1</v>
      </c>
    </row>
    <row r="586" spans="2:5" x14ac:dyDescent="0.25">
      <c r="B586" s="1382" t="s">
        <v>1840</v>
      </c>
      <c r="C586" s="733" t="s">
        <v>1080</v>
      </c>
      <c r="D586" s="733">
        <v>69.243667602539063</v>
      </c>
      <c r="E586" s="733">
        <v>1</v>
      </c>
    </row>
    <row r="587" spans="2:5" x14ac:dyDescent="0.25">
      <c r="B587" s="1382" t="s">
        <v>1840</v>
      </c>
      <c r="C587" s="733" t="s">
        <v>1081</v>
      </c>
      <c r="D587" s="733">
        <v>66.407936096191406</v>
      </c>
      <c r="E587" s="733">
        <v>1</v>
      </c>
    </row>
    <row r="588" spans="2:5" x14ac:dyDescent="0.25">
      <c r="B588" s="1382" t="s">
        <v>1840</v>
      </c>
      <c r="C588" s="733" t="s">
        <v>1081</v>
      </c>
      <c r="D588" s="733">
        <v>71.72210693359375</v>
      </c>
      <c r="E588" s="733">
        <v>1</v>
      </c>
    </row>
    <row r="589" spans="2:5" x14ac:dyDescent="0.25">
      <c r="B589" s="1382" t="s">
        <v>1840</v>
      </c>
      <c r="C589" s="733" t="s">
        <v>1080</v>
      </c>
      <c r="D589" s="733">
        <v>77.109512329101563</v>
      </c>
      <c r="E589" s="733">
        <v>1</v>
      </c>
    </row>
    <row r="590" spans="2:5" x14ac:dyDescent="0.25">
      <c r="B590" s="1382" t="s">
        <v>1840</v>
      </c>
      <c r="C590" s="733" t="s">
        <v>1080</v>
      </c>
      <c r="D590" s="733">
        <v>64.219024658203125</v>
      </c>
      <c r="E590" s="733">
        <v>1</v>
      </c>
    </row>
    <row r="591" spans="2:5" x14ac:dyDescent="0.25">
      <c r="B591" s="1382" t="s">
        <v>1840</v>
      </c>
      <c r="C591" s="733" t="s">
        <v>1080</v>
      </c>
      <c r="D591" s="733">
        <v>70.131416320800781</v>
      </c>
      <c r="E591" s="733">
        <v>1</v>
      </c>
    </row>
    <row r="592" spans="2:5" x14ac:dyDescent="0.25">
      <c r="B592" s="1382" t="s">
        <v>1840</v>
      </c>
      <c r="C592" s="733" t="s">
        <v>1081</v>
      </c>
      <c r="D592" s="733">
        <v>60</v>
      </c>
      <c r="E592" s="733">
        <v>1</v>
      </c>
    </row>
    <row r="593" spans="2:5" x14ac:dyDescent="0.25">
      <c r="B593" s="1382" t="s">
        <v>1840</v>
      </c>
      <c r="C593" s="733" t="s">
        <v>1080</v>
      </c>
      <c r="D593" s="733">
        <v>74.202598571777344</v>
      </c>
      <c r="E593" s="733">
        <v>1</v>
      </c>
    </row>
    <row r="594" spans="2:5" x14ac:dyDescent="0.25">
      <c r="B594" s="1382" t="s">
        <v>1840</v>
      </c>
      <c r="C594" s="733" t="s">
        <v>1080</v>
      </c>
      <c r="D594" s="733">
        <v>69.161529541015625</v>
      </c>
      <c r="E594" s="733">
        <v>1</v>
      </c>
    </row>
    <row r="595" spans="2:5" x14ac:dyDescent="0.25">
      <c r="B595" s="1382" t="s">
        <v>1840</v>
      </c>
      <c r="C595" s="733" t="s">
        <v>1080</v>
      </c>
      <c r="D595" s="733">
        <v>70.186172485351563</v>
      </c>
      <c r="E595" s="733">
        <v>1</v>
      </c>
    </row>
    <row r="596" spans="2:5" x14ac:dyDescent="0.25">
      <c r="B596" s="1382" t="s">
        <v>1840</v>
      </c>
      <c r="C596" s="733" t="s">
        <v>1080</v>
      </c>
      <c r="D596" s="733">
        <v>53.835044860839844</v>
      </c>
      <c r="E596" s="733">
        <v>1</v>
      </c>
    </row>
    <row r="597" spans="2:5" x14ac:dyDescent="0.25">
      <c r="B597" s="1382" t="s">
        <v>1840</v>
      </c>
      <c r="C597" s="733" t="s">
        <v>1080</v>
      </c>
      <c r="D597" s="733">
        <v>74.164268493652344</v>
      </c>
      <c r="E597" s="733">
        <v>1</v>
      </c>
    </row>
    <row r="598" spans="2:5" x14ac:dyDescent="0.25">
      <c r="B598" s="1382" t="s">
        <v>1840</v>
      </c>
      <c r="C598" s="733" t="s">
        <v>1080</v>
      </c>
      <c r="D598" s="733">
        <v>59.563995361328125</v>
      </c>
      <c r="E598" s="733">
        <v>1</v>
      </c>
    </row>
    <row r="599" spans="2:5" x14ac:dyDescent="0.25">
      <c r="B599" s="1382" t="s">
        <v>1840</v>
      </c>
      <c r="C599" s="733" t="s">
        <v>1080</v>
      </c>
      <c r="D599" s="733">
        <v>45</v>
      </c>
      <c r="E599" s="733">
        <v>1</v>
      </c>
    </row>
    <row r="600" spans="2:5" x14ac:dyDescent="0.25">
      <c r="B600" s="1382" t="s">
        <v>1840</v>
      </c>
      <c r="C600" s="733" t="s">
        <v>1080</v>
      </c>
      <c r="D600" s="733">
        <v>49.81793212890625</v>
      </c>
      <c r="E600" s="733">
        <v>1</v>
      </c>
    </row>
    <row r="601" spans="2:5" x14ac:dyDescent="0.25">
      <c r="B601" s="1382" t="s">
        <v>1840</v>
      </c>
      <c r="C601" s="733" t="s">
        <v>1081</v>
      </c>
      <c r="D601" s="733">
        <v>74.142364501953125</v>
      </c>
      <c r="E601" s="733">
        <v>1</v>
      </c>
    </row>
    <row r="602" spans="2:5" x14ac:dyDescent="0.25">
      <c r="B602" s="1382" t="s">
        <v>1840</v>
      </c>
      <c r="C602" s="733" t="s">
        <v>1080</v>
      </c>
      <c r="D602" s="733">
        <v>66.375083923339844</v>
      </c>
      <c r="E602" s="733">
        <v>1</v>
      </c>
    </row>
    <row r="603" spans="2:5" x14ac:dyDescent="0.25">
      <c r="B603" s="1382" t="s">
        <v>1840</v>
      </c>
      <c r="C603" s="733" t="s">
        <v>1080</v>
      </c>
      <c r="D603" s="733">
        <v>54.235454559326172</v>
      </c>
      <c r="E603" s="733">
        <v>1</v>
      </c>
    </row>
    <row r="604" spans="2:5" x14ac:dyDescent="0.25">
      <c r="B604" s="1382" t="s">
        <v>1840</v>
      </c>
      <c r="C604" s="733" t="s">
        <v>1080</v>
      </c>
      <c r="D604" s="733">
        <v>72.9808349609375</v>
      </c>
      <c r="E604" s="733">
        <v>1</v>
      </c>
    </row>
    <row r="605" spans="2:5" x14ac:dyDescent="0.25">
      <c r="B605" s="1382" t="s">
        <v>1840</v>
      </c>
      <c r="C605" s="733" t="s">
        <v>1081</v>
      </c>
      <c r="D605" s="733">
        <v>65.145103454589844</v>
      </c>
      <c r="E605" s="733">
        <v>1</v>
      </c>
    </row>
    <row r="606" spans="2:5" x14ac:dyDescent="0.25">
      <c r="B606" s="1382" t="s">
        <v>1840</v>
      </c>
      <c r="C606" s="733" t="s">
        <v>1081</v>
      </c>
      <c r="D606" s="733">
        <v>67.53662109375</v>
      </c>
      <c r="E606" s="733">
        <v>1</v>
      </c>
    </row>
    <row r="607" spans="2:5" x14ac:dyDescent="0.25">
      <c r="B607" s="1382" t="s">
        <v>1840</v>
      </c>
      <c r="C607" s="733" t="s">
        <v>1080</v>
      </c>
      <c r="D607" s="733">
        <v>75.566734313964844</v>
      </c>
      <c r="E607" s="733">
        <v>1</v>
      </c>
    </row>
    <row r="608" spans="2:5" x14ac:dyDescent="0.25">
      <c r="B608" s="1382" t="s">
        <v>1840</v>
      </c>
      <c r="C608" s="733" t="s">
        <v>1080</v>
      </c>
      <c r="D608" s="733">
        <v>67.540725708007813</v>
      </c>
      <c r="E608" s="733">
        <v>1</v>
      </c>
    </row>
    <row r="609" spans="2:5" x14ac:dyDescent="0.25">
      <c r="B609" s="1382" t="s">
        <v>1840</v>
      </c>
      <c r="C609" s="733" t="s">
        <v>1081</v>
      </c>
      <c r="D609" s="733">
        <v>71.227241516113281</v>
      </c>
      <c r="E609" s="733">
        <v>1</v>
      </c>
    </row>
    <row r="610" spans="2:5" x14ac:dyDescent="0.25">
      <c r="B610" s="1382" t="s">
        <v>1840</v>
      </c>
      <c r="C610" s="733" t="s">
        <v>1080</v>
      </c>
      <c r="D610" s="733">
        <v>58.905544281005859</v>
      </c>
      <c r="E610" s="733">
        <v>1</v>
      </c>
    </row>
    <row r="611" spans="2:5" x14ac:dyDescent="0.25">
      <c r="B611" s="1382" t="s">
        <v>1840</v>
      </c>
      <c r="C611" s="733" t="s">
        <v>1081</v>
      </c>
      <c r="D611" s="733">
        <v>66.147842407226563</v>
      </c>
      <c r="E611" s="733">
        <v>1</v>
      </c>
    </row>
    <row r="612" spans="2:5" x14ac:dyDescent="0.25">
      <c r="B612" s="1382" t="s">
        <v>1840</v>
      </c>
      <c r="C612" s="733" t="s">
        <v>1080</v>
      </c>
      <c r="D612" s="733">
        <v>46.120464324951172</v>
      </c>
      <c r="E612" s="733">
        <v>1</v>
      </c>
    </row>
    <row r="613" spans="2:5" x14ac:dyDescent="0.25">
      <c r="B613" s="1382" t="s">
        <v>1840</v>
      </c>
      <c r="C613" s="733" t="s">
        <v>1080</v>
      </c>
      <c r="D613" s="733">
        <v>68.194389343261719</v>
      </c>
      <c r="E613" s="733">
        <v>1</v>
      </c>
    </row>
    <row r="614" spans="2:5" x14ac:dyDescent="0.25">
      <c r="B614" s="1382" t="s">
        <v>1840</v>
      </c>
      <c r="C614" s="733" t="s">
        <v>1080</v>
      </c>
      <c r="D614" s="733">
        <v>67.183433532714844</v>
      </c>
      <c r="E614" s="733">
        <v>1</v>
      </c>
    </row>
    <row r="615" spans="2:5" x14ac:dyDescent="0.25">
      <c r="B615" s="1382" t="s">
        <v>1840</v>
      </c>
      <c r="C615" s="733" t="s">
        <v>1081</v>
      </c>
      <c r="D615" s="733">
        <v>63.082134246826172</v>
      </c>
      <c r="E615" s="733">
        <v>1</v>
      </c>
    </row>
    <row r="616" spans="2:5" x14ac:dyDescent="0.25">
      <c r="B616" s="1382" t="s">
        <v>1840</v>
      </c>
      <c r="C616" s="733" t="s">
        <v>1080</v>
      </c>
      <c r="D616" s="733">
        <v>69.805610656738281</v>
      </c>
      <c r="E616" s="733">
        <v>1</v>
      </c>
    </row>
    <row r="617" spans="2:5" x14ac:dyDescent="0.25">
      <c r="B617" s="1382" t="s">
        <v>1840</v>
      </c>
      <c r="C617" s="733" t="s">
        <v>1080</v>
      </c>
      <c r="D617" s="733">
        <v>81.258041381835938</v>
      </c>
      <c r="E617" s="733">
        <v>1</v>
      </c>
    </row>
    <row r="618" spans="2:5" x14ac:dyDescent="0.25">
      <c r="B618" s="1382" t="s">
        <v>1840</v>
      </c>
      <c r="C618" s="733" t="s">
        <v>1080</v>
      </c>
      <c r="D618" s="733">
        <v>55.138259887695313</v>
      </c>
      <c r="E618" s="733">
        <v>1</v>
      </c>
    </row>
    <row r="619" spans="2:5" x14ac:dyDescent="0.25">
      <c r="B619" s="1382" t="s">
        <v>1840</v>
      </c>
      <c r="C619" s="733" t="s">
        <v>1081</v>
      </c>
      <c r="D619" s="733">
        <v>76.341545104980469</v>
      </c>
      <c r="E619" s="733">
        <v>1</v>
      </c>
    </row>
    <row r="620" spans="2:5" x14ac:dyDescent="0.25">
      <c r="B620" s="1382" t="s">
        <v>1840</v>
      </c>
      <c r="C620" s="733" t="s">
        <v>1080</v>
      </c>
      <c r="D620" s="733">
        <v>74.525665283203125</v>
      </c>
      <c r="E620" s="733">
        <v>1</v>
      </c>
    </row>
    <row r="621" spans="2:5" x14ac:dyDescent="0.25">
      <c r="B621" s="1382" t="s">
        <v>1840</v>
      </c>
      <c r="C621" s="733" t="s">
        <v>1080</v>
      </c>
      <c r="D621" s="733">
        <v>75.145103454589844</v>
      </c>
      <c r="E621" s="733">
        <v>1</v>
      </c>
    </row>
    <row r="622" spans="2:5" x14ac:dyDescent="0.25">
      <c r="B622" s="1382" t="s">
        <v>1840</v>
      </c>
      <c r="C622" s="733" t="s">
        <v>1080</v>
      </c>
      <c r="D622" s="733">
        <v>70.331283569335938</v>
      </c>
      <c r="E622" s="733">
        <v>1</v>
      </c>
    </row>
    <row r="623" spans="2:5" x14ac:dyDescent="0.25">
      <c r="B623" s="1382" t="s">
        <v>1840</v>
      </c>
      <c r="C623" s="733" t="s">
        <v>1081</v>
      </c>
      <c r="D623" s="733">
        <v>59.501026153564453</v>
      </c>
      <c r="E623" s="733">
        <v>1</v>
      </c>
    </row>
    <row r="624" spans="2:5" x14ac:dyDescent="0.25">
      <c r="B624" s="1382" t="s">
        <v>1840</v>
      </c>
      <c r="C624" s="733" t="s">
        <v>1081</v>
      </c>
      <c r="D624" s="733">
        <v>50.073921203613281</v>
      </c>
      <c r="E624" s="733">
        <v>1</v>
      </c>
    </row>
    <row r="625" spans="2:5" x14ac:dyDescent="0.25">
      <c r="B625" s="1382" t="s">
        <v>1840</v>
      </c>
      <c r="C625" s="733" t="s">
        <v>1080</v>
      </c>
      <c r="D625" s="733">
        <v>54.629707336425781</v>
      </c>
      <c r="E625" s="733">
        <v>1</v>
      </c>
    </row>
    <row r="626" spans="2:5" x14ac:dyDescent="0.25">
      <c r="B626" s="1382" t="s">
        <v>1840</v>
      </c>
      <c r="C626" s="733" t="s">
        <v>1081</v>
      </c>
      <c r="D626" s="733">
        <v>67.342231750488281</v>
      </c>
      <c r="E626" s="733">
        <v>1</v>
      </c>
    </row>
    <row r="627" spans="2:5" x14ac:dyDescent="0.25">
      <c r="B627" s="1382" t="s">
        <v>1840</v>
      </c>
      <c r="C627" s="733" t="s">
        <v>1081</v>
      </c>
      <c r="D627" s="733">
        <v>72.566734313964844</v>
      </c>
      <c r="E627" s="733">
        <v>1</v>
      </c>
    </row>
    <row r="628" spans="2:5" x14ac:dyDescent="0.25">
      <c r="B628" s="1382" t="s">
        <v>1840</v>
      </c>
      <c r="C628" s="733" t="s">
        <v>1080</v>
      </c>
      <c r="D628" s="733">
        <v>67.131416320800781</v>
      </c>
      <c r="E628" s="733">
        <v>1</v>
      </c>
    </row>
    <row r="629" spans="2:5" x14ac:dyDescent="0.25">
      <c r="B629" s="1382" t="s">
        <v>1840</v>
      </c>
      <c r="C629" s="733" t="s">
        <v>1080</v>
      </c>
      <c r="D629" s="733">
        <v>70.344284057617188</v>
      </c>
      <c r="E629" s="733">
        <v>1</v>
      </c>
    </row>
    <row r="630" spans="2:5" x14ac:dyDescent="0.25">
      <c r="B630" s="1382" t="s">
        <v>1840</v>
      </c>
      <c r="C630" s="733" t="s">
        <v>1080</v>
      </c>
      <c r="D630" s="733">
        <v>65.273101806640625</v>
      </c>
      <c r="E630" s="733">
        <v>1</v>
      </c>
    </row>
    <row r="631" spans="2:5" x14ac:dyDescent="0.25">
      <c r="B631" s="1382" t="s">
        <v>1840</v>
      </c>
      <c r="C631" s="733" t="s">
        <v>1081</v>
      </c>
      <c r="D631" s="733">
        <v>68.49212646484375</v>
      </c>
      <c r="E631" s="733">
        <v>1</v>
      </c>
    </row>
    <row r="632" spans="2:5" x14ac:dyDescent="0.25">
      <c r="B632" s="1382" t="s">
        <v>1840</v>
      </c>
      <c r="C632" s="733" t="s">
        <v>1080</v>
      </c>
      <c r="D632" s="733">
        <v>72.525665283203125</v>
      </c>
      <c r="E632" s="733">
        <v>1</v>
      </c>
    </row>
    <row r="633" spans="2:5" x14ac:dyDescent="0.25">
      <c r="B633" s="1382" t="s">
        <v>1840</v>
      </c>
      <c r="C633" s="733" t="s">
        <v>1080</v>
      </c>
      <c r="D633" s="733">
        <v>71.024642944335938</v>
      </c>
      <c r="E633" s="733">
        <v>1</v>
      </c>
    </row>
    <row r="634" spans="2:5" x14ac:dyDescent="0.25">
      <c r="B634" s="1382" t="s">
        <v>1840</v>
      </c>
      <c r="C634" s="733" t="s">
        <v>1080</v>
      </c>
      <c r="D634" s="733">
        <v>63.355918884277344</v>
      </c>
      <c r="E634" s="733">
        <v>1</v>
      </c>
    </row>
    <row r="635" spans="2:5" x14ac:dyDescent="0.25">
      <c r="B635" s="1382" t="s">
        <v>1840</v>
      </c>
      <c r="C635" s="733" t="s">
        <v>1081</v>
      </c>
      <c r="D635" s="733">
        <v>68.056129455566406</v>
      </c>
      <c r="E635" s="733">
        <v>1</v>
      </c>
    </row>
    <row r="636" spans="2:5" x14ac:dyDescent="0.25">
      <c r="B636" s="1382" t="s">
        <v>1840</v>
      </c>
      <c r="C636" s="733" t="s">
        <v>1081</v>
      </c>
      <c r="D636" s="733">
        <v>73.548255920410156</v>
      </c>
      <c r="E636" s="733">
        <v>1</v>
      </c>
    </row>
    <row r="637" spans="2:5" x14ac:dyDescent="0.25">
      <c r="B637" s="1382" t="s">
        <v>1840</v>
      </c>
      <c r="C637" s="733" t="s">
        <v>1081</v>
      </c>
      <c r="D637" s="733">
        <v>70.279258728027344</v>
      </c>
      <c r="E637" s="733">
        <v>1</v>
      </c>
    </row>
    <row r="638" spans="2:5" x14ac:dyDescent="0.25">
      <c r="B638" s="1382" t="s">
        <v>1840</v>
      </c>
      <c r="C638" s="733" t="s">
        <v>1080</v>
      </c>
      <c r="D638" s="733">
        <v>62.194385528564453</v>
      </c>
      <c r="E638" s="733">
        <v>1</v>
      </c>
    </row>
    <row r="639" spans="2:5" x14ac:dyDescent="0.25">
      <c r="B639" s="1382" t="s">
        <v>1840</v>
      </c>
      <c r="C639" s="733" t="s">
        <v>1080</v>
      </c>
      <c r="D639" s="733">
        <v>70.296371459960938</v>
      </c>
      <c r="E639" s="733">
        <v>1</v>
      </c>
    </row>
    <row r="640" spans="2:5" x14ac:dyDescent="0.25">
      <c r="B640" s="1382" t="s">
        <v>1840</v>
      </c>
      <c r="C640" s="733" t="s">
        <v>1080</v>
      </c>
      <c r="D640" s="733">
        <v>68.470222473144531</v>
      </c>
      <c r="E640" s="733">
        <v>1</v>
      </c>
    </row>
    <row r="641" spans="2:5" x14ac:dyDescent="0.25">
      <c r="B641" s="1382" t="s">
        <v>1840</v>
      </c>
      <c r="C641" s="733" t="s">
        <v>1080</v>
      </c>
      <c r="D641" s="733">
        <v>63.596851348876953</v>
      </c>
      <c r="E641" s="733">
        <v>1</v>
      </c>
    </row>
    <row r="642" spans="2:5" x14ac:dyDescent="0.25">
      <c r="B642" s="1382" t="s">
        <v>1840</v>
      </c>
      <c r="C642" s="733" t="s">
        <v>1080</v>
      </c>
      <c r="D642" s="733">
        <v>71.393562316894531</v>
      </c>
      <c r="E642" s="733">
        <v>1</v>
      </c>
    </row>
    <row r="643" spans="2:5" x14ac:dyDescent="0.25">
      <c r="B643" s="1382" t="s">
        <v>1840</v>
      </c>
      <c r="C643" s="733" t="s">
        <v>1080</v>
      </c>
      <c r="D643" s="733">
        <v>69.164268493652344</v>
      </c>
      <c r="E643" s="733">
        <v>1</v>
      </c>
    </row>
    <row r="644" spans="2:5" x14ac:dyDescent="0.25">
      <c r="B644" s="1382" t="s">
        <v>1840</v>
      </c>
      <c r="C644" s="733" t="s">
        <v>1081</v>
      </c>
      <c r="D644" s="733">
        <v>61.183437347412109</v>
      </c>
      <c r="E644" s="733">
        <v>1</v>
      </c>
    </row>
    <row r="645" spans="2:5" x14ac:dyDescent="0.25">
      <c r="B645" s="1382" t="s">
        <v>1840</v>
      </c>
      <c r="C645" s="733" t="s">
        <v>1080</v>
      </c>
      <c r="D645" s="733">
        <v>64.550308227539063</v>
      </c>
      <c r="E645" s="733">
        <v>1</v>
      </c>
    </row>
    <row r="646" spans="2:5" x14ac:dyDescent="0.25">
      <c r="B646" s="1382" t="s">
        <v>1840</v>
      </c>
      <c r="C646" s="733" t="s">
        <v>1080</v>
      </c>
      <c r="D646" s="733">
        <v>55.829566955566406</v>
      </c>
      <c r="E646" s="733">
        <v>1</v>
      </c>
    </row>
    <row r="647" spans="2:5" x14ac:dyDescent="0.25">
      <c r="B647" s="1382" t="s">
        <v>1840</v>
      </c>
      <c r="C647" s="733" t="s">
        <v>1081</v>
      </c>
      <c r="D647" s="733">
        <v>73.744697570800781</v>
      </c>
      <c r="E647" s="733">
        <v>1</v>
      </c>
    </row>
    <row r="648" spans="2:5" x14ac:dyDescent="0.25">
      <c r="B648" s="1382" t="s">
        <v>1840</v>
      </c>
      <c r="C648" s="733" t="s">
        <v>1080</v>
      </c>
      <c r="D648" s="733">
        <v>83.620811462402344</v>
      </c>
      <c r="E648" s="733">
        <v>1</v>
      </c>
    </row>
    <row r="649" spans="2:5" x14ac:dyDescent="0.25">
      <c r="B649" s="1382" t="s">
        <v>1840</v>
      </c>
      <c r="C649" s="733" t="s">
        <v>1081</v>
      </c>
      <c r="D649" s="733">
        <v>75.0574951171875</v>
      </c>
      <c r="E649" s="733">
        <v>1</v>
      </c>
    </row>
    <row r="650" spans="2:5" x14ac:dyDescent="0.25">
      <c r="B650" s="1382" t="s">
        <v>1840</v>
      </c>
      <c r="C650" s="733" t="s">
        <v>1081</v>
      </c>
      <c r="D650" s="733">
        <v>67.462699890136719</v>
      </c>
      <c r="E650" s="733">
        <v>1</v>
      </c>
    </row>
    <row r="651" spans="2:5" x14ac:dyDescent="0.25">
      <c r="B651" s="1382" t="s">
        <v>1840</v>
      </c>
      <c r="C651" s="733" t="s">
        <v>1080</v>
      </c>
      <c r="D651" s="733">
        <v>64.090347290039063</v>
      </c>
      <c r="E651" s="733">
        <v>1</v>
      </c>
    </row>
    <row r="652" spans="2:5" x14ac:dyDescent="0.25">
      <c r="B652" s="1382" t="s">
        <v>1840</v>
      </c>
      <c r="C652" s="733" t="s">
        <v>1081</v>
      </c>
      <c r="D652" s="733">
        <v>55.169746398925781</v>
      </c>
      <c r="E652" s="733">
        <v>1</v>
      </c>
    </row>
    <row r="653" spans="2:5" x14ac:dyDescent="0.25">
      <c r="B653" s="1382" t="s">
        <v>1840</v>
      </c>
      <c r="C653" s="733" t="s">
        <v>1080</v>
      </c>
      <c r="D653" s="733">
        <v>83.245040893554688</v>
      </c>
      <c r="E653" s="733">
        <v>1</v>
      </c>
    </row>
    <row r="654" spans="2:5" x14ac:dyDescent="0.25">
      <c r="B654" s="1382" t="s">
        <v>1840</v>
      </c>
      <c r="C654" s="733" t="s">
        <v>1080</v>
      </c>
      <c r="D654" s="733">
        <v>64.128677368164063</v>
      </c>
      <c r="E654" s="733">
        <v>1</v>
      </c>
    </row>
    <row r="655" spans="2:5" x14ac:dyDescent="0.25">
      <c r="B655" s="1382" t="s">
        <v>1840</v>
      </c>
      <c r="C655" s="733" t="s">
        <v>1081</v>
      </c>
      <c r="D655" s="733">
        <v>63.147842407226563</v>
      </c>
      <c r="E655" s="733">
        <v>1</v>
      </c>
    </row>
    <row r="656" spans="2:5" x14ac:dyDescent="0.25">
      <c r="B656" s="1382" t="s">
        <v>1840</v>
      </c>
      <c r="C656" s="733" t="s">
        <v>1081</v>
      </c>
      <c r="D656" s="733">
        <v>74.101303100585938</v>
      </c>
      <c r="E656" s="733">
        <v>1</v>
      </c>
    </row>
    <row r="657" spans="2:5" x14ac:dyDescent="0.25">
      <c r="B657" s="1382" t="s">
        <v>1840</v>
      </c>
      <c r="C657" s="733" t="s">
        <v>1081</v>
      </c>
      <c r="D657" s="733">
        <v>41.536617279052734</v>
      </c>
      <c r="E657" s="733">
        <v>1</v>
      </c>
    </row>
    <row r="658" spans="2:5" x14ac:dyDescent="0.25">
      <c r="B658" s="1382" t="s">
        <v>1840</v>
      </c>
      <c r="C658" s="733" t="s">
        <v>1080</v>
      </c>
      <c r="D658" s="733">
        <v>75.060234069824219</v>
      </c>
      <c r="E658" s="733">
        <v>1</v>
      </c>
    </row>
    <row r="659" spans="2:5" x14ac:dyDescent="0.25">
      <c r="B659" s="1382" t="s">
        <v>1840</v>
      </c>
      <c r="C659" s="733" t="s">
        <v>1080</v>
      </c>
      <c r="D659" s="733">
        <v>64.235458374023438</v>
      </c>
      <c r="E659" s="733">
        <v>1</v>
      </c>
    </row>
    <row r="660" spans="2:5" x14ac:dyDescent="0.25">
      <c r="B660" s="1382" t="s">
        <v>1840</v>
      </c>
      <c r="C660" s="733" t="s">
        <v>1080</v>
      </c>
      <c r="D660" s="733">
        <v>58.896644592285156</v>
      </c>
      <c r="E660" s="733">
        <v>1</v>
      </c>
    </row>
    <row r="661" spans="2:5" x14ac:dyDescent="0.25">
      <c r="B661" s="1382" t="s">
        <v>1840</v>
      </c>
      <c r="C661" s="733" t="s">
        <v>1080</v>
      </c>
      <c r="D661" s="733">
        <v>72.203285217285156</v>
      </c>
      <c r="E661" s="733">
        <v>1</v>
      </c>
    </row>
    <row r="662" spans="2:5" x14ac:dyDescent="0.25">
      <c r="B662" s="1382" t="s">
        <v>1840</v>
      </c>
      <c r="C662" s="733" t="s">
        <v>1080</v>
      </c>
      <c r="D662" s="733">
        <v>46.252567291259766</v>
      </c>
      <c r="E662" s="733">
        <v>1</v>
      </c>
    </row>
    <row r="663" spans="2:5" x14ac:dyDescent="0.25">
      <c r="B663" s="1382" t="s">
        <v>1840</v>
      </c>
      <c r="C663" s="733" t="s">
        <v>1081</v>
      </c>
      <c r="D663" s="733">
        <v>67.114990234375</v>
      </c>
      <c r="E663" s="733">
        <v>1</v>
      </c>
    </row>
    <row r="664" spans="2:5" x14ac:dyDescent="0.25">
      <c r="B664" s="1382" t="s">
        <v>1840</v>
      </c>
      <c r="C664" s="733" t="s">
        <v>1080</v>
      </c>
      <c r="D664" s="733">
        <v>69.793975830078125</v>
      </c>
      <c r="E664" s="733">
        <v>1</v>
      </c>
    </row>
    <row r="665" spans="2:5" x14ac:dyDescent="0.25">
      <c r="B665" s="1382" t="s">
        <v>1840</v>
      </c>
      <c r="C665" s="733" t="s">
        <v>1080</v>
      </c>
      <c r="D665" s="733">
        <v>55.758384704589844</v>
      </c>
      <c r="E665" s="733">
        <v>1</v>
      </c>
    </row>
    <row r="666" spans="2:5" x14ac:dyDescent="0.25">
      <c r="B666" s="1382" t="s">
        <v>1840</v>
      </c>
      <c r="C666" s="733" t="s">
        <v>1080</v>
      </c>
      <c r="D666" s="733">
        <v>62.084873199462891</v>
      </c>
      <c r="E666" s="733">
        <v>1</v>
      </c>
    </row>
    <row r="667" spans="2:5" x14ac:dyDescent="0.25">
      <c r="B667" s="1382" t="s">
        <v>1840</v>
      </c>
      <c r="C667" s="733" t="s">
        <v>1080</v>
      </c>
      <c r="D667" s="733">
        <v>71.152633666992188</v>
      </c>
      <c r="E667" s="733">
        <v>1</v>
      </c>
    </row>
    <row r="668" spans="2:5" x14ac:dyDescent="0.25">
      <c r="B668" s="1382" t="s">
        <v>1840</v>
      </c>
      <c r="C668" s="733" t="s">
        <v>1080</v>
      </c>
      <c r="D668" s="733">
        <v>61.459274291992188</v>
      </c>
      <c r="E668" s="733">
        <v>1</v>
      </c>
    </row>
    <row r="669" spans="2:5" x14ac:dyDescent="0.25">
      <c r="B669" s="1382" t="s">
        <v>1840</v>
      </c>
      <c r="C669" s="733" t="s">
        <v>1081</v>
      </c>
      <c r="D669" s="733">
        <v>74.686515808105469</v>
      </c>
      <c r="E669" s="733">
        <v>1</v>
      </c>
    </row>
    <row r="670" spans="2:5" x14ac:dyDescent="0.25">
      <c r="B670" s="1382" t="s">
        <v>1840</v>
      </c>
      <c r="C670" s="733" t="s">
        <v>1081</v>
      </c>
      <c r="D670" s="733">
        <v>79.286788940429688</v>
      </c>
      <c r="E670" s="733">
        <v>1</v>
      </c>
    </row>
    <row r="671" spans="2:5" x14ac:dyDescent="0.25">
      <c r="B671" s="1382" t="s">
        <v>1840</v>
      </c>
      <c r="C671" s="733" t="s">
        <v>1080</v>
      </c>
      <c r="D671" s="733">
        <v>34.060234069824219</v>
      </c>
      <c r="E671" s="733">
        <v>1</v>
      </c>
    </row>
    <row r="672" spans="2:5" x14ac:dyDescent="0.25">
      <c r="B672" s="1382" t="s">
        <v>1840</v>
      </c>
      <c r="C672" s="733" t="s">
        <v>1081</v>
      </c>
      <c r="D672" s="733">
        <v>68.191650390625</v>
      </c>
      <c r="E672" s="733">
        <v>1</v>
      </c>
    </row>
    <row r="673" spans="2:5" x14ac:dyDescent="0.25">
      <c r="B673" s="1382" t="s">
        <v>1840</v>
      </c>
      <c r="C673" s="733" t="s">
        <v>1080</v>
      </c>
      <c r="D673" s="733">
        <v>56.960300445556641</v>
      </c>
      <c r="E673" s="733">
        <v>1</v>
      </c>
    </row>
    <row r="674" spans="2:5" x14ac:dyDescent="0.25">
      <c r="B674" s="1382" t="s">
        <v>1840</v>
      </c>
      <c r="C674" s="733" t="s">
        <v>1081</v>
      </c>
      <c r="D674" s="733">
        <v>60.199863433837891</v>
      </c>
      <c r="E674" s="733">
        <v>1</v>
      </c>
    </row>
    <row r="675" spans="2:5" x14ac:dyDescent="0.25">
      <c r="B675" s="1382" t="s">
        <v>1840</v>
      </c>
      <c r="C675" s="733" t="s">
        <v>1080</v>
      </c>
      <c r="D675" s="733">
        <v>68.873374938964844</v>
      </c>
      <c r="E675" s="733">
        <v>1</v>
      </c>
    </row>
    <row r="676" spans="2:5" x14ac:dyDescent="0.25">
      <c r="B676" s="1382" t="s">
        <v>1840</v>
      </c>
      <c r="C676" s="733" t="s">
        <v>1081</v>
      </c>
      <c r="D676" s="733">
        <v>69.289527893066406</v>
      </c>
      <c r="E676" s="733">
        <v>1</v>
      </c>
    </row>
    <row r="677" spans="2:5" x14ac:dyDescent="0.25">
      <c r="B677" s="1382" t="s">
        <v>1840</v>
      </c>
      <c r="C677" s="733" t="s">
        <v>1080</v>
      </c>
      <c r="D677" s="733">
        <v>55.446269989013672</v>
      </c>
      <c r="E677" s="733">
        <v>1</v>
      </c>
    </row>
    <row r="678" spans="2:5" x14ac:dyDescent="0.25">
      <c r="B678" s="1382" t="s">
        <v>1840</v>
      </c>
      <c r="C678" s="733" t="s">
        <v>1080</v>
      </c>
      <c r="D678" s="733">
        <v>79.186172485351563</v>
      </c>
      <c r="E678" s="733">
        <v>1</v>
      </c>
    </row>
    <row r="679" spans="2:5" x14ac:dyDescent="0.25">
      <c r="B679" s="1382" t="s">
        <v>1840</v>
      </c>
      <c r="C679" s="733" t="s">
        <v>1081</v>
      </c>
      <c r="D679" s="733">
        <v>62.131416320800781</v>
      </c>
      <c r="E679" s="733">
        <v>1</v>
      </c>
    </row>
    <row r="680" spans="2:5" x14ac:dyDescent="0.25">
      <c r="B680" s="1382" t="s">
        <v>1840</v>
      </c>
      <c r="C680" s="733" t="s">
        <v>1080</v>
      </c>
      <c r="D680" s="733">
        <v>87.205337524414063</v>
      </c>
      <c r="E680" s="733">
        <v>1</v>
      </c>
    </row>
    <row r="681" spans="2:5" x14ac:dyDescent="0.25">
      <c r="B681" s="1382" t="s">
        <v>1840</v>
      </c>
      <c r="C681" s="733" t="s">
        <v>1081</v>
      </c>
      <c r="D681" s="733">
        <v>71.251197814941406</v>
      </c>
      <c r="E681" s="733">
        <v>1</v>
      </c>
    </row>
    <row r="682" spans="2:5" x14ac:dyDescent="0.25">
      <c r="B682" s="1382" t="s">
        <v>1840</v>
      </c>
      <c r="C682" s="733" t="s">
        <v>1081</v>
      </c>
      <c r="D682" s="733">
        <v>64.164268493652344</v>
      </c>
      <c r="E682" s="733">
        <v>1</v>
      </c>
    </row>
    <row r="683" spans="2:5" x14ac:dyDescent="0.25">
      <c r="B683" s="1382" t="s">
        <v>1840</v>
      </c>
      <c r="C683" s="733" t="s">
        <v>1081</v>
      </c>
      <c r="D683" s="733">
        <v>55.331279754638672</v>
      </c>
      <c r="E683" s="733">
        <v>1</v>
      </c>
    </row>
    <row r="684" spans="2:5" x14ac:dyDescent="0.25">
      <c r="B684" s="1382" t="s">
        <v>1840</v>
      </c>
      <c r="C684" s="733" t="s">
        <v>1081</v>
      </c>
      <c r="D684" s="733">
        <v>61.175224304199219</v>
      </c>
      <c r="E684" s="733">
        <v>1</v>
      </c>
    </row>
    <row r="685" spans="2:5" x14ac:dyDescent="0.25">
      <c r="B685" s="1382" t="s">
        <v>1840</v>
      </c>
      <c r="C685" s="733" t="s">
        <v>1080</v>
      </c>
      <c r="D685" s="733">
        <v>68.698150634765625</v>
      </c>
      <c r="E685" s="733">
        <v>1</v>
      </c>
    </row>
    <row r="686" spans="2:5" x14ac:dyDescent="0.25">
      <c r="B686" s="1382" t="s">
        <v>1840</v>
      </c>
      <c r="C686" s="733" t="s">
        <v>1081</v>
      </c>
      <c r="D686" s="733">
        <v>61.591377258300781</v>
      </c>
      <c r="E686" s="733">
        <v>1</v>
      </c>
    </row>
    <row r="687" spans="2:5" x14ac:dyDescent="0.25">
      <c r="B687" s="1382" t="s">
        <v>1840</v>
      </c>
      <c r="C687" s="733" t="s">
        <v>1080</v>
      </c>
      <c r="D687" s="733">
        <v>71.982887268066406</v>
      </c>
      <c r="E687" s="733">
        <v>1</v>
      </c>
    </row>
    <row r="688" spans="2:5" x14ac:dyDescent="0.25">
      <c r="B688" s="1382" t="s">
        <v>1840</v>
      </c>
      <c r="C688" s="733" t="s">
        <v>1081</v>
      </c>
      <c r="D688" s="733">
        <v>61.219028472900391</v>
      </c>
      <c r="E688" s="733">
        <v>1</v>
      </c>
    </row>
    <row r="689" spans="2:5" x14ac:dyDescent="0.25">
      <c r="B689" s="1382" t="s">
        <v>1840</v>
      </c>
      <c r="C689" s="733" t="s">
        <v>1080</v>
      </c>
      <c r="D689" s="733">
        <v>63.104038238525391</v>
      </c>
      <c r="E689" s="733">
        <v>1</v>
      </c>
    </row>
    <row r="690" spans="2:5" x14ac:dyDescent="0.25">
      <c r="B690" s="1382" t="s">
        <v>1840</v>
      </c>
      <c r="C690" s="733" t="s">
        <v>1080</v>
      </c>
      <c r="D690" s="733">
        <v>60</v>
      </c>
      <c r="E690" s="733">
        <v>1</v>
      </c>
    </row>
    <row r="691" spans="2:5" x14ac:dyDescent="0.25">
      <c r="B691" s="1382" t="s">
        <v>1840</v>
      </c>
      <c r="C691" s="733" t="s">
        <v>1081</v>
      </c>
      <c r="D691" s="733">
        <v>68.328544616699219</v>
      </c>
      <c r="E691" s="733">
        <v>1</v>
      </c>
    </row>
    <row r="692" spans="2:5" x14ac:dyDescent="0.25">
      <c r="B692" s="1382" t="s">
        <v>1840</v>
      </c>
      <c r="C692" s="733" t="s">
        <v>1080</v>
      </c>
      <c r="D692" s="733">
        <v>75.405204772949219</v>
      </c>
      <c r="E692" s="733">
        <v>1</v>
      </c>
    </row>
    <row r="693" spans="2:5" x14ac:dyDescent="0.25">
      <c r="B693" s="1382" t="s">
        <v>1840</v>
      </c>
      <c r="C693" s="733" t="s">
        <v>1081</v>
      </c>
      <c r="D693" s="733">
        <v>64.112251281738281</v>
      </c>
      <c r="E693" s="733">
        <v>1</v>
      </c>
    </row>
    <row r="694" spans="2:5" x14ac:dyDescent="0.25">
      <c r="B694" s="1382" t="s">
        <v>1840</v>
      </c>
      <c r="C694" s="733" t="s">
        <v>1081</v>
      </c>
      <c r="D694" s="733">
        <v>61.742641448974609</v>
      </c>
      <c r="E694" s="733">
        <v>1</v>
      </c>
    </row>
    <row r="695" spans="2:5" x14ac:dyDescent="0.25">
      <c r="B695" s="1382" t="s">
        <v>1840</v>
      </c>
      <c r="C695" s="733" t="s">
        <v>1080</v>
      </c>
      <c r="D695" s="733">
        <v>65.079399108886719</v>
      </c>
      <c r="E695" s="733">
        <v>1</v>
      </c>
    </row>
    <row r="696" spans="2:5" x14ac:dyDescent="0.25">
      <c r="B696" s="1382" t="s">
        <v>1840</v>
      </c>
      <c r="C696" s="733" t="s">
        <v>1080</v>
      </c>
      <c r="D696" s="733">
        <v>65.350448608398438</v>
      </c>
      <c r="E696" s="733">
        <v>1</v>
      </c>
    </row>
    <row r="697" spans="2:5" x14ac:dyDescent="0.25">
      <c r="B697" s="1382" t="s">
        <v>1840</v>
      </c>
      <c r="C697" s="733" t="s">
        <v>1080</v>
      </c>
      <c r="D697" s="733">
        <v>59.232715606689453</v>
      </c>
      <c r="E697" s="733">
        <v>1</v>
      </c>
    </row>
    <row r="698" spans="2:5" x14ac:dyDescent="0.25">
      <c r="B698" s="1382" t="s">
        <v>1840</v>
      </c>
      <c r="C698" s="733" t="s">
        <v>1080</v>
      </c>
      <c r="D698" s="733">
        <v>64.323066711425781</v>
      </c>
      <c r="E698" s="733">
        <v>1</v>
      </c>
    </row>
    <row r="699" spans="2:5" x14ac:dyDescent="0.25">
      <c r="B699" s="1382" t="s">
        <v>1840</v>
      </c>
      <c r="C699" s="733" t="s">
        <v>1081</v>
      </c>
      <c r="D699" s="733">
        <v>65.339492797851563</v>
      </c>
      <c r="E699" s="733">
        <v>1</v>
      </c>
    </row>
    <row r="700" spans="2:5" x14ac:dyDescent="0.25">
      <c r="B700" s="1382" t="s">
        <v>1840</v>
      </c>
      <c r="C700" s="733" t="s">
        <v>1080</v>
      </c>
      <c r="D700" s="733">
        <v>61.062286376953125</v>
      </c>
      <c r="E700" s="733">
        <v>1</v>
      </c>
    </row>
    <row r="701" spans="2:5" x14ac:dyDescent="0.25">
      <c r="B701" s="1382" t="s">
        <v>1840</v>
      </c>
      <c r="C701" s="733" t="s">
        <v>1080</v>
      </c>
      <c r="D701" s="733">
        <v>72.541412353515625</v>
      </c>
      <c r="E701" s="733">
        <v>1</v>
      </c>
    </row>
    <row r="702" spans="2:5" x14ac:dyDescent="0.25">
      <c r="B702" s="1382" t="s">
        <v>1840</v>
      </c>
      <c r="C702" s="733" t="s">
        <v>1080</v>
      </c>
      <c r="D702" s="733">
        <v>57.427104949951172</v>
      </c>
      <c r="E702" s="733">
        <v>1</v>
      </c>
    </row>
    <row r="703" spans="2:5" x14ac:dyDescent="0.25">
      <c r="B703" s="1382" t="s">
        <v>1840</v>
      </c>
      <c r="C703" s="733" t="s">
        <v>1080</v>
      </c>
      <c r="D703" s="733">
        <v>52.090347290039063</v>
      </c>
      <c r="E703" s="733">
        <v>1</v>
      </c>
    </row>
    <row r="704" spans="2:5" x14ac:dyDescent="0.25">
      <c r="B704" s="1382" t="s">
        <v>1840</v>
      </c>
      <c r="C704" s="733" t="s">
        <v>1080</v>
      </c>
      <c r="D704" s="733">
        <v>69.559890747070313</v>
      </c>
      <c r="E704" s="733">
        <v>1</v>
      </c>
    </row>
    <row r="705" spans="2:5" x14ac:dyDescent="0.25">
      <c r="B705" s="1382" t="s">
        <v>1840</v>
      </c>
      <c r="C705" s="733" t="s">
        <v>1081</v>
      </c>
      <c r="D705" s="733">
        <v>78.308006286621094</v>
      </c>
      <c r="E705" s="733">
        <v>1</v>
      </c>
    </row>
    <row r="706" spans="2:5" x14ac:dyDescent="0.25">
      <c r="B706" s="1382" t="s">
        <v>1840</v>
      </c>
      <c r="C706" s="733" t="s">
        <v>1081</v>
      </c>
      <c r="D706" s="733">
        <v>76.14715576171875</v>
      </c>
      <c r="E706" s="733">
        <v>1</v>
      </c>
    </row>
    <row r="707" spans="2:5" x14ac:dyDescent="0.25">
      <c r="B707" s="1382" t="s">
        <v>1840</v>
      </c>
      <c r="C707" s="733" t="s">
        <v>1080</v>
      </c>
      <c r="D707" s="733">
        <v>54.062969207763672</v>
      </c>
      <c r="E707" s="733">
        <v>1</v>
      </c>
    </row>
    <row r="708" spans="2:5" x14ac:dyDescent="0.25">
      <c r="B708" s="1382" t="s">
        <v>1840</v>
      </c>
      <c r="C708" s="733" t="s">
        <v>1080</v>
      </c>
      <c r="D708" s="733">
        <v>57.073921203613281</v>
      </c>
      <c r="E708" s="733">
        <v>1</v>
      </c>
    </row>
    <row r="709" spans="2:5" x14ac:dyDescent="0.25">
      <c r="B709" s="1382" t="s">
        <v>1840</v>
      </c>
      <c r="C709" s="733" t="s">
        <v>1080</v>
      </c>
      <c r="D709" s="733">
        <v>66.1724853515625</v>
      </c>
      <c r="E709" s="733">
        <v>1</v>
      </c>
    </row>
    <row r="710" spans="2:5" x14ac:dyDescent="0.25">
      <c r="B710" s="1382" t="s">
        <v>1840</v>
      </c>
      <c r="C710" s="733" t="s">
        <v>1080</v>
      </c>
      <c r="D710" s="733">
        <v>53.535251617431641</v>
      </c>
      <c r="E710" s="733">
        <v>1</v>
      </c>
    </row>
    <row r="711" spans="2:5" x14ac:dyDescent="0.25">
      <c r="B711" s="1382" t="s">
        <v>1840</v>
      </c>
      <c r="C711" s="733" t="s">
        <v>1080</v>
      </c>
      <c r="D711" s="733">
        <v>64.301162719726563</v>
      </c>
      <c r="E711" s="733">
        <v>1</v>
      </c>
    </row>
    <row r="712" spans="2:5" x14ac:dyDescent="0.25">
      <c r="B712" s="1382" t="s">
        <v>1840</v>
      </c>
      <c r="C712" s="733" t="s">
        <v>1080</v>
      </c>
      <c r="D712" s="733">
        <v>57.108146667480469</v>
      </c>
      <c r="E712" s="733">
        <v>1</v>
      </c>
    </row>
    <row r="713" spans="2:5" x14ac:dyDescent="0.25">
      <c r="B713" s="1382" t="s">
        <v>1840</v>
      </c>
      <c r="C713" s="733" t="s">
        <v>1080</v>
      </c>
      <c r="D713" s="733">
        <v>59.375083923339844</v>
      </c>
      <c r="E713" s="733">
        <v>1</v>
      </c>
    </row>
    <row r="714" spans="2:5" x14ac:dyDescent="0.25">
      <c r="B714" s="1382" t="s">
        <v>1840</v>
      </c>
      <c r="C714" s="733" t="s">
        <v>1080</v>
      </c>
      <c r="D714" s="733">
        <v>56.698150634765625</v>
      </c>
      <c r="E714" s="733">
        <v>1</v>
      </c>
    </row>
    <row r="715" spans="2:5" x14ac:dyDescent="0.25">
      <c r="B715" s="1382" t="s">
        <v>1840</v>
      </c>
      <c r="C715" s="733" t="s">
        <v>1080</v>
      </c>
      <c r="D715" s="733">
        <v>53.109512329101563</v>
      </c>
      <c r="E715" s="733">
        <v>1</v>
      </c>
    </row>
    <row r="716" spans="2:5" x14ac:dyDescent="0.25">
      <c r="B716" s="1382" t="s">
        <v>1840</v>
      </c>
      <c r="C716" s="733" t="s">
        <v>1081</v>
      </c>
      <c r="D716" s="733">
        <v>73.312797546386719</v>
      </c>
      <c r="E716" s="733">
        <v>1</v>
      </c>
    </row>
    <row r="717" spans="2:5" x14ac:dyDescent="0.25">
      <c r="B717" s="1382" t="s">
        <v>1840</v>
      </c>
      <c r="C717" s="733" t="s">
        <v>1080</v>
      </c>
      <c r="D717" s="733">
        <v>74</v>
      </c>
      <c r="E717" s="733">
        <v>1</v>
      </c>
    </row>
    <row r="718" spans="2:5" x14ac:dyDescent="0.25">
      <c r="B718" s="1382" t="s">
        <v>1840</v>
      </c>
      <c r="C718" s="733" t="s">
        <v>1080</v>
      </c>
      <c r="D718" s="733">
        <v>78.103355407714844</v>
      </c>
      <c r="E718" s="733">
        <v>1</v>
      </c>
    </row>
    <row r="719" spans="2:5" x14ac:dyDescent="0.25">
      <c r="B719" s="1382" t="s">
        <v>1840</v>
      </c>
      <c r="C719" s="733" t="s">
        <v>1080</v>
      </c>
      <c r="D719" s="733">
        <v>61</v>
      </c>
      <c r="E719" s="733">
        <v>1</v>
      </c>
    </row>
    <row r="720" spans="2:5" x14ac:dyDescent="0.25">
      <c r="B720" s="1382" t="s">
        <v>1840</v>
      </c>
      <c r="C720" s="733" t="s">
        <v>1080</v>
      </c>
      <c r="D720" s="733">
        <v>52.054756164550781</v>
      </c>
      <c r="E720" s="733">
        <v>1</v>
      </c>
    </row>
    <row r="721" spans="2:5" x14ac:dyDescent="0.25">
      <c r="B721" s="1382" t="s">
        <v>1840</v>
      </c>
      <c r="C721" s="733" t="s">
        <v>1080</v>
      </c>
      <c r="D721" s="733">
        <v>46.774810791015625</v>
      </c>
      <c r="E721" s="733">
        <v>1</v>
      </c>
    </row>
    <row r="722" spans="2:5" x14ac:dyDescent="0.25">
      <c r="B722" s="1382" t="s">
        <v>1840</v>
      </c>
      <c r="C722" s="733" t="s">
        <v>1080</v>
      </c>
      <c r="D722" s="733">
        <v>60.764545440673828</v>
      </c>
      <c r="E722" s="733">
        <v>1</v>
      </c>
    </row>
    <row r="723" spans="2:5" x14ac:dyDescent="0.25">
      <c r="B723" s="1382" t="s">
        <v>1840</v>
      </c>
      <c r="C723" s="733" t="s">
        <v>1081</v>
      </c>
      <c r="D723" s="733">
        <v>59.120464324951172</v>
      </c>
      <c r="E723" s="733">
        <v>1</v>
      </c>
    </row>
    <row r="724" spans="2:5" x14ac:dyDescent="0.25">
      <c r="B724" s="1382" t="s">
        <v>1840</v>
      </c>
      <c r="C724" s="733" t="s">
        <v>1080</v>
      </c>
      <c r="D724" s="733">
        <v>60.199863433837891</v>
      </c>
      <c r="E724" s="733">
        <v>1</v>
      </c>
    </row>
    <row r="725" spans="2:5" x14ac:dyDescent="0.25">
      <c r="B725" s="1382" t="s">
        <v>1840</v>
      </c>
      <c r="C725" s="733" t="s">
        <v>1081</v>
      </c>
      <c r="D725" s="733">
        <v>82.533882141113281</v>
      </c>
      <c r="E725" s="733">
        <v>1</v>
      </c>
    </row>
    <row r="726" spans="2:5" x14ac:dyDescent="0.25">
      <c r="B726" s="1382" t="s">
        <v>1840</v>
      </c>
      <c r="C726" s="733" t="s">
        <v>1081</v>
      </c>
      <c r="D726" s="733">
        <v>55.219028472900391</v>
      </c>
      <c r="E726" s="733">
        <v>1</v>
      </c>
    </row>
    <row r="727" spans="2:5" x14ac:dyDescent="0.25">
      <c r="B727" s="1382" t="s">
        <v>1840</v>
      </c>
      <c r="C727" s="733" t="s">
        <v>1080</v>
      </c>
      <c r="D727" s="733">
        <v>66.114990234375</v>
      </c>
      <c r="E727" s="733">
        <v>1</v>
      </c>
    </row>
    <row r="728" spans="2:5" x14ac:dyDescent="0.25">
      <c r="B728" s="1382" t="s">
        <v>1840</v>
      </c>
      <c r="C728" s="733" t="s">
        <v>1081</v>
      </c>
      <c r="D728" s="733">
        <v>68.3258056640625</v>
      </c>
      <c r="E728" s="733">
        <v>1</v>
      </c>
    </row>
    <row r="729" spans="2:5" x14ac:dyDescent="0.25">
      <c r="B729" s="1382" t="s">
        <v>1840</v>
      </c>
      <c r="C729" s="733" t="s">
        <v>1080</v>
      </c>
      <c r="D729" s="733">
        <v>63.2108154296875</v>
      </c>
      <c r="E729" s="733">
        <v>1</v>
      </c>
    </row>
    <row r="730" spans="2:5" x14ac:dyDescent="0.25">
      <c r="B730" s="1382" t="s">
        <v>1840</v>
      </c>
      <c r="C730" s="733" t="s">
        <v>1080</v>
      </c>
      <c r="D730" s="733">
        <v>65.332649230957031</v>
      </c>
      <c r="E730" s="733">
        <v>1</v>
      </c>
    </row>
    <row r="731" spans="2:5" x14ac:dyDescent="0.25">
      <c r="B731" s="1382" t="s">
        <v>1840</v>
      </c>
      <c r="C731" s="733" t="s">
        <v>1081</v>
      </c>
      <c r="D731" s="733">
        <v>77.496238708496094</v>
      </c>
      <c r="E731" s="733">
        <v>1</v>
      </c>
    </row>
    <row r="732" spans="2:5" x14ac:dyDescent="0.25">
      <c r="B732" s="1382" t="s">
        <v>1840</v>
      </c>
      <c r="C732" s="733" t="s">
        <v>1081</v>
      </c>
      <c r="D732" s="733">
        <v>70.042434692382813</v>
      </c>
      <c r="E732" s="733">
        <v>1</v>
      </c>
    </row>
    <row r="733" spans="2:5" x14ac:dyDescent="0.25">
      <c r="B733" s="1382" t="s">
        <v>1840</v>
      </c>
      <c r="C733" s="733" t="s">
        <v>1080</v>
      </c>
      <c r="D733" s="733">
        <v>81.180694580078125</v>
      </c>
      <c r="E733" s="733">
        <v>1</v>
      </c>
    </row>
    <row r="734" spans="2:5" x14ac:dyDescent="0.25">
      <c r="B734" s="1382" t="s">
        <v>1840</v>
      </c>
      <c r="C734" s="733" t="s">
        <v>1080</v>
      </c>
      <c r="D734" s="733">
        <v>77.078712463378906</v>
      </c>
      <c r="E734" s="733">
        <v>1</v>
      </c>
    </row>
    <row r="735" spans="2:5" x14ac:dyDescent="0.25">
      <c r="B735" s="1382" t="s">
        <v>1840</v>
      </c>
      <c r="C735" s="733" t="s">
        <v>1080</v>
      </c>
      <c r="D735" s="733">
        <v>46.093086242675781</v>
      </c>
      <c r="E735" s="733">
        <v>1</v>
      </c>
    </row>
    <row r="736" spans="2:5" x14ac:dyDescent="0.25">
      <c r="B736" s="1382" t="s">
        <v>1840</v>
      </c>
      <c r="C736" s="733" t="s">
        <v>1080</v>
      </c>
      <c r="D736" s="733">
        <v>67.177276611328125</v>
      </c>
      <c r="E736" s="733">
        <v>1</v>
      </c>
    </row>
    <row r="737" spans="2:5" x14ac:dyDescent="0.25">
      <c r="B737" s="1382" t="s">
        <v>1840</v>
      </c>
      <c r="C737" s="733" t="s">
        <v>1080</v>
      </c>
      <c r="D737" s="733">
        <v>68.572212219238281</v>
      </c>
      <c r="E737" s="733">
        <v>1</v>
      </c>
    </row>
    <row r="738" spans="2:5" x14ac:dyDescent="0.25">
      <c r="B738" s="1382" t="s">
        <v>1840</v>
      </c>
      <c r="C738" s="733" t="s">
        <v>1081</v>
      </c>
      <c r="D738" s="733">
        <v>78.544151306152344</v>
      </c>
      <c r="E738" s="733">
        <v>1</v>
      </c>
    </row>
    <row r="739" spans="2:5" x14ac:dyDescent="0.25">
      <c r="B739" s="1382" t="s">
        <v>1840</v>
      </c>
      <c r="C739" s="733" t="s">
        <v>1080</v>
      </c>
      <c r="D739" s="733">
        <v>70.776863098144531</v>
      </c>
      <c r="E739" s="733">
        <v>1</v>
      </c>
    </row>
    <row r="740" spans="2:5" x14ac:dyDescent="0.25">
      <c r="B740" s="1382" t="s">
        <v>1840</v>
      </c>
      <c r="C740" s="733" t="s">
        <v>1081</v>
      </c>
      <c r="D740" s="733">
        <v>69.508552551269531</v>
      </c>
      <c r="E740" s="733">
        <v>1</v>
      </c>
    </row>
    <row r="741" spans="2:5" x14ac:dyDescent="0.25">
      <c r="B741" s="1382" t="s">
        <v>1840</v>
      </c>
      <c r="C741" s="733" t="s">
        <v>1081</v>
      </c>
      <c r="D741" s="733">
        <v>71.314849853515625</v>
      </c>
      <c r="E741" s="733">
        <v>1</v>
      </c>
    </row>
    <row r="742" spans="2:5" x14ac:dyDescent="0.25">
      <c r="B742" s="1382" t="s">
        <v>1840</v>
      </c>
      <c r="C742" s="733" t="s">
        <v>1080</v>
      </c>
      <c r="D742" s="733">
        <v>77.470909118652344</v>
      </c>
      <c r="E742" s="733">
        <v>1</v>
      </c>
    </row>
    <row r="743" spans="2:5" x14ac:dyDescent="0.25">
      <c r="B743" s="1382" t="s">
        <v>1840</v>
      </c>
      <c r="C743" s="733" t="s">
        <v>1080</v>
      </c>
      <c r="D743" s="733">
        <v>62.199176788330078</v>
      </c>
      <c r="E743" s="733">
        <v>1</v>
      </c>
    </row>
    <row r="744" spans="2:5" x14ac:dyDescent="0.25">
      <c r="B744" s="1382" t="s">
        <v>1840</v>
      </c>
      <c r="C744" s="733" t="s">
        <v>1080</v>
      </c>
      <c r="D744" s="733">
        <v>49.365501403808594</v>
      </c>
      <c r="E744" s="733">
        <v>1</v>
      </c>
    </row>
    <row r="745" spans="2:5" x14ac:dyDescent="0.25">
      <c r="B745" s="1382" t="s">
        <v>1840</v>
      </c>
      <c r="C745" s="733" t="s">
        <v>1081</v>
      </c>
      <c r="D745" s="733">
        <v>72.840522766113281</v>
      </c>
      <c r="E745" s="733">
        <v>1</v>
      </c>
    </row>
    <row r="746" spans="2:5" x14ac:dyDescent="0.25">
      <c r="B746" s="1382" t="s">
        <v>1840</v>
      </c>
      <c r="C746" s="733" t="s">
        <v>1080</v>
      </c>
      <c r="D746" s="733">
        <v>68.030113220214844</v>
      </c>
      <c r="E746" s="733">
        <v>1</v>
      </c>
    </row>
    <row r="747" spans="2:5" x14ac:dyDescent="0.25">
      <c r="B747" s="1382" t="s">
        <v>1840</v>
      </c>
      <c r="C747" s="733" t="s">
        <v>1081</v>
      </c>
      <c r="D747" s="733">
        <v>51.265571594238281</v>
      </c>
      <c r="E747" s="733">
        <v>1</v>
      </c>
    </row>
    <row r="748" spans="2:5" x14ac:dyDescent="0.25">
      <c r="B748" s="1382" t="s">
        <v>1840</v>
      </c>
      <c r="C748" s="733" t="s">
        <v>1080</v>
      </c>
      <c r="D748" s="733">
        <v>69.268310546875</v>
      </c>
      <c r="E748" s="733">
        <v>1</v>
      </c>
    </row>
    <row r="749" spans="2:5" x14ac:dyDescent="0.25">
      <c r="B749" s="1382" t="s">
        <v>1840</v>
      </c>
      <c r="C749" s="733" t="s">
        <v>1080</v>
      </c>
      <c r="D749" s="733">
        <v>43.106090545654297</v>
      </c>
      <c r="E749" s="733">
        <v>1</v>
      </c>
    </row>
    <row r="750" spans="2:5" x14ac:dyDescent="0.25">
      <c r="B750" s="1382" t="s">
        <v>1840</v>
      </c>
      <c r="C750" s="733" t="s">
        <v>1080</v>
      </c>
      <c r="D750" s="733">
        <v>77.079399108886719</v>
      </c>
      <c r="E750" s="733">
        <v>1</v>
      </c>
    </row>
    <row r="751" spans="2:5" x14ac:dyDescent="0.25">
      <c r="B751" s="1382" t="s">
        <v>1840</v>
      </c>
      <c r="C751" s="733" t="s">
        <v>1080</v>
      </c>
      <c r="D751" s="733">
        <v>38.955509185791016</v>
      </c>
      <c r="E751" s="733">
        <v>1</v>
      </c>
    </row>
    <row r="752" spans="2:5" x14ac:dyDescent="0.25">
      <c r="B752" s="1382" t="s">
        <v>1840</v>
      </c>
      <c r="C752" s="733" t="s">
        <v>1080</v>
      </c>
      <c r="D752" s="733">
        <v>72.216293334960938</v>
      </c>
      <c r="E752" s="733">
        <v>1</v>
      </c>
    </row>
    <row r="753" spans="2:5" x14ac:dyDescent="0.25">
      <c r="B753" s="1382" t="s">
        <v>1840</v>
      </c>
      <c r="C753" s="733" t="s">
        <v>1080</v>
      </c>
      <c r="D753" s="733">
        <v>44.180698394775391</v>
      </c>
      <c r="E753" s="733">
        <v>1</v>
      </c>
    </row>
    <row r="754" spans="2:5" x14ac:dyDescent="0.25">
      <c r="B754" s="1382" t="s">
        <v>1840</v>
      </c>
      <c r="C754" s="733" t="s">
        <v>1080</v>
      </c>
      <c r="D754" s="733">
        <v>63.320327758789063</v>
      </c>
      <c r="E754" s="733">
        <v>1</v>
      </c>
    </row>
    <row r="755" spans="2:5" x14ac:dyDescent="0.25">
      <c r="B755" s="1382" t="s">
        <v>1840</v>
      </c>
      <c r="C755" s="733" t="s">
        <v>1080</v>
      </c>
      <c r="D755" s="733">
        <v>60.835044860839844</v>
      </c>
      <c r="E755" s="733">
        <v>1</v>
      </c>
    </row>
    <row r="756" spans="2:5" x14ac:dyDescent="0.25">
      <c r="B756" s="1382" t="s">
        <v>1840</v>
      </c>
      <c r="C756" s="733" t="s">
        <v>1080</v>
      </c>
      <c r="D756" s="733">
        <v>54.914443969726563</v>
      </c>
      <c r="E756" s="733">
        <v>1</v>
      </c>
    </row>
    <row r="757" spans="2:5" x14ac:dyDescent="0.25">
      <c r="B757" s="1382" t="s">
        <v>1840</v>
      </c>
      <c r="C757" s="733" t="s">
        <v>1081</v>
      </c>
      <c r="D757" s="733">
        <v>55.898700714111328</v>
      </c>
      <c r="E757" s="733">
        <v>1</v>
      </c>
    </row>
    <row r="758" spans="2:5" x14ac:dyDescent="0.25">
      <c r="B758" s="1382" t="s">
        <v>1840</v>
      </c>
      <c r="C758" s="733" t="s">
        <v>1080</v>
      </c>
      <c r="D758" s="733">
        <v>59.617385864257813</v>
      </c>
      <c r="E758" s="733">
        <v>1</v>
      </c>
    </row>
    <row r="759" spans="2:5" x14ac:dyDescent="0.25">
      <c r="B759" s="1382" t="s">
        <v>1840</v>
      </c>
      <c r="C759" s="733" t="s">
        <v>1080</v>
      </c>
      <c r="D759" s="733">
        <v>59.492813110351563</v>
      </c>
      <c r="E759" s="733">
        <v>1</v>
      </c>
    </row>
    <row r="760" spans="2:5" x14ac:dyDescent="0.25">
      <c r="B760" s="1382" t="s">
        <v>1840</v>
      </c>
      <c r="C760" s="733" t="s">
        <v>1080</v>
      </c>
      <c r="D760" s="733">
        <v>60.002738952636719</v>
      </c>
      <c r="E760" s="733">
        <v>1</v>
      </c>
    </row>
    <row r="761" spans="2:5" x14ac:dyDescent="0.25">
      <c r="B761" s="1382" t="s">
        <v>1840</v>
      </c>
      <c r="C761" s="733" t="s">
        <v>1080</v>
      </c>
      <c r="D761" s="733">
        <v>59.202602386474609</v>
      </c>
      <c r="E761" s="733">
        <v>1</v>
      </c>
    </row>
    <row r="762" spans="2:5" x14ac:dyDescent="0.25">
      <c r="B762" s="1382" t="s">
        <v>1840</v>
      </c>
      <c r="C762" s="733" t="s">
        <v>1080</v>
      </c>
      <c r="D762" s="733">
        <v>57.281997680664063</v>
      </c>
      <c r="E762" s="733">
        <v>1</v>
      </c>
    </row>
    <row r="763" spans="2:5" x14ac:dyDescent="0.25">
      <c r="B763" s="1382" t="s">
        <v>1840</v>
      </c>
      <c r="C763" s="733" t="s">
        <v>1081</v>
      </c>
      <c r="D763" s="733">
        <v>71.58795166015625</v>
      </c>
      <c r="E763" s="733">
        <v>1</v>
      </c>
    </row>
    <row r="764" spans="2:5" x14ac:dyDescent="0.25">
      <c r="B764" s="1382" t="s">
        <v>1840</v>
      </c>
      <c r="C764" s="733" t="s">
        <v>1080</v>
      </c>
      <c r="D764" s="733">
        <v>65.39630126953125</v>
      </c>
      <c r="E764" s="733">
        <v>1</v>
      </c>
    </row>
    <row r="765" spans="2:5" x14ac:dyDescent="0.25">
      <c r="B765" s="1382" t="s">
        <v>1840</v>
      </c>
      <c r="C765" s="733" t="s">
        <v>1080</v>
      </c>
      <c r="D765" s="733">
        <v>77.388092041015625</v>
      </c>
      <c r="E765" s="733">
        <v>1</v>
      </c>
    </row>
    <row r="766" spans="2:5" x14ac:dyDescent="0.25">
      <c r="B766" s="1382" t="s">
        <v>1840</v>
      </c>
      <c r="C766" s="733" t="s">
        <v>1080</v>
      </c>
      <c r="D766" s="733">
        <v>54.147842407226563</v>
      </c>
      <c r="E766" s="733">
        <v>1</v>
      </c>
    </row>
    <row r="767" spans="2:5" x14ac:dyDescent="0.25">
      <c r="B767" s="1382" t="s">
        <v>1840</v>
      </c>
      <c r="C767" s="733" t="s">
        <v>1080</v>
      </c>
      <c r="D767" s="733">
        <v>64.147842407226563</v>
      </c>
      <c r="E767" s="733">
        <v>1</v>
      </c>
    </row>
    <row r="768" spans="2:5" x14ac:dyDescent="0.25">
      <c r="B768" s="1382" t="s">
        <v>1840</v>
      </c>
      <c r="C768" s="733" t="s">
        <v>1080</v>
      </c>
      <c r="D768" s="733">
        <v>65</v>
      </c>
      <c r="E768" s="733">
        <v>1</v>
      </c>
    </row>
    <row r="769" spans="2:5" x14ac:dyDescent="0.25">
      <c r="B769" s="1382" t="s">
        <v>1840</v>
      </c>
      <c r="C769" s="733" t="s">
        <v>1081</v>
      </c>
      <c r="D769" s="733">
        <v>86.22998046875</v>
      </c>
      <c r="E769" s="733">
        <v>1</v>
      </c>
    </row>
    <row r="770" spans="2:5" x14ac:dyDescent="0.25">
      <c r="B770" s="1382" t="s">
        <v>1840</v>
      </c>
      <c r="C770" s="733" t="s">
        <v>1081</v>
      </c>
      <c r="D770" s="733">
        <v>34.111568450927734</v>
      </c>
      <c r="E770" s="733">
        <v>1</v>
      </c>
    </row>
    <row r="771" spans="2:5" x14ac:dyDescent="0.25">
      <c r="B771" s="1382" t="s">
        <v>1840</v>
      </c>
      <c r="C771" s="733" t="s">
        <v>1080</v>
      </c>
      <c r="D771" s="733">
        <v>62.536617279052734</v>
      </c>
      <c r="E771" s="733">
        <v>1</v>
      </c>
    </row>
    <row r="772" spans="2:5" x14ac:dyDescent="0.25">
      <c r="B772" s="1382" t="s">
        <v>1840</v>
      </c>
      <c r="C772" s="733" t="s">
        <v>1081</v>
      </c>
      <c r="D772" s="733">
        <v>33.1341552734375</v>
      </c>
      <c r="E772" s="733">
        <v>1</v>
      </c>
    </row>
    <row r="773" spans="2:5" x14ac:dyDescent="0.25">
      <c r="B773" s="1382" t="s">
        <v>1840</v>
      </c>
      <c r="C773" s="733" t="s">
        <v>1080</v>
      </c>
      <c r="D773" s="733">
        <v>49.212867736816406</v>
      </c>
      <c r="E773" s="733">
        <v>1</v>
      </c>
    </row>
    <row r="774" spans="2:5" x14ac:dyDescent="0.25">
      <c r="B774" s="1382" t="s">
        <v>1840</v>
      </c>
      <c r="C774" s="733" t="s">
        <v>1080</v>
      </c>
      <c r="D774" s="733">
        <v>60.218341827392578</v>
      </c>
      <c r="E774" s="733">
        <v>1</v>
      </c>
    </row>
    <row r="775" spans="2:5" x14ac:dyDescent="0.25">
      <c r="B775" s="1382" t="s">
        <v>1840</v>
      </c>
      <c r="C775" s="733" t="s">
        <v>1081</v>
      </c>
      <c r="D775" s="733">
        <v>38.238193511962891</v>
      </c>
      <c r="E775" s="733">
        <v>1</v>
      </c>
    </row>
    <row r="776" spans="2:5" x14ac:dyDescent="0.25">
      <c r="B776" s="1382" t="s">
        <v>1840</v>
      </c>
      <c r="C776" s="733" t="s">
        <v>1080</v>
      </c>
      <c r="D776" s="733">
        <v>55.344970703125</v>
      </c>
      <c r="E776" s="733">
        <v>1</v>
      </c>
    </row>
    <row r="777" spans="2:5" x14ac:dyDescent="0.25">
      <c r="B777" s="1382" t="s">
        <v>1840</v>
      </c>
      <c r="C777" s="733" t="s">
        <v>1080</v>
      </c>
      <c r="D777" s="733">
        <v>73.276519775390625</v>
      </c>
      <c r="E777" s="733">
        <v>1</v>
      </c>
    </row>
    <row r="778" spans="2:5" x14ac:dyDescent="0.25">
      <c r="B778" s="1382" t="s">
        <v>1840</v>
      </c>
      <c r="C778" s="733" t="s">
        <v>1080</v>
      </c>
      <c r="D778" s="733">
        <v>67.396987915039063</v>
      </c>
      <c r="E778" s="733">
        <v>1</v>
      </c>
    </row>
    <row r="779" spans="2:5" x14ac:dyDescent="0.25">
      <c r="B779" s="1382" t="s">
        <v>1840</v>
      </c>
      <c r="C779" s="733" t="s">
        <v>1081</v>
      </c>
      <c r="D779" s="733">
        <v>67.307327270507813</v>
      </c>
      <c r="E779" s="733">
        <v>1</v>
      </c>
    </row>
    <row r="780" spans="2:5" x14ac:dyDescent="0.25">
      <c r="B780" s="1382" t="s">
        <v>1840</v>
      </c>
      <c r="C780" s="733" t="s">
        <v>1080</v>
      </c>
      <c r="D780" s="733">
        <v>61.147842407226563</v>
      </c>
      <c r="E780" s="733">
        <v>1</v>
      </c>
    </row>
    <row r="781" spans="2:5" x14ac:dyDescent="0.25">
      <c r="B781" s="1382" t="s">
        <v>1840</v>
      </c>
      <c r="C781" s="733" t="s">
        <v>1081</v>
      </c>
      <c r="D781" s="733">
        <v>68</v>
      </c>
      <c r="E781" s="733">
        <v>1</v>
      </c>
    </row>
    <row r="782" spans="2:5" x14ac:dyDescent="0.25">
      <c r="B782" s="1382" t="s">
        <v>1840</v>
      </c>
      <c r="C782" s="733" t="s">
        <v>1080</v>
      </c>
      <c r="D782" s="733">
        <v>74.084877014160156</v>
      </c>
      <c r="E782" s="733">
        <v>1</v>
      </c>
    </row>
    <row r="783" spans="2:5" x14ac:dyDescent="0.25">
      <c r="B783" s="1382" t="s">
        <v>1840</v>
      </c>
      <c r="C783" s="733" t="s">
        <v>1080</v>
      </c>
      <c r="D783" s="733">
        <v>47.238193511962891</v>
      </c>
      <c r="E783" s="733">
        <v>1</v>
      </c>
    </row>
    <row r="784" spans="2:5" x14ac:dyDescent="0.25">
      <c r="B784" s="1382" t="s">
        <v>1840</v>
      </c>
      <c r="C784" s="733" t="s">
        <v>1080</v>
      </c>
      <c r="D784" s="733">
        <v>65.624229431152344</v>
      </c>
      <c r="E784" s="733">
        <v>1</v>
      </c>
    </row>
    <row r="785" spans="2:5" x14ac:dyDescent="0.25">
      <c r="B785" s="1382" t="s">
        <v>1840</v>
      </c>
      <c r="C785" s="733" t="s">
        <v>1080</v>
      </c>
      <c r="D785" s="733">
        <v>70.61328125</v>
      </c>
      <c r="E785" s="733">
        <v>1</v>
      </c>
    </row>
    <row r="786" spans="2:5" x14ac:dyDescent="0.25">
      <c r="B786" s="1382" t="s">
        <v>1840</v>
      </c>
      <c r="C786" s="733" t="s">
        <v>1080</v>
      </c>
      <c r="D786" s="733">
        <v>55.238193511962891</v>
      </c>
      <c r="E786" s="733">
        <v>1</v>
      </c>
    </row>
    <row r="787" spans="2:5" x14ac:dyDescent="0.25">
      <c r="B787" s="1382" t="s">
        <v>1840</v>
      </c>
      <c r="C787" s="733" t="s">
        <v>1080</v>
      </c>
      <c r="D787" s="733">
        <v>67.454483032226563</v>
      </c>
      <c r="E787" s="733">
        <v>1</v>
      </c>
    </row>
    <row r="788" spans="2:5" x14ac:dyDescent="0.25">
      <c r="B788" s="1382" t="s">
        <v>1840</v>
      </c>
      <c r="C788" s="733" t="s">
        <v>1081</v>
      </c>
      <c r="D788" s="733">
        <v>71.735794067382813</v>
      </c>
      <c r="E788" s="733">
        <v>1</v>
      </c>
    </row>
    <row r="789" spans="2:5" x14ac:dyDescent="0.25">
      <c r="B789" s="1382" t="s">
        <v>1840</v>
      </c>
      <c r="C789" s="733" t="s">
        <v>1080</v>
      </c>
      <c r="D789" s="733">
        <v>58.835044860839844</v>
      </c>
      <c r="E789" s="733">
        <v>1</v>
      </c>
    </row>
    <row r="790" spans="2:5" x14ac:dyDescent="0.25">
      <c r="B790" s="1382" t="s">
        <v>1840</v>
      </c>
      <c r="C790" s="733" t="s">
        <v>1080</v>
      </c>
      <c r="D790" s="733">
        <v>66.724845886230469</v>
      </c>
      <c r="E790" s="733">
        <v>1</v>
      </c>
    </row>
    <row r="791" spans="2:5" x14ac:dyDescent="0.25">
      <c r="B791" s="1382" t="s">
        <v>1840</v>
      </c>
      <c r="C791" s="733" t="s">
        <v>1081</v>
      </c>
      <c r="D791" s="733">
        <v>67.930870056152344</v>
      </c>
      <c r="E791" s="733">
        <v>1</v>
      </c>
    </row>
    <row r="792" spans="2:5" x14ac:dyDescent="0.25">
      <c r="B792" s="1382" t="s">
        <v>1840</v>
      </c>
      <c r="C792" s="733" t="s">
        <v>1081</v>
      </c>
      <c r="D792" s="733">
        <v>63.399726867675781</v>
      </c>
      <c r="E792" s="733">
        <v>1</v>
      </c>
    </row>
    <row r="793" spans="2:5" x14ac:dyDescent="0.25">
      <c r="B793" s="1382" t="s">
        <v>1840</v>
      </c>
      <c r="C793" s="733" t="s">
        <v>1081</v>
      </c>
      <c r="D793" s="733">
        <v>63.895278930664063</v>
      </c>
      <c r="E793" s="733">
        <v>1</v>
      </c>
    </row>
    <row r="794" spans="2:5" x14ac:dyDescent="0.25">
      <c r="B794" s="1382" t="s">
        <v>1840</v>
      </c>
      <c r="C794" s="733" t="s">
        <v>1080</v>
      </c>
      <c r="D794" s="733">
        <v>84.1341552734375</v>
      </c>
      <c r="E794" s="733">
        <v>1</v>
      </c>
    </row>
    <row r="795" spans="2:5" x14ac:dyDescent="0.25">
      <c r="B795" s="1382" t="s">
        <v>1840</v>
      </c>
      <c r="C795" s="733" t="s">
        <v>1080</v>
      </c>
      <c r="D795" s="733">
        <v>41.104038238525391</v>
      </c>
      <c r="E795" s="733">
        <v>1</v>
      </c>
    </row>
    <row r="796" spans="2:5" x14ac:dyDescent="0.25">
      <c r="B796" s="1382" t="s">
        <v>1840</v>
      </c>
      <c r="C796" s="733" t="s">
        <v>1081</v>
      </c>
      <c r="D796" s="733">
        <v>70.334014892578125</v>
      </c>
      <c r="E796" s="733">
        <v>1</v>
      </c>
    </row>
    <row r="797" spans="2:5" x14ac:dyDescent="0.25">
      <c r="B797" s="1382" t="s">
        <v>1840</v>
      </c>
      <c r="C797" s="733" t="s">
        <v>1081</v>
      </c>
      <c r="D797" s="733">
        <v>62.358657836914063</v>
      </c>
      <c r="E797" s="733">
        <v>1</v>
      </c>
    </row>
    <row r="798" spans="2:5" x14ac:dyDescent="0.25">
      <c r="B798" s="1382" t="s">
        <v>1840</v>
      </c>
      <c r="C798" s="733" t="s">
        <v>1080</v>
      </c>
      <c r="D798" s="733">
        <v>84.205337524414063</v>
      </c>
      <c r="E798" s="733">
        <v>1</v>
      </c>
    </row>
    <row r="799" spans="2:5" x14ac:dyDescent="0.25">
      <c r="B799" s="1382" t="s">
        <v>1840</v>
      </c>
      <c r="C799" s="733" t="s">
        <v>1080</v>
      </c>
      <c r="D799" s="733">
        <v>45.188911437988281</v>
      </c>
      <c r="E799" s="733">
        <v>1</v>
      </c>
    </row>
    <row r="800" spans="2:5" x14ac:dyDescent="0.25">
      <c r="B800" s="1382" t="s">
        <v>1840</v>
      </c>
      <c r="C800" s="733" t="s">
        <v>1080</v>
      </c>
      <c r="D800" s="733">
        <v>61.432579040527344</v>
      </c>
      <c r="E800" s="733">
        <v>1</v>
      </c>
    </row>
    <row r="801" spans="2:5" x14ac:dyDescent="0.25">
      <c r="B801" s="1382" t="s">
        <v>1840</v>
      </c>
      <c r="C801" s="733" t="s">
        <v>1080</v>
      </c>
      <c r="D801" s="733">
        <v>54.246406555175781</v>
      </c>
      <c r="E801" s="733">
        <v>1</v>
      </c>
    </row>
    <row r="802" spans="2:5" x14ac:dyDescent="0.25">
      <c r="B802" s="1382" t="s">
        <v>1840</v>
      </c>
      <c r="C802" s="733" t="s">
        <v>1081</v>
      </c>
      <c r="D802" s="733">
        <v>73.081451416015625</v>
      </c>
      <c r="E802" s="733">
        <v>1</v>
      </c>
    </row>
    <row r="803" spans="2:5" x14ac:dyDescent="0.25">
      <c r="B803" s="1382" t="s">
        <v>1840</v>
      </c>
      <c r="C803" s="733" t="s">
        <v>1080</v>
      </c>
      <c r="D803" s="733">
        <v>47.128677368164063</v>
      </c>
      <c r="E803" s="733">
        <v>1</v>
      </c>
    </row>
    <row r="804" spans="2:5" x14ac:dyDescent="0.25">
      <c r="B804" s="1382" t="s">
        <v>1840</v>
      </c>
      <c r="C804" s="733" t="s">
        <v>1081</v>
      </c>
      <c r="D804" s="733">
        <v>61.271045684814453</v>
      </c>
      <c r="E804" s="733">
        <v>1</v>
      </c>
    </row>
    <row r="805" spans="2:5" x14ac:dyDescent="0.25">
      <c r="B805" s="1382" t="s">
        <v>1840</v>
      </c>
      <c r="C805" s="733" t="s">
        <v>1081</v>
      </c>
      <c r="D805" s="733">
        <v>73.164268493652344</v>
      </c>
      <c r="E805" s="733">
        <v>1</v>
      </c>
    </row>
    <row r="806" spans="2:5" x14ac:dyDescent="0.25">
      <c r="B806" s="1382" t="s">
        <v>1840</v>
      </c>
      <c r="C806" s="733" t="s">
        <v>1081</v>
      </c>
      <c r="D806" s="733">
        <v>74.295005798339844</v>
      </c>
      <c r="E806" s="733">
        <v>1</v>
      </c>
    </row>
    <row r="807" spans="2:5" x14ac:dyDescent="0.25">
      <c r="B807" s="1382" t="s">
        <v>1840</v>
      </c>
      <c r="C807" s="733" t="s">
        <v>1080</v>
      </c>
      <c r="D807" s="733">
        <v>69.25872802734375</v>
      </c>
      <c r="E807" s="733">
        <v>1</v>
      </c>
    </row>
    <row r="808" spans="2:5" x14ac:dyDescent="0.25">
      <c r="B808" s="1382" t="s">
        <v>1840</v>
      </c>
      <c r="C808" s="733" t="s">
        <v>1080</v>
      </c>
      <c r="D808" s="733">
        <v>70.350448608398438</v>
      </c>
      <c r="E808" s="733">
        <v>1</v>
      </c>
    </row>
    <row r="809" spans="2:5" x14ac:dyDescent="0.25">
      <c r="B809" s="1382" t="s">
        <v>1840</v>
      </c>
      <c r="C809" s="733" t="s">
        <v>1080</v>
      </c>
      <c r="D809" s="733">
        <v>69.61328125</v>
      </c>
      <c r="E809" s="733">
        <v>1</v>
      </c>
    </row>
    <row r="810" spans="2:5" x14ac:dyDescent="0.25">
      <c r="B810" s="1382" t="s">
        <v>1840</v>
      </c>
      <c r="C810" s="733" t="s">
        <v>1080</v>
      </c>
      <c r="D810" s="733">
        <v>59.278575897216797</v>
      </c>
      <c r="E810" s="733">
        <v>1</v>
      </c>
    </row>
    <row r="811" spans="2:5" x14ac:dyDescent="0.25">
      <c r="B811" s="1382" t="s">
        <v>1840</v>
      </c>
      <c r="C811" s="733" t="s">
        <v>1080</v>
      </c>
      <c r="D811" s="733">
        <v>57.114990234375</v>
      </c>
      <c r="E811" s="733">
        <v>1</v>
      </c>
    </row>
    <row r="812" spans="2:5" x14ac:dyDescent="0.25">
      <c r="B812" s="1382" t="s">
        <v>1840</v>
      </c>
      <c r="C812" s="733" t="s">
        <v>1080</v>
      </c>
      <c r="D812" s="733">
        <v>52.6358642578125</v>
      </c>
      <c r="E812" s="733">
        <v>1</v>
      </c>
    </row>
    <row r="813" spans="2:5" x14ac:dyDescent="0.25">
      <c r="B813" s="1382" t="s">
        <v>1840</v>
      </c>
      <c r="C813" s="733" t="s">
        <v>1080</v>
      </c>
      <c r="D813" s="733">
        <v>56.056812286376953</v>
      </c>
      <c r="E813" s="733">
        <v>1</v>
      </c>
    </row>
    <row r="814" spans="2:5" x14ac:dyDescent="0.25">
      <c r="B814" s="1382" t="s">
        <v>1840</v>
      </c>
      <c r="C814" s="733" t="s">
        <v>1081</v>
      </c>
      <c r="D814" s="733">
        <v>70.445587158203125</v>
      </c>
      <c r="E814" s="733">
        <v>1</v>
      </c>
    </row>
    <row r="815" spans="2:5" x14ac:dyDescent="0.25">
      <c r="B815" s="1382" t="s">
        <v>1840</v>
      </c>
      <c r="C815" s="733" t="s">
        <v>1081</v>
      </c>
      <c r="D815" s="733">
        <v>56.194385528564453</v>
      </c>
      <c r="E815" s="733">
        <v>1</v>
      </c>
    </row>
    <row r="816" spans="2:5" x14ac:dyDescent="0.25">
      <c r="B816" s="1382" t="s">
        <v>1840</v>
      </c>
      <c r="C816" s="733" t="s">
        <v>1081</v>
      </c>
      <c r="D816" s="733">
        <v>75.375083923339844</v>
      </c>
      <c r="E816" s="733">
        <v>1</v>
      </c>
    </row>
    <row r="817" spans="2:5" x14ac:dyDescent="0.25">
      <c r="B817" s="1382" t="s">
        <v>1840</v>
      </c>
      <c r="C817" s="733" t="s">
        <v>1080</v>
      </c>
      <c r="D817" s="733">
        <v>49.346336364746094</v>
      </c>
      <c r="E817" s="733">
        <v>1</v>
      </c>
    </row>
    <row r="818" spans="2:5" x14ac:dyDescent="0.25">
      <c r="B818" s="1382" t="s">
        <v>1840</v>
      </c>
      <c r="C818" s="733" t="s">
        <v>1080</v>
      </c>
      <c r="D818" s="733">
        <v>67.336753845214844</v>
      </c>
      <c r="E818" s="733">
        <v>1</v>
      </c>
    </row>
    <row r="819" spans="2:5" x14ac:dyDescent="0.25">
      <c r="B819" s="1382" t="s">
        <v>1840</v>
      </c>
      <c r="C819" s="733" t="s">
        <v>1080</v>
      </c>
      <c r="D819" s="733">
        <v>75.358657836914063</v>
      </c>
      <c r="E819" s="733">
        <v>1</v>
      </c>
    </row>
    <row r="820" spans="2:5" x14ac:dyDescent="0.25">
      <c r="B820" s="1382" t="s">
        <v>1840</v>
      </c>
      <c r="C820" s="733" t="s">
        <v>1080</v>
      </c>
      <c r="D820" s="733">
        <v>74.208076477050781</v>
      </c>
      <c r="E820" s="733">
        <v>1</v>
      </c>
    </row>
    <row r="821" spans="2:5" x14ac:dyDescent="0.25">
      <c r="B821" s="1382" t="s">
        <v>1840</v>
      </c>
      <c r="C821" s="733" t="s">
        <v>1080</v>
      </c>
      <c r="D821" s="733">
        <v>59.202602386474609</v>
      </c>
      <c r="E821" s="733">
        <v>1</v>
      </c>
    </row>
    <row r="822" spans="2:5" x14ac:dyDescent="0.25">
      <c r="B822" s="1382" t="s">
        <v>1840</v>
      </c>
      <c r="C822" s="733" t="s">
        <v>1080</v>
      </c>
      <c r="D822" s="733">
        <v>73.754959106445313</v>
      </c>
      <c r="E822" s="733">
        <v>1</v>
      </c>
    </row>
    <row r="823" spans="2:5" x14ac:dyDescent="0.25">
      <c r="B823" s="1382" t="s">
        <v>1840</v>
      </c>
      <c r="C823" s="733" t="s">
        <v>1080</v>
      </c>
      <c r="D823" s="733">
        <v>67.150581359863281</v>
      </c>
      <c r="E823" s="733">
        <v>1</v>
      </c>
    </row>
    <row r="824" spans="2:5" x14ac:dyDescent="0.25">
      <c r="B824" s="1382" t="s">
        <v>1840</v>
      </c>
      <c r="C824" s="733" t="s">
        <v>1080</v>
      </c>
      <c r="D824" s="733">
        <v>65.16632080078125</v>
      </c>
      <c r="E824" s="733">
        <v>1</v>
      </c>
    </row>
    <row r="825" spans="2:5" x14ac:dyDescent="0.25">
      <c r="B825" s="1382" t="s">
        <v>1840</v>
      </c>
      <c r="C825" s="733" t="s">
        <v>1080</v>
      </c>
      <c r="D825" s="733">
        <v>49.2874755859375</v>
      </c>
      <c r="E825" s="733">
        <v>1</v>
      </c>
    </row>
    <row r="826" spans="2:5" x14ac:dyDescent="0.25">
      <c r="B826" s="1382" t="s">
        <v>1840</v>
      </c>
      <c r="C826" s="733" t="s">
        <v>1080</v>
      </c>
      <c r="D826" s="733">
        <v>65.981521606445313</v>
      </c>
      <c r="E826" s="733">
        <v>1</v>
      </c>
    </row>
    <row r="827" spans="2:5" x14ac:dyDescent="0.25">
      <c r="B827" s="1382" t="s">
        <v>1840</v>
      </c>
      <c r="C827" s="733" t="s">
        <v>1080</v>
      </c>
      <c r="D827" s="733">
        <v>49.264888763427734</v>
      </c>
      <c r="E827" s="733">
        <v>1</v>
      </c>
    </row>
    <row r="828" spans="2:5" x14ac:dyDescent="0.25">
      <c r="B828" s="1382" t="s">
        <v>1840</v>
      </c>
      <c r="C828" s="733" t="s">
        <v>1080</v>
      </c>
      <c r="D828" s="733">
        <v>64.456535339355469</v>
      </c>
      <c r="E828" s="733">
        <v>1</v>
      </c>
    </row>
    <row r="829" spans="2:5" x14ac:dyDescent="0.25">
      <c r="B829" s="1382" t="s">
        <v>1840</v>
      </c>
      <c r="C829" s="733" t="s">
        <v>1081</v>
      </c>
      <c r="D829" s="733">
        <v>85.029434204101563</v>
      </c>
      <c r="E829" s="733">
        <v>1</v>
      </c>
    </row>
    <row r="830" spans="2:5" x14ac:dyDescent="0.25">
      <c r="B830" s="1382" t="s">
        <v>1840</v>
      </c>
      <c r="C830" s="733" t="s">
        <v>1081</v>
      </c>
      <c r="D830" s="733">
        <v>71.232719421386719</v>
      </c>
      <c r="E830" s="733">
        <v>1</v>
      </c>
    </row>
    <row r="831" spans="2:5" x14ac:dyDescent="0.25">
      <c r="B831" s="1382" t="s">
        <v>1840</v>
      </c>
      <c r="C831" s="733" t="s">
        <v>1081</v>
      </c>
      <c r="D831" s="733">
        <v>56</v>
      </c>
      <c r="E831" s="733">
        <v>1</v>
      </c>
    </row>
    <row r="832" spans="2:5" x14ac:dyDescent="0.25">
      <c r="B832" s="1382" t="s">
        <v>1840</v>
      </c>
      <c r="C832" s="733" t="s">
        <v>1081</v>
      </c>
      <c r="D832" s="733">
        <v>63.101299285888672</v>
      </c>
      <c r="E832" s="733">
        <v>1</v>
      </c>
    </row>
    <row r="833" spans="2:5" x14ac:dyDescent="0.25">
      <c r="B833" s="1382" t="s">
        <v>1840</v>
      </c>
      <c r="C833" s="733" t="s">
        <v>1081</v>
      </c>
      <c r="D833" s="733">
        <v>73.334014892578125</v>
      </c>
      <c r="E833" s="733">
        <v>1</v>
      </c>
    </row>
    <row r="834" spans="2:5" x14ac:dyDescent="0.25">
      <c r="B834" s="1382" t="s">
        <v>1840</v>
      </c>
      <c r="C834" s="733" t="s">
        <v>1081</v>
      </c>
      <c r="D834" s="733">
        <v>67.208076477050781</v>
      </c>
      <c r="E834" s="733">
        <v>1</v>
      </c>
    </row>
    <row r="835" spans="2:5" x14ac:dyDescent="0.25">
      <c r="B835" s="1382" t="s">
        <v>1840</v>
      </c>
      <c r="C835" s="733" t="s">
        <v>1080</v>
      </c>
      <c r="D835" s="733">
        <v>68.580421447753906</v>
      </c>
      <c r="E835" s="733">
        <v>1</v>
      </c>
    </row>
    <row r="836" spans="2:5" x14ac:dyDescent="0.25">
      <c r="B836" s="1382" t="s">
        <v>1840</v>
      </c>
      <c r="C836" s="733" t="s">
        <v>1080</v>
      </c>
      <c r="D836" s="733">
        <v>47.167007446289063</v>
      </c>
      <c r="E836" s="733">
        <v>1</v>
      </c>
    </row>
    <row r="837" spans="2:5" x14ac:dyDescent="0.25">
      <c r="B837" s="1382" t="s">
        <v>1840</v>
      </c>
      <c r="C837" s="733" t="s">
        <v>1081</v>
      </c>
      <c r="D837" s="733">
        <v>71.557151794433594</v>
      </c>
      <c r="E837" s="733">
        <v>1</v>
      </c>
    </row>
    <row r="838" spans="2:5" x14ac:dyDescent="0.25">
      <c r="B838" s="1382" t="s">
        <v>1840</v>
      </c>
      <c r="C838" s="733" t="s">
        <v>1080</v>
      </c>
      <c r="D838" s="733">
        <v>83.758384704589844</v>
      </c>
      <c r="E838" s="733">
        <v>1</v>
      </c>
    </row>
    <row r="839" spans="2:5" x14ac:dyDescent="0.25">
      <c r="B839" s="1382" t="s">
        <v>1840</v>
      </c>
      <c r="C839" s="733" t="s">
        <v>1081</v>
      </c>
      <c r="D839" s="733">
        <v>59.361396789550781</v>
      </c>
      <c r="E839" s="733">
        <v>1</v>
      </c>
    </row>
    <row r="840" spans="2:5" x14ac:dyDescent="0.25">
      <c r="B840" s="1382" t="s">
        <v>1840</v>
      </c>
      <c r="C840" s="733" t="s">
        <v>1081</v>
      </c>
      <c r="D840" s="733">
        <v>70.019851684570313</v>
      </c>
      <c r="E840" s="733">
        <v>1</v>
      </c>
    </row>
    <row r="841" spans="2:5" x14ac:dyDescent="0.25">
      <c r="B841" s="1382" t="s">
        <v>1840</v>
      </c>
      <c r="C841" s="733" t="s">
        <v>1080</v>
      </c>
      <c r="D841" s="733">
        <v>74.501029968261719</v>
      </c>
      <c r="E841" s="733">
        <v>1</v>
      </c>
    </row>
    <row r="842" spans="2:5" x14ac:dyDescent="0.25">
      <c r="B842" s="1382" t="s">
        <v>1840</v>
      </c>
      <c r="C842" s="733" t="s">
        <v>1080</v>
      </c>
      <c r="D842" s="733">
        <v>64</v>
      </c>
      <c r="E842" s="733">
        <v>1</v>
      </c>
    </row>
    <row r="843" spans="2:5" x14ac:dyDescent="0.25">
      <c r="B843" s="1382" t="s">
        <v>1840</v>
      </c>
      <c r="C843" s="733" t="s">
        <v>1080</v>
      </c>
      <c r="D843" s="733">
        <v>67.251884460449219</v>
      </c>
      <c r="E843" s="733">
        <v>1</v>
      </c>
    </row>
    <row r="844" spans="2:5" x14ac:dyDescent="0.25">
      <c r="B844" s="1382" t="s">
        <v>1840</v>
      </c>
      <c r="C844" s="733" t="s">
        <v>1080</v>
      </c>
      <c r="D844" s="733">
        <v>47.268310546875</v>
      </c>
      <c r="E844" s="733">
        <v>1</v>
      </c>
    </row>
    <row r="845" spans="2:5" x14ac:dyDescent="0.25">
      <c r="B845" s="1382" t="s">
        <v>1840</v>
      </c>
      <c r="C845" s="733" t="s">
        <v>1080</v>
      </c>
      <c r="D845" s="733">
        <v>60.594112396240234</v>
      </c>
      <c r="E845" s="733">
        <v>1</v>
      </c>
    </row>
    <row r="846" spans="2:5" x14ac:dyDescent="0.25">
      <c r="B846" s="1382" t="s">
        <v>1840</v>
      </c>
      <c r="C846" s="733" t="s">
        <v>1080</v>
      </c>
      <c r="D846" s="733">
        <v>53.644763946533203</v>
      </c>
      <c r="E846" s="733">
        <v>1</v>
      </c>
    </row>
    <row r="847" spans="2:5" x14ac:dyDescent="0.25">
      <c r="B847" s="1382" t="s">
        <v>1840</v>
      </c>
      <c r="C847" s="733" t="s">
        <v>1080</v>
      </c>
      <c r="D847" s="733">
        <v>66.128677368164063</v>
      </c>
      <c r="E847" s="733">
        <v>1</v>
      </c>
    </row>
    <row r="848" spans="2:5" x14ac:dyDescent="0.25">
      <c r="B848" s="1382" t="s">
        <v>1840</v>
      </c>
      <c r="C848" s="733" t="s">
        <v>1080</v>
      </c>
      <c r="D848" s="733">
        <v>77.114990234375</v>
      </c>
      <c r="E848" s="733">
        <v>1</v>
      </c>
    </row>
    <row r="849" spans="2:5" x14ac:dyDescent="0.25">
      <c r="B849" s="1382" t="s">
        <v>1840</v>
      </c>
      <c r="C849" s="733" t="s">
        <v>1080</v>
      </c>
      <c r="D849" s="733">
        <v>72.2108154296875</v>
      </c>
      <c r="E849" s="733">
        <v>1</v>
      </c>
    </row>
    <row r="850" spans="2:5" x14ac:dyDescent="0.25">
      <c r="B850" s="1382" t="s">
        <v>1840</v>
      </c>
      <c r="C850" s="733" t="s">
        <v>1080</v>
      </c>
      <c r="D850" s="733">
        <v>67.385353088378906</v>
      </c>
      <c r="E850" s="733">
        <v>1</v>
      </c>
    </row>
    <row r="851" spans="2:5" x14ac:dyDescent="0.25">
      <c r="B851" s="1382" t="s">
        <v>1840</v>
      </c>
      <c r="C851" s="733" t="s">
        <v>1081</v>
      </c>
      <c r="D851" s="733">
        <v>70.954826354980469</v>
      </c>
      <c r="E851" s="733">
        <v>1</v>
      </c>
    </row>
    <row r="852" spans="2:5" x14ac:dyDescent="0.25">
      <c r="B852" s="1382" t="s">
        <v>1840</v>
      </c>
      <c r="C852" s="733" t="s">
        <v>1080</v>
      </c>
      <c r="D852" s="733">
        <v>59.167007446289063</v>
      </c>
      <c r="E852" s="733">
        <v>1</v>
      </c>
    </row>
    <row r="853" spans="2:5" x14ac:dyDescent="0.25">
      <c r="B853" s="1382" t="s">
        <v>1840</v>
      </c>
      <c r="C853" s="733" t="s">
        <v>1080</v>
      </c>
      <c r="D853" s="733">
        <v>90.262832641601563</v>
      </c>
      <c r="E853" s="733">
        <v>1</v>
      </c>
    </row>
    <row r="854" spans="2:5" x14ac:dyDescent="0.25">
      <c r="B854" s="1382" t="s">
        <v>1840</v>
      </c>
      <c r="C854" s="733" t="s">
        <v>1081</v>
      </c>
      <c r="D854" s="733">
        <v>75.531143188476563</v>
      </c>
      <c r="E854" s="733">
        <v>1</v>
      </c>
    </row>
    <row r="855" spans="2:5" x14ac:dyDescent="0.25">
      <c r="B855" s="1382" t="s">
        <v>1840</v>
      </c>
      <c r="C855" s="733" t="s">
        <v>1080</v>
      </c>
      <c r="D855" s="733">
        <v>70.1533203125</v>
      </c>
      <c r="E855" s="733">
        <v>1</v>
      </c>
    </row>
    <row r="856" spans="2:5" x14ac:dyDescent="0.25">
      <c r="B856" s="1382" t="s">
        <v>1840</v>
      </c>
      <c r="C856" s="733" t="s">
        <v>1080</v>
      </c>
      <c r="D856" s="733">
        <v>64.182754516601563</v>
      </c>
      <c r="E856" s="733">
        <v>1</v>
      </c>
    </row>
    <row r="857" spans="2:5" x14ac:dyDescent="0.25">
      <c r="B857" s="1382" t="s">
        <v>1840</v>
      </c>
      <c r="C857" s="733" t="s">
        <v>1080</v>
      </c>
      <c r="D857" s="733">
        <v>84.750167846679688</v>
      </c>
      <c r="E857" s="733">
        <v>1</v>
      </c>
    </row>
    <row r="858" spans="2:5" x14ac:dyDescent="0.25">
      <c r="B858" s="1382" t="s">
        <v>1840</v>
      </c>
      <c r="C858" s="733" t="s">
        <v>1081</v>
      </c>
      <c r="D858" s="733">
        <v>63.610542297363281</v>
      </c>
      <c r="E858" s="733">
        <v>1</v>
      </c>
    </row>
    <row r="859" spans="2:5" x14ac:dyDescent="0.25">
      <c r="B859" s="1382" t="s">
        <v>1840</v>
      </c>
      <c r="C859" s="733" t="s">
        <v>1080</v>
      </c>
      <c r="D859" s="733">
        <v>74.511978149414063</v>
      </c>
      <c r="E859" s="733">
        <v>1</v>
      </c>
    </row>
    <row r="860" spans="2:5" x14ac:dyDescent="0.25">
      <c r="B860" s="1382" t="s">
        <v>1840</v>
      </c>
      <c r="C860" s="733" t="s">
        <v>1080</v>
      </c>
      <c r="D860" s="733">
        <v>72.3258056640625</v>
      </c>
      <c r="E860" s="733">
        <v>1</v>
      </c>
    </row>
    <row r="861" spans="2:5" x14ac:dyDescent="0.25">
      <c r="B861" s="1382" t="s">
        <v>1840</v>
      </c>
      <c r="C861" s="733" t="s">
        <v>1081</v>
      </c>
      <c r="D861" s="733">
        <v>57.004108428955078</v>
      </c>
      <c r="E861" s="733">
        <v>1</v>
      </c>
    </row>
    <row r="862" spans="2:5" x14ac:dyDescent="0.25">
      <c r="B862" s="1382" t="s">
        <v>1840</v>
      </c>
      <c r="C862" s="733" t="s">
        <v>1081</v>
      </c>
      <c r="D862" s="733">
        <v>61.067760467529297</v>
      </c>
      <c r="E862" s="733">
        <v>1</v>
      </c>
    </row>
    <row r="863" spans="2:5" x14ac:dyDescent="0.25">
      <c r="B863" s="1382" t="s">
        <v>1840</v>
      </c>
      <c r="C863" s="733" t="s">
        <v>1080</v>
      </c>
      <c r="D863" s="733">
        <v>53.558521270751953</v>
      </c>
      <c r="E863" s="733">
        <v>1</v>
      </c>
    </row>
    <row r="864" spans="2:5" x14ac:dyDescent="0.25">
      <c r="B864" s="1382" t="s">
        <v>1840</v>
      </c>
      <c r="C864" s="733" t="s">
        <v>1081</v>
      </c>
      <c r="D864" s="733">
        <v>58.090347290039063</v>
      </c>
      <c r="E864" s="733">
        <v>1</v>
      </c>
    </row>
    <row r="865" spans="2:5" x14ac:dyDescent="0.25">
      <c r="B865" s="1382" t="s">
        <v>1840</v>
      </c>
      <c r="C865" s="733" t="s">
        <v>1080</v>
      </c>
      <c r="D865" s="733">
        <v>65</v>
      </c>
      <c r="E865" s="733">
        <v>1</v>
      </c>
    </row>
    <row r="866" spans="2:5" x14ac:dyDescent="0.25">
      <c r="B866" s="1382" t="s">
        <v>1840</v>
      </c>
      <c r="C866" s="733" t="s">
        <v>1080</v>
      </c>
      <c r="D866" s="733">
        <v>69.566734313964844</v>
      </c>
      <c r="E866" s="733">
        <v>1</v>
      </c>
    </row>
    <row r="867" spans="2:5" x14ac:dyDescent="0.25">
      <c r="B867" s="1382" t="s">
        <v>1840</v>
      </c>
      <c r="C867" s="733" t="s">
        <v>1080</v>
      </c>
      <c r="D867" s="733">
        <v>71.120468139648438</v>
      </c>
      <c r="E867" s="733">
        <v>1</v>
      </c>
    </row>
    <row r="868" spans="2:5" x14ac:dyDescent="0.25">
      <c r="B868" s="1382" t="s">
        <v>1840</v>
      </c>
      <c r="C868" s="733" t="s">
        <v>1080</v>
      </c>
      <c r="D868" s="733">
        <v>63.164272308349609</v>
      </c>
      <c r="E868" s="733">
        <v>1</v>
      </c>
    </row>
    <row r="869" spans="2:5" x14ac:dyDescent="0.25">
      <c r="B869" s="1382" t="s">
        <v>1840</v>
      </c>
      <c r="C869" s="733" t="s">
        <v>1080</v>
      </c>
      <c r="D869" s="733">
        <v>57.303901672363281</v>
      </c>
      <c r="E869" s="733">
        <v>1</v>
      </c>
    </row>
    <row r="870" spans="2:5" x14ac:dyDescent="0.25">
      <c r="B870" s="1382" t="s">
        <v>1840</v>
      </c>
      <c r="C870" s="733" t="s">
        <v>1080</v>
      </c>
      <c r="D870" s="733">
        <v>52.158794403076172</v>
      </c>
      <c r="E870" s="733">
        <v>1</v>
      </c>
    </row>
    <row r="871" spans="2:5" x14ac:dyDescent="0.25">
      <c r="B871" s="1382" t="s">
        <v>1840</v>
      </c>
      <c r="C871" s="733" t="s">
        <v>1081</v>
      </c>
      <c r="D871" s="733">
        <v>64.353179931640625</v>
      </c>
      <c r="E871" s="733">
        <v>1</v>
      </c>
    </row>
    <row r="872" spans="2:5" x14ac:dyDescent="0.25">
      <c r="B872" s="1382" t="s">
        <v>1840</v>
      </c>
      <c r="C872" s="733" t="s">
        <v>1080</v>
      </c>
      <c r="D872" s="733">
        <v>57.441478729248047</v>
      </c>
      <c r="E872" s="733">
        <v>1</v>
      </c>
    </row>
    <row r="873" spans="2:5" x14ac:dyDescent="0.25">
      <c r="B873" s="1382" t="s">
        <v>1840</v>
      </c>
      <c r="C873" s="733" t="s">
        <v>1081</v>
      </c>
      <c r="D873" s="733">
        <v>75.1341552734375</v>
      </c>
      <c r="E873" s="733">
        <v>1</v>
      </c>
    </row>
    <row r="874" spans="2:5" x14ac:dyDescent="0.25">
      <c r="B874" s="1382" t="s">
        <v>1840</v>
      </c>
      <c r="C874" s="733" t="s">
        <v>1080</v>
      </c>
      <c r="D874" s="733">
        <v>63.386035919189453</v>
      </c>
      <c r="E874" s="733">
        <v>1</v>
      </c>
    </row>
    <row r="875" spans="2:5" x14ac:dyDescent="0.25">
      <c r="B875" s="1382" t="s">
        <v>1840</v>
      </c>
      <c r="C875" s="733" t="s">
        <v>1080</v>
      </c>
      <c r="D875" s="733">
        <v>53.0191650390625</v>
      </c>
      <c r="E875" s="733">
        <v>1</v>
      </c>
    </row>
    <row r="876" spans="2:5" x14ac:dyDescent="0.25">
      <c r="B876" s="1382" t="s">
        <v>1840</v>
      </c>
      <c r="C876" s="733" t="s">
        <v>1080</v>
      </c>
      <c r="D876" s="733">
        <v>58.164272308349609</v>
      </c>
      <c r="E876" s="733">
        <v>1</v>
      </c>
    </row>
    <row r="877" spans="2:5" x14ac:dyDescent="0.25">
      <c r="B877" s="1382" t="s">
        <v>1840</v>
      </c>
      <c r="C877" s="733" t="s">
        <v>1080</v>
      </c>
      <c r="D877" s="733">
        <v>40.399726867675781</v>
      </c>
      <c r="E877" s="733">
        <v>1</v>
      </c>
    </row>
    <row r="878" spans="2:5" x14ac:dyDescent="0.25">
      <c r="B878" s="1382" t="s">
        <v>1840</v>
      </c>
      <c r="C878" s="733" t="s">
        <v>1080</v>
      </c>
      <c r="D878" s="733">
        <v>70.213554382324219</v>
      </c>
      <c r="E878" s="733">
        <v>1</v>
      </c>
    </row>
    <row r="879" spans="2:5" x14ac:dyDescent="0.25">
      <c r="B879" s="1382" t="s">
        <v>1840</v>
      </c>
      <c r="C879" s="733" t="s">
        <v>1080</v>
      </c>
      <c r="D879" s="733">
        <v>77</v>
      </c>
      <c r="E879" s="733">
        <v>1</v>
      </c>
    </row>
    <row r="880" spans="2:5" x14ac:dyDescent="0.25">
      <c r="B880" s="1382" t="s">
        <v>1840</v>
      </c>
      <c r="C880" s="733" t="s">
        <v>1080</v>
      </c>
      <c r="D880" s="733">
        <v>57.262832641601563</v>
      </c>
      <c r="E880" s="733">
        <v>1</v>
      </c>
    </row>
    <row r="881" spans="2:5" x14ac:dyDescent="0.25">
      <c r="B881" s="1382" t="s">
        <v>1840</v>
      </c>
      <c r="C881" s="733" t="s">
        <v>1081</v>
      </c>
      <c r="D881" s="733">
        <v>41.197124481201172</v>
      </c>
      <c r="E881" s="733">
        <v>1</v>
      </c>
    </row>
    <row r="882" spans="2:5" x14ac:dyDescent="0.25">
      <c r="B882" s="1382" t="s">
        <v>1840</v>
      </c>
      <c r="C882" s="733" t="s">
        <v>1081</v>
      </c>
      <c r="D882" s="733">
        <v>74.334014892578125</v>
      </c>
      <c r="E882" s="733">
        <v>1</v>
      </c>
    </row>
    <row r="883" spans="2:5" x14ac:dyDescent="0.25">
      <c r="B883" s="1382" t="s">
        <v>1840</v>
      </c>
      <c r="C883" s="733" t="s">
        <v>1080</v>
      </c>
      <c r="D883" s="733">
        <v>59.114990234375</v>
      </c>
      <c r="E883" s="733">
        <v>1</v>
      </c>
    </row>
    <row r="884" spans="2:5" x14ac:dyDescent="0.25">
      <c r="B884" s="1382" t="s">
        <v>1840</v>
      </c>
      <c r="C884" s="733" t="s">
        <v>1081</v>
      </c>
      <c r="D884" s="733">
        <v>29.164270401000977</v>
      </c>
      <c r="E884" s="733">
        <v>1</v>
      </c>
    </row>
    <row r="885" spans="2:5" x14ac:dyDescent="0.25">
      <c r="B885" s="1382" t="s">
        <v>1840</v>
      </c>
      <c r="C885" s="733" t="s">
        <v>1080</v>
      </c>
      <c r="D885" s="733">
        <v>72.145103454589844</v>
      </c>
      <c r="E885" s="733">
        <v>1</v>
      </c>
    </row>
    <row r="886" spans="2:5" x14ac:dyDescent="0.25">
      <c r="B886" s="1382" t="s">
        <v>1840</v>
      </c>
      <c r="C886" s="733" t="s">
        <v>1080</v>
      </c>
      <c r="D886" s="733">
        <v>52.1341552734375</v>
      </c>
      <c r="E886" s="733">
        <v>1</v>
      </c>
    </row>
    <row r="887" spans="2:5" x14ac:dyDescent="0.25">
      <c r="B887" s="1382" t="s">
        <v>1840</v>
      </c>
      <c r="C887" s="733" t="s">
        <v>1080</v>
      </c>
      <c r="D887" s="733">
        <v>74.294319152832031</v>
      </c>
      <c r="E887" s="733">
        <v>1</v>
      </c>
    </row>
    <row r="888" spans="2:5" x14ac:dyDescent="0.25">
      <c r="B888" s="1382" t="s">
        <v>1840</v>
      </c>
      <c r="C888" s="733" t="s">
        <v>1081</v>
      </c>
      <c r="D888" s="733">
        <v>69.2491455078125</v>
      </c>
      <c r="E888" s="733">
        <v>1</v>
      </c>
    </row>
    <row r="889" spans="2:5" x14ac:dyDescent="0.25">
      <c r="B889" s="1382" t="s">
        <v>1840</v>
      </c>
      <c r="C889" s="733" t="s">
        <v>1080</v>
      </c>
      <c r="D889" s="733">
        <v>74.175224304199219</v>
      </c>
      <c r="E889" s="733">
        <v>1</v>
      </c>
    </row>
    <row r="890" spans="2:5" x14ac:dyDescent="0.25">
      <c r="B890" s="1382" t="s">
        <v>1840</v>
      </c>
      <c r="C890" s="733" t="s">
        <v>1080</v>
      </c>
      <c r="D890" s="733">
        <v>66.180694580078125</v>
      </c>
      <c r="E890" s="733">
        <v>1</v>
      </c>
    </row>
    <row r="891" spans="2:5" x14ac:dyDescent="0.25">
      <c r="B891" s="1382" t="s">
        <v>1840</v>
      </c>
      <c r="C891" s="733" t="s">
        <v>1080</v>
      </c>
      <c r="D891" s="733">
        <v>68.240928649902344</v>
      </c>
      <c r="E891" s="733">
        <v>1</v>
      </c>
    </row>
    <row r="892" spans="2:5" x14ac:dyDescent="0.25">
      <c r="B892" s="1382" t="s">
        <v>1840</v>
      </c>
      <c r="C892" s="733" t="s">
        <v>1080</v>
      </c>
      <c r="D892" s="733">
        <v>71.265571594238281</v>
      </c>
      <c r="E892" s="733">
        <v>1</v>
      </c>
    </row>
    <row r="893" spans="2:5" x14ac:dyDescent="0.25">
      <c r="B893" s="1382" t="s">
        <v>1840</v>
      </c>
      <c r="C893" s="733" t="s">
        <v>1080</v>
      </c>
      <c r="D893" s="733">
        <v>86.963722229003906</v>
      </c>
      <c r="E893" s="733">
        <v>1</v>
      </c>
    </row>
    <row r="894" spans="2:5" x14ac:dyDescent="0.25">
      <c r="B894" s="1382" t="s">
        <v>1840</v>
      </c>
      <c r="C894" s="733" t="s">
        <v>1080</v>
      </c>
      <c r="D894" s="733">
        <v>64.106773376464844</v>
      </c>
      <c r="E894" s="733">
        <v>1</v>
      </c>
    </row>
    <row r="895" spans="2:5" x14ac:dyDescent="0.25">
      <c r="B895" s="1382" t="s">
        <v>1840</v>
      </c>
      <c r="C895" s="733" t="s">
        <v>1081</v>
      </c>
      <c r="D895" s="733">
        <v>55.117729187011719</v>
      </c>
      <c r="E895" s="733">
        <v>1</v>
      </c>
    </row>
    <row r="896" spans="2:5" x14ac:dyDescent="0.25">
      <c r="B896" s="1382" t="s">
        <v>1840</v>
      </c>
      <c r="C896" s="733" t="s">
        <v>1081</v>
      </c>
      <c r="D896" s="733">
        <v>57.073921203613281</v>
      </c>
      <c r="E896" s="733">
        <v>1</v>
      </c>
    </row>
    <row r="897" spans="2:5" x14ac:dyDescent="0.25">
      <c r="B897" s="1382" t="s">
        <v>1840</v>
      </c>
      <c r="C897" s="733" t="s">
        <v>1080</v>
      </c>
      <c r="D897" s="733">
        <v>77.194389343261719</v>
      </c>
      <c r="E897" s="733">
        <v>1</v>
      </c>
    </row>
    <row r="898" spans="2:5" x14ac:dyDescent="0.25">
      <c r="B898" s="1382" t="s">
        <v>1840</v>
      </c>
      <c r="C898" s="733" t="s">
        <v>1081</v>
      </c>
      <c r="D898" s="733">
        <v>70.212867736816406</v>
      </c>
      <c r="E898" s="733">
        <v>1</v>
      </c>
    </row>
    <row r="899" spans="2:5" x14ac:dyDescent="0.25">
      <c r="B899" s="1382" t="s">
        <v>1840</v>
      </c>
      <c r="C899" s="733" t="s">
        <v>1080</v>
      </c>
      <c r="D899" s="733">
        <v>74.093086242675781</v>
      </c>
      <c r="E899" s="733">
        <v>1</v>
      </c>
    </row>
    <row r="900" spans="2:5" x14ac:dyDescent="0.25">
      <c r="B900" s="1382" t="s">
        <v>1840</v>
      </c>
      <c r="C900" s="733" t="s">
        <v>1080</v>
      </c>
      <c r="D900" s="733">
        <v>52.561260223388672</v>
      </c>
      <c r="E900" s="733">
        <v>1</v>
      </c>
    </row>
    <row r="901" spans="2:5" x14ac:dyDescent="0.25">
      <c r="B901" s="1382" t="s">
        <v>1840</v>
      </c>
      <c r="C901" s="733" t="s">
        <v>1080</v>
      </c>
      <c r="D901" s="733">
        <v>86.271728515625</v>
      </c>
      <c r="E901" s="733">
        <v>1</v>
      </c>
    </row>
    <row r="902" spans="2:5" x14ac:dyDescent="0.25">
      <c r="B902" s="1382" t="s">
        <v>1840</v>
      </c>
      <c r="C902" s="733" t="s">
        <v>1080</v>
      </c>
      <c r="D902" s="733">
        <v>47.027378082275391</v>
      </c>
      <c r="E902" s="733">
        <v>1</v>
      </c>
    </row>
    <row r="903" spans="2:5" x14ac:dyDescent="0.25">
      <c r="B903" s="1382" t="s">
        <v>1840</v>
      </c>
      <c r="C903" s="733" t="s">
        <v>1080</v>
      </c>
      <c r="D903" s="733">
        <v>46.919918060302734</v>
      </c>
      <c r="E903" s="733">
        <v>1</v>
      </c>
    </row>
    <row r="904" spans="2:5" x14ac:dyDescent="0.25">
      <c r="B904" s="1382" t="s">
        <v>1840</v>
      </c>
      <c r="C904" s="733" t="s">
        <v>1081</v>
      </c>
      <c r="D904" s="733">
        <v>70.320327758789063</v>
      </c>
      <c r="E904" s="733">
        <v>1</v>
      </c>
    </row>
    <row r="905" spans="2:5" x14ac:dyDescent="0.25">
      <c r="B905" s="1382" t="s">
        <v>1840</v>
      </c>
      <c r="C905" s="733" t="s">
        <v>1080</v>
      </c>
      <c r="D905" s="733">
        <v>65.278579711914063</v>
      </c>
      <c r="E905" s="733">
        <v>1</v>
      </c>
    </row>
    <row r="906" spans="2:5" x14ac:dyDescent="0.25">
      <c r="B906" s="1382" t="s">
        <v>1840</v>
      </c>
      <c r="C906" s="733" t="s">
        <v>1080</v>
      </c>
      <c r="D906" s="733">
        <v>64.317588806152344</v>
      </c>
      <c r="E906" s="733">
        <v>1</v>
      </c>
    </row>
    <row r="907" spans="2:5" x14ac:dyDescent="0.25">
      <c r="B907" s="1382" t="s">
        <v>1840</v>
      </c>
      <c r="C907" s="733" t="s">
        <v>1080</v>
      </c>
      <c r="D907" s="733">
        <v>63.120464324951172</v>
      </c>
      <c r="E907" s="733">
        <v>1</v>
      </c>
    </row>
    <row r="908" spans="2:5" x14ac:dyDescent="0.25">
      <c r="B908" s="1382" t="s">
        <v>1840</v>
      </c>
      <c r="C908" s="733" t="s">
        <v>1080</v>
      </c>
      <c r="D908" s="733">
        <v>63.254619598388672</v>
      </c>
      <c r="E908" s="733">
        <v>1</v>
      </c>
    </row>
    <row r="909" spans="2:5" x14ac:dyDescent="0.25">
      <c r="B909" s="1382" t="s">
        <v>1840</v>
      </c>
      <c r="C909" s="733" t="s">
        <v>1081</v>
      </c>
      <c r="D909" s="733">
        <v>60.1724853515625</v>
      </c>
      <c r="E909" s="733">
        <v>1</v>
      </c>
    </row>
    <row r="910" spans="2:5" x14ac:dyDescent="0.25">
      <c r="B910" s="1382" t="s">
        <v>1840</v>
      </c>
      <c r="C910" s="733" t="s">
        <v>1080</v>
      </c>
      <c r="D910" s="733">
        <v>59.07666015625</v>
      </c>
      <c r="E910" s="733">
        <v>1</v>
      </c>
    </row>
    <row r="911" spans="2:5" x14ac:dyDescent="0.25">
      <c r="B911" s="1382" t="s">
        <v>1840</v>
      </c>
      <c r="C911" s="733" t="s">
        <v>1080</v>
      </c>
      <c r="D911" s="733">
        <v>68.1341552734375</v>
      </c>
      <c r="E911" s="733">
        <v>1</v>
      </c>
    </row>
    <row r="912" spans="2:5" x14ac:dyDescent="0.25">
      <c r="B912" s="1382" t="s">
        <v>1840</v>
      </c>
      <c r="C912" s="733" t="s">
        <v>1080</v>
      </c>
      <c r="D912" s="733">
        <v>75.939079284667969</v>
      </c>
      <c r="E912" s="733">
        <v>1</v>
      </c>
    </row>
    <row r="913" spans="2:5" x14ac:dyDescent="0.25">
      <c r="B913" s="1382" t="s">
        <v>1840</v>
      </c>
      <c r="C913" s="733" t="s">
        <v>1080</v>
      </c>
      <c r="D913" s="733">
        <v>70.082138061523438</v>
      </c>
      <c r="E913" s="733">
        <v>1</v>
      </c>
    </row>
    <row r="914" spans="2:5" x14ac:dyDescent="0.25">
      <c r="B914" s="1382" t="s">
        <v>1840</v>
      </c>
      <c r="C914" s="733" t="s">
        <v>1080</v>
      </c>
      <c r="D914" s="733">
        <v>68.692672729492188</v>
      </c>
      <c r="E914" s="733">
        <v>1</v>
      </c>
    </row>
    <row r="915" spans="2:5" x14ac:dyDescent="0.25">
      <c r="B915" s="1382" t="s">
        <v>1840</v>
      </c>
      <c r="C915" s="733" t="s">
        <v>1080</v>
      </c>
      <c r="D915" s="733">
        <v>62.754276275634766</v>
      </c>
      <c r="E915" s="733">
        <v>1</v>
      </c>
    </row>
    <row r="916" spans="2:5" x14ac:dyDescent="0.25">
      <c r="B916" s="1382" t="s">
        <v>1840</v>
      </c>
      <c r="C916" s="733" t="s">
        <v>1080</v>
      </c>
      <c r="D916" s="733">
        <v>64</v>
      </c>
      <c r="E916" s="733">
        <v>1</v>
      </c>
    </row>
    <row r="917" spans="2:5" x14ac:dyDescent="0.25">
      <c r="B917" s="1382" t="s">
        <v>1840</v>
      </c>
      <c r="C917" s="733" t="s">
        <v>1080</v>
      </c>
      <c r="D917" s="733">
        <v>65.197128295898438</v>
      </c>
      <c r="E917" s="733">
        <v>1</v>
      </c>
    </row>
    <row r="918" spans="2:5" x14ac:dyDescent="0.25">
      <c r="B918" s="1382" t="s">
        <v>1840</v>
      </c>
      <c r="C918" s="733" t="s">
        <v>1080</v>
      </c>
      <c r="D918" s="733">
        <v>73.309379577636719</v>
      </c>
      <c r="E918" s="733">
        <v>1</v>
      </c>
    </row>
    <row r="919" spans="2:5" x14ac:dyDescent="0.25">
      <c r="B919" s="1382" t="s">
        <v>1840</v>
      </c>
      <c r="C919" s="733" t="s">
        <v>1080</v>
      </c>
      <c r="D919" s="733">
        <v>68.801506042480469</v>
      </c>
      <c r="E919" s="733">
        <v>1</v>
      </c>
    </row>
    <row r="920" spans="2:5" x14ac:dyDescent="0.25">
      <c r="B920" s="1382" t="s">
        <v>1840</v>
      </c>
      <c r="C920" s="733" t="s">
        <v>1080</v>
      </c>
      <c r="D920" s="733">
        <v>67.164268493652344</v>
      </c>
      <c r="E920" s="733">
        <v>1</v>
      </c>
    </row>
    <row r="921" spans="2:5" x14ac:dyDescent="0.25">
      <c r="B921" s="1382" t="s">
        <v>1840</v>
      </c>
      <c r="C921" s="733" t="s">
        <v>1080</v>
      </c>
      <c r="D921" s="733">
        <v>68.101303100585938</v>
      </c>
      <c r="E921" s="733">
        <v>1</v>
      </c>
    </row>
    <row r="922" spans="2:5" x14ac:dyDescent="0.25">
      <c r="B922" s="1382" t="s">
        <v>1840</v>
      </c>
      <c r="C922" s="733" t="s">
        <v>1081</v>
      </c>
      <c r="D922" s="733">
        <v>66</v>
      </c>
      <c r="E922" s="733">
        <v>1</v>
      </c>
    </row>
    <row r="923" spans="2:5" x14ac:dyDescent="0.25">
      <c r="B923" s="1382" t="s">
        <v>1840</v>
      </c>
      <c r="C923" s="733" t="s">
        <v>1080</v>
      </c>
      <c r="D923" s="733">
        <v>81.237510681152344</v>
      </c>
      <c r="E923" s="733">
        <v>1</v>
      </c>
    </row>
    <row r="924" spans="2:5" x14ac:dyDescent="0.25">
      <c r="B924" s="1382" t="s">
        <v>1840</v>
      </c>
      <c r="C924" s="733" t="s">
        <v>1080</v>
      </c>
      <c r="D924" s="733">
        <v>61.353183746337891</v>
      </c>
      <c r="E924" s="733">
        <v>1</v>
      </c>
    </row>
    <row r="925" spans="2:5" x14ac:dyDescent="0.25">
      <c r="B925" s="1382" t="s">
        <v>1840</v>
      </c>
      <c r="C925" s="733" t="s">
        <v>1081</v>
      </c>
      <c r="D925" s="733">
        <v>55.125942230224609</v>
      </c>
      <c r="E925" s="733">
        <v>1</v>
      </c>
    </row>
    <row r="926" spans="2:5" x14ac:dyDescent="0.25">
      <c r="B926" s="1382" t="s">
        <v>1840</v>
      </c>
      <c r="C926" s="733" t="s">
        <v>1080</v>
      </c>
      <c r="D926" s="733">
        <v>58</v>
      </c>
      <c r="E926" s="733">
        <v>1</v>
      </c>
    </row>
    <row r="927" spans="2:5" x14ac:dyDescent="0.25">
      <c r="B927" s="1382" t="s">
        <v>1840</v>
      </c>
      <c r="C927" s="733" t="s">
        <v>1080</v>
      </c>
      <c r="D927" s="733">
        <v>55.041069030761719</v>
      </c>
      <c r="E927" s="733">
        <v>1</v>
      </c>
    </row>
    <row r="928" spans="2:5" x14ac:dyDescent="0.25">
      <c r="B928" s="1382" t="s">
        <v>1840</v>
      </c>
      <c r="C928" s="733" t="s">
        <v>1080</v>
      </c>
      <c r="D928" s="733">
        <v>57.342231750488281</v>
      </c>
      <c r="E928" s="733">
        <v>1</v>
      </c>
    </row>
    <row r="929" spans="2:5" x14ac:dyDescent="0.25">
      <c r="B929" s="1382" t="s">
        <v>1840</v>
      </c>
      <c r="C929" s="733" t="s">
        <v>1080</v>
      </c>
      <c r="D929" s="733">
        <v>54.416152954101563</v>
      </c>
      <c r="E929" s="733">
        <v>1</v>
      </c>
    </row>
    <row r="930" spans="2:5" x14ac:dyDescent="0.25">
      <c r="B930" s="1382" t="s">
        <v>1840</v>
      </c>
      <c r="C930" s="733" t="s">
        <v>1080</v>
      </c>
      <c r="D930" s="733">
        <v>60</v>
      </c>
      <c r="E930" s="733">
        <v>1</v>
      </c>
    </row>
    <row r="931" spans="2:5" x14ac:dyDescent="0.25">
      <c r="B931" s="1382" t="s">
        <v>1840</v>
      </c>
      <c r="C931" s="733" t="s">
        <v>1080</v>
      </c>
      <c r="D931" s="733">
        <v>55.046543121337891</v>
      </c>
      <c r="E931" s="733">
        <v>1</v>
      </c>
    </row>
    <row r="932" spans="2:5" x14ac:dyDescent="0.25">
      <c r="B932" s="1382" t="s">
        <v>1840</v>
      </c>
      <c r="C932" s="733" t="s">
        <v>1080</v>
      </c>
      <c r="D932" s="733">
        <v>49.1341552734375</v>
      </c>
      <c r="E932" s="733">
        <v>1</v>
      </c>
    </row>
    <row r="933" spans="2:5" x14ac:dyDescent="0.25">
      <c r="B933" s="1382" t="s">
        <v>1840</v>
      </c>
      <c r="C933" s="733" t="s">
        <v>1080</v>
      </c>
      <c r="D933" s="733">
        <v>74.692672729492188</v>
      </c>
      <c r="E933" s="733">
        <v>1</v>
      </c>
    </row>
    <row r="934" spans="2:5" x14ac:dyDescent="0.25">
      <c r="B934" s="1382" t="s">
        <v>1840</v>
      </c>
      <c r="C934" s="733" t="s">
        <v>1080</v>
      </c>
      <c r="D934" s="733">
        <v>53.104038238525391</v>
      </c>
      <c r="E934" s="733">
        <v>1</v>
      </c>
    </row>
    <row r="935" spans="2:5" x14ac:dyDescent="0.25">
      <c r="B935" s="1382" t="s">
        <v>1840</v>
      </c>
      <c r="C935" s="733" t="s">
        <v>1080</v>
      </c>
      <c r="D935" s="733">
        <v>47.396987915039063</v>
      </c>
      <c r="E935" s="733">
        <v>1</v>
      </c>
    </row>
    <row r="936" spans="2:5" x14ac:dyDescent="0.25">
      <c r="B936" s="1382" t="s">
        <v>1840</v>
      </c>
      <c r="C936" s="733" t="s">
        <v>1080</v>
      </c>
      <c r="D936" s="733">
        <v>53.180698394775391</v>
      </c>
      <c r="E936" s="733">
        <v>1</v>
      </c>
    </row>
    <row r="937" spans="2:5" x14ac:dyDescent="0.25">
      <c r="B937" s="1382" t="s">
        <v>1840</v>
      </c>
      <c r="C937" s="733" t="s">
        <v>1080</v>
      </c>
      <c r="D937" s="733">
        <v>52.673511505126953</v>
      </c>
      <c r="E937" s="733">
        <v>1</v>
      </c>
    </row>
    <row r="938" spans="2:5" x14ac:dyDescent="0.25">
      <c r="B938" s="1382" t="s">
        <v>1840</v>
      </c>
      <c r="C938" s="733" t="s">
        <v>1080</v>
      </c>
      <c r="D938" s="733">
        <v>42.038330078125</v>
      </c>
      <c r="E938" s="733">
        <v>1</v>
      </c>
    </row>
    <row r="939" spans="2:5" x14ac:dyDescent="0.25">
      <c r="B939" s="1382" t="s">
        <v>1840</v>
      </c>
      <c r="C939" s="733" t="s">
        <v>1081</v>
      </c>
      <c r="D939" s="733">
        <v>53.065708160400391</v>
      </c>
      <c r="E939" s="733">
        <v>1</v>
      </c>
    </row>
    <row r="940" spans="2:5" x14ac:dyDescent="0.25">
      <c r="B940" s="1382" t="s">
        <v>1840</v>
      </c>
      <c r="C940" s="733" t="s">
        <v>1081</v>
      </c>
      <c r="D940" s="733">
        <v>60.079399108886719</v>
      </c>
      <c r="E940" s="733">
        <v>1</v>
      </c>
    </row>
    <row r="941" spans="2:5" x14ac:dyDescent="0.25">
      <c r="B941" s="1382" t="s">
        <v>1840</v>
      </c>
      <c r="C941" s="733" t="s">
        <v>1081</v>
      </c>
      <c r="D941" s="733">
        <v>81.298423767089844</v>
      </c>
      <c r="E941" s="733">
        <v>1</v>
      </c>
    </row>
    <row r="942" spans="2:5" x14ac:dyDescent="0.25">
      <c r="B942" s="1382" t="s">
        <v>1840</v>
      </c>
      <c r="C942" s="733" t="s">
        <v>1080</v>
      </c>
      <c r="D942" s="733">
        <v>73</v>
      </c>
      <c r="E942" s="733">
        <v>1</v>
      </c>
    </row>
    <row r="943" spans="2:5" x14ac:dyDescent="0.25">
      <c r="B943" s="1382" t="s">
        <v>1840</v>
      </c>
      <c r="C943" s="733" t="s">
        <v>1080</v>
      </c>
      <c r="D943" s="733">
        <v>82.065711975097656</v>
      </c>
      <c r="E943" s="733">
        <v>1</v>
      </c>
    </row>
    <row r="944" spans="2:5" x14ac:dyDescent="0.25">
      <c r="B944" s="1382" t="s">
        <v>1840</v>
      </c>
      <c r="C944" s="733" t="s">
        <v>1080</v>
      </c>
      <c r="D944" s="733">
        <v>75.243667602539063</v>
      </c>
      <c r="E944" s="733">
        <v>1</v>
      </c>
    </row>
    <row r="945" spans="2:5" x14ac:dyDescent="0.25">
      <c r="B945" s="1382" t="s">
        <v>1840</v>
      </c>
      <c r="C945" s="733" t="s">
        <v>1080</v>
      </c>
      <c r="D945" s="733">
        <v>70.117729187011719</v>
      </c>
      <c r="E945" s="733">
        <v>1</v>
      </c>
    </row>
    <row r="946" spans="2:5" x14ac:dyDescent="0.25">
      <c r="B946" s="1382" t="s">
        <v>1840</v>
      </c>
      <c r="C946" s="733" t="s">
        <v>1080</v>
      </c>
      <c r="D946" s="733">
        <v>73</v>
      </c>
      <c r="E946" s="733">
        <v>1</v>
      </c>
    </row>
    <row r="947" spans="2:5" x14ac:dyDescent="0.25">
      <c r="B947" s="1382" t="s">
        <v>1840</v>
      </c>
      <c r="C947" s="733" t="s">
        <v>1081</v>
      </c>
      <c r="D947" s="733">
        <v>62.292949676513672</v>
      </c>
      <c r="E947" s="733">
        <v>1</v>
      </c>
    </row>
    <row r="948" spans="2:5" x14ac:dyDescent="0.25">
      <c r="B948" s="1382" t="s">
        <v>1840</v>
      </c>
      <c r="C948" s="733" t="s">
        <v>1080</v>
      </c>
      <c r="D948" s="733">
        <v>51.922657012939453</v>
      </c>
      <c r="E948" s="733">
        <v>1</v>
      </c>
    </row>
    <row r="949" spans="2:5" x14ac:dyDescent="0.25">
      <c r="B949" s="1382" t="s">
        <v>1840</v>
      </c>
      <c r="C949" s="733" t="s">
        <v>1080</v>
      </c>
      <c r="D949" s="733">
        <v>80.093086242675781</v>
      </c>
      <c r="E949" s="733">
        <v>1</v>
      </c>
    </row>
    <row r="950" spans="2:5" x14ac:dyDescent="0.25">
      <c r="B950" s="1382" t="s">
        <v>1840</v>
      </c>
      <c r="C950" s="733" t="s">
        <v>1080</v>
      </c>
      <c r="D950" s="733">
        <v>76.046546936035156</v>
      </c>
      <c r="E950" s="733">
        <v>1</v>
      </c>
    </row>
    <row r="951" spans="2:5" x14ac:dyDescent="0.25">
      <c r="B951" s="1382" t="s">
        <v>1840</v>
      </c>
      <c r="C951" s="733" t="s">
        <v>1081</v>
      </c>
      <c r="D951" s="733">
        <v>76.0191650390625</v>
      </c>
      <c r="E951" s="733">
        <v>1</v>
      </c>
    </row>
    <row r="952" spans="2:5" x14ac:dyDescent="0.25">
      <c r="B952" s="1382" t="s">
        <v>1840</v>
      </c>
      <c r="C952" s="733" t="s">
        <v>1080</v>
      </c>
      <c r="D952" s="733">
        <v>73.082138061523438</v>
      </c>
      <c r="E952" s="733">
        <v>1</v>
      </c>
    </row>
    <row r="953" spans="2:5" x14ac:dyDescent="0.25">
      <c r="B953" s="1382" t="s">
        <v>1840</v>
      </c>
      <c r="C953" s="733" t="s">
        <v>1080</v>
      </c>
      <c r="D953" s="733">
        <v>73.021903991699219</v>
      </c>
      <c r="E953" s="733">
        <v>1</v>
      </c>
    </row>
    <row r="954" spans="2:5" x14ac:dyDescent="0.25">
      <c r="B954" s="1382" t="s">
        <v>1840</v>
      </c>
      <c r="C954" s="733" t="s">
        <v>1081</v>
      </c>
      <c r="D954" s="733">
        <v>78.232719421386719</v>
      </c>
      <c r="E954" s="733">
        <v>1</v>
      </c>
    </row>
    <row r="955" spans="2:5" x14ac:dyDescent="0.25">
      <c r="B955" s="1382" t="s">
        <v>1840</v>
      </c>
      <c r="C955" s="733" t="s">
        <v>1080</v>
      </c>
      <c r="D955" s="733">
        <v>73.698150634765625</v>
      </c>
      <c r="E955" s="733">
        <v>1</v>
      </c>
    </row>
    <row r="956" spans="2:5" x14ac:dyDescent="0.25">
      <c r="B956" s="1382" t="s">
        <v>1840</v>
      </c>
      <c r="C956" s="733" t="s">
        <v>1081</v>
      </c>
      <c r="D956" s="733">
        <v>73.052017211914063</v>
      </c>
      <c r="E956" s="733">
        <v>1</v>
      </c>
    </row>
    <row r="957" spans="2:5" x14ac:dyDescent="0.25">
      <c r="B957" s="1382" t="s">
        <v>1840</v>
      </c>
      <c r="C957" s="733" t="s">
        <v>1080</v>
      </c>
      <c r="D957" s="733">
        <v>75.228607177734375</v>
      </c>
      <c r="E957" s="733">
        <v>1</v>
      </c>
    </row>
    <row r="958" spans="2:5" x14ac:dyDescent="0.25">
      <c r="B958" s="1382" t="s">
        <v>1840</v>
      </c>
      <c r="C958" s="733" t="s">
        <v>1081</v>
      </c>
      <c r="D958" s="733">
        <v>74.5557861328125</v>
      </c>
      <c r="E958" s="733">
        <v>1</v>
      </c>
    </row>
    <row r="959" spans="2:5" x14ac:dyDescent="0.25">
      <c r="B959" s="1382" t="s">
        <v>1840</v>
      </c>
      <c r="C959" s="733" t="s">
        <v>1080</v>
      </c>
      <c r="D959" s="733">
        <v>69.101303100585938</v>
      </c>
      <c r="E959" s="733">
        <v>1</v>
      </c>
    </row>
    <row r="960" spans="2:5" x14ac:dyDescent="0.25">
      <c r="B960" s="1382" t="s">
        <v>1840</v>
      </c>
      <c r="C960" s="733" t="s">
        <v>1081</v>
      </c>
      <c r="D960" s="733">
        <v>78.160163879394531</v>
      </c>
      <c r="E960" s="733">
        <v>1</v>
      </c>
    </row>
    <row r="961" spans="2:5" x14ac:dyDescent="0.25">
      <c r="B961" s="1382" t="s">
        <v>1840</v>
      </c>
      <c r="C961" s="733" t="s">
        <v>1080</v>
      </c>
      <c r="D961" s="733">
        <v>69.07666015625</v>
      </c>
      <c r="E961" s="733">
        <v>1</v>
      </c>
    </row>
    <row r="962" spans="2:5" x14ac:dyDescent="0.25">
      <c r="B962" s="1382" t="s">
        <v>1840</v>
      </c>
      <c r="C962" s="733" t="s">
        <v>1081</v>
      </c>
      <c r="D962" s="733">
        <v>71.062973022460938</v>
      </c>
      <c r="E962" s="733">
        <v>1</v>
      </c>
    </row>
    <row r="963" spans="2:5" x14ac:dyDescent="0.25">
      <c r="B963" s="1382" t="s">
        <v>1840</v>
      </c>
      <c r="C963" s="733" t="s">
        <v>1080</v>
      </c>
      <c r="D963" s="733">
        <v>74.188911437988281</v>
      </c>
      <c r="E963" s="733">
        <v>1</v>
      </c>
    </row>
    <row r="964" spans="2:5" x14ac:dyDescent="0.25">
      <c r="B964" s="1382" t="s">
        <v>1840</v>
      </c>
      <c r="C964" s="733" t="s">
        <v>1081</v>
      </c>
      <c r="D964" s="733">
        <v>74.186172485351563</v>
      </c>
      <c r="E964" s="733">
        <v>1</v>
      </c>
    </row>
    <row r="965" spans="2:5" x14ac:dyDescent="0.25">
      <c r="B965" s="1382" t="s">
        <v>1840</v>
      </c>
      <c r="C965" s="733" t="s">
        <v>1081</v>
      </c>
      <c r="D965" s="733">
        <v>83.428474426269531</v>
      </c>
      <c r="E965" s="733">
        <v>1</v>
      </c>
    </row>
    <row r="966" spans="2:5" x14ac:dyDescent="0.25">
      <c r="B966" s="1382" t="s">
        <v>1840</v>
      </c>
      <c r="C966" s="733" t="s">
        <v>1080</v>
      </c>
      <c r="D966" s="733">
        <v>60.557151794433594</v>
      </c>
      <c r="E966" s="733">
        <v>1</v>
      </c>
    </row>
    <row r="967" spans="2:5" x14ac:dyDescent="0.25">
      <c r="B967" s="1382" t="s">
        <v>1840</v>
      </c>
      <c r="C967" s="733" t="s">
        <v>1080</v>
      </c>
      <c r="D967" s="733">
        <v>64.194389343261719</v>
      </c>
      <c r="E967" s="733">
        <v>1</v>
      </c>
    </row>
    <row r="968" spans="2:5" x14ac:dyDescent="0.25">
      <c r="B968" s="1382" t="s">
        <v>1840</v>
      </c>
      <c r="C968" s="733" t="s">
        <v>1080</v>
      </c>
      <c r="D968" s="733">
        <v>72.342231750488281</v>
      </c>
      <c r="E968" s="733">
        <v>1</v>
      </c>
    </row>
    <row r="969" spans="2:5" x14ac:dyDescent="0.25">
      <c r="B969" s="1382" t="s">
        <v>1840</v>
      </c>
      <c r="C969" s="733" t="s">
        <v>1081</v>
      </c>
      <c r="D969" s="733">
        <v>67.1341552734375</v>
      </c>
      <c r="E969" s="733">
        <v>1</v>
      </c>
    </row>
    <row r="970" spans="2:5" x14ac:dyDescent="0.25">
      <c r="B970" s="1382" t="s">
        <v>1840</v>
      </c>
      <c r="C970" s="733" t="s">
        <v>1080</v>
      </c>
      <c r="D970" s="733">
        <v>63.202602386474609</v>
      </c>
      <c r="E970" s="733">
        <v>1</v>
      </c>
    </row>
    <row r="971" spans="2:5" x14ac:dyDescent="0.25">
      <c r="B971" s="1382" t="s">
        <v>1840</v>
      </c>
      <c r="C971" s="733" t="s">
        <v>1080</v>
      </c>
      <c r="D971" s="733">
        <v>73.240928649902344</v>
      </c>
      <c r="E971" s="733">
        <v>1</v>
      </c>
    </row>
    <row r="972" spans="2:5" x14ac:dyDescent="0.25">
      <c r="B972" s="1382" t="s">
        <v>1840</v>
      </c>
      <c r="C972" s="733" t="s">
        <v>1081</v>
      </c>
      <c r="D972" s="733">
        <v>57.755645751953125</v>
      </c>
      <c r="E972" s="733">
        <v>1</v>
      </c>
    </row>
    <row r="973" spans="2:5" x14ac:dyDescent="0.25">
      <c r="B973" s="1382" t="s">
        <v>1840</v>
      </c>
      <c r="C973" s="733" t="s">
        <v>1080</v>
      </c>
      <c r="D973" s="733">
        <v>58.186172485351563</v>
      </c>
      <c r="E973" s="733">
        <v>1</v>
      </c>
    </row>
    <row r="974" spans="2:5" x14ac:dyDescent="0.25">
      <c r="B974" s="1382" t="s">
        <v>1840</v>
      </c>
      <c r="C974" s="733" t="s">
        <v>1080</v>
      </c>
      <c r="D974" s="733">
        <v>56.432579040527344</v>
      </c>
      <c r="E974" s="733">
        <v>1</v>
      </c>
    </row>
    <row r="975" spans="2:5" x14ac:dyDescent="0.25">
      <c r="B975" s="1382" t="s">
        <v>1840</v>
      </c>
      <c r="C975" s="733" t="s">
        <v>1080</v>
      </c>
      <c r="D975" s="733">
        <v>59.270362854003906</v>
      </c>
      <c r="E975" s="733">
        <v>1</v>
      </c>
    </row>
    <row r="976" spans="2:5" x14ac:dyDescent="0.25">
      <c r="B976" s="1382" t="s">
        <v>1840</v>
      </c>
      <c r="C976" s="733" t="s">
        <v>1081</v>
      </c>
      <c r="D976" s="733">
        <v>59.139629364013672</v>
      </c>
      <c r="E976" s="733">
        <v>1</v>
      </c>
    </row>
    <row r="977" spans="2:5" x14ac:dyDescent="0.25">
      <c r="B977" s="1382" t="s">
        <v>1840</v>
      </c>
      <c r="C977" s="733" t="s">
        <v>1080</v>
      </c>
      <c r="D977" s="733">
        <v>56.032855987548828</v>
      </c>
      <c r="E977" s="733">
        <v>1</v>
      </c>
    </row>
    <row r="978" spans="2:5" x14ac:dyDescent="0.25">
      <c r="B978" s="1382" t="s">
        <v>1840</v>
      </c>
      <c r="C978" s="733" t="s">
        <v>1080</v>
      </c>
      <c r="D978" s="733">
        <v>58.167007446289063</v>
      </c>
      <c r="E978" s="733">
        <v>1</v>
      </c>
    </row>
    <row r="979" spans="2:5" x14ac:dyDescent="0.25">
      <c r="B979" s="1382" t="s">
        <v>1840</v>
      </c>
      <c r="C979" s="733" t="s">
        <v>1080</v>
      </c>
      <c r="D979" s="733">
        <v>56.254619598388672</v>
      </c>
      <c r="E979" s="733">
        <v>1</v>
      </c>
    </row>
    <row r="980" spans="2:5" x14ac:dyDescent="0.25">
      <c r="B980" s="1382" t="s">
        <v>1840</v>
      </c>
      <c r="C980" s="733" t="s">
        <v>1080</v>
      </c>
      <c r="D980" s="733">
        <v>60</v>
      </c>
      <c r="E980" s="733">
        <v>1</v>
      </c>
    </row>
    <row r="981" spans="2:5" x14ac:dyDescent="0.25">
      <c r="B981" s="1382" t="s">
        <v>1840</v>
      </c>
      <c r="C981" s="733" t="s">
        <v>1080</v>
      </c>
      <c r="D981" s="733">
        <v>48.156059265136719</v>
      </c>
      <c r="E981" s="733">
        <v>1</v>
      </c>
    </row>
    <row r="982" spans="2:5" x14ac:dyDescent="0.25">
      <c r="B982" s="1382" t="s">
        <v>1840</v>
      </c>
      <c r="C982" s="733" t="s">
        <v>1080</v>
      </c>
      <c r="D982" s="733">
        <v>52.125942230224609</v>
      </c>
      <c r="E982" s="733">
        <v>1</v>
      </c>
    </row>
    <row r="983" spans="2:5" x14ac:dyDescent="0.25">
      <c r="B983" s="1382" t="s">
        <v>1840</v>
      </c>
      <c r="C983" s="733" t="s">
        <v>1080</v>
      </c>
      <c r="D983" s="733">
        <v>49.344970703125</v>
      </c>
      <c r="E983" s="733">
        <v>1</v>
      </c>
    </row>
    <row r="984" spans="2:5" x14ac:dyDescent="0.25">
      <c r="B984" s="1382" t="s">
        <v>1840</v>
      </c>
      <c r="C984" s="733" t="s">
        <v>1081</v>
      </c>
      <c r="D984" s="733">
        <v>43.2491455078125</v>
      </c>
      <c r="E984" s="733">
        <v>1</v>
      </c>
    </row>
    <row r="985" spans="2:5" x14ac:dyDescent="0.25">
      <c r="B985" s="1382" t="s">
        <v>1840</v>
      </c>
      <c r="C985" s="733" t="s">
        <v>1080</v>
      </c>
      <c r="D985" s="733">
        <v>54.109512329101563</v>
      </c>
      <c r="E985" s="733">
        <v>1</v>
      </c>
    </row>
    <row r="986" spans="2:5" x14ac:dyDescent="0.25">
      <c r="B986" s="1382" t="s">
        <v>1840</v>
      </c>
      <c r="C986" s="733" t="s">
        <v>1081</v>
      </c>
      <c r="D986" s="733">
        <v>80.320327758789063</v>
      </c>
      <c r="E986" s="733">
        <v>1</v>
      </c>
    </row>
    <row r="987" spans="2:5" x14ac:dyDescent="0.25">
      <c r="B987" s="1382" t="s">
        <v>1840</v>
      </c>
      <c r="C987" s="733" t="s">
        <v>1080</v>
      </c>
      <c r="D987" s="733">
        <v>84.205337524414063</v>
      </c>
      <c r="E987" s="733">
        <v>1</v>
      </c>
    </row>
    <row r="988" spans="2:5" x14ac:dyDescent="0.25">
      <c r="B988" s="1382" t="s">
        <v>1840</v>
      </c>
      <c r="C988" s="733" t="s">
        <v>1081</v>
      </c>
      <c r="D988" s="733">
        <v>79.525665283203125</v>
      </c>
      <c r="E988" s="733">
        <v>1</v>
      </c>
    </row>
    <row r="989" spans="2:5" x14ac:dyDescent="0.25">
      <c r="B989" s="1382" t="s">
        <v>1840</v>
      </c>
      <c r="C989" s="733" t="s">
        <v>1080</v>
      </c>
      <c r="D989" s="733">
        <v>72.106773376464844</v>
      </c>
      <c r="E989" s="733">
        <v>1</v>
      </c>
    </row>
    <row r="990" spans="2:5" x14ac:dyDescent="0.25">
      <c r="B990" s="1382" t="s">
        <v>1840</v>
      </c>
      <c r="C990" s="733" t="s">
        <v>1081</v>
      </c>
      <c r="D990" s="733">
        <v>63.284736633300781</v>
      </c>
      <c r="E990" s="733">
        <v>1</v>
      </c>
    </row>
    <row r="991" spans="2:5" x14ac:dyDescent="0.25">
      <c r="B991" s="1382" t="s">
        <v>1840</v>
      </c>
      <c r="C991" s="733" t="s">
        <v>1081</v>
      </c>
      <c r="D991" s="733">
        <v>79</v>
      </c>
      <c r="E991" s="733">
        <v>1</v>
      </c>
    </row>
    <row r="992" spans="2:5" x14ac:dyDescent="0.25">
      <c r="B992" s="1382" t="s">
        <v>1840</v>
      </c>
      <c r="C992" s="733" t="s">
        <v>1080</v>
      </c>
      <c r="D992" s="733">
        <v>75</v>
      </c>
      <c r="E992" s="733">
        <v>1</v>
      </c>
    </row>
    <row r="993" spans="2:5" x14ac:dyDescent="0.25">
      <c r="B993" s="1382" t="s">
        <v>1840</v>
      </c>
      <c r="C993" s="733" t="s">
        <v>1080</v>
      </c>
      <c r="D993" s="733">
        <v>80.087608337402344</v>
      </c>
      <c r="E993" s="733">
        <v>1</v>
      </c>
    </row>
    <row r="994" spans="2:5" x14ac:dyDescent="0.25">
      <c r="B994" s="1382" t="s">
        <v>1840</v>
      </c>
      <c r="C994" s="733" t="s">
        <v>1080</v>
      </c>
      <c r="D994" s="733">
        <v>72.060234069824219</v>
      </c>
      <c r="E994" s="733">
        <v>1</v>
      </c>
    </row>
    <row r="995" spans="2:5" x14ac:dyDescent="0.25">
      <c r="B995" s="1382" t="s">
        <v>1840</v>
      </c>
      <c r="C995" s="733" t="s">
        <v>1081</v>
      </c>
      <c r="D995" s="733">
        <v>75.358657836914063</v>
      </c>
      <c r="E995" s="733">
        <v>1</v>
      </c>
    </row>
    <row r="996" spans="2:5" x14ac:dyDescent="0.25">
      <c r="B996" s="1382" t="s">
        <v>1840</v>
      </c>
      <c r="C996" s="733" t="s">
        <v>1080</v>
      </c>
      <c r="D996" s="733">
        <v>83.221763610839844</v>
      </c>
      <c r="E996" s="733">
        <v>1</v>
      </c>
    </row>
    <row r="997" spans="2:5" x14ac:dyDescent="0.25">
      <c r="B997" s="1382" t="s">
        <v>1840</v>
      </c>
      <c r="C997" s="733" t="s">
        <v>1080</v>
      </c>
      <c r="D997" s="733">
        <v>65.366874694824219</v>
      </c>
      <c r="E997" s="733">
        <v>1</v>
      </c>
    </row>
    <row r="998" spans="2:5" x14ac:dyDescent="0.25">
      <c r="B998" s="1382" t="s">
        <v>1840</v>
      </c>
      <c r="C998" s="733" t="s">
        <v>1080</v>
      </c>
      <c r="D998" s="733">
        <v>43.068447113037109</v>
      </c>
      <c r="E998" s="733">
        <v>1</v>
      </c>
    </row>
    <row r="999" spans="2:5" x14ac:dyDescent="0.25">
      <c r="B999" s="1382" t="s">
        <v>1840</v>
      </c>
      <c r="C999" s="733" t="s">
        <v>1080</v>
      </c>
      <c r="D999" s="733">
        <v>64</v>
      </c>
      <c r="E999" s="733">
        <v>1</v>
      </c>
    </row>
    <row r="1000" spans="2:5" x14ac:dyDescent="0.25">
      <c r="B1000" s="1382" t="s">
        <v>1840</v>
      </c>
      <c r="C1000" s="733" t="s">
        <v>1080</v>
      </c>
      <c r="D1000" s="733">
        <v>67.093086242675781</v>
      </c>
      <c r="E1000" s="733">
        <v>1</v>
      </c>
    </row>
    <row r="1001" spans="2:5" x14ac:dyDescent="0.25">
      <c r="B1001" s="1382" t="s">
        <v>1840</v>
      </c>
      <c r="C1001" s="733" t="s">
        <v>1080</v>
      </c>
      <c r="D1001" s="733">
        <v>66.227241516113281</v>
      </c>
      <c r="E1001" s="733">
        <v>1</v>
      </c>
    </row>
    <row r="1002" spans="2:5" x14ac:dyDescent="0.25">
      <c r="B1002" s="1382" t="s">
        <v>1840</v>
      </c>
      <c r="C1002" s="733" t="s">
        <v>1080</v>
      </c>
      <c r="D1002" s="733">
        <v>80</v>
      </c>
      <c r="E1002" s="733">
        <v>1</v>
      </c>
    </row>
    <row r="1003" spans="2:5" x14ac:dyDescent="0.25">
      <c r="B1003" s="1382" t="s">
        <v>1840</v>
      </c>
      <c r="C1003" s="733" t="s">
        <v>1080</v>
      </c>
      <c r="D1003" s="733">
        <v>57.260097503662109</v>
      </c>
      <c r="E1003" s="733">
        <v>1</v>
      </c>
    </row>
    <row r="1004" spans="2:5" x14ac:dyDescent="0.25">
      <c r="B1004" s="1382" t="s">
        <v>1840</v>
      </c>
      <c r="C1004" s="733" t="s">
        <v>1080</v>
      </c>
      <c r="D1004" s="733">
        <v>61.369609832763672</v>
      </c>
      <c r="E1004" s="733">
        <v>1</v>
      </c>
    </row>
    <row r="1005" spans="2:5" x14ac:dyDescent="0.25">
      <c r="B1005" s="1382" t="s">
        <v>1840</v>
      </c>
      <c r="C1005" s="733" t="s">
        <v>1080</v>
      </c>
      <c r="D1005" s="733">
        <v>57.194385528564453</v>
      </c>
      <c r="E1005" s="733">
        <v>1</v>
      </c>
    </row>
    <row r="1006" spans="2:5" x14ac:dyDescent="0.25">
      <c r="B1006" s="1382" t="s">
        <v>1840</v>
      </c>
      <c r="C1006" s="733" t="s">
        <v>1080</v>
      </c>
      <c r="D1006" s="733">
        <v>54.150581359863281</v>
      </c>
      <c r="E1006" s="733">
        <v>1</v>
      </c>
    </row>
    <row r="1007" spans="2:5" x14ac:dyDescent="0.25">
      <c r="B1007" s="1382" t="s">
        <v>1840</v>
      </c>
      <c r="C1007" s="733" t="s">
        <v>1080</v>
      </c>
      <c r="D1007" s="733">
        <v>60.407939910888672</v>
      </c>
      <c r="E1007" s="733">
        <v>1</v>
      </c>
    </row>
    <row r="1008" spans="2:5" x14ac:dyDescent="0.25">
      <c r="B1008" s="1382" t="s">
        <v>1840</v>
      </c>
      <c r="C1008" s="733" t="s">
        <v>1080</v>
      </c>
      <c r="D1008" s="733">
        <v>54.128677368164063</v>
      </c>
      <c r="E1008" s="733">
        <v>1</v>
      </c>
    </row>
    <row r="1009" spans="2:5" x14ac:dyDescent="0.25">
      <c r="B1009" s="1382" t="s">
        <v>1840</v>
      </c>
      <c r="C1009" s="733" t="s">
        <v>1080</v>
      </c>
      <c r="D1009" s="733">
        <v>72</v>
      </c>
      <c r="E1009" s="733">
        <v>1</v>
      </c>
    </row>
    <row r="1010" spans="2:5" x14ac:dyDescent="0.25">
      <c r="B1010" s="1382" t="s">
        <v>1840</v>
      </c>
      <c r="C1010" s="733" t="s">
        <v>1080</v>
      </c>
      <c r="D1010" s="733">
        <v>71.1724853515625</v>
      </c>
      <c r="E1010" s="733">
        <v>1</v>
      </c>
    </row>
    <row r="1011" spans="2:5" x14ac:dyDescent="0.25">
      <c r="B1011" s="1382" t="s">
        <v>1840</v>
      </c>
      <c r="C1011" s="733" t="s">
        <v>1080</v>
      </c>
      <c r="D1011" s="733">
        <v>45.188911437988281</v>
      </c>
      <c r="E1011" s="733">
        <v>1</v>
      </c>
    </row>
    <row r="1012" spans="2:5" x14ac:dyDescent="0.25">
      <c r="B1012" s="1382" t="s">
        <v>1840</v>
      </c>
      <c r="C1012" s="733" t="s">
        <v>1080</v>
      </c>
      <c r="D1012" s="733">
        <v>81.512664794921875</v>
      </c>
      <c r="E1012" s="733">
        <v>1</v>
      </c>
    </row>
    <row r="1013" spans="2:5" x14ac:dyDescent="0.25">
      <c r="B1013" s="1382" t="s">
        <v>1840</v>
      </c>
      <c r="C1013" s="733" t="s">
        <v>1080</v>
      </c>
      <c r="D1013" s="733">
        <v>52.123203277587891</v>
      </c>
      <c r="E1013" s="733">
        <v>1</v>
      </c>
    </row>
    <row r="1014" spans="2:5" x14ac:dyDescent="0.25">
      <c r="B1014" s="1382" t="s">
        <v>1840</v>
      </c>
      <c r="C1014" s="733" t="s">
        <v>1081</v>
      </c>
      <c r="D1014" s="733">
        <v>48.175224304199219</v>
      </c>
      <c r="E1014" s="733">
        <v>1</v>
      </c>
    </row>
    <row r="1015" spans="2:5" x14ac:dyDescent="0.25">
      <c r="B1015" s="1382" t="s">
        <v>1840</v>
      </c>
      <c r="C1015" s="733" t="s">
        <v>1081</v>
      </c>
      <c r="D1015" s="733">
        <v>74.1533203125</v>
      </c>
      <c r="E1015" s="733">
        <v>1</v>
      </c>
    </row>
    <row r="1016" spans="2:5" x14ac:dyDescent="0.25">
      <c r="B1016" s="1382" t="s">
        <v>1840</v>
      </c>
      <c r="C1016" s="733" t="s">
        <v>1080</v>
      </c>
      <c r="D1016" s="733">
        <v>86.108833312988281</v>
      </c>
      <c r="E1016" s="733">
        <v>1</v>
      </c>
    </row>
    <row r="1017" spans="2:5" x14ac:dyDescent="0.25">
      <c r="B1017" s="1382" t="s">
        <v>1840</v>
      </c>
      <c r="C1017" s="733" t="s">
        <v>1081</v>
      </c>
      <c r="D1017" s="733">
        <v>81.128677368164063</v>
      </c>
      <c r="E1017" s="733">
        <v>1</v>
      </c>
    </row>
    <row r="1018" spans="2:5" x14ac:dyDescent="0.25">
      <c r="B1018" s="1382" t="s">
        <v>1840</v>
      </c>
      <c r="C1018" s="733" t="s">
        <v>1080</v>
      </c>
      <c r="D1018" s="733">
        <v>81.227241516113281</v>
      </c>
      <c r="E1018" s="733">
        <v>1</v>
      </c>
    </row>
    <row r="1019" spans="2:5" x14ac:dyDescent="0.25">
      <c r="B1019" s="1382" t="s">
        <v>1840</v>
      </c>
      <c r="C1019" s="733" t="s">
        <v>1080</v>
      </c>
      <c r="D1019" s="733">
        <v>85.041069030761719</v>
      </c>
      <c r="E1019" s="733">
        <v>1</v>
      </c>
    </row>
    <row r="1020" spans="2:5" x14ac:dyDescent="0.25">
      <c r="B1020" s="1382" t="s">
        <v>1840</v>
      </c>
      <c r="C1020" s="733" t="s">
        <v>1080</v>
      </c>
      <c r="D1020" s="733">
        <v>74.145103454589844</v>
      </c>
      <c r="E1020" s="733">
        <v>1</v>
      </c>
    </row>
    <row r="1021" spans="2:5" x14ac:dyDescent="0.25">
      <c r="B1021" s="1382" t="s">
        <v>1840</v>
      </c>
      <c r="C1021" s="733" t="s">
        <v>1081</v>
      </c>
      <c r="D1021" s="733">
        <v>72.216293334960938</v>
      </c>
      <c r="E1021" s="733">
        <v>1</v>
      </c>
    </row>
    <row r="1022" spans="2:5" x14ac:dyDescent="0.25">
      <c r="B1022" s="1382" t="s">
        <v>1840</v>
      </c>
      <c r="C1022" s="733" t="s">
        <v>1080</v>
      </c>
      <c r="D1022" s="733">
        <v>72.424369812011719</v>
      </c>
      <c r="E1022" s="733">
        <v>1</v>
      </c>
    </row>
    <row r="1023" spans="2:5" x14ac:dyDescent="0.25">
      <c r="B1023" s="1382" t="s">
        <v>1840</v>
      </c>
      <c r="C1023" s="733" t="s">
        <v>1080</v>
      </c>
      <c r="D1023" s="733">
        <v>72.22998046875</v>
      </c>
      <c r="E1023" s="733">
        <v>1</v>
      </c>
    </row>
    <row r="1024" spans="2:5" x14ac:dyDescent="0.25">
      <c r="B1024" s="1382" t="s">
        <v>1840</v>
      </c>
      <c r="C1024" s="733" t="s">
        <v>1080</v>
      </c>
      <c r="D1024" s="733">
        <v>71.098564147949219</v>
      </c>
      <c r="E1024" s="733">
        <v>1</v>
      </c>
    </row>
    <row r="1025" spans="2:5" x14ac:dyDescent="0.25">
      <c r="B1025" s="1382" t="s">
        <v>1840</v>
      </c>
      <c r="C1025" s="733" t="s">
        <v>1080</v>
      </c>
      <c r="D1025" s="733">
        <v>72.175224304199219</v>
      </c>
      <c r="E1025" s="733">
        <v>1</v>
      </c>
    </row>
    <row r="1026" spans="2:5" x14ac:dyDescent="0.25">
      <c r="B1026" s="1382" t="s">
        <v>1840</v>
      </c>
      <c r="C1026" s="733" t="s">
        <v>1080</v>
      </c>
      <c r="D1026" s="733">
        <v>70.191650390625</v>
      </c>
      <c r="E1026" s="733">
        <v>1</v>
      </c>
    </row>
    <row r="1027" spans="2:5" x14ac:dyDescent="0.25">
      <c r="B1027" s="1382" t="s">
        <v>1840</v>
      </c>
      <c r="C1027" s="733" t="s">
        <v>1080</v>
      </c>
      <c r="D1027" s="733">
        <v>71.260093688964844</v>
      </c>
      <c r="E1027" s="733">
        <v>1</v>
      </c>
    </row>
    <row r="1028" spans="2:5" x14ac:dyDescent="0.25">
      <c r="B1028" s="1382" t="s">
        <v>1840</v>
      </c>
      <c r="C1028" s="733" t="s">
        <v>1080</v>
      </c>
      <c r="D1028" s="733">
        <v>74.216293334960938</v>
      </c>
      <c r="E1028" s="733">
        <v>1</v>
      </c>
    </row>
    <row r="1029" spans="2:5" x14ac:dyDescent="0.25">
      <c r="B1029" s="1382" t="s">
        <v>1840</v>
      </c>
      <c r="C1029" s="733" t="s">
        <v>1080</v>
      </c>
      <c r="D1029" s="733">
        <v>79.232719421386719</v>
      </c>
      <c r="E1029" s="733">
        <v>1</v>
      </c>
    </row>
    <row r="1030" spans="2:5" x14ac:dyDescent="0.25">
      <c r="B1030" s="1382" t="s">
        <v>1840</v>
      </c>
      <c r="C1030" s="733" t="s">
        <v>1081</v>
      </c>
      <c r="D1030" s="733">
        <v>86.191650390625</v>
      </c>
      <c r="E1030" s="733">
        <v>1</v>
      </c>
    </row>
    <row r="1031" spans="2:5" x14ac:dyDescent="0.25">
      <c r="B1031" s="1382" t="s">
        <v>1840</v>
      </c>
      <c r="C1031" s="733" t="s">
        <v>1080</v>
      </c>
      <c r="D1031" s="733">
        <v>76.180694580078125</v>
      </c>
      <c r="E1031" s="733">
        <v>1</v>
      </c>
    </row>
    <row r="1032" spans="2:5" x14ac:dyDescent="0.25">
      <c r="B1032" s="1382" t="s">
        <v>1840</v>
      </c>
      <c r="C1032" s="733" t="s">
        <v>1080</v>
      </c>
      <c r="D1032" s="733">
        <v>86.298423767089844</v>
      </c>
      <c r="E1032" s="733">
        <v>1</v>
      </c>
    </row>
    <row r="1033" spans="2:5" x14ac:dyDescent="0.25">
      <c r="B1033" s="1382" t="s">
        <v>1840</v>
      </c>
      <c r="C1033" s="733" t="s">
        <v>1081</v>
      </c>
      <c r="D1033" s="733">
        <v>73.183433532714844</v>
      </c>
      <c r="E1033" s="733">
        <v>1</v>
      </c>
    </row>
    <row r="1034" spans="2:5" x14ac:dyDescent="0.25">
      <c r="B1034" s="1382" t="s">
        <v>1840</v>
      </c>
      <c r="C1034" s="733" t="s">
        <v>1080</v>
      </c>
      <c r="D1034" s="733">
        <v>75.246406555175781</v>
      </c>
      <c r="E1034" s="733">
        <v>1</v>
      </c>
    </row>
    <row r="1035" spans="2:5" x14ac:dyDescent="0.25">
      <c r="B1035" s="1382" t="s">
        <v>1840</v>
      </c>
      <c r="C1035" s="733" t="s">
        <v>1080</v>
      </c>
      <c r="D1035" s="733">
        <v>68.032852172851563</v>
      </c>
      <c r="E1035" s="733">
        <v>1</v>
      </c>
    </row>
    <row r="1036" spans="2:5" x14ac:dyDescent="0.25">
      <c r="B1036" s="1382" t="s">
        <v>1840</v>
      </c>
      <c r="C1036" s="733" t="s">
        <v>1080</v>
      </c>
      <c r="D1036" s="733">
        <v>66.101303100585938</v>
      </c>
      <c r="E1036" s="733">
        <v>1</v>
      </c>
    </row>
    <row r="1037" spans="2:5" x14ac:dyDescent="0.25">
      <c r="B1037" s="1382" t="s">
        <v>1840</v>
      </c>
      <c r="C1037" s="733" t="s">
        <v>1080</v>
      </c>
      <c r="D1037" s="733">
        <v>72.131416320800781</v>
      </c>
      <c r="E1037" s="733">
        <v>1</v>
      </c>
    </row>
    <row r="1038" spans="2:5" x14ac:dyDescent="0.25">
      <c r="B1038" s="1382" t="s">
        <v>1840</v>
      </c>
      <c r="C1038" s="733" t="s">
        <v>1080</v>
      </c>
      <c r="D1038" s="733">
        <v>70.084877014160156</v>
      </c>
      <c r="E1038" s="733">
        <v>1</v>
      </c>
    </row>
    <row r="1039" spans="2:5" x14ac:dyDescent="0.25">
      <c r="B1039" s="1382" t="s">
        <v>1840</v>
      </c>
      <c r="C1039" s="733" t="s">
        <v>1081</v>
      </c>
      <c r="D1039" s="733">
        <v>70.980148315429688</v>
      </c>
      <c r="E1039" s="733">
        <v>1</v>
      </c>
    </row>
    <row r="1040" spans="2:5" x14ac:dyDescent="0.25">
      <c r="B1040" s="1382" t="s">
        <v>1840</v>
      </c>
      <c r="C1040" s="733" t="s">
        <v>1080</v>
      </c>
      <c r="D1040" s="733">
        <v>62.194385528564453</v>
      </c>
      <c r="E1040" s="733">
        <v>1</v>
      </c>
    </row>
    <row r="1041" spans="2:5" x14ac:dyDescent="0.25">
      <c r="B1041" s="1382" t="s">
        <v>1840</v>
      </c>
      <c r="C1041" s="733" t="s">
        <v>1081</v>
      </c>
      <c r="D1041" s="733">
        <v>60.1341552734375</v>
      </c>
      <c r="E1041" s="733">
        <v>1</v>
      </c>
    </row>
    <row r="1042" spans="2:5" x14ac:dyDescent="0.25">
      <c r="B1042" s="1382" t="s">
        <v>1840</v>
      </c>
      <c r="C1042" s="733" t="s">
        <v>1080</v>
      </c>
      <c r="D1042" s="733">
        <v>59.068447113037109</v>
      </c>
      <c r="E1042" s="733">
        <v>1</v>
      </c>
    </row>
    <row r="1043" spans="2:5" x14ac:dyDescent="0.25">
      <c r="B1043" s="1382" t="s">
        <v>1840</v>
      </c>
      <c r="C1043" s="733" t="s">
        <v>1080</v>
      </c>
      <c r="D1043" s="733">
        <v>70</v>
      </c>
      <c r="E1043" s="733">
        <v>1</v>
      </c>
    </row>
    <row r="1044" spans="2:5" x14ac:dyDescent="0.25">
      <c r="B1044" s="1382" t="s">
        <v>1840</v>
      </c>
      <c r="C1044" s="733" t="s">
        <v>1080</v>
      </c>
      <c r="D1044" s="733">
        <v>70.818618774414063</v>
      </c>
      <c r="E1044" s="733">
        <v>1</v>
      </c>
    </row>
    <row r="1045" spans="2:5" x14ac:dyDescent="0.25">
      <c r="B1045" s="1382" t="s">
        <v>1840</v>
      </c>
      <c r="C1045" s="733" t="s">
        <v>1081</v>
      </c>
      <c r="D1045" s="733">
        <v>62.169746398925781</v>
      </c>
      <c r="E1045" s="733">
        <v>1</v>
      </c>
    </row>
    <row r="1046" spans="2:5" x14ac:dyDescent="0.25">
      <c r="B1046" s="1382" t="s">
        <v>1840</v>
      </c>
      <c r="C1046" s="733" t="s">
        <v>1080</v>
      </c>
      <c r="D1046" s="733">
        <v>63.692676544189453</v>
      </c>
      <c r="E1046" s="733">
        <v>1</v>
      </c>
    </row>
    <row r="1047" spans="2:5" x14ac:dyDescent="0.25">
      <c r="B1047" s="1382" t="s">
        <v>1840</v>
      </c>
      <c r="C1047" s="733" t="s">
        <v>1080</v>
      </c>
      <c r="D1047" s="733">
        <v>54.164272308349609</v>
      </c>
      <c r="E1047" s="733">
        <v>1</v>
      </c>
    </row>
    <row r="1048" spans="2:5" x14ac:dyDescent="0.25">
      <c r="B1048" s="1382" t="s">
        <v>1840</v>
      </c>
      <c r="C1048" s="733" t="s">
        <v>1080</v>
      </c>
      <c r="D1048" s="733">
        <v>61.142368316650391</v>
      </c>
      <c r="E1048" s="733">
        <v>1</v>
      </c>
    </row>
    <row r="1049" spans="2:5" x14ac:dyDescent="0.25">
      <c r="B1049" s="1382" t="s">
        <v>1840</v>
      </c>
      <c r="C1049" s="733" t="s">
        <v>1080</v>
      </c>
      <c r="D1049" s="733">
        <v>58.139629364013672</v>
      </c>
      <c r="E1049" s="733">
        <v>1</v>
      </c>
    </row>
    <row r="1050" spans="2:5" x14ac:dyDescent="0.25">
      <c r="B1050" s="1382" t="s">
        <v>1840</v>
      </c>
      <c r="C1050" s="733" t="s">
        <v>1080</v>
      </c>
      <c r="D1050" s="733">
        <v>60.281997680664063</v>
      </c>
      <c r="E1050" s="733">
        <v>1</v>
      </c>
    </row>
    <row r="1051" spans="2:5" x14ac:dyDescent="0.25">
      <c r="B1051" s="1382" t="s">
        <v>1840</v>
      </c>
      <c r="C1051" s="733" t="s">
        <v>1081</v>
      </c>
      <c r="D1051" s="733">
        <v>53.2108154296875</v>
      </c>
      <c r="E1051" s="733">
        <v>1</v>
      </c>
    </row>
    <row r="1052" spans="2:5" x14ac:dyDescent="0.25">
      <c r="B1052" s="1382" t="s">
        <v>1840</v>
      </c>
      <c r="C1052" s="733" t="s">
        <v>1080</v>
      </c>
      <c r="D1052" s="733">
        <v>54.191650390625</v>
      </c>
      <c r="E1052" s="733">
        <v>1</v>
      </c>
    </row>
    <row r="1053" spans="2:5" x14ac:dyDescent="0.25">
      <c r="B1053" s="1382" t="s">
        <v>1840</v>
      </c>
      <c r="C1053" s="733" t="s">
        <v>1080</v>
      </c>
      <c r="D1053" s="733">
        <v>50.120464324951172</v>
      </c>
      <c r="E1053" s="733">
        <v>1</v>
      </c>
    </row>
    <row r="1054" spans="2:5" x14ac:dyDescent="0.25">
      <c r="B1054" s="1382" t="s">
        <v>1840</v>
      </c>
      <c r="C1054" s="733" t="s">
        <v>1080</v>
      </c>
      <c r="D1054" s="733">
        <v>76.227241516113281</v>
      </c>
      <c r="E1054" s="733">
        <v>1</v>
      </c>
    </row>
    <row r="1055" spans="2:5" x14ac:dyDescent="0.25">
      <c r="B1055" s="1382" t="s">
        <v>1840</v>
      </c>
      <c r="C1055" s="733" t="s">
        <v>1081</v>
      </c>
      <c r="D1055" s="733">
        <v>72.114990234375</v>
      </c>
      <c r="E1055" s="733">
        <v>1</v>
      </c>
    </row>
    <row r="1056" spans="2:5" x14ac:dyDescent="0.25">
      <c r="B1056" s="1382" t="s">
        <v>1840</v>
      </c>
      <c r="C1056" s="733" t="s">
        <v>1080</v>
      </c>
      <c r="D1056" s="733">
        <v>74.213554382324219</v>
      </c>
      <c r="E1056" s="733">
        <v>1</v>
      </c>
    </row>
    <row r="1057" spans="2:5" x14ac:dyDescent="0.25">
      <c r="B1057" s="1382" t="s">
        <v>1840</v>
      </c>
      <c r="C1057" s="733" t="s">
        <v>1080</v>
      </c>
      <c r="D1057" s="733">
        <v>76.186172485351563</v>
      </c>
      <c r="E1057" s="733">
        <v>1</v>
      </c>
    </row>
    <row r="1058" spans="2:5" x14ac:dyDescent="0.25">
      <c r="B1058" s="1382" t="s">
        <v>1840</v>
      </c>
      <c r="C1058" s="733" t="s">
        <v>1080</v>
      </c>
      <c r="D1058" s="733">
        <v>77.695411682128906</v>
      </c>
      <c r="E1058" s="733">
        <v>1</v>
      </c>
    </row>
    <row r="1059" spans="2:5" x14ac:dyDescent="0.25">
      <c r="B1059" s="1382" t="s">
        <v>1840</v>
      </c>
      <c r="C1059" s="733" t="s">
        <v>1081</v>
      </c>
      <c r="D1059" s="733">
        <v>74.131416320800781</v>
      </c>
      <c r="E1059" s="733">
        <v>1</v>
      </c>
    </row>
    <row r="1060" spans="2:5" x14ac:dyDescent="0.25">
      <c r="B1060" s="1382" t="s">
        <v>1840</v>
      </c>
      <c r="C1060" s="733" t="s">
        <v>1080</v>
      </c>
      <c r="D1060" s="733">
        <v>55.235454559326172</v>
      </c>
      <c r="E1060" s="733">
        <v>1</v>
      </c>
    </row>
    <row r="1061" spans="2:5" x14ac:dyDescent="0.25">
      <c r="B1061" s="1382" t="s">
        <v>1840</v>
      </c>
      <c r="C1061" s="733" t="s">
        <v>1080</v>
      </c>
      <c r="D1061" s="733">
        <v>64.254623413085938</v>
      </c>
      <c r="E1061" s="733">
        <v>1</v>
      </c>
    </row>
    <row r="1062" spans="2:5" x14ac:dyDescent="0.25">
      <c r="B1062" s="1382" t="s">
        <v>1840</v>
      </c>
      <c r="C1062" s="733" t="s">
        <v>1080</v>
      </c>
      <c r="D1062" s="733">
        <v>69.197128295898438</v>
      </c>
      <c r="E1062" s="733">
        <v>1</v>
      </c>
    </row>
    <row r="1063" spans="2:5" x14ac:dyDescent="0.25">
      <c r="B1063" s="1382" t="s">
        <v>1840</v>
      </c>
      <c r="C1063" s="733" t="s">
        <v>1080</v>
      </c>
      <c r="D1063" s="733">
        <v>72.117729187011719</v>
      </c>
      <c r="E1063" s="733">
        <v>1</v>
      </c>
    </row>
    <row r="1064" spans="2:5" x14ac:dyDescent="0.25">
      <c r="B1064" s="1382" t="s">
        <v>1840</v>
      </c>
      <c r="C1064" s="733" t="s">
        <v>1080</v>
      </c>
      <c r="D1064" s="733">
        <v>71.062286376953125</v>
      </c>
      <c r="E1064" s="733">
        <v>1</v>
      </c>
    </row>
    <row r="1065" spans="2:5" x14ac:dyDescent="0.25">
      <c r="B1065" s="1382" t="s">
        <v>1840</v>
      </c>
      <c r="C1065" s="733" t="s">
        <v>1081</v>
      </c>
      <c r="D1065" s="733">
        <v>73.22998046875</v>
      </c>
      <c r="E1065" s="733">
        <v>1</v>
      </c>
    </row>
    <row r="1066" spans="2:5" x14ac:dyDescent="0.25">
      <c r="B1066" s="1382" t="s">
        <v>1840</v>
      </c>
      <c r="C1066" s="733" t="s">
        <v>1080</v>
      </c>
      <c r="D1066" s="733">
        <v>58.689937591552734</v>
      </c>
      <c r="E1066" s="733">
        <v>1</v>
      </c>
    </row>
    <row r="1067" spans="2:5" x14ac:dyDescent="0.25">
      <c r="B1067" s="1382" t="s">
        <v>1840</v>
      </c>
      <c r="C1067" s="733" t="s">
        <v>1080</v>
      </c>
      <c r="D1067" s="733">
        <v>55.073921203613281</v>
      </c>
      <c r="E1067" s="733">
        <v>1</v>
      </c>
    </row>
    <row r="1068" spans="2:5" x14ac:dyDescent="0.25">
      <c r="B1068" s="1382" t="s">
        <v>1840</v>
      </c>
      <c r="C1068" s="733" t="s">
        <v>1080</v>
      </c>
      <c r="D1068" s="733">
        <v>65.1533203125</v>
      </c>
      <c r="E1068" s="733">
        <v>1</v>
      </c>
    </row>
    <row r="1069" spans="2:5" x14ac:dyDescent="0.25">
      <c r="B1069" s="1382" t="s">
        <v>1840</v>
      </c>
      <c r="C1069" s="733" t="s">
        <v>1080</v>
      </c>
      <c r="D1069" s="733">
        <v>89</v>
      </c>
      <c r="E1069" s="733">
        <v>1</v>
      </c>
    </row>
    <row r="1070" spans="2:5" x14ac:dyDescent="0.25">
      <c r="B1070" s="1382" t="s">
        <v>1840</v>
      </c>
      <c r="C1070" s="733" t="s">
        <v>1080</v>
      </c>
      <c r="D1070" s="733">
        <v>77.142364501953125</v>
      </c>
      <c r="E1070" s="733">
        <v>1</v>
      </c>
    </row>
    <row r="1071" spans="2:5" x14ac:dyDescent="0.25">
      <c r="B1071" s="1382" t="s">
        <v>1840</v>
      </c>
      <c r="C1071" s="733" t="s">
        <v>1080</v>
      </c>
      <c r="D1071" s="733">
        <v>72.216293334960938</v>
      </c>
      <c r="E1071" s="733">
        <v>1</v>
      </c>
    </row>
    <row r="1072" spans="2:5" x14ac:dyDescent="0.25">
      <c r="B1072" s="1382" t="s">
        <v>1840</v>
      </c>
      <c r="C1072" s="733" t="s">
        <v>1081</v>
      </c>
      <c r="D1072" s="733">
        <v>76.164268493652344</v>
      </c>
      <c r="E1072" s="733">
        <v>1</v>
      </c>
    </row>
    <row r="1073" spans="2:5" x14ac:dyDescent="0.25">
      <c r="B1073" s="1382" t="s">
        <v>1840</v>
      </c>
      <c r="C1073" s="733" t="s">
        <v>1080</v>
      </c>
      <c r="D1073" s="733">
        <v>61.199863433837891</v>
      </c>
      <c r="E1073" s="733">
        <v>1</v>
      </c>
    </row>
    <row r="1074" spans="2:5" x14ac:dyDescent="0.25">
      <c r="B1074" s="1382" t="s">
        <v>1840</v>
      </c>
      <c r="C1074" s="733" t="s">
        <v>1081</v>
      </c>
      <c r="D1074" s="733">
        <v>48.265571594238281</v>
      </c>
      <c r="E1074" s="733">
        <v>1</v>
      </c>
    </row>
    <row r="1075" spans="2:5" x14ac:dyDescent="0.25">
      <c r="B1075" s="1382" t="s">
        <v>1840</v>
      </c>
      <c r="C1075" s="733" t="s">
        <v>1080</v>
      </c>
      <c r="D1075" s="733">
        <v>62.131416320800781</v>
      </c>
      <c r="E1075" s="733">
        <v>1</v>
      </c>
    </row>
    <row r="1076" spans="2:5" x14ac:dyDescent="0.25">
      <c r="B1076" s="1382" t="s">
        <v>1840</v>
      </c>
      <c r="C1076" s="733" t="s">
        <v>1080</v>
      </c>
      <c r="D1076" s="733">
        <v>60.164272308349609</v>
      </c>
      <c r="E1076" s="733">
        <v>1</v>
      </c>
    </row>
    <row r="1077" spans="2:5" x14ac:dyDescent="0.25">
      <c r="B1077" s="1382" t="s">
        <v>1840</v>
      </c>
      <c r="C1077" s="733" t="s">
        <v>1080</v>
      </c>
      <c r="D1077" s="733">
        <v>66.123207092285156</v>
      </c>
      <c r="E1077" s="733">
        <v>1</v>
      </c>
    </row>
    <row r="1078" spans="2:5" x14ac:dyDescent="0.25">
      <c r="B1078" s="1382" t="s">
        <v>1840</v>
      </c>
      <c r="C1078" s="733" t="s">
        <v>1080</v>
      </c>
      <c r="D1078" s="733">
        <v>68.265571594238281</v>
      </c>
      <c r="E1078" s="733">
        <v>1</v>
      </c>
    </row>
    <row r="1079" spans="2:5" x14ac:dyDescent="0.25">
      <c r="B1079" s="1382" t="s">
        <v>1840</v>
      </c>
      <c r="C1079" s="733" t="s">
        <v>1081</v>
      </c>
      <c r="D1079" s="733">
        <v>71.082138061523438</v>
      </c>
      <c r="E1079" s="733">
        <v>1</v>
      </c>
    </row>
    <row r="1080" spans="2:5" x14ac:dyDescent="0.25">
      <c r="B1080" s="1382" t="s">
        <v>1840</v>
      </c>
      <c r="C1080" s="733" t="s">
        <v>1081</v>
      </c>
      <c r="D1080" s="733">
        <v>70.355918884277344</v>
      </c>
      <c r="E1080" s="733">
        <v>1</v>
      </c>
    </row>
    <row r="1081" spans="2:5" x14ac:dyDescent="0.25">
      <c r="B1081" s="1382" t="s">
        <v>1840</v>
      </c>
      <c r="C1081" s="733" t="s">
        <v>1081</v>
      </c>
      <c r="D1081" s="733">
        <v>61.1533203125</v>
      </c>
      <c r="E1081" s="733">
        <v>1</v>
      </c>
    </row>
    <row r="1082" spans="2:5" x14ac:dyDescent="0.25">
      <c r="B1082" s="1382" t="s">
        <v>1840</v>
      </c>
      <c r="C1082" s="733" t="s">
        <v>1080</v>
      </c>
      <c r="D1082" s="733">
        <v>63.125942230224609</v>
      </c>
      <c r="E1082" s="733">
        <v>1</v>
      </c>
    </row>
    <row r="1083" spans="2:5" x14ac:dyDescent="0.25">
      <c r="B1083" s="1382" t="s">
        <v>1840</v>
      </c>
      <c r="C1083" s="733" t="s">
        <v>1080</v>
      </c>
      <c r="D1083" s="733">
        <v>60.199863433837891</v>
      </c>
      <c r="E1083" s="733">
        <v>1</v>
      </c>
    </row>
    <row r="1084" spans="2:5" x14ac:dyDescent="0.25">
      <c r="B1084" s="1382" t="s">
        <v>1840</v>
      </c>
      <c r="C1084" s="733" t="s">
        <v>1080</v>
      </c>
      <c r="D1084" s="733">
        <v>62.536617279052734</v>
      </c>
      <c r="E1084" s="733">
        <v>1</v>
      </c>
    </row>
    <row r="1085" spans="2:5" x14ac:dyDescent="0.25">
      <c r="B1085" s="1382" t="s">
        <v>1840</v>
      </c>
      <c r="C1085" s="733" t="s">
        <v>1080</v>
      </c>
      <c r="D1085" s="733">
        <v>65.183433532714844</v>
      </c>
      <c r="E1085" s="733">
        <v>1</v>
      </c>
    </row>
    <row r="1086" spans="2:5" x14ac:dyDescent="0.25">
      <c r="B1086" s="1382" t="s">
        <v>1840</v>
      </c>
      <c r="C1086" s="733" t="s">
        <v>1080</v>
      </c>
      <c r="D1086" s="733">
        <v>69.951400756835938</v>
      </c>
      <c r="E1086" s="733">
        <v>1</v>
      </c>
    </row>
    <row r="1087" spans="2:5" x14ac:dyDescent="0.25">
      <c r="B1087" s="1382" t="s">
        <v>1840</v>
      </c>
      <c r="C1087" s="733" t="s">
        <v>1080</v>
      </c>
      <c r="D1087" s="733">
        <v>46.334018707275391</v>
      </c>
      <c r="E1087" s="733">
        <v>1</v>
      </c>
    </row>
    <row r="1088" spans="2:5" x14ac:dyDescent="0.25">
      <c r="B1088" s="1382" t="s">
        <v>1840</v>
      </c>
      <c r="C1088" s="733" t="s">
        <v>1080</v>
      </c>
      <c r="D1088" s="733">
        <v>65.194389343261719</v>
      </c>
      <c r="E1088" s="733">
        <v>1</v>
      </c>
    </row>
    <row r="1089" spans="2:5" x14ac:dyDescent="0.25">
      <c r="B1089" s="1382" t="s">
        <v>1840</v>
      </c>
      <c r="C1089" s="733" t="s">
        <v>1080</v>
      </c>
      <c r="D1089" s="733">
        <v>46.183437347412109</v>
      </c>
      <c r="E1089" s="733">
        <v>1</v>
      </c>
    </row>
    <row r="1090" spans="2:5" x14ac:dyDescent="0.25">
      <c r="B1090" s="1382" t="s">
        <v>1840</v>
      </c>
      <c r="C1090" s="733" t="s">
        <v>1080</v>
      </c>
      <c r="D1090" s="733">
        <v>60.128677368164063</v>
      </c>
      <c r="E1090" s="733">
        <v>1</v>
      </c>
    </row>
    <row r="1091" spans="2:5" x14ac:dyDescent="0.25">
      <c r="B1091" s="1382" t="s">
        <v>1840</v>
      </c>
      <c r="C1091" s="733" t="s">
        <v>1080</v>
      </c>
      <c r="D1091" s="733">
        <v>74.197128295898438</v>
      </c>
      <c r="E1091" s="733">
        <v>1</v>
      </c>
    </row>
    <row r="1092" spans="2:5" x14ac:dyDescent="0.25">
      <c r="B1092" s="1382" t="s">
        <v>1840</v>
      </c>
      <c r="C1092" s="733" t="s">
        <v>1080</v>
      </c>
      <c r="D1092" s="733">
        <v>74.175224304199219</v>
      </c>
      <c r="E1092" s="733">
        <v>1</v>
      </c>
    </row>
    <row r="1093" spans="2:5" x14ac:dyDescent="0.25">
      <c r="B1093" s="1382" t="s">
        <v>1840</v>
      </c>
      <c r="C1093" s="733" t="s">
        <v>1080</v>
      </c>
      <c r="D1093" s="733">
        <v>77.563316345214844</v>
      </c>
      <c r="E1093" s="733">
        <v>1</v>
      </c>
    </row>
    <row r="1094" spans="2:5" x14ac:dyDescent="0.25">
      <c r="B1094" s="1382" t="s">
        <v>1840</v>
      </c>
      <c r="C1094" s="733" t="s">
        <v>1080</v>
      </c>
      <c r="D1094" s="733">
        <v>67.3258056640625</v>
      </c>
      <c r="E1094" s="733">
        <v>1</v>
      </c>
    </row>
    <row r="1095" spans="2:5" x14ac:dyDescent="0.25">
      <c r="B1095" s="1382" t="s">
        <v>1840</v>
      </c>
      <c r="C1095" s="733" t="s">
        <v>1080</v>
      </c>
      <c r="D1095" s="733">
        <v>39.648872375488281</v>
      </c>
      <c r="E1095" s="733">
        <v>1</v>
      </c>
    </row>
    <row r="1096" spans="2:5" x14ac:dyDescent="0.25">
      <c r="B1096" s="1382" t="s">
        <v>1840</v>
      </c>
      <c r="C1096" s="733" t="s">
        <v>1080</v>
      </c>
      <c r="D1096" s="733">
        <v>66.292953491210938</v>
      </c>
      <c r="E1096" s="733">
        <v>1</v>
      </c>
    </row>
    <row r="1097" spans="2:5" x14ac:dyDescent="0.25">
      <c r="B1097" s="1382" t="s">
        <v>1840</v>
      </c>
      <c r="C1097" s="733" t="s">
        <v>1081</v>
      </c>
      <c r="D1097" s="733">
        <v>57.038330078125</v>
      </c>
      <c r="E1097" s="733">
        <v>1</v>
      </c>
    </row>
    <row r="1098" spans="2:5" x14ac:dyDescent="0.25">
      <c r="B1098" s="1382" t="s">
        <v>1840</v>
      </c>
      <c r="C1098" s="733" t="s">
        <v>1080</v>
      </c>
      <c r="D1098" s="733">
        <v>66.958244323730469</v>
      </c>
      <c r="E1098" s="733">
        <v>1</v>
      </c>
    </row>
    <row r="1099" spans="2:5" x14ac:dyDescent="0.25">
      <c r="B1099" s="1382" t="s">
        <v>1840</v>
      </c>
      <c r="C1099" s="733" t="s">
        <v>1081</v>
      </c>
      <c r="D1099" s="733">
        <v>80.120468139648438</v>
      </c>
      <c r="E1099" s="733">
        <v>1</v>
      </c>
    </row>
    <row r="1100" spans="2:5" x14ac:dyDescent="0.25">
      <c r="B1100" s="1382" t="s">
        <v>1840</v>
      </c>
      <c r="C1100" s="733" t="s">
        <v>1080</v>
      </c>
      <c r="D1100" s="733">
        <v>45.093086242675781</v>
      </c>
      <c r="E1100" s="733">
        <v>1</v>
      </c>
    </row>
    <row r="1101" spans="2:5" x14ac:dyDescent="0.25">
      <c r="B1101" s="1382" t="s">
        <v>1840</v>
      </c>
      <c r="C1101" s="733" t="s">
        <v>1080</v>
      </c>
      <c r="D1101" s="733">
        <v>72.508552551269531</v>
      </c>
      <c r="E1101" s="733">
        <v>1</v>
      </c>
    </row>
    <row r="1102" spans="2:5" x14ac:dyDescent="0.25">
      <c r="B1102" s="1382" t="s">
        <v>1840</v>
      </c>
      <c r="C1102" s="733" t="s">
        <v>1080</v>
      </c>
      <c r="D1102" s="733">
        <v>72.596855163574219</v>
      </c>
      <c r="E1102" s="733">
        <v>1</v>
      </c>
    </row>
    <row r="1103" spans="2:5" x14ac:dyDescent="0.25">
      <c r="B1103" s="1382" t="s">
        <v>1840</v>
      </c>
      <c r="C1103" s="733" t="s">
        <v>1080</v>
      </c>
      <c r="D1103" s="733">
        <v>41.632442474365234</v>
      </c>
      <c r="E1103" s="733">
        <v>1</v>
      </c>
    </row>
    <row r="1104" spans="2:5" x14ac:dyDescent="0.25">
      <c r="B1104" s="1382" t="s">
        <v>1840</v>
      </c>
      <c r="C1104" s="733" t="s">
        <v>1081</v>
      </c>
      <c r="D1104" s="733">
        <v>59.197124481201172</v>
      </c>
      <c r="E1104" s="733">
        <v>1</v>
      </c>
    </row>
    <row r="1105" spans="2:5" x14ac:dyDescent="0.25">
      <c r="B1105" s="1382" t="s">
        <v>1840</v>
      </c>
      <c r="C1105" s="733" t="s">
        <v>1081</v>
      </c>
      <c r="D1105" s="733">
        <v>71.908966064453125</v>
      </c>
      <c r="E1105" s="733">
        <v>1</v>
      </c>
    </row>
    <row r="1106" spans="2:5" x14ac:dyDescent="0.25">
      <c r="B1106" s="1382" t="s">
        <v>1840</v>
      </c>
      <c r="C1106" s="733" t="s">
        <v>1080</v>
      </c>
      <c r="D1106" s="733">
        <v>71.331283569335938</v>
      </c>
      <c r="E1106" s="733">
        <v>1</v>
      </c>
    </row>
    <row r="1107" spans="2:5" x14ac:dyDescent="0.25">
      <c r="B1107" s="1382" t="s">
        <v>1840</v>
      </c>
      <c r="C1107" s="733" t="s">
        <v>1080</v>
      </c>
      <c r="D1107" s="733">
        <v>65.284736633300781</v>
      </c>
      <c r="E1107" s="733">
        <v>1</v>
      </c>
    </row>
    <row r="1108" spans="2:5" x14ac:dyDescent="0.25">
      <c r="B1108" s="1382" t="s">
        <v>1840</v>
      </c>
      <c r="C1108" s="733" t="s">
        <v>1080</v>
      </c>
      <c r="D1108" s="733">
        <v>59.355918884277344</v>
      </c>
      <c r="E1108" s="733">
        <v>1</v>
      </c>
    </row>
    <row r="1109" spans="2:5" x14ac:dyDescent="0.25">
      <c r="B1109" s="1382" t="s">
        <v>1840</v>
      </c>
      <c r="C1109" s="733" t="s">
        <v>1080</v>
      </c>
      <c r="D1109" s="733">
        <v>54.106777191162109</v>
      </c>
      <c r="E1109" s="733">
        <v>1</v>
      </c>
    </row>
    <row r="1110" spans="2:5" x14ac:dyDescent="0.25">
      <c r="B1110" s="1382" t="s">
        <v>1840</v>
      </c>
      <c r="C1110" s="733" t="s">
        <v>1080</v>
      </c>
      <c r="D1110" s="733">
        <v>71.722793579101563</v>
      </c>
      <c r="E1110" s="733">
        <v>1</v>
      </c>
    </row>
    <row r="1111" spans="2:5" x14ac:dyDescent="0.25">
      <c r="B1111" s="1382" t="s">
        <v>1840</v>
      </c>
      <c r="C1111" s="733" t="s">
        <v>1080</v>
      </c>
      <c r="D1111" s="733">
        <v>67.120468139648438</v>
      </c>
      <c r="E1111" s="733">
        <v>1</v>
      </c>
    </row>
    <row r="1112" spans="2:5" x14ac:dyDescent="0.25">
      <c r="B1112" s="1382" t="s">
        <v>1840</v>
      </c>
      <c r="C1112" s="733" t="s">
        <v>1080</v>
      </c>
      <c r="D1112" s="733">
        <v>65.919235229492188</v>
      </c>
      <c r="E1112" s="733">
        <v>1</v>
      </c>
    </row>
    <row r="1113" spans="2:5" x14ac:dyDescent="0.25">
      <c r="B1113" s="1382" t="s">
        <v>1840</v>
      </c>
      <c r="C1113" s="733" t="s">
        <v>1080</v>
      </c>
      <c r="D1113" s="733">
        <v>73.763175964355469</v>
      </c>
      <c r="E1113" s="733">
        <v>1</v>
      </c>
    </row>
    <row r="1114" spans="2:5" x14ac:dyDescent="0.25">
      <c r="B1114" s="1382" t="s">
        <v>1840</v>
      </c>
      <c r="C1114" s="733" t="s">
        <v>1080</v>
      </c>
      <c r="D1114" s="733">
        <v>78.674880981445313</v>
      </c>
      <c r="E1114" s="733">
        <v>1</v>
      </c>
    </row>
    <row r="1115" spans="2:5" x14ac:dyDescent="0.25">
      <c r="B1115" s="1382" t="s">
        <v>1840</v>
      </c>
      <c r="C1115" s="733" t="s">
        <v>1080</v>
      </c>
      <c r="D1115" s="733">
        <v>70.306640625</v>
      </c>
      <c r="E1115" s="733">
        <v>1</v>
      </c>
    </row>
    <row r="1116" spans="2:5" x14ac:dyDescent="0.25">
      <c r="B1116" s="1382" t="s">
        <v>1840</v>
      </c>
      <c r="C1116" s="733" t="s">
        <v>1081</v>
      </c>
      <c r="D1116" s="733">
        <v>58.246406555175781</v>
      </c>
      <c r="E1116" s="733">
        <v>1</v>
      </c>
    </row>
    <row r="1117" spans="2:5" x14ac:dyDescent="0.25">
      <c r="B1117" s="1382" t="s">
        <v>1840</v>
      </c>
      <c r="C1117" s="733" t="s">
        <v>1080</v>
      </c>
      <c r="D1117" s="733">
        <v>76.136894226074219</v>
      </c>
      <c r="E1117" s="733">
        <v>1</v>
      </c>
    </row>
    <row r="1118" spans="2:5" x14ac:dyDescent="0.25">
      <c r="B1118" s="1382" t="s">
        <v>1840</v>
      </c>
      <c r="C1118" s="733" t="s">
        <v>1080</v>
      </c>
      <c r="D1118" s="733">
        <v>78.394248962402344</v>
      </c>
      <c r="E1118" s="733">
        <v>1</v>
      </c>
    </row>
    <row r="1119" spans="2:5" x14ac:dyDescent="0.25">
      <c r="B1119" s="1382" t="s">
        <v>1840</v>
      </c>
      <c r="C1119" s="733" t="s">
        <v>1081</v>
      </c>
      <c r="D1119" s="733">
        <v>66.091720581054688</v>
      </c>
      <c r="E1119" s="733">
        <v>1</v>
      </c>
    </row>
    <row r="1120" spans="2:5" x14ac:dyDescent="0.25">
      <c r="B1120" s="1382" t="s">
        <v>1840</v>
      </c>
      <c r="C1120" s="733" t="s">
        <v>1080</v>
      </c>
      <c r="D1120" s="733">
        <v>42.791240692138672</v>
      </c>
      <c r="E1120" s="733">
        <v>1</v>
      </c>
    </row>
    <row r="1121" spans="2:5" x14ac:dyDescent="0.25">
      <c r="B1121" s="1382" t="s">
        <v>1840</v>
      </c>
      <c r="C1121" s="733" t="s">
        <v>1080</v>
      </c>
      <c r="D1121" s="733">
        <v>44.180698394775391</v>
      </c>
      <c r="E1121" s="733">
        <v>1</v>
      </c>
    </row>
    <row r="1122" spans="2:5" x14ac:dyDescent="0.25">
      <c r="B1122" s="1382" t="s">
        <v>1840</v>
      </c>
      <c r="C1122" s="733" t="s">
        <v>1080</v>
      </c>
      <c r="D1122" s="733">
        <v>71.158798217773438</v>
      </c>
      <c r="E1122" s="733">
        <v>1</v>
      </c>
    </row>
    <row r="1123" spans="2:5" x14ac:dyDescent="0.25">
      <c r="B1123" s="1382" t="s">
        <v>1840</v>
      </c>
      <c r="C1123" s="733" t="s">
        <v>1081</v>
      </c>
      <c r="D1123" s="733">
        <v>76.1533203125</v>
      </c>
      <c r="E1123" s="733">
        <v>1</v>
      </c>
    </row>
    <row r="1124" spans="2:5" x14ac:dyDescent="0.25">
      <c r="B1124" s="1382" t="s">
        <v>1840</v>
      </c>
      <c r="C1124" s="733" t="s">
        <v>1081</v>
      </c>
      <c r="D1124" s="733">
        <v>60.060234069824219</v>
      </c>
      <c r="E1124" s="733">
        <v>1</v>
      </c>
    </row>
    <row r="1125" spans="2:5" x14ac:dyDescent="0.25">
      <c r="B1125" s="1382" t="s">
        <v>1840</v>
      </c>
      <c r="C1125" s="733" t="s">
        <v>1080</v>
      </c>
      <c r="D1125" s="733">
        <v>67.090347290039063</v>
      </c>
      <c r="E1125" s="733">
        <v>1</v>
      </c>
    </row>
    <row r="1126" spans="2:5" x14ac:dyDescent="0.25">
      <c r="B1126" s="1382" t="s">
        <v>1840</v>
      </c>
      <c r="C1126" s="733" t="s">
        <v>1081</v>
      </c>
      <c r="D1126" s="733">
        <v>68.084877014160156</v>
      </c>
      <c r="E1126" s="733">
        <v>1</v>
      </c>
    </row>
    <row r="1127" spans="2:5" x14ac:dyDescent="0.25">
      <c r="B1127" s="1382" t="s">
        <v>1840</v>
      </c>
      <c r="C1127" s="733" t="s">
        <v>1080</v>
      </c>
      <c r="D1127" s="733">
        <v>52.002738952636719</v>
      </c>
      <c r="E1127" s="733">
        <v>1</v>
      </c>
    </row>
    <row r="1128" spans="2:5" x14ac:dyDescent="0.25">
      <c r="B1128" s="1382" t="s">
        <v>1840</v>
      </c>
      <c r="C1128" s="733" t="s">
        <v>1080</v>
      </c>
      <c r="D1128" s="733">
        <v>65.07666015625</v>
      </c>
      <c r="E1128" s="733">
        <v>1</v>
      </c>
    </row>
    <row r="1129" spans="2:5" x14ac:dyDescent="0.25">
      <c r="B1129" s="1382" t="s">
        <v>1840</v>
      </c>
      <c r="C1129" s="733" t="s">
        <v>1080</v>
      </c>
      <c r="D1129" s="733">
        <v>62.0958251953125</v>
      </c>
      <c r="E1129" s="733">
        <v>1</v>
      </c>
    </row>
    <row r="1130" spans="2:5" x14ac:dyDescent="0.25">
      <c r="B1130" s="1382" t="s">
        <v>1840</v>
      </c>
      <c r="C1130" s="733" t="s">
        <v>1080</v>
      </c>
      <c r="D1130" s="733">
        <v>61.585899353027344</v>
      </c>
      <c r="E1130" s="733">
        <v>1</v>
      </c>
    </row>
    <row r="1131" spans="2:5" x14ac:dyDescent="0.25">
      <c r="B1131" s="1382" t="s">
        <v>1840</v>
      </c>
      <c r="C1131" s="733" t="s">
        <v>1080</v>
      </c>
      <c r="D1131" s="733">
        <v>66.068443298339844</v>
      </c>
      <c r="E1131" s="733">
        <v>1</v>
      </c>
    </row>
    <row r="1132" spans="2:5" x14ac:dyDescent="0.25">
      <c r="B1132" s="1382" t="s">
        <v>1840</v>
      </c>
      <c r="C1132" s="733" t="s">
        <v>1080</v>
      </c>
      <c r="D1132" s="733">
        <v>78.224502563476563</v>
      </c>
      <c r="E1132" s="733">
        <v>1</v>
      </c>
    </row>
    <row r="1133" spans="2:5" x14ac:dyDescent="0.25">
      <c r="B1133" s="1382" t="s">
        <v>1840</v>
      </c>
      <c r="C1133" s="733" t="s">
        <v>1080</v>
      </c>
      <c r="D1133" s="733">
        <v>71.227241516113281</v>
      </c>
      <c r="E1133" s="733">
        <v>1</v>
      </c>
    </row>
    <row r="1134" spans="2:5" x14ac:dyDescent="0.25">
      <c r="B1134" s="1382" t="s">
        <v>1840</v>
      </c>
      <c r="C1134" s="733" t="s">
        <v>1081</v>
      </c>
      <c r="D1134" s="733">
        <v>72.117729187011719</v>
      </c>
      <c r="E1134" s="733">
        <v>1</v>
      </c>
    </row>
    <row r="1135" spans="2:5" x14ac:dyDescent="0.25">
      <c r="B1135" s="1382" t="s">
        <v>1840</v>
      </c>
      <c r="C1135" s="733" t="s">
        <v>1080</v>
      </c>
      <c r="D1135" s="733">
        <v>70.0958251953125</v>
      </c>
      <c r="E1135" s="733">
        <v>1</v>
      </c>
    </row>
    <row r="1136" spans="2:5" x14ac:dyDescent="0.25">
      <c r="B1136" s="1382" t="s">
        <v>1840</v>
      </c>
      <c r="C1136" s="733" t="s">
        <v>1080</v>
      </c>
      <c r="D1136" s="733">
        <v>63.2491455078125</v>
      </c>
      <c r="E1136" s="733">
        <v>1</v>
      </c>
    </row>
    <row r="1137" spans="2:5" x14ac:dyDescent="0.25">
      <c r="B1137" s="1382" t="s">
        <v>1840</v>
      </c>
      <c r="C1137" s="733" t="s">
        <v>1080</v>
      </c>
      <c r="D1137" s="733">
        <v>76.254623413085938</v>
      </c>
      <c r="E1137" s="733">
        <v>1</v>
      </c>
    </row>
    <row r="1138" spans="2:5" x14ac:dyDescent="0.25">
      <c r="B1138" s="1382" t="s">
        <v>1840</v>
      </c>
      <c r="C1138" s="733" t="s">
        <v>1080</v>
      </c>
      <c r="D1138" s="733">
        <v>63.0958251953125</v>
      </c>
      <c r="E1138" s="733">
        <v>1</v>
      </c>
    </row>
    <row r="1139" spans="2:5" x14ac:dyDescent="0.25">
      <c r="B1139" s="1382" t="s">
        <v>1840</v>
      </c>
      <c r="C1139" s="733" t="s">
        <v>1080</v>
      </c>
      <c r="D1139" s="733">
        <v>51.380561828613281</v>
      </c>
      <c r="E1139" s="733">
        <v>1</v>
      </c>
    </row>
    <row r="1140" spans="2:5" x14ac:dyDescent="0.25">
      <c r="B1140" s="1382" t="s">
        <v>1840</v>
      </c>
      <c r="C1140" s="733" t="s">
        <v>1080</v>
      </c>
      <c r="D1140" s="733">
        <v>57.331279754638672</v>
      </c>
      <c r="E1140" s="733">
        <v>1</v>
      </c>
    </row>
    <row r="1141" spans="2:5" x14ac:dyDescent="0.25">
      <c r="B1141" s="1382" t="s">
        <v>1840</v>
      </c>
      <c r="C1141" s="733" t="s">
        <v>1080</v>
      </c>
      <c r="D1141" s="733">
        <v>59.497604370117188</v>
      </c>
      <c r="E1141" s="733">
        <v>1</v>
      </c>
    </row>
    <row r="1142" spans="2:5" x14ac:dyDescent="0.25">
      <c r="B1142" s="1382" t="s">
        <v>1840</v>
      </c>
      <c r="C1142" s="733" t="s">
        <v>1080</v>
      </c>
      <c r="D1142" s="733">
        <v>80.53662109375</v>
      </c>
      <c r="E1142" s="733">
        <v>1</v>
      </c>
    </row>
    <row r="1143" spans="2:5" x14ac:dyDescent="0.25">
      <c r="B1143" s="1382" t="s">
        <v>1840</v>
      </c>
      <c r="C1143" s="733" t="s">
        <v>1080</v>
      </c>
      <c r="D1143" s="733">
        <v>68.046546936035156</v>
      </c>
      <c r="E1143" s="733">
        <v>1</v>
      </c>
    </row>
    <row r="1144" spans="2:5" x14ac:dyDescent="0.25">
      <c r="B1144" s="1382" t="s">
        <v>1840</v>
      </c>
      <c r="C1144" s="733" t="s">
        <v>1081</v>
      </c>
      <c r="D1144" s="733">
        <v>43.093086242675781</v>
      </c>
      <c r="E1144" s="733">
        <v>1</v>
      </c>
    </row>
    <row r="1145" spans="2:5" x14ac:dyDescent="0.25">
      <c r="B1145" s="1382" t="s">
        <v>1840</v>
      </c>
      <c r="C1145" s="733" t="s">
        <v>1080</v>
      </c>
      <c r="D1145" s="733">
        <v>64.027381896972656</v>
      </c>
      <c r="E1145" s="733">
        <v>1</v>
      </c>
    </row>
    <row r="1146" spans="2:5" x14ac:dyDescent="0.25">
      <c r="B1146" s="1382" t="s">
        <v>1840</v>
      </c>
      <c r="C1146" s="733" t="s">
        <v>1080</v>
      </c>
      <c r="D1146" s="733">
        <v>79.405204772949219</v>
      </c>
      <c r="E1146" s="733">
        <v>1</v>
      </c>
    </row>
    <row r="1147" spans="2:5" x14ac:dyDescent="0.25">
      <c r="B1147" s="1382" t="s">
        <v>1840</v>
      </c>
      <c r="C1147" s="733" t="s">
        <v>1080</v>
      </c>
      <c r="D1147" s="733">
        <v>55.027378082275391</v>
      </c>
      <c r="E1147" s="733">
        <v>1</v>
      </c>
    </row>
    <row r="1148" spans="2:5" x14ac:dyDescent="0.25">
      <c r="B1148" s="1382" t="s">
        <v>1840</v>
      </c>
      <c r="C1148" s="733" t="s">
        <v>1081</v>
      </c>
      <c r="D1148" s="733">
        <v>63.156059265136719</v>
      </c>
      <c r="E1148" s="733">
        <v>1</v>
      </c>
    </row>
    <row r="1149" spans="2:5" x14ac:dyDescent="0.25">
      <c r="B1149" s="1382" t="s">
        <v>1840</v>
      </c>
      <c r="C1149" s="733" t="s">
        <v>1080</v>
      </c>
      <c r="D1149" s="733">
        <v>71.495552062988281</v>
      </c>
      <c r="E1149" s="733">
        <v>1</v>
      </c>
    </row>
    <row r="1150" spans="2:5" x14ac:dyDescent="0.25">
      <c r="B1150" s="1382" t="s">
        <v>1840</v>
      </c>
      <c r="C1150" s="733" t="s">
        <v>1080</v>
      </c>
      <c r="D1150" s="733">
        <v>68.098564147949219</v>
      </c>
      <c r="E1150" s="733">
        <v>1</v>
      </c>
    </row>
    <row r="1151" spans="2:5" x14ac:dyDescent="0.25">
      <c r="B1151" s="1382" t="s">
        <v>1840</v>
      </c>
      <c r="C1151" s="733" t="s">
        <v>1081</v>
      </c>
      <c r="D1151" s="733">
        <v>62.191650390625</v>
      </c>
      <c r="E1151" s="733">
        <v>1</v>
      </c>
    </row>
    <row r="1152" spans="2:5" x14ac:dyDescent="0.25">
      <c r="B1152" s="1382" t="s">
        <v>1840</v>
      </c>
      <c r="C1152" s="733" t="s">
        <v>1080</v>
      </c>
      <c r="D1152" s="733">
        <v>72.120468139648438</v>
      </c>
      <c r="E1152" s="733">
        <v>1</v>
      </c>
    </row>
    <row r="1153" spans="2:5" x14ac:dyDescent="0.25">
      <c r="B1153" s="1382" t="s">
        <v>1840</v>
      </c>
      <c r="C1153" s="733" t="s">
        <v>1081</v>
      </c>
      <c r="D1153" s="733">
        <v>75.84326171875</v>
      </c>
      <c r="E1153" s="733">
        <v>1</v>
      </c>
    </row>
    <row r="1154" spans="2:5" x14ac:dyDescent="0.25">
      <c r="B1154" s="1382" t="s">
        <v>1840</v>
      </c>
      <c r="C1154" s="733" t="s">
        <v>1081</v>
      </c>
      <c r="D1154" s="733">
        <v>52.169746398925781</v>
      </c>
      <c r="E1154" s="733">
        <v>1</v>
      </c>
    </row>
    <row r="1155" spans="2:5" x14ac:dyDescent="0.25">
      <c r="B1155" s="1382" t="s">
        <v>1840</v>
      </c>
      <c r="C1155" s="733" t="s">
        <v>1081</v>
      </c>
      <c r="D1155" s="733">
        <v>73.145103454589844</v>
      </c>
      <c r="E1155" s="733">
        <v>1</v>
      </c>
    </row>
    <row r="1156" spans="2:5" x14ac:dyDescent="0.25">
      <c r="B1156" s="1382" t="s">
        <v>1840</v>
      </c>
      <c r="C1156" s="733" t="s">
        <v>1080</v>
      </c>
      <c r="D1156" s="733">
        <v>74.979469299316406</v>
      </c>
      <c r="E1156" s="733">
        <v>1</v>
      </c>
    </row>
    <row r="1157" spans="2:5" x14ac:dyDescent="0.25">
      <c r="B1157" s="1382" t="s">
        <v>1840</v>
      </c>
      <c r="C1157" s="733" t="s">
        <v>1080</v>
      </c>
      <c r="D1157" s="733">
        <v>77.145103454589844</v>
      </c>
      <c r="E1157" s="733">
        <v>1</v>
      </c>
    </row>
    <row r="1158" spans="2:5" x14ac:dyDescent="0.25">
      <c r="B1158" s="1382" t="s">
        <v>1840</v>
      </c>
      <c r="C1158" s="733" t="s">
        <v>1081</v>
      </c>
      <c r="D1158" s="733">
        <v>66.136894226074219</v>
      </c>
      <c r="E1158" s="733">
        <v>1</v>
      </c>
    </row>
    <row r="1159" spans="2:5" x14ac:dyDescent="0.25">
      <c r="B1159" s="1382" t="s">
        <v>1840</v>
      </c>
      <c r="C1159" s="733" t="s">
        <v>1081</v>
      </c>
      <c r="D1159" s="733">
        <v>67.065711975097656</v>
      </c>
      <c r="E1159" s="733">
        <v>1</v>
      </c>
    </row>
    <row r="1160" spans="2:5" x14ac:dyDescent="0.25">
      <c r="B1160" s="1382" t="s">
        <v>1840</v>
      </c>
      <c r="C1160" s="733" t="s">
        <v>1081</v>
      </c>
      <c r="D1160" s="733">
        <v>72.236824035644531</v>
      </c>
      <c r="E1160" s="733">
        <v>1</v>
      </c>
    </row>
    <row r="1161" spans="2:5" x14ac:dyDescent="0.25">
      <c r="B1161" s="1382" t="s">
        <v>1840</v>
      </c>
      <c r="C1161" s="733" t="s">
        <v>1080</v>
      </c>
      <c r="D1161" s="733">
        <v>74.07666015625</v>
      </c>
      <c r="E1161" s="733">
        <v>1</v>
      </c>
    </row>
    <row r="1162" spans="2:5" x14ac:dyDescent="0.25">
      <c r="B1162" s="1382" t="s">
        <v>1840</v>
      </c>
      <c r="C1162" s="733" t="s">
        <v>1081</v>
      </c>
      <c r="D1162" s="733">
        <v>70.227241516113281</v>
      </c>
      <c r="E1162" s="733">
        <v>1</v>
      </c>
    </row>
    <row r="1163" spans="2:5" x14ac:dyDescent="0.25">
      <c r="B1163" s="1382" t="s">
        <v>1840</v>
      </c>
      <c r="C1163" s="733" t="s">
        <v>1080</v>
      </c>
      <c r="D1163" s="733">
        <v>49.640655517578125</v>
      </c>
      <c r="E1163" s="733">
        <v>1</v>
      </c>
    </row>
    <row r="1164" spans="2:5" x14ac:dyDescent="0.25">
      <c r="B1164" s="1382" t="s">
        <v>1840</v>
      </c>
      <c r="C1164" s="733" t="s">
        <v>1080</v>
      </c>
      <c r="D1164" s="733">
        <v>61.443531036376953</v>
      </c>
      <c r="E1164" s="733">
        <v>1</v>
      </c>
    </row>
    <row r="1165" spans="2:5" x14ac:dyDescent="0.25">
      <c r="B1165" s="1382" t="s">
        <v>1840</v>
      </c>
      <c r="C1165" s="733" t="s">
        <v>1080</v>
      </c>
      <c r="D1165" s="733">
        <v>73.098564147949219</v>
      </c>
      <c r="E1165" s="733">
        <v>1</v>
      </c>
    </row>
    <row r="1166" spans="2:5" x14ac:dyDescent="0.25">
      <c r="B1166" s="1382" t="s">
        <v>1840</v>
      </c>
      <c r="C1166" s="733" t="s">
        <v>1081</v>
      </c>
      <c r="D1166" s="733">
        <v>59.0574951171875</v>
      </c>
      <c r="E1166" s="733">
        <v>1</v>
      </c>
    </row>
    <row r="1167" spans="2:5" x14ac:dyDescent="0.25">
      <c r="B1167" s="1382" t="s">
        <v>1840</v>
      </c>
      <c r="C1167" s="733" t="s">
        <v>1080</v>
      </c>
      <c r="D1167" s="733">
        <v>28.974674224853516</v>
      </c>
      <c r="E1167" s="733">
        <v>1</v>
      </c>
    </row>
    <row r="1168" spans="2:5" x14ac:dyDescent="0.25">
      <c r="B1168" s="1382" t="s">
        <v>1840</v>
      </c>
      <c r="C1168" s="733" t="s">
        <v>1080</v>
      </c>
      <c r="D1168" s="733">
        <v>77.079399108886719</v>
      </c>
      <c r="E1168" s="733">
        <v>1</v>
      </c>
    </row>
    <row r="1169" spans="2:5" x14ac:dyDescent="0.25">
      <c r="B1169" s="1382" t="s">
        <v>1840</v>
      </c>
      <c r="C1169" s="733" t="s">
        <v>1080</v>
      </c>
      <c r="D1169" s="733">
        <v>66.655715942382813</v>
      </c>
      <c r="E1169" s="733">
        <v>1</v>
      </c>
    </row>
    <row r="1170" spans="2:5" x14ac:dyDescent="0.25">
      <c r="B1170" s="1382" t="s">
        <v>1840</v>
      </c>
      <c r="C1170" s="733" t="s">
        <v>1081</v>
      </c>
      <c r="D1170" s="733">
        <v>50.257358551025391</v>
      </c>
      <c r="E1170" s="733">
        <v>1</v>
      </c>
    </row>
    <row r="1171" spans="2:5" x14ac:dyDescent="0.25">
      <c r="B1171" s="1382" t="s">
        <v>1840</v>
      </c>
      <c r="C1171" s="733" t="s">
        <v>1080</v>
      </c>
      <c r="D1171" s="733">
        <v>49.301162719726563</v>
      </c>
      <c r="E1171" s="733">
        <v>1</v>
      </c>
    </row>
    <row r="1172" spans="2:5" x14ac:dyDescent="0.25">
      <c r="B1172" s="1382" t="s">
        <v>1840</v>
      </c>
      <c r="C1172" s="733" t="s">
        <v>1080</v>
      </c>
      <c r="D1172" s="733">
        <v>68.161529541015625</v>
      </c>
      <c r="E1172" s="733">
        <v>1</v>
      </c>
    </row>
    <row r="1173" spans="2:5" x14ac:dyDescent="0.25">
      <c r="B1173" s="1382" t="s">
        <v>1840</v>
      </c>
      <c r="C1173" s="733" t="s">
        <v>1081</v>
      </c>
      <c r="D1173" s="733">
        <v>64.1341552734375</v>
      </c>
      <c r="E1173" s="733">
        <v>1</v>
      </c>
    </row>
    <row r="1174" spans="2:5" x14ac:dyDescent="0.25">
      <c r="B1174" s="1382" t="s">
        <v>1840</v>
      </c>
      <c r="C1174" s="733" t="s">
        <v>1081</v>
      </c>
      <c r="D1174" s="733">
        <v>74.880218505859375</v>
      </c>
      <c r="E1174" s="733">
        <v>1</v>
      </c>
    </row>
    <row r="1175" spans="2:5" x14ac:dyDescent="0.25">
      <c r="B1175" s="1382" t="s">
        <v>1840</v>
      </c>
      <c r="C1175" s="733" t="s">
        <v>1080</v>
      </c>
      <c r="D1175" s="733">
        <v>75.238189697265625</v>
      </c>
      <c r="E1175" s="733">
        <v>1</v>
      </c>
    </row>
    <row r="1176" spans="2:5" x14ac:dyDescent="0.25">
      <c r="B1176" s="1382" t="s">
        <v>1840</v>
      </c>
      <c r="C1176" s="733" t="s">
        <v>1080</v>
      </c>
      <c r="D1176" s="733">
        <v>71.158798217773438</v>
      </c>
      <c r="E1176" s="733">
        <v>1</v>
      </c>
    </row>
    <row r="1177" spans="2:5" x14ac:dyDescent="0.25">
      <c r="B1177" s="1382" t="s">
        <v>1840</v>
      </c>
      <c r="C1177" s="733" t="s">
        <v>1081</v>
      </c>
      <c r="D1177" s="733">
        <v>73.139633178710938</v>
      </c>
      <c r="E1177" s="733">
        <v>1</v>
      </c>
    </row>
    <row r="1178" spans="2:5" x14ac:dyDescent="0.25">
      <c r="B1178" s="1382" t="s">
        <v>1840</v>
      </c>
      <c r="C1178" s="733" t="s">
        <v>1080</v>
      </c>
      <c r="D1178" s="733">
        <v>68.125938415527344</v>
      </c>
      <c r="E1178" s="733">
        <v>1</v>
      </c>
    </row>
    <row r="1179" spans="2:5" x14ac:dyDescent="0.25">
      <c r="B1179" s="1382" t="s">
        <v>1840</v>
      </c>
      <c r="C1179" s="733" t="s">
        <v>1081</v>
      </c>
      <c r="D1179" s="733">
        <v>66.07666015625</v>
      </c>
      <c r="E1179" s="733">
        <v>1</v>
      </c>
    </row>
    <row r="1180" spans="2:5" x14ac:dyDescent="0.25">
      <c r="B1180" s="1382" t="s">
        <v>1840</v>
      </c>
      <c r="C1180" s="733" t="s">
        <v>1080</v>
      </c>
      <c r="D1180" s="733">
        <v>67.082138061523438</v>
      </c>
      <c r="E1180" s="733">
        <v>1</v>
      </c>
    </row>
    <row r="1181" spans="2:5" x14ac:dyDescent="0.25">
      <c r="B1181" s="1382" t="s">
        <v>1840</v>
      </c>
      <c r="C1181" s="733" t="s">
        <v>1081</v>
      </c>
      <c r="D1181" s="733">
        <v>77</v>
      </c>
      <c r="E1181" s="733">
        <v>1</v>
      </c>
    </row>
    <row r="1182" spans="2:5" x14ac:dyDescent="0.25">
      <c r="B1182" s="1382" t="s">
        <v>1840</v>
      </c>
      <c r="C1182" s="733" t="s">
        <v>1080</v>
      </c>
      <c r="D1182" s="733">
        <v>77.265571594238281</v>
      </c>
      <c r="E1182" s="733">
        <v>1</v>
      </c>
    </row>
    <row r="1183" spans="2:5" x14ac:dyDescent="0.25">
      <c r="B1183" s="1382" t="s">
        <v>1840</v>
      </c>
      <c r="C1183" s="733" t="s">
        <v>1080</v>
      </c>
      <c r="D1183" s="733">
        <v>57.186172485351563</v>
      </c>
      <c r="E1183" s="733">
        <v>1</v>
      </c>
    </row>
    <row r="1184" spans="2:5" x14ac:dyDescent="0.25">
      <c r="B1184" s="1382" t="s">
        <v>1840</v>
      </c>
      <c r="C1184" s="733" t="s">
        <v>1081</v>
      </c>
      <c r="D1184" s="733">
        <v>60.068447113037109</v>
      </c>
      <c r="E1184" s="733">
        <v>1</v>
      </c>
    </row>
    <row r="1185" spans="2:5" x14ac:dyDescent="0.25">
      <c r="B1185" s="1382" t="s">
        <v>1840</v>
      </c>
      <c r="C1185" s="733" t="s">
        <v>1081</v>
      </c>
      <c r="D1185" s="733">
        <v>56.106777191162109</v>
      </c>
      <c r="E1185" s="733">
        <v>1</v>
      </c>
    </row>
    <row r="1186" spans="2:5" x14ac:dyDescent="0.25">
      <c r="B1186" s="1382" t="s">
        <v>1840</v>
      </c>
      <c r="C1186" s="733" t="s">
        <v>1081</v>
      </c>
      <c r="D1186" s="733">
        <v>80.793289184570313</v>
      </c>
      <c r="E1186" s="733">
        <v>1</v>
      </c>
    </row>
    <row r="1187" spans="2:5" x14ac:dyDescent="0.25">
      <c r="B1187" s="1382" t="s">
        <v>1840</v>
      </c>
      <c r="C1187" s="733" t="s">
        <v>1081</v>
      </c>
      <c r="D1187" s="733">
        <v>72.07666015625</v>
      </c>
      <c r="E1187" s="733">
        <v>1</v>
      </c>
    </row>
    <row r="1188" spans="2:5" x14ac:dyDescent="0.25">
      <c r="B1188" s="1382" t="s">
        <v>1840</v>
      </c>
      <c r="C1188" s="733" t="s">
        <v>1080</v>
      </c>
      <c r="D1188" s="733">
        <v>68.344970703125</v>
      </c>
      <c r="E1188" s="733">
        <v>1</v>
      </c>
    </row>
    <row r="1189" spans="2:5" x14ac:dyDescent="0.25">
      <c r="B1189" s="1382" t="s">
        <v>1840</v>
      </c>
      <c r="C1189" s="733" t="s">
        <v>1080</v>
      </c>
      <c r="D1189" s="733">
        <v>66.177963256835938</v>
      </c>
      <c r="E1189" s="733">
        <v>1</v>
      </c>
    </row>
    <row r="1190" spans="2:5" x14ac:dyDescent="0.25">
      <c r="B1190" s="1382" t="s">
        <v>1840</v>
      </c>
      <c r="C1190" s="733" t="s">
        <v>1080</v>
      </c>
      <c r="D1190" s="733">
        <v>65.490074157714844</v>
      </c>
      <c r="E1190" s="733">
        <v>1</v>
      </c>
    </row>
    <row r="1191" spans="2:5" x14ac:dyDescent="0.25">
      <c r="B1191" s="1382" t="s">
        <v>1840</v>
      </c>
      <c r="C1191" s="733" t="s">
        <v>1081</v>
      </c>
      <c r="D1191" s="733">
        <v>57.208076477050781</v>
      </c>
      <c r="E1191" s="733">
        <v>1</v>
      </c>
    </row>
    <row r="1192" spans="2:5" x14ac:dyDescent="0.25">
      <c r="B1192" s="1382" t="s">
        <v>1840</v>
      </c>
      <c r="C1192" s="733" t="s">
        <v>1080</v>
      </c>
      <c r="D1192" s="733">
        <v>67.697463989257813</v>
      </c>
      <c r="E1192" s="733">
        <v>1</v>
      </c>
    </row>
    <row r="1193" spans="2:5" x14ac:dyDescent="0.25">
      <c r="B1193" s="1382" t="s">
        <v>1840</v>
      </c>
      <c r="C1193" s="733" t="s">
        <v>1080</v>
      </c>
      <c r="D1193" s="733">
        <v>63.216289520263672</v>
      </c>
      <c r="E1193" s="733">
        <v>1</v>
      </c>
    </row>
    <row r="1194" spans="2:5" x14ac:dyDescent="0.25">
      <c r="B1194" s="1382" t="s">
        <v>1840</v>
      </c>
      <c r="C1194" s="733" t="s">
        <v>1080</v>
      </c>
      <c r="D1194" s="733">
        <v>49.005474090576172</v>
      </c>
      <c r="E1194" s="733">
        <v>1</v>
      </c>
    </row>
    <row r="1195" spans="2:5" x14ac:dyDescent="0.25">
      <c r="B1195" s="1382" t="s">
        <v>1840</v>
      </c>
      <c r="C1195" s="733" t="s">
        <v>1080</v>
      </c>
      <c r="D1195" s="733">
        <v>62.065708160400391</v>
      </c>
      <c r="E1195" s="733">
        <v>1</v>
      </c>
    </row>
    <row r="1196" spans="2:5" x14ac:dyDescent="0.25">
      <c r="B1196" s="1382" t="s">
        <v>1840</v>
      </c>
      <c r="C1196" s="733" t="s">
        <v>1080</v>
      </c>
      <c r="D1196" s="733">
        <v>68.104042053222656</v>
      </c>
      <c r="E1196" s="733">
        <v>1</v>
      </c>
    </row>
    <row r="1197" spans="2:5" x14ac:dyDescent="0.25">
      <c r="B1197" s="1382" t="s">
        <v>1840</v>
      </c>
      <c r="C1197" s="733" t="s">
        <v>1080</v>
      </c>
      <c r="D1197" s="733">
        <v>81.205337524414063</v>
      </c>
      <c r="E1197" s="733">
        <v>1</v>
      </c>
    </row>
    <row r="1198" spans="2:5" x14ac:dyDescent="0.25">
      <c r="B1198" s="1382" t="s">
        <v>1840</v>
      </c>
      <c r="C1198" s="733" t="s">
        <v>1081</v>
      </c>
      <c r="D1198" s="733">
        <v>74</v>
      </c>
      <c r="E1198" s="733">
        <v>1</v>
      </c>
    </row>
    <row r="1199" spans="2:5" x14ac:dyDescent="0.25">
      <c r="B1199" s="1382" t="s">
        <v>1840</v>
      </c>
      <c r="C1199" s="733" t="s">
        <v>1080</v>
      </c>
      <c r="D1199" s="733">
        <v>59.254619598388672</v>
      </c>
      <c r="E1199" s="733">
        <v>1</v>
      </c>
    </row>
    <row r="1200" spans="2:5" x14ac:dyDescent="0.25">
      <c r="B1200" s="1382" t="s">
        <v>1840</v>
      </c>
      <c r="C1200" s="733" t="s">
        <v>1081</v>
      </c>
      <c r="D1200" s="733">
        <v>59.1724853515625</v>
      </c>
      <c r="E1200" s="733">
        <v>1</v>
      </c>
    </row>
    <row r="1201" spans="2:5" x14ac:dyDescent="0.25">
      <c r="B1201" s="1382" t="s">
        <v>1840</v>
      </c>
      <c r="C1201" s="733" t="s">
        <v>1081</v>
      </c>
      <c r="D1201" s="733">
        <v>71.060234069824219</v>
      </c>
      <c r="E1201" s="733">
        <v>1</v>
      </c>
    </row>
    <row r="1202" spans="2:5" x14ac:dyDescent="0.25">
      <c r="B1202" s="1382" t="s">
        <v>1840</v>
      </c>
      <c r="C1202" s="733" t="s">
        <v>1080</v>
      </c>
      <c r="D1202" s="733">
        <v>63.087612152099609</v>
      </c>
      <c r="E1202" s="733">
        <v>1</v>
      </c>
    </row>
    <row r="1203" spans="2:5" x14ac:dyDescent="0.25">
      <c r="B1203" s="1382" t="s">
        <v>1840</v>
      </c>
      <c r="C1203" s="733" t="s">
        <v>1080</v>
      </c>
      <c r="D1203" s="733">
        <v>64.377822875976563</v>
      </c>
      <c r="E1203" s="733">
        <v>1</v>
      </c>
    </row>
    <row r="1204" spans="2:5" x14ac:dyDescent="0.25">
      <c r="B1204" s="1382" t="s">
        <v>1840</v>
      </c>
      <c r="C1204" s="733" t="s">
        <v>1080</v>
      </c>
      <c r="D1204" s="733">
        <v>53.038330078125</v>
      </c>
      <c r="E1204" s="733">
        <v>1</v>
      </c>
    </row>
    <row r="1205" spans="2:5" x14ac:dyDescent="0.25">
      <c r="B1205" s="1382" t="s">
        <v>1840</v>
      </c>
      <c r="C1205" s="733" t="s">
        <v>1080</v>
      </c>
      <c r="D1205" s="733">
        <v>65.104042053222656</v>
      </c>
      <c r="E1205" s="733">
        <v>1</v>
      </c>
    </row>
    <row r="1206" spans="2:5" x14ac:dyDescent="0.25">
      <c r="B1206" s="1382" t="s">
        <v>1840</v>
      </c>
      <c r="C1206" s="733" t="s">
        <v>1080</v>
      </c>
      <c r="D1206" s="733">
        <v>63.093086242675781</v>
      </c>
      <c r="E1206" s="733">
        <v>1</v>
      </c>
    </row>
    <row r="1207" spans="2:5" x14ac:dyDescent="0.25">
      <c r="B1207" s="1382" t="s">
        <v>1840</v>
      </c>
      <c r="C1207" s="733" t="s">
        <v>1081</v>
      </c>
      <c r="D1207" s="733">
        <v>62.1724853515625</v>
      </c>
      <c r="E1207" s="733">
        <v>1</v>
      </c>
    </row>
    <row r="1208" spans="2:5" x14ac:dyDescent="0.25">
      <c r="B1208" s="1382" t="s">
        <v>1840</v>
      </c>
      <c r="C1208" s="733" t="s">
        <v>1080</v>
      </c>
      <c r="D1208" s="733">
        <v>52.728267669677734</v>
      </c>
      <c r="E1208" s="733">
        <v>1</v>
      </c>
    </row>
    <row r="1209" spans="2:5" x14ac:dyDescent="0.25">
      <c r="B1209" s="1382" t="s">
        <v>1840</v>
      </c>
      <c r="C1209" s="733" t="s">
        <v>1080</v>
      </c>
      <c r="D1209" s="733">
        <v>58.043804168701172</v>
      </c>
      <c r="E1209" s="733">
        <v>1</v>
      </c>
    </row>
    <row r="1210" spans="2:5" x14ac:dyDescent="0.25">
      <c r="B1210" s="1382" t="s">
        <v>1840</v>
      </c>
      <c r="C1210" s="733" t="s">
        <v>1080</v>
      </c>
      <c r="D1210" s="733">
        <v>53.136894226074219</v>
      </c>
      <c r="E1210" s="733">
        <v>1</v>
      </c>
    </row>
    <row r="1211" spans="2:5" x14ac:dyDescent="0.25">
      <c r="B1211" s="1382" t="s">
        <v>1840</v>
      </c>
      <c r="C1211" s="733" t="s">
        <v>1081</v>
      </c>
      <c r="D1211" s="733">
        <v>77.136894226074219</v>
      </c>
      <c r="E1211" s="733">
        <v>1</v>
      </c>
    </row>
    <row r="1212" spans="2:5" x14ac:dyDescent="0.25">
      <c r="B1212" s="1382" t="s">
        <v>1840</v>
      </c>
      <c r="C1212" s="733" t="s">
        <v>1080</v>
      </c>
      <c r="D1212" s="733">
        <v>73.087608337402344</v>
      </c>
      <c r="E1212" s="733">
        <v>1</v>
      </c>
    </row>
    <row r="1213" spans="2:5" x14ac:dyDescent="0.25">
      <c r="B1213" s="1382" t="s">
        <v>1840</v>
      </c>
      <c r="C1213" s="733" t="s">
        <v>1080</v>
      </c>
      <c r="D1213" s="733">
        <v>59.136894226074219</v>
      </c>
      <c r="E1213" s="733">
        <v>1</v>
      </c>
    </row>
    <row r="1214" spans="2:5" x14ac:dyDescent="0.25">
      <c r="B1214" s="1382" t="s">
        <v>1840</v>
      </c>
      <c r="C1214" s="733" t="s">
        <v>1080</v>
      </c>
      <c r="D1214" s="733">
        <v>76.098564147949219</v>
      </c>
      <c r="E1214" s="733">
        <v>1</v>
      </c>
    </row>
    <row r="1215" spans="2:5" x14ac:dyDescent="0.25">
      <c r="B1215" s="1382" t="s">
        <v>1840</v>
      </c>
      <c r="C1215" s="733" t="s">
        <v>1080</v>
      </c>
      <c r="D1215" s="733">
        <v>53.331279754638672</v>
      </c>
      <c r="E1215" s="733">
        <v>1</v>
      </c>
    </row>
    <row r="1216" spans="2:5" x14ac:dyDescent="0.25">
      <c r="B1216" s="1382" t="s">
        <v>1840</v>
      </c>
      <c r="C1216" s="733" t="s">
        <v>1080</v>
      </c>
      <c r="D1216" s="733">
        <v>61.07666015625</v>
      </c>
      <c r="E1216" s="733">
        <v>1</v>
      </c>
    </row>
    <row r="1217" spans="2:5" x14ac:dyDescent="0.25">
      <c r="B1217" s="1382" t="s">
        <v>1840</v>
      </c>
      <c r="C1217" s="733" t="s">
        <v>1080</v>
      </c>
      <c r="D1217" s="733">
        <v>54.062969207763672</v>
      </c>
      <c r="E1217" s="733">
        <v>1</v>
      </c>
    </row>
    <row r="1218" spans="2:5" x14ac:dyDescent="0.25">
      <c r="B1218" s="1382" t="s">
        <v>1840</v>
      </c>
      <c r="C1218" s="733" t="s">
        <v>1080</v>
      </c>
      <c r="D1218" s="733">
        <v>72.183433532714844</v>
      </c>
      <c r="E1218" s="733">
        <v>1</v>
      </c>
    </row>
    <row r="1219" spans="2:5" x14ac:dyDescent="0.25">
      <c r="B1219" s="1382" t="s">
        <v>1840</v>
      </c>
      <c r="C1219" s="733" t="s">
        <v>1080</v>
      </c>
      <c r="D1219" s="733">
        <v>58.276523590087891</v>
      </c>
      <c r="E1219" s="733">
        <v>1</v>
      </c>
    </row>
    <row r="1220" spans="2:5" x14ac:dyDescent="0.25">
      <c r="B1220" s="1382" t="s">
        <v>1840</v>
      </c>
      <c r="C1220" s="733" t="s">
        <v>1080</v>
      </c>
      <c r="D1220" s="733">
        <v>51.0574951171875</v>
      </c>
      <c r="E1220" s="733">
        <v>1</v>
      </c>
    </row>
    <row r="1221" spans="2:5" x14ac:dyDescent="0.25">
      <c r="B1221" s="1382" t="s">
        <v>1840</v>
      </c>
      <c r="C1221" s="733" t="s">
        <v>1081</v>
      </c>
      <c r="D1221" s="733">
        <v>68.219711303710938</v>
      </c>
      <c r="E1221" s="733">
        <v>1</v>
      </c>
    </row>
    <row r="1222" spans="2:5" x14ac:dyDescent="0.25">
      <c r="B1222" s="1382" t="s">
        <v>1840</v>
      </c>
      <c r="C1222" s="733" t="s">
        <v>1080</v>
      </c>
      <c r="D1222" s="733">
        <v>65.290214538574219</v>
      </c>
      <c r="E1222" s="733">
        <v>1</v>
      </c>
    </row>
    <row r="1223" spans="2:5" x14ac:dyDescent="0.25">
      <c r="B1223" s="1382" t="s">
        <v>1840</v>
      </c>
      <c r="C1223" s="733" t="s">
        <v>1080</v>
      </c>
      <c r="D1223" s="733">
        <v>57.093086242675781</v>
      </c>
      <c r="E1223" s="733">
        <v>1</v>
      </c>
    </row>
    <row r="1224" spans="2:5" x14ac:dyDescent="0.25">
      <c r="B1224" s="1382" t="s">
        <v>1840</v>
      </c>
      <c r="C1224" s="733" t="s">
        <v>1081</v>
      </c>
      <c r="D1224" s="733">
        <v>57.003421783447266</v>
      </c>
      <c r="E1224" s="733">
        <v>1</v>
      </c>
    </row>
    <row r="1225" spans="2:5" x14ac:dyDescent="0.25">
      <c r="B1225" s="1382" t="s">
        <v>1840</v>
      </c>
      <c r="C1225" s="733" t="s">
        <v>1080</v>
      </c>
      <c r="D1225" s="733">
        <v>77.147842407226563</v>
      </c>
      <c r="E1225" s="733">
        <v>1</v>
      </c>
    </row>
    <row r="1226" spans="2:5" x14ac:dyDescent="0.25">
      <c r="B1226" s="1382" t="s">
        <v>1840</v>
      </c>
      <c r="C1226" s="733" t="s">
        <v>1081</v>
      </c>
      <c r="D1226" s="733">
        <v>54.082134246826172</v>
      </c>
      <c r="E1226" s="733">
        <v>1</v>
      </c>
    </row>
    <row r="1227" spans="2:5" x14ac:dyDescent="0.25">
      <c r="B1227" s="1382" t="s">
        <v>1840</v>
      </c>
      <c r="C1227" s="733" t="s">
        <v>1080</v>
      </c>
      <c r="D1227" s="733">
        <v>55.084873199462891</v>
      </c>
      <c r="E1227" s="733">
        <v>1</v>
      </c>
    </row>
    <row r="1228" spans="2:5" x14ac:dyDescent="0.25">
      <c r="B1228" s="1382" t="s">
        <v>1840</v>
      </c>
      <c r="C1228" s="733" t="s">
        <v>1080</v>
      </c>
      <c r="D1228" s="733">
        <v>71.320327758789063</v>
      </c>
      <c r="E1228" s="733">
        <v>1</v>
      </c>
    </row>
    <row r="1229" spans="2:5" x14ac:dyDescent="0.25">
      <c r="B1229" s="1382" t="s">
        <v>1840</v>
      </c>
      <c r="C1229" s="733" t="s">
        <v>1080</v>
      </c>
      <c r="D1229" s="733">
        <v>84.128677368164063</v>
      </c>
      <c r="E1229" s="733">
        <v>1</v>
      </c>
    </row>
    <row r="1230" spans="2:5" x14ac:dyDescent="0.25">
      <c r="B1230" s="1382" t="s">
        <v>1840</v>
      </c>
      <c r="C1230" s="733" t="s">
        <v>1080</v>
      </c>
      <c r="D1230" s="733">
        <v>65.073234558105469</v>
      </c>
      <c r="E1230" s="733">
        <v>1</v>
      </c>
    </row>
    <row r="1231" spans="2:5" x14ac:dyDescent="0.25">
      <c r="B1231" s="1382" t="s">
        <v>1840</v>
      </c>
      <c r="C1231" s="733" t="s">
        <v>1081</v>
      </c>
      <c r="D1231" s="733">
        <v>65.246406555175781</v>
      </c>
      <c r="E1231" s="733">
        <v>1</v>
      </c>
    </row>
    <row r="1232" spans="2:5" x14ac:dyDescent="0.25">
      <c r="B1232" s="1382" t="s">
        <v>1840</v>
      </c>
      <c r="C1232" s="733" t="s">
        <v>1081</v>
      </c>
      <c r="D1232" s="733">
        <v>77.016426086425781</v>
      </c>
      <c r="E1232" s="733">
        <v>1</v>
      </c>
    </row>
    <row r="1233" spans="2:5" x14ac:dyDescent="0.25">
      <c r="B1233" s="1382" t="s">
        <v>1840</v>
      </c>
      <c r="C1233" s="733" t="s">
        <v>1080</v>
      </c>
      <c r="D1233" s="733">
        <v>64.021903991699219</v>
      </c>
      <c r="E1233" s="733">
        <v>1</v>
      </c>
    </row>
    <row r="1234" spans="2:5" x14ac:dyDescent="0.25">
      <c r="B1234" s="1382" t="s">
        <v>1840</v>
      </c>
      <c r="C1234" s="733" t="s">
        <v>1080</v>
      </c>
      <c r="D1234" s="733">
        <v>59.331279754638672</v>
      </c>
      <c r="E1234" s="733">
        <v>1</v>
      </c>
    </row>
    <row r="1235" spans="2:5" x14ac:dyDescent="0.25">
      <c r="B1235" s="1382" t="s">
        <v>1840</v>
      </c>
      <c r="C1235" s="733" t="s">
        <v>1081</v>
      </c>
      <c r="D1235" s="733">
        <v>59.334018707275391</v>
      </c>
      <c r="E1235" s="733">
        <v>1</v>
      </c>
    </row>
    <row r="1236" spans="2:5" x14ac:dyDescent="0.25">
      <c r="B1236" s="1382" t="s">
        <v>1840</v>
      </c>
      <c r="C1236" s="733" t="s">
        <v>1080</v>
      </c>
      <c r="D1236" s="733">
        <v>51.054756164550781</v>
      </c>
      <c r="E1236" s="733">
        <v>1</v>
      </c>
    </row>
    <row r="1237" spans="2:5" x14ac:dyDescent="0.25">
      <c r="B1237" s="1382" t="s">
        <v>1840</v>
      </c>
      <c r="C1237" s="733" t="s">
        <v>1080</v>
      </c>
      <c r="D1237" s="733">
        <v>61.180698394775391</v>
      </c>
      <c r="E1237" s="733">
        <v>1</v>
      </c>
    </row>
    <row r="1238" spans="2:5" x14ac:dyDescent="0.25">
      <c r="B1238" s="1382" t="s">
        <v>1840</v>
      </c>
      <c r="C1238" s="733" t="s">
        <v>1080</v>
      </c>
      <c r="D1238" s="733">
        <v>67.276519775390625</v>
      </c>
      <c r="E1238" s="733">
        <v>1</v>
      </c>
    </row>
    <row r="1239" spans="2:5" x14ac:dyDescent="0.25">
      <c r="B1239" s="1382" t="s">
        <v>1840</v>
      </c>
      <c r="C1239" s="733" t="s">
        <v>1080</v>
      </c>
      <c r="D1239" s="733">
        <v>53.191650390625</v>
      </c>
      <c r="E1239" s="733">
        <v>1</v>
      </c>
    </row>
    <row r="1240" spans="2:5" x14ac:dyDescent="0.25">
      <c r="B1240" s="1382" t="s">
        <v>1840</v>
      </c>
      <c r="C1240" s="733" t="s">
        <v>1081</v>
      </c>
      <c r="D1240" s="733">
        <v>65.309379577636719</v>
      </c>
      <c r="E1240" s="733">
        <v>1</v>
      </c>
    </row>
    <row r="1241" spans="2:5" x14ac:dyDescent="0.25">
      <c r="B1241" s="1382" t="s">
        <v>1840</v>
      </c>
      <c r="C1241" s="733" t="s">
        <v>1080</v>
      </c>
      <c r="D1241" s="733">
        <v>68.079399108886719</v>
      </c>
      <c r="E1241" s="733">
        <v>1</v>
      </c>
    </row>
    <row r="1242" spans="2:5" x14ac:dyDescent="0.25">
      <c r="B1242" s="1382" t="s">
        <v>1840</v>
      </c>
      <c r="C1242" s="733" t="s">
        <v>1081</v>
      </c>
      <c r="D1242" s="733">
        <v>64.254623413085938</v>
      </c>
      <c r="E1242" s="733">
        <v>1</v>
      </c>
    </row>
    <row r="1243" spans="2:5" x14ac:dyDescent="0.25">
      <c r="B1243" s="1382" t="s">
        <v>1840</v>
      </c>
      <c r="C1243" s="733" t="s">
        <v>1080</v>
      </c>
      <c r="D1243" s="733">
        <v>58.169746398925781</v>
      </c>
      <c r="E1243" s="733">
        <v>1</v>
      </c>
    </row>
    <row r="1244" spans="2:5" x14ac:dyDescent="0.25">
      <c r="B1244" s="1382" t="s">
        <v>1840</v>
      </c>
      <c r="C1244" s="733" t="s">
        <v>1080</v>
      </c>
      <c r="D1244" s="733">
        <v>80.073921203613281</v>
      </c>
      <c r="E1244" s="733">
        <v>1</v>
      </c>
    </row>
    <row r="1245" spans="2:5" x14ac:dyDescent="0.25">
      <c r="B1245" s="1382" t="s">
        <v>1840</v>
      </c>
      <c r="C1245" s="733" t="s">
        <v>1080</v>
      </c>
      <c r="D1245" s="733">
        <v>68.177963256835938</v>
      </c>
      <c r="E1245" s="733">
        <v>1</v>
      </c>
    </row>
    <row r="1246" spans="2:5" x14ac:dyDescent="0.25">
      <c r="B1246" s="1382" t="s">
        <v>1840</v>
      </c>
      <c r="C1246" s="733" t="s">
        <v>1080</v>
      </c>
      <c r="D1246" s="733">
        <v>72.246406555175781</v>
      </c>
      <c r="E1246" s="733">
        <v>1</v>
      </c>
    </row>
    <row r="1247" spans="2:5" x14ac:dyDescent="0.25">
      <c r="B1247" s="1382" t="s">
        <v>1840</v>
      </c>
      <c r="C1247" s="733" t="s">
        <v>1080</v>
      </c>
      <c r="D1247" s="733">
        <v>71.114303588867188</v>
      </c>
      <c r="E1247" s="733">
        <v>1</v>
      </c>
    </row>
    <row r="1248" spans="2:5" x14ac:dyDescent="0.25">
      <c r="B1248" s="1382" t="s">
        <v>1840</v>
      </c>
      <c r="C1248" s="733" t="s">
        <v>1081</v>
      </c>
      <c r="D1248" s="733">
        <v>66.090347290039063</v>
      </c>
      <c r="E1248" s="733">
        <v>1</v>
      </c>
    </row>
    <row r="1249" spans="2:5" x14ac:dyDescent="0.25">
      <c r="B1249" s="1382" t="s">
        <v>1840</v>
      </c>
      <c r="C1249" s="733" t="s">
        <v>1081</v>
      </c>
      <c r="D1249" s="733">
        <v>52.0574951171875</v>
      </c>
      <c r="E1249" s="733">
        <v>1</v>
      </c>
    </row>
    <row r="1250" spans="2:5" x14ac:dyDescent="0.25">
      <c r="B1250" s="1382" t="s">
        <v>1840</v>
      </c>
      <c r="C1250" s="733" t="s">
        <v>1080</v>
      </c>
      <c r="D1250" s="733">
        <v>45.109512329101563</v>
      </c>
      <c r="E1250" s="733">
        <v>1</v>
      </c>
    </row>
    <row r="1251" spans="2:5" x14ac:dyDescent="0.25">
      <c r="B1251" s="1382" t="s">
        <v>1840</v>
      </c>
      <c r="C1251" s="733" t="s">
        <v>1081</v>
      </c>
      <c r="D1251" s="733">
        <v>68.1724853515625</v>
      </c>
      <c r="E1251" s="733">
        <v>1</v>
      </c>
    </row>
    <row r="1252" spans="2:5" x14ac:dyDescent="0.25">
      <c r="B1252" s="1382" t="s">
        <v>1840</v>
      </c>
      <c r="C1252" s="733" t="s">
        <v>1081</v>
      </c>
      <c r="D1252" s="733">
        <v>52.2874755859375</v>
      </c>
      <c r="E1252" s="733">
        <v>1</v>
      </c>
    </row>
    <row r="1253" spans="2:5" x14ac:dyDescent="0.25">
      <c r="B1253" s="1382" t="s">
        <v>1840</v>
      </c>
      <c r="C1253" s="733" t="s">
        <v>1080</v>
      </c>
      <c r="D1253" s="733">
        <v>75.123207092285156</v>
      </c>
      <c r="E1253" s="733">
        <v>1</v>
      </c>
    </row>
    <row r="1254" spans="2:5" x14ac:dyDescent="0.25">
      <c r="B1254" s="1382" t="s">
        <v>1840</v>
      </c>
      <c r="C1254" s="733" t="s">
        <v>1081</v>
      </c>
      <c r="D1254" s="733">
        <v>66.046546936035156</v>
      </c>
      <c r="E1254" s="733">
        <v>1</v>
      </c>
    </row>
    <row r="1255" spans="2:5" x14ac:dyDescent="0.25">
      <c r="B1255" s="1382" t="s">
        <v>1840</v>
      </c>
      <c r="C1255" s="733" t="s">
        <v>1080</v>
      </c>
      <c r="D1255" s="733">
        <v>54.443531036376953</v>
      </c>
      <c r="E1255" s="733">
        <v>1</v>
      </c>
    </row>
    <row r="1256" spans="2:5" x14ac:dyDescent="0.25">
      <c r="B1256" s="1382" t="s">
        <v>1840</v>
      </c>
      <c r="C1256" s="733" t="s">
        <v>1080</v>
      </c>
      <c r="D1256" s="733">
        <v>66.394248962402344</v>
      </c>
      <c r="E1256" s="733">
        <v>1</v>
      </c>
    </row>
    <row r="1257" spans="2:5" x14ac:dyDescent="0.25">
      <c r="B1257" s="1382" t="s">
        <v>1840</v>
      </c>
      <c r="C1257" s="733" t="s">
        <v>1080</v>
      </c>
      <c r="D1257" s="733">
        <v>66.090347290039063</v>
      </c>
      <c r="E1257" s="733">
        <v>1</v>
      </c>
    </row>
    <row r="1258" spans="2:5" x14ac:dyDescent="0.25">
      <c r="B1258" s="1382" t="s">
        <v>1840</v>
      </c>
      <c r="C1258" s="733" t="s">
        <v>1080</v>
      </c>
      <c r="D1258" s="733">
        <v>73.073921203613281</v>
      </c>
      <c r="E1258" s="733">
        <v>1</v>
      </c>
    </row>
    <row r="1259" spans="2:5" x14ac:dyDescent="0.25">
      <c r="B1259" s="1382" t="s">
        <v>1840</v>
      </c>
      <c r="C1259" s="733" t="s">
        <v>1080</v>
      </c>
      <c r="D1259" s="733">
        <v>67.125938415527344</v>
      </c>
      <c r="E1259" s="733">
        <v>1</v>
      </c>
    </row>
    <row r="1260" spans="2:5" x14ac:dyDescent="0.25">
      <c r="B1260" s="1382" t="s">
        <v>1840</v>
      </c>
      <c r="C1260" s="733" t="s">
        <v>1080</v>
      </c>
      <c r="D1260" s="733">
        <v>64.246406555175781</v>
      </c>
      <c r="E1260" s="733">
        <v>1</v>
      </c>
    </row>
    <row r="1261" spans="2:5" x14ac:dyDescent="0.25">
      <c r="B1261" s="1382" t="s">
        <v>1840</v>
      </c>
      <c r="C1261" s="733" t="s">
        <v>1080</v>
      </c>
      <c r="D1261" s="733">
        <v>71.2491455078125</v>
      </c>
      <c r="E1261" s="733">
        <v>1</v>
      </c>
    </row>
    <row r="1262" spans="2:5" x14ac:dyDescent="0.25">
      <c r="B1262" s="1382" t="s">
        <v>1840</v>
      </c>
      <c r="C1262" s="733" t="s">
        <v>1081</v>
      </c>
      <c r="D1262" s="733">
        <v>53.145107269287109</v>
      </c>
      <c r="E1262" s="733">
        <v>1</v>
      </c>
    </row>
    <row r="1263" spans="2:5" x14ac:dyDescent="0.25">
      <c r="B1263" s="1382" t="s">
        <v>1840</v>
      </c>
      <c r="C1263" s="733" t="s">
        <v>1080</v>
      </c>
      <c r="D1263" s="733">
        <v>53.114990234375</v>
      </c>
      <c r="E1263" s="733">
        <v>1</v>
      </c>
    </row>
    <row r="1264" spans="2:5" x14ac:dyDescent="0.25">
      <c r="B1264" s="1382" t="s">
        <v>1840</v>
      </c>
      <c r="C1264" s="733" t="s">
        <v>1081</v>
      </c>
      <c r="D1264" s="733">
        <v>80.320327758789063</v>
      </c>
      <c r="E1264" s="733">
        <v>1</v>
      </c>
    </row>
    <row r="1265" spans="2:5" x14ac:dyDescent="0.25">
      <c r="B1265" s="1382" t="s">
        <v>1840</v>
      </c>
      <c r="C1265" s="733" t="s">
        <v>1080</v>
      </c>
      <c r="D1265" s="733">
        <v>63.147842407226563</v>
      </c>
      <c r="E1265" s="733">
        <v>1</v>
      </c>
    </row>
    <row r="1266" spans="2:5" x14ac:dyDescent="0.25">
      <c r="B1266" s="1382" t="s">
        <v>1840</v>
      </c>
      <c r="C1266" s="733" t="s">
        <v>1081</v>
      </c>
      <c r="D1266" s="733">
        <v>71.068443298339844</v>
      </c>
      <c r="E1266" s="733">
        <v>1</v>
      </c>
    </row>
    <row r="1267" spans="2:5" x14ac:dyDescent="0.25">
      <c r="B1267" s="1382" t="s">
        <v>1840</v>
      </c>
      <c r="C1267" s="733" t="s">
        <v>1080</v>
      </c>
      <c r="D1267" s="733">
        <v>71.093086242675781</v>
      </c>
      <c r="E1267" s="733">
        <v>1</v>
      </c>
    </row>
    <row r="1268" spans="2:5" x14ac:dyDescent="0.25">
      <c r="B1268" s="1382" t="s">
        <v>1840</v>
      </c>
      <c r="C1268" s="733" t="s">
        <v>1081</v>
      </c>
      <c r="D1268" s="733">
        <v>46.290210723876953</v>
      </c>
      <c r="E1268" s="733">
        <v>1</v>
      </c>
    </row>
    <row r="1269" spans="2:5" x14ac:dyDescent="0.25">
      <c r="B1269" s="1382" t="s">
        <v>1840</v>
      </c>
      <c r="C1269" s="733" t="s">
        <v>1080</v>
      </c>
      <c r="D1269" s="733">
        <v>71.186172485351563</v>
      </c>
      <c r="E1269" s="733">
        <v>1</v>
      </c>
    </row>
    <row r="1270" spans="2:5" x14ac:dyDescent="0.25">
      <c r="B1270" s="1382" t="s">
        <v>1840</v>
      </c>
      <c r="C1270" s="733" t="s">
        <v>1080</v>
      </c>
      <c r="D1270" s="733">
        <v>53.043804168701172</v>
      </c>
      <c r="E1270" s="733">
        <v>1</v>
      </c>
    </row>
    <row r="1271" spans="2:5" x14ac:dyDescent="0.25">
      <c r="B1271" s="1382" t="s">
        <v>1840</v>
      </c>
      <c r="C1271" s="733" t="s">
        <v>1080</v>
      </c>
      <c r="D1271" s="733">
        <v>54.128677368164063</v>
      </c>
      <c r="E1271" s="733">
        <v>1</v>
      </c>
    </row>
    <row r="1272" spans="2:5" x14ac:dyDescent="0.25">
      <c r="B1272" s="1382" t="s">
        <v>1840</v>
      </c>
      <c r="C1272" s="733" t="s">
        <v>1080</v>
      </c>
      <c r="D1272" s="733">
        <v>60.123203277587891</v>
      </c>
      <c r="E1272" s="733">
        <v>1</v>
      </c>
    </row>
    <row r="1273" spans="2:5" x14ac:dyDescent="0.25">
      <c r="B1273" s="1382" t="s">
        <v>1840</v>
      </c>
      <c r="C1273" s="733" t="s">
        <v>1080</v>
      </c>
      <c r="D1273" s="733">
        <v>69.123207092285156</v>
      </c>
      <c r="E1273" s="733">
        <v>1</v>
      </c>
    </row>
    <row r="1274" spans="2:5" x14ac:dyDescent="0.25">
      <c r="B1274" s="1382" t="s">
        <v>1840</v>
      </c>
      <c r="C1274" s="733" t="s">
        <v>1080</v>
      </c>
      <c r="D1274" s="733">
        <v>70.421630859375</v>
      </c>
      <c r="E1274" s="733">
        <v>1</v>
      </c>
    </row>
    <row r="1275" spans="2:5" x14ac:dyDescent="0.25">
      <c r="B1275" s="1382" t="s">
        <v>1840</v>
      </c>
      <c r="C1275" s="733" t="s">
        <v>1080</v>
      </c>
      <c r="D1275" s="733">
        <v>81.725532531738281</v>
      </c>
      <c r="E1275" s="733">
        <v>1</v>
      </c>
    </row>
    <row r="1276" spans="2:5" x14ac:dyDescent="0.25">
      <c r="B1276" s="1382" t="s">
        <v>1840</v>
      </c>
      <c r="C1276" s="733" t="s">
        <v>1081</v>
      </c>
      <c r="D1276" s="733">
        <v>72.040382385253906</v>
      </c>
      <c r="E1276" s="733">
        <v>1</v>
      </c>
    </row>
    <row r="1277" spans="2:5" x14ac:dyDescent="0.25">
      <c r="B1277" s="1382" t="s">
        <v>1840</v>
      </c>
      <c r="C1277" s="733" t="s">
        <v>1080</v>
      </c>
      <c r="D1277" s="733">
        <v>72.008216857910156</v>
      </c>
      <c r="E1277" s="733">
        <v>1</v>
      </c>
    </row>
    <row r="1278" spans="2:5" x14ac:dyDescent="0.25">
      <c r="B1278" s="1382" t="s">
        <v>1840</v>
      </c>
      <c r="C1278" s="733" t="s">
        <v>1080</v>
      </c>
      <c r="D1278" s="733">
        <v>51.090347290039063</v>
      </c>
      <c r="E1278" s="733">
        <v>1</v>
      </c>
    </row>
    <row r="1279" spans="2:5" x14ac:dyDescent="0.25">
      <c r="B1279" s="1382" t="s">
        <v>1840</v>
      </c>
      <c r="C1279" s="733" t="s">
        <v>1080</v>
      </c>
      <c r="D1279" s="733">
        <v>68.090347290039063</v>
      </c>
      <c r="E1279" s="733">
        <v>1</v>
      </c>
    </row>
    <row r="1280" spans="2:5" x14ac:dyDescent="0.25">
      <c r="B1280" s="1382" t="s">
        <v>1840</v>
      </c>
      <c r="C1280" s="733" t="s">
        <v>1081</v>
      </c>
      <c r="D1280" s="733">
        <v>78.054756164550781</v>
      </c>
      <c r="E1280" s="733">
        <v>1</v>
      </c>
    </row>
    <row r="1281" spans="2:5" x14ac:dyDescent="0.25">
      <c r="B1281" s="1382" t="s">
        <v>1840</v>
      </c>
      <c r="C1281" s="733" t="s">
        <v>1081</v>
      </c>
      <c r="D1281" s="733">
        <v>66.251884460449219</v>
      </c>
      <c r="E1281" s="733">
        <v>1</v>
      </c>
    </row>
    <row r="1282" spans="2:5" x14ac:dyDescent="0.25">
      <c r="B1282" s="1382" t="s">
        <v>1840</v>
      </c>
      <c r="C1282" s="733" t="s">
        <v>1080</v>
      </c>
      <c r="D1282" s="733">
        <v>70.054756164550781</v>
      </c>
      <c r="E1282" s="733">
        <v>1</v>
      </c>
    </row>
    <row r="1283" spans="2:5" x14ac:dyDescent="0.25">
      <c r="B1283" s="1382" t="s">
        <v>1840</v>
      </c>
      <c r="C1283" s="733" t="s">
        <v>1081</v>
      </c>
      <c r="D1283" s="733">
        <v>66.158798217773438</v>
      </c>
      <c r="E1283" s="733">
        <v>1</v>
      </c>
    </row>
    <row r="1284" spans="2:5" x14ac:dyDescent="0.25">
      <c r="B1284" s="1382" t="s">
        <v>1840</v>
      </c>
      <c r="C1284" s="733" t="s">
        <v>1080</v>
      </c>
      <c r="D1284" s="733">
        <v>74.175224304199219</v>
      </c>
      <c r="E1284" s="733">
        <v>1</v>
      </c>
    </row>
    <row r="1285" spans="2:5" x14ac:dyDescent="0.25">
      <c r="B1285" s="1382" t="s">
        <v>1840</v>
      </c>
      <c r="C1285" s="733" t="s">
        <v>1081</v>
      </c>
      <c r="D1285" s="733">
        <v>69.3641357421875</v>
      </c>
      <c r="E1285" s="733">
        <v>1</v>
      </c>
    </row>
    <row r="1286" spans="2:5" x14ac:dyDescent="0.25">
      <c r="B1286" s="1382" t="s">
        <v>1840</v>
      </c>
      <c r="C1286" s="733" t="s">
        <v>1080</v>
      </c>
      <c r="D1286" s="733">
        <v>68.142364501953125</v>
      </c>
      <c r="E1286" s="733">
        <v>1</v>
      </c>
    </row>
    <row r="1287" spans="2:5" x14ac:dyDescent="0.25">
      <c r="B1287" s="1382" t="s">
        <v>1840</v>
      </c>
      <c r="C1287" s="733" t="s">
        <v>1080</v>
      </c>
      <c r="D1287" s="733">
        <v>61.156059265136719</v>
      </c>
      <c r="E1287" s="733">
        <v>1</v>
      </c>
    </row>
    <row r="1288" spans="2:5" x14ac:dyDescent="0.25">
      <c r="B1288" s="1382" t="s">
        <v>1840</v>
      </c>
      <c r="C1288" s="733" t="s">
        <v>1081</v>
      </c>
      <c r="D1288" s="733">
        <v>60.046543121337891</v>
      </c>
      <c r="E1288" s="733">
        <v>1</v>
      </c>
    </row>
    <row r="1289" spans="2:5" x14ac:dyDescent="0.25">
      <c r="B1289" s="1382" t="s">
        <v>1840</v>
      </c>
      <c r="C1289" s="733" t="s">
        <v>1080</v>
      </c>
      <c r="D1289" s="733">
        <v>63.087612152099609</v>
      </c>
      <c r="E1289" s="733">
        <v>1</v>
      </c>
    </row>
    <row r="1290" spans="2:5" x14ac:dyDescent="0.25">
      <c r="B1290" s="1382" t="s">
        <v>1840</v>
      </c>
      <c r="C1290" s="733" t="s">
        <v>1080</v>
      </c>
      <c r="D1290" s="733">
        <v>67.183433532714844</v>
      </c>
      <c r="E1290" s="733">
        <v>1</v>
      </c>
    </row>
    <row r="1291" spans="2:5" x14ac:dyDescent="0.25">
      <c r="B1291" s="1382" t="s">
        <v>1840</v>
      </c>
      <c r="C1291" s="733" t="s">
        <v>1081</v>
      </c>
      <c r="D1291" s="733">
        <v>59.049282073974609</v>
      </c>
      <c r="E1291" s="733">
        <v>1</v>
      </c>
    </row>
    <row r="1292" spans="2:5" x14ac:dyDescent="0.25">
      <c r="B1292" s="1382" t="s">
        <v>1840</v>
      </c>
      <c r="C1292" s="733" t="s">
        <v>1080</v>
      </c>
      <c r="D1292" s="733">
        <v>57.090347290039063</v>
      </c>
      <c r="E1292" s="733">
        <v>1</v>
      </c>
    </row>
    <row r="1293" spans="2:5" x14ac:dyDescent="0.25">
      <c r="B1293" s="1382" t="s">
        <v>1840</v>
      </c>
      <c r="C1293" s="733" t="s">
        <v>1080</v>
      </c>
      <c r="D1293" s="733">
        <v>75.347709655761719</v>
      </c>
      <c r="E1293" s="733">
        <v>1</v>
      </c>
    </row>
    <row r="1294" spans="2:5" x14ac:dyDescent="0.25">
      <c r="B1294" s="1382" t="s">
        <v>1840</v>
      </c>
      <c r="C1294" s="733" t="s">
        <v>1080</v>
      </c>
      <c r="D1294" s="733">
        <v>54.295688629150391</v>
      </c>
      <c r="E1294" s="733">
        <v>1</v>
      </c>
    </row>
    <row r="1295" spans="2:5" x14ac:dyDescent="0.25">
      <c r="B1295" s="1382" t="s">
        <v>1840</v>
      </c>
      <c r="C1295" s="733" t="s">
        <v>1080</v>
      </c>
      <c r="D1295" s="733">
        <v>58</v>
      </c>
      <c r="E1295" s="733">
        <v>1</v>
      </c>
    </row>
    <row r="1296" spans="2:5" x14ac:dyDescent="0.25">
      <c r="B1296" s="1382" t="s">
        <v>1840</v>
      </c>
      <c r="C1296" s="733" t="s">
        <v>1080</v>
      </c>
      <c r="D1296" s="733">
        <v>62.188911437988281</v>
      </c>
      <c r="E1296" s="733">
        <v>1</v>
      </c>
    </row>
    <row r="1297" spans="2:5" x14ac:dyDescent="0.25">
      <c r="B1297" s="1382" t="s">
        <v>1840</v>
      </c>
      <c r="C1297" s="733" t="s">
        <v>1080</v>
      </c>
      <c r="D1297" s="733">
        <v>58.139629364013672</v>
      </c>
      <c r="E1297" s="733">
        <v>1</v>
      </c>
    </row>
    <row r="1298" spans="2:5" x14ac:dyDescent="0.25">
      <c r="B1298" s="1382" t="s">
        <v>1840</v>
      </c>
      <c r="C1298" s="733" t="s">
        <v>1080</v>
      </c>
      <c r="D1298" s="733">
        <v>56.936344146728516</v>
      </c>
      <c r="E1298" s="733">
        <v>1</v>
      </c>
    </row>
    <row r="1299" spans="2:5" x14ac:dyDescent="0.25">
      <c r="B1299" s="1382" t="s">
        <v>1840</v>
      </c>
      <c r="C1299" s="733" t="s">
        <v>1081</v>
      </c>
      <c r="D1299" s="733">
        <v>68.186172485351563</v>
      </c>
      <c r="E1299" s="733">
        <v>1</v>
      </c>
    </row>
    <row r="1300" spans="2:5" x14ac:dyDescent="0.25">
      <c r="B1300" s="1382" t="s">
        <v>1840</v>
      </c>
      <c r="C1300" s="733" t="s">
        <v>1080</v>
      </c>
      <c r="D1300" s="733">
        <v>57.202602386474609</v>
      </c>
      <c r="E1300" s="733">
        <v>1</v>
      </c>
    </row>
    <row r="1301" spans="2:5" x14ac:dyDescent="0.25">
      <c r="B1301" s="1382" t="s">
        <v>1840</v>
      </c>
      <c r="C1301" s="733" t="s">
        <v>1080</v>
      </c>
      <c r="D1301" s="733">
        <v>64.052017211914063</v>
      </c>
      <c r="E1301" s="733">
        <v>1</v>
      </c>
    </row>
    <row r="1302" spans="2:5" x14ac:dyDescent="0.25">
      <c r="B1302" s="1382" t="s">
        <v>1840</v>
      </c>
      <c r="C1302" s="733" t="s">
        <v>1080</v>
      </c>
      <c r="D1302" s="733">
        <v>68.109512329101563</v>
      </c>
      <c r="E1302" s="733">
        <v>1</v>
      </c>
    </row>
    <row r="1303" spans="2:5" x14ac:dyDescent="0.25">
      <c r="B1303" s="1382" t="s">
        <v>1840</v>
      </c>
      <c r="C1303" s="733" t="s">
        <v>1080</v>
      </c>
      <c r="D1303" s="733">
        <v>63.602325439453125</v>
      </c>
      <c r="E1303" s="733">
        <v>1</v>
      </c>
    </row>
    <row r="1304" spans="2:5" x14ac:dyDescent="0.25">
      <c r="B1304" s="1382" t="s">
        <v>1840</v>
      </c>
      <c r="C1304" s="733" t="s">
        <v>1080</v>
      </c>
      <c r="D1304" s="733">
        <v>66.150581359863281</v>
      </c>
      <c r="E1304" s="733">
        <v>1</v>
      </c>
    </row>
    <row r="1305" spans="2:5" x14ac:dyDescent="0.25">
      <c r="B1305" s="1382" t="s">
        <v>1840</v>
      </c>
      <c r="C1305" s="733" t="s">
        <v>1080</v>
      </c>
      <c r="D1305" s="733">
        <v>62.117729187011719</v>
      </c>
      <c r="E1305" s="733">
        <v>1</v>
      </c>
    </row>
    <row r="1306" spans="2:5" x14ac:dyDescent="0.25">
      <c r="B1306" s="1382" t="s">
        <v>1840</v>
      </c>
      <c r="C1306" s="733" t="s">
        <v>1080</v>
      </c>
      <c r="D1306" s="733">
        <v>58.027378082275391</v>
      </c>
      <c r="E1306" s="733">
        <v>1</v>
      </c>
    </row>
    <row r="1307" spans="2:5" x14ac:dyDescent="0.25">
      <c r="B1307" s="1382" t="s">
        <v>1840</v>
      </c>
      <c r="C1307" s="733" t="s">
        <v>1080</v>
      </c>
      <c r="D1307" s="733">
        <v>60.131416320800781</v>
      </c>
      <c r="E1307" s="733">
        <v>1</v>
      </c>
    </row>
    <row r="1308" spans="2:5" x14ac:dyDescent="0.25">
      <c r="B1308" s="1382" t="s">
        <v>1840</v>
      </c>
      <c r="C1308" s="733" t="s">
        <v>1080</v>
      </c>
      <c r="D1308" s="733">
        <v>62.490074157714844</v>
      </c>
      <c r="E1308" s="733">
        <v>1</v>
      </c>
    </row>
    <row r="1309" spans="2:5" x14ac:dyDescent="0.25">
      <c r="B1309" s="1382" t="s">
        <v>1840</v>
      </c>
      <c r="C1309" s="733" t="s">
        <v>1080</v>
      </c>
      <c r="D1309" s="733">
        <v>58.098564147949219</v>
      </c>
      <c r="E1309" s="733">
        <v>1</v>
      </c>
    </row>
    <row r="1310" spans="2:5" x14ac:dyDescent="0.25">
      <c r="B1310" s="1382" t="s">
        <v>1840</v>
      </c>
      <c r="C1310" s="733" t="s">
        <v>1081</v>
      </c>
      <c r="D1310" s="733">
        <v>74.062973022460938</v>
      </c>
      <c r="E1310" s="733">
        <v>1</v>
      </c>
    </row>
    <row r="1311" spans="2:5" x14ac:dyDescent="0.25">
      <c r="B1311" s="1382" t="s">
        <v>1840</v>
      </c>
      <c r="C1311" s="733" t="s">
        <v>1081</v>
      </c>
      <c r="D1311" s="733">
        <v>56.079399108886719</v>
      </c>
      <c r="E1311" s="733">
        <v>1</v>
      </c>
    </row>
    <row r="1312" spans="2:5" x14ac:dyDescent="0.25">
      <c r="B1312" s="1382" t="s">
        <v>1840</v>
      </c>
      <c r="C1312" s="733" t="s">
        <v>1080</v>
      </c>
      <c r="D1312" s="733">
        <v>47.158794403076172</v>
      </c>
      <c r="E1312" s="733">
        <v>1</v>
      </c>
    </row>
    <row r="1313" spans="2:5" x14ac:dyDescent="0.25">
      <c r="B1313" s="1382" t="s">
        <v>1840</v>
      </c>
      <c r="C1313" s="733" t="s">
        <v>1080</v>
      </c>
      <c r="D1313" s="733">
        <v>39.0191650390625</v>
      </c>
      <c r="E1313" s="733">
        <v>1</v>
      </c>
    </row>
    <row r="1314" spans="2:5" x14ac:dyDescent="0.25">
      <c r="B1314" s="1382" t="s">
        <v>1840</v>
      </c>
      <c r="C1314" s="733" t="s">
        <v>1080</v>
      </c>
      <c r="D1314" s="733">
        <v>46.001842498779297</v>
      </c>
      <c r="E1314" s="733">
        <v>2</v>
      </c>
    </row>
    <row r="1315" spans="2:5" x14ac:dyDescent="0.25">
      <c r="B1315" s="1382" t="s">
        <v>1840</v>
      </c>
      <c r="C1315" s="733" t="s">
        <v>1080</v>
      </c>
      <c r="D1315" s="733">
        <v>74.005966186523438</v>
      </c>
      <c r="E1315" s="733">
        <v>2</v>
      </c>
    </row>
    <row r="1316" spans="2:5" x14ac:dyDescent="0.25">
      <c r="B1316" s="1382" t="s">
        <v>1840</v>
      </c>
      <c r="C1316" s="733" t="s">
        <v>1081</v>
      </c>
      <c r="D1316" s="733">
        <v>55.002128601074219</v>
      </c>
      <c r="E1316" s="733">
        <v>2</v>
      </c>
    </row>
    <row r="1317" spans="2:5" x14ac:dyDescent="0.25">
      <c r="B1317" s="1382" t="s">
        <v>1840</v>
      </c>
      <c r="C1317" s="733" t="s">
        <v>1080</v>
      </c>
      <c r="D1317" s="733">
        <v>79.001716613769531</v>
      </c>
      <c r="E1317" s="733">
        <v>2</v>
      </c>
    </row>
    <row r="1318" spans="2:5" x14ac:dyDescent="0.25">
      <c r="B1318" s="1382" t="s">
        <v>1840</v>
      </c>
      <c r="C1318" s="733" t="s">
        <v>1080</v>
      </c>
      <c r="D1318" s="733">
        <v>67.009529113769531</v>
      </c>
      <c r="E1318" s="733">
        <v>2</v>
      </c>
    </row>
    <row r="1319" spans="2:5" x14ac:dyDescent="0.25">
      <c r="B1319" s="1382" t="s">
        <v>1840</v>
      </c>
      <c r="C1319" s="733" t="s">
        <v>1080</v>
      </c>
      <c r="D1319" s="733">
        <v>67.003860473632813</v>
      </c>
      <c r="E1319" s="733">
        <v>2</v>
      </c>
    </row>
    <row r="1320" spans="2:5" x14ac:dyDescent="0.25">
      <c r="B1320" s="1382" t="s">
        <v>1840</v>
      </c>
      <c r="C1320" s="733" t="s">
        <v>1080</v>
      </c>
      <c r="D1320" s="733">
        <v>66.008705139160156</v>
      </c>
      <c r="E1320" s="733">
        <v>2</v>
      </c>
    </row>
    <row r="1321" spans="2:5" x14ac:dyDescent="0.25">
      <c r="B1321" s="1382" t="s">
        <v>1840</v>
      </c>
      <c r="C1321" s="733" t="s">
        <v>1080</v>
      </c>
      <c r="D1321" s="733">
        <v>72.004989624023438</v>
      </c>
      <c r="E1321" s="733">
        <v>2</v>
      </c>
    </row>
    <row r="1322" spans="2:5" x14ac:dyDescent="0.25">
      <c r="B1322" s="1382" t="s">
        <v>1840</v>
      </c>
      <c r="C1322" s="733" t="s">
        <v>1081</v>
      </c>
      <c r="D1322" s="733">
        <v>67.003303527832031</v>
      </c>
      <c r="E1322" s="733">
        <v>2</v>
      </c>
    </row>
    <row r="1323" spans="2:5" x14ac:dyDescent="0.25">
      <c r="B1323" s="1382" t="s">
        <v>1840</v>
      </c>
      <c r="C1323" s="733" t="s">
        <v>1081</v>
      </c>
      <c r="D1323" s="733">
        <v>59.013725280761719</v>
      </c>
      <c r="E1323" s="733">
        <v>2</v>
      </c>
    </row>
    <row r="1324" spans="2:5" x14ac:dyDescent="0.25">
      <c r="B1324" s="1382" t="s">
        <v>1840</v>
      </c>
      <c r="C1324" s="733" t="s">
        <v>1080</v>
      </c>
      <c r="D1324" s="733">
        <v>61.001205444335938</v>
      </c>
      <c r="E1324" s="733">
        <v>2</v>
      </c>
    </row>
    <row r="1325" spans="2:5" x14ac:dyDescent="0.25">
      <c r="B1325" s="1382" t="s">
        <v>1840</v>
      </c>
      <c r="C1325" s="733" t="s">
        <v>1080</v>
      </c>
      <c r="D1325" s="733">
        <v>85.001510620117188</v>
      </c>
      <c r="E1325" s="733">
        <v>2</v>
      </c>
    </row>
    <row r="1326" spans="2:5" x14ac:dyDescent="0.25">
      <c r="B1326" s="1382" t="s">
        <v>1840</v>
      </c>
      <c r="C1326" s="733" t="s">
        <v>1080</v>
      </c>
      <c r="D1326" s="733">
        <v>64.005035400390625</v>
      </c>
      <c r="E1326" s="733">
        <v>2</v>
      </c>
    </row>
    <row r="1327" spans="2:5" x14ac:dyDescent="0.25">
      <c r="B1327" s="1382" t="s">
        <v>1840</v>
      </c>
      <c r="C1327" s="733" t="s">
        <v>1081</v>
      </c>
      <c r="D1327" s="733">
        <v>62.013004302978516</v>
      </c>
      <c r="E1327" s="733">
        <v>2</v>
      </c>
    </row>
    <row r="1328" spans="2:5" x14ac:dyDescent="0.25">
      <c r="B1328" s="1382" t="s">
        <v>1840</v>
      </c>
      <c r="C1328" s="733" t="s">
        <v>1080</v>
      </c>
      <c r="D1328" s="733">
        <v>77.002922058105469</v>
      </c>
      <c r="E1328" s="733">
        <v>2</v>
      </c>
    </row>
    <row r="1329" spans="2:5" x14ac:dyDescent="0.25">
      <c r="B1329" s="1382" t="s">
        <v>1840</v>
      </c>
      <c r="C1329" s="733" t="s">
        <v>1080</v>
      </c>
      <c r="D1329" s="733">
        <v>76.004264831542969</v>
      </c>
      <c r="E1329" s="733">
        <v>2</v>
      </c>
    </row>
    <row r="1330" spans="2:5" x14ac:dyDescent="0.25">
      <c r="B1330" s="1382" t="s">
        <v>1840</v>
      </c>
      <c r="C1330" s="733" t="s">
        <v>1080</v>
      </c>
      <c r="D1330" s="733">
        <v>58.004783630371094</v>
      </c>
      <c r="E1330" s="733">
        <v>2</v>
      </c>
    </row>
    <row r="1331" spans="2:5" x14ac:dyDescent="0.25">
      <c r="B1331" s="1382" t="s">
        <v>1840</v>
      </c>
      <c r="C1331" s="733" t="s">
        <v>1080</v>
      </c>
      <c r="D1331" s="733">
        <v>64.002296447753906</v>
      </c>
      <c r="E1331" s="733">
        <v>2</v>
      </c>
    </row>
    <row r="1332" spans="2:5" x14ac:dyDescent="0.25">
      <c r="B1332" s="1382" t="s">
        <v>1840</v>
      </c>
      <c r="C1332" s="733" t="s">
        <v>1080</v>
      </c>
      <c r="D1332" s="733">
        <v>60.001415252685547</v>
      </c>
      <c r="E1332" s="733">
        <v>2</v>
      </c>
    </row>
    <row r="1333" spans="2:5" x14ac:dyDescent="0.25">
      <c r="B1333" s="1382" t="s">
        <v>1840</v>
      </c>
      <c r="C1333" s="733" t="s">
        <v>1081</v>
      </c>
      <c r="D1333" s="733">
        <v>77.002525329589844</v>
      </c>
      <c r="E1333" s="733">
        <v>2</v>
      </c>
    </row>
    <row r="1334" spans="2:5" x14ac:dyDescent="0.25">
      <c r="B1334" s="1382" t="s">
        <v>1840</v>
      </c>
      <c r="C1334" s="733" t="s">
        <v>1080</v>
      </c>
      <c r="D1334" s="733">
        <v>52.004543304443359</v>
      </c>
      <c r="E1334" s="733">
        <v>2</v>
      </c>
    </row>
    <row r="1335" spans="2:5" x14ac:dyDescent="0.25">
      <c r="B1335" s="1382" t="s">
        <v>1840</v>
      </c>
      <c r="C1335" s="733" t="s">
        <v>1080</v>
      </c>
      <c r="D1335" s="733">
        <v>66.004081726074219</v>
      </c>
      <c r="E1335" s="733">
        <v>2</v>
      </c>
    </row>
    <row r="1336" spans="2:5" x14ac:dyDescent="0.25">
      <c r="B1336" s="1382" t="s">
        <v>1840</v>
      </c>
      <c r="C1336" s="733" t="s">
        <v>1081</v>
      </c>
      <c r="D1336" s="733">
        <v>58.001018524169922</v>
      </c>
      <c r="E1336" s="733">
        <v>2</v>
      </c>
    </row>
    <row r="1337" spans="2:5" x14ac:dyDescent="0.25">
      <c r="B1337" s="1382" t="s">
        <v>1840</v>
      </c>
      <c r="C1337" s="733" t="s">
        <v>1080</v>
      </c>
      <c r="D1337" s="733">
        <v>67.029121398925781</v>
      </c>
      <c r="E1337" s="733">
        <v>2</v>
      </c>
    </row>
    <row r="1338" spans="2:5" x14ac:dyDescent="0.25">
      <c r="B1338" s="1382" t="s">
        <v>1840</v>
      </c>
      <c r="C1338" s="733" t="s">
        <v>1080</v>
      </c>
      <c r="D1338" s="733">
        <v>75.003875732421875</v>
      </c>
      <c r="E1338" s="733">
        <v>2</v>
      </c>
    </row>
    <row r="1339" spans="2:5" x14ac:dyDescent="0.25">
      <c r="B1339" s="1382" t="s">
        <v>1840</v>
      </c>
      <c r="C1339" s="733" t="s">
        <v>1080</v>
      </c>
      <c r="D1339" s="733">
        <v>43.011684417724609</v>
      </c>
      <c r="E1339" s="733">
        <v>2</v>
      </c>
    </row>
    <row r="1340" spans="2:5" x14ac:dyDescent="0.25">
      <c r="B1340" s="1382" t="s">
        <v>1840</v>
      </c>
      <c r="C1340" s="733" t="s">
        <v>1081</v>
      </c>
      <c r="D1340" s="733">
        <v>71.002815246582031</v>
      </c>
      <c r="E1340" s="733">
        <v>2</v>
      </c>
    </row>
    <row r="1341" spans="2:5" x14ac:dyDescent="0.25">
      <c r="B1341" s="1382" t="s">
        <v>1840</v>
      </c>
      <c r="C1341" s="733" t="s">
        <v>1080</v>
      </c>
      <c r="D1341" s="733">
        <v>71.002777099609375</v>
      </c>
      <c r="E1341" s="733">
        <v>2</v>
      </c>
    </row>
    <row r="1342" spans="2:5" x14ac:dyDescent="0.25">
      <c r="B1342" s="1382" t="s">
        <v>1840</v>
      </c>
      <c r="C1342" s="733" t="s">
        <v>1080</v>
      </c>
      <c r="D1342" s="733">
        <v>74.002601623535156</v>
      </c>
      <c r="E1342" s="733">
        <v>2</v>
      </c>
    </row>
    <row r="1343" spans="2:5" x14ac:dyDescent="0.25">
      <c r="B1343" s="1382" t="s">
        <v>1840</v>
      </c>
      <c r="C1343" s="733" t="s">
        <v>1081</v>
      </c>
      <c r="D1343" s="733">
        <v>57.000923156738281</v>
      </c>
      <c r="E1343" s="733">
        <v>2</v>
      </c>
    </row>
    <row r="1344" spans="2:5" x14ac:dyDescent="0.25">
      <c r="B1344" s="1382" t="s">
        <v>1840</v>
      </c>
      <c r="C1344" s="733" t="s">
        <v>1080</v>
      </c>
      <c r="D1344" s="733">
        <v>79.001045227050781</v>
      </c>
      <c r="E1344" s="733">
        <v>2</v>
      </c>
    </row>
    <row r="1345" spans="2:5" x14ac:dyDescent="0.25">
      <c r="B1345" s="1382" t="s">
        <v>1840</v>
      </c>
      <c r="C1345" s="733" t="s">
        <v>1080</v>
      </c>
      <c r="D1345" s="733">
        <v>58.001529693603516</v>
      </c>
      <c r="E1345" s="733">
        <v>2</v>
      </c>
    </row>
    <row r="1346" spans="2:5" x14ac:dyDescent="0.25">
      <c r="B1346" s="1382" t="s">
        <v>1840</v>
      </c>
      <c r="C1346" s="733" t="s">
        <v>1081</v>
      </c>
      <c r="D1346" s="733">
        <v>63.001815795898438</v>
      </c>
      <c r="E1346" s="733">
        <v>2</v>
      </c>
    </row>
    <row r="1347" spans="2:5" x14ac:dyDescent="0.25">
      <c r="B1347" s="1382" t="s">
        <v>1840</v>
      </c>
      <c r="C1347" s="733" t="s">
        <v>1080</v>
      </c>
      <c r="D1347" s="733">
        <v>82.333442687988281</v>
      </c>
      <c r="E1347" s="733">
        <v>2</v>
      </c>
    </row>
    <row r="1348" spans="2:5" x14ac:dyDescent="0.25">
      <c r="B1348" s="1382" t="s">
        <v>1840</v>
      </c>
      <c r="C1348" s="733" t="s">
        <v>1080</v>
      </c>
      <c r="D1348" s="733">
        <v>59.002445220947266</v>
      </c>
      <c r="E1348" s="733">
        <v>2</v>
      </c>
    </row>
    <row r="1349" spans="2:5" x14ac:dyDescent="0.25">
      <c r="B1349" s="1382" t="s">
        <v>1840</v>
      </c>
      <c r="C1349" s="733" t="s">
        <v>1080</v>
      </c>
      <c r="D1349" s="733">
        <v>60.004745483398438</v>
      </c>
      <c r="E1349" s="733">
        <v>2</v>
      </c>
    </row>
    <row r="1350" spans="2:5" x14ac:dyDescent="0.25">
      <c r="B1350" s="1382" t="s">
        <v>1840</v>
      </c>
      <c r="C1350" s="733" t="s">
        <v>1080</v>
      </c>
      <c r="D1350" s="733">
        <v>70.012191772460938</v>
      </c>
      <c r="E1350" s="733">
        <v>2</v>
      </c>
    </row>
    <row r="1351" spans="2:5" x14ac:dyDescent="0.25">
      <c r="B1351" s="1382" t="s">
        <v>1840</v>
      </c>
      <c r="C1351" s="733" t="s">
        <v>1080</v>
      </c>
      <c r="D1351" s="733">
        <v>50.001087188720703</v>
      </c>
      <c r="E1351" s="733">
        <v>2</v>
      </c>
    </row>
    <row r="1352" spans="2:5" x14ac:dyDescent="0.25">
      <c r="B1352" s="1382" t="s">
        <v>1840</v>
      </c>
      <c r="C1352" s="733" t="s">
        <v>1080</v>
      </c>
      <c r="D1352" s="733">
        <v>60.000946044921875</v>
      </c>
      <c r="E1352" s="733">
        <v>2</v>
      </c>
    </row>
    <row r="1353" spans="2:5" x14ac:dyDescent="0.25">
      <c r="B1353" s="1382" t="s">
        <v>1840</v>
      </c>
      <c r="C1353" s="733" t="s">
        <v>1080</v>
      </c>
      <c r="D1353" s="733">
        <v>71.0050048828125</v>
      </c>
      <c r="E1353" s="733">
        <v>2</v>
      </c>
    </row>
    <row r="1354" spans="2:5" x14ac:dyDescent="0.25">
      <c r="B1354" s="1382" t="s">
        <v>1840</v>
      </c>
      <c r="C1354" s="733" t="s">
        <v>1081</v>
      </c>
      <c r="D1354" s="733">
        <v>79.004035949707031</v>
      </c>
      <c r="E1354" s="733">
        <v>2</v>
      </c>
    </row>
    <row r="1355" spans="2:5" x14ac:dyDescent="0.25">
      <c r="B1355" s="1382" t="s">
        <v>1840</v>
      </c>
      <c r="C1355" s="733" t="s">
        <v>1080</v>
      </c>
      <c r="D1355" s="733">
        <v>63.005001068115234</v>
      </c>
      <c r="E1355" s="733">
        <v>2</v>
      </c>
    </row>
    <row r="1356" spans="2:5" x14ac:dyDescent="0.25">
      <c r="B1356" s="1382" t="s">
        <v>1840</v>
      </c>
      <c r="C1356" s="733" t="s">
        <v>1080</v>
      </c>
      <c r="D1356" s="733">
        <v>66.007919311523438</v>
      </c>
      <c r="E1356" s="733">
        <v>2</v>
      </c>
    </row>
    <row r="1357" spans="2:5" x14ac:dyDescent="0.25">
      <c r="B1357" s="1382" t="s">
        <v>1840</v>
      </c>
      <c r="C1357" s="733" t="s">
        <v>1081</v>
      </c>
      <c r="D1357" s="733">
        <v>59.001834869384766</v>
      </c>
      <c r="E1357" s="733">
        <v>2</v>
      </c>
    </row>
    <row r="1358" spans="2:5" x14ac:dyDescent="0.25">
      <c r="B1358" s="1382" t="s">
        <v>1840</v>
      </c>
      <c r="C1358" s="733" t="s">
        <v>1080</v>
      </c>
      <c r="D1358" s="733">
        <v>63.016071319580078</v>
      </c>
      <c r="E1358" s="733">
        <v>2</v>
      </c>
    </row>
    <row r="1359" spans="2:5" x14ac:dyDescent="0.25">
      <c r="B1359" s="1382" t="s">
        <v>1840</v>
      </c>
      <c r="C1359" s="733" t="s">
        <v>1080</v>
      </c>
      <c r="D1359" s="733">
        <v>56.001155853271484</v>
      </c>
      <c r="E1359" s="733">
        <v>2</v>
      </c>
    </row>
    <row r="1360" spans="2:5" x14ac:dyDescent="0.25">
      <c r="B1360" s="1382" t="s">
        <v>1840</v>
      </c>
      <c r="C1360" s="733" t="s">
        <v>1081</v>
      </c>
      <c r="D1360" s="733">
        <v>55.002609252929688</v>
      </c>
      <c r="E1360" s="733">
        <v>2</v>
      </c>
    </row>
    <row r="1361" spans="2:5" x14ac:dyDescent="0.25">
      <c r="B1361" s="1382" t="s">
        <v>1840</v>
      </c>
      <c r="C1361" s="733" t="s">
        <v>1080</v>
      </c>
      <c r="D1361" s="733">
        <v>56.001220703125</v>
      </c>
      <c r="E1361" s="733">
        <v>2</v>
      </c>
    </row>
    <row r="1362" spans="2:5" x14ac:dyDescent="0.25">
      <c r="B1362" s="1382" t="s">
        <v>1840</v>
      </c>
      <c r="C1362" s="733" t="s">
        <v>1080</v>
      </c>
      <c r="D1362" s="733">
        <v>55.003387451171875</v>
      </c>
      <c r="E1362" s="733">
        <v>2</v>
      </c>
    </row>
    <row r="1363" spans="2:5" x14ac:dyDescent="0.25">
      <c r="B1363" s="1382" t="s">
        <v>1840</v>
      </c>
      <c r="C1363" s="733" t="s">
        <v>1081</v>
      </c>
      <c r="D1363" s="733">
        <v>67.003883361816406</v>
      </c>
      <c r="E1363" s="733">
        <v>2</v>
      </c>
    </row>
    <row r="1364" spans="2:5" x14ac:dyDescent="0.25">
      <c r="B1364" s="1382" t="s">
        <v>1840</v>
      </c>
      <c r="C1364" s="733" t="s">
        <v>1081</v>
      </c>
      <c r="D1364" s="733">
        <v>71.002090454101563</v>
      </c>
      <c r="E1364" s="733">
        <v>2</v>
      </c>
    </row>
    <row r="1365" spans="2:5" x14ac:dyDescent="0.25">
      <c r="B1365" s="1382" t="s">
        <v>1840</v>
      </c>
      <c r="C1365" s="733" t="s">
        <v>1081</v>
      </c>
      <c r="D1365" s="733">
        <v>62.002422332763672</v>
      </c>
      <c r="E1365" s="733">
        <v>2</v>
      </c>
    </row>
    <row r="1366" spans="2:5" x14ac:dyDescent="0.25">
      <c r="B1366" s="1382" t="s">
        <v>1840</v>
      </c>
      <c r="C1366" s="733" t="s">
        <v>1081</v>
      </c>
      <c r="D1366" s="733">
        <v>76.001060485839844</v>
      </c>
      <c r="E1366" s="733">
        <v>2</v>
      </c>
    </row>
    <row r="1367" spans="2:5" x14ac:dyDescent="0.25">
      <c r="B1367" s="1382" t="s">
        <v>1840</v>
      </c>
      <c r="C1367" s="733" t="s">
        <v>1080</v>
      </c>
      <c r="D1367" s="733">
        <v>52.001079559326172</v>
      </c>
      <c r="E1367" s="733">
        <v>2</v>
      </c>
    </row>
    <row r="1368" spans="2:5" x14ac:dyDescent="0.25">
      <c r="B1368" s="1382" t="s">
        <v>1840</v>
      </c>
      <c r="C1368" s="733" t="s">
        <v>1080</v>
      </c>
      <c r="D1368" s="733">
        <v>67.003837585449219</v>
      </c>
      <c r="E1368" s="733">
        <v>2</v>
      </c>
    </row>
    <row r="1369" spans="2:5" x14ac:dyDescent="0.25">
      <c r="B1369" s="1382" t="s">
        <v>1840</v>
      </c>
      <c r="C1369" s="733" t="s">
        <v>1080</v>
      </c>
      <c r="D1369" s="733">
        <v>55.001873016357422</v>
      </c>
      <c r="E1369" s="733">
        <v>2</v>
      </c>
    </row>
    <row r="1370" spans="2:5" x14ac:dyDescent="0.25">
      <c r="B1370" s="1382" t="s">
        <v>1840</v>
      </c>
      <c r="C1370" s="733" t="s">
        <v>1080</v>
      </c>
      <c r="D1370" s="733">
        <v>59.010353088378906</v>
      </c>
      <c r="E1370" s="733">
        <v>2</v>
      </c>
    </row>
    <row r="1371" spans="2:5" x14ac:dyDescent="0.25">
      <c r="B1371" s="1382" t="s">
        <v>1840</v>
      </c>
      <c r="C1371" s="733" t="s">
        <v>1081</v>
      </c>
      <c r="D1371" s="733">
        <v>70.001670837402344</v>
      </c>
      <c r="E1371" s="733">
        <v>2</v>
      </c>
    </row>
    <row r="1372" spans="2:5" x14ac:dyDescent="0.25">
      <c r="B1372" s="1382" t="s">
        <v>1840</v>
      </c>
      <c r="C1372" s="733" t="s">
        <v>1081</v>
      </c>
      <c r="D1372" s="733">
        <v>77.003456115722656</v>
      </c>
      <c r="E1372" s="733">
        <v>2</v>
      </c>
    </row>
    <row r="1373" spans="2:5" x14ac:dyDescent="0.25">
      <c r="B1373" s="1382" t="s">
        <v>1840</v>
      </c>
      <c r="C1373" s="733" t="s">
        <v>1080</v>
      </c>
      <c r="D1373" s="733">
        <v>64.002525329589844</v>
      </c>
      <c r="E1373" s="733">
        <v>2</v>
      </c>
    </row>
    <row r="1374" spans="2:5" x14ac:dyDescent="0.25">
      <c r="B1374" s="1382" t="s">
        <v>1840</v>
      </c>
      <c r="C1374" s="733" t="s">
        <v>1080</v>
      </c>
      <c r="D1374" s="733">
        <v>72.007545471191406</v>
      </c>
      <c r="E1374" s="733">
        <v>2</v>
      </c>
    </row>
    <row r="1375" spans="2:5" x14ac:dyDescent="0.25">
      <c r="B1375" s="1382" t="s">
        <v>1840</v>
      </c>
      <c r="C1375" s="733" t="s">
        <v>1080</v>
      </c>
      <c r="D1375" s="733">
        <v>76.051277160644531</v>
      </c>
      <c r="E1375" s="733">
        <v>2</v>
      </c>
    </row>
    <row r="1376" spans="2:5" x14ac:dyDescent="0.25">
      <c r="B1376" s="1382" t="s">
        <v>1840</v>
      </c>
      <c r="C1376" s="733" t="s">
        <v>1080</v>
      </c>
      <c r="D1376" s="733">
        <v>53.001640319824219</v>
      </c>
      <c r="E1376" s="733">
        <v>2</v>
      </c>
    </row>
    <row r="1377" spans="2:5" x14ac:dyDescent="0.25">
      <c r="B1377" s="1382" t="s">
        <v>1840</v>
      </c>
      <c r="C1377" s="733" t="s">
        <v>1080</v>
      </c>
      <c r="D1377" s="733">
        <v>61.000770568847656</v>
      </c>
      <c r="E1377" s="733">
        <v>2</v>
      </c>
    </row>
    <row r="1378" spans="2:5" x14ac:dyDescent="0.25">
      <c r="B1378" s="1382" t="s">
        <v>1840</v>
      </c>
      <c r="C1378" s="733" t="s">
        <v>1080</v>
      </c>
      <c r="D1378" s="733">
        <v>74.006057739257813</v>
      </c>
      <c r="E1378" s="733">
        <v>2</v>
      </c>
    </row>
    <row r="1379" spans="2:5" x14ac:dyDescent="0.25">
      <c r="B1379" s="1382" t="s">
        <v>1840</v>
      </c>
      <c r="C1379" s="733" t="s">
        <v>1080</v>
      </c>
      <c r="D1379" s="733">
        <v>48.003147125244141</v>
      </c>
      <c r="E1379" s="733">
        <v>2</v>
      </c>
    </row>
    <row r="1380" spans="2:5" x14ac:dyDescent="0.25">
      <c r="B1380" s="1382" t="s">
        <v>1840</v>
      </c>
      <c r="C1380" s="733" t="s">
        <v>1081</v>
      </c>
      <c r="D1380" s="733">
        <v>66.002334594726563</v>
      </c>
      <c r="E1380" s="733">
        <v>2</v>
      </c>
    </row>
    <row r="1381" spans="2:5" x14ac:dyDescent="0.25">
      <c r="B1381" s="1382" t="s">
        <v>1840</v>
      </c>
      <c r="C1381" s="733" t="s">
        <v>1081</v>
      </c>
      <c r="D1381" s="733">
        <v>76.002975463867188</v>
      </c>
      <c r="E1381" s="733">
        <v>2</v>
      </c>
    </row>
    <row r="1382" spans="2:5" x14ac:dyDescent="0.25">
      <c r="B1382" s="1382" t="s">
        <v>1840</v>
      </c>
      <c r="C1382" s="733" t="s">
        <v>1080</v>
      </c>
      <c r="D1382" s="733">
        <v>60.00592041015625</v>
      </c>
      <c r="E1382" s="733">
        <v>2</v>
      </c>
    </row>
    <row r="1383" spans="2:5" x14ac:dyDescent="0.25">
      <c r="B1383" s="1382" t="s">
        <v>1840</v>
      </c>
      <c r="C1383" s="733" t="s">
        <v>1081</v>
      </c>
      <c r="D1383" s="733">
        <v>58.002632141113281</v>
      </c>
      <c r="E1383" s="733">
        <v>2</v>
      </c>
    </row>
    <row r="1384" spans="2:5" x14ac:dyDescent="0.25">
      <c r="B1384" s="1382" t="s">
        <v>1840</v>
      </c>
      <c r="C1384" s="733" t="s">
        <v>1081</v>
      </c>
      <c r="D1384" s="733">
        <v>59.002834320068359</v>
      </c>
      <c r="E1384" s="733">
        <v>2</v>
      </c>
    </row>
    <row r="1385" spans="2:5" x14ac:dyDescent="0.25">
      <c r="B1385" s="1382" t="s">
        <v>1840</v>
      </c>
      <c r="C1385" s="733" t="s">
        <v>1080</v>
      </c>
      <c r="D1385" s="733">
        <v>70.004035949707031</v>
      </c>
      <c r="E1385" s="733">
        <v>2</v>
      </c>
    </row>
    <row r="1386" spans="2:5" x14ac:dyDescent="0.25">
      <c r="B1386" s="1382" t="s">
        <v>1840</v>
      </c>
      <c r="C1386" s="733" t="s">
        <v>1080</v>
      </c>
      <c r="D1386" s="733">
        <v>51.0037841796875</v>
      </c>
      <c r="E1386" s="733">
        <v>2</v>
      </c>
    </row>
    <row r="1387" spans="2:5" x14ac:dyDescent="0.25">
      <c r="B1387" s="1382" t="s">
        <v>1840</v>
      </c>
      <c r="C1387" s="733" t="s">
        <v>1080</v>
      </c>
      <c r="D1387" s="733">
        <v>54.002105712890625</v>
      </c>
      <c r="E1387" s="733">
        <v>2</v>
      </c>
    </row>
    <row r="1388" spans="2:5" x14ac:dyDescent="0.25">
      <c r="B1388" s="1382" t="s">
        <v>1840</v>
      </c>
      <c r="C1388" s="733" t="s">
        <v>1080</v>
      </c>
      <c r="D1388" s="733">
        <v>76.003829956054688</v>
      </c>
      <c r="E1388" s="733">
        <v>2</v>
      </c>
    </row>
    <row r="1389" spans="2:5" x14ac:dyDescent="0.25">
      <c r="B1389" s="1382" t="s">
        <v>1840</v>
      </c>
      <c r="C1389" s="733" t="s">
        <v>1080</v>
      </c>
      <c r="D1389" s="733">
        <v>73.002197265625</v>
      </c>
      <c r="E1389" s="733">
        <v>2</v>
      </c>
    </row>
    <row r="1390" spans="2:5" x14ac:dyDescent="0.25">
      <c r="B1390" s="1382" t="s">
        <v>1840</v>
      </c>
      <c r="C1390" s="733" t="s">
        <v>1081</v>
      </c>
      <c r="D1390" s="733">
        <v>78.003761291503906</v>
      </c>
      <c r="E1390" s="733">
        <v>2</v>
      </c>
    </row>
    <row r="1391" spans="2:5" x14ac:dyDescent="0.25">
      <c r="B1391" s="1382" t="s">
        <v>1840</v>
      </c>
      <c r="C1391" s="733" t="s">
        <v>1080</v>
      </c>
      <c r="D1391" s="733">
        <v>63.0047607421875</v>
      </c>
      <c r="E1391" s="733">
        <v>2</v>
      </c>
    </row>
    <row r="1392" spans="2:5" x14ac:dyDescent="0.25">
      <c r="B1392" s="1382" t="s">
        <v>1840</v>
      </c>
      <c r="C1392" s="733" t="s">
        <v>1080</v>
      </c>
      <c r="D1392" s="733">
        <v>53.009677886962891</v>
      </c>
      <c r="E1392" s="733">
        <v>2</v>
      </c>
    </row>
    <row r="1393" spans="2:5" x14ac:dyDescent="0.25">
      <c r="B1393" s="1382" t="s">
        <v>1840</v>
      </c>
      <c r="C1393" s="733" t="s">
        <v>1080</v>
      </c>
      <c r="D1393" s="733">
        <v>79.003974914550781</v>
      </c>
      <c r="E1393" s="733">
        <v>2</v>
      </c>
    </row>
    <row r="1394" spans="2:5" x14ac:dyDescent="0.25">
      <c r="B1394" s="1382" t="s">
        <v>1840</v>
      </c>
      <c r="C1394" s="733" t="s">
        <v>1081</v>
      </c>
      <c r="D1394" s="733">
        <v>51.001560211181641</v>
      </c>
      <c r="E1394" s="733">
        <v>2</v>
      </c>
    </row>
    <row r="1395" spans="2:5" x14ac:dyDescent="0.25">
      <c r="B1395" s="1382" t="s">
        <v>1840</v>
      </c>
      <c r="C1395" s="733" t="s">
        <v>1080</v>
      </c>
      <c r="D1395" s="733">
        <v>71.007644653320313</v>
      </c>
      <c r="E1395" s="733">
        <v>2</v>
      </c>
    </row>
    <row r="1396" spans="2:5" x14ac:dyDescent="0.25">
      <c r="B1396" s="1382" t="s">
        <v>1840</v>
      </c>
      <c r="C1396" s="733" t="s">
        <v>1080</v>
      </c>
      <c r="D1396" s="733">
        <v>68.002845764160156</v>
      </c>
      <c r="E1396" s="733">
        <v>2</v>
      </c>
    </row>
    <row r="1397" spans="2:5" x14ac:dyDescent="0.25">
      <c r="B1397" s="1382" t="s">
        <v>1840</v>
      </c>
      <c r="C1397" s="733" t="s">
        <v>1080</v>
      </c>
      <c r="D1397" s="733">
        <v>60.001117706298828</v>
      </c>
      <c r="E1397" s="733">
        <v>2</v>
      </c>
    </row>
    <row r="1398" spans="2:5" x14ac:dyDescent="0.25">
      <c r="B1398" s="1382" t="s">
        <v>1840</v>
      </c>
      <c r="C1398" s="733" t="s">
        <v>1080</v>
      </c>
      <c r="D1398" s="733">
        <v>63.00262451171875</v>
      </c>
      <c r="E1398" s="733">
        <v>2</v>
      </c>
    </row>
    <row r="1399" spans="2:5" x14ac:dyDescent="0.25">
      <c r="B1399" s="1382" t="s">
        <v>1840</v>
      </c>
      <c r="C1399" s="733" t="s">
        <v>1080</v>
      </c>
      <c r="D1399" s="733">
        <v>69.002044677734375</v>
      </c>
      <c r="E1399" s="733">
        <v>2</v>
      </c>
    </row>
    <row r="1400" spans="2:5" x14ac:dyDescent="0.25">
      <c r="B1400" s="1382" t="s">
        <v>1840</v>
      </c>
      <c r="C1400" s="733" t="s">
        <v>1081</v>
      </c>
      <c r="D1400" s="733">
        <v>71.003860473632813</v>
      </c>
      <c r="E1400" s="733">
        <v>2</v>
      </c>
    </row>
    <row r="1401" spans="2:5" x14ac:dyDescent="0.25">
      <c r="B1401" s="1382" t="s">
        <v>1840</v>
      </c>
      <c r="C1401" s="733" t="s">
        <v>1080</v>
      </c>
      <c r="D1401" s="733">
        <v>74.008316040039063</v>
      </c>
      <c r="E1401" s="733">
        <v>2</v>
      </c>
    </row>
    <row r="1402" spans="2:5" x14ac:dyDescent="0.25">
      <c r="B1402" s="1382" t="s">
        <v>1840</v>
      </c>
      <c r="C1402" s="733" t="s">
        <v>1080</v>
      </c>
      <c r="D1402" s="733">
        <v>66.679672241210938</v>
      </c>
      <c r="E1402" s="733">
        <v>2</v>
      </c>
    </row>
    <row r="1403" spans="2:5" x14ac:dyDescent="0.25">
      <c r="B1403" s="1382" t="s">
        <v>1840</v>
      </c>
      <c r="C1403" s="733" t="s">
        <v>1080</v>
      </c>
      <c r="D1403" s="733">
        <v>66.254173278808594</v>
      </c>
      <c r="E1403" s="733">
        <v>2</v>
      </c>
    </row>
    <row r="1404" spans="2:5" x14ac:dyDescent="0.25">
      <c r="B1404" s="1382" t="s">
        <v>1840</v>
      </c>
      <c r="C1404" s="733" t="s">
        <v>1080</v>
      </c>
      <c r="D1404" s="733">
        <v>66.677688598632813</v>
      </c>
      <c r="E1404" s="733">
        <v>2</v>
      </c>
    </row>
    <row r="1405" spans="2:5" x14ac:dyDescent="0.25">
      <c r="B1405" s="1382" t="s">
        <v>1840</v>
      </c>
      <c r="C1405" s="733" t="s">
        <v>1081</v>
      </c>
      <c r="D1405" s="733">
        <v>57.576015472412109</v>
      </c>
      <c r="E1405" s="733">
        <v>2</v>
      </c>
    </row>
    <row r="1406" spans="2:5" x14ac:dyDescent="0.25">
      <c r="B1406" s="1382" t="s">
        <v>1840</v>
      </c>
      <c r="C1406" s="733" t="s">
        <v>1080</v>
      </c>
      <c r="D1406" s="733">
        <v>55.708305358886719</v>
      </c>
      <c r="E1406" s="733">
        <v>2</v>
      </c>
    </row>
    <row r="1407" spans="2:5" x14ac:dyDescent="0.25">
      <c r="B1407" s="1382" t="s">
        <v>1840</v>
      </c>
      <c r="C1407" s="733" t="s">
        <v>1080</v>
      </c>
      <c r="D1407" s="733">
        <v>58.919033050537109</v>
      </c>
      <c r="E1407" s="733">
        <v>2</v>
      </c>
    </row>
    <row r="1408" spans="2:5" x14ac:dyDescent="0.25">
      <c r="B1408" s="1382" t="s">
        <v>1840</v>
      </c>
      <c r="C1408" s="733" t="s">
        <v>1080</v>
      </c>
      <c r="D1408" s="733">
        <v>55.696342468261719</v>
      </c>
      <c r="E1408" s="733">
        <v>2</v>
      </c>
    </row>
    <row r="1409" spans="2:5" x14ac:dyDescent="0.25">
      <c r="B1409" s="1382" t="s">
        <v>1840</v>
      </c>
      <c r="C1409" s="733" t="s">
        <v>1080</v>
      </c>
      <c r="D1409" s="733">
        <v>70.179611206054688</v>
      </c>
      <c r="E1409" s="733">
        <v>2</v>
      </c>
    </row>
    <row r="1410" spans="2:5" x14ac:dyDescent="0.25">
      <c r="B1410" s="1382" t="s">
        <v>1840</v>
      </c>
      <c r="C1410" s="733" t="s">
        <v>1081</v>
      </c>
      <c r="D1410" s="733">
        <v>74.064315795898438</v>
      </c>
      <c r="E1410" s="733">
        <v>2</v>
      </c>
    </row>
    <row r="1411" spans="2:5" x14ac:dyDescent="0.25">
      <c r="B1411" s="1382" t="s">
        <v>1840</v>
      </c>
      <c r="C1411" s="733" t="s">
        <v>1080</v>
      </c>
      <c r="D1411" s="733">
        <v>65.413009643554688</v>
      </c>
      <c r="E1411" s="733">
        <v>2</v>
      </c>
    </row>
    <row r="1412" spans="2:5" x14ac:dyDescent="0.25">
      <c r="B1412" s="1382" t="s">
        <v>1840</v>
      </c>
      <c r="C1412" s="733" t="s">
        <v>1080</v>
      </c>
      <c r="D1412" s="733">
        <v>58.763908386230469</v>
      </c>
      <c r="E1412" s="733">
        <v>2</v>
      </c>
    </row>
    <row r="1413" spans="2:5" x14ac:dyDescent="0.25">
      <c r="B1413" s="1382" t="s">
        <v>1840</v>
      </c>
      <c r="C1413" s="733" t="s">
        <v>1080</v>
      </c>
      <c r="D1413" s="733">
        <v>59.202247619628906</v>
      </c>
      <c r="E1413" s="733">
        <v>2</v>
      </c>
    </row>
    <row r="1414" spans="2:5" x14ac:dyDescent="0.25">
      <c r="B1414" s="1382" t="s">
        <v>1840</v>
      </c>
      <c r="C1414" s="733" t="s">
        <v>1080</v>
      </c>
      <c r="D1414" s="733">
        <v>59.473152160644531</v>
      </c>
      <c r="E1414" s="733">
        <v>2</v>
      </c>
    </row>
    <row r="1415" spans="2:5" x14ac:dyDescent="0.25">
      <c r="B1415" s="1382" t="s">
        <v>1840</v>
      </c>
      <c r="C1415" s="733" t="s">
        <v>1081</v>
      </c>
      <c r="D1415" s="733">
        <v>73.49212646484375</v>
      </c>
      <c r="E1415" s="733">
        <v>2</v>
      </c>
    </row>
    <row r="1416" spans="2:5" x14ac:dyDescent="0.25">
      <c r="B1416" s="1382" t="s">
        <v>1840</v>
      </c>
      <c r="C1416" s="733" t="s">
        <v>1080</v>
      </c>
      <c r="D1416" s="733">
        <v>53.359794616699219</v>
      </c>
      <c r="E1416" s="733">
        <v>2</v>
      </c>
    </row>
    <row r="1417" spans="2:5" x14ac:dyDescent="0.25">
      <c r="B1417" s="1382" t="s">
        <v>1840</v>
      </c>
      <c r="C1417" s="733" t="s">
        <v>1080</v>
      </c>
      <c r="D1417" s="733">
        <v>65.845878601074219</v>
      </c>
      <c r="E1417" s="733">
        <v>2</v>
      </c>
    </row>
    <row r="1418" spans="2:5" x14ac:dyDescent="0.25">
      <c r="B1418" s="1382" t="s">
        <v>1840</v>
      </c>
      <c r="C1418" s="733" t="s">
        <v>1080</v>
      </c>
      <c r="D1418" s="733">
        <v>34.702308654785156</v>
      </c>
      <c r="E1418" s="733">
        <v>2</v>
      </c>
    </row>
    <row r="1419" spans="2:5" x14ac:dyDescent="0.25">
      <c r="B1419" s="1382" t="s">
        <v>1840</v>
      </c>
      <c r="C1419" s="733" t="s">
        <v>1080</v>
      </c>
      <c r="D1419" s="733">
        <v>61.459053039550781</v>
      </c>
      <c r="E1419" s="733">
        <v>2</v>
      </c>
    </row>
    <row r="1420" spans="2:5" x14ac:dyDescent="0.25">
      <c r="B1420" s="1382" t="s">
        <v>1840</v>
      </c>
      <c r="C1420" s="733" t="s">
        <v>1080</v>
      </c>
      <c r="D1420" s="733">
        <v>59.86065673828125</v>
      </c>
      <c r="E1420" s="733">
        <v>2</v>
      </c>
    </row>
    <row r="1421" spans="2:5" x14ac:dyDescent="0.25">
      <c r="B1421" s="1382" t="s">
        <v>1840</v>
      </c>
      <c r="C1421" s="733" t="s">
        <v>1080</v>
      </c>
      <c r="D1421" s="733">
        <v>54.958263397216797</v>
      </c>
      <c r="E1421" s="733">
        <v>2</v>
      </c>
    </row>
    <row r="1422" spans="2:5" x14ac:dyDescent="0.25">
      <c r="B1422" s="1382" t="s">
        <v>1840</v>
      </c>
      <c r="C1422" s="733" t="s">
        <v>1080</v>
      </c>
      <c r="D1422" s="733">
        <v>51.115909576416016</v>
      </c>
      <c r="E1422" s="733">
        <v>2</v>
      </c>
    </row>
    <row r="1423" spans="2:5" x14ac:dyDescent="0.25">
      <c r="B1423" s="1382" t="s">
        <v>1840</v>
      </c>
      <c r="C1423" s="733" t="s">
        <v>1080</v>
      </c>
      <c r="D1423" s="733">
        <v>57.402202606201172</v>
      </c>
      <c r="E1423" s="733">
        <v>2</v>
      </c>
    </row>
    <row r="1424" spans="2:5" x14ac:dyDescent="0.25">
      <c r="B1424" s="1382" t="s">
        <v>1840</v>
      </c>
      <c r="C1424" s="733" t="s">
        <v>1080</v>
      </c>
      <c r="D1424" s="733">
        <v>79.683090209960938</v>
      </c>
      <c r="E1424" s="733">
        <v>2</v>
      </c>
    </row>
    <row r="1425" spans="2:5" x14ac:dyDescent="0.25">
      <c r="B1425" s="1382" t="s">
        <v>1840</v>
      </c>
      <c r="C1425" s="733" t="s">
        <v>1080</v>
      </c>
      <c r="D1425" s="733">
        <v>38.604141235351563</v>
      </c>
      <c r="E1425" s="733">
        <v>2</v>
      </c>
    </row>
    <row r="1426" spans="2:5" x14ac:dyDescent="0.25">
      <c r="B1426" s="1382" t="s">
        <v>1840</v>
      </c>
      <c r="C1426" s="733" t="s">
        <v>1080</v>
      </c>
      <c r="D1426" s="733">
        <v>39.359855651855469</v>
      </c>
      <c r="E1426" s="733">
        <v>2</v>
      </c>
    </row>
    <row r="1427" spans="2:5" x14ac:dyDescent="0.25">
      <c r="B1427" s="1382" t="s">
        <v>1840</v>
      </c>
      <c r="C1427" s="733" t="s">
        <v>1080</v>
      </c>
      <c r="D1427" s="733">
        <v>60.626293182373047</v>
      </c>
      <c r="E1427" s="733">
        <v>2</v>
      </c>
    </row>
    <row r="1428" spans="2:5" x14ac:dyDescent="0.25">
      <c r="B1428" s="1382" t="s">
        <v>1840</v>
      </c>
      <c r="C1428" s="733" t="s">
        <v>1080</v>
      </c>
      <c r="D1428" s="733">
        <v>68.362892150878906</v>
      </c>
      <c r="E1428" s="733">
        <v>2</v>
      </c>
    </row>
    <row r="1429" spans="2:5" x14ac:dyDescent="0.25">
      <c r="B1429" s="1382" t="s">
        <v>1840</v>
      </c>
      <c r="C1429" s="733" t="s">
        <v>1080</v>
      </c>
      <c r="D1429" s="733">
        <v>65.552200317382813</v>
      </c>
      <c r="E1429" s="733">
        <v>2</v>
      </c>
    </row>
    <row r="1430" spans="2:5" x14ac:dyDescent="0.25">
      <c r="B1430" s="1382" t="s">
        <v>1840</v>
      </c>
      <c r="C1430" s="733" t="s">
        <v>1080</v>
      </c>
      <c r="D1430" s="733">
        <v>75.109268188476563</v>
      </c>
      <c r="E1430" s="733">
        <v>2</v>
      </c>
    </row>
    <row r="1431" spans="2:5" x14ac:dyDescent="0.25">
      <c r="B1431" s="1382" t="s">
        <v>1840</v>
      </c>
      <c r="C1431" s="733" t="s">
        <v>1081</v>
      </c>
      <c r="D1431" s="733">
        <v>54.685161590576172</v>
      </c>
      <c r="E1431" s="733">
        <v>2</v>
      </c>
    </row>
    <row r="1432" spans="2:5" x14ac:dyDescent="0.25">
      <c r="B1432" s="1382" t="s">
        <v>1840</v>
      </c>
      <c r="C1432" s="733" t="s">
        <v>1081</v>
      </c>
      <c r="D1432" s="733">
        <v>60.211807250976563</v>
      </c>
      <c r="E1432" s="733">
        <v>2</v>
      </c>
    </row>
    <row r="1433" spans="2:5" x14ac:dyDescent="0.25">
      <c r="B1433" s="1382" t="s">
        <v>1840</v>
      </c>
      <c r="C1433" s="733" t="s">
        <v>1080</v>
      </c>
      <c r="D1433" s="733">
        <v>71.703880310058594</v>
      </c>
      <c r="E1433" s="733">
        <v>2</v>
      </c>
    </row>
    <row r="1434" spans="2:5" x14ac:dyDescent="0.25">
      <c r="B1434" s="1382" t="s">
        <v>1840</v>
      </c>
      <c r="C1434" s="733" t="s">
        <v>1081</v>
      </c>
      <c r="D1434" s="733">
        <v>74.585479736328125</v>
      </c>
      <c r="E1434" s="733">
        <v>2</v>
      </c>
    </row>
    <row r="1435" spans="2:5" x14ac:dyDescent="0.25">
      <c r="B1435" s="1382" t="s">
        <v>1840</v>
      </c>
      <c r="C1435" s="733" t="s">
        <v>1080</v>
      </c>
      <c r="D1435" s="733">
        <v>48.940509796142578</v>
      </c>
      <c r="E1435" s="733">
        <v>2</v>
      </c>
    </row>
    <row r="1436" spans="2:5" x14ac:dyDescent="0.25">
      <c r="B1436" s="1382" t="s">
        <v>1840</v>
      </c>
      <c r="C1436" s="733" t="s">
        <v>1080</v>
      </c>
      <c r="D1436" s="733">
        <v>82.478073120117188</v>
      </c>
      <c r="E1436" s="733">
        <v>2</v>
      </c>
    </row>
    <row r="1437" spans="2:5" x14ac:dyDescent="0.25">
      <c r="B1437" s="1382" t="s">
        <v>1840</v>
      </c>
      <c r="C1437" s="733" t="s">
        <v>1080</v>
      </c>
      <c r="D1437" s="733">
        <v>52.112808227539063</v>
      </c>
      <c r="E1437" s="733">
        <v>2</v>
      </c>
    </row>
    <row r="1438" spans="2:5" x14ac:dyDescent="0.25">
      <c r="B1438" s="1382" t="s">
        <v>1840</v>
      </c>
      <c r="C1438" s="733" t="s">
        <v>1080</v>
      </c>
      <c r="D1438" s="733">
        <v>69.17431640625</v>
      </c>
      <c r="E1438" s="733">
        <v>2</v>
      </c>
    </row>
    <row r="1439" spans="2:5" x14ac:dyDescent="0.25">
      <c r="B1439" s="1382" t="s">
        <v>1840</v>
      </c>
      <c r="C1439" s="733" t="s">
        <v>1080</v>
      </c>
      <c r="D1439" s="733">
        <v>62.738441467285156</v>
      </c>
      <c r="E1439" s="733">
        <v>2</v>
      </c>
    </row>
    <row r="1440" spans="2:5" x14ac:dyDescent="0.25">
      <c r="B1440" s="1382" t="s">
        <v>1840</v>
      </c>
      <c r="C1440" s="733" t="s">
        <v>1080</v>
      </c>
      <c r="D1440" s="733">
        <v>56.553310394287109</v>
      </c>
      <c r="E1440" s="733">
        <v>2</v>
      </c>
    </row>
    <row r="1441" spans="2:5" x14ac:dyDescent="0.25">
      <c r="B1441" s="1382" t="s">
        <v>1840</v>
      </c>
      <c r="C1441" s="733" t="s">
        <v>1080</v>
      </c>
      <c r="D1441" s="733">
        <v>63.6026611328125</v>
      </c>
      <c r="E1441" s="733">
        <v>2</v>
      </c>
    </row>
    <row r="1442" spans="2:5" x14ac:dyDescent="0.25">
      <c r="B1442" s="1382" t="s">
        <v>1840</v>
      </c>
      <c r="C1442" s="733" t="s">
        <v>1080</v>
      </c>
      <c r="D1442" s="733">
        <v>49.372005462646484</v>
      </c>
      <c r="E1442" s="733">
        <v>2</v>
      </c>
    </row>
    <row r="1443" spans="2:5" x14ac:dyDescent="0.25">
      <c r="B1443" s="1382" t="s">
        <v>1840</v>
      </c>
      <c r="C1443" s="733" t="s">
        <v>1080</v>
      </c>
      <c r="D1443" s="733">
        <v>79.867881774902344</v>
      </c>
      <c r="E1443" s="733">
        <v>2</v>
      </c>
    </row>
    <row r="1444" spans="2:5" x14ac:dyDescent="0.25">
      <c r="B1444" s="1382" t="s">
        <v>1840</v>
      </c>
      <c r="C1444" s="733" t="s">
        <v>1080</v>
      </c>
      <c r="D1444" s="733">
        <v>50.228904724121094</v>
      </c>
      <c r="E1444" s="733">
        <v>2</v>
      </c>
    </row>
    <row r="1445" spans="2:5" x14ac:dyDescent="0.25">
      <c r="B1445" s="1382" t="s">
        <v>1840</v>
      </c>
      <c r="C1445" s="733" t="s">
        <v>1081</v>
      </c>
      <c r="D1445" s="733">
        <v>79.466728210449219</v>
      </c>
      <c r="E1445" s="733">
        <v>2</v>
      </c>
    </row>
    <row r="1446" spans="2:5" x14ac:dyDescent="0.25">
      <c r="B1446" s="1382" t="s">
        <v>1840</v>
      </c>
      <c r="C1446" s="733" t="s">
        <v>1080</v>
      </c>
      <c r="D1446" s="733">
        <v>60.121143341064453</v>
      </c>
      <c r="E1446" s="733">
        <v>2</v>
      </c>
    </row>
    <row r="1447" spans="2:5" x14ac:dyDescent="0.25">
      <c r="B1447" s="1382" t="s">
        <v>1840</v>
      </c>
      <c r="C1447" s="733" t="s">
        <v>1080</v>
      </c>
      <c r="D1447" s="733">
        <v>51.930469512939453</v>
      </c>
      <c r="E1447" s="733">
        <v>2</v>
      </c>
    </row>
    <row r="1448" spans="2:5" x14ac:dyDescent="0.25">
      <c r="B1448" s="1382" t="s">
        <v>1840</v>
      </c>
      <c r="C1448" s="733" t="s">
        <v>1081</v>
      </c>
      <c r="D1448" s="733">
        <v>45.883712768554688</v>
      </c>
      <c r="E1448" s="733">
        <v>2</v>
      </c>
    </row>
    <row r="1449" spans="2:5" x14ac:dyDescent="0.25">
      <c r="B1449" s="1382" t="s">
        <v>1840</v>
      </c>
      <c r="C1449" s="733" t="s">
        <v>1080</v>
      </c>
      <c r="D1449" s="733">
        <v>61.757747650146484</v>
      </c>
      <c r="E1449" s="733">
        <v>2</v>
      </c>
    </row>
    <row r="1450" spans="2:5" x14ac:dyDescent="0.25">
      <c r="B1450" s="1382" t="s">
        <v>1840</v>
      </c>
      <c r="C1450" s="733" t="s">
        <v>1080</v>
      </c>
      <c r="D1450" s="733">
        <v>62.709156036376953</v>
      </c>
      <c r="E1450" s="733">
        <v>2</v>
      </c>
    </row>
    <row r="1451" spans="2:5" x14ac:dyDescent="0.25">
      <c r="B1451" s="1382" t="s">
        <v>1840</v>
      </c>
      <c r="C1451" s="733" t="s">
        <v>1080</v>
      </c>
      <c r="D1451" s="733">
        <v>76.712387084960938</v>
      </c>
      <c r="E1451" s="733">
        <v>2</v>
      </c>
    </row>
    <row r="1452" spans="2:5" x14ac:dyDescent="0.25">
      <c r="B1452" s="1382" t="s">
        <v>1840</v>
      </c>
      <c r="C1452" s="733" t="s">
        <v>1080</v>
      </c>
      <c r="D1452" s="733">
        <v>59.772300720214844</v>
      </c>
      <c r="E1452" s="733">
        <v>2</v>
      </c>
    </row>
    <row r="1453" spans="2:5" x14ac:dyDescent="0.25">
      <c r="B1453" s="1382" t="s">
        <v>1840</v>
      </c>
      <c r="C1453" s="733" t="s">
        <v>1080</v>
      </c>
      <c r="D1453" s="733">
        <v>66.001449584960938</v>
      </c>
      <c r="E1453" s="733">
        <v>2</v>
      </c>
    </row>
    <row r="1454" spans="2:5" x14ac:dyDescent="0.25">
      <c r="B1454" s="1382" t="s">
        <v>1840</v>
      </c>
      <c r="C1454" s="733" t="s">
        <v>1081</v>
      </c>
      <c r="D1454" s="733">
        <v>39.717941284179688</v>
      </c>
      <c r="E1454" s="733">
        <v>2</v>
      </c>
    </row>
    <row r="1455" spans="2:5" x14ac:dyDescent="0.25">
      <c r="B1455" s="1382" t="s">
        <v>1840</v>
      </c>
      <c r="C1455" s="733" t="s">
        <v>1080</v>
      </c>
      <c r="D1455" s="733">
        <v>52.298141479492188</v>
      </c>
      <c r="E1455" s="733">
        <v>2</v>
      </c>
    </row>
    <row r="1456" spans="2:5" x14ac:dyDescent="0.25">
      <c r="B1456" s="1382" t="s">
        <v>1840</v>
      </c>
      <c r="C1456" s="733" t="s">
        <v>1080</v>
      </c>
      <c r="D1456" s="733">
        <v>68.584892272949219</v>
      </c>
      <c r="E1456" s="733">
        <v>2</v>
      </c>
    </row>
    <row r="1457" spans="2:5" x14ac:dyDescent="0.25">
      <c r="B1457" s="1382" t="s">
        <v>1840</v>
      </c>
      <c r="C1457" s="733" t="s">
        <v>1080</v>
      </c>
      <c r="D1457" s="733">
        <v>50.415428161621094</v>
      </c>
      <c r="E1457" s="733">
        <v>2</v>
      </c>
    </row>
    <row r="1458" spans="2:5" x14ac:dyDescent="0.25">
      <c r="B1458" s="1382" t="s">
        <v>1840</v>
      </c>
      <c r="C1458" s="733" t="s">
        <v>1080</v>
      </c>
      <c r="D1458" s="733">
        <v>54.313694000244141</v>
      </c>
      <c r="E1458" s="733">
        <v>2</v>
      </c>
    </row>
    <row r="1459" spans="2:5" x14ac:dyDescent="0.25">
      <c r="B1459" s="1382" t="s">
        <v>1840</v>
      </c>
      <c r="C1459" s="733" t="s">
        <v>1080</v>
      </c>
      <c r="D1459" s="733">
        <v>67.955009460449219</v>
      </c>
      <c r="E1459" s="733">
        <v>2</v>
      </c>
    </row>
    <row r="1460" spans="2:5" x14ac:dyDescent="0.25">
      <c r="B1460" s="1382" t="s">
        <v>1840</v>
      </c>
      <c r="C1460" s="733" t="s">
        <v>1081</v>
      </c>
      <c r="D1460" s="733">
        <v>63.535289764404297</v>
      </c>
      <c r="E1460" s="733">
        <v>2</v>
      </c>
    </row>
    <row r="1461" spans="2:5" x14ac:dyDescent="0.25">
      <c r="B1461" s="1382" t="s">
        <v>1840</v>
      </c>
      <c r="C1461" s="733" t="s">
        <v>1081</v>
      </c>
      <c r="D1461" s="733">
        <v>62.306449890136719</v>
      </c>
      <c r="E1461" s="733">
        <v>2</v>
      </c>
    </row>
    <row r="1462" spans="2:5" x14ac:dyDescent="0.25">
      <c r="B1462" s="1382" t="s">
        <v>1840</v>
      </c>
      <c r="C1462" s="733" t="s">
        <v>1080</v>
      </c>
      <c r="D1462" s="733">
        <v>68.529647827148438</v>
      </c>
      <c r="E1462" s="733">
        <v>2</v>
      </c>
    </row>
    <row r="1463" spans="2:5" x14ac:dyDescent="0.25">
      <c r="B1463" s="1382" t="s">
        <v>1840</v>
      </c>
      <c r="C1463" s="733" t="s">
        <v>1081</v>
      </c>
      <c r="D1463" s="733">
        <v>71.250167846679688</v>
      </c>
      <c r="E1463" s="733">
        <v>2</v>
      </c>
    </row>
    <row r="1464" spans="2:5" x14ac:dyDescent="0.25">
      <c r="B1464" s="1382" t="s">
        <v>1840</v>
      </c>
      <c r="C1464" s="733" t="s">
        <v>1080</v>
      </c>
      <c r="D1464" s="733">
        <v>66.110740661621094</v>
      </c>
      <c r="E1464" s="733">
        <v>2</v>
      </c>
    </row>
    <row r="1465" spans="2:5" x14ac:dyDescent="0.25">
      <c r="B1465" s="1382" t="s">
        <v>1840</v>
      </c>
      <c r="C1465" s="733" t="s">
        <v>1081</v>
      </c>
      <c r="D1465" s="733">
        <v>50.927272796630859</v>
      </c>
      <c r="E1465" s="733">
        <v>2</v>
      </c>
    </row>
    <row r="1466" spans="2:5" x14ac:dyDescent="0.25">
      <c r="B1466" s="1382" t="s">
        <v>1840</v>
      </c>
      <c r="C1466" s="733" t="s">
        <v>1080</v>
      </c>
      <c r="D1466" s="733">
        <v>77.231353759765625</v>
      </c>
      <c r="E1466" s="733">
        <v>2</v>
      </c>
    </row>
    <row r="1467" spans="2:5" x14ac:dyDescent="0.25">
      <c r="B1467" s="1382" t="s">
        <v>1840</v>
      </c>
      <c r="C1467" s="733" t="s">
        <v>1081</v>
      </c>
      <c r="D1467" s="733">
        <v>65.399246215820313</v>
      </c>
      <c r="E1467" s="733">
        <v>2</v>
      </c>
    </row>
    <row r="1468" spans="2:5" x14ac:dyDescent="0.25">
      <c r="B1468" s="1382" t="s">
        <v>1840</v>
      </c>
      <c r="C1468" s="733" t="s">
        <v>1080</v>
      </c>
      <c r="D1468" s="733">
        <v>55.664890289306641</v>
      </c>
      <c r="E1468" s="733">
        <v>2</v>
      </c>
    </row>
    <row r="1469" spans="2:5" x14ac:dyDescent="0.25">
      <c r="B1469" s="1382" t="s">
        <v>1840</v>
      </c>
      <c r="C1469" s="733" t="s">
        <v>1080</v>
      </c>
      <c r="D1469" s="733">
        <v>51.288215637207031</v>
      </c>
      <c r="E1469" s="733">
        <v>2</v>
      </c>
    </row>
    <row r="1470" spans="2:5" x14ac:dyDescent="0.25">
      <c r="B1470" s="1382" t="s">
        <v>1840</v>
      </c>
      <c r="C1470" s="733" t="s">
        <v>1080</v>
      </c>
      <c r="D1470" s="733">
        <v>74.930374145507813</v>
      </c>
      <c r="E1470" s="733">
        <v>2</v>
      </c>
    </row>
    <row r="1471" spans="2:5" x14ac:dyDescent="0.25">
      <c r="B1471" s="1382" t="s">
        <v>1840</v>
      </c>
      <c r="C1471" s="733" t="s">
        <v>1080</v>
      </c>
      <c r="D1471" s="733">
        <v>72.7952880859375</v>
      </c>
      <c r="E1471" s="733">
        <v>2</v>
      </c>
    </row>
    <row r="1472" spans="2:5" x14ac:dyDescent="0.25">
      <c r="B1472" s="1382" t="s">
        <v>1840</v>
      </c>
      <c r="C1472" s="733" t="s">
        <v>1080</v>
      </c>
      <c r="D1472" s="733">
        <v>77.533538818359375</v>
      </c>
      <c r="E1472" s="733">
        <v>2</v>
      </c>
    </row>
    <row r="1473" spans="2:5" x14ac:dyDescent="0.25">
      <c r="B1473" s="1382" t="s">
        <v>1840</v>
      </c>
      <c r="C1473" s="733" t="s">
        <v>1080</v>
      </c>
      <c r="D1473" s="733">
        <v>78.794044494628906</v>
      </c>
      <c r="E1473" s="733">
        <v>2</v>
      </c>
    </row>
    <row r="1474" spans="2:5" x14ac:dyDescent="0.25">
      <c r="B1474" s="1382" t="s">
        <v>1840</v>
      </c>
      <c r="C1474" s="733" t="s">
        <v>1080</v>
      </c>
      <c r="D1474" s="733">
        <v>42.573848724365234</v>
      </c>
      <c r="E1474" s="733">
        <v>2</v>
      </c>
    </row>
    <row r="1475" spans="2:5" x14ac:dyDescent="0.25">
      <c r="B1475" s="1382" t="s">
        <v>1840</v>
      </c>
      <c r="C1475" s="733" t="s">
        <v>1080</v>
      </c>
      <c r="D1475" s="733">
        <v>46.531181335449219</v>
      </c>
      <c r="E1475" s="733">
        <v>2</v>
      </c>
    </row>
    <row r="1476" spans="2:5" x14ac:dyDescent="0.25">
      <c r="B1476" s="1382" t="s">
        <v>1840</v>
      </c>
      <c r="C1476" s="733" t="s">
        <v>1080</v>
      </c>
      <c r="D1476" s="733">
        <v>55.012748718261719</v>
      </c>
      <c r="E1476" s="733">
        <v>2</v>
      </c>
    </row>
    <row r="1477" spans="2:5" x14ac:dyDescent="0.25">
      <c r="B1477" s="1382" t="s">
        <v>1840</v>
      </c>
      <c r="C1477" s="733" t="s">
        <v>1080</v>
      </c>
      <c r="D1477" s="733">
        <v>60.006797790527344</v>
      </c>
      <c r="E1477" s="733">
        <v>2</v>
      </c>
    </row>
    <row r="1478" spans="2:5" x14ac:dyDescent="0.25">
      <c r="B1478" s="1382" t="s">
        <v>1840</v>
      </c>
      <c r="C1478" s="733" t="s">
        <v>1080</v>
      </c>
      <c r="D1478" s="733">
        <v>67.002044677734375</v>
      </c>
      <c r="E1478" s="733">
        <v>2</v>
      </c>
    </row>
    <row r="1479" spans="2:5" x14ac:dyDescent="0.25">
      <c r="B1479" s="1382" t="s">
        <v>1840</v>
      </c>
      <c r="C1479" s="733" t="s">
        <v>1081</v>
      </c>
      <c r="D1479" s="733">
        <v>70.001548767089844</v>
      </c>
      <c r="E1479" s="733">
        <v>2</v>
      </c>
    </row>
    <row r="1480" spans="2:5" x14ac:dyDescent="0.25">
      <c r="B1480" s="1382" t="s">
        <v>1840</v>
      </c>
      <c r="C1480" s="733" t="s">
        <v>1081</v>
      </c>
      <c r="D1480" s="733">
        <v>59.002212524414063</v>
      </c>
      <c r="E1480" s="733">
        <v>2</v>
      </c>
    </row>
    <row r="1481" spans="2:5" x14ac:dyDescent="0.25">
      <c r="B1481" s="1382" t="s">
        <v>1840</v>
      </c>
      <c r="C1481" s="733" t="s">
        <v>1081</v>
      </c>
      <c r="D1481" s="733">
        <v>73.003105163574219</v>
      </c>
      <c r="E1481" s="733">
        <v>2</v>
      </c>
    </row>
    <row r="1482" spans="2:5" x14ac:dyDescent="0.25">
      <c r="B1482" s="1382" t="s">
        <v>1840</v>
      </c>
      <c r="C1482" s="733" t="s">
        <v>1081</v>
      </c>
      <c r="D1482" s="733">
        <v>56.001739501953125</v>
      </c>
      <c r="E1482" s="733">
        <v>2</v>
      </c>
    </row>
    <row r="1483" spans="2:5" x14ac:dyDescent="0.25">
      <c r="B1483" s="1382" t="s">
        <v>1840</v>
      </c>
      <c r="C1483" s="733" t="s">
        <v>1081</v>
      </c>
      <c r="D1483" s="733">
        <v>54.002002716064453</v>
      </c>
      <c r="E1483" s="733">
        <v>2</v>
      </c>
    </row>
    <row r="1484" spans="2:5" x14ac:dyDescent="0.25">
      <c r="B1484" s="1382" t="s">
        <v>1840</v>
      </c>
      <c r="C1484" s="733" t="s">
        <v>1080</v>
      </c>
      <c r="D1484" s="733">
        <v>56.004070281982422</v>
      </c>
      <c r="E1484" s="733">
        <v>2</v>
      </c>
    </row>
    <row r="1485" spans="2:5" x14ac:dyDescent="0.25">
      <c r="B1485" s="1382" t="s">
        <v>1840</v>
      </c>
      <c r="C1485" s="733" t="s">
        <v>1081</v>
      </c>
      <c r="D1485" s="733">
        <v>73.004859924316406</v>
      </c>
      <c r="E1485" s="733">
        <v>2</v>
      </c>
    </row>
    <row r="1486" spans="2:5" x14ac:dyDescent="0.25">
      <c r="B1486" s="1382" t="s">
        <v>1840</v>
      </c>
      <c r="C1486" s="733" t="s">
        <v>1080</v>
      </c>
      <c r="D1486" s="733">
        <v>68.001823425292969</v>
      </c>
      <c r="E1486" s="733">
        <v>2</v>
      </c>
    </row>
    <row r="1487" spans="2:5" x14ac:dyDescent="0.25">
      <c r="B1487" s="1382" t="s">
        <v>1840</v>
      </c>
      <c r="C1487" s="733" t="s">
        <v>1080</v>
      </c>
      <c r="D1487" s="733">
        <v>48.003021240234375</v>
      </c>
      <c r="E1487" s="733">
        <v>2</v>
      </c>
    </row>
    <row r="1488" spans="2:5" x14ac:dyDescent="0.25">
      <c r="B1488" s="1382" t="s">
        <v>1840</v>
      </c>
      <c r="C1488" s="733" t="s">
        <v>1080</v>
      </c>
      <c r="D1488" s="733">
        <v>53.016971588134766</v>
      </c>
      <c r="E1488" s="733">
        <v>2</v>
      </c>
    </row>
    <row r="1489" spans="2:5" x14ac:dyDescent="0.25">
      <c r="B1489" s="1382" t="s">
        <v>1840</v>
      </c>
      <c r="C1489" s="733" t="s">
        <v>1080</v>
      </c>
      <c r="D1489" s="733">
        <v>52.005035400390625</v>
      </c>
      <c r="E1489" s="733">
        <v>2</v>
      </c>
    </row>
    <row r="1490" spans="2:5" x14ac:dyDescent="0.25">
      <c r="B1490" s="1382" t="s">
        <v>1840</v>
      </c>
      <c r="C1490" s="733" t="s">
        <v>1080</v>
      </c>
      <c r="D1490" s="733">
        <v>52.003372192382813</v>
      </c>
      <c r="E1490" s="733">
        <v>2</v>
      </c>
    </row>
    <row r="1491" spans="2:5" x14ac:dyDescent="0.25">
      <c r="B1491" s="1382" t="s">
        <v>1840</v>
      </c>
      <c r="C1491" s="733" t="s">
        <v>1081</v>
      </c>
      <c r="D1491" s="733">
        <v>53.004608154296875</v>
      </c>
      <c r="E1491" s="733">
        <v>2</v>
      </c>
    </row>
    <row r="1492" spans="2:5" x14ac:dyDescent="0.25">
      <c r="B1492" s="1382" t="s">
        <v>1840</v>
      </c>
      <c r="C1492" s="733" t="s">
        <v>1080</v>
      </c>
      <c r="D1492" s="733">
        <v>58.001880645751953</v>
      </c>
      <c r="E1492" s="733">
        <v>2</v>
      </c>
    </row>
    <row r="1493" spans="2:5" x14ac:dyDescent="0.25">
      <c r="B1493" s="1382" t="s">
        <v>1840</v>
      </c>
      <c r="C1493" s="733" t="s">
        <v>1080</v>
      </c>
      <c r="D1493" s="733">
        <v>58.002182006835938</v>
      </c>
      <c r="E1493" s="733">
        <v>2</v>
      </c>
    </row>
    <row r="1494" spans="2:5" x14ac:dyDescent="0.25">
      <c r="B1494" s="1382" t="s">
        <v>1840</v>
      </c>
      <c r="C1494" s="733" t="s">
        <v>1081</v>
      </c>
      <c r="D1494" s="733">
        <v>45.001312255859375</v>
      </c>
      <c r="E1494" s="733">
        <v>2</v>
      </c>
    </row>
    <row r="1495" spans="2:5" x14ac:dyDescent="0.25">
      <c r="B1495" s="1382" t="s">
        <v>1840</v>
      </c>
      <c r="C1495" s="733" t="s">
        <v>1080</v>
      </c>
      <c r="D1495" s="733">
        <v>51.007362365722656</v>
      </c>
      <c r="E1495" s="733">
        <v>2</v>
      </c>
    </row>
    <row r="1496" spans="2:5" x14ac:dyDescent="0.25">
      <c r="B1496" s="1382" t="s">
        <v>1840</v>
      </c>
      <c r="C1496" s="733" t="s">
        <v>1080</v>
      </c>
      <c r="D1496" s="733">
        <v>54.007587432861328</v>
      </c>
      <c r="E1496" s="733">
        <v>2</v>
      </c>
    </row>
    <row r="1497" spans="2:5" x14ac:dyDescent="0.25">
      <c r="B1497" s="1382" t="s">
        <v>1840</v>
      </c>
      <c r="C1497" s="733" t="s">
        <v>1081</v>
      </c>
      <c r="D1497" s="733">
        <v>58.002174377441406</v>
      </c>
      <c r="E1497" s="733">
        <v>2</v>
      </c>
    </row>
    <row r="1498" spans="2:5" x14ac:dyDescent="0.25">
      <c r="B1498" s="1382" t="s">
        <v>1840</v>
      </c>
      <c r="C1498" s="733" t="s">
        <v>1080</v>
      </c>
      <c r="D1498" s="733">
        <v>71.001548767089844</v>
      </c>
      <c r="E1498" s="733">
        <v>2</v>
      </c>
    </row>
    <row r="1499" spans="2:5" x14ac:dyDescent="0.25">
      <c r="B1499" s="1382" t="s">
        <v>1840</v>
      </c>
      <c r="C1499" s="733" t="s">
        <v>1080</v>
      </c>
      <c r="D1499" s="733">
        <v>81.000686645507813</v>
      </c>
      <c r="E1499" s="733">
        <v>2</v>
      </c>
    </row>
    <row r="1500" spans="2:5" x14ac:dyDescent="0.25">
      <c r="B1500" s="1382" t="s">
        <v>1840</v>
      </c>
      <c r="C1500" s="733" t="s">
        <v>1080</v>
      </c>
      <c r="D1500" s="733">
        <v>48.001609802246094</v>
      </c>
      <c r="E1500" s="733">
        <v>2</v>
      </c>
    </row>
    <row r="1501" spans="2:5" x14ac:dyDescent="0.25">
      <c r="B1501" s="1382" t="s">
        <v>1840</v>
      </c>
      <c r="C1501" s="733" t="s">
        <v>1080</v>
      </c>
      <c r="D1501" s="733">
        <v>48.002105712890625</v>
      </c>
      <c r="E1501" s="733">
        <v>2</v>
      </c>
    </row>
    <row r="1502" spans="2:5" x14ac:dyDescent="0.25">
      <c r="B1502" s="1382" t="s">
        <v>1840</v>
      </c>
      <c r="C1502" s="733" t="s">
        <v>1080</v>
      </c>
      <c r="D1502" s="733">
        <v>53.001777648925781</v>
      </c>
      <c r="E1502" s="733">
        <v>2</v>
      </c>
    </row>
    <row r="1503" spans="2:5" x14ac:dyDescent="0.25">
      <c r="B1503" s="1382" t="s">
        <v>1840</v>
      </c>
      <c r="C1503" s="733" t="s">
        <v>1080</v>
      </c>
      <c r="D1503" s="733">
        <v>63.002292633056641</v>
      </c>
      <c r="E1503" s="733">
        <v>2</v>
      </c>
    </row>
    <row r="1504" spans="2:5" x14ac:dyDescent="0.25">
      <c r="B1504" s="1382" t="s">
        <v>1840</v>
      </c>
      <c r="C1504" s="733" t="s">
        <v>1080</v>
      </c>
      <c r="D1504" s="733">
        <v>65.007064819335938</v>
      </c>
      <c r="E1504" s="733">
        <v>2</v>
      </c>
    </row>
    <row r="1505" spans="2:5" x14ac:dyDescent="0.25">
      <c r="B1505" s="1382" t="s">
        <v>1840</v>
      </c>
      <c r="C1505" s="733" t="s">
        <v>1080</v>
      </c>
      <c r="D1505" s="733">
        <v>50.007022857666016</v>
      </c>
      <c r="E1505" s="733">
        <v>2</v>
      </c>
    </row>
    <row r="1506" spans="2:5" x14ac:dyDescent="0.25">
      <c r="B1506" s="1382" t="s">
        <v>1840</v>
      </c>
      <c r="C1506" s="733" t="s">
        <v>1080</v>
      </c>
      <c r="D1506" s="733">
        <v>80.0029296875</v>
      </c>
      <c r="E1506" s="733">
        <v>2</v>
      </c>
    </row>
    <row r="1507" spans="2:5" x14ac:dyDescent="0.25">
      <c r="B1507" s="1382" t="s">
        <v>1840</v>
      </c>
      <c r="C1507" s="733" t="s">
        <v>1081</v>
      </c>
      <c r="D1507" s="733">
        <v>56.003192901611328</v>
      </c>
      <c r="E1507" s="733">
        <v>2</v>
      </c>
    </row>
    <row r="1508" spans="2:5" x14ac:dyDescent="0.25">
      <c r="B1508" s="1382" t="s">
        <v>1840</v>
      </c>
      <c r="C1508" s="733" t="s">
        <v>1080</v>
      </c>
      <c r="D1508" s="733">
        <v>69.002494812011719</v>
      </c>
      <c r="E1508" s="733">
        <v>2</v>
      </c>
    </row>
    <row r="1509" spans="2:5" x14ac:dyDescent="0.25">
      <c r="B1509" s="1382" t="s">
        <v>1840</v>
      </c>
      <c r="C1509" s="733" t="s">
        <v>1081</v>
      </c>
      <c r="D1509" s="733">
        <v>77.009712219238281</v>
      </c>
      <c r="E1509" s="733">
        <v>2</v>
      </c>
    </row>
    <row r="1510" spans="2:5" x14ac:dyDescent="0.25">
      <c r="B1510" s="1382" t="s">
        <v>1840</v>
      </c>
      <c r="C1510" s="733" t="s">
        <v>1080</v>
      </c>
      <c r="D1510" s="733">
        <v>49.001941680908203</v>
      </c>
      <c r="E1510" s="733">
        <v>2</v>
      </c>
    </row>
    <row r="1511" spans="2:5" x14ac:dyDescent="0.25">
      <c r="B1511" s="1382" t="s">
        <v>1840</v>
      </c>
      <c r="C1511" s="733" t="s">
        <v>1080</v>
      </c>
      <c r="D1511" s="733">
        <v>63.003082275390625</v>
      </c>
      <c r="E1511" s="733">
        <v>2</v>
      </c>
    </row>
    <row r="1512" spans="2:5" x14ac:dyDescent="0.25">
      <c r="B1512" s="1382" t="s">
        <v>1840</v>
      </c>
      <c r="C1512" s="733" t="s">
        <v>1080</v>
      </c>
      <c r="D1512" s="733">
        <v>57.001220703125</v>
      </c>
      <c r="E1512" s="733">
        <v>2</v>
      </c>
    </row>
    <row r="1513" spans="2:5" x14ac:dyDescent="0.25">
      <c r="B1513" s="1382" t="s">
        <v>1840</v>
      </c>
      <c r="C1513" s="733" t="s">
        <v>1081</v>
      </c>
      <c r="D1513" s="733">
        <v>56.001365661621094</v>
      </c>
      <c r="E1513" s="733">
        <v>2</v>
      </c>
    </row>
    <row r="1514" spans="2:5" x14ac:dyDescent="0.25">
      <c r="B1514" s="1382" t="s">
        <v>1840</v>
      </c>
      <c r="C1514" s="733" t="s">
        <v>1080</v>
      </c>
      <c r="D1514" s="733">
        <v>61.001777648925781</v>
      </c>
      <c r="E1514" s="733">
        <v>2</v>
      </c>
    </row>
    <row r="1515" spans="2:5" x14ac:dyDescent="0.25">
      <c r="B1515" s="1382" t="s">
        <v>1840</v>
      </c>
      <c r="C1515" s="733" t="s">
        <v>1081</v>
      </c>
      <c r="D1515" s="733">
        <v>74.007942199707031</v>
      </c>
      <c r="E1515" s="733">
        <v>2</v>
      </c>
    </row>
    <row r="1516" spans="2:5" x14ac:dyDescent="0.25">
      <c r="B1516" s="1382" t="s">
        <v>1840</v>
      </c>
      <c r="C1516" s="733" t="s">
        <v>1080</v>
      </c>
      <c r="D1516" s="733">
        <v>61.004474639892578</v>
      </c>
      <c r="E1516" s="733">
        <v>2</v>
      </c>
    </row>
    <row r="1517" spans="2:5" x14ac:dyDescent="0.25">
      <c r="B1517" s="1382" t="s">
        <v>1840</v>
      </c>
      <c r="C1517" s="733" t="s">
        <v>1081</v>
      </c>
      <c r="D1517" s="733">
        <v>21.002586364746094</v>
      </c>
      <c r="E1517" s="733">
        <v>2</v>
      </c>
    </row>
    <row r="1518" spans="2:5" x14ac:dyDescent="0.25">
      <c r="B1518" s="1382" t="s">
        <v>1840</v>
      </c>
      <c r="C1518" s="733" t="s">
        <v>1081</v>
      </c>
      <c r="D1518" s="733">
        <v>89.002456665039063</v>
      </c>
      <c r="E1518" s="733">
        <v>2</v>
      </c>
    </row>
    <row r="1519" spans="2:5" x14ac:dyDescent="0.25">
      <c r="B1519" s="1382" t="s">
        <v>1840</v>
      </c>
      <c r="C1519" s="733" t="s">
        <v>1081</v>
      </c>
      <c r="D1519" s="733">
        <v>71.007408142089844</v>
      </c>
      <c r="E1519" s="733">
        <v>2</v>
      </c>
    </row>
    <row r="1520" spans="2:5" x14ac:dyDescent="0.25">
      <c r="B1520" s="1382" t="s">
        <v>1840</v>
      </c>
      <c r="C1520" s="733" t="s">
        <v>1081</v>
      </c>
      <c r="D1520" s="733">
        <v>78.000938415527344</v>
      </c>
      <c r="E1520" s="733">
        <v>2</v>
      </c>
    </row>
    <row r="1521" spans="2:5" x14ac:dyDescent="0.25">
      <c r="B1521" s="1382" t="s">
        <v>1840</v>
      </c>
      <c r="C1521" s="733" t="s">
        <v>1080</v>
      </c>
      <c r="D1521" s="733">
        <v>57.000576019287109</v>
      </c>
      <c r="E1521" s="733">
        <v>2</v>
      </c>
    </row>
    <row r="1522" spans="2:5" x14ac:dyDescent="0.25">
      <c r="B1522" s="1382" t="s">
        <v>1840</v>
      </c>
      <c r="C1522" s="733" t="s">
        <v>1081</v>
      </c>
      <c r="D1522" s="733">
        <v>69.001136779785156</v>
      </c>
      <c r="E1522" s="733">
        <v>2</v>
      </c>
    </row>
    <row r="1523" spans="2:5" x14ac:dyDescent="0.25">
      <c r="B1523" s="1382" t="s">
        <v>1840</v>
      </c>
      <c r="C1523" s="733" t="s">
        <v>1081</v>
      </c>
      <c r="D1523" s="733">
        <v>51.004436492919922</v>
      </c>
      <c r="E1523" s="733">
        <v>2</v>
      </c>
    </row>
    <row r="1524" spans="2:5" x14ac:dyDescent="0.25">
      <c r="B1524" s="1382" t="s">
        <v>1840</v>
      </c>
      <c r="C1524" s="733" t="s">
        <v>1081</v>
      </c>
      <c r="D1524" s="733">
        <v>67.000511169433594</v>
      </c>
      <c r="E1524" s="733">
        <v>2</v>
      </c>
    </row>
    <row r="1525" spans="2:5" x14ac:dyDescent="0.25">
      <c r="B1525" s="1382" t="s">
        <v>1840</v>
      </c>
      <c r="C1525" s="733" t="s">
        <v>1080</v>
      </c>
      <c r="D1525" s="733">
        <v>64.00732421875</v>
      </c>
      <c r="E1525" s="733">
        <v>2</v>
      </c>
    </row>
    <row r="1526" spans="2:5" x14ac:dyDescent="0.25">
      <c r="B1526" s="1382" t="s">
        <v>1840</v>
      </c>
      <c r="C1526" s="733" t="s">
        <v>1081</v>
      </c>
      <c r="D1526" s="733">
        <v>50.035739898681641</v>
      </c>
      <c r="E1526" s="733">
        <v>2</v>
      </c>
    </row>
    <row r="1527" spans="2:5" x14ac:dyDescent="0.25">
      <c r="B1527" s="1382" t="s">
        <v>1840</v>
      </c>
      <c r="C1527" s="733" t="s">
        <v>1080</v>
      </c>
      <c r="D1527" s="733">
        <v>55.001350402832031</v>
      </c>
      <c r="E1527" s="733">
        <v>2</v>
      </c>
    </row>
    <row r="1528" spans="2:5" x14ac:dyDescent="0.25">
      <c r="B1528" s="1382" t="s">
        <v>1840</v>
      </c>
      <c r="C1528" s="733" t="s">
        <v>1080</v>
      </c>
      <c r="D1528" s="733">
        <v>67.003250122070313</v>
      </c>
      <c r="E1528" s="733">
        <v>2</v>
      </c>
    </row>
    <row r="1529" spans="2:5" x14ac:dyDescent="0.25">
      <c r="B1529" s="1382" t="s">
        <v>1840</v>
      </c>
      <c r="C1529" s="733" t="s">
        <v>1080</v>
      </c>
      <c r="D1529" s="733">
        <v>72.002105712890625</v>
      </c>
      <c r="E1529" s="733">
        <v>2</v>
      </c>
    </row>
    <row r="1530" spans="2:5" x14ac:dyDescent="0.25">
      <c r="B1530" s="1382" t="s">
        <v>1840</v>
      </c>
      <c r="C1530" s="733" t="s">
        <v>1080</v>
      </c>
      <c r="D1530" s="733">
        <v>66.004501342773438</v>
      </c>
      <c r="E1530" s="733">
        <v>2</v>
      </c>
    </row>
    <row r="1531" spans="2:5" x14ac:dyDescent="0.25">
      <c r="B1531" s="1382" t="s">
        <v>1840</v>
      </c>
      <c r="C1531" s="733" t="s">
        <v>1080</v>
      </c>
      <c r="D1531" s="733">
        <v>66.001289367675781</v>
      </c>
      <c r="E1531" s="733">
        <v>2</v>
      </c>
    </row>
    <row r="1532" spans="2:5" x14ac:dyDescent="0.25">
      <c r="B1532" s="1382" t="s">
        <v>1840</v>
      </c>
      <c r="C1532" s="733" t="s">
        <v>1081</v>
      </c>
      <c r="D1532" s="733">
        <v>71.002418518066406</v>
      </c>
      <c r="E1532" s="733">
        <v>2</v>
      </c>
    </row>
    <row r="1533" spans="2:5" x14ac:dyDescent="0.25">
      <c r="B1533" s="1382" t="s">
        <v>1840</v>
      </c>
      <c r="C1533" s="733" t="s">
        <v>1080</v>
      </c>
      <c r="D1533" s="733">
        <v>64.003494262695313</v>
      </c>
      <c r="E1533" s="733">
        <v>2</v>
      </c>
    </row>
    <row r="1534" spans="2:5" x14ac:dyDescent="0.25">
      <c r="B1534" s="1382" t="s">
        <v>1840</v>
      </c>
      <c r="C1534" s="733" t="s">
        <v>1080</v>
      </c>
      <c r="D1534" s="733">
        <v>49.005695343017578</v>
      </c>
      <c r="E1534" s="733">
        <v>2</v>
      </c>
    </row>
    <row r="1535" spans="2:5" x14ac:dyDescent="0.25">
      <c r="B1535" s="1382" t="s">
        <v>1840</v>
      </c>
      <c r="C1535" s="733" t="s">
        <v>1080</v>
      </c>
      <c r="D1535" s="733">
        <v>55.019218444824219</v>
      </c>
      <c r="E1535" s="733">
        <v>2</v>
      </c>
    </row>
    <row r="1536" spans="2:5" x14ac:dyDescent="0.25">
      <c r="B1536" s="1382" t="s">
        <v>1840</v>
      </c>
      <c r="C1536" s="733" t="s">
        <v>1081</v>
      </c>
      <c r="D1536" s="733">
        <v>76.002357482910156</v>
      </c>
      <c r="E1536" s="733">
        <v>2</v>
      </c>
    </row>
    <row r="1537" spans="2:5" x14ac:dyDescent="0.25">
      <c r="B1537" s="1382" t="s">
        <v>1840</v>
      </c>
      <c r="C1537" s="733" t="s">
        <v>1080</v>
      </c>
      <c r="D1537" s="733">
        <v>53.001934051513672</v>
      </c>
      <c r="E1537" s="733">
        <v>2</v>
      </c>
    </row>
    <row r="1538" spans="2:5" x14ac:dyDescent="0.25">
      <c r="B1538" s="1382" t="s">
        <v>1840</v>
      </c>
      <c r="C1538" s="733" t="s">
        <v>1080</v>
      </c>
      <c r="D1538" s="733">
        <v>80.001350402832031</v>
      </c>
      <c r="E1538" s="733">
        <v>2</v>
      </c>
    </row>
    <row r="1539" spans="2:5" x14ac:dyDescent="0.25">
      <c r="B1539" s="1382" t="s">
        <v>1840</v>
      </c>
      <c r="C1539" s="733" t="s">
        <v>1080</v>
      </c>
      <c r="D1539" s="733">
        <v>62.002220153808594</v>
      </c>
      <c r="E1539" s="733">
        <v>2</v>
      </c>
    </row>
    <row r="1540" spans="2:5" x14ac:dyDescent="0.25">
      <c r="B1540" s="1382" t="s">
        <v>1840</v>
      </c>
      <c r="C1540" s="733" t="s">
        <v>1080</v>
      </c>
      <c r="D1540" s="733">
        <v>56.003299713134766</v>
      </c>
      <c r="E1540" s="733">
        <v>2</v>
      </c>
    </row>
    <row r="1541" spans="2:5" x14ac:dyDescent="0.25">
      <c r="B1541" s="1382" t="s">
        <v>1840</v>
      </c>
      <c r="C1541" s="733" t="s">
        <v>1080</v>
      </c>
      <c r="D1541" s="733">
        <v>58.002864837646484</v>
      </c>
      <c r="E1541" s="733">
        <v>2</v>
      </c>
    </row>
    <row r="1542" spans="2:5" x14ac:dyDescent="0.25">
      <c r="B1542" s="1382" t="s">
        <v>1840</v>
      </c>
      <c r="C1542" s="733" t="s">
        <v>1080</v>
      </c>
      <c r="D1542" s="733">
        <v>56.006744384765625</v>
      </c>
      <c r="E1542" s="733">
        <v>2</v>
      </c>
    </row>
    <row r="1543" spans="2:5" x14ac:dyDescent="0.25">
      <c r="B1543" s="1382" t="s">
        <v>1840</v>
      </c>
      <c r="C1543" s="733" t="s">
        <v>1080</v>
      </c>
      <c r="D1543" s="733">
        <v>67.000785827636719</v>
      </c>
      <c r="E1543" s="733">
        <v>2</v>
      </c>
    </row>
    <row r="1544" spans="2:5" x14ac:dyDescent="0.25">
      <c r="B1544" s="1382" t="s">
        <v>1840</v>
      </c>
      <c r="C1544" s="733" t="s">
        <v>1080</v>
      </c>
      <c r="D1544" s="733">
        <v>72.001983642578125</v>
      </c>
      <c r="E1544" s="733">
        <v>2</v>
      </c>
    </row>
    <row r="1545" spans="2:5" x14ac:dyDescent="0.25">
      <c r="B1545" s="1382" t="s">
        <v>1840</v>
      </c>
      <c r="C1545" s="733" t="s">
        <v>1080</v>
      </c>
      <c r="D1545" s="733">
        <v>77.0006103515625</v>
      </c>
      <c r="E1545" s="733">
        <v>2</v>
      </c>
    </row>
    <row r="1546" spans="2:5" x14ac:dyDescent="0.25">
      <c r="B1546" s="1382" t="s">
        <v>1840</v>
      </c>
      <c r="C1546" s="733" t="s">
        <v>1080</v>
      </c>
      <c r="D1546" s="733">
        <v>62.001445770263672</v>
      </c>
      <c r="E1546" s="733">
        <v>2</v>
      </c>
    </row>
    <row r="1547" spans="2:5" x14ac:dyDescent="0.25">
      <c r="B1547" s="1382" t="s">
        <v>1840</v>
      </c>
      <c r="C1547" s="733" t="s">
        <v>1080</v>
      </c>
      <c r="D1547" s="733">
        <v>75.002326965332031</v>
      </c>
      <c r="E1547" s="733">
        <v>2</v>
      </c>
    </row>
    <row r="1548" spans="2:5" x14ac:dyDescent="0.25">
      <c r="B1548" s="1382" t="s">
        <v>1840</v>
      </c>
      <c r="C1548" s="733" t="s">
        <v>1080</v>
      </c>
      <c r="D1548" s="733">
        <v>78.001640319824219</v>
      </c>
      <c r="E1548" s="733">
        <v>2</v>
      </c>
    </row>
    <row r="1549" spans="2:5" x14ac:dyDescent="0.25">
      <c r="B1549" s="1382" t="s">
        <v>1840</v>
      </c>
      <c r="C1549" s="733" t="s">
        <v>1081</v>
      </c>
      <c r="D1549" s="733">
        <v>58.000930786132813</v>
      </c>
      <c r="E1549" s="733">
        <v>2</v>
      </c>
    </row>
    <row r="1550" spans="2:5" x14ac:dyDescent="0.25">
      <c r="B1550" s="1382" t="s">
        <v>1840</v>
      </c>
      <c r="C1550" s="733" t="s">
        <v>1080</v>
      </c>
      <c r="D1550" s="733">
        <v>85.001388549804688</v>
      </c>
      <c r="E1550" s="733">
        <v>2</v>
      </c>
    </row>
    <row r="1551" spans="2:5" x14ac:dyDescent="0.25">
      <c r="B1551" s="1382" t="s">
        <v>1840</v>
      </c>
      <c r="C1551" s="733" t="s">
        <v>1080</v>
      </c>
      <c r="D1551" s="733">
        <v>65.000839233398438</v>
      </c>
      <c r="E1551" s="733">
        <v>2</v>
      </c>
    </row>
    <row r="1552" spans="2:5" x14ac:dyDescent="0.25">
      <c r="B1552" s="1382" t="s">
        <v>1840</v>
      </c>
      <c r="C1552" s="733" t="s">
        <v>1081</v>
      </c>
      <c r="D1552" s="733">
        <v>81.001968383789063</v>
      </c>
      <c r="E1552" s="733">
        <v>2</v>
      </c>
    </row>
    <row r="1553" spans="2:5" x14ac:dyDescent="0.25">
      <c r="B1553" s="1382" t="s">
        <v>1840</v>
      </c>
      <c r="C1553" s="733" t="s">
        <v>1080</v>
      </c>
      <c r="D1553" s="733">
        <v>76.001518249511719</v>
      </c>
      <c r="E1553" s="733">
        <v>2</v>
      </c>
    </row>
    <row r="1554" spans="2:5" x14ac:dyDescent="0.25">
      <c r="B1554" s="1382" t="s">
        <v>1840</v>
      </c>
      <c r="C1554" s="733" t="s">
        <v>1080</v>
      </c>
      <c r="D1554" s="733">
        <v>58.002967834472656</v>
      </c>
      <c r="E1554" s="733">
        <v>2</v>
      </c>
    </row>
    <row r="1555" spans="2:5" x14ac:dyDescent="0.25">
      <c r="B1555" s="1382" t="s">
        <v>1840</v>
      </c>
      <c r="C1555" s="733" t="s">
        <v>1081</v>
      </c>
      <c r="D1555" s="733">
        <v>66.002998352050781</v>
      </c>
      <c r="E1555" s="733">
        <v>2</v>
      </c>
    </row>
    <row r="1556" spans="2:5" x14ac:dyDescent="0.25">
      <c r="B1556" s="1382" t="s">
        <v>1840</v>
      </c>
      <c r="C1556" s="733" t="s">
        <v>1081</v>
      </c>
      <c r="D1556" s="733">
        <v>86.001495361328125</v>
      </c>
      <c r="E1556" s="733">
        <v>2</v>
      </c>
    </row>
    <row r="1557" spans="2:5" x14ac:dyDescent="0.25">
      <c r="B1557" s="1382" t="s">
        <v>1840</v>
      </c>
      <c r="C1557" s="733" t="s">
        <v>1080</v>
      </c>
      <c r="D1557" s="733">
        <v>53.003791809082031</v>
      </c>
      <c r="E1557" s="733">
        <v>2</v>
      </c>
    </row>
    <row r="1558" spans="2:5" x14ac:dyDescent="0.25">
      <c r="B1558" s="1382" t="s">
        <v>1840</v>
      </c>
      <c r="C1558" s="733" t="s">
        <v>1080</v>
      </c>
      <c r="D1558" s="733">
        <v>69.000823974609375</v>
      </c>
      <c r="E1558" s="733">
        <v>2</v>
      </c>
    </row>
    <row r="1559" spans="2:5" x14ac:dyDescent="0.25">
      <c r="B1559" s="1382" t="s">
        <v>1840</v>
      </c>
      <c r="C1559" s="733" t="s">
        <v>1081</v>
      </c>
      <c r="D1559" s="733">
        <v>59.002601623535156</v>
      </c>
      <c r="E1559" s="733">
        <v>2</v>
      </c>
    </row>
    <row r="1560" spans="2:5" x14ac:dyDescent="0.25">
      <c r="B1560" s="1382" t="s">
        <v>1840</v>
      </c>
      <c r="C1560" s="733" t="s">
        <v>1080</v>
      </c>
      <c r="D1560" s="733">
        <v>70.002403259277344</v>
      </c>
      <c r="E1560" s="733">
        <v>2</v>
      </c>
    </row>
    <row r="1561" spans="2:5" x14ac:dyDescent="0.25">
      <c r="B1561" s="1382" t="s">
        <v>1840</v>
      </c>
      <c r="C1561" s="733" t="s">
        <v>1080</v>
      </c>
      <c r="D1561" s="733">
        <v>65.002151489257813</v>
      </c>
      <c r="E1561" s="733">
        <v>2</v>
      </c>
    </row>
    <row r="1562" spans="2:5" x14ac:dyDescent="0.25">
      <c r="B1562" s="1382" t="s">
        <v>1840</v>
      </c>
      <c r="C1562" s="733" t="s">
        <v>1080</v>
      </c>
      <c r="D1562" s="733">
        <v>58.002292633056641</v>
      </c>
      <c r="E1562" s="733">
        <v>2</v>
      </c>
    </row>
    <row r="1563" spans="2:5" x14ac:dyDescent="0.25">
      <c r="B1563" s="1382" t="s">
        <v>1840</v>
      </c>
      <c r="C1563" s="733" t="s">
        <v>1080</v>
      </c>
      <c r="D1563" s="733">
        <v>73.003883361816406</v>
      </c>
      <c r="E1563" s="733">
        <v>2</v>
      </c>
    </row>
    <row r="1564" spans="2:5" x14ac:dyDescent="0.25">
      <c r="B1564" s="1382" t="s">
        <v>1840</v>
      </c>
      <c r="C1564" s="733" t="s">
        <v>1081</v>
      </c>
      <c r="D1564" s="733">
        <v>73.000877380371094</v>
      </c>
      <c r="E1564" s="733">
        <v>2</v>
      </c>
    </row>
    <row r="1565" spans="2:5" x14ac:dyDescent="0.25">
      <c r="B1565" s="1382" t="s">
        <v>1840</v>
      </c>
      <c r="C1565" s="733" t="s">
        <v>1080</v>
      </c>
      <c r="D1565" s="733">
        <v>66.001472473144531</v>
      </c>
      <c r="E1565" s="733">
        <v>2</v>
      </c>
    </row>
    <row r="1566" spans="2:5" x14ac:dyDescent="0.25">
      <c r="B1566" s="1382" t="s">
        <v>1840</v>
      </c>
      <c r="C1566" s="733" t="s">
        <v>1080</v>
      </c>
      <c r="D1566" s="733">
        <v>54.00177001953125</v>
      </c>
      <c r="E1566" s="733">
        <v>2</v>
      </c>
    </row>
    <row r="1567" spans="2:5" x14ac:dyDescent="0.25">
      <c r="B1567" s="1382" t="s">
        <v>1840</v>
      </c>
      <c r="C1567" s="733" t="s">
        <v>1081</v>
      </c>
      <c r="D1567" s="733">
        <v>63.002887725830078</v>
      </c>
      <c r="E1567" s="733">
        <v>2</v>
      </c>
    </row>
    <row r="1568" spans="2:5" x14ac:dyDescent="0.25">
      <c r="B1568" s="1382" t="s">
        <v>1840</v>
      </c>
      <c r="C1568" s="733" t="s">
        <v>1080</v>
      </c>
      <c r="D1568" s="733">
        <v>82.00164794921875</v>
      </c>
      <c r="E1568" s="733">
        <v>2</v>
      </c>
    </row>
    <row r="1569" spans="2:5" x14ac:dyDescent="0.25">
      <c r="B1569" s="1382" t="s">
        <v>1840</v>
      </c>
      <c r="C1569" s="733" t="s">
        <v>1080</v>
      </c>
      <c r="D1569" s="733">
        <v>77.004173278808594</v>
      </c>
      <c r="E1569" s="733">
        <v>2</v>
      </c>
    </row>
    <row r="1570" spans="2:5" x14ac:dyDescent="0.25">
      <c r="B1570" s="1382" t="s">
        <v>1840</v>
      </c>
      <c r="C1570" s="733" t="s">
        <v>1080</v>
      </c>
      <c r="D1570" s="733">
        <v>71.002845764160156</v>
      </c>
      <c r="E1570" s="733">
        <v>2</v>
      </c>
    </row>
    <row r="1571" spans="2:5" x14ac:dyDescent="0.25">
      <c r="B1571" s="1382" t="s">
        <v>1840</v>
      </c>
      <c r="C1571" s="733" t="s">
        <v>1080</v>
      </c>
      <c r="D1571" s="733">
        <v>49.000186920166016</v>
      </c>
      <c r="E1571" s="733">
        <v>2</v>
      </c>
    </row>
    <row r="1572" spans="2:5" x14ac:dyDescent="0.25">
      <c r="B1572" s="1382" t="s">
        <v>1840</v>
      </c>
      <c r="C1572" s="733" t="s">
        <v>1081</v>
      </c>
      <c r="D1572" s="733">
        <v>55.001880645751953</v>
      </c>
      <c r="E1572" s="733">
        <v>2</v>
      </c>
    </row>
    <row r="1573" spans="2:5" x14ac:dyDescent="0.25">
      <c r="B1573" s="1382" t="s">
        <v>1840</v>
      </c>
      <c r="C1573" s="733" t="s">
        <v>1080</v>
      </c>
      <c r="D1573" s="733">
        <v>65.003021240234375</v>
      </c>
      <c r="E1573" s="733">
        <v>2</v>
      </c>
    </row>
    <row r="1574" spans="2:5" x14ac:dyDescent="0.25">
      <c r="B1574" s="1382" t="s">
        <v>1840</v>
      </c>
      <c r="C1574" s="733" t="s">
        <v>1080</v>
      </c>
      <c r="D1574" s="733">
        <v>59.0003662109375</v>
      </c>
      <c r="E1574" s="733">
        <v>2</v>
      </c>
    </row>
    <row r="1575" spans="2:5" x14ac:dyDescent="0.25">
      <c r="B1575" s="1382" t="s">
        <v>1840</v>
      </c>
      <c r="C1575" s="733" t="s">
        <v>1080</v>
      </c>
      <c r="D1575" s="733">
        <v>65.00567626953125</v>
      </c>
      <c r="E1575" s="733">
        <v>2</v>
      </c>
    </row>
    <row r="1576" spans="2:5" x14ac:dyDescent="0.25">
      <c r="B1576" s="1382" t="s">
        <v>1840</v>
      </c>
      <c r="C1576" s="733" t="s">
        <v>1080</v>
      </c>
      <c r="D1576" s="733">
        <v>76.002113342285156</v>
      </c>
      <c r="E1576" s="733">
        <v>2</v>
      </c>
    </row>
    <row r="1577" spans="2:5" x14ac:dyDescent="0.25">
      <c r="B1577" s="1382" t="s">
        <v>1840</v>
      </c>
      <c r="C1577" s="733" t="s">
        <v>1081</v>
      </c>
      <c r="D1577" s="733">
        <v>62.003673553466797</v>
      </c>
      <c r="E1577" s="733">
        <v>2</v>
      </c>
    </row>
    <row r="1578" spans="2:5" x14ac:dyDescent="0.25">
      <c r="B1578" s="1382" t="s">
        <v>1840</v>
      </c>
      <c r="C1578" s="733" t="s">
        <v>1080</v>
      </c>
      <c r="D1578" s="733">
        <v>57.002361297607422</v>
      </c>
      <c r="E1578" s="733">
        <v>2</v>
      </c>
    </row>
    <row r="1579" spans="2:5" x14ac:dyDescent="0.25">
      <c r="B1579" s="1382" t="s">
        <v>1840</v>
      </c>
      <c r="C1579" s="733" t="s">
        <v>1081</v>
      </c>
      <c r="D1579" s="733">
        <v>76.001060485839844</v>
      </c>
      <c r="E1579" s="733">
        <v>2</v>
      </c>
    </row>
    <row r="1580" spans="2:5" x14ac:dyDescent="0.25">
      <c r="B1580" s="1382" t="s">
        <v>1840</v>
      </c>
      <c r="C1580" s="733" t="s">
        <v>1080</v>
      </c>
      <c r="D1580" s="733">
        <v>77.001533508300781</v>
      </c>
      <c r="E1580" s="733">
        <v>2</v>
      </c>
    </row>
    <row r="1581" spans="2:5" x14ac:dyDescent="0.25">
      <c r="B1581" s="1382" t="s">
        <v>1840</v>
      </c>
      <c r="C1581" s="733" t="s">
        <v>1080</v>
      </c>
      <c r="D1581" s="733">
        <v>64.00445556640625</v>
      </c>
      <c r="E1581" s="733">
        <v>2</v>
      </c>
    </row>
    <row r="1582" spans="2:5" x14ac:dyDescent="0.25">
      <c r="B1582" s="1382" t="s">
        <v>1840</v>
      </c>
      <c r="C1582" s="733" t="s">
        <v>1080</v>
      </c>
      <c r="D1582" s="733">
        <v>74.0010986328125</v>
      </c>
      <c r="E1582" s="733">
        <v>2</v>
      </c>
    </row>
    <row r="1583" spans="2:5" x14ac:dyDescent="0.25">
      <c r="B1583" s="1382" t="s">
        <v>1840</v>
      </c>
      <c r="C1583" s="733" t="s">
        <v>1081</v>
      </c>
      <c r="D1583" s="733">
        <v>68.000885009765625</v>
      </c>
      <c r="E1583" s="733">
        <v>2</v>
      </c>
    </row>
    <row r="1584" spans="2:5" x14ac:dyDescent="0.25">
      <c r="B1584" s="1382" t="s">
        <v>1840</v>
      </c>
      <c r="C1584" s="733" t="s">
        <v>1080</v>
      </c>
      <c r="D1584" s="733">
        <v>65.001426696777344</v>
      </c>
      <c r="E1584" s="733">
        <v>2</v>
      </c>
    </row>
    <row r="1585" spans="2:5" x14ac:dyDescent="0.25">
      <c r="B1585" s="1382" t="s">
        <v>1840</v>
      </c>
      <c r="C1585" s="733" t="s">
        <v>1081</v>
      </c>
      <c r="D1585" s="733">
        <v>73.000541687011719</v>
      </c>
      <c r="E1585" s="733">
        <v>2</v>
      </c>
    </row>
    <row r="1586" spans="2:5" x14ac:dyDescent="0.25">
      <c r="B1586" s="1382" t="s">
        <v>1840</v>
      </c>
      <c r="C1586" s="733" t="s">
        <v>1081</v>
      </c>
      <c r="D1586" s="733">
        <v>69.0037841796875</v>
      </c>
      <c r="E1586" s="733">
        <v>2</v>
      </c>
    </row>
    <row r="1587" spans="2:5" x14ac:dyDescent="0.25">
      <c r="B1587" s="1382" t="s">
        <v>1840</v>
      </c>
      <c r="C1587" s="733" t="s">
        <v>1080</v>
      </c>
      <c r="D1587" s="733">
        <v>54.002727508544922</v>
      </c>
      <c r="E1587" s="733">
        <v>2</v>
      </c>
    </row>
    <row r="1588" spans="2:5" x14ac:dyDescent="0.25">
      <c r="B1588" s="1382" t="s">
        <v>1840</v>
      </c>
      <c r="C1588" s="733" t="s">
        <v>1080</v>
      </c>
      <c r="D1588" s="733">
        <v>81.000785827636719</v>
      </c>
      <c r="E1588" s="733">
        <v>2</v>
      </c>
    </row>
    <row r="1589" spans="2:5" x14ac:dyDescent="0.25">
      <c r="B1589" s="1382" t="s">
        <v>1840</v>
      </c>
      <c r="C1589" s="733" t="s">
        <v>1081</v>
      </c>
      <c r="D1589" s="733">
        <v>54.001094818115234</v>
      </c>
      <c r="E1589" s="733">
        <v>2</v>
      </c>
    </row>
    <row r="1590" spans="2:5" x14ac:dyDescent="0.25">
      <c r="B1590" s="1382" t="s">
        <v>1840</v>
      </c>
      <c r="C1590" s="733" t="s">
        <v>1081</v>
      </c>
      <c r="D1590" s="733">
        <v>70.002952575683594</v>
      </c>
      <c r="E1590" s="733">
        <v>2</v>
      </c>
    </row>
    <row r="1591" spans="2:5" x14ac:dyDescent="0.25">
      <c r="B1591" s="1382" t="s">
        <v>1840</v>
      </c>
      <c r="C1591" s="733" t="s">
        <v>1081</v>
      </c>
      <c r="D1591" s="733">
        <v>63.001155853271484</v>
      </c>
      <c r="E1591" s="733">
        <v>2</v>
      </c>
    </row>
    <row r="1592" spans="2:5" x14ac:dyDescent="0.25">
      <c r="B1592" s="1382" t="s">
        <v>1840</v>
      </c>
      <c r="C1592" s="733" t="s">
        <v>1080</v>
      </c>
      <c r="D1592" s="733">
        <v>76.008903503417969</v>
      </c>
      <c r="E1592" s="733">
        <v>2</v>
      </c>
    </row>
    <row r="1593" spans="2:5" x14ac:dyDescent="0.25">
      <c r="B1593" s="1382" t="s">
        <v>1840</v>
      </c>
      <c r="C1593" s="733" t="s">
        <v>1081</v>
      </c>
      <c r="D1593" s="733">
        <v>54.001373291015625</v>
      </c>
      <c r="E1593" s="733">
        <v>2</v>
      </c>
    </row>
    <row r="1594" spans="2:5" x14ac:dyDescent="0.25">
      <c r="B1594" s="1382" t="s">
        <v>1840</v>
      </c>
      <c r="C1594" s="733" t="s">
        <v>1080</v>
      </c>
      <c r="D1594" s="733">
        <v>69.002235412597656</v>
      </c>
      <c r="E1594" s="733">
        <v>2</v>
      </c>
    </row>
    <row r="1595" spans="2:5" x14ac:dyDescent="0.25">
      <c r="B1595" s="1382" t="s">
        <v>1840</v>
      </c>
      <c r="C1595" s="733" t="s">
        <v>1081</v>
      </c>
      <c r="D1595" s="733">
        <v>66.004562377929688</v>
      </c>
      <c r="E1595" s="733">
        <v>2</v>
      </c>
    </row>
    <row r="1596" spans="2:5" x14ac:dyDescent="0.25">
      <c r="B1596" s="1382" t="s">
        <v>1840</v>
      </c>
      <c r="C1596" s="733" t="s">
        <v>1081</v>
      </c>
      <c r="D1596" s="733">
        <v>70.012496948242188</v>
      </c>
      <c r="E1596" s="733">
        <v>2</v>
      </c>
    </row>
    <row r="1597" spans="2:5" x14ac:dyDescent="0.25">
      <c r="B1597" s="1382" t="s">
        <v>1840</v>
      </c>
      <c r="C1597" s="733" t="s">
        <v>1080</v>
      </c>
      <c r="D1597" s="733">
        <v>74.0101318359375</v>
      </c>
      <c r="E1597" s="733">
        <v>2</v>
      </c>
    </row>
    <row r="1598" spans="2:5" x14ac:dyDescent="0.25">
      <c r="B1598" s="1382" t="s">
        <v>1840</v>
      </c>
      <c r="C1598" s="733" t="s">
        <v>1080</v>
      </c>
      <c r="D1598" s="733">
        <v>70.006294250488281</v>
      </c>
      <c r="E1598" s="733">
        <v>2</v>
      </c>
    </row>
    <row r="1599" spans="2:5" x14ac:dyDescent="0.25">
      <c r="B1599" s="1382" t="s">
        <v>1840</v>
      </c>
      <c r="C1599" s="733" t="s">
        <v>1080</v>
      </c>
      <c r="D1599" s="733">
        <v>53.003517150878906</v>
      </c>
      <c r="E1599" s="733">
        <v>2</v>
      </c>
    </row>
    <row r="1600" spans="2:5" x14ac:dyDescent="0.25">
      <c r="B1600" s="1382" t="s">
        <v>1840</v>
      </c>
      <c r="C1600" s="733" t="s">
        <v>1080</v>
      </c>
      <c r="D1600" s="733">
        <v>59.002788543701172</v>
      </c>
      <c r="E1600" s="733">
        <v>2</v>
      </c>
    </row>
    <row r="1601" spans="2:5" x14ac:dyDescent="0.25">
      <c r="B1601" s="1382" t="s">
        <v>1840</v>
      </c>
      <c r="C1601" s="733" t="s">
        <v>1080</v>
      </c>
      <c r="D1601" s="733">
        <v>45.00079345703125</v>
      </c>
      <c r="E1601" s="733">
        <v>2</v>
      </c>
    </row>
    <row r="1602" spans="2:5" x14ac:dyDescent="0.25">
      <c r="B1602" s="1382" t="s">
        <v>1840</v>
      </c>
      <c r="C1602" s="733" t="s">
        <v>1081</v>
      </c>
      <c r="D1602" s="733">
        <v>74.000778198242188</v>
      </c>
      <c r="E1602" s="733">
        <v>2</v>
      </c>
    </row>
    <row r="1603" spans="2:5" x14ac:dyDescent="0.25">
      <c r="B1603" s="1382" t="s">
        <v>1840</v>
      </c>
      <c r="C1603" s="733" t="s">
        <v>1080</v>
      </c>
      <c r="D1603" s="733">
        <v>66.008834838867188</v>
      </c>
      <c r="E1603" s="733">
        <v>2</v>
      </c>
    </row>
    <row r="1604" spans="2:5" x14ac:dyDescent="0.25">
      <c r="B1604" s="1382" t="s">
        <v>1840</v>
      </c>
      <c r="C1604" s="733" t="s">
        <v>1080</v>
      </c>
      <c r="D1604" s="733">
        <v>54.003318786621094</v>
      </c>
      <c r="E1604" s="733">
        <v>2</v>
      </c>
    </row>
    <row r="1605" spans="2:5" x14ac:dyDescent="0.25">
      <c r="B1605" s="1382" t="s">
        <v>1840</v>
      </c>
      <c r="C1605" s="733" t="s">
        <v>1081</v>
      </c>
      <c r="D1605" s="733">
        <v>67.002449035644531</v>
      </c>
      <c r="E1605" s="733">
        <v>2</v>
      </c>
    </row>
    <row r="1606" spans="2:5" x14ac:dyDescent="0.25">
      <c r="B1606" s="1382" t="s">
        <v>1840</v>
      </c>
      <c r="C1606" s="733" t="s">
        <v>1080</v>
      </c>
      <c r="D1606" s="733">
        <v>57.006565093994141</v>
      </c>
      <c r="E1606" s="733">
        <v>2</v>
      </c>
    </row>
    <row r="1607" spans="2:5" x14ac:dyDescent="0.25">
      <c r="B1607" s="1382" t="s">
        <v>1840</v>
      </c>
      <c r="C1607" s="733" t="s">
        <v>1080</v>
      </c>
      <c r="D1607" s="733">
        <v>53.010135650634766</v>
      </c>
      <c r="E1607" s="733">
        <v>2</v>
      </c>
    </row>
    <row r="1608" spans="2:5" x14ac:dyDescent="0.25">
      <c r="B1608" s="1382" t="s">
        <v>1840</v>
      </c>
      <c r="C1608" s="733" t="s">
        <v>1080</v>
      </c>
      <c r="D1608" s="733">
        <v>74.004844665527344</v>
      </c>
      <c r="E1608" s="733">
        <v>2</v>
      </c>
    </row>
    <row r="1609" spans="2:5" x14ac:dyDescent="0.25">
      <c r="B1609" s="1382" t="s">
        <v>1840</v>
      </c>
      <c r="C1609" s="733" t="s">
        <v>1080</v>
      </c>
      <c r="D1609" s="733">
        <v>75.005805969238281</v>
      </c>
      <c r="E1609" s="733">
        <v>2</v>
      </c>
    </row>
    <row r="1610" spans="2:5" x14ac:dyDescent="0.25">
      <c r="B1610" s="1382" t="s">
        <v>1840</v>
      </c>
      <c r="C1610" s="733" t="s">
        <v>1081</v>
      </c>
      <c r="D1610" s="733">
        <v>72.003334045410156</v>
      </c>
      <c r="E1610" s="733">
        <v>2</v>
      </c>
    </row>
    <row r="1611" spans="2:5" x14ac:dyDescent="0.25">
      <c r="B1611" s="1382" t="s">
        <v>1840</v>
      </c>
      <c r="C1611" s="733" t="s">
        <v>1080</v>
      </c>
      <c r="D1611" s="733">
        <v>65.022361755371094</v>
      </c>
      <c r="E1611" s="733">
        <v>2</v>
      </c>
    </row>
    <row r="1612" spans="2:5" x14ac:dyDescent="0.25">
      <c r="B1612" s="1382" t="s">
        <v>1840</v>
      </c>
      <c r="C1612" s="733" t="s">
        <v>1080</v>
      </c>
      <c r="D1612" s="733">
        <v>64.008453369140625</v>
      </c>
      <c r="E1612" s="733">
        <v>2</v>
      </c>
    </row>
    <row r="1613" spans="2:5" x14ac:dyDescent="0.25">
      <c r="B1613" s="1382" t="s">
        <v>1840</v>
      </c>
      <c r="C1613" s="733" t="s">
        <v>1081</v>
      </c>
      <c r="D1613" s="733">
        <v>67.00616455078125</v>
      </c>
      <c r="E1613" s="733">
        <v>2</v>
      </c>
    </row>
    <row r="1614" spans="2:5" x14ac:dyDescent="0.25">
      <c r="B1614" s="1382" t="s">
        <v>1840</v>
      </c>
      <c r="C1614" s="733" t="s">
        <v>1081</v>
      </c>
      <c r="D1614" s="733">
        <v>66.009368896484375</v>
      </c>
      <c r="E1614" s="733">
        <v>2</v>
      </c>
    </row>
    <row r="1615" spans="2:5" x14ac:dyDescent="0.25">
      <c r="B1615" s="1382" t="s">
        <v>1840</v>
      </c>
      <c r="C1615" s="733" t="s">
        <v>1080</v>
      </c>
      <c r="D1615" s="733">
        <v>67.006385803222656</v>
      </c>
      <c r="E1615" s="733">
        <v>2</v>
      </c>
    </row>
    <row r="1616" spans="2:5" x14ac:dyDescent="0.25">
      <c r="B1616" s="1382" t="s">
        <v>1840</v>
      </c>
      <c r="C1616" s="733" t="s">
        <v>1080</v>
      </c>
      <c r="D1616" s="733">
        <v>69.002220153808594</v>
      </c>
      <c r="E1616" s="733">
        <v>2</v>
      </c>
    </row>
    <row r="1617" spans="2:5" x14ac:dyDescent="0.25">
      <c r="B1617" s="1382" t="s">
        <v>1840</v>
      </c>
      <c r="C1617" s="733" t="s">
        <v>1081</v>
      </c>
      <c r="D1617" s="733">
        <v>61.000938415527344</v>
      </c>
      <c r="E1617" s="733">
        <v>2</v>
      </c>
    </row>
    <row r="1618" spans="2:5" x14ac:dyDescent="0.25">
      <c r="B1618" s="1382" t="s">
        <v>1840</v>
      </c>
      <c r="C1618" s="733" t="s">
        <v>1080</v>
      </c>
      <c r="D1618" s="733">
        <v>64.002372741699219</v>
      </c>
      <c r="E1618" s="733">
        <v>2</v>
      </c>
    </row>
    <row r="1619" spans="2:5" x14ac:dyDescent="0.25">
      <c r="B1619" s="1382" t="s">
        <v>1840</v>
      </c>
      <c r="C1619" s="733" t="s">
        <v>1081</v>
      </c>
      <c r="D1619" s="733">
        <v>75.001625061035156</v>
      </c>
      <c r="E1619" s="733">
        <v>2</v>
      </c>
    </row>
    <row r="1620" spans="2:5" x14ac:dyDescent="0.25">
      <c r="B1620" s="1382" t="s">
        <v>1840</v>
      </c>
      <c r="C1620" s="733" t="s">
        <v>1080</v>
      </c>
      <c r="D1620" s="733">
        <v>64.008949279785156</v>
      </c>
      <c r="E1620" s="733">
        <v>2</v>
      </c>
    </row>
    <row r="1621" spans="2:5" x14ac:dyDescent="0.25">
      <c r="B1621" s="1382" t="s">
        <v>1840</v>
      </c>
      <c r="C1621" s="733" t="s">
        <v>1081</v>
      </c>
      <c r="D1621" s="733">
        <v>55.004421234130859</v>
      </c>
      <c r="E1621" s="733">
        <v>2</v>
      </c>
    </row>
    <row r="1622" spans="2:5" x14ac:dyDescent="0.25">
      <c r="B1622" s="1382" t="s">
        <v>1840</v>
      </c>
      <c r="C1622" s="733" t="s">
        <v>1081</v>
      </c>
      <c r="D1622" s="733">
        <v>41.003044128417969</v>
      </c>
      <c r="E1622" s="733">
        <v>2</v>
      </c>
    </row>
    <row r="1623" spans="2:5" x14ac:dyDescent="0.25">
      <c r="B1623" s="1382" t="s">
        <v>1840</v>
      </c>
      <c r="C1623" s="733" t="s">
        <v>1080</v>
      </c>
      <c r="D1623" s="733">
        <v>64.002029418945313</v>
      </c>
      <c r="E1623" s="733">
        <v>2</v>
      </c>
    </row>
    <row r="1624" spans="2:5" x14ac:dyDescent="0.25">
      <c r="B1624" s="1382" t="s">
        <v>1840</v>
      </c>
      <c r="C1624" s="733" t="s">
        <v>1080</v>
      </c>
      <c r="D1624" s="733">
        <v>69.012374877929688</v>
      </c>
      <c r="E1624" s="733">
        <v>2</v>
      </c>
    </row>
    <row r="1625" spans="2:5" x14ac:dyDescent="0.25">
      <c r="B1625" s="1382" t="s">
        <v>1840</v>
      </c>
      <c r="C1625" s="733" t="s">
        <v>1080</v>
      </c>
      <c r="D1625" s="733">
        <v>43.010128021240234</v>
      </c>
      <c r="E1625" s="733">
        <v>2</v>
      </c>
    </row>
    <row r="1626" spans="2:5" x14ac:dyDescent="0.25">
      <c r="B1626" s="1382" t="s">
        <v>1840</v>
      </c>
      <c r="C1626" s="733" t="s">
        <v>1080</v>
      </c>
      <c r="D1626" s="733">
        <v>62.000568389892578</v>
      </c>
      <c r="E1626" s="733">
        <v>2</v>
      </c>
    </row>
    <row r="1627" spans="2:5" x14ac:dyDescent="0.25">
      <c r="B1627" s="1382" t="s">
        <v>1840</v>
      </c>
      <c r="C1627" s="733" t="s">
        <v>1080</v>
      </c>
      <c r="D1627" s="733">
        <v>60.008140563964844</v>
      </c>
      <c r="E1627" s="733">
        <v>2</v>
      </c>
    </row>
    <row r="1628" spans="2:5" x14ac:dyDescent="0.25">
      <c r="B1628" s="1382" t="s">
        <v>1840</v>
      </c>
      <c r="C1628" s="733" t="s">
        <v>1081</v>
      </c>
      <c r="D1628" s="733">
        <v>78.004051208496094</v>
      </c>
      <c r="E1628" s="733">
        <v>2</v>
      </c>
    </row>
    <row r="1629" spans="2:5" x14ac:dyDescent="0.25">
      <c r="B1629" s="1382" t="s">
        <v>1840</v>
      </c>
      <c r="C1629" s="733" t="s">
        <v>1080</v>
      </c>
      <c r="D1629" s="733">
        <v>55.006088256835938</v>
      </c>
      <c r="E1629" s="733">
        <v>2</v>
      </c>
    </row>
    <row r="1630" spans="2:5" x14ac:dyDescent="0.25">
      <c r="B1630" s="1382" t="s">
        <v>1840</v>
      </c>
      <c r="C1630" s="733" t="s">
        <v>1080</v>
      </c>
      <c r="D1630" s="733">
        <v>68.002693176269531</v>
      </c>
      <c r="E1630" s="733">
        <v>2</v>
      </c>
    </row>
    <row r="1631" spans="2:5" x14ac:dyDescent="0.25">
      <c r="B1631" s="1382" t="s">
        <v>1840</v>
      </c>
      <c r="C1631" s="733" t="s">
        <v>1081</v>
      </c>
      <c r="D1631" s="733">
        <v>68.004623413085938</v>
      </c>
      <c r="E1631" s="733">
        <v>2</v>
      </c>
    </row>
    <row r="1632" spans="2:5" x14ac:dyDescent="0.25">
      <c r="B1632" s="1382" t="s">
        <v>1840</v>
      </c>
      <c r="C1632" s="733" t="s">
        <v>1081</v>
      </c>
      <c r="D1632" s="733">
        <v>70.005401611328125</v>
      </c>
      <c r="E1632" s="733">
        <v>2</v>
      </c>
    </row>
    <row r="1633" spans="2:5" x14ac:dyDescent="0.25">
      <c r="B1633" s="1382" t="s">
        <v>1840</v>
      </c>
      <c r="C1633" s="733" t="s">
        <v>1081</v>
      </c>
      <c r="D1633" s="733">
        <v>55.005050659179688</v>
      </c>
      <c r="E1633" s="733">
        <v>2</v>
      </c>
    </row>
    <row r="1634" spans="2:5" x14ac:dyDescent="0.25">
      <c r="B1634" s="1382" t="s">
        <v>1840</v>
      </c>
      <c r="C1634" s="733" t="s">
        <v>1081</v>
      </c>
      <c r="D1634" s="733">
        <v>61.00079345703125</v>
      </c>
      <c r="E1634" s="733">
        <v>2</v>
      </c>
    </row>
    <row r="1635" spans="2:5" x14ac:dyDescent="0.25">
      <c r="B1635" s="1382" t="s">
        <v>1840</v>
      </c>
      <c r="C1635" s="733" t="s">
        <v>1080</v>
      </c>
      <c r="D1635" s="733">
        <v>64.01348876953125</v>
      </c>
      <c r="E1635" s="733">
        <v>2</v>
      </c>
    </row>
    <row r="1636" spans="2:5" x14ac:dyDescent="0.25">
      <c r="B1636" s="1382" t="s">
        <v>1840</v>
      </c>
      <c r="C1636" s="733" t="s">
        <v>1080</v>
      </c>
      <c r="D1636" s="733">
        <v>71.009559631347656</v>
      </c>
      <c r="E1636" s="733">
        <v>2</v>
      </c>
    </row>
    <row r="1637" spans="2:5" x14ac:dyDescent="0.25">
      <c r="B1637" s="1382" t="s">
        <v>1840</v>
      </c>
      <c r="C1637" s="733" t="s">
        <v>1081</v>
      </c>
      <c r="D1637" s="733">
        <v>61.001911163330078</v>
      </c>
      <c r="E1637" s="733">
        <v>2</v>
      </c>
    </row>
    <row r="1638" spans="2:5" x14ac:dyDescent="0.25">
      <c r="B1638" s="1382" t="s">
        <v>1840</v>
      </c>
      <c r="C1638" s="733" t="s">
        <v>1080</v>
      </c>
      <c r="D1638" s="733">
        <v>63.001552581787109</v>
      </c>
      <c r="E1638" s="733">
        <v>2</v>
      </c>
    </row>
    <row r="1639" spans="2:5" x14ac:dyDescent="0.25">
      <c r="B1639" s="1382" t="s">
        <v>1840</v>
      </c>
      <c r="C1639" s="733" t="s">
        <v>1081</v>
      </c>
      <c r="D1639" s="733">
        <v>68.006843566894531</v>
      </c>
      <c r="E1639" s="733">
        <v>2</v>
      </c>
    </row>
    <row r="1640" spans="2:5" x14ac:dyDescent="0.25">
      <c r="B1640" s="1382" t="s">
        <v>1840</v>
      </c>
      <c r="C1640" s="733" t="s">
        <v>1081</v>
      </c>
      <c r="D1640" s="733">
        <v>64.002021789550781</v>
      </c>
      <c r="E1640" s="733">
        <v>2</v>
      </c>
    </row>
    <row r="1641" spans="2:5" x14ac:dyDescent="0.25">
      <c r="B1641" s="1382" t="s">
        <v>1840</v>
      </c>
      <c r="C1641" s="733" t="s">
        <v>1081</v>
      </c>
      <c r="D1641" s="733">
        <v>58.012809753417969</v>
      </c>
      <c r="E1641" s="733">
        <v>2</v>
      </c>
    </row>
    <row r="1642" spans="2:5" x14ac:dyDescent="0.25">
      <c r="B1642" s="1382" t="s">
        <v>1840</v>
      </c>
      <c r="C1642" s="733" t="s">
        <v>1080</v>
      </c>
      <c r="D1642" s="733">
        <v>65.002212524414063</v>
      </c>
      <c r="E1642" s="733">
        <v>2</v>
      </c>
    </row>
    <row r="1643" spans="2:5" x14ac:dyDescent="0.25">
      <c r="B1643" s="1382" t="s">
        <v>1840</v>
      </c>
      <c r="C1643" s="733" t="s">
        <v>1080</v>
      </c>
      <c r="D1643" s="733">
        <v>65.001823425292969</v>
      </c>
      <c r="E1643" s="733">
        <v>2</v>
      </c>
    </row>
    <row r="1644" spans="2:5" x14ac:dyDescent="0.25">
      <c r="B1644" s="1382" t="s">
        <v>1840</v>
      </c>
      <c r="C1644" s="733" t="s">
        <v>1080</v>
      </c>
      <c r="D1644" s="733">
        <v>64.002357482910156</v>
      </c>
      <c r="E1644" s="733">
        <v>2</v>
      </c>
    </row>
    <row r="1645" spans="2:5" x14ac:dyDescent="0.25">
      <c r="B1645" s="1382" t="s">
        <v>1840</v>
      </c>
      <c r="C1645" s="733" t="s">
        <v>1081</v>
      </c>
      <c r="D1645" s="733">
        <v>65.004547119140625</v>
      </c>
      <c r="E1645" s="733">
        <v>2</v>
      </c>
    </row>
    <row r="1646" spans="2:5" x14ac:dyDescent="0.25">
      <c r="B1646" s="1382" t="s">
        <v>1840</v>
      </c>
      <c r="C1646" s="733" t="s">
        <v>1080</v>
      </c>
      <c r="D1646" s="733">
        <v>60.004325866699219</v>
      </c>
      <c r="E1646" s="733">
        <v>2</v>
      </c>
    </row>
    <row r="1647" spans="2:5" x14ac:dyDescent="0.25">
      <c r="B1647" s="1382" t="s">
        <v>1840</v>
      </c>
      <c r="C1647" s="733" t="s">
        <v>1080</v>
      </c>
      <c r="D1647" s="733">
        <v>71.007156372070313</v>
      </c>
      <c r="E1647" s="733">
        <v>2</v>
      </c>
    </row>
    <row r="1648" spans="2:5" x14ac:dyDescent="0.25">
      <c r="B1648" s="1382" t="s">
        <v>1840</v>
      </c>
      <c r="C1648" s="733" t="s">
        <v>1080</v>
      </c>
      <c r="D1648" s="733">
        <v>57.002639770507813</v>
      </c>
      <c r="E1648" s="733">
        <v>2</v>
      </c>
    </row>
    <row r="1649" spans="2:5" x14ac:dyDescent="0.25">
      <c r="B1649" s="1382" t="s">
        <v>1840</v>
      </c>
      <c r="C1649" s="733" t="s">
        <v>1080</v>
      </c>
      <c r="D1649" s="733">
        <v>52.002037048339844</v>
      </c>
      <c r="E1649" s="733">
        <v>2</v>
      </c>
    </row>
    <row r="1650" spans="2:5" x14ac:dyDescent="0.25">
      <c r="B1650" s="1382" t="s">
        <v>1840</v>
      </c>
      <c r="C1650" s="733" t="s">
        <v>1080</v>
      </c>
      <c r="D1650" s="733">
        <v>67.008743286132813</v>
      </c>
      <c r="E1650" s="733">
        <v>2</v>
      </c>
    </row>
    <row r="1651" spans="2:5" x14ac:dyDescent="0.25">
      <c r="B1651" s="1382" t="s">
        <v>1840</v>
      </c>
      <c r="C1651" s="733" t="s">
        <v>1080</v>
      </c>
      <c r="D1651" s="733">
        <v>54.000614166259766</v>
      </c>
      <c r="E1651" s="733">
        <v>2</v>
      </c>
    </row>
    <row r="1652" spans="2:5" x14ac:dyDescent="0.25">
      <c r="B1652" s="1382" t="s">
        <v>1840</v>
      </c>
      <c r="C1652" s="733" t="s">
        <v>1080</v>
      </c>
      <c r="D1652" s="733">
        <v>55.001834869384766</v>
      </c>
      <c r="E1652" s="733">
        <v>2</v>
      </c>
    </row>
    <row r="1653" spans="2:5" x14ac:dyDescent="0.25">
      <c r="B1653" s="1382" t="s">
        <v>1840</v>
      </c>
      <c r="C1653" s="733" t="s">
        <v>1080</v>
      </c>
      <c r="D1653" s="733">
        <v>66.001785278320313</v>
      </c>
      <c r="E1653" s="733">
        <v>2</v>
      </c>
    </row>
    <row r="1654" spans="2:5" x14ac:dyDescent="0.25">
      <c r="B1654" s="1382" t="s">
        <v>1840</v>
      </c>
      <c r="C1654" s="733" t="s">
        <v>1080</v>
      </c>
      <c r="D1654" s="733">
        <v>47.021041870117188</v>
      </c>
      <c r="E1654" s="733">
        <v>2</v>
      </c>
    </row>
    <row r="1655" spans="2:5" x14ac:dyDescent="0.25">
      <c r="B1655" s="1382" t="s">
        <v>1840</v>
      </c>
      <c r="C1655" s="733" t="s">
        <v>1080</v>
      </c>
      <c r="D1655" s="733">
        <v>55.007816314697266</v>
      </c>
      <c r="E1655" s="733">
        <v>2</v>
      </c>
    </row>
    <row r="1656" spans="2:5" x14ac:dyDescent="0.25">
      <c r="B1656" s="1382" t="s">
        <v>1840</v>
      </c>
      <c r="C1656" s="733" t="s">
        <v>1080</v>
      </c>
      <c r="D1656" s="733">
        <v>59.003021240234375</v>
      </c>
      <c r="E1656" s="733">
        <v>2</v>
      </c>
    </row>
    <row r="1657" spans="2:5" x14ac:dyDescent="0.25">
      <c r="B1657" s="1382" t="s">
        <v>1840</v>
      </c>
      <c r="C1657" s="733" t="s">
        <v>1080</v>
      </c>
      <c r="D1657" s="733">
        <v>56.00335693359375</v>
      </c>
      <c r="E1657" s="733">
        <v>2</v>
      </c>
    </row>
    <row r="1658" spans="2:5" x14ac:dyDescent="0.25">
      <c r="B1658" s="1382" t="s">
        <v>1840</v>
      </c>
      <c r="C1658" s="733" t="s">
        <v>1080</v>
      </c>
      <c r="D1658" s="733">
        <v>74.001007080078125</v>
      </c>
      <c r="E1658" s="733">
        <v>2</v>
      </c>
    </row>
    <row r="1659" spans="2:5" x14ac:dyDescent="0.25">
      <c r="B1659" s="1382" t="s">
        <v>1840</v>
      </c>
      <c r="C1659" s="733" t="s">
        <v>1080</v>
      </c>
      <c r="D1659" s="733">
        <v>66.001625061035156</v>
      </c>
      <c r="E1659" s="733">
        <v>2</v>
      </c>
    </row>
    <row r="1660" spans="2:5" x14ac:dyDescent="0.25">
      <c r="B1660" s="1382" t="s">
        <v>1840</v>
      </c>
      <c r="C1660" s="733" t="s">
        <v>1080</v>
      </c>
      <c r="D1660" s="733">
        <v>63.009323120117188</v>
      </c>
      <c r="E1660" s="733">
        <v>2</v>
      </c>
    </row>
    <row r="1661" spans="2:5" x14ac:dyDescent="0.25">
      <c r="B1661" s="1382" t="s">
        <v>1840</v>
      </c>
      <c r="C1661" s="733" t="s">
        <v>1081</v>
      </c>
      <c r="D1661" s="733">
        <v>68.006431579589844</v>
      </c>
      <c r="E1661" s="733">
        <v>2</v>
      </c>
    </row>
    <row r="1662" spans="2:5" x14ac:dyDescent="0.25">
      <c r="B1662" s="1382" t="s">
        <v>1840</v>
      </c>
      <c r="C1662" s="733" t="s">
        <v>1080</v>
      </c>
      <c r="D1662" s="733">
        <v>76.004356384277344</v>
      </c>
      <c r="E1662" s="733">
        <v>2</v>
      </c>
    </row>
    <row r="1663" spans="2:5" x14ac:dyDescent="0.25">
      <c r="B1663" s="1382" t="s">
        <v>1840</v>
      </c>
      <c r="C1663" s="733" t="s">
        <v>1080</v>
      </c>
      <c r="D1663" s="733">
        <v>68.012214660644531</v>
      </c>
      <c r="E1663" s="733">
        <v>2</v>
      </c>
    </row>
    <row r="1664" spans="2:5" x14ac:dyDescent="0.25">
      <c r="B1664" s="1382" t="s">
        <v>1840</v>
      </c>
      <c r="C1664" s="733" t="s">
        <v>1081</v>
      </c>
      <c r="D1664" s="733">
        <v>68.005859375</v>
      </c>
      <c r="E1664" s="733">
        <v>2</v>
      </c>
    </row>
    <row r="1665" spans="2:5" x14ac:dyDescent="0.25">
      <c r="B1665" s="1382" t="s">
        <v>1840</v>
      </c>
      <c r="C1665" s="733" t="s">
        <v>1081</v>
      </c>
      <c r="D1665" s="733">
        <v>71.006134033203125</v>
      </c>
      <c r="E1665" s="733">
        <v>2</v>
      </c>
    </row>
    <row r="1666" spans="2:5" x14ac:dyDescent="0.25">
      <c r="B1666" s="1382" t="s">
        <v>1840</v>
      </c>
      <c r="C1666" s="733" t="s">
        <v>1080</v>
      </c>
      <c r="D1666" s="733">
        <v>77.00360107421875</v>
      </c>
      <c r="E1666" s="733">
        <v>2</v>
      </c>
    </row>
    <row r="1667" spans="2:5" x14ac:dyDescent="0.25">
      <c r="B1667" s="1382" t="s">
        <v>1840</v>
      </c>
      <c r="C1667" s="733" t="s">
        <v>1080</v>
      </c>
      <c r="D1667" s="733">
        <v>47.009258270263672</v>
      </c>
      <c r="E1667" s="733">
        <v>2</v>
      </c>
    </row>
    <row r="1668" spans="2:5" x14ac:dyDescent="0.25">
      <c r="B1668" s="1382" t="s">
        <v>1840</v>
      </c>
      <c r="C1668" s="733" t="s">
        <v>1080</v>
      </c>
      <c r="D1668" s="733">
        <v>68.001663208007813</v>
      </c>
      <c r="E1668" s="733">
        <v>2</v>
      </c>
    </row>
    <row r="1669" spans="2:5" x14ac:dyDescent="0.25">
      <c r="B1669" s="1382" t="s">
        <v>1840</v>
      </c>
      <c r="C1669" s="733" t="s">
        <v>1080</v>
      </c>
      <c r="D1669" s="733">
        <v>69.002357482910156</v>
      </c>
      <c r="E1669" s="733">
        <v>2</v>
      </c>
    </row>
    <row r="1670" spans="2:5" x14ac:dyDescent="0.25">
      <c r="B1670" s="1382" t="s">
        <v>1840</v>
      </c>
      <c r="C1670" s="733" t="s">
        <v>1080</v>
      </c>
      <c r="D1670" s="733">
        <v>42.0054931640625</v>
      </c>
      <c r="E1670" s="733">
        <v>2</v>
      </c>
    </row>
    <row r="1671" spans="2:5" x14ac:dyDescent="0.25">
      <c r="B1671" s="1382" t="s">
        <v>1840</v>
      </c>
      <c r="C1671" s="733" t="s">
        <v>1080</v>
      </c>
      <c r="D1671" s="733">
        <v>44.003326416015625</v>
      </c>
      <c r="E1671" s="733">
        <v>2</v>
      </c>
    </row>
    <row r="1672" spans="2:5" x14ac:dyDescent="0.25">
      <c r="B1672" s="1382" t="s">
        <v>1840</v>
      </c>
      <c r="C1672" s="733" t="s">
        <v>1080</v>
      </c>
      <c r="D1672" s="733">
        <v>60.003543853759766</v>
      </c>
      <c r="E1672" s="733">
        <v>2</v>
      </c>
    </row>
    <row r="1673" spans="2:5" x14ac:dyDescent="0.25">
      <c r="B1673" s="1382" t="s">
        <v>1840</v>
      </c>
      <c r="C1673" s="733" t="s">
        <v>1080</v>
      </c>
      <c r="D1673" s="733">
        <v>54.005336761474609</v>
      </c>
      <c r="E1673" s="733">
        <v>2</v>
      </c>
    </row>
    <row r="1674" spans="2:5" x14ac:dyDescent="0.25">
      <c r="B1674" s="1382" t="s">
        <v>1840</v>
      </c>
      <c r="C1674" s="733" t="s">
        <v>1081</v>
      </c>
      <c r="D1674" s="733">
        <v>52.012931823730469</v>
      </c>
      <c r="E1674" s="733">
        <v>2</v>
      </c>
    </row>
    <row r="1675" spans="2:5" x14ac:dyDescent="0.25">
      <c r="B1675" s="1382" t="s">
        <v>1840</v>
      </c>
      <c r="C1675" s="733" t="s">
        <v>1080</v>
      </c>
      <c r="D1675" s="733">
        <v>57.009361267089844</v>
      </c>
      <c r="E1675" s="733">
        <v>2</v>
      </c>
    </row>
    <row r="1676" spans="2:5" x14ac:dyDescent="0.25">
      <c r="B1676" s="1382" t="s">
        <v>1840</v>
      </c>
      <c r="C1676" s="733" t="s">
        <v>1080</v>
      </c>
      <c r="D1676" s="733">
        <v>60.004108428955078</v>
      </c>
      <c r="E1676" s="733">
        <v>2</v>
      </c>
    </row>
    <row r="1677" spans="2:5" x14ac:dyDescent="0.25">
      <c r="B1677" s="1382" t="s">
        <v>1840</v>
      </c>
      <c r="C1677" s="733" t="s">
        <v>1080</v>
      </c>
      <c r="D1677" s="733">
        <v>64.006439208984375</v>
      </c>
      <c r="E1677" s="733">
        <v>2</v>
      </c>
    </row>
    <row r="1678" spans="2:5" x14ac:dyDescent="0.25">
      <c r="B1678" s="1382" t="s">
        <v>1840</v>
      </c>
      <c r="C1678" s="733" t="s">
        <v>1080</v>
      </c>
      <c r="D1678" s="733">
        <v>76.005111694335938</v>
      </c>
      <c r="E1678" s="733">
        <v>2</v>
      </c>
    </row>
    <row r="1679" spans="2:5" x14ac:dyDescent="0.25">
      <c r="B1679" s="1382" t="s">
        <v>1840</v>
      </c>
      <c r="C1679" s="733" t="s">
        <v>1080</v>
      </c>
      <c r="D1679" s="733">
        <v>54.004917144775391</v>
      </c>
      <c r="E1679" s="733">
        <v>2</v>
      </c>
    </row>
    <row r="1680" spans="2:5" x14ac:dyDescent="0.25">
      <c r="B1680" s="1382" t="s">
        <v>1840</v>
      </c>
      <c r="C1680" s="733" t="s">
        <v>1080</v>
      </c>
      <c r="D1680" s="733">
        <v>64.001144409179688</v>
      </c>
      <c r="E1680" s="733">
        <v>2</v>
      </c>
    </row>
    <row r="1681" spans="2:5" x14ac:dyDescent="0.25">
      <c r="B1681" s="1382" t="s">
        <v>1840</v>
      </c>
      <c r="C1681" s="733" t="s">
        <v>1080</v>
      </c>
      <c r="D1681" s="733">
        <v>65.002426147460938</v>
      </c>
      <c r="E1681" s="733">
        <v>2</v>
      </c>
    </row>
    <row r="1682" spans="2:5" x14ac:dyDescent="0.25">
      <c r="B1682" s="1382" t="s">
        <v>1840</v>
      </c>
      <c r="C1682" s="733" t="s">
        <v>1081</v>
      </c>
      <c r="D1682" s="733">
        <v>33.003566741943359</v>
      </c>
      <c r="E1682" s="733">
        <v>2</v>
      </c>
    </row>
    <row r="1683" spans="2:5" x14ac:dyDescent="0.25">
      <c r="B1683" s="1382" t="s">
        <v>1840</v>
      </c>
      <c r="C1683" s="733" t="s">
        <v>1080</v>
      </c>
      <c r="D1683" s="733">
        <v>62.002464294433594</v>
      </c>
      <c r="E1683" s="733">
        <v>2</v>
      </c>
    </row>
    <row r="1684" spans="2:5" x14ac:dyDescent="0.25">
      <c r="B1684" s="1382" t="s">
        <v>1840</v>
      </c>
      <c r="C1684" s="733" t="s">
        <v>1081</v>
      </c>
      <c r="D1684" s="733">
        <v>33.004615783691406</v>
      </c>
      <c r="E1684" s="733">
        <v>2</v>
      </c>
    </row>
    <row r="1685" spans="2:5" x14ac:dyDescent="0.25">
      <c r="B1685" s="1382" t="s">
        <v>1840</v>
      </c>
      <c r="C1685" s="733" t="s">
        <v>1080</v>
      </c>
      <c r="D1685" s="733">
        <v>48.004196166992188</v>
      </c>
      <c r="E1685" s="733">
        <v>2</v>
      </c>
    </row>
    <row r="1686" spans="2:5" x14ac:dyDescent="0.25">
      <c r="B1686" s="1382" t="s">
        <v>1840</v>
      </c>
      <c r="C1686" s="733" t="s">
        <v>1080</v>
      </c>
      <c r="D1686" s="733">
        <v>59.004871368408203</v>
      </c>
      <c r="E1686" s="733">
        <v>2</v>
      </c>
    </row>
    <row r="1687" spans="2:5" x14ac:dyDescent="0.25">
      <c r="B1687" s="1382" t="s">
        <v>1840</v>
      </c>
      <c r="C1687" s="733" t="s">
        <v>1081</v>
      </c>
      <c r="D1687" s="733">
        <v>38.003276824951172</v>
      </c>
      <c r="E1687" s="733">
        <v>2</v>
      </c>
    </row>
    <row r="1688" spans="2:5" x14ac:dyDescent="0.25">
      <c r="B1688" s="1382" t="s">
        <v>1840</v>
      </c>
      <c r="C1688" s="733" t="s">
        <v>1081</v>
      </c>
      <c r="D1688" s="733">
        <v>56.03302001953125</v>
      </c>
      <c r="E1688" s="733">
        <v>2</v>
      </c>
    </row>
    <row r="1689" spans="2:5" x14ac:dyDescent="0.25">
      <c r="B1689" s="1382" t="s">
        <v>1840</v>
      </c>
      <c r="C1689" s="733" t="s">
        <v>1080</v>
      </c>
      <c r="D1689" s="733">
        <v>61.003238677978516</v>
      </c>
      <c r="E1689" s="733">
        <v>2</v>
      </c>
    </row>
    <row r="1690" spans="2:5" x14ac:dyDescent="0.25">
      <c r="B1690" s="1382" t="s">
        <v>1840</v>
      </c>
      <c r="C1690" s="733" t="s">
        <v>1080</v>
      </c>
      <c r="D1690" s="733">
        <v>47.002647399902344</v>
      </c>
      <c r="E1690" s="733">
        <v>2</v>
      </c>
    </row>
    <row r="1691" spans="2:5" x14ac:dyDescent="0.25">
      <c r="B1691" s="1382" t="s">
        <v>1840</v>
      </c>
      <c r="C1691" s="733" t="s">
        <v>1080</v>
      </c>
      <c r="D1691" s="733">
        <v>65.002388000488281</v>
      </c>
      <c r="E1691" s="733">
        <v>2</v>
      </c>
    </row>
    <row r="1692" spans="2:5" x14ac:dyDescent="0.25">
      <c r="B1692" s="1382" t="s">
        <v>1840</v>
      </c>
      <c r="C1692" s="733" t="s">
        <v>1080</v>
      </c>
      <c r="D1692" s="733">
        <v>55.003589630126953</v>
      </c>
      <c r="E1692" s="733">
        <v>2</v>
      </c>
    </row>
    <row r="1693" spans="2:5" x14ac:dyDescent="0.25">
      <c r="B1693" s="1382" t="s">
        <v>1840</v>
      </c>
      <c r="C1693" s="733" t="s">
        <v>1081</v>
      </c>
      <c r="D1693" s="733">
        <v>63.003929138183594</v>
      </c>
      <c r="E1693" s="733">
        <v>2</v>
      </c>
    </row>
    <row r="1694" spans="2:5" x14ac:dyDescent="0.25">
      <c r="B1694" s="1382" t="s">
        <v>1840</v>
      </c>
      <c r="C1694" s="733" t="s">
        <v>1080</v>
      </c>
      <c r="D1694" s="733">
        <v>41.005111694335938</v>
      </c>
      <c r="E1694" s="733">
        <v>2</v>
      </c>
    </row>
    <row r="1695" spans="2:5" x14ac:dyDescent="0.25">
      <c r="B1695" s="1382" t="s">
        <v>1840</v>
      </c>
      <c r="C1695" s="733" t="s">
        <v>1080</v>
      </c>
      <c r="D1695" s="733">
        <v>84.001609802246094</v>
      </c>
      <c r="E1695" s="733">
        <v>2</v>
      </c>
    </row>
    <row r="1696" spans="2:5" x14ac:dyDescent="0.25">
      <c r="B1696" s="1382" t="s">
        <v>1840</v>
      </c>
      <c r="C1696" s="733" t="s">
        <v>1080</v>
      </c>
      <c r="D1696" s="733">
        <v>61.0054931640625</v>
      </c>
      <c r="E1696" s="733">
        <v>2</v>
      </c>
    </row>
    <row r="1697" spans="2:5" x14ac:dyDescent="0.25">
      <c r="B1697" s="1382" t="s">
        <v>1840</v>
      </c>
      <c r="C1697" s="733" t="s">
        <v>1080</v>
      </c>
      <c r="D1697" s="733">
        <v>54.0029296875</v>
      </c>
      <c r="E1697" s="733">
        <v>2</v>
      </c>
    </row>
    <row r="1698" spans="2:5" x14ac:dyDescent="0.25">
      <c r="B1698" s="1382" t="s">
        <v>1840</v>
      </c>
      <c r="C1698" s="733" t="s">
        <v>1081</v>
      </c>
      <c r="D1698" s="733">
        <v>72.00537109375</v>
      </c>
      <c r="E1698" s="733">
        <v>2</v>
      </c>
    </row>
    <row r="1699" spans="2:5" x14ac:dyDescent="0.25">
      <c r="B1699" s="1382" t="s">
        <v>1840</v>
      </c>
      <c r="C1699" s="733" t="s">
        <v>1081</v>
      </c>
      <c r="D1699" s="733">
        <v>73.005119323730469</v>
      </c>
      <c r="E1699" s="733">
        <v>2</v>
      </c>
    </row>
    <row r="1700" spans="2:5" x14ac:dyDescent="0.25">
      <c r="B1700" s="1382" t="s">
        <v>1840</v>
      </c>
      <c r="C1700" s="733" t="s">
        <v>1080</v>
      </c>
      <c r="D1700" s="733">
        <v>70.001632690429688</v>
      </c>
      <c r="E1700" s="733">
        <v>2</v>
      </c>
    </row>
    <row r="1701" spans="2:5" x14ac:dyDescent="0.25">
      <c r="B1701" s="1382" t="s">
        <v>1840</v>
      </c>
      <c r="C1701" s="733" t="s">
        <v>1080</v>
      </c>
      <c r="D1701" s="733">
        <v>69.005302429199219</v>
      </c>
      <c r="E1701" s="733">
        <v>2</v>
      </c>
    </row>
    <row r="1702" spans="2:5" x14ac:dyDescent="0.25">
      <c r="B1702" s="1382" t="s">
        <v>1840</v>
      </c>
      <c r="C1702" s="733" t="s">
        <v>1080</v>
      </c>
      <c r="D1702" s="733">
        <v>49.011798858642578</v>
      </c>
      <c r="E1702" s="733">
        <v>2</v>
      </c>
    </row>
    <row r="1703" spans="2:5" x14ac:dyDescent="0.25">
      <c r="B1703" s="1382" t="s">
        <v>1840</v>
      </c>
      <c r="C1703" s="733" t="s">
        <v>1080</v>
      </c>
      <c r="D1703" s="733">
        <v>47.008529663085938</v>
      </c>
      <c r="E1703" s="733">
        <v>2</v>
      </c>
    </row>
    <row r="1704" spans="2:5" x14ac:dyDescent="0.25">
      <c r="B1704" s="1382" t="s">
        <v>1840</v>
      </c>
      <c r="C1704" s="733" t="s">
        <v>1080</v>
      </c>
      <c r="D1704" s="733">
        <v>74.006027221679688</v>
      </c>
      <c r="E1704" s="733">
        <v>2</v>
      </c>
    </row>
    <row r="1705" spans="2:5" x14ac:dyDescent="0.25">
      <c r="B1705" s="1382" t="s">
        <v>1840</v>
      </c>
      <c r="C1705" s="733" t="s">
        <v>1080</v>
      </c>
      <c r="D1705" s="733">
        <v>72.006011962890625</v>
      </c>
      <c r="E1705" s="733">
        <v>2</v>
      </c>
    </row>
    <row r="1706" spans="2:5" x14ac:dyDescent="0.25">
      <c r="B1706" s="1382" t="s">
        <v>1840</v>
      </c>
      <c r="C1706" s="733" t="s">
        <v>1080</v>
      </c>
      <c r="D1706" s="733">
        <v>67.002403259277344</v>
      </c>
      <c r="E1706" s="733">
        <v>2</v>
      </c>
    </row>
    <row r="1707" spans="2:5" x14ac:dyDescent="0.25">
      <c r="B1707" s="1382" t="s">
        <v>1840</v>
      </c>
      <c r="C1707" s="733" t="s">
        <v>1080</v>
      </c>
      <c r="D1707" s="733">
        <v>64.007392883300781</v>
      </c>
      <c r="E1707" s="733">
        <v>2</v>
      </c>
    </row>
    <row r="1708" spans="2:5" x14ac:dyDescent="0.25">
      <c r="B1708" s="1382" t="s">
        <v>1840</v>
      </c>
      <c r="C1708" s="733" t="s">
        <v>1080</v>
      </c>
      <c r="D1708" s="733">
        <v>49.001731872558594</v>
      </c>
      <c r="E1708" s="733">
        <v>2</v>
      </c>
    </row>
    <row r="1709" spans="2:5" x14ac:dyDescent="0.25">
      <c r="B1709" s="1382" t="s">
        <v>1840</v>
      </c>
      <c r="C1709" s="733" t="s">
        <v>1080</v>
      </c>
      <c r="D1709" s="733">
        <v>63.009265899658203</v>
      </c>
      <c r="E1709" s="733">
        <v>2</v>
      </c>
    </row>
    <row r="1710" spans="2:5" x14ac:dyDescent="0.25">
      <c r="B1710" s="1382" t="s">
        <v>1840</v>
      </c>
      <c r="C1710" s="733" t="s">
        <v>1080</v>
      </c>
      <c r="D1710" s="733">
        <v>48.004615783691406</v>
      </c>
      <c r="E1710" s="733">
        <v>2</v>
      </c>
    </row>
    <row r="1711" spans="2:5" x14ac:dyDescent="0.25">
      <c r="B1711" s="1382" t="s">
        <v>1840</v>
      </c>
      <c r="C1711" s="733" t="s">
        <v>1081</v>
      </c>
      <c r="D1711" s="733">
        <v>63.003372192382813</v>
      </c>
      <c r="E1711" s="733">
        <v>2</v>
      </c>
    </row>
    <row r="1712" spans="2:5" x14ac:dyDescent="0.25">
      <c r="B1712" s="1382" t="s">
        <v>1840</v>
      </c>
      <c r="C1712" s="733" t="s">
        <v>1080</v>
      </c>
      <c r="D1712" s="733">
        <v>64.014747619628906</v>
      </c>
      <c r="E1712" s="733">
        <v>2</v>
      </c>
    </row>
    <row r="1713" spans="2:5" x14ac:dyDescent="0.25">
      <c r="B1713" s="1382" t="s">
        <v>1840</v>
      </c>
      <c r="C1713" s="733" t="s">
        <v>1080</v>
      </c>
      <c r="D1713" s="733">
        <v>83.004646301269531</v>
      </c>
      <c r="E1713" s="733">
        <v>2</v>
      </c>
    </row>
    <row r="1714" spans="2:5" x14ac:dyDescent="0.25">
      <c r="B1714" s="1382" t="s">
        <v>1840</v>
      </c>
      <c r="C1714" s="733" t="s">
        <v>1080</v>
      </c>
      <c r="D1714" s="733">
        <v>64.000839233398438</v>
      </c>
      <c r="E1714" s="733">
        <v>2</v>
      </c>
    </row>
    <row r="1715" spans="2:5" x14ac:dyDescent="0.25">
      <c r="B1715" s="1382" t="s">
        <v>1840</v>
      </c>
      <c r="C1715" s="733" t="s">
        <v>1080</v>
      </c>
      <c r="D1715" s="733">
        <v>66.002128601074219</v>
      </c>
      <c r="E1715" s="733">
        <v>2</v>
      </c>
    </row>
    <row r="1716" spans="2:5" x14ac:dyDescent="0.25">
      <c r="B1716" s="1382" t="s">
        <v>1840</v>
      </c>
      <c r="C1716" s="733" t="s">
        <v>1080</v>
      </c>
      <c r="D1716" s="733">
        <v>59.002712249755859</v>
      </c>
      <c r="E1716" s="733">
        <v>2</v>
      </c>
    </row>
    <row r="1717" spans="2:5" x14ac:dyDescent="0.25">
      <c r="B1717" s="1382" t="s">
        <v>1840</v>
      </c>
      <c r="C1717" s="733" t="s">
        <v>1081</v>
      </c>
      <c r="D1717" s="733">
        <v>75.00555419921875</v>
      </c>
      <c r="E1717" s="733">
        <v>2</v>
      </c>
    </row>
    <row r="1718" spans="2:5" x14ac:dyDescent="0.25">
      <c r="B1718" s="1382" t="s">
        <v>1840</v>
      </c>
      <c r="C1718" s="733" t="s">
        <v>1080</v>
      </c>
      <c r="D1718" s="733">
        <v>70.006210327148438</v>
      </c>
      <c r="E1718" s="733">
        <v>2</v>
      </c>
    </row>
    <row r="1719" spans="2:5" x14ac:dyDescent="0.25">
      <c r="B1719" s="1382" t="s">
        <v>1840</v>
      </c>
      <c r="C1719" s="733" t="s">
        <v>1081</v>
      </c>
      <c r="D1719" s="733">
        <v>63.005741119384766</v>
      </c>
      <c r="E1719" s="733">
        <v>2</v>
      </c>
    </row>
    <row r="1720" spans="2:5" x14ac:dyDescent="0.25">
      <c r="B1720" s="1382" t="s">
        <v>1840</v>
      </c>
      <c r="C1720" s="733" t="s">
        <v>1080</v>
      </c>
      <c r="D1720" s="733">
        <v>53.002414703369141</v>
      </c>
      <c r="E1720" s="733">
        <v>2</v>
      </c>
    </row>
    <row r="1721" spans="2:5" x14ac:dyDescent="0.25">
      <c r="B1721" s="1382" t="s">
        <v>1840</v>
      </c>
      <c r="C1721" s="733" t="s">
        <v>1080</v>
      </c>
      <c r="D1721" s="733">
        <v>65.000701904296875</v>
      </c>
      <c r="E1721" s="733">
        <v>2</v>
      </c>
    </row>
    <row r="1722" spans="2:5" x14ac:dyDescent="0.25">
      <c r="B1722" s="1382" t="s">
        <v>1840</v>
      </c>
      <c r="C1722" s="733" t="s">
        <v>1080</v>
      </c>
      <c r="D1722" s="733">
        <v>57.001941680908203</v>
      </c>
      <c r="E1722" s="733">
        <v>2</v>
      </c>
    </row>
    <row r="1723" spans="2:5" x14ac:dyDescent="0.25">
      <c r="B1723" s="1382" t="s">
        <v>1840</v>
      </c>
      <c r="C1723" s="733" t="s">
        <v>1081</v>
      </c>
      <c r="D1723" s="733">
        <v>64.003402709960938</v>
      </c>
      <c r="E1723" s="733">
        <v>2</v>
      </c>
    </row>
    <row r="1724" spans="2:5" x14ac:dyDescent="0.25">
      <c r="B1724" s="1382" t="s">
        <v>1840</v>
      </c>
      <c r="C1724" s="733" t="s">
        <v>1080</v>
      </c>
      <c r="D1724" s="733">
        <v>40.004257202148438</v>
      </c>
      <c r="E1724" s="733">
        <v>2</v>
      </c>
    </row>
    <row r="1725" spans="2:5" x14ac:dyDescent="0.25">
      <c r="B1725" s="1382" t="s">
        <v>1840</v>
      </c>
      <c r="C1725" s="733" t="s">
        <v>1080</v>
      </c>
      <c r="D1725" s="733">
        <v>70.001708984375</v>
      </c>
      <c r="E1725" s="733">
        <v>2</v>
      </c>
    </row>
    <row r="1726" spans="2:5" x14ac:dyDescent="0.25">
      <c r="B1726" s="1382" t="s">
        <v>1840</v>
      </c>
      <c r="C1726" s="733" t="s">
        <v>1081</v>
      </c>
      <c r="D1726" s="733">
        <v>41.002578735351563</v>
      </c>
      <c r="E1726" s="733">
        <v>2</v>
      </c>
    </row>
    <row r="1727" spans="2:5" x14ac:dyDescent="0.25">
      <c r="B1727" s="1382" t="s">
        <v>1840</v>
      </c>
      <c r="C1727" s="733" t="s">
        <v>1080</v>
      </c>
      <c r="D1727" s="733">
        <v>59.002849578857422</v>
      </c>
      <c r="E1727" s="733">
        <v>2</v>
      </c>
    </row>
    <row r="1728" spans="2:5" x14ac:dyDescent="0.25">
      <c r="B1728" s="1382" t="s">
        <v>1840</v>
      </c>
      <c r="C1728" s="733" t="s">
        <v>1081</v>
      </c>
      <c r="D1728" s="733">
        <v>29.004121780395508</v>
      </c>
      <c r="E1728" s="733">
        <v>2</v>
      </c>
    </row>
    <row r="1729" spans="2:5" x14ac:dyDescent="0.25">
      <c r="B1729" s="1382" t="s">
        <v>1840</v>
      </c>
      <c r="C1729" s="733" t="s">
        <v>1080</v>
      </c>
      <c r="D1729" s="733">
        <v>66.001228332519531</v>
      </c>
      <c r="E1729" s="733">
        <v>2</v>
      </c>
    </row>
    <row r="1730" spans="2:5" x14ac:dyDescent="0.25">
      <c r="B1730" s="1382" t="s">
        <v>1840</v>
      </c>
      <c r="C1730" s="733" t="s">
        <v>1080</v>
      </c>
      <c r="D1730" s="733">
        <v>68.001510620117188</v>
      </c>
      <c r="E1730" s="733">
        <v>2</v>
      </c>
    </row>
    <row r="1731" spans="2:5" x14ac:dyDescent="0.25">
      <c r="B1731" s="1382" t="s">
        <v>1840</v>
      </c>
      <c r="C1731" s="733" t="s">
        <v>1081</v>
      </c>
      <c r="D1731" s="733">
        <v>55.000778198242188</v>
      </c>
      <c r="E1731" s="733">
        <v>2</v>
      </c>
    </row>
    <row r="1732" spans="2:5" x14ac:dyDescent="0.25">
      <c r="B1732" s="1382" t="s">
        <v>1840</v>
      </c>
      <c r="C1732" s="733" t="s">
        <v>1080</v>
      </c>
      <c r="D1732" s="733">
        <v>52.005435943603516</v>
      </c>
      <c r="E1732" s="733">
        <v>2</v>
      </c>
    </row>
    <row r="1733" spans="2:5" x14ac:dyDescent="0.25">
      <c r="B1733" s="1382" t="s">
        <v>1840</v>
      </c>
      <c r="C1733" s="733" t="s">
        <v>1080</v>
      </c>
      <c r="D1733" s="733">
        <v>47.001140594482422</v>
      </c>
      <c r="E1733" s="733">
        <v>2</v>
      </c>
    </row>
    <row r="1734" spans="2:5" x14ac:dyDescent="0.25">
      <c r="B1734" s="1382" t="s">
        <v>1840</v>
      </c>
      <c r="C1734" s="733" t="s">
        <v>1081</v>
      </c>
      <c r="D1734" s="733">
        <v>70.001823425292969</v>
      </c>
      <c r="E1734" s="733">
        <v>2</v>
      </c>
    </row>
    <row r="1735" spans="2:5" x14ac:dyDescent="0.25">
      <c r="B1735" s="1382" t="s">
        <v>1840</v>
      </c>
      <c r="C1735" s="733" t="s">
        <v>1080</v>
      </c>
      <c r="D1735" s="733">
        <v>64.004493713378906</v>
      </c>
      <c r="E1735" s="733">
        <v>2</v>
      </c>
    </row>
    <row r="1736" spans="2:5" x14ac:dyDescent="0.25">
      <c r="B1736" s="1382" t="s">
        <v>1840</v>
      </c>
      <c r="C1736" s="733" t="s">
        <v>1080</v>
      </c>
      <c r="D1736" s="733">
        <v>64.005210876464844</v>
      </c>
      <c r="E1736" s="733">
        <v>2</v>
      </c>
    </row>
    <row r="1737" spans="2:5" x14ac:dyDescent="0.25">
      <c r="B1737" s="1382" t="s">
        <v>1840</v>
      </c>
      <c r="C1737" s="733" t="s">
        <v>1080</v>
      </c>
      <c r="D1737" s="733">
        <v>59.00128173828125</v>
      </c>
      <c r="E1737" s="733">
        <v>2</v>
      </c>
    </row>
    <row r="1738" spans="2:5" x14ac:dyDescent="0.25">
      <c r="B1738" s="1382" t="s">
        <v>1840</v>
      </c>
      <c r="C1738" s="733" t="s">
        <v>1080</v>
      </c>
      <c r="D1738" s="733">
        <v>68.003448486328125</v>
      </c>
      <c r="E1738" s="733">
        <v>2</v>
      </c>
    </row>
    <row r="1739" spans="2:5" x14ac:dyDescent="0.25">
      <c r="B1739" s="1382" t="s">
        <v>1840</v>
      </c>
      <c r="C1739" s="733" t="s">
        <v>1080</v>
      </c>
      <c r="D1739" s="733">
        <v>68.004020690917969</v>
      </c>
      <c r="E1739" s="733">
        <v>2</v>
      </c>
    </row>
    <row r="1740" spans="2:5" x14ac:dyDescent="0.25">
      <c r="B1740" s="1382" t="s">
        <v>1840</v>
      </c>
      <c r="C1740" s="733" t="s">
        <v>1080</v>
      </c>
      <c r="D1740" s="733">
        <v>60.009548187255859</v>
      </c>
      <c r="E1740" s="733">
        <v>2</v>
      </c>
    </row>
    <row r="1741" spans="2:5" x14ac:dyDescent="0.25">
      <c r="B1741" s="1382" t="s">
        <v>1840</v>
      </c>
      <c r="C1741" s="733" t="s">
        <v>1080</v>
      </c>
      <c r="D1741" s="733">
        <v>73.00115966796875</v>
      </c>
      <c r="E1741" s="733">
        <v>2</v>
      </c>
    </row>
    <row r="1742" spans="2:5" x14ac:dyDescent="0.25">
      <c r="B1742" s="1382" t="s">
        <v>1840</v>
      </c>
      <c r="C1742" s="733" t="s">
        <v>1080</v>
      </c>
      <c r="D1742" s="733">
        <v>67.001480102539063</v>
      </c>
      <c r="E1742" s="733">
        <v>2</v>
      </c>
    </row>
    <row r="1743" spans="2:5" x14ac:dyDescent="0.25">
      <c r="B1743" s="1382" t="s">
        <v>1840</v>
      </c>
      <c r="C1743" s="733" t="s">
        <v>1081</v>
      </c>
      <c r="D1743" s="733">
        <v>55.00177001953125</v>
      </c>
      <c r="E1743" s="733">
        <v>2</v>
      </c>
    </row>
    <row r="1744" spans="2:5" x14ac:dyDescent="0.25">
      <c r="B1744" s="1382" t="s">
        <v>1840</v>
      </c>
      <c r="C1744" s="733" t="s">
        <v>1080</v>
      </c>
      <c r="D1744" s="733">
        <v>55.002494812011719</v>
      </c>
      <c r="E1744" s="733">
        <v>2</v>
      </c>
    </row>
    <row r="1745" spans="2:5" x14ac:dyDescent="0.25">
      <c r="B1745" s="1382" t="s">
        <v>1840</v>
      </c>
      <c r="C1745" s="733" t="s">
        <v>1080</v>
      </c>
      <c r="D1745" s="733">
        <v>47.00390625</v>
      </c>
      <c r="E1745" s="733">
        <v>2</v>
      </c>
    </row>
    <row r="1746" spans="2:5" x14ac:dyDescent="0.25">
      <c r="B1746" s="1382" t="s">
        <v>1840</v>
      </c>
      <c r="C1746" s="733" t="s">
        <v>1080</v>
      </c>
      <c r="D1746" s="733">
        <v>42.000755310058594</v>
      </c>
      <c r="E1746" s="733">
        <v>2</v>
      </c>
    </row>
    <row r="1747" spans="2:5" x14ac:dyDescent="0.25">
      <c r="B1747" s="1382" t="s">
        <v>1840</v>
      </c>
      <c r="C1747" s="733" t="s">
        <v>1081</v>
      </c>
      <c r="D1747" s="733">
        <v>53.001670837402344</v>
      </c>
      <c r="E1747" s="733">
        <v>2</v>
      </c>
    </row>
    <row r="1748" spans="2:5" x14ac:dyDescent="0.25">
      <c r="B1748" s="1382" t="s">
        <v>1840</v>
      </c>
      <c r="C1748" s="733" t="s">
        <v>1081</v>
      </c>
      <c r="D1748" s="733">
        <v>81.002166748046875</v>
      </c>
      <c r="E1748" s="733">
        <v>2</v>
      </c>
    </row>
    <row r="1749" spans="2:5" x14ac:dyDescent="0.25">
      <c r="B1749" s="1382" t="s">
        <v>1840</v>
      </c>
      <c r="C1749" s="733" t="s">
        <v>1080</v>
      </c>
      <c r="D1749" s="733">
        <v>82.001945495605469</v>
      </c>
      <c r="E1749" s="733">
        <v>2</v>
      </c>
    </row>
    <row r="1750" spans="2:5" x14ac:dyDescent="0.25">
      <c r="B1750" s="1382" t="s">
        <v>1840</v>
      </c>
      <c r="C1750" s="733" t="s">
        <v>1080</v>
      </c>
      <c r="D1750" s="733">
        <v>70.001518249511719</v>
      </c>
      <c r="E1750" s="733">
        <v>2</v>
      </c>
    </row>
    <row r="1751" spans="2:5" x14ac:dyDescent="0.25">
      <c r="B1751" s="1382" t="s">
        <v>1840</v>
      </c>
      <c r="C1751" s="733" t="s">
        <v>1080</v>
      </c>
      <c r="D1751" s="733">
        <v>80.003547668457031</v>
      </c>
      <c r="E1751" s="733">
        <v>2</v>
      </c>
    </row>
    <row r="1752" spans="2:5" x14ac:dyDescent="0.25">
      <c r="B1752" s="1382" t="s">
        <v>1840</v>
      </c>
      <c r="C1752" s="733" t="s">
        <v>1080</v>
      </c>
      <c r="D1752" s="733">
        <v>76.002532958984375</v>
      </c>
      <c r="E1752" s="733">
        <v>2</v>
      </c>
    </row>
    <row r="1753" spans="2:5" x14ac:dyDescent="0.25">
      <c r="B1753" s="1382" t="s">
        <v>1840</v>
      </c>
      <c r="C1753" s="733" t="s">
        <v>1081</v>
      </c>
      <c r="D1753" s="733">
        <v>78.002777099609375</v>
      </c>
      <c r="E1753" s="733">
        <v>2</v>
      </c>
    </row>
    <row r="1754" spans="2:5" x14ac:dyDescent="0.25">
      <c r="B1754" s="1382" t="s">
        <v>1840</v>
      </c>
      <c r="C1754" s="733" t="s">
        <v>1080</v>
      </c>
      <c r="D1754" s="733">
        <v>73.006324768066406</v>
      </c>
      <c r="E1754" s="733">
        <v>2</v>
      </c>
    </row>
    <row r="1755" spans="2:5" x14ac:dyDescent="0.25">
      <c r="B1755" s="1382" t="s">
        <v>1840</v>
      </c>
      <c r="C1755" s="733" t="s">
        <v>1080</v>
      </c>
      <c r="D1755" s="733">
        <v>69.001052856445313</v>
      </c>
      <c r="E1755" s="733">
        <v>2</v>
      </c>
    </row>
    <row r="1756" spans="2:5" x14ac:dyDescent="0.25">
      <c r="B1756" s="1382" t="s">
        <v>1840</v>
      </c>
      <c r="C1756" s="733" t="s">
        <v>1080</v>
      </c>
      <c r="D1756" s="733">
        <v>72.00445556640625</v>
      </c>
      <c r="E1756" s="733">
        <v>2</v>
      </c>
    </row>
    <row r="1757" spans="2:5" x14ac:dyDescent="0.25">
      <c r="B1757" s="1382" t="s">
        <v>1840</v>
      </c>
      <c r="C1757" s="733" t="s">
        <v>1081</v>
      </c>
      <c r="D1757" s="733">
        <v>57.008544921875</v>
      </c>
      <c r="E1757" s="733">
        <v>2</v>
      </c>
    </row>
    <row r="1758" spans="2:5" x14ac:dyDescent="0.25">
      <c r="B1758" s="1382" t="s">
        <v>1840</v>
      </c>
      <c r="C1758" s="733" t="s">
        <v>1080</v>
      </c>
      <c r="D1758" s="733">
        <v>58.004421234130859</v>
      </c>
      <c r="E1758" s="733">
        <v>2</v>
      </c>
    </row>
    <row r="1759" spans="2:5" x14ac:dyDescent="0.25">
      <c r="B1759" s="1382" t="s">
        <v>1840</v>
      </c>
      <c r="C1759" s="733" t="s">
        <v>1080</v>
      </c>
      <c r="D1759" s="733">
        <v>56.004356384277344</v>
      </c>
      <c r="E1759" s="733">
        <v>2</v>
      </c>
    </row>
    <row r="1760" spans="2:5" x14ac:dyDescent="0.25">
      <c r="B1760" s="1382" t="s">
        <v>1840</v>
      </c>
      <c r="C1760" s="733" t="s">
        <v>1080</v>
      </c>
      <c r="D1760" s="733">
        <v>58.005275726318359</v>
      </c>
      <c r="E1760" s="733">
        <v>2</v>
      </c>
    </row>
    <row r="1761" spans="2:5" x14ac:dyDescent="0.25">
      <c r="B1761" s="1382" t="s">
        <v>1840</v>
      </c>
      <c r="C1761" s="733" t="s">
        <v>1081</v>
      </c>
      <c r="D1761" s="733">
        <v>59.001544952392578</v>
      </c>
      <c r="E1761" s="733">
        <v>2</v>
      </c>
    </row>
    <row r="1762" spans="2:5" x14ac:dyDescent="0.25">
      <c r="B1762" s="1382" t="s">
        <v>1840</v>
      </c>
      <c r="C1762" s="733" t="s">
        <v>1080</v>
      </c>
      <c r="D1762" s="733">
        <v>56.008644104003906</v>
      </c>
      <c r="E1762" s="733">
        <v>2</v>
      </c>
    </row>
    <row r="1763" spans="2:5" x14ac:dyDescent="0.25">
      <c r="B1763" s="1382" t="s">
        <v>1840</v>
      </c>
      <c r="C1763" s="733" t="s">
        <v>1080</v>
      </c>
      <c r="D1763" s="733">
        <v>60.000335693359375</v>
      </c>
      <c r="E1763" s="733">
        <v>2</v>
      </c>
    </row>
    <row r="1764" spans="2:5" x14ac:dyDescent="0.25">
      <c r="B1764" s="1382" t="s">
        <v>1840</v>
      </c>
      <c r="C1764" s="733" t="s">
        <v>1080</v>
      </c>
      <c r="D1764" s="733">
        <v>48.000869750976563</v>
      </c>
      <c r="E1764" s="733">
        <v>2</v>
      </c>
    </row>
    <row r="1765" spans="2:5" x14ac:dyDescent="0.25">
      <c r="B1765" s="1382" t="s">
        <v>1840</v>
      </c>
      <c r="C1765" s="733" t="s">
        <v>1080</v>
      </c>
      <c r="D1765" s="733">
        <v>52.005718231201172</v>
      </c>
      <c r="E1765" s="733">
        <v>2</v>
      </c>
    </row>
    <row r="1766" spans="2:5" x14ac:dyDescent="0.25">
      <c r="B1766" s="1382" t="s">
        <v>1840</v>
      </c>
      <c r="C1766" s="733" t="s">
        <v>1081</v>
      </c>
      <c r="D1766" s="733">
        <v>43.008419036865234</v>
      </c>
      <c r="E1766" s="733">
        <v>2</v>
      </c>
    </row>
    <row r="1767" spans="2:5" x14ac:dyDescent="0.25">
      <c r="B1767" s="1382" t="s">
        <v>1840</v>
      </c>
      <c r="C1767" s="733" t="s">
        <v>1080</v>
      </c>
      <c r="D1767" s="733">
        <v>54.004684448242188</v>
      </c>
      <c r="E1767" s="733">
        <v>2</v>
      </c>
    </row>
    <row r="1768" spans="2:5" x14ac:dyDescent="0.25">
      <c r="B1768" s="1382" t="s">
        <v>1840</v>
      </c>
      <c r="C1768" s="733" t="s">
        <v>1081</v>
      </c>
      <c r="D1768" s="733">
        <v>79.00592041015625</v>
      </c>
      <c r="E1768" s="733">
        <v>2</v>
      </c>
    </row>
    <row r="1769" spans="2:5" x14ac:dyDescent="0.25">
      <c r="B1769" s="1382" t="s">
        <v>1840</v>
      </c>
      <c r="C1769" s="733" t="s">
        <v>1080</v>
      </c>
      <c r="D1769" s="733">
        <v>72.002769470214844</v>
      </c>
      <c r="E1769" s="733">
        <v>2</v>
      </c>
    </row>
    <row r="1770" spans="2:5" x14ac:dyDescent="0.25">
      <c r="B1770" s="1382" t="s">
        <v>1840</v>
      </c>
      <c r="C1770" s="733" t="s">
        <v>1081</v>
      </c>
      <c r="D1770" s="733">
        <v>63.001995086669922</v>
      </c>
      <c r="E1770" s="733">
        <v>2</v>
      </c>
    </row>
    <row r="1771" spans="2:5" x14ac:dyDescent="0.25">
      <c r="B1771" s="1382" t="s">
        <v>1840</v>
      </c>
      <c r="C1771" s="733" t="s">
        <v>1081</v>
      </c>
      <c r="D1771" s="733">
        <v>79.000892639160156</v>
      </c>
      <c r="E1771" s="733">
        <v>2</v>
      </c>
    </row>
    <row r="1772" spans="2:5" x14ac:dyDescent="0.25">
      <c r="B1772" s="1382" t="s">
        <v>1840</v>
      </c>
      <c r="C1772" s="733" t="s">
        <v>1080</v>
      </c>
      <c r="D1772" s="733">
        <v>75.002204895019531</v>
      </c>
      <c r="E1772" s="733">
        <v>2</v>
      </c>
    </row>
    <row r="1773" spans="2:5" x14ac:dyDescent="0.25">
      <c r="B1773" s="1382" t="s">
        <v>1840</v>
      </c>
      <c r="C1773" s="733" t="s">
        <v>1080</v>
      </c>
      <c r="D1773" s="733">
        <v>80.003219604492188</v>
      </c>
      <c r="E1773" s="733">
        <v>2</v>
      </c>
    </row>
    <row r="1774" spans="2:5" x14ac:dyDescent="0.25">
      <c r="B1774" s="1382" t="s">
        <v>1840</v>
      </c>
      <c r="C1774" s="733" t="s">
        <v>1081</v>
      </c>
      <c r="D1774" s="733">
        <v>75.009635925292969</v>
      </c>
      <c r="E1774" s="733">
        <v>2</v>
      </c>
    </row>
    <row r="1775" spans="2:5" x14ac:dyDescent="0.25">
      <c r="B1775" s="1382" t="s">
        <v>1840</v>
      </c>
      <c r="C1775" s="733" t="s">
        <v>1080</v>
      </c>
      <c r="D1775" s="733">
        <v>65.002357482910156</v>
      </c>
      <c r="E1775" s="733">
        <v>2</v>
      </c>
    </row>
    <row r="1776" spans="2:5" x14ac:dyDescent="0.25">
      <c r="B1776" s="1382" t="s">
        <v>1840</v>
      </c>
      <c r="C1776" s="733" t="s">
        <v>1080</v>
      </c>
      <c r="D1776" s="733">
        <v>43.002407073974609</v>
      </c>
      <c r="E1776" s="733">
        <v>2</v>
      </c>
    </row>
    <row r="1777" spans="2:5" x14ac:dyDescent="0.25">
      <c r="B1777" s="1382" t="s">
        <v>1840</v>
      </c>
      <c r="C1777" s="733" t="s">
        <v>1081</v>
      </c>
      <c r="D1777" s="733">
        <v>62.309120178222656</v>
      </c>
      <c r="E1777" s="733">
        <v>2</v>
      </c>
    </row>
    <row r="1778" spans="2:5" x14ac:dyDescent="0.25">
      <c r="B1778" s="1382" t="s">
        <v>1840</v>
      </c>
      <c r="C1778" s="733" t="s">
        <v>1080</v>
      </c>
      <c r="D1778" s="733">
        <v>67.001609802246094</v>
      </c>
      <c r="E1778" s="733">
        <v>2</v>
      </c>
    </row>
    <row r="1779" spans="2:5" x14ac:dyDescent="0.25">
      <c r="B1779" s="1382" t="s">
        <v>1840</v>
      </c>
      <c r="C1779" s="733" t="s">
        <v>1080</v>
      </c>
      <c r="D1779" s="733">
        <v>54.001358032226563</v>
      </c>
      <c r="E1779" s="733">
        <v>2</v>
      </c>
    </row>
    <row r="1780" spans="2:5" x14ac:dyDescent="0.25">
      <c r="B1780" s="1382" t="s">
        <v>1840</v>
      </c>
      <c r="C1780" s="733" t="s">
        <v>1080</v>
      </c>
      <c r="D1780" s="733">
        <v>60.002571105957031</v>
      </c>
      <c r="E1780" s="733">
        <v>2</v>
      </c>
    </row>
    <row r="1781" spans="2:5" x14ac:dyDescent="0.25">
      <c r="B1781" s="1382" t="s">
        <v>1840</v>
      </c>
      <c r="C1781" s="733" t="s">
        <v>1080</v>
      </c>
      <c r="D1781" s="733">
        <v>72.004859924316406</v>
      </c>
      <c r="E1781" s="733">
        <v>2</v>
      </c>
    </row>
    <row r="1782" spans="2:5" x14ac:dyDescent="0.25">
      <c r="B1782" s="1382" t="s">
        <v>1840</v>
      </c>
      <c r="C1782" s="733" t="s">
        <v>1080</v>
      </c>
      <c r="D1782" s="733">
        <v>45.001380920410156</v>
      </c>
      <c r="E1782" s="733">
        <v>2</v>
      </c>
    </row>
    <row r="1783" spans="2:5" x14ac:dyDescent="0.25">
      <c r="B1783" s="1382" t="s">
        <v>1840</v>
      </c>
      <c r="C1783" s="733" t="s">
        <v>1080</v>
      </c>
      <c r="D1783" s="733">
        <v>52.001049041748047</v>
      </c>
      <c r="E1783" s="733">
        <v>2</v>
      </c>
    </row>
    <row r="1784" spans="2:5" x14ac:dyDescent="0.25">
      <c r="B1784" s="1382" t="s">
        <v>1840</v>
      </c>
      <c r="C1784" s="733" t="s">
        <v>1081</v>
      </c>
      <c r="D1784" s="733">
        <v>74.002326965332031</v>
      </c>
      <c r="E1784" s="733">
        <v>2</v>
      </c>
    </row>
    <row r="1785" spans="2:5" x14ac:dyDescent="0.25">
      <c r="B1785" s="1382" t="s">
        <v>1840</v>
      </c>
      <c r="C1785" s="733" t="s">
        <v>1081</v>
      </c>
      <c r="D1785" s="733">
        <v>81.000823974609375</v>
      </c>
      <c r="E1785" s="733">
        <v>2</v>
      </c>
    </row>
    <row r="1786" spans="2:5" x14ac:dyDescent="0.25">
      <c r="B1786" s="1382" t="s">
        <v>1840</v>
      </c>
      <c r="C1786" s="733" t="s">
        <v>1080</v>
      </c>
      <c r="D1786" s="733">
        <v>85.000686645507813</v>
      </c>
      <c r="E1786" s="733">
        <v>2</v>
      </c>
    </row>
    <row r="1787" spans="2:5" x14ac:dyDescent="0.25">
      <c r="B1787" s="1382" t="s">
        <v>1840</v>
      </c>
      <c r="C1787" s="733" t="s">
        <v>1080</v>
      </c>
      <c r="D1787" s="733">
        <v>79.002586364746094</v>
      </c>
      <c r="E1787" s="733">
        <v>2</v>
      </c>
    </row>
    <row r="1788" spans="2:5" x14ac:dyDescent="0.25">
      <c r="B1788" s="1382" t="s">
        <v>1840</v>
      </c>
      <c r="C1788" s="733" t="s">
        <v>1081</v>
      </c>
      <c r="D1788" s="733">
        <v>86.002960205078125</v>
      </c>
      <c r="E1788" s="733">
        <v>2</v>
      </c>
    </row>
    <row r="1789" spans="2:5" x14ac:dyDescent="0.25">
      <c r="B1789" s="1382" t="s">
        <v>1840</v>
      </c>
      <c r="C1789" s="733" t="s">
        <v>1080</v>
      </c>
      <c r="D1789" s="733">
        <v>76.002799987792969</v>
      </c>
      <c r="E1789" s="733">
        <v>2</v>
      </c>
    </row>
    <row r="1790" spans="2:5" x14ac:dyDescent="0.25">
      <c r="B1790" s="1382" t="s">
        <v>1840</v>
      </c>
      <c r="C1790" s="733" t="s">
        <v>1080</v>
      </c>
      <c r="D1790" s="733">
        <v>75.001785278320313</v>
      </c>
      <c r="E1790" s="733">
        <v>2</v>
      </c>
    </row>
    <row r="1791" spans="2:5" x14ac:dyDescent="0.25">
      <c r="B1791" s="1382" t="s">
        <v>1840</v>
      </c>
      <c r="C1791" s="733" t="s">
        <v>1080</v>
      </c>
      <c r="D1791" s="733">
        <v>66.004867553710938</v>
      </c>
      <c r="E1791" s="733">
        <v>2</v>
      </c>
    </row>
    <row r="1792" spans="2:5" x14ac:dyDescent="0.25">
      <c r="B1792" s="1382" t="s">
        <v>1840</v>
      </c>
      <c r="C1792" s="733" t="s">
        <v>1081</v>
      </c>
      <c r="D1792" s="733">
        <v>70.004402160644531</v>
      </c>
      <c r="E1792" s="733">
        <v>2</v>
      </c>
    </row>
    <row r="1793" spans="2:5" x14ac:dyDescent="0.25">
      <c r="B1793" s="1382" t="s">
        <v>1840</v>
      </c>
      <c r="C1793" s="733" t="s">
        <v>1080</v>
      </c>
      <c r="D1793" s="733">
        <v>62.001205444335938</v>
      </c>
      <c r="E1793" s="733">
        <v>2</v>
      </c>
    </row>
    <row r="1794" spans="2:5" x14ac:dyDescent="0.25">
      <c r="B1794" s="1382" t="s">
        <v>1840</v>
      </c>
      <c r="C1794" s="733" t="s">
        <v>1080</v>
      </c>
      <c r="D1794" s="733">
        <v>59.002052307128906</v>
      </c>
      <c r="E1794" s="733">
        <v>2</v>
      </c>
    </row>
    <row r="1795" spans="2:5" x14ac:dyDescent="0.25">
      <c r="B1795" s="1382" t="s">
        <v>1840</v>
      </c>
      <c r="C1795" s="733" t="s">
        <v>1081</v>
      </c>
      <c r="D1795" s="733">
        <v>53.003261566162109</v>
      </c>
      <c r="E1795" s="733">
        <v>2</v>
      </c>
    </row>
    <row r="1796" spans="2:5" x14ac:dyDescent="0.25">
      <c r="B1796" s="1382" t="s">
        <v>1840</v>
      </c>
      <c r="C1796" s="733" t="s">
        <v>1081</v>
      </c>
      <c r="D1796" s="733">
        <v>74.002876281738281</v>
      </c>
      <c r="E1796" s="733">
        <v>2</v>
      </c>
    </row>
    <row r="1797" spans="2:5" x14ac:dyDescent="0.25">
      <c r="B1797" s="1382" t="s">
        <v>1840</v>
      </c>
      <c r="C1797" s="733" t="s">
        <v>1080</v>
      </c>
      <c r="D1797" s="733">
        <v>55.004520416259766</v>
      </c>
      <c r="E1797" s="733">
        <v>2</v>
      </c>
    </row>
    <row r="1798" spans="2:5" x14ac:dyDescent="0.25">
      <c r="B1798" s="1382" t="s">
        <v>1840</v>
      </c>
      <c r="C1798" s="733" t="s">
        <v>1080</v>
      </c>
      <c r="D1798" s="733">
        <v>72.000808715820313</v>
      </c>
      <c r="E1798" s="733">
        <v>2</v>
      </c>
    </row>
    <row r="1799" spans="2:5" x14ac:dyDescent="0.25">
      <c r="B1799" s="1382" t="s">
        <v>1840</v>
      </c>
      <c r="C1799" s="733" t="s">
        <v>1080</v>
      </c>
      <c r="D1799" s="733">
        <v>65.00372314453125</v>
      </c>
      <c r="E1799" s="733">
        <v>2</v>
      </c>
    </row>
    <row r="1800" spans="2:5" x14ac:dyDescent="0.25">
      <c r="B1800" s="1382" t="s">
        <v>1840</v>
      </c>
      <c r="C1800" s="733" t="s">
        <v>1080</v>
      </c>
      <c r="D1800" s="733">
        <v>77.002227783203125</v>
      </c>
      <c r="E1800" s="733">
        <v>2</v>
      </c>
    </row>
    <row r="1801" spans="2:5" x14ac:dyDescent="0.25">
      <c r="B1801" s="1382" t="s">
        <v>1840</v>
      </c>
      <c r="C1801" s="733" t="s">
        <v>1080</v>
      </c>
      <c r="D1801" s="733">
        <v>72.0037841796875</v>
      </c>
      <c r="E1801" s="733">
        <v>2</v>
      </c>
    </row>
    <row r="1802" spans="2:5" x14ac:dyDescent="0.25">
      <c r="B1802" s="1382" t="s">
        <v>1840</v>
      </c>
      <c r="C1802" s="733" t="s">
        <v>1081</v>
      </c>
      <c r="D1802" s="733">
        <v>76.004348754882813</v>
      </c>
      <c r="E1802" s="733">
        <v>2</v>
      </c>
    </row>
    <row r="1803" spans="2:5" x14ac:dyDescent="0.25">
      <c r="B1803" s="1382" t="s">
        <v>1840</v>
      </c>
      <c r="C1803" s="733" t="s">
        <v>1081</v>
      </c>
      <c r="D1803" s="733">
        <v>48.002891540527344</v>
      </c>
      <c r="E1803" s="733">
        <v>2</v>
      </c>
    </row>
    <row r="1804" spans="2:5" x14ac:dyDescent="0.25">
      <c r="B1804" s="1382" t="s">
        <v>1840</v>
      </c>
      <c r="C1804" s="733" t="s">
        <v>1080</v>
      </c>
      <c r="D1804" s="733">
        <v>62.006183624267578</v>
      </c>
      <c r="E1804" s="733">
        <v>2</v>
      </c>
    </row>
    <row r="1805" spans="2:5" x14ac:dyDescent="0.25">
      <c r="B1805" s="1382" t="s">
        <v>1840</v>
      </c>
      <c r="C1805" s="733" t="s">
        <v>1080</v>
      </c>
      <c r="D1805" s="733">
        <v>66.005393981933594</v>
      </c>
      <c r="E1805" s="733">
        <v>2</v>
      </c>
    </row>
    <row r="1806" spans="2:5" x14ac:dyDescent="0.25">
      <c r="B1806" s="1382" t="s">
        <v>1840</v>
      </c>
      <c r="C1806" s="733" t="s">
        <v>1081</v>
      </c>
      <c r="D1806" s="733">
        <v>70.005653381347656</v>
      </c>
      <c r="E1806" s="733">
        <v>2</v>
      </c>
    </row>
    <row r="1807" spans="2:5" x14ac:dyDescent="0.25">
      <c r="B1807" s="1382" t="s">
        <v>1840</v>
      </c>
      <c r="C1807" s="733" t="s">
        <v>1081</v>
      </c>
      <c r="D1807" s="733">
        <v>61.002017974853516</v>
      </c>
      <c r="E1807" s="733">
        <v>2</v>
      </c>
    </row>
    <row r="1808" spans="2:5" x14ac:dyDescent="0.25">
      <c r="B1808" s="1382" t="s">
        <v>1840</v>
      </c>
      <c r="C1808" s="733" t="s">
        <v>1080</v>
      </c>
      <c r="D1808" s="733">
        <v>65.00433349609375</v>
      </c>
      <c r="E1808" s="733">
        <v>2</v>
      </c>
    </row>
    <row r="1809" spans="2:5" x14ac:dyDescent="0.25">
      <c r="B1809" s="1382" t="s">
        <v>1840</v>
      </c>
      <c r="C1809" s="733" t="s">
        <v>1080</v>
      </c>
      <c r="D1809" s="733">
        <v>46.00433349609375</v>
      </c>
      <c r="E1809" s="733">
        <v>2</v>
      </c>
    </row>
    <row r="1810" spans="2:5" x14ac:dyDescent="0.25">
      <c r="B1810" s="1382" t="s">
        <v>1840</v>
      </c>
      <c r="C1810" s="733" t="s">
        <v>1080</v>
      </c>
      <c r="D1810" s="733">
        <v>65.003639221191406</v>
      </c>
      <c r="E1810" s="733">
        <v>2</v>
      </c>
    </row>
    <row r="1811" spans="2:5" x14ac:dyDescent="0.25">
      <c r="B1811" s="1382" t="s">
        <v>1840</v>
      </c>
      <c r="C1811" s="733" t="s">
        <v>1080</v>
      </c>
      <c r="D1811" s="733">
        <v>60.002952575683594</v>
      </c>
      <c r="E1811" s="733">
        <v>2</v>
      </c>
    </row>
    <row r="1812" spans="2:5" x14ac:dyDescent="0.25">
      <c r="B1812" s="1382" t="s">
        <v>1840</v>
      </c>
      <c r="C1812" s="733" t="s">
        <v>1080</v>
      </c>
      <c r="D1812" s="733">
        <v>74.000892639160156</v>
      </c>
      <c r="E1812" s="733">
        <v>2</v>
      </c>
    </row>
    <row r="1813" spans="2:5" x14ac:dyDescent="0.25">
      <c r="B1813" s="1382" t="s">
        <v>1840</v>
      </c>
      <c r="C1813" s="733" t="s">
        <v>1080</v>
      </c>
      <c r="D1813" s="733">
        <v>39.003719329833984</v>
      </c>
      <c r="E1813" s="733">
        <v>2</v>
      </c>
    </row>
    <row r="1814" spans="2:5" x14ac:dyDescent="0.25">
      <c r="B1814" s="1382" t="s">
        <v>1840</v>
      </c>
      <c r="C1814" s="733" t="s">
        <v>1080</v>
      </c>
      <c r="D1814" s="733">
        <v>45.000907897949219</v>
      </c>
      <c r="E1814" s="733">
        <v>2</v>
      </c>
    </row>
    <row r="1815" spans="2:5" x14ac:dyDescent="0.25">
      <c r="B1815" s="1382" t="s">
        <v>1840</v>
      </c>
      <c r="C1815" s="733" t="s">
        <v>1080</v>
      </c>
      <c r="D1815" s="733">
        <v>41.002727508544922</v>
      </c>
      <c r="E1815" s="733">
        <v>2</v>
      </c>
    </row>
    <row r="1816" spans="2:5" x14ac:dyDescent="0.25">
      <c r="B1816" s="1382" t="s">
        <v>1840</v>
      </c>
      <c r="C1816" s="733" t="s">
        <v>1081</v>
      </c>
      <c r="D1816" s="733">
        <v>59.002277374267578</v>
      </c>
      <c r="E1816" s="733">
        <v>2</v>
      </c>
    </row>
    <row r="1817" spans="2:5" x14ac:dyDescent="0.25">
      <c r="B1817" s="1382" t="s">
        <v>1840</v>
      </c>
      <c r="C1817" s="733" t="s">
        <v>1081</v>
      </c>
      <c r="D1817" s="733">
        <v>71.004219055175781</v>
      </c>
      <c r="E1817" s="733">
        <v>2</v>
      </c>
    </row>
    <row r="1818" spans="2:5" x14ac:dyDescent="0.25">
      <c r="B1818" s="1382" t="s">
        <v>1840</v>
      </c>
      <c r="C1818" s="733" t="s">
        <v>1080</v>
      </c>
      <c r="D1818" s="733">
        <v>71.001701354980469</v>
      </c>
      <c r="E1818" s="733">
        <v>2</v>
      </c>
    </row>
    <row r="1819" spans="2:5" x14ac:dyDescent="0.25">
      <c r="B1819" s="1382" t="s">
        <v>1840</v>
      </c>
      <c r="C1819" s="733" t="s">
        <v>1080</v>
      </c>
      <c r="D1819" s="733">
        <v>59.001949310302734</v>
      </c>
      <c r="E1819" s="733">
        <v>2</v>
      </c>
    </row>
    <row r="1820" spans="2:5" x14ac:dyDescent="0.25">
      <c r="B1820" s="1382" t="s">
        <v>1840</v>
      </c>
      <c r="C1820" s="733" t="s">
        <v>1080</v>
      </c>
      <c r="D1820" s="733">
        <v>54.001438140869141</v>
      </c>
      <c r="E1820" s="733">
        <v>2</v>
      </c>
    </row>
    <row r="1821" spans="2:5" x14ac:dyDescent="0.25">
      <c r="B1821" s="1382" t="s">
        <v>1840</v>
      </c>
      <c r="C1821" s="733" t="s">
        <v>1080</v>
      </c>
      <c r="D1821" s="733">
        <v>71.003456115722656</v>
      </c>
      <c r="E1821" s="733">
        <v>2</v>
      </c>
    </row>
    <row r="1822" spans="2:5" x14ac:dyDescent="0.25">
      <c r="B1822" s="1382" t="s">
        <v>1840</v>
      </c>
      <c r="C1822" s="733" t="s">
        <v>1080</v>
      </c>
      <c r="D1822" s="733">
        <v>76.010154724121094</v>
      </c>
      <c r="E1822" s="733">
        <v>2</v>
      </c>
    </row>
    <row r="1823" spans="2:5" x14ac:dyDescent="0.25">
      <c r="B1823" s="1382" t="s">
        <v>1840</v>
      </c>
      <c r="C1823" s="733" t="s">
        <v>1081</v>
      </c>
      <c r="D1823" s="733">
        <v>58.002189636230469</v>
      </c>
      <c r="E1823" s="733">
        <v>2</v>
      </c>
    </row>
    <row r="1824" spans="2:5" x14ac:dyDescent="0.25">
      <c r="B1824" s="1382" t="s">
        <v>1840</v>
      </c>
      <c r="C1824" s="733" t="s">
        <v>1080</v>
      </c>
      <c r="D1824" s="733">
        <v>76.001068115234375</v>
      </c>
      <c r="E1824" s="733">
        <v>2</v>
      </c>
    </row>
    <row r="1825" spans="2:5" x14ac:dyDescent="0.25">
      <c r="B1825" s="1382" t="s">
        <v>1840</v>
      </c>
      <c r="C1825" s="733" t="s">
        <v>1081</v>
      </c>
      <c r="D1825" s="733">
        <v>60.018844604492188</v>
      </c>
      <c r="E1825" s="733">
        <v>2</v>
      </c>
    </row>
    <row r="1826" spans="2:5" x14ac:dyDescent="0.25">
      <c r="B1826" s="1382" t="s">
        <v>1840</v>
      </c>
      <c r="C1826" s="733" t="s">
        <v>1080</v>
      </c>
      <c r="D1826" s="733">
        <v>42.006431579589844</v>
      </c>
      <c r="E1826" s="733">
        <v>2</v>
      </c>
    </row>
    <row r="1827" spans="2:5" x14ac:dyDescent="0.25">
      <c r="B1827" s="1382" t="s">
        <v>1840</v>
      </c>
      <c r="C1827" s="733" t="s">
        <v>1080</v>
      </c>
      <c r="D1827" s="733">
        <v>44.002151489257813</v>
      </c>
      <c r="E1827" s="733">
        <v>2</v>
      </c>
    </row>
    <row r="1828" spans="2:5" x14ac:dyDescent="0.25">
      <c r="B1828" s="1382" t="s">
        <v>1840</v>
      </c>
      <c r="C1828" s="733" t="s">
        <v>1081</v>
      </c>
      <c r="D1828" s="733">
        <v>60.001941680908203</v>
      </c>
      <c r="E1828" s="733">
        <v>2</v>
      </c>
    </row>
    <row r="1829" spans="2:5" x14ac:dyDescent="0.25">
      <c r="B1829" s="1382" t="s">
        <v>1840</v>
      </c>
      <c r="C1829" s="733" t="s">
        <v>1080</v>
      </c>
      <c r="D1829" s="733">
        <v>67.004905700683594</v>
      </c>
      <c r="E1829" s="733">
        <v>2</v>
      </c>
    </row>
    <row r="1830" spans="2:5" x14ac:dyDescent="0.25">
      <c r="B1830" s="1382" t="s">
        <v>1840</v>
      </c>
      <c r="C1830" s="733" t="s">
        <v>1081</v>
      </c>
      <c r="D1830" s="733">
        <v>68.001487731933594</v>
      </c>
      <c r="E1830" s="733">
        <v>2</v>
      </c>
    </row>
    <row r="1831" spans="2:5" x14ac:dyDescent="0.25">
      <c r="B1831" s="1382" t="s">
        <v>1840</v>
      </c>
      <c r="C1831" s="733" t="s">
        <v>1080</v>
      </c>
      <c r="D1831" s="733">
        <v>65.000999450683594</v>
      </c>
      <c r="E1831" s="733">
        <v>2</v>
      </c>
    </row>
    <row r="1832" spans="2:5" x14ac:dyDescent="0.25">
      <c r="B1832" s="1382" t="s">
        <v>1840</v>
      </c>
      <c r="C1832" s="733" t="s">
        <v>1080</v>
      </c>
      <c r="D1832" s="733">
        <v>62.001873016357422</v>
      </c>
      <c r="E1832" s="733">
        <v>2</v>
      </c>
    </row>
    <row r="1833" spans="2:5" x14ac:dyDescent="0.25">
      <c r="B1833" s="1382" t="s">
        <v>1840</v>
      </c>
      <c r="C1833" s="733" t="s">
        <v>1080</v>
      </c>
      <c r="D1833" s="733">
        <v>61.002277374267578</v>
      </c>
      <c r="E1833" s="733">
        <v>2</v>
      </c>
    </row>
    <row r="1834" spans="2:5" x14ac:dyDescent="0.25">
      <c r="B1834" s="1382" t="s">
        <v>1840</v>
      </c>
      <c r="C1834" s="733" t="s">
        <v>1080</v>
      </c>
      <c r="D1834" s="733">
        <v>66.00262451171875</v>
      </c>
      <c r="E1834" s="733">
        <v>2</v>
      </c>
    </row>
    <row r="1835" spans="2:5" x14ac:dyDescent="0.25">
      <c r="B1835" s="1382" t="s">
        <v>1840</v>
      </c>
      <c r="C1835" s="733" t="s">
        <v>1080</v>
      </c>
      <c r="D1835" s="733">
        <v>76.002861022949219</v>
      </c>
      <c r="E1835" s="733">
        <v>2</v>
      </c>
    </row>
    <row r="1836" spans="2:5" x14ac:dyDescent="0.25">
      <c r="B1836" s="1382" t="s">
        <v>1840</v>
      </c>
      <c r="C1836" s="733" t="s">
        <v>1080</v>
      </c>
      <c r="D1836" s="733">
        <v>80.002311706542969</v>
      </c>
      <c r="E1836" s="733">
        <v>2</v>
      </c>
    </row>
    <row r="1837" spans="2:5" x14ac:dyDescent="0.25">
      <c r="B1837" s="1382" t="s">
        <v>1840</v>
      </c>
      <c r="C1837" s="733" t="s">
        <v>1080</v>
      </c>
      <c r="D1837" s="733">
        <v>68.003738403320313</v>
      </c>
      <c r="E1837" s="733">
        <v>2</v>
      </c>
    </row>
    <row r="1838" spans="2:5" x14ac:dyDescent="0.25">
      <c r="B1838" s="1382" t="s">
        <v>1840</v>
      </c>
      <c r="C1838" s="733" t="s">
        <v>1081</v>
      </c>
      <c r="D1838" s="733">
        <v>43.001190185546875</v>
      </c>
      <c r="E1838" s="733">
        <v>2</v>
      </c>
    </row>
    <row r="1839" spans="2:5" x14ac:dyDescent="0.25">
      <c r="B1839" s="1382" t="s">
        <v>1840</v>
      </c>
      <c r="C1839" s="733" t="s">
        <v>1080</v>
      </c>
      <c r="D1839" s="733">
        <v>64.000747680664063</v>
      </c>
      <c r="E1839" s="733">
        <v>2</v>
      </c>
    </row>
    <row r="1840" spans="2:5" x14ac:dyDescent="0.25">
      <c r="B1840" s="1382" t="s">
        <v>1840</v>
      </c>
      <c r="C1840" s="733" t="s">
        <v>1080</v>
      </c>
      <c r="D1840" s="733">
        <v>79.001930236816406</v>
      </c>
      <c r="E1840" s="733">
        <v>2</v>
      </c>
    </row>
    <row r="1841" spans="2:5" x14ac:dyDescent="0.25">
      <c r="B1841" s="1382" t="s">
        <v>1840</v>
      </c>
      <c r="C1841" s="733" t="s">
        <v>1081</v>
      </c>
      <c r="D1841" s="733">
        <v>63.001949310302734</v>
      </c>
      <c r="E1841" s="733">
        <v>2</v>
      </c>
    </row>
    <row r="1842" spans="2:5" x14ac:dyDescent="0.25">
      <c r="B1842" s="1382" t="s">
        <v>1840</v>
      </c>
      <c r="C1842" s="733" t="s">
        <v>1080</v>
      </c>
      <c r="D1842" s="733">
        <v>71.002204895019531</v>
      </c>
      <c r="E1842" s="733">
        <v>2</v>
      </c>
    </row>
    <row r="1843" spans="2:5" x14ac:dyDescent="0.25">
      <c r="B1843" s="1382" t="s">
        <v>1840</v>
      </c>
      <c r="C1843" s="733" t="s">
        <v>1080</v>
      </c>
      <c r="D1843" s="733">
        <v>68.00079345703125</v>
      </c>
      <c r="E1843" s="733">
        <v>2</v>
      </c>
    </row>
    <row r="1844" spans="2:5" x14ac:dyDescent="0.25">
      <c r="B1844" s="1382" t="s">
        <v>1840</v>
      </c>
      <c r="C1844" s="733" t="s">
        <v>1081</v>
      </c>
      <c r="D1844" s="733">
        <v>62.002872467041016</v>
      </c>
      <c r="E1844" s="733">
        <v>2</v>
      </c>
    </row>
    <row r="1845" spans="2:5" x14ac:dyDescent="0.25">
      <c r="B1845" s="1382" t="s">
        <v>1840</v>
      </c>
      <c r="C1845" s="733" t="s">
        <v>1081</v>
      </c>
      <c r="D1845" s="733">
        <v>75.003997802734375</v>
      </c>
      <c r="E1845" s="733">
        <v>2</v>
      </c>
    </row>
    <row r="1846" spans="2:5" x14ac:dyDescent="0.25">
      <c r="B1846" s="1382" t="s">
        <v>1840</v>
      </c>
      <c r="C1846" s="733" t="s">
        <v>1081</v>
      </c>
      <c r="D1846" s="733">
        <v>52.002143859863281</v>
      </c>
      <c r="E1846" s="733">
        <v>2</v>
      </c>
    </row>
    <row r="1847" spans="2:5" x14ac:dyDescent="0.25">
      <c r="B1847" s="1382" t="s">
        <v>1840</v>
      </c>
      <c r="C1847" s="733" t="s">
        <v>1081</v>
      </c>
      <c r="D1847" s="733">
        <v>73.001075744628906</v>
      </c>
      <c r="E1847" s="733">
        <v>2</v>
      </c>
    </row>
    <row r="1848" spans="2:5" x14ac:dyDescent="0.25">
      <c r="B1848" s="1382" t="s">
        <v>1840</v>
      </c>
      <c r="C1848" s="733" t="s">
        <v>1080</v>
      </c>
      <c r="D1848" s="733">
        <v>77.003227233886719</v>
      </c>
      <c r="E1848" s="733">
        <v>2</v>
      </c>
    </row>
    <row r="1849" spans="2:5" x14ac:dyDescent="0.25">
      <c r="B1849" s="1382" t="s">
        <v>1840</v>
      </c>
      <c r="C1849" s="733" t="s">
        <v>1081</v>
      </c>
      <c r="D1849" s="733">
        <v>66.002365112304688</v>
      </c>
      <c r="E1849" s="733">
        <v>2</v>
      </c>
    </row>
    <row r="1850" spans="2:5" x14ac:dyDescent="0.25">
      <c r="B1850" s="1382" t="s">
        <v>1840</v>
      </c>
      <c r="C1850" s="733" t="s">
        <v>1081</v>
      </c>
      <c r="D1850" s="733">
        <v>67.003952026367188</v>
      </c>
      <c r="E1850" s="733">
        <v>2</v>
      </c>
    </row>
    <row r="1851" spans="2:5" x14ac:dyDescent="0.25">
      <c r="B1851" s="1382" t="s">
        <v>1840</v>
      </c>
      <c r="C1851" s="733" t="s">
        <v>1081</v>
      </c>
      <c r="D1851" s="733">
        <v>70.014541625976563</v>
      </c>
      <c r="E1851" s="733">
        <v>2</v>
      </c>
    </row>
    <row r="1852" spans="2:5" x14ac:dyDescent="0.25">
      <c r="B1852" s="1382" t="s">
        <v>1840</v>
      </c>
      <c r="C1852" s="733" t="s">
        <v>1080</v>
      </c>
      <c r="D1852" s="733">
        <v>74.004096984863281</v>
      </c>
      <c r="E1852" s="733">
        <v>2</v>
      </c>
    </row>
    <row r="1853" spans="2:5" x14ac:dyDescent="0.25">
      <c r="B1853" s="1382" t="s">
        <v>1840</v>
      </c>
      <c r="C1853" s="733" t="s">
        <v>1080</v>
      </c>
      <c r="D1853" s="733">
        <v>49.004009246826172</v>
      </c>
      <c r="E1853" s="733">
        <v>2</v>
      </c>
    </row>
    <row r="1854" spans="2:5" x14ac:dyDescent="0.25">
      <c r="B1854" s="1382" t="s">
        <v>1840</v>
      </c>
      <c r="C1854" s="733" t="s">
        <v>1080</v>
      </c>
      <c r="D1854" s="733">
        <v>61.004512786865234</v>
      </c>
      <c r="E1854" s="733">
        <v>2</v>
      </c>
    </row>
    <row r="1855" spans="2:5" x14ac:dyDescent="0.25">
      <c r="B1855" s="1382" t="s">
        <v>1840</v>
      </c>
      <c r="C1855" s="733" t="s">
        <v>1080</v>
      </c>
      <c r="D1855" s="733">
        <v>73.002456665039063</v>
      </c>
      <c r="E1855" s="733">
        <v>2</v>
      </c>
    </row>
    <row r="1856" spans="2:5" x14ac:dyDescent="0.25">
      <c r="B1856" s="1382" t="s">
        <v>1840</v>
      </c>
      <c r="C1856" s="733" t="s">
        <v>1080</v>
      </c>
      <c r="D1856" s="733">
        <v>28.003358840942383</v>
      </c>
      <c r="E1856" s="733">
        <v>2</v>
      </c>
    </row>
    <row r="1857" spans="2:5" x14ac:dyDescent="0.25">
      <c r="B1857" s="1382" t="s">
        <v>1840</v>
      </c>
      <c r="C1857" s="733" t="s">
        <v>1080</v>
      </c>
      <c r="D1857" s="733">
        <v>64.010261535644531</v>
      </c>
      <c r="E1857" s="733">
        <v>2</v>
      </c>
    </row>
    <row r="1858" spans="2:5" x14ac:dyDescent="0.25">
      <c r="B1858" s="1382" t="s">
        <v>1840</v>
      </c>
      <c r="C1858" s="733" t="s">
        <v>1080</v>
      </c>
      <c r="D1858" s="733">
        <v>49.002826690673828</v>
      </c>
      <c r="E1858" s="733">
        <v>2</v>
      </c>
    </row>
    <row r="1859" spans="2:5" x14ac:dyDescent="0.25">
      <c r="B1859" s="1382" t="s">
        <v>1840</v>
      </c>
      <c r="C1859" s="733" t="s">
        <v>1081</v>
      </c>
      <c r="D1859" s="733">
        <v>68.020416259765625</v>
      </c>
      <c r="E1859" s="733">
        <v>2</v>
      </c>
    </row>
    <row r="1860" spans="2:5" x14ac:dyDescent="0.25">
      <c r="B1860" s="1382" t="s">
        <v>1840</v>
      </c>
      <c r="C1860" s="733" t="s">
        <v>1080</v>
      </c>
      <c r="D1860" s="733">
        <v>67.003677368164063</v>
      </c>
      <c r="E1860" s="733">
        <v>2</v>
      </c>
    </row>
    <row r="1861" spans="2:5" x14ac:dyDescent="0.25">
      <c r="B1861" s="1382" t="s">
        <v>1840</v>
      </c>
      <c r="C1861" s="733" t="s">
        <v>1081</v>
      </c>
      <c r="D1861" s="733">
        <v>60.002082824707031</v>
      </c>
      <c r="E1861" s="733">
        <v>2</v>
      </c>
    </row>
    <row r="1862" spans="2:5" x14ac:dyDescent="0.25">
      <c r="B1862" s="1382" t="s">
        <v>1840</v>
      </c>
      <c r="C1862" s="733" t="s">
        <v>1081</v>
      </c>
      <c r="D1862" s="733">
        <v>56.002338409423828</v>
      </c>
      <c r="E1862" s="733">
        <v>2</v>
      </c>
    </row>
    <row r="1863" spans="2:5" x14ac:dyDescent="0.25">
      <c r="B1863" s="1382" t="s">
        <v>1840</v>
      </c>
      <c r="C1863" s="733" t="s">
        <v>1080</v>
      </c>
      <c r="D1863" s="733">
        <v>65.002708435058594</v>
      </c>
      <c r="E1863" s="733">
        <v>2</v>
      </c>
    </row>
    <row r="1864" spans="2:5" x14ac:dyDescent="0.25">
      <c r="B1864" s="1382" t="s">
        <v>1840</v>
      </c>
      <c r="C1864" s="733" t="s">
        <v>1081</v>
      </c>
      <c r="D1864" s="733">
        <v>57.002067565917969</v>
      </c>
      <c r="E1864" s="733">
        <v>2</v>
      </c>
    </row>
    <row r="1865" spans="2:5" x14ac:dyDescent="0.25">
      <c r="B1865" s="1382" t="s">
        <v>1840</v>
      </c>
      <c r="C1865" s="733" t="s">
        <v>1080</v>
      </c>
      <c r="D1865" s="733">
        <v>62.001731872558594</v>
      </c>
      <c r="E1865" s="733">
        <v>2</v>
      </c>
    </row>
    <row r="1866" spans="2:5" x14ac:dyDescent="0.25">
      <c r="B1866" s="1382" t="s">
        <v>1840</v>
      </c>
      <c r="C1866" s="733" t="s">
        <v>1080</v>
      </c>
      <c r="D1866" s="733">
        <v>68.005325317382813</v>
      </c>
      <c r="E1866" s="733">
        <v>2</v>
      </c>
    </row>
    <row r="1867" spans="2:5" x14ac:dyDescent="0.25">
      <c r="B1867" s="1382" t="s">
        <v>1840</v>
      </c>
      <c r="C1867" s="733" t="s">
        <v>1080</v>
      </c>
      <c r="D1867" s="733">
        <v>53.001514434814453</v>
      </c>
      <c r="E1867" s="733">
        <v>2</v>
      </c>
    </row>
    <row r="1868" spans="2:5" x14ac:dyDescent="0.25">
      <c r="B1868" s="1382" t="s">
        <v>1840</v>
      </c>
      <c r="C1868" s="733" t="s">
        <v>1080</v>
      </c>
      <c r="D1868" s="733">
        <v>65.001060485839844</v>
      </c>
      <c r="E1868" s="733">
        <v>2</v>
      </c>
    </row>
    <row r="1869" spans="2:5" x14ac:dyDescent="0.25">
      <c r="B1869" s="1382" t="s">
        <v>1840</v>
      </c>
      <c r="C1869" s="733" t="s">
        <v>1080</v>
      </c>
      <c r="D1869" s="733">
        <v>58.001003265380859</v>
      </c>
      <c r="E1869" s="733">
        <v>2</v>
      </c>
    </row>
    <row r="1870" spans="2:5" x14ac:dyDescent="0.25">
      <c r="B1870" s="1382" t="s">
        <v>1840</v>
      </c>
      <c r="C1870" s="733" t="s">
        <v>1080</v>
      </c>
      <c r="D1870" s="733">
        <v>53.001701354980469</v>
      </c>
      <c r="E1870" s="733">
        <v>2</v>
      </c>
    </row>
    <row r="1871" spans="2:5" x14ac:dyDescent="0.25">
      <c r="B1871" s="1382" t="s">
        <v>1840</v>
      </c>
      <c r="C1871" s="733" t="s">
        <v>1080</v>
      </c>
      <c r="D1871" s="733">
        <v>73.002388000488281</v>
      </c>
      <c r="E1871" s="733">
        <v>2</v>
      </c>
    </row>
    <row r="1872" spans="2:5" x14ac:dyDescent="0.25">
      <c r="B1872" s="1382" t="s">
        <v>1840</v>
      </c>
      <c r="C1872" s="733" t="s">
        <v>1080</v>
      </c>
      <c r="D1872" s="733">
        <v>59.00177001953125</v>
      </c>
      <c r="E1872" s="733">
        <v>2</v>
      </c>
    </row>
    <row r="1873" spans="2:5" x14ac:dyDescent="0.25">
      <c r="B1873" s="1382" t="s">
        <v>1840</v>
      </c>
      <c r="C1873" s="733" t="s">
        <v>1080</v>
      </c>
      <c r="D1873" s="733">
        <v>76.001777648925781</v>
      </c>
      <c r="E1873" s="733">
        <v>2</v>
      </c>
    </row>
    <row r="1874" spans="2:5" x14ac:dyDescent="0.25">
      <c r="B1874" s="1382" t="s">
        <v>1840</v>
      </c>
      <c r="C1874" s="733" t="s">
        <v>1080</v>
      </c>
      <c r="D1874" s="733">
        <v>53.002151489257813</v>
      </c>
      <c r="E1874" s="733">
        <v>2</v>
      </c>
    </row>
    <row r="1875" spans="2:5" x14ac:dyDescent="0.25">
      <c r="B1875" s="1382" t="s">
        <v>1840</v>
      </c>
      <c r="C1875" s="733" t="s">
        <v>1080</v>
      </c>
      <c r="D1875" s="733">
        <v>61.003509521484375</v>
      </c>
      <c r="E1875" s="733">
        <v>2</v>
      </c>
    </row>
    <row r="1876" spans="2:5" x14ac:dyDescent="0.25">
      <c r="B1876" s="1382" t="s">
        <v>1840</v>
      </c>
      <c r="C1876" s="733" t="s">
        <v>1080</v>
      </c>
      <c r="D1876" s="733">
        <v>72.004638671875</v>
      </c>
      <c r="E1876" s="733">
        <v>2</v>
      </c>
    </row>
    <row r="1877" spans="2:5" x14ac:dyDescent="0.25">
      <c r="B1877" s="1382" t="s">
        <v>1840</v>
      </c>
      <c r="C1877" s="733" t="s">
        <v>1080</v>
      </c>
      <c r="D1877" s="733">
        <v>58.003124237060547</v>
      </c>
      <c r="E1877" s="733">
        <v>2</v>
      </c>
    </row>
    <row r="1878" spans="2:5" x14ac:dyDescent="0.25">
      <c r="B1878" s="1382" t="s">
        <v>1840</v>
      </c>
      <c r="C1878" s="733" t="s">
        <v>1080</v>
      </c>
      <c r="D1878" s="733">
        <v>51.001560211181641</v>
      </c>
      <c r="E1878" s="733">
        <v>2</v>
      </c>
    </row>
    <row r="1879" spans="2:5" x14ac:dyDescent="0.25">
      <c r="B1879" s="1382" t="s">
        <v>1840</v>
      </c>
      <c r="C1879" s="733" t="s">
        <v>1080</v>
      </c>
      <c r="D1879" s="733">
        <v>65.004020690917969</v>
      </c>
      <c r="E1879" s="733">
        <v>2</v>
      </c>
    </row>
    <row r="1880" spans="2:5" x14ac:dyDescent="0.25">
      <c r="B1880" s="1382" t="s">
        <v>1840</v>
      </c>
      <c r="C1880" s="733" t="s">
        <v>1080</v>
      </c>
      <c r="D1880" s="733">
        <v>57.001701354980469</v>
      </c>
      <c r="E1880" s="733">
        <v>2</v>
      </c>
    </row>
    <row r="1881" spans="2:5" x14ac:dyDescent="0.25">
      <c r="B1881" s="1382" t="s">
        <v>1840</v>
      </c>
      <c r="C1881" s="733" t="s">
        <v>1081</v>
      </c>
      <c r="D1881" s="733">
        <v>54.012104034423828</v>
      </c>
      <c r="E1881" s="733">
        <v>2</v>
      </c>
    </row>
    <row r="1882" spans="2:5" x14ac:dyDescent="0.25">
      <c r="B1882" s="1382" t="s">
        <v>1840</v>
      </c>
      <c r="C1882" s="733" t="s">
        <v>1080</v>
      </c>
      <c r="D1882" s="733">
        <v>71.002403259277344</v>
      </c>
      <c r="E1882" s="733">
        <v>2</v>
      </c>
    </row>
    <row r="1883" spans="2:5" x14ac:dyDescent="0.25">
      <c r="B1883" s="1382" t="s">
        <v>1840</v>
      </c>
      <c r="C1883" s="733" t="s">
        <v>1080</v>
      </c>
      <c r="D1883" s="733">
        <v>64.005035400390625</v>
      </c>
      <c r="E1883" s="733">
        <v>2</v>
      </c>
    </row>
    <row r="1884" spans="2:5" x14ac:dyDescent="0.25">
      <c r="B1884" s="1382" t="s">
        <v>1840</v>
      </c>
      <c r="C1884" s="733" t="s">
        <v>1081</v>
      </c>
      <c r="D1884" s="733">
        <v>65.002510070800781</v>
      </c>
      <c r="E1884" s="733">
        <v>2</v>
      </c>
    </row>
    <row r="1885" spans="2:5" x14ac:dyDescent="0.25">
      <c r="B1885" s="1382" t="s">
        <v>1840</v>
      </c>
      <c r="C1885" s="733" t="s">
        <v>1081</v>
      </c>
      <c r="D1885" s="733">
        <v>77.001899719238281</v>
      </c>
      <c r="E1885" s="733">
        <v>2</v>
      </c>
    </row>
    <row r="1886" spans="2:5" x14ac:dyDescent="0.25">
      <c r="B1886" s="1382" t="s">
        <v>1840</v>
      </c>
      <c r="C1886" s="733" t="s">
        <v>1080</v>
      </c>
      <c r="D1886" s="733">
        <v>64.001495361328125</v>
      </c>
      <c r="E1886" s="733">
        <v>2</v>
      </c>
    </row>
    <row r="1887" spans="2:5" x14ac:dyDescent="0.25">
      <c r="B1887" s="1382" t="s">
        <v>1840</v>
      </c>
      <c r="C1887" s="733" t="s">
        <v>1080</v>
      </c>
      <c r="D1887" s="733">
        <v>59.001995086669922</v>
      </c>
      <c r="E1887" s="733">
        <v>2</v>
      </c>
    </row>
    <row r="1888" spans="2:5" x14ac:dyDescent="0.25">
      <c r="B1888" s="1382" t="s">
        <v>1840</v>
      </c>
      <c r="C1888" s="733" t="s">
        <v>1081</v>
      </c>
      <c r="D1888" s="733">
        <v>59.001987457275391</v>
      </c>
      <c r="E1888" s="733">
        <v>2</v>
      </c>
    </row>
    <row r="1889" spans="2:5" x14ac:dyDescent="0.25">
      <c r="B1889" s="1382" t="s">
        <v>1840</v>
      </c>
      <c r="C1889" s="733" t="s">
        <v>1080</v>
      </c>
      <c r="D1889" s="733">
        <v>51.001125335693359</v>
      </c>
      <c r="E1889" s="733">
        <v>2</v>
      </c>
    </row>
    <row r="1890" spans="2:5" x14ac:dyDescent="0.25">
      <c r="B1890" s="1382" t="s">
        <v>1840</v>
      </c>
      <c r="C1890" s="733" t="s">
        <v>1080</v>
      </c>
      <c r="D1890" s="733">
        <v>67.001495361328125</v>
      </c>
      <c r="E1890" s="733">
        <v>2</v>
      </c>
    </row>
    <row r="1891" spans="2:5" x14ac:dyDescent="0.25">
      <c r="B1891" s="1382" t="s">
        <v>1840</v>
      </c>
      <c r="C1891" s="733" t="s">
        <v>1081</v>
      </c>
      <c r="D1891" s="733">
        <v>65.002311706542969</v>
      </c>
      <c r="E1891" s="733">
        <v>2</v>
      </c>
    </row>
    <row r="1892" spans="2:5" x14ac:dyDescent="0.25">
      <c r="B1892" s="1382" t="s">
        <v>1840</v>
      </c>
      <c r="C1892" s="733" t="s">
        <v>1080</v>
      </c>
      <c r="D1892" s="733">
        <v>68.002426147460938</v>
      </c>
      <c r="E1892" s="733">
        <v>2</v>
      </c>
    </row>
    <row r="1893" spans="2:5" x14ac:dyDescent="0.25">
      <c r="B1893" s="1382" t="s">
        <v>1840</v>
      </c>
      <c r="C1893" s="733" t="s">
        <v>1080</v>
      </c>
      <c r="D1893" s="733">
        <v>72.0032958984375</v>
      </c>
      <c r="E1893" s="733">
        <v>2</v>
      </c>
    </row>
    <row r="1894" spans="2:5" x14ac:dyDescent="0.25">
      <c r="B1894" s="1382" t="s">
        <v>1840</v>
      </c>
      <c r="C1894" s="733" t="s">
        <v>1081</v>
      </c>
      <c r="D1894" s="733">
        <v>66.003578186035156</v>
      </c>
      <c r="E1894" s="733">
        <v>2</v>
      </c>
    </row>
    <row r="1895" spans="2:5" x14ac:dyDescent="0.25">
      <c r="B1895" s="1382" t="s">
        <v>1840</v>
      </c>
      <c r="C1895" s="733" t="s">
        <v>1081</v>
      </c>
      <c r="D1895" s="733">
        <v>52.002292633056641</v>
      </c>
      <c r="E1895" s="733">
        <v>2</v>
      </c>
    </row>
    <row r="1896" spans="2:5" x14ac:dyDescent="0.25">
      <c r="B1896" s="1382" t="s">
        <v>1840</v>
      </c>
      <c r="C1896" s="733" t="s">
        <v>1080</v>
      </c>
      <c r="D1896" s="733">
        <v>45.000988006591797</v>
      </c>
      <c r="E1896" s="733">
        <v>2</v>
      </c>
    </row>
    <row r="1897" spans="2:5" x14ac:dyDescent="0.25">
      <c r="B1897" s="1382" t="s">
        <v>1840</v>
      </c>
      <c r="C1897" s="733" t="s">
        <v>1081</v>
      </c>
      <c r="D1897" s="733">
        <v>52.001560211181641</v>
      </c>
      <c r="E1897" s="733">
        <v>2</v>
      </c>
    </row>
    <row r="1898" spans="2:5" x14ac:dyDescent="0.25">
      <c r="B1898" s="1382" t="s">
        <v>1840</v>
      </c>
      <c r="C1898" s="733" t="s">
        <v>1080</v>
      </c>
      <c r="D1898" s="733">
        <v>54.001605987548828</v>
      </c>
      <c r="E1898" s="733">
        <v>2</v>
      </c>
    </row>
    <row r="1899" spans="2:5" x14ac:dyDescent="0.25">
      <c r="B1899" s="1382" t="s">
        <v>1840</v>
      </c>
      <c r="C1899" s="733" t="s">
        <v>1080</v>
      </c>
      <c r="D1899" s="733">
        <v>66.004150390625</v>
      </c>
      <c r="E1899" s="733">
        <v>2</v>
      </c>
    </row>
    <row r="1900" spans="2:5" x14ac:dyDescent="0.25">
      <c r="B1900" s="1382" t="s">
        <v>1840</v>
      </c>
      <c r="C1900" s="733" t="s">
        <v>1080</v>
      </c>
      <c r="D1900" s="733">
        <v>66.002540588378906</v>
      </c>
      <c r="E1900" s="733">
        <v>2</v>
      </c>
    </row>
    <row r="1901" spans="2:5" x14ac:dyDescent="0.25">
      <c r="B1901" s="1382" t="s">
        <v>1840</v>
      </c>
      <c r="C1901" s="733" t="s">
        <v>1080</v>
      </c>
      <c r="D1901" s="733">
        <v>67.001106262207031</v>
      </c>
      <c r="E1901" s="733">
        <v>2</v>
      </c>
    </row>
    <row r="1902" spans="2:5" x14ac:dyDescent="0.25">
      <c r="B1902" s="1382" t="s">
        <v>1840</v>
      </c>
      <c r="C1902" s="733" t="s">
        <v>1080</v>
      </c>
      <c r="D1902" s="733">
        <v>53.001575469970703</v>
      </c>
      <c r="E1902" s="733">
        <v>2</v>
      </c>
    </row>
    <row r="1903" spans="2:5" x14ac:dyDescent="0.25">
      <c r="B1903" s="1382" t="s">
        <v>1840</v>
      </c>
      <c r="C1903" s="733" t="s">
        <v>1081</v>
      </c>
      <c r="D1903" s="733">
        <v>80.001968383789063</v>
      </c>
      <c r="E1903" s="733">
        <v>2</v>
      </c>
    </row>
    <row r="1904" spans="2:5" x14ac:dyDescent="0.25">
      <c r="B1904" s="1382" t="s">
        <v>1840</v>
      </c>
      <c r="C1904" s="733" t="s">
        <v>1080</v>
      </c>
      <c r="D1904" s="733">
        <v>63.007015228271484</v>
      </c>
      <c r="E1904" s="733">
        <v>2</v>
      </c>
    </row>
    <row r="1905" spans="2:5" x14ac:dyDescent="0.25">
      <c r="B1905" s="1382" t="s">
        <v>1840</v>
      </c>
      <c r="C1905" s="733" t="s">
        <v>1080</v>
      </c>
      <c r="D1905" s="733">
        <v>71.002891540527344</v>
      </c>
      <c r="E1905" s="733">
        <v>2</v>
      </c>
    </row>
    <row r="1906" spans="2:5" x14ac:dyDescent="0.25">
      <c r="B1906" s="1382" t="s">
        <v>1840</v>
      </c>
      <c r="C1906" s="733" t="s">
        <v>1081</v>
      </c>
      <c r="D1906" s="733">
        <v>46.001987457275391</v>
      </c>
      <c r="E1906" s="733">
        <v>2</v>
      </c>
    </row>
    <row r="1907" spans="2:5" x14ac:dyDescent="0.25">
      <c r="B1907" s="1382" t="s">
        <v>1840</v>
      </c>
      <c r="C1907" s="733" t="s">
        <v>1080</v>
      </c>
      <c r="D1907" s="733">
        <v>71.004768371582031</v>
      </c>
      <c r="E1907" s="733">
        <v>2</v>
      </c>
    </row>
    <row r="1908" spans="2:5" x14ac:dyDescent="0.25">
      <c r="B1908" s="1382" t="s">
        <v>1840</v>
      </c>
      <c r="C1908" s="733" t="s">
        <v>1080</v>
      </c>
      <c r="D1908" s="733">
        <v>54.001560211181641</v>
      </c>
      <c r="E1908" s="733">
        <v>2</v>
      </c>
    </row>
    <row r="1909" spans="2:5" x14ac:dyDescent="0.25">
      <c r="B1909" s="1382" t="s">
        <v>1840</v>
      </c>
      <c r="C1909" s="733" t="s">
        <v>1080</v>
      </c>
      <c r="D1909" s="733">
        <v>60.002017974853516</v>
      </c>
      <c r="E1909" s="733">
        <v>2</v>
      </c>
    </row>
    <row r="1910" spans="2:5" x14ac:dyDescent="0.25">
      <c r="B1910" s="1382" t="s">
        <v>1840</v>
      </c>
      <c r="C1910" s="733" t="s">
        <v>1080</v>
      </c>
      <c r="D1910" s="733">
        <v>70.00311279296875</v>
      </c>
      <c r="E1910" s="733">
        <v>2</v>
      </c>
    </row>
    <row r="1911" spans="2:5" x14ac:dyDescent="0.25">
      <c r="B1911" s="1382" t="s">
        <v>1840</v>
      </c>
      <c r="C1911" s="733" t="s">
        <v>1080</v>
      </c>
      <c r="D1911" s="733">
        <v>81.002899169921875</v>
      </c>
      <c r="E1911" s="733">
        <v>2</v>
      </c>
    </row>
    <row r="1912" spans="2:5" x14ac:dyDescent="0.25">
      <c r="B1912" s="1382" t="s">
        <v>1840</v>
      </c>
      <c r="C1912" s="733" t="s">
        <v>1081</v>
      </c>
      <c r="D1912" s="733">
        <v>71.001960754394531</v>
      </c>
      <c r="E1912" s="733">
        <v>2</v>
      </c>
    </row>
    <row r="1913" spans="2:5" x14ac:dyDescent="0.25">
      <c r="B1913" s="1382" t="s">
        <v>1840</v>
      </c>
      <c r="C1913" s="733" t="s">
        <v>1080</v>
      </c>
      <c r="D1913" s="733">
        <v>72.00152587890625</v>
      </c>
      <c r="E1913" s="733">
        <v>2</v>
      </c>
    </row>
    <row r="1914" spans="2:5" x14ac:dyDescent="0.25">
      <c r="B1914" s="1382" t="s">
        <v>1840</v>
      </c>
      <c r="C1914" s="733" t="s">
        <v>1080</v>
      </c>
      <c r="D1914" s="733">
        <v>68.001937866210938</v>
      </c>
      <c r="E1914" s="733">
        <v>2</v>
      </c>
    </row>
    <row r="1915" spans="2:5" x14ac:dyDescent="0.25">
      <c r="B1915" s="1382" t="s">
        <v>1840</v>
      </c>
      <c r="C1915" s="733" t="s">
        <v>1081</v>
      </c>
      <c r="D1915" s="733">
        <v>78.00262451171875</v>
      </c>
      <c r="E1915" s="733">
        <v>2</v>
      </c>
    </row>
    <row r="1916" spans="2:5" x14ac:dyDescent="0.25">
      <c r="B1916" s="1382" t="s">
        <v>1840</v>
      </c>
      <c r="C1916" s="733" t="s">
        <v>1081</v>
      </c>
      <c r="D1916" s="733">
        <v>66.0050048828125</v>
      </c>
      <c r="E1916" s="733">
        <v>2</v>
      </c>
    </row>
    <row r="1917" spans="2:5" x14ac:dyDescent="0.25">
      <c r="B1917" s="1382" t="s">
        <v>1840</v>
      </c>
      <c r="C1917" s="733" t="s">
        <v>1080</v>
      </c>
      <c r="D1917" s="733">
        <v>70.002967834472656</v>
      </c>
      <c r="E1917" s="733">
        <v>2</v>
      </c>
    </row>
    <row r="1918" spans="2:5" x14ac:dyDescent="0.25">
      <c r="B1918" s="1382" t="s">
        <v>1840</v>
      </c>
      <c r="C1918" s="733" t="s">
        <v>1081</v>
      </c>
      <c r="D1918" s="733">
        <v>66.00115966796875</v>
      </c>
      <c r="E1918" s="733">
        <v>2</v>
      </c>
    </row>
    <row r="1919" spans="2:5" x14ac:dyDescent="0.25">
      <c r="B1919" s="1382" t="s">
        <v>1840</v>
      </c>
      <c r="C1919" s="733" t="s">
        <v>1080</v>
      </c>
      <c r="D1919" s="733">
        <v>74.007835388183594</v>
      </c>
      <c r="E1919" s="733">
        <v>2</v>
      </c>
    </row>
    <row r="1920" spans="2:5" x14ac:dyDescent="0.25">
      <c r="B1920" s="1382" t="s">
        <v>1840</v>
      </c>
      <c r="C1920" s="733" t="s">
        <v>1081</v>
      </c>
      <c r="D1920" s="733">
        <v>65.012748718261719</v>
      </c>
      <c r="E1920" s="733">
        <v>2</v>
      </c>
    </row>
    <row r="1921" spans="2:5" x14ac:dyDescent="0.25">
      <c r="B1921" s="1382" t="s">
        <v>1840</v>
      </c>
      <c r="C1921" s="733" t="s">
        <v>1081</v>
      </c>
      <c r="D1921" s="733">
        <v>59.002353668212891</v>
      </c>
      <c r="E1921" s="733">
        <v>2</v>
      </c>
    </row>
    <row r="1922" spans="2:5" x14ac:dyDescent="0.25">
      <c r="B1922" s="1382" t="s">
        <v>1840</v>
      </c>
      <c r="C1922" s="733" t="s">
        <v>1080</v>
      </c>
      <c r="D1922" s="733">
        <v>57.000923156738281</v>
      </c>
      <c r="E1922" s="733">
        <v>2</v>
      </c>
    </row>
    <row r="1923" spans="2:5" x14ac:dyDescent="0.25">
      <c r="B1923" s="1382" t="s">
        <v>1840</v>
      </c>
      <c r="C1923" s="733" t="s">
        <v>1080</v>
      </c>
      <c r="D1923" s="733">
        <v>75.004234313964844</v>
      </c>
      <c r="E1923" s="733">
        <v>2</v>
      </c>
    </row>
    <row r="1924" spans="2:5" x14ac:dyDescent="0.25">
      <c r="B1924" s="1382" t="s">
        <v>1840</v>
      </c>
      <c r="C1924" s="733" t="s">
        <v>1080</v>
      </c>
      <c r="D1924" s="733">
        <v>54.003162384033203</v>
      </c>
      <c r="E1924" s="733">
        <v>2</v>
      </c>
    </row>
    <row r="1925" spans="2:5" x14ac:dyDescent="0.25">
      <c r="B1925" s="1382" t="s">
        <v>1840</v>
      </c>
      <c r="C1925" s="733" t="s">
        <v>1080</v>
      </c>
      <c r="D1925" s="733">
        <v>58.004077911376953</v>
      </c>
      <c r="E1925" s="733">
        <v>2</v>
      </c>
    </row>
    <row r="1926" spans="2:5" x14ac:dyDescent="0.25">
      <c r="B1926" s="1382" t="s">
        <v>1840</v>
      </c>
      <c r="C1926" s="733" t="s">
        <v>1080</v>
      </c>
      <c r="D1926" s="733">
        <v>63.005245208740234</v>
      </c>
      <c r="E1926" s="733">
        <v>2</v>
      </c>
    </row>
    <row r="1927" spans="2:5" x14ac:dyDescent="0.25">
      <c r="B1927" s="1382" t="s">
        <v>1840</v>
      </c>
      <c r="C1927" s="733" t="s">
        <v>1080</v>
      </c>
      <c r="D1927" s="733">
        <v>66.002525329589844</v>
      </c>
      <c r="E1927" s="733">
        <v>2</v>
      </c>
    </row>
    <row r="1928" spans="2:5" x14ac:dyDescent="0.25">
      <c r="B1928" s="1382" t="s">
        <v>1840</v>
      </c>
      <c r="C1928" s="733" t="s">
        <v>1080</v>
      </c>
      <c r="D1928" s="733">
        <v>62.005081176757813</v>
      </c>
      <c r="E1928" s="733">
        <v>2</v>
      </c>
    </row>
    <row r="1929" spans="2:5" x14ac:dyDescent="0.25">
      <c r="B1929" s="1382" t="s">
        <v>1840</v>
      </c>
      <c r="C1929" s="733" t="s">
        <v>1080</v>
      </c>
      <c r="D1929" s="733">
        <v>58.000762939453125</v>
      </c>
      <c r="E1929" s="733">
        <v>2</v>
      </c>
    </row>
    <row r="1930" spans="2:5" x14ac:dyDescent="0.25">
      <c r="B1930" s="1382" t="s">
        <v>1840</v>
      </c>
      <c r="C1930" s="733" t="s">
        <v>1080</v>
      </c>
      <c r="D1930" s="733">
        <v>60.002037048339844</v>
      </c>
      <c r="E1930" s="733">
        <v>2</v>
      </c>
    </row>
    <row r="1931" spans="2:5" x14ac:dyDescent="0.25">
      <c r="B1931" s="1382" t="s">
        <v>1840</v>
      </c>
      <c r="C1931" s="733" t="s">
        <v>1080</v>
      </c>
      <c r="D1931" s="733">
        <v>47.003936767578125</v>
      </c>
      <c r="E1931" s="733">
        <v>2</v>
      </c>
    </row>
    <row r="1932" spans="2:5" x14ac:dyDescent="0.25">
      <c r="B1932" s="1382" t="s">
        <v>1840</v>
      </c>
      <c r="C1932" s="733" t="s">
        <v>1080</v>
      </c>
      <c r="D1932" s="733">
        <v>39.000606536865234</v>
      </c>
      <c r="E1932" s="733">
        <v>2</v>
      </c>
    </row>
    <row r="1933" spans="2:5" x14ac:dyDescent="0.25">
      <c r="B1933" s="1382" t="s">
        <v>1840</v>
      </c>
      <c r="C1933" s="733" t="s">
        <v>1080</v>
      </c>
      <c r="D1933" s="733">
        <v>46.002460479736328</v>
      </c>
      <c r="E1933" s="733">
        <v>3</v>
      </c>
    </row>
    <row r="1934" spans="2:5" x14ac:dyDescent="0.25">
      <c r="B1934" s="1382" t="s">
        <v>1840</v>
      </c>
      <c r="C1934" s="733" t="s">
        <v>1081</v>
      </c>
      <c r="D1934" s="733">
        <v>67.004684448242188</v>
      </c>
      <c r="E1934" s="733">
        <v>3</v>
      </c>
    </row>
    <row r="1935" spans="2:5" x14ac:dyDescent="0.25">
      <c r="B1935" s="1382" t="s">
        <v>1840</v>
      </c>
      <c r="C1935" s="733" t="s">
        <v>1080</v>
      </c>
      <c r="D1935" s="733">
        <v>85.005538940429688</v>
      </c>
      <c r="E1935" s="733">
        <v>3</v>
      </c>
    </row>
    <row r="1936" spans="2:5" x14ac:dyDescent="0.25">
      <c r="B1936" s="1382" t="s">
        <v>1840</v>
      </c>
      <c r="C1936" s="733" t="s">
        <v>1080</v>
      </c>
      <c r="D1936" s="733">
        <v>64.008308410644531</v>
      </c>
      <c r="E1936" s="733">
        <v>3</v>
      </c>
    </row>
    <row r="1937" spans="2:5" x14ac:dyDescent="0.25">
      <c r="B1937" s="1382" t="s">
        <v>1840</v>
      </c>
      <c r="C1937" s="733" t="s">
        <v>1080</v>
      </c>
      <c r="D1937" s="733">
        <v>60.004356384277344</v>
      </c>
      <c r="E1937" s="733">
        <v>3</v>
      </c>
    </row>
    <row r="1938" spans="2:5" x14ac:dyDescent="0.25">
      <c r="B1938" s="1382" t="s">
        <v>1840</v>
      </c>
      <c r="C1938" s="733" t="s">
        <v>1080</v>
      </c>
      <c r="D1938" s="733">
        <v>52.005943298339844</v>
      </c>
      <c r="E1938" s="733">
        <v>3</v>
      </c>
    </row>
    <row r="1939" spans="2:5" x14ac:dyDescent="0.25">
      <c r="B1939" s="1382" t="s">
        <v>1840</v>
      </c>
      <c r="C1939" s="733" t="s">
        <v>1080</v>
      </c>
      <c r="D1939" s="733">
        <v>79.006568908691406</v>
      </c>
      <c r="E1939" s="733">
        <v>3</v>
      </c>
    </row>
    <row r="1940" spans="2:5" x14ac:dyDescent="0.25">
      <c r="B1940" s="1382" t="s">
        <v>1840</v>
      </c>
      <c r="C1940" s="733" t="s">
        <v>1080</v>
      </c>
      <c r="D1940" s="733">
        <v>58.001895904541016</v>
      </c>
      <c r="E1940" s="733">
        <v>3</v>
      </c>
    </row>
    <row r="1941" spans="2:5" x14ac:dyDescent="0.25">
      <c r="B1941" s="1382" t="s">
        <v>1840</v>
      </c>
      <c r="C1941" s="733" t="s">
        <v>1080</v>
      </c>
      <c r="D1941" s="733">
        <v>59.004108428955078</v>
      </c>
      <c r="E1941" s="733">
        <v>3</v>
      </c>
    </row>
    <row r="1942" spans="2:5" x14ac:dyDescent="0.25">
      <c r="B1942" s="1382" t="s">
        <v>1840</v>
      </c>
      <c r="C1942" s="733" t="s">
        <v>1080</v>
      </c>
      <c r="D1942" s="733">
        <v>50.002300262451172</v>
      </c>
      <c r="E1942" s="733">
        <v>3</v>
      </c>
    </row>
    <row r="1943" spans="2:5" x14ac:dyDescent="0.25">
      <c r="B1943" s="1382" t="s">
        <v>1840</v>
      </c>
      <c r="C1943" s="733" t="s">
        <v>1080</v>
      </c>
      <c r="D1943" s="733">
        <v>63.008396148681641</v>
      </c>
      <c r="E1943" s="733">
        <v>3</v>
      </c>
    </row>
    <row r="1944" spans="2:5" x14ac:dyDescent="0.25">
      <c r="B1944" s="1382" t="s">
        <v>1840</v>
      </c>
      <c r="C1944" s="733" t="s">
        <v>1080</v>
      </c>
      <c r="D1944" s="733">
        <v>66.0089111328125</v>
      </c>
      <c r="E1944" s="733">
        <v>3</v>
      </c>
    </row>
    <row r="1945" spans="2:5" x14ac:dyDescent="0.25">
      <c r="B1945" s="1382" t="s">
        <v>1840</v>
      </c>
      <c r="C1945" s="733" t="s">
        <v>1081</v>
      </c>
      <c r="D1945" s="733">
        <v>59.004753112792969</v>
      </c>
      <c r="E1945" s="733">
        <v>3</v>
      </c>
    </row>
    <row r="1946" spans="2:5" x14ac:dyDescent="0.25">
      <c r="B1946" s="1382" t="s">
        <v>1840</v>
      </c>
      <c r="C1946" s="733" t="s">
        <v>1081</v>
      </c>
      <c r="D1946" s="733">
        <v>55.004085540771484</v>
      </c>
      <c r="E1946" s="733">
        <v>3</v>
      </c>
    </row>
    <row r="1947" spans="2:5" x14ac:dyDescent="0.25">
      <c r="B1947" s="1382" t="s">
        <v>1840</v>
      </c>
      <c r="C1947" s="733" t="s">
        <v>1080</v>
      </c>
      <c r="D1947" s="733">
        <v>59.01116943359375</v>
      </c>
      <c r="E1947" s="733">
        <v>3</v>
      </c>
    </row>
    <row r="1948" spans="2:5" x14ac:dyDescent="0.25">
      <c r="B1948" s="1382" t="s">
        <v>1840</v>
      </c>
      <c r="C1948" s="733" t="s">
        <v>1081</v>
      </c>
      <c r="D1948" s="733">
        <v>77.004280090332031</v>
      </c>
      <c r="E1948" s="733">
        <v>3</v>
      </c>
    </row>
    <row r="1949" spans="2:5" x14ac:dyDescent="0.25">
      <c r="B1949" s="1382" t="s">
        <v>1840</v>
      </c>
      <c r="C1949" s="733" t="s">
        <v>1080</v>
      </c>
      <c r="D1949" s="733">
        <v>53.004180908203125</v>
      </c>
      <c r="E1949" s="733">
        <v>3</v>
      </c>
    </row>
    <row r="1950" spans="2:5" x14ac:dyDescent="0.25">
      <c r="B1950" s="1382" t="s">
        <v>1840</v>
      </c>
      <c r="C1950" s="733" t="s">
        <v>1080</v>
      </c>
      <c r="D1950" s="733">
        <v>48.005298614501953</v>
      </c>
      <c r="E1950" s="733">
        <v>3</v>
      </c>
    </row>
    <row r="1951" spans="2:5" x14ac:dyDescent="0.25">
      <c r="B1951" s="1382" t="s">
        <v>1840</v>
      </c>
      <c r="C1951" s="733" t="s">
        <v>1081</v>
      </c>
      <c r="D1951" s="733">
        <v>76.004440307617188</v>
      </c>
      <c r="E1951" s="733">
        <v>3</v>
      </c>
    </row>
    <row r="1952" spans="2:5" x14ac:dyDescent="0.25">
      <c r="B1952" s="1382" t="s">
        <v>1840</v>
      </c>
      <c r="C1952" s="733" t="s">
        <v>1080</v>
      </c>
      <c r="D1952" s="733">
        <v>51.005832672119141</v>
      </c>
      <c r="E1952" s="733">
        <v>3</v>
      </c>
    </row>
    <row r="1953" spans="2:5" x14ac:dyDescent="0.25">
      <c r="B1953" s="1382" t="s">
        <v>1840</v>
      </c>
      <c r="C1953" s="733" t="s">
        <v>1081</v>
      </c>
      <c r="D1953" s="733">
        <v>78.004600524902344</v>
      </c>
      <c r="E1953" s="733">
        <v>3</v>
      </c>
    </row>
    <row r="1954" spans="2:5" x14ac:dyDescent="0.25">
      <c r="B1954" s="1382" t="s">
        <v>1840</v>
      </c>
      <c r="C1954" s="733" t="s">
        <v>1080</v>
      </c>
      <c r="D1954" s="733">
        <v>63.005661010742188</v>
      </c>
      <c r="E1954" s="733">
        <v>3</v>
      </c>
    </row>
    <row r="1955" spans="2:5" x14ac:dyDescent="0.25">
      <c r="B1955" s="1382" t="s">
        <v>1840</v>
      </c>
      <c r="C1955" s="733" t="s">
        <v>1080</v>
      </c>
      <c r="D1955" s="733">
        <v>79.006607055664063</v>
      </c>
      <c r="E1955" s="733">
        <v>3</v>
      </c>
    </row>
    <row r="1956" spans="2:5" x14ac:dyDescent="0.25">
      <c r="B1956" s="1382" t="s">
        <v>1840</v>
      </c>
      <c r="C1956" s="733" t="s">
        <v>1080</v>
      </c>
      <c r="D1956" s="733">
        <v>66.681449890136719</v>
      </c>
      <c r="E1956" s="733">
        <v>3</v>
      </c>
    </row>
    <row r="1957" spans="2:5" x14ac:dyDescent="0.25">
      <c r="B1957" s="1382" t="s">
        <v>1840</v>
      </c>
      <c r="C1957" s="733" t="s">
        <v>1080</v>
      </c>
      <c r="D1957" s="733">
        <v>66.254798889160156</v>
      </c>
      <c r="E1957" s="733">
        <v>3</v>
      </c>
    </row>
    <row r="1958" spans="2:5" x14ac:dyDescent="0.25">
      <c r="B1958" s="1382" t="s">
        <v>1840</v>
      </c>
      <c r="C1958" s="733" t="s">
        <v>1080</v>
      </c>
      <c r="D1958" s="733">
        <v>66.678108215332031</v>
      </c>
      <c r="E1958" s="733">
        <v>3</v>
      </c>
    </row>
    <row r="1959" spans="2:5" x14ac:dyDescent="0.25">
      <c r="B1959" s="1382" t="s">
        <v>1840</v>
      </c>
      <c r="C1959" s="733" t="s">
        <v>1080</v>
      </c>
      <c r="D1959" s="733">
        <v>55.697917938232422</v>
      </c>
      <c r="E1959" s="733">
        <v>3</v>
      </c>
    </row>
    <row r="1960" spans="2:5" x14ac:dyDescent="0.25">
      <c r="B1960" s="1382" t="s">
        <v>1840</v>
      </c>
      <c r="C1960" s="733" t="s">
        <v>1080</v>
      </c>
      <c r="D1960" s="733">
        <v>70.180168151855469</v>
      </c>
      <c r="E1960" s="733">
        <v>3</v>
      </c>
    </row>
    <row r="1961" spans="2:5" x14ac:dyDescent="0.25">
      <c r="B1961" s="1382" t="s">
        <v>1840</v>
      </c>
      <c r="C1961" s="733" t="s">
        <v>1080</v>
      </c>
      <c r="D1961" s="733">
        <v>65.417396545410156</v>
      </c>
      <c r="E1961" s="733">
        <v>3</v>
      </c>
    </row>
    <row r="1962" spans="2:5" x14ac:dyDescent="0.25">
      <c r="B1962" s="1382" t="s">
        <v>1840</v>
      </c>
      <c r="C1962" s="733" t="s">
        <v>1080</v>
      </c>
      <c r="D1962" s="733">
        <v>65.847923278808594</v>
      </c>
      <c r="E1962" s="733">
        <v>3</v>
      </c>
    </row>
    <row r="1963" spans="2:5" x14ac:dyDescent="0.25">
      <c r="B1963" s="1382" t="s">
        <v>1840</v>
      </c>
      <c r="C1963" s="733" t="s">
        <v>1080</v>
      </c>
      <c r="D1963" s="733">
        <v>34.702987670898438</v>
      </c>
      <c r="E1963" s="733">
        <v>3</v>
      </c>
    </row>
    <row r="1964" spans="2:5" x14ac:dyDescent="0.25">
      <c r="B1964" s="1382" t="s">
        <v>1840</v>
      </c>
      <c r="C1964" s="733" t="s">
        <v>1080</v>
      </c>
      <c r="D1964" s="733">
        <v>54.959995269775391</v>
      </c>
      <c r="E1964" s="733">
        <v>3</v>
      </c>
    </row>
    <row r="1965" spans="2:5" x14ac:dyDescent="0.25">
      <c r="B1965" s="1382" t="s">
        <v>1840</v>
      </c>
      <c r="C1965" s="733" t="s">
        <v>1080</v>
      </c>
      <c r="D1965" s="733">
        <v>57.404998779296875</v>
      </c>
      <c r="E1965" s="733">
        <v>3</v>
      </c>
    </row>
    <row r="1966" spans="2:5" x14ac:dyDescent="0.25">
      <c r="B1966" s="1382" t="s">
        <v>1840</v>
      </c>
      <c r="C1966" s="733" t="s">
        <v>1080</v>
      </c>
      <c r="D1966" s="733">
        <v>71.705596923828125</v>
      </c>
      <c r="E1966" s="733">
        <v>3</v>
      </c>
    </row>
    <row r="1967" spans="2:5" x14ac:dyDescent="0.25">
      <c r="B1967" s="1382" t="s">
        <v>1840</v>
      </c>
      <c r="C1967" s="733" t="s">
        <v>1081</v>
      </c>
      <c r="D1967" s="733">
        <v>74.586112976074219</v>
      </c>
      <c r="E1967" s="733">
        <v>3</v>
      </c>
    </row>
    <row r="1968" spans="2:5" x14ac:dyDescent="0.25">
      <c r="B1968" s="1382" t="s">
        <v>1840</v>
      </c>
      <c r="C1968" s="733" t="s">
        <v>1080</v>
      </c>
      <c r="D1968" s="733">
        <v>48.943393707275391</v>
      </c>
      <c r="E1968" s="733">
        <v>3</v>
      </c>
    </row>
    <row r="1969" spans="2:5" x14ac:dyDescent="0.25">
      <c r="B1969" s="1382" t="s">
        <v>1840</v>
      </c>
      <c r="C1969" s="733" t="s">
        <v>1080</v>
      </c>
      <c r="D1969" s="733">
        <v>52.114120483398438</v>
      </c>
      <c r="E1969" s="733">
        <v>3</v>
      </c>
    </row>
    <row r="1970" spans="2:5" x14ac:dyDescent="0.25">
      <c r="B1970" s="1382" t="s">
        <v>1840</v>
      </c>
      <c r="C1970" s="733" t="s">
        <v>1080</v>
      </c>
      <c r="D1970" s="733">
        <v>69.175003051757813</v>
      </c>
      <c r="E1970" s="733">
        <v>3</v>
      </c>
    </row>
    <row r="1971" spans="2:5" x14ac:dyDescent="0.25">
      <c r="B1971" s="1382" t="s">
        <v>1840</v>
      </c>
      <c r="C1971" s="733" t="s">
        <v>1080</v>
      </c>
      <c r="D1971" s="733">
        <v>62.739639282226563</v>
      </c>
      <c r="E1971" s="733">
        <v>3</v>
      </c>
    </row>
    <row r="1972" spans="2:5" x14ac:dyDescent="0.25">
      <c r="B1972" s="1382" t="s">
        <v>1840</v>
      </c>
      <c r="C1972" s="733" t="s">
        <v>1080</v>
      </c>
      <c r="D1972" s="733">
        <v>49.374786376953125</v>
      </c>
      <c r="E1972" s="733">
        <v>3</v>
      </c>
    </row>
    <row r="1973" spans="2:5" x14ac:dyDescent="0.25">
      <c r="B1973" s="1382" t="s">
        <v>1840</v>
      </c>
      <c r="C1973" s="733" t="s">
        <v>1080</v>
      </c>
      <c r="D1973" s="733">
        <v>50.231578826904297</v>
      </c>
      <c r="E1973" s="733">
        <v>3</v>
      </c>
    </row>
    <row r="1974" spans="2:5" x14ac:dyDescent="0.25">
      <c r="B1974" s="1382" t="s">
        <v>1840</v>
      </c>
      <c r="C1974" s="733" t="s">
        <v>1080</v>
      </c>
      <c r="D1974" s="733">
        <v>75.798126220703125</v>
      </c>
      <c r="E1974" s="733">
        <v>3</v>
      </c>
    </row>
    <row r="1975" spans="2:5" x14ac:dyDescent="0.25">
      <c r="B1975" s="1382" t="s">
        <v>1840</v>
      </c>
      <c r="C1975" s="733" t="s">
        <v>1080</v>
      </c>
      <c r="D1975" s="733">
        <v>62.71319580078125</v>
      </c>
      <c r="E1975" s="733">
        <v>3</v>
      </c>
    </row>
    <row r="1976" spans="2:5" x14ac:dyDescent="0.25">
      <c r="B1976" s="1382" t="s">
        <v>1840</v>
      </c>
      <c r="C1976" s="733" t="s">
        <v>1080</v>
      </c>
      <c r="D1976" s="733">
        <v>59.773769378662109</v>
      </c>
      <c r="E1976" s="733">
        <v>3</v>
      </c>
    </row>
    <row r="1977" spans="2:5" x14ac:dyDescent="0.25">
      <c r="B1977" s="1382" t="s">
        <v>1840</v>
      </c>
      <c r="C1977" s="733" t="s">
        <v>1081</v>
      </c>
      <c r="D1977" s="733">
        <v>39.718997955322266</v>
      </c>
      <c r="E1977" s="733">
        <v>3</v>
      </c>
    </row>
    <row r="1978" spans="2:5" x14ac:dyDescent="0.25">
      <c r="B1978" s="1382" t="s">
        <v>1840</v>
      </c>
      <c r="C1978" s="733" t="s">
        <v>1080</v>
      </c>
      <c r="D1978" s="733">
        <v>68.586868286132813</v>
      </c>
      <c r="E1978" s="733">
        <v>3</v>
      </c>
    </row>
    <row r="1979" spans="2:5" x14ac:dyDescent="0.25">
      <c r="B1979" s="1382" t="s">
        <v>1840</v>
      </c>
      <c r="C1979" s="733" t="s">
        <v>1080</v>
      </c>
      <c r="D1979" s="733">
        <v>50.416999816894531</v>
      </c>
      <c r="E1979" s="733">
        <v>3</v>
      </c>
    </row>
    <row r="1980" spans="2:5" x14ac:dyDescent="0.25">
      <c r="B1980" s="1382" t="s">
        <v>1840</v>
      </c>
      <c r="C1980" s="733" t="s">
        <v>1080</v>
      </c>
      <c r="D1980" s="733">
        <v>68.531013488769531</v>
      </c>
      <c r="E1980" s="733">
        <v>3</v>
      </c>
    </row>
    <row r="1981" spans="2:5" x14ac:dyDescent="0.25">
      <c r="B1981" s="1382" t="s">
        <v>1840</v>
      </c>
      <c r="C1981" s="733" t="s">
        <v>1081</v>
      </c>
      <c r="D1981" s="733">
        <v>50.931304931640625</v>
      </c>
      <c r="E1981" s="733">
        <v>3</v>
      </c>
    </row>
    <row r="1982" spans="2:5" x14ac:dyDescent="0.25">
      <c r="B1982" s="1382" t="s">
        <v>1840</v>
      </c>
      <c r="C1982" s="733" t="s">
        <v>1080</v>
      </c>
      <c r="D1982" s="733">
        <v>77.232307434082031</v>
      </c>
      <c r="E1982" s="733">
        <v>3</v>
      </c>
    </row>
    <row r="1983" spans="2:5" x14ac:dyDescent="0.25">
      <c r="B1983" s="1382" t="s">
        <v>1840</v>
      </c>
      <c r="C1983" s="733" t="s">
        <v>1081</v>
      </c>
      <c r="D1983" s="733">
        <v>65.400505065917969</v>
      </c>
      <c r="E1983" s="733">
        <v>3</v>
      </c>
    </row>
    <row r="1984" spans="2:5" x14ac:dyDescent="0.25">
      <c r="B1984" s="1382" t="s">
        <v>1840</v>
      </c>
      <c r="C1984" s="733" t="s">
        <v>1080</v>
      </c>
      <c r="D1984" s="733">
        <v>77.535026550292969</v>
      </c>
      <c r="E1984" s="733">
        <v>3</v>
      </c>
    </row>
    <row r="1985" spans="2:5" x14ac:dyDescent="0.25">
      <c r="B1985" s="1382" t="s">
        <v>1840</v>
      </c>
      <c r="C1985" s="733" t="s">
        <v>1081</v>
      </c>
      <c r="D1985" s="733">
        <v>73.005836486816406</v>
      </c>
      <c r="E1985" s="733">
        <v>3</v>
      </c>
    </row>
    <row r="1986" spans="2:5" x14ac:dyDescent="0.25">
      <c r="B1986" s="1382" t="s">
        <v>1840</v>
      </c>
      <c r="C1986" s="733" t="s">
        <v>1081</v>
      </c>
      <c r="D1986" s="733">
        <v>73.007591247558594</v>
      </c>
      <c r="E1986" s="733">
        <v>3</v>
      </c>
    </row>
    <row r="1987" spans="2:5" x14ac:dyDescent="0.25">
      <c r="B1987" s="1382" t="s">
        <v>1840</v>
      </c>
      <c r="C1987" s="733" t="s">
        <v>1080</v>
      </c>
      <c r="D1987" s="733">
        <v>68.002967834472656</v>
      </c>
      <c r="E1987" s="733">
        <v>3</v>
      </c>
    </row>
    <row r="1988" spans="2:5" x14ac:dyDescent="0.25">
      <c r="B1988" s="1382" t="s">
        <v>1840</v>
      </c>
      <c r="C1988" s="733" t="s">
        <v>1080</v>
      </c>
      <c r="D1988" s="733">
        <v>53.019977569580078</v>
      </c>
      <c r="E1988" s="733">
        <v>3</v>
      </c>
    </row>
    <row r="1989" spans="2:5" x14ac:dyDescent="0.25">
      <c r="B1989" s="1382" t="s">
        <v>1840</v>
      </c>
      <c r="C1989" s="733" t="s">
        <v>1080</v>
      </c>
      <c r="D1989" s="733">
        <v>52.005771636962891</v>
      </c>
      <c r="E1989" s="733">
        <v>3</v>
      </c>
    </row>
    <row r="1990" spans="2:5" x14ac:dyDescent="0.25">
      <c r="B1990" s="1382" t="s">
        <v>1840</v>
      </c>
      <c r="C1990" s="733" t="s">
        <v>1080</v>
      </c>
      <c r="D1990" s="733">
        <v>54.008266448974609</v>
      </c>
      <c r="E1990" s="733">
        <v>3</v>
      </c>
    </row>
    <row r="1991" spans="2:5" x14ac:dyDescent="0.25">
      <c r="B1991" s="1382" t="s">
        <v>1840</v>
      </c>
      <c r="C1991" s="733" t="s">
        <v>1080</v>
      </c>
      <c r="D1991" s="733">
        <v>71.006492614746094</v>
      </c>
      <c r="E1991" s="733">
        <v>3</v>
      </c>
    </row>
    <row r="1992" spans="2:5" x14ac:dyDescent="0.25">
      <c r="B1992" s="1382" t="s">
        <v>1840</v>
      </c>
      <c r="C1992" s="733" t="s">
        <v>1080</v>
      </c>
      <c r="D1992" s="733">
        <v>63.0081787109375</v>
      </c>
      <c r="E1992" s="733">
        <v>3</v>
      </c>
    </row>
    <row r="1993" spans="2:5" x14ac:dyDescent="0.25">
      <c r="B1993" s="1382" t="s">
        <v>1840</v>
      </c>
      <c r="C1993" s="733" t="s">
        <v>1081</v>
      </c>
      <c r="D1993" s="733">
        <v>56.002037048339844</v>
      </c>
      <c r="E1993" s="733">
        <v>3</v>
      </c>
    </row>
    <row r="1994" spans="2:5" x14ac:dyDescent="0.25">
      <c r="B1994" s="1382" t="s">
        <v>1840</v>
      </c>
      <c r="C1994" s="733" t="s">
        <v>1080</v>
      </c>
      <c r="D1994" s="733">
        <v>61.00555419921875</v>
      </c>
      <c r="E1994" s="733">
        <v>3</v>
      </c>
    </row>
    <row r="1995" spans="2:5" x14ac:dyDescent="0.25">
      <c r="B1995" s="1382" t="s">
        <v>1840</v>
      </c>
      <c r="C1995" s="733" t="s">
        <v>1081</v>
      </c>
      <c r="D1995" s="733">
        <v>21.003988265991211</v>
      </c>
      <c r="E1995" s="733">
        <v>3</v>
      </c>
    </row>
    <row r="1996" spans="2:5" x14ac:dyDescent="0.25">
      <c r="B1996" s="1382" t="s">
        <v>1840</v>
      </c>
      <c r="C1996" s="733" t="s">
        <v>1081</v>
      </c>
      <c r="D1996" s="733">
        <v>78.003974914550781</v>
      </c>
      <c r="E1996" s="733">
        <v>3</v>
      </c>
    </row>
    <row r="1997" spans="2:5" x14ac:dyDescent="0.25">
      <c r="B1997" s="1382" t="s">
        <v>1840</v>
      </c>
      <c r="C1997" s="733" t="s">
        <v>1080</v>
      </c>
      <c r="D1997" s="733">
        <v>57.002571105957031</v>
      </c>
      <c r="E1997" s="733">
        <v>3</v>
      </c>
    </row>
    <row r="1998" spans="2:5" x14ac:dyDescent="0.25">
      <c r="B1998" s="1382" t="s">
        <v>1840</v>
      </c>
      <c r="C1998" s="733" t="s">
        <v>1081</v>
      </c>
      <c r="D1998" s="733">
        <v>69.004768371582031</v>
      </c>
      <c r="E1998" s="733">
        <v>3</v>
      </c>
    </row>
    <row r="1999" spans="2:5" x14ac:dyDescent="0.25">
      <c r="B1999" s="1382" t="s">
        <v>1840</v>
      </c>
      <c r="C1999" s="733" t="s">
        <v>1081</v>
      </c>
      <c r="D1999" s="733">
        <v>67.003028869628906</v>
      </c>
      <c r="E1999" s="733">
        <v>3</v>
      </c>
    </row>
    <row r="2000" spans="2:5" x14ac:dyDescent="0.25">
      <c r="B2000" s="1382" t="s">
        <v>1840</v>
      </c>
      <c r="C2000" s="733" t="s">
        <v>1080</v>
      </c>
      <c r="D2000" s="733">
        <v>49.007167816162109</v>
      </c>
      <c r="E2000" s="733">
        <v>3</v>
      </c>
    </row>
    <row r="2001" spans="2:5" x14ac:dyDescent="0.25">
      <c r="B2001" s="1382" t="s">
        <v>1840</v>
      </c>
      <c r="C2001" s="733" t="s">
        <v>1080</v>
      </c>
      <c r="D2001" s="733">
        <v>53.002571105957031</v>
      </c>
      <c r="E2001" s="733">
        <v>3</v>
      </c>
    </row>
    <row r="2002" spans="2:5" x14ac:dyDescent="0.25">
      <c r="B2002" s="1382" t="s">
        <v>1840</v>
      </c>
      <c r="C2002" s="733" t="s">
        <v>1080</v>
      </c>
      <c r="D2002" s="733">
        <v>56.007534027099609</v>
      </c>
      <c r="E2002" s="733">
        <v>3</v>
      </c>
    </row>
    <row r="2003" spans="2:5" x14ac:dyDescent="0.25">
      <c r="B2003" s="1382" t="s">
        <v>1840</v>
      </c>
      <c r="C2003" s="733" t="s">
        <v>1080</v>
      </c>
      <c r="D2003" s="733">
        <v>72.002677917480469</v>
      </c>
      <c r="E2003" s="733">
        <v>3</v>
      </c>
    </row>
    <row r="2004" spans="2:5" x14ac:dyDescent="0.25">
      <c r="B2004" s="1382" t="s">
        <v>1840</v>
      </c>
      <c r="C2004" s="733" t="s">
        <v>1080</v>
      </c>
      <c r="D2004" s="733">
        <v>75.00299072265625</v>
      </c>
      <c r="E2004" s="733">
        <v>3</v>
      </c>
    </row>
    <row r="2005" spans="2:5" x14ac:dyDescent="0.25">
      <c r="B2005" s="1382" t="s">
        <v>1840</v>
      </c>
      <c r="C2005" s="733" t="s">
        <v>1081</v>
      </c>
      <c r="D2005" s="733">
        <v>58.002189636230469</v>
      </c>
      <c r="E2005" s="733">
        <v>3</v>
      </c>
    </row>
    <row r="2006" spans="2:5" x14ac:dyDescent="0.25">
      <c r="B2006" s="1382" t="s">
        <v>1840</v>
      </c>
      <c r="C2006" s="733" t="s">
        <v>1080</v>
      </c>
      <c r="D2006" s="733">
        <v>76.001754760742188</v>
      </c>
      <c r="E2006" s="733">
        <v>3</v>
      </c>
    </row>
    <row r="2007" spans="2:5" x14ac:dyDescent="0.25">
      <c r="B2007" s="1382" t="s">
        <v>1840</v>
      </c>
      <c r="C2007" s="733" t="s">
        <v>1080</v>
      </c>
      <c r="D2007" s="733">
        <v>58.007022857666016</v>
      </c>
      <c r="E2007" s="733">
        <v>3</v>
      </c>
    </row>
    <row r="2008" spans="2:5" x14ac:dyDescent="0.25">
      <c r="B2008" s="1382" t="s">
        <v>1840</v>
      </c>
      <c r="C2008" s="733" t="s">
        <v>1080</v>
      </c>
      <c r="D2008" s="733">
        <v>53.004467010498047</v>
      </c>
      <c r="E2008" s="733">
        <v>3</v>
      </c>
    </row>
    <row r="2009" spans="2:5" x14ac:dyDescent="0.25">
      <c r="B2009" s="1382" t="s">
        <v>1840</v>
      </c>
      <c r="C2009" s="733" t="s">
        <v>1080</v>
      </c>
      <c r="D2009" s="733">
        <v>69.002609252929688</v>
      </c>
      <c r="E2009" s="733">
        <v>3</v>
      </c>
    </row>
    <row r="2010" spans="2:5" x14ac:dyDescent="0.25">
      <c r="B2010" s="1382" t="s">
        <v>1840</v>
      </c>
      <c r="C2010" s="733" t="s">
        <v>1081</v>
      </c>
      <c r="D2010" s="733">
        <v>59.004489898681641</v>
      </c>
      <c r="E2010" s="733">
        <v>3</v>
      </c>
    </row>
    <row r="2011" spans="2:5" x14ac:dyDescent="0.25">
      <c r="B2011" s="1382" t="s">
        <v>1840</v>
      </c>
      <c r="C2011" s="733" t="s">
        <v>1080</v>
      </c>
      <c r="D2011" s="733">
        <v>73.005775451660156</v>
      </c>
      <c r="E2011" s="733">
        <v>3</v>
      </c>
    </row>
    <row r="2012" spans="2:5" x14ac:dyDescent="0.25">
      <c r="B2012" s="1382" t="s">
        <v>1840</v>
      </c>
      <c r="C2012" s="733" t="s">
        <v>1081</v>
      </c>
      <c r="D2012" s="733">
        <v>73.001876831054688</v>
      </c>
      <c r="E2012" s="733">
        <v>3</v>
      </c>
    </row>
    <row r="2013" spans="2:5" x14ac:dyDescent="0.25">
      <c r="B2013" s="1382" t="s">
        <v>1840</v>
      </c>
      <c r="C2013" s="733" t="s">
        <v>1080</v>
      </c>
      <c r="D2013" s="733">
        <v>82.003639221191406</v>
      </c>
      <c r="E2013" s="733">
        <v>3</v>
      </c>
    </row>
    <row r="2014" spans="2:5" x14ac:dyDescent="0.25">
      <c r="B2014" s="1382" t="s">
        <v>1840</v>
      </c>
      <c r="C2014" s="733" t="s">
        <v>1080</v>
      </c>
      <c r="D2014" s="733">
        <v>77.005050659179688</v>
      </c>
      <c r="E2014" s="733">
        <v>3</v>
      </c>
    </row>
    <row r="2015" spans="2:5" x14ac:dyDescent="0.25">
      <c r="B2015" s="1382" t="s">
        <v>1840</v>
      </c>
      <c r="C2015" s="733" t="s">
        <v>1080</v>
      </c>
      <c r="D2015" s="733">
        <v>71.004203796386719</v>
      </c>
      <c r="E2015" s="733">
        <v>3</v>
      </c>
    </row>
    <row r="2016" spans="2:5" x14ac:dyDescent="0.25">
      <c r="B2016" s="1382" t="s">
        <v>1840</v>
      </c>
      <c r="C2016" s="733" t="s">
        <v>1080</v>
      </c>
      <c r="D2016" s="733">
        <v>49.001857757568359</v>
      </c>
      <c r="E2016" s="733">
        <v>3</v>
      </c>
    </row>
    <row r="2017" spans="2:5" x14ac:dyDescent="0.25">
      <c r="B2017" s="1382" t="s">
        <v>1840</v>
      </c>
      <c r="C2017" s="733" t="s">
        <v>1080</v>
      </c>
      <c r="D2017" s="733">
        <v>65.003662109375</v>
      </c>
      <c r="E2017" s="733">
        <v>3</v>
      </c>
    </row>
    <row r="2018" spans="2:5" x14ac:dyDescent="0.25">
      <c r="B2018" s="1382" t="s">
        <v>1840</v>
      </c>
      <c r="C2018" s="733" t="s">
        <v>1080</v>
      </c>
      <c r="D2018" s="733">
        <v>65.006866455078125</v>
      </c>
      <c r="E2018" s="733">
        <v>3</v>
      </c>
    </row>
    <row r="2019" spans="2:5" x14ac:dyDescent="0.25">
      <c r="B2019" s="1382" t="s">
        <v>1840</v>
      </c>
      <c r="C2019" s="733" t="s">
        <v>1080</v>
      </c>
      <c r="D2019" s="733">
        <v>76.003364562988281</v>
      </c>
      <c r="E2019" s="733">
        <v>3</v>
      </c>
    </row>
    <row r="2020" spans="2:5" x14ac:dyDescent="0.25">
      <c r="B2020" s="1382" t="s">
        <v>1840</v>
      </c>
      <c r="C2020" s="733" t="s">
        <v>1081</v>
      </c>
      <c r="D2020" s="733">
        <v>62.005661010742188</v>
      </c>
      <c r="E2020" s="733">
        <v>3</v>
      </c>
    </row>
    <row r="2021" spans="2:5" x14ac:dyDescent="0.25">
      <c r="B2021" s="1382" t="s">
        <v>1840</v>
      </c>
      <c r="C2021" s="733" t="s">
        <v>1080</v>
      </c>
      <c r="D2021" s="733">
        <v>57.004932403564453</v>
      </c>
      <c r="E2021" s="733">
        <v>3</v>
      </c>
    </row>
    <row r="2022" spans="2:5" x14ac:dyDescent="0.25">
      <c r="B2022" s="1382" t="s">
        <v>1840</v>
      </c>
      <c r="C2022" s="733" t="s">
        <v>1080</v>
      </c>
      <c r="D2022" s="733">
        <v>77.003089904785156</v>
      </c>
      <c r="E2022" s="733">
        <v>3</v>
      </c>
    </row>
    <row r="2023" spans="2:5" x14ac:dyDescent="0.25">
      <c r="B2023" s="1382" t="s">
        <v>1840</v>
      </c>
      <c r="C2023" s="733" t="s">
        <v>1080</v>
      </c>
      <c r="D2023" s="733">
        <v>64.005088806152344</v>
      </c>
      <c r="E2023" s="733">
        <v>3</v>
      </c>
    </row>
    <row r="2024" spans="2:5" x14ac:dyDescent="0.25">
      <c r="B2024" s="1382" t="s">
        <v>1840</v>
      </c>
      <c r="C2024" s="733" t="s">
        <v>1080</v>
      </c>
      <c r="D2024" s="733">
        <v>65.001678466796875</v>
      </c>
      <c r="E2024" s="733">
        <v>3</v>
      </c>
    </row>
    <row r="2025" spans="2:5" x14ac:dyDescent="0.25">
      <c r="B2025" s="1382" t="s">
        <v>1840</v>
      </c>
      <c r="C2025" s="733" t="s">
        <v>1081</v>
      </c>
      <c r="D2025" s="733">
        <v>73.000762939453125</v>
      </c>
      <c r="E2025" s="733">
        <v>3</v>
      </c>
    </row>
    <row r="2026" spans="2:5" x14ac:dyDescent="0.25">
      <c r="B2026" s="1382" t="s">
        <v>1840</v>
      </c>
      <c r="C2026" s="733" t="s">
        <v>1081</v>
      </c>
      <c r="D2026" s="733">
        <v>69.004295349121094</v>
      </c>
      <c r="E2026" s="733">
        <v>3</v>
      </c>
    </row>
    <row r="2027" spans="2:5" x14ac:dyDescent="0.25">
      <c r="B2027" s="1382" t="s">
        <v>1840</v>
      </c>
      <c r="C2027" s="733" t="s">
        <v>1080</v>
      </c>
      <c r="D2027" s="733">
        <v>54.004085540771484</v>
      </c>
      <c r="E2027" s="733">
        <v>3</v>
      </c>
    </row>
    <row r="2028" spans="2:5" x14ac:dyDescent="0.25">
      <c r="B2028" s="1382" t="s">
        <v>1840</v>
      </c>
      <c r="C2028" s="733" t="s">
        <v>1081</v>
      </c>
      <c r="D2028" s="733">
        <v>70.003768920898438</v>
      </c>
      <c r="E2028" s="733">
        <v>3</v>
      </c>
    </row>
    <row r="2029" spans="2:5" x14ac:dyDescent="0.25">
      <c r="B2029" s="1382" t="s">
        <v>1840</v>
      </c>
      <c r="C2029" s="733" t="s">
        <v>1081</v>
      </c>
      <c r="D2029" s="733">
        <v>63.002517700195313</v>
      </c>
      <c r="E2029" s="733">
        <v>3</v>
      </c>
    </row>
    <row r="2030" spans="2:5" x14ac:dyDescent="0.25">
      <c r="B2030" s="1382" t="s">
        <v>1840</v>
      </c>
      <c r="C2030" s="733" t="s">
        <v>1080</v>
      </c>
      <c r="D2030" s="733">
        <v>53.004280090332031</v>
      </c>
      <c r="E2030" s="733">
        <v>3</v>
      </c>
    </row>
    <row r="2031" spans="2:5" x14ac:dyDescent="0.25">
      <c r="B2031" s="1382" t="s">
        <v>1840</v>
      </c>
      <c r="C2031" s="733" t="s">
        <v>1080</v>
      </c>
      <c r="D2031" s="733">
        <v>59.003486633300781</v>
      </c>
      <c r="E2031" s="733">
        <v>3</v>
      </c>
    </row>
    <row r="2032" spans="2:5" x14ac:dyDescent="0.25">
      <c r="B2032" s="1382" t="s">
        <v>1840</v>
      </c>
      <c r="C2032" s="733" t="s">
        <v>1080</v>
      </c>
      <c r="D2032" s="733">
        <v>45.002414703369141</v>
      </c>
      <c r="E2032" s="733">
        <v>3</v>
      </c>
    </row>
    <row r="2033" spans="2:5" x14ac:dyDescent="0.25">
      <c r="B2033" s="1382" t="s">
        <v>1840</v>
      </c>
      <c r="C2033" s="733" t="s">
        <v>1081</v>
      </c>
      <c r="D2033" s="733">
        <v>67.006614685058594</v>
      </c>
      <c r="E2033" s="733">
        <v>3</v>
      </c>
    </row>
    <row r="2034" spans="2:5" x14ac:dyDescent="0.25">
      <c r="B2034" s="1382" t="s">
        <v>1840</v>
      </c>
      <c r="C2034" s="733" t="s">
        <v>1080</v>
      </c>
      <c r="D2034" s="733">
        <v>57.007419586181641</v>
      </c>
      <c r="E2034" s="733">
        <v>3</v>
      </c>
    </row>
    <row r="2035" spans="2:5" x14ac:dyDescent="0.25">
      <c r="B2035" s="1382" t="s">
        <v>1840</v>
      </c>
      <c r="C2035" s="733" t="s">
        <v>1080</v>
      </c>
      <c r="D2035" s="733">
        <v>75.006584167480469</v>
      </c>
      <c r="E2035" s="733">
        <v>3</v>
      </c>
    </row>
    <row r="2036" spans="2:5" x14ac:dyDescent="0.25">
      <c r="B2036" s="1382" t="s">
        <v>1840</v>
      </c>
      <c r="C2036" s="733" t="s">
        <v>1081</v>
      </c>
      <c r="D2036" s="733">
        <v>72.005119323730469</v>
      </c>
      <c r="E2036" s="733">
        <v>3</v>
      </c>
    </row>
    <row r="2037" spans="2:5" x14ac:dyDescent="0.25">
      <c r="B2037" s="1382" t="s">
        <v>1840</v>
      </c>
      <c r="C2037" s="733" t="s">
        <v>1080</v>
      </c>
      <c r="D2037" s="733">
        <v>65.025482177734375</v>
      </c>
      <c r="E2037" s="733">
        <v>3</v>
      </c>
    </row>
    <row r="2038" spans="2:5" x14ac:dyDescent="0.25">
      <c r="B2038" s="1382" t="s">
        <v>1840</v>
      </c>
      <c r="C2038" s="733" t="s">
        <v>1081</v>
      </c>
      <c r="D2038" s="733">
        <v>67.006721496582031</v>
      </c>
      <c r="E2038" s="733">
        <v>3</v>
      </c>
    </row>
    <row r="2039" spans="2:5" x14ac:dyDescent="0.25">
      <c r="B2039" s="1382" t="s">
        <v>1840</v>
      </c>
      <c r="C2039" s="733" t="s">
        <v>1080</v>
      </c>
      <c r="D2039" s="733">
        <v>69.005241394042969</v>
      </c>
      <c r="E2039" s="733">
        <v>3</v>
      </c>
    </row>
    <row r="2040" spans="2:5" x14ac:dyDescent="0.25">
      <c r="B2040" s="1382" t="s">
        <v>1840</v>
      </c>
      <c r="C2040" s="733" t="s">
        <v>1080</v>
      </c>
      <c r="D2040" s="733">
        <v>64.003890991210938</v>
      </c>
      <c r="E2040" s="733">
        <v>3</v>
      </c>
    </row>
    <row r="2041" spans="2:5" x14ac:dyDescent="0.25">
      <c r="B2041" s="1382" t="s">
        <v>1840</v>
      </c>
      <c r="C2041" s="733" t="s">
        <v>1081</v>
      </c>
      <c r="D2041" s="733">
        <v>55.006767272949219</v>
      </c>
      <c r="E2041" s="733">
        <v>3</v>
      </c>
    </row>
    <row r="2042" spans="2:5" x14ac:dyDescent="0.25">
      <c r="B2042" s="1382" t="s">
        <v>1840</v>
      </c>
      <c r="C2042" s="733" t="s">
        <v>1081</v>
      </c>
      <c r="D2042" s="733">
        <v>41.004608154296875</v>
      </c>
      <c r="E2042" s="733">
        <v>3</v>
      </c>
    </row>
    <row r="2043" spans="2:5" x14ac:dyDescent="0.25">
      <c r="B2043" s="1382" t="s">
        <v>1840</v>
      </c>
      <c r="C2043" s="733" t="s">
        <v>1080</v>
      </c>
      <c r="D2043" s="733">
        <v>43.012699127197266</v>
      </c>
      <c r="E2043" s="733">
        <v>3</v>
      </c>
    </row>
    <row r="2044" spans="2:5" x14ac:dyDescent="0.25">
      <c r="B2044" s="1382" t="s">
        <v>1840</v>
      </c>
      <c r="C2044" s="733" t="s">
        <v>1080</v>
      </c>
      <c r="D2044" s="733">
        <v>68.00347900390625</v>
      </c>
      <c r="E2044" s="733">
        <v>3</v>
      </c>
    </row>
    <row r="2045" spans="2:5" x14ac:dyDescent="0.25">
      <c r="B2045" s="1382" t="s">
        <v>1840</v>
      </c>
      <c r="C2045" s="733" t="s">
        <v>1081</v>
      </c>
      <c r="D2045" s="733">
        <v>70.006828308105469</v>
      </c>
      <c r="E2045" s="733">
        <v>3</v>
      </c>
    </row>
    <row r="2046" spans="2:5" x14ac:dyDescent="0.25">
      <c r="B2046" s="1382" t="s">
        <v>1840</v>
      </c>
      <c r="C2046" s="733" t="s">
        <v>1080</v>
      </c>
      <c r="D2046" s="733">
        <v>64.018455505371094</v>
      </c>
      <c r="E2046" s="733">
        <v>3</v>
      </c>
    </row>
    <row r="2047" spans="2:5" x14ac:dyDescent="0.25">
      <c r="B2047" s="1382" t="s">
        <v>1840</v>
      </c>
      <c r="C2047" s="733" t="s">
        <v>1080</v>
      </c>
      <c r="D2047" s="733">
        <v>71.011627197265625</v>
      </c>
      <c r="E2047" s="733">
        <v>3</v>
      </c>
    </row>
    <row r="2048" spans="2:5" x14ac:dyDescent="0.25">
      <c r="B2048" s="1382" t="s">
        <v>1840</v>
      </c>
      <c r="C2048" s="733" t="s">
        <v>1080</v>
      </c>
      <c r="D2048" s="733">
        <v>63.004653930664063</v>
      </c>
      <c r="E2048" s="733">
        <v>3</v>
      </c>
    </row>
    <row r="2049" spans="2:5" x14ac:dyDescent="0.25">
      <c r="B2049" s="1382" t="s">
        <v>1840</v>
      </c>
      <c r="C2049" s="733" t="s">
        <v>1081</v>
      </c>
      <c r="D2049" s="733">
        <v>68.007347106933594</v>
      </c>
      <c r="E2049" s="733">
        <v>3</v>
      </c>
    </row>
    <row r="2050" spans="2:5" x14ac:dyDescent="0.25">
      <c r="B2050" s="1382" t="s">
        <v>1840</v>
      </c>
      <c r="C2050" s="733" t="s">
        <v>1081</v>
      </c>
      <c r="D2050" s="733">
        <v>64.003303527832031</v>
      </c>
      <c r="E2050" s="733">
        <v>3</v>
      </c>
    </row>
    <row r="2051" spans="2:5" x14ac:dyDescent="0.25">
      <c r="B2051" s="1382" t="s">
        <v>1840</v>
      </c>
      <c r="C2051" s="733" t="s">
        <v>1080</v>
      </c>
      <c r="D2051" s="733">
        <v>65.004257202148438</v>
      </c>
      <c r="E2051" s="733">
        <v>3</v>
      </c>
    </row>
    <row r="2052" spans="2:5" x14ac:dyDescent="0.25">
      <c r="B2052" s="1382" t="s">
        <v>1840</v>
      </c>
      <c r="C2052" s="733" t="s">
        <v>1081</v>
      </c>
      <c r="D2052" s="733">
        <v>65.007278442382813</v>
      </c>
      <c r="E2052" s="733">
        <v>3</v>
      </c>
    </row>
    <row r="2053" spans="2:5" x14ac:dyDescent="0.25">
      <c r="B2053" s="1382" t="s">
        <v>1840</v>
      </c>
      <c r="C2053" s="733" t="s">
        <v>1080</v>
      </c>
      <c r="D2053" s="733">
        <v>71.008735656738281</v>
      </c>
      <c r="E2053" s="733">
        <v>3</v>
      </c>
    </row>
    <row r="2054" spans="2:5" x14ac:dyDescent="0.25">
      <c r="B2054" s="1382" t="s">
        <v>1840</v>
      </c>
      <c r="C2054" s="733" t="s">
        <v>1080</v>
      </c>
      <c r="D2054" s="733">
        <v>57.003791809082031</v>
      </c>
      <c r="E2054" s="733">
        <v>3</v>
      </c>
    </row>
    <row r="2055" spans="2:5" x14ac:dyDescent="0.25">
      <c r="B2055" s="1382" t="s">
        <v>1840</v>
      </c>
      <c r="C2055" s="733" t="s">
        <v>1080</v>
      </c>
      <c r="D2055" s="733">
        <v>55.00677490234375</v>
      </c>
      <c r="E2055" s="733">
        <v>3</v>
      </c>
    </row>
    <row r="2056" spans="2:5" x14ac:dyDescent="0.25">
      <c r="B2056" s="1382" t="s">
        <v>1840</v>
      </c>
      <c r="C2056" s="733" t="s">
        <v>1080</v>
      </c>
      <c r="D2056" s="733">
        <v>47.029075622558594</v>
      </c>
      <c r="E2056" s="733">
        <v>3</v>
      </c>
    </row>
    <row r="2057" spans="2:5" x14ac:dyDescent="0.25">
      <c r="B2057" s="1382" t="s">
        <v>1840</v>
      </c>
      <c r="C2057" s="733" t="s">
        <v>1080</v>
      </c>
      <c r="D2057" s="733">
        <v>55.008869171142578</v>
      </c>
      <c r="E2057" s="733">
        <v>3</v>
      </c>
    </row>
    <row r="2058" spans="2:5" x14ac:dyDescent="0.25">
      <c r="B2058" s="1382" t="s">
        <v>1840</v>
      </c>
      <c r="C2058" s="733" t="s">
        <v>1080</v>
      </c>
      <c r="D2058" s="733">
        <v>76.005287170410156</v>
      </c>
      <c r="E2058" s="733">
        <v>3</v>
      </c>
    </row>
    <row r="2059" spans="2:5" x14ac:dyDescent="0.25">
      <c r="B2059" s="1382" t="s">
        <v>1840</v>
      </c>
      <c r="C2059" s="733" t="s">
        <v>1080</v>
      </c>
      <c r="D2059" s="733">
        <v>54.007541656494141</v>
      </c>
      <c r="E2059" s="733">
        <v>3</v>
      </c>
    </row>
    <row r="2060" spans="2:5" x14ac:dyDescent="0.25">
      <c r="B2060" s="1382" t="s">
        <v>1840</v>
      </c>
      <c r="C2060" s="733" t="s">
        <v>1080</v>
      </c>
      <c r="D2060" s="733">
        <v>65.006362915039063</v>
      </c>
      <c r="E2060" s="733">
        <v>3</v>
      </c>
    </row>
    <row r="2061" spans="2:5" x14ac:dyDescent="0.25">
      <c r="B2061" s="1382" t="s">
        <v>1840</v>
      </c>
      <c r="C2061" s="733" t="s">
        <v>1081</v>
      </c>
      <c r="D2061" s="733">
        <v>33.005771636962891</v>
      </c>
      <c r="E2061" s="733">
        <v>3</v>
      </c>
    </row>
    <row r="2062" spans="2:5" x14ac:dyDescent="0.25">
      <c r="B2062" s="1382" t="s">
        <v>1840</v>
      </c>
      <c r="C2062" s="733" t="s">
        <v>1080</v>
      </c>
      <c r="D2062" s="733">
        <v>47.003799438476563</v>
      </c>
      <c r="E2062" s="733">
        <v>3</v>
      </c>
    </row>
    <row r="2063" spans="2:5" x14ac:dyDescent="0.25">
      <c r="B2063" s="1382" t="s">
        <v>1840</v>
      </c>
      <c r="C2063" s="733" t="s">
        <v>1080</v>
      </c>
      <c r="D2063" s="733">
        <v>72.007530212402344</v>
      </c>
      <c r="E2063" s="733">
        <v>3</v>
      </c>
    </row>
    <row r="2064" spans="2:5" x14ac:dyDescent="0.25">
      <c r="B2064" s="1382" t="s">
        <v>1840</v>
      </c>
      <c r="C2064" s="733" t="s">
        <v>1080</v>
      </c>
      <c r="D2064" s="733">
        <v>64.008544921875</v>
      </c>
      <c r="E2064" s="733">
        <v>3</v>
      </c>
    </row>
    <row r="2065" spans="2:5" x14ac:dyDescent="0.25">
      <c r="B2065" s="1382" t="s">
        <v>1840</v>
      </c>
      <c r="C2065" s="733" t="s">
        <v>1080</v>
      </c>
      <c r="D2065" s="733">
        <v>63.010944366455078</v>
      </c>
      <c r="E2065" s="733">
        <v>3</v>
      </c>
    </row>
    <row r="2066" spans="2:5" x14ac:dyDescent="0.25">
      <c r="B2066" s="1382" t="s">
        <v>1840</v>
      </c>
      <c r="C2066" s="733" t="s">
        <v>1080</v>
      </c>
      <c r="D2066" s="733">
        <v>64.016525268554688</v>
      </c>
      <c r="E2066" s="733">
        <v>3</v>
      </c>
    </row>
    <row r="2067" spans="2:5" x14ac:dyDescent="0.25">
      <c r="B2067" s="1382" t="s">
        <v>1840</v>
      </c>
      <c r="C2067" s="733" t="s">
        <v>1080</v>
      </c>
      <c r="D2067" s="733">
        <v>64.003990173339844</v>
      </c>
      <c r="E2067" s="733">
        <v>3</v>
      </c>
    </row>
    <row r="2068" spans="2:5" x14ac:dyDescent="0.25">
      <c r="B2068" s="1382" t="s">
        <v>1840</v>
      </c>
      <c r="C2068" s="733" t="s">
        <v>1080</v>
      </c>
      <c r="D2068" s="733">
        <v>66.002677917480469</v>
      </c>
      <c r="E2068" s="733">
        <v>3</v>
      </c>
    </row>
    <row r="2069" spans="2:5" x14ac:dyDescent="0.25">
      <c r="B2069" s="1382" t="s">
        <v>1840</v>
      </c>
      <c r="C2069" s="733" t="s">
        <v>1080</v>
      </c>
      <c r="D2069" s="733">
        <v>68.003387451171875</v>
      </c>
      <c r="E2069" s="733">
        <v>3</v>
      </c>
    </row>
    <row r="2070" spans="2:5" x14ac:dyDescent="0.25">
      <c r="B2070" s="1382" t="s">
        <v>1840</v>
      </c>
      <c r="C2070" s="733" t="s">
        <v>1080</v>
      </c>
      <c r="D2070" s="733">
        <v>47.002540588378906</v>
      </c>
      <c r="E2070" s="733">
        <v>3</v>
      </c>
    </row>
    <row r="2071" spans="2:5" x14ac:dyDescent="0.25">
      <c r="B2071" s="1382" t="s">
        <v>1840</v>
      </c>
      <c r="C2071" s="733" t="s">
        <v>1080</v>
      </c>
      <c r="D2071" s="733">
        <v>59.005878448486328</v>
      </c>
      <c r="E2071" s="733">
        <v>3</v>
      </c>
    </row>
    <row r="2072" spans="2:5" x14ac:dyDescent="0.25">
      <c r="B2072" s="1382" t="s">
        <v>1840</v>
      </c>
      <c r="C2072" s="733" t="s">
        <v>1080</v>
      </c>
      <c r="D2072" s="733">
        <v>68.004829406738281</v>
      </c>
      <c r="E2072" s="733">
        <v>3</v>
      </c>
    </row>
    <row r="2073" spans="2:5" x14ac:dyDescent="0.25">
      <c r="B2073" s="1382" t="s">
        <v>1840</v>
      </c>
      <c r="C2073" s="733" t="s">
        <v>1080</v>
      </c>
      <c r="D2073" s="733">
        <v>60.010387420654297</v>
      </c>
      <c r="E2073" s="733">
        <v>3</v>
      </c>
    </row>
    <row r="2074" spans="2:5" x14ac:dyDescent="0.25">
      <c r="B2074" s="1382" t="s">
        <v>1840</v>
      </c>
      <c r="C2074" s="733" t="s">
        <v>1080</v>
      </c>
      <c r="D2074" s="733">
        <v>55.003013610839844</v>
      </c>
      <c r="E2074" s="733">
        <v>3</v>
      </c>
    </row>
    <row r="2075" spans="2:5" x14ac:dyDescent="0.25">
      <c r="B2075" s="1382" t="s">
        <v>1840</v>
      </c>
      <c r="C2075" s="733" t="s">
        <v>1080</v>
      </c>
      <c r="D2075" s="733">
        <v>47.005863189697266</v>
      </c>
      <c r="E2075" s="733">
        <v>3</v>
      </c>
    </row>
    <row r="2076" spans="2:5" x14ac:dyDescent="0.25">
      <c r="B2076" s="1382" t="s">
        <v>1840</v>
      </c>
      <c r="C2076" s="733" t="s">
        <v>1081</v>
      </c>
      <c r="D2076" s="733">
        <v>81.004203796386719</v>
      </c>
      <c r="E2076" s="733">
        <v>3</v>
      </c>
    </row>
    <row r="2077" spans="2:5" x14ac:dyDescent="0.25">
      <c r="B2077" s="1382" t="s">
        <v>1840</v>
      </c>
      <c r="C2077" s="733" t="s">
        <v>1080</v>
      </c>
      <c r="D2077" s="733">
        <v>82.004776000976563</v>
      </c>
      <c r="E2077" s="733">
        <v>3</v>
      </c>
    </row>
    <row r="2078" spans="2:5" x14ac:dyDescent="0.25">
      <c r="B2078" s="1382" t="s">
        <v>1840</v>
      </c>
      <c r="C2078" s="733" t="s">
        <v>1080</v>
      </c>
      <c r="D2078" s="733">
        <v>72.005706787109375</v>
      </c>
      <c r="E2078" s="733">
        <v>3</v>
      </c>
    </row>
    <row r="2079" spans="2:5" x14ac:dyDescent="0.25">
      <c r="B2079" s="1382" t="s">
        <v>1840</v>
      </c>
      <c r="C2079" s="733" t="s">
        <v>1080</v>
      </c>
      <c r="D2079" s="733">
        <v>58.006984710693359</v>
      </c>
      <c r="E2079" s="733">
        <v>3</v>
      </c>
    </row>
    <row r="2080" spans="2:5" x14ac:dyDescent="0.25">
      <c r="B2080" s="1382" t="s">
        <v>1840</v>
      </c>
      <c r="C2080" s="733" t="s">
        <v>1081</v>
      </c>
      <c r="D2080" s="733">
        <v>59.004459381103516</v>
      </c>
      <c r="E2080" s="733">
        <v>3</v>
      </c>
    </row>
    <row r="2081" spans="2:5" x14ac:dyDescent="0.25">
      <c r="B2081" s="1382" t="s">
        <v>1840</v>
      </c>
      <c r="C2081" s="733" t="s">
        <v>1080</v>
      </c>
      <c r="D2081" s="733">
        <v>56.010478973388672</v>
      </c>
      <c r="E2081" s="733">
        <v>3</v>
      </c>
    </row>
    <row r="2082" spans="2:5" x14ac:dyDescent="0.25">
      <c r="B2082" s="1382" t="s">
        <v>1840</v>
      </c>
      <c r="C2082" s="733" t="s">
        <v>1080</v>
      </c>
      <c r="D2082" s="733">
        <v>60.002025604248047</v>
      </c>
      <c r="E2082" s="733">
        <v>3</v>
      </c>
    </row>
    <row r="2083" spans="2:5" x14ac:dyDescent="0.25">
      <c r="B2083" s="1382" t="s">
        <v>1840</v>
      </c>
      <c r="C2083" s="733" t="s">
        <v>1080</v>
      </c>
      <c r="D2083" s="733">
        <v>48.004825592041016</v>
      </c>
      <c r="E2083" s="733">
        <v>3</v>
      </c>
    </row>
    <row r="2084" spans="2:5" x14ac:dyDescent="0.25">
      <c r="B2084" s="1382" t="s">
        <v>1840</v>
      </c>
      <c r="C2084" s="733" t="s">
        <v>1081</v>
      </c>
      <c r="D2084" s="733">
        <v>43.009025573730469</v>
      </c>
      <c r="E2084" s="733">
        <v>3</v>
      </c>
    </row>
    <row r="2085" spans="2:5" x14ac:dyDescent="0.25">
      <c r="B2085" s="1382" t="s">
        <v>1840</v>
      </c>
      <c r="C2085" s="733" t="s">
        <v>1081</v>
      </c>
      <c r="D2085" s="733">
        <v>79.007675170898438</v>
      </c>
      <c r="E2085" s="733">
        <v>3</v>
      </c>
    </row>
    <row r="2086" spans="2:5" x14ac:dyDescent="0.25">
      <c r="B2086" s="1382" t="s">
        <v>1840</v>
      </c>
      <c r="C2086" s="733" t="s">
        <v>1080</v>
      </c>
      <c r="D2086" s="733">
        <v>72.00811767578125</v>
      </c>
      <c r="E2086" s="733">
        <v>3</v>
      </c>
    </row>
    <row r="2087" spans="2:5" x14ac:dyDescent="0.25">
      <c r="B2087" s="1382" t="s">
        <v>1840</v>
      </c>
      <c r="C2087" s="733" t="s">
        <v>1081</v>
      </c>
      <c r="D2087" s="733">
        <v>79.005645751953125</v>
      </c>
      <c r="E2087" s="733">
        <v>3</v>
      </c>
    </row>
    <row r="2088" spans="2:5" x14ac:dyDescent="0.25">
      <c r="B2088" s="1382" t="s">
        <v>1840</v>
      </c>
      <c r="C2088" s="733" t="s">
        <v>1080</v>
      </c>
      <c r="D2088" s="733">
        <v>65.004722595214844</v>
      </c>
      <c r="E2088" s="733">
        <v>3</v>
      </c>
    </row>
    <row r="2089" spans="2:5" x14ac:dyDescent="0.25">
      <c r="B2089" s="1382" t="s">
        <v>1840</v>
      </c>
      <c r="C2089" s="733" t="s">
        <v>1080</v>
      </c>
      <c r="D2089" s="733">
        <v>43.003517150878906</v>
      </c>
      <c r="E2089" s="733">
        <v>3</v>
      </c>
    </row>
    <row r="2090" spans="2:5" x14ac:dyDescent="0.25">
      <c r="B2090" s="1382" t="s">
        <v>1840</v>
      </c>
      <c r="C2090" s="733" t="s">
        <v>1081</v>
      </c>
      <c r="D2090" s="733">
        <v>62.318675994873047</v>
      </c>
      <c r="E2090" s="733">
        <v>3</v>
      </c>
    </row>
    <row r="2091" spans="2:5" x14ac:dyDescent="0.25">
      <c r="B2091" s="1382" t="s">
        <v>1840</v>
      </c>
      <c r="C2091" s="733" t="s">
        <v>1081</v>
      </c>
      <c r="D2091" s="733">
        <v>81.003829956054688</v>
      </c>
      <c r="E2091" s="733">
        <v>3</v>
      </c>
    </row>
    <row r="2092" spans="2:5" x14ac:dyDescent="0.25">
      <c r="B2092" s="1382" t="s">
        <v>1840</v>
      </c>
      <c r="C2092" s="733" t="s">
        <v>1080</v>
      </c>
      <c r="D2092" s="733">
        <v>85.002784729003906</v>
      </c>
      <c r="E2092" s="733">
        <v>3</v>
      </c>
    </row>
    <row r="2093" spans="2:5" x14ac:dyDescent="0.25">
      <c r="B2093" s="1382" t="s">
        <v>1840</v>
      </c>
      <c r="C2093" s="733" t="s">
        <v>1080</v>
      </c>
      <c r="D2093" s="733">
        <v>59.004032135009766</v>
      </c>
      <c r="E2093" s="733">
        <v>3</v>
      </c>
    </row>
    <row r="2094" spans="2:5" x14ac:dyDescent="0.25">
      <c r="B2094" s="1382" t="s">
        <v>1840</v>
      </c>
      <c r="C2094" s="733" t="s">
        <v>1081</v>
      </c>
      <c r="D2094" s="733">
        <v>74.003311157226563</v>
      </c>
      <c r="E2094" s="733">
        <v>3</v>
      </c>
    </row>
    <row r="2095" spans="2:5" x14ac:dyDescent="0.25">
      <c r="B2095" s="1382" t="s">
        <v>1840</v>
      </c>
      <c r="C2095" s="733" t="s">
        <v>1080</v>
      </c>
      <c r="D2095" s="733">
        <v>72.004325866699219</v>
      </c>
      <c r="E2095" s="733">
        <v>3</v>
      </c>
    </row>
    <row r="2096" spans="2:5" x14ac:dyDescent="0.25">
      <c r="B2096" s="1382" t="s">
        <v>1840</v>
      </c>
      <c r="C2096" s="733" t="s">
        <v>1080</v>
      </c>
      <c r="D2096" s="733">
        <v>77.003395080566406</v>
      </c>
      <c r="E2096" s="733">
        <v>3</v>
      </c>
    </row>
    <row r="2097" spans="2:5" x14ac:dyDescent="0.25">
      <c r="B2097" s="1382" t="s">
        <v>1840</v>
      </c>
      <c r="C2097" s="733" t="s">
        <v>1081</v>
      </c>
      <c r="D2097" s="733">
        <v>76.007850646972656</v>
      </c>
      <c r="E2097" s="733">
        <v>3</v>
      </c>
    </row>
    <row r="2098" spans="2:5" x14ac:dyDescent="0.25">
      <c r="B2098" s="1382" t="s">
        <v>1840</v>
      </c>
      <c r="C2098" s="733" t="s">
        <v>1081</v>
      </c>
      <c r="D2098" s="733">
        <v>48.005672454833984</v>
      </c>
      <c r="E2098" s="733">
        <v>3</v>
      </c>
    </row>
    <row r="2099" spans="2:5" x14ac:dyDescent="0.25">
      <c r="B2099" s="1382" t="s">
        <v>1840</v>
      </c>
      <c r="C2099" s="733" t="s">
        <v>1080</v>
      </c>
      <c r="D2099" s="733">
        <v>62.007194519042969</v>
      </c>
      <c r="E2099" s="733">
        <v>3</v>
      </c>
    </row>
    <row r="2100" spans="2:5" x14ac:dyDescent="0.25">
      <c r="B2100" s="1382" t="s">
        <v>1840</v>
      </c>
      <c r="C2100" s="733" t="s">
        <v>1081</v>
      </c>
      <c r="D2100" s="733">
        <v>61.004428863525391</v>
      </c>
      <c r="E2100" s="733">
        <v>3</v>
      </c>
    </row>
    <row r="2101" spans="2:5" x14ac:dyDescent="0.25">
      <c r="B2101" s="1382" t="s">
        <v>1840</v>
      </c>
      <c r="C2101" s="733" t="s">
        <v>1080</v>
      </c>
      <c r="D2101" s="733">
        <v>46.009166717529297</v>
      </c>
      <c r="E2101" s="733">
        <v>3</v>
      </c>
    </row>
    <row r="2102" spans="2:5" x14ac:dyDescent="0.25">
      <c r="B2102" s="1382" t="s">
        <v>1840</v>
      </c>
      <c r="C2102" s="733" t="s">
        <v>1080</v>
      </c>
      <c r="D2102" s="733">
        <v>65.005256652832031</v>
      </c>
      <c r="E2102" s="733">
        <v>3</v>
      </c>
    </row>
    <row r="2103" spans="2:5" x14ac:dyDescent="0.25">
      <c r="B2103" s="1382" t="s">
        <v>1840</v>
      </c>
      <c r="C2103" s="733" t="s">
        <v>1080</v>
      </c>
      <c r="D2103" s="733">
        <v>41.005470275878906</v>
      </c>
      <c r="E2103" s="733">
        <v>3</v>
      </c>
    </row>
    <row r="2104" spans="2:5" x14ac:dyDescent="0.25">
      <c r="B2104" s="1382" t="s">
        <v>1840</v>
      </c>
      <c r="C2104" s="733" t="s">
        <v>1080</v>
      </c>
      <c r="D2104" s="733">
        <v>71.002540588378906</v>
      </c>
      <c r="E2104" s="733">
        <v>3</v>
      </c>
    </row>
    <row r="2105" spans="2:5" x14ac:dyDescent="0.25">
      <c r="B2105" s="1382" t="s">
        <v>1840</v>
      </c>
      <c r="C2105" s="733" t="s">
        <v>1080</v>
      </c>
      <c r="D2105" s="733">
        <v>71.005516052246094</v>
      </c>
      <c r="E2105" s="733">
        <v>3</v>
      </c>
    </row>
    <row r="2106" spans="2:5" x14ac:dyDescent="0.25">
      <c r="B2106" s="1382" t="s">
        <v>1840</v>
      </c>
      <c r="C2106" s="733" t="s">
        <v>1080</v>
      </c>
      <c r="D2106" s="733">
        <v>42.009040832519531</v>
      </c>
      <c r="E2106" s="733">
        <v>3</v>
      </c>
    </row>
    <row r="2107" spans="2:5" x14ac:dyDescent="0.25">
      <c r="B2107" s="1382" t="s">
        <v>1840</v>
      </c>
      <c r="C2107" s="733" t="s">
        <v>1080</v>
      </c>
      <c r="D2107" s="733">
        <v>62.003269195556641</v>
      </c>
      <c r="E2107" s="733">
        <v>3</v>
      </c>
    </row>
    <row r="2108" spans="2:5" x14ac:dyDescent="0.25">
      <c r="B2108" s="1382" t="s">
        <v>1840</v>
      </c>
      <c r="C2108" s="733" t="s">
        <v>1080</v>
      </c>
      <c r="D2108" s="733">
        <v>61.002899169921875</v>
      </c>
      <c r="E2108" s="733">
        <v>3</v>
      </c>
    </row>
    <row r="2109" spans="2:5" x14ac:dyDescent="0.25">
      <c r="B2109" s="1382" t="s">
        <v>1840</v>
      </c>
      <c r="C2109" s="733" t="s">
        <v>1081</v>
      </c>
      <c r="D2109" s="733">
        <v>43.003711700439453</v>
      </c>
      <c r="E2109" s="733">
        <v>3</v>
      </c>
    </row>
    <row r="2110" spans="2:5" x14ac:dyDescent="0.25">
      <c r="B2110" s="1382" t="s">
        <v>1840</v>
      </c>
      <c r="C2110" s="733" t="s">
        <v>1081</v>
      </c>
      <c r="D2110" s="733">
        <v>75.005523681640625</v>
      </c>
      <c r="E2110" s="733">
        <v>3</v>
      </c>
    </row>
    <row r="2111" spans="2:5" x14ac:dyDescent="0.25">
      <c r="B2111" s="1382" t="s">
        <v>1840</v>
      </c>
      <c r="C2111" s="733" t="s">
        <v>1081</v>
      </c>
      <c r="D2111" s="733">
        <v>73.0015869140625</v>
      </c>
      <c r="E2111" s="733">
        <v>3</v>
      </c>
    </row>
    <row r="2112" spans="2:5" x14ac:dyDescent="0.25">
      <c r="B2112" s="1382" t="s">
        <v>1840</v>
      </c>
      <c r="C2112" s="733" t="s">
        <v>1081</v>
      </c>
      <c r="D2112" s="733">
        <v>67.00494384765625</v>
      </c>
      <c r="E2112" s="733">
        <v>3</v>
      </c>
    </row>
    <row r="2113" spans="2:5" x14ac:dyDescent="0.25">
      <c r="B2113" s="1382" t="s">
        <v>1840</v>
      </c>
      <c r="C2113" s="733" t="s">
        <v>1080</v>
      </c>
      <c r="D2113" s="733">
        <v>49.004886627197266</v>
      </c>
      <c r="E2113" s="733">
        <v>3</v>
      </c>
    </row>
    <row r="2114" spans="2:5" x14ac:dyDescent="0.25">
      <c r="B2114" s="1382" t="s">
        <v>1840</v>
      </c>
      <c r="C2114" s="733" t="s">
        <v>1080</v>
      </c>
      <c r="D2114" s="733">
        <v>73.006378173828125</v>
      </c>
      <c r="E2114" s="733">
        <v>3</v>
      </c>
    </row>
    <row r="2115" spans="2:5" x14ac:dyDescent="0.25">
      <c r="B2115" s="1382" t="s">
        <v>1840</v>
      </c>
      <c r="C2115" s="733" t="s">
        <v>1080</v>
      </c>
      <c r="D2115" s="733">
        <v>65.005172729492188</v>
      </c>
      <c r="E2115" s="733">
        <v>3</v>
      </c>
    </row>
    <row r="2116" spans="2:5" x14ac:dyDescent="0.25">
      <c r="B2116" s="1382" t="s">
        <v>1840</v>
      </c>
      <c r="C2116" s="733" t="s">
        <v>1080</v>
      </c>
      <c r="D2116" s="733">
        <v>68.008087158203125</v>
      </c>
      <c r="E2116" s="733">
        <v>3</v>
      </c>
    </row>
    <row r="2117" spans="2:5" x14ac:dyDescent="0.25">
      <c r="B2117" s="1382" t="s">
        <v>1840</v>
      </c>
      <c r="C2117" s="733" t="s">
        <v>1080</v>
      </c>
      <c r="D2117" s="733">
        <v>53.002105712890625</v>
      </c>
      <c r="E2117" s="733">
        <v>3</v>
      </c>
    </row>
    <row r="2118" spans="2:5" x14ac:dyDescent="0.25">
      <c r="B2118" s="1382" t="s">
        <v>1840</v>
      </c>
      <c r="C2118" s="733" t="s">
        <v>1080</v>
      </c>
      <c r="D2118" s="733">
        <v>59.001903533935547</v>
      </c>
      <c r="E2118" s="733">
        <v>3</v>
      </c>
    </row>
    <row r="2119" spans="2:5" x14ac:dyDescent="0.25">
      <c r="B2119" s="1382" t="s">
        <v>1840</v>
      </c>
      <c r="C2119" s="733" t="s">
        <v>1080</v>
      </c>
      <c r="D2119" s="733">
        <v>58.005306243896484</v>
      </c>
      <c r="E2119" s="733">
        <v>3</v>
      </c>
    </row>
    <row r="2120" spans="2:5" x14ac:dyDescent="0.25">
      <c r="B2120" s="1382" t="s">
        <v>1840</v>
      </c>
      <c r="C2120" s="733" t="s">
        <v>1081</v>
      </c>
      <c r="D2120" s="733">
        <v>54.014019012451172</v>
      </c>
      <c r="E2120" s="733">
        <v>3</v>
      </c>
    </row>
    <row r="2121" spans="2:5" x14ac:dyDescent="0.25">
      <c r="B2121" s="1382" t="s">
        <v>1840</v>
      </c>
      <c r="C2121" s="733" t="s">
        <v>1080</v>
      </c>
      <c r="D2121" s="733">
        <v>64.010063171386719</v>
      </c>
      <c r="E2121" s="733">
        <v>3</v>
      </c>
    </row>
    <row r="2122" spans="2:5" x14ac:dyDescent="0.25">
      <c r="B2122" s="1382" t="s">
        <v>1840</v>
      </c>
      <c r="C2122" s="733" t="s">
        <v>1081</v>
      </c>
      <c r="D2122" s="733">
        <v>65.006614685058594</v>
      </c>
      <c r="E2122" s="733">
        <v>3</v>
      </c>
    </row>
    <row r="2123" spans="2:5" x14ac:dyDescent="0.25">
      <c r="B2123" s="1382" t="s">
        <v>1840</v>
      </c>
      <c r="C2123" s="733" t="s">
        <v>1081</v>
      </c>
      <c r="D2123" s="733">
        <v>77.003875732421875</v>
      </c>
      <c r="E2123" s="733">
        <v>3</v>
      </c>
    </row>
    <row r="2124" spans="2:5" x14ac:dyDescent="0.25">
      <c r="B2124" s="1382" t="s">
        <v>1840</v>
      </c>
      <c r="C2124" s="733" t="s">
        <v>1080</v>
      </c>
      <c r="D2124" s="733">
        <v>64.001983642578125</v>
      </c>
      <c r="E2124" s="733">
        <v>3</v>
      </c>
    </row>
    <row r="2125" spans="2:5" x14ac:dyDescent="0.25">
      <c r="B2125" s="1382" t="s">
        <v>1840</v>
      </c>
      <c r="C2125" s="733" t="s">
        <v>1080</v>
      </c>
      <c r="D2125" s="733">
        <v>59.003425598144531</v>
      </c>
      <c r="E2125" s="733">
        <v>3</v>
      </c>
    </row>
    <row r="2126" spans="2:5" x14ac:dyDescent="0.25">
      <c r="B2126" s="1382" t="s">
        <v>1840</v>
      </c>
      <c r="C2126" s="733" t="s">
        <v>1080</v>
      </c>
      <c r="D2126" s="733">
        <v>51.002487182617188</v>
      </c>
      <c r="E2126" s="733">
        <v>3</v>
      </c>
    </row>
    <row r="2127" spans="2:5" x14ac:dyDescent="0.25">
      <c r="B2127" s="1382" t="s">
        <v>1840</v>
      </c>
      <c r="C2127" s="733" t="s">
        <v>1080</v>
      </c>
      <c r="D2127" s="733">
        <v>68.00604248046875</v>
      </c>
      <c r="E2127" s="733">
        <v>3</v>
      </c>
    </row>
    <row r="2128" spans="2:5" x14ac:dyDescent="0.25">
      <c r="B2128" s="1382" t="s">
        <v>1840</v>
      </c>
      <c r="C2128" s="733" t="s">
        <v>1081</v>
      </c>
      <c r="D2128" s="733">
        <v>66.006034851074219</v>
      </c>
      <c r="E2128" s="733">
        <v>3</v>
      </c>
    </row>
    <row r="2129" spans="2:5" x14ac:dyDescent="0.25">
      <c r="B2129" s="1382" t="s">
        <v>1840</v>
      </c>
      <c r="C2129" s="733" t="s">
        <v>1081</v>
      </c>
      <c r="D2129" s="733">
        <v>52.003868103027344</v>
      </c>
      <c r="E2129" s="733">
        <v>3</v>
      </c>
    </row>
    <row r="2130" spans="2:5" x14ac:dyDescent="0.25">
      <c r="B2130" s="1382" t="s">
        <v>1840</v>
      </c>
      <c r="C2130" s="733" t="s">
        <v>1081</v>
      </c>
      <c r="D2130" s="733">
        <v>52.003719329833984</v>
      </c>
      <c r="E2130" s="733">
        <v>3</v>
      </c>
    </row>
    <row r="2131" spans="2:5" x14ac:dyDescent="0.25">
      <c r="B2131" s="1382" t="s">
        <v>1840</v>
      </c>
      <c r="C2131" s="733" t="s">
        <v>1080</v>
      </c>
      <c r="D2131" s="733">
        <v>66.005645751953125</v>
      </c>
      <c r="E2131" s="733">
        <v>3</v>
      </c>
    </row>
    <row r="2132" spans="2:5" x14ac:dyDescent="0.25">
      <c r="B2132" s="1382" t="s">
        <v>1840</v>
      </c>
      <c r="C2132" s="733" t="s">
        <v>1080</v>
      </c>
      <c r="D2132" s="733">
        <v>66.004531860351563</v>
      </c>
      <c r="E2132" s="733">
        <v>3</v>
      </c>
    </row>
    <row r="2133" spans="2:5" x14ac:dyDescent="0.25">
      <c r="B2133" s="1382" t="s">
        <v>1840</v>
      </c>
      <c r="C2133" s="733" t="s">
        <v>1080</v>
      </c>
      <c r="D2133" s="733">
        <v>67.003730773925781</v>
      </c>
      <c r="E2133" s="733">
        <v>3</v>
      </c>
    </row>
    <row r="2134" spans="2:5" x14ac:dyDescent="0.25">
      <c r="B2134" s="1382" t="s">
        <v>1840</v>
      </c>
      <c r="C2134" s="733" t="s">
        <v>1080</v>
      </c>
      <c r="D2134" s="733">
        <v>53.003883361816406</v>
      </c>
      <c r="E2134" s="733">
        <v>3</v>
      </c>
    </row>
    <row r="2135" spans="2:5" x14ac:dyDescent="0.25">
      <c r="B2135" s="1382" t="s">
        <v>1840</v>
      </c>
      <c r="C2135" s="733" t="s">
        <v>1081</v>
      </c>
      <c r="D2135" s="733">
        <v>80.005401611328125</v>
      </c>
      <c r="E2135" s="733">
        <v>3</v>
      </c>
    </row>
    <row r="2136" spans="2:5" x14ac:dyDescent="0.25">
      <c r="B2136" s="1382" t="s">
        <v>1840</v>
      </c>
      <c r="C2136" s="733" t="s">
        <v>1080</v>
      </c>
      <c r="D2136" s="733">
        <v>71.003944396972656</v>
      </c>
      <c r="E2136" s="733">
        <v>3</v>
      </c>
    </row>
    <row r="2137" spans="2:5" x14ac:dyDescent="0.25">
      <c r="B2137" s="1382" t="s">
        <v>1840</v>
      </c>
      <c r="C2137" s="733" t="s">
        <v>1080</v>
      </c>
      <c r="D2137" s="733">
        <v>70.004890441894531</v>
      </c>
      <c r="E2137" s="733">
        <v>3</v>
      </c>
    </row>
    <row r="2138" spans="2:5" x14ac:dyDescent="0.25">
      <c r="B2138" s="1382" t="s">
        <v>1840</v>
      </c>
      <c r="C2138" s="733" t="s">
        <v>1081</v>
      </c>
      <c r="D2138" s="733">
        <v>71.002693176269531</v>
      </c>
      <c r="E2138" s="733">
        <v>3</v>
      </c>
    </row>
    <row r="2139" spans="2:5" x14ac:dyDescent="0.25">
      <c r="B2139" s="1382" t="s">
        <v>1840</v>
      </c>
      <c r="C2139" s="733" t="s">
        <v>1080</v>
      </c>
      <c r="D2139" s="733">
        <v>68.005607604980469</v>
      </c>
      <c r="E2139" s="733">
        <v>3</v>
      </c>
    </row>
    <row r="2140" spans="2:5" x14ac:dyDescent="0.25">
      <c r="B2140" s="1382" t="s">
        <v>1840</v>
      </c>
      <c r="C2140" s="733" t="s">
        <v>1081</v>
      </c>
      <c r="D2140" s="733">
        <v>66.005470275878906</v>
      </c>
      <c r="E2140" s="733">
        <v>3</v>
      </c>
    </row>
    <row r="2141" spans="2:5" x14ac:dyDescent="0.25">
      <c r="B2141" s="1382" t="s">
        <v>1840</v>
      </c>
      <c r="C2141" s="733" t="s">
        <v>1081</v>
      </c>
      <c r="D2141" s="733">
        <v>66.001777648925781</v>
      </c>
      <c r="E2141" s="733">
        <v>3</v>
      </c>
    </row>
    <row r="2142" spans="2:5" x14ac:dyDescent="0.25">
      <c r="B2142" s="1382" t="s">
        <v>1840</v>
      </c>
      <c r="C2142" s="733" t="s">
        <v>1081</v>
      </c>
      <c r="D2142" s="733">
        <v>59.004219055175781</v>
      </c>
      <c r="E2142" s="733">
        <v>3</v>
      </c>
    </row>
    <row r="2143" spans="2:5" x14ac:dyDescent="0.25">
      <c r="B2143" s="1382" t="s">
        <v>1840</v>
      </c>
      <c r="C2143" s="733" t="s">
        <v>1080</v>
      </c>
      <c r="D2143" s="733">
        <v>57.002609252929688</v>
      </c>
      <c r="E2143" s="733">
        <v>3</v>
      </c>
    </row>
    <row r="2144" spans="2:5" x14ac:dyDescent="0.25">
      <c r="B2144" s="1382" t="s">
        <v>1840</v>
      </c>
      <c r="C2144" s="733" t="s">
        <v>1080</v>
      </c>
      <c r="D2144" s="733">
        <v>54.004379272460938</v>
      </c>
      <c r="E2144" s="733">
        <v>3</v>
      </c>
    </row>
    <row r="2145" spans="2:5" x14ac:dyDescent="0.25">
      <c r="B2145" s="1382" t="s">
        <v>1840</v>
      </c>
      <c r="C2145" s="733" t="s">
        <v>1080</v>
      </c>
      <c r="D2145" s="733">
        <v>63.00726318359375</v>
      </c>
      <c r="E2145" s="733">
        <v>3</v>
      </c>
    </row>
    <row r="2146" spans="2:5" x14ac:dyDescent="0.25">
      <c r="B2146" s="1382" t="s">
        <v>1840</v>
      </c>
      <c r="C2146" s="733" t="s">
        <v>1080</v>
      </c>
      <c r="D2146" s="733">
        <v>62.007377624511719</v>
      </c>
      <c r="E2146" s="733">
        <v>3</v>
      </c>
    </row>
    <row r="2147" spans="2:5" x14ac:dyDescent="0.25">
      <c r="B2147" s="1382" t="s">
        <v>1840</v>
      </c>
      <c r="C2147" s="733" t="s">
        <v>1080</v>
      </c>
      <c r="D2147" s="733">
        <v>60.005443572998047</v>
      </c>
      <c r="E2147" s="733">
        <v>4</v>
      </c>
    </row>
    <row r="2148" spans="2:5" x14ac:dyDescent="0.25">
      <c r="B2148" s="1382" t="s">
        <v>1840</v>
      </c>
      <c r="C2148" s="733" t="s">
        <v>1080</v>
      </c>
      <c r="D2148" s="733">
        <v>52.006626129150391</v>
      </c>
      <c r="E2148" s="733">
        <v>4</v>
      </c>
    </row>
    <row r="2149" spans="2:5" x14ac:dyDescent="0.25">
      <c r="B2149" s="1382" t="s">
        <v>1840</v>
      </c>
      <c r="C2149" s="733" t="s">
        <v>1080</v>
      </c>
      <c r="D2149" s="733">
        <v>58.004077911376953</v>
      </c>
      <c r="E2149" s="733">
        <v>4</v>
      </c>
    </row>
    <row r="2150" spans="2:5" x14ac:dyDescent="0.25">
      <c r="B2150" s="1382" t="s">
        <v>1840</v>
      </c>
      <c r="C2150" s="733" t="s">
        <v>1080</v>
      </c>
      <c r="D2150" s="733">
        <v>66.011543273925781</v>
      </c>
      <c r="E2150" s="733">
        <v>4</v>
      </c>
    </row>
    <row r="2151" spans="2:5" x14ac:dyDescent="0.25">
      <c r="B2151" s="1382" t="s">
        <v>1840</v>
      </c>
      <c r="C2151" s="733" t="s">
        <v>1081</v>
      </c>
      <c r="D2151" s="733">
        <v>77.005218505859375</v>
      </c>
      <c r="E2151" s="733">
        <v>4</v>
      </c>
    </row>
    <row r="2152" spans="2:5" x14ac:dyDescent="0.25">
      <c r="B2152" s="1382" t="s">
        <v>1840</v>
      </c>
      <c r="C2152" s="733" t="s">
        <v>1080</v>
      </c>
      <c r="D2152" s="733">
        <v>66.257270812988281</v>
      </c>
      <c r="E2152" s="733">
        <v>4</v>
      </c>
    </row>
    <row r="2153" spans="2:5" x14ac:dyDescent="0.25">
      <c r="B2153" s="1382" t="s">
        <v>1840</v>
      </c>
      <c r="C2153" s="733" t="s">
        <v>1080</v>
      </c>
      <c r="D2153" s="733">
        <v>55.699230194091797</v>
      </c>
      <c r="E2153" s="733">
        <v>4</v>
      </c>
    </row>
    <row r="2154" spans="2:5" x14ac:dyDescent="0.25">
      <c r="B2154" s="1382" t="s">
        <v>1840</v>
      </c>
      <c r="C2154" s="733" t="s">
        <v>1080</v>
      </c>
      <c r="D2154" s="733">
        <v>57.405860900878906</v>
      </c>
      <c r="E2154" s="733">
        <v>4</v>
      </c>
    </row>
    <row r="2155" spans="2:5" x14ac:dyDescent="0.25">
      <c r="B2155" s="1382" t="s">
        <v>1840</v>
      </c>
      <c r="C2155" s="733" t="s">
        <v>1080</v>
      </c>
      <c r="D2155" s="733">
        <v>71.70703125</v>
      </c>
      <c r="E2155" s="733">
        <v>4</v>
      </c>
    </row>
    <row r="2156" spans="2:5" x14ac:dyDescent="0.25">
      <c r="B2156" s="1382" t="s">
        <v>1840</v>
      </c>
      <c r="C2156" s="733" t="s">
        <v>1081</v>
      </c>
      <c r="D2156" s="733">
        <v>74.587318420410156</v>
      </c>
      <c r="E2156" s="733">
        <v>4</v>
      </c>
    </row>
    <row r="2157" spans="2:5" x14ac:dyDescent="0.25">
      <c r="B2157" s="1382" t="s">
        <v>1840</v>
      </c>
      <c r="C2157" s="733" t="s">
        <v>1080</v>
      </c>
      <c r="D2157" s="733">
        <v>52.118160247802734</v>
      </c>
      <c r="E2157" s="733">
        <v>4</v>
      </c>
    </row>
    <row r="2158" spans="2:5" x14ac:dyDescent="0.25">
      <c r="B2158" s="1382" t="s">
        <v>1840</v>
      </c>
      <c r="C2158" s="733" t="s">
        <v>1080</v>
      </c>
      <c r="D2158" s="733">
        <v>69.177101135253906</v>
      </c>
      <c r="E2158" s="733">
        <v>4</v>
      </c>
    </row>
    <row r="2159" spans="2:5" x14ac:dyDescent="0.25">
      <c r="B2159" s="1382" t="s">
        <v>1840</v>
      </c>
      <c r="C2159" s="733" t="s">
        <v>1080</v>
      </c>
      <c r="D2159" s="733">
        <v>62.741325378417969</v>
      </c>
      <c r="E2159" s="733">
        <v>4</v>
      </c>
    </row>
    <row r="2160" spans="2:5" x14ac:dyDescent="0.25">
      <c r="B2160" s="1382" t="s">
        <v>1840</v>
      </c>
      <c r="C2160" s="733" t="s">
        <v>1080</v>
      </c>
      <c r="D2160" s="733">
        <v>50.232471466064453</v>
      </c>
      <c r="E2160" s="733">
        <v>4</v>
      </c>
    </row>
    <row r="2161" spans="2:5" x14ac:dyDescent="0.25">
      <c r="B2161" s="1382" t="s">
        <v>1840</v>
      </c>
      <c r="C2161" s="733" t="s">
        <v>1081</v>
      </c>
      <c r="D2161" s="733">
        <v>50.933200836181641</v>
      </c>
      <c r="E2161" s="733">
        <v>4</v>
      </c>
    </row>
    <row r="2162" spans="2:5" x14ac:dyDescent="0.25">
      <c r="B2162" s="1382" t="s">
        <v>1840</v>
      </c>
      <c r="C2162" s="733" t="s">
        <v>1081</v>
      </c>
      <c r="D2162" s="733">
        <v>56.002182006835938</v>
      </c>
      <c r="E2162" s="733">
        <v>4</v>
      </c>
    </row>
    <row r="2163" spans="2:5" x14ac:dyDescent="0.25">
      <c r="B2163" s="1382" t="s">
        <v>1840</v>
      </c>
      <c r="C2163" s="733" t="s">
        <v>1080</v>
      </c>
      <c r="D2163" s="733">
        <v>61.007076263427734</v>
      </c>
      <c r="E2163" s="733">
        <v>4</v>
      </c>
    </row>
    <row r="2164" spans="2:5" x14ac:dyDescent="0.25">
      <c r="B2164" s="1382" t="s">
        <v>1840</v>
      </c>
      <c r="C2164" s="733" t="s">
        <v>1080</v>
      </c>
      <c r="D2164" s="733">
        <v>57.005405426025391</v>
      </c>
      <c r="E2164" s="733">
        <v>4</v>
      </c>
    </row>
    <row r="2165" spans="2:5" x14ac:dyDescent="0.25">
      <c r="B2165" s="1382" t="s">
        <v>1840</v>
      </c>
      <c r="C2165" s="733" t="s">
        <v>1080</v>
      </c>
      <c r="D2165" s="733">
        <v>56.010448455810547</v>
      </c>
      <c r="E2165" s="733">
        <v>4</v>
      </c>
    </row>
    <row r="2166" spans="2:5" x14ac:dyDescent="0.25">
      <c r="B2166" s="1382" t="s">
        <v>1840</v>
      </c>
      <c r="C2166" s="733" t="s">
        <v>1080</v>
      </c>
      <c r="D2166" s="733">
        <v>76.003021240234375</v>
      </c>
      <c r="E2166" s="733">
        <v>4</v>
      </c>
    </row>
    <row r="2167" spans="2:5" x14ac:dyDescent="0.25">
      <c r="B2167" s="1382" t="s">
        <v>1840</v>
      </c>
      <c r="C2167" s="733" t="s">
        <v>1081</v>
      </c>
      <c r="D2167" s="733">
        <v>59.007419586181641</v>
      </c>
      <c r="E2167" s="733">
        <v>4</v>
      </c>
    </row>
    <row r="2168" spans="2:5" x14ac:dyDescent="0.25">
      <c r="B2168" s="1382" t="s">
        <v>1840</v>
      </c>
      <c r="C2168" s="733" t="s">
        <v>1080</v>
      </c>
      <c r="D2168" s="733">
        <v>65.009017944335938</v>
      </c>
      <c r="E2168" s="733">
        <v>4</v>
      </c>
    </row>
    <row r="2169" spans="2:5" x14ac:dyDescent="0.25">
      <c r="B2169" s="1382" t="s">
        <v>1840</v>
      </c>
      <c r="C2169" s="733" t="s">
        <v>1080</v>
      </c>
      <c r="D2169" s="733">
        <v>57.005352020263672</v>
      </c>
      <c r="E2169" s="733">
        <v>4</v>
      </c>
    </row>
    <row r="2170" spans="2:5" x14ac:dyDescent="0.25">
      <c r="B2170" s="1382" t="s">
        <v>1840</v>
      </c>
      <c r="C2170" s="733" t="s">
        <v>1080</v>
      </c>
      <c r="D2170" s="733">
        <v>77.006080627441406</v>
      </c>
      <c r="E2170" s="733">
        <v>4</v>
      </c>
    </row>
    <row r="2171" spans="2:5" x14ac:dyDescent="0.25">
      <c r="B2171" s="1382" t="s">
        <v>1840</v>
      </c>
      <c r="C2171" s="733" t="s">
        <v>1080</v>
      </c>
      <c r="D2171" s="733">
        <v>65.002578735351563</v>
      </c>
      <c r="E2171" s="733">
        <v>4</v>
      </c>
    </row>
    <row r="2172" spans="2:5" x14ac:dyDescent="0.25">
      <c r="B2172" s="1382" t="s">
        <v>1840</v>
      </c>
      <c r="C2172" s="733" t="s">
        <v>1081</v>
      </c>
      <c r="D2172" s="733">
        <v>73.00384521484375</v>
      </c>
      <c r="E2172" s="733">
        <v>4</v>
      </c>
    </row>
    <row r="2173" spans="2:5" x14ac:dyDescent="0.25">
      <c r="B2173" s="1382" t="s">
        <v>1840</v>
      </c>
      <c r="C2173" s="733" t="s">
        <v>1081</v>
      </c>
      <c r="D2173" s="733">
        <v>69.005355834960938</v>
      </c>
      <c r="E2173" s="733">
        <v>4</v>
      </c>
    </row>
    <row r="2174" spans="2:5" x14ac:dyDescent="0.25">
      <c r="B2174" s="1382" t="s">
        <v>1840</v>
      </c>
      <c r="C2174" s="733" t="s">
        <v>1080</v>
      </c>
      <c r="D2174" s="733">
        <v>54.005897521972656</v>
      </c>
      <c r="E2174" s="733">
        <v>4</v>
      </c>
    </row>
    <row r="2175" spans="2:5" x14ac:dyDescent="0.25">
      <c r="B2175" s="1382" t="s">
        <v>1840</v>
      </c>
      <c r="C2175" s="733" t="s">
        <v>1081</v>
      </c>
      <c r="D2175" s="733">
        <v>70.007720947265625</v>
      </c>
      <c r="E2175" s="733">
        <v>4</v>
      </c>
    </row>
    <row r="2176" spans="2:5" x14ac:dyDescent="0.25">
      <c r="B2176" s="1382" t="s">
        <v>1840</v>
      </c>
      <c r="C2176" s="733" t="s">
        <v>1081</v>
      </c>
      <c r="D2176" s="733">
        <v>63.003494262695313</v>
      </c>
      <c r="E2176" s="733">
        <v>4</v>
      </c>
    </row>
    <row r="2177" spans="2:5" x14ac:dyDescent="0.25">
      <c r="B2177" s="1382" t="s">
        <v>1840</v>
      </c>
      <c r="C2177" s="733" t="s">
        <v>1080</v>
      </c>
      <c r="D2177" s="733">
        <v>59.004482269287109</v>
      </c>
      <c r="E2177" s="733">
        <v>4</v>
      </c>
    </row>
    <row r="2178" spans="2:5" x14ac:dyDescent="0.25">
      <c r="B2178" s="1382" t="s">
        <v>1840</v>
      </c>
      <c r="C2178" s="733" t="s">
        <v>1081</v>
      </c>
      <c r="D2178" s="733">
        <v>67.007598876953125</v>
      </c>
      <c r="E2178" s="733">
        <v>4</v>
      </c>
    </row>
    <row r="2179" spans="2:5" x14ac:dyDescent="0.25">
      <c r="B2179" s="1382" t="s">
        <v>1840</v>
      </c>
      <c r="C2179" s="733" t="s">
        <v>1081</v>
      </c>
      <c r="D2179" s="733">
        <v>64.004753112792969</v>
      </c>
      <c r="E2179" s="733">
        <v>4</v>
      </c>
    </row>
    <row r="2180" spans="2:5" x14ac:dyDescent="0.25">
      <c r="B2180" s="1382" t="s">
        <v>1840</v>
      </c>
      <c r="C2180" s="733" t="s">
        <v>1080</v>
      </c>
      <c r="D2180" s="733">
        <v>65.006095886230469</v>
      </c>
      <c r="E2180" s="733">
        <v>4</v>
      </c>
    </row>
    <row r="2181" spans="2:5" x14ac:dyDescent="0.25">
      <c r="B2181" s="1382" t="s">
        <v>1840</v>
      </c>
      <c r="C2181" s="733" t="s">
        <v>1080</v>
      </c>
      <c r="D2181" s="733">
        <v>54.008956909179688</v>
      </c>
      <c r="E2181" s="733">
        <v>4</v>
      </c>
    </row>
    <row r="2182" spans="2:5" x14ac:dyDescent="0.25">
      <c r="B2182" s="1382" t="s">
        <v>1840</v>
      </c>
      <c r="C2182" s="733" t="s">
        <v>1080</v>
      </c>
      <c r="D2182" s="733">
        <v>47.000690460205078</v>
      </c>
      <c r="E2182" s="733">
        <v>4</v>
      </c>
    </row>
    <row r="2183" spans="2:5" x14ac:dyDescent="0.25">
      <c r="B2183" s="1382" t="s">
        <v>1840</v>
      </c>
      <c r="C2183" s="733" t="s">
        <v>1080</v>
      </c>
      <c r="D2183" s="733">
        <v>64.006858825683594</v>
      </c>
      <c r="E2183" s="733">
        <v>4</v>
      </c>
    </row>
    <row r="2184" spans="2:5" x14ac:dyDescent="0.25">
      <c r="B2184" s="1382" t="s">
        <v>1840</v>
      </c>
      <c r="C2184" s="733" t="s">
        <v>1080</v>
      </c>
      <c r="D2184" s="733">
        <v>48.005645751953125</v>
      </c>
      <c r="E2184" s="733">
        <v>4</v>
      </c>
    </row>
    <row r="2185" spans="2:5" x14ac:dyDescent="0.25">
      <c r="B2185" s="1382" t="s">
        <v>1840</v>
      </c>
      <c r="C2185" s="733" t="s">
        <v>1081</v>
      </c>
      <c r="D2185" s="733">
        <v>81.00506591796875</v>
      </c>
      <c r="E2185" s="733">
        <v>4</v>
      </c>
    </row>
    <row r="2186" spans="2:5" x14ac:dyDescent="0.25">
      <c r="B2186" s="1382" t="s">
        <v>1840</v>
      </c>
      <c r="C2186" s="733" t="s">
        <v>1080</v>
      </c>
      <c r="D2186" s="733">
        <v>77.003860473632813</v>
      </c>
      <c r="E2186" s="733">
        <v>4</v>
      </c>
    </row>
    <row r="2187" spans="2:5" x14ac:dyDescent="0.25">
      <c r="B2187" s="1382" t="s">
        <v>1840</v>
      </c>
      <c r="C2187" s="733" t="s">
        <v>1081</v>
      </c>
      <c r="D2187" s="733">
        <v>48.007915496826172</v>
      </c>
      <c r="E2187" s="733">
        <v>4</v>
      </c>
    </row>
    <row r="2188" spans="2:5" x14ac:dyDescent="0.25">
      <c r="B2188" s="1382" t="s">
        <v>1840</v>
      </c>
      <c r="C2188" s="733" t="s">
        <v>1080</v>
      </c>
      <c r="D2188" s="733">
        <v>62.00897216796875</v>
      </c>
      <c r="E2188" s="733">
        <v>4</v>
      </c>
    </row>
    <row r="2189" spans="2:5" x14ac:dyDescent="0.25">
      <c r="B2189" s="1382" t="s">
        <v>1840</v>
      </c>
      <c r="C2189" s="733" t="s">
        <v>1081</v>
      </c>
      <c r="D2189" s="733">
        <v>61.006656646728516</v>
      </c>
      <c r="E2189" s="733">
        <v>4</v>
      </c>
    </row>
    <row r="2190" spans="2:5" x14ac:dyDescent="0.25">
      <c r="B2190" s="1382" t="s">
        <v>1840</v>
      </c>
      <c r="C2190" s="733" t="s">
        <v>1080</v>
      </c>
      <c r="D2190" s="733">
        <v>41.006549835205078</v>
      </c>
      <c r="E2190" s="733">
        <v>4</v>
      </c>
    </row>
    <row r="2191" spans="2:5" x14ac:dyDescent="0.25">
      <c r="B2191" s="1382" t="s">
        <v>1840</v>
      </c>
      <c r="C2191" s="733" t="s">
        <v>1080</v>
      </c>
      <c r="D2191" s="733">
        <v>62.008140563964844</v>
      </c>
      <c r="E2191" s="733">
        <v>4</v>
      </c>
    </row>
    <row r="2192" spans="2:5" x14ac:dyDescent="0.25">
      <c r="B2192" s="1382" t="s">
        <v>1840</v>
      </c>
      <c r="C2192" s="733" t="s">
        <v>1081</v>
      </c>
      <c r="D2192" s="733">
        <v>75.008148193359375</v>
      </c>
      <c r="E2192" s="733">
        <v>4</v>
      </c>
    </row>
    <row r="2193" spans="2:5" x14ac:dyDescent="0.25">
      <c r="B2193" s="1382" t="s">
        <v>1840</v>
      </c>
      <c r="C2193" s="733" t="s">
        <v>1080</v>
      </c>
      <c r="D2193" s="733">
        <v>59.003620147705078</v>
      </c>
      <c r="E2193" s="733">
        <v>4</v>
      </c>
    </row>
    <row r="2194" spans="2:5" x14ac:dyDescent="0.25">
      <c r="B2194" s="1382" t="s">
        <v>1840</v>
      </c>
      <c r="C2194" s="733" t="s">
        <v>1080</v>
      </c>
      <c r="D2194" s="733">
        <v>58.00604248046875</v>
      </c>
      <c r="E2194" s="733">
        <v>4</v>
      </c>
    </row>
    <row r="2195" spans="2:5" x14ac:dyDescent="0.25">
      <c r="B2195" s="1382" t="s">
        <v>1840</v>
      </c>
      <c r="C2195" s="733" t="s">
        <v>1080</v>
      </c>
      <c r="D2195" s="733">
        <v>59.004661560058594</v>
      </c>
      <c r="E2195" s="733">
        <v>4</v>
      </c>
    </row>
    <row r="2196" spans="2:5" x14ac:dyDescent="0.25">
      <c r="B2196" s="1382" t="s">
        <v>1840</v>
      </c>
      <c r="C2196" s="733" t="s">
        <v>1080</v>
      </c>
      <c r="D2196" s="733">
        <v>66.009162902832031</v>
      </c>
      <c r="E2196" s="733">
        <v>4</v>
      </c>
    </row>
    <row r="2197" spans="2:5" x14ac:dyDescent="0.25">
      <c r="B2197" s="1382" t="s">
        <v>1840</v>
      </c>
      <c r="C2197" s="733" t="s">
        <v>1080</v>
      </c>
      <c r="D2197" s="733">
        <v>67.005302429199219</v>
      </c>
      <c r="E2197" s="733">
        <v>4</v>
      </c>
    </row>
    <row r="2198" spans="2:5" x14ac:dyDescent="0.25">
      <c r="B2198" s="1382" t="s">
        <v>1840</v>
      </c>
      <c r="C2198" s="733" t="s">
        <v>1081</v>
      </c>
      <c r="D2198" s="733">
        <v>80.005615234375</v>
      </c>
      <c r="E2198" s="733">
        <v>4</v>
      </c>
    </row>
    <row r="2199" spans="2:5" x14ac:dyDescent="0.25">
      <c r="B2199" s="1382" t="s">
        <v>1840</v>
      </c>
      <c r="C2199" s="733" t="s">
        <v>1080</v>
      </c>
      <c r="D2199" s="733">
        <v>68.008277893066406</v>
      </c>
      <c r="E2199" s="733">
        <v>4</v>
      </c>
    </row>
    <row r="2200" spans="2:5" x14ac:dyDescent="0.25">
      <c r="B2200" s="1382" t="s">
        <v>1840</v>
      </c>
      <c r="C2200" s="733" t="s">
        <v>1080</v>
      </c>
      <c r="D2200" s="733">
        <v>54.008659362792969</v>
      </c>
      <c r="E2200" s="733">
        <v>4</v>
      </c>
    </row>
  </sheetData>
  <hyperlinks>
    <hyperlink ref="D2" location="'Navigation control'!A1" display="Navigation control" xr:uid="{BF609049-492E-46D2-9CB5-6E9F9E5E8AD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CP174"/>
  <sheetViews>
    <sheetView showGridLines="0" topLeftCell="A48" zoomScale="80" zoomScaleNormal="80" workbookViewId="0">
      <selection activeCell="J62" sqref="J61:K62"/>
    </sheetView>
  </sheetViews>
  <sheetFormatPr defaultColWidth="11.5703125" defaultRowHeight="15" x14ac:dyDescent="0.25"/>
  <cols>
    <col min="1" max="1" width="13.42578125" bestFit="1" customWidth="1"/>
    <col min="2" max="2" width="18.5703125" bestFit="1" customWidth="1"/>
    <col min="3" max="3" width="34" bestFit="1" customWidth="1"/>
    <col min="4" max="4" width="24.28515625" customWidth="1"/>
    <col min="6" max="6" width="24.5703125" bestFit="1" customWidth="1"/>
    <col min="7" max="7" width="21" bestFit="1" customWidth="1"/>
    <col min="8" max="8" width="8.28515625" bestFit="1" customWidth="1"/>
    <col min="10" max="10" width="33.28515625" bestFit="1" customWidth="1"/>
    <col min="11" max="11" width="32.7109375" bestFit="1" customWidth="1"/>
    <col min="12" max="12" width="24.5703125" customWidth="1"/>
    <col min="13" max="13" width="3.7109375" customWidth="1"/>
    <col min="14" max="14" width="34.5703125" bestFit="1" customWidth="1"/>
    <col min="15" max="15" width="15.42578125" bestFit="1" customWidth="1"/>
    <col min="16" max="16" width="43" bestFit="1" customWidth="1"/>
    <col min="17" max="17" width="43.5703125" bestFit="1" customWidth="1"/>
    <col min="18" max="18" width="28.42578125" customWidth="1"/>
    <col min="19" max="19" width="32.28515625" bestFit="1" customWidth="1"/>
    <col min="20" max="23" width="28.42578125" customWidth="1"/>
    <col min="24" max="24" width="22.7109375" bestFit="1" customWidth="1"/>
    <col min="25" max="37" width="9.5703125" customWidth="1"/>
    <col min="38" max="38" width="28" bestFit="1" customWidth="1"/>
    <col min="39" max="50" width="9.5703125" customWidth="1"/>
    <col min="51" max="51" width="13.42578125" customWidth="1"/>
    <col min="53" max="53" width="20.42578125" bestFit="1" customWidth="1"/>
    <col min="54" max="54" width="15.28515625" customWidth="1"/>
    <col min="55" max="55" width="17" customWidth="1"/>
    <col min="57" max="57" width="12.42578125" customWidth="1"/>
    <col min="59" max="59" width="9.42578125" customWidth="1"/>
    <col min="62" max="62" width="5.42578125" customWidth="1"/>
    <col min="64" max="64" width="18.7109375" bestFit="1" customWidth="1"/>
    <col min="66" max="66" width="15.7109375" bestFit="1" customWidth="1"/>
    <col min="68" max="69" width="13.42578125" customWidth="1"/>
    <col min="75" max="75" width="18.7109375" bestFit="1" customWidth="1"/>
    <col min="77" max="77" width="15.7109375" bestFit="1" customWidth="1"/>
    <col min="79" max="80" width="13.42578125" customWidth="1"/>
    <col min="86" max="86" width="18.7109375" bestFit="1" customWidth="1"/>
    <col min="88" max="88" width="15.7109375" bestFit="1" customWidth="1"/>
    <col min="90" max="91" width="13.42578125" customWidth="1"/>
  </cols>
  <sheetData>
    <row r="1" spans="4:94" s="37" customFormat="1" x14ac:dyDescent="0.2"/>
    <row r="2" spans="4:94" s="37" customFormat="1" ht="18" x14ac:dyDescent="0.25">
      <c r="D2" s="40" t="s">
        <v>11</v>
      </c>
    </row>
    <row r="3" spans="4:94" s="37" customFormat="1" x14ac:dyDescent="0.2"/>
    <row r="5" spans="4:94" x14ac:dyDescent="0.25">
      <c r="D5" s="616" t="s">
        <v>1082</v>
      </c>
      <c r="J5" s="34"/>
    </row>
    <row r="6" spans="4:94" x14ac:dyDescent="0.25">
      <c r="J6" s="34"/>
      <c r="BB6" s="34"/>
    </row>
    <row r="7" spans="4:94" x14ac:dyDescent="0.25">
      <c r="J7" s="34"/>
      <c r="BD7" s="34"/>
      <c r="BE7" s="34"/>
      <c r="BI7" s="34"/>
      <c r="BJ7" s="34"/>
    </row>
    <row r="8" spans="4:94" x14ac:dyDescent="0.25">
      <c r="BA8" s="34" t="s">
        <v>1083</v>
      </c>
      <c r="BI8" s="34" t="s">
        <v>1084</v>
      </c>
      <c r="BJ8" s="34"/>
    </row>
    <row r="9" spans="4:94" ht="20.25" thickBot="1" x14ac:dyDescent="0.35">
      <c r="D9" s="558">
        <f>MATCH('Model settings'!G6,List_pop,0)</f>
        <v>1</v>
      </c>
      <c r="E9" s="558"/>
      <c r="F9" s="558">
        <f>MATCH('Model settings'!G30,List_analyses,0)</f>
        <v>1</v>
      </c>
      <c r="G9" s="559"/>
      <c r="H9" s="558">
        <f>MATCH(Utilities!I348,List_YesorNo,0)</f>
        <v>1</v>
      </c>
      <c r="J9" s="31" t="s">
        <v>1085</v>
      </c>
      <c r="K9" s="31" t="s">
        <v>1086</v>
      </c>
      <c r="L9" s="31" t="s">
        <v>1087</v>
      </c>
      <c r="N9" s="31" t="s">
        <v>1088</v>
      </c>
      <c r="O9" s="31" t="s">
        <v>1089</v>
      </c>
      <c r="P9" s="31" t="s">
        <v>1090</v>
      </c>
      <c r="Q9" s="31" t="s">
        <v>820</v>
      </c>
      <c r="R9" s="31" t="s">
        <v>197</v>
      </c>
      <c r="S9" s="31" t="s">
        <v>1091</v>
      </c>
      <c r="T9" s="31" t="s">
        <v>1092</v>
      </c>
      <c r="U9" s="31" t="s">
        <v>1093</v>
      </c>
      <c r="V9" s="31" t="s">
        <v>1094</v>
      </c>
      <c r="W9" s="31" t="s">
        <v>1095</v>
      </c>
      <c r="X9" s="31" t="s">
        <v>1096</v>
      </c>
      <c r="Y9" s="31" t="s">
        <v>1097</v>
      </c>
      <c r="Z9" s="31"/>
      <c r="AA9" s="31" t="s">
        <v>1098</v>
      </c>
      <c r="AB9" s="31"/>
      <c r="AC9" s="31" t="s">
        <v>1099</v>
      </c>
      <c r="AD9" s="31" t="s">
        <v>1100</v>
      </c>
      <c r="AE9" s="31"/>
      <c r="AF9" s="31" t="s">
        <v>1101</v>
      </c>
      <c r="AG9" s="31" t="s">
        <v>1102</v>
      </c>
      <c r="AH9" s="31"/>
      <c r="AI9" s="31"/>
      <c r="AJ9" s="31"/>
      <c r="AK9" s="31"/>
      <c r="AL9" s="31" t="s">
        <v>1103</v>
      </c>
      <c r="AM9" s="31" t="s">
        <v>1104</v>
      </c>
      <c r="AN9" s="31"/>
      <c r="AO9" s="31" t="s">
        <v>1105</v>
      </c>
      <c r="AP9" s="31"/>
      <c r="AQ9" s="31" t="s">
        <v>1755</v>
      </c>
      <c r="AR9" s="31"/>
      <c r="AS9" s="31"/>
      <c r="AT9" s="31"/>
      <c r="AU9" s="31"/>
      <c r="AV9" s="31"/>
      <c r="AW9" s="31"/>
      <c r="AX9" s="31"/>
      <c r="AZ9" s="89"/>
      <c r="BA9" s="90" t="s">
        <v>1106</v>
      </c>
      <c r="BB9" s="90" t="str">
        <f>C39</f>
        <v>&gt;12m since IO, favourable risk</v>
      </c>
      <c r="BC9" s="90"/>
      <c r="BD9" s="90"/>
      <c r="BE9" s="90"/>
      <c r="BF9" s="90"/>
      <c r="BG9" s="90"/>
      <c r="BH9" s="90"/>
      <c r="BI9" s="90"/>
      <c r="BK9" s="91"/>
      <c r="BL9" s="92" t="s">
        <v>1107</v>
      </c>
      <c r="BM9" s="92" t="str">
        <f>C40</f>
        <v>&gt;12m since IO, intermed/poor risk</v>
      </c>
      <c r="BN9" s="92"/>
      <c r="BO9" s="92"/>
      <c r="BP9" s="92"/>
      <c r="BQ9" s="92"/>
      <c r="BR9" s="92"/>
      <c r="BS9" s="92"/>
      <c r="BT9" s="92"/>
      <c r="BV9" s="93"/>
      <c r="BW9" s="94" t="s">
        <v>1108</v>
      </c>
      <c r="BX9" s="94" t="str">
        <f>C41</f>
        <v>&lt;12m since IO, favourable risk</v>
      </c>
      <c r="BY9" s="94"/>
      <c r="BZ9" s="94"/>
      <c r="CA9" s="94"/>
      <c r="CB9" s="94"/>
      <c r="CC9" s="94"/>
      <c r="CD9" s="94"/>
      <c r="CE9" s="94"/>
      <c r="CG9" s="95"/>
      <c r="CH9" s="96" t="s">
        <v>1109</v>
      </c>
      <c r="CI9" s="96" t="str">
        <f>C42</f>
        <v>&lt;12m since IO, intermed/poor risk</v>
      </c>
      <c r="CJ9" s="96"/>
      <c r="CK9" s="96"/>
      <c r="CL9" s="96"/>
      <c r="CM9" s="96"/>
      <c r="CN9" s="96"/>
      <c r="CO9" s="96"/>
      <c r="CP9" s="96"/>
    </row>
    <row r="10" spans="4:94" ht="15.75" thickTop="1" x14ac:dyDescent="0.25">
      <c r="D10" s="31" t="s">
        <v>30</v>
      </c>
      <c r="F10" s="31" t="s">
        <v>1110</v>
      </c>
      <c r="G10" s="31" t="s">
        <v>129</v>
      </c>
      <c r="H10" s="31" t="s">
        <v>1111</v>
      </c>
      <c r="J10" s="557" t="str" cm="1">
        <f t="array" ref="J10">INDEX($K$51:$K$85,$A51)</f>
        <v>nivolumab_monotherapy</v>
      </c>
      <c r="K10" t="s">
        <v>909</v>
      </c>
      <c r="L10" s="32" t="s">
        <v>562</v>
      </c>
      <c r="N10" s="557" t="str" cm="1">
        <f t="array" ref="N10">INDEX($S$51:$S$85,$A51)</f>
        <v>Overall survival</v>
      </c>
      <c r="O10" t="s">
        <v>267</v>
      </c>
      <c r="P10" t="s">
        <v>1112</v>
      </c>
      <c r="Q10" t="s">
        <v>1003</v>
      </c>
      <c r="R10" t="s">
        <v>986</v>
      </c>
      <c r="S10" s="557" t="str" cm="1">
        <f t="array" ref="S10">INDEX($N$51:$N$85,$A51)</f>
        <v>CheckMate 9ER</v>
      </c>
      <c r="T10" s="557" t="str" cm="1">
        <f t="array" ref="T10">INDEX($V$51:$V$85,$A51)</f>
        <v>Generalised gamma</v>
      </c>
      <c r="U10" t="s">
        <v>70</v>
      </c>
      <c r="V10" t="s">
        <v>54</v>
      </c>
      <c r="W10" t="str" cm="1">
        <f t="array" ref="W10:W12">IF(dd_baseline_risk_from="Trial data","Trial survival analysis",cabo_nivo_outcomes)</f>
        <v>Trial survival analysis</v>
      </c>
      <c r="X10" t="s">
        <v>562</v>
      </c>
      <c r="Y10" t="s">
        <v>149</v>
      </c>
      <c r="AA10" t="s">
        <v>1113</v>
      </c>
      <c r="AC10" t="s">
        <v>158</v>
      </c>
      <c r="AD10" t="s">
        <v>983</v>
      </c>
      <c r="AF10" t="s">
        <v>1114</v>
      </c>
      <c r="AG10" t="s">
        <v>1014</v>
      </c>
      <c r="AL10" t="s">
        <v>103</v>
      </c>
      <c r="AM10" t="s">
        <v>103</v>
      </c>
      <c r="AO10" t="s">
        <v>1115</v>
      </c>
      <c r="AQ10" t="s">
        <v>1750</v>
      </c>
      <c r="AZ10" s="89"/>
      <c r="BA10" s="97" t="s">
        <v>1116</v>
      </c>
      <c r="BB10" s="97" t="s">
        <v>151</v>
      </c>
      <c r="BC10" s="97" t="s">
        <v>152</v>
      </c>
      <c r="BD10" s="97" t="s">
        <v>153</v>
      </c>
      <c r="BE10" s="97" t="s">
        <v>154</v>
      </c>
      <c r="BK10" s="91"/>
      <c r="BL10" s="97" t="s">
        <v>1116</v>
      </c>
      <c r="BM10" s="97" t="s">
        <v>151</v>
      </c>
      <c r="BN10" s="97" t="s">
        <v>152</v>
      </c>
      <c r="BO10" s="97" t="s">
        <v>153</v>
      </c>
      <c r="BP10" s="97" t="s">
        <v>154</v>
      </c>
      <c r="BV10" s="93"/>
      <c r="BW10" s="97" t="s">
        <v>1116</v>
      </c>
      <c r="BX10" s="97" t="s">
        <v>151</v>
      </c>
      <c r="BY10" s="97" t="s">
        <v>152</v>
      </c>
      <c r="BZ10" s="97" t="s">
        <v>153</v>
      </c>
      <c r="CA10" s="97" t="s">
        <v>154</v>
      </c>
      <c r="CG10" s="95"/>
      <c r="CH10" s="97" t="s">
        <v>1116</v>
      </c>
      <c r="CI10" s="97" t="s">
        <v>151</v>
      </c>
      <c r="CJ10" s="97" t="s">
        <v>152</v>
      </c>
      <c r="CK10" s="97" t="s">
        <v>153</v>
      </c>
      <c r="CL10" s="97" t="s">
        <v>154</v>
      </c>
    </row>
    <row r="11" spans="4:94" x14ac:dyDescent="0.25">
      <c r="D11" s="557" t="str" cm="1">
        <f t="array" ref="D11">INDEX($B$51:$B$85,$A51)</f>
        <v>All</v>
      </c>
      <c r="F11" t="s">
        <v>52</v>
      </c>
      <c r="G11" s="615" t="str" cm="1">
        <f t="array" ref="G11">INDEX($F$51:$F$85,$A51)</f>
        <v>Previously untreated</v>
      </c>
      <c r="H11" t="s">
        <v>74</v>
      </c>
      <c r="J11" s="557" t="str" cm="1">
        <f t="array" ref="J11">INDEX($K$51:$K$85,$A52)</f>
        <v>cabozantinib_plus_nivolumab</v>
      </c>
      <c r="K11" t="s">
        <v>61</v>
      </c>
      <c r="L11" s="32" t="s">
        <v>67</v>
      </c>
      <c r="N11" s="557" t="str" cm="1">
        <f t="array" ref="N11">INDEX($S$51:$S$85,$A52)</f>
        <v>Progression free survival</v>
      </c>
      <c r="O11" t="s">
        <v>287</v>
      </c>
      <c r="P11" t="s">
        <v>1117</v>
      </c>
      <c r="Q11" t="s">
        <v>1005</v>
      </c>
      <c r="R11" t="s">
        <v>103</v>
      </c>
      <c r="S11" s="557" t="str" cm="1">
        <f t="array" ref="S11">INDEX($N$51:$N$85,$A52)</f>
        <v>CheckMate 025</v>
      </c>
      <c r="T11" s="557" t="str" cm="1">
        <f t="array" ref="T11">INDEX($V$51:$V$85,$A52)</f>
        <v>Exponential</v>
      </c>
      <c r="U11" t="s">
        <v>927</v>
      </c>
      <c r="V11" t="s">
        <v>900</v>
      </c>
      <c r="W11" t="str">
        <v>PH_NMA</v>
      </c>
      <c r="X11" t="s">
        <v>67</v>
      </c>
      <c r="Y11" t="s">
        <v>150</v>
      </c>
      <c r="AA11" t="s">
        <v>1118</v>
      </c>
      <c r="AC11" t="s">
        <v>88</v>
      </c>
      <c r="AD11" t="s">
        <v>92</v>
      </c>
      <c r="AF11" t="s">
        <v>98</v>
      </c>
      <c r="AG11" t="s">
        <v>819</v>
      </c>
      <c r="AL11" t="s">
        <v>957</v>
      </c>
      <c r="AM11" t="s">
        <v>959</v>
      </c>
      <c r="AO11" t="s">
        <v>105</v>
      </c>
      <c r="AQ11" t="s">
        <v>1751</v>
      </c>
      <c r="AZ11" s="89"/>
      <c r="BA11" t="s">
        <v>583</v>
      </c>
      <c r="BB11" t="s">
        <v>583</v>
      </c>
      <c r="BK11" s="91"/>
      <c r="BL11" t="s">
        <v>583</v>
      </c>
      <c r="BM11" t="s">
        <v>583</v>
      </c>
      <c r="BV11" s="93"/>
      <c r="CG11" s="95"/>
    </row>
    <row r="12" spans="4:94" x14ac:dyDescent="0.25">
      <c r="D12" s="557" t="str" cm="1">
        <f t="array" ref="D12">INDEX($B$51:$B$85,$A52)</f>
        <v>Poor / intermediate risk</v>
      </c>
      <c r="F12" t="s">
        <v>1119</v>
      </c>
      <c r="G12" s="615" t="str" cm="1">
        <f t="array" ref="G12">INDEX($F$51:$F$85,$A52)</f>
        <v>2nd line</v>
      </c>
      <c r="H12" t="s">
        <v>58</v>
      </c>
      <c r="J12" s="557" t="str" cm="1">
        <f t="array" ref="J12">INDEX($K$51:$K$85,$A53)</f>
        <v>nivolumab_plus_ipilimumab</v>
      </c>
      <c r="L12" t="s">
        <v>63</v>
      </c>
      <c r="N12" s="557" t="str" cm="1">
        <f t="array" ref="N12">INDEX($S$51:$S$85,$A53)</f>
        <v>Time to treatment discontinuation</v>
      </c>
      <c r="P12" t="s">
        <v>1120</v>
      </c>
      <c r="Q12" t="s">
        <v>1010</v>
      </c>
      <c r="R12" t="s">
        <v>989</v>
      </c>
      <c r="S12" s="557" t="str" cm="1">
        <f t="array" ref="S12">INDEX($N$51:$N$85,$A53)</f>
        <v>Real world evidence</v>
      </c>
      <c r="T12" s="557" t="str" cm="1">
        <f t="array" ref="T12">INDEX($V$51:$V$85,$A53)</f>
        <v>Weibull</v>
      </c>
      <c r="W12" t="str">
        <v>FP_NMA</v>
      </c>
      <c r="X12" t="s">
        <v>63</v>
      </c>
      <c r="AA12" t="s">
        <v>1121</v>
      </c>
      <c r="AG12" t="s">
        <v>1016</v>
      </c>
      <c r="AM12" t="s">
        <v>969</v>
      </c>
      <c r="AQ12" t="s">
        <v>1756</v>
      </c>
      <c r="AZ12" s="89"/>
      <c r="BA12" t="s">
        <v>327</v>
      </c>
      <c r="BC12" t="s">
        <v>327</v>
      </c>
      <c r="BD12" t="s">
        <v>327</v>
      </c>
      <c r="BE12" t="s">
        <v>327</v>
      </c>
      <c r="BK12" s="91"/>
      <c r="BL12" t="s">
        <v>327</v>
      </c>
      <c r="BN12" t="s">
        <v>327</v>
      </c>
      <c r="BO12" t="s">
        <v>327</v>
      </c>
      <c r="BP12" t="s">
        <v>327</v>
      </c>
      <c r="BV12" s="93"/>
      <c r="BW12" t="s">
        <v>327</v>
      </c>
      <c r="BY12" t="s">
        <v>327</v>
      </c>
      <c r="BZ12" t="s">
        <v>327</v>
      </c>
      <c r="CA12" t="s">
        <v>327</v>
      </c>
      <c r="CG12" s="95"/>
      <c r="CH12" t="s">
        <v>327</v>
      </c>
      <c r="CJ12" t="s">
        <v>327</v>
      </c>
      <c r="CK12" t="s">
        <v>327</v>
      </c>
      <c r="CL12" t="s">
        <v>327</v>
      </c>
    </row>
    <row r="13" spans="4:94" x14ac:dyDescent="0.25">
      <c r="D13" s="557" t="str" cm="1">
        <f t="array" ref="D13">INDEX($B$51:$B$85,$A53)</f>
        <v>Favourable risk</v>
      </c>
      <c r="F13" t="s">
        <v>1122</v>
      </c>
      <c r="G13" s="615" t="str" cm="1">
        <f t="array" ref="G13">INDEX($F$51:$F$85,$A53)</f>
        <v>3rd line</v>
      </c>
      <c r="J13" s="557" t="str" cm="1">
        <f t="array" ref="J13">INDEX($K$51:$K$85,$A54)</f>
        <v>lenvatinib_plus_pembrolizumab</v>
      </c>
      <c r="L13" s="32" t="s">
        <v>561</v>
      </c>
      <c r="N13" s="557" t="str" cm="1">
        <f t="array" ref="N13">INDEX($S$51:$S$85,$A54)</f>
        <v>Time to progression</v>
      </c>
      <c r="Q13" t="s">
        <v>1011</v>
      </c>
      <c r="R13" t="s">
        <v>992</v>
      </c>
      <c r="S13" s="557" t="s">
        <v>1123</v>
      </c>
      <c r="T13" s="557" t="str" cm="1">
        <f t="array" ref="T13">INDEX($V$51:$V$85,$A54)</f>
        <v>Log-normal</v>
      </c>
      <c r="AA13" t="s">
        <v>1124</v>
      </c>
      <c r="AM13" t="s">
        <v>1125</v>
      </c>
      <c r="AZ13" s="89"/>
      <c r="BA13" t="s">
        <v>118</v>
      </c>
      <c r="BC13" t="s">
        <v>118</v>
      </c>
      <c r="BD13" t="s">
        <v>118</v>
      </c>
      <c r="BK13" s="91"/>
      <c r="BL13" t="s">
        <v>118</v>
      </c>
      <c r="BM13" t="s">
        <v>118</v>
      </c>
      <c r="BN13" t="s">
        <v>118</v>
      </c>
      <c r="BO13" t="s">
        <v>118</v>
      </c>
      <c r="BV13" s="93"/>
      <c r="BW13" t="s">
        <v>118</v>
      </c>
      <c r="BY13" t="s">
        <v>118</v>
      </c>
      <c r="BZ13" t="s">
        <v>118</v>
      </c>
      <c r="CG13" s="95"/>
      <c r="CH13" t="s">
        <v>118</v>
      </c>
      <c r="CI13" t="s">
        <v>118</v>
      </c>
      <c r="CJ13" t="s">
        <v>118</v>
      </c>
      <c r="CK13" t="s">
        <v>118</v>
      </c>
    </row>
    <row r="14" spans="4:94" x14ac:dyDescent="0.25">
      <c r="D14" s="557"/>
      <c r="F14" t="s">
        <v>1126</v>
      </c>
      <c r="G14" s="615" t="str" cm="1">
        <f t="array" ref="G14">INDEX($F$51:$F$85,$A54)</f>
        <v>4th line</v>
      </c>
      <c r="J14" s="557" t="str" cm="1">
        <f t="array" ref="J14">INDEX($K$51:$K$85,$A55)</f>
        <v>avelumab_plus_axitinib</v>
      </c>
      <c r="L14" s="32" t="s">
        <v>578</v>
      </c>
      <c r="N14" s="557" t="str" cm="1">
        <f t="array" ref="N14">INDEX($S$51:$S$85,$A55)</f>
        <v>Post progression survival</v>
      </c>
      <c r="Q14" t="s">
        <v>1023</v>
      </c>
      <c r="R14" t="s">
        <v>998</v>
      </c>
      <c r="T14" s="557" t="str" cm="1">
        <f t="array" ref="T14">INDEX($V$51:$V$85,$A55)</f>
        <v>Gamma</v>
      </c>
      <c r="AA14" t="s">
        <v>1127</v>
      </c>
      <c r="AZ14" s="89"/>
      <c r="BA14" t="s">
        <v>119</v>
      </c>
      <c r="BC14" t="s">
        <v>119</v>
      </c>
      <c r="BD14" t="s">
        <v>119</v>
      </c>
      <c r="BE14" t="s">
        <v>119</v>
      </c>
      <c r="BK14" s="91"/>
      <c r="BL14" t="s">
        <v>119</v>
      </c>
      <c r="BN14" t="s">
        <v>119</v>
      </c>
      <c r="BO14" t="s">
        <v>119</v>
      </c>
      <c r="BP14" t="s">
        <v>119</v>
      </c>
      <c r="BV14" s="93"/>
      <c r="BW14" t="s">
        <v>119</v>
      </c>
      <c r="BY14" t="s">
        <v>119</v>
      </c>
      <c r="BZ14" t="s">
        <v>119</v>
      </c>
      <c r="CA14" t="s">
        <v>119</v>
      </c>
      <c r="CG14" s="95"/>
      <c r="CH14" t="s">
        <v>119</v>
      </c>
      <c r="CJ14" t="s">
        <v>119</v>
      </c>
      <c r="CK14" t="s">
        <v>119</v>
      </c>
      <c r="CL14" t="s">
        <v>119</v>
      </c>
    </row>
    <row r="15" spans="4:94" x14ac:dyDescent="0.25">
      <c r="D15" s="557"/>
      <c r="G15" s="615" t="str" cm="1">
        <f t="array" ref="G15">INDEX($F$51:$F$85,$A55)</f>
        <v>BSC</v>
      </c>
      <c r="J15" s="557" t="str" cm="1">
        <f t="array" ref="J15">INDEX($K$51:$K$85,$A56)</f>
        <v>pazopanib</v>
      </c>
      <c r="L15" s="32"/>
      <c r="N15" s="557"/>
      <c r="Q15" t="s">
        <v>103</v>
      </c>
      <c r="T15" s="557" t="str" cm="1">
        <f t="array" ref="T15">INDEX($V$51:$V$85,$A56)</f>
        <v>Gompertz</v>
      </c>
      <c r="AA15" t="s">
        <v>1117</v>
      </c>
      <c r="AZ15" s="89"/>
      <c r="BK15" s="91"/>
      <c r="BL15" t="s">
        <v>581</v>
      </c>
      <c r="BM15" t="s">
        <v>581</v>
      </c>
      <c r="BV15" s="93"/>
      <c r="CG15" s="95"/>
    </row>
    <row r="16" spans="4:94" x14ac:dyDescent="0.25">
      <c r="D16" s="557"/>
      <c r="J16" s="557" t="str" cm="1">
        <f t="array" ref="J16">INDEX($K$51:$K$85,$A57)</f>
        <v>tivozanib</v>
      </c>
      <c r="L16" s="32"/>
      <c r="N16" s="557"/>
      <c r="Q16" t="s">
        <v>1827</v>
      </c>
      <c r="T16" s="557" t="str" cm="1">
        <f t="array" ref="T16">INDEX($V$51:$V$85,$A57)</f>
        <v>Log-logistic</v>
      </c>
      <c r="AA16" t="s">
        <v>675</v>
      </c>
      <c r="AZ16" s="89"/>
      <c r="BA16" t="s">
        <v>333</v>
      </c>
      <c r="BC16" t="s">
        <v>333</v>
      </c>
      <c r="BD16" t="s">
        <v>333</v>
      </c>
      <c r="BK16" s="91"/>
      <c r="BL16" t="s">
        <v>333</v>
      </c>
      <c r="BN16" t="s">
        <v>333</v>
      </c>
      <c r="BO16" t="s">
        <v>333</v>
      </c>
      <c r="BV16" s="93"/>
      <c r="BW16" t="s">
        <v>333</v>
      </c>
      <c r="BY16" t="s">
        <v>333</v>
      </c>
      <c r="BZ16" t="s">
        <v>333</v>
      </c>
      <c r="CG16" s="95"/>
      <c r="CH16" t="s">
        <v>333</v>
      </c>
      <c r="CJ16" t="s">
        <v>333</v>
      </c>
      <c r="CK16" t="s">
        <v>333</v>
      </c>
    </row>
    <row r="17" spans="4:94" x14ac:dyDescent="0.25">
      <c r="D17" s="557"/>
      <c r="J17" s="557" t="str" cm="1">
        <f t="array" ref="J17">INDEX($K$51:$K$85,$A58)</f>
        <v>sunitinib</v>
      </c>
      <c r="L17" s="32"/>
      <c r="N17" s="557"/>
      <c r="AA17" t="s">
        <v>1128</v>
      </c>
      <c r="AZ17" s="89"/>
      <c r="BA17" t="s">
        <v>571</v>
      </c>
      <c r="BB17" t="s">
        <v>571</v>
      </c>
      <c r="BK17" s="91"/>
      <c r="BL17" t="s">
        <v>571</v>
      </c>
      <c r="BM17" t="s">
        <v>571</v>
      </c>
      <c r="BV17" s="93"/>
      <c r="CG17" s="95"/>
    </row>
    <row r="18" spans="4:94" x14ac:dyDescent="0.25">
      <c r="D18" s="557"/>
      <c r="J18" s="557" t="str" cm="1">
        <f t="array" ref="J18">INDEX($K$51:$K$85,$A59)</f>
        <v>cabozantinib</v>
      </c>
      <c r="AA18" t="s">
        <v>1129</v>
      </c>
      <c r="AZ18" s="89"/>
      <c r="BA18" t="s">
        <v>579</v>
      </c>
      <c r="BC18" t="s">
        <v>579</v>
      </c>
      <c r="BD18" t="s">
        <v>579</v>
      </c>
      <c r="BK18" s="91"/>
      <c r="BL18" t="s">
        <v>579</v>
      </c>
      <c r="BN18" t="s">
        <v>579</v>
      </c>
      <c r="BO18" t="s">
        <v>579</v>
      </c>
      <c r="BV18" s="93"/>
      <c r="BW18" t="s">
        <v>579</v>
      </c>
      <c r="BY18" t="s">
        <v>579</v>
      </c>
      <c r="BZ18" t="s">
        <v>579</v>
      </c>
      <c r="CG18" s="95"/>
      <c r="CH18" t="s">
        <v>579</v>
      </c>
      <c r="CJ18" t="s">
        <v>579</v>
      </c>
      <c r="CK18" t="s">
        <v>579</v>
      </c>
    </row>
    <row r="19" spans="4:94" x14ac:dyDescent="0.25">
      <c r="D19" s="557"/>
      <c r="J19" s="557" t="str" cm="1">
        <f t="array" ref="J19">INDEX($K$51:$K$85,$A60)</f>
        <v>lenvatinib_plus_everolimus</v>
      </c>
      <c r="L19" s="32"/>
      <c r="AA19" t="s">
        <v>1130</v>
      </c>
      <c r="AZ19" s="89"/>
      <c r="BA19" t="s">
        <v>585</v>
      </c>
      <c r="BB19" t="s">
        <v>585</v>
      </c>
      <c r="BC19" t="s">
        <v>585</v>
      </c>
      <c r="BD19" t="s">
        <v>585</v>
      </c>
      <c r="BK19" s="91"/>
      <c r="BL19" t="s">
        <v>585</v>
      </c>
      <c r="BM19" t="s">
        <v>585</v>
      </c>
      <c r="BN19" t="s">
        <v>585</v>
      </c>
      <c r="BO19" t="s">
        <v>585</v>
      </c>
      <c r="BV19" s="93"/>
      <c r="BW19" t="s">
        <v>585</v>
      </c>
      <c r="BX19" t="s">
        <v>585</v>
      </c>
      <c r="BY19" t="s">
        <v>585</v>
      </c>
      <c r="BZ19" t="s">
        <v>585</v>
      </c>
      <c r="CG19" s="95"/>
      <c r="CH19" t="s">
        <v>585</v>
      </c>
      <c r="CI19" t="s">
        <v>585</v>
      </c>
      <c r="CJ19" t="s">
        <v>585</v>
      </c>
      <c r="CK19" t="s">
        <v>585</v>
      </c>
    </row>
    <row r="20" spans="4:94" x14ac:dyDescent="0.25">
      <c r="D20" s="557"/>
      <c r="J20" s="557" t="str" cm="1">
        <f t="array" ref="J20">INDEX($K$51:$K$85,$A61)</f>
        <v>everolimus</v>
      </c>
      <c r="AA20" t="s">
        <v>1131</v>
      </c>
      <c r="AZ20" s="89"/>
      <c r="BK20" s="91"/>
      <c r="BL20" t="s">
        <v>582</v>
      </c>
      <c r="BM20" t="s">
        <v>582</v>
      </c>
      <c r="BV20" s="93"/>
      <c r="CG20" s="95"/>
    </row>
    <row r="21" spans="4:94" x14ac:dyDescent="0.25">
      <c r="D21" s="557"/>
      <c r="J21" s="557" t="str" cm="1">
        <f t="array" ref="J21">INDEX($K$51:$K$85,$A62)</f>
        <v>axitinib</v>
      </c>
      <c r="AA21" t="s">
        <v>1132</v>
      </c>
      <c r="AZ21" s="89"/>
      <c r="BA21" t="s">
        <v>117</v>
      </c>
      <c r="BB21" t="s">
        <v>117</v>
      </c>
      <c r="BC21" t="s">
        <v>117</v>
      </c>
      <c r="BD21" t="s">
        <v>117</v>
      </c>
      <c r="BK21" s="91"/>
      <c r="BL21" t="s">
        <v>117</v>
      </c>
      <c r="BM21" t="s">
        <v>117</v>
      </c>
      <c r="BN21" t="s">
        <v>117</v>
      </c>
      <c r="BO21" t="s">
        <v>117</v>
      </c>
      <c r="BV21" s="93"/>
      <c r="BW21" t="s">
        <v>117</v>
      </c>
      <c r="BX21" t="s">
        <v>117</v>
      </c>
      <c r="BY21" t="s">
        <v>117</v>
      </c>
      <c r="BZ21" t="s">
        <v>117</v>
      </c>
      <c r="CG21" s="95"/>
      <c r="CH21" t="s">
        <v>117</v>
      </c>
      <c r="CI21" t="s">
        <v>117</v>
      </c>
      <c r="CJ21" t="s">
        <v>117</v>
      </c>
      <c r="CK21" t="s">
        <v>117</v>
      </c>
    </row>
    <row r="22" spans="4:94" x14ac:dyDescent="0.25">
      <c r="D22" s="557"/>
      <c r="J22" s="557" t="str" cm="1">
        <f t="array" ref="J22">INDEX($K$51:$K$85,$A63)</f>
        <v>sorafenib</v>
      </c>
      <c r="AA22" t="s">
        <v>1133</v>
      </c>
      <c r="AZ22" s="89"/>
      <c r="BA22" s="98" t="s">
        <v>319</v>
      </c>
      <c r="BB22" s="98" t="s">
        <v>319</v>
      </c>
      <c r="BC22" s="98" t="s">
        <v>319</v>
      </c>
      <c r="BD22" s="98" t="s">
        <v>319</v>
      </c>
      <c r="BE22" s="98"/>
      <c r="BF22" s="98"/>
      <c r="BG22" s="98"/>
      <c r="BH22" s="98"/>
      <c r="BI22" s="98"/>
      <c r="BK22" s="91"/>
      <c r="BL22" s="98" t="s">
        <v>319</v>
      </c>
      <c r="BM22" s="98" t="s">
        <v>319</v>
      </c>
      <c r="BN22" s="98" t="s">
        <v>319</v>
      </c>
      <c r="BO22" s="98" t="s">
        <v>319</v>
      </c>
      <c r="BP22" s="98"/>
      <c r="BQ22" s="98"/>
      <c r="BR22" s="98"/>
      <c r="BS22" s="98"/>
      <c r="BT22" s="98"/>
      <c r="BV22" s="93"/>
      <c r="BW22" s="98" t="s">
        <v>319</v>
      </c>
      <c r="BX22" s="98" t="s">
        <v>319</v>
      </c>
      <c r="BY22" s="98" t="s">
        <v>319</v>
      </c>
      <c r="BZ22" s="98" t="s">
        <v>319</v>
      </c>
      <c r="CA22" s="98"/>
      <c r="CB22" s="98"/>
      <c r="CC22" s="98"/>
      <c r="CD22" s="98"/>
      <c r="CE22" s="98"/>
      <c r="CG22" s="95"/>
      <c r="CH22" s="98" t="s">
        <v>319</v>
      </c>
      <c r="CI22" s="98" t="s">
        <v>319</v>
      </c>
      <c r="CJ22" s="98" t="s">
        <v>319</v>
      </c>
      <c r="CK22" s="98" t="s">
        <v>319</v>
      </c>
      <c r="CL22" s="98"/>
      <c r="CM22" s="98"/>
      <c r="CN22" s="98"/>
      <c r="CO22" s="98"/>
      <c r="CP22" s="98"/>
    </row>
    <row r="23" spans="4:94" x14ac:dyDescent="0.25">
      <c r="D23" s="557"/>
      <c r="J23" s="557" t="str" cm="1">
        <f t="array" ref="J23">INDEX($K$51:$K$85,$A85)</f>
        <v>placebo_BSC</v>
      </c>
      <c r="AA23" t="s">
        <v>1134</v>
      </c>
      <c r="AZ23" s="89"/>
      <c r="BK23" s="91"/>
      <c r="BV23" s="93"/>
      <c r="CG23" s="95"/>
    </row>
    <row r="24" spans="4:94" x14ac:dyDescent="0.25">
      <c r="D24" s="557"/>
      <c r="AA24" t="s">
        <v>1135</v>
      </c>
      <c r="AZ24" s="89"/>
      <c r="BA24" s="31" t="s">
        <v>1136</v>
      </c>
      <c r="BK24" s="91"/>
      <c r="BL24" s="31" t="s">
        <v>1136</v>
      </c>
      <c r="BV24" s="93"/>
      <c r="BW24" s="31" t="s">
        <v>1136</v>
      </c>
      <c r="CG24" s="95"/>
      <c r="CH24" s="31" t="s">
        <v>1136</v>
      </c>
    </row>
    <row r="25" spans="4:94" x14ac:dyDescent="0.25">
      <c r="D25" s="557"/>
      <c r="AA25" t="s">
        <v>1137</v>
      </c>
      <c r="AZ25" s="89"/>
      <c r="BA25" s="31" t="s">
        <v>327</v>
      </c>
      <c r="BB25" s="31" t="s">
        <v>119</v>
      </c>
      <c r="BC25" s="31"/>
      <c r="BD25" s="31"/>
      <c r="BE25" s="31"/>
      <c r="BF25" s="31"/>
      <c r="BG25" s="31"/>
      <c r="BH25" s="31"/>
      <c r="BI25" s="31"/>
      <c r="BJ25" s="31"/>
      <c r="BK25" s="99"/>
      <c r="BL25" s="31" t="s">
        <v>327</v>
      </c>
      <c r="BM25" s="31" t="s">
        <v>119</v>
      </c>
      <c r="BN25" s="31"/>
      <c r="BO25" s="31"/>
      <c r="BP25" s="31"/>
      <c r="BQ25" s="31"/>
      <c r="BR25" s="31"/>
      <c r="BV25" s="93"/>
      <c r="BW25" s="31" t="s">
        <v>327</v>
      </c>
      <c r="BX25" s="31" t="s">
        <v>119</v>
      </c>
      <c r="BY25" s="31"/>
      <c r="BZ25" s="31"/>
      <c r="CA25" s="31"/>
      <c r="CB25" s="31"/>
      <c r="CC25" s="31"/>
      <c r="CD25" s="31"/>
      <c r="CE25" s="31"/>
      <c r="CG25" s="95"/>
      <c r="CH25" s="31" t="s">
        <v>327</v>
      </c>
      <c r="CI25" s="31" t="s">
        <v>119</v>
      </c>
    </row>
    <row r="26" spans="4:94" x14ac:dyDescent="0.25">
      <c r="AA26" t="s">
        <v>1138</v>
      </c>
      <c r="AZ26" s="89"/>
      <c r="BA26" t="s">
        <v>583</v>
      </c>
      <c r="BB26" t="s">
        <v>583</v>
      </c>
      <c r="BK26" s="91"/>
      <c r="BL26" t="s">
        <v>583</v>
      </c>
      <c r="BM26" t="s">
        <v>583</v>
      </c>
      <c r="BV26" s="93"/>
      <c r="BW26" t="s">
        <v>583</v>
      </c>
      <c r="BX26" t="s">
        <v>583</v>
      </c>
      <c r="CG26" s="95"/>
      <c r="CH26" t="s">
        <v>583</v>
      </c>
      <c r="CI26" t="s">
        <v>583</v>
      </c>
    </row>
    <row r="27" spans="4:94" x14ac:dyDescent="0.25">
      <c r="AA27" t="s">
        <v>1139</v>
      </c>
      <c r="AZ27" s="89"/>
      <c r="BB27" t="s">
        <v>327</v>
      </c>
      <c r="BJ27" s="87"/>
      <c r="BK27" s="91"/>
      <c r="BM27" t="s">
        <v>327</v>
      </c>
      <c r="BV27" s="93"/>
      <c r="BX27" t="s">
        <v>327</v>
      </c>
      <c r="CG27" s="95"/>
      <c r="CI27" t="s">
        <v>327</v>
      </c>
    </row>
    <row r="28" spans="4:94" x14ac:dyDescent="0.25">
      <c r="AA28" t="s">
        <v>1140</v>
      </c>
      <c r="AZ28" s="89"/>
      <c r="BA28" t="s">
        <v>118</v>
      </c>
      <c r="BB28" t="s">
        <v>118</v>
      </c>
      <c r="BJ28" s="87"/>
      <c r="BK28" s="91"/>
      <c r="BL28" t="s">
        <v>118</v>
      </c>
      <c r="BM28" t="s">
        <v>118</v>
      </c>
      <c r="BV28" s="93"/>
      <c r="BW28" t="s">
        <v>118</v>
      </c>
      <c r="BX28" t="s">
        <v>118</v>
      </c>
      <c r="CG28" s="95"/>
      <c r="CH28" t="s">
        <v>118</v>
      </c>
      <c r="CI28" t="s">
        <v>118</v>
      </c>
    </row>
    <row r="29" spans="4:94" x14ac:dyDescent="0.25">
      <c r="AA29" t="s">
        <v>1141</v>
      </c>
      <c r="AZ29" s="89"/>
      <c r="BK29" s="91"/>
      <c r="BV29" s="93"/>
      <c r="CG29" s="95"/>
    </row>
    <row r="30" spans="4:94" x14ac:dyDescent="0.25">
      <c r="AA30" t="s">
        <v>1142</v>
      </c>
      <c r="AZ30" s="89"/>
      <c r="BK30" s="91"/>
      <c r="BV30" s="93"/>
      <c r="CG30" s="95"/>
    </row>
    <row r="31" spans="4:94" x14ac:dyDescent="0.25">
      <c r="AA31" t="s">
        <v>1143</v>
      </c>
      <c r="AZ31" s="89"/>
      <c r="BA31" t="s">
        <v>333</v>
      </c>
      <c r="BB31" t="s">
        <v>333</v>
      </c>
      <c r="BK31" s="91"/>
      <c r="BL31" t="s">
        <v>333</v>
      </c>
      <c r="BM31" t="s">
        <v>333</v>
      </c>
      <c r="BV31" s="93"/>
      <c r="BW31" t="s">
        <v>333</v>
      </c>
      <c r="BX31" t="s">
        <v>333</v>
      </c>
      <c r="CG31" s="95"/>
      <c r="CH31" t="s">
        <v>333</v>
      </c>
      <c r="CI31" t="s">
        <v>333</v>
      </c>
    </row>
    <row r="32" spans="4:94" x14ac:dyDescent="0.25">
      <c r="AZ32" s="89"/>
      <c r="BA32" t="s">
        <v>571</v>
      </c>
      <c r="BB32" t="s">
        <v>571</v>
      </c>
      <c r="BK32" s="91"/>
      <c r="BL32" t="s">
        <v>571</v>
      </c>
      <c r="BM32" t="s">
        <v>571</v>
      </c>
      <c r="BV32" s="93"/>
      <c r="BW32" t="s">
        <v>571</v>
      </c>
      <c r="BX32" t="s">
        <v>571</v>
      </c>
      <c r="CG32" s="95"/>
      <c r="CH32" t="s">
        <v>571</v>
      </c>
      <c r="CI32" t="s">
        <v>571</v>
      </c>
    </row>
    <row r="33" spans="1:89" x14ac:dyDescent="0.25">
      <c r="AZ33" s="89"/>
      <c r="BJ33" s="34"/>
      <c r="BK33" s="91"/>
      <c r="BV33" s="93"/>
      <c r="CG33" s="95"/>
    </row>
    <row r="34" spans="1:89" x14ac:dyDescent="0.25">
      <c r="AZ34" s="89"/>
      <c r="BA34" t="s">
        <v>585</v>
      </c>
      <c r="BB34" t="s">
        <v>585</v>
      </c>
      <c r="BK34" s="91"/>
      <c r="BL34" t="s">
        <v>585</v>
      </c>
      <c r="BM34" t="s">
        <v>585</v>
      </c>
      <c r="BV34" s="93"/>
      <c r="BW34" t="s">
        <v>585</v>
      </c>
      <c r="BX34" t="s">
        <v>585</v>
      </c>
      <c r="CG34" s="95"/>
      <c r="CH34" t="s">
        <v>585</v>
      </c>
      <c r="CI34" t="s">
        <v>585</v>
      </c>
    </row>
    <row r="35" spans="1:89" x14ac:dyDescent="0.25">
      <c r="AZ35" s="89"/>
      <c r="BA35" t="s">
        <v>582</v>
      </c>
      <c r="BB35" t="s">
        <v>582</v>
      </c>
      <c r="BK35" s="91"/>
      <c r="BL35" t="s">
        <v>582</v>
      </c>
      <c r="BM35" t="s">
        <v>582</v>
      </c>
      <c r="BV35" s="93"/>
      <c r="BW35" t="s">
        <v>582</v>
      </c>
      <c r="BX35" t="s">
        <v>582</v>
      </c>
      <c r="CG35" s="95"/>
      <c r="CH35" t="s">
        <v>582</v>
      </c>
      <c r="CI35" t="s">
        <v>582</v>
      </c>
    </row>
    <row r="36" spans="1:89" x14ac:dyDescent="0.25">
      <c r="AZ36" s="89"/>
      <c r="BA36" t="s">
        <v>117</v>
      </c>
      <c r="BB36" t="s">
        <v>117</v>
      </c>
      <c r="BK36" s="91"/>
      <c r="BL36" t="s">
        <v>117</v>
      </c>
      <c r="BM36" t="s">
        <v>117</v>
      </c>
      <c r="BV36" s="93"/>
      <c r="BW36" t="s">
        <v>117</v>
      </c>
      <c r="BX36" t="s">
        <v>117</v>
      </c>
      <c r="CG36" s="95"/>
      <c r="CH36" t="s">
        <v>117</v>
      </c>
      <c r="CI36" t="s">
        <v>117</v>
      </c>
    </row>
    <row r="37" spans="1:89" x14ac:dyDescent="0.25">
      <c r="AZ37" s="89"/>
      <c r="BA37" s="98" t="s">
        <v>319</v>
      </c>
      <c r="BB37" s="98" t="s">
        <v>319</v>
      </c>
      <c r="BK37" s="91"/>
      <c r="BL37" s="98" t="s">
        <v>319</v>
      </c>
      <c r="BM37" s="98" t="s">
        <v>319</v>
      </c>
      <c r="BV37" s="93"/>
      <c r="BW37" s="98" t="s">
        <v>319</v>
      </c>
      <c r="BX37" s="98" t="s">
        <v>319</v>
      </c>
      <c r="CG37" s="95"/>
      <c r="CH37" s="98" t="s">
        <v>319</v>
      </c>
      <c r="CI37" s="98" t="s">
        <v>319</v>
      </c>
    </row>
    <row r="38" spans="1:89" x14ac:dyDescent="0.25">
      <c r="C38" s="31" t="s">
        <v>1144</v>
      </c>
      <c r="AZ38" s="89"/>
      <c r="BK38" s="91"/>
      <c r="BV38" s="93"/>
      <c r="CG38" s="95"/>
    </row>
    <row r="39" spans="1:89" x14ac:dyDescent="0.25">
      <c r="B39" t="s">
        <v>773</v>
      </c>
      <c r="C39" t="s">
        <v>1145</v>
      </c>
      <c r="AZ39" s="89"/>
      <c r="BA39" s="97" t="s">
        <v>1146</v>
      </c>
      <c r="BK39" s="91"/>
      <c r="BL39" s="97" t="s">
        <v>1146</v>
      </c>
      <c r="BV39" s="93"/>
      <c r="BW39" s="97" t="s">
        <v>1146</v>
      </c>
      <c r="CG39" s="95"/>
      <c r="CH39" s="97" t="s">
        <v>1146</v>
      </c>
    </row>
    <row r="40" spans="1:89" x14ac:dyDescent="0.25">
      <c r="B40" t="s">
        <v>788</v>
      </c>
      <c r="C40" t="s">
        <v>1147</v>
      </c>
      <c r="AZ40" s="89"/>
      <c r="BA40" s="97" t="s">
        <v>333</v>
      </c>
      <c r="BK40" s="91"/>
      <c r="BL40" s="97" t="s">
        <v>333</v>
      </c>
      <c r="BV40" s="93"/>
      <c r="BW40" s="97" t="s">
        <v>333</v>
      </c>
      <c r="CG40" s="95"/>
      <c r="CH40" s="97" t="s">
        <v>333</v>
      </c>
    </row>
    <row r="41" spans="1:89" x14ac:dyDescent="0.25">
      <c r="B41" t="s">
        <v>794</v>
      </c>
      <c r="C41" t="s">
        <v>1148</v>
      </c>
      <c r="AZ41" s="89"/>
      <c r="BA41" t="s">
        <v>581</v>
      </c>
      <c r="BK41" s="91"/>
      <c r="BL41" t="s">
        <v>581</v>
      </c>
      <c r="BV41" s="93"/>
      <c r="BW41" t="s">
        <v>581</v>
      </c>
      <c r="CG41" s="95"/>
      <c r="CH41" t="s">
        <v>581</v>
      </c>
    </row>
    <row r="42" spans="1:89" x14ac:dyDescent="0.25">
      <c r="B42" t="s">
        <v>1149</v>
      </c>
      <c r="C42" t="s">
        <v>1150</v>
      </c>
      <c r="AZ42" s="89"/>
      <c r="BK42" s="91"/>
      <c r="BV42" s="93"/>
      <c r="CG42" s="95"/>
    </row>
    <row r="43" spans="1:89" x14ac:dyDescent="0.25">
      <c r="AZ43" s="89"/>
      <c r="BK43" s="91"/>
      <c r="BV43" s="93"/>
      <c r="CG43" s="95"/>
    </row>
    <row r="44" spans="1:89" x14ac:dyDescent="0.25">
      <c r="B44" s="33" t="s">
        <v>1151</v>
      </c>
      <c r="C44">
        <v>4</v>
      </c>
      <c r="AZ44" s="89"/>
      <c r="BK44" s="91"/>
      <c r="BV44" s="93"/>
      <c r="CG44" s="95"/>
    </row>
    <row r="45" spans="1:89" x14ac:dyDescent="0.25">
      <c r="J45" s="1063" t="s">
        <v>1152</v>
      </c>
      <c r="K45" s="1064"/>
      <c r="L45" s="1065">
        <v>999</v>
      </c>
      <c r="AZ45" s="89"/>
      <c r="BK45" s="91"/>
      <c r="BV45" s="93"/>
      <c r="CG45" s="95"/>
    </row>
    <row r="46" spans="1:89" x14ac:dyDescent="0.25">
      <c r="A46" s="538"/>
      <c r="B46" s="539" t="s">
        <v>1153</v>
      </c>
      <c r="C46" s="538"/>
      <c r="D46" s="538"/>
      <c r="E46" s="538"/>
      <c r="F46" s="538"/>
      <c r="G46" s="538"/>
      <c r="H46" s="538"/>
      <c r="I46" s="538"/>
      <c r="J46" s="538"/>
      <c r="K46" s="538"/>
      <c r="L46" s="538"/>
      <c r="M46" s="538"/>
      <c r="N46" s="538"/>
      <c r="O46" s="538"/>
      <c r="P46" s="538"/>
      <c r="Q46" s="538"/>
      <c r="R46" s="538"/>
      <c r="S46" s="538"/>
      <c r="T46" s="538"/>
      <c r="AZ46" s="89"/>
      <c r="BA46" s="98"/>
      <c r="BK46" s="91"/>
      <c r="BL46" s="98"/>
      <c r="BV46" s="93"/>
      <c r="BW46" s="98"/>
      <c r="CG46" s="95"/>
      <c r="CH46" s="98"/>
    </row>
    <row r="47" spans="1:89" x14ac:dyDescent="0.25">
      <c r="A47" s="538"/>
      <c r="B47" s="538"/>
      <c r="C47" s="538"/>
      <c r="D47" s="538"/>
      <c r="E47" s="538"/>
      <c r="F47" s="538"/>
      <c r="G47" s="538"/>
      <c r="H47" s="538"/>
      <c r="I47" s="538"/>
      <c r="J47" s="538"/>
      <c r="K47" s="538"/>
      <c r="L47" s="538"/>
      <c r="M47" s="538"/>
      <c r="N47" s="538"/>
      <c r="O47" s="538"/>
      <c r="P47" s="538"/>
      <c r="Q47" s="538"/>
      <c r="R47" s="538"/>
      <c r="S47" s="538"/>
      <c r="T47" s="538"/>
      <c r="AZ47" s="89"/>
      <c r="BA47" s="97" t="s">
        <v>1154</v>
      </c>
      <c r="BK47" s="91"/>
      <c r="BL47" s="97" t="s">
        <v>1154</v>
      </c>
      <c r="BV47" s="93"/>
      <c r="BW47" s="97" t="s">
        <v>1154</v>
      </c>
      <c r="CG47" s="95"/>
      <c r="CH47" s="97" t="s">
        <v>1154</v>
      </c>
    </row>
    <row r="48" spans="1:89" x14ac:dyDescent="0.25">
      <c r="A48" s="540" t="s">
        <v>1155</v>
      </c>
      <c r="B48" s="541" t="str">
        <f>HYPERLINK("#r_pld_lookup_pop","r_pld_lookup_pop")</f>
        <v>r_pld_lookup_pop</v>
      </c>
      <c r="C48" s="538"/>
      <c r="D48" s="538"/>
      <c r="E48" s="538"/>
      <c r="F48" s="541" t="str">
        <f>HYPERLINK("#r_pld_lookup_line","r_pld_lookup_line")</f>
        <v>r_pld_lookup_line</v>
      </c>
      <c r="G48" s="538"/>
      <c r="H48" s="538"/>
      <c r="I48" s="538"/>
      <c r="J48" s="541" t="str">
        <f>HYPERLINK("#r_pld_lookup_mol","r_pld_lookup_mol")</f>
        <v>r_pld_lookup_mol</v>
      </c>
      <c r="K48" s="538"/>
      <c r="L48" s="538"/>
      <c r="M48" s="538"/>
      <c r="N48" s="541" t="str">
        <f>HYPERLINK("#r_pld_lookup_trial","r_pld_lookup_trial")</f>
        <v>r_pld_lookup_trial</v>
      </c>
      <c r="O48" s="538"/>
      <c r="P48" s="538"/>
      <c r="Q48" s="538"/>
      <c r="R48" s="541" t="str">
        <f>HYPERLINK("#r_pld_lookup_endpoint","r_pld_lookup_endpoint")</f>
        <v>r_pld_lookup_endpoint</v>
      </c>
      <c r="S48" s="538"/>
      <c r="T48" s="538"/>
      <c r="V48" s="88" t="str">
        <f>HYPERLINK("#r_pld_lookup_dist","r_pld_lookup_dist")</f>
        <v>r_pld_lookup_dist</v>
      </c>
      <c r="AZ48" s="89"/>
      <c r="BA48" s="31" t="s">
        <v>1156</v>
      </c>
      <c r="BB48" s="97" t="s">
        <v>1157</v>
      </c>
      <c r="BC48" s="97" t="s">
        <v>1158</v>
      </c>
      <c r="BD48" s="97" t="s">
        <v>1159</v>
      </c>
      <c r="BE48" s="97" t="s">
        <v>1160</v>
      </c>
      <c r="BF48" s="97" t="s">
        <v>1161</v>
      </c>
      <c r="BG48" s="31" t="s">
        <v>1162</v>
      </c>
      <c r="BK48" s="91"/>
      <c r="BL48" s="31" t="s">
        <v>1156</v>
      </c>
      <c r="BM48" s="97" t="s">
        <v>1157</v>
      </c>
      <c r="BN48" s="97" t="s">
        <v>1158</v>
      </c>
      <c r="BO48" s="97" t="s">
        <v>1159</v>
      </c>
      <c r="BP48" s="97" t="s">
        <v>1160</v>
      </c>
      <c r="BQ48" s="97" t="s">
        <v>1161</v>
      </c>
      <c r="BR48" s="31" t="s">
        <v>1162</v>
      </c>
      <c r="BV48" s="93"/>
      <c r="BW48" s="97" t="s">
        <v>1159</v>
      </c>
      <c r="BX48" s="97" t="s">
        <v>1157</v>
      </c>
      <c r="BY48" s="97" t="s">
        <v>1161</v>
      </c>
      <c r="BZ48" s="97" t="s">
        <v>1162</v>
      </c>
      <c r="CA48" s="97"/>
      <c r="CG48" s="95"/>
      <c r="CH48" s="97" t="s">
        <v>1159</v>
      </c>
      <c r="CI48" s="97" t="s">
        <v>1157</v>
      </c>
      <c r="CJ48" s="97" t="s">
        <v>1161</v>
      </c>
      <c r="CK48" s="31" t="s">
        <v>1162</v>
      </c>
    </row>
    <row r="49" spans="1:89" x14ac:dyDescent="0.25">
      <c r="A49" s="538"/>
      <c r="B49" s="538"/>
      <c r="C49" s="538"/>
      <c r="D49" s="538"/>
      <c r="E49" s="538"/>
      <c r="F49" s="538"/>
      <c r="G49" s="538"/>
      <c r="H49" s="538"/>
      <c r="I49" s="538"/>
      <c r="J49" s="538"/>
      <c r="K49" s="538"/>
      <c r="L49" s="538"/>
      <c r="M49" s="538"/>
      <c r="N49" s="538"/>
      <c r="O49" s="538"/>
      <c r="P49" s="538"/>
      <c r="Q49" s="538"/>
      <c r="R49" s="538"/>
      <c r="S49" s="538"/>
      <c r="T49" s="538"/>
      <c r="AA49" s="658"/>
      <c r="AZ49" s="89"/>
      <c r="BA49" t="s">
        <v>583</v>
      </c>
      <c r="BB49" t="s">
        <v>583</v>
      </c>
      <c r="BC49" t="s">
        <v>581</v>
      </c>
      <c r="BD49" t="s">
        <v>333</v>
      </c>
      <c r="BE49" t="s">
        <v>118</v>
      </c>
      <c r="BF49" t="s">
        <v>333</v>
      </c>
      <c r="BG49" t="s">
        <v>117</v>
      </c>
      <c r="BK49" s="91"/>
      <c r="BL49" t="s">
        <v>583</v>
      </c>
      <c r="BM49" t="s">
        <v>583</v>
      </c>
      <c r="BN49" t="s">
        <v>581</v>
      </c>
      <c r="BO49" t="s">
        <v>333</v>
      </c>
      <c r="BP49" t="s">
        <v>118</v>
      </c>
      <c r="BQ49" t="s">
        <v>333</v>
      </c>
      <c r="BR49" t="s">
        <v>117</v>
      </c>
      <c r="BV49" s="93"/>
      <c r="BW49" t="s">
        <v>333</v>
      </c>
      <c r="BX49" t="s">
        <v>583</v>
      </c>
      <c r="BY49" t="s">
        <v>333</v>
      </c>
      <c r="BZ49" t="s">
        <v>117</v>
      </c>
      <c r="CG49" s="95"/>
      <c r="CH49" t="s">
        <v>333</v>
      </c>
      <c r="CI49" t="s">
        <v>583</v>
      </c>
      <c r="CJ49" t="s">
        <v>333</v>
      </c>
      <c r="CK49" t="s">
        <v>117</v>
      </c>
    </row>
    <row r="50" spans="1:89" x14ac:dyDescent="0.25">
      <c r="A50" s="538"/>
      <c r="B50" s="542" t="s">
        <v>1163</v>
      </c>
      <c r="C50" s="543" t="s">
        <v>1164</v>
      </c>
      <c r="D50" s="544" t="s">
        <v>1165</v>
      </c>
      <c r="E50" s="538"/>
      <c r="F50" s="542" t="s">
        <v>1163</v>
      </c>
      <c r="G50" s="543" t="s">
        <v>1164</v>
      </c>
      <c r="H50" s="544" t="s">
        <v>1165</v>
      </c>
      <c r="I50" s="545"/>
      <c r="J50" s="542" t="s">
        <v>1163</v>
      </c>
      <c r="K50" s="543" t="s">
        <v>1164</v>
      </c>
      <c r="L50" s="544" t="s">
        <v>1165</v>
      </c>
      <c r="M50" s="545"/>
      <c r="N50" s="542" t="s">
        <v>1163</v>
      </c>
      <c r="O50" s="543" t="s">
        <v>1164</v>
      </c>
      <c r="P50" s="546" t="s">
        <v>1165</v>
      </c>
      <c r="Q50" s="547"/>
      <c r="R50" s="542" t="s">
        <v>1163</v>
      </c>
      <c r="S50" s="543" t="s">
        <v>1164</v>
      </c>
      <c r="T50" s="546" t="s">
        <v>1165</v>
      </c>
      <c r="V50" s="607" t="s">
        <v>1163</v>
      </c>
      <c r="W50" s="608" t="s">
        <v>1164</v>
      </c>
      <c r="X50" s="609" t="s">
        <v>1165</v>
      </c>
      <c r="Y50" s="658"/>
      <c r="Z50" s="658"/>
      <c r="AA50" s="557"/>
      <c r="AB50" s="658"/>
      <c r="AC50" s="658"/>
      <c r="AD50" s="658"/>
      <c r="AE50" s="658"/>
      <c r="AF50" s="658"/>
      <c r="AG50" s="658"/>
      <c r="AH50" s="658"/>
      <c r="AI50" s="658"/>
      <c r="AJ50" s="658"/>
      <c r="AK50" s="658"/>
      <c r="AL50" s="875" t="s">
        <v>115</v>
      </c>
      <c r="AM50" s="866" t="s">
        <v>1166</v>
      </c>
      <c r="AN50" s="866" t="s">
        <v>1166</v>
      </c>
      <c r="AO50" s="866" t="s">
        <v>1166</v>
      </c>
      <c r="AP50" s="866" t="s">
        <v>576</v>
      </c>
      <c r="AQ50" s="866" t="s">
        <v>577</v>
      </c>
      <c r="AR50" s="867" t="s">
        <v>565</v>
      </c>
      <c r="AS50" s="658"/>
      <c r="AT50" s="658"/>
      <c r="AU50" s="658"/>
      <c r="AV50" s="658"/>
      <c r="AW50" s="658"/>
      <c r="AX50" s="658"/>
      <c r="AZ50" s="89"/>
      <c r="BA50" t="s">
        <v>581</v>
      </c>
      <c r="BB50" t="s">
        <v>327</v>
      </c>
      <c r="BC50" t="s">
        <v>571</v>
      </c>
      <c r="BD50" t="s">
        <v>582</v>
      </c>
      <c r="BE50" t="s">
        <v>571</v>
      </c>
      <c r="BF50" t="s">
        <v>119</v>
      </c>
      <c r="BG50" t="s">
        <v>585</v>
      </c>
      <c r="BK50" s="91"/>
      <c r="BL50" t="s">
        <v>581</v>
      </c>
      <c r="BM50" t="s">
        <v>327</v>
      </c>
      <c r="BN50" t="s">
        <v>571</v>
      </c>
      <c r="BO50" t="s">
        <v>582</v>
      </c>
      <c r="BP50" t="s">
        <v>571</v>
      </c>
      <c r="BQ50" t="s">
        <v>119</v>
      </c>
      <c r="BR50" t="s">
        <v>585</v>
      </c>
      <c r="BV50" s="93"/>
      <c r="BW50" t="s">
        <v>582</v>
      </c>
      <c r="BX50" t="s">
        <v>327</v>
      </c>
      <c r="BY50" t="s">
        <v>119</v>
      </c>
      <c r="BZ50" t="s">
        <v>585</v>
      </c>
      <c r="CG50" s="95"/>
      <c r="CH50" t="s">
        <v>582</v>
      </c>
      <c r="CI50" t="s">
        <v>327</v>
      </c>
      <c r="CJ50" t="s">
        <v>119</v>
      </c>
      <c r="CK50" t="s">
        <v>585</v>
      </c>
    </row>
    <row r="51" spans="1:89" x14ac:dyDescent="0.25">
      <c r="A51" s="538">
        <v>1</v>
      </c>
      <c r="B51" s="548" t="s">
        <v>31</v>
      </c>
      <c r="C51" s="549" t="s">
        <v>1167</v>
      </c>
      <c r="D51" s="550">
        <v>0</v>
      </c>
      <c r="E51" s="538"/>
      <c r="F51" s="551" t="s">
        <v>546</v>
      </c>
      <c r="G51" s="538" t="s">
        <v>151</v>
      </c>
      <c r="H51" s="552">
        <v>1</v>
      </c>
      <c r="I51" s="549"/>
      <c r="J51" s="548" t="s">
        <v>1168</v>
      </c>
      <c r="K51" s="538" t="s">
        <v>579</v>
      </c>
      <c r="L51" s="550">
        <v>0</v>
      </c>
      <c r="M51" s="549"/>
      <c r="N51" s="551" t="s">
        <v>564</v>
      </c>
      <c r="O51" s="538" t="s">
        <v>1169</v>
      </c>
      <c r="P51" s="552">
        <v>0</v>
      </c>
      <c r="Q51" s="538"/>
      <c r="R51" s="551" t="s">
        <v>613</v>
      </c>
      <c r="S51" s="538" t="s">
        <v>544</v>
      </c>
      <c r="T51" s="552">
        <v>0</v>
      </c>
      <c r="V51" s="610" t="s">
        <v>563</v>
      </c>
      <c r="W51" s="557" t="s">
        <v>1170</v>
      </c>
      <c r="X51" s="611">
        <v>0</v>
      </c>
      <c r="Y51" s="557"/>
      <c r="Z51" s="557"/>
      <c r="AA51" s="557"/>
      <c r="AB51" s="557"/>
      <c r="AC51" s="557"/>
      <c r="AD51" s="557"/>
      <c r="AE51" s="557"/>
      <c r="AF51" s="557"/>
      <c r="AG51" s="557"/>
      <c r="AH51" s="557"/>
      <c r="AI51" s="557"/>
      <c r="AJ51" s="557"/>
      <c r="AK51" s="557"/>
      <c r="AL51" s="874" t="s">
        <v>610</v>
      </c>
      <c r="AM51" s="872" t="s">
        <v>1171</v>
      </c>
      <c r="AN51" s="872" t="s">
        <v>825</v>
      </c>
      <c r="AO51" s="872" t="s">
        <v>31</v>
      </c>
      <c r="AP51" s="872" t="s">
        <v>31</v>
      </c>
      <c r="AQ51" s="872" t="s">
        <v>31</v>
      </c>
      <c r="AR51" s="873" t="s">
        <v>31</v>
      </c>
      <c r="AS51" s="557"/>
      <c r="AT51" s="557"/>
      <c r="AU51" s="557"/>
      <c r="AV51" s="557"/>
      <c r="AW51" s="557"/>
      <c r="AX51" s="557"/>
      <c r="AZ51" s="89"/>
      <c r="BA51" t="s">
        <v>571</v>
      </c>
      <c r="BC51" t="s">
        <v>579</v>
      </c>
      <c r="BG51" t="s">
        <v>319</v>
      </c>
      <c r="BK51" s="91"/>
      <c r="BL51" t="s">
        <v>571</v>
      </c>
      <c r="BN51" t="s">
        <v>579</v>
      </c>
      <c r="BR51" t="s">
        <v>319</v>
      </c>
      <c r="BV51" s="93"/>
      <c r="BZ51" t="s">
        <v>319</v>
      </c>
      <c r="CG51" s="95"/>
      <c r="CK51" t="s">
        <v>319</v>
      </c>
    </row>
    <row r="52" spans="1:89" x14ac:dyDescent="0.25">
      <c r="A52" s="538">
        <v>2</v>
      </c>
      <c r="B52" s="551" t="s">
        <v>545</v>
      </c>
      <c r="C52" s="538" t="s">
        <v>762</v>
      </c>
      <c r="D52" s="552">
        <v>1</v>
      </c>
      <c r="E52" s="538"/>
      <c r="F52" s="551" t="s">
        <v>576</v>
      </c>
      <c r="G52" s="538" t="s">
        <v>152</v>
      </c>
      <c r="H52" s="552">
        <v>2</v>
      </c>
      <c r="I52" s="538"/>
      <c r="J52" s="551" t="s">
        <v>1172</v>
      </c>
      <c r="K52" s="538" t="s">
        <v>571</v>
      </c>
      <c r="L52" s="552">
        <v>1</v>
      </c>
      <c r="M52" s="538"/>
      <c r="N52" s="551" t="s">
        <v>606</v>
      </c>
      <c r="O52" s="538" t="s">
        <v>1173</v>
      </c>
      <c r="P52" s="552">
        <v>1</v>
      </c>
      <c r="Q52" s="538"/>
      <c r="R52" s="551" t="s">
        <v>616</v>
      </c>
      <c r="S52" s="538" t="s">
        <v>552</v>
      </c>
      <c r="T52" s="552">
        <v>1</v>
      </c>
      <c r="V52" s="610" t="s">
        <v>550</v>
      </c>
      <c r="W52" s="557" t="s">
        <v>1174</v>
      </c>
      <c r="X52" s="611">
        <v>1</v>
      </c>
      <c r="Y52" s="557"/>
      <c r="Z52" s="557"/>
      <c r="AA52" s="557"/>
      <c r="AB52" s="557"/>
      <c r="AC52" s="557"/>
      <c r="AD52" s="557"/>
      <c r="AE52" s="557"/>
      <c r="AF52" s="557"/>
      <c r="AG52" s="557"/>
      <c r="AH52" s="557"/>
      <c r="AI52" s="557"/>
      <c r="AJ52" s="557"/>
      <c r="AK52" s="557"/>
      <c r="AL52" s="868" t="str" cm="1">
        <f t="array" ref="AL52">INDEX($K$51:$K$85,A51)</f>
        <v>nivolumab_monotherapy</v>
      </c>
      <c r="AM52" t="s">
        <v>58</v>
      </c>
      <c r="AN52" t="s">
        <v>58</v>
      </c>
      <c r="AO52" t="s">
        <v>58</v>
      </c>
      <c r="AP52" t="s">
        <v>74</v>
      </c>
      <c r="AQ52" t="s">
        <v>74</v>
      </c>
      <c r="AR52" s="869" t="s">
        <v>74</v>
      </c>
      <c r="AS52" s="557"/>
      <c r="AT52" s="557"/>
      <c r="AU52" s="557"/>
      <c r="AV52" s="557"/>
      <c r="AW52" s="557"/>
      <c r="AX52" s="557"/>
      <c r="AZ52" s="89"/>
      <c r="BA52" t="s">
        <v>579</v>
      </c>
      <c r="BK52" s="91"/>
      <c r="BL52" t="s">
        <v>579</v>
      </c>
      <c r="BV52" s="93"/>
      <c r="CG52" s="95"/>
    </row>
    <row r="53" spans="1:89" x14ac:dyDescent="0.25">
      <c r="A53" s="538">
        <v>3</v>
      </c>
      <c r="B53" s="551" t="s">
        <v>559</v>
      </c>
      <c r="C53" s="538" t="s">
        <v>1175</v>
      </c>
      <c r="D53" s="552">
        <v>2</v>
      </c>
      <c r="E53" s="538"/>
      <c r="F53" s="551" t="s">
        <v>577</v>
      </c>
      <c r="G53" s="538" t="s">
        <v>153</v>
      </c>
      <c r="H53" s="552">
        <v>3</v>
      </c>
      <c r="I53" s="538"/>
      <c r="J53" s="551" t="s">
        <v>1176</v>
      </c>
      <c r="K53" s="538" t="s">
        <v>581</v>
      </c>
      <c r="L53" s="552">
        <v>2</v>
      </c>
      <c r="M53" s="538"/>
      <c r="N53" s="551" t="s">
        <v>547</v>
      </c>
      <c r="O53" s="538" t="s">
        <v>61</v>
      </c>
      <c r="P53" s="552">
        <v>2</v>
      </c>
      <c r="Q53" s="538"/>
      <c r="R53" s="551" t="s">
        <v>1177</v>
      </c>
      <c r="S53" s="538" t="s">
        <v>554</v>
      </c>
      <c r="T53" s="552">
        <v>2</v>
      </c>
      <c r="V53" s="610" t="s">
        <v>551</v>
      </c>
      <c r="W53" s="557" t="s">
        <v>1178</v>
      </c>
      <c r="X53" s="611">
        <v>2</v>
      </c>
      <c r="Y53" s="557"/>
      <c r="Z53" s="557"/>
      <c r="AA53" s="557"/>
      <c r="AB53" s="557"/>
      <c r="AC53" s="557"/>
      <c r="AD53" s="557"/>
      <c r="AE53" s="557"/>
      <c r="AF53" s="557"/>
      <c r="AG53" s="557"/>
      <c r="AH53" s="557"/>
      <c r="AI53" s="557"/>
      <c r="AJ53" s="557"/>
      <c r="AK53" s="557"/>
      <c r="AL53" s="868" t="str" cm="1">
        <f t="array" ref="AL53">INDEX($K$51:$K$85,A52)</f>
        <v>cabozantinib_plus_nivolumab</v>
      </c>
      <c r="AM53" t="s">
        <v>74</v>
      </c>
      <c r="AN53" t="s">
        <v>74</v>
      </c>
      <c r="AO53" t="s">
        <v>74</v>
      </c>
      <c r="AP53" t="s">
        <v>58</v>
      </c>
      <c r="AQ53" t="s">
        <v>58</v>
      </c>
      <c r="AR53" s="869" t="s">
        <v>58</v>
      </c>
      <c r="AS53" s="557"/>
      <c r="AT53" s="557"/>
      <c r="AU53" s="557"/>
      <c r="AV53" s="557"/>
      <c r="AW53" s="557"/>
      <c r="AX53" s="557"/>
      <c r="AZ53" s="89"/>
      <c r="BA53" s="98" t="s">
        <v>582</v>
      </c>
      <c r="BB53" s="98"/>
      <c r="BC53" s="98"/>
      <c r="BD53" s="98"/>
      <c r="BE53" s="98"/>
      <c r="BF53" s="98"/>
      <c r="BG53" s="98"/>
      <c r="BK53" s="91"/>
      <c r="BL53" s="98" t="s">
        <v>582</v>
      </c>
      <c r="BM53" s="98"/>
      <c r="BN53" s="98"/>
      <c r="BO53" s="98"/>
      <c r="BP53" s="98"/>
      <c r="BQ53" s="98"/>
      <c r="BR53" s="98"/>
      <c r="BV53" s="93"/>
      <c r="BW53" s="98"/>
      <c r="BX53" s="98"/>
      <c r="BY53" s="98"/>
      <c r="BZ53" s="98"/>
      <c r="CG53" s="95"/>
      <c r="CH53" s="98"/>
      <c r="CI53" s="98"/>
      <c r="CJ53" s="98"/>
      <c r="CK53" s="98"/>
    </row>
    <row r="54" spans="1:89" x14ac:dyDescent="0.25">
      <c r="A54" s="538">
        <v>4</v>
      </c>
      <c r="B54" s="551"/>
      <c r="C54" s="538"/>
      <c r="D54" s="552"/>
      <c r="E54" s="538"/>
      <c r="F54" s="551" t="s">
        <v>565</v>
      </c>
      <c r="G54" s="538" t="s">
        <v>154</v>
      </c>
      <c r="H54" s="552">
        <v>4</v>
      </c>
      <c r="I54" s="538"/>
      <c r="J54" s="551" t="s">
        <v>1179</v>
      </c>
      <c r="K54" s="538" t="s">
        <v>582</v>
      </c>
      <c r="L54" s="552">
        <v>3</v>
      </c>
      <c r="M54" s="538"/>
      <c r="N54" s="551"/>
      <c r="O54" s="538"/>
      <c r="P54" s="552"/>
      <c r="Q54" s="538"/>
      <c r="R54" s="551" t="s">
        <v>1180</v>
      </c>
      <c r="S54" s="538" t="s">
        <v>555</v>
      </c>
      <c r="T54" s="552">
        <v>3</v>
      </c>
      <c r="V54" s="610" t="s">
        <v>548</v>
      </c>
      <c r="W54" s="557" t="s">
        <v>1181</v>
      </c>
      <c r="X54" s="611">
        <v>3</v>
      </c>
      <c r="Y54" s="557"/>
      <c r="Z54" s="557"/>
      <c r="AA54" s="557"/>
      <c r="AB54" s="557"/>
      <c r="AC54" s="557"/>
      <c r="AD54" s="557"/>
      <c r="AE54" s="557"/>
      <c r="AF54" s="557"/>
      <c r="AG54" s="557"/>
      <c r="AH54" s="557"/>
      <c r="AI54" s="557"/>
      <c r="AJ54" s="557"/>
      <c r="AK54" s="557"/>
      <c r="AL54" s="868" t="str" cm="1">
        <f t="array" ref="AL54">INDEX($K$51:$K$85,A53)</f>
        <v>nivolumab_plus_ipilimumab</v>
      </c>
      <c r="AM54" t="s">
        <v>74</v>
      </c>
      <c r="AN54" t="s">
        <v>58</v>
      </c>
      <c r="AO54" t="s">
        <v>58</v>
      </c>
      <c r="AP54" t="s">
        <v>58</v>
      </c>
      <c r="AQ54" t="s">
        <v>58</v>
      </c>
      <c r="AR54" s="869" t="s">
        <v>58</v>
      </c>
      <c r="AS54" s="557"/>
      <c r="AT54" s="557"/>
      <c r="AU54" s="557"/>
      <c r="AV54" s="557"/>
      <c r="AW54" s="557"/>
      <c r="AX54" s="557"/>
      <c r="AZ54" s="89"/>
      <c r="BK54" s="91"/>
      <c r="BV54" s="93"/>
      <c r="CG54" s="95"/>
    </row>
    <row r="55" spans="1:89" x14ac:dyDescent="0.25">
      <c r="A55" s="538">
        <v>5</v>
      </c>
      <c r="B55" s="551"/>
      <c r="C55" s="538"/>
      <c r="D55" s="552"/>
      <c r="E55" s="538"/>
      <c r="F55" s="551" t="s">
        <v>765</v>
      </c>
      <c r="G55" s="538" t="s">
        <v>1182</v>
      </c>
      <c r="H55" s="552">
        <v>5</v>
      </c>
      <c r="I55" s="547"/>
      <c r="J55" s="551" t="s">
        <v>1183</v>
      </c>
      <c r="K55" s="538" t="s">
        <v>583</v>
      </c>
      <c r="L55" s="552">
        <v>4</v>
      </c>
      <c r="M55" s="538"/>
      <c r="N55" s="551"/>
      <c r="O55" s="538"/>
      <c r="P55" s="552"/>
      <c r="Q55" s="538"/>
      <c r="R55" s="551" t="s">
        <v>1184</v>
      </c>
      <c r="S55" s="538" t="s">
        <v>557</v>
      </c>
      <c r="T55" s="552">
        <v>4</v>
      </c>
      <c r="V55" s="610" t="s">
        <v>568</v>
      </c>
      <c r="W55" s="557" t="s">
        <v>1185</v>
      </c>
      <c r="X55" s="611">
        <v>4</v>
      </c>
      <c r="Y55" s="557"/>
      <c r="Z55" s="557"/>
      <c r="AA55" s="557"/>
      <c r="AB55" s="557"/>
      <c r="AC55" s="557"/>
      <c r="AD55" s="557"/>
      <c r="AE55" s="557"/>
      <c r="AF55" s="557"/>
      <c r="AG55" s="557"/>
      <c r="AH55" s="557"/>
      <c r="AI55" s="557"/>
      <c r="AJ55" s="557"/>
      <c r="AK55" s="557"/>
      <c r="AL55" s="868" t="str" cm="1">
        <f t="array" ref="AL55">INDEX($K$51:$K$85,A54)</f>
        <v>lenvatinib_plus_pembrolizumab</v>
      </c>
      <c r="AM55" t="s">
        <v>74</v>
      </c>
      <c r="AN55" t="s">
        <v>58</v>
      </c>
      <c r="AO55" t="s">
        <v>58</v>
      </c>
      <c r="AP55" t="s">
        <v>58</v>
      </c>
      <c r="AQ55" t="s">
        <v>58</v>
      </c>
      <c r="AR55" s="869" t="s">
        <v>58</v>
      </c>
      <c r="AS55" s="557"/>
      <c r="AT55" s="557"/>
      <c r="AU55" s="557"/>
      <c r="AV55" s="557"/>
      <c r="AW55" s="557"/>
      <c r="AX55" s="557"/>
      <c r="AZ55" s="89"/>
      <c r="BA55" s="97" t="s">
        <v>1186</v>
      </c>
      <c r="BK55" s="91"/>
      <c r="BL55" s="97" t="s">
        <v>1186</v>
      </c>
      <c r="BV55" s="93"/>
      <c r="BW55" s="97" t="s">
        <v>1186</v>
      </c>
      <c r="CG55" s="95"/>
      <c r="CH55" s="97" t="s">
        <v>1186</v>
      </c>
    </row>
    <row r="56" spans="1:89" x14ac:dyDescent="0.25">
      <c r="A56" s="538">
        <v>6</v>
      </c>
      <c r="B56" s="551"/>
      <c r="C56" s="538"/>
      <c r="D56" s="552"/>
      <c r="E56" s="538"/>
      <c r="F56" s="551"/>
      <c r="G56" s="538"/>
      <c r="H56" s="552"/>
      <c r="I56" s="547"/>
      <c r="J56" s="551" t="s">
        <v>1187</v>
      </c>
      <c r="K56" s="538" t="s">
        <v>585</v>
      </c>
      <c r="L56" s="552">
        <v>5</v>
      </c>
      <c r="M56" s="538"/>
      <c r="N56" s="551"/>
      <c r="O56" s="538"/>
      <c r="P56" s="552"/>
      <c r="Q56" s="538"/>
      <c r="R56" s="551"/>
      <c r="S56" s="538"/>
      <c r="T56" s="552"/>
      <c r="V56" s="610" t="s">
        <v>1188</v>
      </c>
      <c r="W56" s="557" t="s">
        <v>1189</v>
      </c>
      <c r="X56" s="611">
        <v>5</v>
      </c>
      <c r="Y56" s="557"/>
      <c r="Z56" s="557"/>
      <c r="AA56" s="557"/>
      <c r="AB56" s="557"/>
      <c r="AC56" s="557"/>
      <c r="AD56" s="557"/>
      <c r="AE56" s="557"/>
      <c r="AF56" s="557"/>
      <c r="AG56" s="557"/>
      <c r="AH56" s="557"/>
      <c r="AI56" s="557"/>
      <c r="AJ56" s="557"/>
      <c r="AK56" s="557"/>
      <c r="AL56" s="868" t="str" cm="1">
        <f t="array" ref="AL56">INDEX($K$51:$K$85,A55)</f>
        <v>avelumab_plus_axitinib</v>
      </c>
      <c r="AM56" t="s">
        <v>74</v>
      </c>
      <c r="AN56" t="s">
        <v>74</v>
      </c>
      <c r="AO56" t="s">
        <v>74</v>
      </c>
      <c r="AP56" t="s">
        <v>58</v>
      </c>
      <c r="AQ56" t="s">
        <v>58</v>
      </c>
      <c r="AR56" s="869" t="s">
        <v>58</v>
      </c>
      <c r="AS56" s="557"/>
      <c r="AT56" s="557"/>
      <c r="AU56" s="557"/>
      <c r="AV56" s="557"/>
      <c r="AW56" s="557"/>
      <c r="AX56" s="557"/>
      <c r="AZ56" s="89"/>
      <c r="BA56" s="97" t="s">
        <v>333</v>
      </c>
      <c r="BK56" s="91"/>
      <c r="BL56" s="97" t="s">
        <v>333</v>
      </c>
      <c r="BV56" s="93"/>
      <c r="BW56" s="97" t="s">
        <v>333</v>
      </c>
      <c r="CG56" s="95"/>
      <c r="CH56" s="97" t="s">
        <v>333</v>
      </c>
    </row>
    <row r="57" spans="1:89" x14ac:dyDescent="0.25">
      <c r="A57" s="538">
        <v>7</v>
      </c>
      <c r="B57" s="551"/>
      <c r="C57" s="538"/>
      <c r="D57" s="552"/>
      <c r="E57" s="538"/>
      <c r="F57" s="551"/>
      <c r="G57" s="538"/>
      <c r="H57" s="552"/>
      <c r="I57" s="538"/>
      <c r="J57" s="551" t="s">
        <v>1190</v>
      </c>
      <c r="K57" s="538" t="s">
        <v>319</v>
      </c>
      <c r="L57" s="552">
        <v>6</v>
      </c>
      <c r="M57" s="538"/>
      <c r="N57" s="551"/>
      <c r="O57" s="538"/>
      <c r="P57" s="552"/>
      <c r="Q57" s="538"/>
      <c r="R57" s="551"/>
      <c r="S57" s="538"/>
      <c r="T57" s="552"/>
      <c r="V57" s="610" t="s">
        <v>553</v>
      </c>
      <c r="W57" s="557" t="s">
        <v>1191</v>
      </c>
      <c r="X57" s="611">
        <v>6</v>
      </c>
      <c r="Y57" s="557"/>
      <c r="Z57" s="557"/>
      <c r="AA57" s="557"/>
      <c r="AB57" s="557"/>
      <c r="AC57" s="557"/>
      <c r="AD57" s="557"/>
      <c r="AE57" s="557"/>
      <c r="AF57" s="557"/>
      <c r="AG57" s="557"/>
      <c r="AH57" s="557"/>
      <c r="AI57" s="557"/>
      <c r="AJ57" s="557"/>
      <c r="AK57" s="557"/>
      <c r="AL57" s="868" t="str" cm="1">
        <f t="array" ref="AL57">INDEX($K$51:$K$85,A56)</f>
        <v>pazopanib</v>
      </c>
      <c r="AM57" t="s">
        <v>74</v>
      </c>
      <c r="AN57" t="s">
        <v>74</v>
      </c>
      <c r="AO57" t="s">
        <v>74</v>
      </c>
      <c r="AP57" t="s">
        <v>74</v>
      </c>
      <c r="AQ57" t="s">
        <v>74</v>
      </c>
      <c r="AR57" s="869" t="s">
        <v>74</v>
      </c>
      <c r="AS57" s="557"/>
      <c r="AT57" s="557"/>
      <c r="AU57" s="557"/>
      <c r="AV57" s="557"/>
      <c r="AW57" s="557"/>
      <c r="AX57" s="557"/>
      <c r="AZ57" s="89"/>
      <c r="BA57" t="s">
        <v>583</v>
      </c>
      <c r="BK57" s="91"/>
      <c r="BL57" t="s">
        <v>583</v>
      </c>
      <c r="BV57" s="93"/>
      <c r="BW57" t="s">
        <v>327</v>
      </c>
      <c r="CG57" s="95"/>
      <c r="CH57" t="s">
        <v>327</v>
      </c>
    </row>
    <row r="58" spans="1:89" x14ac:dyDescent="0.25">
      <c r="A58" s="538">
        <v>8</v>
      </c>
      <c r="B58" s="551"/>
      <c r="C58" s="538"/>
      <c r="D58" s="552"/>
      <c r="E58" s="538"/>
      <c r="F58" s="551"/>
      <c r="G58" s="538"/>
      <c r="H58" s="552"/>
      <c r="I58" s="538"/>
      <c r="J58" s="551" t="s">
        <v>1192</v>
      </c>
      <c r="K58" s="538" t="s">
        <v>117</v>
      </c>
      <c r="L58" s="552">
        <v>7</v>
      </c>
      <c r="M58" s="538"/>
      <c r="N58" s="551"/>
      <c r="O58" s="538"/>
      <c r="P58" s="552"/>
      <c r="Q58" s="538"/>
      <c r="R58" s="551"/>
      <c r="S58" s="538"/>
      <c r="T58" s="552"/>
      <c r="V58" s="610"/>
      <c r="W58" s="557"/>
      <c r="X58" s="611"/>
      <c r="Y58" s="557"/>
      <c r="Z58" s="557"/>
      <c r="AA58" s="557"/>
      <c r="AB58" s="557"/>
      <c r="AC58" s="557"/>
      <c r="AD58" s="557"/>
      <c r="AE58" s="557"/>
      <c r="AF58" s="557"/>
      <c r="AG58" s="557"/>
      <c r="AH58" s="557"/>
      <c r="AI58" s="557"/>
      <c r="AJ58" s="557"/>
      <c r="AK58" s="557"/>
      <c r="AL58" s="868" t="str" cm="1">
        <f t="array" ref="AL58">INDEX($K$51:$K$85,A57)</f>
        <v>tivozanib</v>
      </c>
      <c r="AM58" t="s">
        <v>74</v>
      </c>
      <c r="AN58" t="s">
        <v>74</v>
      </c>
      <c r="AO58" t="s">
        <v>74</v>
      </c>
      <c r="AP58" t="s">
        <v>74</v>
      </c>
      <c r="AQ58" t="s">
        <v>74</v>
      </c>
      <c r="AR58" s="869" t="s">
        <v>74</v>
      </c>
      <c r="AS58" s="557"/>
      <c r="AT58" s="557"/>
      <c r="AU58" s="557"/>
      <c r="AV58" s="557"/>
      <c r="AW58" s="557"/>
      <c r="AX58" s="557"/>
      <c r="AZ58" s="89"/>
      <c r="BA58" t="s">
        <v>327</v>
      </c>
      <c r="BK58" s="91"/>
      <c r="BL58" t="s">
        <v>327</v>
      </c>
      <c r="BV58" s="93"/>
      <c r="BW58" t="s">
        <v>118</v>
      </c>
      <c r="CG58" s="95"/>
      <c r="CH58" t="s">
        <v>118</v>
      </c>
    </row>
    <row r="59" spans="1:89" x14ac:dyDescent="0.25">
      <c r="A59" s="538">
        <v>9</v>
      </c>
      <c r="B59" s="551"/>
      <c r="C59" s="538"/>
      <c r="D59" s="552"/>
      <c r="E59" s="538"/>
      <c r="F59" s="551"/>
      <c r="G59" s="538"/>
      <c r="H59" s="552"/>
      <c r="I59" s="538"/>
      <c r="J59" s="551" t="s">
        <v>1193</v>
      </c>
      <c r="K59" s="538" t="s">
        <v>118</v>
      </c>
      <c r="L59" s="552">
        <v>8</v>
      </c>
      <c r="M59" s="538"/>
      <c r="N59" s="551"/>
      <c r="O59" s="538"/>
      <c r="P59" s="552"/>
      <c r="Q59" s="538"/>
      <c r="R59" s="551"/>
      <c r="S59" s="538"/>
      <c r="T59" s="552"/>
      <c r="V59" s="610"/>
      <c r="W59" s="557"/>
      <c r="X59" s="611"/>
      <c r="Y59" s="557"/>
      <c r="Z59" s="557"/>
      <c r="AA59" s="557"/>
      <c r="AB59" s="557"/>
      <c r="AC59" s="557"/>
      <c r="AD59" s="557"/>
      <c r="AE59" s="557"/>
      <c r="AF59" s="557"/>
      <c r="AG59" s="557"/>
      <c r="AH59" s="557"/>
      <c r="AI59" s="557"/>
      <c r="AJ59" s="557"/>
      <c r="AK59" s="557"/>
      <c r="AL59" s="868" t="str" cm="1">
        <f t="array" ref="AL59">INDEX($K$51:$K$85,A58)</f>
        <v>sunitinib</v>
      </c>
      <c r="AM59" t="s">
        <v>74</v>
      </c>
      <c r="AN59" t="s">
        <v>74</v>
      </c>
      <c r="AO59" t="s">
        <v>74</v>
      </c>
      <c r="AP59" t="s">
        <v>74</v>
      </c>
      <c r="AQ59" t="s">
        <v>74</v>
      </c>
      <c r="AR59" s="869" t="s">
        <v>74</v>
      </c>
      <c r="AS59" s="557"/>
      <c r="AT59" s="557"/>
      <c r="AU59" s="557"/>
      <c r="AV59" s="557"/>
      <c r="AW59" s="557"/>
      <c r="AX59" s="557"/>
      <c r="AZ59" s="89"/>
      <c r="BA59" t="s">
        <v>118</v>
      </c>
      <c r="BK59" s="91"/>
      <c r="BL59" t="s">
        <v>118</v>
      </c>
      <c r="BV59" s="93"/>
      <c r="BW59" t="s">
        <v>585</v>
      </c>
      <c r="CG59" s="95"/>
      <c r="CH59" t="s">
        <v>585</v>
      </c>
    </row>
    <row r="60" spans="1:89" x14ac:dyDescent="0.25">
      <c r="A60" s="538">
        <v>10</v>
      </c>
      <c r="B60" s="551"/>
      <c r="C60" s="538"/>
      <c r="D60" s="552"/>
      <c r="E60" s="538"/>
      <c r="F60" s="551"/>
      <c r="G60" s="538"/>
      <c r="H60" s="552"/>
      <c r="I60" s="538"/>
      <c r="J60" s="551" t="s">
        <v>1194</v>
      </c>
      <c r="K60" s="538" t="s">
        <v>333</v>
      </c>
      <c r="L60" s="552">
        <v>9</v>
      </c>
      <c r="M60" s="538"/>
      <c r="N60" s="551"/>
      <c r="O60" s="538"/>
      <c r="P60" s="552"/>
      <c r="Q60" s="538"/>
      <c r="R60" s="551"/>
      <c r="S60" s="538"/>
      <c r="T60" s="552"/>
      <c r="V60" s="610"/>
      <c r="W60" s="557"/>
      <c r="X60" s="611"/>
      <c r="Y60" s="557"/>
      <c r="Z60" s="557"/>
      <c r="AA60" s="557"/>
      <c r="AB60" s="557"/>
      <c r="AC60" s="557"/>
      <c r="AD60" s="557"/>
      <c r="AE60" s="557"/>
      <c r="AF60" s="557"/>
      <c r="AG60" s="557"/>
      <c r="AH60" s="557"/>
      <c r="AI60" s="557"/>
      <c r="AJ60" s="557"/>
      <c r="AK60" s="557"/>
      <c r="AL60" s="868" t="str" cm="1">
        <f t="array" ref="AL60">INDEX($K$51:$K$85,A59)</f>
        <v>cabozantinib</v>
      </c>
      <c r="AM60" t="s">
        <v>74</v>
      </c>
      <c r="AN60" t="s">
        <v>58</v>
      </c>
      <c r="AO60" t="s">
        <v>58</v>
      </c>
      <c r="AP60" t="s">
        <v>74</v>
      </c>
      <c r="AQ60" t="s">
        <v>74</v>
      </c>
      <c r="AR60" s="869" t="s">
        <v>74</v>
      </c>
      <c r="AS60" s="557"/>
      <c r="AT60" s="557"/>
      <c r="AU60" s="557"/>
      <c r="AV60" s="557"/>
      <c r="AW60" s="557"/>
      <c r="AX60" s="557"/>
      <c r="AZ60" s="89"/>
      <c r="BA60" t="s">
        <v>571</v>
      </c>
      <c r="BK60" s="91"/>
      <c r="BL60" t="s">
        <v>571</v>
      </c>
      <c r="BV60" s="93"/>
      <c r="BW60" t="s">
        <v>582</v>
      </c>
      <c r="CG60" s="95"/>
      <c r="CH60" t="s">
        <v>582</v>
      </c>
    </row>
    <row r="61" spans="1:89" x14ac:dyDescent="0.25">
      <c r="A61" s="538">
        <v>11</v>
      </c>
      <c r="B61" s="551"/>
      <c r="C61" s="538"/>
      <c r="D61" s="552"/>
      <c r="E61" s="538"/>
      <c r="F61" s="551"/>
      <c r="G61" s="538"/>
      <c r="H61" s="552"/>
      <c r="I61" s="538"/>
      <c r="J61" s="551" t="s">
        <v>1195</v>
      </c>
      <c r="K61" s="538" t="s">
        <v>119</v>
      </c>
      <c r="L61" s="552">
        <v>10</v>
      </c>
      <c r="M61" s="538"/>
      <c r="N61" s="551"/>
      <c r="O61" s="538"/>
      <c r="P61" s="552"/>
      <c r="Q61" s="538"/>
      <c r="R61" s="551"/>
      <c r="S61" s="538"/>
      <c r="T61" s="552"/>
      <c r="V61" s="610"/>
      <c r="W61" s="557"/>
      <c r="X61" s="611"/>
      <c r="Y61" s="557"/>
      <c r="Z61" s="557"/>
      <c r="AA61" s="557"/>
      <c r="AB61" s="557"/>
      <c r="AC61" s="557"/>
      <c r="AD61" s="557"/>
      <c r="AE61" s="557"/>
      <c r="AF61" s="557"/>
      <c r="AG61" s="557"/>
      <c r="AH61" s="557"/>
      <c r="AI61" s="557"/>
      <c r="AJ61" s="557"/>
      <c r="AK61" s="557"/>
      <c r="AL61" s="868" t="str" cm="1">
        <f t="array" ref="AL61">INDEX($K$51:$K$85,A60)</f>
        <v>lenvatinib_plus_everolimus</v>
      </c>
      <c r="AM61" t="s">
        <v>58</v>
      </c>
      <c r="AN61" t="s">
        <v>58</v>
      </c>
      <c r="AO61" t="s">
        <v>58</v>
      </c>
      <c r="AP61" t="s">
        <v>74</v>
      </c>
      <c r="AQ61" t="s">
        <v>74</v>
      </c>
      <c r="AR61" s="869" t="s">
        <v>74</v>
      </c>
      <c r="AS61" s="557"/>
      <c r="AT61" s="557"/>
      <c r="AU61" s="557"/>
      <c r="AV61" s="557"/>
      <c r="AW61" s="557"/>
      <c r="AX61" s="557"/>
      <c r="AZ61" s="89"/>
      <c r="BA61" t="s">
        <v>585</v>
      </c>
      <c r="BK61" s="91"/>
      <c r="BL61" t="s">
        <v>585</v>
      </c>
      <c r="BV61" s="93"/>
      <c r="BW61" t="s">
        <v>117</v>
      </c>
      <c r="CG61" s="95"/>
      <c r="CH61" t="s">
        <v>117</v>
      </c>
    </row>
    <row r="62" spans="1:89" x14ac:dyDescent="0.25">
      <c r="A62" s="538">
        <v>12</v>
      </c>
      <c r="B62" s="551"/>
      <c r="C62" s="538"/>
      <c r="D62" s="552"/>
      <c r="E62" s="538"/>
      <c r="F62" s="551"/>
      <c r="G62" s="538"/>
      <c r="H62" s="552"/>
      <c r="I62" s="538"/>
      <c r="J62" s="551" t="s">
        <v>1196</v>
      </c>
      <c r="K62" s="538" t="s">
        <v>327</v>
      </c>
      <c r="L62" s="552">
        <v>11</v>
      </c>
      <c r="M62" s="538"/>
      <c r="N62" s="551"/>
      <c r="O62" s="538"/>
      <c r="P62" s="552"/>
      <c r="Q62" s="538"/>
      <c r="R62" s="551"/>
      <c r="S62" s="538"/>
      <c r="T62" s="552"/>
      <c r="V62" s="610"/>
      <c r="W62" s="557"/>
      <c r="X62" s="611"/>
      <c r="Y62" s="557"/>
      <c r="Z62" s="557"/>
      <c r="AA62" s="557"/>
      <c r="AB62" s="557"/>
      <c r="AC62" s="557"/>
      <c r="AD62" s="557"/>
      <c r="AE62" s="557"/>
      <c r="AF62" s="557"/>
      <c r="AG62" s="557"/>
      <c r="AH62" s="557"/>
      <c r="AI62" s="557"/>
      <c r="AJ62" s="557"/>
      <c r="AK62" s="557"/>
      <c r="AL62" s="868" t="str" cm="1">
        <f t="array" ref="AL62">INDEX($K$51:$K$85,A61)</f>
        <v>everolimus</v>
      </c>
      <c r="AM62" t="s">
        <v>58</v>
      </c>
      <c r="AN62" t="s">
        <v>58</v>
      </c>
      <c r="AO62" t="s">
        <v>58</v>
      </c>
      <c r="AP62" t="s">
        <v>74</v>
      </c>
      <c r="AQ62" t="s">
        <v>74</v>
      </c>
      <c r="AR62" s="869" t="s">
        <v>74</v>
      </c>
      <c r="AS62" s="557"/>
      <c r="AT62" s="557"/>
      <c r="AU62" s="557"/>
      <c r="AV62" s="557"/>
      <c r="AW62" s="557"/>
      <c r="AX62" s="557"/>
      <c r="AZ62" s="89"/>
      <c r="BA62" t="s">
        <v>582</v>
      </c>
      <c r="BK62" s="91"/>
      <c r="BL62" t="s">
        <v>582</v>
      </c>
      <c r="BV62" s="93"/>
      <c r="BW62" t="s">
        <v>319</v>
      </c>
      <c r="CG62" s="95"/>
      <c r="CH62" t="s">
        <v>319</v>
      </c>
    </row>
    <row r="63" spans="1:89" x14ac:dyDescent="0.25">
      <c r="A63" s="538">
        <v>13</v>
      </c>
      <c r="B63" s="551"/>
      <c r="C63" s="538"/>
      <c r="D63" s="552"/>
      <c r="E63" s="538"/>
      <c r="F63" s="551"/>
      <c r="G63" s="538"/>
      <c r="H63" s="552"/>
      <c r="I63" s="538"/>
      <c r="J63" s="551" t="s">
        <v>1197</v>
      </c>
      <c r="K63" s="553" t="s">
        <v>588</v>
      </c>
      <c r="L63" s="552">
        <v>12</v>
      </c>
      <c r="M63" s="538"/>
      <c r="N63" s="551"/>
      <c r="O63" s="538"/>
      <c r="P63" s="552"/>
      <c r="Q63" s="538"/>
      <c r="R63" s="551"/>
      <c r="S63" s="538"/>
      <c r="T63" s="552"/>
      <c r="V63" s="610"/>
      <c r="W63" s="557"/>
      <c r="X63" s="611"/>
      <c r="Y63" s="557"/>
      <c r="Z63" s="557"/>
      <c r="AA63" s="557"/>
      <c r="AB63" s="557"/>
      <c r="AC63" s="557"/>
      <c r="AD63" s="557"/>
      <c r="AE63" s="557"/>
      <c r="AF63" s="557"/>
      <c r="AG63" s="557"/>
      <c r="AH63" s="557"/>
      <c r="AI63" s="557"/>
      <c r="AJ63" s="557"/>
      <c r="AK63" s="557"/>
      <c r="AL63" s="868" t="str" cm="1">
        <f t="array" ref="AL63">INDEX($K$51:$K$85,A62)</f>
        <v>axitinib</v>
      </c>
      <c r="AM63" t="s">
        <v>58</v>
      </c>
      <c r="AN63" t="s">
        <v>58</v>
      </c>
      <c r="AO63" t="s">
        <v>58</v>
      </c>
      <c r="AP63" t="s">
        <v>74</v>
      </c>
      <c r="AQ63" t="s">
        <v>74</v>
      </c>
      <c r="AR63" s="869" t="s">
        <v>74</v>
      </c>
      <c r="AS63" s="557"/>
      <c r="AT63" s="557"/>
      <c r="AU63" s="557"/>
      <c r="AV63" s="557"/>
      <c r="AW63" s="557"/>
      <c r="AX63" s="557"/>
      <c r="AZ63" s="89"/>
      <c r="BA63" t="s">
        <v>117</v>
      </c>
      <c r="BK63" s="91"/>
      <c r="BL63" t="s">
        <v>117</v>
      </c>
      <c r="BV63" s="93"/>
      <c r="CG63" s="95"/>
    </row>
    <row r="64" spans="1:89" x14ac:dyDescent="0.25">
      <c r="A64" s="538">
        <v>14</v>
      </c>
      <c r="B64" s="551"/>
      <c r="C64" s="538"/>
      <c r="D64" s="552"/>
      <c r="E64" s="538"/>
      <c r="F64" s="551"/>
      <c r="G64" s="538"/>
      <c r="H64" s="552"/>
      <c r="I64" s="538"/>
      <c r="J64" s="551"/>
      <c r="K64" s="538"/>
      <c r="L64" s="552"/>
      <c r="M64" s="538"/>
      <c r="N64" s="551"/>
      <c r="O64" s="538"/>
      <c r="P64" s="552"/>
      <c r="Q64" s="538"/>
      <c r="R64" s="551"/>
      <c r="S64" s="538"/>
      <c r="T64" s="552"/>
      <c r="V64" s="610"/>
      <c r="W64" s="557"/>
      <c r="X64" s="611"/>
      <c r="Y64" s="557"/>
      <c r="Z64" s="557"/>
      <c r="AA64" s="557"/>
      <c r="AB64" s="557"/>
      <c r="AC64" s="557"/>
      <c r="AD64" s="557"/>
      <c r="AE64" s="557"/>
      <c r="AF64" s="557"/>
      <c r="AG64" s="557"/>
      <c r="AH64" s="557"/>
      <c r="AI64" s="557"/>
      <c r="AJ64" s="557"/>
      <c r="AK64" s="557"/>
      <c r="AL64" s="868" t="str" cm="1">
        <f t="array" ref="AL64">INDEX($K$51:$K$85,A63)</f>
        <v>sorafenib</v>
      </c>
      <c r="AM64" t="s">
        <v>58</v>
      </c>
      <c r="AN64" t="s">
        <v>58</v>
      </c>
      <c r="AO64" t="s">
        <v>58</v>
      </c>
      <c r="AP64" t="s">
        <v>58</v>
      </c>
      <c r="AQ64" t="s">
        <v>58</v>
      </c>
      <c r="AR64" s="869" t="s">
        <v>58</v>
      </c>
      <c r="AS64" s="557"/>
      <c r="AT64" s="557"/>
      <c r="AU64" s="557"/>
      <c r="AV64" s="557"/>
      <c r="AW64" s="557"/>
      <c r="AX64" s="557"/>
      <c r="AZ64" s="89"/>
      <c r="BA64" t="s">
        <v>319</v>
      </c>
      <c r="BK64" s="91"/>
      <c r="BL64" t="s">
        <v>319</v>
      </c>
      <c r="BV64" s="93"/>
      <c r="CG64" s="95"/>
    </row>
    <row r="65" spans="1:86" x14ac:dyDescent="0.25">
      <c r="A65" s="538">
        <v>15</v>
      </c>
      <c r="B65" s="551"/>
      <c r="C65" s="538"/>
      <c r="D65" s="552"/>
      <c r="E65" s="538"/>
      <c r="F65" s="551"/>
      <c r="G65" s="538"/>
      <c r="H65" s="552"/>
      <c r="I65" s="538"/>
      <c r="J65" s="551"/>
      <c r="K65" s="538"/>
      <c r="L65" s="552"/>
      <c r="M65" s="538"/>
      <c r="N65" s="551"/>
      <c r="O65" s="538"/>
      <c r="P65" s="552"/>
      <c r="Q65" s="538"/>
      <c r="R65" s="551"/>
      <c r="S65" s="538"/>
      <c r="T65" s="552"/>
      <c r="V65" s="610"/>
      <c r="W65" s="557"/>
      <c r="X65" s="611"/>
      <c r="Y65" s="557"/>
      <c r="Z65" s="557"/>
      <c r="AA65" s="557"/>
      <c r="AB65" s="557"/>
      <c r="AC65" s="557"/>
      <c r="AD65" s="557"/>
      <c r="AE65" s="557"/>
      <c r="AF65" s="557"/>
      <c r="AG65" s="557"/>
      <c r="AH65" s="557"/>
      <c r="AI65" s="557"/>
      <c r="AJ65" s="557"/>
      <c r="AK65" s="557"/>
      <c r="AL65" s="868"/>
      <c r="AR65" s="869"/>
      <c r="AS65" s="557"/>
      <c r="AT65" s="557"/>
      <c r="AU65" s="557"/>
      <c r="AV65" s="557"/>
      <c r="AW65" s="557"/>
      <c r="AX65" s="557"/>
      <c r="AZ65" s="89"/>
      <c r="BA65" s="98"/>
      <c r="BK65" s="91"/>
      <c r="BL65" s="98"/>
      <c r="BV65" s="93"/>
      <c r="BW65" s="98"/>
      <c r="CG65" s="95"/>
      <c r="CH65" s="98"/>
    </row>
    <row r="66" spans="1:86" x14ac:dyDescent="0.25">
      <c r="A66" s="538">
        <v>16</v>
      </c>
      <c r="B66" s="551"/>
      <c r="C66" s="538"/>
      <c r="D66" s="552"/>
      <c r="E66" s="538"/>
      <c r="F66" s="551"/>
      <c r="G66" s="538"/>
      <c r="H66" s="552"/>
      <c r="I66" s="538"/>
      <c r="J66" s="551"/>
      <c r="K66" s="538"/>
      <c r="L66" s="552"/>
      <c r="M66" s="538"/>
      <c r="N66" s="551"/>
      <c r="O66" s="538"/>
      <c r="P66" s="552"/>
      <c r="Q66" s="538"/>
      <c r="R66" s="551"/>
      <c r="S66" s="538"/>
      <c r="T66" s="552"/>
      <c r="V66" s="610"/>
      <c r="W66" s="557"/>
      <c r="X66" s="611"/>
      <c r="Y66" s="557"/>
      <c r="Z66" s="557"/>
      <c r="AA66" s="557"/>
      <c r="AB66" s="557"/>
      <c r="AC66" s="557"/>
      <c r="AD66" s="557"/>
      <c r="AE66" s="557"/>
      <c r="AF66" s="557"/>
      <c r="AG66" s="557"/>
      <c r="AH66" s="557"/>
      <c r="AI66" s="557"/>
      <c r="AJ66" s="557"/>
      <c r="AK66" s="557"/>
      <c r="AL66" s="868"/>
      <c r="AM66" s="557"/>
      <c r="AN66" s="557"/>
      <c r="AO66" s="557"/>
      <c r="AP66" s="557"/>
      <c r="AQ66" s="557"/>
      <c r="AR66" s="611"/>
      <c r="AS66" s="557"/>
      <c r="AT66" s="557"/>
      <c r="AU66" s="557"/>
      <c r="AV66" s="557"/>
      <c r="AW66" s="557"/>
      <c r="AX66" s="557"/>
      <c r="AZ66" s="89"/>
      <c r="BK66" s="91"/>
      <c r="BV66" s="93"/>
      <c r="CG66" s="95"/>
    </row>
    <row r="67" spans="1:86" x14ac:dyDescent="0.25">
      <c r="A67" s="538">
        <v>17</v>
      </c>
      <c r="B67" s="551"/>
      <c r="C67" s="538"/>
      <c r="D67" s="552"/>
      <c r="E67" s="538"/>
      <c r="F67" s="551"/>
      <c r="G67" s="538"/>
      <c r="H67" s="552"/>
      <c r="I67" s="538"/>
      <c r="J67" s="551"/>
      <c r="K67" s="538"/>
      <c r="L67" s="552"/>
      <c r="M67" s="538"/>
      <c r="N67" s="551"/>
      <c r="O67" s="538"/>
      <c r="P67" s="552"/>
      <c r="Q67" s="538"/>
      <c r="R67" s="551"/>
      <c r="S67" s="538"/>
      <c r="T67" s="552"/>
      <c r="V67" s="610"/>
      <c r="W67" s="557"/>
      <c r="X67" s="611"/>
      <c r="Y67" s="557"/>
      <c r="Z67" s="557"/>
      <c r="AA67" s="557"/>
      <c r="AB67" s="557"/>
      <c r="AC67" s="557"/>
      <c r="AD67" s="557"/>
      <c r="AE67" s="557"/>
      <c r="AF67" s="557"/>
      <c r="AG67" s="557"/>
      <c r="AH67" s="557"/>
      <c r="AI67" s="557"/>
      <c r="AJ67" s="557"/>
      <c r="AK67" s="557"/>
      <c r="AL67" s="868"/>
      <c r="AM67" s="557"/>
      <c r="AN67" s="557"/>
      <c r="AO67" s="557"/>
      <c r="AP67" s="557"/>
      <c r="AQ67" s="557"/>
      <c r="AR67" s="611"/>
      <c r="AS67" s="557"/>
      <c r="AT67" s="557"/>
      <c r="AU67" s="557"/>
      <c r="AV67" s="557"/>
      <c r="AW67" s="557"/>
      <c r="AX67" s="557"/>
      <c r="AZ67" s="89"/>
      <c r="BA67" s="100" t="s">
        <v>1198</v>
      </c>
      <c r="BK67" s="91"/>
      <c r="BL67" s="100" t="s">
        <v>1198</v>
      </c>
      <c r="BV67" s="93"/>
      <c r="BW67" s="100" t="s">
        <v>1198</v>
      </c>
      <c r="CG67" s="95"/>
      <c r="CH67" s="100" t="s">
        <v>1198</v>
      </c>
    </row>
    <row r="68" spans="1:86" x14ac:dyDescent="0.25">
      <c r="A68" s="538">
        <v>18</v>
      </c>
      <c r="B68" s="551"/>
      <c r="C68" s="538"/>
      <c r="D68" s="552"/>
      <c r="E68" s="538"/>
      <c r="F68" s="551"/>
      <c r="G68" s="538"/>
      <c r="H68" s="552"/>
      <c r="I68" s="538"/>
      <c r="J68" s="551"/>
      <c r="K68" s="538"/>
      <c r="L68" s="552"/>
      <c r="M68" s="538"/>
      <c r="N68" s="551"/>
      <c r="O68" s="538"/>
      <c r="P68" s="552"/>
      <c r="Q68" s="538"/>
      <c r="R68" s="551"/>
      <c r="S68" s="538"/>
      <c r="T68" s="552"/>
      <c r="V68" s="610"/>
      <c r="W68" s="557"/>
      <c r="X68" s="611"/>
      <c r="Y68" s="557"/>
      <c r="Z68" s="557"/>
      <c r="AA68" s="557"/>
      <c r="AB68" s="557"/>
      <c r="AC68" s="557"/>
      <c r="AD68" s="557"/>
      <c r="AE68" s="557"/>
      <c r="AF68" s="557"/>
      <c r="AG68" s="557"/>
      <c r="AH68" s="557"/>
      <c r="AI68" s="557"/>
      <c r="AJ68" s="557"/>
      <c r="AK68" s="557"/>
      <c r="AL68" s="868"/>
      <c r="AM68" s="557"/>
      <c r="AN68" s="557"/>
      <c r="AO68" s="557"/>
      <c r="AP68" s="557"/>
      <c r="AQ68" s="557"/>
      <c r="AR68" s="611"/>
      <c r="AS68" s="557"/>
      <c r="AT68" s="557"/>
      <c r="AU68" s="557"/>
      <c r="AV68" s="557"/>
      <c r="AW68" s="557"/>
      <c r="AX68" s="557"/>
      <c r="AZ68" s="89"/>
      <c r="BA68" s="31" t="s">
        <v>118</v>
      </c>
      <c r="BK68" s="91"/>
      <c r="BL68" s="31" t="s">
        <v>118</v>
      </c>
      <c r="BV68" s="93"/>
      <c r="BW68" s="31" t="s">
        <v>118</v>
      </c>
      <c r="CG68" s="95"/>
      <c r="CH68" s="31" t="s">
        <v>118</v>
      </c>
    </row>
    <row r="69" spans="1:86" x14ac:dyDescent="0.25">
      <c r="A69" s="538">
        <v>19</v>
      </c>
      <c r="B69" s="551"/>
      <c r="C69" s="538"/>
      <c r="D69" s="552"/>
      <c r="E69" s="538"/>
      <c r="F69" s="551"/>
      <c r="G69" s="538"/>
      <c r="H69" s="552"/>
      <c r="I69" s="538"/>
      <c r="J69" s="551"/>
      <c r="K69" s="538"/>
      <c r="L69" s="552"/>
      <c r="M69" s="538"/>
      <c r="N69" s="551"/>
      <c r="O69" s="538"/>
      <c r="P69" s="552"/>
      <c r="Q69" s="538"/>
      <c r="R69" s="551"/>
      <c r="S69" s="538"/>
      <c r="T69" s="552"/>
      <c r="V69" s="610"/>
      <c r="W69" s="557"/>
      <c r="X69" s="611"/>
      <c r="Y69" s="557"/>
      <c r="Z69" s="557"/>
      <c r="AA69" s="557"/>
      <c r="AB69" s="557"/>
      <c r="AC69" s="557"/>
      <c r="AD69" s="557"/>
      <c r="AE69" s="557"/>
      <c r="AF69" s="557"/>
      <c r="AG69" s="557"/>
      <c r="AH69" s="557"/>
      <c r="AI69" s="557"/>
      <c r="AJ69" s="557"/>
      <c r="AK69" s="557"/>
      <c r="AL69" s="868"/>
      <c r="AM69" s="557"/>
      <c r="AN69" s="557"/>
      <c r="AO69" s="557"/>
      <c r="AP69" s="557"/>
      <c r="AQ69" s="557"/>
      <c r="AR69" s="611"/>
      <c r="AS69" s="557"/>
      <c r="AT69" s="557"/>
      <c r="AU69" s="557"/>
      <c r="AV69" s="557"/>
      <c r="AW69" s="557"/>
      <c r="AX69" s="557"/>
      <c r="AZ69" s="89"/>
      <c r="BA69" t="s">
        <v>583</v>
      </c>
      <c r="BK69" s="91"/>
      <c r="BL69" t="s">
        <v>583</v>
      </c>
      <c r="BV69" s="93"/>
      <c r="BW69" t="s">
        <v>583</v>
      </c>
      <c r="CG69" s="95"/>
      <c r="CH69" t="s">
        <v>583</v>
      </c>
    </row>
    <row r="70" spans="1:86" x14ac:dyDescent="0.25">
      <c r="A70" s="538">
        <v>20</v>
      </c>
      <c r="B70" s="551"/>
      <c r="C70" s="538"/>
      <c r="D70" s="552"/>
      <c r="E70" s="538"/>
      <c r="F70" s="551"/>
      <c r="G70" s="538"/>
      <c r="H70" s="552"/>
      <c r="I70" s="538"/>
      <c r="J70" s="551"/>
      <c r="K70" s="538"/>
      <c r="L70" s="552"/>
      <c r="M70" s="538"/>
      <c r="N70" s="551"/>
      <c r="O70" s="538"/>
      <c r="P70" s="552"/>
      <c r="Q70" s="538"/>
      <c r="R70" s="551"/>
      <c r="S70" s="538"/>
      <c r="T70" s="552"/>
      <c r="V70" s="610"/>
      <c r="W70" s="557"/>
      <c r="X70" s="611"/>
      <c r="Y70" s="557"/>
      <c r="Z70" s="557"/>
      <c r="AA70" s="557"/>
      <c r="AB70" s="557"/>
      <c r="AC70" s="557"/>
      <c r="AD70" s="557"/>
      <c r="AE70" s="557"/>
      <c r="AF70" s="557"/>
      <c r="AG70" s="557"/>
      <c r="AH70" s="557"/>
      <c r="AI70" s="557"/>
      <c r="AJ70" s="557"/>
      <c r="AK70" s="557"/>
      <c r="AL70" s="868"/>
      <c r="AM70" s="557"/>
      <c r="AN70" s="557"/>
      <c r="AO70" s="557"/>
      <c r="AP70" s="557"/>
      <c r="AQ70" s="557"/>
      <c r="AR70" s="611"/>
      <c r="AS70" s="557"/>
      <c r="AT70" s="557"/>
      <c r="AU70" s="557"/>
      <c r="AV70" s="557"/>
      <c r="AW70" s="557"/>
      <c r="AX70" s="557"/>
      <c r="AZ70" s="89"/>
      <c r="BA70" t="s">
        <v>327</v>
      </c>
      <c r="BK70" s="91"/>
      <c r="BL70" t="s">
        <v>327</v>
      </c>
      <c r="BV70" s="93"/>
      <c r="BW70" t="s">
        <v>327</v>
      </c>
      <c r="CG70" s="95"/>
      <c r="CH70" t="s">
        <v>327</v>
      </c>
    </row>
    <row r="71" spans="1:86" x14ac:dyDescent="0.25">
      <c r="A71" s="538">
        <v>21</v>
      </c>
      <c r="B71" s="551"/>
      <c r="C71" s="538"/>
      <c r="D71" s="552"/>
      <c r="E71" s="538"/>
      <c r="F71" s="551"/>
      <c r="G71" s="538"/>
      <c r="H71" s="552"/>
      <c r="I71" s="538"/>
      <c r="J71" s="551"/>
      <c r="K71" s="538"/>
      <c r="L71" s="552"/>
      <c r="M71" s="538"/>
      <c r="N71" s="551"/>
      <c r="O71" s="538"/>
      <c r="P71" s="552"/>
      <c r="Q71" s="538"/>
      <c r="R71" s="551"/>
      <c r="S71" s="538"/>
      <c r="T71" s="552"/>
      <c r="V71" s="610"/>
      <c r="W71" s="557"/>
      <c r="X71" s="611"/>
      <c r="Y71" s="557"/>
      <c r="Z71" s="557"/>
      <c r="AA71" s="557"/>
      <c r="AB71" s="557"/>
      <c r="AC71" s="557"/>
      <c r="AD71" s="557"/>
      <c r="AE71" s="557"/>
      <c r="AF71" s="557"/>
      <c r="AG71" s="557"/>
      <c r="AH71" s="557"/>
      <c r="AI71" s="557"/>
      <c r="AJ71" s="557"/>
      <c r="AK71" s="557"/>
      <c r="AL71" s="868"/>
      <c r="AM71" s="557"/>
      <c r="AN71" s="557"/>
      <c r="AO71" s="557"/>
      <c r="AP71" s="557"/>
      <c r="AQ71" s="557"/>
      <c r="AR71" s="611"/>
      <c r="AS71" s="557"/>
      <c r="AT71" s="557"/>
      <c r="AU71" s="557"/>
      <c r="AV71" s="557"/>
      <c r="AW71" s="557"/>
      <c r="AX71" s="557"/>
      <c r="AZ71" s="89"/>
      <c r="BK71" s="91"/>
      <c r="BL71" s="98" t="s">
        <v>581</v>
      </c>
      <c r="BV71" s="93"/>
      <c r="CG71" s="95"/>
    </row>
    <row r="72" spans="1:86" x14ac:dyDescent="0.25">
      <c r="A72" s="538">
        <v>22</v>
      </c>
      <c r="B72" s="551"/>
      <c r="C72" s="538"/>
      <c r="D72" s="552"/>
      <c r="E72" s="538"/>
      <c r="F72" s="551"/>
      <c r="G72" s="538"/>
      <c r="H72" s="552"/>
      <c r="I72" s="538"/>
      <c r="J72" s="551"/>
      <c r="K72" s="538"/>
      <c r="L72" s="552"/>
      <c r="M72" s="538"/>
      <c r="N72" s="551"/>
      <c r="O72" s="538"/>
      <c r="P72" s="552"/>
      <c r="Q72" s="538"/>
      <c r="R72" s="551"/>
      <c r="S72" s="538"/>
      <c r="T72" s="552"/>
      <c r="V72" s="610"/>
      <c r="W72" s="557"/>
      <c r="X72" s="611"/>
      <c r="Y72" s="557"/>
      <c r="Z72" s="557"/>
      <c r="AA72" s="557"/>
      <c r="AB72" s="557"/>
      <c r="AC72" s="557"/>
      <c r="AD72" s="557"/>
      <c r="AE72" s="557"/>
      <c r="AF72" s="557"/>
      <c r="AG72" s="557"/>
      <c r="AH72" s="557"/>
      <c r="AI72" s="557"/>
      <c r="AJ72" s="557"/>
      <c r="AK72" s="557"/>
      <c r="AL72" s="868"/>
      <c r="AM72" s="557"/>
      <c r="AN72" s="557"/>
      <c r="AO72" s="557"/>
      <c r="AP72" s="557"/>
      <c r="AQ72" s="557"/>
      <c r="AR72" s="611"/>
      <c r="AS72" s="557"/>
      <c r="AT72" s="557"/>
      <c r="AU72" s="557"/>
      <c r="AV72" s="557"/>
      <c r="AW72" s="557"/>
      <c r="AX72" s="557"/>
      <c r="AZ72" s="89"/>
      <c r="BK72" s="91"/>
      <c r="BV72" s="93"/>
      <c r="CG72" s="95"/>
    </row>
    <row r="73" spans="1:86" x14ac:dyDescent="0.25">
      <c r="A73" s="538">
        <v>23</v>
      </c>
      <c r="B73" s="551"/>
      <c r="C73" s="538"/>
      <c r="D73" s="552"/>
      <c r="E73" s="538"/>
      <c r="F73" s="551"/>
      <c r="G73" s="538"/>
      <c r="H73" s="552"/>
      <c r="I73" s="538"/>
      <c r="J73" s="551"/>
      <c r="K73" s="538"/>
      <c r="L73" s="552"/>
      <c r="M73" s="538"/>
      <c r="N73" s="551"/>
      <c r="O73" s="538"/>
      <c r="P73" s="552"/>
      <c r="Q73" s="538"/>
      <c r="R73" s="551"/>
      <c r="S73" s="538"/>
      <c r="T73" s="552"/>
      <c r="V73" s="610"/>
      <c r="W73" s="557"/>
      <c r="X73" s="611"/>
      <c r="Y73" s="557"/>
      <c r="Z73" s="557"/>
      <c r="AA73" s="557"/>
      <c r="AB73" s="557"/>
      <c r="AC73" s="557"/>
      <c r="AD73" s="557"/>
      <c r="AE73" s="557"/>
      <c r="AF73" s="557"/>
      <c r="AG73" s="557"/>
      <c r="AH73" s="557"/>
      <c r="AI73" s="557"/>
      <c r="AJ73" s="557"/>
      <c r="AK73" s="557"/>
      <c r="AL73" s="868"/>
      <c r="AM73" s="557"/>
      <c r="AN73" s="557"/>
      <c r="AO73" s="557"/>
      <c r="AP73" s="557"/>
      <c r="AQ73" s="557"/>
      <c r="AR73" s="611"/>
      <c r="AS73" s="557"/>
      <c r="AT73" s="557"/>
      <c r="AU73" s="557"/>
      <c r="AV73" s="557"/>
      <c r="AW73" s="557"/>
      <c r="AX73" s="557"/>
      <c r="AZ73" s="89"/>
      <c r="BK73" s="91"/>
      <c r="BV73" s="93"/>
      <c r="CG73" s="95"/>
    </row>
    <row r="74" spans="1:86" x14ac:dyDescent="0.25">
      <c r="A74" s="538">
        <v>24</v>
      </c>
      <c r="B74" s="551"/>
      <c r="C74" s="538"/>
      <c r="D74" s="552"/>
      <c r="E74" s="538"/>
      <c r="F74" s="551"/>
      <c r="G74" s="538"/>
      <c r="H74" s="552"/>
      <c r="I74" s="538"/>
      <c r="J74" s="551"/>
      <c r="K74" s="538"/>
      <c r="L74" s="552"/>
      <c r="M74" s="538"/>
      <c r="N74" s="551"/>
      <c r="O74" s="538"/>
      <c r="P74" s="552"/>
      <c r="Q74" s="538"/>
      <c r="R74" s="551"/>
      <c r="S74" s="538"/>
      <c r="T74" s="552"/>
      <c r="V74" s="610"/>
      <c r="W74" s="557"/>
      <c r="X74" s="611"/>
      <c r="Y74" s="557"/>
      <c r="Z74" s="557"/>
      <c r="AA74" s="557"/>
      <c r="AB74" s="557"/>
      <c r="AC74" s="557"/>
      <c r="AD74" s="557"/>
      <c r="AE74" s="557"/>
      <c r="AF74" s="557"/>
      <c r="AG74" s="557"/>
      <c r="AH74" s="557"/>
      <c r="AI74" s="557"/>
      <c r="AJ74" s="557"/>
      <c r="AK74" s="557"/>
      <c r="AL74" s="868"/>
      <c r="AM74" s="557"/>
      <c r="AN74" s="557"/>
      <c r="AO74" s="557"/>
      <c r="AP74" s="557"/>
      <c r="AQ74" s="557"/>
      <c r="AR74" s="611"/>
      <c r="AS74" s="557"/>
      <c r="AT74" s="557"/>
      <c r="AU74" s="557"/>
      <c r="AV74" s="557"/>
      <c r="AW74" s="557"/>
      <c r="AX74" s="557"/>
      <c r="AZ74" s="89"/>
      <c r="BA74" t="s">
        <v>333</v>
      </c>
      <c r="BK74" s="91"/>
      <c r="BL74" t="s">
        <v>333</v>
      </c>
      <c r="BV74" s="93"/>
      <c r="BW74" t="s">
        <v>333</v>
      </c>
      <c r="CG74" s="95"/>
      <c r="CH74" t="s">
        <v>333</v>
      </c>
    </row>
    <row r="75" spans="1:86" x14ac:dyDescent="0.25">
      <c r="A75" s="538">
        <v>25</v>
      </c>
      <c r="B75" s="551"/>
      <c r="C75" s="538"/>
      <c r="D75" s="552"/>
      <c r="E75" s="538"/>
      <c r="F75" s="551"/>
      <c r="G75" s="538"/>
      <c r="H75" s="552"/>
      <c r="I75" s="538"/>
      <c r="J75" s="551"/>
      <c r="K75" s="538"/>
      <c r="L75" s="552"/>
      <c r="M75" s="538"/>
      <c r="N75" s="551"/>
      <c r="O75" s="538"/>
      <c r="P75" s="552"/>
      <c r="Q75" s="538"/>
      <c r="R75" s="551"/>
      <c r="S75" s="538"/>
      <c r="T75" s="552"/>
      <c r="V75" s="610"/>
      <c r="W75" s="557"/>
      <c r="X75" s="611"/>
      <c r="Y75" s="557"/>
      <c r="Z75" s="557"/>
      <c r="AA75" s="557"/>
      <c r="AB75" s="557"/>
      <c r="AC75" s="557"/>
      <c r="AD75" s="557"/>
      <c r="AE75" s="557"/>
      <c r="AF75" s="557"/>
      <c r="AG75" s="557"/>
      <c r="AH75" s="557"/>
      <c r="AI75" s="557"/>
      <c r="AJ75" s="557"/>
      <c r="AK75" s="557"/>
      <c r="AL75" s="868"/>
      <c r="AM75" s="557"/>
      <c r="AN75" s="557"/>
      <c r="AO75" s="557"/>
      <c r="AP75" s="557"/>
      <c r="AQ75" s="557"/>
      <c r="AR75" s="611"/>
      <c r="AS75" s="557"/>
      <c r="AT75" s="557"/>
      <c r="AU75" s="557"/>
      <c r="AV75" s="557"/>
      <c r="AW75" s="557"/>
      <c r="AX75" s="557"/>
      <c r="AZ75" s="89"/>
      <c r="BA75" t="s">
        <v>571</v>
      </c>
      <c r="BK75" s="91"/>
      <c r="BL75" t="s">
        <v>571</v>
      </c>
      <c r="BV75" s="93"/>
      <c r="BW75" t="s">
        <v>571</v>
      </c>
      <c r="CG75" s="95"/>
      <c r="CH75" t="s">
        <v>571</v>
      </c>
    </row>
    <row r="76" spans="1:86" x14ac:dyDescent="0.25">
      <c r="A76" s="538">
        <v>26</v>
      </c>
      <c r="B76" s="551"/>
      <c r="C76" s="538"/>
      <c r="D76" s="552"/>
      <c r="E76" s="538"/>
      <c r="F76" s="551"/>
      <c r="G76" s="538"/>
      <c r="H76" s="552"/>
      <c r="I76" s="538"/>
      <c r="J76" s="551"/>
      <c r="K76" s="538"/>
      <c r="L76" s="552"/>
      <c r="M76" s="538"/>
      <c r="N76" s="551"/>
      <c r="O76" s="538"/>
      <c r="P76" s="552"/>
      <c r="Q76" s="538"/>
      <c r="R76" s="551"/>
      <c r="S76" s="538"/>
      <c r="T76" s="552"/>
      <c r="V76" s="610"/>
      <c r="W76" s="557"/>
      <c r="X76" s="611"/>
      <c r="Y76" s="557"/>
      <c r="Z76" s="557"/>
      <c r="AA76" s="557"/>
      <c r="AB76" s="557"/>
      <c r="AC76" s="557"/>
      <c r="AD76" s="557"/>
      <c r="AE76" s="557"/>
      <c r="AF76" s="557"/>
      <c r="AG76" s="557"/>
      <c r="AH76" s="557"/>
      <c r="AI76" s="557"/>
      <c r="AJ76" s="557"/>
      <c r="AK76" s="557"/>
      <c r="AL76" s="868"/>
      <c r="AM76" s="557"/>
      <c r="AN76" s="557"/>
      <c r="AO76" s="557"/>
      <c r="AP76" s="557"/>
      <c r="AQ76" s="557"/>
      <c r="AR76" s="611"/>
      <c r="AS76" s="557"/>
      <c r="AT76" s="557"/>
      <c r="AU76" s="557"/>
      <c r="AV76" s="557"/>
      <c r="AW76" s="557"/>
      <c r="AX76" s="557"/>
      <c r="AZ76" s="89"/>
      <c r="BK76" s="91"/>
      <c r="BV76" s="93"/>
      <c r="CG76" s="95"/>
    </row>
    <row r="77" spans="1:86" x14ac:dyDescent="0.25">
      <c r="A77" s="538">
        <v>27</v>
      </c>
      <c r="B77" s="551"/>
      <c r="C77" s="538"/>
      <c r="D77" s="552"/>
      <c r="E77" s="538"/>
      <c r="F77" s="551"/>
      <c r="G77" s="538"/>
      <c r="H77" s="552"/>
      <c r="I77" s="538"/>
      <c r="J77" s="551"/>
      <c r="K77" s="538"/>
      <c r="L77" s="552"/>
      <c r="M77" s="538"/>
      <c r="N77" s="551"/>
      <c r="O77" s="538"/>
      <c r="P77" s="552"/>
      <c r="Q77" s="538"/>
      <c r="R77" s="551"/>
      <c r="S77" s="538"/>
      <c r="T77" s="552"/>
      <c r="V77" s="610"/>
      <c r="W77" s="557"/>
      <c r="X77" s="611"/>
      <c r="Y77" s="557"/>
      <c r="Z77" s="557"/>
      <c r="AA77" s="557"/>
      <c r="AB77" s="557"/>
      <c r="AC77" s="557"/>
      <c r="AD77" s="557"/>
      <c r="AE77" s="557"/>
      <c r="AF77" s="557"/>
      <c r="AG77" s="557"/>
      <c r="AH77" s="557"/>
      <c r="AI77" s="557"/>
      <c r="AJ77" s="557"/>
      <c r="AK77" s="557"/>
      <c r="AL77" s="868"/>
      <c r="AM77" s="557"/>
      <c r="AN77" s="557"/>
      <c r="AO77" s="557"/>
      <c r="AP77" s="557"/>
      <c r="AQ77" s="557"/>
      <c r="AR77" s="611"/>
      <c r="AS77" s="557"/>
      <c r="AT77" s="557"/>
      <c r="AU77" s="557"/>
      <c r="AV77" s="557"/>
      <c r="AW77" s="557"/>
      <c r="AX77" s="557"/>
      <c r="AZ77" s="89"/>
      <c r="BA77" t="s">
        <v>585</v>
      </c>
      <c r="BK77" s="91"/>
      <c r="BL77" t="s">
        <v>585</v>
      </c>
      <c r="BV77" s="93"/>
      <c r="BW77" t="s">
        <v>585</v>
      </c>
      <c r="CG77" s="95"/>
      <c r="CH77" t="s">
        <v>585</v>
      </c>
    </row>
    <row r="78" spans="1:86" x14ac:dyDescent="0.25">
      <c r="A78" s="538">
        <v>28</v>
      </c>
      <c r="B78" s="551"/>
      <c r="C78" s="538"/>
      <c r="D78" s="552"/>
      <c r="E78" s="538"/>
      <c r="F78" s="551"/>
      <c r="G78" s="538"/>
      <c r="H78" s="552"/>
      <c r="I78" s="538"/>
      <c r="J78" s="551"/>
      <c r="K78" s="538"/>
      <c r="L78" s="552"/>
      <c r="M78" s="538"/>
      <c r="N78" s="551"/>
      <c r="O78" s="538"/>
      <c r="P78" s="552"/>
      <c r="Q78" s="538"/>
      <c r="R78" s="551"/>
      <c r="S78" s="538"/>
      <c r="T78" s="552"/>
      <c r="V78" s="610"/>
      <c r="W78" s="557"/>
      <c r="X78" s="611"/>
      <c r="Y78" s="557"/>
      <c r="Z78" s="557"/>
      <c r="AA78" s="557"/>
      <c r="AB78" s="557"/>
      <c r="AC78" s="557"/>
      <c r="AD78" s="557"/>
      <c r="AE78" s="557"/>
      <c r="AF78" s="557"/>
      <c r="AG78" s="557"/>
      <c r="AH78" s="557"/>
      <c r="AI78" s="557"/>
      <c r="AJ78" s="557"/>
      <c r="AK78" s="557"/>
      <c r="AL78" s="868"/>
      <c r="AM78" s="557"/>
      <c r="AN78" s="557"/>
      <c r="AO78" s="557"/>
      <c r="AP78" s="557"/>
      <c r="AQ78" s="557"/>
      <c r="AR78" s="611"/>
      <c r="AS78" s="557"/>
      <c r="AT78" s="557"/>
      <c r="AU78" s="557"/>
      <c r="AV78" s="557"/>
      <c r="AW78" s="557"/>
      <c r="AX78" s="557"/>
      <c r="AZ78" s="89"/>
      <c r="BA78" t="s">
        <v>582</v>
      </c>
      <c r="BK78" s="91"/>
      <c r="BL78" t="s">
        <v>582</v>
      </c>
      <c r="BV78" s="93"/>
      <c r="BW78" t="s">
        <v>582</v>
      </c>
      <c r="CG78" s="95"/>
      <c r="CH78" t="s">
        <v>582</v>
      </c>
    </row>
    <row r="79" spans="1:86" x14ac:dyDescent="0.25">
      <c r="A79" s="538">
        <v>29</v>
      </c>
      <c r="B79" s="551"/>
      <c r="C79" s="538"/>
      <c r="D79" s="552"/>
      <c r="E79" s="538"/>
      <c r="F79" s="551"/>
      <c r="G79" s="538"/>
      <c r="H79" s="552"/>
      <c r="I79" s="538"/>
      <c r="J79" s="551"/>
      <c r="K79" s="538"/>
      <c r="L79" s="552"/>
      <c r="M79" s="538"/>
      <c r="N79" s="551"/>
      <c r="O79" s="538"/>
      <c r="P79" s="552"/>
      <c r="Q79" s="538"/>
      <c r="R79" s="551"/>
      <c r="S79" s="538"/>
      <c r="T79" s="552"/>
      <c r="V79" s="610"/>
      <c r="W79" s="557"/>
      <c r="X79" s="611"/>
      <c r="Y79" s="557"/>
      <c r="Z79" s="557"/>
      <c r="AA79" s="557"/>
      <c r="AB79" s="557"/>
      <c r="AC79" s="557"/>
      <c r="AD79" s="557"/>
      <c r="AE79" s="557"/>
      <c r="AF79" s="557"/>
      <c r="AG79" s="557"/>
      <c r="AH79" s="557"/>
      <c r="AI79" s="557"/>
      <c r="AJ79" s="557"/>
      <c r="AK79" s="557"/>
      <c r="AL79" s="868"/>
      <c r="AM79" s="557"/>
      <c r="AN79" s="557"/>
      <c r="AO79" s="557"/>
      <c r="AP79" s="557"/>
      <c r="AQ79" s="557"/>
      <c r="AR79" s="611"/>
      <c r="AS79" s="557"/>
      <c r="AT79" s="557"/>
      <c r="AU79" s="557"/>
      <c r="AV79" s="557"/>
      <c r="AW79" s="557"/>
      <c r="AX79" s="557"/>
      <c r="AZ79" s="89"/>
      <c r="BA79" t="s">
        <v>117</v>
      </c>
      <c r="BK79" s="91"/>
      <c r="BL79" t="s">
        <v>117</v>
      </c>
      <c r="BV79" s="93"/>
      <c r="BW79" t="s">
        <v>117</v>
      </c>
      <c r="CG79" s="95"/>
      <c r="CH79" t="s">
        <v>117</v>
      </c>
    </row>
    <row r="80" spans="1:86" x14ac:dyDescent="0.25">
      <c r="A80" s="538">
        <v>30</v>
      </c>
      <c r="B80" s="551"/>
      <c r="C80" s="538"/>
      <c r="D80" s="552"/>
      <c r="E80" s="538"/>
      <c r="F80" s="551"/>
      <c r="G80" s="538"/>
      <c r="H80" s="552"/>
      <c r="I80" s="538"/>
      <c r="J80" s="551"/>
      <c r="K80" s="538"/>
      <c r="L80" s="552"/>
      <c r="M80" s="538"/>
      <c r="N80" s="551"/>
      <c r="O80" s="538"/>
      <c r="P80" s="552"/>
      <c r="Q80" s="538"/>
      <c r="R80" s="551"/>
      <c r="S80" s="538"/>
      <c r="T80" s="552"/>
      <c r="V80" s="610"/>
      <c r="W80" s="557"/>
      <c r="X80" s="611"/>
      <c r="Y80" s="557"/>
      <c r="Z80" s="557"/>
      <c r="AA80" s="557"/>
      <c r="AB80" s="557"/>
      <c r="AC80" s="557"/>
      <c r="AD80" s="557"/>
      <c r="AE80" s="557"/>
      <c r="AF80" s="557"/>
      <c r="AG80" s="557"/>
      <c r="AH80" s="557"/>
      <c r="AI80" s="557"/>
      <c r="AJ80" s="557"/>
      <c r="AK80" s="557"/>
      <c r="AL80" s="868"/>
      <c r="AM80" s="557"/>
      <c r="AN80" s="557"/>
      <c r="AO80" s="557"/>
      <c r="AP80" s="557"/>
      <c r="AQ80" s="557"/>
      <c r="AR80" s="611"/>
      <c r="AS80" s="557"/>
      <c r="AT80" s="557"/>
      <c r="AU80" s="557"/>
      <c r="AV80" s="557"/>
      <c r="AW80" s="557"/>
      <c r="AX80" s="557"/>
      <c r="AZ80" s="89"/>
      <c r="BA80" s="98" t="s">
        <v>319</v>
      </c>
      <c r="BK80" s="91"/>
      <c r="BL80" s="98" t="s">
        <v>319</v>
      </c>
      <c r="BV80" s="93"/>
      <c r="BW80" s="98" t="s">
        <v>319</v>
      </c>
      <c r="CG80" s="95"/>
      <c r="CH80" s="98" t="s">
        <v>319</v>
      </c>
    </row>
    <row r="81" spans="1:88" x14ac:dyDescent="0.25">
      <c r="A81" s="538">
        <v>31</v>
      </c>
      <c r="B81" s="551"/>
      <c r="C81" s="538"/>
      <c r="D81" s="552"/>
      <c r="E81" s="538"/>
      <c r="F81" s="551"/>
      <c r="G81" s="538"/>
      <c r="H81" s="552"/>
      <c r="I81" s="538"/>
      <c r="J81" s="551"/>
      <c r="K81" s="538"/>
      <c r="L81" s="552"/>
      <c r="M81" s="538"/>
      <c r="N81" s="551"/>
      <c r="O81" s="538"/>
      <c r="P81" s="552"/>
      <c r="Q81" s="538"/>
      <c r="R81" s="551"/>
      <c r="S81" s="538"/>
      <c r="T81" s="552"/>
      <c r="V81" s="610"/>
      <c r="W81" s="557"/>
      <c r="X81" s="611"/>
      <c r="Y81" s="557"/>
      <c r="Z81" s="557"/>
      <c r="AA81" s="557"/>
      <c r="AB81" s="557"/>
      <c r="AC81" s="557"/>
      <c r="AD81" s="557"/>
      <c r="AE81" s="557"/>
      <c r="AF81" s="557"/>
      <c r="AG81" s="557"/>
      <c r="AH81" s="557"/>
      <c r="AI81" s="557"/>
      <c r="AJ81" s="557"/>
      <c r="AK81" s="557"/>
      <c r="AL81" s="868"/>
      <c r="AM81" s="557"/>
      <c r="AN81" s="557"/>
      <c r="AO81" s="557"/>
      <c r="AP81" s="557"/>
      <c r="AQ81" s="557"/>
      <c r="AR81" s="611"/>
      <c r="AS81" s="557"/>
      <c r="AT81" s="557"/>
      <c r="AU81" s="557"/>
      <c r="AV81" s="557"/>
      <c r="AW81" s="557"/>
      <c r="AX81" s="557"/>
      <c r="AZ81" s="89"/>
      <c r="BK81" s="91"/>
      <c r="BV81" s="93"/>
      <c r="CG81" s="95"/>
    </row>
    <row r="82" spans="1:88" x14ac:dyDescent="0.25">
      <c r="A82" s="538">
        <v>32</v>
      </c>
      <c r="B82" s="551"/>
      <c r="C82" s="538"/>
      <c r="D82" s="552"/>
      <c r="E82" s="538"/>
      <c r="F82" s="551"/>
      <c r="G82" s="538"/>
      <c r="H82" s="552"/>
      <c r="I82" s="538"/>
      <c r="J82" s="551"/>
      <c r="K82" s="538"/>
      <c r="L82" s="552"/>
      <c r="M82" s="538"/>
      <c r="N82" s="551"/>
      <c r="O82" s="538"/>
      <c r="P82" s="552"/>
      <c r="Q82" s="538"/>
      <c r="R82" s="551"/>
      <c r="S82" s="538"/>
      <c r="T82" s="552"/>
      <c r="V82" s="610"/>
      <c r="W82" s="557"/>
      <c r="X82" s="611"/>
      <c r="Y82" s="557"/>
      <c r="Z82" s="557"/>
      <c r="AA82" s="557"/>
      <c r="AB82" s="557"/>
      <c r="AC82" s="557"/>
      <c r="AD82" s="557"/>
      <c r="AE82" s="557"/>
      <c r="AF82" s="557"/>
      <c r="AG82" s="557"/>
      <c r="AH82" s="557"/>
      <c r="AI82" s="557"/>
      <c r="AJ82" s="557"/>
      <c r="AK82" s="557"/>
      <c r="AL82" s="868"/>
      <c r="AM82" s="557"/>
      <c r="AN82" s="557"/>
      <c r="AO82" s="557"/>
      <c r="AP82" s="557"/>
      <c r="AQ82" s="557"/>
      <c r="AR82" s="611"/>
      <c r="AS82" s="557"/>
      <c r="AT82" s="557"/>
      <c r="AU82" s="557"/>
      <c r="AV82" s="557"/>
      <c r="AW82" s="557"/>
      <c r="AX82" s="557"/>
      <c r="AZ82" s="89"/>
      <c r="BA82" s="31" t="s">
        <v>1199</v>
      </c>
      <c r="BK82" s="91"/>
      <c r="BL82" s="31" t="s">
        <v>1199</v>
      </c>
      <c r="BV82" s="93"/>
      <c r="BW82" s="31" t="s">
        <v>1199</v>
      </c>
      <c r="CG82" s="95"/>
      <c r="CH82" s="31" t="s">
        <v>1199</v>
      </c>
    </row>
    <row r="83" spans="1:88" x14ac:dyDescent="0.25">
      <c r="A83" s="538">
        <v>33</v>
      </c>
      <c r="B83" s="551"/>
      <c r="C83" s="538"/>
      <c r="D83" s="552"/>
      <c r="E83" s="538"/>
      <c r="F83" s="551"/>
      <c r="G83" s="538"/>
      <c r="H83" s="552"/>
      <c r="I83" s="538"/>
      <c r="J83" s="551"/>
      <c r="K83" s="538"/>
      <c r="L83" s="552"/>
      <c r="M83" s="538"/>
      <c r="N83" s="551"/>
      <c r="O83" s="538"/>
      <c r="P83" s="552"/>
      <c r="Q83" s="538"/>
      <c r="R83" s="551"/>
      <c r="S83" s="538"/>
      <c r="T83" s="552"/>
      <c r="V83" s="610"/>
      <c r="W83" s="557"/>
      <c r="X83" s="611"/>
      <c r="Y83" s="557"/>
      <c r="Z83" s="557"/>
      <c r="AA83" s="557"/>
      <c r="AB83" s="557"/>
      <c r="AC83" s="557"/>
      <c r="AD83" s="557"/>
      <c r="AE83" s="557"/>
      <c r="AF83" s="557"/>
      <c r="AG83" s="557"/>
      <c r="AH83" s="557"/>
      <c r="AI83" s="557"/>
      <c r="AJ83" s="557"/>
      <c r="AK83" s="557"/>
      <c r="AL83" s="868"/>
      <c r="AM83" s="557"/>
      <c r="AN83" s="557"/>
      <c r="AO83" s="557"/>
      <c r="AP83" s="557"/>
      <c r="AQ83" s="557"/>
      <c r="AR83" s="611"/>
      <c r="AS83" s="557"/>
      <c r="AT83" s="557"/>
      <c r="AU83" s="557"/>
      <c r="AV83" s="557"/>
      <c r="AW83" s="557"/>
      <c r="AX83" s="557"/>
      <c r="AZ83" s="89"/>
      <c r="BA83" s="101" t="s">
        <v>117</v>
      </c>
      <c r="BB83" s="31" t="s">
        <v>585</v>
      </c>
      <c r="BC83" s="31" t="s">
        <v>319</v>
      </c>
      <c r="BK83" s="91"/>
      <c r="BL83" s="101" t="s">
        <v>117</v>
      </c>
      <c r="BM83" s="31" t="s">
        <v>585</v>
      </c>
      <c r="BN83" s="31" t="s">
        <v>319</v>
      </c>
      <c r="BV83" s="93"/>
      <c r="BW83" s="101" t="s">
        <v>117</v>
      </c>
      <c r="BX83" s="31" t="s">
        <v>585</v>
      </c>
      <c r="BY83" s="31" t="s">
        <v>319</v>
      </c>
      <c r="CG83" s="95"/>
      <c r="CH83" s="101" t="s">
        <v>117</v>
      </c>
      <c r="CI83" s="31" t="s">
        <v>585</v>
      </c>
      <c r="CJ83" s="31" t="s">
        <v>319</v>
      </c>
    </row>
    <row r="84" spans="1:88" x14ac:dyDescent="0.25">
      <c r="A84" s="538">
        <v>34</v>
      </c>
      <c r="B84" s="551"/>
      <c r="C84" s="538"/>
      <c r="D84" s="552"/>
      <c r="E84" s="538"/>
      <c r="F84" s="551"/>
      <c r="G84" s="538"/>
      <c r="H84" s="552"/>
      <c r="I84" s="538"/>
      <c r="J84" s="551"/>
      <c r="K84" s="538"/>
      <c r="L84" s="552"/>
      <c r="M84" s="538"/>
      <c r="N84" s="551"/>
      <c r="O84" s="538"/>
      <c r="P84" s="552"/>
      <c r="Q84" s="538"/>
      <c r="R84" s="551"/>
      <c r="S84" s="538"/>
      <c r="T84" s="552"/>
      <c r="V84" s="610"/>
      <c r="W84" s="557"/>
      <c r="X84" s="611"/>
      <c r="Y84" s="557"/>
      <c r="Z84" s="557"/>
      <c r="AA84" s="557"/>
      <c r="AB84" s="557"/>
      <c r="AC84" s="557"/>
      <c r="AD84" s="557"/>
      <c r="AE84" s="557"/>
      <c r="AF84" s="557"/>
      <c r="AG84" s="557"/>
      <c r="AH84" s="557"/>
      <c r="AI84" s="557"/>
      <c r="AJ84" s="557"/>
      <c r="AK84" s="557"/>
      <c r="AL84" s="868"/>
      <c r="AM84" s="557"/>
      <c r="AN84" s="557"/>
      <c r="AO84" s="557"/>
      <c r="AP84" s="557"/>
      <c r="AQ84" s="557"/>
      <c r="AR84" s="611"/>
      <c r="AS84" s="557"/>
      <c r="AT84" s="557"/>
      <c r="AU84" s="557"/>
      <c r="AV84" s="557"/>
      <c r="AW84" s="557"/>
      <c r="AX84" s="557"/>
      <c r="AZ84" s="89"/>
      <c r="BA84" t="s">
        <v>583</v>
      </c>
      <c r="BB84" t="s">
        <v>583</v>
      </c>
      <c r="BC84" t="s">
        <v>583</v>
      </c>
      <c r="BK84" s="91"/>
      <c r="BL84" t="s">
        <v>583</v>
      </c>
      <c r="BM84" t="s">
        <v>583</v>
      </c>
      <c r="BN84" t="s">
        <v>583</v>
      </c>
      <c r="BV84" s="93"/>
      <c r="BW84" t="s">
        <v>583</v>
      </c>
      <c r="BX84" t="s">
        <v>583</v>
      </c>
      <c r="BY84" t="s">
        <v>583</v>
      </c>
      <c r="CG84" s="95"/>
      <c r="CH84" t="s">
        <v>583</v>
      </c>
      <c r="CI84" t="s">
        <v>583</v>
      </c>
      <c r="CJ84" t="s">
        <v>583</v>
      </c>
    </row>
    <row r="85" spans="1:88" x14ac:dyDescent="0.25">
      <c r="A85" s="538">
        <v>35</v>
      </c>
      <c r="B85" s="554"/>
      <c r="C85" s="555"/>
      <c r="D85" s="556"/>
      <c r="E85" s="538"/>
      <c r="F85" s="554"/>
      <c r="G85" s="555"/>
      <c r="H85" s="556"/>
      <c r="I85" s="538"/>
      <c r="J85" s="554" t="s">
        <v>1152</v>
      </c>
      <c r="K85" s="555" t="s">
        <v>566</v>
      </c>
      <c r="L85" s="556">
        <v>999</v>
      </c>
      <c r="M85" s="538"/>
      <c r="N85" s="554"/>
      <c r="O85" s="555"/>
      <c r="P85" s="556"/>
      <c r="Q85" s="538"/>
      <c r="R85" s="554"/>
      <c r="S85" s="555"/>
      <c r="T85" s="556"/>
      <c r="V85" s="612"/>
      <c r="W85" s="613"/>
      <c r="X85" s="614"/>
      <c r="Y85" s="557"/>
      <c r="Z85" s="557"/>
      <c r="AB85" s="557"/>
      <c r="AC85" s="557"/>
      <c r="AD85" s="557"/>
      <c r="AE85" s="557"/>
      <c r="AF85" s="557"/>
      <c r="AG85" s="557"/>
      <c r="AH85" s="557"/>
      <c r="AI85" s="557"/>
      <c r="AJ85" s="557"/>
      <c r="AK85" s="557"/>
      <c r="AL85" s="868"/>
      <c r="AM85" s="557"/>
      <c r="AN85" s="557"/>
      <c r="AO85" s="557"/>
      <c r="AP85" s="557"/>
      <c r="AQ85" s="557"/>
      <c r="AR85" s="611"/>
      <c r="AS85" s="557"/>
      <c r="AT85" s="557"/>
      <c r="AU85" s="557"/>
      <c r="AV85" s="557"/>
      <c r="AW85" s="557"/>
      <c r="AX85" s="557"/>
      <c r="AZ85" s="89"/>
      <c r="BA85" t="s">
        <v>582</v>
      </c>
      <c r="BB85" t="s">
        <v>582</v>
      </c>
      <c r="BC85" t="s">
        <v>582</v>
      </c>
      <c r="BK85" s="91"/>
      <c r="BL85" t="s">
        <v>582</v>
      </c>
      <c r="BM85" t="s">
        <v>582</v>
      </c>
      <c r="BN85" t="s">
        <v>582</v>
      </c>
      <c r="BV85" s="93"/>
      <c r="BW85" t="s">
        <v>582</v>
      </c>
      <c r="BX85" t="s">
        <v>582</v>
      </c>
      <c r="BY85" t="s">
        <v>582</v>
      </c>
      <c r="CG85" s="95"/>
      <c r="CH85" t="s">
        <v>582</v>
      </c>
      <c r="CI85" t="s">
        <v>582</v>
      </c>
      <c r="CJ85" t="s">
        <v>582</v>
      </c>
    </row>
    <row r="86" spans="1:88" x14ac:dyDescent="0.25">
      <c r="AL86" s="870" t="str" cm="1">
        <f t="array" ref="AL86">INDEX($K$51:$K$85,A85)</f>
        <v>placebo_BSC</v>
      </c>
      <c r="AM86" s="98" t="s">
        <v>58</v>
      </c>
      <c r="AN86" s="98" t="s">
        <v>58</v>
      </c>
      <c r="AO86" s="98" t="s">
        <v>58</v>
      </c>
      <c r="AP86" s="98" t="s">
        <v>74</v>
      </c>
      <c r="AQ86" s="98" t="s">
        <v>74</v>
      </c>
      <c r="AR86" s="871" t="s">
        <v>74</v>
      </c>
      <c r="AZ86" s="89"/>
      <c r="BA86" t="s">
        <v>571</v>
      </c>
      <c r="BB86" t="s">
        <v>571</v>
      </c>
      <c r="BC86" t="s">
        <v>571</v>
      </c>
      <c r="BK86" s="91"/>
      <c r="BL86" t="s">
        <v>571</v>
      </c>
      <c r="BM86" t="s">
        <v>571</v>
      </c>
      <c r="BN86" t="s">
        <v>571</v>
      </c>
      <c r="BV86" s="93"/>
      <c r="BW86" t="s">
        <v>571</v>
      </c>
      <c r="BX86" t="s">
        <v>571</v>
      </c>
      <c r="BY86" t="s">
        <v>571</v>
      </c>
      <c r="CG86" s="95"/>
      <c r="CH86" t="s">
        <v>571</v>
      </c>
      <c r="CI86" t="s">
        <v>571</v>
      </c>
      <c r="CJ86" t="s">
        <v>571</v>
      </c>
    </row>
    <row r="87" spans="1:88" x14ac:dyDescent="0.25">
      <c r="A87" s="879" t="s">
        <v>1155</v>
      </c>
      <c r="B87" s="878" t="str">
        <f>HYPERLINK("#r_overall_lookup_pop","r_overall_lookup_pop")</f>
        <v>r_overall_lookup_pop</v>
      </c>
      <c r="AZ87" s="89"/>
      <c r="BA87" s="98" t="s">
        <v>581</v>
      </c>
      <c r="BB87" s="98" t="s">
        <v>581</v>
      </c>
      <c r="BC87" s="98" t="s">
        <v>581</v>
      </c>
      <c r="BK87" s="91"/>
      <c r="BL87" s="98" t="s">
        <v>581</v>
      </c>
      <c r="BM87" s="98" t="s">
        <v>581</v>
      </c>
      <c r="BN87" s="98" t="s">
        <v>581</v>
      </c>
      <c r="BV87" s="93"/>
      <c r="BW87" s="98" t="s">
        <v>581</v>
      </c>
      <c r="BX87" s="98" t="s">
        <v>581</v>
      </c>
      <c r="BY87" s="98" t="s">
        <v>581</v>
      </c>
      <c r="CG87" s="95"/>
      <c r="CH87" s="98" t="s">
        <v>581</v>
      </c>
      <c r="CI87" s="98" t="s">
        <v>581</v>
      </c>
      <c r="CJ87" s="98" t="s">
        <v>581</v>
      </c>
    </row>
    <row r="89" spans="1:88" x14ac:dyDescent="0.25">
      <c r="B89" s="542" t="s">
        <v>1200</v>
      </c>
      <c r="C89" s="543" t="s">
        <v>1201</v>
      </c>
      <c r="D89" s="543" t="s">
        <v>1202</v>
      </c>
      <c r="E89" s="543" t="s">
        <v>1203</v>
      </c>
      <c r="F89" s="609" t="s">
        <v>1204</v>
      </c>
    </row>
    <row r="90" spans="1:88" x14ac:dyDescent="0.25">
      <c r="A90" t="s">
        <v>773</v>
      </c>
      <c r="B90" s="551" t="s">
        <v>1205</v>
      </c>
      <c r="C90" s="538" t="s">
        <v>1206</v>
      </c>
      <c r="D90" s="538">
        <v>0</v>
      </c>
      <c r="E90" s="538">
        <v>0</v>
      </c>
      <c r="F90" s="611">
        <v>1</v>
      </c>
    </row>
    <row r="91" spans="1:88" x14ac:dyDescent="0.25">
      <c r="A91" t="s">
        <v>773</v>
      </c>
      <c r="B91" s="551" t="s">
        <v>1205</v>
      </c>
      <c r="C91" s="538" t="s">
        <v>559</v>
      </c>
      <c r="D91" s="538">
        <v>0</v>
      </c>
      <c r="E91" s="538">
        <v>2</v>
      </c>
      <c r="F91" s="611">
        <v>2</v>
      </c>
    </row>
    <row r="92" spans="1:88" x14ac:dyDescent="0.25">
      <c r="A92" t="s">
        <v>788</v>
      </c>
      <c r="B92" s="551" t="s">
        <v>1207</v>
      </c>
      <c r="C92" s="538" t="s">
        <v>1208</v>
      </c>
      <c r="D92" s="538">
        <v>1</v>
      </c>
      <c r="E92" s="538">
        <v>1</v>
      </c>
      <c r="F92" s="611">
        <v>3</v>
      </c>
    </row>
    <row r="93" spans="1:88" x14ac:dyDescent="0.25">
      <c r="A93" t="s">
        <v>794</v>
      </c>
      <c r="B93" s="551" t="s">
        <v>1209</v>
      </c>
      <c r="C93" s="538" t="s">
        <v>1206</v>
      </c>
      <c r="D93" s="538">
        <v>2</v>
      </c>
      <c r="E93" s="538">
        <v>0</v>
      </c>
      <c r="F93" s="611">
        <v>4</v>
      </c>
    </row>
    <row r="94" spans="1:88" x14ac:dyDescent="0.25">
      <c r="A94" t="s">
        <v>794</v>
      </c>
      <c r="B94" s="551" t="s">
        <v>1209</v>
      </c>
      <c r="C94" s="538" t="s">
        <v>559</v>
      </c>
      <c r="D94" s="538">
        <v>2</v>
      </c>
      <c r="E94" s="538">
        <v>2</v>
      </c>
      <c r="F94" s="611">
        <v>5</v>
      </c>
    </row>
    <row r="95" spans="1:88" x14ac:dyDescent="0.25">
      <c r="A95" t="s">
        <v>1149</v>
      </c>
      <c r="B95" s="554" t="s">
        <v>1210</v>
      </c>
      <c r="C95" s="555" t="s">
        <v>1208</v>
      </c>
      <c r="D95" s="555">
        <v>3</v>
      </c>
      <c r="E95" s="555">
        <v>1</v>
      </c>
      <c r="F95" s="614">
        <v>6</v>
      </c>
    </row>
    <row r="97" spans="2:4" x14ac:dyDescent="0.25">
      <c r="B97">
        <f>COUNTA(bc_settings_rng)</f>
        <v>76</v>
      </c>
    </row>
    <row r="98" spans="2:4" ht="15.75" thickBot="1" x14ac:dyDescent="0.3">
      <c r="B98" s="1267" t="s">
        <v>1805</v>
      </c>
      <c r="C98" s="1267" t="s">
        <v>892</v>
      </c>
      <c r="D98" s="1268" t="s">
        <v>893</v>
      </c>
    </row>
    <row r="99" spans="2:4" x14ac:dyDescent="0.25">
      <c r="B99" s="1269" t="s">
        <v>54</v>
      </c>
      <c r="C99" s="1270" t="s">
        <v>17</v>
      </c>
      <c r="D99" t="s">
        <v>899</v>
      </c>
    </row>
    <row r="100" spans="2:4" x14ac:dyDescent="0.25">
      <c r="B100" s="1269">
        <v>4</v>
      </c>
      <c r="C100" s="1270" t="s">
        <v>17</v>
      </c>
      <c r="D100" t="s">
        <v>901</v>
      </c>
    </row>
    <row r="101" spans="2:4" x14ac:dyDescent="0.25">
      <c r="B101" s="1269" t="s">
        <v>58</v>
      </c>
      <c r="C101" s="1270" t="s">
        <v>17</v>
      </c>
      <c r="D101" t="s">
        <v>1261</v>
      </c>
    </row>
    <row r="102" spans="2:4" x14ac:dyDescent="0.25">
      <c r="B102" s="1269" t="s">
        <v>61</v>
      </c>
      <c r="C102" s="1270" t="s">
        <v>17</v>
      </c>
      <c r="D102" t="s">
        <v>908</v>
      </c>
    </row>
    <row r="103" spans="2:4" x14ac:dyDescent="0.25">
      <c r="B103" s="1269" t="s">
        <v>63</v>
      </c>
      <c r="C103" s="1270" t="s">
        <v>17</v>
      </c>
      <c r="D103" t="s">
        <v>940</v>
      </c>
    </row>
    <row r="104" spans="2:4" x14ac:dyDescent="0.25">
      <c r="B104" s="1269" t="s">
        <v>58</v>
      </c>
      <c r="C104" s="1270" t="s">
        <v>17</v>
      </c>
      <c r="D104" t="s">
        <v>1333</v>
      </c>
    </row>
    <row r="105" spans="2:4" x14ac:dyDescent="0.25">
      <c r="B105" s="1269" t="s">
        <v>67</v>
      </c>
      <c r="C105" s="1270" t="s">
        <v>17</v>
      </c>
      <c r="D105" t="s">
        <v>922</v>
      </c>
    </row>
    <row r="106" spans="2:4" x14ac:dyDescent="0.25">
      <c r="B106" s="1269" t="s">
        <v>63</v>
      </c>
      <c r="C106" s="1270" t="s">
        <v>17</v>
      </c>
      <c r="D106" t="s">
        <v>924</v>
      </c>
    </row>
    <row r="107" spans="2:4" x14ac:dyDescent="0.25">
      <c r="B107" s="1269" t="s">
        <v>58</v>
      </c>
      <c r="C107" s="1270" t="s">
        <v>17</v>
      </c>
      <c r="D107" t="s">
        <v>991</v>
      </c>
    </row>
    <row r="108" spans="2:4" x14ac:dyDescent="0.25">
      <c r="B108" s="1269" t="s">
        <v>616</v>
      </c>
      <c r="C108" s="1270" t="s">
        <v>17</v>
      </c>
      <c r="D108" t="s">
        <v>1784</v>
      </c>
    </row>
    <row r="109" spans="2:4" x14ac:dyDescent="0.25">
      <c r="B109" s="1269" t="s">
        <v>70</v>
      </c>
      <c r="C109" s="1270" t="s">
        <v>17</v>
      </c>
      <c r="D109" t="s">
        <v>926</v>
      </c>
    </row>
    <row r="110" spans="2:4" x14ac:dyDescent="0.25">
      <c r="B110" s="1269" t="s">
        <v>58</v>
      </c>
      <c r="C110" s="1270" t="s">
        <v>17</v>
      </c>
      <c r="D110" t="s">
        <v>1798</v>
      </c>
    </row>
    <row r="111" spans="2:4" x14ac:dyDescent="0.25">
      <c r="B111" s="1269">
        <v>1.59</v>
      </c>
      <c r="C111" s="1270" t="s">
        <v>17</v>
      </c>
      <c r="D111" t="s">
        <v>1806</v>
      </c>
    </row>
    <row r="112" spans="2:4" x14ac:dyDescent="0.25">
      <c r="B112" s="1269" t="s">
        <v>1803</v>
      </c>
      <c r="C112" s="1270" t="s">
        <v>17</v>
      </c>
      <c r="D112" t="s">
        <v>1807</v>
      </c>
    </row>
    <row r="113" spans="2:4" x14ac:dyDescent="0.25">
      <c r="B113" s="1383">
        <v>1</v>
      </c>
      <c r="C113" s="1270" t="s">
        <v>17</v>
      </c>
      <c r="D113" t="s">
        <v>1808</v>
      </c>
    </row>
    <row r="114" spans="2:4" x14ac:dyDescent="0.25">
      <c r="B114" s="1269" t="s">
        <v>74</v>
      </c>
      <c r="C114" s="1270" t="s">
        <v>17</v>
      </c>
      <c r="D114" t="s">
        <v>929</v>
      </c>
    </row>
    <row r="115" spans="2:4" x14ac:dyDescent="0.25">
      <c r="B115" s="1269" t="s">
        <v>74</v>
      </c>
      <c r="C115" s="1270" t="s">
        <v>17</v>
      </c>
      <c r="D115" t="s">
        <v>931</v>
      </c>
    </row>
    <row r="116" spans="2:4" x14ac:dyDescent="0.25">
      <c r="B116" s="1269" t="s">
        <v>58</v>
      </c>
      <c r="C116" s="1270" t="s">
        <v>17</v>
      </c>
      <c r="D116" t="s">
        <v>933</v>
      </c>
    </row>
    <row r="117" spans="2:4" x14ac:dyDescent="0.25">
      <c r="B117" s="1269" t="s">
        <v>58</v>
      </c>
      <c r="C117" s="1270" t="s">
        <v>17</v>
      </c>
      <c r="D117" t="s">
        <v>935</v>
      </c>
    </row>
    <row r="118" spans="2:4" x14ac:dyDescent="0.25">
      <c r="B118" s="1269" t="s">
        <v>58</v>
      </c>
      <c r="C118" s="1270" t="s">
        <v>17</v>
      </c>
      <c r="D118" t="s">
        <v>938</v>
      </c>
    </row>
    <row r="119" spans="2:4" x14ac:dyDescent="0.25">
      <c r="B119" s="1384">
        <v>0.25</v>
      </c>
      <c r="C119" s="1270" t="s">
        <v>17</v>
      </c>
      <c r="D119" t="s">
        <v>1269</v>
      </c>
    </row>
    <row r="120" spans="2:4" x14ac:dyDescent="0.25">
      <c r="B120" s="1269" t="s">
        <v>58</v>
      </c>
      <c r="C120" s="1270" t="s">
        <v>17</v>
      </c>
      <c r="D120" t="s">
        <v>1270</v>
      </c>
    </row>
    <row r="121" spans="2:4" x14ac:dyDescent="0.25">
      <c r="B121" s="1269" t="s">
        <v>58</v>
      </c>
      <c r="C121" s="1270" t="s">
        <v>17</v>
      </c>
      <c r="D121" t="s">
        <v>1319</v>
      </c>
    </row>
    <row r="122" spans="2:4" x14ac:dyDescent="0.25">
      <c r="B122" s="1269" t="s">
        <v>58</v>
      </c>
      <c r="C122" s="1270" t="s">
        <v>17</v>
      </c>
      <c r="D122" t="s">
        <v>1321</v>
      </c>
    </row>
    <row r="123" spans="2:4" x14ac:dyDescent="0.25">
      <c r="B123" s="1269" t="s">
        <v>88</v>
      </c>
      <c r="C123" s="1270" t="s">
        <v>17</v>
      </c>
      <c r="D123" t="s">
        <v>912</v>
      </c>
    </row>
    <row r="124" spans="2:4" x14ac:dyDescent="0.25">
      <c r="B124" s="1269" t="s">
        <v>74</v>
      </c>
      <c r="C124" s="1270" t="s">
        <v>17</v>
      </c>
      <c r="D124" t="s">
        <v>1006</v>
      </c>
    </row>
    <row r="125" spans="2:4" x14ac:dyDescent="0.25">
      <c r="B125" s="1269" t="s">
        <v>92</v>
      </c>
      <c r="C125" s="1270" t="s">
        <v>17</v>
      </c>
      <c r="D125" t="s">
        <v>982</v>
      </c>
    </row>
    <row r="126" spans="2:4" x14ac:dyDescent="0.25">
      <c r="B126" s="1269">
        <v>0.1</v>
      </c>
      <c r="C126" s="1270" t="s">
        <v>17</v>
      </c>
      <c r="D126" t="s">
        <v>1274</v>
      </c>
    </row>
    <row r="127" spans="2:4" x14ac:dyDescent="0.25">
      <c r="B127" s="1269">
        <v>0.2</v>
      </c>
      <c r="C127" s="1270" t="s">
        <v>17</v>
      </c>
      <c r="D127" t="s">
        <v>1275</v>
      </c>
    </row>
    <row r="128" spans="2:4" x14ac:dyDescent="0.25">
      <c r="B128" s="1269" t="s">
        <v>74</v>
      </c>
      <c r="C128" s="1270" t="s">
        <v>17</v>
      </c>
      <c r="D128" t="s">
        <v>1279</v>
      </c>
    </row>
    <row r="129" spans="2:4" x14ac:dyDescent="0.25">
      <c r="B129" s="1269" t="s">
        <v>58</v>
      </c>
      <c r="C129" s="1270" t="s">
        <v>17</v>
      </c>
      <c r="D129" t="s">
        <v>1025</v>
      </c>
    </row>
    <row r="130" spans="2:4" x14ac:dyDescent="0.25">
      <c r="B130" s="1269" t="s">
        <v>58</v>
      </c>
      <c r="C130" s="1270" t="s">
        <v>17</v>
      </c>
      <c r="D130" t="s">
        <v>1026</v>
      </c>
    </row>
    <row r="131" spans="2:4" x14ac:dyDescent="0.25">
      <c r="B131" s="1269" t="s">
        <v>103</v>
      </c>
      <c r="C131" s="1270" t="s">
        <v>17</v>
      </c>
      <c r="D131" t="s">
        <v>956</v>
      </c>
    </row>
    <row r="132" spans="2:4" ht="30" x14ac:dyDescent="0.25">
      <c r="B132" s="1269" t="s">
        <v>105</v>
      </c>
      <c r="C132" s="1270" t="s">
        <v>17</v>
      </c>
      <c r="D132" t="s">
        <v>1304</v>
      </c>
    </row>
    <row r="133" spans="2:4" x14ac:dyDescent="0.25">
      <c r="B133" s="1269" t="s">
        <v>58</v>
      </c>
      <c r="C133" s="1270" t="s">
        <v>17</v>
      </c>
      <c r="D133" t="s">
        <v>1037</v>
      </c>
    </row>
    <row r="134" spans="2:4" x14ac:dyDescent="0.25">
      <c r="B134" s="1269" t="s">
        <v>58</v>
      </c>
      <c r="C134" s="1270" t="s">
        <v>17</v>
      </c>
      <c r="D134" t="s">
        <v>1033</v>
      </c>
    </row>
    <row r="135" spans="2:4" x14ac:dyDescent="0.25">
      <c r="B135" s="1269" t="s">
        <v>117</v>
      </c>
      <c r="C135" s="1270" t="s">
        <v>17</v>
      </c>
      <c r="D135" t="s">
        <v>1374</v>
      </c>
    </row>
    <row r="136" spans="2:4" x14ac:dyDescent="0.25">
      <c r="B136" s="1269" t="s">
        <v>118</v>
      </c>
      <c r="C136" s="1270" t="s">
        <v>17</v>
      </c>
      <c r="D136" t="s">
        <v>1375</v>
      </c>
    </row>
    <row r="137" spans="2:4" x14ac:dyDescent="0.25">
      <c r="B137" s="1269" t="s">
        <v>118</v>
      </c>
      <c r="C137" s="1270" t="s">
        <v>17</v>
      </c>
      <c r="D137" t="s">
        <v>1377</v>
      </c>
    </row>
    <row r="138" spans="2:4" x14ac:dyDescent="0.25">
      <c r="B138" s="1269" t="s">
        <v>119</v>
      </c>
      <c r="C138" s="1270" t="s">
        <v>17</v>
      </c>
      <c r="D138" t="s">
        <v>1378</v>
      </c>
    </row>
    <row r="139" spans="2:4" x14ac:dyDescent="0.25">
      <c r="B139" s="1269" t="s">
        <v>58</v>
      </c>
      <c r="C139" s="1270" t="s">
        <v>17</v>
      </c>
      <c r="D139" t="s">
        <v>942</v>
      </c>
    </row>
    <row r="140" spans="2:4" x14ac:dyDescent="0.25">
      <c r="B140" s="1269" t="s">
        <v>58</v>
      </c>
      <c r="C140" s="1270" t="s">
        <v>17</v>
      </c>
      <c r="D140" t="s">
        <v>944</v>
      </c>
    </row>
    <row r="141" spans="2:4" x14ac:dyDescent="0.25">
      <c r="B141" s="1269" t="s">
        <v>58</v>
      </c>
      <c r="C141" s="1270" t="s">
        <v>17</v>
      </c>
      <c r="D141" t="s">
        <v>946</v>
      </c>
    </row>
    <row r="142" spans="2:4" x14ac:dyDescent="0.25">
      <c r="B142" s="1269" t="s">
        <v>58</v>
      </c>
      <c r="C142" s="1270" t="s">
        <v>17</v>
      </c>
      <c r="D142" t="s">
        <v>948</v>
      </c>
    </row>
    <row r="143" spans="2:4" x14ac:dyDescent="0.25">
      <c r="B143" s="1269" t="s">
        <v>58</v>
      </c>
      <c r="C143" s="1270" t="s">
        <v>17</v>
      </c>
      <c r="D143" t="s">
        <v>949</v>
      </c>
    </row>
    <row r="144" spans="2:4" x14ac:dyDescent="0.25">
      <c r="B144" s="1269" t="s">
        <v>58</v>
      </c>
      <c r="C144" s="1270" t="s">
        <v>17</v>
      </c>
      <c r="D144" t="s">
        <v>951</v>
      </c>
    </row>
    <row r="145" spans="2:4" x14ac:dyDescent="0.25">
      <c r="B145" s="1269" t="s">
        <v>58</v>
      </c>
      <c r="C145" s="1270" t="s">
        <v>17</v>
      </c>
      <c r="D145" t="s">
        <v>953</v>
      </c>
    </row>
    <row r="146" spans="2:4" x14ac:dyDescent="0.25">
      <c r="B146" s="1269" t="s">
        <v>58</v>
      </c>
      <c r="C146" s="1270" t="s">
        <v>17</v>
      </c>
      <c r="D146" t="s">
        <v>993</v>
      </c>
    </row>
    <row r="147" spans="2:4" x14ac:dyDescent="0.25">
      <c r="B147" s="1269" t="s">
        <v>58</v>
      </c>
      <c r="C147" s="1270" t="s">
        <v>17</v>
      </c>
      <c r="D147" t="s">
        <v>995</v>
      </c>
    </row>
    <row r="148" spans="2:4" x14ac:dyDescent="0.25">
      <c r="B148" s="1269">
        <v>40</v>
      </c>
      <c r="C148" s="1270" t="s">
        <v>17</v>
      </c>
      <c r="D148" t="s">
        <v>1040</v>
      </c>
    </row>
    <row r="149" spans="2:4" x14ac:dyDescent="0.25">
      <c r="B149" s="1269">
        <v>3.5000000000000003E-2</v>
      </c>
      <c r="C149" s="1270" t="s">
        <v>17</v>
      </c>
      <c r="D149" t="s">
        <v>904</v>
      </c>
    </row>
    <row r="150" spans="2:4" x14ac:dyDescent="0.25">
      <c r="B150" s="1269">
        <v>3.5000000000000003E-2</v>
      </c>
      <c r="C150" s="1270" t="s">
        <v>17</v>
      </c>
      <c r="D150" t="s">
        <v>905</v>
      </c>
    </row>
    <row r="151" spans="2:4" x14ac:dyDescent="0.25">
      <c r="B151" s="1269" t="s">
        <v>58</v>
      </c>
      <c r="C151" s="1270" t="s">
        <v>17</v>
      </c>
      <c r="D151" t="s">
        <v>1809</v>
      </c>
    </row>
    <row r="152" spans="2:4" x14ac:dyDescent="0.25">
      <c r="B152" s="1269" t="s">
        <v>58</v>
      </c>
      <c r="C152" s="1270" t="s">
        <v>17</v>
      </c>
      <c r="D152" t="s">
        <v>1810</v>
      </c>
    </row>
    <row r="153" spans="2:4" x14ac:dyDescent="0.25">
      <c r="B153" s="1269" t="s">
        <v>1750</v>
      </c>
      <c r="C153" s="1270" t="s">
        <v>17</v>
      </c>
      <c r="D153" t="s">
        <v>1768</v>
      </c>
    </row>
    <row r="154" spans="2:4" x14ac:dyDescent="0.25">
      <c r="B154" t="s">
        <v>74</v>
      </c>
      <c r="C154" s="1270" t="s">
        <v>17</v>
      </c>
      <c r="D154" t="s">
        <v>1811</v>
      </c>
    </row>
    <row r="155" spans="2:4" x14ac:dyDescent="0.25">
      <c r="B155" s="1269" t="s">
        <v>58</v>
      </c>
      <c r="C155" s="1270" t="s">
        <v>17</v>
      </c>
      <c r="D155" t="s">
        <v>1770</v>
      </c>
    </row>
    <row r="156" spans="2:4" x14ac:dyDescent="0.25">
      <c r="B156" s="1269" t="s">
        <v>1762</v>
      </c>
      <c r="C156" s="1270" t="s">
        <v>17</v>
      </c>
      <c r="D156" t="s">
        <v>1786</v>
      </c>
    </row>
    <row r="157" spans="2:4" x14ac:dyDescent="0.25">
      <c r="B157" s="1269" t="s">
        <v>74</v>
      </c>
      <c r="C157" s="1270" t="s">
        <v>17</v>
      </c>
      <c r="D157" t="s">
        <v>1822</v>
      </c>
    </row>
    <row r="158" spans="2:4" x14ac:dyDescent="0.25">
      <c r="B158" s="1269" t="s">
        <v>74</v>
      </c>
      <c r="C158" s="1270" t="s">
        <v>17</v>
      </c>
      <c r="D158" t="s">
        <v>1823</v>
      </c>
    </row>
    <row r="159" spans="2:4" x14ac:dyDescent="0.25">
      <c r="B159" s="1269" t="s">
        <v>74</v>
      </c>
      <c r="C159" s="1270" t="s">
        <v>17</v>
      </c>
      <c r="D159" t="s">
        <v>1824</v>
      </c>
    </row>
    <row r="160" spans="2:4" x14ac:dyDescent="0.25">
      <c r="B160" s="1269" t="s">
        <v>74</v>
      </c>
      <c r="C160" s="1270" t="s">
        <v>17</v>
      </c>
      <c r="D160" t="s">
        <v>1825</v>
      </c>
    </row>
    <row r="161" spans="2:4" x14ac:dyDescent="0.25">
      <c r="B161" s="1269" t="s">
        <v>58</v>
      </c>
      <c r="C161" s="1270" t="s">
        <v>17</v>
      </c>
      <c r="D161" t="s">
        <v>1833</v>
      </c>
    </row>
    <row r="162" spans="2:4" x14ac:dyDescent="0.25">
      <c r="B162" s="1269" t="s">
        <v>58</v>
      </c>
      <c r="C162" s="1270" t="s">
        <v>17</v>
      </c>
      <c r="D162" t="s">
        <v>1834</v>
      </c>
    </row>
    <row r="163" spans="2:4" x14ac:dyDescent="0.25">
      <c r="B163" s="1269" t="s">
        <v>103</v>
      </c>
      <c r="C163" s="1270" t="s">
        <v>19</v>
      </c>
      <c r="D163" t="s">
        <v>1812</v>
      </c>
    </row>
    <row r="164" spans="2:4" x14ac:dyDescent="0.25">
      <c r="B164" s="1269" t="s">
        <v>61</v>
      </c>
      <c r="C164" s="1270" t="s">
        <v>18</v>
      </c>
      <c r="D164" t="s">
        <v>910</v>
      </c>
    </row>
    <row r="165" spans="2:4" x14ac:dyDescent="0.25">
      <c r="B165" s="1269" t="s">
        <v>58</v>
      </c>
      <c r="C165" s="1270" t="s">
        <v>18</v>
      </c>
      <c r="D165" t="s">
        <v>1031</v>
      </c>
    </row>
    <row r="166" spans="2:4" x14ac:dyDescent="0.25">
      <c r="B166" s="1269">
        <v>0</v>
      </c>
      <c r="C166" s="1270" t="s">
        <v>18</v>
      </c>
      <c r="D166" t="s">
        <v>1032</v>
      </c>
    </row>
    <row r="167" spans="2:4" x14ac:dyDescent="0.25">
      <c r="B167" s="1269" t="s">
        <v>74</v>
      </c>
      <c r="C167" s="1270" t="s">
        <v>22</v>
      </c>
      <c r="D167" t="s">
        <v>1019</v>
      </c>
    </row>
    <row r="168" spans="2:4" x14ac:dyDescent="0.25">
      <c r="B168" s="1269" t="s">
        <v>287</v>
      </c>
      <c r="C168" s="1270" t="s">
        <v>22</v>
      </c>
      <c r="D168" t="s">
        <v>1021</v>
      </c>
    </row>
    <row r="169" spans="2:4" x14ac:dyDescent="0.25">
      <c r="B169" s="1269">
        <v>0.05</v>
      </c>
      <c r="C169" s="1270" t="s">
        <v>22</v>
      </c>
      <c r="D169" t="s">
        <v>1339</v>
      </c>
    </row>
    <row r="170" spans="2:4" x14ac:dyDescent="0.25">
      <c r="B170" s="1269" t="s">
        <v>103</v>
      </c>
      <c r="C170" s="1270" t="s">
        <v>23</v>
      </c>
      <c r="D170" t="s">
        <v>1002</v>
      </c>
    </row>
    <row r="171" spans="2:4" ht="45" x14ac:dyDescent="0.25">
      <c r="B171" s="1269" t="s">
        <v>819</v>
      </c>
      <c r="C171" s="1270" t="s">
        <v>23</v>
      </c>
      <c r="D171" t="s">
        <v>1013</v>
      </c>
    </row>
    <row r="172" spans="2:4" x14ac:dyDescent="0.25">
      <c r="B172" s="1269" t="s">
        <v>103</v>
      </c>
      <c r="C172" s="1270" t="s">
        <v>24</v>
      </c>
      <c r="D172" t="s">
        <v>985</v>
      </c>
    </row>
    <row r="173" spans="2:4" x14ac:dyDescent="0.25">
      <c r="B173" s="1269" t="s">
        <v>152</v>
      </c>
      <c r="C173" s="1270" t="s">
        <v>24</v>
      </c>
      <c r="D173" t="s">
        <v>987</v>
      </c>
    </row>
    <row r="174" spans="2:4" x14ac:dyDescent="0.25">
      <c r="B174" s="1269" t="s">
        <v>61</v>
      </c>
      <c r="C174" s="1270" t="s">
        <v>25</v>
      </c>
      <c r="D174" t="s">
        <v>911</v>
      </c>
    </row>
  </sheetData>
  <phoneticPr fontId="41" type="noConversion"/>
  <hyperlinks>
    <hyperlink ref="D2" location="'Navigation control'!A1" display="Navigation control" xr:uid="{C3400AAA-8DCD-4B25-B033-3C81F9883E7A}"/>
  </hyperlinks>
  <pageMargins left="0.7" right="0.7" top="0.75" bottom="0.75" header="0.511811023622047" footer="0.511811023622047"/>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1009F-DBD0-4B3D-88B1-BF1B41217425}">
  <sheetPr codeName="Sheet16"/>
  <dimension ref="A1:D308"/>
  <sheetViews>
    <sheetView showGridLines="0" zoomScaleNormal="100" workbookViewId="0"/>
  </sheetViews>
  <sheetFormatPr defaultRowHeight="15" x14ac:dyDescent="0.25"/>
  <cols>
    <col min="1" max="1" width="40.7109375" customWidth="1"/>
    <col min="2" max="2" width="36.28515625" bestFit="1" customWidth="1"/>
  </cols>
  <sheetData>
    <row r="1" spans="1:4" x14ac:dyDescent="0.25">
      <c r="A1" s="97" t="s">
        <v>1287</v>
      </c>
      <c r="B1" s="97" t="s">
        <v>1288</v>
      </c>
    </row>
    <row r="2" spans="1:4" x14ac:dyDescent="0.25">
      <c r="A2" t="s">
        <v>1289</v>
      </c>
      <c r="B2" t="s">
        <v>1290</v>
      </c>
      <c r="D2" s="34" t="s">
        <v>1291</v>
      </c>
    </row>
    <row r="3" spans="1:4" x14ac:dyDescent="0.25">
      <c r="A3" t="s">
        <v>1843</v>
      </c>
      <c r="B3" t="s">
        <v>1844</v>
      </c>
    </row>
    <row r="4" spans="1:4" x14ac:dyDescent="0.25">
      <c r="A4" t="s">
        <v>1292</v>
      </c>
      <c r="B4" t="s">
        <v>1293</v>
      </c>
    </row>
    <row r="5" spans="1:4" x14ac:dyDescent="0.25">
      <c r="A5" t="s">
        <v>1096</v>
      </c>
      <c r="B5" t="s">
        <v>1294</v>
      </c>
    </row>
    <row r="6" spans="1:4" x14ac:dyDescent="0.25">
      <c r="A6" t="s">
        <v>1845</v>
      </c>
      <c r="B6" t="s">
        <v>1846</v>
      </c>
    </row>
    <row r="7" spans="1:4" x14ac:dyDescent="0.25">
      <c r="A7" t="s">
        <v>922</v>
      </c>
      <c r="B7" t="s">
        <v>1295</v>
      </c>
    </row>
    <row r="8" spans="1:4" x14ac:dyDescent="0.25">
      <c r="A8" t="s">
        <v>926</v>
      </c>
      <c r="B8" t="s">
        <v>1847</v>
      </c>
    </row>
    <row r="9" spans="1:4" x14ac:dyDescent="0.25">
      <c r="A9" t="s">
        <v>1033</v>
      </c>
      <c r="B9" t="s">
        <v>1848</v>
      </c>
    </row>
    <row r="10" spans="1:4" x14ac:dyDescent="0.25">
      <c r="A10" t="s">
        <v>1026</v>
      </c>
      <c r="B10" t="s">
        <v>1849</v>
      </c>
    </row>
    <row r="11" spans="1:4" x14ac:dyDescent="0.25">
      <c r="A11" t="s">
        <v>912</v>
      </c>
      <c r="B11" t="s">
        <v>1850</v>
      </c>
    </row>
    <row r="12" spans="1:4" x14ac:dyDescent="0.25">
      <c r="A12" t="s">
        <v>1006</v>
      </c>
      <c r="B12" t="s">
        <v>1413</v>
      </c>
    </row>
    <row r="13" spans="1:4" x14ac:dyDescent="0.25">
      <c r="A13" t="s">
        <v>995</v>
      </c>
      <c r="B13" t="s">
        <v>1376</v>
      </c>
    </row>
    <row r="14" spans="1:4" x14ac:dyDescent="0.25">
      <c r="A14" t="s">
        <v>993</v>
      </c>
      <c r="B14" t="s">
        <v>1851</v>
      </c>
    </row>
    <row r="15" spans="1:4" x14ac:dyDescent="0.25">
      <c r="A15" t="s">
        <v>1021</v>
      </c>
      <c r="B15" t="s">
        <v>1298</v>
      </c>
    </row>
    <row r="16" spans="1:4" x14ac:dyDescent="0.25">
      <c r="A16" t="s">
        <v>1834</v>
      </c>
      <c r="B16" t="s">
        <v>1852</v>
      </c>
    </row>
    <row r="17" spans="1:2" x14ac:dyDescent="0.25">
      <c r="A17" t="s">
        <v>908</v>
      </c>
      <c r="B17" t="s">
        <v>1299</v>
      </c>
    </row>
    <row r="18" spans="1:2" x14ac:dyDescent="0.25">
      <c r="A18" t="s">
        <v>1013</v>
      </c>
      <c r="B18" t="s">
        <v>1300</v>
      </c>
    </row>
    <row r="19" spans="1:2" x14ac:dyDescent="0.25">
      <c r="A19" t="s">
        <v>940</v>
      </c>
      <c r="B19" t="s">
        <v>1301</v>
      </c>
    </row>
    <row r="20" spans="1:2" x14ac:dyDescent="0.25">
      <c r="A20" t="s">
        <v>938</v>
      </c>
      <c r="B20" t="s">
        <v>1322</v>
      </c>
    </row>
    <row r="21" spans="1:2" x14ac:dyDescent="0.25">
      <c r="A21" t="s">
        <v>1025</v>
      </c>
      <c r="B21" t="s">
        <v>1853</v>
      </c>
    </row>
    <row r="22" spans="1:2" x14ac:dyDescent="0.25">
      <c r="A22" t="s">
        <v>1277</v>
      </c>
      <c r="B22" t="s">
        <v>1854</v>
      </c>
    </row>
    <row r="23" spans="1:2" x14ac:dyDescent="0.25">
      <c r="A23" t="s">
        <v>1304</v>
      </c>
      <c r="B23" t="s">
        <v>1855</v>
      </c>
    </row>
    <row r="24" spans="1:2" x14ac:dyDescent="0.25">
      <c r="A24" t="s">
        <v>1824</v>
      </c>
      <c r="B24" t="s">
        <v>1856</v>
      </c>
    </row>
    <row r="25" spans="1:2" x14ac:dyDescent="0.25">
      <c r="A25" t="s">
        <v>933</v>
      </c>
      <c r="B25" t="s">
        <v>1857</v>
      </c>
    </row>
    <row r="26" spans="1:2" x14ac:dyDescent="0.25">
      <c r="A26" t="s">
        <v>929</v>
      </c>
      <c r="B26" t="s">
        <v>1302</v>
      </c>
    </row>
    <row r="27" spans="1:2" x14ac:dyDescent="0.25">
      <c r="A27" t="s">
        <v>931</v>
      </c>
      <c r="B27" t="s">
        <v>1318</v>
      </c>
    </row>
    <row r="28" spans="1:2" x14ac:dyDescent="0.25">
      <c r="A28" t="s">
        <v>1807</v>
      </c>
      <c r="B28" t="s">
        <v>1307</v>
      </c>
    </row>
    <row r="29" spans="1:2" x14ac:dyDescent="0.25">
      <c r="A29" t="s">
        <v>1806</v>
      </c>
      <c r="B29" t="s">
        <v>1306</v>
      </c>
    </row>
    <row r="30" spans="1:2" x14ac:dyDescent="0.25">
      <c r="A30" t="s">
        <v>1261</v>
      </c>
      <c r="B30" t="s">
        <v>1308</v>
      </c>
    </row>
    <row r="31" spans="1:2" x14ac:dyDescent="0.25">
      <c r="A31" t="s">
        <v>1019</v>
      </c>
      <c r="B31" t="s">
        <v>1309</v>
      </c>
    </row>
    <row r="32" spans="1:2" x14ac:dyDescent="0.25">
      <c r="A32" t="s">
        <v>1279</v>
      </c>
      <c r="B32" t="s">
        <v>1858</v>
      </c>
    </row>
    <row r="33" spans="1:2" x14ac:dyDescent="0.25">
      <c r="A33" t="s">
        <v>1786</v>
      </c>
      <c r="B33" t="s">
        <v>1859</v>
      </c>
    </row>
    <row r="34" spans="1:2" x14ac:dyDescent="0.25">
      <c r="A34" t="s">
        <v>1811</v>
      </c>
      <c r="B34" t="s">
        <v>1860</v>
      </c>
    </row>
    <row r="35" spans="1:2" x14ac:dyDescent="0.25">
      <c r="A35" t="s">
        <v>1833</v>
      </c>
      <c r="B35" t="s">
        <v>1861</v>
      </c>
    </row>
    <row r="36" spans="1:2" x14ac:dyDescent="0.25">
      <c r="A36" t="s">
        <v>1311</v>
      </c>
      <c r="B36" t="s">
        <v>1312</v>
      </c>
    </row>
    <row r="37" spans="1:2" x14ac:dyDescent="0.25">
      <c r="A37" t="s">
        <v>899</v>
      </c>
      <c r="B37" t="s">
        <v>1313</v>
      </c>
    </row>
    <row r="38" spans="1:2" x14ac:dyDescent="0.25">
      <c r="A38" t="s">
        <v>1784</v>
      </c>
      <c r="B38" t="s">
        <v>1296</v>
      </c>
    </row>
    <row r="39" spans="1:2" x14ac:dyDescent="0.25">
      <c r="A39" t="s">
        <v>982</v>
      </c>
      <c r="B39" t="s">
        <v>1303</v>
      </c>
    </row>
    <row r="40" spans="1:2" x14ac:dyDescent="0.25">
      <c r="A40" t="s">
        <v>949</v>
      </c>
      <c r="B40" t="s">
        <v>1862</v>
      </c>
    </row>
    <row r="41" spans="1:2" x14ac:dyDescent="0.25">
      <c r="A41" t="s">
        <v>1770</v>
      </c>
      <c r="B41" t="s">
        <v>1863</v>
      </c>
    </row>
    <row r="42" spans="1:2" x14ac:dyDescent="0.25">
      <c r="A42" t="s">
        <v>910</v>
      </c>
      <c r="B42" t="s">
        <v>1314</v>
      </c>
    </row>
    <row r="43" spans="1:2" x14ac:dyDescent="0.25">
      <c r="A43" t="s">
        <v>991</v>
      </c>
      <c r="B43" t="s">
        <v>1315</v>
      </c>
    </row>
    <row r="44" spans="1:2" x14ac:dyDescent="0.25">
      <c r="A44" t="s">
        <v>924</v>
      </c>
      <c r="B44" t="s">
        <v>1316</v>
      </c>
    </row>
    <row r="45" spans="1:2" x14ac:dyDescent="0.25">
      <c r="A45" t="s">
        <v>1037</v>
      </c>
      <c r="B45" t="s">
        <v>1864</v>
      </c>
    </row>
    <row r="46" spans="1:2" x14ac:dyDescent="0.25">
      <c r="A46" t="s">
        <v>1258</v>
      </c>
      <c r="B46" t="s">
        <v>1317</v>
      </c>
    </row>
    <row r="47" spans="1:2" x14ac:dyDescent="0.25">
      <c r="A47" t="s">
        <v>1798</v>
      </c>
      <c r="B47" t="s">
        <v>1865</v>
      </c>
    </row>
    <row r="48" spans="1:2" x14ac:dyDescent="0.25">
      <c r="A48" t="s">
        <v>1809</v>
      </c>
      <c r="B48" t="s">
        <v>1866</v>
      </c>
    </row>
    <row r="49" spans="1:2" x14ac:dyDescent="0.25">
      <c r="A49" t="s">
        <v>1269</v>
      </c>
      <c r="B49" t="s">
        <v>1867</v>
      </c>
    </row>
    <row r="50" spans="1:2" x14ac:dyDescent="0.25">
      <c r="A50" t="s">
        <v>1768</v>
      </c>
      <c r="B50" t="s">
        <v>1868</v>
      </c>
    </row>
    <row r="51" spans="1:2" x14ac:dyDescent="0.25">
      <c r="A51" t="s">
        <v>1810</v>
      </c>
      <c r="B51" t="s">
        <v>1869</v>
      </c>
    </row>
    <row r="52" spans="1:2" x14ac:dyDescent="0.25">
      <c r="A52" t="s">
        <v>1270</v>
      </c>
      <c r="B52" t="s">
        <v>1870</v>
      </c>
    </row>
    <row r="53" spans="1:2" x14ac:dyDescent="0.25">
      <c r="A53" t="s">
        <v>1319</v>
      </c>
      <c r="B53" t="s">
        <v>1297</v>
      </c>
    </row>
    <row r="54" spans="1:2" x14ac:dyDescent="0.25">
      <c r="A54" t="s">
        <v>1321</v>
      </c>
      <c r="B54" t="s">
        <v>1871</v>
      </c>
    </row>
    <row r="55" spans="1:2" x14ac:dyDescent="0.25">
      <c r="A55" t="s">
        <v>985</v>
      </c>
      <c r="B55" t="s">
        <v>1323</v>
      </c>
    </row>
    <row r="56" spans="1:2" x14ac:dyDescent="0.25">
      <c r="A56" t="s">
        <v>1825</v>
      </c>
      <c r="B56" t="s">
        <v>1872</v>
      </c>
    </row>
    <row r="57" spans="1:2" x14ac:dyDescent="0.25">
      <c r="A57" t="s">
        <v>911</v>
      </c>
      <c r="B57" t="s">
        <v>1324</v>
      </c>
    </row>
    <row r="58" spans="1:2" x14ac:dyDescent="0.25">
      <c r="A58" t="s">
        <v>956</v>
      </c>
      <c r="B58" t="s">
        <v>1873</v>
      </c>
    </row>
    <row r="59" spans="1:2" x14ac:dyDescent="0.25">
      <c r="A59" t="s">
        <v>944</v>
      </c>
      <c r="B59" t="s">
        <v>1327</v>
      </c>
    </row>
    <row r="60" spans="1:2" x14ac:dyDescent="0.25">
      <c r="A60" t="s">
        <v>942</v>
      </c>
      <c r="B60" t="s">
        <v>1330</v>
      </c>
    </row>
    <row r="61" spans="1:2" x14ac:dyDescent="0.25">
      <c r="A61" t="s">
        <v>953</v>
      </c>
      <c r="B61" t="s">
        <v>1874</v>
      </c>
    </row>
    <row r="62" spans="1:2" x14ac:dyDescent="0.25">
      <c r="A62" t="s">
        <v>948</v>
      </c>
      <c r="B62" t="s">
        <v>1875</v>
      </c>
    </row>
    <row r="63" spans="1:2" x14ac:dyDescent="0.25">
      <c r="A63" t="s">
        <v>946</v>
      </c>
      <c r="B63" t="s">
        <v>1876</v>
      </c>
    </row>
    <row r="64" spans="1:2" x14ac:dyDescent="0.25">
      <c r="A64" t="s">
        <v>951</v>
      </c>
      <c r="B64" t="s">
        <v>1877</v>
      </c>
    </row>
    <row r="65" spans="1:2" x14ac:dyDescent="0.25">
      <c r="A65" t="s">
        <v>935</v>
      </c>
      <c r="B65" t="s">
        <v>1320</v>
      </c>
    </row>
    <row r="66" spans="1:2" x14ac:dyDescent="0.25">
      <c r="A66" t="s">
        <v>987</v>
      </c>
      <c r="B66" t="s">
        <v>1331</v>
      </c>
    </row>
    <row r="67" spans="1:2" x14ac:dyDescent="0.25">
      <c r="A67" t="s">
        <v>1031</v>
      </c>
      <c r="B67" t="s">
        <v>1332</v>
      </c>
    </row>
    <row r="68" spans="1:2" x14ac:dyDescent="0.25">
      <c r="A68" t="s">
        <v>1822</v>
      </c>
      <c r="B68" t="s">
        <v>1878</v>
      </c>
    </row>
    <row r="69" spans="1:2" x14ac:dyDescent="0.25">
      <c r="A69" t="s">
        <v>1823</v>
      </c>
      <c r="B69" t="s">
        <v>1879</v>
      </c>
    </row>
    <row r="70" spans="1:2" x14ac:dyDescent="0.25">
      <c r="A70" t="s">
        <v>1333</v>
      </c>
      <c r="B70" t="s">
        <v>1334</v>
      </c>
    </row>
    <row r="71" spans="1:2" x14ac:dyDescent="0.25">
      <c r="A71" t="s">
        <v>1002</v>
      </c>
      <c r="B71" t="s">
        <v>1335</v>
      </c>
    </row>
    <row r="72" spans="1:2" x14ac:dyDescent="0.25">
      <c r="A72" t="s">
        <v>1880</v>
      </c>
      <c r="B72" t="s">
        <v>1881</v>
      </c>
    </row>
    <row r="73" spans="1:2" x14ac:dyDescent="0.25">
      <c r="A73" t="s">
        <v>1808</v>
      </c>
      <c r="B73" t="s">
        <v>1305</v>
      </c>
    </row>
    <row r="74" spans="1:2" x14ac:dyDescent="0.25">
      <c r="A74" t="s">
        <v>979</v>
      </c>
      <c r="B74" t="s">
        <v>1336</v>
      </c>
    </row>
    <row r="75" spans="1:2" x14ac:dyDescent="0.25">
      <c r="A75" t="s">
        <v>1337</v>
      </c>
      <c r="B75" t="s">
        <v>1882</v>
      </c>
    </row>
    <row r="76" spans="1:2" x14ac:dyDescent="0.25">
      <c r="A76" t="s">
        <v>1338</v>
      </c>
      <c r="B76" t="s">
        <v>1368</v>
      </c>
    </row>
    <row r="77" spans="1:2" x14ac:dyDescent="0.25">
      <c r="A77" t="s">
        <v>1339</v>
      </c>
      <c r="B77" t="s">
        <v>1340</v>
      </c>
    </row>
    <row r="78" spans="1:2" x14ac:dyDescent="0.25">
      <c r="A78" t="s">
        <v>1341</v>
      </c>
      <c r="B78" t="s">
        <v>1883</v>
      </c>
    </row>
    <row r="79" spans="1:2" x14ac:dyDescent="0.25">
      <c r="A79" t="s">
        <v>1342</v>
      </c>
      <c r="B79" t="s">
        <v>1343</v>
      </c>
    </row>
    <row r="80" spans="1:2" x14ac:dyDescent="0.25">
      <c r="A80" t="s">
        <v>1344</v>
      </c>
      <c r="B80" t="s">
        <v>1884</v>
      </c>
    </row>
    <row r="81" spans="1:2" x14ac:dyDescent="0.25">
      <c r="A81" t="s">
        <v>1345</v>
      </c>
      <c r="B81" t="s">
        <v>1885</v>
      </c>
    </row>
    <row r="82" spans="1:2" x14ac:dyDescent="0.25">
      <c r="A82" t="s">
        <v>1346</v>
      </c>
      <c r="B82" t="s">
        <v>1886</v>
      </c>
    </row>
    <row r="83" spans="1:2" x14ac:dyDescent="0.25">
      <c r="A83" t="s">
        <v>1347</v>
      </c>
      <c r="B83" t="s">
        <v>1887</v>
      </c>
    </row>
    <row r="84" spans="1:2" x14ac:dyDescent="0.25">
      <c r="A84" t="s">
        <v>1348</v>
      </c>
      <c r="B84" t="s">
        <v>1349</v>
      </c>
    </row>
    <row r="85" spans="1:2" x14ac:dyDescent="0.25">
      <c r="A85" t="s">
        <v>1350</v>
      </c>
      <c r="B85" t="s">
        <v>1351</v>
      </c>
    </row>
    <row r="86" spans="1:2" x14ac:dyDescent="0.25">
      <c r="A86" t="s">
        <v>1888</v>
      </c>
      <c r="B86" t="s">
        <v>1889</v>
      </c>
    </row>
    <row r="87" spans="1:2" x14ac:dyDescent="0.25">
      <c r="A87" t="s">
        <v>1352</v>
      </c>
      <c r="B87" t="s">
        <v>1353</v>
      </c>
    </row>
    <row r="88" spans="1:2" x14ac:dyDescent="0.25">
      <c r="A88" t="s">
        <v>1354</v>
      </c>
      <c r="B88" t="s">
        <v>1355</v>
      </c>
    </row>
    <row r="89" spans="1:2" x14ac:dyDescent="0.25">
      <c r="A89" t="s">
        <v>967</v>
      </c>
      <c r="B89" t="s">
        <v>1356</v>
      </c>
    </row>
    <row r="90" spans="1:2" x14ac:dyDescent="0.25">
      <c r="A90" t="s">
        <v>971</v>
      </c>
      <c r="B90" t="s">
        <v>1357</v>
      </c>
    </row>
    <row r="91" spans="1:2" x14ac:dyDescent="0.25">
      <c r="A91" t="s">
        <v>973</v>
      </c>
      <c r="B91" t="s">
        <v>1358</v>
      </c>
    </row>
    <row r="92" spans="1:2" x14ac:dyDescent="0.25">
      <c r="A92" t="s">
        <v>976</v>
      </c>
      <c r="B92" t="s">
        <v>1359</v>
      </c>
    </row>
    <row r="93" spans="1:2" x14ac:dyDescent="0.25">
      <c r="A93" t="s">
        <v>1360</v>
      </c>
      <c r="B93" t="s">
        <v>1890</v>
      </c>
    </row>
    <row r="94" spans="1:2" x14ac:dyDescent="0.25">
      <c r="A94" t="s">
        <v>1362</v>
      </c>
      <c r="B94" t="s">
        <v>1363</v>
      </c>
    </row>
    <row r="95" spans="1:2" x14ac:dyDescent="0.25">
      <c r="A95" t="s">
        <v>1364</v>
      </c>
      <c r="B95" t="s">
        <v>1365</v>
      </c>
    </row>
    <row r="96" spans="1:2" x14ac:dyDescent="0.25">
      <c r="A96" t="s">
        <v>1366</v>
      </c>
      <c r="B96" t="s">
        <v>1891</v>
      </c>
    </row>
    <row r="97" spans="1:2" x14ac:dyDescent="0.25">
      <c r="A97" t="s">
        <v>1367</v>
      </c>
      <c r="B97" t="s">
        <v>1892</v>
      </c>
    </row>
    <row r="98" spans="1:2" x14ac:dyDescent="0.25">
      <c r="A98" t="s">
        <v>1369</v>
      </c>
      <c r="B98" t="s">
        <v>1893</v>
      </c>
    </row>
    <row r="99" spans="1:2" x14ac:dyDescent="0.25">
      <c r="A99" t="s">
        <v>1894</v>
      </c>
      <c r="B99" t="s">
        <v>1895</v>
      </c>
    </row>
    <row r="100" spans="1:2" x14ac:dyDescent="0.25">
      <c r="A100" t="s">
        <v>1370</v>
      </c>
      <c r="B100" t="s">
        <v>1896</v>
      </c>
    </row>
    <row r="101" spans="1:2" x14ac:dyDescent="0.25">
      <c r="A101" t="s">
        <v>1371</v>
      </c>
      <c r="B101" t="s">
        <v>1361</v>
      </c>
    </row>
    <row r="102" spans="1:2" x14ac:dyDescent="0.25">
      <c r="A102" t="s">
        <v>1372</v>
      </c>
      <c r="B102" t="s">
        <v>1897</v>
      </c>
    </row>
    <row r="103" spans="1:2" x14ac:dyDescent="0.25">
      <c r="A103" t="s">
        <v>1373</v>
      </c>
      <c r="B103" t="s">
        <v>1898</v>
      </c>
    </row>
    <row r="104" spans="1:2" x14ac:dyDescent="0.25">
      <c r="A104" t="s">
        <v>1374</v>
      </c>
      <c r="B104" t="s">
        <v>1326</v>
      </c>
    </row>
    <row r="105" spans="1:2" x14ac:dyDescent="0.25">
      <c r="A105" t="s">
        <v>1375</v>
      </c>
      <c r="B105" t="s">
        <v>1325</v>
      </c>
    </row>
    <row r="106" spans="1:2" x14ac:dyDescent="0.25">
      <c r="A106" t="s">
        <v>1377</v>
      </c>
      <c r="B106" t="s">
        <v>1329</v>
      </c>
    </row>
    <row r="107" spans="1:2" x14ac:dyDescent="0.25">
      <c r="A107" t="s">
        <v>1378</v>
      </c>
      <c r="B107" t="s">
        <v>1328</v>
      </c>
    </row>
    <row r="108" spans="1:2" x14ac:dyDescent="0.25">
      <c r="A108" t="s">
        <v>1899</v>
      </c>
      <c r="B108" t="s">
        <v>1900</v>
      </c>
    </row>
    <row r="109" spans="1:2" x14ac:dyDescent="0.25">
      <c r="A109" t="s">
        <v>1901</v>
      </c>
      <c r="B109" t="s">
        <v>1902</v>
      </c>
    </row>
    <row r="110" spans="1:2" x14ac:dyDescent="0.25">
      <c r="A110" t="s">
        <v>1379</v>
      </c>
      <c r="B110" t="s">
        <v>1380</v>
      </c>
    </row>
    <row r="111" spans="1:2" x14ac:dyDescent="0.25">
      <c r="A111" t="s">
        <v>1381</v>
      </c>
      <c r="B111" t="s">
        <v>1382</v>
      </c>
    </row>
    <row r="112" spans="1:2" x14ac:dyDescent="0.25">
      <c r="A112" t="s">
        <v>1383</v>
      </c>
      <c r="B112" t="s">
        <v>1384</v>
      </c>
    </row>
    <row r="113" spans="1:2" x14ac:dyDescent="0.25">
      <c r="A113" t="s">
        <v>1385</v>
      </c>
      <c r="B113" t="s">
        <v>1386</v>
      </c>
    </row>
    <row r="114" spans="1:2" x14ac:dyDescent="0.25">
      <c r="A114" t="s">
        <v>1387</v>
      </c>
      <c r="B114" t="s">
        <v>1388</v>
      </c>
    </row>
    <row r="115" spans="1:2" x14ac:dyDescent="0.25">
      <c r="A115" t="s">
        <v>1389</v>
      </c>
      <c r="B115" t="s">
        <v>1390</v>
      </c>
    </row>
    <row r="116" spans="1:2" x14ac:dyDescent="0.25">
      <c r="A116" t="s">
        <v>1391</v>
      </c>
      <c r="B116" t="s">
        <v>1903</v>
      </c>
    </row>
    <row r="117" spans="1:2" x14ac:dyDescent="0.25">
      <c r="A117" t="s">
        <v>1392</v>
      </c>
      <c r="B117" t="s">
        <v>1393</v>
      </c>
    </row>
    <row r="118" spans="1:2" x14ac:dyDescent="0.25">
      <c r="A118" t="s">
        <v>1394</v>
      </c>
      <c r="B118" t="s">
        <v>1904</v>
      </c>
    </row>
    <row r="119" spans="1:2" x14ac:dyDescent="0.25">
      <c r="A119" t="s">
        <v>1395</v>
      </c>
      <c r="B119" t="s">
        <v>1396</v>
      </c>
    </row>
    <row r="120" spans="1:2" x14ac:dyDescent="0.25">
      <c r="A120" t="s">
        <v>1397</v>
      </c>
      <c r="B120" t="s">
        <v>1398</v>
      </c>
    </row>
    <row r="121" spans="1:2" x14ac:dyDescent="0.25">
      <c r="A121" t="s">
        <v>1399</v>
      </c>
      <c r="B121" t="s">
        <v>1400</v>
      </c>
    </row>
    <row r="122" spans="1:2" x14ac:dyDescent="0.25">
      <c r="A122" t="s">
        <v>1401</v>
      </c>
      <c r="B122" t="s">
        <v>1402</v>
      </c>
    </row>
    <row r="123" spans="1:2" x14ac:dyDescent="0.25">
      <c r="A123" t="s">
        <v>1403</v>
      </c>
      <c r="B123" t="s">
        <v>1404</v>
      </c>
    </row>
    <row r="124" spans="1:2" x14ac:dyDescent="0.25">
      <c r="A124" t="s">
        <v>1405</v>
      </c>
      <c r="B124" t="s">
        <v>1406</v>
      </c>
    </row>
    <row r="125" spans="1:2" x14ac:dyDescent="0.25">
      <c r="A125" t="s">
        <v>1407</v>
      </c>
      <c r="B125" t="s">
        <v>1408</v>
      </c>
    </row>
    <row r="126" spans="1:2" x14ac:dyDescent="0.25">
      <c r="A126" t="s">
        <v>1905</v>
      </c>
      <c r="B126" t="s">
        <v>1906</v>
      </c>
    </row>
    <row r="127" spans="1:2" x14ac:dyDescent="0.25">
      <c r="A127" t="s">
        <v>1409</v>
      </c>
      <c r="B127" t="s">
        <v>1410</v>
      </c>
    </row>
    <row r="128" spans="1:2" x14ac:dyDescent="0.25">
      <c r="A128" t="s">
        <v>1411</v>
      </c>
      <c r="B128" t="s">
        <v>1412</v>
      </c>
    </row>
    <row r="129" spans="1:2" x14ac:dyDescent="0.25">
      <c r="A129" t="s">
        <v>1275</v>
      </c>
      <c r="B129" t="s">
        <v>1907</v>
      </c>
    </row>
    <row r="130" spans="1:2" x14ac:dyDescent="0.25">
      <c r="A130" t="s">
        <v>1274</v>
      </c>
      <c r="B130" t="s">
        <v>1310</v>
      </c>
    </row>
    <row r="131" spans="1:2" x14ac:dyDescent="0.25">
      <c r="A131" t="s">
        <v>1908</v>
      </c>
      <c r="B131" t="s">
        <v>1909</v>
      </c>
    </row>
    <row r="132" spans="1:2" x14ac:dyDescent="0.25">
      <c r="A132" t="s">
        <v>1414</v>
      </c>
      <c r="B132" t="s">
        <v>1415</v>
      </c>
    </row>
    <row r="133" spans="1:2" x14ac:dyDescent="0.25">
      <c r="A133" t="s">
        <v>958</v>
      </c>
      <c r="B133" t="s">
        <v>1416</v>
      </c>
    </row>
    <row r="134" spans="1:2" x14ac:dyDescent="0.25">
      <c r="A134" t="s">
        <v>961</v>
      </c>
      <c r="B134" t="s">
        <v>1417</v>
      </c>
    </row>
    <row r="135" spans="1:2" x14ac:dyDescent="0.25">
      <c r="A135" t="s">
        <v>962</v>
      </c>
      <c r="B135" t="s">
        <v>1418</v>
      </c>
    </row>
    <row r="136" spans="1:2" x14ac:dyDescent="0.25">
      <c r="A136" t="s">
        <v>963</v>
      </c>
      <c r="B136" t="s">
        <v>1419</v>
      </c>
    </row>
    <row r="137" spans="1:2" x14ac:dyDescent="0.25">
      <c r="A137" t="s">
        <v>965</v>
      </c>
      <c r="B137" t="s">
        <v>1420</v>
      </c>
    </row>
    <row r="138" spans="1:2" x14ac:dyDescent="0.25">
      <c r="A138" t="s">
        <v>1421</v>
      </c>
      <c r="B138" t="s">
        <v>1422</v>
      </c>
    </row>
    <row r="139" spans="1:2" x14ac:dyDescent="0.25">
      <c r="A139" t="s">
        <v>1423</v>
      </c>
      <c r="B139" t="s">
        <v>1910</v>
      </c>
    </row>
    <row r="140" spans="1:2" x14ac:dyDescent="0.25">
      <c r="A140" t="s">
        <v>1424</v>
      </c>
      <c r="B140" t="s">
        <v>1911</v>
      </c>
    </row>
    <row r="141" spans="1:2" x14ac:dyDescent="0.25">
      <c r="A141" t="s">
        <v>1425</v>
      </c>
      <c r="B141" t="s">
        <v>1426</v>
      </c>
    </row>
    <row r="142" spans="1:2" x14ac:dyDescent="0.25">
      <c r="A142" t="s">
        <v>1427</v>
      </c>
      <c r="B142" t="s">
        <v>1428</v>
      </c>
    </row>
    <row r="143" spans="1:2" x14ac:dyDescent="0.25">
      <c r="A143" t="s">
        <v>1429</v>
      </c>
      <c r="B143" t="s">
        <v>1432</v>
      </c>
    </row>
    <row r="144" spans="1:2" x14ac:dyDescent="0.25">
      <c r="A144" t="s">
        <v>1430</v>
      </c>
      <c r="B144" t="s">
        <v>1436</v>
      </c>
    </row>
    <row r="145" spans="1:2" x14ac:dyDescent="0.25">
      <c r="A145" t="s">
        <v>1431</v>
      </c>
      <c r="B145" t="s">
        <v>1912</v>
      </c>
    </row>
    <row r="146" spans="1:2" x14ac:dyDescent="0.25">
      <c r="A146" t="s">
        <v>1433</v>
      </c>
      <c r="B146" t="s">
        <v>1913</v>
      </c>
    </row>
    <row r="147" spans="1:2" x14ac:dyDescent="0.25">
      <c r="A147" t="s">
        <v>1434</v>
      </c>
      <c r="B147" t="s">
        <v>1914</v>
      </c>
    </row>
    <row r="148" spans="1:2" x14ac:dyDescent="0.25">
      <c r="A148" t="s">
        <v>1435</v>
      </c>
      <c r="B148" t="s">
        <v>1915</v>
      </c>
    </row>
    <row r="149" spans="1:2" x14ac:dyDescent="0.25">
      <c r="A149" t="s">
        <v>1437</v>
      </c>
      <c r="B149" t="s">
        <v>1916</v>
      </c>
    </row>
    <row r="150" spans="1:2" x14ac:dyDescent="0.25">
      <c r="A150" t="s">
        <v>1438</v>
      </c>
      <c r="B150" t="s">
        <v>1439</v>
      </c>
    </row>
    <row r="151" spans="1:2" x14ac:dyDescent="0.25">
      <c r="A151" t="s">
        <v>1032</v>
      </c>
      <c r="B151" t="s">
        <v>1440</v>
      </c>
    </row>
    <row r="152" spans="1:2" x14ac:dyDescent="0.25">
      <c r="A152" t="s">
        <v>1917</v>
      </c>
      <c r="B152" t="s">
        <v>1918</v>
      </c>
    </row>
    <row r="153" spans="1:2" x14ac:dyDescent="0.25">
      <c r="A153" t="s">
        <v>1919</v>
      </c>
      <c r="B153" t="s">
        <v>1920</v>
      </c>
    </row>
    <row r="154" spans="1:2" x14ac:dyDescent="0.25">
      <c r="A154" t="s">
        <v>1441</v>
      </c>
      <c r="B154" t="s">
        <v>1442</v>
      </c>
    </row>
    <row r="155" spans="1:2" x14ac:dyDescent="0.25">
      <c r="A155" t="s">
        <v>1443</v>
      </c>
      <c r="B155" t="s">
        <v>1444</v>
      </c>
    </row>
    <row r="156" spans="1:2" x14ac:dyDescent="0.25">
      <c r="A156" t="s">
        <v>1445</v>
      </c>
      <c r="B156" t="s">
        <v>1446</v>
      </c>
    </row>
    <row r="157" spans="1:2" x14ac:dyDescent="0.25">
      <c r="A157" t="s">
        <v>1447</v>
      </c>
      <c r="B157" t="s">
        <v>1448</v>
      </c>
    </row>
    <row r="158" spans="1:2" x14ac:dyDescent="0.25">
      <c r="A158" t="s">
        <v>1449</v>
      </c>
      <c r="B158" t="s">
        <v>1450</v>
      </c>
    </row>
    <row r="159" spans="1:2" x14ac:dyDescent="0.25">
      <c r="A159" t="s">
        <v>1451</v>
      </c>
      <c r="B159" t="s">
        <v>1452</v>
      </c>
    </row>
    <row r="160" spans="1:2" x14ac:dyDescent="0.25">
      <c r="A160" t="s">
        <v>1453</v>
      </c>
      <c r="B160" t="s">
        <v>1454</v>
      </c>
    </row>
    <row r="161" spans="1:2" x14ac:dyDescent="0.25">
      <c r="A161" t="s">
        <v>1455</v>
      </c>
      <c r="B161" t="s">
        <v>1456</v>
      </c>
    </row>
    <row r="162" spans="1:2" x14ac:dyDescent="0.25">
      <c r="A162" t="s">
        <v>1457</v>
      </c>
      <c r="B162" t="s">
        <v>1458</v>
      </c>
    </row>
    <row r="163" spans="1:2" x14ac:dyDescent="0.25">
      <c r="A163" t="s">
        <v>1459</v>
      </c>
      <c r="B163" t="s">
        <v>1460</v>
      </c>
    </row>
    <row r="164" spans="1:2" x14ac:dyDescent="0.25">
      <c r="A164" t="s">
        <v>1461</v>
      </c>
      <c r="B164" t="s">
        <v>1462</v>
      </c>
    </row>
    <row r="165" spans="1:2" x14ac:dyDescent="0.25">
      <c r="A165" t="s">
        <v>1463</v>
      </c>
      <c r="B165" t="s">
        <v>1464</v>
      </c>
    </row>
    <row r="166" spans="1:2" x14ac:dyDescent="0.25">
      <c r="A166" t="s">
        <v>1465</v>
      </c>
      <c r="B166" t="s">
        <v>1466</v>
      </c>
    </row>
    <row r="167" spans="1:2" x14ac:dyDescent="0.25">
      <c r="A167" t="s">
        <v>1467</v>
      </c>
      <c r="B167" t="s">
        <v>1468</v>
      </c>
    </row>
    <row r="168" spans="1:2" x14ac:dyDescent="0.25">
      <c r="A168" t="s">
        <v>1469</v>
      </c>
      <c r="B168" t="s">
        <v>1470</v>
      </c>
    </row>
    <row r="169" spans="1:2" x14ac:dyDescent="0.25">
      <c r="A169" t="s">
        <v>1471</v>
      </c>
      <c r="B169" t="s">
        <v>1472</v>
      </c>
    </row>
    <row r="170" spans="1:2" x14ac:dyDescent="0.25">
      <c r="A170" t="s">
        <v>1473</v>
      </c>
      <c r="B170" t="s">
        <v>1474</v>
      </c>
    </row>
    <row r="171" spans="1:2" x14ac:dyDescent="0.25">
      <c r="A171" t="s">
        <v>1475</v>
      </c>
      <c r="B171" t="s">
        <v>1476</v>
      </c>
    </row>
    <row r="172" spans="1:2" x14ac:dyDescent="0.25">
      <c r="A172" t="s">
        <v>1477</v>
      </c>
      <c r="B172" t="s">
        <v>1478</v>
      </c>
    </row>
    <row r="173" spans="1:2" x14ac:dyDescent="0.25">
      <c r="A173" t="s">
        <v>1479</v>
      </c>
      <c r="B173" t="s">
        <v>1480</v>
      </c>
    </row>
    <row r="174" spans="1:2" x14ac:dyDescent="0.25">
      <c r="A174" t="s">
        <v>1481</v>
      </c>
      <c r="B174" t="s">
        <v>1482</v>
      </c>
    </row>
    <row r="175" spans="1:2" x14ac:dyDescent="0.25">
      <c r="A175" t="s">
        <v>1483</v>
      </c>
      <c r="B175" t="s">
        <v>1484</v>
      </c>
    </row>
    <row r="176" spans="1:2" x14ac:dyDescent="0.25">
      <c r="A176" t="s">
        <v>1485</v>
      </c>
      <c r="B176" t="s">
        <v>1486</v>
      </c>
    </row>
    <row r="177" spans="1:2" x14ac:dyDescent="0.25">
      <c r="A177" t="s">
        <v>1487</v>
      </c>
      <c r="B177" t="s">
        <v>1488</v>
      </c>
    </row>
    <row r="178" spans="1:2" x14ac:dyDescent="0.25">
      <c r="A178" t="s">
        <v>1489</v>
      </c>
      <c r="B178" t="s">
        <v>1490</v>
      </c>
    </row>
    <row r="179" spans="1:2" x14ac:dyDescent="0.25">
      <c r="A179" t="s">
        <v>1491</v>
      </c>
      <c r="B179" t="s">
        <v>1492</v>
      </c>
    </row>
    <row r="180" spans="1:2" x14ac:dyDescent="0.25">
      <c r="A180" t="s">
        <v>1493</v>
      </c>
      <c r="B180" t="s">
        <v>1494</v>
      </c>
    </row>
    <row r="181" spans="1:2" x14ac:dyDescent="0.25">
      <c r="A181" t="s">
        <v>1495</v>
      </c>
      <c r="B181" t="s">
        <v>1496</v>
      </c>
    </row>
    <row r="182" spans="1:2" x14ac:dyDescent="0.25">
      <c r="A182" t="s">
        <v>1497</v>
      </c>
      <c r="B182" t="s">
        <v>1498</v>
      </c>
    </row>
    <row r="183" spans="1:2" x14ac:dyDescent="0.25">
      <c r="A183" t="s">
        <v>1499</v>
      </c>
      <c r="B183" t="s">
        <v>1500</v>
      </c>
    </row>
    <row r="184" spans="1:2" x14ac:dyDescent="0.25">
      <c r="A184" t="s">
        <v>1501</v>
      </c>
      <c r="B184" t="s">
        <v>1502</v>
      </c>
    </row>
    <row r="185" spans="1:2" x14ac:dyDescent="0.25">
      <c r="A185" t="s">
        <v>1503</v>
      </c>
      <c r="B185" t="s">
        <v>1504</v>
      </c>
    </row>
    <row r="186" spans="1:2" x14ac:dyDescent="0.25">
      <c r="A186" t="s">
        <v>1505</v>
      </c>
      <c r="B186" t="s">
        <v>1506</v>
      </c>
    </row>
    <row r="187" spans="1:2" x14ac:dyDescent="0.25">
      <c r="A187" t="s">
        <v>1507</v>
      </c>
      <c r="B187" t="s">
        <v>1508</v>
      </c>
    </row>
    <row r="188" spans="1:2" x14ac:dyDescent="0.25">
      <c r="A188" t="s">
        <v>1509</v>
      </c>
      <c r="B188" t="s">
        <v>1510</v>
      </c>
    </row>
    <row r="189" spans="1:2" x14ac:dyDescent="0.25">
      <c r="A189" t="s">
        <v>1511</v>
      </c>
      <c r="B189" t="s">
        <v>1512</v>
      </c>
    </row>
    <row r="190" spans="1:2" x14ac:dyDescent="0.25">
      <c r="A190" t="s">
        <v>1513</v>
      </c>
      <c r="B190" t="s">
        <v>1514</v>
      </c>
    </row>
    <row r="191" spans="1:2" x14ac:dyDescent="0.25">
      <c r="A191" t="s">
        <v>1515</v>
      </c>
      <c r="B191" t="s">
        <v>1516</v>
      </c>
    </row>
    <row r="192" spans="1:2" x14ac:dyDescent="0.25">
      <c r="A192" t="s">
        <v>1517</v>
      </c>
      <c r="B192" t="s">
        <v>1518</v>
      </c>
    </row>
    <row r="193" spans="1:2" x14ac:dyDescent="0.25">
      <c r="A193" t="s">
        <v>1519</v>
      </c>
      <c r="B193" t="s">
        <v>1520</v>
      </c>
    </row>
    <row r="194" spans="1:2" x14ac:dyDescent="0.25">
      <c r="A194" t="s">
        <v>1521</v>
      </c>
      <c r="B194" t="s">
        <v>1522</v>
      </c>
    </row>
    <row r="195" spans="1:2" x14ac:dyDescent="0.25">
      <c r="A195" t="s">
        <v>1523</v>
      </c>
      <c r="B195" t="s">
        <v>1524</v>
      </c>
    </row>
    <row r="196" spans="1:2" x14ac:dyDescent="0.25">
      <c r="A196" t="s">
        <v>1525</v>
      </c>
      <c r="B196" t="s">
        <v>1526</v>
      </c>
    </row>
    <row r="197" spans="1:2" x14ac:dyDescent="0.25">
      <c r="A197" t="s">
        <v>1527</v>
      </c>
      <c r="B197" t="s">
        <v>1528</v>
      </c>
    </row>
    <row r="198" spans="1:2" x14ac:dyDescent="0.25">
      <c r="A198" t="s">
        <v>1529</v>
      </c>
      <c r="B198" t="s">
        <v>1530</v>
      </c>
    </row>
    <row r="199" spans="1:2" x14ac:dyDescent="0.25">
      <c r="A199" t="s">
        <v>1531</v>
      </c>
      <c r="B199" t="s">
        <v>1532</v>
      </c>
    </row>
    <row r="200" spans="1:2" x14ac:dyDescent="0.25">
      <c r="A200" t="s">
        <v>1533</v>
      </c>
      <c r="B200" t="s">
        <v>1534</v>
      </c>
    </row>
    <row r="201" spans="1:2" x14ac:dyDescent="0.25">
      <c r="A201" t="s">
        <v>1535</v>
      </c>
      <c r="B201" t="s">
        <v>1536</v>
      </c>
    </row>
    <row r="202" spans="1:2" x14ac:dyDescent="0.25">
      <c r="A202" t="s">
        <v>1537</v>
      </c>
      <c r="B202" t="s">
        <v>1538</v>
      </c>
    </row>
    <row r="203" spans="1:2" x14ac:dyDescent="0.25">
      <c r="A203" t="s">
        <v>1539</v>
      </c>
      <c r="B203" t="s">
        <v>1540</v>
      </c>
    </row>
    <row r="204" spans="1:2" x14ac:dyDescent="0.25">
      <c r="A204" t="s">
        <v>1541</v>
      </c>
      <c r="B204" t="s">
        <v>1542</v>
      </c>
    </row>
    <row r="205" spans="1:2" x14ac:dyDescent="0.25">
      <c r="A205" t="s">
        <v>1543</v>
      </c>
      <c r="B205" t="s">
        <v>1544</v>
      </c>
    </row>
    <row r="206" spans="1:2" x14ac:dyDescent="0.25">
      <c r="A206" t="s">
        <v>1545</v>
      </c>
      <c r="B206" t="s">
        <v>1546</v>
      </c>
    </row>
    <row r="207" spans="1:2" x14ac:dyDescent="0.25">
      <c r="A207" t="s">
        <v>1547</v>
      </c>
      <c r="B207" t="s">
        <v>1548</v>
      </c>
    </row>
    <row r="208" spans="1:2" x14ac:dyDescent="0.25">
      <c r="A208" t="s">
        <v>1549</v>
      </c>
      <c r="B208" t="s">
        <v>1550</v>
      </c>
    </row>
    <row r="209" spans="1:2" x14ac:dyDescent="0.25">
      <c r="A209" t="s">
        <v>1551</v>
      </c>
      <c r="B209" t="s">
        <v>1552</v>
      </c>
    </row>
    <row r="210" spans="1:2" x14ac:dyDescent="0.25">
      <c r="A210" t="s">
        <v>1553</v>
      </c>
      <c r="B210" t="s">
        <v>1554</v>
      </c>
    </row>
    <row r="211" spans="1:2" x14ac:dyDescent="0.25">
      <c r="A211" t="s">
        <v>1555</v>
      </c>
      <c r="B211" t="s">
        <v>1556</v>
      </c>
    </row>
    <row r="212" spans="1:2" x14ac:dyDescent="0.25">
      <c r="A212" t="s">
        <v>1557</v>
      </c>
      <c r="B212" t="s">
        <v>1558</v>
      </c>
    </row>
    <row r="213" spans="1:2" x14ac:dyDescent="0.25">
      <c r="A213" t="s">
        <v>1559</v>
      </c>
      <c r="B213" t="s">
        <v>1560</v>
      </c>
    </row>
    <row r="214" spans="1:2" x14ac:dyDescent="0.25">
      <c r="A214" t="s">
        <v>1561</v>
      </c>
      <c r="B214" t="s">
        <v>1562</v>
      </c>
    </row>
    <row r="215" spans="1:2" x14ac:dyDescent="0.25">
      <c r="A215" t="s">
        <v>1563</v>
      </c>
      <c r="B215" t="s">
        <v>1564</v>
      </c>
    </row>
    <row r="216" spans="1:2" x14ac:dyDescent="0.25">
      <c r="A216" t="s">
        <v>1565</v>
      </c>
      <c r="B216" t="s">
        <v>1566</v>
      </c>
    </row>
    <row r="217" spans="1:2" x14ac:dyDescent="0.25">
      <c r="A217" t="s">
        <v>1567</v>
      </c>
      <c r="B217" t="s">
        <v>1568</v>
      </c>
    </row>
    <row r="218" spans="1:2" x14ac:dyDescent="0.25">
      <c r="A218" t="s">
        <v>1569</v>
      </c>
      <c r="B218" t="s">
        <v>1570</v>
      </c>
    </row>
    <row r="219" spans="1:2" x14ac:dyDescent="0.25">
      <c r="A219" t="s">
        <v>1571</v>
      </c>
      <c r="B219" t="s">
        <v>1572</v>
      </c>
    </row>
    <row r="220" spans="1:2" x14ac:dyDescent="0.25">
      <c r="A220" t="s">
        <v>1573</v>
      </c>
      <c r="B220" t="s">
        <v>1574</v>
      </c>
    </row>
    <row r="221" spans="1:2" x14ac:dyDescent="0.25">
      <c r="A221" t="s">
        <v>1575</v>
      </c>
      <c r="B221" t="s">
        <v>1576</v>
      </c>
    </row>
    <row r="222" spans="1:2" x14ac:dyDescent="0.25">
      <c r="A222" t="s">
        <v>1577</v>
      </c>
      <c r="B222" t="s">
        <v>1578</v>
      </c>
    </row>
    <row r="223" spans="1:2" x14ac:dyDescent="0.25">
      <c r="A223" t="s">
        <v>1579</v>
      </c>
      <c r="B223" t="s">
        <v>1580</v>
      </c>
    </row>
    <row r="224" spans="1:2" x14ac:dyDescent="0.25">
      <c r="A224" t="s">
        <v>1581</v>
      </c>
      <c r="B224" t="s">
        <v>1582</v>
      </c>
    </row>
    <row r="225" spans="1:2" x14ac:dyDescent="0.25">
      <c r="A225" t="s">
        <v>1583</v>
      </c>
      <c r="B225" t="s">
        <v>1584</v>
      </c>
    </row>
    <row r="226" spans="1:2" x14ac:dyDescent="0.25">
      <c r="A226" t="s">
        <v>1585</v>
      </c>
      <c r="B226" t="s">
        <v>1586</v>
      </c>
    </row>
    <row r="227" spans="1:2" x14ac:dyDescent="0.25">
      <c r="A227" t="s">
        <v>1587</v>
      </c>
      <c r="B227" t="s">
        <v>1588</v>
      </c>
    </row>
    <row r="228" spans="1:2" x14ac:dyDescent="0.25">
      <c r="A228" t="s">
        <v>1589</v>
      </c>
      <c r="B228" t="s">
        <v>1590</v>
      </c>
    </row>
    <row r="229" spans="1:2" x14ac:dyDescent="0.25">
      <c r="A229" t="s">
        <v>1591</v>
      </c>
      <c r="B229" t="s">
        <v>1592</v>
      </c>
    </row>
    <row r="230" spans="1:2" x14ac:dyDescent="0.25">
      <c r="A230" t="s">
        <v>1593</v>
      </c>
      <c r="B230" t="s">
        <v>1594</v>
      </c>
    </row>
    <row r="231" spans="1:2" x14ac:dyDescent="0.25">
      <c r="A231" t="s">
        <v>1595</v>
      </c>
      <c r="B231" t="s">
        <v>1596</v>
      </c>
    </row>
    <row r="232" spans="1:2" x14ac:dyDescent="0.25">
      <c r="A232" t="s">
        <v>1597</v>
      </c>
      <c r="B232" t="s">
        <v>1598</v>
      </c>
    </row>
    <row r="233" spans="1:2" x14ac:dyDescent="0.25">
      <c r="A233" t="s">
        <v>1599</v>
      </c>
      <c r="B233" t="s">
        <v>1600</v>
      </c>
    </row>
    <row r="234" spans="1:2" x14ac:dyDescent="0.25">
      <c r="A234" t="s">
        <v>1601</v>
      </c>
      <c r="B234" t="s">
        <v>1602</v>
      </c>
    </row>
    <row r="235" spans="1:2" x14ac:dyDescent="0.25">
      <c r="A235" t="s">
        <v>1603</v>
      </c>
      <c r="B235" t="s">
        <v>1604</v>
      </c>
    </row>
    <row r="236" spans="1:2" x14ac:dyDescent="0.25">
      <c r="A236" t="s">
        <v>1605</v>
      </c>
      <c r="B236" t="s">
        <v>1606</v>
      </c>
    </row>
    <row r="237" spans="1:2" x14ac:dyDescent="0.25">
      <c r="A237" t="s">
        <v>1607</v>
      </c>
      <c r="B237" t="s">
        <v>1608</v>
      </c>
    </row>
    <row r="238" spans="1:2" x14ac:dyDescent="0.25">
      <c r="A238" t="s">
        <v>1609</v>
      </c>
      <c r="B238" t="s">
        <v>1610</v>
      </c>
    </row>
    <row r="239" spans="1:2" x14ac:dyDescent="0.25">
      <c r="A239" t="s">
        <v>1611</v>
      </c>
      <c r="B239" t="s">
        <v>1612</v>
      </c>
    </row>
    <row r="240" spans="1:2" x14ac:dyDescent="0.25">
      <c r="A240" t="s">
        <v>1613</v>
      </c>
      <c r="B240" t="s">
        <v>1614</v>
      </c>
    </row>
    <row r="241" spans="1:2" x14ac:dyDescent="0.25">
      <c r="A241" t="s">
        <v>1615</v>
      </c>
      <c r="B241" t="s">
        <v>1616</v>
      </c>
    </row>
    <row r="242" spans="1:2" x14ac:dyDescent="0.25">
      <c r="A242" t="s">
        <v>1617</v>
      </c>
      <c r="B242" t="s">
        <v>1618</v>
      </c>
    </row>
    <row r="243" spans="1:2" x14ac:dyDescent="0.25">
      <c r="A243" t="s">
        <v>1619</v>
      </c>
      <c r="B243" t="s">
        <v>1620</v>
      </c>
    </row>
    <row r="244" spans="1:2" x14ac:dyDescent="0.25">
      <c r="A244" t="s">
        <v>1621</v>
      </c>
      <c r="B244" t="s">
        <v>1622</v>
      </c>
    </row>
    <row r="245" spans="1:2" x14ac:dyDescent="0.25">
      <c r="A245" t="s">
        <v>1623</v>
      </c>
      <c r="B245" t="s">
        <v>1624</v>
      </c>
    </row>
    <row r="246" spans="1:2" x14ac:dyDescent="0.25">
      <c r="A246" t="s">
        <v>1625</v>
      </c>
      <c r="B246" t="s">
        <v>1626</v>
      </c>
    </row>
    <row r="247" spans="1:2" x14ac:dyDescent="0.25">
      <c r="A247" t="s">
        <v>1627</v>
      </c>
      <c r="B247" t="s">
        <v>1628</v>
      </c>
    </row>
    <row r="248" spans="1:2" x14ac:dyDescent="0.25">
      <c r="A248" t="s">
        <v>1629</v>
      </c>
      <c r="B248" t="s">
        <v>1630</v>
      </c>
    </row>
    <row r="249" spans="1:2" x14ac:dyDescent="0.25">
      <c r="A249" t="s">
        <v>1631</v>
      </c>
      <c r="B249" t="s">
        <v>1632</v>
      </c>
    </row>
    <row r="250" spans="1:2" x14ac:dyDescent="0.25">
      <c r="A250" t="s">
        <v>1633</v>
      </c>
      <c r="B250" t="s">
        <v>1634</v>
      </c>
    </row>
    <row r="251" spans="1:2" x14ac:dyDescent="0.25">
      <c r="A251" t="s">
        <v>1635</v>
      </c>
      <c r="B251" t="s">
        <v>1636</v>
      </c>
    </row>
    <row r="252" spans="1:2" x14ac:dyDescent="0.25">
      <c r="A252" t="s">
        <v>1637</v>
      </c>
      <c r="B252" t="s">
        <v>1638</v>
      </c>
    </row>
    <row r="253" spans="1:2" x14ac:dyDescent="0.25">
      <c r="A253" t="s">
        <v>1639</v>
      </c>
      <c r="B253" t="s">
        <v>1640</v>
      </c>
    </row>
    <row r="254" spans="1:2" x14ac:dyDescent="0.25">
      <c r="A254" t="s">
        <v>1641</v>
      </c>
      <c r="B254" t="s">
        <v>1642</v>
      </c>
    </row>
    <row r="255" spans="1:2" x14ac:dyDescent="0.25">
      <c r="A255" t="s">
        <v>1921</v>
      </c>
      <c r="B255" t="s">
        <v>1922</v>
      </c>
    </row>
    <row r="256" spans="1:2" x14ac:dyDescent="0.25">
      <c r="A256" t="s">
        <v>1643</v>
      </c>
      <c r="B256" t="s">
        <v>1644</v>
      </c>
    </row>
    <row r="257" spans="1:2" x14ac:dyDescent="0.25">
      <c r="A257" t="s">
        <v>1645</v>
      </c>
      <c r="B257" t="s">
        <v>1923</v>
      </c>
    </row>
    <row r="258" spans="1:2" x14ac:dyDescent="0.25">
      <c r="A258" t="s">
        <v>1646</v>
      </c>
      <c r="B258" t="s">
        <v>1647</v>
      </c>
    </row>
    <row r="259" spans="1:2" x14ac:dyDescent="0.25">
      <c r="A259" t="s">
        <v>1648</v>
      </c>
      <c r="B259" t="s">
        <v>1649</v>
      </c>
    </row>
    <row r="260" spans="1:2" x14ac:dyDescent="0.25">
      <c r="A260" t="s">
        <v>1650</v>
      </c>
      <c r="B260" t="s">
        <v>1651</v>
      </c>
    </row>
    <row r="261" spans="1:2" x14ac:dyDescent="0.25">
      <c r="A261" t="s">
        <v>1652</v>
      </c>
      <c r="B261" t="s">
        <v>1653</v>
      </c>
    </row>
    <row r="262" spans="1:2" x14ac:dyDescent="0.25">
      <c r="A262" t="s">
        <v>1654</v>
      </c>
      <c r="B262" t="s">
        <v>1655</v>
      </c>
    </row>
    <row r="263" spans="1:2" x14ac:dyDescent="0.25">
      <c r="A263" t="s">
        <v>901</v>
      </c>
      <c r="B263" t="s">
        <v>1656</v>
      </c>
    </row>
    <row r="264" spans="1:2" x14ac:dyDescent="0.25">
      <c r="A264" t="s">
        <v>1657</v>
      </c>
      <c r="B264" t="s">
        <v>1658</v>
      </c>
    </row>
    <row r="265" spans="1:2" x14ac:dyDescent="0.25">
      <c r="A265" t="s">
        <v>1659</v>
      </c>
      <c r="B265" t="s">
        <v>1660</v>
      </c>
    </row>
    <row r="266" spans="1:2" x14ac:dyDescent="0.25">
      <c r="A266" t="s">
        <v>1661</v>
      </c>
      <c r="B266" t="s">
        <v>1662</v>
      </c>
    </row>
    <row r="267" spans="1:2" x14ac:dyDescent="0.25">
      <c r="A267" t="s">
        <v>1663</v>
      </c>
      <c r="B267" t="s">
        <v>1664</v>
      </c>
    </row>
    <row r="268" spans="1:2" x14ac:dyDescent="0.25">
      <c r="A268" t="s">
        <v>1665</v>
      </c>
      <c r="B268" t="s">
        <v>1666</v>
      </c>
    </row>
    <row r="269" spans="1:2" x14ac:dyDescent="0.25">
      <c r="A269" t="s">
        <v>1667</v>
      </c>
      <c r="B269" t="s">
        <v>1668</v>
      </c>
    </row>
    <row r="270" spans="1:2" x14ac:dyDescent="0.25">
      <c r="A270" t="s">
        <v>1669</v>
      </c>
      <c r="B270" t="s">
        <v>1670</v>
      </c>
    </row>
    <row r="271" spans="1:2" x14ac:dyDescent="0.25">
      <c r="A271" t="s">
        <v>1235</v>
      </c>
      <c r="B271" t="s">
        <v>1671</v>
      </c>
    </row>
    <row r="272" spans="1:2" x14ac:dyDescent="0.25">
      <c r="A272" t="s">
        <v>1672</v>
      </c>
      <c r="B272" t="s">
        <v>1924</v>
      </c>
    </row>
    <row r="273" spans="1:2" x14ac:dyDescent="0.25">
      <c r="A273" t="s">
        <v>1673</v>
      </c>
      <c r="B273" t="s">
        <v>1925</v>
      </c>
    </row>
    <row r="274" spans="1:2" x14ac:dyDescent="0.25">
      <c r="A274" t="s">
        <v>1674</v>
      </c>
      <c r="B274" t="s">
        <v>1926</v>
      </c>
    </row>
    <row r="275" spans="1:2" x14ac:dyDescent="0.25">
      <c r="A275" t="s">
        <v>1675</v>
      </c>
      <c r="B275" t="s">
        <v>1676</v>
      </c>
    </row>
    <row r="276" spans="1:2" x14ac:dyDescent="0.25">
      <c r="A276" t="s">
        <v>1677</v>
      </c>
      <c r="B276" t="s">
        <v>1678</v>
      </c>
    </row>
    <row r="277" spans="1:2" x14ac:dyDescent="0.25">
      <c r="A277" t="s">
        <v>1679</v>
      </c>
      <c r="B277" t="s">
        <v>1680</v>
      </c>
    </row>
    <row r="278" spans="1:2" x14ac:dyDescent="0.25">
      <c r="A278" t="s">
        <v>1681</v>
      </c>
      <c r="B278" t="s">
        <v>1682</v>
      </c>
    </row>
    <row r="279" spans="1:2" x14ac:dyDescent="0.25">
      <c r="A279" t="s">
        <v>1683</v>
      </c>
      <c r="B279" t="s">
        <v>1684</v>
      </c>
    </row>
    <row r="280" spans="1:2" x14ac:dyDescent="0.25">
      <c r="A280" t="s">
        <v>1685</v>
      </c>
      <c r="B280" t="s">
        <v>1686</v>
      </c>
    </row>
    <row r="281" spans="1:2" x14ac:dyDescent="0.25">
      <c r="A281" t="s">
        <v>1687</v>
      </c>
      <c r="B281" t="s">
        <v>1927</v>
      </c>
    </row>
    <row r="282" spans="1:2" x14ac:dyDescent="0.25">
      <c r="A282" t="s">
        <v>1928</v>
      </c>
      <c r="B282" t="s">
        <v>1929</v>
      </c>
    </row>
    <row r="283" spans="1:2" x14ac:dyDescent="0.25">
      <c r="A283" t="s">
        <v>1688</v>
      </c>
      <c r="B283" t="s">
        <v>1689</v>
      </c>
    </row>
    <row r="284" spans="1:2" x14ac:dyDescent="0.25">
      <c r="A284" t="s">
        <v>1690</v>
      </c>
      <c r="B284" t="s">
        <v>1691</v>
      </c>
    </row>
    <row r="285" spans="1:2" x14ac:dyDescent="0.25">
      <c r="A285" t="s">
        <v>1692</v>
      </c>
      <c r="B285" t="s">
        <v>1930</v>
      </c>
    </row>
    <row r="286" spans="1:2" x14ac:dyDescent="0.25">
      <c r="A286" t="s">
        <v>1693</v>
      </c>
      <c r="B286" t="s">
        <v>1694</v>
      </c>
    </row>
    <row r="287" spans="1:2" x14ac:dyDescent="0.25">
      <c r="A287" t="s">
        <v>1695</v>
      </c>
      <c r="B287" t="s">
        <v>1931</v>
      </c>
    </row>
    <row r="288" spans="1:2" x14ac:dyDescent="0.25">
      <c r="A288" t="s">
        <v>1696</v>
      </c>
      <c r="B288" t="s">
        <v>1932</v>
      </c>
    </row>
    <row r="289" spans="1:2" x14ac:dyDescent="0.25">
      <c r="A289" t="s">
        <v>1697</v>
      </c>
      <c r="B289" t="s">
        <v>1933</v>
      </c>
    </row>
    <row r="290" spans="1:2" x14ac:dyDescent="0.25">
      <c r="A290" t="s">
        <v>1698</v>
      </c>
      <c r="B290" t="s">
        <v>1699</v>
      </c>
    </row>
    <row r="291" spans="1:2" x14ac:dyDescent="0.25">
      <c r="A291" t="s">
        <v>1700</v>
      </c>
      <c r="B291" t="s">
        <v>1934</v>
      </c>
    </row>
    <row r="292" spans="1:2" x14ac:dyDescent="0.25">
      <c r="A292" t="s">
        <v>1701</v>
      </c>
      <c r="B292" t="s">
        <v>1702</v>
      </c>
    </row>
    <row r="293" spans="1:2" x14ac:dyDescent="0.25">
      <c r="A293" t="s">
        <v>1703</v>
      </c>
      <c r="B293" t="s">
        <v>1935</v>
      </c>
    </row>
    <row r="294" spans="1:2" x14ac:dyDescent="0.25">
      <c r="A294" t="s">
        <v>1704</v>
      </c>
      <c r="B294" t="s">
        <v>1705</v>
      </c>
    </row>
    <row r="295" spans="1:2" x14ac:dyDescent="0.25">
      <c r="A295" t="s">
        <v>1706</v>
      </c>
      <c r="B295" t="s">
        <v>1707</v>
      </c>
    </row>
    <row r="296" spans="1:2" x14ac:dyDescent="0.25">
      <c r="A296" t="s">
        <v>1708</v>
      </c>
      <c r="B296" t="s">
        <v>1709</v>
      </c>
    </row>
    <row r="297" spans="1:2" x14ac:dyDescent="0.25">
      <c r="A297" t="s">
        <v>1710</v>
      </c>
      <c r="B297" t="s">
        <v>1936</v>
      </c>
    </row>
    <row r="298" spans="1:2" x14ac:dyDescent="0.25">
      <c r="A298" t="s">
        <v>1711</v>
      </c>
      <c r="B298" t="s">
        <v>1937</v>
      </c>
    </row>
    <row r="299" spans="1:2" x14ac:dyDescent="0.25">
      <c r="A299" t="s">
        <v>1712</v>
      </c>
      <c r="B299" t="s">
        <v>1713</v>
      </c>
    </row>
    <row r="300" spans="1:2" x14ac:dyDescent="0.25">
      <c r="A300" t="s">
        <v>1714</v>
      </c>
      <c r="B300" t="s">
        <v>1715</v>
      </c>
    </row>
    <row r="301" spans="1:2" x14ac:dyDescent="0.25">
      <c r="A301" t="s">
        <v>1716</v>
      </c>
      <c r="B301" t="s">
        <v>1717</v>
      </c>
    </row>
    <row r="302" spans="1:2" x14ac:dyDescent="0.25">
      <c r="A302" t="s">
        <v>1718</v>
      </c>
      <c r="B302" t="s">
        <v>1719</v>
      </c>
    </row>
    <row r="303" spans="1:2" x14ac:dyDescent="0.25">
      <c r="A303" t="s">
        <v>1720</v>
      </c>
      <c r="B303" t="s">
        <v>1721</v>
      </c>
    </row>
    <row r="304" spans="1:2" x14ac:dyDescent="0.25">
      <c r="A304" t="s">
        <v>904</v>
      </c>
      <c r="B304" t="s">
        <v>1722</v>
      </c>
    </row>
    <row r="305" spans="1:2" x14ac:dyDescent="0.25">
      <c r="A305" t="s">
        <v>905</v>
      </c>
      <c r="B305" t="s">
        <v>1723</v>
      </c>
    </row>
    <row r="306" spans="1:2" x14ac:dyDescent="0.25">
      <c r="A306" t="s">
        <v>1040</v>
      </c>
      <c r="B306" t="s">
        <v>1724</v>
      </c>
    </row>
    <row r="307" spans="1:2" x14ac:dyDescent="0.25">
      <c r="A307" t="s">
        <v>1725</v>
      </c>
      <c r="B307" t="s">
        <v>1726</v>
      </c>
    </row>
    <row r="308" spans="1:2" x14ac:dyDescent="0.25">
      <c r="A308" t="s">
        <v>1727</v>
      </c>
      <c r="B308" t="s">
        <v>1728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H107"/>
  <sheetViews>
    <sheetView showGridLines="0" zoomScale="80" zoomScaleNormal="80" workbookViewId="0">
      <pane ySplit="5" topLeftCell="A65" activePane="bottomLeft" state="frozen"/>
      <selection pane="bottomLeft" activeCell="D111" sqref="D111"/>
    </sheetView>
  </sheetViews>
  <sheetFormatPr defaultColWidth="8.5703125" defaultRowHeight="15" x14ac:dyDescent="0.25"/>
  <cols>
    <col min="3" max="3" width="53.7109375" bestFit="1" customWidth="1"/>
    <col min="4" max="4" width="35.42578125" bestFit="1" customWidth="1"/>
    <col min="5" max="5" width="42.7109375" style="1458" bestFit="1" customWidth="1"/>
  </cols>
  <sheetData>
    <row r="1" spans="2:8" s="37" customFormat="1" x14ac:dyDescent="0.2">
      <c r="E1" s="1036"/>
    </row>
    <row r="2" spans="2:8" s="41" customFormat="1" ht="18" x14ac:dyDescent="0.25">
      <c r="B2" s="38"/>
      <c r="C2" s="39"/>
      <c r="D2" s="40" t="s">
        <v>11</v>
      </c>
      <c r="E2" s="1037"/>
      <c r="F2" s="39"/>
      <c r="G2" s="38"/>
      <c r="H2" s="39"/>
    </row>
    <row r="3" spans="2:8" s="41" customFormat="1" ht="15.75" x14ac:dyDescent="0.25">
      <c r="E3" s="1038"/>
    </row>
    <row r="4" spans="2:8" s="27" customFormat="1" x14ac:dyDescent="0.25">
      <c r="E4" s="1039"/>
      <c r="G4" s="1456" t="s">
        <v>1973</v>
      </c>
      <c r="H4" s="87" t="s">
        <v>1974</v>
      </c>
    </row>
    <row r="5" spans="2:8" ht="16.5" thickBot="1" x14ac:dyDescent="0.3">
      <c r="C5" s="28" t="s">
        <v>1211</v>
      </c>
      <c r="D5" s="28" t="s">
        <v>860</v>
      </c>
      <c r="E5" s="1040" t="s">
        <v>1939</v>
      </c>
    </row>
    <row r="6" spans="2:8" ht="15.75" thickTop="1" x14ac:dyDescent="0.25">
      <c r="C6" s="26" t="s">
        <v>1212</v>
      </c>
      <c r="D6" s="26" t="s">
        <v>1213</v>
      </c>
      <c r="E6" s="1041">
        <v>1</v>
      </c>
    </row>
    <row r="7" spans="2:8" x14ac:dyDescent="0.25">
      <c r="C7" s="26" t="s">
        <v>1214</v>
      </c>
      <c r="D7" s="26" t="s">
        <v>1215</v>
      </c>
      <c r="E7" s="1041">
        <v>1</v>
      </c>
    </row>
    <row r="8" spans="2:8" x14ac:dyDescent="0.25">
      <c r="C8" s="26" t="s">
        <v>1216</v>
      </c>
      <c r="D8" s="26" t="s">
        <v>1217</v>
      </c>
      <c r="E8" s="1041">
        <v>1</v>
      </c>
    </row>
    <row r="9" spans="2:8" x14ac:dyDescent="0.25">
      <c r="C9" s="26" t="s">
        <v>1218</v>
      </c>
      <c r="D9" s="26" t="s">
        <v>1219</v>
      </c>
      <c r="E9" s="1041">
        <v>1</v>
      </c>
    </row>
    <row r="10" spans="2:8" x14ac:dyDescent="0.25">
      <c r="C10" s="26" t="s">
        <v>1220</v>
      </c>
      <c r="D10" s="26" t="s">
        <v>1221</v>
      </c>
      <c r="E10" s="1041">
        <v>1</v>
      </c>
    </row>
    <row r="11" spans="2:8" x14ac:dyDescent="0.25">
      <c r="C11" s="26" t="s">
        <v>1222</v>
      </c>
      <c r="D11" s="26" t="s">
        <v>1223</v>
      </c>
      <c r="E11" s="1041">
        <v>1</v>
      </c>
    </row>
    <row r="12" spans="2:8" x14ac:dyDescent="0.25">
      <c r="C12" s="26" t="s">
        <v>1224</v>
      </c>
      <c r="D12" s="26" t="s">
        <v>1225</v>
      </c>
      <c r="E12" s="1041">
        <v>1</v>
      </c>
    </row>
    <row r="13" spans="2:8" x14ac:dyDescent="0.25">
      <c r="C13" s="26" t="s">
        <v>1226</v>
      </c>
      <c r="D13" s="26" t="s">
        <v>1227</v>
      </c>
      <c r="E13" s="1041">
        <f>ui_time_horizon</f>
        <v>40</v>
      </c>
    </row>
    <row r="14" spans="2:8" x14ac:dyDescent="0.25">
      <c r="C14" s="26" t="s">
        <v>1228</v>
      </c>
      <c r="D14" s="26" t="s">
        <v>1229</v>
      </c>
      <c r="E14" s="1041">
        <f>Lists!D9</f>
        <v>1</v>
      </c>
    </row>
    <row r="15" spans="2:8" x14ac:dyDescent="0.25">
      <c r="C15" s="26" t="s">
        <v>1230</v>
      </c>
      <c r="D15" s="26" t="s">
        <v>1231</v>
      </c>
      <c r="E15" s="1041">
        <f>i_cycle_length_weeks</f>
        <v>1</v>
      </c>
    </row>
    <row r="16" spans="2:8" x14ac:dyDescent="0.25">
      <c r="C16" s="26" t="s">
        <v>1232</v>
      </c>
      <c r="D16" s="26" t="s">
        <v>1233</v>
      </c>
      <c r="E16" s="1041" t="str">
        <f>i_anal_pers</f>
        <v>NHS and PSS</v>
      </c>
    </row>
    <row r="17" spans="3:5" x14ac:dyDescent="0.25">
      <c r="C17" s="26" t="s">
        <v>1234</v>
      </c>
      <c r="D17" s="26" t="s">
        <v>1235</v>
      </c>
      <c r="E17" s="1042">
        <f>ui_disc_cost</f>
        <v>3.5000000000000003E-2</v>
      </c>
    </row>
    <row r="18" spans="3:5" x14ac:dyDescent="0.25">
      <c r="C18" s="26" t="s">
        <v>1236</v>
      </c>
      <c r="D18" s="26" t="s">
        <v>1237</v>
      </c>
      <c r="E18" s="1042">
        <f>ui_disc_qaly</f>
        <v>3.5000000000000003E-2</v>
      </c>
    </row>
    <row r="19" spans="3:5" x14ac:dyDescent="0.25">
      <c r="C19" s="26" t="s">
        <v>41</v>
      </c>
      <c r="D19" s="26" t="s">
        <v>1238</v>
      </c>
      <c r="E19" s="1043">
        <f>wtp_threshold</f>
        <v>30000</v>
      </c>
    </row>
    <row r="20" spans="3:5" x14ac:dyDescent="0.25">
      <c r="C20" s="26" t="s">
        <v>1239</v>
      </c>
      <c r="D20" s="26" t="s">
        <v>1240</v>
      </c>
      <c r="E20" s="1041">
        <f>Lists!F9</f>
        <v>1</v>
      </c>
    </row>
    <row r="21" spans="3:5" ht="30" customHeight="1" x14ac:dyDescent="0.25">
      <c r="C21" s="29" t="s">
        <v>1241</v>
      </c>
      <c r="D21" s="26" t="s">
        <v>1242</v>
      </c>
      <c r="E21" s="1041">
        <f>i_QALY_short_prop_LB</f>
        <v>0.85</v>
      </c>
    </row>
    <row r="22" spans="3:5" ht="28.5" customHeight="1" x14ac:dyDescent="0.25">
      <c r="C22" s="29" t="s">
        <v>1243</v>
      </c>
      <c r="D22" s="26" t="s">
        <v>1244</v>
      </c>
      <c r="E22" s="1041">
        <f>i_QALY_short_prop_UB</f>
        <v>0.95</v>
      </c>
    </row>
    <row r="23" spans="3:5" ht="15.75" customHeight="1" x14ac:dyDescent="0.25">
      <c r="C23" s="29" t="s">
        <v>1245</v>
      </c>
      <c r="D23" s="26" t="s">
        <v>1246</v>
      </c>
      <c r="E23" s="1041">
        <f>i_QALY_short_abs_LB</f>
        <v>12</v>
      </c>
    </row>
    <row r="24" spans="3:5" ht="15.75" customHeight="1" x14ac:dyDescent="0.25">
      <c r="C24" s="29" t="s">
        <v>1247</v>
      </c>
      <c r="D24" s="26" t="s">
        <v>1248</v>
      </c>
      <c r="E24" s="1041">
        <f>i_QALY_short_abs_UB</f>
        <v>18</v>
      </c>
    </row>
    <row r="25" spans="3:5" x14ac:dyDescent="0.25">
      <c r="C25" s="26" t="s">
        <v>1249</v>
      </c>
      <c r="D25" s="26" t="s">
        <v>1250</v>
      </c>
      <c r="E25" s="1041">
        <f>i_qaly_weight_LB</f>
        <v>1</v>
      </c>
    </row>
    <row r="26" spans="3:5" x14ac:dyDescent="0.25">
      <c r="C26" s="26" t="s">
        <v>1251</v>
      </c>
      <c r="D26" s="26" t="s">
        <v>1252</v>
      </c>
      <c r="E26" s="1041">
        <f>i_qaly_weight_UB</f>
        <v>1.7</v>
      </c>
    </row>
    <row r="27" spans="3:5" x14ac:dyDescent="0.25">
      <c r="C27" s="26" t="s">
        <v>1253</v>
      </c>
      <c r="D27" s="26" t="s">
        <v>1254</v>
      </c>
      <c r="E27" s="1041">
        <f>i_qaly_weight_between</f>
        <v>1.2</v>
      </c>
    </row>
    <row r="28" spans="3:5" x14ac:dyDescent="0.25">
      <c r="C28" s="29" t="s">
        <v>1255</v>
      </c>
      <c r="D28" s="26" t="s">
        <v>1256</v>
      </c>
      <c r="E28" s="1041">
        <f>i_adj_cross_curves</f>
        <v>0</v>
      </c>
    </row>
    <row r="29" spans="3:5" x14ac:dyDescent="0.25">
      <c r="C29" s="29" t="s">
        <v>1257</v>
      </c>
      <c r="D29" s="26" t="s">
        <v>1258</v>
      </c>
      <c r="E29" s="1041" t="str" cm="1">
        <f t="array" aca="1" ref="E29" ca="1">INDIRECT(D29)</f>
        <v>All</v>
      </c>
    </row>
    <row r="30" spans="3:5" x14ac:dyDescent="0.25">
      <c r="C30" s="29" t="s">
        <v>897</v>
      </c>
      <c r="D30" s="26" t="s">
        <v>899</v>
      </c>
      <c r="E30" s="1041" t="str" cm="1">
        <f t="array" aca="1" ref="E30" ca="1">INDIRECT(D30)</f>
        <v>State transition</v>
      </c>
    </row>
    <row r="31" spans="3:5" x14ac:dyDescent="0.25">
      <c r="C31" s="29" t="s">
        <v>1259</v>
      </c>
      <c r="D31" s="26" t="s">
        <v>901</v>
      </c>
      <c r="E31" s="1041" cm="1">
        <f t="array" aca="1" ref="E31" ca="1">INDIRECT(D31)</f>
        <v>4</v>
      </c>
    </row>
    <row r="32" spans="3:5" x14ac:dyDescent="0.25">
      <c r="C32" s="29" t="s">
        <v>1260</v>
      </c>
      <c r="D32" s="26" t="s">
        <v>1261</v>
      </c>
      <c r="E32" s="1041" t="str" cm="1">
        <f t="array" aca="1" ref="E32" ca="1">INDIRECT(D32)</f>
        <v>No</v>
      </c>
    </row>
    <row r="33" spans="3:5" x14ac:dyDescent="0.25">
      <c r="C33" s="29" t="s">
        <v>1262</v>
      </c>
      <c r="D33" s="26" t="s">
        <v>908</v>
      </c>
      <c r="E33" s="1041" t="str" cm="1">
        <f t="array" aca="1" ref="E33" ca="1">INDIRECT(D33)</f>
        <v>RWE</v>
      </c>
    </row>
    <row r="34" spans="3:5" x14ac:dyDescent="0.25">
      <c r="C34" s="29" t="s">
        <v>1263</v>
      </c>
      <c r="D34" s="26" t="s">
        <v>940</v>
      </c>
      <c r="E34" s="1041" t="str" cm="1">
        <f t="array" aca="1" ref="E34" ca="1">INDIRECT(D34)</f>
        <v>FP_NMA</v>
      </c>
    </row>
    <row r="35" spans="3:5" x14ac:dyDescent="0.25">
      <c r="C35" s="29" t="s">
        <v>66</v>
      </c>
      <c r="D35" s="26" t="s">
        <v>922</v>
      </c>
      <c r="E35" s="1041" t="str" cm="1">
        <f t="array" aca="1" ref="E35" ca="1">INDIRECT(D35)</f>
        <v>PH_NMA</v>
      </c>
    </row>
    <row r="36" spans="3:5" x14ac:dyDescent="0.25">
      <c r="C36" s="29" t="str">
        <f>INDEX(List_comparators,4) &amp; " outcomes taken from"</f>
        <v>lenvatinib_plus_pembrolizumab outcomes taken from</v>
      </c>
      <c r="D36" s="26" t="s">
        <v>924</v>
      </c>
      <c r="E36" s="1041" t="str" cm="1">
        <f t="array" aca="1" ref="E36" ca="1">INDIRECT(D36)</f>
        <v>FP_NMA</v>
      </c>
    </row>
    <row r="37" spans="3:5" x14ac:dyDescent="0.25">
      <c r="C37" s="29" t="s">
        <v>1264</v>
      </c>
      <c r="D37" s="26" t="s">
        <v>920</v>
      </c>
      <c r="E37" s="1041" t="str" cm="1">
        <f t="array" aca="1" ref="E37" ca="1">INDIRECT(D37)</f>
        <v>No</v>
      </c>
    </row>
    <row r="38" spans="3:5" x14ac:dyDescent="0.25">
      <c r="C38" s="29" t="s">
        <v>1265</v>
      </c>
      <c r="D38" s="26" t="s">
        <v>929</v>
      </c>
      <c r="E38" s="1041" t="str" cm="1">
        <f t="array" aca="1" ref="E38" ca="1">INDIRECT(D38)</f>
        <v>Yes</v>
      </c>
    </row>
    <row r="39" spans="3:5" x14ac:dyDescent="0.25">
      <c r="C39" s="29" t="s">
        <v>1266</v>
      </c>
      <c r="D39" s="26" t="s">
        <v>931</v>
      </c>
      <c r="E39" s="1041" t="str" cm="1">
        <f t="array" aca="1" ref="E39" ca="1">INDIRECT(D39)</f>
        <v>Yes</v>
      </c>
    </row>
    <row r="40" spans="3:5" x14ac:dyDescent="0.25">
      <c r="C40" s="29" t="s">
        <v>1267</v>
      </c>
      <c r="D40" s="26" t="s">
        <v>933</v>
      </c>
      <c r="E40" s="1041" t="str" cm="1">
        <f t="array" aca="1" ref="E40" ca="1">INDIRECT(D40)</f>
        <v>No</v>
      </c>
    </row>
    <row r="41" spans="3:5" x14ac:dyDescent="0.25">
      <c r="C41" s="29" t="s">
        <v>1268</v>
      </c>
      <c r="D41" s="26" t="s">
        <v>935</v>
      </c>
      <c r="E41" s="1041" t="str" cm="1">
        <f t="array" aca="1" ref="E41" ca="1">INDIRECT(D41)</f>
        <v>No</v>
      </c>
    </row>
    <row r="42" spans="3:5" x14ac:dyDescent="0.25">
      <c r="C42" s="29" t="s">
        <v>79</v>
      </c>
      <c r="D42" s="26" t="s">
        <v>938</v>
      </c>
      <c r="E42" s="1041" t="str" cm="1">
        <f t="array" aca="1" ref="E42" ca="1">INDIRECT(D42)</f>
        <v>No</v>
      </c>
    </row>
    <row r="43" spans="3:5" ht="30" x14ac:dyDescent="0.25">
      <c r="C43" s="29" t="s">
        <v>80</v>
      </c>
      <c r="D43" s="26" t="s">
        <v>1269</v>
      </c>
      <c r="E43" s="1044" cm="1">
        <f t="array" aca="1" ref="E43" ca="1">INDIRECT(D43)</f>
        <v>0.17970679387331201</v>
      </c>
    </row>
    <row r="44" spans="3:5" x14ac:dyDescent="0.25">
      <c r="C44" s="29" t="s">
        <v>82</v>
      </c>
      <c r="D44" s="26" t="s">
        <v>1270</v>
      </c>
      <c r="E44" s="1041" t="str" cm="1">
        <f t="array" aca="1" ref="E44" ca="1">INDIRECT(D44)</f>
        <v>No</v>
      </c>
    </row>
    <row r="45" spans="3:5" x14ac:dyDescent="0.25">
      <c r="C45" s="29" t="s">
        <v>1271</v>
      </c>
      <c r="D45" s="26" t="s">
        <v>912</v>
      </c>
      <c r="E45" s="1041" t="str" cm="1">
        <f t="array" aca="1" ref="E45" ca="1">INDIRECT(D45)</f>
        <v>PLD</v>
      </c>
    </row>
    <row r="46" spans="3:5" x14ac:dyDescent="0.25">
      <c r="C46" s="29" t="s">
        <v>1272</v>
      </c>
      <c r="D46" s="26" t="s">
        <v>1006</v>
      </c>
      <c r="E46" s="1041" t="str" cm="1">
        <f t="array" aca="1" ref="E46" ca="1">INDIRECT(D46)</f>
        <v>Yes</v>
      </c>
    </row>
    <row r="47" spans="3:5" x14ac:dyDescent="0.25">
      <c r="C47" s="29" t="s">
        <v>1273</v>
      </c>
      <c r="D47" s="26" t="s">
        <v>982</v>
      </c>
      <c r="E47" s="1041" t="str" cm="1">
        <f t="array" aca="1" ref="E47" ca="1">INDIRECT(D47)</f>
        <v>Use TTD</v>
      </c>
    </row>
    <row r="48" spans="3:5" x14ac:dyDescent="0.25">
      <c r="C48" s="29" t="s">
        <v>94</v>
      </c>
      <c r="D48" s="26" t="s">
        <v>1274</v>
      </c>
      <c r="E48" s="1044" cm="1">
        <f t="array" aca="1" ref="E48" ca="1">INDIRECT(D48)</f>
        <v>0.1</v>
      </c>
    </row>
    <row r="49" spans="3:5" x14ac:dyDescent="0.25">
      <c r="C49" s="29" t="s">
        <v>96</v>
      </c>
      <c r="D49" s="26" t="s">
        <v>1275</v>
      </c>
      <c r="E49" s="1044" cm="1">
        <f t="array" aca="1" ref="E49" ca="1">INDIRECT(D49)</f>
        <v>0.2</v>
      </c>
    </row>
    <row r="50" spans="3:5" x14ac:dyDescent="0.25">
      <c r="C50" s="29" t="s">
        <v>1276</v>
      </c>
      <c r="D50" s="26" t="s">
        <v>1277</v>
      </c>
      <c r="E50" s="1041" t="str" cm="1">
        <f t="array" aca="1" ref="E50" ca="1">INDIRECT(D50)</f>
        <v>PAS price</v>
      </c>
    </row>
    <row r="51" spans="3:5" x14ac:dyDescent="0.25">
      <c r="C51" s="29" t="s">
        <v>1278</v>
      </c>
      <c r="D51" s="26" t="s">
        <v>1279</v>
      </c>
      <c r="E51" s="1041" t="str" cm="1">
        <f t="array" aca="1" ref="E51" ca="1">INDIRECT(D51)</f>
        <v>Yes</v>
      </c>
    </row>
    <row r="52" spans="3:5" x14ac:dyDescent="0.25">
      <c r="C52" s="29" t="s">
        <v>1280</v>
      </c>
      <c r="D52" s="26" t="s">
        <v>1025</v>
      </c>
      <c r="E52" s="1041" t="str" cm="1">
        <f t="array" aca="1" ref="E52" ca="1">INDIRECT(D52)</f>
        <v>No</v>
      </c>
    </row>
    <row r="53" spans="3:5" x14ac:dyDescent="0.25">
      <c r="C53" s="29" t="s">
        <v>1281</v>
      </c>
      <c r="D53" s="26" t="s">
        <v>1026</v>
      </c>
      <c r="E53" s="1041" t="str" cm="1">
        <f t="array" aca="1" ref="E53" ca="1">INDIRECT(D53)</f>
        <v>No</v>
      </c>
    </row>
    <row r="54" spans="3:5" x14ac:dyDescent="0.25">
      <c r="C54" s="29" t="s">
        <v>121</v>
      </c>
      <c r="D54" s="26" t="s">
        <v>942</v>
      </c>
      <c r="E54" s="1041" t="str" cm="1">
        <f t="array" aca="1" ref="E54" ca="1">INDIRECT(D54)</f>
        <v>No</v>
      </c>
    </row>
    <row r="55" spans="3:5" ht="30" x14ac:dyDescent="0.25">
      <c r="C55" s="29" t="s">
        <v>122</v>
      </c>
      <c r="D55" s="26" t="s">
        <v>944</v>
      </c>
      <c r="E55" s="1041" t="str" cm="1">
        <f t="array" aca="1" ref="E55" ca="1">INDIRECT(D55)</f>
        <v>No</v>
      </c>
    </row>
    <row r="56" spans="3:5" ht="30" x14ac:dyDescent="0.25">
      <c r="C56" s="29" t="s">
        <v>123</v>
      </c>
      <c r="D56" s="26" t="s">
        <v>946</v>
      </c>
      <c r="E56" s="1041" t="str" cm="1">
        <f t="array" aca="1" ref="E56" ca="1">INDIRECT(D56)</f>
        <v>No</v>
      </c>
    </row>
    <row r="57" spans="3:5" ht="30" x14ac:dyDescent="0.25">
      <c r="C57" s="29" t="s">
        <v>124</v>
      </c>
      <c r="D57" s="26" t="s">
        <v>948</v>
      </c>
      <c r="E57" s="1041" t="str" cm="1">
        <f t="array" aca="1" ref="E57" ca="1">INDIRECT(D57)</f>
        <v>No</v>
      </c>
    </row>
    <row r="58" spans="3:5" x14ac:dyDescent="0.25">
      <c r="C58" s="29" t="s">
        <v>125</v>
      </c>
      <c r="D58" s="26" t="s">
        <v>949</v>
      </c>
      <c r="E58" s="1041" t="str" cm="1">
        <f t="array" aca="1" ref="E58" ca="1">INDIRECT(D58)</f>
        <v>No</v>
      </c>
    </row>
    <row r="59" spans="3:5" x14ac:dyDescent="0.25">
      <c r="C59" s="29" t="s">
        <v>126</v>
      </c>
      <c r="D59" s="26" t="s">
        <v>951</v>
      </c>
      <c r="E59" s="1041" t="str" cm="1">
        <f t="array" aca="1" ref="E59" ca="1">INDIRECT(D59)</f>
        <v>No</v>
      </c>
    </row>
    <row r="60" spans="3:5" ht="30" x14ac:dyDescent="0.25">
      <c r="C60" s="29" t="s">
        <v>127</v>
      </c>
      <c r="D60" s="26" t="s">
        <v>953</v>
      </c>
      <c r="E60" s="1041" t="str" cm="1">
        <f t="array" aca="1" ref="E60" ca="1">INDIRECT(D60)</f>
        <v>No</v>
      </c>
    </row>
    <row r="61" spans="3:5" x14ac:dyDescent="0.25">
      <c r="C61" s="29" t="s">
        <v>1282</v>
      </c>
      <c r="D61" s="26" t="s">
        <v>1019</v>
      </c>
      <c r="E61" s="1041" t="str" cm="1">
        <f t="array" aca="1" ref="E61" ca="1">INDIRECT(D61)</f>
        <v>Yes</v>
      </c>
    </row>
    <row r="62" spans="3:5" x14ac:dyDescent="0.25">
      <c r="C62" s="29" t="s">
        <v>1283</v>
      </c>
      <c r="D62" s="26" t="s">
        <v>1021</v>
      </c>
      <c r="E62" s="1041" t="str" cm="1">
        <f t="array" aca="1" ref="E62" ca="1">INDIRECT(D62)</f>
        <v>one-off</v>
      </c>
    </row>
    <row r="63" spans="3:5" x14ac:dyDescent="0.25">
      <c r="C63" s="29" t="s">
        <v>1284</v>
      </c>
      <c r="D63" s="26" t="s">
        <v>1002</v>
      </c>
      <c r="E63" s="1041" t="str" cm="1">
        <f t="array" aca="1" ref="E63" ca="1">INDIRECT(D63)</f>
        <v>Base case</v>
      </c>
    </row>
    <row r="64" spans="3:5" x14ac:dyDescent="0.25">
      <c r="C64" s="29" t="s">
        <v>1285</v>
      </c>
      <c r="D64" s="26" t="s">
        <v>1013</v>
      </c>
      <c r="E64" s="1041" t="str" cm="1">
        <f t="array" aca="1" ref="E64" ca="1">INDIRECT(D64)</f>
        <v>Assume same as progressed: current line</v>
      </c>
    </row>
    <row r="65" spans="3:5" x14ac:dyDescent="0.25">
      <c r="C65" s="26" t="s">
        <v>1938</v>
      </c>
      <c r="D65" s="26" t="s">
        <v>987</v>
      </c>
      <c r="E65" s="1041" t="str" cm="1">
        <f t="array" aca="1" ref="E65" ca="1">INDIRECT(D65)</f>
        <v>2L</v>
      </c>
    </row>
    <row r="66" spans="3:5" x14ac:dyDescent="0.25">
      <c r="C66" s="26" t="s">
        <v>197</v>
      </c>
      <c r="D66" s="26" t="s">
        <v>985</v>
      </c>
      <c r="E66" s="1041" t="str" cm="1">
        <f t="array" aca="1" ref="E66" ca="1">INDIRECT(D66)</f>
        <v>Base case</v>
      </c>
    </row>
    <row r="67" spans="3:5" x14ac:dyDescent="0.25">
      <c r="C67" s="26" t="s">
        <v>1286</v>
      </c>
      <c r="D67" s="26" t="s">
        <v>911</v>
      </c>
      <c r="E67" s="1041" t="str" cm="1">
        <f t="array" aca="1" ref="E67" ca="1">INDIRECT(D67)</f>
        <v>RWE</v>
      </c>
    </row>
    <row r="68" spans="3:5" x14ac:dyDescent="0.25">
      <c r="C68" s="26" t="s">
        <v>1940</v>
      </c>
      <c r="D68" s="26" t="s">
        <v>926</v>
      </c>
      <c r="E68" s="1041" t="str" cm="1">
        <f t="array" aca="1" ref="E68" ca="1">INDIRECT(D68)</f>
        <v>Use hazards</v>
      </c>
    </row>
    <row r="69" spans="3:5" x14ac:dyDescent="0.25">
      <c r="C69" s="26" t="s">
        <v>1941</v>
      </c>
      <c r="D69" s="26" t="s">
        <v>1033</v>
      </c>
      <c r="E69" s="1041" t="str" cm="1">
        <f t="array" aca="1" ref="E69" ca="1">INDIRECT(D69)</f>
        <v>No</v>
      </c>
    </row>
    <row r="70" spans="3:5" x14ac:dyDescent="0.25">
      <c r="C70" s="26" t="s">
        <v>1942</v>
      </c>
      <c r="D70" s="26" t="s">
        <v>995</v>
      </c>
      <c r="E70" s="1041" t="str" cm="1">
        <f t="array" aca="1" ref="E70" ca="1">INDIRECT(D70)</f>
        <v>No</v>
      </c>
    </row>
    <row r="71" spans="3:5" x14ac:dyDescent="0.25">
      <c r="C71" s="26" t="s">
        <v>1943</v>
      </c>
      <c r="D71" s="26" t="s">
        <v>993</v>
      </c>
      <c r="E71" s="1041" t="str" cm="1">
        <f t="array" aca="1" ref="E71" ca="1">INDIRECT(D71)</f>
        <v>No</v>
      </c>
    </row>
    <row r="72" spans="3:5" x14ac:dyDescent="0.25">
      <c r="C72" s="26" t="s">
        <v>1944</v>
      </c>
      <c r="D72" s="26" t="s">
        <v>1834</v>
      </c>
      <c r="E72" s="1041" t="str" cm="1">
        <f t="array" aca="1" ref="E72" ca="1">INDIRECT(D72)</f>
        <v>No</v>
      </c>
    </row>
    <row r="73" spans="3:5" x14ac:dyDescent="0.25">
      <c r="C73" s="26" t="s">
        <v>1945</v>
      </c>
      <c r="D73" s="26" t="s">
        <v>1304</v>
      </c>
      <c r="E73" s="1041" t="str" cm="1">
        <f t="array" aca="1" ref="E73" ca="1">INDIRECT(D73)</f>
        <v>Use default settings</v>
      </c>
    </row>
    <row r="74" spans="3:5" x14ac:dyDescent="0.25">
      <c r="C74" s="26" t="s">
        <v>1946</v>
      </c>
      <c r="D74" s="26" t="s">
        <v>1824</v>
      </c>
      <c r="E74" s="1041" t="str" cm="1">
        <f t="array" aca="1" ref="E74" ca="1">INDIRECT(D74)</f>
        <v>Yes</v>
      </c>
    </row>
    <row r="75" spans="3:5" x14ac:dyDescent="0.25">
      <c r="C75" s="26" t="s">
        <v>1947</v>
      </c>
      <c r="D75" s="26" t="s">
        <v>1807</v>
      </c>
      <c r="E75" s="1041" t="str" cm="1">
        <f t="array" aca="1" ref="E75" ca="1">INDIRECT(D75)</f>
        <v>None</v>
      </c>
    </row>
    <row r="76" spans="3:5" x14ac:dyDescent="0.25">
      <c r="C76" s="26" t="s">
        <v>1948</v>
      </c>
      <c r="D76" s="26" t="s">
        <v>1806</v>
      </c>
      <c r="E76" s="1041" cm="1">
        <f t="array" aca="1" ref="E76" ca="1">INDIRECT(D76)</f>
        <v>1.59</v>
      </c>
    </row>
    <row r="77" spans="3:5" x14ac:dyDescent="0.25">
      <c r="C77" s="26" t="s">
        <v>1949</v>
      </c>
      <c r="D77" s="26" t="s">
        <v>1786</v>
      </c>
      <c r="E77" s="1041" t="str" cm="1">
        <f t="array" aca="1" ref="E77" ca="1">INDIRECT(D77)</f>
        <v>TA858 and RDI</v>
      </c>
    </row>
    <row r="78" spans="3:5" x14ac:dyDescent="0.25">
      <c r="C78" s="26" t="s">
        <v>1950</v>
      </c>
      <c r="D78" s="26" t="s">
        <v>1811</v>
      </c>
      <c r="E78" s="1041" t="str" cm="1">
        <f t="array" aca="1" ref="E78" ca="1">INDIRECT(D78)</f>
        <v>Yes</v>
      </c>
    </row>
    <row r="79" spans="3:5" x14ac:dyDescent="0.25">
      <c r="C79" s="26" t="s">
        <v>1951</v>
      </c>
      <c r="D79" s="26" t="s">
        <v>1833</v>
      </c>
      <c r="E79" s="1041" t="str" cm="1">
        <f t="array" aca="1" ref="E79" ca="1">INDIRECT(D79)</f>
        <v>No</v>
      </c>
    </row>
    <row r="80" spans="3:5" x14ac:dyDescent="0.25">
      <c r="C80" s="26" t="s">
        <v>1952</v>
      </c>
      <c r="D80" s="26" t="s">
        <v>1784</v>
      </c>
      <c r="E80" s="1041" t="str" cm="1">
        <f t="array" aca="1" ref="E80" ca="1">INDIRECT(D80)</f>
        <v>PFS</v>
      </c>
    </row>
    <row r="81" spans="3:5" x14ac:dyDescent="0.25">
      <c r="C81" s="26" t="s">
        <v>1953</v>
      </c>
      <c r="D81" s="26" t="s">
        <v>1770</v>
      </c>
      <c r="E81" s="1041" t="str" cm="1">
        <f t="array" aca="1" ref="E81" ca="1">INDIRECT(D81)</f>
        <v>No</v>
      </c>
    </row>
    <row r="82" spans="3:5" x14ac:dyDescent="0.25">
      <c r="C82" s="26" t="s">
        <v>1954</v>
      </c>
      <c r="D82" s="26" t="s">
        <v>1037</v>
      </c>
      <c r="E82" s="1041" t="str" cm="1">
        <f t="array" aca="1" ref="E82" ca="1">INDIRECT(D82)</f>
        <v>No</v>
      </c>
    </row>
    <row r="83" spans="3:5" x14ac:dyDescent="0.25">
      <c r="C83" s="26" t="s">
        <v>1955</v>
      </c>
      <c r="D83" s="26" t="s">
        <v>1798</v>
      </c>
      <c r="E83" s="1041" t="str" cm="1">
        <f t="array" aca="1" ref="E83" ca="1">INDIRECT(D83)</f>
        <v>No</v>
      </c>
    </row>
    <row r="84" spans="3:5" x14ac:dyDescent="0.25">
      <c r="C84" s="26" t="s">
        <v>1956</v>
      </c>
      <c r="D84" s="26" t="s">
        <v>1809</v>
      </c>
      <c r="E84" s="1041" t="str" cm="1">
        <f t="array" aca="1" ref="E84" ca="1">INDIRECT(D84)</f>
        <v>No</v>
      </c>
    </row>
    <row r="85" spans="3:5" x14ac:dyDescent="0.25">
      <c r="C85" s="26" t="s">
        <v>1957</v>
      </c>
      <c r="D85" s="26" t="s">
        <v>1768</v>
      </c>
      <c r="E85" s="1041" t="str" cm="1">
        <f t="array" aca="1" ref="E85" ca="1">INDIRECT(D85)</f>
        <v>EAG value</v>
      </c>
    </row>
    <row r="86" spans="3:5" x14ac:dyDescent="0.25">
      <c r="C86" s="26" t="s">
        <v>1958</v>
      </c>
      <c r="D86" s="26" t="s">
        <v>1810</v>
      </c>
      <c r="E86" s="1041" t="str" cm="1">
        <f t="array" aca="1" ref="E86" ca="1">INDIRECT(D86)</f>
        <v>No</v>
      </c>
    </row>
    <row r="87" spans="3:5" x14ac:dyDescent="0.25">
      <c r="C87" s="26" t="s">
        <v>1959</v>
      </c>
      <c r="D87" s="26" t="s">
        <v>1319</v>
      </c>
      <c r="E87" s="1041" t="str" cm="1">
        <f t="array" aca="1" ref="E87" ca="1">INDIRECT(D87)</f>
        <v>No</v>
      </c>
    </row>
    <row r="88" spans="3:5" x14ac:dyDescent="0.25">
      <c r="C88" s="26" t="s">
        <v>86</v>
      </c>
      <c r="D88" s="26" t="s">
        <v>1321</v>
      </c>
      <c r="E88" s="1041" t="str" cm="1">
        <f t="array" aca="1" ref="E88" ca="1">INDIRECT(D88)</f>
        <v>No</v>
      </c>
    </row>
    <row r="89" spans="3:5" x14ac:dyDescent="0.25">
      <c r="C89" s="26" t="s">
        <v>1819</v>
      </c>
      <c r="D89" s="26" t="s">
        <v>1825</v>
      </c>
      <c r="E89" s="1041" t="str" cm="1">
        <f t="array" aca="1" ref="E89" ca="1">INDIRECT(D89)</f>
        <v>Yes</v>
      </c>
    </row>
    <row r="90" spans="3:5" x14ac:dyDescent="0.25">
      <c r="C90" s="26" t="s">
        <v>1960</v>
      </c>
      <c r="D90" s="26" t="s">
        <v>956</v>
      </c>
      <c r="E90" s="1041" t="str" cm="1">
        <f t="array" aca="1" ref="E90" ca="1">INDIRECT(D90)</f>
        <v>Base case</v>
      </c>
    </row>
    <row r="91" spans="3:5" x14ac:dyDescent="0.25">
      <c r="C91" s="26" t="s">
        <v>1961</v>
      </c>
      <c r="D91" s="26" t="s">
        <v>1822</v>
      </c>
      <c r="E91" s="1041" t="str" cm="1">
        <f t="array" aca="1" ref="E91" ca="1">INDIRECT(D91)</f>
        <v>Yes</v>
      </c>
    </row>
    <row r="92" spans="3:5" x14ac:dyDescent="0.25">
      <c r="C92" s="26" t="s">
        <v>1962</v>
      </c>
      <c r="D92" s="26" t="s">
        <v>1823</v>
      </c>
      <c r="E92" s="1041" t="str" cm="1">
        <f t="array" aca="1" ref="E92" ca="1">INDIRECT(D92)</f>
        <v>Yes</v>
      </c>
    </row>
    <row r="93" spans="3:5" x14ac:dyDescent="0.25">
      <c r="C93" s="26" t="s">
        <v>1802</v>
      </c>
      <c r="D93" s="26" t="s">
        <v>1808</v>
      </c>
      <c r="E93" s="1041" cm="1">
        <f t="array" aca="1" ref="E93" ca="1">INDIRECT(D93)</f>
        <v>0.78500000000000003</v>
      </c>
    </row>
    <row r="94" spans="3:5" x14ac:dyDescent="0.25">
      <c r="C94" s="26" t="s">
        <v>1963</v>
      </c>
      <c r="D94" s="26" t="s">
        <v>1362</v>
      </c>
      <c r="E94" s="1041" cm="1">
        <f t="array" aca="1" ref="E94" ca="1">INDIRECT(D94)</f>
        <v>1</v>
      </c>
    </row>
    <row r="95" spans="3:5" x14ac:dyDescent="0.25">
      <c r="C95" s="26" t="s">
        <v>1964</v>
      </c>
      <c r="D95" s="26" t="s">
        <v>1364</v>
      </c>
      <c r="E95" s="1041" cm="1">
        <f t="array" aca="1" ref="E95" ca="1">INDIRECT(D95)</f>
        <v>0.14285714285714285</v>
      </c>
    </row>
    <row r="96" spans="3:5" x14ac:dyDescent="0.25">
      <c r="C96" s="26" t="s">
        <v>1965</v>
      </c>
      <c r="D96" s="26" t="s">
        <v>1374</v>
      </c>
      <c r="E96" s="1041" t="str" cm="1">
        <f t="array" aca="1" ref="E96" ca="1">INDIRECT(D96)</f>
        <v>sunitinib</v>
      </c>
    </row>
    <row r="97" spans="3:5" x14ac:dyDescent="0.25">
      <c r="C97" s="26" t="s">
        <v>1966</v>
      </c>
      <c r="D97" s="26" t="s">
        <v>1375</v>
      </c>
      <c r="E97" s="1041" t="str" cm="1">
        <f t="array" aca="1" ref="E97" ca="1">INDIRECT(D97)</f>
        <v>cabozantinib</v>
      </c>
    </row>
    <row r="98" spans="3:5" x14ac:dyDescent="0.25">
      <c r="C98" s="26" t="s">
        <v>1967</v>
      </c>
      <c r="D98" s="26" t="s">
        <v>1377</v>
      </c>
      <c r="E98" s="1041" t="str" cm="1">
        <f t="array" aca="1" ref="E98" ca="1">INDIRECT(D98)</f>
        <v>cabozantinib</v>
      </c>
    </row>
    <row r="99" spans="3:5" x14ac:dyDescent="0.25">
      <c r="C99" s="26" t="s">
        <v>1968</v>
      </c>
      <c r="D99" s="26" t="s">
        <v>1378</v>
      </c>
      <c r="E99" s="1041" t="str" cm="1">
        <f t="array" aca="1" ref="E99" ca="1">INDIRECT(D99)</f>
        <v>everolimus</v>
      </c>
    </row>
    <row r="100" spans="3:5" x14ac:dyDescent="0.25">
      <c r="C100" s="26" t="s">
        <v>1969</v>
      </c>
      <c r="D100" s="26" t="s">
        <v>1381</v>
      </c>
      <c r="E100" s="1041" cm="1">
        <f t="array" aca="1" ref="E100" ca="1">INDIRECT(D100)</f>
        <v>4.3482142857142856</v>
      </c>
    </row>
    <row r="101" spans="3:5" x14ac:dyDescent="0.25">
      <c r="C101" s="26" t="s">
        <v>109</v>
      </c>
      <c r="D101" s="26" t="s">
        <v>1672</v>
      </c>
      <c r="E101" s="1041" t="str" cm="1">
        <f t="array" aca="1" ref="E101" ca="1">INDIRECT(D101)</f>
        <v>Base case</v>
      </c>
    </row>
    <row r="102" spans="3:5" x14ac:dyDescent="0.25">
      <c r="C102" s="26" t="s">
        <v>1970</v>
      </c>
      <c r="D102" s="26" t="s">
        <v>1673</v>
      </c>
      <c r="E102" s="1041" cm="1">
        <f t="array" aca="1" ref="E102" ca="1">INDIRECT(D102)</f>
        <v>0</v>
      </c>
    </row>
    <row r="103" spans="3:5" x14ac:dyDescent="0.25">
      <c r="C103" s="26" t="s">
        <v>155</v>
      </c>
      <c r="D103" s="26" t="s">
        <v>910</v>
      </c>
      <c r="E103" s="1041" t="str" cm="1">
        <f t="array" aca="1" ref="E103" ca="1">INDIRECT(D103)</f>
        <v>RWE</v>
      </c>
    </row>
    <row r="104" spans="3:5" x14ac:dyDescent="0.25">
      <c r="C104" s="26" t="s">
        <v>190</v>
      </c>
      <c r="D104" s="26" t="s">
        <v>1031</v>
      </c>
      <c r="E104" s="1041" t="str" cm="1">
        <f t="array" aca="1" ref="E104" ca="1">INDIRECT(D104)</f>
        <v>No</v>
      </c>
    </row>
    <row r="105" spans="3:5" x14ac:dyDescent="0.25">
      <c r="C105" s="26" t="s">
        <v>1972</v>
      </c>
      <c r="D105" s="26" t="s">
        <v>979</v>
      </c>
      <c r="E105" s="1041" t="str" cm="1">
        <f t="array" aca="1" ref="E105" ca="1">INDIRECT(D105)</f>
        <v>Base case</v>
      </c>
    </row>
    <row r="106" spans="3:5" x14ac:dyDescent="0.25">
      <c r="C106" s="596" t="s">
        <v>1971</v>
      </c>
      <c r="D106" s="596" t="s">
        <v>1339</v>
      </c>
      <c r="E106" s="1457" cm="1">
        <f t="array" aca="1" ref="E106" ca="1">INDIRECT(D106)</f>
        <v>0.05</v>
      </c>
    </row>
    <row r="107" spans="3:5" ht="30" x14ac:dyDescent="0.25">
      <c r="C107" s="29" t="s">
        <v>191</v>
      </c>
      <c r="D107" s="26" t="s">
        <v>1032</v>
      </c>
      <c r="E107" s="1041" cm="1">
        <f t="array" aca="1" ref="E107" ca="1">INDIRECT(D107)</f>
        <v>0</v>
      </c>
    </row>
  </sheetData>
  <hyperlinks>
    <hyperlink ref="D2" location="'Navigation control'!A1" display="Navigation control" xr:uid="{A0547ABF-395F-42A0-9081-7A4A1BCEF324}"/>
  </hyperlinks>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52dea9c-7d8c-4f8c-99cc-fac5c30fa0b8">
      <Terms xmlns="http://schemas.microsoft.com/office/infopath/2007/PartnerControls"/>
    </lcf76f155ced4ddcb4097134ff3c332f>
    <TaxCatchAll xmlns="104a57bb-081b-4c9f-8616-214d650ed9b1" xsi:nil="true"/>
    <Dateadded xmlns="452dea9c-7d8c-4f8c-99cc-fac5c30fa0b8" xsi:nil="true"/>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C83BD0B402CCD48ABB4C9D4EA3EA109" ma:contentTypeVersion="17" ma:contentTypeDescription="Create a new document." ma:contentTypeScope="" ma:versionID="4a9e980f27d5fab2b8dd307ea3ce073f">
  <xsd:schema xmlns:xsd="http://www.w3.org/2001/XMLSchema" xmlns:xs="http://www.w3.org/2001/XMLSchema" xmlns:p="http://schemas.microsoft.com/office/2006/metadata/properties" xmlns:ns1="http://schemas.microsoft.com/sharepoint/v3" xmlns:ns2="452dea9c-7d8c-4f8c-99cc-fac5c30fa0b8" xmlns:ns3="104a57bb-081b-4c9f-8616-214d650ed9b1" targetNamespace="http://schemas.microsoft.com/office/2006/metadata/properties" ma:root="true" ma:fieldsID="87302eb35c5089604df05d486e3623be" ns1:_="" ns2:_="" ns3:_="">
    <xsd:import namespace="http://schemas.microsoft.com/sharepoint/v3"/>
    <xsd:import namespace="452dea9c-7d8c-4f8c-99cc-fac5c30fa0b8"/>
    <xsd:import namespace="104a57bb-081b-4c9f-8616-214d650ed9b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LengthInSeconds" minOccurs="0"/>
                <xsd:element ref="ns2:MediaServiceDateTaken" minOccurs="0"/>
                <xsd:element ref="ns2:Dateadded"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52dea9c-7d8c-4f8c-99cc-fac5c30fa0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103e67f-0598-4a90-8a4a-cec34b03bfa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Dateadded" ma:index="21" nillable="true" ma:displayName="Date added" ma:format="DateOnly" ma:internalName="Dateadded">
      <xsd:simpleType>
        <xsd:restriction base="dms:DateTim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04a57bb-081b-4c9f-8616-214d650ed9b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18e3419e-2713-4c64-aed6-d00eb057ebac}" ma:internalName="TaxCatchAll" ma:showField="CatchAllData" ma:web="104a57bb-081b-4c9f-8616-214d650ed9b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997A32-B33D-4671-B9D4-66CFF54B02C5}">
  <ds:schemaRefs>
    <ds:schemaRef ds:uri="http://schemas.microsoft.com/sharepoint/v3/contenttype/forms"/>
  </ds:schemaRefs>
</ds:datastoreItem>
</file>

<file path=customXml/itemProps2.xml><?xml version="1.0" encoding="utf-8"?>
<ds:datastoreItem xmlns:ds="http://schemas.openxmlformats.org/officeDocument/2006/customXml" ds:itemID="{69DC830F-B45B-447F-AA69-9088C777573A}">
  <ds:schemaRefs>
    <ds:schemaRef ds:uri="http://schemas.microsoft.com/office/infopath/2007/PartnerControls"/>
    <ds:schemaRef ds:uri="104a57bb-081b-4c9f-8616-214d650ed9b1"/>
    <ds:schemaRef ds:uri="http://www.w3.org/XML/1998/namespace"/>
    <ds:schemaRef ds:uri="http://purl.org/dc/terms/"/>
    <ds:schemaRef ds:uri="http://schemas.microsoft.com/office/2006/documentManagement/types"/>
    <ds:schemaRef ds:uri="452dea9c-7d8c-4f8c-99cc-fac5c30fa0b8"/>
    <ds:schemaRef ds:uri="http://purl.org/dc/dcmitype/"/>
    <ds:schemaRef ds:uri="http://purl.org/dc/elements/1.1/"/>
    <ds:schemaRef ds:uri="http://schemas.openxmlformats.org/package/2006/metadata/core-properties"/>
    <ds:schemaRef ds:uri="http://schemas.microsoft.com/office/2006/metadata/properties"/>
    <ds:schemaRef ds:uri="http://schemas.microsoft.com/sharepoint/v3"/>
  </ds:schemaRefs>
</ds:datastoreItem>
</file>

<file path=customXml/itemProps3.xml><?xml version="1.0" encoding="utf-8"?>
<ds:datastoreItem xmlns:ds="http://schemas.openxmlformats.org/officeDocument/2006/customXml" ds:itemID="{AEC4B079-5611-4A69-B129-83DA509EE6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52dea9c-7d8c-4f8c-99cc-fac5c30fa0b8"/>
    <ds:schemaRef ds:uri="104a57bb-081b-4c9f-8616-214d650ed9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912a5d77-fb98-4eee-af32-1334d8f04a53}" enabled="0" method="" siteId="{912a5d77-fb98-4eee-af32-1334d8f04a5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307</vt:i4>
      </vt:variant>
    </vt:vector>
  </HeadingPairs>
  <TitlesOfParts>
    <vt:vector size="324" baseType="lpstr">
      <vt:lpstr>Cover</vt:lpstr>
      <vt:lpstr>Navigation control</vt:lpstr>
      <vt:lpstr>Model settings</vt:lpstr>
      <vt:lpstr>Patient characteristics</vt:lpstr>
      <vt:lpstr>Resource use and costs</vt:lpstr>
      <vt:lpstr>Effectiveness settings</vt:lpstr>
      <vt:lpstr>Time on treatment</vt:lpstr>
      <vt:lpstr>Mortality parameters</vt:lpstr>
      <vt:lpstr>Safety parameters</vt:lpstr>
      <vt:lpstr>Treatment sequence</vt:lpstr>
      <vt:lpstr>Utilities</vt:lpstr>
      <vt:lpstr>Scenario controls</vt:lpstr>
      <vt:lpstr>wastage calcs</vt:lpstr>
      <vt:lpstr>Age sex IPD_CIC</vt:lpstr>
      <vt:lpstr>Lists</vt:lpstr>
      <vt:lpstr>named ranges</vt:lpstr>
      <vt:lpstr>All parameters</vt:lpstr>
      <vt:lpstr>apply_waning_to</vt:lpstr>
      <vt:lpstr>bc_settings_rng</vt:lpstr>
      <vt:lpstr>cabo_nivo_outcome_from</vt:lpstr>
      <vt:lpstr>cabo_nivo_outcomes</vt:lpstr>
      <vt:lpstr>count_bc_settings</vt:lpstr>
      <vt:lpstr>dd_2ndline_NMA</vt:lpstr>
      <vt:lpstr>dd_adj_cross_curves</vt:lpstr>
      <vt:lpstr>dd_adjforprioradjuvant</vt:lpstr>
      <vt:lpstr>dd_AE_impact_axi_equal_tivo</vt:lpstr>
      <vt:lpstr>dd_age_sex_source</vt:lpstr>
      <vt:lpstr>dd_ageadjuutilities</vt:lpstr>
      <vt:lpstr>dd_alt_RDI_nivo_PartSA</vt:lpstr>
      <vt:lpstr>dd_alt_RDI_nivo_ST</vt:lpstr>
      <vt:lpstr>dd_apply_AE_options</vt:lpstr>
      <vt:lpstr>dd_apply_allrisk_NMA_to_favrisk</vt:lpstr>
      <vt:lpstr>dd_baseline_risk_from</vt:lpstr>
      <vt:lpstr>dd_BSC_util_scenarios</vt:lpstr>
      <vt:lpstr>dd_cabo_nivo_outcome_from</vt:lpstr>
      <vt:lpstr>dd_CheckMate214_TTD</vt:lpstr>
      <vt:lpstr>dd_double_AE_impact</vt:lpstr>
      <vt:lpstr>dd_drug_price_options</vt:lpstr>
      <vt:lpstr>dd_eff_inputs_based_on</vt:lpstr>
      <vt:lpstr>dd_eq_eff_cabo_suni</vt:lpstr>
      <vt:lpstr>dd_eq_eff_evero_axi</vt:lpstr>
      <vt:lpstr>dd_eq_eff_pazo_suni</vt:lpstr>
      <vt:lpstr>dd_eq_eff_tivo_suni</vt:lpstr>
      <vt:lpstr>dd_favriskimpact</vt:lpstr>
      <vt:lpstr>dd_impactpriorTKI</vt:lpstr>
      <vt:lpstr>dd_incl_ave_plus_axi</vt:lpstr>
      <vt:lpstr>dd_incl_NMA_AEs</vt:lpstr>
      <vt:lpstr>dd_incl_wastage_IV</vt:lpstr>
      <vt:lpstr>dd_lenv_dose_source</vt:lpstr>
      <vt:lpstr>dd_lenv_RDI_100</vt:lpstr>
      <vt:lpstr>dd_lenv_sc_2pills</vt:lpstr>
      <vt:lpstr>dd_model_analyses</vt:lpstr>
      <vt:lpstr>dd_model_struct</vt:lpstr>
      <vt:lpstr>dd_nivoipiPFS</vt:lpstr>
      <vt:lpstr>dd_no_of_admin_options</vt:lpstr>
      <vt:lpstr>dd_no_TE_waning</vt:lpstr>
      <vt:lpstr>dd_PartSA_2_lines</vt:lpstr>
      <vt:lpstr>dd_pc</vt:lpstr>
      <vt:lpstr>dd_pemlen_equal</vt:lpstr>
      <vt:lpstr>dd_pemlen_NMA</vt:lpstr>
      <vt:lpstr>dd_pemLen_RDI_eq_nivoCabo</vt:lpstr>
      <vt:lpstr>dd_pop_sel</vt:lpstr>
      <vt:lpstr>dd_priorTKIimpact</vt:lpstr>
      <vt:lpstr>dd_producePASanalysis</vt:lpstr>
      <vt:lpstr>dd_prop_deathinPFS</vt:lpstr>
      <vt:lpstr>dd_RDI_new_bc</vt:lpstr>
      <vt:lpstr>dd_reduceBSC</vt:lpstr>
      <vt:lpstr>dd_report_req_surv_reg</vt:lpstr>
      <vt:lpstr>dd_run_surv_reg</vt:lpstr>
      <vt:lpstr>dd_run_TP_matrices</vt:lpstr>
      <vt:lpstr>dd_sc_RDI</vt:lpstr>
      <vt:lpstr>dd_set_HR_pem_len</vt:lpstr>
      <vt:lpstr>dd_sub_txt_prop_sources</vt:lpstr>
      <vt:lpstr>dd_surv_cur</vt:lpstr>
      <vt:lpstr>dd_TE_sc_10y_all_IO</vt:lpstr>
      <vt:lpstr>dd_TE_sc_10y_IO_TKI</vt:lpstr>
      <vt:lpstr>dd_TE_sc_4and6y_IO_TKI_OS_absSurv</vt:lpstr>
      <vt:lpstr>dd_TE_sc_5and20y_all_IO</vt:lpstr>
      <vt:lpstr>dd_TE_sc_5and20y_IO_TKI</vt:lpstr>
      <vt:lpstr>dd_TE_sc_PartSA_5y_IO_TKI_OS</vt:lpstr>
      <vt:lpstr>dd_TTD_same_as_PFS</vt:lpstr>
      <vt:lpstr>dd_txt_line_drug_cost</vt:lpstr>
      <vt:lpstr>dd_udadj</vt:lpstr>
      <vt:lpstr>dd_updated_fp_nma</vt:lpstr>
      <vt:lpstr>dd_updated_sun_eve_price</vt:lpstr>
      <vt:lpstr>dd_use_PHnma_for_FPnma</vt:lpstr>
      <vt:lpstr>dd_util_scenarios</vt:lpstr>
      <vt:lpstr>default_bc_settings</vt:lpstr>
      <vt:lpstr>HR_favvsall</vt:lpstr>
      <vt:lpstr>i_4L_PPS_pooled_BSC</vt:lpstr>
      <vt:lpstr>i_adj_cross_curves</vt:lpstr>
      <vt:lpstr>i_admin_based_on_num</vt:lpstr>
      <vt:lpstr>i_AE_g3_cutoff</vt:lpstr>
      <vt:lpstr>i_AE_impact_axi_equal_tivo</vt:lpstr>
      <vt:lpstr>i_AE_NMA_option_num</vt:lpstr>
      <vt:lpstr>i_age_sex_source_num</vt:lpstr>
      <vt:lpstr>i_ageadjuutilities</vt:lpstr>
      <vt:lpstr>i_alt_RDI_nivo_PartSA_num</vt:lpstr>
      <vt:lpstr>i_alt_RDI_nivo_ST_num</vt:lpstr>
      <vt:lpstr>i_anal_pers</vt:lpstr>
      <vt:lpstr>i_analyses_num</vt:lpstr>
      <vt:lpstr>i_apply_AR_to_FR_NMA</vt:lpstr>
      <vt:lpstr>i_baseline_risk_from</vt:lpstr>
      <vt:lpstr>i_bsc_util_num</vt:lpstr>
      <vt:lpstr>i_cabo_RWE_2L_PFS_all_sc</vt:lpstr>
      <vt:lpstr>i_cabo_RWE_2L_TTP_all_sc</vt:lpstr>
      <vt:lpstr>i_cabo_RWE_3L_PFS_all_sc</vt:lpstr>
      <vt:lpstr>i_cabo_RWE_3L_TTP_all_sc</vt:lpstr>
      <vt:lpstr>i_CheckMate214_TTD</vt:lpstr>
      <vt:lpstr>i_cycle_length_weeks</vt:lpstr>
      <vt:lpstr>i_days_to_weeks</vt:lpstr>
      <vt:lpstr>i_double_AE_impact</vt:lpstr>
      <vt:lpstr>i_drug_price_options</vt:lpstr>
      <vt:lpstr>i_eff_inputs_based_on_num</vt:lpstr>
      <vt:lpstr>i_eq_eff_cabo_suni</vt:lpstr>
      <vt:lpstr>i_eq_eff_evero_axi_num</vt:lpstr>
      <vt:lpstr>i_eq_eff_pazo_suni_num</vt:lpstr>
      <vt:lpstr>i_eq_eff_tivo_suni_num</vt:lpstr>
      <vt:lpstr>i_incl_wastage_IV_num</vt:lpstr>
      <vt:lpstr>i_L1_ref_txt_TE_waning</vt:lpstr>
      <vt:lpstr>i_L2_ref_txt_TE_waning</vt:lpstr>
      <vt:lpstr>i_L3_ref_txt_TE_waning</vt:lpstr>
      <vt:lpstr>i_L4_ref_txt_TE_waning</vt:lpstr>
      <vt:lpstr>i_lenv_RDI_100</vt:lpstr>
      <vt:lpstr>i_lenv_sc_2pills</vt:lpstr>
      <vt:lpstr>i_model_struct_num</vt:lpstr>
      <vt:lpstr>i_mon_to_weeks</vt:lpstr>
      <vt:lpstr>i_nivo_100mg_vials</vt:lpstr>
      <vt:lpstr>i_nivo_120mg_vials</vt:lpstr>
      <vt:lpstr>i_nivo_240mg_vials</vt:lpstr>
      <vt:lpstr>i_nivo_40mg_vials</vt:lpstr>
      <vt:lpstr>i_no_TE_waning</vt:lpstr>
      <vt:lpstr>i_nr_populations</vt:lpstr>
      <vt:lpstr>i_pemLen_RDI_eq_nivoCabo</vt:lpstr>
      <vt:lpstr>i_QALY_short_abs_LB</vt:lpstr>
      <vt:lpstr>i_QALY_short_abs_UB</vt:lpstr>
      <vt:lpstr>i_QALY_short_prop_LB</vt:lpstr>
      <vt:lpstr>i_QALY_short_prop_UB</vt:lpstr>
      <vt:lpstr>i_qaly_weight_between</vt:lpstr>
      <vt:lpstr>i_qaly_weight_LB</vt:lpstr>
      <vt:lpstr>i_qaly_weight_UB</vt:lpstr>
      <vt:lpstr>i_RDI_new_bc</vt:lpstr>
      <vt:lpstr>i_sc_RDI_num</vt:lpstr>
      <vt:lpstr>i_sc_util_num</vt:lpstr>
      <vt:lpstr>i_SE_costs</vt:lpstr>
      <vt:lpstr>i_SE_util</vt:lpstr>
      <vt:lpstr>i_set_HR_pem_len</vt:lpstr>
      <vt:lpstr>i_sub_txt_prop_num</vt:lpstr>
      <vt:lpstr>i_sun_RWE_1L_PFS_all_sc</vt:lpstr>
      <vt:lpstr>i_sun_RWE_1L_TTD_porI_all_sc_1</vt:lpstr>
      <vt:lpstr>i_sun_RWE_1L_TTD_porI_all_sc_2</vt:lpstr>
      <vt:lpstr>i_sun_RWE_1L_TTD_porI_all_sc_3</vt:lpstr>
      <vt:lpstr>i_sun_RWE_1L_TTP_all_sc</vt:lpstr>
      <vt:lpstr>i_sur_cur_sc_sel_range</vt:lpstr>
      <vt:lpstr>i_surv_cur</vt:lpstr>
      <vt:lpstr>i_table_AE_costs</vt:lpstr>
      <vt:lpstr>i_table_AE_rate_dur</vt:lpstr>
      <vt:lpstr>i_table_sub_txt</vt:lpstr>
      <vt:lpstr>i_TE_sc_10y_all_IO</vt:lpstr>
      <vt:lpstr>i_TE_sc_10y_IO_TKI</vt:lpstr>
      <vt:lpstr>i_TE_sc_4and6y_IO_TKI_OS_absSurv</vt:lpstr>
      <vt:lpstr>i_TE_sc_5and20y_all_IO</vt:lpstr>
      <vt:lpstr>i_TE_sc_5and20y_IO_TKI</vt:lpstr>
      <vt:lpstr>i_TE_sc_PartSA_5y_IO_TKI_OS</vt:lpstr>
      <vt:lpstr>i_TTD_same_as_PFS</vt:lpstr>
      <vt:lpstr>i_txt_line_drug_cost</vt:lpstr>
      <vt:lpstr>i_ui_prop_prior_IO_RWE</vt:lpstr>
      <vt:lpstr>i_updated_fp_nma</vt:lpstr>
      <vt:lpstr>i_updated_sun_eve_price</vt:lpstr>
      <vt:lpstr>i_use_PHnma_for_FPnma_num</vt:lpstr>
      <vt:lpstr>i_util_range</vt:lpstr>
      <vt:lpstr>i_util_range_allrisk_1L_PD</vt:lpstr>
      <vt:lpstr>i_util_range_allrisk_1L_PFS</vt:lpstr>
      <vt:lpstr>InReq_start</vt:lpstr>
      <vt:lpstr>List_adj_cross_curves</vt:lpstr>
      <vt:lpstr>List_AEs_all_grade</vt:lpstr>
      <vt:lpstr>List_AEs_g3</vt:lpstr>
      <vt:lpstr>List_age_sex_source</vt:lpstr>
      <vt:lpstr>List_analyses</vt:lpstr>
      <vt:lpstr>List_apply_AE_options</vt:lpstr>
      <vt:lpstr>List_BSC_util_options</vt:lpstr>
      <vt:lpstr>List_comparators</vt:lpstr>
      <vt:lpstr>List_eff_datasources</vt:lpstr>
      <vt:lpstr>List_eff_endpoints</vt:lpstr>
      <vt:lpstr>List_eff_inputs_based_on</vt:lpstr>
      <vt:lpstr>List_incl_anal_1L_all</vt:lpstr>
      <vt:lpstr>List_incl_anal_1L_fav</vt:lpstr>
      <vt:lpstr>List_incl_anal_1L_PorI</vt:lpstr>
      <vt:lpstr>List_incl_anal_2L_all</vt:lpstr>
      <vt:lpstr>List_incl_anal_3L_all</vt:lpstr>
      <vt:lpstr>List_incl_anal_4L_all</vt:lpstr>
      <vt:lpstr>List_model_structures</vt:lpstr>
      <vt:lpstr>List_no_of_admin_option</vt:lpstr>
      <vt:lpstr>List_para_curves</vt:lpstr>
      <vt:lpstr>List_pop</vt:lpstr>
      <vt:lpstr>List_pop1_1L</vt:lpstr>
      <vt:lpstr>List_pop1_2L</vt:lpstr>
      <vt:lpstr>List_pop1_3L</vt:lpstr>
      <vt:lpstr>List_pop1_4L</vt:lpstr>
      <vt:lpstr>List_pop1_allowed</vt:lpstr>
      <vt:lpstr>List_pop1_axitinib_only_after</vt:lpstr>
      <vt:lpstr>List_pop1_axitinib_only_one_allowed</vt:lpstr>
      <vt:lpstr>List_pop1_cabozantinib_2L_only_after</vt:lpstr>
      <vt:lpstr>List_pop1_cabozantinib_only_one_allowed</vt:lpstr>
      <vt:lpstr>List_pop1_everolimus_only_after</vt:lpstr>
      <vt:lpstr>List_pop1_everolimus_only_one_allowed</vt:lpstr>
      <vt:lpstr>List_pop1_io_only_one_allowed</vt:lpstr>
      <vt:lpstr>List_pop1_lenvatinib_plus_everolimus_allowed</vt:lpstr>
      <vt:lpstr>List_pop1_lenvatinib_plus_everolimus_not_immediate_after</vt:lpstr>
      <vt:lpstr>List_pop1_lenvatinib_plus_everolimus_only_after_one</vt:lpstr>
      <vt:lpstr>List_pop1_nivolumab_only_one_allowed</vt:lpstr>
      <vt:lpstr>List_pop1_pazopanib_2L_only_immediate_after</vt:lpstr>
      <vt:lpstr>List_pop1_sunitinib_2L_only_immediate_after</vt:lpstr>
      <vt:lpstr>List_pop1_tivozanib_2L_only_immediate_after</vt:lpstr>
      <vt:lpstr>List_pop1_TKIs_only_one_allowed</vt:lpstr>
      <vt:lpstr>List_pop2_1L</vt:lpstr>
      <vt:lpstr>List_pop2_2L</vt:lpstr>
      <vt:lpstr>List_pop2_3L</vt:lpstr>
      <vt:lpstr>List_pop2_4L</vt:lpstr>
      <vt:lpstr>List_pop2_allowed</vt:lpstr>
      <vt:lpstr>List_pop2_axitinib_only_after</vt:lpstr>
      <vt:lpstr>List_pop2_axitinib_only_one_allowed</vt:lpstr>
      <vt:lpstr>List_pop2_cabozantinib_2L_only_after</vt:lpstr>
      <vt:lpstr>List_pop2_cabozantinib_only_one_allowed</vt:lpstr>
      <vt:lpstr>List_pop2_everolimus_only_after</vt:lpstr>
      <vt:lpstr>List_pop2_everolimus_only_one_allowed</vt:lpstr>
      <vt:lpstr>List_pop2_io_only_one_allowed</vt:lpstr>
      <vt:lpstr>List_pop2_lenvatinib_plus_everolimus_not_immediate_after</vt:lpstr>
      <vt:lpstr>List_pop2_lenvatinib_plus_everolimus_only_after_one</vt:lpstr>
      <vt:lpstr>List_pop2_lenvatinib_plus_everolimus_only_one_allowed</vt:lpstr>
      <vt:lpstr>List_pop2_nivolumab_only_one_allowed</vt:lpstr>
      <vt:lpstr>List_pop2_pazopanib_2L_only_immediate_after</vt:lpstr>
      <vt:lpstr>List_pop2_sunitinib_2L_only_immediate_after</vt:lpstr>
      <vt:lpstr>List_pop2_tivozanib_2L_only_immediate_after</vt:lpstr>
      <vt:lpstr>List_pop2_TKIs_only_one_allowed</vt:lpstr>
      <vt:lpstr>List_pop3_1L</vt:lpstr>
      <vt:lpstr>List_pop3_2L</vt:lpstr>
      <vt:lpstr>List_pop3_3L</vt:lpstr>
      <vt:lpstr>List_pop3_4L</vt:lpstr>
      <vt:lpstr>List_pop3_allowed</vt:lpstr>
      <vt:lpstr>List_pop3_axitinib_only_after</vt:lpstr>
      <vt:lpstr>List_pop3_axitinib_only_one_allowed</vt:lpstr>
      <vt:lpstr>List_pop3_cabozantinib_2L_only_after</vt:lpstr>
      <vt:lpstr>List_pop3_everolimus_only_after</vt:lpstr>
      <vt:lpstr>List_pop3_everolimus_only_one_allowed</vt:lpstr>
      <vt:lpstr>List_pop3_lenvatinib_plus_everolimus_not_immediate_after</vt:lpstr>
      <vt:lpstr>List_pop3_lenvatinib_plus_everolimus_only_after_one</vt:lpstr>
      <vt:lpstr>List_pop3_lenvatinib_plus_everolimus_only_one_allowed</vt:lpstr>
      <vt:lpstr>List_pop3_pazopanib_2L_only_immediate_after</vt:lpstr>
      <vt:lpstr>List_pop3_sunitinib_2L_only_immediate_after</vt:lpstr>
      <vt:lpstr>List_pop3_tivozanib_2L_only_immediate_after</vt:lpstr>
      <vt:lpstr>List_pop3_TKIs_only_one_allowed</vt:lpstr>
      <vt:lpstr>List_pop4_1L</vt:lpstr>
      <vt:lpstr>List_pop4_2L</vt:lpstr>
      <vt:lpstr>List_pop4_3L</vt:lpstr>
      <vt:lpstr>List_pop4_4L</vt:lpstr>
      <vt:lpstr>List_pop4_allowed</vt:lpstr>
      <vt:lpstr>List_pop4_axitinib_only_after</vt:lpstr>
      <vt:lpstr>List_pop4_axitinib_only_one_allowed</vt:lpstr>
      <vt:lpstr>List_pop4_cabozantinib_2L_only_after</vt:lpstr>
      <vt:lpstr>List_pop4_everolimus_only_after</vt:lpstr>
      <vt:lpstr>List_pop4_everolimus_only_one_allowed</vt:lpstr>
      <vt:lpstr>List_pop4_lenvatinib_plus_everolimus_not_immediate_after</vt:lpstr>
      <vt:lpstr>List_pop4_lenvatinib_plus_everolimus_only_after_one</vt:lpstr>
      <vt:lpstr>List_pop4_lenvatinib_plus_everolimus_only_one_allowed</vt:lpstr>
      <vt:lpstr>List_pop4_pazopanib_2L_only_immediate_after</vt:lpstr>
      <vt:lpstr>List_pop4_sunitinib_2L_only_immediate_after</vt:lpstr>
      <vt:lpstr>List_pop4_tivozanib_2L_only_immediate_after</vt:lpstr>
      <vt:lpstr>List_pop4_TKIs_only_one_allowed</vt:lpstr>
      <vt:lpstr>List_price_options</vt:lpstr>
      <vt:lpstr>List_RDI_new_bc</vt:lpstr>
      <vt:lpstr>List_RDI_scenarios</vt:lpstr>
      <vt:lpstr>List_sc_util</vt:lpstr>
      <vt:lpstr>List_surv_cur</vt:lpstr>
      <vt:lpstr>List_surv_cur_ext</vt:lpstr>
      <vt:lpstr>List_trials</vt:lpstr>
      <vt:lpstr>List_txt_lines</vt:lpstr>
      <vt:lpstr>List_YesorNo</vt:lpstr>
      <vt:lpstr>R_max_trt_lines</vt:lpstr>
      <vt:lpstr>r_overall_lookup_pop</vt:lpstr>
      <vt:lpstr>r_pld_lookup_dist</vt:lpstr>
      <vt:lpstr>r_pld_lookup_endpoint</vt:lpstr>
      <vt:lpstr>r_pld_lookup_line</vt:lpstr>
      <vt:lpstr>r_pld_lookup_mol</vt:lpstr>
      <vt:lpstr>r_pld_lookup_pop</vt:lpstr>
      <vt:lpstr>r_pld_lookup_trial</vt:lpstr>
      <vt:lpstr>R_s_rate_disc_cost</vt:lpstr>
      <vt:lpstr>R_Scenario_name</vt:lpstr>
      <vt:lpstr>R_Scenario_num</vt:lpstr>
      <vt:lpstr>R_table_AE_costs</vt:lpstr>
      <vt:lpstr>R_table_AE_disutil</vt:lpstr>
      <vt:lpstr>R_table_AE_effects_n_dur</vt:lpstr>
      <vt:lpstr>R_table_AE_rates</vt:lpstr>
      <vt:lpstr>R_table_AE_util</vt:lpstr>
      <vt:lpstr>R_table_ageadjust_util_female</vt:lpstr>
      <vt:lpstr>R_table_ageadjust_util_male</vt:lpstr>
      <vt:lpstr>R_table_drug_admin_costs</vt:lpstr>
      <vt:lpstr>R_table_drugcostperweek</vt:lpstr>
      <vt:lpstr>R_table_duration</vt:lpstr>
      <vt:lpstr>R_table_eff_data_settings</vt:lpstr>
      <vt:lpstr>R_table_FPNMA_coefficients</vt:lpstr>
      <vt:lpstr>R_table_mort_lifeTable</vt:lpstr>
      <vt:lpstr>R_table_MRU</vt:lpstr>
      <vt:lpstr>R_table_MRU_oneoff</vt:lpstr>
      <vt:lpstr>R_table_param</vt:lpstr>
      <vt:lpstr>R_table_patientagesex</vt:lpstr>
      <vt:lpstr>R_table_prior_IO_impact_eff</vt:lpstr>
      <vt:lpstr>R_table_ptchar</vt:lpstr>
      <vt:lpstr>R_table_scenarios</vt:lpstr>
      <vt:lpstr>R_table_sub_sur_radio_costs</vt:lpstr>
      <vt:lpstr>R_table_sub_txt_cum_costs</vt:lpstr>
      <vt:lpstr>R_table_sub_txts_dur</vt:lpstr>
      <vt:lpstr>R_table_sub_txts_prop_n_costs</vt:lpstr>
      <vt:lpstr>R_table_TE_waning_settings</vt:lpstr>
      <vt:lpstr>R_table_util</vt:lpstr>
      <vt:lpstr>range_start</vt:lpstr>
      <vt:lpstr>sheet_start</vt:lpstr>
      <vt:lpstr>source_pc</vt:lpstr>
      <vt:lpstr>source_pc_num</vt:lpstr>
      <vt:lpstr>ui_disc_cost</vt:lpstr>
      <vt:lpstr>ui_disc_qaly</vt:lpstr>
      <vt:lpstr>ui_time_horizon</vt:lpstr>
      <vt:lpstr>value_start</vt:lpstr>
      <vt:lpstr>wtp_threshold</vt:lpstr>
    </vt:vector>
  </TitlesOfParts>
  <Manager/>
  <Company>University of Exeter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Muthukumar, Madhusubramanian</dc:creator>
  <cp:keywords/>
  <dc:description/>
  <cp:lastModifiedBy>Lee, Dawn</cp:lastModifiedBy>
  <cp:revision>8</cp:revision>
  <dcterms:created xsi:type="dcterms:W3CDTF">2023-02-05T23:18:21Z</dcterms:created>
  <dcterms:modified xsi:type="dcterms:W3CDTF">2025-02-04T15:00:07Z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0x0101007C83BD0B402CCD48ABB4C9D4EA3EA109</vt:lpwstr>
  </property>
  <property fmtid="{D5CDD505-2E9C-101B-9397-08002B2CF9AE}" pid="3" name="MediaServiceImageTags">
    <vt:lpwstr/>
  </property>
  <property fmtid="{D5CDD505-2E9C-101B-9397-08002B2CF9AE}" pid="4" name="MSIP_Label_c69d85d5-6d9e-4305-a294-1f636ec0f2d6_Enabled">
    <vt:lpwstr>true</vt:lpwstr>
  </property>
  <property fmtid="{D5CDD505-2E9C-101B-9397-08002B2CF9AE}" pid="5" name="MSIP_Label_c69d85d5-6d9e-4305-a294-1f636ec0f2d6_SetDate">
    <vt:lpwstr>2024-01-23T09:21:09Z</vt:lpwstr>
  </property>
  <property fmtid="{D5CDD505-2E9C-101B-9397-08002B2CF9AE}" pid="6" name="MSIP_Label_c69d85d5-6d9e-4305-a294-1f636ec0f2d6_Method">
    <vt:lpwstr>Standard</vt:lpwstr>
  </property>
  <property fmtid="{D5CDD505-2E9C-101B-9397-08002B2CF9AE}" pid="7" name="MSIP_Label_c69d85d5-6d9e-4305-a294-1f636ec0f2d6_Name">
    <vt:lpwstr>OFFICIAL</vt:lpwstr>
  </property>
  <property fmtid="{D5CDD505-2E9C-101B-9397-08002B2CF9AE}" pid="8" name="MSIP_Label_c69d85d5-6d9e-4305-a294-1f636ec0f2d6_SiteId">
    <vt:lpwstr>6030f479-b342-472d-a5dd-740ff7538de9</vt:lpwstr>
  </property>
  <property fmtid="{D5CDD505-2E9C-101B-9397-08002B2CF9AE}" pid="9" name="MSIP_Label_c69d85d5-6d9e-4305-a294-1f636ec0f2d6_ActionId">
    <vt:lpwstr>1939ea53-0417-4332-8f5d-80c6b42613c2</vt:lpwstr>
  </property>
  <property fmtid="{D5CDD505-2E9C-101B-9397-08002B2CF9AE}" pid="10" name="MSIP_Label_c69d85d5-6d9e-4305-a294-1f636ec0f2d6_ContentBits">
    <vt:lpwstr>0</vt:lpwstr>
  </property>
</Properties>
</file>